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5.xml" ContentType="application/vnd.openxmlformats-officedocument.drawing+xml"/>
  <Override PartName="/xl/slicers/slicer1.xml" ContentType="application/vnd.ms-excel.slicer+xml"/>
  <Override PartName="/xl/charts/chart3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Alexandre-note\Desktop\"/>
    </mc:Choice>
  </mc:AlternateContent>
  <xr:revisionPtr revIDLastSave="0" documentId="13_ncr:1_{20711C2B-B0EF-4DAA-9A4A-776A6F1C95E1}" xr6:coauthVersionLast="47" xr6:coauthVersionMax="47" xr10:uidLastSave="{00000000-0000-0000-0000-000000000000}"/>
  <bookViews>
    <workbookView xWindow="-120" yWindow="-120" windowWidth="20730" windowHeight="11160" firstSheet="3" activeTab="4" xr2:uid="{D80055E3-5924-417E-AEDC-E51BF94520E9}"/>
  </bookViews>
  <sheets>
    <sheet name="SAL-22" sheetId="5" state="hidden" r:id="rId1"/>
    <sheet name="PROG. 22" sheetId="1" state="hidden" r:id="rId2"/>
    <sheet name="P FERIAS" sheetId="24" state="hidden" r:id="rId3"/>
    <sheet name="SAL 23" sheetId="10" r:id="rId4"/>
    <sheet name="PROG. 23" sheetId="2" r:id="rId5"/>
    <sheet name="STATUS SAL" sheetId="22" r:id="rId6"/>
    <sheet name="STATUS FCL" sheetId="21" r:id="rId7"/>
    <sheet name="STATUS LCL" sheetId="23" r:id="rId8"/>
    <sheet name="MOTORISTAS" sheetId="4" r:id="rId9"/>
    <sheet name="OCORRENCIA" sheetId="16" r:id="rId10"/>
    <sheet name="STATUS" sheetId="17" state="hidden" r:id="rId11"/>
    <sheet name="APOIO" sheetId="15" state="hidden" r:id="rId12"/>
    <sheet name="OCORRENCIA 2" sheetId="20" state="hidden" r:id="rId13"/>
  </sheets>
  <definedNames>
    <definedName name="BASE" localSheetId="2">Sal_23[#All]</definedName>
    <definedName name="BASE" localSheetId="6">Sal_23[#All]</definedName>
    <definedName name="BASE" localSheetId="5">Sal_23[#All]</definedName>
    <definedName name="BASE">Sal_23[#All]</definedName>
    <definedName name="SegmentaçãodeDados_ANO">#N/A</definedName>
    <definedName name="SegmentaçãodeDados_MÊS">#N/A</definedName>
    <definedName name="SegmentaçãodeDados_TOMADOR">#N/A</definedName>
  </definedNames>
  <calcPr calcId="191029" calcOnSave="0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12" i="2" l="1"/>
  <c r="T513" i="2"/>
  <c r="T514" i="2"/>
  <c r="U512" i="2"/>
  <c r="U513" i="2"/>
  <c r="U514" i="2"/>
  <c r="U509" i="2"/>
  <c r="U510" i="2"/>
  <c r="U511" i="2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780" i="10"/>
  <c r="Q781" i="10"/>
  <c r="Q782" i="10"/>
  <c r="Q783" i="10"/>
  <c r="Q784" i="10"/>
  <c r="Q785" i="10"/>
  <c r="AI877" i="10" l="1"/>
  <c r="AJ877" i="10"/>
  <c r="BM475" i="2"/>
  <c r="N500" i="2"/>
  <c r="C880" i="10"/>
  <c r="C881" i="10"/>
  <c r="C882" i="10"/>
  <c r="C894" i="10"/>
  <c r="C883" i="10"/>
  <c r="C875" i="10"/>
  <c r="C876" i="10"/>
  <c r="C884" i="10"/>
  <c r="C885" i="10"/>
  <c r="C877" i="10"/>
  <c r="C879" i="10"/>
  <c r="C895" i="10"/>
  <c r="C886" i="10"/>
  <c r="C887" i="10"/>
  <c r="C878" i="10"/>
  <c r="C896" i="10"/>
  <c r="C888" i="10"/>
  <c r="C897" i="10"/>
  <c r="C898" i="10"/>
  <c r="C889" i="10"/>
  <c r="C899" i="10"/>
  <c r="C890" i="10"/>
  <c r="C891" i="10"/>
  <c r="C892" i="10"/>
  <c r="C893" i="10"/>
  <c r="AG880" i="10"/>
  <c r="AG881" i="10"/>
  <c r="AG882" i="10"/>
  <c r="AG894" i="10"/>
  <c r="AG883" i="10"/>
  <c r="AG875" i="10"/>
  <c r="AG876" i="10"/>
  <c r="AG884" i="10"/>
  <c r="AG885" i="10"/>
  <c r="AG877" i="10"/>
  <c r="AG879" i="10"/>
  <c r="AG895" i="10"/>
  <c r="AG886" i="10"/>
  <c r="AG887" i="10"/>
  <c r="AG878" i="10"/>
  <c r="AG896" i="10"/>
  <c r="AG888" i="10"/>
  <c r="AG897" i="10"/>
  <c r="AG898" i="10"/>
  <c r="AG889" i="10"/>
  <c r="AG899" i="10"/>
  <c r="AG890" i="10"/>
  <c r="AG891" i="10"/>
  <c r="AG892" i="10"/>
  <c r="AG893" i="10"/>
  <c r="AI880" i="10"/>
  <c r="AI881" i="10"/>
  <c r="AI882" i="10"/>
  <c r="AI894" i="10"/>
  <c r="AI883" i="10"/>
  <c r="AI875" i="10"/>
  <c r="AI876" i="10"/>
  <c r="AI884" i="10"/>
  <c r="AI885" i="10"/>
  <c r="AI879" i="10"/>
  <c r="AI895" i="10"/>
  <c r="AI886" i="10"/>
  <c r="AI887" i="10"/>
  <c r="AI878" i="10"/>
  <c r="AI896" i="10"/>
  <c r="AI888" i="10"/>
  <c r="AI897" i="10"/>
  <c r="AI898" i="10"/>
  <c r="AI889" i="10"/>
  <c r="AI899" i="10"/>
  <c r="AI890" i="10"/>
  <c r="AI891" i="10"/>
  <c r="AI892" i="10"/>
  <c r="AI893" i="10"/>
  <c r="AJ880" i="10"/>
  <c r="AJ881" i="10"/>
  <c r="AJ882" i="10"/>
  <c r="AJ894" i="10"/>
  <c r="AJ883" i="10"/>
  <c r="AJ875" i="10"/>
  <c r="AJ876" i="10"/>
  <c r="AJ884" i="10"/>
  <c r="AJ885" i="10"/>
  <c r="AJ879" i="10"/>
  <c r="AJ895" i="10"/>
  <c r="AJ886" i="10"/>
  <c r="AJ887" i="10"/>
  <c r="AJ878" i="10"/>
  <c r="AJ896" i="10"/>
  <c r="AJ888" i="10"/>
  <c r="AJ897" i="10"/>
  <c r="AJ898" i="10"/>
  <c r="AJ889" i="10"/>
  <c r="AJ899" i="10"/>
  <c r="AJ890" i="10"/>
  <c r="AJ891" i="10"/>
  <c r="AJ892" i="10"/>
  <c r="AJ893" i="10"/>
  <c r="C874" i="10"/>
  <c r="AG874" i="10"/>
  <c r="AI874" i="10"/>
  <c r="AJ874" i="10"/>
  <c r="C869" i="10"/>
  <c r="C871" i="10"/>
  <c r="C872" i="10"/>
  <c r="C870" i="10"/>
  <c r="C873" i="10"/>
  <c r="AG869" i="10"/>
  <c r="AG871" i="10"/>
  <c r="AG872" i="10"/>
  <c r="AG870" i="10"/>
  <c r="AG873" i="10"/>
  <c r="AI869" i="10"/>
  <c r="AI871" i="10"/>
  <c r="AI872" i="10"/>
  <c r="AI870" i="10"/>
  <c r="AI873" i="10"/>
  <c r="AJ869" i="10"/>
  <c r="AJ871" i="10"/>
  <c r="AJ872" i="10"/>
  <c r="AJ870" i="10"/>
  <c r="AJ873" i="10"/>
  <c r="C868" i="10"/>
  <c r="AG868" i="10"/>
  <c r="AI868" i="10"/>
  <c r="AJ868" i="10"/>
  <c r="T477" i="2"/>
  <c r="U477" i="2"/>
  <c r="T478" i="2"/>
  <c r="U478" i="2"/>
  <c r="AY469" i="2" l="1"/>
  <c r="BF463" i="2"/>
  <c r="BF462" i="2"/>
  <c r="BF461" i="2"/>
  <c r="BF460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6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6" i="2"/>
  <c r="T480" i="2"/>
  <c r="T488" i="2"/>
  <c r="T475" i="2"/>
  <c r="T511" i="2"/>
  <c r="T483" i="2"/>
  <c r="T481" i="2"/>
  <c r="T489" i="2"/>
  <c r="T484" i="2"/>
  <c r="T485" i="2"/>
  <c r="T486" i="2"/>
  <c r="T487" i="2"/>
  <c r="T498" i="2"/>
  <c r="T490" i="2"/>
  <c r="T491" i="2"/>
  <c r="T499" i="2"/>
  <c r="T492" i="2"/>
  <c r="T493" i="2"/>
  <c r="T494" i="2"/>
  <c r="T495" i="2"/>
  <c r="T496" i="2"/>
  <c r="T497" i="2"/>
  <c r="T506" i="2"/>
  <c r="T507" i="2"/>
  <c r="T508" i="2"/>
  <c r="T509" i="2"/>
  <c r="T510" i="2"/>
  <c r="T501" i="2"/>
  <c r="T502" i="2"/>
  <c r="T503" i="2"/>
  <c r="T505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U480" i="2"/>
  <c r="U488" i="2"/>
  <c r="U475" i="2"/>
  <c r="U483" i="2"/>
  <c r="U481" i="2"/>
  <c r="U489" i="2"/>
  <c r="U484" i="2"/>
  <c r="U485" i="2"/>
  <c r="U486" i="2"/>
  <c r="U487" i="2"/>
  <c r="U498" i="2"/>
  <c r="U490" i="2"/>
  <c r="U491" i="2"/>
  <c r="U499" i="2"/>
  <c r="U492" i="2"/>
  <c r="U493" i="2"/>
  <c r="U494" i="2"/>
  <c r="U495" i="2"/>
  <c r="U496" i="2"/>
  <c r="U497" i="2"/>
  <c r="U506" i="2"/>
  <c r="U507" i="2"/>
  <c r="U508" i="2"/>
  <c r="U501" i="2"/>
  <c r="U502" i="2"/>
  <c r="U503" i="2"/>
  <c r="U505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479" i="2"/>
  <c r="T479" i="2"/>
  <c r="BM456" i="2" l="1"/>
  <c r="R186" i="4"/>
  <c r="A513" i="2"/>
  <c r="C513" i="2"/>
  <c r="N513" i="2"/>
  <c r="AG513" i="2"/>
  <c r="AX513" i="2"/>
  <c r="BB513" i="2"/>
  <c r="BC513" i="2"/>
  <c r="BQ513" i="2"/>
  <c r="BR513" i="2"/>
  <c r="BM410" i="2"/>
  <c r="AY513" i="2" l="1"/>
  <c r="BQ443" i="2"/>
  <c r="BQ444" i="2"/>
  <c r="BC468" i="2"/>
  <c r="BB468" i="2"/>
  <c r="BC467" i="2"/>
  <c r="BB467" i="2"/>
  <c r="BC466" i="2"/>
  <c r="BB466" i="2"/>
  <c r="BC465" i="2"/>
  <c r="BB465" i="2"/>
  <c r="BC474" i="2"/>
  <c r="BB474" i="2"/>
  <c r="BC473" i="2"/>
  <c r="BB473" i="2"/>
  <c r="BC472" i="2"/>
  <c r="BB472" i="2"/>
  <c r="BC471" i="2"/>
  <c r="BB471" i="2"/>
  <c r="C867" i="10"/>
  <c r="AG867" i="10"/>
  <c r="AI867" i="10"/>
  <c r="AJ867" i="10"/>
  <c r="C861" i="10" l="1"/>
  <c r="C862" i="10"/>
  <c r="C863" i="10"/>
  <c r="C864" i="10"/>
  <c r="C865" i="10"/>
  <c r="C866" i="10"/>
  <c r="AG861" i="10"/>
  <c r="AG862" i="10"/>
  <c r="AG863" i="10"/>
  <c r="AG864" i="10"/>
  <c r="AG865" i="10"/>
  <c r="AG866" i="10"/>
  <c r="AI861" i="10"/>
  <c r="AI862" i="10"/>
  <c r="AI863" i="10"/>
  <c r="AI864" i="10"/>
  <c r="AI865" i="10"/>
  <c r="AI866" i="10"/>
  <c r="AJ861" i="10"/>
  <c r="AJ862" i="10"/>
  <c r="AJ863" i="10"/>
  <c r="AJ864" i="10"/>
  <c r="AJ865" i="10"/>
  <c r="AJ866" i="10"/>
  <c r="C853" i="10"/>
  <c r="C854" i="10"/>
  <c r="C855" i="10"/>
  <c r="C856" i="10"/>
  <c r="C857" i="10"/>
  <c r="C858" i="10"/>
  <c r="C859" i="10"/>
  <c r="C860" i="10"/>
  <c r="AG853" i="10"/>
  <c r="AG854" i="10"/>
  <c r="AG855" i="10"/>
  <c r="AG856" i="10"/>
  <c r="AG857" i="10"/>
  <c r="AG858" i="10"/>
  <c r="AG859" i="10"/>
  <c r="AG860" i="10"/>
  <c r="AI853" i="10"/>
  <c r="AI854" i="10"/>
  <c r="AI855" i="10"/>
  <c r="AI856" i="10"/>
  <c r="AI857" i="10"/>
  <c r="AI858" i="10"/>
  <c r="AI859" i="10"/>
  <c r="AI860" i="10"/>
  <c r="AJ853" i="10"/>
  <c r="AJ854" i="10"/>
  <c r="AJ855" i="10"/>
  <c r="AJ856" i="10"/>
  <c r="AJ857" i="10"/>
  <c r="AJ858" i="10"/>
  <c r="AJ859" i="10"/>
  <c r="AJ860" i="10"/>
  <c r="C852" i="10"/>
  <c r="AG852" i="10"/>
  <c r="AI852" i="10"/>
  <c r="AJ852" i="10"/>
  <c r="BM440" i="2"/>
  <c r="AG842" i="10"/>
  <c r="AG841" i="10"/>
  <c r="AG840" i="10"/>
  <c r="AG839" i="10"/>
  <c r="AG838" i="10"/>
  <c r="AG837" i="10"/>
  <c r="N436" i="2"/>
  <c r="M19" i="21" l="1"/>
  <c r="C842" i="10"/>
  <c r="AI842" i="10"/>
  <c r="AJ842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AG829" i="10"/>
  <c r="AG830" i="10"/>
  <c r="AG831" i="10"/>
  <c r="AG832" i="10"/>
  <c r="AG833" i="10"/>
  <c r="AG834" i="10"/>
  <c r="AG835" i="10"/>
  <c r="AG836" i="10"/>
  <c r="AI828" i="10"/>
  <c r="AI829" i="10"/>
  <c r="AI830" i="10"/>
  <c r="AI831" i="10"/>
  <c r="AI832" i="10"/>
  <c r="AI833" i="10"/>
  <c r="AI834" i="10"/>
  <c r="AI835" i="10"/>
  <c r="AI836" i="10"/>
  <c r="AI837" i="10"/>
  <c r="AI838" i="10"/>
  <c r="AI839" i="10"/>
  <c r="AI840" i="10"/>
  <c r="AI841" i="10"/>
  <c r="AJ828" i="10"/>
  <c r="AJ829" i="10"/>
  <c r="AJ830" i="10"/>
  <c r="AJ831" i="10"/>
  <c r="AJ832" i="10"/>
  <c r="AJ833" i="10"/>
  <c r="AJ834" i="10"/>
  <c r="AJ835" i="10"/>
  <c r="AJ836" i="10"/>
  <c r="AJ837" i="10"/>
  <c r="AJ838" i="10"/>
  <c r="AJ839" i="10"/>
  <c r="AJ840" i="10"/>
  <c r="AJ841" i="10"/>
  <c r="C827" i="10"/>
  <c r="AI827" i="10"/>
  <c r="AJ827" i="10"/>
  <c r="BF430" i="2" l="1"/>
  <c r="C851" i="10"/>
  <c r="AG851" i="10"/>
  <c r="AI851" i="10"/>
  <c r="AJ851" i="10"/>
  <c r="C843" i="10"/>
  <c r="C844" i="10"/>
  <c r="C849" i="10"/>
  <c r="C846" i="10"/>
  <c r="C847" i="10"/>
  <c r="C845" i="10"/>
  <c r="C848" i="10"/>
  <c r="AG843" i="10"/>
  <c r="AG844" i="10"/>
  <c r="AG849" i="10"/>
  <c r="AG846" i="10"/>
  <c r="AG847" i="10"/>
  <c r="AG845" i="10"/>
  <c r="AG848" i="10"/>
  <c r="AI843" i="10"/>
  <c r="AI844" i="10"/>
  <c r="AI849" i="10"/>
  <c r="AI846" i="10"/>
  <c r="AI847" i="10"/>
  <c r="AI845" i="10"/>
  <c r="AI848" i="10"/>
  <c r="AJ843" i="10"/>
  <c r="AJ844" i="10"/>
  <c r="AJ849" i="10"/>
  <c r="AJ846" i="10"/>
  <c r="AJ847" i="10"/>
  <c r="AJ845" i="10"/>
  <c r="AJ848" i="10"/>
  <c r="C850" i="10"/>
  <c r="AG850" i="10"/>
  <c r="AI850" i="10"/>
  <c r="AJ850" i="10"/>
  <c r="C819" i="10" l="1"/>
  <c r="C820" i="10"/>
  <c r="AG819" i="10"/>
  <c r="AG820" i="10"/>
  <c r="AI819" i="10"/>
  <c r="AI820" i="10"/>
  <c r="AJ819" i="10"/>
  <c r="AJ820" i="10"/>
  <c r="C821" i="10"/>
  <c r="C822" i="10"/>
  <c r="C824" i="10"/>
  <c r="C825" i="10"/>
  <c r="C826" i="10"/>
  <c r="AG821" i="10"/>
  <c r="AG822" i="10"/>
  <c r="AG824" i="10"/>
  <c r="AG825" i="10"/>
  <c r="AG826" i="10"/>
  <c r="AI821" i="10"/>
  <c r="AI822" i="10"/>
  <c r="AI824" i="10"/>
  <c r="AI825" i="10"/>
  <c r="AI826" i="10"/>
  <c r="AJ821" i="10"/>
  <c r="AJ822" i="10"/>
  <c r="AJ824" i="10"/>
  <c r="AJ825" i="10"/>
  <c r="AJ826" i="10"/>
  <c r="C823" i="10"/>
  <c r="AG823" i="10"/>
  <c r="AI823" i="10"/>
  <c r="AJ823" i="10"/>
  <c r="C815" i="10"/>
  <c r="C816" i="10"/>
  <c r="C810" i="10"/>
  <c r="C805" i="10"/>
  <c r="C811" i="10"/>
  <c r="C812" i="10"/>
  <c r="C817" i="10"/>
  <c r="C818" i="10"/>
  <c r="AG810" i="10"/>
  <c r="AI815" i="10"/>
  <c r="AI816" i="10"/>
  <c r="AI810" i="10"/>
  <c r="AI805" i="10"/>
  <c r="AI811" i="10"/>
  <c r="AI812" i="10"/>
  <c r="AI817" i="10"/>
  <c r="AI818" i="10"/>
  <c r="AJ815" i="10"/>
  <c r="AJ816" i="10"/>
  <c r="AJ810" i="10"/>
  <c r="AJ805" i="10"/>
  <c r="AJ811" i="10"/>
  <c r="AJ812" i="10"/>
  <c r="AJ817" i="10"/>
  <c r="AJ818" i="10"/>
  <c r="C807" i="10"/>
  <c r="C789" i="10"/>
  <c r="C790" i="10"/>
  <c r="C791" i="10"/>
  <c r="C800" i="10"/>
  <c r="C792" i="10"/>
  <c r="C793" i="10"/>
  <c r="C794" i="10"/>
  <c r="C813" i="10"/>
  <c r="C814" i="10"/>
  <c r="C801" i="10"/>
  <c r="C795" i="10"/>
  <c r="C806" i="10"/>
  <c r="C787" i="10"/>
  <c r="C788" i="10"/>
  <c r="C796" i="10"/>
  <c r="C802" i="10"/>
  <c r="C797" i="10"/>
  <c r="C798" i="10"/>
  <c r="C803" i="10"/>
  <c r="C804" i="10"/>
  <c r="C808" i="10"/>
  <c r="C809" i="10"/>
  <c r="AG789" i="10"/>
  <c r="AG790" i="10"/>
  <c r="AG791" i="10"/>
  <c r="AG792" i="10"/>
  <c r="AG793" i="10"/>
  <c r="AG794" i="10"/>
  <c r="AG801" i="10"/>
  <c r="AG795" i="10"/>
  <c r="AG806" i="10"/>
  <c r="AG787" i="10"/>
  <c r="AG788" i="10"/>
  <c r="AG796" i="10"/>
  <c r="AG802" i="10"/>
  <c r="AG798" i="10"/>
  <c r="AG803" i="10"/>
  <c r="AG804" i="10"/>
  <c r="AI807" i="10"/>
  <c r="AI789" i="10"/>
  <c r="AI790" i="10"/>
  <c r="AI791" i="10"/>
  <c r="AI800" i="10"/>
  <c r="AI792" i="10"/>
  <c r="AI793" i="10"/>
  <c r="AI794" i="10"/>
  <c r="AI813" i="10"/>
  <c r="AI814" i="10"/>
  <c r="AI801" i="10"/>
  <c r="AI795" i="10"/>
  <c r="AI806" i="10"/>
  <c r="AI787" i="10"/>
  <c r="AI788" i="10"/>
  <c r="AI796" i="10"/>
  <c r="AI802" i="10"/>
  <c r="AI797" i="10"/>
  <c r="AI798" i="10"/>
  <c r="AI803" i="10"/>
  <c r="AI804" i="10"/>
  <c r="AI808" i="10"/>
  <c r="AI809" i="10"/>
  <c r="AJ807" i="10"/>
  <c r="AJ789" i="10"/>
  <c r="AJ790" i="10"/>
  <c r="AJ791" i="10"/>
  <c r="AJ800" i="10"/>
  <c r="AJ792" i="10"/>
  <c r="AJ793" i="10"/>
  <c r="AJ794" i="10"/>
  <c r="AJ813" i="10"/>
  <c r="AJ814" i="10"/>
  <c r="AJ801" i="10"/>
  <c r="AJ795" i="10"/>
  <c r="AJ806" i="10"/>
  <c r="AJ787" i="10"/>
  <c r="AJ788" i="10"/>
  <c r="AJ796" i="10"/>
  <c r="AJ802" i="10"/>
  <c r="AJ797" i="10"/>
  <c r="AJ798" i="10"/>
  <c r="AJ803" i="10"/>
  <c r="AJ804" i="10"/>
  <c r="AJ808" i="10"/>
  <c r="AJ809" i="10"/>
  <c r="C799" i="10"/>
  <c r="AG799" i="10"/>
  <c r="AI799" i="10"/>
  <c r="AJ799" i="10"/>
  <c r="BM413" i="2"/>
  <c r="BM412" i="2"/>
  <c r="C786" i="10"/>
  <c r="AG786" i="10"/>
  <c r="AI786" i="10"/>
  <c r="AJ786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5" i="10"/>
  <c r="Q776" i="10"/>
  <c r="Q777" i="10"/>
  <c r="Q778" i="10"/>
  <c r="Q779" i="10"/>
  <c r="Q773" i="10"/>
  <c r="Q774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5" i="10"/>
  <c r="R776" i="10"/>
  <c r="R777" i="10"/>
  <c r="R778" i="10"/>
  <c r="R779" i="10"/>
  <c r="R780" i="10"/>
  <c r="R781" i="10"/>
  <c r="R783" i="10"/>
  <c r="R784" i="10"/>
  <c r="R773" i="10"/>
  <c r="R774" i="10"/>
  <c r="R782" i="10"/>
  <c r="BM405" i="2"/>
  <c r="AG766" i="10"/>
  <c r="AG765" i="10"/>
  <c r="C776" i="10"/>
  <c r="AG776" i="10"/>
  <c r="AI776" i="10"/>
  <c r="AJ776" i="10"/>
  <c r="C777" i="10"/>
  <c r="C785" i="10"/>
  <c r="C774" i="10"/>
  <c r="C775" i="10"/>
  <c r="C778" i="10"/>
  <c r="C781" i="10"/>
  <c r="C779" i="10"/>
  <c r="C780" i="10"/>
  <c r="C782" i="10"/>
  <c r="C783" i="10"/>
  <c r="C784" i="10"/>
  <c r="AG777" i="10"/>
  <c r="AG785" i="10"/>
  <c r="AG774" i="10"/>
  <c r="AG775" i="10"/>
  <c r="AG778" i="10"/>
  <c r="AG781" i="10"/>
  <c r="AG779" i="10"/>
  <c r="AG780" i="10"/>
  <c r="AG782" i="10"/>
  <c r="AG783" i="10"/>
  <c r="AG784" i="10"/>
  <c r="AI777" i="10"/>
  <c r="AI785" i="10"/>
  <c r="AI774" i="10"/>
  <c r="AI775" i="10"/>
  <c r="AI778" i="10"/>
  <c r="AI781" i="10"/>
  <c r="AI779" i="10"/>
  <c r="AI780" i="10"/>
  <c r="AI782" i="10"/>
  <c r="AI783" i="10"/>
  <c r="AI784" i="10"/>
  <c r="AJ777" i="10"/>
  <c r="AJ785" i="10"/>
  <c r="AJ774" i="10"/>
  <c r="AJ775" i="10"/>
  <c r="AJ778" i="10"/>
  <c r="AJ781" i="10"/>
  <c r="AJ779" i="10"/>
  <c r="AJ780" i="10"/>
  <c r="AJ782" i="10"/>
  <c r="AJ783" i="10"/>
  <c r="AJ784" i="10"/>
  <c r="C773" i="10"/>
  <c r="AG773" i="10"/>
  <c r="AI773" i="10"/>
  <c r="AJ773" i="10"/>
  <c r="L56" i="17" l="1"/>
  <c r="C755" i="10" l="1"/>
  <c r="C770" i="10"/>
  <c r="C758" i="10"/>
  <c r="C763" i="10"/>
  <c r="C764" i="10"/>
  <c r="C771" i="10"/>
  <c r="C756" i="10"/>
  <c r="C759" i="10"/>
  <c r="C760" i="10"/>
  <c r="C761" i="10"/>
  <c r="C765" i="10"/>
  <c r="C766" i="10"/>
  <c r="C772" i="10"/>
  <c r="C762" i="10"/>
  <c r="C767" i="10"/>
  <c r="C768" i="10"/>
  <c r="C769" i="10"/>
  <c r="C757" i="10"/>
  <c r="AG755" i="10"/>
  <c r="AG770" i="10"/>
  <c r="AG758" i="10"/>
  <c r="AG763" i="10"/>
  <c r="AG771" i="10"/>
  <c r="AG756" i="10"/>
  <c r="AG759" i="10"/>
  <c r="AG772" i="10"/>
  <c r="AG762" i="10"/>
  <c r="AG767" i="10"/>
  <c r="AG768" i="10"/>
  <c r="AG769" i="10"/>
  <c r="AG757" i="10"/>
  <c r="AI755" i="10"/>
  <c r="AI770" i="10"/>
  <c r="AI758" i="10"/>
  <c r="AI763" i="10"/>
  <c r="AI764" i="10"/>
  <c r="AI771" i="10"/>
  <c r="AI756" i="10"/>
  <c r="AI759" i="10"/>
  <c r="AI760" i="10"/>
  <c r="AI761" i="10"/>
  <c r="AI765" i="10"/>
  <c r="AI766" i="10"/>
  <c r="AI772" i="10"/>
  <c r="AI762" i="10"/>
  <c r="AI767" i="10"/>
  <c r="AI768" i="10"/>
  <c r="AI769" i="10"/>
  <c r="AI757" i="10"/>
  <c r="AJ755" i="10"/>
  <c r="AJ770" i="10"/>
  <c r="AJ758" i="10"/>
  <c r="AJ763" i="10"/>
  <c r="AJ764" i="10"/>
  <c r="AJ771" i="10"/>
  <c r="AJ756" i="10"/>
  <c r="AJ759" i="10"/>
  <c r="AJ760" i="10"/>
  <c r="AJ761" i="10"/>
  <c r="AJ765" i="10"/>
  <c r="AJ766" i="10"/>
  <c r="AJ772" i="10"/>
  <c r="AJ762" i="10"/>
  <c r="AJ767" i="10"/>
  <c r="AJ768" i="10"/>
  <c r="AJ769" i="10"/>
  <c r="AJ757" i="10"/>
  <c r="CD8" i="2"/>
  <c r="N379" i="2" l="1"/>
  <c r="C753" i="10" l="1"/>
  <c r="C754" i="10"/>
  <c r="AG753" i="10"/>
  <c r="AG754" i="10"/>
  <c r="AI753" i="10"/>
  <c r="AI754" i="10"/>
  <c r="AJ753" i="10"/>
  <c r="AJ754" i="10"/>
  <c r="BF387" i="2"/>
  <c r="C744" i="10"/>
  <c r="C745" i="10"/>
  <c r="C750" i="10"/>
  <c r="C751" i="10"/>
  <c r="C738" i="10"/>
  <c r="C752" i="10"/>
  <c r="C739" i="10"/>
  <c r="C746" i="10"/>
  <c r="C740" i="10"/>
  <c r="C741" i="10"/>
  <c r="C742" i="10"/>
  <c r="C747" i="10"/>
  <c r="C748" i="10"/>
  <c r="C749" i="10"/>
  <c r="C743" i="10"/>
  <c r="AG744" i="10"/>
  <c r="AG745" i="10"/>
  <c r="AG750" i="10"/>
  <c r="AG751" i="10"/>
  <c r="AG738" i="10"/>
  <c r="AG752" i="10"/>
  <c r="AG739" i="10"/>
  <c r="AG746" i="10"/>
  <c r="AG740" i="10"/>
  <c r="AG741" i="10"/>
  <c r="AG742" i="10"/>
  <c r="AG747" i="10"/>
  <c r="AG748" i="10"/>
  <c r="AG749" i="10"/>
  <c r="AG743" i="10"/>
  <c r="AI744" i="10"/>
  <c r="AI745" i="10"/>
  <c r="AI750" i="10"/>
  <c r="AI751" i="10"/>
  <c r="AI738" i="10"/>
  <c r="AI752" i="10"/>
  <c r="AI739" i="10"/>
  <c r="AI746" i="10"/>
  <c r="AI740" i="10"/>
  <c r="AI741" i="10"/>
  <c r="AI742" i="10"/>
  <c r="AI747" i="10"/>
  <c r="AI748" i="10"/>
  <c r="AI749" i="10"/>
  <c r="AI743" i="10"/>
  <c r="AJ744" i="10"/>
  <c r="AJ745" i="10"/>
  <c r="AJ750" i="10"/>
  <c r="AJ751" i="10"/>
  <c r="AJ738" i="10"/>
  <c r="AJ752" i="10"/>
  <c r="AJ739" i="10"/>
  <c r="AJ746" i="10"/>
  <c r="AJ740" i="10"/>
  <c r="AJ741" i="10"/>
  <c r="AJ742" i="10"/>
  <c r="AJ747" i="10"/>
  <c r="AJ748" i="10"/>
  <c r="AJ749" i="10"/>
  <c r="AJ743" i="10"/>
  <c r="BM340" i="2" l="1"/>
  <c r="BM339" i="2"/>
  <c r="AG3" i="10"/>
  <c r="AG4" i="10"/>
  <c r="AG5" i="10"/>
  <c r="AG6" i="10"/>
  <c r="AG7" i="10"/>
  <c r="AG8" i="10"/>
  <c r="AG9" i="10"/>
  <c r="AG10" i="10"/>
  <c r="AG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28" i="10"/>
  <c r="AG29" i="10"/>
  <c r="AG30" i="10"/>
  <c r="AG31" i="10"/>
  <c r="AG32" i="10"/>
  <c r="AG33" i="10"/>
  <c r="AG34" i="10"/>
  <c r="AG35" i="10"/>
  <c r="AG36" i="10"/>
  <c r="AG37" i="10"/>
  <c r="AG38" i="10"/>
  <c r="AG39" i="10"/>
  <c r="AG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60" i="10"/>
  <c r="AG61" i="10"/>
  <c r="AG62" i="10"/>
  <c r="AG63" i="10"/>
  <c r="AG64" i="10"/>
  <c r="AG65" i="10"/>
  <c r="AG66" i="10"/>
  <c r="AG67" i="10"/>
  <c r="AG68" i="10"/>
  <c r="AG69" i="10"/>
  <c r="AG70" i="10"/>
  <c r="AG71" i="10"/>
  <c r="AG72" i="10"/>
  <c r="AG73" i="10"/>
  <c r="AG74" i="10"/>
  <c r="AG75" i="10"/>
  <c r="AG76" i="10"/>
  <c r="AG77" i="10"/>
  <c r="AG78" i="10"/>
  <c r="AG79" i="10"/>
  <c r="AG80" i="10"/>
  <c r="AG81" i="10"/>
  <c r="AG82" i="10"/>
  <c r="AG83" i="10"/>
  <c r="AG84" i="10"/>
  <c r="AG85" i="10"/>
  <c r="AG86" i="10"/>
  <c r="AG87" i="10"/>
  <c r="AG88" i="10"/>
  <c r="AG89" i="10"/>
  <c r="AG90" i="10"/>
  <c r="AG91" i="10"/>
  <c r="AG92" i="10"/>
  <c r="AG93" i="10"/>
  <c r="AG94" i="10"/>
  <c r="AG95" i="10"/>
  <c r="AG96" i="10"/>
  <c r="AG97" i="10"/>
  <c r="AG98" i="10"/>
  <c r="AG99" i="10"/>
  <c r="AG100" i="10"/>
  <c r="AG101" i="10"/>
  <c r="AG102" i="10"/>
  <c r="AG103" i="10"/>
  <c r="AG104" i="10"/>
  <c r="AG105" i="10"/>
  <c r="AG106" i="10"/>
  <c r="AG107" i="10"/>
  <c r="AG108" i="10"/>
  <c r="AG109" i="10"/>
  <c r="AG110" i="10"/>
  <c r="AG111" i="10"/>
  <c r="AG112" i="10"/>
  <c r="AG113" i="10"/>
  <c r="AG114" i="10"/>
  <c r="AG115" i="10"/>
  <c r="AG116" i="10"/>
  <c r="AG117" i="10"/>
  <c r="AG118" i="10"/>
  <c r="AG119" i="10"/>
  <c r="AG120" i="10"/>
  <c r="AG121" i="10"/>
  <c r="AG122" i="10"/>
  <c r="AG123" i="10"/>
  <c r="AG124" i="10"/>
  <c r="AG125" i="10"/>
  <c r="AG126" i="10"/>
  <c r="AG127" i="10"/>
  <c r="AG128" i="10"/>
  <c r="AG129" i="10"/>
  <c r="AG130" i="10"/>
  <c r="AG131" i="10"/>
  <c r="AG132" i="10"/>
  <c r="AG133" i="10"/>
  <c r="AG134" i="10"/>
  <c r="AG135" i="10"/>
  <c r="AG136" i="10"/>
  <c r="AG137" i="10"/>
  <c r="AG138" i="10"/>
  <c r="AG139" i="10"/>
  <c r="AG140" i="10"/>
  <c r="AG141" i="10"/>
  <c r="AG142" i="10"/>
  <c r="AG143" i="10"/>
  <c r="AG144" i="10"/>
  <c r="AG145" i="10"/>
  <c r="AG146" i="10"/>
  <c r="AG147" i="10"/>
  <c r="AG148" i="10"/>
  <c r="AG149" i="10"/>
  <c r="AG150" i="10"/>
  <c r="AG151" i="10"/>
  <c r="AG152" i="10"/>
  <c r="AG153" i="10"/>
  <c r="AG154" i="10"/>
  <c r="AG155" i="10"/>
  <c r="AG156" i="10"/>
  <c r="AG157" i="10"/>
  <c r="AG158" i="10"/>
  <c r="AG159" i="10"/>
  <c r="AG160" i="10"/>
  <c r="AG161" i="10"/>
  <c r="AG162" i="10"/>
  <c r="AG163" i="10"/>
  <c r="AG164" i="10"/>
  <c r="AG165" i="10"/>
  <c r="AG166" i="10"/>
  <c r="AG167" i="10"/>
  <c r="AG168" i="10"/>
  <c r="AG169" i="10"/>
  <c r="AG170" i="10"/>
  <c r="AG171" i="10"/>
  <c r="AG172" i="10"/>
  <c r="AG173" i="10"/>
  <c r="AG174" i="10"/>
  <c r="AG175" i="10"/>
  <c r="AG176" i="10"/>
  <c r="AG177" i="10"/>
  <c r="AG178" i="10"/>
  <c r="AG179" i="10"/>
  <c r="AG180" i="10"/>
  <c r="AG181" i="10"/>
  <c r="AG182" i="10"/>
  <c r="AG183" i="10"/>
  <c r="AG184" i="10"/>
  <c r="AG185" i="10"/>
  <c r="AG186" i="10"/>
  <c r="AG187" i="10"/>
  <c r="AG188" i="10"/>
  <c r="AG189" i="10"/>
  <c r="AG190" i="10"/>
  <c r="AG191" i="10"/>
  <c r="AG192" i="10"/>
  <c r="AG193" i="10"/>
  <c r="AG194" i="10"/>
  <c r="AG195" i="10"/>
  <c r="AG196" i="10"/>
  <c r="AG197" i="10"/>
  <c r="AG198" i="10"/>
  <c r="AG199" i="10"/>
  <c r="AG200" i="10"/>
  <c r="AG201" i="10"/>
  <c r="AG202" i="10"/>
  <c r="AG203" i="10"/>
  <c r="AG204" i="10"/>
  <c r="AG205" i="10"/>
  <c r="AG206" i="10"/>
  <c r="AG207" i="10"/>
  <c r="AG208" i="10"/>
  <c r="AG209" i="10"/>
  <c r="AG210" i="10"/>
  <c r="AG211" i="10"/>
  <c r="AG212" i="10"/>
  <c r="AG213" i="10"/>
  <c r="AG214" i="10"/>
  <c r="AG215" i="10"/>
  <c r="AG216" i="10"/>
  <c r="AG217" i="10"/>
  <c r="AG218" i="10"/>
  <c r="AG219" i="10"/>
  <c r="AG220" i="10"/>
  <c r="AG221" i="10"/>
  <c r="AG222" i="10"/>
  <c r="AG223" i="10"/>
  <c r="AG224" i="10"/>
  <c r="AG225" i="10"/>
  <c r="AG226" i="10"/>
  <c r="AG227" i="10"/>
  <c r="AG228" i="10"/>
  <c r="AG229" i="10"/>
  <c r="AG230" i="10"/>
  <c r="AG231" i="10"/>
  <c r="AG232" i="10"/>
  <c r="AG233" i="10"/>
  <c r="AG234" i="10"/>
  <c r="AG235" i="10"/>
  <c r="AG236" i="10"/>
  <c r="AG237" i="10"/>
  <c r="AG238" i="10"/>
  <c r="AG239" i="10"/>
  <c r="AG240" i="10"/>
  <c r="AG241" i="10"/>
  <c r="AG242" i="10"/>
  <c r="AG243" i="10"/>
  <c r="AG244" i="10"/>
  <c r="AG245" i="10"/>
  <c r="AG246" i="10"/>
  <c r="AG247" i="10"/>
  <c r="AG248" i="10"/>
  <c r="AG249" i="10"/>
  <c r="AG250" i="10"/>
  <c r="AG251" i="10"/>
  <c r="AG252" i="10"/>
  <c r="AG253" i="10"/>
  <c r="AG254" i="10"/>
  <c r="AG255" i="10"/>
  <c r="AG256" i="10"/>
  <c r="AG257" i="10"/>
  <c r="AG258" i="10"/>
  <c r="AG259" i="10"/>
  <c r="AG260" i="10"/>
  <c r="AG261" i="10"/>
  <c r="AG262" i="10"/>
  <c r="AG263" i="10"/>
  <c r="AG264" i="10"/>
  <c r="AG265" i="10"/>
  <c r="AG266" i="10"/>
  <c r="AG267" i="10"/>
  <c r="AG268" i="10"/>
  <c r="AG269" i="10"/>
  <c r="AG270" i="10"/>
  <c r="AG271" i="10"/>
  <c r="AG272" i="10"/>
  <c r="AG273" i="10"/>
  <c r="AG274" i="10"/>
  <c r="AG275" i="10"/>
  <c r="AG276" i="10"/>
  <c r="AG277" i="10"/>
  <c r="AG278" i="10"/>
  <c r="AG279" i="10"/>
  <c r="AG280" i="10"/>
  <c r="AG281" i="10"/>
  <c r="AG282" i="10"/>
  <c r="AG283" i="10"/>
  <c r="AG284" i="10"/>
  <c r="AG285" i="10"/>
  <c r="AG286" i="10"/>
  <c r="AG287" i="10"/>
  <c r="AG288" i="10"/>
  <c r="AG289" i="10"/>
  <c r="AG290" i="10"/>
  <c r="AG291" i="10"/>
  <c r="AG292" i="10"/>
  <c r="AG293" i="10"/>
  <c r="AG294" i="10"/>
  <c r="AG295" i="10"/>
  <c r="AG296" i="10"/>
  <c r="AG297" i="10"/>
  <c r="AG298" i="10"/>
  <c r="AG299" i="10"/>
  <c r="AG300" i="10"/>
  <c r="AG301" i="10"/>
  <c r="AG302" i="10"/>
  <c r="AG303" i="10"/>
  <c r="AG304" i="10"/>
  <c r="AG305" i="10"/>
  <c r="AG306" i="10"/>
  <c r="AG307" i="10"/>
  <c r="AG308" i="10"/>
  <c r="AG309" i="10"/>
  <c r="AG310" i="10"/>
  <c r="AG311" i="10"/>
  <c r="AG312" i="10"/>
  <c r="AG313" i="10"/>
  <c r="AG314" i="10"/>
  <c r="AG315" i="10"/>
  <c r="AG316" i="10"/>
  <c r="AG317" i="10"/>
  <c r="AG318" i="10"/>
  <c r="AG319" i="10"/>
  <c r="AG320" i="10"/>
  <c r="AG321" i="10"/>
  <c r="AG322" i="10"/>
  <c r="AG323" i="10"/>
  <c r="AG324" i="10"/>
  <c r="AG325" i="10"/>
  <c r="AG326" i="10"/>
  <c r="AG327" i="10"/>
  <c r="AG328" i="10"/>
  <c r="AG329" i="10"/>
  <c r="AG330" i="10"/>
  <c r="AG331" i="10"/>
  <c r="AG332" i="10"/>
  <c r="AG333" i="10"/>
  <c r="AG334" i="10"/>
  <c r="AG335" i="10"/>
  <c r="AG336" i="10"/>
  <c r="AG337" i="10"/>
  <c r="AG338" i="10"/>
  <c r="AG339" i="10"/>
  <c r="AG340" i="10"/>
  <c r="AG341" i="10"/>
  <c r="AG342" i="10"/>
  <c r="AG343" i="10"/>
  <c r="AG344" i="10"/>
  <c r="AG345" i="10"/>
  <c r="AG346" i="10"/>
  <c r="AG347" i="10"/>
  <c r="AG348" i="10"/>
  <c r="AG349" i="10"/>
  <c r="AG350" i="10"/>
  <c r="AG351" i="10"/>
  <c r="AG352" i="10"/>
  <c r="AG353" i="10"/>
  <c r="AG354" i="10"/>
  <c r="AG355" i="10"/>
  <c r="AG356" i="10"/>
  <c r="AG357" i="10"/>
  <c r="AG358" i="10"/>
  <c r="AG359" i="10"/>
  <c r="AG360" i="10"/>
  <c r="AG361" i="10"/>
  <c r="AG362" i="10"/>
  <c r="AG363" i="10"/>
  <c r="AG364" i="10"/>
  <c r="AG365" i="10"/>
  <c r="AG366" i="10"/>
  <c r="AG367" i="10"/>
  <c r="AG368" i="10"/>
  <c r="AG369" i="10"/>
  <c r="AG370" i="10"/>
  <c r="AG371" i="10"/>
  <c r="AG372" i="10"/>
  <c r="AG373" i="10"/>
  <c r="AG374" i="10"/>
  <c r="AG375" i="10"/>
  <c r="AG376" i="10"/>
  <c r="AG377" i="10"/>
  <c r="AG378" i="10"/>
  <c r="AG379" i="10"/>
  <c r="AG380" i="10"/>
  <c r="AG381" i="10"/>
  <c r="AG382" i="10"/>
  <c r="AG383" i="10"/>
  <c r="AG384" i="10"/>
  <c r="AG385" i="10"/>
  <c r="AG386" i="10"/>
  <c r="AG387" i="10"/>
  <c r="AG388" i="10"/>
  <c r="AG389" i="10"/>
  <c r="AG390" i="10"/>
  <c r="AG391" i="10"/>
  <c r="AG392" i="10"/>
  <c r="AG393" i="10"/>
  <c r="AG394" i="10"/>
  <c r="AG395" i="10"/>
  <c r="AG396" i="10"/>
  <c r="AG397" i="10"/>
  <c r="AG398" i="10"/>
  <c r="AG399" i="10"/>
  <c r="AG400" i="10"/>
  <c r="AG401" i="10"/>
  <c r="AG402" i="10"/>
  <c r="AG403" i="10"/>
  <c r="AG404" i="10"/>
  <c r="AG405" i="10"/>
  <c r="AG406" i="10"/>
  <c r="AG407" i="10"/>
  <c r="AG408" i="10"/>
  <c r="AG409" i="10"/>
  <c r="AG410" i="10"/>
  <c r="AG411" i="10"/>
  <c r="AG412" i="10"/>
  <c r="AG413" i="10"/>
  <c r="AG414" i="10"/>
  <c r="AG415" i="10"/>
  <c r="AG416" i="10"/>
  <c r="AG417" i="10"/>
  <c r="AG418" i="10"/>
  <c r="AG419" i="10"/>
  <c r="AG420" i="10"/>
  <c r="AG421" i="10"/>
  <c r="AG422" i="10"/>
  <c r="AG423" i="10"/>
  <c r="AG424" i="10"/>
  <c r="AG425" i="10"/>
  <c r="AG426" i="10"/>
  <c r="AG427" i="10"/>
  <c r="AG428" i="10"/>
  <c r="AG429" i="10"/>
  <c r="AG430" i="10"/>
  <c r="AG431" i="10"/>
  <c r="AG432" i="10"/>
  <c r="AG433" i="10"/>
  <c r="AG434" i="10"/>
  <c r="AG435" i="10"/>
  <c r="AG436" i="10"/>
  <c r="AG437" i="10"/>
  <c r="AG438" i="10"/>
  <c r="AG439" i="10"/>
  <c r="AG440" i="10"/>
  <c r="AG441" i="10"/>
  <c r="AG442" i="10"/>
  <c r="AG443" i="10"/>
  <c r="AG444" i="10"/>
  <c r="AG445" i="10"/>
  <c r="AG446" i="10"/>
  <c r="AG447" i="10"/>
  <c r="AG448" i="10"/>
  <c r="AG449" i="10"/>
  <c r="AG450" i="10"/>
  <c r="AG451" i="10"/>
  <c r="AG452" i="10"/>
  <c r="AG453" i="10"/>
  <c r="AG454" i="10"/>
  <c r="AG455" i="10"/>
  <c r="AG456" i="10"/>
  <c r="AG457" i="10"/>
  <c r="AG458" i="10"/>
  <c r="AG459" i="10"/>
  <c r="AG460" i="10"/>
  <c r="AG461" i="10"/>
  <c r="AG462" i="10"/>
  <c r="AG463" i="10"/>
  <c r="AG464" i="10"/>
  <c r="AG465" i="10"/>
  <c r="AG466" i="10"/>
  <c r="AG467" i="10"/>
  <c r="AG468" i="10"/>
  <c r="AG469" i="10"/>
  <c r="AG470" i="10"/>
  <c r="AG471" i="10"/>
  <c r="AG472" i="10"/>
  <c r="AG473" i="10"/>
  <c r="AG474" i="10"/>
  <c r="AG475" i="10"/>
  <c r="AG476" i="10"/>
  <c r="AG477" i="10"/>
  <c r="AG478" i="10"/>
  <c r="AG479" i="10"/>
  <c r="AG480" i="10"/>
  <c r="AG481" i="10"/>
  <c r="AG482" i="10"/>
  <c r="AG483" i="10"/>
  <c r="AG484" i="10"/>
  <c r="AG485" i="10"/>
  <c r="AG486" i="10"/>
  <c r="AG487" i="10"/>
  <c r="AG488" i="10"/>
  <c r="AG489" i="10"/>
  <c r="AG490" i="10"/>
  <c r="AG491" i="10"/>
  <c r="AG492" i="10"/>
  <c r="AG493" i="10"/>
  <c r="AG494" i="10"/>
  <c r="AG495" i="10"/>
  <c r="AG496" i="10"/>
  <c r="AG497" i="10"/>
  <c r="AG498" i="10"/>
  <c r="AG499" i="10"/>
  <c r="AG500" i="10"/>
  <c r="AG501" i="10"/>
  <c r="AG502" i="10"/>
  <c r="AG503" i="10"/>
  <c r="AG504" i="10"/>
  <c r="AG505" i="10"/>
  <c r="AG506" i="10"/>
  <c r="AG507" i="10"/>
  <c r="AG508" i="10"/>
  <c r="AG509" i="10"/>
  <c r="AG510" i="10"/>
  <c r="AG511" i="10"/>
  <c r="AG512" i="10"/>
  <c r="AG513" i="10"/>
  <c r="AG514" i="10"/>
  <c r="AG515" i="10"/>
  <c r="AG516" i="10"/>
  <c r="AG517" i="10"/>
  <c r="AG518" i="10"/>
  <c r="AG519" i="10"/>
  <c r="AG520" i="10"/>
  <c r="AG521" i="10"/>
  <c r="AG522" i="10"/>
  <c r="AG523" i="10"/>
  <c r="AG524" i="10"/>
  <c r="AG525" i="10"/>
  <c r="AG526" i="10"/>
  <c r="AG527" i="10"/>
  <c r="AG528" i="10"/>
  <c r="AG529" i="10"/>
  <c r="AG530" i="10"/>
  <c r="AG531" i="10"/>
  <c r="AG532" i="10"/>
  <c r="AG533" i="10"/>
  <c r="AG534" i="10"/>
  <c r="AG535" i="10"/>
  <c r="AG536" i="10"/>
  <c r="AG537" i="10"/>
  <c r="AG538" i="10"/>
  <c r="AG539" i="10"/>
  <c r="AG540" i="10"/>
  <c r="AG541" i="10"/>
  <c r="AG542" i="10"/>
  <c r="AG543" i="10"/>
  <c r="AG544" i="10"/>
  <c r="AG545" i="10"/>
  <c r="AG546" i="10"/>
  <c r="AG547" i="10"/>
  <c r="AG548" i="10"/>
  <c r="AG549" i="10"/>
  <c r="AG550" i="10"/>
  <c r="AG551" i="10"/>
  <c r="AG552" i="10"/>
  <c r="AG553" i="10"/>
  <c r="AG554" i="10"/>
  <c r="AG555" i="10"/>
  <c r="AG556" i="10"/>
  <c r="AG557" i="10"/>
  <c r="AG558" i="10"/>
  <c r="AG559" i="10"/>
  <c r="AG560" i="10"/>
  <c r="AG561" i="10"/>
  <c r="AG562" i="10"/>
  <c r="AG563" i="10"/>
  <c r="AG564" i="10"/>
  <c r="AG565" i="10"/>
  <c r="AG566" i="10"/>
  <c r="AG567" i="10"/>
  <c r="AG568" i="10"/>
  <c r="AG569" i="10"/>
  <c r="AG570" i="10"/>
  <c r="AG571" i="10"/>
  <c r="AG572" i="10"/>
  <c r="AG573" i="10"/>
  <c r="AG574" i="10"/>
  <c r="AG575" i="10"/>
  <c r="AG576" i="10"/>
  <c r="AG577" i="10"/>
  <c r="AG578" i="10"/>
  <c r="AG579" i="10"/>
  <c r="AG580" i="10"/>
  <c r="AG581" i="10"/>
  <c r="AG582" i="10"/>
  <c r="AG583" i="10"/>
  <c r="AG584" i="10"/>
  <c r="AG585" i="10"/>
  <c r="AG586" i="10"/>
  <c r="AG587" i="10"/>
  <c r="AG588" i="10"/>
  <c r="AG589" i="10"/>
  <c r="AG590" i="10"/>
  <c r="AG591" i="10"/>
  <c r="AG592" i="10"/>
  <c r="AG593" i="10"/>
  <c r="AG594" i="10"/>
  <c r="AG595" i="10"/>
  <c r="AG596" i="10"/>
  <c r="AG597" i="10"/>
  <c r="AG598" i="10"/>
  <c r="AG599" i="10"/>
  <c r="AG600" i="10"/>
  <c r="AG601" i="10"/>
  <c r="AG602" i="10"/>
  <c r="AG603" i="10"/>
  <c r="AG604" i="10"/>
  <c r="AG605" i="10"/>
  <c r="AG606" i="10"/>
  <c r="AG607" i="10"/>
  <c r="AG608" i="10"/>
  <c r="AG609" i="10"/>
  <c r="AG610" i="10"/>
  <c r="AG611" i="10"/>
  <c r="AG612" i="10"/>
  <c r="AG613" i="10"/>
  <c r="AG614" i="10"/>
  <c r="AG615" i="10"/>
  <c r="AG616" i="10"/>
  <c r="AG617" i="10"/>
  <c r="AG618" i="10"/>
  <c r="AG619" i="10"/>
  <c r="AG620" i="10"/>
  <c r="AG621" i="10"/>
  <c r="AG622" i="10"/>
  <c r="AG623" i="10"/>
  <c r="AG624" i="10"/>
  <c r="AG625" i="10"/>
  <c r="AG626" i="10"/>
  <c r="AG627" i="10"/>
  <c r="AG628" i="10"/>
  <c r="AG629" i="10"/>
  <c r="AG630" i="10"/>
  <c r="AG631" i="10"/>
  <c r="AG632" i="10"/>
  <c r="AG633" i="10"/>
  <c r="AG634" i="10"/>
  <c r="AG635" i="10"/>
  <c r="AG636" i="10"/>
  <c r="AG637" i="10"/>
  <c r="AG638" i="10"/>
  <c r="AG639" i="10"/>
  <c r="AG640" i="10"/>
  <c r="AG641" i="10"/>
  <c r="AG642" i="10"/>
  <c r="AG643" i="10"/>
  <c r="AG644" i="10"/>
  <c r="AG645" i="10"/>
  <c r="AG646" i="10"/>
  <c r="AG647" i="10"/>
  <c r="AG648" i="10"/>
  <c r="AG649" i="10"/>
  <c r="AG650" i="10"/>
  <c r="AG651" i="10"/>
  <c r="AG652" i="10"/>
  <c r="AG653" i="10"/>
  <c r="AG654" i="10"/>
  <c r="AG655" i="10"/>
  <c r="AG656" i="10"/>
  <c r="AG657" i="10"/>
  <c r="AG658" i="10"/>
  <c r="AG659" i="10"/>
  <c r="AG660" i="10"/>
  <c r="AG661" i="10"/>
  <c r="AG662" i="10"/>
  <c r="AG663" i="10"/>
  <c r="AG664" i="10"/>
  <c r="AG665" i="10"/>
  <c r="AG666" i="10"/>
  <c r="AG667" i="10"/>
  <c r="AG668" i="10"/>
  <c r="AG669" i="10"/>
  <c r="AG670" i="10"/>
  <c r="AG671" i="10"/>
  <c r="AG672" i="10"/>
  <c r="AG673" i="10"/>
  <c r="AG674" i="10"/>
  <c r="AG675" i="10"/>
  <c r="AG676" i="10"/>
  <c r="AG677" i="10"/>
  <c r="AG678" i="10"/>
  <c r="AG679" i="10"/>
  <c r="AG680" i="10"/>
  <c r="AG681" i="10"/>
  <c r="AG682" i="10"/>
  <c r="AG683" i="10"/>
  <c r="AG684" i="10"/>
  <c r="AG685" i="10"/>
  <c r="AG686" i="10"/>
  <c r="AG687" i="10"/>
  <c r="AG688" i="10"/>
  <c r="AG689" i="10"/>
  <c r="AG690" i="10"/>
  <c r="AG691" i="10"/>
  <c r="AG692" i="10"/>
  <c r="AG693" i="10"/>
  <c r="AG694" i="10"/>
  <c r="AG695" i="10"/>
  <c r="AG696" i="10"/>
  <c r="AG697" i="10"/>
  <c r="AG698" i="10"/>
  <c r="AG699" i="10"/>
  <c r="AG700" i="10"/>
  <c r="AG701" i="10"/>
  <c r="AG702" i="10"/>
  <c r="AG703" i="10"/>
  <c r="AG704" i="10"/>
  <c r="AG705" i="10"/>
  <c r="AG706" i="10"/>
  <c r="AG707" i="10"/>
  <c r="AG711" i="10"/>
  <c r="AG708" i="10"/>
  <c r="AG709" i="10"/>
  <c r="AG715" i="10"/>
  <c r="AG712" i="10"/>
  <c r="AG713" i="10"/>
  <c r="AG716" i="10"/>
  <c r="AG717" i="10"/>
  <c r="AG714" i="10"/>
  <c r="AG718" i="10"/>
  <c r="AG710" i="10"/>
  <c r="AG719" i="10"/>
  <c r="AG720" i="10"/>
  <c r="AG721" i="10"/>
  <c r="AG722" i="10"/>
  <c r="AG723" i="10"/>
  <c r="AG724" i="10"/>
  <c r="AG725" i="10"/>
  <c r="AG726" i="10"/>
  <c r="AG727" i="10"/>
  <c r="AG728" i="10"/>
  <c r="AG729" i="10"/>
  <c r="AG730" i="10"/>
  <c r="AG731" i="10"/>
  <c r="AG732" i="10"/>
  <c r="AG733" i="10"/>
  <c r="AG734" i="10"/>
  <c r="AG735" i="10"/>
  <c r="AG736" i="10"/>
  <c r="AG737" i="10"/>
  <c r="BM365" i="2" l="1"/>
  <c r="BM364" i="2"/>
  <c r="BM363" i="2"/>
  <c r="BM362" i="2"/>
  <c r="BM360" i="2"/>
  <c r="C730" i="10" l="1"/>
  <c r="C731" i="10"/>
  <c r="C724" i="10"/>
  <c r="C719" i="10"/>
  <c r="C729" i="10"/>
  <c r="C732" i="10"/>
  <c r="C733" i="10"/>
  <c r="C734" i="10"/>
  <c r="C720" i="10"/>
  <c r="C721" i="10"/>
  <c r="C722" i="10"/>
  <c r="C723" i="10"/>
  <c r="C725" i="10"/>
  <c r="C726" i="10"/>
  <c r="C727" i="10"/>
  <c r="C728" i="10"/>
  <c r="C735" i="10"/>
  <c r="C736" i="10"/>
  <c r="C737" i="10"/>
  <c r="AI730" i="10"/>
  <c r="AI731" i="10"/>
  <c r="AI724" i="10"/>
  <c r="AI719" i="10"/>
  <c r="AI729" i="10"/>
  <c r="AI732" i="10"/>
  <c r="AI733" i="10"/>
  <c r="AI734" i="10"/>
  <c r="AI720" i="10"/>
  <c r="AI721" i="10"/>
  <c r="AI722" i="10"/>
  <c r="AI723" i="10"/>
  <c r="AI725" i="10"/>
  <c r="AI726" i="10"/>
  <c r="AI727" i="10"/>
  <c r="AI728" i="10"/>
  <c r="AI735" i="10"/>
  <c r="AI736" i="10"/>
  <c r="AI737" i="10"/>
  <c r="AJ730" i="10"/>
  <c r="AJ731" i="10"/>
  <c r="AJ724" i="10"/>
  <c r="AJ719" i="10"/>
  <c r="AJ729" i="10"/>
  <c r="AJ732" i="10"/>
  <c r="AJ733" i="10"/>
  <c r="AJ734" i="10"/>
  <c r="AJ720" i="10"/>
  <c r="AJ721" i="10"/>
  <c r="AJ722" i="10"/>
  <c r="AJ723" i="10"/>
  <c r="AJ725" i="10"/>
  <c r="AJ726" i="10"/>
  <c r="AJ727" i="10"/>
  <c r="AJ728" i="10"/>
  <c r="AJ735" i="10"/>
  <c r="AJ736" i="10"/>
  <c r="AJ737" i="10"/>
  <c r="C714" i="10"/>
  <c r="C718" i="10"/>
  <c r="C710" i="10"/>
  <c r="AI714" i="10"/>
  <c r="AI718" i="10"/>
  <c r="AI710" i="10"/>
  <c r="AJ714" i="10"/>
  <c r="AJ718" i="10"/>
  <c r="AJ710" i="10"/>
  <c r="C715" i="10"/>
  <c r="C708" i="10"/>
  <c r="C709" i="10"/>
  <c r="C712" i="10"/>
  <c r="C711" i="10"/>
  <c r="C713" i="10"/>
  <c r="C716" i="10"/>
  <c r="C717" i="10"/>
  <c r="AI715" i="10"/>
  <c r="AI708" i="10"/>
  <c r="AI709" i="10"/>
  <c r="AI712" i="10"/>
  <c r="AI711" i="10"/>
  <c r="AI713" i="10"/>
  <c r="AI716" i="10"/>
  <c r="AI717" i="10"/>
  <c r="AJ715" i="10"/>
  <c r="AJ708" i="10"/>
  <c r="AJ709" i="10"/>
  <c r="AJ712" i="10"/>
  <c r="AJ711" i="10"/>
  <c r="AJ713" i="10"/>
  <c r="AJ716" i="10"/>
  <c r="AJ717" i="10"/>
  <c r="BI346" i="2" l="1"/>
  <c r="BI345" i="2"/>
  <c r="BH346" i="2" l="1"/>
  <c r="BH345" i="2"/>
  <c r="C688" i="10"/>
  <c r="C705" i="10"/>
  <c r="C691" i="10"/>
  <c r="C692" i="10"/>
  <c r="C693" i="10"/>
  <c r="C694" i="10"/>
  <c r="C695" i="10"/>
  <c r="C699" i="10"/>
  <c r="C700" i="10"/>
  <c r="C689" i="10"/>
  <c r="C696" i="10"/>
  <c r="C690" i="10"/>
  <c r="C701" i="10"/>
  <c r="C702" i="10"/>
  <c r="C706" i="10"/>
  <c r="C707" i="10"/>
  <c r="C697" i="10"/>
  <c r="C698" i="10"/>
  <c r="C703" i="10"/>
  <c r="C704" i="10"/>
  <c r="AI688" i="10"/>
  <c r="AI705" i="10"/>
  <c r="AI691" i="10"/>
  <c r="AI692" i="10"/>
  <c r="AI693" i="10"/>
  <c r="AI694" i="10"/>
  <c r="AI695" i="10"/>
  <c r="AI699" i="10"/>
  <c r="AI700" i="10"/>
  <c r="AI689" i="10"/>
  <c r="AI696" i="10"/>
  <c r="AI690" i="10"/>
  <c r="AI701" i="10"/>
  <c r="AI702" i="10"/>
  <c r="AI706" i="10"/>
  <c r="AI707" i="10"/>
  <c r="AI697" i="10"/>
  <c r="AI698" i="10"/>
  <c r="AI703" i="10"/>
  <c r="AI704" i="10"/>
  <c r="AJ688" i="10"/>
  <c r="AJ705" i="10"/>
  <c r="AJ691" i="10"/>
  <c r="AJ692" i="10"/>
  <c r="AJ693" i="10"/>
  <c r="AJ694" i="10"/>
  <c r="AJ695" i="10"/>
  <c r="AJ699" i="10"/>
  <c r="AJ700" i="10"/>
  <c r="AJ689" i="10"/>
  <c r="AJ696" i="10"/>
  <c r="AJ690" i="10"/>
  <c r="AJ701" i="10"/>
  <c r="AJ702" i="10"/>
  <c r="AJ706" i="10"/>
  <c r="AJ707" i="10"/>
  <c r="AJ697" i="10"/>
  <c r="AJ698" i="10"/>
  <c r="AJ703" i="10"/>
  <c r="AJ704" i="10"/>
  <c r="F32" i="23"/>
  <c r="F26" i="23"/>
  <c r="F20" i="23"/>
  <c r="F14" i="23"/>
  <c r="BF350" i="2" l="1"/>
  <c r="BP1580" i="24" l="1"/>
  <c r="BO1580" i="24"/>
  <c r="BA1580" i="24"/>
  <c r="AZ1580" i="24"/>
  <c r="AV1580" i="24"/>
  <c r="AG1580" i="24"/>
  <c r="U1580" i="24"/>
  <c r="T1580" i="24"/>
  <c r="N1580" i="24"/>
  <c r="C1580" i="24"/>
  <c r="A1580" i="24"/>
  <c r="BP1579" i="24"/>
  <c r="BO1579" i="24"/>
  <c r="BA1579" i="24"/>
  <c r="AZ1579" i="24"/>
  <c r="AV1579" i="24"/>
  <c r="AG1579" i="24"/>
  <c r="U1579" i="24"/>
  <c r="T1579" i="24"/>
  <c r="N1579" i="24"/>
  <c r="C1579" i="24"/>
  <c r="A1579" i="24"/>
  <c r="BP1578" i="24"/>
  <c r="BO1578" i="24"/>
  <c r="BA1578" i="24"/>
  <c r="AZ1578" i="24"/>
  <c r="AV1578" i="24"/>
  <c r="AG1578" i="24"/>
  <c r="U1578" i="24"/>
  <c r="T1578" i="24"/>
  <c r="N1578" i="24"/>
  <c r="C1578" i="24"/>
  <c r="A1578" i="24"/>
  <c r="BP1577" i="24"/>
  <c r="BO1577" i="24"/>
  <c r="BA1577" i="24"/>
  <c r="AZ1577" i="24"/>
  <c r="AV1577" i="24"/>
  <c r="AG1577" i="24"/>
  <c r="U1577" i="24"/>
  <c r="T1577" i="24"/>
  <c r="N1577" i="24"/>
  <c r="C1577" i="24"/>
  <c r="A1577" i="24"/>
  <c r="BP1576" i="24"/>
  <c r="BO1576" i="24"/>
  <c r="BA1576" i="24"/>
  <c r="AZ1576" i="24"/>
  <c r="AV1576" i="24"/>
  <c r="AG1576" i="24"/>
  <c r="U1576" i="24"/>
  <c r="T1576" i="24"/>
  <c r="N1576" i="24"/>
  <c r="C1576" i="24"/>
  <c r="A1576" i="24"/>
  <c r="BP1575" i="24"/>
  <c r="BO1575" i="24"/>
  <c r="BA1575" i="24"/>
  <c r="AZ1575" i="24"/>
  <c r="AV1575" i="24"/>
  <c r="AG1575" i="24"/>
  <c r="U1575" i="24"/>
  <c r="T1575" i="24"/>
  <c r="N1575" i="24"/>
  <c r="C1575" i="24"/>
  <c r="A1575" i="24"/>
  <c r="BP1574" i="24"/>
  <c r="BO1574" i="24"/>
  <c r="BA1574" i="24"/>
  <c r="AZ1574" i="24"/>
  <c r="AV1574" i="24"/>
  <c r="AG1574" i="24"/>
  <c r="U1574" i="24"/>
  <c r="T1574" i="24"/>
  <c r="N1574" i="24"/>
  <c r="C1574" i="24"/>
  <c r="A1574" i="24"/>
  <c r="BP1573" i="24"/>
  <c r="BO1573" i="24"/>
  <c r="BA1573" i="24"/>
  <c r="AZ1573" i="24"/>
  <c r="AV1573" i="24"/>
  <c r="AG1573" i="24"/>
  <c r="U1573" i="24"/>
  <c r="T1573" i="24"/>
  <c r="N1573" i="24"/>
  <c r="C1573" i="24"/>
  <c r="A1573" i="24"/>
  <c r="BP1572" i="24"/>
  <c r="BO1572" i="24"/>
  <c r="BA1572" i="24"/>
  <c r="AZ1572" i="24"/>
  <c r="AV1572" i="24"/>
  <c r="AG1572" i="24"/>
  <c r="U1572" i="24"/>
  <c r="T1572" i="24"/>
  <c r="N1572" i="24"/>
  <c r="C1572" i="24"/>
  <c r="A1572" i="24"/>
  <c r="BP1571" i="24"/>
  <c r="BO1571" i="24"/>
  <c r="BA1571" i="24"/>
  <c r="AZ1571" i="24"/>
  <c r="AV1571" i="24"/>
  <c r="AG1571" i="24"/>
  <c r="U1571" i="24"/>
  <c r="T1571" i="24"/>
  <c r="N1571" i="24"/>
  <c r="C1571" i="24"/>
  <c r="A1571" i="24"/>
  <c r="BP1570" i="24"/>
  <c r="BO1570" i="24"/>
  <c r="BA1570" i="24"/>
  <c r="AZ1570" i="24"/>
  <c r="AV1570" i="24"/>
  <c r="AG1570" i="24"/>
  <c r="U1570" i="24"/>
  <c r="T1570" i="24"/>
  <c r="N1570" i="24"/>
  <c r="C1570" i="24"/>
  <c r="A1570" i="24"/>
  <c r="BP1569" i="24"/>
  <c r="BO1569" i="24"/>
  <c r="BA1569" i="24"/>
  <c r="AZ1569" i="24"/>
  <c r="AV1569" i="24"/>
  <c r="AG1569" i="24"/>
  <c r="U1569" i="24"/>
  <c r="T1569" i="24"/>
  <c r="N1569" i="24"/>
  <c r="C1569" i="24"/>
  <c r="A1569" i="24"/>
  <c r="BP1568" i="24"/>
  <c r="BO1568" i="24"/>
  <c r="BA1568" i="24"/>
  <c r="AZ1568" i="24"/>
  <c r="AV1568" i="24"/>
  <c r="AG1568" i="24"/>
  <c r="U1568" i="24"/>
  <c r="T1568" i="24"/>
  <c r="N1568" i="24"/>
  <c r="C1568" i="24"/>
  <c r="A1568" i="24"/>
  <c r="BP1567" i="24"/>
  <c r="BO1567" i="24"/>
  <c r="BA1567" i="24"/>
  <c r="AZ1567" i="24"/>
  <c r="AV1567" i="24"/>
  <c r="AG1567" i="24"/>
  <c r="U1567" i="24"/>
  <c r="T1567" i="24"/>
  <c r="N1567" i="24"/>
  <c r="C1567" i="24"/>
  <c r="A1567" i="24"/>
  <c r="BP1566" i="24"/>
  <c r="BO1566" i="24"/>
  <c r="BA1566" i="24"/>
  <c r="AZ1566" i="24"/>
  <c r="AV1566" i="24"/>
  <c r="AG1566" i="24"/>
  <c r="U1566" i="24"/>
  <c r="T1566" i="24"/>
  <c r="N1566" i="24"/>
  <c r="C1566" i="24"/>
  <c r="A1566" i="24"/>
  <c r="BP1565" i="24"/>
  <c r="BO1565" i="24"/>
  <c r="BA1565" i="24"/>
  <c r="AZ1565" i="24"/>
  <c r="AV1565" i="24"/>
  <c r="AG1565" i="24"/>
  <c r="U1565" i="24"/>
  <c r="T1565" i="24"/>
  <c r="N1565" i="24"/>
  <c r="C1565" i="24"/>
  <c r="A1565" i="24"/>
  <c r="BP1564" i="24"/>
  <c r="BO1564" i="24"/>
  <c r="BA1564" i="24"/>
  <c r="AZ1564" i="24"/>
  <c r="AV1564" i="24"/>
  <c r="AG1564" i="24"/>
  <c r="U1564" i="24"/>
  <c r="T1564" i="24"/>
  <c r="N1564" i="24"/>
  <c r="C1564" i="24"/>
  <c r="A1564" i="24"/>
  <c r="BP1563" i="24"/>
  <c r="BO1563" i="24"/>
  <c r="BA1563" i="24"/>
  <c r="AZ1563" i="24"/>
  <c r="AV1563" i="24"/>
  <c r="AG1563" i="24"/>
  <c r="U1563" i="24"/>
  <c r="T1563" i="24"/>
  <c r="N1563" i="24"/>
  <c r="C1563" i="24"/>
  <c r="A1563" i="24"/>
  <c r="BP1562" i="24"/>
  <c r="BO1562" i="24"/>
  <c r="BA1562" i="24"/>
  <c r="AZ1562" i="24"/>
  <c r="AV1562" i="24"/>
  <c r="AG1562" i="24"/>
  <c r="U1562" i="24"/>
  <c r="T1562" i="24"/>
  <c r="N1562" i="24"/>
  <c r="C1562" i="24"/>
  <c r="A1562" i="24"/>
  <c r="BP1561" i="24"/>
  <c r="BO1561" i="24"/>
  <c r="BA1561" i="24"/>
  <c r="AZ1561" i="24"/>
  <c r="AV1561" i="24"/>
  <c r="AG1561" i="24"/>
  <c r="U1561" i="24"/>
  <c r="T1561" i="24"/>
  <c r="N1561" i="24"/>
  <c r="C1561" i="24"/>
  <c r="A1561" i="24"/>
  <c r="BP1560" i="24"/>
  <c r="BO1560" i="24"/>
  <c r="BA1560" i="24"/>
  <c r="AZ1560" i="24"/>
  <c r="AW1560" i="24" s="1"/>
  <c r="AV1560" i="24"/>
  <c r="AG1560" i="24"/>
  <c r="U1560" i="24"/>
  <c r="T1560" i="24"/>
  <c r="N1560" i="24"/>
  <c r="C1560" i="24"/>
  <c r="A1560" i="24"/>
  <c r="BP1559" i="24"/>
  <c r="BO1559" i="24"/>
  <c r="BA1559" i="24"/>
  <c r="AZ1559" i="24"/>
  <c r="AV1559" i="24"/>
  <c r="AG1559" i="24"/>
  <c r="U1559" i="24"/>
  <c r="T1559" i="24"/>
  <c r="N1559" i="24"/>
  <c r="C1559" i="24"/>
  <c r="A1559" i="24"/>
  <c r="BP1558" i="24"/>
  <c r="BO1558" i="24"/>
  <c r="BA1558" i="24"/>
  <c r="AZ1558" i="24"/>
  <c r="AV1558" i="24"/>
  <c r="AG1558" i="24"/>
  <c r="U1558" i="24"/>
  <c r="T1558" i="24"/>
  <c r="N1558" i="24"/>
  <c r="C1558" i="24"/>
  <c r="A1558" i="24"/>
  <c r="BP1557" i="24"/>
  <c r="BO1557" i="24"/>
  <c r="BA1557" i="24"/>
  <c r="AZ1557" i="24"/>
  <c r="AV1557" i="24"/>
  <c r="AG1557" i="24"/>
  <c r="U1557" i="24"/>
  <c r="T1557" i="24"/>
  <c r="N1557" i="24"/>
  <c r="C1557" i="24"/>
  <c r="A1557" i="24"/>
  <c r="BP1556" i="24"/>
  <c r="BO1556" i="24"/>
  <c r="BA1556" i="24"/>
  <c r="AZ1556" i="24"/>
  <c r="AW1556" i="24" s="1"/>
  <c r="AV1556" i="24"/>
  <c r="AG1556" i="24"/>
  <c r="U1556" i="24"/>
  <c r="T1556" i="24"/>
  <c r="N1556" i="24"/>
  <c r="C1556" i="24"/>
  <c r="A1556" i="24"/>
  <c r="BP1555" i="24"/>
  <c r="BO1555" i="24"/>
  <c r="BA1555" i="24"/>
  <c r="AZ1555" i="24"/>
  <c r="AV1555" i="24"/>
  <c r="AG1555" i="24"/>
  <c r="U1555" i="24"/>
  <c r="T1555" i="24"/>
  <c r="N1555" i="24"/>
  <c r="C1555" i="24"/>
  <c r="A1555" i="24"/>
  <c r="BP1554" i="24"/>
  <c r="BO1554" i="24"/>
  <c r="BA1554" i="24"/>
  <c r="AZ1554" i="24"/>
  <c r="AV1554" i="24"/>
  <c r="AG1554" i="24"/>
  <c r="U1554" i="24"/>
  <c r="T1554" i="24"/>
  <c r="N1554" i="24"/>
  <c r="C1554" i="24"/>
  <c r="A1554" i="24"/>
  <c r="BP1553" i="24"/>
  <c r="BO1553" i="24"/>
  <c r="BA1553" i="24"/>
  <c r="AZ1553" i="24"/>
  <c r="AV1553" i="24"/>
  <c r="AG1553" i="24"/>
  <c r="U1553" i="24"/>
  <c r="T1553" i="24"/>
  <c r="N1553" i="24"/>
  <c r="C1553" i="24"/>
  <c r="A1553" i="24"/>
  <c r="BP1552" i="24"/>
  <c r="BO1552" i="24"/>
  <c r="BA1552" i="24"/>
  <c r="AZ1552" i="24"/>
  <c r="AW1552" i="24" s="1"/>
  <c r="AV1552" i="24"/>
  <c r="AG1552" i="24"/>
  <c r="U1552" i="24"/>
  <c r="T1552" i="24"/>
  <c r="N1552" i="24"/>
  <c r="C1552" i="24"/>
  <c r="A1552" i="24"/>
  <c r="BP1551" i="24"/>
  <c r="BO1551" i="24"/>
  <c r="BA1551" i="24"/>
  <c r="AZ1551" i="24"/>
  <c r="AV1551" i="24"/>
  <c r="AG1551" i="24"/>
  <c r="U1551" i="24"/>
  <c r="T1551" i="24"/>
  <c r="N1551" i="24"/>
  <c r="C1551" i="24"/>
  <c r="A1551" i="24"/>
  <c r="BP1550" i="24"/>
  <c r="BO1550" i="24"/>
  <c r="BA1550" i="24"/>
  <c r="AZ1550" i="24"/>
  <c r="AV1550" i="24"/>
  <c r="AG1550" i="24"/>
  <c r="U1550" i="24"/>
  <c r="T1550" i="24"/>
  <c r="N1550" i="24"/>
  <c r="C1550" i="24"/>
  <c r="A1550" i="24"/>
  <c r="BP1549" i="24"/>
  <c r="BO1549" i="24"/>
  <c r="BA1549" i="24"/>
  <c r="AZ1549" i="24"/>
  <c r="AV1549" i="24"/>
  <c r="AG1549" i="24"/>
  <c r="U1549" i="24"/>
  <c r="T1549" i="24"/>
  <c r="N1549" i="24"/>
  <c r="C1549" i="24"/>
  <c r="A1549" i="24"/>
  <c r="BP1548" i="24"/>
  <c r="BO1548" i="24"/>
  <c r="BA1548" i="24"/>
  <c r="AZ1548" i="24"/>
  <c r="AW1548" i="24" s="1"/>
  <c r="AV1548" i="24"/>
  <c r="AG1548" i="24"/>
  <c r="U1548" i="24"/>
  <c r="T1548" i="24"/>
  <c r="N1548" i="24"/>
  <c r="C1548" i="24"/>
  <c r="A1548" i="24"/>
  <c r="BP1547" i="24"/>
  <c r="BO1547" i="24"/>
  <c r="BA1547" i="24"/>
  <c r="AZ1547" i="24"/>
  <c r="AV1547" i="24"/>
  <c r="AG1547" i="24"/>
  <c r="U1547" i="24"/>
  <c r="T1547" i="24"/>
  <c r="N1547" i="24"/>
  <c r="C1547" i="24"/>
  <c r="A1547" i="24"/>
  <c r="BP1546" i="24"/>
  <c r="BO1546" i="24"/>
  <c r="BA1546" i="24"/>
  <c r="AZ1546" i="24"/>
  <c r="AV1546" i="24"/>
  <c r="AG1546" i="24"/>
  <c r="U1546" i="24"/>
  <c r="T1546" i="24"/>
  <c r="N1546" i="24"/>
  <c r="C1546" i="24"/>
  <c r="A1546" i="24"/>
  <c r="BP1545" i="24"/>
  <c r="BO1545" i="24"/>
  <c r="BA1545" i="24"/>
  <c r="AZ1545" i="24"/>
  <c r="AV1545" i="24"/>
  <c r="AG1545" i="24"/>
  <c r="U1545" i="24"/>
  <c r="T1545" i="24"/>
  <c r="N1545" i="24"/>
  <c r="C1545" i="24"/>
  <c r="A1545" i="24"/>
  <c r="BP1544" i="24"/>
  <c r="BO1544" i="24"/>
  <c r="BA1544" i="24"/>
  <c r="AZ1544" i="24"/>
  <c r="AW1544" i="24" s="1"/>
  <c r="AV1544" i="24"/>
  <c r="AG1544" i="24"/>
  <c r="U1544" i="24"/>
  <c r="T1544" i="24"/>
  <c r="N1544" i="24"/>
  <c r="C1544" i="24"/>
  <c r="A1544" i="24"/>
  <c r="BP1543" i="24"/>
  <c r="BO1543" i="24"/>
  <c r="BA1543" i="24"/>
  <c r="AZ1543" i="24"/>
  <c r="AV1543" i="24"/>
  <c r="AG1543" i="24"/>
  <c r="U1543" i="24"/>
  <c r="T1543" i="24"/>
  <c r="N1543" i="24"/>
  <c r="C1543" i="24"/>
  <c r="A1543" i="24"/>
  <c r="BP1542" i="24"/>
  <c r="BO1542" i="24"/>
  <c r="BA1542" i="24"/>
  <c r="AZ1542" i="24"/>
  <c r="AW1542" i="24" s="1"/>
  <c r="AV1542" i="24"/>
  <c r="AG1542" i="24"/>
  <c r="U1542" i="24"/>
  <c r="T1542" i="24"/>
  <c r="N1542" i="24"/>
  <c r="C1542" i="24"/>
  <c r="A1542" i="24"/>
  <c r="BP1541" i="24"/>
  <c r="BO1541" i="24"/>
  <c r="BA1541" i="24"/>
  <c r="AZ1541" i="24"/>
  <c r="AV1541" i="24"/>
  <c r="AG1541" i="24"/>
  <c r="U1541" i="24"/>
  <c r="T1541" i="24"/>
  <c r="N1541" i="24"/>
  <c r="C1541" i="24"/>
  <c r="A1541" i="24"/>
  <c r="BP1540" i="24"/>
  <c r="BO1540" i="24"/>
  <c r="BA1540" i="24"/>
  <c r="AZ1540" i="24"/>
  <c r="AW1540" i="24" s="1"/>
  <c r="AV1540" i="24"/>
  <c r="AG1540" i="24"/>
  <c r="U1540" i="24"/>
  <c r="T1540" i="24"/>
  <c r="N1540" i="24"/>
  <c r="C1540" i="24"/>
  <c r="A1540" i="24"/>
  <c r="BP1539" i="24"/>
  <c r="BO1539" i="24"/>
  <c r="BA1539" i="24"/>
  <c r="AZ1539" i="24"/>
  <c r="AV1539" i="24"/>
  <c r="AG1539" i="24"/>
  <c r="U1539" i="24"/>
  <c r="T1539" i="24"/>
  <c r="N1539" i="24"/>
  <c r="C1539" i="24"/>
  <c r="A1539" i="24"/>
  <c r="BP1538" i="24"/>
  <c r="BO1538" i="24"/>
  <c r="BA1538" i="24"/>
  <c r="AZ1538" i="24"/>
  <c r="AW1538" i="24" s="1"/>
  <c r="AV1538" i="24"/>
  <c r="AG1538" i="24"/>
  <c r="U1538" i="24"/>
  <c r="T1538" i="24"/>
  <c r="N1538" i="24"/>
  <c r="C1538" i="24"/>
  <c r="A1538" i="24"/>
  <c r="BP1537" i="24"/>
  <c r="BO1537" i="24"/>
  <c r="BA1537" i="24"/>
  <c r="AZ1537" i="24"/>
  <c r="AV1537" i="24"/>
  <c r="AG1537" i="24"/>
  <c r="U1537" i="24"/>
  <c r="T1537" i="24"/>
  <c r="N1537" i="24"/>
  <c r="C1537" i="24"/>
  <c r="A1537" i="24"/>
  <c r="BP1536" i="24"/>
  <c r="BO1536" i="24"/>
  <c r="BA1536" i="24"/>
  <c r="AZ1536" i="24"/>
  <c r="AW1536" i="24" s="1"/>
  <c r="AV1536" i="24"/>
  <c r="AG1536" i="24"/>
  <c r="U1536" i="24"/>
  <c r="T1536" i="24"/>
  <c r="N1536" i="24"/>
  <c r="C1536" i="24"/>
  <c r="A1536" i="24"/>
  <c r="BP1535" i="24"/>
  <c r="BO1535" i="24"/>
  <c r="BA1535" i="24"/>
  <c r="AZ1535" i="24"/>
  <c r="AV1535" i="24"/>
  <c r="AG1535" i="24"/>
  <c r="U1535" i="24"/>
  <c r="T1535" i="24"/>
  <c r="N1535" i="24"/>
  <c r="C1535" i="24"/>
  <c r="A1535" i="24"/>
  <c r="BP1534" i="24"/>
  <c r="BO1534" i="24"/>
  <c r="BA1534" i="24"/>
  <c r="AZ1534" i="24"/>
  <c r="AW1534" i="24" s="1"/>
  <c r="AV1534" i="24"/>
  <c r="AG1534" i="24"/>
  <c r="U1534" i="24"/>
  <c r="T1534" i="24"/>
  <c r="N1534" i="24"/>
  <c r="C1534" i="24"/>
  <c r="A1534" i="24"/>
  <c r="BP1533" i="24"/>
  <c r="BO1533" i="24"/>
  <c r="BA1533" i="24"/>
  <c r="AZ1533" i="24"/>
  <c r="AV1533" i="24"/>
  <c r="AG1533" i="24"/>
  <c r="U1533" i="24"/>
  <c r="T1533" i="24"/>
  <c r="N1533" i="24"/>
  <c r="C1533" i="24"/>
  <c r="A1533" i="24"/>
  <c r="BP1532" i="24"/>
  <c r="BO1532" i="24"/>
  <c r="BA1532" i="24"/>
  <c r="AZ1532" i="24"/>
  <c r="AW1532" i="24" s="1"/>
  <c r="AV1532" i="24"/>
  <c r="AG1532" i="24"/>
  <c r="U1532" i="24"/>
  <c r="T1532" i="24"/>
  <c r="N1532" i="24"/>
  <c r="C1532" i="24"/>
  <c r="A1532" i="24"/>
  <c r="BP1531" i="24"/>
  <c r="BO1531" i="24"/>
  <c r="BA1531" i="24"/>
  <c r="AZ1531" i="24"/>
  <c r="AV1531" i="24"/>
  <c r="AG1531" i="24"/>
  <c r="U1531" i="24"/>
  <c r="T1531" i="24"/>
  <c r="N1531" i="24"/>
  <c r="C1531" i="24"/>
  <c r="A1531" i="24"/>
  <c r="BP1530" i="24"/>
  <c r="BO1530" i="24"/>
  <c r="BA1530" i="24"/>
  <c r="AZ1530" i="24"/>
  <c r="AW1530" i="24" s="1"/>
  <c r="AV1530" i="24"/>
  <c r="AG1530" i="24"/>
  <c r="U1530" i="24"/>
  <c r="T1530" i="24"/>
  <c r="N1530" i="24"/>
  <c r="C1530" i="24"/>
  <c r="A1530" i="24"/>
  <c r="BP1529" i="24"/>
  <c r="BO1529" i="24"/>
  <c r="BA1529" i="24"/>
  <c r="AZ1529" i="24"/>
  <c r="AV1529" i="24"/>
  <c r="AG1529" i="24"/>
  <c r="U1529" i="24"/>
  <c r="T1529" i="24"/>
  <c r="N1529" i="24"/>
  <c r="C1529" i="24"/>
  <c r="A1529" i="24"/>
  <c r="BP1528" i="24"/>
  <c r="BO1528" i="24"/>
  <c r="BA1528" i="24"/>
  <c r="AZ1528" i="24"/>
  <c r="AW1528" i="24" s="1"/>
  <c r="AV1528" i="24"/>
  <c r="AG1528" i="24"/>
  <c r="U1528" i="24"/>
  <c r="T1528" i="24"/>
  <c r="N1528" i="24"/>
  <c r="C1528" i="24"/>
  <c r="A1528" i="24"/>
  <c r="BP1527" i="24"/>
  <c r="BO1527" i="24"/>
  <c r="BA1527" i="24"/>
  <c r="AZ1527" i="24"/>
  <c r="AV1527" i="24"/>
  <c r="AG1527" i="24"/>
  <c r="U1527" i="24"/>
  <c r="T1527" i="24"/>
  <c r="N1527" i="24"/>
  <c r="C1527" i="24"/>
  <c r="A1527" i="24"/>
  <c r="BP1526" i="24"/>
  <c r="BO1526" i="24"/>
  <c r="BA1526" i="24"/>
  <c r="AZ1526" i="24"/>
  <c r="AW1526" i="24" s="1"/>
  <c r="AV1526" i="24"/>
  <c r="AG1526" i="24"/>
  <c r="U1526" i="24"/>
  <c r="T1526" i="24"/>
  <c r="N1526" i="24"/>
  <c r="C1526" i="24"/>
  <c r="A1526" i="24"/>
  <c r="BP1525" i="24"/>
  <c r="BO1525" i="24"/>
  <c r="BA1525" i="24"/>
  <c r="AZ1525" i="24"/>
  <c r="AV1525" i="24"/>
  <c r="AG1525" i="24"/>
  <c r="U1525" i="24"/>
  <c r="T1525" i="24"/>
  <c r="N1525" i="24"/>
  <c r="C1525" i="24"/>
  <c r="A1525" i="24"/>
  <c r="BP1524" i="24"/>
  <c r="BO1524" i="24"/>
  <c r="BA1524" i="24"/>
  <c r="AZ1524" i="24"/>
  <c r="AW1524" i="24" s="1"/>
  <c r="AV1524" i="24"/>
  <c r="AG1524" i="24"/>
  <c r="U1524" i="24"/>
  <c r="T1524" i="24"/>
  <c r="N1524" i="24"/>
  <c r="C1524" i="24"/>
  <c r="A1524" i="24"/>
  <c r="BP1523" i="24"/>
  <c r="BO1523" i="24"/>
  <c r="BA1523" i="24"/>
  <c r="AZ1523" i="24"/>
  <c r="AV1523" i="24"/>
  <c r="AG1523" i="24"/>
  <c r="U1523" i="24"/>
  <c r="T1523" i="24"/>
  <c r="N1523" i="24"/>
  <c r="C1523" i="24"/>
  <c r="A1523" i="24"/>
  <c r="BP1522" i="24"/>
  <c r="BO1522" i="24"/>
  <c r="BA1522" i="24"/>
  <c r="AZ1522" i="24"/>
  <c r="AW1522" i="24" s="1"/>
  <c r="AV1522" i="24"/>
  <c r="AG1522" i="24"/>
  <c r="U1522" i="24"/>
  <c r="T1522" i="24"/>
  <c r="N1522" i="24"/>
  <c r="C1522" i="24"/>
  <c r="A1522" i="24"/>
  <c r="BP1521" i="24"/>
  <c r="BO1521" i="24"/>
  <c r="BA1521" i="24"/>
  <c r="AZ1521" i="24"/>
  <c r="AV1521" i="24"/>
  <c r="AG1521" i="24"/>
  <c r="U1521" i="24"/>
  <c r="T1521" i="24"/>
  <c r="N1521" i="24"/>
  <c r="C1521" i="24"/>
  <c r="A1521" i="24"/>
  <c r="BP1520" i="24"/>
  <c r="BO1520" i="24"/>
  <c r="BA1520" i="24"/>
  <c r="AZ1520" i="24"/>
  <c r="AW1520" i="24" s="1"/>
  <c r="AV1520" i="24"/>
  <c r="AG1520" i="24"/>
  <c r="U1520" i="24"/>
  <c r="T1520" i="24"/>
  <c r="N1520" i="24"/>
  <c r="C1520" i="24"/>
  <c r="A1520" i="24"/>
  <c r="BP1519" i="24"/>
  <c r="BO1519" i="24"/>
  <c r="BA1519" i="24"/>
  <c r="AZ1519" i="24"/>
  <c r="AV1519" i="24"/>
  <c r="AG1519" i="24"/>
  <c r="U1519" i="24"/>
  <c r="T1519" i="24"/>
  <c r="N1519" i="24"/>
  <c r="C1519" i="24"/>
  <c r="A1519" i="24"/>
  <c r="BP1518" i="24"/>
  <c r="BO1518" i="24"/>
  <c r="BA1518" i="24"/>
  <c r="AZ1518" i="24"/>
  <c r="AW1518" i="24" s="1"/>
  <c r="AV1518" i="24"/>
  <c r="AG1518" i="24"/>
  <c r="U1518" i="24"/>
  <c r="T1518" i="24"/>
  <c r="N1518" i="24"/>
  <c r="C1518" i="24"/>
  <c r="A1518" i="24"/>
  <c r="BP1517" i="24"/>
  <c r="BO1517" i="24"/>
  <c r="BA1517" i="24"/>
  <c r="AZ1517" i="24"/>
  <c r="AV1517" i="24"/>
  <c r="AG1517" i="24"/>
  <c r="U1517" i="24"/>
  <c r="T1517" i="24"/>
  <c r="N1517" i="24"/>
  <c r="C1517" i="24"/>
  <c r="A1517" i="24"/>
  <c r="BP1516" i="24"/>
  <c r="BO1516" i="24"/>
  <c r="BA1516" i="24"/>
  <c r="AZ1516" i="24"/>
  <c r="AW1516" i="24" s="1"/>
  <c r="AV1516" i="24"/>
  <c r="AG1516" i="24"/>
  <c r="U1516" i="24"/>
  <c r="T1516" i="24"/>
  <c r="N1516" i="24"/>
  <c r="C1516" i="24"/>
  <c r="A1516" i="24"/>
  <c r="BP1515" i="24"/>
  <c r="BO1515" i="24"/>
  <c r="BA1515" i="24"/>
  <c r="AZ1515" i="24"/>
  <c r="AV1515" i="24"/>
  <c r="AG1515" i="24"/>
  <c r="U1515" i="24"/>
  <c r="T1515" i="24"/>
  <c r="N1515" i="24"/>
  <c r="C1515" i="24"/>
  <c r="A1515" i="24"/>
  <c r="BP1514" i="24"/>
  <c r="BO1514" i="24"/>
  <c r="BA1514" i="24"/>
  <c r="AZ1514" i="24"/>
  <c r="AW1514" i="24" s="1"/>
  <c r="AV1514" i="24"/>
  <c r="AG1514" i="24"/>
  <c r="U1514" i="24"/>
  <c r="T1514" i="24"/>
  <c r="N1514" i="24"/>
  <c r="C1514" i="24"/>
  <c r="A1514" i="24"/>
  <c r="BP1513" i="24"/>
  <c r="BO1513" i="24"/>
  <c r="BA1513" i="24"/>
  <c r="AZ1513" i="24"/>
  <c r="AV1513" i="24"/>
  <c r="AG1513" i="24"/>
  <c r="U1513" i="24"/>
  <c r="T1513" i="24"/>
  <c r="N1513" i="24"/>
  <c r="C1513" i="24"/>
  <c r="A1513" i="24"/>
  <c r="BP1512" i="24"/>
  <c r="BO1512" i="24"/>
  <c r="BA1512" i="24"/>
  <c r="AZ1512" i="24"/>
  <c r="AW1512" i="24" s="1"/>
  <c r="AV1512" i="24"/>
  <c r="AG1512" i="24"/>
  <c r="U1512" i="24"/>
  <c r="T1512" i="24"/>
  <c r="N1512" i="24"/>
  <c r="C1512" i="24"/>
  <c r="A1512" i="24"/>
  <c r="BP1511" i="24"/>
  <c r="BO1511" i="24"/>
  <c r="BA1511" i="24"/>
  <c r="AZ1511" i="24"/>
  <c r="AV1511" i="24"/>
  <c r="AG1511" i="24"/>
  <c r="U1511" i="24"/>
  <c r="T1511" i="24"/>
  <c r="N1511" i="24"/>
  <c r="C1511" i="24"/>
  <c r="A1511" i="24"/>
  <c r="BP1510" i="24"/>
  <c r="BO1510" i="24"/>
  <c r="BA1510" i="24"/>
  <c r="AZ1510" i="24"/>
  <c r="AW1510" i="24" s="1"/>
  <c r="AV1510" i="24"/>
  <c r="AG1510" i="24"/>
  <c r="U1510" i="24"/>
  <c r="T1510" i="24"/>
  <c r="N1510" i="24"/>
  <c r="C1510" i="24"/>
  <c r="A1510" i="24"/>
  <c r="BP1509" i="24"/>
  <c r="BO1509" i="24"/>
  <c r="BA1509" i="24"/>
  <c r="AZ1509" i="24"/>
  <c r="AV1509" i="24"/>
  <c r="AG1509" i="24"/>
  <c r="U1509" i="24"/>
  <c r="T1509" i="24"/>
  <c r="N1509" i="24"/>
  <c r="C1509" i="24"/>
  <c r="A1509" i="24"/>
  <c r="BP1508" i="24"/>
  <c r="BO1508" i="24"/>
  <c r="BA1508" i="24"/>
  <c r="AZ1508" i="24"/>
  <c r="AW1508" i="24" s="1"/>
  <c r="AV1508" i="24"/>
  <c r="AG1508" i="24"/>
  <c r="U1508" i="24"/>
  <c r="T1508" i="24"/>
  <c r="N1508" i="24"/>
  <c r="C1508" i="24"/>
  <c r="A1508" i="24"/>
  <c r="BP1507" i="24"/>
  <c r="BO1507" i="24"/>
  <c r="BA1507" i="24"/>
  <c r="AZ1507" i="24"/>
  <c r="AV1507" i="24"/>
  <c r="AG1507" i="24"/>
  <c r="U1507" i="24"/>
  <c r="T1507" i="24"/>
  <c r="N1507" i="24"/>
  <c r="C1507" i="24"/>
  <c r="A1507" i="24"/>
  <c r="BP1506" i="24"/>
  <c r="BO1506" i="24"/>
  <c r="BA1506" i="24"/>
  <c r="AZ1506" i="24"/>
  <c r="AW1506" i="24" s="1"/>
  <c r="AV1506" i="24"/>
  <c r="AG1506" i="24"/>
  <c r="U1506" i="24"/>
  <c r="T1506" i="24"/>
  <c r="N1506" i="24"/>
  <c r="C1506" i="24"/>
  <c r="A1506" i="24"/>
  <c r="BP1505" i="24"/>
  <c r="BO1505" i="24"/>
  <c r="BA1505" i="24"/>
  <c r="AZ1505" i="24"/>
  <c r="AV1505" i="24"/>
  <c r="AG1505" i="24"/>
  <c r="U1505" i="24"/>
  <c r="T1505" i="24"/>
  <c r="N1505" i="24"/>
  <c r="C1505" i="24"/>
  <c r="A1505" i="24"/>
  <c r="BP1504" i="24"/>
  <c r="BO1504" i="24"/>
  <c r="BA1504" i="24"/>
  <c r="AZ1504" i="24"/>
  <c r="AW1504" i="24" s="1"/>
  <c r="AV1504" i="24"/>
  <c r="AG1504" i="24"/>
  <c r="U1504" i="24"/>
  <c r="T1504" i="24"/>
  <c r="N1504" i="24"/>
  <c r="C1504" i="24"/>
  <c r="A1504" i="24"/>
  <c r="BP1503" i="24"/>
  <c r="BO1503" i="24"/>
  <c r="BA1503" i="24"/>
  <c r="AZ1503" i="24"/>
  <c r="AV1503" i="24"/>
  <c r="AG1503" i="24"/>
  <c r="U1503" i="24"/>
  <c r="T1503" i="24"/>
  <c r="N1503" i="24"/>
  <c r="C1503" i="24"/>
  <c r="A1503" i="24"/>
  <c r="BP1502" i="24"/>
  <c r="BO1502" i="24"/>
  <c r="BA1502" i="24"/>
  <c r="AZ1502" i="24"/>
  <c r="AW1502" i="24" s="1"/>
  <c r="AV1502" i="24"/>
  <c r="AG1502" i="24"/>
  <c r="U1502" i="24"/>
  <c r="T1502" i="24"/>
  <c r="N1502" i="24"/>
  <c r="C1502" i="24"/>
  <c r="A1502" i="24"/>
  <c r="BP1501" i="24"/>
  <c r="BO1501" i="24"/>
  <c r="BA1501" i="24"/>
  <c r="AZ1501" i="24"/>
  <c r="AV1501" i="24"/>
  <c r="AG1501" i="24"/>
  <c r="U1501" i="24"/>
  <c r="T1501" i="24"/>
  <c r="N1501" i="24"/>
  <c r="C1501" i="24"/>
  <c r="A1501" i="24"/>
  <c r="BP1500" i="24"/>
  <c r="BO1500" i="24"/>
  <c r="BA1500" i="24"/>
  <c r="AZ1500" i="24"/>
  <c r="AW1500" i="24" s="1"/>
  <c r="AV1500" i="24"/>
  <c r="AG1500" i="24"/>
  <c r="U1500" i="24"/>
  <c r="T1500" i="24"/>
  <c r="N1500" i="24"/>
  <c r="C1500" i="24"/>
  <c r="A1500" i="24"/>
  <c r="BP1499" i="24"/>
  <c r="BO1499" i="24"/>
  <c r="BA1499" i="24"/>
  <c r="AZ1499" i="24"/>
  <c r="AV1499" i="24"/>
  <c r="AG1499" i="24"/>
  <c r="U1499" i="24"/>
  <c r="T1499" i="24"/>
  <c r="N1499" i="24"/>
  <c r="C1499" i="24"/>
  <c r="A1499" i="24"/>
  <c r="BP1498" i="24"/>
  <c r="BO1498" i="24"/>
  <c r="BA1498" i="24"/>
  <c r="AZ1498" i="24"/>
  <c r="AW1498" i="24" s="1"/>
  <c r="AV1498" i="24"/>
  <c r="AG1498" i="24"/>
  <c r="U1498" i="24"/>
  <c r="T1498" i="24"/>
  <c r="N1498" i="24"/>
  <c r="C1498" i="24"/>
  <c r="A1498" i="24"/>
  <c r="BP1497" i="24"/>
  <c r="BO1497" i="24"/>
  <c r="BA1497" i="24"/>
  <c r="AZ1497" i="24"/>
  <c r="AV1497" i="24"/>
  <c r="AG1497" i="24"/>
  <c r="U1497" i="24"/>
  <c r="T1497" i="24"/>
  <c r="N1497" i="24"/>
  <c r="C1497" i="24"/>
  <c r="A1497" i="24"/>
  <c r="BP1496" i="24"/>
  <c r="BO1496" i="24"/>
  <c r="BA1496" i="24"/>
  <c r="AZ1496" i="24"/>
  <c r="AW1496" i="24" s="1"/>
  <c r="AV1496" i="24"/>
  <c r="AG1496" i="24"/>
  <c r="U1496" i="24"/>
  <c r="T1496" i="24"/>
  <c r="N1496" i="24"/>
  <c r="C1496" i="24"/>
  <c r="A1496" i="24"/>
  <c r="BP1495" i="24"/>
  <c r="BO1495" i="24"/>
  <c r="BA1495" i="24"/>
  <c r="AZ1495" i="24"/>
  <c r="AW1495" i="24"/>
  <c r="AV1495" i="24"/>
  <c r="AG1495" i="24"/>
  <c r="U1495" i="24"/>
  <c r="T1495" i="24"/>
  <c r="N1495" i="24"/>
  <c r="C1495" i="24"/>
  <c r="A1495" i="24"/>
  <c r="BP1494" i="24"/>
  <c r="BO1494" i="24"/>
  <c r="BA1494" i="24"/>
  <c r="AZ1494" i="24"/>
  <c r="AW1494" i="24"/>
  <c r="AV1494" i="24"/>
  <c r="AG1494" i="24"/>
  <c r="U1494" i="24"/>
  <c r="T1494" i="24"/>
  <c r="N1494" i="24"/>
  <c r="C1494" i="24"/>
  <c r="A1494" i="24"/>
  <c r="BP1493" i="24"/>
  <c r="BO1493" i="24"/>
  <c r="BA1493" i="24"/>
  <c r="AZ1493" i="24"/>
  <c r="AW1493" i="24"/>
  <c r="AV1493" i="24"/>
  <c r="AG1493" i="24"/>
  <c r="U1493" i="24"/>
  <c r="T1493" i="24"/>
  <c r="N1493" i="24"/>
  <c r="C1493" i="24"/>
  <c r="A1493" i="24"/>
  <c r="BP1492" i="24"/>
  <c r="BO1492" i="24"/>
  <c r="BA1492" i="24"/>
  <c r="AZ1492" i="24"/>
  <c r="AW1492" i="24"/>
  <c r="AV1492" i="24"/>
  <c r="AG1492" i="24"/>
  <c r="U1492" i="24"/>
  <c r="T1492" i="24"/>
  <c r="N1492" i="24"/>
  <c r="C1492" i="24"/>
  <c r="A1492" i="24"/>
  <c r="BP1491" i="24"/>
  <c r="BO1491" i="24"/>
  <c r="BA1491" i="24"/>
  <c r="AZ1491" i="24"/>
  <c r="AW1491" i="24"/>
  <c r="AV1491" i="24"/>
  <c r="AG1491" i="24"/>
  <c r="U1491" i="24"/>
  <c r="T1491" i="24"/>
  <c r="N1491" i="24"/>
  <c r="C1491" i="24"/>
  <c r="A1491" i="24"/>
  <c r="BP1490" i="24"/>
  <c r="BO1490" i="24"/>
  <c r="BA1490" i="24"/>
  <c r="AZ1490" i="24"/>
  <c r="AW1490" i="24"/>
  <c r="AV1490" i="24"/>
  <c r="AG1490" i="24"/>
  <c r="U1490" i="24"/>
  <c r="T1490" i="24"/>
  <c r="N1490" i="24"/>
  <c r="C1490" i="24"/>
  <c r="A1490" i="24"/>
  <c r="BP1489" i="24"/>
  <c r="BO1489" i="24"/>
  <c r="BA1489" i="24"/>
  <c r="AZ1489" i="24"/>
  <c r="AW1489" i="24"/>
  <c r="AV1489" i="24"/>
  <c r="AG1489" i="24"/>
  <c r="U1489" i="24"/>
  <c r="T1489" i="24"/>
  <c r="N1489" i="24"/>
  <c r="C1489" i="24"/>
  <c r="A1489" i="24"/>
  <c r="BP1488" i="24"/>
  <c r="BO1488" i="24"/>
  <c r="BA1488" i="24"/>
  <c r="AZ1488" i="24"/>
  <c r="AW1488" i="24"/>
  <c r="AV1488" i="24"/>
  <c r="AG1488" i="24"/>
  <c r="U1488" i="24"/>
  <c r="T1488" i="24"/>
  <c r="N1488" i="24"/>
  <c r="C1488" i="24"/>
  <c r="A1488" i="24"/>
  <c r="BP1487" i="24"/>
  <c r="BO1487" i="24"/>
  <c r="BA1487" i="24"/>
  <c r="AZ1487" i="24"/>
  <c r="AW1487" i="24"/>
  <c r="AV1487" i="24"/>
  <c r="AG1487" i="24"/>
  <c r="U1487" i="24"/>
  <c r="T1487" i="24"/>
  <c r="N1487" i="24"/>
  <c r="C1487" i="24"/>
  <c r="A1487" i="24"/>
  <c r="BP1486" i="24"/>
  <c r="BO1486" i="24"/>
  <c r="BA1486" i="24"/>
  <c r="AZ1486" i="24"/>
  <c r="AW1486" i="24"/>
  <c r="AV1486" i="24"/>
  <c r="AG1486" i="24"/>
  <c r="U1486" i="24"/>
  <c r="T1486" i="24"/>
  <c r="N1486" i="24"/>
  <c r="C1486" i="24"/>
  <c r="A1486" i="24"/>
  <c r="BP1485" i="24"/>
  <c r="BO1485" i="24"/>
  <c r="BA1485" i="24"/>
  <c r="AZ1485" i="24"/>
  <c r="AW1485" i="24"/>
  <c r="AV1485" i="24"/>
  <c r="AG1485" i="24"/>
  <c r="U1485" i="24"/>
  <c r="T1485" i="24"/>
  <c r="N1485" i="24"/>
  <c r="C1485" i="24"/>
  <c r="A1485" i="24"/>
  <c r="BP1484" i="24"/>
  <c r="BO1484" i="24"/>
  <c r="BA1484" i="24"/>
  <c r="AZ1484" i="24"/>
  <c r="AW1484" i="24"/>
  <c r="AV1484" i="24"/>
  <c r="AG1484" i="24"/>
  <c r="U1484" i="24"/>
  <c r="T1484" i="24"/>
  <c r="N1484" i="24"/>
  <c r="C1484" i="24"/>
  <c r="A1484" i="24"/>
  <c r="BP1483" i="24"/>
  <c r="BO1483" i="24"/>
  <c r="BA1483" i="24"/>
  <c r="AZ1483" i="24"/>
  <c r="AW1483" i="24"/>
  <c r="AV1483" i="24"/>
  <c r="AG1483" i="24"/>
  <c r="U1483" i="24"/>
  <c r="T1483" i="24"/>
  <c r="N1483" i="24"/>
  <c r="C1483" i="24"/>
  <c r="A1483" i="24"/>
  <c r="BP1482" i="24"/>
  <c r="BO1482" i="24"/>
  <c r="BA1482" i="24"/>
  <c r="AZ1482" i="24"/>
  <c r="AW1482" i="24"/>
  <c r="AV1482" i="24"/>
  <c r="AG1482" i="24"/>
  <c r="U1482" i="24"/>
  <c r="T1482" i="24"/>
  <c r="N1482" i="24"/>
  <c r="C1482" i="24"/>
  <c r="A1482" i="24"/>
  <c r="BP1481" i="24"/>
  <c r="BO1481" i="24"/>
  <c r="BA1481" i="24"/>
  <c r="AZ1481" i="24"/>
  <c r="AW1481" i="24"/>
  <c r="AV1481" i="24"/>
  <c r="AG1481" i="24"/>
  <c r="U1481" i="24"/>
  <c r="T1481" i="24"/>
  <c r="N1481" i="24"/>
  <c r="C1481" i="24"/>
  <c r="A1481" i="24"/>
  <c r="BP1480" i="24"/>
  <c r="BO1480" i="24"/>
  <c r="BA1480" i="24"/>
  <c r="AZ1480" i="24"/>
  <c r="AW1480" i="24"/>
  <c r="AV1480" i="24"/>
  <c r="AG1480" i="24"/>
  <c r="U1480" i="24"/>
  <c r="T1480" i="24"/>
  <c r="N1480" i="24"/>
  <c r="C1480" i="24"/>
  <c r="A1480" i="24"/>
  <c r="BP1479" i="24"/>
  <c r="BO1479" i="24"/>
  <c r="BA1479" i="24"/>
  <c r="AZ1479" i="24"/>
  <c r="AW1479" i="24"/>
  <c r="AV1479" i="24"/>
  <c r="AG1479" i="24"/>
  <c r="U1479" i="24"/>
  <c r="T1479" i="24"/>
  <c r="N1479" i="24"/>
  <c r="C1479" i="24"/>
  <c r="A1479" i="24"/>
  <c r="BP1478" i="24"/>
  <c r="BO1478" i="24"/>
  <c r="BA1478" i="24"/>
  <c r="AZ1478" i="24"/>
  <c r="AW1478" i="24"/>
  <c r="AV1478" i="24"/>
  <c r="AG1478" i="24"/>
  <c r="U1478" i="24"/>
  <c r="T1478" i="24"/>
  <c r="N1478" i="24"/>
  <c r="C1478" i="24"/>
  <c r="A1478" i="24"/>
  <c r="BP1477" i="24"/>
  <c r="BO1477" i="24"/>
  <c r="BA1477" i="24"/>
  <c r="AZ1477" i="24"/>
  <c r="AW1477" i="24"/>
  <c r="AV1477" i="24"/>
  <c r="AG1477" i="24"/>
  <c r="U1477" i="24"/>
  <c r="T1477" i="24"/>
  <c r="N1477" i="24"/>
  <c r="C1477" i="24"/>
  <c r="A1477" i="24"/>
  <c r="BP1476" i="24"/>
  <c r="BO1476" i="24"/>
  <c r="BA1476" i="24"/>
  <c r="AZ1476" i="24"/>
  <c r="AW1476" i="24"/>
  <c r="AV1476" i="24"/>
  <c r="AG1476" i="24"/>
  <c r="U1476" i="24"/>
  <c r="T1476" i="24"/>
  <c r="N1476" i="24"/>
  <c r="C1476" i="24"/>
  <c r="A1476" i="24"/>
  <c r="BP1475" i="24"/>
  <c r="BO1475" i="24"/>
  <c r="BA1475" i="24"/>
  <c r="AZ1475" i="24"/>
  <c r="AW1475" i="24"/>
  <c r="AV1475" i="24"/>
  <c r="AG1475" i="24"/>
  <c r="U1475" i="24"/>
  <c r="T1475" i="24"/>
  <c r="N1475" i="24"/>
  <c r="C1475" i="24"/>
  <c r="A1475" i="24"/>
  <c r="BP1474" i="24"/>
  <c r="BO1474" i="24"/>
  <c r="BA1474" i="24"/>
  <c r="AZ1474" i="24"/>
  <c r="AW1474" i="24"/>
  <c r="AV1474" i="24"/>
  <c r="AG1474" i="24"/>
  <c r="U1474" i="24"/>
  <c r="T1474" i="24"/>
  <c r="N1474" i="24"/>
  <c r="C1474" i="24"/>
  <c r="A1474" i="24"/>
  <c r="BP1473" i="24"/>
  <c r="BO1473" i="24"/>
  <c r="BA1473" i="24"/>
  <c r="AZ1473" i="24"/>
  <c r="AW1473" i="24"/>
  <c r="AV1473" i="24"/>
  <c r="AG1473" i="24"/>
  <c r="U1473" i="24"/>
  <c r="T1473" i="24"/>
  <c r="N1473" i="24"/>
  <c r="C1473" i="24"/>
  <c r="A1473" i="24"/>
  <c r="BP1472" i="24"/>
  <c r="BO1472" i="24"/>
  <c r="BA1472" i="24"/>
  <c r="AZ1472" i="24"/>
  <c r="AW1472" i="24"/>
  <c r="AV1472" i="24"/>
  <c r="AG1472" i="24"/>
  <c r="U1472" i="24"/>
  <c r="T1472" i="24"/>
  <c r="N1472" i="24"/>
  <c r="C1472" i="24"/>
  <c r="A1472" i="24"/>
  <c r="BP1471" i="24"/>
  <c r="BO1471" i="24"/>
  <c r="BA1471" i="24"/>
  <c r="AZ1471" i="24"/>
  <c r="AW1471" i="24"/>
  <c r="AV1471" i="24"/>
  <c r="AG1471" i="24"/>
  <c r="U1471" i="24"/>
  <c r="T1471" i="24"/>
  <c r="N1471" i="24"/>
  <c r="C1471" i="24"/>
  <c r="A1471" i="24"/>
  <c r="BP1470" i="24"/>
  <c r="BO1470" i="24"/>
  <c r="BA1470" i="24"/>
  <c r="AZ1470" i="24"/>
  <c r="AW1470" i="24"/>
  <c r="AV1470" i="24"/>
  <c r="AG1470" i="24"/>
  <c r="U1470" i="24"/>
  <c r="T1470" i="24"/>
  <c r="N1470" i="24"/>
  <c r="C1470" i="24"/>
  <c r="A1470" i="24"/>
  <c r="BP1469" i="24"/>
  <c r="BO1469" i="24"/>
  <c r="BA1469" i="24"/>
  <c r="AZ1469" i="24"/>
  <c r="AW1469" i="24"/>
  <c r="AV1469" i="24"/>
  <c r="AG1469" i="24"/>
  <c r="U1469" i="24"/>
  <c r="T1469" i="24"/>
  <c r="N1469" i="24"/>
  <c r="C1469" i="24"/>
  <c r="A1469" i="24"/>
  <c r="BP1468" i="24"/>
  <c r="BO1468" i="24"/>
  <c r="BA1468" i="24"/>
  <c r="AZ1468" i="24"/>
  <c r="AW1468" i="24"/>
  <c r="AV1468" i="24"/>
  <c r="AG1468" i="24"/>
  <c r="U1468" i="24"/>
  <c r="T1468" i="24"/>
  <c r="N1468" i="24"/>
  <c r="C1468" i="24"/>
  <c r="A1468" i="24"/>
  <c r="BP1467" i="24"/>
  <c r="BO1467" i="24"/>
  <c r="BA1467" i="24"/>
  <c r="AZ1467" i="24"/>
  <c r="AW1467" i="24"/>
  <c r="AV1467" i="24"/>
  <c r="AG1467" i="24"/>
  <c r="U1467" i="24"/>
  <c r="T1467" i="24"/>
  <c r="N1467" i="24"/>
  <c r="C1467" i="24"/>
  <c r="A1467" i="24"/>
  <c r="BP1466" i="24"/>
  <c r="BO1466" i="24"/>
  <c r="BA1466" i="24"/>
  <c r="AZ1466" i="24"/>
  <c r="AW1466" i="24"/>
  <c r="AV1466" i="24"/>
  <c r="AG1466" i="24"/>
  <c r="U1466" i="24"/>
  <c r="T1466" i="24"/>
  <c r="N1466" i="24"/>
  <c r="C1466" i="24"/>
  <c r="A1466" i="24"/>
  <c r="BP1465" i="24"/>
  <c r="BO1465" i="24"/>
  <c r="BA1465" i="24"/>
  <c r="AZ1465" i="24"/>
  <c r="AW1465" i="24"/>
  <c r="AV1465" i="24"/>
  <c r="AG1465" i="24"/>
  <c r="U1465" i="24"/>
  <c r="T1465" i="24"/>
  <c r="N1465" i="24"/>
  <c r="C1465" i="24"/>
  <c r="A1465" i="24"/>
  <c r="BP1464" i="24"/>
  <c r="BO1464" i="24"/>
  <c r="BA1464" i="24"/>
  <c r="AZ1464" i="24"/>
  <c r="AW1464" i="24"/>
  <c r="AV1464" i="24"/>
  <c r="AG1464" i="24"/>
  <c r="U1464" i="24"/>
  <c r="T1464" i="24"/>
  <c r="N1464" i="24"/>
  <c r="C1464" i="24"/>
  <c r="A1464" i="24"/>
  <c r="BP1463" i="24"/>
  <c r="BO1463" i="24"/>
  <c r="BA1463" i="24"/>
  <c r="AZ1463" i="24"/>
  <c r="AW1463" i="24"/>
  <c r="AV1463" i="24"/>
  <c r="AG1463" i="24"/>
  <c r="U1463" i="24"/>
  <c r="T1463" i="24"/>
  <c r="N1463" i="24"/>
  <c r="C1463" i="24"/>
  <c r="A1463" i="24"/>
  <c r="BP1462" i="24"/>
  <c r="BO1462" i="24"/>
  <c r="BA1462" i="24"/>
  <c r="AZ1462" i="24"/>
  <c r="AW1462" i="24"/>
  <c r="AV1462" i="24"/>
  <c r="AG1462" i="24"/>
  <c r="U1462" i="24"/>
  <c r="T1462" i="24"/>
  <c r="N1462" i="24"/>
  <c r="C1462" i="24"/>
  <c r="A1462" i="24"/>
  <c r="BP1461" i="24"/>
  <c r="BO1461" i="24"/>
  <c r="BA1461" i="24"/>
  <c r="AZ1461" i="24"/>
  <c r="AW1461" i="24"/>
  <c r="AV1461" i="24"/>
  <c r="AG1461" i="24"/>
  <c r="U1461" i="24"/>
  <c r="T1461" i="24"/>
  <c r="N1461" i="24"/>
  <c r="C1461" i="24"/>
  <c r="A1461" i="24"/>
  <c r="BP1460" i="24"/>
  <c r="BO1460" i="24"/>
  <c r="BA1460" i="24"/>
  <c r="AZ1460" i="24"/>
  <c r="AW1460" i="24"/>
  <c r="AV1460" i="24"/>
  <c r="AG1460" i="24"/>
  <c r="U1460" i="24"/>
  <c r="T1460" i="24"/>
  <c r="N1460" i="24"/>
  <c r="C1460" i="24"/>
  <c r="A1460" i="24"/>
  <c r="BP1459" i="24"/>
  <c r="BO1459" i="24"/>
  <c r="BA1459" i="24"/>
  <c r="AZ1459" i="24"/>
  <c r="AW1459" i="24"/>
  <c r="AV1459" i="24"/>
  <c r="AG1459" i="24"/>
  <c r="U1459" i="24"/>
  <c r="T1459" i="24"/>
  <c r="N1459" i="24"/>
  <c r="C1459" i="24"/>
  <c r="A1459" i="24"/>
  <c r="BP1458" i="24"/>
  <c r="BO1458" i="24"/>
  <c r="BA1458" i="24"/>
  <c r="AZ1458" i="24"/>
  <c r="AW1458" i="24"/>
  <c r="AV1458" i="24"/>
  <c r="AG1458" i="24"/>
  <c r="U1458" i="24"/>
  <c r="T1458" i="24"/>
  <c r="N1458" i="24"/>
  <c r="C1458" i="24"/>
  <c r="A1458" i="24"/>
  <c r="BP1457" i="24"/>
  <c r="BO1457" i="24"/>
  <c r="BA1457" i="24"/>
  <c r="AZ1457" i="24"/>
  <c r="AW1457" i="24"/>
  <c r="AV1457" i="24"/>
  <c r="AG1457" i="24"/>
  <c r="U1457" i="24"/>
  <c r="T1457" i="24"/>
  <c r="N1457" i="24"/>
  <c r="C1457" i="24"/>
  <c r="A1457" i="24"/>
  <c r="BP1456" i="24"/>
  <c r="BO1456" i="24"/>
  <c r="BA1456" i="24"/>
  <c r="AZ1456" i="24"/>
  <c r="AW1456" i="24"/>
  <c r="AV1456" i="24"/>
  <c r="AG1456" i="24"/>
  <c r="U1456" i="24"/>
  <c r="T1456" i="24"/>
  <c r="N1456" i="24"/>
  <c r="C1456" i="24"/>
  <c r="A1456" i="24"/>
  <c r="BP1455" i="24"/>
  <c r="BO1455" i="24"/>
  <c r="BA1455" i="24"/>
  <c r="AZ1455" i="24"/>
  <c r="AW1455" i="24"/>
  <c r="AV1455" i="24"/>
  <c r="AG1455" i="24"/>
  <c r="U1455" i="24"/>
  <c r="T1455" i="24"/>
  <c r="N1455" i="24"/>
  <c r="C1455" i="24"/>
  <c r="A1455" i="24"/>
  <c r="BP1454" i="24"/>
  <c r="BO1454" i="24"/>
  <c r="BA1454" i="24"/>
  <c r="AZ1454" i="24"/>
  <c r="AW1454" i="24"/>
  <c r="AV1454" i="24"/>
  <c r="AG1454" i="24"/>
  <c r="U1454" i="24"/>
  <c r="T1454" i="24"/>
  <c r="N1454" i="24"/>
  <c r="C1454" i="24"/>
  <c r="A1454" i="24"/>
  <c r="BP1453" i="24"/>
  <c r="BO1453" i="24"/>
  <c r="BA1453" i="24"/>
  <c r="AZ1453" i="24"/>
  <c r="AW1453" i="24"/>
  <c r="AV1453" i="24"/>
  <c r="AG1453" i="24"/>
  <c r="U1453" i="24"/>
  <c r="T1453" i="24"/>
  <c r="N1453" i="24"/>
  <c r="C1453" i="24"/>
  <c r="A1453" i="24"/>
  <c r="BP1452" i="24"/>
  <c r="BO1452" i="24"/>
  <c r="BA1452" i="24"/>
  <c r="AZ1452" i="24"/>
  <c r="AW1452" i="24"/>
  <c r="AV1452" i="24"/>
  <c r="AG1452" i="24"/>
  <c r="U1452" i="24"/>
  <c r="T1452" i="24"/>
  <c r="N1452" i="24"/>
  <c r="C1452" i="24"/>
  <c r="A1452" i="24"/>
  <c r="BP1451" i="24"/>
  <c r="BO1451" i="24"/>
  <c r="BA1451" i="24"/>
  <c r="AZ1451" i="24"/>
  <c r="AW1451" i="24"/>
  <c r="AV1451" i="24"/>
  <c r="AG1451" i="24"/>
  <c r="U1451" i="24"/>
  <c r="T1451" i="24"/>
  <c r="N1451" i="24"/>
  <c r="C1451" i="24"/>
  <c r="A1451" i="24"/>
  <c r="BP1450" i="24"/>
  <c r="BO1450" i="24"/>
  <c r="BA1450" i="24"/>
  <c r="AZ1450" i="24"/>
  <c r="AW1450" i="24"/>
  <c r="AV1450" i="24"/>
  <c r="AG1450" i="24"/>
  <c r="U1450" i="24"/>
  <c r="T1450" i="24"/>
  <c r="N1450" i="24"/>
  <c r="C1450" i="24"/>
  <c r="A1450" i="24"/>
  <c r="BP1449" i="24"/>
  <c r="BO1449" i="24"/>
  <c r="BA1449" i="24"/>
  <c r="AZ1449" i="24"/>
  <c r="AW1449" i="24"/>
  <c r="AV1449" i="24"/>
  <c r="AG1449" i="24"/>
  <c r="U1449" i="24"/>
  <c r="T1449" i="24"/>
  <c r="N1449" i="24"/>
  <c r="C1449" i="24"/>
  <c r="A1449" i="24"/>
  <c r="BP1448" i="24"/>
  <c r="BO1448" i="24"/>
  <c r="BA1448" i="24"/>
  <c r="AZ1448" i="24"/>
  <c r="AW1448" i="24"/>
  <c r="AV1448" i="24"/>
  <c r="AG1448" i="24"/>
  <c r="U1448" i="24"/>
  <c r="T1448" i="24"/>
  <c r="N1448" i="24"/>
  <c r="C1448" i="24"/>
  <c r="A1448" i="24"/>
  <c r="BP1447" i="24"/>
  <c r="BO1447" i="24"/>
  <c r="BA1447" i="24"/>
  <c r="AZ1447" i="24"/>
  <c r="AW1447" i="24"/>
  <c r="AV1447" i="24"/>
  <c r="AG1447" i="24"/>
  <c r="U1447" i="24"/>
  <c r="T1447" i="24"/>
  <c r="N1447" i="24"/>
  <c r="C1447" i="24"/>
  <c r="A1447" i="24"/>
  <c r="BP1446" i="24"/>
  <c r="BO1446" i="24"/>
  <c r="BA1446" i="24"/>
  <c r="AZ1446" i="24"/>
  <c r="AW1446" i="24"/>
  <c r="AV1446" i="24"/>
  <c r="AG1446" i="24"/>
  <c r="U1446" i="24"/>
  <c r="T1446" i="24"/>
  <c r="N1446" i="24"/>
  <c r="C1446" i="24"/>
  <c r="A1446" i="24"/>
  <c r="BP1445" i="24"/>
  <c r="BO1445" i="24"/>
  <c r="BA1445" i="24"/>
  <c r="AZ1445" i="24"/>
  <c r="AW1445" i="24"/>
  <c r="AV1445" i="24"/>
  <c r="AG1445" i="24"/>
  <c r="U1445" i="24"/>
  <c r="T1445" i="24"/>
  <c r="N1445" i="24"/>
  <c r="C1445" i="24"/>
  <c r="A1445" i="24"/>
  <c r="BP1444" i="24"/>
  <c r="BO1444" i="24"/>
  <c r="BA1444" i="24"/>
  <c r="AZ1444" i="24"/>
  <c r="AW1444" i="24"/>
  <c r="AV1444" i="24"/>
  <c r="AG1444" i="24"/>
  <c r="U1444" i="24"/>
  <c r="T1444" i="24"/>
  <c r="N1444" i="24"/>
  <c r="C1444" i="24"/>
  <c r="A1444" i="24"/>
  <c r="BP1443" i="24"/>
  <c r="BO1443" i="24"/>
  <c r="BA1443" i="24"/>
  <c r="AZ1443" i="24"/>
  <c r="AW1443" i="24"/>
  <c r="AV1443" i="24"/>
  <c r="AG1443" i="24"/>
  <c r="U1443" i="24"/>
  <c r="T1443" i="24"/>
  <c r="N1443" i="24"/>
  <c r="C1443" i="24"/>
  <c r="A1443" i="24"/>
  <c r="BP1442" i="24"/>
  <c r="BO1442" i="24"/>
  <c r="BA1442" i="24"/>
  <c r="AZ1442" i="24"/>
  <c r="AW1442" i="24"/>
  <c r="AV1442" i="24"/>
  <c r="AG1442" i="24"/>
  <c r="U1442" i="24"/>
  <c r="T1442" i="24"/>
  <c r="N1442" i="24"/>
  <c r="C1442" i="24"/>
  <c r="A1442" i="24"/>
  <c r="BP1441" i="24"/>
  <c r="BO1441" i="24"/>
  <c r="BA1441" i="24"/>
  <c r="AZ1441" i="24"/>
  <c r="AW1441" i="24"/>
  <c r="AV1441" i="24"/>
  <c r="AG1441" i="24"/>
  <c r="U1441" i="24"/>
  <c r="T1441" i="24"/>
  <c r="N1441" i="24"/>
  <c r="C1441" i="24"/>
  <c r="A1441" i="24"/>
  <c r="BP1440" i="24"/>
  <c r="BO1440" i="24"/>
  <c r="BA1440" i="24"/>
  <c r="AZ1440" i="24"/>
  <c r="AW1440" i="24"/>
  <c r="AV1440" i="24"/>
  <c r="AG1440" i="24"/>
  <c r="U1440" i="24"/>
  <c r="T1440" i="24"/>
  <c r="N1440" i="24"/>
  <c r="C1440" i="24"/>
  <c r="A1440" i="24"/>
  <c r="BP1439" i="24"/>
  <c r="BO1439" i="24"/>
  <c r="BA1439" i="24"/>
  <c r="AZ1439" i="24"/>
  <c r="AW1439" i="24"/>
  <c r="AV1439" i="24"/>
  <c r="AG1439" i="24"/>
  <c r="U1439" i="24"/>
  <c r="T1439" i="24"/>
  <c r="N1439" i="24"/>
  <c r="C1439" i="24"/>
  <c r="A1439" i="24"/>
  <c r="BP1438" i="24"/>
  <c r="BO1438" i="24"/>
  <c r="BA1438" i="24"/>
  <c r="AZ1438" i="24"/>
  <c r="AW1438" i="24"/>
  <c r="AV1438" i="24"/>
  <c r="AG1438" i="24"/>
  <c r="U1438" i="24"/>
  <c r="T1438" i="24"/>
  <c r="N1438" i="24"/>
  <c r="C1438" i="24"/>
  <c r="A1438" i="24"/>
  <c r="BP1437" i="24"/>
  <c r="BO1437" i="24"/>
  <c r="BA1437" i="24"/>
  <c r="AZ1437" i="24"/>
  <c r="AW1437" i="24"/>
  <c r="AV1437" i="24"/>
  <c r="AG1437" i="24"/>
  <c r="U1437" i="24"/>
  <c r="T1437" i="24"/>
  <c r="N1437" i="24"/>
  <c r="C1437" i="24"/>
  <c r="A1437" i="24"/>
  <c r="BP1436" i="24"/>
  <c r="BO1436" i="24"/>
  <c r="BA1436" i="24"/>
  <c r="AZ1436" i="24"/>
  <c r="AW1436" i="24"/>
  <c r="AV1436" i="24"/>
  <c r="AG1436" i="24"/>
  <c r="U1436" i="24"/>
  <c r="T1436" i="24"/>
  <c r="N1436" i="24"/>
  <c r="C1436" i="24"/>
  <c r="A1436" i="24"/>
  <c r="BP1435" i="24"/>
  <c r="BO1435" i="24"/>
  <c r="BA1435" i="24"/>
  <c r="AZ1435" i="24"/>
  <c r="AW1435" i="24"/>
  <c r="AV1435" i="24"/>
  <c r="AG1435" i="24"/>
  <c r="U1435" i="24"/>
  <c r="T1435" i="24"/>
  <c r="N1435" i="24"/>
  <c r="C1435" i="24"/>
  <c r="A1435" i="24"/>
  <c r="BP1434" i="24"/>
  <c r="BO1434" i="24"/>
  <c r="BA1434" i="24"/>
  <c r="AZ1434" i="24"/>
  <c r="AW1434" i="24"/>
  <c r="AV1434" i="24"/>
  <c r="AG1434" i="24"/>
  <c r="U1434" i="24"/>
  <c r="T1434" i="24"/>
  <c r="N1434" i="24"/>
  <c r="C1434" i="24"/>
  <c r="A1434" i="24"/>
  <c r="BP1433" i="24"/>
  <c r="BO1433" i="24"/>
  <c r="BA1433" i="24"/>
  <c r="AZ1433" i="24"/>
  <c r="AW1433" i="24"/>
  <c r="AV1433" i="24"/>
  <c r="AG1433" i="24"/>
  <c r="U1433" i="24"/>
  <c r="T1433" i="24"/>
  <c r="N1433" i="24"/>
  <c r="C1433" i="24"/>
  <c r="A1433" i="24"/>
  <c r="BP1432" i="24"/>
  <c r="BO1432" i="24"/>
  <c r="BA1432" i="24"/>
  <c r="AZ1432" i="24"/>
  <c r="AW1432" i="24"/>
  <c r="AV1432" i="24"/>
  <c r="AG1432" i="24"/>
  <c r="U1432" i="24"/>
  <c r="T1432" i="24"/>
  <c r="N1432" i="24"/>
  <c r="C1432" i="24"/>
  <c r="A1432" i="24"/>
  <c r="BP1431" i="24"/>
  <c r="BO1431" i="24"/>
  <c r="BA1431" i="24"/>
  <c r="AZ1431" i="24"/>
  <c r="AW1431" i="24"/>
  <c r="AV1431" i="24"/>
  <c r="AG1431" i="24"/>
  <c r="U1431" i="24"/>
  <c r="T1431" i="24"/>
  <c r="N1431" i="24"/>
  <c r="C1431" i="24"/>
  <c r="A1431" i="24"/>
  <c r="BP1430" i="24"/>
  <c r="BO1430" i="24"/>
  <c r="BA1430" i="24"/>
  <c r="AZ1430" i="24"/>
  <c r="AW1430" i="24"/>
  <c r="AV1430" i="24"/>
  <c r="AG1430" i="24"/>
  <c r="U1430" i="24"/>
  <c r="T1430" i="24"/>
  <c r="N1430" i="24"/>
  <c r="C1430" i="24"/>
  <c r="A1430" i="24"/>
  <c r="BP1429" i="24"/>
  <c r="BO1429" i="24"/>
  <c r="BA1429" i="24"/>
  <c r="AZ1429" i="24"/>
  <c r="AW1429" i="24"/>
  <c r="AV1429" i="24"/>
  <c r="AG1429" i="24"/>
  <c r="U1429" i="24"/>
  <c r="T1429" i="24"/>
  <c r="N1429" i="24"/>
  <c r="C1429" i="24"/>
  <c r="A1429" i="24"/>
  <c r="BP1428" i="24"/>
  <c r="BO1428" i="24"/>
  <c r="BA1428" i="24"/>
  <c r="AZ1428" i="24"/>
  <c r="AW1428" i="24"/>
  <c r="AV1428" i="24"/>
  <c r="AG1428" i="24"/>
  <c r="U1428" i="24"/>
  <c r="T1428" i="24"/>
  <c r="N1428" i="24"/>
  <c r="C1428" i="24"/>
  <c r="A1428" i="24"/>
  <c r="BP1427" i="24"/>
  <c r="BO1427" i="24"/>
  <c r="BA1427" i="24"/>
  <c r="AZ1427" i="24"/>
  <c r="AW1427" i="24"/>
  <c r="AV1427" i="24"/>
  <c r="AG1427" i="24"/>
  <c r="U1427" i="24"/>
  <c r="T1427" i="24"/>
  <c r="N1427" i="24"/>
  <c r="C1427" i="24"/>
  <c r="A1427" i="24"/>
  <c r="BP1426" i="24"/>
  <c r="BO1426" i="24"/>
  <c r="BA1426" i="24"/>
  <c r="AZ1426" i="24"/>
  <c r="AW1426" i="24"/>
  <c r="AV1426" i="24"/>
  <c r="AG1426" i="24"/>
  <c r="U1426" i="24"/>
  <c r="T1426" i="24"/>
  <c r="N1426" i="24"/>
  <c r="C1426" i="24"/>
  <c r="A1426" i="24"/>
  <c r="BP1425" i="24"/>
  <c r="BO1425" i="24"/>
  <c r="BA1425" i="24"/>
  <c r="AZ1425" i="24"/>
  <c r="AW1425" i="24"/>
  <c r="AV1425" i="24"/>
  <c r="AG1425" i="24"/>
  <c r="U1425" i="24"/>
  <c r="T1425" i="24"/>
  <c r="N1425" i="24"/>
  <c r="C1425" i="24"/>
  <c r="A1425" i="24"/>
  <c r="BP1424" i="24"/>
  <c r="BO1424" i="24"/>
  <c r="BA1424" i="24"/>
  <c r="AZ1424" i="24"/>
  <c r="AW1424" i="24"/>
  <c r="AV1424" i="24"/>
  <c r="AG1424" i="24"/>
  <c r="U1424" i="24"/>
  <c r="T1424" i="24"/>
  <c r="N1424" i="24"/>
  <c r="C1424" i="24"/>
  <c r="A1424" i="24"/>
  <c r="BP1423" i="24"/>
  <c r="BO1423" i="24"/>
  <c r="BA1423" i="24"/>
  <c r="AZ1423" i="24"/>
  <c r="AW1423" i="24"/>
  <c r="AV1423" i="24"/>
  <c r="AG1423" i="24"/>
  <c r="U1423" i="24"/>
  <c r="T1423" i="24"/>
  <c r="N1423" i="24"/>
  <c r="C1423" i="24"/>
  <c r="A1423" i="24"/>
  <c r="BP1422" i="24"/>
  <c r="BO1422" i="24"/>
  <c r="BA1422" i="24"/>
  <c r="AZ1422" i="24"/>
  <c r="AW1422" i="24"/>
  <c r="AV1422" i="24"/>
  <c r="AG1422" i="24"/>
  <c r="U1422" i="24"/>
  <c r="T1422" i="24"/>
  <c r="N1422" i="24"/>
  <c r="C1422" i="24"/>
  <c r="A1422" i="24"/>
  <c r="BP1421" i="24"/>
  <c r="BO1421" i="24"/>
  <c r="BA1421" i="24"/>
  <c r="AZ1421" i="24"/>
  <c r="AW1421" i="24"/>
  <c r="AV1421" i="24"/>
  <c r="AG1421" i="24"/>
  <c r="U1421" i="24"/>
  <c r="T1421" i="24"/>
  <c r="N1421" i="24"/>
  <c r="C1421" i="24"/>
  <c r="A1421" i="24"/>
  <c r="BP1420" i="24"/>
  <c r="BO1420" i="24"/>
  <c r="BA1420" i="24"/>
  <c r="AZ1420" i="24"/>
  <c r="AW1420" i="24"/>
  <c r="AV1420" i="24"/>
  <c r="AG1420" i="24"/>
  <c r="U1420" i="24"/>
  <c r="T1420" i="24"/>
  <c r="N1420" i="24"/>
  <c r="C1420" i="24"/>
  <c r="A1420" i="24"/>
  <c r="BP1419" i="24"/>
  <c r="BO1419" i="24"/>
  <c r="BA1419" i="24"/>
  <c r="AZ1419" i="24"/>
  <c r="AW1419" i="24"/>
  <c r="AV1419" i="24"/>
  <c r="AG1419" i="24"/>
  <c r="U1419" i="24"/>
  <c r="T1419" i="24"/>
  <c r="N1419" i="24"/>
  <c r="C1419" i="24"/>
  <c r="A1419" i="24"/>
  <c r="BP1418" i="24"/>
  <c r="BO1418" i="24"/>
  <c r="BA1418" i="24"/>
  <c r="AZ1418" i="24"/>
  <c r="AW1418" i="24"/>
  <c r="AV1418" i="24"/>
  <c r="AG1418" i="24"/>
  <c r="U1418" i="24"/>
  <c r="T1418" i="24"/>
  <c r="N1418" i="24"/>
  <c r="C1418" i="24"/>
  <c r="A1418" i="24"/>
  <c r="BP1417" i="24"/>
  <c r="BO1417" i="24"/>
  <c r="BA1417" i="24"/>
  <c r="AZ1417" i="24"/>
  <c r="AW1417" i="24"/>
  <c r="AV1417" i="24"/>
  <c r="AG1417" i="24"/>
  <c r="U1417" i="24"/>
  <c r="T1417" i="24"/>
  <c r="N1417" i="24"/>
  <c r="C1417" i="24"/>
  <c r="A1417" i="24"/>
  <c r="BP1416" i="24"/>
  <c r="BO1416" i="24"/>
  <c r="BA1416" i="24"/>
  <c r="AZ1416" i="24"/>
  <c r="AW1416" i="24"/>
  <c r="AV1416" i="24"/>
  <c r="AG1416" i="24"/>
  <c r="U1416" i="24"/>
  <c r="T1416" i="24"/>
  <c r="N1416" i="24"/>
  <c r="C1416" i="24"/>
  <c r="A1416" i="24"/>
  <c r="BP1415" i="24"/>
  <c r="BO1415" i="24"/>
  <c r="BA1415" i="24"/>
  <c r="AZ1415" i="24"/>
  <c r="AW1415" i="24"/>
  <c r="AV1415" i="24"/>
  <c r="AG1415" i="24"/>
  <c r="U1415" i="24"/>
  <c r="T1415" i="24"/>
  <c r="N1415" i="24"/>
  <c r="C1415" i="24"/>
  <c r="A1415" i="24"/>
  <c r="BP1414" i="24"/>
  <c r="BO1414" i="24"/>
  <c r="BA1414" i="24"/>
  <c r="AZ1414" i="24"/>
  <c r="AW1414" i="24"/>
  <c r="AV1414" i="24"/>
  <c r="AG1414" i="24"/>
  <c r="U1414" i="24"/>
  <c r="T1414" i="24"/>
  <c r="N1414" i="24"/>
  <c r="C1414" i="24"/>
  <c r="A1414" i="24"/>
  <c r="BP1413" i="24"/>
  <c r="BO1413" i="24"/>
  <c r="BA1413" i="24"/>
  <c r="AZ1413" i="24"/>
  <c r="AW1413" i="24"/>
  <c r="AV1413" i="24"/>
  <c r="AG1413" i="24"/>
  <c r="U1413" i="24"/>
  <c r="T1413" i="24"/>
  <c r="N1413" i="24"/>
  <c r="C1413" i="24"/>
  <c r="A1413" i="24"/>
  <c r="BP1412" i="24"/>
  <c r="BO1412" i="24"/>
  <c r="BA1412" i="24"/>
  <c r="AZ1412" i="24"/>
  <c r="AW1412" i="24"/>
  <c r="AV1412" i="24"/>
  <c r="AG1412" i="24"/>
  <c r="U1412" i="24"/>
  <c r="T1412" i="24"/>
  <c r="N1412" i="24"/>
  <c r="C1412" i="24"/>
  <c r="A1412" i="24"/>
  <c r="BP1411" i="24"/>
  <c r="BO1411" i="24"/>
  <c r="BA1411" i="24"/>
  <c r="AZ1411" i="24"/>
  <c r="AW1411" i="24"/>
  <c r="AV1411" i="24"/>
  <c r="AG1411" i="24"/>
  <c r="U1411" i="24"/>
  <c r="T1411" i="24"/>
  <c r="N1411" i="24"/>
  <c r="C1411" i="24"/>
  <c r="A1411" i="24"/>
  <c r="BP1410" i="24"/>
  <c r="BO1410" i="24"/>
  <c r="BA1410" i="24"/>
  <c r="AZ1410" i="24"/>
  <c r="AW1410" i="24"/>
  <c r="AV1410" i="24"/>
  <c r="AG1410" i="24"/>
  <c r="U1410" i="24"/>
  <c r="T1410" i="24"/>
  <c r="N1410" i="24"/>
  <c r="C1410" i="24"/>
  <c r="A1410" i="24"/>
  <c r="BP1409" i="24"/>
  <c r="BO1409" i="24"/>
  <c r="BA1409" i="24"/>
  <c r="AZ1409" i="24"/>
  <c r="AW1409" i="24"/>
  <c r="AV1409" i="24"/>
  <c r="AG1409" i="24"/>
  <c r="U1409" i="24"/>
  <c r="T1409" i="24"/>
  <c r="N1409" i="24"/>
  <c r="C1409" i="24"/>
  <c r="A1409" i="24"/>
  <c r="BP1408" i="24"/>
  <c r="BO1408" i="24"/>
  <c r="BA1408" i="24"/>
  <c r="AZ1408" i="24"/>
  <c r="AW1408" i="24"/>
  <c r="AV1408" i="24"/>
  <c r="AG1408" i="24"/>
  <c r="U1408" i="24"/>
  <c r="T1408" i="24"/>
  <c r="N1408" i="24"/>
  <c r="C1408" i="24"/>
  <c r="A1408" i="24"/>
  <c r="BP1407" i="24"/>
  <c r="BO1407" i="24"/>
  <c r="BA1407" i="24"/>
  <c r="AZ1407" i="24"/>
  <c r="AW1407" i="24"/>
  <c r="AV1407" i="24"/>
  <c r="AG1407" i="24"/>
  <c r="U1407" i="24"/>
  <c r="T1407" i="24"/>
  <c r="N1407" i="24"/>
  <c r="C1407" i="24"/>
  <c r="A1407" i="24"/>
  <c r="BP1406" i="24"/>
  <c r="BO1406" i="24"/>
  <c r="BA1406" i="24"/>
  <c r="AZ1406" i="24"/>
  <c r="AW1406" i="24"/>
  <c r="AV1406" i="24"/>
  <c r="AG1406" i="24"/>
  <c r="U1406" i="24"/>
  <c r="T1406" i="24"/>
  <c r="N1406" i="24"/>
  <c r="C1406" i="24"/>
  <c r="A1406" i="24"/>
  <c r="BP1405" i="24"/>
  <c r="BO1405" i="24"/>
  <c r="BA1405" i="24"/>
  <c r="AZ1405" i="24"/>
  <c r="AW1405" i="24"/>
  <c r="AV1405" i="24"/>
  <c r="AG1405" i="24"/>
  <c r="U1405" i="24"/>
  <c r="T1405" i="24"/>
  <c r="N1405" i="24"/>
  <c r="C1405" i="24"/>
  <c r="A1405" i="24"/>
  <c r="BP1404" i="24"/>
  <c r="BO1404" i="24"/>
  <c r="BA1404" i="24"/>
  <c r="AZ1404" i="24"/>
  <c r="AW1404" i="24"/>
  <c r="AV1404" i="24"/>
  <c r="AG1404" i="24"/>
  <c r="U1404" i="24"/>
  <c r="T1404" i="24"/>
  <c r="N1404" i="24"/>
  <c r="C1404" i="24"/>
  <c r="A1404" i="24"/>
  <c r="BP1403" i="24"/>
  <c r="BO1403" i="24"/>
  <c r="BA1403" i="24"/>
  <c r="AZ1403" i="24"/>
  <c r="AW1403" i="24"/>
  <c r="AV1403" i="24"/>
  <c r="AG1403" i="24"/>
  <c r="U1403" i="24"/>
  <c r="T1403" i="24"/>
  <c r="N1403" i="24"/>
  <c r="C1403" i="24"/>
  <c r="A1403" i="24"/>
  <c r="BP1402" i="24"/>
  <c r="BO1402" i="24"/>
  <c r="BA1402" i="24"/>
  <c r="AZ1402" i="24"/>
  <c r="AW1402" i="24"/>
  <c r="AV1402" i="24"/>
  <c r="AG1402" i="24"/>
  <c r="U1402" i="24"/>
  <c r="T1402" i="24"/>
  <c r="N1402" i="24"/>
  <c r="C1402" i="24"/>
  <c r="A1402" i="24"/>
  <c r="BP1401" i="24"/>
  <c r="BO1401" i="24"/>
  <c r="BA1401" i="24"/>
  <c r="AZ1401" i="24"/>
  <c r="AW1401" i="24"/>
  <c r="AV1401" i="24"/>
  <c r="AG1401" i="24"/>
  <c r="U1401" i="24"/>
  <c r="T1401" i="24"/>
  <c r="N1401" i="24"/>
  <c r="C1401" i="24"/>
  <c r="A1401" i="24"/>
  <c r="BP1400" i="24"/>
  <c r="BO1400" i="24"/>
  <c r="BA1400" i="24"/>
  <c r="AZ1400" i="24"/>
  <c r="AW1400" i="24"/>
  <c r="AV1400" i="24"/>
  <c r="AG1400" i="24"/>
  <c r="U1400" i="24"/>
  <c r="T1400" i="24"/>
  <c r="N1400" i="24"/>
  <c r="C1400" i="24"/>
  <c r="A1400" i="24"/>
  <c r="BP1399" i="24"/>
  <c r="BO1399" i="24"/>
  <c r="BA1399" i="24"/>
  <c r="AZ1399" i="24"/>
  <c r="AW1399" i="24"/>
  <c r="AV1399" i="24"/>
  <c r="AG1399" i="24"/>
  <c r="U1399" i="24"/>
  <c r="T1399" i="24"/>
  <c r="N1399" i="24"/>
  <c r="C1399" i="24"/>
  <c r="A1399" i="24"/>
  <c r="BP1398" i="24"/>
  <c r="BO1398" i="24"/>
  <c r="BA1398" i="24"/>
  <c r="AZ1398" i="24"/>
  <c r="AW1398" i="24"/>
  <c r="AV1398" i="24"/>
  <c r="AG1398" i="24"/>
  <c r="U1398" i="24"/>
  <c r="T1398" i="24"/>
  <c r="N1398" i="24"/>
  <c r="C1398" i="24"/>
  <c r="A1398" i="24"/>
  <c r="BP1397" i="24"/>
  <c r="BO1397" i="24"/>
  <c r="BA1397" i="24"/>
  <c r="AZ1397" i="24"/>
  <c r="AW1397" i="24"/>
  <c r="AV1397" i="24"/>
  <c r="AG1397" i="24"/>
  <c r="U1397" i="24"/>
  <c r="T1397" i="24"/>
  <c r="N1397" i="24"/>
  <c r="C1397" i="24"/>
  <c r="A1397" i="24"/>
  <c r="BP1396" i="24"/>
  <c r="BO1396" i="24"/>
  <c r="BA1396" i="24"/>
  <c r="AZ1396" i="24"/>
  <c r="AW1396" i="24"/>
  <c r="AV1396" i="24"/>
  <c r="AG1396" i="24"/>
  <c r="U1396" i="24"/>
  <c r="T1396" i="24"/>
  <c r="N1396" i="24"/>
  <c r="C1396" i="24"/>
  <c r="A1396" i="24"/>
  <c r="BP1395" i="24"/>
  <c r="BO1395" i="24"/>
  <c r="BA1395" i="24"/>
  <c r="AZ1395" i="24"/>
  <c r="AW1395" i="24"/>
  <c r="AV1395" i="24"/>
  <c r="AG1395" i="24"/>
  <c r="U1395" i="24"/>
  <c r="T1395" i="24"/>
  <c r="N1395" i="24"/>
  <c r="C1395" i="24"/>
  <c r="A1395" i="24"/>
  <c r="BP1394" i="24"/>
  <c r="BO1394" i="24"/>
  <c r="BA1394" i="24"/>
  <c r="AZ1394" i="24"/>
  <c r="AW1394" i="24"/>
  <c r="AV1394" i="24"/>
  <c r="AG1394" i="24"/>
  <c r="U1394" i="24"/>
  <c r="T1394" i="24"/>
  <c r="N1394" i="24"/>
  <c r="C1394" i="24"/>
  <c r="A1394" i="24"/>
  <c r="BP1393" i="24"/>
  <c r="BO1393" i="24"/>
  <c r="BA1393" i="24"/>
  <c r="AZ1393" i="24"/>
  <c r="AW1393" i="24"/>
  <c r="AV1393" i="24"/>
  <c r="AG1393" i="24"/>
  <c r="U1393" i="24"/>
  <c r="T1393" i="24"/>
  <c r="N1393" i="24"/>
  <c r="C1393" i="24"/>
  <c r="A1393" i="24"/>
  <c r="BP1392" i="24"/>
  <c r="BO1392" i="24"/>
  <c r="BA1392" i="24"/>
  <c r="AZ1392" i="24"/>
  <c r="AW1392" i="24"/>
  <c r="AV1392" i="24"/>
  <c r="AG1392" i="24"/>
  <c r="U1392" i="24"/>
  <c r="T1392" i="24"/>
  <c r="N1392" i="24"/>
  <c r="C1392" i="24"/>
  <c r="A1392" i="24"/>
  <c r="BP1391" i="24"/>
  <c r="BO1391" i="24"/>
  <c r="BA1391" i="24"/>
  <c r="AZ1391" i="24"/>
  <c r="AW1391" i="24"/>
  <c r="AV1391" i="24"/>
  <c r="AG1391" i="24"/>
  <c r="U1391" i="24"/>
  <c r="T1391" i="24"/>
  <c r="N1391" i="24"/>
  <c r="C1391" i="24"/>
  <c r="A1391" i="24"/>
  <c r="BP1390" i="24"/>
  <c r="BO1390" i="24"/>
  <c r="BA1390" i="24"/>
  <c r="AZ1390" i="24"/>
  <c r="AW1390" i="24"/>
  <c r="AV1390" i="24"/>
  <c r="AG1390" i="24"/>
  <c r="U1390" i="24"/>
  <c r="T1390" i="24"/>
  <c r="N1390" i="24"/>
  <c r="C1390" i="24"/>
  <c r="A1390" i="24"/>
  <c r="BP1389" i="24"/>
  <c r="BO1389" i="24"/>
  <c r="BA1389" i="24"/>
  <c r="AZ1389" i="24"/>
  <c r="AW1389" i="24"/>
  <c r="AV1389" i="24"/>
  <c r="AG1389" i="24"/>
  <c r="U1389" i="24"/>
  <c r="T1389" i="24"/>
  <c r="N1389" i="24"/>
  <c r="C1389" i="24"/>
  <c r="A1389" i="24"/>
  <c r="BP1388" i="24"/>
  <c r="BO1388" i="24"/>
  <c r="BA1388" i="24"/>
  <c r="AZ1388" i="24"/>
  <c r="AW1388" i="24"/>
  <c r="AV1388" i="24"/>
  <c r="AG1388" i="24"/>
  <c r="U1388" i="24"/>
  <c r="T1388" i="24"/>
  <c r="N1388" i="24"/>
  <c r="C1388" i="24"/>
  <c r="A1388" i="24"/>
  <c r="BP1387" i="24"/>
  <c r="BO1387" i="24"/>
  <c r="BA1387" i="24"/>
  <c r="AZ1387" i="24"/>
  <c r="AW1387" i="24"/>
  <c r="AV1387" i="24"/>
  <c r="AG1387" i="24"/>
  <c r="U1387" i="24"/>
  <c r="T1387" i="24"/>
  <c r="N1387" i="24"/>
  <c r="C1387" i="24"/>
  <c r="A1387" i="24"/>
  <c r="BP1386" i="24"/>
  <c r="BO1386" i="24"/>
  <c r="BA1386" i="24"/>
  <c r="AZ1386" i="24"/>
  <c r="AW1386" i="24"/>
  <c r="AV1386" i="24"/>
  <c r="AG1386" i="24"/>
  <c r="U1386" i="24"/>
  <c r="T1386" i="24"/>
  <c r="N1386" i="24"/>
  <c r="C1386" i="24"/>
  <c r="A1386" i="24"/>
  <c r="BP1385" i="24"/>
  <c r="BO1385" i="24"/>
  <c r="BA1385" i="24"/>
  <c r="AZ1385" i="24"/>
  <c r="AW1385" i="24"/>
  <c r="AV1385" i="24"/>
  <c r="AG1385" i="24"/>
  <c r="U1385" i="24"/>
  <c r="T1385" i="24"/>
  <c r="N1385" i="24"/>
  <c r="C1385" i="24"/>
  <c r="A1385" i="24"/>
  <c r="BP1384" i="24"/>
  <c r="BO1384" i="24"/>
  <c r="BA1384" i="24"/>
  <c r="AZ1384" i="24"/>
  <c r="AW1384" i="24"/>
  <c r="AV1384" i="24"/>
  <c r="AG1384" i="24"/>
  <c r="U1384" i="24"/>
  <c r="T1384" i="24"/>
  <c r="N1384" i="24"/>
  <c r="C1384" i="24"/>
  <c r="A1384" i="24"/>
  <c r="BP1383" i="24"/>
  <c r="BO1383" i="24"/>
  <c r="BA1383" i="24"/>
  <c r="AZ1383" i="24"/>
  <c r="AW1383" i="24"/>
  <c r="AV1383" i="24"/>
  <c r="AG1383" i="24"/>
  <c r="U1383" i="24"/>
  <c r="T1383" i="24"/>
  <c r="N1383" i="24"/>
  <c r="C1383" i="24"/>
  <c r="A1383" i="24"/>
  <c r="BP1382" i="24"/>
  <c r="BO1382" i="24"/>
  <c r="BA1382" i="24"/>
  <c r="AZ1382" i="24"/>
  <c r="AW1382" i="24"/>
  <c r="AV1382" i="24"/>
  <c r="AG1382" i="24"/>
  <c r="U1382" i="24"/>
  <c r="T1382" i="24"/>
  <c r="N1382" i="24"/>
  <c r="C1382" i="24"/>
  <c r="A1382" i="24"/>
  <c r="BP1381" i="24"/>
  <c r="BO1381" i="24"/>
  <c r="BA1381" i="24"/>
  <c r="AZ1381" i="24"/>
  <c r="AW1381" i="24"/>
  <c r="AV1381" i="24"/>
  <c r="AG1381" i="24"/>
  <c r="U1381" i="24"/>
  <c r="T1381" i="24"/>
  <c r="N1381" i="24"/>
  <c r="C1381" i="24"/>
  <c r="A1381" i="24"/>
  <c r="BP1380" i="24"/>
  <c r="BO1380" i="24"/>
  <c r="BA1380" i="24"/>
  <c r="AZ1380" i="24"/>
  <c r="AW1380" i="24"/>
  <c r="AV1380" i="24"/>
  <c r="AG1380" i="24"/>
  <c r="U1380" i="24"/>
  <c r="T1380" i="24"/>
  <c r="N1380" i="24"/>
  <c r="C1380" i="24"/>
  <c r="A1380" i="24"/>
  <c r="BP1379" i="24"/>
  <c r="BO1379" i="24"/>
  <c r="BA1379" i="24"/>
  <c r="AZ1379" i="24"/>
  <c r="AW1379" i="24"/>
  <c r="AV1379" i="24"/>
  <c r="AG1379" i="24"/>
  <c r="U1379" i="24"/>
  <c r="T1379" i="24"/>
  <c r="N1379" i="24"/>
  <c r="C1379" i="24"/>
  <c r="A1379" i="24"/>
  <c r="BP1378" i="24"/>
  <c r="BO1378" i="24"/>
  <c r="BA1378" i="24"/>
  <c r="AZ1378" i="24"/>
  <c r="AW1378" i="24"/>
  <c r="AV1378" i="24"/>
  <c r="AG1378" i="24"/>
  <c r="U1378" i="24"/>
  <c r="T1378" i="24"/>
  <c r="N1378" i="24"/>
  <c r="C1378" i="24"/>
  <c r="A1378" i="24"/>
  <c r="BP1377" i="24"/>
  <c r="BO1377" i="24"/>
  <c r="BA1377" i="24"/>
  <c r="AZ1377" i="24"/>
  <c r="AW1377" i="24"/>
  <c r="AV1377" i="24"/>
  <c r="AG1377" i="24"/>
  <c r="U1377" i="24"/>
  <c r="T1377" i="24"/>
  <c r="N1377" i="24"/>
  <c r="C1377" i="24"/>
  <c r="A1377" i="24"/>
  <c r="BP1376" i="24"/>
  <c r="BO1376" i="24"/>
  <c r="BA1376" i="24"/>
  <c r="AZ1376" i="24"/>
  <c r="AW1376" i="24"/>
  <c r="AV1376" i="24"/>
  <c r="AG1376" i="24"/>
  <c r="U1376" i="24"/>
  <c r="T1376" i="24"/>
  <c r="N1376" i="24"/>
  <c r="C1376" i="24"/>
  <c r="A1376" i="24"/>
  <c r="BP1375" i="24"/>
  <c r="BO1375" i="24"/>
  <c r="BA1375" i="24"/>
  <c r="AZ1375" i="24"/>
  <c r="AW1375" i="24"/>
  <c r="AV1375" i="24"/>
  <c r="AG1375" i="24"/>
  <c r="U1375" i="24"/>
  <c r="T1375" i="24"/>
  <c r="N1375" i="24"/>
  <c r="C1375" i="24"/>
  <c r="A1375" i="24"/>
  <c r="BP1374" i="24"/>
  <c r="BO1374" i="24"/>
  <c r="BA1374" i="24"/>
  <c r="AZ1374" i="24"/>
  <c r="AW1374" i="24"/>
  <c r="AV1374" i="24"/>
  <c r="AG1374" i="24"/>
  <c r="U1374" i="24"/>
  <c r="T1374" i="24"/>
  <c r="N1374" i="24"/>
  <c r="C1374" i="24"/>
  <c r="A1374" i="24"/>
  <c r="BP1373" i="24"/>
  <c r="BO1373" i="24"/>
  <c r="BA1373" i="24"/>
  <c r="AZ1373" i="24"/>
  <c r="AW1373" i="24"/>
  <c r="AV1373" i="24"/>
  <c r="AG1373" i="24"/>
  <c r="U1373" i="24"/>
  <c r="T1373" i="24"/>
  <c r="N1373" i="24"/>
  <c r="C1373" i="24"/>
  <c r="A1373" i="24"/>
  <c r="BP1372" i="24"/>
  <c r="BO1372" i="24"/>
  <c r="BA1372" i="24"/>
  <c r="AZ1372" i="24"/>
  <c r="AW1372" i="24"/>
  <c r="AV1372" i="24"/>
  <c r="AG1372" i="24"/>
  <c r="U1372" i="24"/>
  <c r="T1372" i="24"/>
  <c r="N1372" i="24"/>
  <c r="C1372" i="24"/>
  <c r="A1372" i="24"/>
  <c r="BP1371" i="24"/>
  <c r="BO1371" i="24"/>
  <c r="BA1371" i="24"/>
  <c r="AZ1371" i="24"/>
  <c r="AW1371" i="24"/>
  <c r="AV1371" i="24"/>
  <c r="AG1371" i="24"/>
  <c r="U1371" i="24"/>
  <c r="T1371" i="24"/>
  <c r="N1371" i="24"/>
  <c r="C1371" i="24"/>
  <c r="A1371" i="24"/>
  <c r="BP1370" i="24"/>
  <c r="BO1370" i="24"/>
  <c r="BA1370" i="24"/>
  <c r="AZ1370" i="24"/>
  <c r="AW1370" i="24"/>
  <c r="AV1370" i="24"/>
  <c r="AG1370" i="24"/>
  <c r="U1370" i="24"/>
  <c r="T1370" i="24"/>
  <c r="N1370" i="24"/>
  <c r="C1370" i="24"/>
  <c r="A1370" i="24"/>
  <c r="BP1369" i="24"/>
  <c r="BO1369" i="24"/>
  <c r="BA1369" i="24"/>
  <c r="AZ1369" i="24"/>
  <c r="AW1369" i="24"/>
  <c r="AV1369" i="24"/>
  <c r="AG1369" i="24"/>
  <c r="U1369" i="24"/>
  <c r="T1369" i="24"/>
  <c r="N1369" i="24"/>
  <c r="C1369" i="24"/>
  <c r="A1369" i="24"/>
  <c r="BP1368" i="24"/>
  <c r="BO1368" i="24"/>
  <c r="BA1368" i="24"/>
  <c r="AZ1368" i="24"/>
  <c r="AW1368" i="24"/>
  <c r="AV1368" i="24"/>
  <c r="AG1368" i="24"/>
  <c r="U1368" i="24"/>
  <c r="T1368" i="24"/>
  <c r="N1368" i="24"/>
  <c r="C1368" i="24"/>
  <c r="A1368" i="24"/>
  <c r="BP1367" i="24"/>
  <c r="BO1367" i="24"/>
  <c r="BA1367" i="24"/>
  <c r="AZ1367" i="24"/>
  <c r="AW1367" i="24"/>
  <c r="AV1367" i="24"/>
  <c r="AG1367" i="24"/>
  <c r="U1367" i="24"/>
  <c r="T1367" i="24"/>
  <c r="N1367" i="24"/>
  <c r="C1367" i="24"/>
  <c r="A1367" i="24"/>
  <c r="BP1366" i="24"/>
  <c r="BO1366" i="24"/>
  <c r="BA1366" i="24"/>
  <c r="AZ1366" i="24"/>
  <c r="AW1366" i="24"/>
  <c r="AV1366" i="24"/>
  <c r="AG1366" i="24"/>
  <c r="U1366" i="24"/>
  <c r="T1366" i="24"/>
  <c r="N1366" i="24"/>
  <c r="C1366" i="24"/>
  <c r="A1366" i="24"/>
  <c r="BP1365" i="24"/>
  <c r="BO1365" i="24"/>
  <c r="BA1365" i="24"/>
  <c r="AZ1365" i="24"/>
  <c r="AW1365" i="24"/>
  <c r="AV1365" i="24"/>
  <c r="AG1365" i="24"/>
  <c r="U1365" i="24"/>
  <c r="T1365" i="24"/>
  <c r="N1365" i="24"/>
  <c r="C1365" i="24"/>
  <c r="A1365" i="24"/>
  <c r="BP1364" i="24"/>
  <c r="BO1364" i="24"/>
  <c r="BA1364" i="24"/>
  <c r="AZ1364" i="24"/>
  <c r="AW1364" i="24"/>
  <c r="AV1364" i="24"/>
  <c r="AG1364" i="24"/>
  <c r="U1364" i="24"/>
  <c r="T1364" i="24"/>
  <c r="N1364" i="24"/>
  <c r="C1364" i="24"/>
  <c r="A1364" i="24"/>
  <c r="BP1363" i="24"/>
  <c r="BO1363" i="24"/>
  <c r="BA1363" i="24"/>
  <c r="AZ1363" i="24"/>
  <c r="AW1363" i="24"/>
  <c r="AV1363" i="24"/>
  <c r="AG1363" i="24"/>
  <c r="U1363" i="24"/>
  <c r="T1363" i="24"/>
  <c r="N1363" i="24"/>
  <c r="C1363" i="24"/>
  <c r="A1363" i="24"/>
  <c r="BP1362" i="24"/>
  <c r="BO1362" i="24"/>
  <c r="BA1362" i="24"/>
  <c r="AZ1362" i="24"/>
  <c r="AW1362" i="24"/>
  <c r="AV1362" i="24"/>
  <c r="AG1362" i="24"/>
  <c r="U1362" i="24"/>
  <c r="T1362" i="24"/>
  <c r="N1362" i="24"/>
  <c r="C1362" i="24"/>
  <c r="A1362" i="24"/>
  <c r="BP1361" i="24"/>
  <c r="BO1361" i="24"/>
  <c r="BA1361" i="24"/>
  <c r="AZ1361" i="24"/>
  <c r="AW1361" i="24"/>
  <c r="AV1361" i="24"/>
  <c r="AG1361" i="24"/>
  <c r="U1361" i="24"/>
  <c r="T1361" i="24"/>
  <c r="N1361" i="24"/>
  <c r="C1361" i="24"/>
  <c r="A1361" i="24"/>
  <c r="BP1360" i="24"/>
  <c r="BO1360" i="24"/>
  <c r="BA1360" i="24"/>
  <c r="AZ1360" i="24"/>
  <c r="AW1360" i="24"/>
  <c r="AV1360" i="24"/>
  <c r="AG1360" i="24"/>
  <c r="U1360" i="24"/>
  <c r="T1360" i="24"/>
  <c r="N1360" i="24"/>
  <c r="C1360" i="24"/>
  <c r="A1360" i="24"/>
  <c r="BP1359" i="24"/>
  <c r="BO1359" i="24"/>
  <c r="BA1359" i="24"/>
  <c r="AZ1359" i="24"/>
  <c r="AW1359" i="24"/>
  <c r="AV1359" i="24"/>
  <c r="AG1359" i="24"/>
  <c r="U1359" i="24"/>
  <c r="T1359" i="24"/>
  <c r="N1359" i="24"/>
  <c r="C1359" i="24"/>
  <c r="A1359" i="24"/>
  <c r="BP1358" i="24"/>
  <c r="BO1358" i="24"/>
  <c r="BA1358" i="24"/>
  <c r="AZ1358" i="24"/>
  <c r="AW1358" i="24"/>
  <c r="AV1358" i="24"/>
  <c r="AG1358" i="24"/>
  <c r="U1358" i="24"/>
  <c r="T1358" i="24"/>
  <c r="N1358" i="24"/>
  <c r="C1358" i="24"/>
  <c r="A1358" i="24"/>
  <c r="BP1357" i="24"/>
  <c r="BO1357" i="24"/>
  <c r="BA1357" i="24"/>
  <c r="AZ1357" i="24"/>
  <c r="AW1357" i="24"/>
  <c r="AV1357" i="24"/>
  <c r="AG1357" i="24"/>
  <c r="U1357" i="24"/>
  <c r="T1357" i="24"/>
  <c r="N1357" i="24"/>
  <c r="C1357" i="24"/>
  <c r="A1357" i="24"/>
  <c r="BP1356" i="24"/>
  <c r="BO1356" i="24"/>
  <c r="BA1356" i="24"/>
  <c r="AZ1356" i="24"/>
  <c r="AW1356" i="24"/>
  <c r="AV1356" i="24"/>
  <c r="AG1356" i="24"/>
  <c r="U1356" i="24"/>
  <c r="T1356" i="24"/>
  <c r="N1356" i="24"/>
  <c r="C1356" i="24"/>
  <c r="A1356" i="24"/>
  <c r="BP1355" i="24"/>
  <c r="BO1355" i="24"/>
  <c r="BA1355" i="24"/>
  <c r="AZ1355" i="24"/>
  <c r="AW1355" i="24"/>
  <c r="AV1355" i="24"/>
  <c r="AG1355" i="24"/>
  <c r="U1355" i="24"/>
  <c r="T1355" i="24"/>
  <c r="N1355" i="24"/>
  <c r="C1355" i="24"/>
  <c r="A1355" i="24"/>
  <c r="BP1354" i="24"/>
  <c r="BO1354" i="24"/>
  <c r="BA1354" i="24"/>
  <c r="AZ1354" i="24"/>
  <c r="AW1354" i="24"/>
  <c r="AV1354" i="24"/>
  <c r="AG1354" i="24"/>
  <c r="U1354" i="24"/>
  <c r="T1354" i="24"/>
  <c r="N1354" i="24"/>
  <c r="C1354" i="24"/>
  <c r="A1354" i="24"/>
  <c r="BP1353" i="24"/>
  <c r="BO1353" i="24"/>
  <c r="BA1353" i="24"/>
  <c r="AZ1353" i="24"/>
  <c r="AW1353" i="24"/>
  <c r="AV1353" i="24"/>
  <c r="AG1353" i="24"/>
  <c r="U1353" i="24"/>
  <c r="T1353" i="24"/>
  <c r="N1353" i="24"/>
  <c r="C1353" i="24"/>
  <c r="A1353" i="24"/>
  <c r="BP1352" i="24"/>
  <c r="BO1352" i="24"/>
  <c r="BA1352" i="24"/>
  <c r="AZ1352" i="24"/>
  <c r="AW1352" i="24"/>
  <c r="AV1352" i="24"/>
  <c r="AG1352" i="24"/>
  <c r="U1352" i="24"/>
  <c r="T1352" i="24"/>
  <c r="N1352" i="24"/>
  <c r="C1352" i="24"/>
  <c r="A1352" i="24"/>
  <c r="BP1351" i="24"/>
  <c r="BO1351" i="24"/>
  <c r="BA1351" i="24"/>
  <c r="AZ1351" i="24"/>
  <c r="AW1351" i="24"/>
  <c r="AV1351" i="24"/>
  <c r="AG1351" i="24"/>
  <c r="U1351" i="24"/>
  <c r="T1351" i="24"/>
  <c r="N1351" i="24"/>
  <c r="C1351" i="24"/>
  <c r="A1351" i="24"/>
  <c r="BP1350" i="24"/>
  <c r="BO1350" i="24"/>
  <c r="BA1350" i="24"/>
  <c r="AZ1350" i="24"/>
  <c r="AW1350" i="24"/>
  <c r="AV1350" i="24"/>
  <c r="AG1350" i="24"/>
  <c r="U1350" i="24"/>
  <c r="T1350" i="24"/>
  <c r="N1350" i="24"/>
  <c r="C1350" i="24"/>
  <c r="A1350" i="24"/>
  <c r="BP1349" i="24"/>
  <c r="BO1349" i="24"/>
  <c r="BA1349" i="24"/>
  <c r="AZ1349" i="24"/>
  <c r="AW1349" i="24"/>
  <c r="AV1349" i="24"/>
  <c r="AG1349" i="24"/>
  <c r="U1349" i="24"/>
  <c r="T1349" i="24"/>
  <c r="N1349" i="24"/>
  <c r="C1349" i="24"/>
  <c r="A1349" i="24"/>
  <c r="BP1348" i="24"/>
  <c r="BO1348" i="24"/>
  <c r="BA1348" i="24"/>
  <c r="AZ1348" i="24"/>
  <c r="AW1348" i="24"/>
  <c r="AV1348" i="24"/>
  <c r="AG1348" i="24"/>
  <c r="U1348" i="24"/>
  <c r="T1348" i="24"/>
  <c r="N1348" i="24"/>
  <c r="C1348" i="24"/>
  <c r="A1348" i="24"/>
  <c r="BP1347" i="24"/>
  <c r="BO1347" i="24"/>
  <c r="BA1347" i="24"/>
  <c r="AZ1347" i="24"/>
  <c r="AW1347" i="24"/>
  <c r="AV1347" i="24"/>
  <c r="AG1347" i="24"/>
  <c r="U1347" i="24"/>
  <c r="T1347" i="24"/>
  <c r="N1347" i="24"/>
  <c r="C1347" i="24"/>
  <c r="A1347" i="24"/>
  <c r="BP1346" i="24"/>
  <c r="BO1346" i="24"/>
  <c r="BA1346" i="24"/>
  <c r="AZ1346" i="24"/>
  <c r="AW1346" i="24"/>
  <c r="AV1346" i="24"/>
  <c r="AG1346" i="24"/>
  <c r="U1346" i="24"/>
  <c r="T1346" i="24"/>
  <c r="N1346" i="24"/>
  <c r="C1346" i="24"/>
  <c r="A1346" i="24"/>
  <c r="BP1345" i="24"/>
  <c r="BO1345" i="24"/>
  <c r="BA1345" i="24"/>
  <c r="AZ1345" i="24"/>
  <c r="AW1345" i="24"/>
  <c r="AV1345" i="24"/>
  <c r="AG1345" i="24"/>
  <c r="U1345" i="24"/>
  <c r="T1345" i="24"/>
  <c r="N1345" i="24"/>
  <c r="C1345" i="24"/>
  <c r="A1345" i="24"/>
  <c r="BP1344" i="24"/>
  <c r="BO1344" i="24"/>
  <c r="BA1344" i="24"/>
  <c r="AZ1344" i="24"/>
  <c r="AW1344" i="24"/>
  <c r="AV1344" i="24"/>
  <c r="AG1344" i="24"/>
  <c r="U1344" i="24"/>
  <c r="T1344" i="24"/>
  <c r="N1344" i="24"/>
  <c r="C1344" i="24"/>
  <c r="A1344" i="24"/>
  <c r="BP1343" i="24"/>
  <c r="BO1343" i="24"/>
  <c r="BA1343" i="24"/>
  <c r="AZ1343" i="24"/>
  <c r="AW1343" i="24"/>
  <c r="AV1343" i="24"/>
  <c r="AG1343" i="24"/>
  <c r="U1343" i="24"/>
  <c r="T1343" i="24"/>
  <c r="N1343" i="24"/>
  <c r="C1343" i="24"/>
  <c r="A1343" i="24"/>
  <c r="BP1342" i="24"/>
  <c r="BO1342" i="24"/>
  <c r="BA1342" i="24"/>
  <c r="AZ1342" i="24"/>
  <c r="AW1342" i="24"/>
  <c r="AV1342" i="24"/>
  <c r="AG1342" i="24"/>
  <c r="U1342" i="24"/>
  <c r="T1342" i="24"/>
  <c r="N1342" i="24"/>
  <c r="C1342" i="24"/>
  <c r="A1342" i="24"/>
  <c r="BP1341" i="24"/>
  <c r="BO1341" i="24"/>
  <c r="BA1341" i="24"/>
  <c r="AZ1341" i="24"/>
  <c r="AW1341" i="24"/>
  <c r="AV1341" i="24"/>
  <c r="AG1341" i="24"/>
  <c r="U1341" i="24"/>
  <c r="T1341" i="24"/>
  <c r="N1341" i="24"/>
  <c r="C1341" i="24"/>
  <c r="A1341" i="24"/>
  <c r="BP1340" i="24"/>
  <c r="BO1340" i="24"/>
  <c r="BA1340" i="24"/>
  <c r="AZ1340" i="24"/>
  <c r="AW1340" i="24"/>
  <c r="AV1340" i="24"/>
  <c r="AG1340" i="24"/>
  <c r="U1340" i="24"/>
  <c r="T1340" i="24"/>
  <c r="N1340" i="24"/>
  <c r="C1340" i="24"/>
  <c r="A1340" i="24"/>
  <c r="BP1339" i="24"/>
  <c r="BO1339" i="24"/>
  <c r="BA1339" i="24"/>
  <c r="AZ1339" i="24"/>
  <c r="AW1339" i="24"/>
  <c r="AV1339" i="24"/>
  <c r="AG1339" i="24"/>
  <c r="U1339" i="24"/>
  <c r="T1339" i="24"/>
  <c r="N1339" i="24"/>
  <c r="C1339" i="24"/>
  <c r="A1339" i="24"/>
  <c r="BP1338" i="24"/>
  <c r="BO1338" i="24"/>
  <c r="BA1338" i="24"/>
  <c r="AZ1338" i="24"/>
  <c r="AW1338" i="24"/>
  <c r="AV1338" i="24"/>
  <c r="AG1338" i="24"/>
  <c r="U1338" i="24"/>
  <c r="T1338" i="24"/>
  <c r="N1338" i="24"/>
  <c r="C1338" i="24"/>
  <c r="A1338" i="24"/>
  <c r="BP1337" i="24"/>
  <c r="BO1337" i="24"/>
  <c r="BA1337" i="24"/>
  <c r="AZ1337" i="24"/>
  <c r="AW1337" i="24"/>
  <c r="AV1337" i="24"/>
  <c r="AG1337" i="24"/>
  <c r="U1337" i="24"/>
  <c r="T1337" i="24"/>
  <c r="N1337" i="24"/>
  <c r="C1337" i="24"/>
  <c r="A1337" i="24"/>
  <c r="BP1336" i="24"/>
  <c r="BO1336" i="24"/>
  <c r="BA1336" i="24"/>
  <c r="AZ1336" i="24"/>
  <c r="AW1336" i="24"/>
  <c r="AV1336" i="24"/>
  <c r="AG1336" i="24"/>
  <c r="U1336" i="24"/>
  <c r="T1336" i="24"/>
  <c r="N1336" i="24"/>
  <c r="C1336" i="24"/>
  <c r="A1336" i="24"/>
  <c r="BP1335" i="24"/>
  <c r="BO1335" i="24"/>
  <c r="BA1335" i="24"/>
  <c r="AZ1335" i="24"/>
  <c r="AW1335" i="24"/>
  <c r="AV1335" i="24"/>
  <c r="AG1335" i="24"/>
  <c r="U1335" i="24"/>
  <c r="T1335" i="24"/>
  <c r="N1335" i="24"/>
  <c r="C1335" i="24"/>
  <c r="A1335" i="24"/>
  <c r="BP1334" i="24"/>
  <c r="BO1334" i="24"/>
  <c r="BA1334" i="24"/>
  <c r="AZ1334" i="24"/>
  <c r="AW1334" i="24"/>
  <c r="AV1334" i="24"/>
  <c r="AG1334" i="24"/>
  <c r="U1334" i="24"/>
  <c r="T1334" i="24"/>
  <c r="N1334" i="24"/>
  <c r="C1334" i="24"/>
  <c r="A1334" i="24"/>
  <c r="BP1333" i="24"/>
  <c r="BO1333" i="24"/>
  <c r="BA1333" i="24"/>
  <c r="AZ1333" i="24"/>
  <c r="AW1333" i="24"/>
  <c r="AV1333" i="24"/>
  <c r="AG1333" i="24"/>
  <c r="U1333" i="24"/>
  <c r="T1333" i="24"/>
  <c r="N1333" i="24"/>
  <c r="C1333" i="24"/>
  <c r="A1333" i="24"/>
  <c r="BP1332" i="24"/>
  <c r="BO1332" i="24"/>
  <c r="BA1332" i="24"/>
  <c r="AZ1332" i="24"/>
  <c r="AW1332" i="24"/>
  <c r="AV1332" i="24"/>
  <c r="AG1332" i="24"/>
  <c r="U1332" i="24"/>
  <c r="T1332" i="24"/>
  <c r="N1332" i="24"/>
  <c r="C1332" i="24"/>
  <c r="A1332" i="24"/>
  <c r="BP1331" i="24"/>
  <c r="BO1331" i="24"/>
  <c r="BA1331" i="24"/>
  <c r="AZ1331" i="24"/>
  <c r="AW1331" i="24"/>
  <c r="AV1331" i="24"/>
  <c r="AG1331" i="24"/>
  <c r="U1331" i="24"/>
  <c r="T1331" i="24"/>
  <c r="N1331" i="24"/>
  <c r="C1331" i="24"/>
  <c r="A1331" i="24"/>
  <c r="BP1330" i="24"/>
  <c r="BO1330" i="24"/>
  <c r="BA1330" i="24"/>
  <c r="AZ1330" i="24"/>
  <c r="AW1330" i="24"/>
  <c r="AV1330" i="24"/>
  <c r="AG1330" i="24"/>
  <c r="U1330" i="24"/>
  <c r="T1330" i="24"/>
  <c r="N1330" i="24"/>
  <c r="C1330" i="24"/>
  <c r="A1330" i="24"/>
  <c r="BP1329" i="24"/>
  <c r="BO1329" i="24"/>
  <c r="BA1329" i="24"/>
  <c r="AZ1329" i="24"/>
  <c r="AW1329" i="24"/>
  <c r="AV1329" i="24"/>
  <c r="AG1329" i="24"/>
  <c r="U1329" i="24"/>
  <c r="T1329" i="24"/>
  <c r="N1329" i="24"/>
  <c r="C1329" i="24"/>
  <c r="A1329" i="24"/>
  <c r="BP1328" i="24"/>
  <c r="BO1328" i="24"/>
  <c r="BA1328" i="24"/>
  <c r="AZ1328" i="24"/>
  <c r="AW1328" i="24"/>
  <c r="AV1328" i="24"/>
  <c r="AG1328" i="24"/>
  <c r="U1328" i="24"/>
  <c r="T1328" i="24"/>
  <c r="N1328" i="24"/>
  <c r="C1328" i="24"/>
  <c r="A1328" i="24"/>
  <c r="BP1327" i="24"/>
  <c r="BO1327" i="24"/>
  <c r="BA1327" i="24"/>
  <c r="AZ1327" i="24"/>
  <c r="AW1327" i="24"/>
  <c r="AV1327" i="24"/>
  <c r="AG1327" i="24"/>
  <c r="U1327" i="24"/>
  <c r="T1327" i="24"/>
  <c r="N1327" i="24"/>
  <c r="C1327" i="24"/>
  <c r="A1327" i="24"/>
  <c r="BP1326" i="24"/>
  <c r="BO1326" i="24"/>
  <c r="BA1326" i="24"/>
  <c r="AZ1326" i="24"/>
  <c r="AW1326" i="24"/>
  <c r="AV1326" i="24"/>
  <c r="AG1326" i="24"/>
  <c r="U1326" i="24"/>
  <c r="T1326" i="24"/>
  <c r="N1326" i="24"/>
  <c r="C1326" i="24"/>
  <c r="A1326" i="24"/>
  <c r="BP1325" i="24"/>
  <c r="BO1325" i="24"/>
  <c r="BA1325" i="24"/>
  <c r="AZ1325" i="24"/>
  <c r="AW1325" i="24"/>
  <c r="AV1325" i="24"/>
  <c r="AG1325" i="24"/>
  <c r="U1325" i="24"/>
  <c r="T1325" i="24"/>
  <c r="N1325" i="24"/>
  <c r="C1325" i="24"/>
  <c r="A1325" i="24"/>
  <c r="BP1324" i="24"/>
  <c r="BO1324" i="24"/>
  <c r="BA1324" i="24"/>
  <c r="AZ1324" i="24"/>
  <c r="AW1324" i="24"/>
  <c r="AV1324" i="24"/>
  <c r="AG1324" i="24"/>
  <c r="U1324" i="24"/>
  <c r="T1324" i="24"/>
  <c r="N1324" i="24"/>
  <c r="C1324" i="24"/>
  <c r="A1324" i="24"/>
  <c r="BP1323" i="24"/>
  <c r="BO1323" i="24"/>
  <c r="BA1323" i="24"/>
  <c r="AZ1323" i="24"/>
  <c r="AW1323" i="24"/>
  <c r="AV1323" i="24"/>
  <c r="AG1323" i="24"/>
  <c r="U1323" i="24"/>
  <c r="T1323" i="24"/>
  <c r="N1323" i="24"/>
  <c r="C1323" i="24"/>
  <c r="A1323" i="24"/>
  <c r="BP1322" i="24"/>
  <c r="BO1322" i="24"/>
  <c r="BA1322" i="24"/>
  <c r="AZ1322" i="24"/>
  <c r="AW1322" i="24"/>
  <c r="AV1322" i="24"/>
  <c r="AG1322" i="24"/>
  <c r="U1322" i="24"/>
  <c r="T1322" i="24"/>
  <c r="N1322" i="24"/>
  <c r="C1322" i="24"/>
  <c r="A1322" i="24"/>
  <c r="BP1321" i="24"/>
  <c r="BO1321" i="24"/>
  <c r="BA1321" i="24"/>
  <c r="AZ1321" i="24"/>
  <c r="AW1321" i="24"/>
  <c r="AV1321" i="24"/>
  <c r="AG1321" i="24"/>
  <c r="U1321" i="24"/>
  <c r="T1321" i="24"/>
  <c r="N1321" i="24"/>
  <c r="C1321" i="24"/>
  <c r="A1321" i="24"/>
  <c r="BP1320" i="24"/>
  <c r="BO1320" i="24"/>
  <c r="BA1320" i="24"/>
  <c r="AZ1320" i="24"/>
  <c r="AW1320" i="24"/>
  <c r="AV1320" i="24"/>
  <c r="AG1320" i="24"/>
  <c r="U1320" i="24"/>
  <c r="T1320" i="24"/>
  <c r="N1320" i="24"/>
  <c r="C1320" i="24"/>
  <c r="A1320" i="24"/>
  <c r="BP1319" i="24"/>
  <c r="BO1319" i="24"/>
  <c r="BA1319" i="24"/>
  <c r="AZ1319" i="24"/>
  <c r="AW1319" i="24"/>
  <c r="AV1319" i="24"/>
  <c r="AG1319" i="24"/>
  <c r="U1319" i="24"/>
  <c r="T1319" i="24"/>
  <c r="N1319" i="24"/>
  <c r="C1319" i="24"/>
  <c r="A1319" i="24"/>
  <c r="BP1318" i="24"/>
  <c r="BO1318" i="24"/>
  <c r="BA1318" i="24"/>
  <c r="AZ1318" i="24"/>
  <c r="AW1318" i="24"/>
  <c r="AV1318" i="24"/>
  <c r="AG1318" i="24"/>
  <c r="U1318" i="24"/>
  <c r="T1318" i="24"/>
  <c r="N1318" i="24"/>
  <c r="C1318" i="24"/>
  <c r="A1318" i="24"/>
  <c r="BP1317" i="24"/>
  <c r="BO1317" i="24"/>
  <c r="BA1317" i="24"/>
  <c r="AZ1317" i="24"/>
  <c r="AW1317" i="24"/>
  <c r="AV1317" i="24"/>
  <c r="AG1317" i="24"/>
  <c r="U1317" i="24"/>
  <c r="T1317" i="24"/>
  <c r="N1317" i="24"/>
  <c r="C1317" i="24"/>
  <c r="A1317" i="24"/>
  <c r="BP1316" i="24"/>
  <c r="BO1316" i="24"/>
  <c r="BA1316" i="24"/>
  <c r="AZ1316" i="24"/>
  <c r="AW1316" i="24"/>
  <c r="AV1316" i="24"/>
  <c r="AG1316" i="24"/>
  <c r="U1316" i="24"/>
  <c r="T1316" i="24"/>
  <c r="N1316" i="24"/>
  <c r="C1316" i="24"/>
  <c r="A1316" i="24"/>
  <c r="BP1315" i="24"/>
  <c r="BO1315" i="24"/>
  <c r="BA1315" i="24"/>
  <c r="AZ1315" i="24"/>
  <c r="AW1315" i="24"/>
  <c r="AV1315" i="24"/>
  <c r="AG1315" i="24"/>
  <c r="U1315" i="24"/>
  <c r="T1315" i="24"/>
  <c r="N1315" i="24"/>
  <c r="C1315" i="24"/>
  <c r="A1315" i="24"/>
  <c r="BP1314" i="24"/>
  <c r="BO1314" i="24"/>
  <c r="BA1314" i="24"/>
  <c r="AZ1314" i="24"/>
  <c r="AW1314" i="24"/>
  <c r="AV1314" i="24"/>
  <c r="AG1314" i="24"/>
  <c r="U1314" i="24"/>
  <c r="T1314" i="24"/>
  <c r="N1314" i="24"/>
  <c r="C1314" i="24"/>
  <c r="A1314" i="24"/>
  <c r="BP1313" i="24"/>
  <c r="BO1313" i="24"/>
  <c r="BA1313" i="24"/>
  <c r="AZ1313" i="24"/>
  <c r="AW1313" i="24"/>
  <c r="AV1313" i="24"/>
  <c r="AG1313" i="24"/>
  <c r="U1313" i="24"/>
  <c r="T1313" i="24"/>
  <c r="N1313" i="24"/>
  <c r="C1313" i="24"/>
  <c r="A1313" i="24"/>
  <c r="BP1312" i="24"/>
  <c r="BO1312" i="24"/>
  <c r="BA1312" i="24"/>
  <c r="AZ1312" i="24"/>
  <c r="AW1312" i="24"/>
  <c r="AV1312" i="24"/>
  <c r="AG1312" i="24"/>
  <c r="U1312" i="24"/>
  <c r="T1312" i="24"/>
  <c r="N1312" i="24"/>
  <c r="C1312" i="24"/>
  <c r="A1312" i="24"/>
  <c r="BP1311" i="24"/>
  <c r="BO1311" i="24"/>
  <c r="BA1311" i="24"/>
  <c r="AZ1311" i="24"/>
  <c r="AW1311" i="24"/>
  <c r="AV1311" i="24"/>
  <c r="AG1311" i="24"/>
  <c r="U1311" i="24"/>
  <c r="T1311" i="24"/>
  <c r="N1311" i="24"/>
  <c r="C1311" i="24"/>
  <c r="A1311" i="24"/>
  <c r="BP1310" i="24"/>
  <c r="BO1310" i="24"/>
  <c r="BA1310" i="24"/>
  <c r="AZ1310" i="24"/>
  <c r="AW1310" i="24"/>
  <c r="AV1310" i="24"/>
  <c r="AG1310" i="24"/>
  <c r="U1310" i="24"/>
  <c r="T1310" i="24"/>
  <c r="N1310" i="24"/>
  <c r="C1310" i="24"/>
  <c r="A1310" i="24"/>
  <c r="BP1309" i="24"/>
  <c r="BO1309" i="24"/>
  <c r="BA1309" i="24"/>
  <c r="AZ1309" i="24"/>
  <c r="AW1309" i="24"/>
  <c r="AV1309" i="24"/>
  <c r="AG1309" i="24"/>
  <c r="U1309" i="24"/>
  <c r="T1309" i="24"/>
  <c r="N1309" i="24"/>
  <c r="C1309" i="24"/>
  <c r="A1309" i="24"/>
  <c r="BP1308" i="24"/>
  <c r="BO1308" i="24"/>
  <c r="BA1308" i="24"/>
  <c r="AZ1308" i="24"/>
  <c r="AW1308" i="24"/>
  <c r="AV1308" i="24"/>
  <c r="AG1308" i="24"/>
  <c r="U1308" i="24"/>
  <c r="T1308" i="24"/>
  <c r="N1308" i="24"/>
  <c r="C1308" i="24"/>
  <c r="A1308" i="24"/>
  <c r="BP1307" i="24"/>
  <c r="BO1307" i="24"/>
  <c r="BA1307" i="24"/>
  <c r="AZ1307" i="24"/>
  <c r="AW1307" i="24"/>
  <c r="AV1307" i="24"/>
  <c r="AG1307" i="24"/>
  <c r="U1307" i="24"/>
  <c r="T1307" i="24"/>
  <c r="N1307" i="24"/>
  <c r="C1307" i="24"/>
  <c r="A1307" i="24"/>
  <c r="BP1306" i="24"/>
  <c r="BO1306" i="24"/>
  <c r="BA1306" i="24"/>
  <c r="AZ1306" i="24"/>
  <c r="AW1306" i="24"/>
  <c r="AV1306" i="24"/>
  <c r="AG1306" i="24"/>
  <c r="U1306" i="24"/>
  <c r="T1306" i="24"/>
  <c r="N1306" i="24"/>
  <c r="C1306" i="24"/>
  <c r="A1306" i="24"/>
  <c r="BP1305" i="24"/>
  <c r="BO1305" i="24"/>
  <c r="BA1305" i="24"/>
  <c r="AZ1305" i="24"/>
  <c r="AW1305" i="24"/>
  <c r="AV1305" i="24"/>
  <c r="AG1305" i="24"/>
  <c r="U1305" i="24"/>
  <c r="T1305" i="24"/>
  <c r="N1305" i="24"/>
  <c r="C1305" i="24"/>
  <c r="A1305" i="24"/>
  <c r="BP1304" i="24"/>
  <c r="BO1304" i="24"/>
  <c r="BA1304" i="24"/>
  <c r="AZ1304" i="24"/>
  <c r="AW1304" i="24"/>
  <c r="AV1304" i="24"/>
  <c r="AG1304" i="24"/>
  <c r="U1304" i="24"/>
  <c r="T1304" i="24"/>
  <c r="N1304" i="24"/>
  <c r="C1304" i="24"/>
  <c r="A1304" i="24"/>
  <c r="BP1303" i="24"/>
  <c r="BO1303" i="24"/>
  <c r="BA1303" i="24"/>
  <c r="AZ1303" i="24"/>
  <c r="AW1303" i="24"/>
  <c r="AV1303" i="24"/>
  <c r="AG1303" i="24"/>
  <c r="U1303" i="24"/>
  <c r="T1303" i="24"/>
  <c r="N1303" i="24"/>
  <c r="C1303" i="24"/>
  <c r="A1303" i="24"/>
  <c r="BP1302" i="24"/>
  <c r="BO1302" i="24"/>
  <c r="BA1302" i="24"/>
  <c r="AZ1302" i="24"/>
  <c r="AW1302" i="24"/>
  <c r="AV1302" i="24"/>
  <c r="AG1302" i="24"/>
  <c r="U1302" i="24"/>
  <c r="T1302" i="24"/>
  <c r="N1302" i="24"/>
  <c r="C1302" i="24"/>
  <c r="A1302" i="24"/>
  <c r="BP1301" i="24"/>
  <c r="BO1301" i="24"/>
  <c r="BA1301" i="24"/>
  <c r="AZ1301" i="24"/>
  <c r="AW1301" i="24"/>
  <c r="AV1301" i="24"/>
  <c r="AG1301" i="24"/>
  <c r="U1301" i="24"/>
  <c r="T1301" i="24"/>
  <c r="N1301" i="24"/>
  <c r="C1301" i="24"/>
  <c r="A1301" i="24"/>
  <c r="BP1300" i="24"/>
  <c r="BO1300" i="24"/>
  <c r="BA1300" i="24"/>
  <c r="AZ1300" i="24"/>
  <c r="AW1300" i="24"/>
  <c r="AV1300" i="24"/>
  <c r="AG1300" i="24"/>
  <c r="U1300" i="24"/>
  <c r="T1300" i="24"/>
  <c r="N1300" i="24"/>
  <c r="C1300" i="24"/>
  <c r="A1300" i="24"/>
  <c r="BP1299" i="24"/>
  <c r="BO1299" i="24"/>
  <c r="BA1299" i="24"/>
  <c r="AZ1299" i="24"/>
  <c r="AW1299" i="24"/>
  <c r="AV1299" i="24"/>
  <c r="AG1299" i="24"/>
  <c r="U1299" i="24"/>
  <c r="T1299" i="24"/>
  <c r="N1299" i="24"/>
  <c r="C1299" i="24"/>
  <c r="A1299" i="24"/>
  <c r="BP1298" i="24"/>
  <c r="BO1298" i="24"/>
  <c r="BA1298" i="24"/>
  <c r="AZ1298" i="24"/>
  <c r="AW1298" i="24"/>
  <c r="AV1298" i="24"/>
  <c r="AG1298" i="24"/>
  <c r="U1298" i="24"/>
  <c r="T1298" i="24"/>
  <c r="N1298" i="24"/>
  <c r="C1298" i="24"/>
  <c r="A1298" i="24"/>
  <c r="BP1297" i="24"/>
  <c r="BO1297" i="24"/>
  <c r="BA1297" i="24"/>
  <c r="AZ1297" i="24"/>
  <c r="AW1297" i="24"/>
  <c r="AV1297" i="24"/>
  <c r="AG1297" i="24"/>
  <c r="U1297" i="24"/>
  <c r="T1297" i="24"/>
  <c r="N1297" i="24"/>
  <c r="C1297" i="24"/>
  <c r="A1297" i="24"/>
  <c r="BP1296" i="24"/>
  <c r="BO1296" i="24"/>
  <c r="BA1296" i="24"/>
  <c r="AZ1296" i="24"/>
  <c r="AW1296" i="24"/>
  <c r="AV1296" i="24"/>
  <c r="AG1296" i="24"/>
  <c r="U1296" i="24"/>
  <c r="T1296" i="24"/>
  <c r="N1296" i="24"/>
  <c r="C1296" i="24"/>
  <c r="A1296" i="24"/>
  <c r="BP1295" i="24"/>
  <c r="BO1295" i="24"/>
  <c r="BA1295" i="24"/>
  <c r="AZ1295" i="24"/>
  <c r="AW1295" i="24"/>
  <c r="AV1295" i="24"/>
  <c r="AG1295" i="24"/>
  <c r="U1295" i="24"/>
  <c r="T1295" i="24"/>
  <c r="N1295" i="24"/>
  <c r="C1295" i="24"/>
  <c r="A1295" i="24"/>
  <c r="BP1294" i="24"/>
  <c r="BO1294" i="24"/>
  <c r="BA1294" i="24"/>
  <c r="AZ1294" i="24"/>
  <c r="AW1294" i="24"/>
  <c r="AV1294" i="24"/>
  <c r="AG1294" i="24"/>
  <c r="U1294" i="24"/>
  <c r="T1294" i="24"/>
  <c r="N1294" i="24"/>
  <c r="C1294" i="24"/>
  <c r="A1294" i="24"/>
  <c r="BP1293" i="24"/>
  <c r="BO1293" i="24"/>
  <c r="BA1293" i="24"/>
  <c r="AZ1293" i="24"/>
  <c r="AW1293" i="24"/>
  <c r="AV1293" i="24"/>
  <c r="AG1293" i="24"/>
  <c r="U1293" i="24"/>
  <c r="T1293" i="24"/>
  <c r="N1293" i="24"/>
  <c r="C1293" i="24"/>
  <c r="A1293" i="24"/>
  <c r="BP1292" i="24"/>
  <c r="BO1292" i="24"/>
  <c r="BA1292" i="24"/>
  <c r="AZ1292" i="24"/>
  <c r="AW1292" i="24"/>
  <c r="AV1292" i="24"/>
  <c r="AG1292" i="24"/>
  <c r="U1292" i="24"/>
  <c r="T1292" i="24"/>
  <c r="N1292" i="24"/>
  <c r="C1292" i="24"/>
  <c r="A1292" i="24"/>
  <c r="BP1291" i="24"/>
  <c r="BO1291" i="24"/>
  <c r="BA1291" i="24"/>
  <c r="AZ1291" i="24"/>
  <c r="AW1291" i="24"/>
  <c r="AV1291" i="24"/>
  <c r="AG1291" i="24"/>
  <c r="U1291" i="24"/>
  <c r="T1291" i="24"/>
  <c r="N1291" i="24"/>
  <c r="C1291" i="24"/>
  <c r="A1291" i="24"/>
  <c r="BP1290" i="24"/>
  <c r="BO1290" i="24"/>
  <c r="BA1290" i="24"/>
  <c r="AZ1290" i="24"/>
  <c r="AW1290" i="24"/>
  <c r="AV1290" i="24"/>
  <c r="AG1290" i="24"/>
  <c r="U1290" i="24"/>
  <c r="T1290" i="24"/>
  <c r="N1290" i="24"/>
  <c r="C1290" i="24"/>
  <c r="A1290" i="24"/>
  <c r="BP1289" i="24"/>
  <c r="BO1289" i="24"/>
  <c r="BA1289" i="24"/>
  <c r="AZ1289" i="24"/>
  <c r="AW1289" i="24"/>
  <c r="AV1289" i="24"/>
  <c r="AG1289" i="24"/>
  <c r="U1289" i="24"/>
  <c r="T1289" i="24"/>
  <c r="N1289" i="24"/>
  <c r="C1289" i="24"/>
  <c r="A1289" i="24"/>
  <c r="BP1288" i="24"/>
  <c r="BO1288" i="24"/>
  <c r="BA1288" i="24"/>
  <c r="AZ1288" i="24"/>
  <c r="AW1288" i="24"/>
  <c r="AV1288" i="24"/>
  <c r="AG1288" i="24"/>
  <c r="U1288" i="24"/>
  <c r="T1288" i="24"/>
  <c r="N1288" i="24"/>
  <c r="C1288" i="24"/>
  <c r="A1288" i="24"/>
  <c r="BP1287" i="24"/>
  <c r="BO1287" i="24"/>
  <c r="BA1287" i="24"/>
  <c r="AZ1287" i="24"/>
  <c r="AW1287" i="24"/>
  <c r="AV1287" i="24"/>
  <c r="AG1287" i="24"/>
  <c r="U1287" i="24"/>
  <c r="T1287" i="24"/>
  <c r="N1287" i="24"/>
  <c r="C1287" i="24"/>
  <c r="A1287" i="24"/>
  <c r="BP1286" i="24"/>
  <c r="BO1286" i="24"/>
  <c r="BA1286" i="24"/>
  <c r="AZ1286" i="24"/>
  <c r="AW1286" i="24"/>
  <c r="AV1286" i="24"/>
  <c r="AG1286" i="24"/>
  <c r="U1286" i="24"/>
  <c r="T1286" i="24"/>
  <c r="N1286" i="24"/>
  <c r="C1286" i="24"/>
  <c r="A1286" i="24"/>
  <c r="BP1285" i="24"/>
  <c r="BO1285" i="24"/>
  <c r="BA1285" i="24"/>
  <c r="AZ1285" i="24"/>
  <c r="AW1285" i="24"/>
  <c r="AV1285" i="24"/>
  <c r="AG1285" i="24"/>
  <c r="U1285" i="24"/>
  <c r="T1285" i="24"/>
  <c r="N1285" i="24"/>
  <c r="C1285" i="24"/>
  <c r="A1285" i="24"/>
  <c r="BP1284" i="24"/>
  <c r="BO1284" i="24"/>
  <c r="BA1284" i="24"/>
  <c r="AZ1284" i="24"/>
  <c r="AW1284" i="24"/>
  <c r="AV1284" i="24"/>
  <c r="AG1284" i="24"/>
  <c r="U1284" i="24"/>
  <c r="T1284" i="24"/>
  <c r="N1284" i="24"/>
  <c r="C1284" i="24"/>
  <c r="A1284" i="24"/>
  <c r="BP1283" i="24"/>
  <c r="BO1283" i="24"/>
  <c r="BA1283" i="24"/>
  <c r="AZ1283" i="24"/>
  <c r="AW1283" i="24"/>
  <c r="AV1283" i="24"/>
  <c r="AG1283" i="24"/>
  <c r="U1283" i="24"/>
  <c r="T1283" i="24"/>
  <c r="N1283" i="24"/>
  <c r="C1283" i="24"/>
  <c r="A1283" i="24"/>
  <c r="BP1282" i="24"/>
  <c r="BO1282" i="24"/>
  <c r="BA1282" i="24"/>
  <c r="AZ1282" i="24"/>
  <c r="AW1282" i="24"/>
  <c r="AV1282" i="24"/>
  <c r="AG1282" i="24"/>
  <c r="U1282" i="24"/>
  <c r="T1282" i="24"/>
  <c r="N1282" i="24"/>
  <c r="C1282" i="24"/>
  <c r="A1282" i="24"/>
  <c r="BP1281" i="24"/>
  <c r="BO1281" i="24"/>
  <c r="BA1281" i="24"/>
  <c r="AZ1281" i="24"/>
  <c r="AW1281" i="24"/>
  <c r="AV1281" i="24"/>
  <c r="AG1281" i="24"/>
  <c r="U1281" i="24"/>
  <c r="T1281" i="24"/>
  <c r="N1281" i="24"/>
  <c r="C1281" i="24"/>
  <c r="A1281" i="24"/>
  <c r="BP1280" i="24"/>
  <c r="BO1280" i="24"/>
  <c r="BA1280" i="24"/>
  <c r="AZ1280" i="24"/>
  <c r="AW1280" i="24"/>
  <c r="AV1280" i="24"/>
  <c r="AG1280" i="24"/>
  <c r="U1280" i="24"/>
  <c r="T1280" i="24"/>
  <c r="N1280" i="24"/>
  <c r="C1280" i="24"/>
  <c r="A1280" i="24"/>
  <c r="BP1279" i="24"/>
  <c r="BO1279" i="24"/>
  <c r="BA1279" i="24"/>
  <c r="AZ1279" i="24"/>
  <c r="AW1279" i="24"/>
  <c r="AV1279" i="24"/>
  <c r="AG1279" i="24"/>
  <c r="U1279" i="24"/>
  <c r="T1279" i="24"/>
  <c r="N1279" i="24"/>
  <c r="C1279" i="24"/>
  <c r="A1279" i="24"/>
  <c r="BP1278" i="24"/>
  <c r="BO1278" i="24"/>
  <c r="BA1278" i="24"/>
  <c r="AZ1278" i="24"/>
  <c r="AW1278" i="24"/>
  <c r="AV1278" i="24"/>
  <c r="AG1278" i="24"/>
  <c r="U1278" i="24"/>
  <c r="T1278" i="24"/>
  <c r="N1278" i="24"/>
  <c r="C1278" i="24"/>
  <c r="A1278" i="24"/>
  <c r="BP1277" i="24"/>
  <c r="BO1277" i="24"/>
  <c r="BA1277" i="24"/>
  <c r="AZ1277" i="24"/>
  <c r="AW1277" i="24"/>
  <c r="AV1277" i="24"/>
  <c r="AG1277" i="24"/>
  <c r="U1277" i="24"/>
  <c r="T1277" i="24"/>
  <c r="N1277" i="24"/>
  <c r="C1277" i="24"/>
  <c r="A1277" i="24"/>
  <c r="BP1276" i="24"/>
  <c r="BO1276" i="24"/>
  <c r="BA1276" i="24"/>
  <c r="AZ1276" i="24"/>
  <c r="AW1276" i="24"/>
  <c r="AV1276" i="24"/>
  <c r="AG1276" i="24"/>
  <c r="U1276" i="24"/>
  <c r="T1276" i="24"/>
  <c r="N1276" i="24"/>
  <c r="C1276" i="24"/>
  <c r="A1276" i="24"/>
  <c r="BP1275" i="24"/>
  <c r="BO1275" i="24"/>
  <c r="BA1275" i="24"/>
  <c r="AZ1275" i="24"/>
  <c r="AW1275" i="24"/>
  <c r="AV1275" i="24"/>
  <c r="AG1275" i="24"/>
  <c r="U1275" i="24"/>
  <c r="T1275" i="24"/>
  <c r="N1275" i="24"/>
  <c r="C1275" i="24"/>
  <c r="A1275" i="24"/>
  <c r="BP1274" i="24"/>
  <c r="BO1274" i="24"/>
  <c r="BA1274" i="24"/>
  <c r="AZ1274" i="24"/>
  <c r="AW1274" i="24"/>
  <c r="AV1274" i="24"/>
  <c r="AG1274" i="24"/>
  <c r="U1274" i="24"/>
  <c r="T1274" i="24"/>
  <c r="N1274" i="24"/>
  <c r="C1274" i="24"/>
  <c r="A1274" i="24"/>
  <c r="BP1273" i="24"/>
  <c r="BO1273" i="24"/>
  <c r="BA1273" i="24"/>
  <c r="AZ1273" i="24"/>
  <c r="AW1273" i="24"/>
  <c r="AV1273" i="24"/>
  <c r="AG1273" i="24"/>
  <c r="U1273" i="24"/>
  <c r="T1273" i="24"/>
  <c r="N1273" i="24"/>
  <c r="C1273" i="24"/>
  <c r="A1273" i="24"/>
  <c r="BP1272" i="24"/>
  <c r="BO1272" i="24"/>
  <c r="BA1272" i="24"/>
  <c r="AZ1272" i="24"/>
  <c r="AW1272" i="24"/>
  <c r="AV1272" i="24"/>
  <c r="AG1272" i="24"/>
  <c r="U1272" i="24"/>
  <c r="T1272" i="24"/>
  <c r="N1272" i="24"/>
  <c r="C1272" i="24"/>
  <c r="A1272" i="24"/>
  <c r="BP1271" i="24"/>
  <c r="BO1271" i="24"/>
  <c r="BA1271" i="24"/>
  <c r="AZ1271" i="24"/>
  <c r="AW1271" i="24"/>
  <c r="AV1271" i="24"/>
  <c r="AG1271" i="24"/>
  <c r="U1271" i="24"/>
  <c r="T1271" i="24"/>
  <c r="N1271" i="24"/>
  <c r="C1271" i="24"/>
  <c r="A1271" i="24"/>
  <c r="BP1270" i="24"/>
  <c r="BO1270" i="24"/>
  <c r="BA1270" i="24"/>
  <c r="AZ1270" i="24"/>
  <c r="AW1270" i="24"/>
  <c r="AV1270" i="24"/>
  <c r="AG1270" i="24"/>
  <c r="U1270" i="24"/>
  <c r="T1270" i="24"/>
  <c r="N1270" i="24"/>
  <c r="C1270" i="24"/>
  <c r="A1270" i="24"/>
  <c r="BP1269" i="24"/>
  <c r="BO1269" i="24"/>
  <c r="BA1269" i="24"/>
  <c r="AZ1269" i="24"/>
  <c r="AW1269" i="24"/>
  <c r="AV1269" i="24"/>
  <c r="AG1269" i="24"/>
  <c r="U1269" i="24"/>
  <c r="T1269" i="24"/>
  <c r="N1269" i="24"/>
  <c r="C1269" i="24"/>
  <c r="A1269" i="24"/>
  <c r="BP1268" i="24"/>
  <c r="BO1268" i="24"/>
  <c r="BA1268" i="24"/>
  <c r="AZ1268" i="24"/>
  <c r="AW1268" i="24"/>
  <c r="AV1268" i="24"/>
  <c r="AG1268" i="24"/>
  <c r="U1268" i="24"/>
  <c r="T1268" i="24"/>
  <c r="N1268" i="24"/>
  <c r="C1268" i="24"/>
  <c r="A1268" i="24"/>
  <c r="BP1267" i="24"/>
  <c r="BO1267" i="24"/>
  <c r="BA1267" i="24"/>
  <c r="AZ1267" i="24"/>
  <c r="AW1267" i="24"/>
  <c r="AV1267" i="24"/>
  <c r="AG1267" i="24"/>
  <c r="U1267" i="24"/>
  <c r="T1267" i="24"/>
  <c r="N1267" i="24"/>
  <c r="C1267" i="24"/>
  <c r="A1267" i="24"/>
  <c r="BP1266" i="24"/>
  <c r="BO1266" i="24"/>
  <c r="BA1266" i="24"/>
  <c r="AZ1266" i="24"/>
  <c r="AW1266" i="24"/>
  <c r="AV1266" i="24"/>
  <c r="AG1266" i="24"/>
  <c r="U1266" i="24"/>
  <c r="T1266" i="24"/>
  <c r="N1266" i="24"/>
  <c r="C1266" i="24"/>
  <c r="A1266" i="24"/>
  <c r="BP1265" i="24"/>
  <c r="BO1265" i="24"/>
  <c r="BA1265" i="24"/>
  <c r="AZ1265" i="24"/>
  <c r="AW1265" i="24"/>
  <c r="AV1265" i="24"/>
  <c r="AG1265" i="24"/>
  <c r="U1265" i="24"/>
  <c r="T1265" i="24"/>
  <c r="N1265" i="24"/>
  <c r="C1265" i="24"/>
  <c r="A1265" i="24"/>
  <c r="BP1264" i="24"/>
  <c r="BO1264" i="24"/>
  <c r="BA1264" i="24"/>
  <c r="AZ1264" i="24"/>
  <c r="AW1264" i="24"/>
  <c r="AV1264" i="24"/>
  <c r="AG1264" i="24"/>
  <c r="U1264" i="24"/>
  <c r="T1264" i="24"/>
  <c r="N1264" i="24"/>
  <c r="C1264" i="24"/>
  <c r="A1264" i="24"/>
  <c r="BP1263" i="24"/>
  <c r="BO1263" i="24"/>
  <c r="BA1263" i="24"/>
  <c r="AZ1263" i="24"/>
  <c r="AW1263" i="24"/>
  <c r="AV1263" i="24"/>
  <c r="AG1263" i="24"/>
  <c r="U1263" i="24"/>
  <c r="T1263" i="24"/>
  <c r="N1263" i="24"/>
  <c r="C1263" i="24"/>
  <c r="A1263" i="24"/>
  <c r="BP1262" i="24"/>
  <c r="BO1262" i="24"/>
  <c r="BA1262" i="24"/>
  <c r="AZ1262" i="24"/>
  <c r="AW1262" i="24"/>
  <c r="AV1262" i="24"/>
  <c r="AG1262" i="24"/>
  <c r="U1262" i="24"/>
  <c r="T1262" i="24"/>
  <c r="N1262" i="24"/>
  <c r="C1262" i="24"/>
  <c r="A1262" i="24"/>
  <c r="BP1261" i="24"/>
  <c r="BO1261" i="24"/>
  <c r="BA1261" i="24"/>
  <c r="AZ1261" i="24"/>
  <c r="AW1261" i="24"/>
  <c r="AV1261" i="24"/>
  <c r="AG1261" i="24"/>
  <c r="U1261" i="24"/>
  <c r="T1261" i="24"/>
  <c r="N1261" i="24"/>
  <c r="C1261" i="24"/>
  <c r="A1261" i="24"/>
  <c r="BP1260" i="24"/>
  <c r="BO1260" i="24"/>
  <c r="BA1260" i="24"/>
  <c r="AZ1260" i="24"/>
  <c r="AW1260" i="24"/>
  <c r="AV1260" i="24"/>
  <c r="AG1260" i="24"/>
  <c r="U1260" i="24"/>
  <c r="T1260" i="24"/>
  <c r="N1260" i="24"/>
  <c r="C1260" i="24"/>
  <c r="A1260" i="24"/>
  <c r="BP1259" i="24"/>
  <c r="BO1259" i="24"/>
  <c r="BA1259" i="24"/>
  <c r="AZ1259" i="24"/>
  <c r="AW1259" i="24"/>
  <c r="AV1259" i="24"/>
  <c r="AG1259" i="24"/>
  <c r="U1259" i="24"/>
  <c r="T1259" i="24"/>
  <c r="N1259" i="24"/>
  <c r="C1259" i="24"/>
  <c r="A1259" i="24"/>
  <c r="BP1258" i="24"/>
  <c r="BO1258" i="24"/>
  <c r="BA1258" i="24"/>
  <c r="AZ1258" i="24"/>
  <c r="AW1258" i="24"/>
  <c r="AV1258" i="24"/>
  <c r="AG1258" i="24"/>
  <c r="U1258" i="24"/>
  <c r="T1258" i="24"/>
  <c r="N1258" i="24"/>
  <c r="C1258" i="24"/>
  <c r="A1258" i="24"/>
  <c r="BP1257" i="24"/>
  <c r="BO1257" i="24"/>
  <c r="BA1257" i="24"/>
  <c r="AZ1257" i="24"/>
  <c r="AW1257" i="24"/>
  <c r="AV1257" i="24"/>
  <c r="AG1257" i="24"/>
  <c r="U1257" i="24"/>
  <c r="T1257" i="24"/>
  <c r="N1257" i="24"/>
  <c r="C1257" i="24"/>
  <c r="A1257" i="24"/>
  <c r="BP1256" i="24"/>
  <c r="BO1256" i="24"/>
  <c r="BA1256" i="24"/>
  <c r="AZ1256" i="24"/>
  <c r="AW1256" i="24"/>
  <c r="AV1256" i="24"/>
  <c r="AG1256" i="24"/>
  <c r="U1256" i="24"/>
  <c r="T1256" i="24"/>
  <c r="N1256" i="24"/>
  <c r="C1256" i="24"/>
  <c r="A1256" i="24"/>
  <c r="BP1255" i="24"/>
  <c r="BO1255" i="24"/>
  <c r="BA1255" i="24"/>
  <c r="AZ1255" i="24"/>
  <c r="AW1255" i="24"/>
  <c r="AV1255" i="24"/>
  <c r="AG1255" i="24"/>
  <c r="U1255" i="24"/>
  <c r="T1255" i="24"/>
  <c r="N1255" i="24"/>
  <c r="C1255" i="24"/>
  <c r="A1255" i="24"/>
  <c r="BP1254" i="24"/>
  <c r="BO1254" i="24"/>
  <c r="BA1254" i="24"/>
  <c r="AZ1254" i="24"/>
  <c r="AW1254" i="24"/>
  <c r="AV1254" i="24"/>
  <c r="AG1254" i="24"/>
  <c r="U1254" i="24"/>
  <c r="T1254" i="24"/>
  <c r="N1254" i="24"/>
  <c r="C1254" i="24"/>
  <c r="A1254" i="24"/>
  <c r="BP1253" i="24"/>
  <c r="BO1253" i="24"/>
  <c r="BA1253" i="24"/>
  <c r="AZ1253" i="24"/>
  <c r="AW1253" i="24"/>
  <c r="AV1253" i="24"/>
  <c r="AG1253" i="24"/>
  <c r="U1253" i="24"/>
  <c r="T1253" i="24"/>
  <c r="N1253" i="24"/>
  <c r="C1253" i="24"/>
  <c r="A1253" i="24"/>
  <c r="BP1252" i="24"/>
  <c r="BO1252" i="24"/>
  <c r="BA1252" i="24"/>
  <c r="AZ1252" i="24"/>
  <c r="AW1252" i="24"/>
  <c r="AV1252" i="24"/>
  <c r="AG1252" i="24"/>
  <c r="U1252" i="24"/>
  <c r="T1252" i="24"/>
  <c r="N1252" i="24"/>
  <c r="C1252" i="24"/>
  <c r="A1252" i="24"/>
  <c r="BP1251" i="24"/>
  <c r="BO1251" i="24"/>
  <c r="BA1251" i="24"/>
  <c r="AZ1251" i="24"/>
  <c r="AW1251" i="24"/>
  <c r="AV1251" i="24"/>
  <c r="AG1251" i="24"/>
  <c r="U1251" i="24"/>
  <c r="T1251" i="24"/>
  <c r="N1251" i="24"/>
  <c r="C1251" i="24"/>
  <c r="A1251" i="24"/>
  <c r="BP1250" i="24"/>
  <c r="BO1250" i="24"/>
  <c r="BA1250" i="24"/>
  <c r="AZ1250" i="24"/>
  <c r="AW1250" i="24"/>
  <c r="AV1250" i="24"/>
  <c r="AG1250" i="24"/>
  <c r="U1250" i="24"/>
  <c r="T1250" i="24"/>
  <c r="N1250" i="24"/>
  <c r="C1250" i="24"/>
  <c r="A1250" i="24"/>
  <c r="BP1249" i="24"/>
  <c r="BO1249" i="24"/>
  <c r="BA1249" i="24"/>
  <c r="AZ1249" i="24"/>
  <c r="AW1249" i="24"/>
  <c r="AV1249" i="24"/>
  <c r="AG1249" i="24"/>
  <c r="U1249" i="24"/>
  <c r="T1249" i="24"/>
  <c r="N1249" i="24"/>
  <c r="C1249" i="24"/>
  <c r="A1249" i="24"/>
  <c r="BP1248" i="24"/>
  <c r="BO1248" i="24"/>
  <c r="BA1248" i="24"/>
  <c r="AZ1248" i="24"/>
  <c r="AW1248" i="24"/>
  <c r="AV1248" i="24"/>
  <c r="AG1248" i="24"/>
  <c r="U1248" i="24"/>
  <c r="T1248" i="24"/>
  <c r="N1248" i="24"/>
  <c r="C1248" i="24"/>
  <c r="A1248" i="24"/>
  <c r="BP1247" i="24"/>
  <c r="BO1247" i="24"/>
  <c r="BA1247" i="24"/>
  <c r="AZ1247" i="24"/>
  <c r="AW1247" i="24"/>
  <c r="AV1247" i="24"/>
  <c r="AG1247" i="24"/>
  <c r="U1247" i="24"/>
  <c r="T1247" i="24"/>
  <c r="N1247" i="24"/>
  <c r="C1247" i="24"/>
  <c r="A1247" i="24"/>
  <c r="BP1246" i="24"/>
  <c r="BO1246" i="24"/>
  <c r="BA1246" i="24"/>
  <c r="AZ1246" i="24"/>
  <c r="AW1246" i="24"/>
  <c r="AV1246" i="24"/>
  <c r="AG1246" i="24"/>
  <c r="U1246" i="24"/>
  <c r="T1246" i="24"/>
  <c r="N1246" i="24"/>
  <c r="C1246" i="24"/>
  <c r="A1246" i="24"/>
  <c r="BP1245" i="24"/>
  <c r="BO1245" i="24"/>
  <c r="BA1245" i="24"/>
  <c r="AZ1245" i="24"/>
  <c r="AW1245" i="24"/>
  <c r="AV1245" i="24"/>
  <c r="AG1245" i="24"/>
  <c r="U1245" i="24"/>
  <c r="T1245" i="24"/>
  <c r="N1245" i="24"/>
  <c r="C1245" i="24"/>
  <c r="A1245" i="24"/>
  <c r="BP1244" i="24"/>
  <c r="BO1244" i="24"/>
  <c r="BA1244" i="24"/>
  <c r="AZ1244" i="24"/>
  <c r="AW1244" i="24"/>
  <c r="AV1244" i="24"/>
  <c r="AG1244" i="24"/>
  <c r="U1244" i="24"/>
  <c r="T1244" i="24"/>
  <c r="N1244" i="24"/>
  <c r="C1244" i="24"/>
  <c r="A1244" i="24"/>
  <c r="BP1243" i="24"/>
  <c r="BO1243" i="24"/>
  <c r="BA1243" i="24"/>
  <c r="AZ1243" i="24"/>
  <c r="AW1243" i="24"/>
  <c r="AV1243" i="24"/>
  <c r="AG1243" i="24"/>
  <c r="U1243" i="24"/>
  <c r="T1243" i="24"/>
  <c r="N1243" i="24"/>
  <c r="C1243" i="24"/>
  <c r="A1243" i="24"/>
  <c r="BP1242" i="24"/>
  <c r="BO1242" i="24"/>
  <c r="BA1242" i="24"/>
  <c r="AZ1242" i="24"/>
  <c r="AW1242" i="24"/>
  <c r="AV1242" i="24"/>
  <c r="AG1242" i="24"/>
  <c r="U1242" i="24"/>
  <c r="T1242" i="24"/>
  <c r="N1242" i="24"/>
  <c r="C1242" i="24"/>
  <c r="A1242" i="24"/>
  <c r="BP1241" i="24"/>
  <c r="BO1241" i="24"/>
  <c r="BA1241" i="24"/>
  <c r="AZ1241" i="24"/>
  <c r="AW1241" i="24"/>
  <c r="AV1241" i="24"/>
  <c r="AG1241" i="24"/>
  <c r="U1241" i="24"/>
  <c r="T1241" i="24"/>
  <c r="N1241" i="24"/>
  <c r="C1241" i="24"/>
  <c r="A1241" i="24"/>
  <c r="BP1240" i="24"/>
  <c r="BO1240" i="24"/>
  <c r="BA1240" i="24"/>
  <c r="AZ1240" i="24"/>
  <c r="AW1240" i="24"/>
  <c r="AV1240" i="24"/>
  <c r="AG1240" i="24"/>
  <c r="U1240" i="24"/>
  <c r="T1240" i="24"/>
  <c r="N1240" i="24"/>
  <c r="C1240" i="24"/>
  <c r="A1240" i="24"/>
  <c r="BP1239" i="24"/>
  <c r="BO1239" i="24"/>
  <c r="BA1239" i="24"/>
  <c r="AZ1239" i="24"/>
  <c r="AW1239" i="24"/>
  <c r="AV1239" i="24"/>
  <c r="AG1239" i="24"/>
  <c r="U1239" i="24"/>
  <c r="T1239" i="24"/>
  <c r="N1239" i="24"/>
  <c r="C1239" i="24"/>
  <c r="A1239" i="24"/>
  <c r="BP1238" i="24"/>
  <c r="BO1238" i="24"/>
  <c r="BA1238" i="24"/>
  <c r="AZ1238" i="24"/>
  <c r="AW1238" i="24"/>
  <c r="AV1238" i="24"/>
  <c r="AG1238" i="24"/>
  <c r="U1238" i="24"/>
  <c r="T1238" i="24"/>
  <c r="N1238" i="24"/>
  <c r="C1238" i="24"/>
  <c r="A1238" i="24"/>
  <c r="BP1237" i="24"/>
  <c r="BO1237" i="24"/>
  <c r="BA1237" i="24"/>
  <c r="AZ1237" i="24"/>
  <c r="AW1237" i="24"/>
  <c r="AV1237" i="24"/>
  <c r="AG1237" i="24"/>
  <c r="U1237" i="24"/>
  <c r="T1237" i="24"/>
  <c r="N1237" i="24"/>
  <c r="C1237" i="24"/>
  <c r="A1237" i="24"/>
  <c r="BP1236" i="24"/>
  <c r="BO1236" i="24"/>
  <c r="BA1236" i="24"/>
  <c r="AZ1236" i="24"/>
  <c r="AW1236" i="24"/>
  <c r="AV1236" i="24"/>
  <c r="AG1236" i="24"/>
  <c r="U1236" i="24"/>
  <c r="T1236" i="24"/>
  <c r="N1236" i="24"/>
  <c r="C1236" i="24"/>
  <c r="A1236" i="24"/>
  <c r="BP1235" i="24"/>
  <c r="BO1235" i="24"/>
  <c r="BA1235" i="24"/>
  <c r="AZ1235" i="24"/>
  <c r="AW1235" i="24"/>
  <c r="AV1235" i="24"/>
  <c r="AG1235" i="24"/>
  <c r="U1235" i="24"/>
  <c r="T1235" i="24"/>
  <c r="N1235" i="24"/>
  <c r="C1235" i="24"/>
  <c r="A1235" i="24"/>
  <c r="BP1234" i="24"/>
  <c r="BO1234" i="24"/>
  <c r="BA1234" i="24"/>
  <c r="AZ1234" i="24"/>
  <c r="AW1234" i="24"/>
  <c r="AV1234" i="24"/>
  <c r="AG1234" i="24"/>
  <c r="U1234" i="24"/>
  <c r="T1234" i="24"/>
  <c r="N1234" i="24"/>
  <c r="C1234" i="24"/>
  <c r="A1234" i="24"/>
  <c r="BP1233" i="24"/>
  <c r="BO1233" i="24"/>
  <c r="BA1233" i="24"/>
  <c r="AZ1233" i="24"/>
  <c r="AW1233" i="24"/>
  <c r="AV1233" i="24"/>
  <c r="AG1233" i="24"/>
  <c r="U1233" i="24"/>
  <c r="T1233" i="24"/>
  <c r="N1233" i="24"/>
  <c r="C1233" i="24"/>
  <c r="A1233" i="24"/>
  <c r="BP1232" i="24"/>
  <c r="BO1232" i="24"/>
  <c r="BA1232" i="24"/>
  <c r="AZ1232" i="24"/>
  <c r="AW1232" i="24"/>
  <c r="AV1232" i="24"/>
  <c r="AG1232" i="24"/>
  <c r="U1232" i="24"/>
  <c r="T1232" i="24"/>
  <c r="N1232" i="24"/>
  <c r="C1232" i="24"/>
  <c r="A1232" i="24"/>
  <c r="BP1231" i="24"/>
  <c r="BO1231" i="24"/>
  <c r="BA1231" i="24"/>
  <c r="AZ1231" i="24"/>
  <c r="AW1231" i="24"/>
  <c r="AV1231" i="24"/>
  <c r="AG1231" i="24"/>
  <c r="U1231" i="24"/>
  <c r="T1231" i="24"/>
  <c r="N1231" i="24"/>
  <c r="C1231" i="24"/>
  <c r="A1231" i="24"/>
  <c r="BP1230" i="24"/>
  <c r="BO1230" i="24"/>
  <c r="BA1230" i="24"/>
  <c r="AZ1230" i="24"/>
  <c r="AW1230" i="24"/>
  <c r="AV1230" i="24"/>
  <c r="AG1230" i="24"/>
  <c r="U1230" i="24"/>
  <c r="T1230" i="24"/>
  <c r="N1230" i="24"/>
  <c r="C1230" i="24"/>
  <c r="A1230" i="24"/>
  <c r="BP1229" i="24"/>
  <c r="BO1229" i="24"/>
  <c r="BA1229" i="24"/>
  <c r="AZ1229" i="24"/>
  <c r="AW1229" i="24"/>
  <c r="AV1229" i="24"/>
  <c r="AG1229" i="24"/>
  <c r="U1229" i="24"/>
  <c r="T1229" i="24"/>
  <c r="N1229" i="24"/>
  <c r="C1229" i="24"/>
  <c r="A1229" i="24"/>
  <c r="BP1228" i="24"/>
  <c r="BO1228" i="24"/>
  <c r="BA1228" i="24"/>
  <c r="AZ1228" i="24"/>
  <c r="AW1228" i="24"/>
  <c r="AV1228" i="24"/>
  <c r="AG1228" i="24"/>
  <c r="U1228" i="24"/>
  <c r="T1228" i="24"/>
  <c r="N1228" i="24"/>
  <c r="C1228" i="24"/>
  <c r="A1228" i="24"/>
  <c r="BP1227" i="24"/>
  <c r="BO1227" i="24"/>
  <c r="BA1227" i="24"/>
  <c r="AZ1227" i="24"/>
  <c r="AW1227" i="24"/>
  <c r="AV1227" i="24"/>
  <c r="AG1227" i="24"/>
  <c r="U1227" i="24"/>
  <c r="T1227" i="24"/>
  <c r="N1227" i="24"/>
  <c r="C1227" i="24"/>
  <c r="A1227" i="24"/>
  <c r="BP1226" i="24"/>
  <c r="BO1226" i="24"/>
  <c r="BA1226" i="24"/>
  <c r="AZ1226" i="24"/>
  <c r="AW1226" i="24"/>
  <c r="AV1226" i="24"/>
  <c r="AG1226" i="24"/>
  <c r="U1226" i="24"/>
  <c r="T1226" i="24"/>
  <c r="N1226" i="24"/>
  <c r="C1226" i="24"/>
  <c r="A1226" i="24"/>
  <c r="BP1225" i="24"/>
  <c r="BO1225" i="24"/>
  <c r="BA1225" i="24"/>
  <c r="AZ1225" i="24"/>
  <c r="AW1225" i="24"/>
  <c r="AV1225" i="24"/>
  <c r="AG1225" i="24"/>
  <c r="U1225" i="24"/>
  <c r="T1225" i="24"/>
  <c r="N1225" i="24"/>
  <c r="C1225" i="24"/>
  <c r="A1225" i="24"/>
  <c r="BP1224" i="24"/>
  <c r="BO1224" i="24"/>
  <c r="BA1224" i="24"/>
  <c r="AZ1224" i="24"/>
  <c r="AW1224" i="24"/>
  <c r="AV1224" i="24"/>
  <c r="AG1224" i="24"/>
  <c r="U1224" i="24"/>
  <c r="T1224" i="24"/>
  <c r="N1224" i="24"/>
  <c r="C1224" i="24"/>
  <c r="A1224" i="24"/>
  <c r="BP1223" i="24"/>
  <c r="BO1223" i="24"/>
  <c r="BA1223" i="24"/>
  <c r="AZ1223" i="24"/>
  <c r="AW1223" i="24"/>
  <c r="AV1223" i="24"/>
  <c r="AG1223" i="24"/>
  <c r="U1223" i="24"/>
  <c r="T1223" i="24"/>
  <c r="N1223" i="24"/>
  <c r="C1223" i="24"/>
  <c r="A1223" i="24"/>
  <c r="BP1222" i="24"/>
  <c r="BO1222" i="24"/>
  <c r="BA1222" i="24"/>
  <c r="AZ1222" i="24"/>
  <c r="AW1222" i="24"/>
  <c r="AV1222" i="24"/>
  <c r="AG1222" i="24"/>
  <c r="U1222" i="24"/>
  <c r="T1222" i="24"/>
  <c r="N1222" i="24"/>
  <c r="C1222" i="24"/>
  <c r="A1222" i="24"/>
  <c r="BP1221" i="24"/>
  <c r="BO1221" i="24"/>
  <c r="BA1221" i="24"/>
  <c r="AZ1221" i="24"/>
  <c r="AW1221" i="24"/>
  <c r="AV1221" i="24"/>
  <c r="AG1221" i="24"/>
  <c r="U1221" i="24"/>
  <c r="T1221" i="24"/>
  <c r="N1221" i="24"/>
  <c r="C1221" i="24"/>
  <c r="A1221" i="24"/>
  <c r="BP1220" i="24"/>
  <c r="BO1220" i="24"/>
  <c r="BA1220" i="24"/>
  <c r="AZ1220" i="24"/>
  <c r="AW1220" i="24"/>
  <c r="AV1220" i="24"/>
  <c r="AG1220" i="24"/>
  <c r="U1220" i="24"/>
  <c r="T1220" i="24"/>
  <c r="N1220" i="24"/>
  <c r="C1220" i="24"/>
  <c r="A1220" i="24"/>
  <c r="BP1219" i="24"/>
  <c r="BO1219" i="24"/>
  <c r="BA1219" i="24"/>
  <c r="AZ1219" i="24"/>
  <c r="AW1219" i="24"/>
  <c r="AV1219" i="24"/>
  <c r="AG1219" i="24"/>
  <c r="U1219" i="24"/>
  <c r="T1219" i="24"/>
  <c r="N1219" i="24"/>
  <c r="C1219" i="24"/>
  <c r="A1219" i="24"/>
  <c r="BP1218" i="24"/>
  <c r="BO1218" i="24"/>
  <c r="BA1218" i="24"/>
  <c r="AZ1218" i="24"/>
  <c r="AW1218" i="24"/>
  <c r="AV1218" i="24"/>
  <c r="AG1218" i="24"/>
  <c r="U1218" i="24"/>
  <c r="T1218" i="24"/>
  <c r="N1218" i="24"/>
  <c r="C1218" i="24"/>
  <c r="A1218" i="24"/>
  <c r="BP1217" i="24"/>
  <c r="BO1217" i="24"/>
  <c r="BA1217" i="24"/>
  <c r="AZ1217" i="24"/>
  <c r="AW1217" i="24"/>
  <c r="AV1217" i="24"/>
  <c r="AG1217" i="24"/>
  <c r="U1217" i="24"/>
  <c r="T1217" i="24"/>
  <c r="N1217" i="24"/>
  <c r="C1217" i="24"/>
  <c r="A1217" i="24"/>
  <c r="BP1216" i="24"/>
  <c r="BO1216" i="24"/>
  <c r="BA1216" i="24"/>
  <c r="AZ1216" i="24"/>
  <c r="AW1216" i="24"/>
  <c r="AV1216" i="24"/>
  <c r="AG1216" i="24"/>
  <c r="U1216" i="24"/>
  <c r="T1216" i="24"/>
  <c r="N1216" i="24"/>
  <c r="C1216" i="24"/>
  <c r="A1216" i="24"/>
  <c r="BP1215" i="24"/>
  <c r="BO1215" i="24"/>
  <c r="BA1215" i="24"/>
  <c r="AZ1215" i="24"/>
  <c r="AW1215" i="24"/>
  <c r="AV1215" i="24"/>
  <c r="AG1215" i="24"/>
  <c r="U1215" i="24"/>
  <c r="T1215" i="24"/>
  <c r="N1215" i="24"/>
  <c r="C1215" i="24"/>
  <c r="A1215" i="24"/>
  <c r="BP1214" i="24"/>
  <c r="BO1214" i="24"/>
  <c r="BA1214" i="24"/>
  <c r="AZ1214" i="24"/>
  <c r="AW1214" i="24"/>
  <c r="AV1214" i="24"/>
  <c r="AG1214" i="24"/>
  <c r="U1214" i="24"/>
  <c r="T1214" i="24"/>
  <c r="N1214" i="24"/>
  <c r="C1214" i="24"/>
  <c r="A1214" i="24"/>
  <c r="BP1213" i="24"/>
  <c r="BO1213" i="24"/>
  <c r="BA1213" i="24"/>
  <c r="AZ1213" i="24"/>
  <c r="AW1213" i="24"/>
  <c r="AV1213" i="24"/>
  <c r="AG1213" i="24"/>
  <c r="U1213" i="24"/>
  <c r="T1213" i="24"/>
  <c r="N1213" i="24"/>
  <c r="C1213" i="24"/>
  <c r="A1213" i="24"/>
  <c r="BP1212" i="24"/>
  <c r="BO1212" i="24"/>
  <c r="BA1212" i="24"/>
  <c r="AZ1212" i="24"/>
  <c r="AW1212" i="24"/>
  <c r="AV1212" i="24"/>
  <c r="AG1212" i="24"/>
  <c r="U1212" i="24"/>
  <c r="T1212" i="24"/>
  <c r="N1212" i="24"/>
  <c r="C1212" i="24"/>
  <c r="A1212" i="24"/>
  <c r="BP1211" i="24"/>
  <c r="BO1211" i="24"/>
  <c r="BA1211" i="24"/>
  <c r="AZ1211" i="24"/>
  <c r="AW1211" i="24"/>
  <c r="AV1211" i="24"/>
  <c r="AG1211" i="24"/>
  <c r="U1211" i="24"/>
  <c r="T1211" i="24"/>
  <c r="N1211" i="24"/>
  <c r="C1211" i="24"/>
  <c r="A1211" i="24"/>
  <c r="BP1210" i="24"/>
  <c r="BO1210" i="24"/>
  <c r="BA1210" i="24"/>
  <c r="AZ1210" i="24"/>
  <c r="AW1210" i="24"/>
  <c r="AV1210" i="24"/>
  <c r="AG1210" i="24"/>
  <c r="U1210" i="24"/>
  <c r="T1210" i="24"/>
  <c r="N1210" i="24"/>
  <c r="C1210" i="24"/>
  <c r="A1210" i="24"/>
  <c r="BP1209" i="24"/>
  <c r="BO1209" i="24"/>
  <c r="BA1209" i="24"/>
  <c r="AZ1209" i="24"/>
  <c r="AW1209" i="24"/>
  <c r="AV1209" i="24"/>
  <c r="AG1209" i="24"/>
  <c r="U1209" i="24"/>
  <c r="T1209" i="24"/>
  <c r="N1209" i="24"/>
  <c r="C1209" i="24"/>
  <c r="A1209" i="24"/>
  <c r="BP1208" i="24"/>
  <c r="BO1208" i="24"/>
  <c r="BA1208" i="24"/>
  <c r="AZ1208" i="24"/>
  <c r="AW1208" i="24"/>
  <c r="AV1208" i="24"/>
  <c r="AG1208" i="24"/>
  <c r="U1208" i="24"/>
  <c r="T1208" i="24"/>
  <c r="N1208" i="24"/>
  <c r="C1208" i="24"/>
  <c r="A1208" i="24"/>
  <c r="BP1207" i="24"/>
  <c r="BO1207" i="24"/>
  <c r="BA1207" i="24"/>
  <c r="AZ1207" i="24"/>
  <c r="AW1207" i="24"/>
  <c r="AV1207" i="24"/>
  <c r="AG1207" i="24"/>
  <c r="U1207" i="24"/>
  <c r="T1207" i="24"/>
  <c r="N1207" i="24"/>
  <c r="C1207" i="24"/>
  <c r="A1207" i="24"/>
  <c r="BP1206" i="24"/>
  <c r="BO1206" i="24"/>
  <c r="BA1206" i="24"/>
  <c r="AZ1206" i="24"/>
  <c r="AW1206" i="24"/>
  <c r="AV1206" i="24"/>
  <c r="AG1206" i="24"/>
  <c r="U1206" i="24"/>
  <c r="T1206" i="24"/>
  <c r="N1206" i="24"/>
  <c r="C1206" i="24"/>
  <c r="A1206" i="24"/>
  <c r="BP1205" i="24"/>
  <c r="BO1205" i="24"/>
  <c r="BA1205" i="24"/>
  <c r="AZ1205" i="24"/>
  <c r="AW1205" i="24"/>
  <c r="AV1205" i="24"/>
  <c r="AG1205" i="24"/>
  <c r="U1205" i="24"/>
  <c r="T1205" i="24"/>
  <c r="N1205" i="24"/>
  <c r="C1205" i="24"/>
  <c r="A1205" i="24"/>
  <c r="BP1204" i="24"/>
  <c r="BO1204" i="24"/>
  <c r="BA1204" i="24"/>
  <c r="AZ1204" i="24"/>
  <c r="AW1204" i="24"/>
  <c r="AV1204" i="24"/>
  <c r="AG1204" i="24"/>
  <c r="U1204" i="24"/>
  <c r="T1204" i="24"/>
  <c r="N1204" i="24"/>
  <c r="C1204" i="24"/>
  <c r="A1204" i="24"/>
  <c r="BP1203" i="24"/>
  <c r="BO1203" i="24"/>
  <c r="BA1203" i="24"/>
  <c r="AZ1203" i="24"/>
  <c r="AW1203" i="24"/>
  <c r="AV1203" i="24"/>
  <c r="AG1203" i="24"/>
  <c r="U1203" i="24"/>
  <c r="T1203" i="24"/>
  <c r="N1203" i="24"/>
  <c r="C1203" i="24"/>
  <c r="A1203" i="24"/>
  <c r="BP1202" i="24"/>
  <c r="BO1202" i="24"/>
  <c r="BA1202" i="24"/>
  <c r="AZ1202" i="24"/>
  <c r="AW1202" i="24"/>
  <c r="AV1202" i="24"/>
  <c r="AG1202" i="24"/>
  <c r="U1202" i="24"/>
  <c r="T1202" i="24"/>
  <c r="N1202" i="24"/>
  <c r="C1202" i="24"/>
  <c r="A1202" i="24"/>
  <c r="BP1201" i="24"/>
  <c r="BO1201" i="24"/>
  <c r="BA1201" i="24"/>
  <c r="AZ1201" i="24"/>
  <c r="AW1201" i="24"/>
  <c r="AV1201" i="24"/>
  <c r="AG1201" i="24"/>
  <c r="U1201" i="24"/>
  <c r="T1201" i="24"/>
  <c r="N1201" i="24"/>
  <c r="C1201" i="24"/>
  <c r="A1201" i="24"/>
  <c r="BP1200" i="24"/>
  <c r="BO1200" i="24"/>
  <c r="BA1200" i="24"/>
  <c r="AZ1200" i="24"/>
  <c r="AW1200" i="24"/>
  <c r="AV1200" i="24"/>
  <c r="AG1200" i="24"/>
  <c r="U1200" i="24"/>
  <c r="T1200" i="24"/>
  <c r="N1200" i="24"/>
  <c r="C1200" i="24"/>
  <c r="A1200" i="24"/>
  <c r="BP1199" i="24"/>
  <c r="BO1199" i="24"/>
  <c r="BA1199" i="24"/>
  <c r="AZ1199" i="24"/>
  <c r="AW1199" i="24"/>
  <c r="AV1199" i="24"/>
  <c r="AG1199" i="24"/>
  <c r="U1199" i="24"/>
  <c r="T1199" i="24"/>
  <c r="N1199" i="24"/>
  <c r="C1199" i="24"/>
  <c r="A1199" i="24"/>
  <c r="BP1198" i="24"/>
  <c r="BO1198" i="24"/>
  <c r="BA1198" i="24"/>
  <c r="AZ1198" i="24"/>
  <c r="AW1198" i="24"/>
  <c r="AV1198" i="24"/>
  <c r="AG1198" i="24"/>
  <c r="U1198" i="24"/>
  <c r="T1198" i="24"/>
  <c r="N1198" i="24"/>
  <c r="C1198" i="24"/>
  <c r="A1198" i="24"/>
  <c r="BP1197" i="24"/>
  <c r="BO1197" i="24"/>
  <c r="BA1197" i="24"/>
  <c r="AZ1197" i="24"/>
  <c r="AW1197" i="24"/>
  <c r="AV1197" i="24"/>
  <c r="AG1197" i="24"/>
  <c r="U1197" i="24"/>
  <c r="T1197" i="24"/>
  <c r="N1197" i="24"/>
  <c r="C1197" i="24"/>
  <c r="A1197" i="24"/>
  <c r="BP1196" i="24"/>
  <c r="BO1196" i="24"/>
  <c r="BA1196" i="24"/>
  <c r="AZ1196" i="24"/>
  <c r="AW1196" i="24"/>
  <c r="AV1196" i="24"/>
  <c r="AG1196" i="24"/>
  <c r="U1196" i="24"/>
  <c r="T1196" i="24"/>
  <c r="N1196" i="24"/>
  <c r="C1196" i="24"/>
  <c r="A1196" i="24"/>
  <c r="BP1195" i="24"/>
  <c r="BO1195" i="24"/>
  <c r="BA1195" i="24"/>
  <c r="AZ1195" i="24"/>
  <c r="AW1195" i="24"/>
  <c r="AV1195" i="24"/>
  <c r="AG1195" i="24"/>
  <c r="U1195" i="24"/>
  <c r="T1195" i="24"/>
  <c r="N1195" i="24"/>
  <c r="C1195" i="24"/>
  <c r="A1195" i="24"/>
  <c r="BP1194" i="24"/>
  <c r="BO1194" i="24"/>
  <c r="BA1194" i="24"/>
  <c r="AZ1194" i="24"/>
  <c r="AW1194" i="24"/>
  <c r="AV1194" i="24"/>
  <c r="AG1194" i="24"/>
  <c r="U1194" i="24"/>
  <c r="T1194" i="24"/>
  <c r="N1194" i="24"/>
  <c r="C1194" i="24"/>
  <c r="A1194" i="24"/>
  <c r="BP1193" i="24"/>
  <c r="BO1193" i="24"/>
  <c r="BA1193" i="24"/>
  <c r="AZ1193" i="24"/>
  <c r="AW1193" i="24"/>
  <c r="AV1193" i="24"/>
  <c r="AG1193" i="24"/>
  <c r="U1193" i="24"/>
  <c r="T1193" i="24"/>
  <c r="N1193" i="24"/>
  <c r="C1193" i="24"/>
  <c r="A1193" i="24"/>
  <c r="BP1192" i="24"/>
  <c r="BO1192" i="24"/>
  <c r="BA1192" i="24"/>
  <c r="AZ1192" i="24"/>
  <c r="AW1192" i="24"/>
  <c r="AV1192" i="24"/>
  <c r="AG1192" i="24"/>
  <c r="U1192" i="24"/>
  <c r="T1192" i="24"/>
  <c r="N1192" i="24"/>
  <c r="C1192" i="24"/>
  <c r="A1192" i="24"/>
  <c r="BP1191" i="24"/>
  <c r="BO1191" i="24"/>
  <c r="BA1191" i="24"/>
  <c r="AZ1191" i="24"/>
  <c r="AW1191" i="24"/>
  <c r="AV1191" i="24"/>
  <c r="AG1191" i="24"/>
  <c r="U1191" i="24"/>
  <c r="T1191" i="24"/>
  <c r="N1191" i="24"/>
  <c r="C1191" i="24"/>
  <c r="A1191" i="24"/>
  <c r="BP1190" i="24"/>
  <c r="BO1190" i="24"/>
  <c r="BA1190" i="24"/>
  <c r="AZ1190" i="24"/>
  <c r="AW1190" i="24"/>
  <c r="AV1190" i="24"/>
  <c r="AG1190" i="24"/>
  <c r="U1190" i="24"/>
  <c r="T1190" i="24"/>
  <c r="N1190" i="24"/>
  <c r="C1190" i="24"/>
  <c r="A1190" i="24"/>
  <c r="BP1189" i="24"/>
  <c r="BO1189" i="24"/>
  <c r="BA1189" i="24"/>
  <c r="AZ1189" i="24"/>
  <c r="AW1189" i="24"/>
  <c r="AV1189" i="24"/>
  <c r="AG1189" i="24"/>
  <c r="U1189" i="24"/>
  <c r="T1189" i="24"/>
  <c r="N1189" i="24"/>
  <c r="C1189" i="24"/>
  <c r="A1189" i="24"/>
  <c r="BP1188" i="24"/>
  <c r="BO1188" i="24"/>
  <c r="BA1188" i="24"/>
  <c r="AZ1188" i="24"/>
  <c r="AW1188" i="24"/>
  <c r="AV1188" i="24"/>
  <c r="AG1188" i="24"/>
  <c r="U1188" i="24"/>
  <c r="T1188" i="24"/>
  <c r="N1188" i="24"/>
  <c r="C1188" i="24"/>
  <c r="A1188" i="24"/>
  <c r="BP1187" i="24"/>
  <c r="BO1187" i="24"/>
  <c r="BA1187" i="24"/>
  <c r="AZ1187" i="24"/>
  <c r="AW1187" i="24"/>
  <c r="AV1187" i="24"/>
  <c r="AG1187" i="24"/>
  <c r="U1187" i="24"/>
  <c r="T1187" i="24"/>
  <c r="N1187" i="24"/>
  <c r="C1187" i="24"/>
  <c r="A1187" i="24"/>
  <c r="BP1186" i="24"/>
  <c r="BO1186" i="24"/>
  <c r="BA1186" i="24"/>
  <c r="AZ1186" i="24"/>
  <c r="AW1186" i="24"/>
  <c r="AV1186" i="24"/>
  <c r="AG1186" i="24"/>
  <c r="U1186" i="24"/>
  <c r="T1186" i="24"/>
  <c r="N1186" i="24"/>
  <c r="C1186" i="24"/>
  <c r="A1186" i="24"/>
  <c r="BP1185" i="24"/>
  <c r="BO1185" i="24"/>
  <c r="BA1185" i="24"/>
  <c r="AZ1185" i="24"/>
  <c r="AW1185" i="24"/>
  <c r="AV1185" i="24"/>
  <c r="AG1185" i="24"/>
  <c r="U1185" i="24"/>
  <c r="T1185" i="24"/>
  <c r="N1185" i="24"/>
  <c r="C1185" i="24"/>
  <c r="A1185" i="24"/>
  <c r="BP1184" i="24"/>
  <c r="BO1184" i="24"/>
  <c r="BA1184" i="24"/>
  <c r="AZ1184" i="24"/>
  <c r="AW1184" i="24"/>
  <c r="AV1184" i="24"/>
  <c r="AG1184" i="24"/>
  <c r="U1184" i="24"/>
  <c r="T1184" i="24"/>
  <c r="N1184" i="24"/>
  <c r="C1184" i="24"/>
  <c r="A1184" i="24"/>
  <c r="BP1183" i="24"/>
  <c r="BO1183" i="24"/>
  <c r="BA1183" i="24"/>
  <c r="AZ1183" i="24"/>
  <c r="AW1183" i="24"/>
  <c r="AV1183" i="24"/>
  <c r="AG1183" i="24"/>
  <c r="U1183" i="24"/>
  <c r="T1183" i="24"/>
  <c r="N1183" i="24"/>
  <c r="C1183" i="24"/>
  <c r="A1183" i="24"/>
  <c r="BP1182" i="24"/>
  <c r="BO1182" i="24"/>
  <c r="BA1182" i="24"/>
  <c r="AZ1182" i="24"/>
  <c r="AW1182" i="24"/>
  <c r="AV1182" i="24"/>
  <c r="AG1182" i="24"/>
  <c r="U1182" i="24"/>
  <c r="T1182" i="24"/>
  <c r="N1182" i="24"/>
  <c r="C1182" i="24"/>
  <c r="A1182" i="24"/>
  <c r="BP1181" i="24"/>
  <c r="BO1181" i="24"/>
  <c r="BA1181" i="24"/>
  <c r="AZ1181" i="24"/>
  <c r="AW1181" i="24"/>
  <c r="AV1181" i="24"/>
  <c r="AG1181" i="24"/>
  <c r="U1181" i="24"/>
  <c r="T1181" i="24"/>
  <c r="N1181" i="24"/>
  <c r="C1181" i="24"/>
  <c r="A1181" i="24"/>
  <c r="BP1180" i="24"/>
  <c r="BO1180" i="24"/>
  <c r="BA1180" i="24"/>
  <c r="AZ1180" i="24"/>
  <c r="AW1180" i="24"/>
  <c r="AV1180" i="24"/>
  <c r="AG1180" i="24"/>
  <c r="U1180" i="24"/>
  <c r="T1180" i="24"/>
  <c r="N1180" i="24"/>
  <c r="C1180" i="24"/>
  <c r="A1180" i="24"/>
  <c r="BP1179" i="24"/>
  <c r="BO1179" i="24"/>
  <c r="BA1179" i="24"/>
  <c r="AZ1179" i="24"/>
  <c r="AW1179" i="24"/>
  <c r="AV1179" i="24"/>
  <c r="AG1179" i="24"/>
  <c r="U1179" i="24"/>
  <c r="T1179" i="24"/>
  <c r="N1179" i="24"/>
  <c r="C1179" i="24"/>
  <c r="A1179" i="24"/>
  <c r="BP1178" i="24"/>
  <c r="BO1178" i="24"/>
  <c r="BA1178" i="24"/>
  <c r="AZ1178" i="24"/>
  <c r="AW1178" i="24"/>
  <c r="AV1178" i="24"/>
  <c r="AG1178" i="24"/>
  <c r="U1178" i="24"/>
  <c r="T1178" i="24"/>
  <c r="N1178" i="24"/>
  <c r="C1178" i="24"/>
  <c r="A1178" i="24"/>
  <c r="BP1177" i="24"/>
  <c r="BO1177" i="24"/>
  <c r="BA1177" i="24"/>
  <c r="AZ1177" i="24"/>
  <c r="AW1177" i="24"/>
  <c r="AV1177" i="24"/>
  <c r="AG1177" i="24"/>
  <c r="U1177" i="24"/>
  <c r="T1177" i="24"/>
  <c r="N1177" i="24"/>
  <c r="C1177" i="24"/>
  <c r="A1177" i="24"/>
  <c r="BP1176" i="24"/>
  <c r="BO1176" i="24"/>
  <c r="BA1176" i="24"/>
  <c r="AZ1176" i="24"/>
  <c r="AW1176" i="24"/>
  <c r="AV1176" i="24"/>
  <c r="AG1176" i="24"/>
  <c r="U1176" i="24"/>
  <c r="T1176" i="24"/>
  <c r="N1176" i="24"/>
  <c r="C1176" i="24"/>
  <c r="A1176" i="24"/>
  <c r="BP1175" i="24"/>
  <c r="BO1175" i="24"/>
  <c r="BA1175" i="24"/>
  <c r="AZ1175" i="24"/>
  <c r="AW1175" i="24"/>
  <c r="AV1175" i="24"/>
  <c r="AG1175" i="24"/>
  <c r="U1175" i="24"/>
  <c r="T1175" i="24"/>
  <c r="N1175" i="24"/>
  <c r="C1175" i="24"/>
  <c r="A1175" i="24"/>
  <c r="BP1174" i="24"/>
  <c r="BO1174" i="24"/>
  <c r="BA1174" i="24"/>
  <c r="AZ1174" i="24"/>
  <c r="AW1174" i="24"/>
  <c r="AV1174" i="24"/>
  <c r="AG1174" i="24"/>
  <c r="U1174" i="24"/>
  <c r="T1174" i="24"/>
  <c r="N1174" i="24"/>
  <c r="C1174" i="24"/>
  <c r="A1174" i="24"/>
  <c r="BP1173" i="24"/>
  <c r="BO1173" i="24"/>
  <c r="BA1173" i="24"/>
  <c r="AZ1173" i="24"/>
  <c r="AW1173" i="24"/>
  <c r="AV1173" i="24"/>
  <c r="AG1173" i="24"/>
  <c r="U1173" i="24"/>
  <c r="T1173" i="24"/>
  <c r="N1173" i="24"/>
  <c r="C1173" i="24"/>
  <c r="A1173" i="24"/>
  <c r="BP1172" i="24"/>
  <c r="BO1172" i="24"/>
  <c r="BA1172" i="24"/>
  <c r="AZ1172" i="24"/>
  <c r="AW1172" i="24"/>
  <c r="AV1172" i="24"/>
  <c r="AG1172" i="24"/>
  <c r="U1172" i="24"/>
  <c r="T1172" i="24"/>
  <c r="N1172" i="24"/>
  <c r="C1172" i="24"/>
  <c r="A1172" i="24"/>
  <c r="BP1171" i="24"/>
  <c r="BO1171" i="24"/>
  <c r="BA1171" i="24"/>
  <c r="AZ1171" i="24"/>
  <c r="AW1171" i="24"/>
  <c r="AV1171" i="24"/>
  <c r="AG1171" i="24"/>
  <c r="U1171" i="24"/>
  <c r="T1171" i="24"/>
  <c r="N1171" i="24"/>
  <c r="C1171" i="24"/>
  <c r="A1171" i="24"/>
  <c r="BP1170" i="24"/>
  <c r="BO1170" i="24"/>
  <c r="BA1170" i="24"/>
  <c r="AZ1170" i="24"/>
  <c r="AW1170" i="24"/>
  <c r="AV1170" i="24"/>
  <c r="AG1170" i="24"/>
  <c r="U1170" i="24"/>
  <c r="T1170" i="24"/>
  <c r="N1170" i="24"/>
  <c r="C1170" i="24"/>
  <c r="A1170" i="24"/>
  <c r="BP1169" i="24"/>
  <c r="BO1169" i="24"/>
  <c r="BA1169" i="24"/>
  <c r="AZ1169" i="24"/>
  <c r="AW1169" i="24"/>
  <c r="AV1169" i="24"/>
  <c r="AG1169" i="24"/>
  <c r="U1169" i="24"/>
  <c r="T1169" i="24"/>
  <c r="N1169" i="24"/>
  <c r="C1169" i="24"/>
  <c r="A1169" i="24"/>
  <c r="BP1168" i="24"/>
  <c r="BO1168" i="24"/>
  <c r="BA1168" i="24"/>
  <c r="AZ1168" i="24"/>
  <c r="AW1168" i="24"/>
  <c r="AV1168" i="24"/>
  <c r="AG1168" i="24"/>
  <c r="U1168" i="24"/>
  <c r="T1168" i="24"/>
  <c r="N1168" i="24"/>
  <c r="C1168" i="24"/>
  <c r="A1168" i="24"/>
  <c r="BP1167" i="24"/>
  <c r="BO1167" i="24"/>
  <c r="BA1167" i="24"/>
  <c r="AZ1167" i="24"/>
  <c r="AW1167" i="24"/>
  <c r="AV1167" i="24"/>
  <c r="AG1167" i="24"/>
  <c r="U1167" i="24"/>
  <c r="T1167" i="24"/>
  <c r="N1167" i="24"/>
  <c r="C1167" i="24"/>
  <c r="A1167" i="24"/>
  <c r="BP1166" i="24"/>
  <c r="BO1166" i="24"/>
  <c r="BA1166" i="24"/>
  <c r="AZ1166" i="24"/>
  <c r="AW1166" i="24"/>
  <c r="AV1166" i="24"/>
  <c r="AG1166" i="24"/>
  <c r="U1166" i="24"/>
  <c r="T1166" i="24"/>
  <c r="N1166" i="24"/>
  <c r="C1166" i="24"/>
  <c r="A1166" i="24"/>
  <c r="BP1165" i="24"/>
  <c r="BO1165" i="24"/>
  <c r="BA1165" i="24"/>
  <c r="AZ1165" i="24"/>
  <c r="AW1165" i="24"/>
  <c r="AV1165" i="24"/>
  <c r="AG1165" i="24"/>
  <c r="U1165" i="24"/>
  <c r="T1165" i="24"/>
  <c r="N1165" i="24"/>
  <c r="C1165" i="24"/>
  <c r="A1165" i="24"/>
  <c r="BP1164" i="24"/>
  <c r="BO1164" i="24"/>
  <c r="BA1164" i="24"/>
  <c r="AZ1164" i="24"/>
  <c r="AW1164" i="24"/>
  <c r="AV1164" i="24"/>
  <c r="AG1164" i="24"/>
  <c r="U1164" i="24"/>
  <c r="T1164" i="24"/>
  <c r="N1164" i="24"/>
  <c r="C1164" i="24"/>
  <c r="A1164" i="24"/>
  <c r="BP1163" i="24"/>
  <c r="BO1163" i="24"/>
  <c r="BA1163" i="24"/>
  <c r="AZ1163" i="24"/>
  <c r="AW1163" i="24"/>
  <c r="AV1163" i="24"/>
  <c r="AG1163" i="24"/>
  <c r="U1163" i="24"/>
  <c r="T1163" i="24"/>
  <c r="N1163" i="24"/>
  <c r="C1163" i="24"/>
  <c r="A1163" i="24"/>
  <c r="BP1162" i="24"/>
  <c r="BO1162" i="24"/>
  <c r="BA1162" i="24"/>
  <c r="AZ1162" i="24"/>
  <c r="AW1162" i="24"/>
  <c r="AV1162" i="24"/>
  <c r="AG1162" i="24"/>
  <c r="U1162" i="24"/>
  <c r="T1162" i="24"/>
  <c r="N1162" i="24"/>
  <c r="C1162" i="24"/>
  <c r="A1162" i="24"/>
  <c r="BP1161" i="24"/>
  <c r="BO1161" i="24"/>
  <c r="BA1161" i="24"/>
  <c r="AZ1161" i="24"/>
  <c r="AW1161" i="24"/>
  <c r="AV1161" i="24"/>
  <c r="AG1161" i="24"/>
  <c r="U1161" i="24"/>
  <c r="T1161" i="24"/>
  <c r="N1161" i="24"/>
  <c r="C1161" i="24"/>
  <c r="A1161" i="24"/>
  <c r="BP1160" i="24"/>
  <c r="BO1160" i="24"/>
  <c r="BA1160" i="24"/>
  <c r="AZ1160" i="24"/>
  <c r="AW1160" i="24"/>
  <c r="AV1160" i="24"/>
  <c r="AG1160" i="24"/>
  <c r="U1160" i="24"/>
  <c r="T1160" i="24"/>
  <c r="N1160" i="24"/>
  <c r="C1160" i="24"/>
  <c r="A1160" i="24"/>
  <c r="BP1159" i="24"/>
  <c r="BO1159" i="24"/>
  <c r="BA1159" i="24"/>
  <c r="AZ1159" i="24"/>
  <c r="AW1159" i="24"/>
  <c r="AV1159" i="24"/>
  <c r="AG1159" i="24"/>
  <c r="U1159" i="24"/>
  <c r="T1159" i="24"/>
  <c r="N1159" i="24"/>
  <c r="C1159" i="24"/>
  <c r="A1159" i="24"/>
  <c r="BP1158" i="24"/>
  <c r="BO1158" i="24"/>
  <c r="BA1158" i="24"/>
  <c r="AZ1158" i="24"/>
  <c r="AW1158" i="24"/>
  <c r="AV1158" i="24"/>
  <c r="AG1158" i="24"/>
  <c r="U1158" i="24"/>
  <c r="T1158" i="24"/>
  <c r="N1158" i="24"/>
  <c r="C1158" i="24"/>
  <c r="A1158" i="24"/>
  <c r="BP1157" i="24"/>
  <c r="BO1157" i="24"/>
  <c r="BA1157" i="24"/>
  <c r="AZ1157" i="24"/>
  <c r="AW1157" i="24"/>
  <c r="AV1157" i="24"/>
  <c r="AG1157" i="24"/>
  <c r="U1157" i="24"/>
  <c r="T1157" i="24"/>
  <c r="N1157" i="24"/>
  <c r="C1157" i="24"/>
  <c r="A1157" i="24"/>
  <c r="BP1156" i="24"/>
  <c r="BO1156" i="24"/>
  <c r="BA1156" i="24"/>
  <c r="AZ1156" i="24"/>
  <c r="AW1156" i="24"/>
  <c r="AV1156" i="24"/>
  <c r="AG1156" i="24"/>
  <c r="U1156" i="24"/>
  <c r="T1156" i="24"/>
  <c r="N1156" i="24"/>
  <c r="C1156" i="24"/>
  <c r="A1156" i="24"/>
  <c r="BP1155" i="24"/>
  <c r="BO1155" i="24"/>
  <c r="BA1155" i="24"/>
  <c r="AZ1155" i="24"/>
  <c r="AW1155" i="24"/>
  <c r="AV1155" i="24"/>
  <c r="AG1155" i="24"/>
  <c r="U1155" i="24"/>
  <c r="T1155" i="24"/>
  <c r="N1155" i="24"/>
  <c r="C1155" i="24"/>
  <c r="A1155" i="24"/>
  <c r="BP1154" i="24"/>
  <c r="BO1154" i="24"/>
  <c r="BA1154" i="24"/>
  <c r="AZ1154" i="24"/>
  <c r="AW1154" i="24"/>
  <c r="AV1154" i="24"/>
  <c r="AG1154" i="24"/>
  <c r="U1154" i="24"/>
  <c r="T1154" i="24"/>
  <c r="N1154" i="24"/>
  <c r="C1154" i="24"/>
  <c r="A1154" i="24"/>
  <c r="BP1153" i="24"/>
  <c r="BO1153" i="24"/>
  <c r="BA1153" i="24"/>
  <c r="AZ1153" i="24"/>
  <c r="AW1153" i="24"/>
  <c r="AV1153" i="24"/>
  <c r="AG1153" i="24"/>
  <c r="U1153" i="24"/>
  <c r="T1153" i="24"/>
  <c r="N1153" i="24"/>
  <c r="C1153" i="24"/>
  <c r="A1153" i="24"/>
  <c r="BP1152" i="24"/>
  <c r="BO1152" i="24"/>
  <c r="BA1152" i="24"/>
  <c r="AZ1152" i="24"/>
  <c r="AW1152" i="24"/>
  <c r="AV1152" i="24"/>
  <c r="AG1152" i="24"/>
  <c r="U1152" i="24"/>
  <c r="T1152" i="24"/>
  <c r="N1152" i="24"/>
  <c r="C1152" i="24"/>
  <c r="A1152" i="24"/>
  <c r="BP1151" i="24"/>
  <c r="BO1151" i="24"/>
  <c r="BA1151" i="24"/>
  <c r="AZ1151" i="24"/>
  <c r="AW1151" i="24"/>
  <c r="AV1151" i="24"/>
  <c r="AG1151" i="24"/>
  <c r="U1151" i="24"/>
  <c r="T1151" i="24"/>
  <c r="N1151" i="24"/>
  <c r="C1151" i="24"/>
  <c r="A1151" i="24"/>
  <c r="BP1150" i="24"/>
  <c r="BO1150" i="24"/>
  <c r="BA1150" i="24"/>
  <c r="AZ1150" i="24"/>
  <c r="AW1150" i="24"/>
  <c r="AV1150" i="24"/>
  <c r="AG1150" i="24"/>
  <c r="U1150" i="24"/>
  <c r="T1150" i="24"/>
  <c r="N1150" i="24"/>
  <c r="C1150" i="24"/>
  <c r="A1150" i="24"/>
  <c r="BP1149" i="24"/>
  <c r="BO1149" i="24"/>
  <c r="BA1149" i="24"/>
  <c r="AZ1149" i="24"/>
  <c r="AW1149" i="24"/>
  <c r="AV1149" i="24"/>
  <c r="AG1149" i="24"/>
  <c r="U1149" i="24"/>
  <c r="T1149" i="24"/>
  <c r="N1149" i="24"/>
  <c r="C1149" i="24"/>
  <c r="A1149" i="24"/>
  <c r="BP1148" i="24"/>
  <c r="BO1148" i="24"/>
  <c r="BA1148" i="24"/>
  <c r="AZ1148" i="24"/>
  <c r="AW1148" i="24"/>
  <c r="AV1148" i="24"/>
  <c r="AG1148" i="24"/>
  <c r="U1148" i="24"/>
  <c r="T1148" i="24"/>
  <c r="N1148" i="24"/>
  <c r="C1148" i="24"/>
  <c r="A1148" i="24"/>
  <c r="BP1147" i="24"/>
  <c r="BO1147" i="24"/>
  <c r="BA1147" i="24"/>
  <c r="AZ1147" i="24"/>
  <c r="AW1147" i="24"/>
  <c r="AV1147" i="24"/>
  <c r="AG1147" i="24"/>
  <c r="U1147" i="24"/>
  <c r="T1147" i="24"/>
  <c r="N1147" i="24"/>
  <c r="C1147" i="24"/>
  <c r="A1147" i="24"/>
  <c r="BP1146" i="24"/>
  <c r="BO1146" i="24"/>
  <c r="BA1146" i="24"/>
  <c r="AZ1146" i="24"/>
  <c r="AW1146" i="24"/>
  <c r="AV1146" i="24"/>
  <c r="AG1146" i="24"/>
  <c r="U1146" i="24"/>
  <c r="T1146" i="24"/>
  <c r="N1146" i="24"/>
  <c r="C1146" i="24"/>
  <c r="A1146" i="24"/>
  <c r="BP1145" i="24"/>
  <c r="BO1145" i="24"/>
  <c r="BA1145" i="24"/>
  <c r="AZ1145" i="24"/>
  <c r="AW1145" i="24"/>
  <c r="AV1145" i="24"/>
  <c r="AG1145" i="24"/>
  <c r="U1145" i="24"/>
  <c r="T1145" i="24"/>
  <c r="N1145" i="24"/>
  <c r="C1145" i="24"/>
  <c r="A1145" i="24"/>
  <c r="BP1144" i="24"/>
  <c r="BO1144" i="24"/>
  <c r="BA1144" i="24"/>
  <c r="AZ1144" i="24"/>
  <c r="AW1144" i="24"/>
  <c r="AV1144" i="24"/>
  <c r="AG1144" i="24"/>
  <c r="U1144" i="24"/>
  <c r="T1144" i="24"/>
  <c r="N1144" i="24"/>
  <c r="C1144" i="24"/>
  <c r="A1144" i="24"/>
  <c r="BP1143" i="24"/>
  <c r="BO1143" i="24"/>
  <c r="BA1143" i="24"/>
  <c r="AZ1143" i="24"/>
  <c r="AW1143" i="24"/>
  <c r="AV1143" i="24"/>
  <c r="AG1143" i="24"/>
  <c r="U1143" i="24"/>
  <c r="T1143" i="24"/>
  <c r="N1143" i="24"/>
  <c r="C1143" i="24"/>
  <c r="A1143" i="24"/>
  <c r="BP1142" i="24"/>
  <c r="BO1142" i="24"/>
  <c r="BA1142" i="24"/>
  <c r="AZ1142" i="24"/>
  <c r="AW1142" i="24"/>
  <c r="AV1142" i="24"/>
  <c r="AG1142" i="24"/>
  <c r="U1142" i="24"/>
  <c r="T1142" i="24"/>
  <c r="N1142" i="24"/>
  <c r="C1142" i="24"/>
  <c r="A1142" i="24"/>
  <c r="BP1141" i="24"/>
  <c r="BO1141" i="24"/>
  <c r="BA1141" i="24"/>
  <c r="AZ1141" i="24"/>
  <c r="AW1141" i="24"/>
  <c r="AV1141" i="24"/>
  <c r="AG1141" i="24"/>
  <c r="U1141" i="24"/>
  <c r="T1141" i="24"/>
  <c r="N1141" i="24"/>
  <c r="C1141" i="24"/>
  <c r="A1141" i="24"/>
  <c r="BP1140" i="24"/>
  <c r="BO1140" i="24"/>
  <c r="BA1140" i="24"/>
  <c r="AZ1140" i="24"/>
  <c r="AW1140" i="24"/>
  <c r="AV1140" i="24"/>
  <c r="AG1140" i="24"/>
  <c r="U1140" i="24"/>
  <c r="T1140" i="24"/>
  <c r="N1140" i="24"/>
  <c r="C1140" i="24"/>
  <c r="A1140" i="24"/>
  <c r="BP1139" i="24"/>
  <c r="BO1139" i="24"/>
  <c r="BA1139" i="24"/>
  <c r="AZ1139" i="24"/>
  <c r="AW1139" i="24"/>
  <c r="AV1139" i="24"/>
  <c r="AG1139" i="24"/>
  <c r="U1139" i="24"/>
  <c r="T1139" i="24"/>
  <c r="N1139" i="24"/>
  <c r="C1139" i="24"/>
  <c r="A1139" i="24"/>
  <c r="BP1138" i="24"/>
  <c r="BO1138" i="24"/>
  <c r="BA1138" i="24"/>
  <c r="AZ1138" i="24"/>
  <c r="AW1138" i="24"/>
  <c r="AV1138" i="24"/>
  <c r="AG1138" i="24"/>
  <c r="U1138" i="24"/>
  <c r="T1138" i="24"/>
  <c r="N1138" i="24"/>
  <c r="C1138" i="24"/>
  <c r="A1138" i="24"/>
  <c r="BP1137" i="24"/>
  <c r="BO1137" i="24"/>
  <c r="BA1137" i="24"/>
  <c r="AZ1137" i="24"/>
  <c r="AW1137" i="24"/>
  <c r="AV1137" i="24"/>
  <c r="AG1137" i="24"/>
  <c r="U1137" i="24"/>
  <c r="T1137" i="24"/>
  <c r="N1137" i="24"/>
  <c r="C1137" i="24"/>
  <c r="A1137" i="24"/>
  <c r="BP1136" i="24"/>
  <c r="BO1136" i="24"/>
  <c r="BA1136" i="24"/>
  <c r="AZ1136" i="24"/>
  <c r="AW1136" i="24"/>
  <c r="AV1136" i="24"/>
  <c r="AG1136" i="24"/>
  <c r="U1136" i="24"/>
  <c r="T1136" i="24"/>
  <c r="N1136" i="24"/>
  <c r="C1136" i="24"/>
  <c r="A1136" i="24"/>
  <c r="BP1135" i="24"/>
  <c r="BO1135" i="24"/>
  <c r="BA1135" i="24"/>
  <c r="AZ1135" i="24"/>
  <c r="AW1135" i="24"/>
  <c r="AV1135" i="24"/>
  <c r="AG1135" i="24"/>
  <c r="U1135" i="24"/>
  <c r="T1135" i="24"/>
  <c r="N1135" i="24"/>
  <c r="C1135" i="24"/>
  <c r="A1135" i="24"/>
  <c r="BP1134" i="24"/>
  <c r="BO1134" i="24"/>
  <c r="BA1134" i="24"/>
  <c r="AZ1134" i="24"/>
  <c r="AW1134" i="24"/>
  <c r="AV1134" i="24"/>
  <c r="AG1134" i="24"/>
  <c r="U1134" i="24"/>
  <c r="T1134" i="24"/>
  <c r="N1134" i="24"/>
  <c r="C1134" i="24"/>
  <c r="A1134" i="24"/>
  <c r="BP1133" i="24"/>
  <c r="BO1133" i="24"/>
  <c r="BA1133" i="24"/>
  <c r="AZ1133" i="24"/>
  <c r="AW1133" i="24"/>
  <c r="AV1133" i="24"/>
  <c r="AG1133" i="24"/>
  <c r="U1133" i="24"/>
  <c r="T1133" i="24"/>
  <c r="N1133" i="24"/>
  <c r="C1133" i="24"/>
  <c r="A1133" i="24"/>
  <c r="BP1132" i="24"/>
  <c r="BO1132" i="24"/>
  <c r="BA1132" i="24"/>
  <c r="AZ1132" i="24"/>
  <c r="AW1132" i="24"/>
  <c r="AV1132" i="24"/>
  <c r="AG1132" i="24"/>
  <c r="U1132" i="24"/>
  <c r="T1132" i="24"/>
  <c r="N1132" i="24"/>
  <c r="C1132" i="24"/>
  <c r="A1132" i="24"/>
  <c r="BP1131" i="24"/>
  <c r="BO1131" i="24"/>
  <c r="BA1131" i="24"/>
  <c r="AZ1131" i="24"/>
  <c r="AW1131" i="24"/>
  <c r="AV1131" i="24"/>
  <c r="AG1131" i="24"/>
  <c r="U1131" i="24"/>
  <c r="T1131" i="24"/>
  <c r="N1131" i="24"/>
  <c r="C1131" i="24"/>
  <c r="A1131" i="24"/>
  <c r="BP1130" i="24"/>
  <c r="BO1130" i="24"/>
  <c r="BA1130" i="24"/>
  <c r="AZ1130" i="24"/>
  <c r="AW1130" i="24"/>
  <c r="AV1130" i="24"/>
  <c r="AG1130" i="24"/>
  <c r="U1130" i="24"/>
  <c r="T1130" i="24"/>
  <c r="N1130" i="24"/>
  <c r="C1130" i="24"/>
  <c r="A1130" i="24"/>
  <c r="BP1129" i="24"/>
  <c r="BO1129" i="24"/>
  <c r="BA1129" i="24"/>
  <c r="AZ1129" i="24"/>
  <c r="AW1129" i="24"/>
  <c r="AV1129" i="24"/>
  <c r="AG1129" i="24"/>
  <c r="U1129" i="24"/>
  <c r="T1129" i="24"/>
  <c r="N1129" i="24"/>
  <c r="C1129" i="24"/>
  <c r="A1129" i="24"/>
  <c r="BP1128" i="24"/>
  <c r="BO1128" i="24"/>
  <c r="BA1128" i="24"/>
  <c r="AZ1128" i="24"/>
  <c r="AW1128" i="24"/>
  <c r="AV1128" i="24"/>
  <c r="AG1128" i="24"/>
  <c r="U1128" i="24"/>
  <c r="T1128" i="24"/>
  <c r="N1128" i="24"/>
  <c r="C1128" i="24"/>
  <c r="A1128" i="24"/>
  <c r="BP1127" i="24"/>
  <c r="BO1127" i="24"/>
  <c r="BA1127" i="24"/>
  <c r="AZ1127" i="24"/>
  <c r="AW1127" i="24"/>
  <c r="AV1127" i="24"/>
  <c r="AG1127" i="24"/>
  <c r="U1127" i="24"/>
  <c r="T1127" i="24"/>
  <c r="N1127" i="24"/>
  <c r="C1127" i="24"/>
  <c r="A1127" i="24"/>
  <c r="BP1126" i="24"/>
  <c r="BO1126" i="24"/>
  <c r="BA1126" i="24"/>
  <c r="AZ1126" i="24"/>
  <c r="AW1126" i="24"/>
  <c r="AV1126" i="24"/>
  <c r="AG1126" i="24"/>
  <c r="U1126" i="24"/>
  <c r="T1126" i="24"/>
  <c r="N1126" i="24"/>
  <c r="C1126" i="24"/>
  <c r="A1126" i="24"/>
  <c r="BP1125" i="24"/>
  <c r="BO1125" i="24"/>
  <c r="BA1125" i="24"/>
  <c r="AZ1125" i="24"/>
  <c r="AW1125" i="24"/>
  <c r="AV1125" i="24"/>
  <c r="AG1125" i="24"/>
  <c r="U1125" i="24"/>
  <c r="T1125" i="24"/>
  <c r="N1125" i="24"/>
  <c r="C1125" i="24"/>
  <c r="A1125" i="24"/>
  <c r="BP1124" i="24"/>
  <c r="BO1124" i="24"/>
  <c r="BA1124" i="24"/>
  <c r="AZ1124" i="24"/>
  <c r="AW1124" i="24"/>
  <c r="AV1124" i="24"/>
  <c r="AG1124" i="24"/>
  <c r="U1124" i="24"/>
  <c r="T1124" i="24"/>
  <c r="N1124" i="24"/>
  <c r="C1124" i="24"/>
  <c r="A1124" i="24"/>
  <c r="BP1123" i="24"/>
  <c r="BO1123" i="24"/>
  <c r="BA1123" i="24"/>
  <c r="AZ1123" i="24"/>
  <c r="AW1123" i="24"/>
  <c r="AV1123" i="24"/>
  <c r="AG1123" i="24"/>
  <c r="U1123" i="24"/>
  <c r="T1123" i="24"/>
  <c r="N1123" i="24"/>
  <c r="C1123" i="24"/>
  <c r="A1123" i="24"/>
  <c r="BP1122" i="24"/>
  <c r="BO1122" i="24"/>
  <c r="BA1122" i="24"/>
  <c r="AZ1122" i="24"/>
  <c r="AW1122" i="24"/>
  <c r="AV1122" i="24"/>
  <c r="AG1122" i="24"/>
  <c r="U1122" i="24"/>
  <c r="T1122" i="24"/>
  <c r="N1122" i="24"/>
  <c r="C1122" i="24"/>
  <c r="A1122" i="24"/>
  <c r="BP1121" i="24"/>
  <c r="BO1121" i="24"/>
  <c r="BA1121" i="24"/>
  <c r="AZ1121" i="24"/>
  <c r="AW1121" i="24"/>
  <c r="AV1121" i="24"/>
  <c r="AG1121" i="24"/>
  <c r="U1121" i="24"/>
  <c r="T1121" i="24"/>
  <c r="N1121" i="24"/>
  <c r="C1121" i="24"/>
  <c r="A1121" i="24"/>
  <c r="BP1120" i="24"/>
  <c r="BO1120" i="24"/>
  <c r="BA1120" i="24"/>
  <c r="AZ1120" i="24"/>
  <c r="AW1120" i="24"/>
  <c r="AV1120" i="24"/>
  <c r="AG1120" i="24"/>
  <c r="U1120" i="24"/>
  <c r="T1120" i="24"/>
  <c r="N1120" i="24"/>
  <c r="C1120" i="24"/>
  <c r="A1120" i="24"/>
  <c r="BP1119" i="24"/>
  <c r="BO1119" i="24"/>
  <c r="BA1119" i="24"/>
  <c r="AZ1119" i="24"/>
  <c r="AW1119" i="24"/>
  <c r="AV1119" i="24"/>
  <c r="AG1119" i="24"/>
  <c r="U1119" i="24"/>
  <c r="T1119" i="24"/>
  <c r="N1119" i="24"/>
  <c r="C1119" i="24"/>
  <c r="A1119" i="24"/>
  <c r="BP1118" i="24"/>
  <c r="BO1118" i="24"/>
  <c r="BA1118" i="24"/>
  <c r="AZ1118" i="24"/>
  <c r="AW1118" i="24"/>
  <c r="AV1118" i="24"/>
  <c r="AG1118" i="24"/>
  <c r="U1118" i="24"/>
  <c r="T1118" i="24"/>
  <c r="N1118" i="24"/>
  <c r="C1118" i="24"/>
  <c r="A1118" i="24"/>
  <c r="BP1117" i="24"/>
  <c r="BO1117" i="24"/>
  <c r="BA1117" i="24"/>
  <c r="AZ1117" i="24"/>
  <c r="AW1117" i="24"/>
  <c r="AV1117" i="24"/>
  <c r="AG1117" i="24"/>
  <c r="U1117" i="24"/>
  <c r="T1117" i="24"/>
  <c r="N1117" i="24"/>
  <c r="C1117" i="24"/>
  <c r="A1117" i="24"/>
  <c r="BP1116" i="24"/>
  <c r="BO1116" i="24"/>
  <c r="BA1116" i="24"/>
  <c r="AZ1116" i="24"/>
  <c r="AW1116" i="24"/>
  <c r="AV1116" i="24"/>
  <c r="AG1116" i="24"/>
  <c r="U1116" i="24"/>
  <c r="T1116" i="24"/>
  <c r="N1116" i="24"/>
  <c r="C1116" i="24"/>
  <c r="A1116" i="24"/>
  <c r="BP1115" i="24"/>
  <c r="BO1115" i="24"/>
  <c r="BA1115" i="24"/>
  <c r="AZ1115" i="24"/>
  <c r="AW1115" i="24"/>
  <c r="AV1115" i="24"/>
  <c r="AG1115" i="24"/>
  <c r="U1115" i="24"/>
  <c r="T1115" i="24"/>
  <c r="N1115" i="24"/>
  <c r="C1115" i="24"/>
  <c r="A1115" i="24"/>
  <c r="BP1114" i="24"/>
  <c r="BO1114" i="24"/>
  <c r="BA1114" i="24"/>
  <c r="AZ1114" i="24"/>
  <c r="AW1114" i="24"/>
  <c r="AV1114" i="24"/>
  <c r="AG1114" i="24"/>
  <c r="U1114" i="24"/>
  <c r="T1114" i="24"/>
  <c r="N1114" i="24"/>
  <c r="C1114" i="24"/>
  <c r="A1114" i="24"/>
  <c r="BP1113" i="24"/>
  <c r="BO1113" i="24"/>
  <c r="BA1113" i="24"/>
  <c r="AZ1113" i="24"/>
  <c r="AW1113" i="24"/>
  <c r="AV1113" i="24"/>
  <c r="AG1113" i="24"/>
  <c r="U1113" i="24"/>
  <c r="T1113" i="24"/>
  <c r="N1113" i="24"/>
  <c r="C1113" i="24"/>
  <c r="A1113" i="24"/>
  <c r="BP1112" i="24"/>
  <c r="BO1112" i="24"/>
  <c r="BA1112" i="24"/>
  <c r="AZ1112" i="24"/>
  <c r="AW1112" i="24"/>
  <c r="AV1112" i="24"/>
  <c r="AG1112" i="24"/>
  <c r="U1112" i="24"/>
  <c r="T1112" i="24"/>
  <c r="N1112" i="24"/>
  <c r="C1112" i="24"/>
  <c r="A1112" i="24"/>
  <c r="BP1111" i="24"/>
  <c r="BO1111" i="24"/>
  <c r="BA1111" i="24"/>
  <c r="AZ1111" i="24"/>
  <c r="AW1111" i="24"/>
  <c r="AV1111" i="24"/>
  <c r="AG1111" i="24"/>
  <c r="U1111" i="24"/>
  <c r="T1111" i="24"/>
  <c r="N1111" i="24"/>
  <c r="C1111" i="24"/>
  <c r="A1111" i="24"/>
  <c r="BP1110" i="24"/>
  <c r="BO1110" i="24"/>
  <c r="BA1110" i="24"/>
  <c r="AZ1110" i="24"/>
  <c r="AW1110" i="24"/>
  <c r="AV1110" i="24"/>
  <c r="AG1110" i="24"/>
  <c r="U1110" i="24"/>
  <c r="T1110" i="24"/>
  <c r="N1110" i="24"/>
  <c r="C1110" i="24"/>
  <c r="A1110" i="24"/>
  <c r="BP1109" i="24"/>
  <c r="BO1109" i="24"/>
  <c r="BA1109" i="24"/>
  <c r="AZ1109" i="24"/>
  <c r="AW1109" i="24"/>
  <c r="AV1109" i="24"/>
  <c r="AG1109" i="24"/>
  <c r="U1109" i="24"/>
  <c r="T1109" i="24"/>
  <c r="N1109" i="24"/>
  <c r="C1109" i="24"/>
  <c r="A1109" i="24"/>
  <c r="BP1108" i="24"/>
  <c r="BO1108" i="24"/>
  <c r="BA1108" i="24"/>
  <c r="AZ1108" i="24"/>
  <c r="AW1108" i="24"/>
  <c r="AV1108" i="24"/>
  <c r="AG1108" i="24"/>
  <c r="U1108" i="24"/>
  <c r="T1108" i="24"/>
  <c r="N1108" i="24"/>
  <c r="C1108" i="24"/>
  <c r="A1108" i="24"/>
  <c r="BP1107" i="24"/>
  <c r="BO1107" i="24"/>
  <c r="BA1107" i="24"/>
  <c r="AZ1107" i="24"/>
  <c r="AW1107" i="24"/>
  <c r="AV1107" i="24"/>
  <c r="AG1107" i="24"/>
  <c r="U1107" i="24"/>
  <c r="T1107" i="24"/>
  <c r="N1107" i="24"/>
  <c r="C1107" i="24"/>
  <c r="A1107" i="24"/>
  <c r="BP1106" i="24"/>
  <c r="BO1106" i="24"/>
  <c r="BA1106" i="24"/>
  <c r="AZ1106" i="24"/>
  <c r="AW1106" i="24"/>
  <c r="AV1106" i="24"/>
  <c r="AG1106" i="24"/>
  <c r="U1106" i="24"/>
  <c r="T1106" i="24"/>
  <c r="N1106" i="24"/>
  <c r="C1106" i="24"/>
  <c r="A1106" i="24"/>
  <c r="BP1105" i="24"/>
  <c r="BO1105" i="24"/>
  <c r="BA1105" i="24"/>
  <c r="AZ1105" i="24"/>
  <c r="AW1105" i="24"/>
  <c r="AV1105" i="24"/>
  <c r="AG1105" i="24"/>
  <c r="U1105" i="24"/>
  <c r="T1105" i="24"/>
  <c r="N1105" i="24"/>
  <c r="C1105" i="24"/>
  <c r="A1105" i="24"/>
  <c r="BP1104" i="24"/>
  <c r="BO1104" i="24"/>
  <c r="BA1104" i="24"/>
  <c r="AZ1104" i="24"/>
  <c r="AW1104" i="24"/>
  <c r="AV1104" i="24"/>
  <c r="AG1104" i="24"/>
  <c r="U1104" i="24"/>
  <c r="T1104" i="24"/>
  <c r="N1104" i="24"/>
  <c r="C1104" i="24"/>
  <c r="A1104" i="24"/>
  <c r="BP1103" i="24"/>
  <c r="BO1103" i="24"/>
  <c r="BA1103" i="24"/>
  <c r="AZ1103" i="24"/>
  <c r="AW1103" i="24"/>
  <c r="AV1103" i="24"/>
  <c r="AG1103" i="24"/>
  <c r="U1103" i="24"/>
  <c r="T1103" i="24"/>
  <c r="N1103" i="24"/>
  <c r="C1103" i="24"/>
  <c r="A1103" i="24"/>
  <c r="BP1102" i="24"/>
  <c r="BO1102" i="24"/>
  <c r="BA1102" i="24"/>
  <c r="AZ1102" i="24"/>
  <c r="AW1102" i="24"/>
  <c r="AV1102" i="24"/>
  <c r="AG1102" i="24"/>
  <c r="U1102" i="24"/>
  <c r="T1102" i="24"/>
  <c r="N1102" i="24"/>
  <c r="C1102" i="24"/>
  <c r="A1102" i="24"/>
  <c r="BP1101" i="24"/>
  <c r="BO1101" i="24"/>
  <c r="BA1101" i="24"/>
  <c r="AZ1101" i="24"/>
  <c r="AW1101" i="24"/>
  <c r="AV1101" i="24"/>
  <c r="AG1101" i="24"/>
  <c r="U1101" i="24"/>
  <c r="T1101" i="24"/>
  <c r="N1101" i="24"/>
  <c r="C1101" i="24"/>
  <c r="A1101" i="24"/>
  <c r="BP1100" i="24"/>
  <c r="BO1100" i="24"/>
  <c r="BA1100" i="24"/>
  <c r="AZ1100" i="24"/>
  <c r="AW1100" i="24"/>
  <c r="AV1100" i="24"/>
  <c r="AG1100" i="24"/>
  <c r="U1100" i="24"/>
  <c r="T1100" i="24"/>
  <c r="N1100" i="24"/>
  <c r="C1100" i="24"/>
  <c r="A1100" i="24"/>
  <c r="BP1099" i="24"/>
  <c r="BO1099" i="24"/>
  <c r="BA1099" i="24"/>
  <c r="AZ1099" i="24"/>
  <c r="AW1099" i="24"/>
  <c r="AV1099" i="24"/>
  <c r="AG1099" i="24"/>
  <c r="U1099" i="24"/>
  <c r="T1099" i="24"/>
  <c r="N1099" i="24"/>
  <c r="C1099" i="24"/>
  <c r="A1099" i="24"/>
  <c r="BP1098" i="24"/>
  <c r="BO1098" i="24"/>
  <c r="BA1098" i="24"/>
  <c r="AZ1098" i="24"/>
  <c r="AW1098" i="24"/>
  <c r="AV1098" i="24"/>
  <c r="AG1098" i="24"/>
  <c r="U1098" i="24"/>
  <c r="T1098" i="24"/>
  <c r="N1098" i="24"/>
  <c r="C1098" i="24"/>
  <c r="A1098" i="24"/>
  <c r="BP1097" i="24"/>
  <c r="BO1097" i="24"/>
  <c r="BA1097" i="24"/>
  <c r="AZ1097" i="24"/>
  <c r="AW1097" i="24"/>
  <c r="AV1097" i="24"/>
  <c r="AG1097" i="24"/>
  <c r="U1097" i="24"/>
  <c r="T1097" i="24"/>
  <c r="N1097" i="24"/>
  <c r="C1097" i="24"/>
  <c r="A1097" i="24"/>
  <c r="BP1096" i="24"/>
  <c r="BO1096" i="24"/>
  <c r="BA1096" i="24"/>
  <c r="AZ1096" i="24"/>
  <c r="AW1096" i="24"/>
  <c r="AV1096" i="24"/>
  <c r="AG1096" i="24"/>
  <c r="U1096" i="24"/>
  <c r="T1096" i="24"/>
  <c r="N1096" i="24"/>
  <c r="C1096" i="24"/>
  <c r="A1096" i="24"/>
  <c r="BP1095" i="24"/>
  <c r="BO1095" i="24"/>
  <c r="BA1095" i="24"/>
  <c r="AZ1095" i="24"/>
  <c r="AW1095" i="24"/>
  <c r="AV1095" i="24"/>
  <c r="AG1095" i="24"/>
  <c r="U1095" i="24"/>
  <c r="T1095" i="24"/>
  <c r="N1095" i="24"/>
  <c r="C1095" i="24"/>
  <c r="A1095" i="24"/>
  <c r="BP1094" i="24"/>
  <c r="BO1094" i="24"/>
  <c r="BA1094" i="24"/>
  <c r="AZ1094" i="24"/>
  <c r="AW1094" i="24"/>
  <c r="AV1094" i="24"/>
  <c r="AG1094" i="24"/>
  <c r="U1094" i="24"/>
  <c r="T1094" i="24"/>
  <c r="N1094" i="24"/>
  <c r="C1094" i="24"/>
  <c r="A1094" i="24"/>
  <c r="BP1093" i="24"/>
  <c r="BO1093" i="24"/>
  <c r="BA1093" i="24"/>
  <c r="AZ1093" i="24"/>
  <c r="AW1093" i="24"/>
  <c r="AV1093" i="24"/>
  <c r="AG1093" i="24"/>
  <c r="U1093" i="24"/>
  <c r="T1093" i="24"/>
  <c r="N1093" i="24"/>
  <c r="C1093" i="24"/>
  <c r="A1093" i="24"/>
  <c r="BP1092" i="24"/>
  <c r="BO1092" i="24"/>
  <c r="BA1092" i="24"/>
  <c r="AZ1092" i="24"/>
  <c r="AW1092" i="24"/>
  <c r="AV1092" i="24"/>
  <c r="AG1092" i="24"/>
  <c r="U1092" i="24"/>
  <c r="T1092" i="24"/>
  <c r="N1092" i="24"/>
  <c r="C1092" i="24"/>
  <c r="A1092" i="24"/>
  <c r="BP1091" i="24"/>
  <c r="BO1091" i="24"/>
  <c r="BA1091" i="24"/>
  <c r="AZ1091" i="24"/>
  <c r="AW1091" i="24"/>
  <c r="AV1091" i="24"/>
  <c r="AG1091" i="24"/>
  <c r="U1091" i="24"/>
  <c r="T1091" i="24"/>
  <c r="N1091" i="24"/>
  <c r="C1091" i="24"/>
  <c r="A1091" i="24"/>
  <c r="BP1090" i="24"/>
  <c r="BO1090" i="24"/>
  <c r="BA1090" i="24"/>
  <c r="AZ1090" i="24"/>
  <c r="AW1090" i="24"/>
  <c r="AV1090" i="24"/>
  <c r="AG1090" i="24"/>
  <c r="U1090" i="24"/>
  <c r="T1090" i="24"/>
  <c r="N1090" i="24"/>
  <c r="C1090" i="24"/>
  <c r="A1090" i="24"/>
  <c r="BP1089" i="24"/>
  <c r="BO1089" i="24"/>
  <c r="BA1089" i="24"/>
  <c r="AZ1089" i="24"/>
  <c r="AW1089" i="24"/>
  <c r="AV1089" i="24"/>
  <c r="AG1089" i="24"/>
  <c r="U1089" i="24"/>
  <c r="T1089" i="24"/>
  <c r="N1089" i="24"/>
  <c r="C1089" i="24"/>
  <c r="A1089" i="24"/>
  <c r="BP1088" i="24"/>
  <c r="BO1088" i="24"/>
  <c r="BA1088" i="24"/>
  <c r="AZ1088" i="24"/>
  <c r="AW1088" i="24"/>
  <c r="AV1088" i="24"/>
  <c r="AG1088" i="24"/>
  <c r="U1088" i="24"/>
  <c r="T1088" i="24"/>
  <c r="N1088" i="24"/>
  <c r="C1088" i="24"/>
  <c r="A1088" i="24"/>
  <c r="BP1087" i="24"/>
  <c r="BO1087" i="24"/>
  <c r="BA1087" i="24"/>
  <c r="AZ1087" i="24"/>
  <c r="AW1087" i="24"/>
  <c r="AV1087" i="24"/>
  <c r="AG1087" i="24"/>
  <c r="U1087" i="24"/>
  <c r="T1087" i="24"/>
  <c r="N1087" i="24"/>
  <c r="C1087" i="24"/>
  <c r="A1087" i="24"/>
  <c r="BP1086" i="24"/>
  <c r="BO1086" i="24"/>
  <c r="BA1086" i="24"/>
  <c r="AZ1086" i="24"/>
  <c r="AW1086" i="24"/>
  <c r="AV1086" i="24"/>
  <c r="AG1086" i="24"/>
  <c r="U1086" i="24"/>
  <c r="T1086" i="24"/>
  <c r="N1086" i="24"/>
  <c r="C1086" i="24"/>
  <c r="A1086" i="24"/>
  <c r="BP1085" i="24"/>
  <c r="BO1085" i="24"/>
  <c r="BA1085" i="24"/>
  <c r="AZ1085" i="24"/>
  <c r="AW1085" i="24"/>
  <c r="AV1085" i="24"/>
  <c r="AG1085" i="24"/>
  <c r="U1085" i="24"/>
  <c r="T1085" i="24"/>
  <c r="N1085" i="24"/>
  <c r="C1085" i="24"/>
  <c r="A1085" i="24"/>
  <c r="BP1084" i="24"/>
  <c r="BO1084" i="24"/>
  <c r="BA1084" i="24"/>
  <c r="AZ1084" i="24"/>
  <c r="AW1084" i="24"/>
  <c r="AV1084" i="24"/>
  <c r="AG1084" i="24"/>
  <c r="U1084" i="24"/>
  <c r="T1084" i="24"/>
  <c r="N1084" i="24"/>
  <c r="C1084" i="24"/>
  <c r="A1084" i="24"/>
  <c r="BP1083" i="24"/>
  <c r="BO1083" i="24"/>
  <c r="BA1083" i="24"/>
  <c r="AZ1083" i="24"/>
  <c r="AW1083" i="24"/>
  <c r="AV1083" i="24"/>
  <c r="AG1083" i="24"/>
  <c r="U1083" i="24"/>
  <c r="T1083" i="24"/>
  <c r="N1083" i="24"/>
  <c r="C1083" i="24"/>
  <c r="A1083" i="24"/>
  <c r="BP1082" i="24"/>
  <c r="BO1082" i="24"/>
  <c r="BA1082" i="24"/>
  <c r="AZ1082" i="24"/>
  <c r="AW1082" i="24"/>
  <c r="AV1082" i="24"/>
  <c r="AG1082" i="24"/>
  <c r="U1082" i="24"/>
  <c r="T1082" i="24"/>
  <c r="N1082" i="24"/>
  <c r="C1082" i="24"/>
  <c r="A1082" i="24"/>
  <c r="BP1081" i="24"/>
  <c r="BO1081" i="24"/>
  <c r="BA1081" i="24"/>
  <c r="AZ1081" i="24"/>
  <c r="AW1081" i="24"/>
  <c r="AV1081" i="24"/>
  <c r="AG1081" i="24"/>
  <c r="U1081" i="24"/>
  <c r="T1081" i="24"/>
  <c r="N1081" i="24"/>
  <c r="C1081" i="24"/>
  <c r="A1081" i="24"/>
  <c r="BP1080" i="24"/>
  <c r="BO1080" i="24"/>
  <c r="BA1080" i="24"/>
  <c r="AZ1080" i="24"/>
  <c r="AW1080" i="24"/>
  <c r="AV1080" i="24"/>
  <c r="AG1080" i="24"/>
  <c r="U1080" i="24"/>
  <c r="T1080" i="24"/>
  <c r="N1080" i="24"/>
  <c r="C1080" i="24"/>
  <c r="A1080" i="24"/>
  <c r="BP1079" i="24"/>
  <c r="BO1079" i="24"/>
  <c r="BA1079" i="24"/>
  <c r="AZ1079" i="24"/>
  <c r="AW1079" i="24"/>
  <c r="AV1079" i="24"/>
  <c r="AG1079" i="24"/>
  <c r="U1079" i="24"/>
  <c r="T1079" i="24"/>
  <c r="N1079" i="24"/>
  <c r="C1079" i="24"/>
  <c r="A1079" i="24"/>
  <c r="BP1078" i="24"/>
  <c r="BO1078" i="24"/>
  <c r="BA1078" i="24"/>
  <c r="AZ1078" i="24"/>
  <c r="AW1078" i="24"/>
  <c r="AV1078" i="24"/>
  <c r="AG1078" i="24"/>
  <c r="U1078" i="24"/>
  <c r="T1078" i="24"/>
  <c r="N1078" i="24"/>
  <c r="C1078" i="24"/>
  <c r="A1078" i="24"/>
  <c r="BP1077" i="24"/>
  <c r="BO1077" i="24"/>
  <c r="BA1077" i="24"/>
  <c r="AZ1077" i="24"/>
  <c r="AW1077" i="24"/>
  <c r="AV1077" i="24"/>
  <c r="AG1077" i="24"/>
  <c r="U1077" i="24"/>
  <c r="T1077" i="24"/>
  <c r="N1077" i="24"/>
  <c r="C1077" i="24"/>
  <c r="A1077" i="24"/>
  <c r="BP1076" i="24"/>
  <c r="BO1076" i="24"/>
  <c r="BA1076" i="24"/>
  <c r="AZ1076" i="24"/>
  <c r="AW1076" i="24"/>
  <c r="AV1076" i="24"/>
  <c r="AG1076" i="24"/>
  <c r="U1076" i="24"/>
  <c r="T1076" i="24"/>
  <c r="N1076" i="24"/>
  <c r="C1076" i="24"/>
  <c r="A1076" i="24"/>
  <c r="BP1075" i="24"/>
  <c r="BO1075" i="24"/>
  <c r="BA1075" i="24"/>
  <c r="AZ1075" i="24"/>
  <c r="AW1075" i="24"/>
  <c r="AV1075" i="24"/>
  <c r="AG1075" i="24"/>
  <c r="U1075" i="24"/>
  <c r="T1075" i="24"/>
  <c r="N1075" i="24"/>
  <c r="C1075" i="24"/>
  <c r="A1075" i="24"/>
  <c r="BP1074" i="24"/>
  <c r="BO1074" i="24"/>
  <c r="BA1074" i="24"/>
  <c r="AZ1074" i="24"/>
  <c r="AW1074" i="24"/>
  <c r="AV1074" i="24"/>
  <c r="AG1074" i="24"/>
  <c r="U1074" i="24"/>
  <c r="T1074" i="24"/>
  <c r="N1074" i="24"/>
  <c r="C1074" i="24"/>
  <c r="A1074" i="24"/>
  <c r="BP1073" i="24"/>
  <c r="BO1073" i="24"/>
  <c r="BA1073" i="24"/>
  <c r="AZ1073" i="24"/>
  <c r="AW1073" i="24"/>
  <c r="AV1073" i="24"/>
  <c r="AG1073" i="24"/>
  <c r="U1073" i="24"/>
  <c r="T1073" i="24"/>
  <c r="N1073" i="24"/>
  <c r="C1073" i="24"/>
  <c r="A1073" i="24"/>
  <c r="BP1072" i="24"/>
  <c r="BO1072" i="24"/>
  <c r="BA1072" i="24"/>
  <c r="AZ1072" i="24"/>
  <c r="AW1072" i="24"/>
  <c r="AV1072" i="24"/>
  <c r="AG1072" i="24"/>
  <c r="U1072" i="24"/>
  <c r="T1072" i="24"/>
  <c r="N1072" i="24"/>
  <c r="C1072" i="24"/>
  <c r="A1072" i="24"/>
  <c r="BP1071" i="24"/>
  <c r="BO1071" i="24"/>
  <c r="BA1071" i="24"/>
  <c r="AZ1071" i="24"/>
  <c r="AW1071" i="24"/>
  <c r="AV1071" i="24"/>
  <c r="AG1071" i="24"/>
  <c r="U1071" i="24"/>
  <c r="T1071" i="24"/>
  <c r="N1071" i="24"/>
  <c r="C1071" i="24"/>
  <c r="A1071" i="24"/>
  <c r="BP1070" i="24"/>
  <c r="BO1070" i="24"/>
  <c r="BA1070" i="24"/>
  <c r="AZ1070" i="24"/>
  <c r="AW1070" i="24"/>
  <c r="AV1070" i="24"/>
  <c r="AG1070" i="24"/>
  <c r="U1070" i="24"/>
  <c r="T1070" i="24"/>
  <c r="N1070" i="24"/>
  <c r="C1070" i="24"/>
  <c r="A1070" i="24"/>
  <c r="BP1069" i="24"/>
  <c r="BO1069" i="24"/>
  <c r="BA1069" i="24"/>
  <c r="AZ1069" i="24"/>
  <c r="AW1069" i="24"/>
  <c r="AV1069" i="24"/>
  <c r="AG1069" i="24"/>
  <c r="U1069" i="24"/>
  <c r="T1069" i="24"/>
  <c r="N1069" i="24"/>
  <c r="C1069" i="24"/>
  <c r="A1069" i="24"/>
  <c r="BP1068" i="24"/>
  <c r="BO1068" i="24"/>
  <c r="BA1068" i="24"/>
  <c r="AZ1068" i="24"/>
  <c r="AW1068" i="24"/>
  <c r="AV1068" i="24"/>
  <c r="AG1068" i="24"/>
  <c r="U1068" i="24"/>
  <c r="T1068" i="24"/>
  <c r="N1068" i="24"/>
  <c r="C1068" i="24"/>
  <c r="A1068" i="24"/>
  <c r="BP1067" i="24"/>
  <c r="BO1067" i="24"/>
  <c r="BA1067" i="24"/>
  <c r="AZ1067" i="24"/>
  <c r="AW1067" i="24"/>
  <c r="AV1067" i="24"/>
  <c r="AG1067" i="24"/>
  <c r="U1067" i="24"/>
  <c r="T1067" i="24"/>
  <c r="N1067" i="24"/>
  <c r="C1067" i="24"/>
  <c r="A1067" i="24"/>
  <c r="BP1066" i="24"/>
  <c r="BO1066" i="24"/>
  <c r="BA1066" i="24"/>
  <c r="AZ1066" i="24"/>
  <c r="AW1066" i="24"/>
  <c r="AV1066" i="24"/>
  <c r="AG1066" i="24"/>
  <c r="U1066" i="24"/>
  <c r="T1066" i="24"/>
  <c r="N1066" i="24"/>
  <c r="C1066" i="24"/>
  <c r="A1066" i="24"/>
  <c r="BP1065" i="24"/>
  <c r="BO1065" i="24"/>
  <c r="BA1065" i="24"/>
  <c r="AZ1065" i="24"/>
  <c r="AW1065" i="24"/>
  <c r="AV1065" i="24"/>
  <c r="AG1065" i="24"/>
  <c r="U1065" i="24"/>
  <c r="T1065" i="24"/>
  <c r="N1065" i="24"/>
  <c r="C1065" i="24"/>
  <c r="A1065" i="24"/>
  <c r="BP1064" i="24"/>
  <c r="BO1064" i="24"/>
  <c r="BA1064" i="24"/>
  <c r="AZ1064" i="24"/>
  <c r="AW1064" i="24"/>
  <c r="AV1064" i="24"/>
  <c r="AG1064" i="24"/>
  <c r="U1064" i="24"/>
  <c r="T1064" i="24"/>
  <c r="N1064" i="24"/>
  <c r="C1064" i="24"/>
  <c r="A1064" i="24"/>
  <c r="BP1063" i="24"/>
  <c r="BO1063" i="24"/>
  <c r="BA1063" i="24"/>
  <c r="AZ1063" i="24"/>
  <c r="AW1063" i="24"/>
  <c r="AV1063" i="24"/>
  <c r="AG1063" i="24"/>
  <c r="U1063" i="24"/>
  <c r="T1063" i="24"/>
  <c r="N1063" i="24"/>
  <c r="C1063" i="24"/>
  <c r="A1063" i="24"/>
  <c r="BP1062" i="24"/>
  <c r="BO1062" i="24"/>
  <c r="BA1062" i="24"/>
  <c r="AZ1062" i="24"/>
  <c r="AW1062" i="24"/>
  <c r="AV1062" i="24"/>
  <c r="AG1062" i="24"/>
  <c r="U1062" i="24"/>
  <c r="T1062" i="24"/>
  <c r="N1062" i="24"/>
  <c r="C1062" i="24"/>
  <c r="A1062" i="24"/>
  <c r="BP1061" i="24"/>
  <c r="BO1061" i="24"/>
  <c r="BA1061" i="24"/>
  <c r="AZ1061" i="24"/>
  <c r="AW1061" i="24"/>
  <c r="AV1061" i="24"/>
  <c r="AG1061" i="24"/>
  <c r="U1061" i="24"/>
  <c r="T1061" i="24"/>
  <c r="N1061" i="24"/>
  <c r="C1061" i="24"/>
  <c r="A1061" i="24"/>
  <c r="BP1060" i="24"/>
  <c r="BO1060" i="24"/>
  <c r="BA1060" i="24"/>
  <c r="AZ1060" i="24"/>
  <c r="AW1060" i="24"/>
  <c r="AV1060" i="24"/>
  <c r="AG1060" i="24"/>
  <c r="U1060" i="24"/>
  <c r="T1060" i="24"/>
  <c r="N1060" i="24"/>
  <c r="C1060" i="24"/>
  <c r="A1060" i="24"/>
  <c r="BP1059" i="24"/>
  <c r="BO1059" i="24"/>
  <c r="BA1059" i="24"/>
  <c r="AZ1059" i="24"/>
  <c r="AW1059" i="24"/>
  <c r="AV1059" i="24"/>
  <c r="AG1059" i="24"/>
  <c r="U1059" i="24"/>
  <c r="T1059" i="24"/>
  <c r="N1059" i="24"/>
  <c r="C1059" i="24"/>
  <c r="A1059" i="24"/>
  <c r="BP1058" i="24"/>
  <c r="BO1058" i="24"/>
  <c r="BA1058" i="24"/>
  <c r="AZ1058" i="24"/>
  <c r="AW1058" i="24"/>
  <c r="AV1058" i="24"/>
  <c r="AG1058" i="24"/>
  <c r="U1058" i="24"/>
  <c r="T1058" i="24"/>
  <c r="N1058" i="24"/>
  <c r="C1058" i="24"/>
  <c r="A1058" i="24"/>
  <c r="BP1057" i="24"/>
  <c r="BO1057" i="24"/>
  <c r="BA1057" i="24"/>
  <c r="AZ1057" i="24"/>
  <c r="AW1057" i="24"/>
  <c r="AV1057" i="24"/>
  <c r="AG1057" i="24"/>
  <c r="U1057" i="24"/>
  <c r="T1057" i="24"/>
  <c r="N1057" i="24"/>
  <c r="C1057" i="24"/>
  <c r="A1057" i="24"/>
  <c r="BP1056" i="24"/>
  <c r="BO1056" i="24"/>
  <c r="BA1056" i="24"/>
  <c r="AZ1056" i="24"/>
  <c r="AW1056" i="24"/>
  <c r="AV1056" i="24"/>
  <c r="AG1056" i="24"/>
  <c r="U1056" i="24"/>
  <c r="T1056" i="24"/>
  <c r="N1056" i="24"/>
  <c r="C1056" i="24"/>
  <c r="A1056" i="24"/>
  <c r="BP1055" i="24"/>
  <c r="BO1055" i="24"/>
  <c r="BA1055" i="24"/>
  <c r="AZ1055" i="24"/>
  <c r="AW1055" i="24"/>
  <c r="AV1055" i="24"/>
  <c r="AG1055" i="24"/>
  <c r="U1055" i="24"/>
  <c r="T1055" i="24"/>
  <c r="N1055" i="24"/>
  <c r="C1055" i="24"/>
  <c r="A1055" i="24"/>
  <c r="BP1054" i="24"/>
  <c r="BO1054" i="24"/>
  <c r="BA1054" i="24"/>
  <c r="AZ1054" i="24"/>
  <c r="AW1054" i="24"/>
  <c r="AV1054" i="24"/>
  <c r="AG1054" i="24"/>
  <c r="U1054" i="24"/>
  <c r="T1054" i="24"/>
  <c r="N1054" i="24"/>
  <c r="C1054" i="24"/>
  <c r="A1054" i="24"/>
  <c r="BP1053" i="24"/>
  <c r="BO1053" i="24"/>
  <c r="BA1053" i="24"/>
  <c r="AZ1053" i="24"/>
  <c r="AW1053" i="24"/>
  <c r="AV1053" i="24"/>
  <c r="AG1053" i="24"/>
  <c r="U1053" i="24"/>
  <c r="T1053" i="24"/>
  <c r="N1053" i="24"/>
  <c r="C1053" i="24"/>
  <c r="A1053" i="24"/>
  <c r="BP1052" i="24"/>
  <c r="BO1052" i="24"/>
  <c r="BA1052" i="24"/>
  <c r="AZ1052" i="24"/>
  <c r="AW1052" i="24"/>
  <c r="AV1052" i="24"/>
  <c r="AG1052" i="24"/>
  <c r="U1052" i="24"/>
  <c r="T1052" i="24"/>
  <c r="N1052" i="24"/>
  <c r="C1052" i="24"/>
  <c r="A1052" i="24"/>
  <c r="BP1051" i="24"/>
  <c r="BO1051" i="24"/>
  <c r="BA1051" i="24"/>
  <c r="AZ1051" i="24"/>
  <c r="AW1051" i="24"/>
  <c r="AV1051" i="24"/>
  <c r="AG1051" i="24"/>
  <c r="U1051" i="24"/>
  <c r="T1051" i="24"/>
  <c r="N1051" i="24"/>
  <c r="C1051" i="24"/>
  <c r="A1051" i="24"/>
  <c r="BP1050" i="24"/>
  <c r="BO1050" i="24"/>
  <c r="BA1050" i="24"/>
  <c r="AZ1050" i="24"/>
  <c r="AW1050" i="24"/>
  <c r="AV1050" i="24"/>
  <c r="AG1050" i="24"/>
  <c r="U1050" i="24"/>
  <c r="T1050" i="24"/>
  <c r="N1050" i="24"/>
  <c r="C1050" i="24"/>
  <c r="A1050" i="24"/>
  <c r="BP1049" i="24"/>
  <c r="BO1049" i="24"/>
  <c r="BA1049" i="24"/>
  <c r="AZ1049" i="24"/>
  <c r="AW1049" i="24"/>
  <c r="AV1049" i="24"/>
  <c r="AG1049" i="24"/>
  <c r="U1049" i="24"/>
  <c r="T1049" i="24"/>
  <c r="N1049" i="24"/>
  <c r="C1049" i="24"/>
  <c r="A1049" i="24"/>
  <c r="BP1048" i="24"/>
  <c r="BO1048" i="24"/>
  <c r="BA1048" i="24"/>
  <c r="AZ1048" i="24"/>
  <c r="AW1048" i="24"/>
  <c r="AV1048" i="24"/>
  <c r="AG1048" i="24"/>
  <c r="U1048" i="24"/>
  <c r="T1048" i="24"/>
  <c r="N1048" i="24"/>
  <c r="C1048" i="24"/>
  <c r="A1048" i="24"/>
  <c r="BP1047" i="24"/>
  <c r="BO1047" i="24"/>
  <c r="BA1047" i="24"/>
  <c r="AZ1047" i="24"/>
  <c r="AW1047" i="24"/>
  <c r="AV1047" i="24"/>
  <c r="AG1047" i="24"/>
  <c r="U1047" i="24"/>
  <c r="T1047" i="24"/>
  <c r="N1047" i="24"/>
  <c r="C1047" i="24"/>
  <c r="A1047" i="24"/>
  <c r="BP1046" i="24"/>
  <c r="BO1046" i="24"/>
  <c r="BA1046" i="24"/>
  <c r="AZ1046" i="24"/>
  <c r="AW1046" i="24"/>
  <c r="AV1046" i="24"/>
  <c r="AG1046" i="24"/>
  <c r="U1046" i="24"/>
  <c r="T1046" i="24"/>
  <c r="N1046" i="24"/>
  <c r="C1046" i="24"/>
  <c r="A1046" i="24"/>
  <c r="BP1045" i="24"/>
  <c r="BO1045" i="24"/>
  <c r="BA1045" i="24"/>
  <c r="AZ1045" i="24"/>
  <c r="AW1045" i="24"/>
  <c r="AV1045" i="24"/>
  <c r="AG1045" i="24"/>
  <c r="U1045" i="24"/>
  <c r="T1045" i="24"/>
  <c r="N1045" i="24"/>
  <c r="C1045" i="24"/>
  <c r="A1045" i="24"/>
  <c r="BP1044" i="24"/>
  <c r="BO1044" i="24"/>
  <c r="BA1044" i="24"/>
  <c r="AZ1044" i="24"/>
  <c r="AW1044" i="24"/>
  <c r="AV1044" i="24"/>
  <c r="AG1044" i="24"/>
  <c r="U1044" i="24"/>
  <c r="T1044" i="24"/>
  <c r="N1044" i="24"/>
  <c r="C1044" i="24"/>
  <c r="A1044" i="24"/>
  <c r="BP1043" i="24"/>
  <c r="BO1043" i="24"/>
  <c r="BA1043" i="24"/>
  <c r="AZ1043" i="24"/>
  <c r="AW1043" i="24"/>
  <c r="AV1043" i="24"/>
  <c r="AG1043" i="24"/>
  <c r="U1043" i="24"/>
  <c r="T1043" i="24"/>
  <c r="N1043" i="24"/>
  <c r="C1043" i="24"/>
  <c r="A1043" i="24"/>
  <c r="BP1042" i="24"/>
  <c r="BO1042" i="24"/>
  <c r="BA1042" i="24"/>
  <c r="AZ1042" i="24"/>
  <c r="AW1042" i="24"/>
  <c r="AV1042" i="24"/>
  <c r="AG1042" i="24"/>
  <c r="U1042" i="24"/>
  <c r="T1042" i="24"/>
  <c r="N1042" i="24"/>
  <c r="C1042" i="24"/>
  <c r="A1042" i="24"/>
  <c r="BP1041" i="24"/>
  <c r="BO1041" i="24"/>
  <c r="BA1041" i="24"/>
  <c r="AZ1041" i="24"/>
  <c r="AW1041" i="24"/>
  <c r="AV1041" i="24"/>
  <c r="AG1041" i="24"/>
  <c r="U1041" i="24"/>
  <c r="T1041" i="24"/>
  <c r="N1041" i="24"/>
  <c r="C1041" i="24"/>
  <c r="A1041" i="24"/>
  <c r="BP1040" i="24"/>
  <c r="BO1040" i="24"/>
  <c r="BA1040" i="24"/>
  <c r="AZ1040" i="24"/>
  <c r="AW1040" i="24"/>
  <c r="AV1040" i="24"/>
  <c r="AG1040" i="24"/>
  <c r="U1040" i="24"/>
  <c r="T1040" i="24"/>
  <c r="N1040" i="24"/>
  <c r="C1040" i="24"/>
  <c r="A1040" i="24"/>
  <c r="BP1039" i="24"/>
  <c r="BO1039" i="24"/>
  <c r="BA1039" i="24"/>
  <c r="AZ1039" i="24"/>
  <c r="AW1039" i="24"/>
  <c r="AV1039" i="24"/>
  <c r="AG1039" i="24"/>
  <c r="U1039" i="24"/>
  <c r="T1039" i="24"/>
  <c r="N1039" i="24"/>
  <c r="C1039" i="24"/>
  <c r="A1039" i="24"/>
  <c r="BP1038" i="24"/>
  <c r="BO1038" i="24"/>
  <c r="BA1038" i="24"/>
  <c r="AZ1038" i="24"/>
  <c r="AW1038" i="24"/>
  <c r="AV1038" i="24"/>
  <c r="AG1038" i="24"/>
  <c r="U1038" i="24"/>
  <c r="T1038" i="24"/>
  <c r="N1038" i="24"/>
  <c r="C1038" i="24"/>
  <c r="A1038" i="24"/>
  <c r="BP1037" i="24"/>
  <c r="BO1037" i="24"/>
  <c r="BA1037" i="24"/>
  <c r="AZ1037" i="24"/>
  <c r="AW1037" i="24"/>
  <c r="AV1037" i="24"/>
  <c r="AG1037" i="24"/>
  <c r="U1037" i="24"/>
  <c r="T1037" i="24"/>
  <c r="N1037" i="24"/>
  <c r="C1037" i="24"/>
  <c r="A1037" i="24"/>
  <c r="BP1036" i="24"/>
  <c r="BO1036" i="24"/>
  <c r="BA1036" i="24"/>
  <c r="AZ1036" i="24"/>
  <c r="AW1036" i="24"/>
  <c r="AV1036" i="24"/>
  <c r="AG1036" i="24"/>
  <c r="U1036" i="24"/>
  <c r="T1036" i="24"/>
  <c r="N1036" i="24"/>
  <c r="C1036" i="24"/>
  <c r="A1036" i="24"/>
  <c r="BP1035" i="24"/>
  <c r="BO1035" i="24"/>
  <c r="BA1035" i="24"/>
  <c r="AZ1035" i="24"/>
  <c r="AW1035" i="24"/>
  <c r="AV1035" i="24"/>
  <c r="AG1035" i="24"/>
  <c r="U1035" i="24"/>
  <c r="T1035" i="24"/>
  <c r="N1035" i="24"/>
  <c r="C1035" i="24"/>
  <c r="A1035" i="24"/>
  <c r="BP1034" i="24"/>
  <c r="BO1034" i="24"/>
  <c r="BA1034" i="24"/>
  <c r="AZ1034" i="24"/>
  <c r="AW1034" i="24"/>
  <c r="AV1034" i="24"/>
  <c r="AG1034" i="24"/>
  <c r="U1034" i="24"/>
  <c r="T1034" i="24"/>
  <c r="N1034" i="24"/>
  <c r="C1034" i="24"/>
  <c r="A1034" i="24"/>
  <c r="BP1033" i="24"/>
  <c r="BO1033" i="24"/>
  <c r="BA1033" i="24"/>
  <c r="AZ1033" i="24"/>
  <c r="AW1033" i="24"/>
  <c r="AV1033" i="24"/>
  <c r="AG1033" i="24"/>
  <c r="U1033" i="24"/>
  <c r="T1033" i="24"/>
  <c r="N1033" i="24"/>
  <c r="C1033" i="24"/>
  <c r="A1033" i="24"/>
  <c r="BP1032" i="24"/>
  <c r="BO1032" i="24"/>
  <c r="BA1032" i="24"/>
  <c r="AZ1032" i="24"/>
  <c r="AW1032" i="24"/>
  <c r="AV1032" i="24"/>
  <c r="AG1032" i="24"/>
  <c r="U1032" i="24"/>
  <c r="T1032" i="24"/>
  <c r="N1032" i="24"/>
  <c r="C1032" i="24"/>
  <c r="A1032" i="24"/>
  <c r="BP1031" i="24"/>
  <c r="BO1031" i="24"/>
  <c r="BA1031" i="24"/>
  <c r="AZ1031" i="24"/>
  <c r="AW1031" i="24"/>
  <c r="AV1031" i="24"/>
  <c r="AG1031" i="24"/>
  <c r="U1031" i="24"/>
  <c r="T1031" i="24"/>
  <c r="N1031" i="24"/>
  <c r="C1031" i="24"/>
  <c r="A1031" i="24"/>
  <c r="BP1030" i="24"/>
  <c r="BO1030" i="24"/>
  <c r="BA1030" i="24"/>
  <c r="AZ1030" i="24"/>
  <c r="AW1030" i="24"/>
  <c r="AV1030" i="24"/>
  <c r="AG1030" i="24"/>
  <c r="U1030" i="24"/>
  <c r="T1030" i="24"/>
  <c r="N1030" i="24"/>
  <c r="C1030" i="24"/>
  <c r="A1030" i="24"/>
  <c r="BP1029" i="24"/>
  <c r="BO1029" i="24"/>
  <c r="BA1029" i="24"/>
  <c r="AZ1029" i="24"/>
  <c r="AW1029" i="24"/>
  <c r="AV1029" i="24"/>
  <c r="AG1029" i="24"/>
  <c r="U1029" i="24"/>
  <c r="T1029" i="24"/>
  <c r="N1029" i="24"/>
  <c r="C1029" i="24"/>
  <c r="A1029" i="24"/>
  <c r="BP1028" i="24"/>
  <c r="BO1028" i="24"/>
  <c r="BA1028" i="24"/>
  <c r="AZ1028" i="24"/>
  <c r="AW1028" i="24"/>
  <c r="AV1028" i="24"/>
  <c r="AG1028" i="24"/>
  <c r="U1028" i="24"/>
  <c r="T1028" i="24"/>
  <c r="N1028" i="24"/>
  <c r="C1028" i="24"/>
  <c r="A1028" i="24"/>
  <c r="BP1027" i="24"/>
  <c r="BO1027" i="24"/>
  <c r="BA1027" i="24"/>
  <c r="AZ1027" i="24"/>
  <c r="AW1027" i="24"/>
  <c r="AV1027" i="24"/>
  <c r="AG1027" i="24"/>
  <c r="U1027" i="24"/>
  <c r="T1027" i="24"/>
  <c r="N1027" i="24"/>
  <c r="C1027" i="24"/>
  <c r="A1027" i="24"/>
  <c r="BP1026" i="24"/>
  <c r="BO1026" i="24"/>
  <c r="BA1026" i="24"/>
  <c r="AZ1026" i="24"/>
  <c r="AW1026" i="24"/>
  <c r="AV1026" i="24"/>
  <c r="AG1026" i="24"/>
  <c r="U1026" i="24"/>
  <c r="T1026" i="24"/>
  <c r="N1026" i="24"/>
  <c r="C1026" i="24"/>
  <c r="A1026" i="24"/>
  <c r="BP1025" i="24"/>
  <c r="BO1025" i="24"/>
  <c r="BA1025" i="24"/>
  <c r="AZ1025" i="24"/>
  <c r="AW1025" i="24"/>
  <c r="AV1025" i="24"/>
  <c r="AG1025" i="24"/>
  <c r="U1025" i="24"/>
  <c r="T1025" i="24"/>
  <c r="N1025" i="24"/>
  <c r="C1025" i="24"/>
  <c r="A1025" i="24"/>
  <c r="BP1024" i="24"/>
  <c r="BO1024" i="24"/>
  <c r="BA1024" i="24"/>
  <c r="AZ1024" i="24"/>
  <c r="AW1024" i="24"/>
  <c r="AV1024" i="24"/>
  <c r="AG1024" i="24"/>
  <c r="U1024" i="24"/>
  <c r="T1024" i="24"/>
  <c r="N1024" i="24"/>
  <c r="C1024" i="24"/>
  <c r="A1024" i="24"/>
  <c r="BP1023" i="24"/>
  <c r="BO1023" i="24"/>
  <c r="BA1023" i="24"/>
  <c r="AZ1023" i="24"/>
  <c r="AW1023" i="24"/>
  <c r="AV1023" i="24"/>
  <c r="AG1023" i="24"/>
  <c r="U1023" i="24"/>
  <c r="T1023" i="24"/>
  <c r="N1023" i="24"/>
  <c r="C1023" i="24"/>
  <c r="A1023" i="24"/>
  <c r="BP1022" i="24"/>
  <c r="BO1022" i="24"/>
  <c r="BA1022" i="24"/>
  <c r="AZ1022" i="24"/>
  <c r="AW1022" i="24"/>
  <c r="AV1022" i="24"/>
  <c r="AG1022" i="24"/>
  <c r="U1022" i="24"/>
  <c r="T1022" i="24"/>
  <c r="N1022" i="24"/>
  <c r="C1022" i="24"/>
  <c r="A1022" i="24"/>
  <c r="BP1021" i="24"/>
  <c r="BO1021" i="24"/>
  <c r="BA1021" i="24"/>
  <c r="AZ1021" i="24"/>
  <c r="AW1021" i="24"/>
  <c r="AV1021" i="24"/>
  <c r="AG1021" i="24"/>
  <c r="U1021" i="24"/>
  <c r="T1021" i="24"/>
  <c r="N1021" i="24"/>
  <c r="C1021" i="24"/>
  <c r="A1021" i="24"/>
  <c r="BP1020" i="24"/>
  <c r="BO1020" i="24"/>
  <c r="BA1020" i="24"/>
  <c r="AZ1020" i="24"/>
  <c r="AW1020" i="24"/>
  <c r="AV1020" i="24"/>
  <c r="AG1020" i="24"/>
  <c r="U1020" i="24"/>
  <c r="T1020" i="24"/>
  <c r="N1020" i="24"/>
  <c r="C1020" i="24"/>
  <c r="A1020" i="24"/>
  <c r="BP1019" i="24"/>
  <c r="BO1019" i="24"/>
  <c r="BA1019" i="24"/>
  <c r="AZ1019" i="24"/>
  <c r="AW1019" i="24"/>
  <c r="AV1019" i="24"/>
  <c r="AG1019" i="24"/>
  <c r="U1019" i="24"/>
  <c r="T1019" i="24"/>
  <c r="N1019" i="24"/>
  <c r="C1019" i="24"/>
  <c r="A1019" i="24"/>
  <c r="BP1018" i="24"/>
  <c r="BO1018" i="24"/>
  <c r="BA1018" i="24"/>
  <c r="AZ1018" i="24"/>
  <c r="AW1018" i="24"/>
  <c r="AV1018" i="24"/>
  <c r="AG1018" i="24"/>
  <c r="U1018" i="24"/>
  <c r="T1018" i="24"/>
  <c r="N1018" i="24"/>
  <c r="C1018" i="24"/>
  <c r="A1018" i="24"/>
  <c r="BP1017" i="24"/>
  <c r="BO1017" i="24"/>
  <c r="BA1017" i="24"/>
  <c r="AZ1017" i="24"/>
  <c r="AW1017" i="24"/>
  <c r="AV1017" i="24"/>
  <c r="AG1017" i="24"/>
  <c r="U1017" i="24"/>
  <c r="T1017" i="24"/>
  <c r="N1017" i="24"/>
  <c r="C1017" i="24"/>
  <c r="A1017" i="24"/>
  <c r="BP1016" i="24"/>
  <c r="BO1016" i="24"/>
  <c r="BA1016" i="24"/>
  <c r="AZ1016" i="24"/>
  <c r="AW1016" i="24"/>
  <c r="AV1016" i="24"/>
  <c r="AG1016" i="24"/>
  <c r="U1016" i="24"/>
  <c r="T1016" i="24"/>
  <c r="N1016" i="24"/>
  <c r="C1016" i="24"/>
  <c r="A1016" i="24"/>
  <c r="BP1015" i="24"/>
  <c r="BO1015" i="24"/>
  <c r="BA1015" i="24"/>
  <c r="AZ1015" i="24"/>
  <c r="AW1015" i="24"/>
  <c r="AV1015" i="24"/>
  <c r="AG1015" i="24"/>
  <c r="U1015" i="24"/>
  <c r="T1015" i="24"/>
  <c r="N1015" i="24"/>
  <c r="C1015" i="24"/>
  <c r="A1015" i="24"/>
  <c r="BP1014" i="24"/>
  <c r="BO1014" i="24"/>
  <c r="BA1014" i="24"/>
  <c r="AZ1014" i="24"/>
  <c r="AW1014" i="24"/>
  <c r="AV1014" i="24"/>
  <c r="AG1014" i="24"/>
  <c r="U1014" i="24"/>
  <c r="T1014" i="24"/>
  <c r="N1014" i="24"/>
  <c r="C1014" i="24"/>
  <c r="A1014" i="24"/>
  <c r="BP1013" i="24"/>
  <c r="BO1013" i="24"/>
  <c r="BA1013" i="24"/>
  <c r="AZ1013" i="24"/>
  <c r="AW1013" i="24"/>
  <c r="AV1013" i="24"/>
  <c r="AG1013" i="24"/>
  <c r="U1013" i="24"/>
  <c r="T1013" i="24"/>
  <c r="N1013" i="24"/>
  <c r="C1013" i="24"/>
  <c r="A1013" i="24"/>
  <c r="BP1012" i="24"/>
  <c r="BO1012" i="24"/>
  <c r="BA1012" i="24"/>
  <c r="AZ1012" i="24"/>
  <c r="AW1012" i="24"/>
  <c r="AV1012" i="24"/>
  <c r="AG1012" i="24"/>
  <c r="U1012" i="24"/>
  <c r="T1012" i="24"/>
  <c r="N1012" i="24"/>
  <c r="C1012" i="24"/>
  <c r="A1012" i="24"/>
  <c r="BP1011" i="24"/>
  <c r="BO1011" i="24"/>
  <c r="BA1011" i="24"/>
  <c r="AZ1011" i="24"/>
  <c r="AW1011" i="24"/>
  <c r="AV1011" i="24"/>
  <c r="AG1011" i="24"/>
  <c r="U1011" i="24"/>
  <c r="T1011" i="24"/>
  <c r="N1011" i="24"/>
  <c r="C1011" i="24"/>
  <c r="A1011" i="24"/>
  <c r="BP1010" i="24"/>
  <c r="BO1010" i="24"/>
  <c r="BA1010" i="24"/>
  <c r="AZ1010" i="24"/>
  <c r="AW1010" i="24"/>
  <c r="AV1010" i="24"/>
  <c r="AG1010" i="24"/>
  <c r="U1010" i="24"/>
  <c r="T1010" i="24"/>
  <c r="N1010" i="24"/>
  <c r="C1010" i="24"/>
  <c r="A1010" i="24"/>
  <c r="BP1009" i="24"/>
  <c r="BO1009" i="24"/>
  <c r="BA1009" i="24"/>
  <c r="AZ1009" i="24"/>
  <c r="AW1009" i="24"/>
  <c r="AV1009" i="24"/>
  <c r="AG1009" i="24"/>
  <c r="U1009" i="24"/>
  <c r="T1009" i="24"/>
  <c r="N1009" i="24"/>
  <c r="C1009" i="24"/>
  <c r="A1009" i="24"/>
  <c r="BP1008" i="24"/>
  <c r="BO1008" i="24"/>
  <c r="BA1008" i="24"/>
  <c r="AZ1008" i="24"/>
  <c r="AW1008" i="24"/>
  <c r="AV1008" i="24"/>
  <c r="AG1008" i="24"/>
  <c r="U1008" i="24"/>
  <c r="T1008" i="24"/>
  <c r="N1008" i="24"/>
  <c r="C1008" i="24"/>
  <c r="A1008" i="24"/>
  <c r="BP1007" i="24"/>
  <c r="BO1007" i="24"/>
  <c r="BA1007" i="24"/>
  <c r="AZ1007" i="24"/>
  <c r="AW1007" i="24"/>
  <c r="AV1007" i="24"/>
  <c r="AG1007" i="24"/>
  <c r="U1007" i="24"/>
  <c r="T1007" i="24"/>
  <c r="N1007" i="24"/>
  <c r="C1007" i="24"/>
  <c r="A1007" i="24"/>
  <c r="BP1006" i="24"/>
  <c r="BO1006" i="24"/>
  <c r="BA1006" i="24"/>
  <c r="AZ1006" i="24"/>
  <c r="AW1006" i="24"/>
  <c r="AV1006" i="24"/>
  <c r="AG1006" i="24"/>
  <c r="U1006" i="24"/>
  <c r="T1006" i="24"/>
  <c r="N1006" i="24"/>
  <c r="C1006" i="24"/>
  <c r="A1006" i="24"/>
  <c r="BP1005" i="24"/>
  <c r="BO1005" i="24"/>
  <c r="BA1005" i="24"/>
  <c r="AZ1005" i="24"/>
  <c r="AW1005" i="24"/>
  <c r="AV1005" i="24"/>
  <c r="AG1005" i="24"/>
  <c r="U1005" i="24"/>
  <c r="T1005" i="24"/>
  <c r="N1005" i="24"/>
  <c r="C1005" i="24"/>
  <c r="A1005" i="24"/>
  <c r="BP1004" i="24"/>
  <c r="BO1004" i="24"/>
  <c r="BA1004" i="24"/>
  <c r="AZ1004" i="24"/>
  <c r="AW1004" i="24"/>
  <c r="AV1004" i="24"/>
  <c r="AG1004" i="24"/>
  <c r="U1004" i="24"/>
  <c r="T1004" i="24"/>
  <c r="N1004" i="24"/>
  <c r="C1004" i="24"/>
  <c r="A1004" i="24"/>
  <c r="BP1003" i="24"/>
  <c r="BO1003" i="24"/>
  <c r="BA1003" i="24"/>
  <c r="AZ1003" i="24"/>
  <c r="AW1003" i="24"/>
  <c r="AV1003" i="24"/>
  <c r="AG1003" i="24"/>
  <c r="U1003" i="24"/>
  <c r="T1003" i="24"/>
  <c r="N1003" i="24"/>
  <c r="C1003" i="24"/>
  <c r="A1003" i="24"/>
  <c r="BP1002" i="24"/>
  <c r="BO1002" i="24"/>
  <c r="BA1002" i="24"/>
  <c r="AZ1002" i="24"/>
  <c r="AW1002" i="24"/>
  <c r="AV1002" i="24"/>
  <c r="AG1002" i="24"/>
  <c r="U1002" i="24"/>
  <c r="T1002" i="24"/>
  <c r="N1002" i="24"/>
  <c r="C1002" i="24"/>
  <c r="A1002" i="24"/>
  <c r="BP1001" i="24"/>
  <c r="BO1001" i="24"/>
  <c r="BA1001" i="24"/>
  <c r="AZ1001" i="24"/>
  <c r="AW1001" i="24"/>
  <c r="AV1001" i="24"/>
  <c r="AG1001" i="24"/>
  <c r="U1001" i="24"/>
  <c r="T1001" i="24"/>
  <c r="N1001" i="24"/>
  <c r="C1001" i="24"/>
  <c r="A1001" i="24"/>
  <c r="BP1000" i="24"/>
  <c r="BO1000" i="24"/>
  <c r="BA1000" i="24"/>
  <c r="AZ1000" i="24"/>
  <c r="AW1000" i="24"/>
  <c r="AV1000" i="24"/>
  <c r="AG1000" i="24"/>
  <c r="U1000" i="24"/>
  <c r="T1000" i="24"/>
  <c r="N1000" i="24"/>
  <c r="C1000" i="24"/>
  <c r="A1000" i="24"/>
  <c r="BP999" i="24"/>
  <c r="BO999" i="24"/>
  <c r="BA999" i="24"/>
  <c r="AZ999" i="24"/>
  <c r="AW999" i="24"/>
  <c r="AV999" i="24"/>
  <c r="AG999" i="24"/>
  <c r="U999" i="24"/>
  <c r="T999" i="24"/>
  <c r="N999" i="24"/>
  <c r="C999" i="24"/>
  <c r="A999" i="24"/>
  <c r="BP998" i="24"/>
  <c r="BO998" i="24"/>
  <c r="BA998" i="24"/>
  <c r="AZ998" i="24"/>
  <c r="AW998" i="24"/>
  <c r="AV998" i="24"/>
  <c r="AG998" i="24"/>
  <c r="U998" i="24"/>
  <c r="T998" i="24"/>
  <c r="N998" i="24"/>
  <c r="C998" i="24"/>
  <c r="A998" i="24"/>
  <c r="BP997" i="24"/>
  <c r="BO997" i="24"/>
  <c r="BA997" i="24"/>
  <c r="AZ997" i="24"/>
  <c r="AW997" i="24"/>
  <c r="AV997" i="24"/>
  <c r="AG997" i="24"/>
  <c r="U997" i="24"/>
  <c r="T997" i="24"/>
  <c r="N997" i="24"/>
  <c r="C997" i="24"/>
  <c r="A997" i="24"/>
  <c r="BP996" i="24"/>
  <c r="BO996" i="24"/>
  <c r="BA996" i="24"/>
  <c r="AZ996" i="24"/>
  <c r="AW996" i="24"/>
  <c r="AV996" i="24"/>
  <c r="AG996" i="24"/>
  <c r="U996" i="24"/>
  <c r="T996" i="24"/>
  <c r="N996" i="24"/>
  <c r="C996" i="24"/>
  <c r="A996" i="24"/>
  <c r="BP995" i="24"/>
  <c r="BO995" i="24"/>
  <c r="BA995" i="24"/>
  <c r="AZ995" i="24"/>
  <c r="AW995" i="24"/>
  <c r="AV995" i="24"/>
  <c r="AG995" i="24"/>
  <c r="U995" i="24"/>
  <c r="T995" i="24"/>
  <c r="N995" i="24"/>
  <c r="C995" i="24"/>
  <c r="A995" i="24"/>
  <c r="BP994" i="24"/>
  <c r="BO994" i="24"/>
  <c r="BA994" i="24"/>
  <c r="AZ994" i="24"/>
  <c r="AW994" i="24"/>
  <c r="AV994" i="24"/>
  <c r="AG994" i="24"/>
  <c r="U994" i="24"/>
  <c r="T994" i="24"/>
  <c r="N994" i="24"/>
  <c r="C994" i="24"/>
  <c r="A994" i="24"/>
  <c r="BP993" i="24"/>
  <c r="BO993" i="24"/>
  <c r="BA993" i="24"/>
  <c r="AZ993" i="24"/>
  <c r="AW993" i="24"/>
  <c r="AV993" i="24"/>
  <c r="AG993" i="24"/>
  <c r="U993" i="24"/>
  <c r="T993" i="24"/>
  <c r="N993" i="24"/>
  <c r="C993" i="24"/>
  <c r="A993" i="24"/>
  <c r="BP992" i="24"/>
  <c r="BO992" i="24"/>
  <c r="BA992" i="24"/>
  <c r="AZ992" i="24"/>
  <c r="AW992" i="24"/>
  <c r="AV992" i="24"/>
  <c r="AG992" i="24"/>
  <c r="U992" i="24"/>
  <c r="T992" i="24"/>
  <c r="N992" i="24"/>
  <c r="C992" i="24"/>
  <c r="A992" i="24"/>
  <c r="BP991" i="24"/>
  <c r="BO991" i="24"/>
  <c r="BA991" i="24"/>
  <c r="AZ991" i="24"/>
  <c r="AW991" i="24"/>
  <c r="AV991" i="24"/>
  <c r="AG991" i="24"/>
  <c r="U991" i="24"/>
  <c r="T991" i="24"/>
  <c r="N991" i="24"/>
  <c r="C991" i="24"/>
  <c r="A991" i="24"/>
  <c r="BP990" i="24"/>
  <c r="BO990" i="24"/>
  <c r="BA990" i="24"/>
  <c r="AZ990" i="24"/>
  <c r="AW990" i="24"/>
  <c r="AV990" i="24"/>
  <c r="AG990" i="24"/>
  <c r="U990" i="24"/>
  <c r="T990" i="24"/>
  <c r="N990" i="24"/>
  <c r="C990" i="24"/>
  <c r="A990" i="24"/>
  <c r="BP989" i="24"/>
  <c r="BO989" i="24"/>
  <c r="BA989" i="24"/>
  <c r="AZ989" i="24"/>
  <c r="AW989" i="24"/>
  <c r="AV989" i="24"/>
  <c r="AG989" i="24"/>
  <c r="U989" i="24"/>
  <c r="T989" i="24"/>
  <c r="N989" i="24"/>
  <c r="C989" i="24"/>
  <c r="A989" i="24"/>
  <c r="BP988" i="24"/>
  <c r="BO988" i="24"/>
  <c r="BA988" i="24"/>
  <c r="AZ988" i="24"/>
  <c r="AW988" i="24"/>
  <c r="AV988" i="24"/>
  <c r="AG988" i="24"/>
  <c r="U988" i="24"/>
  <c r="T988" i="24"/>
  <c r="N988" i="24"/>
  <c r="C988" i="24"/>
  <c r="A988" i="24"/>
  <c r="BP987" i="24"/>
  <c r="BO987" i="24"/>
  <c r="BA987" i="24"/>
  <c r="AZ987" i="24"/>
  <c r="AW987" i="24"/>
  <c r="AV987" i="24"/>
  <c r="AG987" i="24"/>
  <c r="U987" i="24"/>
  <c r="T987" i="24"/>
  <c r="N987" i="24"/>
  <c r="C987" i="24"/>
  <c r="A987" i="24"/>
  <c r="BP986" i="24"/>
  <c r="BO986" i="24"/>
  <c r="BA986" i="24"/>
  <c r="AZ986" i="24"/>
  <c r="AW986" i="24"/>
  <c r="AV986" i="24"/>
  <c r="AG986" i="24"/>
  <c r="U986" i="24"/>
  <c r="T986" i="24"/>
  <c r="N986" i="24"/>
  <c r="C986" i="24"/>
  <c r="A986" i="24"/>
  <c r="BP985" i="24"/>
  <c r="BO985" i="24"/>
  <c r="BA985" i="24"/>
  <c r="AZ985" i="24"/>
  <c r="AW985" i="24"/>
  <c r="AV985" i="24"/>
  <c r="AG985" i="24"/>
  <c r="U985" i="24"/>
  <c r="T985" i="24"/>
  <c r="N985" i="24"/>
  <c r="C985" i="24"/>
  <c r="A985" i="24"/>
  <c r="BP984" i="24"/>
  <c r="BO984" i="24"/>
  <c r="BA984" i="24"/>
  <c r="AZ984" i="24"/>
  <c r="AW984" i="24"/>
  <c r="AV984" i="24"/>
  <c r="AG984" i="24"/>
  <c r="U984" i="24"/>
  <c r="T984" i="24"/>
  <c r="N984" i="24"/>
  <c r="C984" i="24"/>
  <c r="A984" i="24"/>
  <c r="BP983" i="24"/>
  <c r="BO983" i="24"/>
  <c r="BA983" i="24"/>
  <c r="AZ983" i="24"/>
  <c r="AW983" i="24"/>
  <c r="AV983" i="24"/>
  <c r="AG983" i="24"/>
  <c r="U983" i="24"/>
  <c r="T983" i="24"/>
  <c r="N983" i="24"/>
  <c r="C983" i="24"/>
  <c r="A983" i="24"/>
  <c r="BP982" i="24"/>
  <c r="BO982" i="24"/>
  <c r="BA982" i="24"/>
  <c r="AZ982" i="24"/>
  <c r="AW982" i="24"/>
  <c r="AV982" i="24"/>
  <c r="AG982" i="24"/>
  <c r="U982" i="24"/>
  <c r="T982" i="24"/>
  <c r="N982" i="24"/>
  <c r="C982" i="24"/>
  <c r="A982" i="24"/>
  <c r="BP981" i="24"/>
  <c r="BO981" i="24"/>
  <c r="BA981" i="24"/>
  <c r="AZ981" i="24"/>
  <c r="AW981" i="24"/>
  <c r="AV981" i="24"/>
  <c r="AG981" i="24"/>
  <c r="U981" i="24"/>
  <c r="T981" i="24"/>
  <c r="N981" i="24"/>
  <c r="C981" i="24"/>
  <c r="A981" i="24"/>
  <c r="BP980" i="24"/>
  <c r="BO980" i="24"/>
  <c r="BA980" i="24"/>
  <c r="AZ980" i="24"/>
  <c r="AW980" i="24"/>
  <c r="AV980" i="24"/>
  <c r="AG980" i="24"/>
  <c r="U980" i="24"/>
  <c r="T980" i="24"/>
  <c r="N980" i="24"/>
  <c r="C980" i="24"/>
  <c r="A980" i="24"/>
  <c r="BP979" i="24"/>
  <c r="BO979" i="24"/>
  <c r="BA979" i="24"/>
  <c r="AZ979" i="24"/>
  <c r="AW979" i="24"/>
  <c r="AV979" i="24"/>
  <c r="AG979" i="24"/>
  <c r="U979" i="24"/>
  <c r="T979" i="24"/>
  <c r="N979" i="24"/>
  <c r="C979" i="24"/>
  <c r="A979" i="24"/>
  <c r="BP978" i="24"/>
  <c r="BO978" i="24"/>
  <c r="BA978" i="24"/>
  <c r="AZ978" i="24"/>
  <c r="AW978" i="24"/>
  <c r="AV978" i="24"/>
  <c r="AG978" i="24"/>
  <c r="U978" i="24"/>
  <c r="T978" i="24"/>
  <c r="N978" i="24"/>
  <c r="C978" i="24"/>
  <c r="A978" i="24"/>
  <c r="BP977" i="24"/>
  <c r="BO977" i="24"/>
  <c r="BA977" i="24"/>
  <c r="AZ977" i="24"/>
  <c r="AW977" i="24"/>
  <c r="AV977" i="24"/>
  <c r="AG977" i="24"/>
  <c r="U977" i="24"/>
  <c r="T977" i="24"/>
  <c r="N977" i="24"/>
  <c r="C977" i="24"/>
  <c r="A977" i="24"/>
  <c r="BP976" i="24"/>
  <c r="BO976" i="24"/>
  <c r="BA976" i="24"/>
  <c r="AZ976" i="24"/>
  <c r="AW976" i="24"/>
  <c r="AV976" i="24"/>
  <c r="AG976" i="24"/>
  <c r="U976" i="24"/>
  <c r="T976" i="24"/>
  <c r="N976" i="24"/>
  <c r="C976" i="24"/>
  <c r="A976" i="24"/>
  <c r="BP975" i="24"/>
  <c r="BO975" i="24"/>
  <c r="BA975" i="24"/>
  <c r="AZ975" i="24"/>
  <c r="AW975" i="24"/>
  <c r="AV975" i="24"/>
  <c r="AG975" i="24"/>
  <c r="U975" i="24"/>
  <c r="T975" i="24"/>
  <c r="N975" i="24"/>
  <c r="C975" i="24"/>
  <c r="A975" i="24"/>
  <c r="BP974" i="24"/>
  <c r="BO974" i="24"/>
  <c r="BA974" i="24"/>
  <c r="AZ974" i="24"/>
  <c r="AW974" i="24"/>
  <c r="AV974" i="24"/>
  <c r="AG974" i="24"/>
  <c r="U974" i="24"/>
  <c r="T974" i="24"/>
  <c r="N974" i="24"/>
  <c r="C974" i="24"/>
  <c r="A974" i="24"/>
  <c r="BP973" i="24"/>
  <c r="BO973" i="24"/>
  <c r="BA973" i="24"/>
  <c r="AZ973" i="24"/>
  <c r="AW973" i="24"/>
  <c r="AV973" i="24"/>
  <c r="AG973" i="24"/>
  <c r="U973" i="24"/>
  <c r="T973" i="24"/>
  <c r="N973" i="24"/>
  <c r="C973" i="24"/>
  <c r="A973" i="24"/>
  <c r="BP972" i="24"/>
  <c r="BO972" i="24"/>
  <c r="BA972" i="24"/>
  <c r="AZ972" i="24"/>
  <c r="AW972" i="24"/>
  <c r="AV972" i="24"/>
  <c r="AG972" i="24"/>
  <c r="U972" i="24"/>
  <c r="T972" i="24"/>
  <c r="N972" i="24"/>
  <c r="C972" i="24"/>
  <c r="A972" i="24"/>
  <c r="BP971" i="24"/>
  <c r="BO971" i="24"/>
  <c r="BA971" i="24"/>
  <c r="AZ971" i="24"/>
  <c r="AW971" i="24"/>
  <c r="AV971" i="24"/>
  <c r="AG971" i="24"/>
  <c r="U971" i="24"/>
  <c r="T971" i="24"/>
  <c r="N971" i="24"/>
  <c r="C971" i="24"/>
  <c r="A971" i="24"/>
  <c r="BP970" i="24"/>
  <c r="BO970" i="24"/>
  <c r="BA970" i="24"/>
  <c r="AZ970" i="24"/>
  <c r="AW970" i="24"/>
  <c r="AV970" i="24"/>
  <c r="AG970" i="24"/>
  <c r="U970" i="24"/>
  <c r="T970" i="24"/>
  <c r="N970" i="24"/>
  <c r="C970" i="24"/>
  <c r="A970" i="24"/>
  <c r="BP969" i="24"/>
  <c r="BO969" i="24"/>
  <c r="BA969" i="24"/>
  <c r="AZ969" i="24"/>
  <c r="AW969" i="24"/>
  <c r="AV969" i="24"/>
  <c r="AG969" i="24"/>
  <c r="U969" i="24"/>
  <c r="T969" i="24"/>
  <c r="N969" i="24"/>
  <c r="C969" i="24"/>
  <c r="A969" i="24"/>
  <c r="BP968" i="24"/>
  <c r="BO968" i="24"/>
  <c r="BA968" i="24"/>
  <c r="AZ968" i="24"/>
  <c r="AW968" i="24"/>
  <c r="AV968" i="24"/>
  <c r="AG968" i="24"/>
  <c r="U968" i="24"/>
  <c r="T968" i="24"/>
  <c r="N968" i="24"/>
  <c r="C968" i="24"/>
  <c r="A968" i="24"/>
  <c r="BP967" i="24"/>
  <c r="BO967" i="24"/>
  <c r="BA967" i="24"/>
  <c r="AZ967" i="24"/>
  <c r="AW967" i="24"/>
  <c r="AV967" i="24"/>
  <c r="AG967" i="24"/>
  <c r="U967" i="24"/>
  <c r="T967" i="24"/>
  <c r="N967" i="24"/>
  <c r="C967" i="24"/>
  <c r="A967" i="24"/>
  <c r="BP966" i="24"/>
  <c r="BO966" i="24"/>
  <c r="BA966" i="24"/>
  <c r="AZ966" i="24"/>
  <c r="AW966" i="24"/>
  <c r="AV966" i="24"/>
  <c r="AG966" i="24"/>
  <c r="U966" i="24"/>
  <c r="T966" i="24"/>
  <c r="N966" i="24"/>
  <c r="C966" i="24"/>
  <c r="A966" i="24"/>
  <c r="BP965" i="24"/>
  <c r="BO965" i="24"/>
  <c r="BA965" i="24"/>
  <c r="AZ965" i="24"/>
  <c r="AW965" i="24"/>
  <c r="AV965" i="24"/>
  <c r="AG965" i="24"/>
  <c r="U965" i="24"/>
  <c r="T965" i="24"/>
  <c r="N965" i="24"/>
  <c r="C965" i="24"/>
  <c r="A965" i="24"/>
  <c r="BP964" i="24"/>
  <c r="BO964" i="24"/>
  <c r="BA964" i="24"/>
  <c r="AZ964" i="24"/>
  <c r="AW964" i="24"/>
  <c r="AV964" i="24"/>
  <c r="AG964" i="24"/>
  <c r="U964" i="24"/>
  <c r="T964" i="24"/>
  <c r="N964" i="24"/>
  <c r="C964" i="24"/>
  <c r="A964" i="24"/>
  <c r="BP963" i="24"/>
  <c r="BO963" i="24"/>
  <c r="BA963" i="24"/>
  <c r="AZ963" i="24"/>
  <c r="AW963" i="24"/>
  <c r="AV963" i="24"/>
  <c r="AG963" i="24"/>
  <c r="U963" i="24"/>
  <c r="T963" i="24"/>
  <c r="N963" i="24"/>
  <c r="C963" i="24"/>
  <c r="A963" i="24"/>
  <c r="BP962" i="24"/>
  <c r="BO962" i="24"/>
  <c r="BA962" i="24"/>
  <c r="AZ962" i="24"/>
  <c r="AW962" i="24"/>
  <c r="AV962" i="24"/>
  <c r="AG962" i="24"/>
  <c r="U962" i="24"/>
  <c r="T962" i="24"/>
  <c r="N962" i="24"/>
  <c r="C962" i="24"/>
  <c r="A962" i="24"/>
  <c r="BP961" i="24"/>
  <c r="BO961" i="24"/>
  <c r="BA961" i="24"/>
  <c r="AZ961" i="24"/>
  <c r="AW961" i="24"/>
  <c r="AV961" i="24"/>
  <c r="AG961" i="24"/>
  <c r="U961" i="24"/>
  <c r="T961" i="24"/>
  <c r="N961" i="24"/>
  <c r="C961" i="24"/>
  <c r="A961" i="24"/>
  <c r="BP960" i="24"/>
  <c r="BO960" i="24"/>
  <c r="BA960" i="24"/>
  <c r="AZ960" i="24"/>
  <c r="AW960" i="24"/>
  <c r="AV960" i="24"/>
  <c r="AG960" i="24"/>
  <c r="U960" i="24"/>
  <c r="T960" i="24"/>
  <c r="N960" i="24"/>
  <c r="C960" i="24"/>
  <c r="A960" i="24"/>
  <c r="BP959" i="24"/>
  <c r="BO959" i="24"/>
  <c r="BA959" i="24"/>
  <c r="AZ959" i="24"/>
  <c r="AW959" i="24"/>
  <c r="AV959" i="24"/>
  <c r="AG959" i="24"/>
  <c r="U959" i="24"/>
  <c r="T959" i="24"/>
  <c r="N959" i="24"/>
  <c r="C959" i="24"/>
  <c r="A959" i="24"/>
  <c r="BP958" i="24"/>
  <c r="BO958" i="24"/>
  <c r="BA958" i="24"/>
  <c r="AZ958" i="24"/>
  <c r="AW958" i="24"/>
  <c r="AV958" i="24"/>
  <c r="AG958" i="24"/>
  <c r="U958" i="24"/>
  <c r="T958" i="24"/>
  <c r="N958" i="24"/>
  <c r="C958" i="24"/>
  <c r="A958" i="24"/>
  <c r="BP957" i="24"/>
  <c r="BO957" i="24"/>
  <c r="BA957" i="24"/>
  <c r="AZ957" i="24"/>
  <c r="AW957" i="24"/>
  <c r="AV957" i="24"/>
  <c r="AG957" i="24"/>
  <c r="U957" i="24"/>
  <c r="T957" i="24"/>
  <c r="N957" i="24"/>
  <c r="C957" i="24"/>
  <c r="A957" i="24"/>
  <c r="BP956" i="24"/>
  <c r="BO956" i="24"/>
  <c r="BA956" i="24"/>
  <c r="AZ956" i="24"/>
  <c r="AW956" i="24"/>
  <c r="AV956" i="24"/>
  <c r="AG956" i="24"/>
  <c r="U956" i="24"/>
  <c r="T956" i="24"/>
  <c r="N956" i="24"/>
  <c r="C956" i="24"/>
  <c r="A956" i="24"/>
  <c r="BP955" i="24"/>
  <c r="BO955" i="24"/>
  <c r="BA955" i="24"/>
  <c r="AZ955" i="24"/>
  <c r="AW955" i="24"/>
  <c r="AV955" i="24"/>
  <c r="AG955" i="24"/>
  <c r="U955" i="24"/>
  <c r="T955" i="24"/>
  <c r="N955" i="24"/>
  <c r="C955" i="24"/>
  <c r="A955" i="24"/>
  <c r="BP954" i="24"/>
  <c r="BO954" i="24"/>
  <c r="BA954" i="24"/>
  <c r="AZ954" i="24"/>
  <c r="AW954" i="24"/>
  <c r="AV954" i="24"/>
  <c r="AG954" i="24"/>
  <c r="U954" i="24"/>
  <c r="T954" i="24"/>
  <c r="N954" i="24"/>
  <c r="C954" i="24"/>
  <c r="A954" i="24"/>
  <c r="BP953" i="24"/>
  <c r="BO953" i="24"/>
  <c r="BA953" i="24"/>
  <c r="AZ953" i="24"/>
  <c r="AW953" i="24"/>
  <c r="AV953" i="24"/>
  <c r="AG953" i="24"/>
  <c r="U953" i="24"/>
  <c r="T953" i="24"/>
  <c r="N953" i="24"/>
  <c r="C953" i="24"/>
  <c r="A953" i="24"/>
  <c r="BP952" i="24"/>
  <c r="BO952" i="24"/>
  <c r="BA952" i="24"/>
  <c r="AZ952" i="24"/>
  <c r="AW952" i="24"/>
  <c r="AV952" i="24"/>
  <c r="AG952" i="24"/>
  <c r="U952" i="24"/>
  <c r="T952" i="24"/>
  <c r="N952" i="24"/>
  <c r="C952" i="24"/>
  <c r="A952" i="24"/>
  <c r="BP951" i="24"/>
  <c r="BO951" i="24"/>
  <c r="BA951" i="24"/>
  <c r="AZ951" i="24"/>
  <c r="AW951" i="24"/>
  <c r="AV951" i="24"/>
  <c r="AG951" i="24"/>
  <c r="U951" i="24"/>
  <c r="T951" i="24"/>
  <c r="N951" i="24"/>
  <c r="C951" i="24"/>
  <c r="A951" i="24"/>
  <c r="BP950" i="24"/>
  <c r="BO950" i="24"/>
  <c r="BA950" i="24"/>
  <c r="AZ950" i="24"/>
  <c r="AW950" i="24"/>
  <c r="AV950" i="24"/>
  <c r="AG950" i="24"/>
  <c r="U950" i="24"/>
  <c r="T950" i="24"/>
  <c r="N950" i="24"/>
  <c r="C950" i="24"/>
  <c r="A950" i="24"/>
  <c r="BP949" i="24"/>
  <c r="BO949" i="24"/>
  <c r="BA949" i="24"/>
  <c r="AZ949" i="24"/>
  <c r="AW949" i="24"/>
  <c r="AV949" i="24"/>
  <c r="AG949" i="24"/>
  <c r="U949" i="24"/>
  <c r="T949" i="24"/>
  <c r="N949" i="24"/>
  <c r="C949" i="24"/>
  <c r="A949" i="24"/>
  <c r="BP948" i="24"/>
  <c r="BO948" i="24"/>
  <c r="BA948" i="24"/>
  <c r="AZ948" i="24"/>
  <c r="AW948" i="24"/>
  <c r="AV948" i="24"/>
  <c r="AG948" i="24"/>
  <c r="U948" i="24"/>
  <c r="T948" i="24"/>
  <c r="N948" i="24"/>
  <c r="C948" i="24"/>
  <c r="A948" i="24"/>
  <c r="BP947" i="24"/>
  <c r="BO947" i="24"/>
  <c r="BA947" i="24"/>
  <c r="AZ947" i="24"/>
  <c r="AW947" i="24"/>
  <c r="AV947" i="24"/>
  <c r="AG947" i="24"/>
  <c r="U947" i="24"/>
  <c r="T947" i="24"/>
  <c r="N947" i="24"/>
  <c r="C947" i="24"/>
  <c r="A947" i="24"/>
  <c r="BP946" i="24"/>
  <c r="BO946" i="24"/>
  <c r="BA946" i="24"/>
  <c r="AZ946" i="24"/>
  <c r="AW946" i="24"/>
  <c r="AV946" i="24"/>
  <c r="AG946" i="24"/>
  <c r="U946" i="24"/>
  <c r="T946" i="24"/>
  <c r="N946" i="24"/>
  <c r="C946" i="24"/>
  <c r="A946" i="24"/>
  <c r="BP945" i="24"/>
  <c r="BO945" i="24"/>
  <c r="BA945" i="24"/>
  <c r="AZ945" i="24"/>
  <c r="AW945" i="24"/>
  <c r="AV945" i="24"/>
  <c r="AG945" i="24"/>
  <c r="U945" i="24"/>
  <c r="T945" i="24"/>
  <c r="N945" i="24"/>
  <c r="C945" i="24"/>
  <c r="A945" i="24"/>
  <c r="BP944" i="24"/>
  <c r="BO944" i="24"/>
  <c r="BA944" i="24"/>
  <c r="AZ944" i="24"/>
  <c r="AW944" i="24"/>
  <c r="AV944" i="24"/>
  <c r="AG944" i="24"/>
  <c r="U944" i="24"/>
  <c r="T944" i="24"/>
  <c r="N944" i="24"/>
  <c r="C944" i="24"/>
  <c r="A944" i="24"/>
  <c r="BP943" i="24"/>
  <c r="BO943" i="24"/>
  <c r="BA943" i="24"/>
  <c r="AZ943" i="24"/>
  <c r="AW943" i="24"/>
  <c r="AV943" i="24"/>
  <c r="AG943" i="24"/>
  <c r="U943" i="24"/>
  <c r="T943" i="24"/>
  <c r="N943" i="24"/>
  <c r="C943" i="24"/>
  <c r="A943" i="24"/>
  <c r="BP942" i="24"/>
  <c r="BO942" i="24"/>
  <c r="BA942" i="24"/>
  <c r="AZ942" i="24"/>
  <c r="AW942" i="24"/>
  <c r="AV942" i="24"/>
  <c r="AG942" i="24"/>
  <c r="U942" i="24"/>
  <c r="T942" i="24"/>
  <c r="N942" i="24"/>
  <c r="C942" i="24"/>
  <c r="A942" i="24"/>
  <c r="BP941" i="24"/>
  <c r="BO941" i="24"/>
  <c r="BA941" i="24"/>
  <c r="AZ941" i="24"/>
  <c r="AW941" i="24"/>
  <c r="AV941" i="24"/>
  <c r="AG941" i="24"/>
  <c r="U941" i="24"/>
  <c r="T941" i="24"/>
  <c r="N941" i="24"/>
  <c r="C941" i="24"/>
  <c r="A941" i="24"/>
  <c r="BP940" i="24"/>
  <c r="BO940" i="24"/>
  <c r="BA940" i="24"/>
  <c r="AZ940" i="24"/>
  <c r="AW940" i="24"/>
  <c r="AV940" i="24"/>
  <c r="AG940" i="24"/>
  <c r="U940" i="24"/>
  <c r="T940" i="24"/>
  <c r="N940" i="24"/>
  <c r="C940" i="24"/>
  <c r="A940" i="24"/>
  <c r="BP939" i="24"/>
  <c r="BO939" i="24"/>
  <c r="BA939" i="24"/>
  <c r="AZ939" i="24"/>
  <c r="AW939" i="24"/>
  <c r="AV939" i="24"/>
  <c r="AG939" i="24"/>
  <c r="U939" i="24"/>
  <c r="T939" i="24"/>
  <c r="N939" i="24"/>
  <c r="C939" i="24"/>
  <c r="A939" i="24"/>
  <c r="BP938" i="24"/>
  <c r="BO938" i="24"/>
  <c r="BA938" i="24"/>
  <c r="AZ938" i="24"/>
  <c r="AW938" i="24"/>
  <c r="AV938" i="24"/>
  <c r="AG938" i="24"/>
  <c r="U938" i="24"/>
  <c r="T938" i="24"/>
  <c r="N938" i="24"/>
  <c r="C938" i="24"/>
  <c r="A938" i="24"/>
  <c r="BP937" i="24"/>
  <c r="BO937" i="24"/>
  <c r="BA937" i="24"/>
  <c r="AZ937" i="24"/>
  <c r="AW937" i="24"/>
  <c r="AV937" i="24"/>
  <c r="AG937" i="24"/>
  <c r="U937" i="24"/>
  <c r="T937" i="24"/>
  <c r="N937" i="24"/>
  <c r="C937" i="24"/>
  <c r="A937" i="24"/>
  <c r="BP936" i="24"/>
  <c r="BO936" i="24"/>
  <c r="BA936" i="24"/>
  <c r="AZ936" i="24"/>
  <c r="AW936" i="24"/>
  <c r="AV936" i="24"/>
  <c r="AG936" i="24"/>
  <c r="U936" i="24"/>
  <c r="T936" i="24"/>
  <c r="N936" i="24"/>
  <c r="C936" i="24"/>
  <c r="A936" i="24"/>
  <c r="BP935" i="24"/>
  <c r="BO935" i="24"/>
  <c r="BA935" i="24"/>
  <c r="AZ935" i="24"/>
  <c r="AW935" i="24"/>
  <c r="AV935" i="24"/>
  <c r="AG935" i="24"/>
  <c r="U935" i="24"/>
  <c r="T935" i="24"/>
  <c r="N935" i="24"/>
  <c r="C935" i="24"/>
  <c r="A935" i="24"/>
  <c r="BP934" i="24"/>
  <c r="BO934" i="24"/>
  <c r="BA934" i="24"/>
  <c r="AZ934" i="24"/>
  <c r="AW934" i="24"/>
  <c r="AV934" i="24"/>
  <c r="AG934" i="24"/>
  <c r="U934" i="24"/>
  <c r="T934" i="24"/>
  <c r="N934" i="24"/>
  <c r="C934" i="24"/>
  <c r="A934" i="24"/>
  <c r="BP933" i="24"/>
  <c r="BO933" i="24"/>
  <c r="BA933" i="24"/>
  <c r="AZ933" i="24"/>
  <c r="AW933" i="24"/>
  <c r="AV933" i="24"/>
  <c r="AG933" i="24"/>
  <c r="U933" i="24"/>
  <c r="T933" i="24"/>
  <c r="N933" i="24"/>
  <c r="C933" i="24"/>
  <c r="A933" i="24"/>
  <c r="BP932" i="24"/>
  <c r="BO932" i="24"/>
  <c r="BA932" i="24"/>
  <c r="AZ932" i="24"/>
  <c r="AW932" i="24"/>
  <c r="AV932" i="24"/>
  <c r="AG932" i="24"/>
  <c r="U932" i="24"/>
  <c r="T932" i="24"/>
  <c r="N932" i="24"/>
  <c r="C932" i="24"/>
  <c r="A932" i="24"/>
  <c r="BP931" i="24"/>
  <c r="BO931" i="24"/>
  <c r="BA931" i="24"/>
  <c r="AZ931" i="24"/>
  <c r="AW931" i="24"/>
  <c r="AV931" i="24"/>
  <c r="AG931" i="24"/>
  <c r="U931" i="24"/>
  <c r="T931" i="24"/>
  <c r="N931" i="24"/>
  <c r="C931" i="24"/>
  <c r="A931" i="24"/>
  <c r="BP930" i="24"/>
  <c r="BO930" i="24"/>
  <c r="BA930" i="24"/>
  <c r="AZ930" i="24"/>
  <c r="AW930" i="24"/>
  <c r="AV930" i="24"/>
  <c r="AG930" i="24"/>
  <c r="U930" i="24"/>
  <c r="T930" i="24"/>
  <c r="N930" i="24"/>
  <c r="C930" i="24"/>
  <c r="A930" i="24"/>
  <c r="BP929" i="24"/>
  <c r="BO929" i="24"/>
  <c r="BA929" i="24"/>
  <c r="AZ929" i="24"/>
  <c r="AW929" i="24"/>
  <c r="AV929" i="24"/>
  <c r="AG929" i="24"/>
  <c r="U929" i="24"/>
  <c r="T929" i="24"/>
  <c r="N929" i="24"/>
  <c r="C929" i="24"/>
  <c r="A929" i="24"/>
  <c r="BP928" i="24"/>
  <c r="BO928" i="24"/>
  <c r="BA928" i="24"/>
  <c r="AZ928" i="24"/>
  <c r="AW928" i="24"/>
  <c r="AV928" i="24"/>
  <c r="AG928" i="24"/>
  <c r="U928" i="24"/>
  <c r="T928" i="24"/>
  <c r="N928" i="24"/>
  <c r="C928" i="24"/>
  <c r="A928" i="24"/>
  <c r="BP927" i="24"/>
  <c r="BO927" i="24"/>
  <c r="BA927" i="24"/>
  <c r="AZ927" i="24"/>
  <c r="AW927" i="24"/>
  <c r="AV927" i="24"/>
  <c r="AG927" i="24"/>
  <c r="U927" i="24"/>
  <c r="T927" i="24"/>
  <c r="N927" i="24"/>
  <c r="C927" i="24"/>
  <c r="A927" i="24"/>
  <c r="BP926" i="24"/>
  <c r="BO926" i="24"/>
  <c r="BA926" i="24"/>
  <c r="AZ926" i="24"/>
  <c r="AW926" i="24"/>
  <c r="AV926" i="24"/>
  <c r="AG926" i="24"/>
  <c r="U926" i="24"/>
  <c r="T926" i="24"/>
  <c r="N926" i="24"/>
  <c r="C926" i="24"/>
  <c r="A926" i="24"/>
  <c r="BP925" i="24"/>
  <c r="BO925" i="24"/>
  <c r="BA925" i="24"/>
  <c r="AZ925" i="24"/>
  <c r="AW925" i="24"/>
  <c r="AV925" i="24"/>
  <c r="AG925" i="24"/>
  <c r="U925" i="24"/>
  <c r="T925" i="24"/>
  <c r="N925" i="24"/>
  <c r="C925" i="24"/>
  <c r="A925" i="24"/>
  <c r="BP924" i="24"/>
  <c r="BO924" i="24"/>
  <c r="BA924" i="24"/>
  <c r="AZ924" i="24"/>
  <c r="AW924" i="24"/>
  <c r="AV924" i="24"/>
  <c r="AG924" i="24"/>
  <c r="U924" i="24"/>
  <c r="T924" i="24"/>
  <c r="N924" i="24"/>
  <c r="C924" i="24"/>
  <c r="A924" i="24"/>
  <c r="BP923" i="24"/>
  <c r="BO923" i="24"/>
  <c r="BA923" i="24"/>
  <c r="AZ923" i="24"/>
  <c r="AW923" i="24"/>
  <c r="AV923" i="24"/>
  <c r="AG923" i="24"/>
  <c r="U923" i="24"/>
  <c r="T923" i="24"/>
  <c r="N923" i="24"/>
  <c r="C923" i="24"/>
  <c r="A923" i="24"/>
  <c r="BP922" i="24"/>
  <c r="BO922" i="24"/>
  <c r="BA922" i="24"/>
  <c r="AZ922" i="24"/>
  <c r="AW922" i="24"/>
  <c r="AV922" i="24"/>
  <c r="AG922" i="24"/>
  <c r="U922" i="24"/>
  <c r="T922" i="24"/>
  <c r="N922" i="24"/>
  <c r="C922" i="24"/>
  <c r="A922" i="24"/>
  <c r="BP921" i="24"/>
  <c r="BO921" i="24"/>
  <c r="BA921" i="24"/>
  <c r="AZ921" i="24"/>
  <c r="AW921" i="24"/>
  <c r="AV921" i="24"/>
  <c r="AG921" i="24"/>
  <c r="U921" i="24"/>
  <c r="T921" i="24"/>
  <c r="N921" i="24"/>
  <c r="C921" i="24"/>
  <c r="A921" i="24"/>
  <c r="BP920" i="24"/>
  <c r="BO920" i="24"/>
  <c r="BA920" i="24"/>
  <c r="AZ920" i="24"/>
  <c r="AW920" i="24"/>
  <c r="AV920" i="24"/>
  <c r="AG920" i="24"/>
  <c r="U920" i="24"/>
  <c r="T920" i="24"/>
  <c r="N920" i="24"/>
  <c r="C920" i="24"/>
  <c r="A920" i="24"/>
  <c r="BP919" i="24"/>
  <c r="BO919" i="24"/>
  <c r="BA919" i="24"/>
  <c r="AZ919" i="24"/>
  <c r="AW919" i="24"/>
  <c r="AV919" i="24"/>
  <c r="AG919" i="24"/>
  <c r="U919" i="24"/>
  <c r="T919" i="24"/>
  <c r="N919" i="24"/>
  <c r="C919" i="24"/>
  <c r="A919" i="24"/>
  <c r="BP918" i="24"/>
  <c r="BO918" i="24"/>
  <c r="BA918" i="24"/>
  <c r="AZ918" i="24"/>
  <c r="AW918" i="24"/>
  <c r="AV918" i="24"/>
  <c r="AG918" i="24"/>
  <c r="U918" i="24"/>
  <c r="T918" i="24"/>
  <c r="N918" i="24"/>
  <c r="C918" i="24"/>
  <c r="A918" i="24"/>
  <c r="BP917" i="24"/>
  <c r="BO917" i="24"/>
  <c r="BA917" i="24"/>
  <c r="AZ917" i="24"/>
  <c r="AW917" i="24"/>
  <c r="AV917" i="24"/>
  <c r="AG917" i="24"/>
  <c r="U917" i="24"/>
  <c r="T917" i="24"/>
  <c r="N917" i="24"/>
  <c r="C917" i="24"/>
  <c r="A917" i="24"/>
  <c r="BP916" i="24"/>
  <c r="BO916" i="24"/>
  <c r="BA916" i="24"/>
  <c r="AZ916" i="24"/>
  <c r="AW916" i="24"/>
  <c r="AV916" i="24"/>
  <c r="AG916" i="24"/>
  <c r="U916" i="24"/>
  <c r="T916" i="24"/>
  <c r="N916" i="24"/>
  <c r="C916" i="24"/>
  <c r="A916" i="24"/>
  <c r="BP915" i="24"/>
  <c r="BO915" i="24"/>
  <c r="BA915" i="24"/>
  <c r="AZ915" i="24"/>
  <c r="AW915" i="24"/>
  <c r="AV915" i="24"/>
  <c r="AG915" i="24"/>
  <c r="U915" i="24"/>
  <c r="T915" i="24"/>
  <c r="N915" i="24"/>
  <c r="C915" i="24"/>
  <c r="A915" i="24"/>
  <c r="BP914" i="24"/>
  <c r="BO914" i="24"/>
  <c r="BA914" i="24"/>
  <c r="AZ914" i="24"/>
  <c r="AW914" i="24"/>
  <c r="AV914" i="24"/>
  <c r="AG914" i="24"/>
  <c r="U914" i="24"/>
  <c r="T914" i="24"/>
  <c r="N914" i="24"/>
  <c r="C914" i="24"/>
  <c r="A914" i="24"/>
  <c r="BP913" i="24"/>
  <c r="BO913" i="24"/>
  <c r="BA913" i="24"/>
  <c r="AZ913" i="24"/>
  <c r="AW913" i="24"/>
  <c r="AV913" i="24"/>
  <c r="AG913" i="24"/>
  <c r="U913" i="24"/>
  <c r="T913" i="24"/>
  <c r="N913" i="24"/>
  <c r="C913" i="24"/>
  <c r="A913" i="24"/>
  <c r="BP912" i="24"/>
  <c r="BO912" i="24"/>
  <c r="BA912" i="24"/>
  <c r="AZ912" i="24"/>
  <c r="AW912" i="24"/>
  <c r="AV912" i="24"/>
  <c r="AG912" i="24"/>
  <c r="U912" i="24"/>
  <c r="T912" i="24"/>
  <c r="N912" i="24"/>
  <c r="C912" i="24"/>
  <c r="A912" i="24"/>
  <c r="BP911" i="24"/>
  <c r="BO911" i="24"/>
  <c r="BA911" i="24"/>
  <c r="AZ911" i="24"/>
  <c r="AW911" i="24"/>
  <c r="AV911" i="24"/>
  <c r="AG911" i="24"/>
  <c r="U911" i="24"/>
  <c r="T911" i="24"/>
  <c r="N911" i="24"/>
  <c r="C911" i="24"/>
  <c r="A911" i="24"/>
  <c r="BP910" i="24"/>
  <c r="BO910" i="24"/>
  <c r="BA910" i="24"/>
  <c r="AZ910" i="24"/>
  <c r="AW910" i="24"/>
  <c r="AV910" i="24"/>
  <c r="AG910" i="24"/>
  <c r="U910" i="24"/>
  <c r="T910" i="24"/>
  <c r="N910" i="24"/>
  <c r="C910" i="24"/>
  <c r="A910" i="24"/>
  <c r="BP909" i="24"/>
  <c r="BO909" i="24"/>
  <c r="BA909" i="24"/>
  <c r="AZ909" i="24"/>
  <c r="AW909" i="24"/>
  <c r="AV909" i="24"/>
  <c r="AG909" i="24"/>
  <c r="U909" i="24"/>
  <c r="T909" i="24"/>
  <c r="N909" i="24"/>
  <c r="C909" i="24"/>
  <c r="A909" i="24"/>
  <c r="BP908" i="24"/>
  <c r="BO908" i="24"/>
  <c r="BA908" i="24"/>
  <c r="AZ908" i="24"/>
  <c r="AW908" i="24"/>
  <c r="AV908" i="24"/>
  <c r="AG908" i="24"/>
  <c r="U908" i="24"/>
  <c r="T908" i="24"/>
  <c r="N908" i="24"/>
  <c r="C908" i="24"/>
  <c r="A908" i="24"/>
  <c r="BP907" i="24"/>
  <c r="BO907" i="24"/>
  <c r="BA907" i="24"/>
  <c r="AZ907" i="24"/>
  <c r="AW907" i="24"/>
  <c r="AV907" i="24"/>
  <c r="AG907" i="24"/>
  <c r="U907" i="24"/>
  <c r="T907" i="24"/>
  <c r="N907" i="24"/>
  <c r="C907" i="24"/>
  <c r="A907" i="24"/>
  <c r="BP906" i="24"/>
  <c r="BO906" i="24"/>
  <c r="BA906" i="24"/>
  <c r="AZ906" i="24"/>
  <c r="AW906" i="24"/>
  <c r="AV906" i="24"/>
  <c r="AG906" i="24"/>
  <c r="U906" i="24"/>
  <c r="T906" i="24"/>
  <c r="N906" i="24"/>
  <c r="C906" i="24"/>
  <c r="A906" i="24"/>
  <c r="BP905" i="24"/>
  <c r="BO905" i="24"/>
  <c r="BA905" i="24"/>
  <c r="AZ905" i="24"/>
  <c r="AW905" i="24"/>
  <c r="AV905" i="24"/>
  <c r="AG905" i="24"/>
  <c r="U905" i="24"/>
  <c r="T905" i="24"/>
  <c r="N905" i="24"/>
  <c r="C905" i="24"/>
  <c r="A905" i="24"/>
  <c r="BP904" i="24"/>
  <c r="BO904" i="24"/>
  <c r="BA904" i="24"/>
  <c r="AZ904" i="24"/>
  <c r="AW904" i="24"/>
  <c r="AV904" i="24"/>
  <c r="AG904" i="24"/>
  <c r="U904" i="24"/>
  <c r="T904" i="24"/>
  <c r="N904" i="24"/>
  <c r="C904" i="24"/>
  <c r="A904" i="24"/>
  <c r="BP903" i="24"/>
  <c r="BO903" i="24"/>
  <c r="BA903" i="24"/>
  <c r="AZ903" i="24"/>
  <c r="AW903" i="24"/>
  <c r="AV903" i="24"/>
  <c r="AG903" i="24"/>
  <c r="U903" i="24"/>
  <c r="T903" i="24"/>
  <c r="N903" i="24"/>
  <c r="C903" i="24"/>
  <c r="A903" i="24"/>
  <c r="BP902" i="24"/>
  <c r="BO902" i="24"/>
  <c r="BA902" i="24"/>
  <c r="AZ902" i="24"/>
  <c r="AW902" i="24"/>
  <c r="AV902" i="24"/>
  <c r="AG902" i="24"/>
  <c r="U902" i="24"/>
  <c r="T902" i="24"/>
  <c r="N902" i="24"/>
  <c r="C902" i="24"/>
  <c r="A902" i="24"/>
  <c r="BP901" i="24"/>
  <c r="BO901" i="24"/>
  <c r="BA901" i="24"/>
  <c r="AZ901" i="24"/>
  <c r="AW901" i="24"/>
  <c r="AV901" i="24"/>
  <c r="AG901" i="24"/>
  <c r="U901" i="24"/>
  <c r="T901" i="24"/>
  <c r="N901" i="24"/>
  <c r="C901" i="24"/>
  <c r="A901" i="24"/>
  <c r="BP900" i="24"/>
  <c r="BO900" i="24"/>
  <c r="BA900" i="24"/>
  <c r="AZ900" i="24"/>
  <c r="AW900" i="24"/>
  <c r="AV900" i="24"/>
  <c r="AG900" i="24"/>
  <c r="U900" i="24"/>
  <c r="T900" i="24"/>
  <c r="N900" i="24"/>
  <c r="C900" i="24"/>
  <c r="A900" i="24"/>
  <c r="BP899" i="24"/>
  <c r="BO899" i="24"/>
  <c r="BA899" i="24"/>
  <c r="AZ899" i="24"/>
  <c r="AW899" i="24"/>
  <c r="AV899" i="24"/>
  <c r="AG899" i="24"/>
  <c r="U899" i="24"/>
  <c r="T899" i="24"/>
  <c r="N899" i="24"/>
  <c r="C899" i="24"/>
  <c r="A899" i="24"/>
  <c r="BP898" i="24"/>
  <c r="BO898" i="24"/>
  <c r="BA898" i="24"/>
  <c r="AZ898" i="24"/>
  <c r="AW898" i="24"/>
  <c r="AV898" i="24"/>
  <c r="AG898" i="24"/>
  <c r="U898" i="24"/>
  <c r="T898" i="24"/>
  <c r="N898" i="24"/>
  <c r="C898" i="24"/>
  <c r="A898" i="24"/>
  <c r="BP897" i="24"/>
  <c r="BO897" i="24"/>
  <c r="BA897" i="24"/>
  <c r="AZ897" i="24"/>
  <c r="AW897" i="24"/>
  <c r="AV897" i="24"/>
  <c r="AG897" i="24"/>
  <c r="U897" i="24"/>
  <c r="T897" i="24"/>
  <c r="N897" i="24"/>
  <c r="C897" i="24"/>
  <c r="A897" i="24"/>
  <c r="BP896" i="24"/>
  <c r="BO896" i="24"/>
  <c r="BA896" i="24"/>
  <c r="AZ896" i="24"/>
  <c r="AW896" i="24"/>
  <c r="AV896" i="24"/>
  <c r="AG896" i="24"/>
  <c r="U896" i="24"/>
  <c r="T896" i="24"/>
  <c r="N896" i="24"/>
  <c r="C896" i="24"/>
  <c r="A896" i="24"/>
  <c r="BP895" i="24"/>
  <c r="BO895" i="24"/>
  <c r="BA895" i="24"/>
  <c r="AZ895" i="24"/>
  <c r="AW895" i="24"/>
  <c r="AV895" i="24"/>
  <c r="AG895" i="24"/>
  <c r="U895" i="24"/>
  <c r="T895" i="24"/>
  <c r="N895" i="24"/>
  <c r="C895" i="24"/>
  <c r="A895" i="24"/>
  <c r="BP894" i="24"/>
  <c r="BO894" i="24"/>
  <c r="BA894" i="24"/>
  <c r="AZ894" i="24"/>
  <c r="AW894" i="24"/>
  <c r="AV894" i="24"/>
  <c r="AG894" i="24"/>
  <c r="U894" i="24"/>
  <c r="T894" i="24"/>
  <c r="N894" i="24"/>
  <c r="C894" i="24"/>
  <c r="A894" i="24"/>
  <c r="BP893" i="24"/>
  <c r="BO893" i="24"/>
  <c r="BA893" i="24"/>
  <c r="AZ893" i="24"/>
  <c r="AW893" i="24"/>
  <c r="AV893" i="24"/>
  <c r="AG893" i="24"/>
  <c r="U893" i="24"/>
  <c r="T893" i="24"/>
  <c r="N893" i="24"/>
  <c r="C893" i="24"/>
  <c r="A893" i="24"/>
  <c r="BP892" i="24"/>
  <c r="BO892" i="24"/>
  <c r="BA892" i="24"/>
  <c r="AZ892" i="24"/>
  <c r="AW892" i="24"/>
  <c r="AV892" i="24"/>
  <c r="AG892" i="24"/>
  <c r="U892" i="24"/>
  <c r="T892" i="24"/>
  <c r="N892" i="24"/>
  <c r="C892" i="24"/>
  <c r="A892" i="24"/>
  <c r="BP891" i="24"/>
  <c r="BO891" i="24"/>
  <c r="BA891" i="24"/>
  <c r="AZ891" i="24"/>
  <c r="AW891" i="24"/>
  <c r="AV891" i="24"/>
  <c r="AG891" i="24"/>
  <c r="U891" i="24"/>
  <c r="T891" i="24"/>
  <c r="N891" i="24"/>
  <c r="C891" i="24"/>
  <c r="A891" i="24"/>
  <c r="BP890" i="24"/>
  <c r="BO890" i="24"/>
  <c r="BA890" i="24"/>
  <c r="AZ890" i="24"/>
  <c r="AW890" i="24"/>
  <c r="AV890" i="24"/>
  <c r="AG890" i="24"/>
  <c r="U890" i="24"/>
  <c r="T890" i="24"/>
  <c r="N890" i="24"/>
  <c r="C890" i="24"/>
  <c r="A890" i="24"/>
  <c r="BP889" i="24"/>
  <c r="BO889" i="24"/>
  <c r="BA889" i="24"/>
  <c r="AZ889" i="24"/>
  <c r="AW889" i="24"/>
  <c r="AV889" i="24"/>
  <c r="AG889" i="24"/>
  <c r="U889" i="24"/>
  <c r="T889" i="24"/>
  <c r="N889" i="24"/>
  <c r="C889" i="24"/>
  <c r="A889" i="24"/>
  <c r="BP888" i="24"/>
  <c r="BO888" i="24"/>
  <c r="BA888" i="24"/>
  <c r="AZ888" i="24"/>
  <c r="AW888" i="24"/>
  <c r="AV888" i="24"/>
  <c r="AG888" i="24"/>
  <c r="U888" i="24"/>
  <c r="T888" i="24"/>
  <c r="N888" i="24"/>
  <c r="C888" i="24"/>
  <c r="A888" i="24"/>
  <c r="BP887" i="24"/>
  <c r="BO887" i="24"/>
  <c r="BA887" i="24"/>
  <c r="AZ887" i="24"/>
  <c r="AW887" i="24"/>
  <c r="AV887" i="24"/>
  <c r="AG887" i="24"/>
  <c r="U887" i="24"/>
  <c r="T887" i="24"/>
  <c r="N887" i="24"/>
  <c r="C887" i="24"/>
  <c r="A887" i="24"/>
  <c r="BP886" i="24"/>
  <c r="BO886" i="24"/>
  <c r="BA886" i="24"/>
  <c r="AZ886" i="24"/>
  <c r="AW886" i="24"/>
  <c r="AV886" i="24"/>
  <c r="AG886" i="24"/>
  <c r="U886" i="24"/>
  <c r="T886" i="24"/>
  <c r="N886" i="24"/>
  <c r="C886" i="24"/>
  <c r="A886" i="24"/>
  <c r="BP885" i="24"/>
  <c r="BO885" i="24"/>
  <c r="BA885" i="24"/>
  <c r="AZ885" i="24"/>
  <c r="AW885" i="24"/>
  <c r="AV885" i="24"/>
  <c r="AG885" i="24"/>
  <c r="U885" i="24"/>
  <c r="T885" i="24"/>
  <c r="N885" i="24"/>
  <c r="C885" i="24"/>
  <c r="A885" i="24"/>
  <c r="BP884" i="24"/>
  <c r="BO884" i="24"/>
  <c r="BA884" i="24"/>
  <c r="AZ884" i="24"/>
  <c r="AW884" i="24"/>
  <c r="AV884" i="24"/>
  <c r="AG884" i="24"/>
  <c r="U884" i="24"/>
  <c r="T884" i="24"/>
  <c r="N884" i="24"/>
  <c r="C884" i="24"/>
  <c r="A884" i="24"/>
  <c r="BP883" i="24"/>
  <c r="BO883" i="24"/>
  <c r="BA883" i="24"/>
  <c r="AZ883" i="24"/>
  <c r="AW883" i="24"/>
  <c r="AV883" i="24"/>
  <c r="AG883" i="24"/>
  <c r="U883" i="24"/>
  <c r="T883" i="24"/>
  <c r="N883" i="24"/>
  <c r="C883" i="24"/>
  <c r="A883" i="24"/>
  <c r="BP882" i="24"/>
  <c r="BO882" i="24"/>
  <c r="BA882" i="24"/>
  <c r="AZ882" i="24"/>
  <c r="AW882" i="24"/>
  <c r="AV882" i="24"/>
  <c r="AG882" i="24"/>
  <c r="U882" i="24"/>
  <c r="T882" i="24"/>
  <c r="N882" i="24"/>
  <c r="C882" i="24"/>
  <c r="A882" i="24"/>
  <c r="BP881" i="24"/>
  <c r="BO881" i="24"/>
  <c r="BA881" i="24"/>
  <c r="AZ881" i="24"/>
  <c r="AW881" i="24"/>
  <c r="AV881" i="24"/>
  <c r="AG881" i="24"/>
  <c r="U881" i="24"/>
  <c r="T881" i="24"/>
  <c r="N881" i="24"/>
  <c r="C881" i="24"/>
  <c r="A881" i="24"/>
  <c r="BP880" i="24"/>
  <c r="BO880" i="24"/>
  <c r="BA880" i="24"/>
  <c r="AZ880" i="24"/>
  <c r="AW880" i="24"/>
  <c r="AV880" i="24"/>
  <c r="AG880" i="24"/>
  <c r="U880" i="24"/>
  <c r="T880" i="24"/>
  <c r="N880" i="24"/>
  <c r="C880" i="24"/>
  <c r="A880" i="24"/>
  <c r="BP879" i="24"/>
  <c r="BO879" i="24"/>
  <c r="BA879" i="24"/>
  <c r="AZ879" i="24"/>
  <c r="AW879" i="24"/>
  <c r="AV879" i="24"/>
  <c r="AG879" i="24"/>
  <c r="U879" i="24"/>
  <c r="T879" i="24"/>
  <c r="N879" i="24"/>
  <c r="C879" i="24"/>
  <c r="A879" i="24"/>
  <c r="BP878" i="24"/>
  <c r="BO878" i="24"/>
  <c r="BA878" i="24"/>
  <c r="AZ878" i="24"/>
  <c r="AW878" i="24"/>
  <c r="AV878" i="24"/>
  <c r="AG878" i="24"/>
  <c r="U878" i="24"/>
  <c r="T878" i="24"/>
  <c r="N878" i="24"/>
  <c r="C878" i="24"/>
  <c r="A878" i="24"/>
  <c r="BP877" i="24"/>
  <c r="BO877" i="24"/>
  <c r="BA877" i="24"/>
  <c r="AZ877" i="24"/>
  <c r="AW877" i="24"/>
  <c r="AV877" i="24"/>
  <c r="AG877" i="24"/>
  <c r="U877" i="24"/>
  <c r="T877" i="24"/>
  <c r="N877" i="24"/>
  <c r="C877" i="24"/>
  <c r="A877" i="24"/>
  <c r="BP876" i="24"/>
  <c r="BO876" i="24"/>
  <c r="BA876" i="24"/>
  <c r="AZ876" i="24"/>
  <c r="AW876" i="24"/>
  <c r="AV876" i="24"/>
  <c r="AG876" i="24"/>
  <c r="U876" i="24"/>
  <c r="T876" i="24"/>
  <c r="N876" i="24"/>
  <c r="C876" i="24"/>
  <c r="A876" i="24"/>
  <c r="BP875" i="24"/>
  <c r="BO875" i="24"/>
  <c r="BA875" i="24"/>
  <c r="AZ875" i="24"/>
  <c r="AW875" i="24"/>
  <c r="AV875" i="24"/>
  <c r="AG875" i="24"/>
  <c r="U875" i="24"/>
  <c r="T875" i="24"/>
  <c r="N875" i="24"/>
  <c r="C875" i="24"/>
  <c r="A875" i="24"/>
  <c r="BP874" i="24"/>
  <c r="BO874" i="24"/>
  <c r="BA874" i="24"/>
  <c r="AZ874" i="24"/>
  <c r="AW874" i="24"/>
  <c r="AV874" i="24"/>
  <c r="AG874" i="24"/>
  <c r="U874" i="24"/>
  <c r="T874" i="24"/>
  <c r="N874" i="24"/>
  <c r="C874" i="24"/>
  <c r="A874" i="24"/>
  <c r="BP873" i="24"/>
  <c r="BO873" i="24"/>
  <c r="BA873" i="24"/>
  <c r="AZ873" i="24"/>
  <c r="AW873" i="24"/>
  <c r="AV873" i="24"/>
  <c r="AG873" i="24"/>
  <c r="U873" i="24"/>
  <c r="T873" i="24"/>
  <c r="N873" i="24"/>
  <c r="C873" i="24"/>
  <c r="A873" i="24"/>
  <c r="BP872" i="24"/>
  <c r="BO872" i="24"/>
  <c r="BA872" i="24"/>
  <c r="AZ872" i="24"/>
  <c r="AW872" i="24"/>
  <c r="AV872" i="24"/>
  <c r="AG872" i="24"/>
  <c r="U872" i="24"/>
  <c r="T872" i="24"/>
  <c r="N872" i="24"/>
  <c r="C872" i="24"/>
  <c r="A872" i="24"/>
  <c r="BP871" i="24"/>
  <c r="BO871" i="24"/>
  <c r="BA871" i="24"/>
  <c r="AZ871" i="24"/>
  <c r="AW871" i="24"/>
  <c r="AV871" i="24"/>
  <c r="AG871" i="24"/>
  <c r="U871" i="24"/>
  <c r="T871" i="24"/>
  <c r="N871" i="24"/>
  <c r="C871" i="24"/>
  <c r="A871" i="24"/>
  <c r="BP870" i="24"/>
  <c r="BO870" i="24"/>
  <c r="BA870" i="24"/>
  <c r="AZ870" i="24"/>
  <c r="AW870" i="24"/>
  <c r="AV870" i="24"/>
  <c r="AG870" i="24"/>
  <c r="U870" i="24"/>
  <c r="T870" i="24"/>
  <c r="N870" i="24"/>
  <c r="C870" i="24"/>
  <c r="A870" i="24"/>
  <c r="BP869" i="24"/>
  <c r="BO869" i="24"/>
  <c r="BA869" i="24"/>
  <c r="AZ869" i="24"/>
  <c r="AW869" i="24"/>
  <c r="AV869" i="24"/>
  <c r="AG869" i="24"/>
  <c r="U869" i="24"/>
  <c r="T869" i="24"/>
  <c r="N869" i="24"/>
  <c r="C869" i="24"/>
  <c r="A869" i="24"/>
  <c r="BP868" i="24"/>
  <c r="BO868" i="24"/>
  <c r="BA868" i="24"/>
  <c r="AZ868" i="24"/>
  <c r="AW868" i="24"/>
  <c r="AV868" i="24"/>
  <c r="AG868" i="24"/>
  <c r="U868" i="24"/>
  <c r="T868" i="24"/>
  <c r="N868" i="24"/>
  <c r="C868" i="24"/>
  <c r="A868" i="24"/>
  <c r="BP867" i="24"/>
  <c r="BO867" i="24"/>
  <c r="BA867" i="24"/>
  <c r="AZ867" i="24"/>
  <c r="AW867" i="24"/>
  <c r="AV867" i="24"/>
  <c r="AG867" i="24"/>
  <c r="U867" i="24"/>
  <c r="T867" i="24"/>
  <c r="N867" i="24"/>
  <c r="C867" i="24"/>
  <c r="A867" i="24"/>
  <c r="BP866" i="24"/>
  <c r="BO866" i="24"/>
  <c r="BA866" i="24"/>
  <c r="AZ866" i="24"/>
  <c r="AW866" i="24"/>
  <c r="AV866" i="24"/>
  <c r="AG866" i="24"/>
  <c r="U866" i="24"/>
  <c r="T866" i="24"/>
  <c r="N866" i="24"/>
  <c r="C866" i="24"/>
  <c r="A866" i="24"/>
  <c r="BP865" i="24"/>
  <c r="BO865" i="24"/>
  <c r="BA865" i="24"/>
  <c r="AZ865" i="24"/>
  <c r="AW865" i="24"/>
  <c r="AV865" i="24"/>
  <c r="AG865" i="24"/>
  <c r="U865" i="24"/>
  <c r="T865" i="24"/>
  <c r="N865" i="24"/>
  <c r="C865" i="24"/>
  <c r="A865" i="24"/>
  <c r="BP864" i="24"/>
  <c r="BO864" i="24"/>
  <c r="BA864" i="24"/>
  <c r="AZ864" i="24"/>
  <c r="AW864" i="24"/>
  <c r="AV864" i="24"/>
  <c r="AG864" i="24"/>
  <c r="U864" i="24"/>
  <c r="T864" i="24"/>
  <c r="N864" i="24"/>
  <c r="C864" i="24"/>
  <c r="A864" i="24"/>
  <c r="BP863" i="24"/>
  <c r="BO863" i="24"/>
  <c r="BA863" i="24"/>
  <c r="AZ863" i="24"/>
  <c r="AW863" i="24"/>
  <c r="AV863" i="24"/>
  <c r="AG863" i="24"/>
  <c r="U863" i="24"/>
  <c r="T863" i="24"/>
  <c r="N863" i="24"/>
  <c r="C863" i="24"/>
  <c r="A863" i="24"/>
  <c r="BP862" i="24"/>
  <c r="BO862" i="24"/>
  <c r="BA862" i="24"/>
  <c r="AZ862" i="24"/>
  <c r="AW862" i="24"/>
  <c r="AV862" i="24"/>
  <c r="AG862" i="24"/>
  <c r="U862" i="24"/>
  <c r="T862" i="24"/>
  <c r="N862" i="24"/>
  <c r="C862" i="24"/>
  <c r="A862" i="24"/>
  <c r="BP861" i="24"/>
  <c r="BO861" i="24"/>
  <c r="BA861" i="24"/>
  <c r="AZ861" i="24"/>
  <c r="AW861" i="24"/>
  <c r="AV861" i="24"/>
  <c r="AG861" i="24"/>
  <c r="U861" i="24"/>
  <c r="T861" i="24"/>
  <c r="N861" i="24"/>
  <c r="C861" i="24"/>
  <c r="A861" i="24"/>
  <c r="BP860" i="24"/>
  <c r="BO860" i="24"/>
  <c r="BA860" i="24"/>
  <c r="AZ860" i="24"/>
  <c r="AW860" i="24"/>
  <c r="AV860" i="24"/>
  <c r="AG860" i="24"/>
  <c r="U860" i="24"/>
  <c r="T860" i="24"/>
  <c r="N860" i="24"/>
  <c r="C860" i="24"/>
  <c r="A860" i="24"/>
  <c r="BP859" i="24"/>
  <c r="BO859" i="24"/>
  <c r="BA859" i="24"/>
  <c r="AZ859" i="24"/>
  <c r="AW859" i="24"/>
  <c r="AV859" i="24"/>
  <c r="AG859" i="24"/>
  <c r="U859" i="24"/>
  <c r="T859" i="24"/>
  <c r="N859" i="24"/>
  <c r="C859" i="24"/>
  <c r="A859" i="24"/>
  <c r="BP858" i="24"/>
  <c r="BO858" i="24"/>
  <c r="BA858" i="24"/>
  <c r="AZ858" i="24"/>
  <c r="AW858" i="24"/>
  <c r="AV858" i="24"/>
  <c r="AG858" i="24"/>
  <c r="U858" i="24"/>
  <c r="T858" i="24"/>
  <c r="N858" i="24"/>
  <c r="C858" i="24"/>
  <c r="A858" i="24"/>
  <c r="BP857" i="24"/>
  <c r="BO857" i="24"/>
  <c r="BA857" i="24"/>
  <c r="AZ857" i="24"/>
  <c r="AW857" i="24"/>
  <c r="AV857" i="24"/>
  <c r="AG857" i="24"/>
  <c r="U857" i="24"/>
  <c r="T857" i="24"/>
  <c r="N857" i="24"/>
  <c r="C857" i="24"/>
  <c r="A857" i="24"/>
  <c r="BP856" i="24"/>
  <c r="BO856" i="24"/>
  <c r="BA856" i="24"/>
  <c r="AZ856" i="24"/>
  <c r="AW856" i="24"/>
  <c r="AV856" i="24"/>
  <c r="AG856" i="24"/>
  <c r="U856" i="24"/>
  <c r="T856" i="24"/>
  <c r="N856" i="24"/>
  <c r="C856" i="24"/>
  <c r="A856" i="24"/>
  <c r="BP855" i="24"/>
  <c r="BO855" i="24"/>
  <c r="BA855" i="24"/>
  <c r="AZ855" i="24"/>
  <c r="AW855" i="24"/>
  <c r="AV855" i="24"/>
  <c r="AG855" i="24"/>
  <c r="U855" i="24"/>
  <c r="T855" i="24"/>
  <c r="N855" i="24"/>
  <c r="C855" i="24"/>
  <c r="A855" i="24"/>
  <c r="BP854" i="24"/>
  <c r="BO854" i="24"/>
  <c r="BA854" i="24"/>
  <c r="AZ854" i="24"/>
  <c r="AW854" i="24"/>
  <c r="AV854" i="24"/>
  <c r="AG854" i="24"/>
  <c r="U854" i="24"/>
  <c r="T854" i="24"/>
  <c r="N854" i="24"/>
  <c r="C854" i="24"/>
  <c r="A854" i="24"/>
  <c r="BP853" i="24"/>
  <c r="BO853" i="24"/>
  <c r="BA853" i="24"/>
  <c r="AZ853" i="24"/>
  <c r="AW853" i="24"/>
  <c r="AV853" i="24"/>
  <c r="AG853" i="24"/>
  <c r="U853" i="24"/>
  <c r="T853" i="24"/>
  <c r="N853" i="24"/>
  <c r="C853" i="24"/>
  <c r="A853" i="24"/>
  <c r="BP852" i="24"/>
  <c r="BO852" i="24"/>
  <c r="BA852" i="24"/>
  <c r="AZ852" i="24"/>
  <c r="AW852" i="24"/>
  <c r="AV852" i="24"/>
  <c r="AG852" i="24"/>
  <c r="U852" i="24"/>
  <c r="T852" i="24"/>
  <c r="N852" i="24"/>
  <c r="C852" i="24"/>
  <c r="A852" i="24"/>
  <c r="BP851" i="24"/>
  <c r="BO851" i="24"/>
  <c r="BA851" i="24"/>
  <c r="AZ851" i="24"/>
  <c r="AW851" i="24"/>
  <c r="AV851" i="24"/>
  <c r="AG851" i="24"/>
  <c r="U851" i="24"/>
  <c r="T851" i="24"/>
  <c r="N851" i="24"/>
  <c r="C851" i="24"/>
  <c r="A851" i="24"/>
  <c r="BP850" i="24"/>
  <c r="BO850" i="24"/>
  <c r="BA850" i="24"/>
  <c r="AZ850" i="24"/>
  <c r="AW850" i="24"/>
  <c r="AV850" i="24"/>
  <c r="AG850" i="24"/>
  <c r="U850" i="24"/>
  <c r="T850" i="24"/>
  <c r="N850" i="24"/>
  <c r="C850" i="24"/>
  <c r="A850" i="24"/>
  <c r="BP849" i="24"/>
  <c r="BO849" i="24"/>
  <c r="BA849" i="24"/>
  <c r="AZ849" i="24"/>
  <c r="AW849" i="24"/>
  <c r="AV849" i="24"/>
  <c r="AG849" i="24"/>
  <c r="U849" i="24"/>
  <c r="T849" i="24"/>
  <c r="N849" i="24"/>
  <c r="C849" i="24"/>
  <c r="A849" i="24"/>
  <c r="BP848" i="24"/>
  <c r="BO848" i="24"/>
  <c r="BA848" i="24"/>
  <c r="AZ848" i="24"/>
  <c r="AW848" i="24"/>
  <c r="AV848" i="24"/>
  <c r="AG848" i="24"/>
  <c r="U848" i="24"/>
  <c r="T848" i="24"/>
  <c r="N848" i="24"/>
  <c r="C848" i="24"/>
  <c r="A848" i="24"/>
  <c r="BP847" i="24"/>
  <c r="BO847" i="24"/>
  <c r="BA847" i="24"/>
  <c r="AZ847" i="24"/>
  <c r="AW847" i="24"/>
  <c r="AV847" i="24"/>
  <c r="AG847" i="24"/>
  <c r="U847" i="24"/>
  <c r="T847" i="24"/>
  <c r="N847" i="24"/>
  <c r="C847" i="24"/>
  <c r="A847" i="24"/>
  <c r="BP846" i="24"/>
  <c r="BO846" i="24"/>
  <c r="BA846" i="24"/>
  <c r="AZ846" i="24"/>
  <c r="AW846" i="24"/>
  <c r="AV846" i="24"/>
  <c r="AG846" i="24"/>
  <c r="U846" i="24"/>
  <c r="T846" i="24"/>
  <c r="N846" i="24"/>
  <c r="C846" i="24"/>
  <c r="A846" i="24"/>
  <c r="BP845" i="24"/>
  <c r="BO845" i="24"/>
  <c r="BA845" i="24"/>
  <c r="AZ845" i="24"/>
  <c r="AW845" i="24"/>
  <c r="AV845" i="24"/>
  <c r="AG845" i="24"/>
  <c r="U845" i="24"/>
  <c r="T845" i="24"/>
  <c r="N845" i="24"/>
  <c r="C845" i="24"/>
  <c r="A845" i="24"/>
  <c r="BP844" i="24"/>
  <c r="BO844" i="24"/>
  <c r="BA844" i="24"/>
  <c r="AZ844" i="24"/>
  <c r="AW844" i="24"/>
  <c r="AV844" i="24"/>
  <c r="AG844" i="24"/>
  <c r="U844" i="24"/>
  <c r="T844" i="24"/>
  <c r="N844" i="24"/>
  <c r="C844" i="24"/>
  <c r="A844" i="24"/>
  <c r="BP843" i="24"/>
  <c r="BO843" i="24"/>
  <c r="BA843" i="24"/>
  <c r="AZ843" i="24"/>
  <c r="AW843" i="24"/>
  <c r="AV843" i="24"/>
  <c r="AG843" i="24"/>
  <c r="U843" i="24"/>
  <c r="T843" i="24"/>
  <c r="N843" i="24"/>
  <c r="C843" i="24"/>
  <c r="A843" i="24"/>
  <c r="BP842" i="24"/>
  <c r="BO842" i="24"/>
  <c r="BA842" i="24"/>
  <c r="AZ842" i="24"/>
  <c r="AW842" i="24"/>
  <c r="AV842" i="24"/>
  <c r="AG842" i="24"/>
  <c r="U842" i="24"/>
  <c r="T842" i="24"/>
  <c r="N842" i="24"/>
  <c r="C842" i="24"/>
  <c r="A842" i="24"/>
  <c r="BP841" i="24"/>
  <c r="BO841" i="24"/>
  <c r="BA841" i="24"/>
  <c r="AZ841" i="24"/>
  <c r="AW841" i="24"/>
  <c r="AV841" i="24"/>
  <c r="AG841" i="24"/>
  <c r="U841" i="24"/>
  <c r="T841" i="24"/>
  <c r="N841" i="24"/>
  <c r="C841" i="24"/>
  <c r="A841" i="24"/>
  <c r="BP840" i="24"/>
  <c r="BO840" i="24"/>
  <c r="BA840" i="24"/>
  <c r="AZ840" i="24"/>
  <c r="AW840" i="24"/>
  <c r="AV840" i="24"/>
  <c r="AG840" i="24"/>
  <c r="U840" i="24"/>
  <c r="T840" i="24"/>
  <c r="N840" i="24"/>
  <c r="C840" i="24"/>
  <c r="A840" i="24"/>
  <c r="BP839" i="24"/>
  <c r="BO839" i="24"/>
  <c r="BA839" i="24"/>
  <c r="AZ839" i="24"/>
  <c r="AW839" i="24"/>
  <c r="AV839" i="24"/>
  <c r="AG839" i="24"/>
  <c r="U839" i="24"/>
  <c r="T839" i="24"/>
  <c r="N839" i="24"/>
  <c r="C839" i="24"/>
  <c r="A839" i="24"/>
  <c r="BP838" i="24"/>
  <c r="BO838" i="24"/>
  <c r="BA838" i="24"/>
  <c r="AZ838" i="24"/>
  <c r="AW838" i="24"/>
  <c r="AV838" i="24"/>
  <c r="AG838" i="24"/>
  <c r="U838" i="24"/>
  <c r="T838" i="24"/>
  <c r="N838" i="24"/>
  <c r="C838" i="24"/>
  <c r="A838" i="24"/>
  <c r="BP837" i="24"/>
  <c r="BO837" i="24"/>
  <c r="BA837" i="24"/>
  <c r="AZ837" i="24"/>
  <c r="AW837" i="24"/>
  <c r="AV837" i="24"/>
  <c r="AG837" i="24"/>
  <c r="U837" i="24"/>
  <c r="T837" i="24"/>
  <c r="N837" i="24"/>
  <c r="C837" i="24"/>
  <c r="A837" i="24"/>
  <c r="BP836" i="24"/>
  <c r="BO836" i="24"/>
  <c r="BA836" i="24"/>
  <c r="AZ836" i="24"/>
  <c r="AW836" i="24"/>
  <c r="AV836" i="24"/>
  <c r="AG836" i="24"/>
  <c r="U836" i="24"/>
  <c r="T836" i="24"/>
  <c r="N836" i="24"/>
  <c r="C836" i="24"/>
  <c r="A836" i="24"/>
  <c r="BP835" i="24"/>
  <c r="BO835" i="24"/>
  <c r="BA835" i="24"/>
  <c r="AZ835" i="24"/>
  <c r="AW835" i="24"/>
  <c r="AV835" i="24"/>
  <c r="AG835" i="24"/>
  <c r="U835" i="24"/>
  <c r="T835" i="24"/>
  <c r="N835" i="24"/>
  <c r="C835" i="24"/>
  <c r="A835" i="24"/>
  <c r="BP834" i="24"/>
  <c r="BO834" i="24"/>
  <c r="BA834" i="24"/>
  <c r="AZ834" i="24"/>
  <c r="AW834" i="24"/>
  <c r="AV834" i="24"/>
  <c r="AG834" i="24"/>
  <c r="U834" i="24"/>
  <c r="T834" i="24"/>
  <c r="N834" i="24"/>
  <c r="C834" i="24"/>
  <c r="A834" i="24"/>
  <c r="BP833" i="24"/>
  <c r="BO833" i="24"/>
  <c r="BA833" i="24"/>
  <c r="AZ833" i="24"/>
  <c r="AW833" i="24"/>
  <c r="AV833" i="24"/>
  <c r="AG833" i="24"/>
  <c r="U833" i="24"/>
  <c r="T833" i="24"/>
  <c r="N833" i="24"/>
  <c r="C833" i="24"/>
  <c r="A833" i="24"/>
  <c r="BP832" i="24"/>
  <c r="BO832" i="24"/>
  <c r="BA832" i="24"/>
  <c r="AZ832" i="24"/>
  <c r="AW832" i="24"/>
  <c r="AV832" i="24"/>
  <c r="AG832" i="24"/>
  <c r="U832" i="24"/>
  <c r="T832" i="24"/>
  <c r="N832" i="24"/>
  <c r="C832" i="24"/>
  <c r="A832" i="24"/>
  <c r="BP831" i="24"/>
  <c r="BO831" i="24"/>
  <c r="BA831" i="24"/>
  <c r="AZ831" i="24"/>
  <c r="AW831" i="24"/>
  <c r="AV831" i="24"/>
  <c r="AG831" i="24"/>
  <c r="U831" i="24"/>
  <c r="T831" i="24"/>
  <c r="N831" i="24"/>
  <c r="C831" i="24"/>
  <c r="A831" i="24"/>
  <c r="BP830" i="24"/>
  <c r="BO830" i="24"/>
  <c r="BA830" i="24"/>
  <c r="AZ830" i="24"/>
  <c r="AW830" i="24"/>
  <c r="AV830" i="24"/>
  <c r="AG830" i="24"/>
  <c r="U830" i="24"/>
  <c r="T830" i="24"/>
  <c r="N830" i="24"/>
  <c r="C830" i="24"/>
  <c r="A830" i="24"/>
  <c r="BP829" i="24"/>
  <c r="BO829" i="24"/>
  <c r="BA829" i="24"/>
  <c r="AZ829" i="24"/>
  <c r="AW829" i="24"/>
  <c r="AV829" i="24"/>
  <c r="AG829" i="24"/>
  <c r="U829" i="24"/>
  <c r="T829" i="24"/>
  <c r="N829" i="24"/>
  <c r="C829" i="24"/>
  <c r="A829" i="24"/>
  <c r="BP828" i="24"/>
  <c r="BO828" i="24"/>
  <c r="BA828" i="24"/>
  <c r="AZ828" i="24"/>
  <c r="AW828" i="24"/>
  <c r="AV828" i="24"/>
  <c r="AG828" i="24"/>
  <c r="U828" i="24"/>
  <c r="T828" i="24"/>
  <c r="N828" i="24"/>
  <c r="C828" i="24"/>
  <c r="A828" i="24"/>
  <c r="BP827" i="24"/>
  <c r="BO827" i="24"/>
  <c r="BA827" i="24"/>
  <c r="AZ827" i="24"/>
  <c r="AW827" i="24"/>
  <c r="AV827" i="24"/>
  <c r="AG827" i="24"/>
  <c r="U827" i="24"/>
  <c r="T827" i="24"/>
  <c r="N827" i="24"/>
  <c r="C827" i="24"/>
  <c r="A827" i="24"/>
  <c r="BP826" i="24"/>
  <c r="BO826" i="24"/>
  <c r="BA826" i="24"/>
  <c r="AZ826" i="24"/>
  <c r="AW826" i="24"/>
  <c r="AV826" i="24"/>
  <c r="AG826" i="24"/>
  <c r="U826" i="24"/>
  <c r="T826" i="24"/>
  <c r="N826" i="24"/>
  <c r="C826" i="24"/>
  <c r="A826" i="24"/>
  <c r="BP825" i="24"/>
  <c r="BO825" i="24"/>
  <c r="BA825" i="24"/>
  <c r="AZ825" i="24"/>
  <c r="AW825" i="24"/>
  <c r="AV825" i="24"/>
  <c r="AG825" i="24"/>
  <c r="U825" i="24"/>
  <c r="T825" i="24"/>
  <c r="N825" i="24"/>
  <c r="C825" i="24"/>
  <c r="A825" i="24"/>
  <c r="BP824" i="24"/>
  <c r="BO824" i="24"/>
  <c r="BA824" i="24"/>
  <c r="AZ824" i="24"/>
  <c r="AW824" i="24"/>
  <c r="AV824" i="24"/>
  <c r="AG824" i="24"/>
  <c r="U824" i="24"/>
  <c r="T824" i="24"/>
  <c r="N824" i="24"/>
  <c r="C824" i="24"/>
  <c r="A824" i="24"/>
  <c r="BP823" i="24"/>
  <c r="BO823" i="24"/>
  <c r="BA823" i="24"/>
  <c r="AZ823" i="24"/>
  <c r="AW823" i="24"/>
  <c r="AV823" i="24"/>
  <c r="AG823" i="24"/>
  <c r="U823" i="24"/>
  <c r="T823" i="24"/>
  <c r="N823" i="24"/>
  <c r="C823" i="24"/>
  <c r="A823" i="24"/>
  <c r="BP822" i="24"/>
  <c r="BO822" i="24"/>
  <c r="BA822" i="24"/>
  <c r="AZ822" i="24"/>
  <c r="AW822" i="24"/>
  <c r="AV822" i="24"/>
  <c r="AG822" i="24"/>
  <c r="U822" i="24"/>
  <c r="T822" i="24"/>
  <c r="N822" i="24"/>
  <c r="C822" i="24"/>
  <c r="A822" i="24"/>
  <c r="BP821" i="24"/>
  <c r="BO821" i="24"/>
  <c r="BA821" i="24"/>
  <c r="AZ821" i="24"/>
  <c r="AW821" i="24"/>
  <c r="AV821" i="24"/>
  <c r="AG821" i="24"/>
  <c r="U821" i="24"/>
  <c r="T821" i="24"/>
  <c r="N821" i="24"/>
  <c r="C821" i="24"/>
  <c r="A821" i="24"/>
  <c r="BP820" i="24"/>
  <c r="BO820" i="24"/>
  <c r="BA820" i="24"/>
  <c r="AZ820" i="24"/>
  <c r="AW820" i="24"/>
  <c r="AV820" i="24"/>
  <c r="AG820" i="24"/>
  <c r="U820" i="24"/>
  <c r="T820" i="24"/>
  <c r="N820" i="24"/>
  <c r="C820" i="24"/>
  <c r="A820" i="24"/>
  <c r="BP819" i="24"/>
  <c r="BO819" i="24"/>
  <c r="BA819" i="24"/>
  <c r="AZ819" i="24"/>
  <c r="AW819" i="24"/>
  <c r="AV819" i="24"/>
  <c r="AG819" i="24"/>
  <c r="U819" i="24"/>
  <c r="T819" i="24"/>
  <c r="N819" i="24"/>
  <c r="C819" i="24"/>
  <c r="A819" i="24"/>
  <c r="BP818" i="24"/>
  <c r="BO818" i="24"/>
  <c r="BA818" i="24"/>
  <c r="AZ818" i="24"/>
  <c r="AW818" i="24"/>
  <c r="AV818" i="24"/>
  <c r="AG818" i="24"/>
  <c r="U818" i="24"/>
  <c r="T818" i="24"/>
  <c r="N818" i="24"/>
  <c r="C818" i="24"/>
  <c r="A818" i="24"/>
  <c r="BP817" i="24"/>
  <c r="BO817" i="24"/>
  <c r="BA817" i="24"/>
  <c r="AZ817" i="24"/>
  <c r="AW817" i="24"/>
  <c r="AV817" i="24"/>
  <c r="AG817" i="24"/>
  <c r="U817" i="24"/>
  <c r="T817" i="24"/>
  <c r="N817" i="24"/>
  <c r="C817" i="24"/>
  <c r="A817" i="24"/>
  <c r="BP816" i="24"/>
  <c r="BO816" i="24"/>
  <c r="BA816" i="24"/>
  <c r="AZ816" i="24"/>
  <c r="AW816" i="24"/>
  <c r="AV816" i="24"/>
  <c r="AG816" i="24"/>
  <c r="U816" i="24"/>
  <c r="T816" i="24"/>
  <c r="N816" i="24"/>
  <c r="C816" i="24"/>
  <c r="A816" i="24"/>
  <c r="BP815" i="24"/>
  <c r="BO815" i="24"/>
  <c r="BA815" i="24"/>
  <c r="AZ815" i="24"/>
  <c r="AW815" i="24"/>
  <c r="AV815" i="24"/>
  <c r="AG815" i="24"/>
  <c r="U815" i="24"/>
  <c r="T815" i="24"/>
  <c r="N815" i="24"/>
  <c r="C815" i="24"/>
  <c r="A815" i="24"/>
  <c r="BP814" i="24"/>
  <c r="BO814" i="24"/>
  <c r="BA814" i="24"/>
  <c r="AZ814" i="24"/>
  <c r="AW814" i="24"/>
  <c r="AV814" i="24"/>
  <c r="AG814" i="24"/>
  <c r="U814" i="24"/>
  <c r="T814" i="24"/>
  <c r="N814" i="24"/>
  <c r="C814" i="24"/>
  <c r="A814" i="24"/>
  <c r="BP813" i="24"/>
  <c r="BO813" i="24"/>
  <c r="BA813" i="24"/>
  <c r="AZ813" i="24"/>
  <c r="AW813" i="24"/>
  <c r="AV813" i="24"/>
  <c r="AG813" i="24"/>
  <c r="U813" i="24"/>
  <c r="T813" i="24"/>
  <c r="N813" i="24"/>
  <c r="C813" i="24"/>
  <c r="A813" i="24"/>
  <c r="BP812" i="24"/>
  <c r="BO812" i="24"/>
  <c r="BA812" i="24"/>
  <c r="AZ812" i="24"/>
  <c r="AW812" i="24"/>
  <c r="AV812" i="24"/>
  <c r="AG812" i="24"/>
  <c r="U812" i="24"/>
  <c r="T812" i="24"/>
  <c r="N812" i="24"/>
  <c r="C812" i="24"/>
  <c r="A812" i="24"/>
  <c r="BP811" i="24"/>
  <c r="BO811" i="24"/>
  <c r="BA811" i="24"/>
  <c r="AZ811" i="24"/>
  <c r="AW811" i="24"/>
  <c r="AV811" i="24"/>
  <c r="AG811" i="24"/>
  <c r="U811" i="24"/>
  <c r="T811" i="24"/>
  <c r="N811" i="24"/>
  <c r="C811" i="24"/>
  <c r="A811" i="24"/>
  <c r="BP810" i="24"/>
  <c r="BO810" i="24"/>
  <c r="BA810" i="24"/>
  <c r="AZ810" i="24"/>
  <c r="AW810" i="24"/>
  <c r="AV810" i="24"/>
  <c r="AG810" i="24"/>
  <c r="U810" i="24"/>
  <c r="T810" i="24"/>
  <c r="N810" i="24"/>
  <c r="C810" i="24"/>
  <c r="A810" i="24"/>
  <c r="BP809" i="24"/>
  <c r="BO809" i="24"/>
  <c r="BA809" i="24"/>
  <c r="AZ809" i="24"/>
  <c r="AW809" i="24"/>
  <c r="AV809" i="24"/>
  <c r="AG809" i="24"/>
  <c r="U809" i="24"/>
  <c r="T809" i="24"/>
  <c r="N809" i="24"/>
  <c r="C809" i="24"/>
  <c r="A809" i="24"/>
  <c r="BP808" i="24"/>
  <c r="BO808" i="24"/>
  <c r="BA808" i="24"/>
  <c r="AZ808" i="24"/>
  <c r="AW808" i="24"/>
  <c r="AV808" i="24"/>
  <c r="AG808" i="24"/>
  <c r="U808" i="24"/>
  <c r="T808" i="24"/>
  <c r="N808" i="24"/>
  <c r="C808" i="24"/>
  <c r="A808" i="24"/>
  <c r="BP807" i="24"/>
  <c r="BO807" i="24"/>
  <c r="BA807" i="24"/>
  <c r="AZ807" i="24"/>
  <c r="AW807" i="24"/>
  <c r="AV807" i="24"/>
  <c r="AG807" i="24"/>
  <c r="U807" i="24"/>
  <c r="T807" i="24"/>
  <c r="N807" i="24"/>
  <c r="C807" i="24"/>
  <c r="A807" i="24"/>
  <c r="BP806" i="24"/>
  <c r="BO806" i="24"/>
  <c r="BA806" i="24"/>
  <c r="AZ806" i="24"/>
  <c r="AW806" i="24"/>
  <c r="AV806" i="24"/>
  <c r="AG806" i="24"/>
  <c r="U806" i="24"/>
  <c r="T806" i="24"/>
  <c r="N806" i="24"/>
  <c r="C806" i="24"/>
  <c r="A806" i="24"/>
  <c r="BP805" i="24"/>
  <c r="BO805" i="24"/>
  <c r="BA805" i="24"/>
  <c r="AZ805" i="24"/>
  <c r="AW805" i="24"/>
  <c r="AV805" i="24"/>
  <c r="AG805" i="24"/>
  <c r="U805" i="24"/>
  <c r="T805" i="24"/>
  <c r="N805" i="24"/>
  <c r="C805" i="24"/>
  <c r="A805" i="24"/>
  <c r="BP804" i="24"/>
  <c r="BO804" i="24"/>
  <c r="BA804" i="24"/>
  <c r="AZ804" i="24"/>
  <c r="AW804" i="24"/>
  <c r="AV804" i="24"/>
  <c r="AG804" i="24"/>
  <c r="U804" i="24"/>
  <c r="T804" i="24"/>
  <c r="N804" i="24"/>
  <c r="C804" i="24"/>
  <c r="A804" i="24"/>
  <c r="BP803" i="24"/>
  <c r="BO803" i="24"/>
  <c r="BA803" i="24"/>
  <c r="AZ803" i="24"/>
  <c r="AW803" i="24"/>
  <c r="AV803" i="24"/>
  <c r="AG803" i="24"/>
  <c r="U803" i="24"/>
  <c r="T803" i="24"/>
  <c r="N803" i="24"/>
  <c r="C803" i="24"/>
  <c r="A803" i="24"/>
  <c r="BP802" i="24"/>
  <c r="BO802" i="24"/>
  <c r="BA802" i="24"/>
  <c r="AZ802" i="24"/>
  <c r="AW802" i="24"/>
  <c r="AV802" i="24"/>
  <c r="AG802" i="24"/>
  <c r="U802" i="24"/>
  <c r="T802" i="24"/>
  <c r="N802" i="24"/>
  <c r="C802" i="24"/>
  <c r="A802" i="24"/>
  <c r="BP801" i="24"/>
  <c r="BO801" i="24"/>
  <c r="BA801" i="24"/>
  <c r="AZ801" i="24"/>
  <c r="AW801" i="24"/>
  <c r="AV801" i="24"/>
  <c r="AG801" i="24"/>
  <c r="U801" i="24"/>
  <c r="T801" i="24"/>
  <c r="N801" i="24"/>
  <c r="C801" i="24"/>
  <c r="A801" i="24"/>
  <c r="BP800" i="24"/>
  <c r="BO800" i="24"/>
  <c r="BA800" i="24"/>
  <c r="AZ800" i="24"/>
  <c r="AW800" i="24"/>
  <c r="AV800" i="24"/>
  <c r="AG800" i="24"/>
  <c r="U800" i="24"/>
  <c r="T800" i="24"/>
  <c r="N800" i="24"/>
  <c r="C800" i="24"/>
  <c r="A800" i="24"/>
  <c r="BP799" i="24"/>
  <c r="BO799" i="24"/>
  <c r="BA799" i="24"/>
  <c r="AZ799" i="24"/>
  <c r="AW799" i="24"/>
  <c r="AV799" i="24"/>
  <c r="AG799" i="24"/>
  <c r="U799" i="24"/>
  <c r="T799" i="24"/>
  <c r="N799" i="24"/>
  <c r="C799" i="24"/>
  <c r="A799" i="24"/>
  <c r="BP798" i="24"/>
  <c r="BO798" i="24"/>
  <c r="BA798" i="24"/>
  <c r="AZ798" i="24"/>
  <c r="AW798" i="24"/>
  <c r="AV798" i="24"/>
  <c r="AG798" i="24"/>
  <c r="U798" i="24"/>
  <c r="T798" i="24"/>
  <c r="N798" i="24"/>
  <c r="C798" i="24"/>
  <c r="A798" i="24"/>
  <c r="BP797" i="24"/>
  <c r="BO797" i="24"/>
  <c r="BA797" i="24"/>
  <c r="AZ797" i="24"/>
  <c r="AW797" i="24"/>
  <c r="AV797" i="24"/>
  <c r="AG797" i="24"/>
  <c r="U797" i="24"/>
  <c r="T797" i="24"/>
  <c r="N797" i="24"/>
  <c r="C797" i="24"/>
  <c r="A797" i="24"/>
  <c r="BP796" i="24"/>
  <c r="BO796" i="24"/>
  <c r="BA796" i="24"/>
  <c r="AZ796" i="24"/>
  <c r="AW796" i="24"/>
  <c r="AV796" i="24"/>
  <c r="AG796" i="24"/>
  <c r="U796" i="24"/>
  <c r="T796" i="24"/>
  <c r="N796" i="24"/>
  <c r="C796" i="24"/>
  <c r="A796" i="24"/>
  <c r="BP795" i="24"/>
  <c r="BO795" i="24"/>
  <c r="BA795" i="24"/>
  <c r="AZ795" i="24"/>
  <c r="AW795" i="24"/>
  <c r="AV795" i="24"/>
  <c r="AG795" i="24"/>
  <c r="U795" i="24"/>
  <c r="T795" i="24"/>
  <c r="N795" i="24"/>
  <c r="C795" i="24"/>
  <c r="A795" i="24"/>
  <c r="BP794" i="24"/>
  <c r="BO794" i="24"/>
  <c r="BA794" i="24"/>
  <c r="AZ794" i="24"/>
  <c r="AW794" i="24"/>
  <c r="AV794" i="24"/>
  <c r="AG794" i="24"/>
  <c r="U794" i="24"/>
  <c r="T794" i="24"/>
  <c r="N794" i="24"/>
  <c r="C794" i="24"/>
  <c r="A794" i="24"/>
  <c r="BP793" i="24"/>
  <c r="BO793" i="24"/>
  <c r="BA793" i="24"/>
  <c r="AZ793" i="24"/>
  <c r="AW793" i="24"/>
  <c r="AV793" i="24"/>
  <c r="AG793" i="24"/>
  <c r="U793" i="24"/>
  <c r="T793" i="24"/>
  <c r="N793" i="24"/>
  <c r="C793" i="24"/>
  <c r="A793" i="24"/>
  <c r="BP792" i="24"/>
  <c r="BO792" i="24"/>
  <c r="BA792" i="24"/>
  <c r="AZ792" i="24"/>
  <c r="AW792" i="24"/>
  <c r="AV792" i="24"/>
  <c r="AG792" i="24"/>
  <c r="U792" i="24"/>
  <c r="T792" i="24"/>
  <c r="N792" i="24"/>
  <c r="C792" i="24"/>
  <c r="A792" i="24"/>
  <c r="BP791" i="24"/>
  <c r="BO791" i="24"/>
  <c r="BA791" i="24"/>
  <c r="AZ791" i="24"/>
  <c r="AW791" i="24"/>
  <c r="AV791" i="24"/>
  <c r="AG791" i="24"/>
  <c r="U791" i="24"/>
  <c r="T791" i="24"/>
  <c r="N791" i="24"/>
  <c r="C791" i="24"/>
  <c r="A791" i="24"/>
  <c r="BP790" i="24"/>
  <c r="BO790" i="24"/>
  <c r="BA790" i="24"/>
  <c r="AZ790" i="24"/>
  <c r="AW790" i="24"/>
  <c r="AV790" i="24"/>
  <c r="AG790" i="24"/>
  <c r="U790" i="24"/>
  <c r="T790" i="24"/>
  <c r="N790" i="24"/>
  <c r="C790" i="24"/>
  <c r="A790" i="24"/>
  <c r="BP789" i="24"/>
  <c r="BO789" i="24"/>
  <c r="BA789" i="24"/>
  <c r="AZ789" i="24"/>
  <c r="AW789" i="24"/>
  <c r="AV789" i="24"/>
  <c r="AG789" i="24"/>
  <c r="U789" i="24"/>
  <c r="T789" i="24"/>
  <c r="N789" i="24"/>
  <c r="C789" i="24"/>
  <c r="A789" i="24"/>
  <c r="BP788" i="24"/>
  <c r="BO788" i="24"/>
  <c r="BA788" i="24"/>
  <c r="AZ788" i="24"/>
  <c r="AW788" i="24"/>
  <c r="AV788" i="24"/>
  <c r="AG788" i="24"/>
  <c r="U788" i="24"/>
  <c r="T788" i="24"/>
  <c r="N788" i="24"/>
  <c r="C788" i="24"/>
  <c r="A788" i="24"/>
  <c r="BP787" i="24"/>
  <c r="BO787" i="24"/>
  <c r="BA787" i="24"/>
  <c r="AZ787" i="24"/>
  <c r="AW787" i="24"/>
  <c r="AV787" i="24"/>
  <c r="AG787" i="24"/>
  <c r="U787" i="24"/>
  <c r="T787" i="24"/>
  <c r="N787" i="24"/>
  <c r="C787" i="24"/>
  <c r="A787" i="24"/>
  <c r="BP786" i="24"/>
  <c r="BO786" i="24"/>
  <c r="BA786" i="24"/>
  <c r="AZ786" i="24"/>
  <c r="AW786" i="24"/>
  <c r="AV786" i="24"/>
  <c r="AG786" i="24"/>
  <c r="U786" i="24"/>
  <c r="T786" i="24"/>
  <c r="N786" i="24"/>
  <c r="C786" i="24"/>
  <c r="A786" i="24"/>
  <c r="BP785" i="24"/>
  <c r="BO785" i="24"/>
  <c r="BA785" i="24"/>
  <c r="AZ785" i="24"/>
  <c r="AW785" i="24"/>
  <c r="AV785" i="24"/>
  <c r="AG785" i="24"/>
  <c r="U785" i="24"/>
  <c r="T785" i="24"/>
  <c r="N785" i="24"/>
  <c r="C785" i="24"/>
  <c r="A785" i="24"/>
  <c r="BP784" i="24"/>
  <c r="BO784" i="24"/>
  <c r="BA784" i="24"/>
  <c r="AZ784" i="24"/>
  <c r="AW784" i="24"/>
  <c r="AV784" i="24"/>
  <c r="AG784" i="24"/>
  <c r="U784" i="24"/>
  <c r="T784" i="24"/>
  <c r="N784" i="24"/>
  <c r="C784" i="24"/>
  <c r="A784" i="24"/>
  <c r="BP783" i="24"/>
  <c r="BO783" i="24"/>
  <c r="BA783" i="24"/>
  <c r="AZ783" i="24"/>
  <c r="AW783" i="24"/>
  <c r="AV783" i="24"/>
  <c r="AG783" i="24"/>
  <c r="U783" i="24"/>
  <c r="T783" i="24"/>
  <c r="N783" i="24"/>
  <c r="C783" i="24"/>
  <c r="A783" i="24"/>
  <c r="BP782" i="24"/>
  <c r="BO782" i="24"/>
  <c r="BA782" i="24"/>
  <c r="AZ782" i="24"/>
  <c r="AW782" i="24"/>
  <c r="AV782" i="24"/>
  <c r="AG782" i="24"/>
  <c r="U782" i="24"/>
  <c r="T782" i="24"/>
  <c r="N782" i="24"/>
  <c r="C782" i="24"/>
  <c r="A782" i="24"/>
  <c r="BP781" i="24"/>
  <c r="BO781" i="24"/>
  <c r="BA781" i="24"/>
  <c r="AZ781" i="24"/>
  <c r="AW781" i="24"/>
  <c r="AV781" i="24"/>
  <c r="AG781" i="24"/>
  <c r="U781" i="24"/>
  <c r="T781" i="24"/>
  <c r="N781" i="24"/>
  <c r="C781" i="24"/>
  <c r="A781" i="24"/>
  <c r="BP780" i="24"/>
  <c r="BO780" i="24"/>
  <c r="BA780" i="24"/>
  <c r="AZ780" i="24"/>
  <c r="AW780" i="24"/>
  <c r="AV780" i="24"/>
  <c r="AG780" i="24"/>
  <c r="U780" i="24"/>
  <c r="T780" i="24"/>
  <c r="N780" i="24"/>
  <c r="C780" i="24"/>
  <c r="A780" i="24"/>
  <c r="BP779" i="24"/>
  <c r="BO779" i="24"/>
  <c r="BA779" i="24"/>
  <c r="AZ779" i="24"/>
  <c r="AW779" i="24"/>
  <c r="AV779" i="24"/>
  <c r="AG779" i="24"/>
  <c r="U779" i="24"/>
  <c r="T779" i="24"/>
  <c r="N779" i="24"/>
  <c r="C779" i="24"/>
  <c r="A779" i="24"/>
  <c r="BP778" i="24"/>
  <c r="BO778" i="24"/>
  <c r="BA778" i="24"/>
  <c r="AZ778" i="24"/>
  <c r="AW778" i="24"/>
  <c r="AV778" i="24"/>
  <c r="AG778" i="24"/>
  <c r="U778" i="24"/>
  <c r="T778" i="24"/>
  <c r="N778" i="24"/>
  <c r="C778" i="24"/>
  <c r="A778" i="24"/>
  <c r="BP777" i="24"/>
  <c r="BO777" i="24"/>
  <c r="BA777" i="24"/>
  <c r="AZ777" i="24"/>
  <c r="AW777" i="24"/>
  <c r="AV777" i="24"/>
  <c r="AG777" i="24"/>
  <c r="U777" i="24"/>
  <c r="T777" i="24"/>
  <c r="N777" i="24"/>
  <c r="C777" i="24"/>
  <c r="A777" i="24"/>
  <c r="BP776" i="24"/>
  <c r="BO776" i="24"/>
  <c r="BA776" i="24"/>
  <c r="AZ776" i="24"/>
  <c r="AW776" i="24"/>
  <c r="AV776" i="24"/>
  <c r="AG776" i="24"/>
  <c r="U776" i="24"/>
  <c r="T776" i="24"/>
  <c r="N776" i="24"/>
  <c r="C776" i="24"/>
  <c r="A776" i="24"/>
  <c r="BP775" i="24"/>
  <c r="BO775" i="24"/>
  <c r="BA775" i="24"/>
  <c r="AZ775" i="24"/>
  <c r="AW775" i="24"/>
  <c r="AV775" i="24"/>
  <c r="AG775" i="24"/>
  <c r="U775" i="24"/>
  <c r="T775" i="24"/>
  <c r="N775" i="24"/>
  <c r="C775" i="24"/>
  <c r="A775" i="24"/>
  <c r="BP774" i="24"/>
  <c r="BO774" i="24"/>
  <c r="BA774" i="24"/>
  <c r="AZ774" i="24"/>
  <c r="AW774" i="24"/>
  <c r="AV774" i="24"/>
  <c r="AG774" i="24"/>
  <c r="U774" i="24"/>
  <c r="T774" i="24"/>
  <c r="N774" i="24"/>
  <c r="C774" i="24"/>
  <c r="A774" i="24"/>
  <c r="BP773" i="24"/>
  <c r="BO773" i="24"/>
  <c r="BA773" i="24"/>
  <c r="AZ773" i="24"/>
  <c r="AW773" i="24"/>
  <c r="AV773" i="24"/>
  <c r="AG773" i="24"/>
  <c r="U773" i="24"/>
  <c r="T773" i="24"/>
  <c r="N773" i="24"/>
  <c r="C773" i="24"/>
  <c r="A773" i="24"/>
  <c r="BP772" i="24"/>
  <c r="BO772" i="24"/>
  <c r="BA772" i="24"/>
  <c r="AZ772" i="24"/>
  <c r="AW772" i="24"/>
  <c r="AV772" i="24"/>
  <c r="AG772" i="24"/>
  <c r="U772" i="24"/>
  <c r="T772" i="24"/>
  <c r="N772" i="24"/>
  <c r="C772" i="24"/>
  <c r="A772" i="24"/>
  <c r="BP771" i="24"/>
  <c r="BO771" i="24"/>
  <c r="BA771" i="24"/>
  <c r="AZ771" i="24"/>
  <c r="AW771" i="24"/>
  <c r="AV771" i="24"/>
  <c r="AG771" i="24"/>
  <c r="U771" i="24"/>
  <c r="T771" i="24"/>
  <c r="N771" i="24"/>
  <c r="C771" i="24"/>
  <c r="A771" i="24"/>
  <c r="BP770" i="24"/>
  <c r="BO770" i="24"/>
  <c r="BA770" i="24"/>
  <c r="AZ770" i="24"/>
  <c r="AW770" i="24"/>
  <c r="AV770" i="24"/>
  <c r="AG770" i="24"/>
  <c r="U770" i="24"/>
  <c r="T770" i="24"/>
  <c r="N770" i="24"/>
  <c r="C770" i="24"/>
  <c r="A770" i="24"/>
  <c r="BP769" i="24"/>
  <c r="BO769" i="24"/>
  <c r="BA769" i="24"/>
  <c r="AZ769" i="24"/>
  <c r="AW769" i="24"/>
  <c r="AV769" i="24"/>
  <c r="AG769" i="24"/>
  <c r="U769" i="24"/>
  <c r="T769" i="24"/>
  <c r="N769" i="24"/>
  <c r="C769" i="24"/>
  <c r="A769" i="24"/>
  <c r="BP768" i="24"/>
  <c r="BO768" i="24"/>
  <c r="BA768" i="24"/>
  <c r="AZ768" i="24"/>
  <c r="AW768" i="24"/>
  <c r="AV768" i="24"/>
  <c r="AG768" i="24"/>
  <c r="U768" i="24"/>
  <c r="T768" i="24"/>
  <c r="N768" i="24"/>
  <c r="C768" i="24"/>
  <c r="A768" i="24"/>
  <c r="BP767" i="24"/>
  <c r="BO767" i="24"/>
  <c r="BA767" i="24"/>
  <c r="AZ767" i="24"/>
  <c r="AW767" i="24"/>
  <c r="AV767" i="24"/>
  <c r="AG767" i="24"/>
  <c r="U767" i="24"/>
  <c r="T767" i="24"/>
  <c r="N767" i="24"/>
  <c r="C767" i="24"/>
  <c r="A767" i="24"/>
  <c r="BP766" i="24"/>
  <c r="BO766" i="24"/>
  <c r="BA766" i="24"/>
  <c r="AZ766" i="24"/>
  <c r="AW766" i="24"/>
  <c r="AV766" i="24"/>
  <c r="AG766" i="24"/>
  <c r="U766" i="24"/>
  <c r="T766" i="24"/>
  <c r="N766" i="24"/>
  <c r="C766" i="24"/>
  <c r="A766" i="24"/>
  <c r="BP765" i="24"/>
  <c r="BO765" i="24"/>
  <c r="BA765" i="24"/>
  <c r="AZ765" i="24"/>
  <c r="AW765" i="24"/>
  <c r="AV765" i="24"/>
  <c r="AG765" i="24"/>
  <c r="U765" i="24"/>
  <c r="T765" i="24"/>
  <c r="N765" i="24"/>
  <c r="C765" i="24"/>
  <c r="A765" i="24"/>
  <c r="BP764" i="24"/>
  <c r="BO764" i="24"/>
  <c r="BA764" i="24"/>
  <c r="AZ764" i="24"/>
  <c r="AW764" i="24"/>
  <c r="AV764" i="24"/>
  <c r="AG764" i="24"/>
  <c r="U764" i="24"/>
  <c r="T764" i="24"/>
  <c r="N764" i="24"/>
  <c r="C764" i="24"/>
  <c r="A764" i="24"/>
  <c r="BP763" i="24"/>
  <c r="BO763" i="24"/>
  <c r="BA763" i="24"/>
  <c r="AZ763" i="24"/>
  <c r="AW763" i="24"/>
  <c r="AV763" i="24"/>
  <c r="AG763" i="24"/>
  <c r="U763" i="24"/>
  <c r="T763" i="24"/>
  <c r="N763" i="24"/>
  <c r="C763" i="24"/>
  <c r="A763" i="24"/>
  <c r="BP762" i="24"/>
  <c r="BO762" i="24"/>
  <c r="BA762" i="24"/>
  <c r="AZ762" i="24"/>
  <c r="AW762" i="24"/>
  <c r="AV762" i="24"/>
  <c r="AG762" i="24"/>
  <c r="U762" i="24"/>
  <c r="T762" i="24"/>
  <c r="N762" i="24"/>
  <c r="C762" i="24"/>
  <c r="A762" i="24"/>
  <c r="BP761" i="24"/>
  <c r="BO761" i="24"/>
  <c r="BA761" i="24"/>
  <c r="AZ761" i="24"/>
  <c r="AW761" i="24"/>
  <c r="AV761" i="24"/>
  <c r="AG761" i="24"/>
  <c r="U761" i="24"/>
  <c r="T761" i="24"/>
  <c r="N761" i="24"/>
  <c r="C761" i="24"/>
  <c r="A761" i="24"/>
  <c r="BP760" i="24"/>
  <c r="BO760" i="24"/>
  <c r="BA760" i="24"/>
  <c r="AZ760" i="24"/>
  <c r="AW760" i="24"/>
  <c r="AV760" i="24"/>
  <c r="AG760" i="24"/>
  <c r="U760" i="24"/>
  <c r="T760" i="24"/>
  <c r="N760" i="24"/>
  <c r="C760" i="24"/>
  <c r="A760" i="24"/>
  <c r="BP759" i="24"/>
  <c r="BO759" i="24"/>
  <c r="BA759" i="24"/>
  <c r="AZ759" i="24"/>
  <c r="AW759" i="24"/>
  <c r="AV759" i="24"/>
  <c r="AG759" i="24"/>
  <c r="U759" i="24"/>
  <c r="T759" i="24"/>
  <c r="N759" i="24"/>
  <c r="C759" i="24"/>
  <c r="A759" i="24"/>
  <c r="BP758" i="24"/>
  <c r="BO758" i="24"/>
  <c r="BA758" i="24"/>
  <c r="AZ758" i="24"/>
  <c r="AW758" i="24"/>
  <c r="AV758" i="24"/>
  <c r="AG758" i="24"/>
  <c r="U758" i="24"/>
  <c r="T758" i="24"/>
  <c r="N758" i="24"/>
  <c r="C758" i="24"/>
  <c r="A758" i="24"/>
  <c r="BP757" i="24"/>
  <c r="BO757" i="24"/>
  <c r="BA757" i="24"/>
  <c r="AZ757" i="24"/>
  <c r="AW757" i="24"/>
  <c r="AV757" i="24"/>
  <c r="AG757" i="24"/>
  <c r="U757" i="24"/>
  <c r="T757" i="24"/>
  <c r="N757" i="24"/>
  <c r="C757" i="24"/>
  <c r="A757" i="24"/>
  <c r="BP756" i="24"/>
  <c r="BO756" i="24"/>
  <c r="BA756" i="24"/>
  <c r="AZ756" i="24"/>
  <c r="AW756" i="24"/>
  <c r="AV756" i="24"/>
  <c r="AG756" i="24"/>
  <c r="U756" i="24"/>
  <c r="T756" i="24"/>
  <c r="N756" i="24"/>
  <c r="C756" i="24"/>
  <c r="A756" i="24"/>
  <c r="BP755" i="24"/>
  <c r="BO755" i="24"/>
  <c r="BA755" i="24"/>
  <c r="AZ755" i="24"/>
  <c r="AW755" i="24"/>
  <c r="AV755" i="24"/>
  <c r="AG755" i="24"/>
  <c r="U755" i="24"/>
  <c r="T755" i="24"/>
  <c r="N755" i="24"/>
  <c r="C755" i="24"/>
  <c r="A755" i="24"/>
  <c r="BP754" i="24"/>
  <c r="BO754" i="24"/>
  <c r="BA754" i="24"/>
  <c r="AZ754" i="24"/>
  <c r="AW754" i="24"/>
  <c r="AV754" i="24"/>
  <c r="AG754" i="24"/>
  <c r="U754" i="24"/>
  <c r="T754" i="24"/>
  <c r="N754" i="24"/>
  <c r="C754" i="24"/>
  <c r="A754" i="24"/>
  <c r="BP753" i="24"/>
  <c r="BO753" i="24"/>
  <c r="BA753" i="24"/>
  <c r="AZ753" i="24"/>
  <c r="AW753" i="24"/>
  <c r="AV753" i="24"/>
  <c r="AG753" i="24"/>
  <c r="U753" i="24"/>
  <c r="T753" i="24"/>
  <c r="N753" i="24"/>
  <c r="C753" i="24"/>
  <c r="A753" i="24"/>
  <c r="BP752" i="24"/>
  <c r="BO752" i="24"/>
  <c r="BA752" i="24"/>
  <c r="AZ752" i="24"/>
  <c r="AW752" i="24"/>
  <c r="AV752" i="24"/>
  <c r="AG752" i="24"/>
  <c r="U752" i="24"/>
  <c r="T752" i="24"/>
  <c r="N752" i="24"/>
  <c r="C752" i="24"/>
  <c r="A752" i="24"/>
  <c r="BP751" i="24"/>
  <c r="BO751" i="24"/>
  <c r="BA751" i="24"/>
  <c r="AZ751" i="24"/>
  <c r="AW751" i="24"/>
  <c r="AV751" i="24"/>
  <c r="AG751" i="24"/>
  <c r="U751" i="24"/>
  <c r="T751" i="24"/>
  <c r="N751" i="24"/>
  <c r="C751" i="24"/>
  <c r="A751" i="24"/>
  <c r="BP750" i="24"/>
  <c r="BO750" i="24"/>
  <c r="BA750" i="24"/>
  <c r="AZ750" i="24"/>
  <c r="AW750" i="24"/>
  <c r="AV750" i="24"/>
  <c r="AG750" i="24"/>
  <c r="U750" i="24"/>
  <c r="T750" i="24"/>
  <c r="N750" i="24"/>
  <c r="C750" i="24"/>
  <c r="A750" i="24"/>
  <c r="BP749" i="24"/>
  <c r="BO749" i="24"/>
  <c r="BA749" i="24"/>
  <c r="AZ749" i="24"/>
  <c r="AW749" i="24"/>
  <c r="AV749" i="24"/>
  <c r="AG749" i="24"/>
  <c r="U749" i="24"/>
  <c r="T749" i="24"/>
  <c r="N749" i="24"/>
  <c r="C749" i="24"/>
  <c r="A749" i="24"/>
  <c r="BP748" i="24"/>
  <c r="BO748" i="24"/>
  <c r="BA748" i="24"/>
  <c r="AZ748" i="24"/>
  <c r="AW748" i="24"/>
  <c r="AV748" i="24"/>
  <c r="AG748" i="24"/>
  <c r="U748" i="24"/>
  <c r="T748" i="24"/>
  <c r="N748" i="24"/>
  <c r="C748" i="24"/>
  <c r="A748" i="24"/>
  <c r="BP747" i="24"/>
  <c r="BO747" i="24"/>
  <c r="BA747" i="24"/>
  <c r="AZ747" i="24"/>
  <c r="AW747" i="24"/>
  <c r="AV747" i="24"/>
  <c r="AG747" i="24"/>
  <c r="U747" i="24"/>
  <c r="T747" i="24"/>
  <c r="N747" i="24"/>
  <c r="C747" i="24"/>
  <c r="A747" i="24"/>
  <c r="BP746" i="24"/>
  <c r="BO746" i="24"/>
  <c r="BA746" i="24"/>
  <c r="AZ746" i="24"/>
  <c r="AW746" i="24"/>
  <c r="AV746" i="24"/>
  <c r="AG746" i="24"/>
  <c r="U746" i="24"/>
  <c r="T746" i="24"/>
  <c r="N746" i="24"/>
  <c r="C746" i="24"/>
  <c r="A746" i="24"/>
  <c r="BP745" i="24"/>
  <c r="BO745" i="24"/>
  <c r="BA745" i="24"/>
  <c r="AZ745" i="24"/>
  <c r="AW745" i="24"/>
  <c r="AV745" i="24"/>
  <c r="AG745" i="24"/>
  <c r="U745" i="24"/>
  <c r="T745" i="24"/>
  <c r="N745" i="24"/>
  <c r="C745" i="24"/>
  <c r="A745" i="24"/>
  <c r="BP744" i="24"/>
  <c r="BO744" i="24"/>
  <c r="BA744" i="24"/>
  <c r="AZ744" i="24"/>
  <c r="AW744" i="24"/>
  <c r="AV744" i="24"/>
  <c r="AG744" i="24"/>
  <c r="U744" i="24"/>
  <c r="T744" i="24"/>
  <c r="N744" i="24"/>
  <c r="C744" i="24"/>
  <c r="A744" i="24"/>
  <c r="BP743" i="24"/>
  <c r="BO743" i="24"/>
  <c r="BA743" i="24"/>
  <c r="AZ743" i="24"/>
  <c r="AW743" i="24"/>
  <c r="AV743" i="24"/>
  <c r="AG743" i="24"/>
  <c r="U743" i="24"/>
  <c r="T743" i="24"/>
  <c r="N743" i="24"/>
  <c r="C743" i="24"/>
  <c r="A743" i="24"/>
  <c r="BP742" i="24"/>
  <c r="BO742" i="24"/>
  <c r="BA742" i="24"/>
  <c r="AZ742" i="24"/>
  <c r="AW742" i="24"/>
  <c r="AV742" i="24"/>
  <c r="AG742" i="24"/>
  <c r="U742" i="24"/>
  <c r="T742" i="24"/>
  <c r="N742" i="24"/>
  <c r="C742" i="24"/>
  <c r="A742" i="24"/>
  <c r="BP741" i="24"/>
  <c r="BO741" i="24"/>
  <c r="BA741" i="24"/>
  <c r="AZ741" i="24"/>
  <c r="AW741" i="24"/>
  <c r="AV741" i="24"/>
  <c r="AG741" i="24"/>
  <c r="U741" i="24"/>
  <c r="T741" i="24"/>
  <c r="N741" i="24"/>
  <c r="C741" i="24"/>
  <c r="A741" i="24"/>
  <c r="BP740" i="24"/>
  <c r="BO740" i="24"/>
  <c r="BA740" i="24"/>
  <c r="AZ740" i="24"/>
  <c r="AW740" i="24"/>
  <c r="AV740" i="24"/>
  <c r="AG740" i="24"/>
  <c r="U740" i="24"/>
  <c r="T740" i="24"/>
  <c r="N740" i="24"/>
  <c r="C740" i="24"/>
  <c r="A740" i="24"/>
  <c r="BP739" i="24"/>
  <c r="BO739" i="24"/>
  <c r="BA739" i="24"/>
  <c r="AZ739" i="24"/>
  <c r="AW739" i="24"/>
  <c r="AV739" i="24"/>
  <c r="AG739" i="24"/>
  <c r="U739" i="24"/>
  <c r="T739" i="24"/>
  <c r="N739" i="24"/>
  <c r="C739" i="24"/>
  <c r="A739" i="24"/>
  <c r="BP738" i="24"/>
  <c r="BO738" i="24"/>
  <c r="BA738" i="24"/>
  <c r="AZ738" i="24"/>
  <c r="AW738" i="24"/>
  <c r="AV738" i="24"/>
  <c r="AG738" i="24"/>
  <c r="U738" i="24"/>
  <c r="T738" i="24"/>
  <c r="N738" i="24"/>
  <c r="C738" i="24"/>
  <c r="A738" i="24"/>
  <c r="BP737" i="24"/>
  <c r="BO737" i="24"/>
  <c r="BA737" i="24"/>
  <c r="AZ737" i="24"/>
  <c r="AW737" i="24"/>
  <c r="AV737" i="24"/>
  <c r="AG737" i="24"/>
  <c r="U737" i="24"/>
  <c r="T737" i="24"/>
  <c r="N737" i="24"/>
  <c r="C737" i="24"/>
  <c r="A737" i="24"/>
  <c r="BP736" i="24"/>
  <c r="BO736" i="24"/>
  <c r="BA736" i="24"/>
  <c r="AZ736" i="24"/>
  <c r="AW736" i="24"/>
  <c r="AV736" i="24"/>
  <c r="AG736" i="24"/>
  <c r="U736" i="24"/>
  <c r="T736" i="24"/>
  <c r="N736" i="24"/>
  <c r="C736" i="24"/>
  <c r="A736" i="24"/>
  <c r="BP735" i="24"/>
  <c r="BO735" i="24"/>
  <c r="BA735" i="24"/>
  <c r="AZ735" i="24"/>
  <c r="AW735" i="24"/>
  <c r="AV735" i="24"/>
  <c r="AG735" i="24"/>
  <c r="U735" i="24"/>
  <c r="T735" i="24"/>
  <c r="N735" i="24"/>
  <c r="C735" i="24"/>
  <c r="A735" i="24"/>
  <c r="BP734" i="24"/>
  <c r="BO734" i="24"/>
  <c r="BA734" i="24"/>
  <c r="AZ734" i="24"/>
  <c r="AW734" i="24"/>
  <c r="AV734" i="24"/>
  <c r="AG734" i="24"/>
  <c r="U734" i="24"/>
  <c r="T734" i="24"/>
  <c r="N734" i="24"/>
  <c r="C734" i="24"/>
  <c r="A734" i="24"/>
  <c r="BP733" i="24"/>
  <c r="BO733" i="24"/>
  <c r="BA733" i="24"/>
  <c r="AZ733" i="24"/>
  <c r="AW733" i="24"/>
  <c r="AV733" i="24"/>
  <c r="AG733" i="24"/>
  <c r="U733" i="24"/>
  <c r="T733" i="24"/>
  <c r="N733" i="24"/>
  <c r="C733" i="24"/>
  <c r="A733" i="24"/>
  <c r="BP732" i="24"/>
  <c r="BO732" i="24"/>
  <c r="BA732" i="24"/>
  <c r="AZ732" i="24"/>
  <c r="AW732" i="24"/>
  <c r="AV732" i="24"/>
  <c r="AG732" i="24"/>
  <c r="U732" i="24"/>
  <c r="T732" i="24"/>
  <c r="N732" i="24"/>
  <c r="C732" i="24"/>
  <c r="A732" i="24"/>
  <c r="BP731" i="24"/>
  <c r="BO731" i="24"/>
  <c r="BA731" i="24"/>
  <c r="AZ731" i="24"/>
  <c r="AW731" i="24"/>
  <c r="AV731" i="24"/>
  <c r="AG731" i="24"/>
  <c r="U731" i="24"/>
  <c r="T731" i="24"/>
  <c r="N731" i="24"/>
  <c r="C731" i="24"/>
  <c r="A731" i="24"/>
  <c r="BP730" i="24"/>
  <c r="BO730" i="24"/>
  <c r="BA730" i="24"/>
  <c r="AZ730" i="24"/>
  <c r="AW730" i="24"/>
  <c r="AV730" i="24"/>
  <c r="AG730" i="24"/>
  <c r="U730" i="24"/>
  <c r="T730" i="24"/>
  <c r="N730" i="24"/>
  <c r="C730" i="24"/>
  <c r="A730" i="24"/>
  <c r="BP729" i="24"/>
  <c r="BO729" i="24"/>
  <c r="BA729" i="24"/>
  <c r="AZ729" i="24"/>
  <c r="AW729" i="24"/>
  <c r="AV729" i="24"/>
  <c r="AG729" i="24"/>
  <c r="U729" i="24"/>
  <c r="T729" i="24"/>
  <c r="N729" i="24"/>
  <c r="C729" i="24"/>
  <c r="A729" i="24"/>
  <c r="BP728" i="24"/>
  <c r="BO728" i="24"/>
  <c r="BA728" i="24"/>
  <c r="AZ728" i="24"/>
  <c r="AW728" i="24"/>
  <c r="AV728" i="24"/>
  <c r="AG728" i="24"/>
  <c r="U728" i="24"/>
  <c r="T728" i="24"/>
  <c r="N728" i="24"/>
  <c r="C728" i="24"/>
  <c r="A728" i="24"/>
  <c r="BP727" i="24"/>
  <c r="BO727" i="24"/>
  <c r="BA727" i="24"/>
  <c r="AZ727" i="24"/>
  <c r="AW727" i="24"/>
  <c r="AV727" i="24"/>
  <c r="AG727" i="24"/>
  <c r="U727" i="24"/>
  <c r="T727" i="24"/>
  <c r="N727" i="24"/>
  <c r="C727" i="24"/>
  <c r="A727" i="24"/>
  <c r="BP726" i="24"/>
  <c r="BO726" i="24"/>
  <c r="BA726" i="24"/>
  <c r="AZ726" i="24"/>
  <c r="AW726" i="24"/>
  <c r="AV726" i="24"/>
  <c r="AG726" i="24"/>
  <c r="U726" i="24"/>
  <c r="T726" i="24"/>
  <c r="N726" i="24"/>
  <c r="C726" i="24"/>
  <c r="A726" i="24"/>
  <c r="BP725" i="24"/>
  <c r="BO725" i="24"/>
  <c r="BA725" i="24"/>
  <c r="AZ725" i="24"/>
  <c r="AW725" i="24"/>
  <c r="AV725" i="24"/>
  <c r="AG725" i="24"/>
  <c r="U725" i="24"/>
  <c r="T725" i="24"/>
  <c r="N725" i="24"/>
  <c r="C725" i="24"/>
  <c r="A725" i="24"/>
  <c r="BP724" i="24"/>
  <c r="BO724" i="24"/>
  <c r="BA724" i="24"/>
  <c r="AZ724" i="24"/>
  <c r="AW724" i="24"/>
  <c r="AV724" i="24"/>
  <c r="AG724" i="24"/>
  <c r="U724" i="24"/>
  <c r="T724" i="24"/>
  <c r="N724" i="24"/>
  <c r="C724" i="24"/>
  <c r="A724" i="24"/>
  <c r="BP723" i="24"/>
  <c r="BO723" i="24"/>
  <c r="BA723" i="24"/>
  <c r="AZ723" i="24"/>
  <c r="AW723" i="24"/>
  <c r="AV723" i="24"/>
  <c r="AG723" i="24"/>
  <c r="U723" i="24"/>
  <c r="T723" i="24"/>
  <c r="N723" i="24"/>
  <c r="C723" i="24"/>
  <c r="A723" i="24"/>
  <c r="BP722" i="24"/>
  <c r="BO722" i="24"/>
  <c r="BA722" i="24"/>
  <c r="AZ722" i="24"/>
  <c r="AW722" i="24"/>
  <c r="AV722" i="24"/>
  <c r="AG722" i="24"/>
  <c r="U722" i="24"/>
  <c r="T722" i="24"/>
  <c r="N722" i="24"/>
  <c r="C722" i="24"/>
  <c r="A722" i="24"/>
  <c r="BP721" i="24"/>
  <c r="BO721" i="24"/>
  <c r="BA721" i="24"/>
  <c r="AZ721" i="24"/>
  <c r="AW721" i="24"/>
  <c r="AV721" i="24"/>
  <c r="AG721" i="24"/>
  <c r="U721" i="24"/>
  <c r="T721" i="24"/>
  <c r="N721" i="24"/>
  <c r="C721" i="24"/>
  <c r="A721" i="24"/>
  <c r="BP720" i="24"/>
  <c r="BO720" i="24"/>
  <c r="BA720" i="24"/>
  <c r="AZ720" i="24"/>
  <c r="AW720" i="24"/>
  <c r="AV720" i="24"/>
  <c r="AG720" i="24"/>
  <c r="U720" i="24"/>
  <c r="T720" i="24"/>
  <c r="N720" i="24"/>
  <c r="C720" i="24"/>
  <c r="A720" i="24"/>
  <c r="BP719" i="24"/>
  <c r="BO719" i="24"/>
  <c r="BA719" i="24"/>
  <c r="AZ719" i="24"/>
  <c r="AW719" i="24"/>
  <c r="AV719" i="24"/>
  <c r="AG719" i="24"/>
  <c r="U719" i="24"/>
  <c r="T719" i="24"/>
  <c r="N719" i="24"/>
  <c r="C719" i="24"/>
  <c r="A719" i="24"/>
  <c r="BP718" i="24"/>
  <c r="BO718" i="24"/>
  <c r="BA718" i="24"/>
  <c r="AZ718" i="24"/>
  <c r="AW718" i="24"/>
  <c r="AV718" i="24"/>
  <c r="AG718" i="24"/>
  <c r="U718" i="24"/>
  <c r="T718" i="24"/>
  <c r="N718" i="24"/>
  <c r="C718" i="24"/>
  <c r="A718" i="24"/>
  <c r="BP717" i="24"/>
  <c r="BO717" i="24"/>
  <c r="BA717" i="24"/>
  <c r="AZ717" i="24"/>
  <c r="AW717" i="24"/>
  <c r="AV717" i="24"/>
  <c r="AG717" i="24"/>
  <c r="U717" i="24"/>
  <c r="T717" i="24"/>
  <c r="N717" i="24"/>
  <c r="C717" i="24"/>
  <c r="A717" i="24"/>
  <c r="BP716" i="24"/>
  <c r="BO716" i="24"/>
  <c r="BA716" i="24"/>
  <c r="AZ716" i="24"/>
  <c r="AW716" i="24"/>
  <c r="AV716" i="24"/>
  <c r="AG716" i="24"/>
  <c r="U716" i="24"/>
  <c r="T716" i="24"/>
  <c r="N716" i="24"/>
  <c r="C716" i="24"/>
  <c r="A716" i="24"/>
  <c r="BP715" i="24"/>
  <c r="BO715" i="24"/>
  <c r="BA715" i="24"/>
  <c r="AZ715" i="24"/>
  <c r="AW715" i="24"/>
  <c r="AV715" i="24"/>
  <c r="AG715" i="24"/>
  <c r="U715" i="24"/>
  <c r="T715" i="24"/>
  <c r="N715" i="24"/>
  <c r="C715" i="24"/>
  <c r="A715" i="24"/>
  <c r="BP714" i="24"/>
  <c r="BO714" i="24"/>
  <c r="BA714" i="24"/>
  <c r="AZ714" i="24"/>
  <c r="AW714" i="24"/>
  <c r="AV714" i="24"/>
  <c r="AG714" i="24"/>
  <c r="U714" i="24"/>
  <c r="T714" i="24"/>
  <c r="N714" i="24"/>
  <c r="C714" i="24"/>
  <c r="A714" i="24"/>
  <c r="BP713" i="24"/>
  <c r="BO713" i="24"/>
  <c r="BA713" i="24"/>
  <c r="AZ713" i="24"/>
  <c r="AW713" i="24"/>
  <c r="AV713" i="24"/>
  <c r="AG713" i="24"/>
  <c r="U713" i="24"/>
  <c r="T713" i="24"/>
  <c r="N713" i="24"/>
  <c r="C713" i="24"/>
  <c r="A713" i="24"/>
  <c r="BP712" i="24"/>
  <c r="BO712" i="24"/>
  <c r="BA712" i="24"/>
  <c r="AZ712" i="24"/>
  <c r="AW712" i="24"/>
  <c r="AV712" i="24"/>
  <c r="AG712" i="24"/>
  <c r="U712" i="24"/>
  <c r="T712" i="24"/>
  <c r="N712" i="24"/>
  <c r="C712" i="24"/>
  <c r="A712" i="24"/>
  <c r="BP711" i="24"/>
  <c r="BO711" i="24"/>
  <c r="BA711" i="24"/>
  <c r="AZ711" i="24"/>
  <c r="AW711" i="24"/>
  <c r="AV711" i="24"/>
  <c r="AG711" i="24"/>
  <c r="U711" i="24"/>
  <c r="T711" i="24"/>
  <c r="N711" i="24"/>
  <c r="C711" i="24"/>
  <c r="A711" i="24"/>
  <c r="BP710" i="24"/>
  <c r="BO710" i="24"/>
  <c r="BA710" i="24"/>
  <c r="AZ710" i="24"/>
  <c r="AW710" i="24"/>
  <c r="AV710" i="24"/>
  <c r="AG710" i="24"/>
  <c r="U710" i="24"/>
  <c r="T710" i="24"/>
  <c r="N710" i="24"/>
  <c r="C710" i="24"/>
  <c r="A710" i="24"/>
  <c r="BP709" i="24"/>
  <c r="BO709" i="24"/>
  <c r="BA709" i="24"/>
  <c r="AZ709" i="24"/>
  <c r="AW709" i="24"/>
  <c r="AV709" i="24"/>
  <c r="AG709" i="24"/>
  <c r="U709" i="24"/>
  <c r="T709" i="24"/>
  <c r="N709" i="24"/>
  <c r="C709" i="24"/>
  <c r="A709" i="24"/>
  <c r="BP708" i="24"/>
  <c r="BO708" i="24"/>
  <c r="BA708" i="24"/>
  <c r="AZ708" i="24"/>
  <c r="AW708" i="24"/>
  <c r="AV708" i="24"/>
  <c r="AG708" i="24"/>
  <c r="U708" i="24"/>
  <c r="T708" i="24"/>
  <c r="N708" i="24"/>
  <c r="C708" i="24"/>
  <c r="A708" i="24"/>
  <c r="BP707" i="24"/>
  <c r="BO707" i="24"/>
  <c r="BA707" i="24"/>
  <c r="AZ707" i="24"/>
  <c r="AW707" i="24"/>
  <c r="AV707" i="24"/>
  <c r="AG707" i="24"/>
  <c r="U707" i="24"/>
  <c r="T707" i="24"/>
  <c r="N707" i="24"/>
  <c r="C707" i="24"/>
  <c r="A707" i="24"/>
  <c r="BP706" i="24"/>
  <c r="BO706" i="24"/>
  <c r="BA706" i="24"/>
  <c r="AZ706" i="24"/>
  <c r="AW706" i="24"/>
  <c r="AV706" i="24"/>
  <c r="AG706" i="24"/>
  <c r="U706" i="24"/>
  <c r="T706" i="24"/>
  <c r="N706" i="24"/>
  <c r="C706" i="24"/>
  <c r="A706" i="24"/>
  <c r="BP705" i="24"/>
  <c r="BO705" i="24"/>
  <c r="BA705" i="24"/>
  <c r="AZ705" i="24"/>
  <c r="AW705" i="24"/>
  <c r="AV705" i="24"/>
  <c r="AG705" i="24"/>
  <c r="U705" i="24"/>
  <c r="T705" i="24"/>
  <c r="N705" i="24"/>
  <c r="C705" i="24"/>
  <c r="A705" i="24"/>
  <c r="BP704" i="24"/>
  <c r="BO704" i="24"/>
  <c r="BA704" i="24"/>
  <c r="AZ704" i="24"/>
  <c r="AW704" i="24"/>
  <c r="AV704" i="24"/>
  <c r="AG704" i="24"/>
  <c r="U704" i="24"/>
  <c r="T704" i="24"/>
  <c r="N704" i="24"/>
  <c r="C704" i="24"/>
  <c r="A704" i="24"/>
  <c r="BP703" i="24"/>
  <c r="BO703" i="24"/>
  <c r="BA703" i="24"/>
  <c r="AZ703" i="24"/>
  <c r="AW703" i="24"/>
  <c r="AV703" i="24"/>
  <c r="AG703" i="24"/>
  <c r="U703" i="24"/>
  <c r="T703" i="24"/>
  <c r="N703" i="24"/>
  <c r="C703" i="24"/>
  <c r="A703" i="24"/>
  <c r="BP702" i="24"/>
  <c r="BO702" i="24"/>
  <c r="BA702" i="24"/>
  <c r="AZ702" i="24"/>
  <c r="AW702" i="24"/>
  <c r="AV702" i="24"/>
  <c r="AG702" i="24"/>
  <c r="U702" i="24"/>
  <c r="T702" i="24"/>
  <c r="N702" i="24"/>
  <c r="C702" i="24"/>
  <c r="A702" i="24"/>
  <c r="BP701" i="24"/>
  <c r="BO701" i="24"/>
  <c r="BA701" i="24"/>
  <c r="AZ701" i="24"/>
  <c r="AW701" i="24"/>
  <c r="AV701" i="24"/>
  <c r="AG701" i="24"/>
  <c r="U701" i="24"/>
  <c r="T701" i="24"/>
  <c r="N701" i="24"/>
  <c r="C701" i="24"/>
  <c r="A701" i="24"/>
  <c r="BP700" i="24"/>
  <c r="BO700" i="24"/>
  <c r="BA700" i="24"/>
  <c r="AZ700" i="24"/>
  <c r="AW700" i="24"/>
  <c r="AV700" i="24"/>
  <c r="AG700" i="24"/>
  <c r="U700" i="24"/>
  <c r="T700" i="24"/>
  <c r="N700" i="24"/>
  <c r="C700" i="24"/>
  <c r="A700" i="24"/>
  <c r="BP699" i="24"/>
  <c r="BO699" i="24"/>
  <c r="BA699" i="24"/>
  <c r="AZ699" i="24"/>
  <c r="AW699" i="24"/>
  <c r="AV699" i="24"/>
  <c r="AG699" i="24"/>
  <c r="U699" i="24"/>
  <c r="T699" i="24"/>
  <c r="N699" i="24"/>
  <c r="C699" i="24"/>
  <c r="A699" i="24"/>
  <c r="BP698" i="24"/>
  <c r="BO698" i="24"/>
  <c r="BA698" i="24"/>
  <c r="AZ698" i="24"/>
  <c r="AW698" i="24"/>
  <c r="AV698" i="24"/>
  <c r="AG698" i="24"/>
  <c r="U698" i="24"/>
  <c r="T698" i="24"/>
  <c r="N698" i="24"/>
  <c r="C698" i="24"/>
  <c r="A698" i="24"/>
  <c r="BP697" i="24"/>
  <c r="BO697" i="24"/>
  <c r="BA697" i="24"/>
  <c r="AZ697" i="24"/>
  <c r="AW697" i="24"/>
  <c r="AV697" i="24"/>
  <c r="AG697" i="24"/>
  <c r="U697" i="24"/>
  <c r="T697" i="24"/>
  <c r="N697" i="24"/>
  <c r="C697" i="24"/>
  <c r="A697" i="24"/>
  <c r="BP696" i="24"/>
  <c r="BO696" i="24"/>
  <c r="BA696" i="24"/>
  <c r="AZ696" i="24"/>
  <c r="AW696" i="24"/>
  <c r="AV696" i="24"/>
  <c r="AG696" i="24"/>
  <c r="U696" i="24"/>
  <c r="T696" i="24"/>
  <c r="N696" i="24"/>
  <c r="C696" i="24"/>
  <c r="A696" i="24"/>
  <c r="BP695" i="24"/>
  <c r="BO695" i="24"/>
  <c r="BA695" i="24"/>
  <c r="AZ695" i="24"/>
  <c r="AW695" i="24"/>
  <c r="AV695" i="24"/>
  <c r="AG695" i="24"/>
  <c r="U695" i="24"/>
  <c r="T695" i="24"/>
  <c r="N695" i="24"/>
  <c r="C695" i="24"/>
  <c r="A695" i="24"/>
  <c r="BP694" i="24"/>
  <c r="BO694" i="24"/>
  <c r="BA694" i="24"/>
  <c r="AZ694" i="24"/>
  <c r="AW694" i="24"/>
  <c r="AV694" i="24"/>
  <c r="AG694" i="24"/>
  <c r="U694" i="24"/>
  <c r="T694" i="24"/>
  <c r="N694" i="24"/>
  <c r="C694" i="24"/>
  <c r="A694" i="24"/>
  <c r="BP693" i="24"/>
  <c r="BO693" i="24"/>
  <c r="BA693" i="24"/>
  <c r="AZ693" i="24"/>
  <c r="AW693" i="24"/>
  <c r="AV693" i="24"/>
  <c r="AG693" i="24"/>
  <c r="U693" i="24"/>
  <c r="T693" i="24"/>
  <c r="N693" i="24"/>
  <c r="C693" i="24"/>
  <c r="A693" i="24"/>
  <c r="BP692" i="24"/>
  <c r="BO692" i="24"/>
  <c r="BA692" i="24"/>
  <c r="AZ692" i="24"/>
  <c r="AW692" i="24"/>
  <c r="AV692" i="24"/>
  <c r="AG692" i="24"/>
  <c r="U692" i="24"/>
  <c r="T692" i="24"/>
  <c r="N692" i="24"/>
  <c r="C692" i="24"/>
  <c r="A692" i="24"/>
  <c r="BP691" i="24"/>
  <c r="BO691" i="24"/>
  <c r="BA691" i="24"/>
  <c r="AZ691" i="24"/>
  <c r="AW691" i="24"/>
  <c r="AV691" i="24"/>
  <c r="AG691" i="24"/>
  <c r="U691" i="24"/>
  <c r="T691" i="24"/>
  <c r="N691" i="24"/>
  <c r="C691" i="24"/>
  <c r="A691" i="24"/>
  <c r="BP690" i="24"/>
  <c r="BO690" i="24"/>
  <c r="BA690" i="24"/>
  <c r="AZ690" i="24"/>
  <c r="AW690" i="24"/>
  <c r="AV690" i="24"/>
  <c r="AG690" i="24"/>
  <c r="U690" i="24"/>
  <c r="T690" i="24"/>
  <c r="N690" i="24"/>
  <c r="C690" i="24"/>
  <c r="A690" i="24"/>
  <c r="BP689" i="24"/>
  <c r="BO689" i="24"/>
  <c r="BA689" i="24"/>
  <c r="AZ689" i="24"/>
  <c r="AW689" i="24"/>
  <c r="AV689" i="24"/>
  <c r="AG689" i="24"/>
  <c r="U689" i="24"/>
  <c r="T689" i="24"/>
  <c r="N689" i="24"/>
  <c r="C689" i="24"/>
  <c r="A689" i="24"/>
  <c r="BP688" i="24"/>
  <c r="BO688" i="24"/>
  <c r="BA688" i="24"/>
  <c r="AZ688" i="24"/>
  <c r="AW688" i="24"/>
  <c r="AV688" i="24"/>
  <c r="AG688" i="24"/>
  <c r="U688" i="24"/>
  <c r="T688" i="24"/>
  <c r="N688" i="24"/>
  <c r="C688" i="24"/>
  <c r="A688" i="24"/>
  <c r="BP687" i="24"/>
  <c r="BO687" i="24"/>
  <c r="BA687" i="24"/>
  <c r="AZ687" i="24"/>
  <c r="AW687" i="24"/>
  <c r="AV687" i="24"/>
  <c r="AG687" i="24"/>
  <c r="U687" i="24"/>
  <c r="T687" i="24"/>
  <c r="N687" i="24"/>
  <c r="C687" i="24"/>
  <c r="A687" i="24"/>
  <c r="BP686" i="24"/>
  <c r="BO686" i="24"/>
  <c r="BA686" i="24"/>
  <c r="AZ686" i="24"/>
  <c r="AW686" i="24"/>
  <c r="AV686" i="24"/>
  <c r="AG686" i="24"/>
  <c r="U686" i="24"/>
  <c r="T686" i="24"/>
  <c r="N686" i="24"/>
  <c r="C686" i="24"/>
  <c r="A686" i="24"/>
  <c r="BP685" i="24"/>
  <c r="BO685" i="24"/>
  <c r="BA685" i="24"/>
  <c r="AZ685" i="24"/>
  <c r="AW685" i="24"/>
  <c r="AV685" i="24"/>
  <c r="AG685" i="24"/>
  <c r="U685" i="24"/>
  <c r="T685" i="24"/>
  <c r="N685" i="24"/>
  <c r="C685" i="24"/>
  <c r="A685" i="24"/>
  <c r="BP684" i="24"/>
  <c r="BO684" i="24"/>
  <c r="BA684" i="24"/>
  <c r="AZ684" i="24"/>
  <c r="AW684" i="24"/>
  <c r="AV684" i="24"/>
  <c r="AG684" i="24"/>
  <c r="U684" i="24"/>
  <c r="T684" i="24"/>
  <c r="N684" i="24"/>
  <c r="C684" i="24"/>
  <c r="A684" i="24"/>
  <c r="BP683" i="24"/>
  <c r="BO683" i="24"/>
  <c r="BA683" i="24"/>
  <c r="AZ683" i="24"/>
  <c r="AW683" i="24"/>
  <c r="AV683" i="24"/>
  <c r="AG683" i="24"/>
  <c r="U683" i="24"/>
  <c r="T683" i="24"/>
  <c r="N683" i="24"/>
  <c r="C683" i="24"/>
  <c r="A683" i="24"/>
  <c r="BP682" i="24"/>
  <c r="BO682" i="24"/>
  <c r="BA682" i="24"/>
  <c r="AZ682" i="24"/>
  <c r="AW682" i="24"/>
  <c r="AV682" i="24"/>
  <c r="AG682" i="24"/>
  <c r="U682" i="24"/>
  <c r="T682" i="24"/>
  <c r="N682" i="24"/>
  <c r="C682" i="24"/>
  <c r="A682" i="24"/>
  <c r="BP681" i="24"/>
  <c r="BO681" i="24"/>
  <c r="BA681" i="24"/>
  <c r="AZ681" i="24"/>
  <c r="AW681" i="24"/>
  <c r="AV681" i="24"/>
  <c r="AG681" i="24"/>
  <c r="U681" i="24"/>
  <c r="T681" i="24"/>
  <c r="N681" i="24"/>
  <c r="C681" i="24"/>
  <c r="A681" i="24"/>
  <c r="BP680" i="24"/>
  <c r="BO680" i="24"/>
  <c r="BA680" i="24"/>
  <c r="AZ680" i="24"/>
  <c r="AW680" i="24"/>
  <c r="AV680" i="24"/>
  <c r="AG680" i="24"/>
  <c r="U680" i="24"/>
  <c r="T680" i="24"/>
  <c r="N680" i="24"/>
  <c r="C680" i="24"/>
  <c r="A680" i="24"/>
  <c r="BP679" i="24"/>
  <c r="BO679" i="24"/>
  <c r="BA679" i="24"/>
  <c r="AZ679" i="24"/>
  <c r="AW679" i="24"/>
  <c r="AV679" i="24"/>
  <c r="AG679" i="24"/>
  <c r="U679" i="24"/>
  <c r="T679" i="24"/>
  <c r="N679" i="24"/>
  <c r="C679" i="24"/>
  <c r="A679" i="24"/>
  <c r="BP678" i="24"/>
  <c r="BO678" i="24"/>
  <c r="BA678" i="24"/>
  <c r="AZ678" i="24"/>
  <c r="AW678" i="24"/>
  <c r="AV678" i="24"/>
  <c r="AG678" i="24"/>
  <c r="U678" i="24"/>
  <c r="T678" i="24"/>
  <c r="N678" i="24"/>
  <c r="C678" i="24"/>
  <c r="A678" i="24"/>
  <c r="BP677" i="24"/>
  <c r="BO677" i="24"/>
  <c r="BA677" i="24"/>
  <c r="AZ677" i="24"/>
  <c r="AW677" i="24"/>
  <c r="AV677" i="24"/>
  <c r="AG677" i="24"/>
  <c r="U677" i="24"/>
  <c r="T677" i="24"/>
  <c r="N677" i="24"/>
  <c r="C677" i="24"/>
  <c r="A677" i="24"/>
  <c r="BP676" i="24"/>
  <c r="BO676" i="24"/>
  <c r="BA676" i="24"/>
  <c r="AZ676" i="24"/>
  <c r="AW676" i="24"/>
  <c r="AV676" i="24"/>
  <c r="AG676" i="24"/>
  <c r="U676" i="24"/>
  <c r="T676" i="24"/>
  <c r="N676" i="24"/>
  <c r="C676" i="24"/>
  <c r="A676" i="24"/>
  <c r="BP675" i="24"/>
  <c r="BO675" i="24"/>
  <c r="BA675" i="24"/>
  <c r="AZ675" i="24"/>
  <c r="AW675" i="24"/>
  <c r="AV675" i="24"/>
  <c r="AG675" i="24"/>
  <c r="U675" i="24"/>
  <c r="T675" i="24"/>
  <c r="N675" i="24"/>
  <c r="C675" i="24"/>
  <c r="A675" i="24"/>
  <c r="BP674" i="24"/>
  <c r="BO674" i="24"/>
  <c r="BA674" i="24"/>
  <c r="AZ674" i="24"/>
  <c r="AW674" i="24"/>
  <c r="AV674" i="24"/>
  <c r="AG674" i="24"/>
  <c r="U674" i="24"/>
  <c r="T674" i="24"/>
  <c r="N674" i="24"/>
  <c r="C674" i="24"/>
  <c r="A674" i="24"/>
  <c r="BP673" i="24"/>
  <c r="BO673" i="24"/>
  <c r="BA673" i="24"/>
  <c r="AZ673" i="24"/>
  <c r="AW673" i="24"/>
  <c r="AV673" i="24"/>
  <c r="AG673" i="24"/>
  <c r="U673" i="24"/>
  <c r="T673" i="24"/>
  <c r="N673" i="24"/>
  <c r="C673" i="24"/>
  <c r="A673" i="24"/>
  <c r="BP672" i="24"/>
  <c r="BO672" i="24"/>
  <c r="BA672" i="24"/>
  <c r="AZ672" i="24"/>
  <c r="AW672" i="24"/>
  <c r="AV672" i="24"/>
  <c r="AG672" i="24"/>
  <c r="U672" i="24"/>
  <c r="T672" i="24"/>
  <c r="N672" i="24"/>
  <c r="C672" i="24"/>
  <c r="A672" i="24"/>
  <c r="BP671" i="24"/>
  <c r="BO671" i="24"/>
  <c r="BA671" i="24"/>
  <c r="AZ671" i="24"/>
  <c r="AW671" i="24"/>
  <c r="AV671" i="24"/>
  <c r="AG671" i="24"/>
  <c r="U671" i="24"/>
  <c r="T671" i="24"/>
  <c r="N671" i="24"/>
  <c r="C671" i="24"/>
  <c r="A671" i="24"/>
  <c r="BP670" i="24"/>
  <c r="BO670" i="24"/>
  <c r="BA670" i="24"/>
  <c r="AZ670" i="24"/>
  <c r="AW670" i="24"/>
  <c r="AV670" i="24"/>
  <c r="AG670" i="24"/>
  <c r="U670" i="24"/>
  <c r="T670" i="24"/>
  <c r="N670" i="24"/>
  <c r="C670" i="24"/>
  <c r="A670" i="24"/>
  <c r="BP669" i="24"/>
  <c r="BO669" i="24"/>
  <c r="BA669" i="24"/>
  <c r="AZ669" i="24"/>
  <c r="AW669" i="24"/>
  <c r="AV669" i="24"/>
  <c r="AG669" i="24"/>
  <c r="U669" i="24"/>
  <c r="T669" i="24"/>
  <c r="N669" i="24"/>
  <c r="C669" i="24"/>
  <c r="A669" i="24"/>
  <c r="BP668" i="24"/>
  <c r="BO668" i="24"/>
  <c r="BA668" i="24"/>
  <c r="AZ668" i="24"/>
  <c r="AW668" i="24"/>
  <c r="AV668" i="24"/>
  <c r="AG668" i="24"/>
  <c r="U668" i="24"/>
  <c r="T668" i="24"/>
  <c r="N668" i="24"/>
  <c r="C668" i="24"/>
  <c r="A668" i="24"/>
  <c r="BP667" i="24"/>
  <c r="BO667" i="24"/>
  <c r="BA667" i="24"/>
  <c r="AZ667" i="24"/>
  <c r="AW667" i="24"/>
  <c r="AV667" i="24"/>
  <c r="AG667" i="24"/>
  <c r="U667" i="24"/>
  <c r="T667" i="24"/>
  <c r="N667" i="24"/>
  <c r="C667" i="24"/>
  <c r="A667" i="24"/>
  <c r="BP666" i="24"/>
  <c r="BO666" i="24"/>
  <c r="BA666" i="24"/>
  <c r="AZ666" i="24"/>
  <c r="AW666" i="24"/>
  <c r="AV666" i="24"/>
  <c r="AG666" i="24"/>
  <c r="U666" i="24"/>
  <c r="T666" i="24"/>
  <c r="N666" i="24"/>
  <c r="C666" i="24"/>
  <c r="A666" i="24"/>
  <c r="BP665" i="24"/>
  <c r="BO665" i="24"/>
  <c r="BA665" i="24"/>
  <c r="AZ665" i="24"/>
  <c r="AW665" i="24"/>
  <c r="AV665" i="24"/>
  <c r="AG665" i="24"/>
  <c r="U665" i="24"/>
  <c r="T665" i="24"/>
  <c r="N665" i="24"/>
  <c r="C665" i="24"/>
  <c r="A665" i="24"/>
  <c r="BP664" i="24"/>
  <c r="BO664" i="24"/>
  <c r="BA664" i="24"/>
  <c r="AZ664" i="24"/>
  <c r="AW664" i="24"/>
  <c r="AV664" i="24"/>
  <c r="AG664" i="24"/>
  <c r="U664" i="24"/>
  <c r="T664" i="24"/>
  <c r="N664" i="24"/>
  <c r="C664" i="24"/>
  <c r="A664" i="24"/>
  <c r="BP663" i="24"/>
  <c r="BO663" i="24"/>
  <c r="BA663" i="24"/>
  <c r="AZ663" i="24"/>
  <c r="AW663" i="24"/>
  <c r="AV663" i="24"/>
  <c r="AG663" i="24"/>
  <c r="U663" i="24"/>
  <c r="T663" i="24"/>
  <c r="N663" i="24"/>
  <c r="C663" i="24"/>
  <c r="A663" i="24"/>
  <c r="BP662" i="24"/>
  <c r="BO662" i="24"/>
  <c r="BA662" i="24"/>
  <c r="AZ662" i="24"/>
  <c r="AW662" i="24"/>
  <c r="AV662" i="24"/>
  <c r="AG662" i="24"/>
  <c r="U662" i="24"/>
  <c r="T662" i="24"/>
  <c r="N662" i="24"/>
  <c r="C662" i="24"/>
  <c r="A662" i="24"/>
  <c r="BP661" i="24"/>
  <c r="BO661" i="24"/>
  <c r="BA661" i="24"/>
  <c r="AZ661" i="24"/>
  <c r="AW661" i="24"/>
  <c r="AV661" i="24"/>
  <c r="AG661" i="24"/>
  <c r="U661" i="24"/>
  <c r="T661" i="24"/>
  <c r="N661" i="24"/>
  <c r="C661" i="24"/>
  <c r="A661" i="24"/>
  <c r="BP660" i="24"/>
  <c r="BO660" i="24"/>
  <c r="BA660" i="24"/>
  <c r="AZ660" i="24"/>
  <c r="AW660" i="24"/>
  <c r="AV660" i="24"/>
  <c r="AG660" i="24"/>
  <c r="U660" i="24"/>
  <c r="T660" i="24"/>
  <c r="N660" i="24"/>
  <c r="C660" i="24"/>
  <c r="A660" i="24"/>
  <c r="BP659" i="24"/>
  <c r="BO659" i="24"/>
  <c r="BA659" i="24"/>
  <c r="AZ659" i="24"/>
  <c r="AW659" i="24"/>
  <c r="AV659" i="24"/>
  <c r="AG659" i="24"/>
  <c r="U659" i="24"/>
  <c r="T659" i="24"/>
  <c r="N659" i="24"/>
  <c r="C659" i="24"/>
  <c r="A659" i="24"/>
  <c r="BP658" i="24"/>
  <c r="BO658" i="24"/>
  <c r="BA658" i="24"/>
  <c r="AZ658" i="24"/>
  <c r="AW658" i="24"/>
  <c r="AV658" i="24"/>
  <c r="AG658" i="24"/>
  <c r="U658" i="24"/>
  <c r="T658" i="24"/>
  <c r="N658" i="24"/>
  <c r="C658" i="24"/>
  <c r="A658" i="24"/>
  <c r="BP657" i="24"/>
  <c r="BO657" i="24"/>
  <c r="BA657" i="24"/>
  <c r="AZ657" i="24"/>
  <c r="AW657" i="24"/>
  <c r="AV657" i="24"/>
  <c r="AG657" i="24"/>
  <c r="U657" i="24"/>
  <c r="T657" i="24"/>
  <c r="N657" i="24"/>
  <c r="C657" i="24"/>
  <c r="A657" i="24"/>
  <c r="BP656" i="24"/>
  <c r="BO656" i="24"/>
  <c r="BA656" i="24"/>
  <c r="AZ656" i="24"/>
  <c r="AW656" i="24"/>
  <c r="AV656" i="24"/>
  <c r="AG656" i="24"/>
  <c r="U656" i="24"/>
  <c r="T656" i="24"/>
  <c r="N656" i="24"/>
  <c r="C656" i="24"/>
  <c r="A656" i="24"/>
  <c r="BP655" i="24"/>
  <c r="BO655" i="24"/>
  <c r="BA655" i="24"/>
  <c r="AZ655" i="24"/>
  <c r="AW655" i="24"/>
  <c r="AV655" i="24"/>
  <c r="AG655" i="24"/>
  <c r="U655" i="24"/>
  <c r="T655" i="24"/>
  <c r="N655" i="24"/>
  <c r="C655" i="24"/>
  <c r="A655" i="24"/>
  <c r="BP654" i="24"/>
  <c r="BO654" i="24"/>
  <c r="BA654" i="24"/>
  <c r="AZ654" i="24"/>
  <c r="AW654" i="24"/>
  <c r="AV654" i="24"/>
  <c r="AG654" i="24"/>
  <c r="U654" i="24"/>
  <c r="T654" i="24"/>
  <c r="N654" i="24"/>
  <c r="C654" i="24"/>
  <c r="A654" i="24"/>
  <c r="BP653" i="24"/>
  <c r="BO653" i="24"/>
  <c r="BA653" i="24"/>
  <c r="AZ653" i="24"/>
  <c r="AW653" i="24"/>
  <c r="AV653" i="24"/>
  <c r="AG653" i="24"/>
  <c r="U653" i="24"/>
  <c r="T653" i="24"/>
  <c r="N653" i="24"/>
  <c r="C653" i="24"/>
  <c r="A653" i="24"/>
  <c r="BP652" i="24"/>
  <c r="BO652" i="24"/>
  <c r="BA652" i="24"/>
  <c r="AZ652" i="24"/>
  <c r="AW652" i="24"/>
  <c r="AV652" i="24"/>
  <c r="AG652" i="24"/>
  <c r="U652" i="24"/>
  <c r="T652" i="24"/>
  <c r="N652" i="24"/>
  <c r="C652" i="24"/>
  <c r="A652" i="24"/>
  <c r="BP651" i="24"/>
  <c r="BO651" i="24"/>
  <c r="BA651" i="24"/>
  <c r="AZ651" i="24"/>
  <c r="AW651" i="24"/>
  <c r="AV651" i="24"/>
  <c r="AG651" i="24"/>
  <c r="U651" i="24"/>
  <c r="T651" i="24"/>
  <c r="N651" i="24"/>
  <c r="C651" i="24"/>
  <c r="A651" i="24"/>
  <c r="BP650" i="24"/>
  <c r="BO650" i="24"/>
  <c r="BA650" i="24"/>
  <c r="AZ650" i="24"/>
  <c r="AW650" i="24"/>
  <c r="AV650" i="24"/>
  <c r="AG650" i="24"/>
  <c r="U650" i="24"/>
  <c r="T650" i="24"/>
  <c r="N650" i="24"/>
  <c r="C650" i="24"/>
  <c r="A650" i="24"/>
  <c r="BP649" i="24"/>
  <c r="BO649" i="24"/>
  <c r="BA649" i="24"/>
  <c r="AZ649" i="24"/>
  <c r="AW649" i="24"/>
  <c r="AV649" i="24"/>
  <c r="AG649" i="24"/>
  <c r="U649" i="24"/>
  <c r="T649" i="24"/>
  <c r="N649" i="24"/>
  <c r="C649" i="24"/>
  <c r="A649" i="24"/>
  <c r="BP648" i="24"/>
  <c r="BO648" i="24"/>
  <c r="BA648" i="24"/>
  <c r="AZ648" i="24"/>
  <c r="AW648" i="24"/>
  <c r="AV648" i="24"/>
  <c r="AG648" i="24"/>
  <c r="U648" i="24"/>
  <c r="T648" i="24"/>
  <c r="N648" i="24"/>
  <c r="C648" i="24"/>
  <c r="A648" i="24"/>
  <c r="BP647" i="24"/>
  <c r="BO647" i="24"/>
  <c r="BA647" i="24"/>
  <c r="AZ647" i="24"/>
  <c r="AW647" i="24"/>
  <c r="AV647" i="24"/>
  <c r="AG647" i="24"/>
  <c r="U647" i="24"/>
  <c r="T647" i="24"/>
  <c r="N647" i="24"/>
  <c r="C647" i="24"/>
  <c r="A647" i="24"/>
  <c r="BP646" i="24"/>
  <c r="BO646" i="24"/>
  <c r="BA646" i="24"/>
  <c r="AZ646" i="24"/>
  <c r="AW646" i="24"/>
  <c r="AV646" i="24"/>
  <c r="AG646" i="24"/>
  <c r="U646" i="24"/>
  <c r="T646" i="24"/>
  <c r="N646" i="24"/>
  <c r="C646" i="24"/>
  <c r="A646" i="24"/>
  <c r="BP645" i="24"/>
  <c r="BO645" i="24"/>
  <c r="BA645" i="24"/>
  <c r="AZ645" i="24"/>
  <c r="AW645" i="24"/>
  <c r="AV645" i="24"/>
  <c r="AG645" i="24"/>
  <c r="U645" i="24"/>
  <c r="T645" i="24"/>
  <c r="N645" i="24"/>
  <c r="C645" i="24"/>
  <c r="A645" i="24"/>
  <c r="BP644" i="24"/>
  <c r="BO644" i="24"/>
  <c r="BA644" i="24"/>
  <c r="AZ644" i="24"/>
  <c r="AW644" i="24"/>
  <c r="AV644" i="24"/>
  <c r="AG644" i="24"/>
  <c r="U644" i="24"/>
  <c r="T644" i="24"/>
  <c r="N644" i="24"/>
  <c r="C644" i="24"/>
  <c r="A644" i="24"/>
  <c r="BP643" i="24"/>
  <c r="BO643" i="24"/>
  <c r="BA643" i="24"/>
  <c r="AZ643" i="24"/>
  <c r="AW643" i="24"/>
  <c r="AV643" i="24"/>
  <c r="AG643" i="24"/>
  <c r="U643" i="24"/>
  <c r="T643" i="24"/>
  <c r="N643" i="24"/>
  <c r="C643" i="24"/>
  <c r="A643" i="24"/>
  <c r="BP642" i="24"/>
  <c r="BO642" i="24"/>
  <c r="BA642" i="24"/>
  <c r="AZ642" i="24"/>
  <c r="AW642" i="24"/>
  <c r="AV642" i="24"/>
  <c r="AG642" i="24"/>
  <c r="U642" i="24"/>
  <c r="T642" i="24"/>
  <c r="N642" i="24"/>
  <c r="C642" i="24"/>
  <c r="A642" i="24"/>
  <c r="BP641" i="24"/>
  <c r="BO641" i="24"/>
  <c r="BA641" i="24"/>
  <c r="AZ641" i="24"/>
  <c r="AW641" i="24"/>
  <c r="AV641" i="24"/>
  <c r="AG641" i="24"/>
  <c r="U641" i="24"/>
  <c r="T641" i="24"/>
  <c r="N641" i="24"/>
  <c r="C641" i="24"/>
  <c r="A641" i="24"/>
  <c r="BP640" i="24"/>
  <c r="BO640" i="24"/>
  <c r="BA640" i="24"/>
  <c r="AZ640" i="24"/>
  <c r="AW640" i="24"/>
  <c r="AV640" i="24"/>
  <c r="AG640" i="24"/>
  <c r="U640" i="24"/>
  <c r="T640" i="24"/>
  <c r="N640" i="24"/>
  <c r="C640" i="24"/>
  <c r="A640" i="24"/>
  <c r="BP639" i="24"/>
  <c r="BO639" i="24"/>
  <c r="BA639" i="24"/>
  <c r="AZ639" i="24"/>
  <c r="AW639" i="24"/>
  <c r="AV639" i="24"/>
  <c r="AG639" i="24"/>
  <c r="U639" i="24"/>
  <c r="T639" i="24"/>
  <c r="N639" i="24"/>
  <c r="C639" i="24"/>
  <c r="A639" i="24"/>
  <c r="BP638" i="24"/>
  <c r="BO638" i="24"/>
  <c r="BA638" i="24"/>
  <c r="AZ638" i="24"/>
  <c r="AW638" i="24"/>
  <c r="AV638" i="24"/>
  <c r="AG638" i="24"/>
  <c r="U638" i="24"/>
  <c r="T638" i="24"/>
  <c r="N638" i="24"/>
  <c r="C638" i="24"/>
  <c r="A638" i="24"/>
  <c r="BP637" i="24"/>
  <c r="BO637" i="24"/>
  <c r="BA637" i="24"/>
  <c r="AZ637" i="24"/>
  <c r="AW637" i="24"/>
  <c r="AV637" i="24"/>
  <c r="AG637" i="24"/>
  <c r="U637" i="24"/>
  <c r="T637" i="24"/>
  <c r="N637" i="24"/>
  <c r="C637" i="24"/>
  <c r="A637" i="24"/>
  <c r="BP636" i="24"/>
  <c r="BO636" i="24"/>
  <c r="BA636" i="24"/>
  <c r="AZ636" i="24"/>
  <c r="AW636" i="24"/>
  <c r="AV636" i="24"/>
  <c r="AG636" i="24"/>
  <c r="U636" i="24"/>
  <c r="T636" i="24"/>
  <c r="N636" i="24"/>
  <c r="C636" i="24"/>
  <c r="A636" i="24"/>
  <c r="BP635" i="24"/>
  <c r="BO635" i="24"/>
  <c r="BA635" i="24"/>
  <c r="AZ635" i="24"/>
  <c r="AW635" i="24"/>
  <c r="AV635" i="24"/>
  <c r="AG635" i="24"/>
  <c r="U635" i="24"/>
  <c r="T635" i="24"/>
  <c r="N635" i="24"/>
  <c r="C635" i="24"/>
  <c r="A635" i="24"/>
  <c r="BP634" i="24"/>
  <c r="BO634" i="24"/>
  <c r="BA634" i="24"/>
  <c r="AZ634" i="24"/>
  <c r="AW634" i="24"/>
  <c r="AV634" i="24"/>
  <c r="AG634" i="24"/>
  <c r="U634" i="24"/>
  <c r="T634" i="24"/>
  <c r="N634" i="24"/>
  <c r="C634" i="24"/>
  <c r="A634" i="24"/>
  <c r="BP633" i="24"/>
  <c r="BO633" i="24"/>
  <c r="BA633" i="24"/>
  <c r="AZ633" i="24"/>
  <c r="AW633" i="24"/>
  <c r="AV633" i="24"/>
  <c r="AG633" i="24"/>
  <c r="U633" i="24"/>
  <c r="T633" i="24"/>
  <c r="N633" i="24"/>
  <c r="C633" i="24"/>
  <c r="A633" i="24"/>
  <c r="BP632" i="24"/>
  <c r="BO632" i="24"/>
  <c r="BA632" i="24"/>
  <c r="AZ632" i="24"/>
  <c r="AW632" i="24"/>
  <c r="AV632" i="24"/>
  <c r="AG632" i="24"/>
  <c r="U632" i="24"/>
  <c r="T632" i="24"/>
  <c r="N632" i="24"/>
  <c r="C632" i="24"/>
  <c r="A632" i="24"/>
  <c r="BP631" i="24"/>
  <c r="BO631" i="24"/>
  <c r="BA631" i="24"/>
  <c r="AZ631" i="24"/>
  <c r="AW631" i="24"/>
  <c r="AV631" i="24"/>
  <c r="AG631" i="24"/>
  <c r="U631" i="24"/>
  <c r="T631" i="24"/>
  <c r="N631" i="24"/>
  <c r="C631" i="24"/>
  <c r="A631" i="24"/>
  <c r="BP630" i="24"/>
  <c r="BO630" i="24"/>
  <c r="BA630" i="24"/>
  <c r="AZ630" i="24"/>
  <c r="AW630" i="24"/>
  <c r="AV630" i="24"/>
  <c r="AG630" i="24"/>
  <c r="U630" i="24"/>
  <c r="T630" i="24"/>
  <c r="N630" i="24"/>
  <c r="C630" i="24"/>
  <c r="A630" i="24"/>
  <c r="BP629" i="24"/>
  <c r="BO629" i="24"/>
  <c r="BA629" i="24"/>
  <c r="AZ629" i="24"/>
  <c r="AW629" i="24"/>
  <c r="AV629" i="24"/>
  <c r="AG629" i="24"/>
  <c r="U629" i="24"/>
  <c r="T629" i="24"/>
  <c r="N629" i="24"/>
  <c r="C629" i="24"/>
  <c r="A629" i="24"/>
  <c r="BP628" i="24"/>
  <c r="BO628" i="24"/>
  <c r="BA628" i="24"/>
  <c r="AZ628" i="24"/>
  <c r="AW628" i="24"/>
  <c r="AV628" i="24"/>
  <c r="AG628" i="24"/>
  <c r="U628" i="24"/>
  <c r="T628" i="24"/>
  <c r="N628" i="24"/>
  <c r="C628" i="24"/>
  <c r="A628" i="24"/>
  <c r="BP627" i="24"/>
  <c r="BO627" i="24"/>
  <c r="BA627" i="24"/>
  <c r="AZ627" i="24"/>
  <c r="AW627" i="24"/>
  <c r="AV627" i="24"/>
  <c r="AG627" i="24"/>
  <c r="U627" i="24"/>
  <c r="T627" i="24"/>
  <c r="N627" i="24"/>
  <c r="C627" i="24"/>
  <c r="A627" i="24"/>
  <c r="BP626" i="24"/>
  <c r="BO626" i="24"/>
  <c r="BA626" i="24"/>
  <c r="AZ626" i="24"/>
  <c r="AW626" i="24"/>
  <c r="AV626" i="24"/>
  <c r="AG626" i="24"/>
  <c r="U626" i="24"/>
  <c r="T626" i="24"/>
  <c r="N626" i="24"/>
  <c r="C626" i="24"/>
  <c r="A626" i="24"/>
  <c r="BP625" i="24"/>
  <c r="BO625" i="24"/>
  <c r="BA625" i="24"/>
  <c r="AZ625" i="24"/>
  <c r="AW625" i="24"/>
  <c r="AV625" i="24"/>
  <c r="AG625" i="24"/>
  <c r="U625" i="24"/>
  <c r="T625" i="24"/>
  <c r="N625" i="24"/>
  <c r="C625" i="24"/>
  <c r="A625" i="24"/>
  <c r="BP624" i="24"/>
  <c r="BO624" i="24"/>
  <c r="BA624" i="24"/>
  <c r="AZ624" i="24"/>
  <c r="AW624" i="24"/>
  <c r="AV624" i="24"/>
  <c r="AG624" i="24"/>
  <c r="U624" i="24"/>
  <c r="T624" i="24"/>
  <c r="N624" i="24"/>
  <c r="C624" i="24"/>
  <c r="A624" i="24"/>
  <c r="BP623" i="24"/>
  <c r="BO623" i="24"/>
  <c r="BA623" i="24"/>
  <c r="AZ623" i="24"/>
  <c r="AW623" i="24"/>
  <c r="AV623" i="24"/>
  <c r="AG623" i="24"/>
  <c r="U623" i="24"/>
  <c r="T623" i="24"/>
  <c r="N623" i="24"/>
  <c r="C623" i="24"/>
  <c r="A623" i="24"/>
  <c r="BP622" i="24"/>
  <c r="BO622" i="24"/>
  <c r="BA622" i="24"/>
  <c r="AZ622" i="24"/>
  <c r="AW622" i="24"/>
  <c r="AV622" i="24"/>
  <c r="AG622" i="24"/>
  <c r="U622" i="24"/>
  <c r="T622" i="24"/>
  <c r="N622" i="24"/>
  <c r="C622" i="24"/>
  <c r="A622" i="24"/>
  <c r="BP621" i="24"/>
  <c r="BO621" i="24"/>
  <c r="BA621" i="24"/>
  <c r="AZ621" i="24"/>
  <c r="AW621" i="24"/>
  <c r="AV621" i="24"/>
  <c r="AG621" i="24"/>
  <c r="U621" i="24"/>
  <c r="T621" i="24"/>
  <c r="N621" i="24"/>
  <c r="C621" i="24"/>
  <c r="A621" i="24"/>
  <c r="BP620" i="24"/>
  <c r="BO620" i="24"/>
  <c r="BA620" i="24"/>
  <c r="AZ620" i="24"/>
  <c r="AW620" i="24"/>
  <c r="AV620" i="24"/>
  <c r="AG620" i="24"/>
  <c r="U620" i="24"/>
  <c r="T620" i="24"/>
  <c r="N620" i="24"/>
  <c r="C620" i="24"/>
  <c r="A620" i="24"/>
  <c r="BP619" i="24"/>
  <c r="BO619" i="24"/>
  <c r="BA619" i="24"/>
  <c r="AZ619" i="24"/>
  <c r="AW619" i="24"/>
  <c r="AV619" i="24"/>
  <c r="AG619" i="24"/>
  <c r="U619" i="24"/>
  <c r="T619" i="24"/>
  <c r="N619" i="24"/>
  <c r="C619" i="24"/>
  <c r="A619" i="24"/>
  <c r="BP618" i="24"/>
  <c r="BO618" i="24"/>
  <c r="BA618" i="24"/>
  <c r="AZ618" i="24"/>
  <c r="AW618" i="24"/>
  <c r="AV618" i="24"/>
  <c r="AG618" i="24"/>
  <c r="U618" i="24"/>
  <c r="T618" i="24"/>
  <c r="N618" i="24"/>
  <c r="C618" i="24"/>
  <c r="A618" i="24"/>
  <c r="BP617" i="24"/>
  <c r="BO617" i="24"/>
  <c r="BA617" i="24"/>
  <c r="AZ617" i="24"/>
  <c r="AW617" i="24"/>
  <c r="AV617" i="24"/>
  <c r="AG617" i="24"/>
  <c r="U617" i="24"/>
  <c r="T617" i="24"/>
  <c r="N617" i="24"/>
  <c r="C617" i="24"/>
  <c r="A617" i="24"/>
  <c r="BP616" i="24"/>
  <c r="BO616" i="24"/>
  <c r="BA616" i="24"/>
  <c r="AZ616" i="24"/>
  <c r="AW616" i="24"/>
  <c r="AV616" i="24"/>
  <c r="AG616" i="24"/>
  <c r="U616" i="24"/>
  <c r="T616" i="24"/>
  <c r="N616" i="24"/>
  <c r="C616" i="24"/>
  <c r="A616" i="24"/>
  <c r="BP615" i="24"/>
  <c r="BO615" i="24"/>
  <c r="BA615" i="24"/>
  <c r="AZ615" i="24"/>
  <c r="AW615" i="24"/>
  <c r="AV615" i="24"/>
  <c r="AG615" i="24"/>
  <c r="U615" i="24"/>
  <c r="T615" i="24"/>
  <c r="N615" i="24"/>
  <c r="C615" i="24"/>
  <c r="A615" i="24"/>
  <c r="BP614" i="24"/>
  <c r="BO614" i="24"/>
  <c r="BA614" i="24"/>
  <c r="AZ614" i="24"/>
  <c r="AW614" i="24"/>
  <c r="AV614" i="24"/>
  <c r="AG614" i="24"/>
  <c r="U614" i="24"/>
  <c r="T614" i="24"/>
  <c r="N614" i="24"/>
  <c r="C614" i="24"/>
  <c r="A614" i="24"/>
  <c r="BP613" i="24"/>
  <c r="BO613" i="24"/>
  <c r="BA613" i="24"/>
  <c r="AZ613" i="24"/>
  <c r="AW613" i="24"/>
  <c r="AV613" i="24"/>
  <c r="AG613" i="24"/>
  <c r="U613" i="24"/>
  <c r="T613" i="24"/>
  <c r="N613" i="24"/>
  <c r="C613" i="24"/>
  <c r="A613" i="24"/>
  <c r="BP612" i="24"/>
  <c r="BO612" i="24"/>
  <c r="BA612" i="24"/>
  <c r="AZ612" i="24"/>
  <c r="AW612" i="24"/>
  <c r="AV612" i="24"/>
  <c r="AG612" i="24"/>
  <c r="U612" i="24"/>
  <c r="T612" i="24"/>
  <c r="N612" i="24"/>
  <c r="C612" i="24"/>
  <c r="A612" i="24"/>
  <c r="BP611" i="24"/>
  <c r="BO611" i="24"/>
  <c r="BA611" i="24"/>
  <c r="AZ611" i="24"/>
  <c r="AW611" i="24"/>
  <c r="AV611" i="24"/>
  <c r="AG611" i="24"/>
  <c r="U611" i="24"/>
  <c r="T611" i="24"/>
  <c r="N611" i="24"/>
  <c r="C611" i="24"/>
  <c r="A611" i="24"/>
  <c r="BP610" i="24"/>
  <c r="BO610" i="24"/>
  <c r="BA610" i="24"/>
  <c r="AZ610" i="24"/>
  <c r="AW610" i="24"/>
  <c r="AV610" i="24"/>
  <c r="AG610" i="24"/>
  <c r="U610" i="24"/>
  <c r="T610" i="24"/>
  <c r="N610" i="24"/>
  <c r="C610" i="24"/>
  <c r="A610" i="24"/>
  <c r="BP609" i="24"/>
  <c r="BO609" i="24"/>
  <c r="BA609" i="24"/>
  <c r="AZ609" i="24"/>
  <c r="AW609" i="24"/>
  <c r="AV609" i="24"/>
  <c r="AG609" i="24"/>
  <c r="U609" i="24"/>
  <c r="T609" i="24"/>
  <c r="N609" i="24"/>
  <c r="C609" i="24"/>
  <c r="A609" i="24"/>
  <c r="BP608" i="24"/>
  <c r="BO608" i="24"/>
  <c r="BA608" i="24"/>
  <c r="AZ608" i="24"/>
  <c r="AW608" i="24"/>
  <c r="AV608" i="24"/>
  <c r="AG608" i="24"/>
  <c r="U608" i="24"/>
  <c r="T608" i="24"/>
  <c r="N608" i="24"/>
  <c r="C608" i="24"/>
  <c r="A608" i="24"/>
  <c r="BP607" i="24"/>
  <c r="BO607" i="24"/>
  <c r="BA607" i="24"/>
  <c r="AZ607" i="24"/>
  <c r="AW607" i="24"/>
  <c r="AV607" i="24"/>
  <c r="AG607" i="24"/>
  <c r="U607" i="24"/>
  <c r="T607" i="24"/>
  <c r="N607" i="24"/>
  <c r="C607" i="24"/>
  <c r="A607" i="24"/>
  <c r="BP606" i="24"/>
  <c r="BO606" i="24"/>
  <c r="BA606" i="24"/>
  <c r="AZ606" i="24"/>
  <c r="AW606" i="24"/>
  <c r="AV606" i="24"/>
  <c r="AG606" i="24"/>
  <c r="U606" i="24"/>
  <c r="T606" i="24"/>
  <c r="N606" i="24"/>
  <c r="C606" i="24"/>
  <c r="A606" i="24"/>
  <c r="BP605" i="24"/>
  <c r="BO605" i="24"/>
  <c r="BA605" i="24"/>
  <c r="AZ605" i="24"/>
  <c r="AW605" i="24"/>
  <c r="AV605" i="24"/>
  <c r="AG605" i="24"/>
  <c r="U605" i="24"/>
  <c r="T605" i="24"/>
  <c r="N605" i="24"/>
  <c r="C605" i="24"/>
  <c r="A605" i="24"/>
  <c r="BP604" i="24"/>
  <c r="BO604" i="24"/>
  <c r="BA604" i="24"/>
  <c r="AZ604" i="24"/>
  <c r="AW604" i="24"/>
  <c r="AV604" i="24"/>
  <c r="AG604" i="24"/>
  <c r="U604" i="24"/>
  <c r="T604" i="24"/>
  <c r="N604" i="24"/>
  <c r="C604" i="24"/>
  <c r="A604" i="24"/>
  <c r="BP603" i="24"/>
  <c r="BO603" i="24"/>
  <c r="BA603" i="24"/>
  <c r="AZ603" i="24"/>
  <c r="AW603" i="24"/>
  <c r="AV603" i="24"/>
  <c r="AG603" i="24"/>
  <c r="U603" i="24"/>
  <c r="T603" i="24"/>
  <c r="N603" i="24"/>
  <c r="C603" i="24"/>
  <c r="A603" i="24"/>
  <c r="BP602" i="24"/>
  <c r="BO602" i="24"/>
  <c r="BA602" i="24"/>
  <c r="AZ602" i="24"/>
  <c r="AW602" i="24"/>
  <c r="AV602" i="24"/>
  <c r="AG602" i="24"/>
  <c r="U602" i="24"/>
  <c r="T602" i="24"/>
  <c r="N602" i="24"/>
  <c r="C602" i="24"/>
  <c r="A602" i="24"/>
  <c r="BP601" i="24"/>
  <c r="BO601" i="24"/>
  <c r="BA601" i="24"/>
  <c r="AZ601" i="24"/>
  <c r="AW601" i="24"/>
  <c r="AV601" i="24"/>
  <c r="AG601" i="24"/>
  <c r="U601" i="24"/>
  <c r="T601" i="24"/>
  <c r="N601" i="24"/>
  <c r="C601" i="24"/>
  <c r="A601" i="24"/>
  <c r="BP600" i="24"/>
  <c r="BO600" i="24"/>
  <c r="BA600" i="24"/>
  <c r="AZ600" i="24"/>
  <c r="AW600" i="24"/>
  <c r="AV600" i="24"/>
  <c r="AG600" i="24"/>
  <c r="U600" i="24"/>
  <c r="T600" i="24"/>
  <c r="N600" i="24"/>
  <c r="C600" i="24"/>
  <c r="A600" i="24"/>
  <c r="BP599" i="24"/>
  <c r="BO599" i="24"/>
  <c r="BA599" i="24"/>
  <c r="AZ599" i="24"/>
  <c r="AW599" i="24"/>
  <c r="AV599" i="24"/>
  <c r="AG599" i="24"/>
  <c r="U599" i="24"/>
  <c r="T599" i="24"/>
  <c r="N599" i="24"/>
  <c r="C599" i="24"/>
  <c r="A599" i="24"/>
  <c r="BP598" i="24"/>
  <c r="BO598" i="24"/>
  <c r="BA598" i="24"/>
  <c r="AZ598" i="24"/>
  <c r="AW598" i="24"/>
  <c r="AV598" i="24"/>
  <c r="AG598" i="24"/>
  <c r="U598" i="24"/>
  <c r="T598" i="24"/>
  <c r="N598" i="24"/>
  <c r="C598" i="24"/>
  <c r="A598" i="24"/>
  <c r="BP597" i="24"/>
  <c r="BO597" i="24"/>
  <c r="BA597" i="24"/>
  <c r="AZ597" i="24"/>
  <c r="AW597" i="24"/>
  <c r="AV597" i="24"/>
  <c r="AG597" i="24"/>
  <c r="U597" i="24"/>
  <c r="T597" i="24"/>
  <c r="N597" i="24"/>
  <c r="C597" i="24"/>
  <c r="A597" i="24"/>
  <c r="BP596" i="24"/>
  <c r="BO596" i="24"/>
  <c r="BA596" i="24"/>
  <c r="AZ596" i="24"/>
  <c r="AW596" i="24"/>
  <c r="AV596" i="24"/>
  <c r="AG596" i="24"/>
  <c r="U596" i="24"/>
  <c r="T596" i="24"/>
  <c r="N596" i="24"/>
  <c r="C596" i="24"/>
  <c r="A596" i="24"/>
  <c r="BP595" i="24"/>
  <c r="BO595" i="24"/>
  <c r="BA595" i="24"/>
  <c r="AZ595" i="24"/>
  <c r="AW595" i="24"/>
  <c r="AV595" i="24"/>
  <c r="AG595" i="24"/>
  <c r="U595" i="24"/>
  <c r="T595" i="24"/>
  <c r="N595" i="24"/>
  <c r="C595" i="24"/>
  <c r="A595" i="24"/>
  <c r="BP594" i="24"/>
  <c r="BO594" i="24"/>
  <c r="BA594" i="24"/>
  <c r="AZ594" i="24"/>
  <c r="AW594" i="24"/>
  <c r="AV594" i="24"/>
  <c r="AG594" i="24"/>
  <c r="U594" i="24"/>
  <c r="T594" i="24"/>
  <c r="N594" i="24"/>
  <c r="C594" i="24"/>
  <c r="A594" i="24"/>
  <c r="BP593" i="24"/>
  <c r="BO593" i="24"/>
  <c r="BA593" i="24"/>
  <c r="AZ593" i="24"/>
  <c r="AW593" i="24"/>
  <c r="AV593" i="24"/>
  <c r="AG593" i="24"/>
  <c r="U593" i="24"/>
  <c r="T593" i="24"/>
  <c r="N593" i="24"/>
  <c r="C593" i="24"/>
  <c r="A593" i="24"/>
  <c r="BP592" i="24"/>
  <c r="BO592" i="24"/>
  <c r="BA592" i="24"/>
  <c r="AZ592" i="24"/>
  <c r="AW592" i="24"/>
  <c r="AV592" i="24"/>
  <c r="AG592" i="24"/>
  <c r="U592" i="24"/>
  <c r="T592" i="24"/>
  <c r="N592" i="24"/>
  <c r="C592" i="24"/>
  <c r="A592" i="24"/>
  <c r="BP591" i="24"/>
  <c r="BO591" i="24"/>
  <c r="BA591" i="24"/>
  <c r="AZ591" i="24"/>
  <c r="AW591" i="24"/>
  <c r="AV591" i="24"/>
  <c r="AG591" i="24"/>
  <c r="U591" i="24"/>
  <c r="T591" i="24"/>
  <c r="N591" i="24"/>
  <c r="C591" i="24"/>
  <c r="A591" i="24"/>
  <c r="BP590" i="24"/>
  <c r="BO590" i="24"/>
  <c r="BA590" i="24"/>
  <c r="AZ590" i="24"/>
  <c r="AW590" i="24"/>
  <c r="AV590" i="24"/>
  <c r="AG590" i="24"/>
  <c r="U590" i="24"/>
  <c r="T590" i="24"/>
  <c r="N590" i="24"/>
  <c r="C590" i="24"/>
  <c r="A590" i="24"/>
  <c r="BP589" i="24"/>
  <c r="BO589" i="24"/>
  <c r="BA589" i="24"/>
  <c r="AZ589" i="24"/>
  <c r="AW589" i="24"/>
  <c r="AV589" i="24"/>
  <c r="AG589" i="24"/>
  <c r="U589" i="24"/>
  <c r="T589" i="24"/>
  <c r="N589" i="24"/>
  <c r="C589" i="24"/>
  <c r="A589" i="24"/>
  <c r="BP588" i="24"/>
  <c r="BO588" i="24"/>
  <c r="BA588" i="24"/>
  <c r="AZ588" i="24"/>
  <c r="AW588" i="24"/>
  <c r="AV588" i="24"/>
  <c r="AG588" i="24"/>
  <c r="U588" i="24"/>
  <c r="T588" i="24"/>
  <c r="N588" i="24"/>
  <c r="C588" i="24"/>
  <c r="A588" i="24"/>
  <c r="BP587" i="24"/>
  <c r="BO587" i="24"/>
  <c r="BA587" i="24"/>
  <c r="AZ587" i="24"/>
  <c r="AW587" i="24"/>
  <c r="AV587" i="24"/>
  <c r="AG587" i="24"/>
  <c r="U587" i="24"/>
  <c r="T587" i="24"/>
  <c r="N587" i="24"/>
  <c r="C587" i="24"/>
  <c r="A587" i="24"/>
  <c r="BP586" i="24"/>
  <c r="BO586" i="24"/>
  <c r="BA586" i="24"/>
  <c r="AZ586" i="24"/>
  <c r="AW586" i="24"/>
  <c r="AV586" i="24"/>
  <c r="AG586" i="24"/>
  <c r="U586" i="24"/>
  <c r="T586" i="24"/>
  <c r="N586" i="24"/>
  <c r="C586" i="24"/>
  <c r="A586" i="24"/>
  <c r="BP585" i="24"/>
  <c r="BO585" i="24"/>
  <c r="BA585" i="24"/>
  <c r="AZ585" i="24"/>
  <c r="AW585" i="24"/>
  <c r="AV585" i="24"/>
  <c r="AG585" i="24"/>
  <c r="U585" i="24"/>
  <c r="T585" i="24"/>
  <c r="N585" i="24"/>
  <c r="C585" i="24"/>
  <c r="A585" i="24"/>
  <c r="BP584" i="24"/>
  <c r="BO584" i="24"/>
  <c r="BA584" i="24"/>
  <c r="AZ584" i="24"/>
  <c r="AW584" i="24"/>
  <c r="AV584" i="24"/>
  <c r="AG584" i="24"/>
  <c r="U584" i="24"/>
  <c r="T584" i="24"/>
  <c r="N584" i="24"/>
  <c r="C584" i="24"/>
  <c r="A584" i="24"/>
  <c r="BP583" i="24"/>
  <c r="BO583" i="24"/>
  <c r="BA583" i="24"/>
  <c r="AZ583" i="24"/>
  <c r="AW583" i="24"/>
  <c r="AV583" i="24"/>
  <c r="AG583" i="24"/>
  <c r="U583" i="24"/>
  <c r="T583" i="24"/>
  <c r="N583" i="24"/>
  <c r="C583" i="24"/>
  <c r="A583" i="24"/>
  <c r="BP582" i="24"/>
  <c r="BO582" i="24"/>
  <c r="BA582" i="24"/>
  <c r="AZ582" i="24"/>
  <c r="AW582" i="24"/>
  <c r="AV582" i="24"/>
  <c r="AG582" i="24"/>
  <c r="U582" i="24"/>
  <c r="T582" i="24"/>
  <c r="N582" i="24"/>
  <c r="C582" i="24"/>
  <c r="A582" i="24"/>
  <c r="BP581" i="24"/>
  <c r="BO581" i="24"/>
  <c r="BA581" i="24"/>
  <c r="AZ581" i="24"/>
  <c r="AW581" i="24"/>
  <c r="AV581" i="24"/>
  <c r="AG581" i="24"/>
  <c r="U581" i="24"/>
  <c r="T581" i="24"/>
  <c r="N581" i="24"/>
  <c r="C581" i="24"/>
  <c r="A581" i="24"/>
  <c r="BP580" i="24"/>
  <c r="BO580" i="24"/>
  <c r="BA580" i="24"/>
  <c r="AZ580" i="24"/>
  <c r="AW580" i="24"/>
  <c r="AV580" i="24"/>
  <c r="AG580" i="24"/>
  <c r="U580" i="24"/>
  <c r="T580" i="24"/>
  <c r="N580" i="24"/>
  <c r="C580" i="24"/>
  <c r="A580" i="24"/>
  <c r="BP579" i="24"/>
  <c r="BO579" i="24"/>
  <c r="BA579" i="24"/>
  <c r="AZ579" i="24"/>
  <c r="AW579" i="24"/>
  <c r="AV579" i="24"/>
  <c r="AG579" i="24"/>
  <c r="U579" i="24"/>
  <c r="T579" i="24"/>
  <c r="N579" i="24"/>
  <c r="C579" i="24"/>
  <c r="A579" i="24"/>
  <c r="BP578" i="24"/>
  <c r="BO578" i="24"/>
  <c r="BA578" i="24"/>
  <c r="AZ578" i="24"/>
  <c r="AW578" i="24"/>
  <c r="AV578" i="24"/>
  <c r="AG578" i="24"/>
  <c r="U578" i="24"/>
  <c r="T578" i="24"/>
  <c r="N578" i="24"/>
  <c r="C578" i="24"/>
  <c r="A578" i="24"/>
  <c r="BP577" i="24"/>
  <c r="BO577" i="24"/>
  <c r="BA577" i="24"/>
  <c r="AZ577" i="24"/>
  <c r="AW577" i="24"/>
  <c r="AV577" i="24"/>
  <c r="AG577" i="24"/>
  <c r="U577" i="24"/>
  <c r="T577" i="24"/>
  <c r="N577" i="24"/>
  <c r="C577" i="24"/>
  <c r="A577" i="24"/>
  <c r="BP576" i="24"/>
  <c r="BO576" i="24"/>
  <c r="BA576" i="24"/>
  <c r="AZ576" i="24"/>
  <c r="AW576" i="24"/>
  <c r="AV576" i="24"/>
  <c r="AG576" i="24"/>
  <c r="U576" i="24"/>
  <c r="T576" i="24"/>
  <c r="N576" i="24"/>
  <c r="C576" i="24"/>
  <c r="A576" i="24"/>
  <c r="BP575" i="24"/>
  <c r="BO575" i="24"/>
  <c r="BA575" i="24"/>
  <c r="AZ575" i="24"/>
  <c r="AW575" i="24"/>
  <c r="AV575" i="24"/>
  <c r="AG575" i="24"/>
  <c r="U575" i="24"/>
  <c r="T575" i="24"/>
  <c r="N575" i="24"/>
  <c r="C575" i="24"/>
  <c r="A575" i="24"/>
  <c r="BP574" i="24"/>
  <c r="BO574" i="24"/>
  <c r="BA574" i="24"/>
  <c r="AZ574" i="24"/>
  <c r="AW574" i="24"/>
  <c r="AV574" i="24"/>
  <c r="AG574" i="24"/>
  <c r="U574" i="24"/>
  <c r="T574" i="24"/>
  <c r="N574" i="24"/>
  <c r="C574" i="24"/>
  <c r="A574" i="24"/>
  <c r="BP573" i="24"/>
  <c r="BO573" i="24"/>
  <c r="BA573" i="24"/>
  <c r="AZ573" i="24"/>
  <c r="AW573" i="24"/>
  <c r="AV573" i="24"/>
  <c r="AG573" i="24"/>
  <c r="U573" i="24"/>
  <c r="T573" i="24"/>
  <c r="N573" i="24"/>
  <c r="C573" i="24"/>
  <c r="A573" i="24"/>
  <c r="BP572" i="24"/>
  <c r="BO572" i="24"/>
  <c r="BA572" i="24"/>
  <c r="AZ572" i="24"/>
  <c r="AW572" i="24"/>
  <c r="AV572" i="24"/>
  <c r="AG572" i="24"/>
  <c r="U572" i="24"/>
  <c r="T572" i="24"/>
  <c r="N572" i="24"/>
  <c r="C572" i="24"/>
  <c r="A572" i="24"/>
  <c r="BP571" i="24"/>
  <c r="BO571" i="24"/>
  <c r="BA571" i="24"/>
  <c r="AZ571" i="24"/>
  <c r="AW571" i="24"/>
  <c r="AV571" i="24"/>
  <c r="AG571" i="24"/>
  <c r="U571" i="24"/>
  <c r="T571" i="24"/>
  <c r="N571" i="24"/>
  <c r="C571" i="24"/>
  <c r="A571" i="24"/>
  <c r="BP570" i="24"/>
  <c r="BO570" i="24"/>
  <c r="BA570" i="24"/>
  <c r="AZ570" i="24"/>
  <c r="AW570" i="24"/>
  <c r="AV570" i="24"/>
  <c r="AG570" i="24"/>
  <c r="U570" i="24"/>
  <c r="T570" i="24"/>
  <c r="N570" i="24"/>
  <c r="C570" i="24"/>
  <c r="A570" i="24"/>
  <c r="BP569" i="24"/>
  <c r="BO569" i="24"/>
  <c r="BA569" i="24"/>
  <c r="AZ569" i="24"/>
  <c r="AW569" i="24"/>
  <c r="AV569" i="24"/>
  <c r="AG569" i="24"/>
  <c r="U569" i="24"/>
  <c r="T569" i="24"/>
  <c r="N569" i="24"/>
  <c r="C569" i="24"/>
  <c r="A569" i="24"/>
  <c r="BP568" i="24"/>
  <c r="BO568" i="24"/>
  <c r="BA568" i="24"/>
  <c r="AZ568" i="24"/>
  <c r="AW568" i="24"/>
  <c r="AV568" i="24"/>
  <c r="AG568" i="24"/>
  <c r="U568" i="24"/>
  <c r="T568" i="24"/>
  <c r="N568" i="24"/>
  <c r="C568" i="24"/>
  <c r="A568" i="24"/>
  <c r="BP567" i="24"/>
  <c r="BO567" i="24"/>
  <c r="BA567" i="24"/>
  <c r="AZ567" i="24"/>
  <c r="AW567" i="24"/>
  <c r="AV567" i="24"/>
  <c r="AG567" i="24"/>
  <c r="U567" i="24"/>
  <c r="T567" i="24"/>
  <c r="N567" i="24"/>
  <c r="C567" i="24"/>
  <c r="A567" i="24"/>
  <c r="BP566" i="24"/>
  <c r="BO566" i="24"/>
  <c r="BA566" i="24"/>
  <c r="AZ566" i="24"/>
  <c r="AW566" i="24"/>
  <c r="AV566" i="24"/>
  <c r="AG566" i="24"/>
  <c r="U566" i="24"/>
  <c r="T566" i="24"/>
  <c r="N566" i="24"/>
  <c r="C566" i="24"/>
  <c r="A566" i="24"/>
  <c r="BP565" i="24"/>
  <c r="BO565" i="24"/>
  <c r="BA565" i="24"/>
  <c r="AZ565" i="24"/>
  <c r="AW565" i="24"/>
  <c r="AV565" i="24"/>
  <c r="AG565" i="24"/>
  <c r="U565" i="24"/>
  <c r="T565" i="24"/>
  <c r="N565" i="24"/>
  <c r="C565" i="24"/>
  <c r="A565" i="24"/>
  <c r="BP564" i="24"/>
  <c r="BO564" i="24"/>
  <c r="BA564" i="24"/>
  <c r="AZ564" i="24"/>
  <c r="AW564" i="24"/>
  <c r="AV564" i="24"/>
  <c r="AG564" i="24"/>
  <c r="U564" i="24"/>
  <c r="T564" i="24"/>
  <c r="N564" i="24"/>
  <c r="C564" i="24"/>
  <c r="A564" i="24"/>
  <c r="BP563" i="24"/>
  <c r="BO563" i="24"/>
  <c r="BA563" i="24"/>
  <c r="AZ563" i="24"/>
  <c r="AW563" i="24"/>
  <c r="AV563" i="24"/>
  <c r="AG563" i="24"/>
  <c r="U563" i="24"/>
  <c r="T563" i="24"/>
  <c r="N563" i="24"/>
  <c r="C563" i="24"/>
  <c r="A563" i="24"/>
  <c r="BP562" i="24"/>
  <c r="BO562" i="24"/>
  <c r="BA562" i="24"/>
  <c r="AZ562" i="24"/>
  <c r="AW562" i="24"/>
  <c r="AV562" i="24"/>
  <c r="AG562" i="24"/>
  <c r="U562" i="24"/>
  <c r="T562" i="24"/>
  <c r="N562" i="24"/>
  <c r="C562" i="24"/>
  <c r="A562" i="24"/>
  <c r="BP561" i="24"/>
  <c r="BO561" i="24"/>
  <c r="BA561" i="24"/>
  <c r="AZ561" i="24"/>
  <c r="AW561" i="24"/>
  <c r="AV561" i="24"/>
  <c r="AG561" i="24"/>
  <c r="U561" i="24"/>
  <c r="T561" i="24"/>
  <c r="N561" i="24"/>
  <c r="C561" i="24"/>
  <c r="A561" i="24"/>
  <c r="BP560" i="24"/>
  <c r="BO560" i="24"/>
  <c r="BA560" i="24"/>
  <c r="AZ560" i="24"/>
  <c r="AW560" i="24"/>
  <c r="AV560" i="24"/>
  <c r="AG560" i="24"/>
  <c r="U560" i="24"/>
  <c r="T560" i="24"/>
  <c r="N560" i="24"/>
  <c r="C560" i="24"/>
  <c r="A560" i="24"/>
  <c r="BP559" i="24"/>
  <c r="BO559" i="24"/>
  <c r="BA559" i="24"/>
  <c r="AZ559" i="24"/>
  <c r="AW559" i="24"/>
  <c r="AV559" i="24"/>
  <c r="AG559" i="24"/>
  <c r="U559" i="24"/>
  <c r="T559" i="24"/>
  <c r="N559" i="24"/>
  <c r="C559" i="24"/>
  <c r="A559" i="24"/>
  <c r="BP558" i="24"/>
  <c r="BO558" i="24"/>
  <c r="BA558" i="24"/>
  <c r="AZ558" i="24"/>
  <c r="AW558" i="24"/>
  <c r="AV558" i="24"/>
  <c r="AG558" i="24"/>
  <c r="U558" i="24"/>
  <c r="T558" i="24"/>
  <c r="N558" i="24"/>
  <c r="C558" i="24"/>
  <c r="A558" i="24"/>
  <c r="BP557" i="24"/>
  <c r="BO557" i="24"/>
  <c r="BA557" i="24"/>
  <c r="AZ557" i="24"/>
  <c r="AW557" i="24"/>
  <c r="AV557" i="24"/>
  <c r="AG557" i="24"/>
  <c r="U557" i="24"/>
  <c r="T557" i="24"/>
  <c r="N557" i="24"/>
  <c r="C557" i="24"/>
  <c r="A557" i="24"/>
  <c r="BP556" i="24"/>
  <c r="BO556" i="24"/>
  <c r="BA556" i="24"/>
  <c r="AZ556" i="24"/>
  <c r="AW556" i="24"/>
  <c r="AV556" i="24"/>
  <c r="AG556" i="24"/>
  <c r="U556" i="24"/>
  <c r="T556" i="24"/>
  <c r="N556" i="24"/>
  <c r="C556" i="24"/>
  <c r="A556" i="24"/>
  <c r="BP555" i="24"/>
  <c r="BO555" i="24"/>
  <c r="BA555" i="24"/>
  <c r="AZ555" i="24"/>
  <c r="AW555" i="24"/>
  <c r="AV555" i="24"/>
  <c r="AG555" i="24"/>
  <c r="U555" i="24"/>
  <c r="T555" i="24"/>
  <c r="N555" i="24"/>
  <c r="C555" i="24"/>
  <c r="A555" i="24"/>
  <c r="BP554" i="24"/>
  <c r="BO554" i="24"/>
  <c r="BA554" i="24"/>
  <c r="AZ554" i="24"/>
  <c r="AW554" i="24"/>
  <c r="AV554" i="24"/>
  <c r="AG554" i="24"/>
  <c r="U554" i="24"/>
  <c r="T554" i="24"/>
  <c r="N554" i="24"/>
  <c r="C554" i="24"/>
  <c r="A554" i="24"/>
  <c r="BP553" i="24"/>
  <c r="BO553" i="24"/>
  <c r="BA553" i="24"/>
  <c r="AZ553" i="24"/>
  <c r="AW553" i="24"/>
  <c r="AV553" i="24"/>
  <c r="AG553" i="24"/>
  <c r="U553" i="24"/>
  <c r="T553" i="24"/>
  <c r="N553" i="24"/>
  <c r="C553" i="24"/>
  <c r="A553" i="24"/>
  <c r="BP552" i="24"/>
  <c r="BO552" i="24"/>
  <c r="BA552" i="24"/>
  <c r="AZ552" i="24"/>
  <c r="AW552" i="24"/>
  <c r="AV552" i="24"/>
  <c r="AG552" i="24"/>
  <c r="U552" i="24"/>
  <c r="T552" i="24"/>
  <c r="N552" i="24"/>
  <c r="C552" i="24"/>
  <c r="A552" i="24"/>
  <c r="BP551" i="24"/>
  <c r="BO551" i="24"/>
  <c r="BA551" i="24"/>
  <c r="AZ551" i="24"/>
  <c r="AW551" i="24"/>
  <c r="AV551" i="24"/>
  <c r="AG551" i="24"/>
  <c r="U551" i="24"/>
  <c r="T551" i="24"/>
  <c r="N551" i="24"/>
  <c r="C551" i="24"/>
  <c r="A551" i="24"/>
  <c r="BP550" i="24"/>
  <c r="BO550" i="24"/>
  <c r="BA550" i="24"/>
  <c r="AZ550" i="24"/>
  <c r="AW550" i="24"/>
  <c r="AV550" i="24"/>
  <c r="AG550" i="24"/>
  <c r="U550" i="24"/>
  <c r="T550" i="24"/>
  <c r="N550" i="24"/>
  <c r="C550" i="24"/>
  <c r="A550" i="24"/>
  <c r="BP549" i="24"/>
  <c r="BO549" i="24"/>
  <c r="BA549" i="24"/>
  <c r="AZ549" i="24"/>
  <c r="AW549" i="24"/>
  <c r="AV549" i="24"/>
  <c r="AG549" i="24"/>
  <c r="U549" i="24"/>
  <c r="T549" i="24"/>
  <c r="N549" i="24"/>
  <c r="C549" i="24"/>
  <c r="A549" i="24"/>
  <c r="BP548" i="24"/>
  <c r="BO548" i="24"/>
  <c r="BA548" i="24"/>
  <c r="AZ548" i="24"/>
  <c r="AW548" i="24"/>
  <c r="AV548" i="24"/>
  <c r="AG548" i="24"/>
  <c r="U548" i="24"/>
  <c r="T548" i="24"/>
  <c r="N548" i="24"/>
  <c r="C548" i="24"/>
  <c r="A548" i="24"/>
  <c r="BP547" i="24"/>
  <c r="BO547" i="24"/>
  <c r="BA547" i="24"/>
  <c r="AZ547" i="24"/>
  <c r="AW547" i="24"/>
  <c r="AV547" i="24"/>
  <c r="AG547" i="24"/>
  <c r="U547" i="24"/>
  <c r="T547" i="24"/>
  <c r="N547" i="24"/>
  <c r="C547" i="24"/>
  <c r="A547" i="24"/>
  <c r="BP546" i="24"/>
  <c r="BO546" i="24"/>
  <c r="BA546" i="24"/>
  <c r="AZ546" i="24"/>
  <c r="AW546" i="24"/>
  <c r="AV546" i="24"/>
  <c r="AG546" i="24"/>
  <c r="U546" i="24"/>
  <c r="T546" i="24"/>
  <c r="N546" i="24"/>
  <c r="C546" i="24"/>
  <c r="A546" i="24"/>
  <c r="BP545" i="24"/>
  <c r="BO545" i="24"/>
  <c r="BA545" i="24"/>
  <c r="AZ545" i="24"/>
  <c r="AW545" i="24"/>
  <c r="AV545" i="24"/>
  <c r="AG545" i="24"/>
  <c r="U545" i="24"/>
  <c r="T545" i="24"/>
  <c r="N545" i="24"/>
  <c r="C545" i="24"/>
  <c r="A545" i="24"/>
  <c r="BP544" i="24"/>
  <c r="BO544" i="24"/>
  <c r="BA544" i="24"/>
  <c r="AZ544" i="24"/>
  <c r="AW544" i="24"/>
  <c r="AV544" i="24"/>
  <c r="AG544" i="24"/>
  <c r="U544" i="24"/>
  <c r="T544" i="24"/>
  <c r="N544" i="24"/>
  <c r="C544" i="24"/>
  <c r="A544" i="24"/>
  <c r="BP543" i="24"/>
  <c r="BO543" i="24"/>
  <c r="BA543" i="24"/>
  <c r="AZ543" i="24"/>
  <c r="AW543" i="24"/>
  <c r="AV543" i="24"/>
  <c r="AG543" i="24"/>
  <c r="U543" i="24"/>
  <c r="T543" i="24"/>
  <c r="N543" i="24"/>
  <c r="C543" i="24"/>
  <c r="A543" i="24"/>
  <c r="BP542" i="24"/>
  <c r="BO542" i="24"/>
  <c r="BA542" i="24"/>
  <c r="AZ542" i="24"/>
  <c r="AW542" i="24"/>
  <c r="AV542" i="24"/>
  <c r="AG542" i="24"/>
  <c r="U542" i="24"/>
  <c r="T542" i="24"/>
  <c r="N542" i="24"/>
  <c r="C542" i="24"/>
  <c r="A542" i="24"/>
  <c r="BP541" i="24"/>
  <c r="BO541" i="24"/>
  <c r="BA541" i="24"/>
  <c r="AZ541" i="24"/>
  <c r="AW541" i="24"/>
  <c r="AV541" i="24"/>
  <c r="AG541" i="24"/>
  <c r="U541" i="24"/>
  <c r="T541" i="24"/>
  <c r="N541" i="24"/>
  <c r="C541" i="24"/>
  <c r="A541" i="24"/>
  <c r="BP540" i="24"/>
  <c r="BO540" i="24"/>
  <c r="BA540" i="24"/>
  <c r="AZ540" i="24"/>
  <c r="AW540" i="24"/>
  <c r="AV540" i="24"/>
  <c r="AG540" i="24"/>
  <c r="U540" i="24"/>
  <c r="T540" i="24"/>
  <c r="N540" i="24"/>
  <c r="C540" i="24"/>
  <c r="A540" i="24"/>
  <c r="BP539" i="24"/>
  <c r="BO539" i="24"/>
  <c r="BA539" i="24"/>
  <c r="AZ539" i="24"/>
  <c r="AW539" i="24"/>
  <c r="AV539" i="24"/>
  <c r="AG539" i="24"/>
  <c r="U539" i="24"/>
  <c r="T539" i="24"/>
  <c r="N539" i="24"/>
  <c r="C539" i="24"/>
  <c r="A539" i="24"/>
  <c r="BP538" i="24"/>
  <c r="BO538" i="24"/>
  <c r="BA538" i="24"/>
  <c r="AZ538" i="24"/>
  <c r="AW538" i="24"/>
  <c r="AV538" i="24"/>
  <c r="AG538" i="24"/>
  <c r="U538" i="24"/>
  <c r="T538" i="24"/>
  <c r="N538" i="24"/>
  <c r="C538" i="24"/>
  <c r="A538" i="24"/>
  <c r="BP537" i="24"/>
  <c r="BO537" i="24"/>
  <c r="BA537" i="24"/>
  <c r="AZ537" i="24"/>
  <c r="AW537" i="24"/>
  <c r="AV537" i="24"/>
  <c r="AG537" i="24"/>
  <c r="U537" i="24"/>
  <c r="T537" i="24"/>
  <c r="N537" i="24"/>
  <c r="C537" i="24"/>
  <c r="A537" i="24"/>
  <c r="BP536" i="24"/>
  <c r="BO536" i="24"/>
  <c r="BA536" i="24"/>
  <c r="AZ536" i="24"/>
  <c r="AW536" i="24"/>
  <c r="AV536" i="24"/>
  <c r="AG536" i="24"/>
  <c r="U536" i="24"/>
  <c r="T536" i="24"/>
  <c r="N536" i="24"/>
  <c r="C536" i="24"/>
  <c r="A536" i="24"/>
  <c r="BP535" i="24"/>
  <c r="BO535" i="24"/>
  <c r="BA535" i="24"/>
  <c r="AZ535" i="24"/>
  <c r="AW535" i="24"/>
  <c r="AV535" i="24"/>
  <c r="AG535" i="24"/>
  <c r="U535" i="24"/>
  <c r="T535" i="24"/>
  <c r="N535" i="24"/>
  <c r="C535" i="24"/>
  <c r="A535" i="24"/>
  <c r="BP534" i="24"/>
  <c r="BO534" i="24"/>
  <c r="BA534" i="24"/>
  <c r="AZ534" i="24"/>
  <c r="AW534" i="24"/>
  <c r="AV534" i="24"/>
  <c r="AG534" i="24"/>
  <c r="U534" i="24"/>
  <c r="T534" i="24"/>
  <c r="N534" i="24"/>
  <c r="C534" i="24"/>
  <c r="A534" i="24"/>
  <c r="BP533" i="24"/>
  <c r="BO533" i="24"/>
  <c r="BA533" i="24"/>
  <c r="AZ533" i="24"/>
  <c r="AW533" i="24"/>
  <c r="AV533" i="24"/>
  <c r="AG533" i="24"/>
  <c r="U533" i="24"/>
  <c r="T533" i="24"/>
  <c r="N533" i="24"/>
  <c r="C533" i="24"/>
  <c r="A533" i="24"/>
  <c r="BP532" i="24"/>
  <c r="BO532" i="24"/>
  <c r="BA532" i="24"/>
  <c r="AZ532" i="24"/>
  <c r="AW532" i="24"/>
  <c r="AV532" i="24"/>
  <c r="AG532" i="24"/>
  <c r="U532" i="24"/>
  <c r="T532" i="24"/>
  <c r="N532" i="24"/>
  <c r="C532" i="24"/>
  <c r="A532" i="24"/>
  <c r="BP531" i="24"/>
  <c r="BO531" i="24"/>
  <c r="BA531" i="24"/>
  <c r="AZ531" i="24"/>
  <c r="AW531" i="24"/>
  <c r="AV531" i="24"/>
  <c r="AG531" i="24"/>
  <c r="U531" i="24"/>
  <c r="T531" i="24"/>
  <c r="N531" i="24"/>
  <c r="C531" i="24"/>
  <c r="A531" i="24"/>
  <c r="BP530" i="24"/>
  <c r="BO530" i="24"/>
  <c r="BA530" i="24"/>
  <c r="AZ530" i="24"/>
  <c r="AW530" i="24"/>
  <c r="AV530" i="24"/>
  <c r="AG530" i="24"/>
  <c r="U530" i="24"/>
  <c r="T530" i="24"/>
  <c r="N530" i="24"/>
  <c r="C530" i="24"/>
  <c r="A530" i="24"/>
  <c r="BP529" i="24"/>
  <c r="BO529" i="24"/>
  <c r="BA529" i="24"/>
  <c r="AZ529" i="24"/>
  <c r="AW529" i="24"/>
  <c r="AV529" i="24"/>
  <c r="AG529" i="24"/>
  <c r="U529" i="24"/>
  <c r="T529" i="24"/>
  <c r="N529" i="24"/>
  <c r="C529" i="24"/>
  <c r="A529" i="24"/>
  <c r="BP528" i="24"/>
  <c r="BO528" i="24"/>
  <c r="BA528" i="24"/>
  <c r="AZ528" i="24"/>
  <c r="AW528" i="24"/>
  <c r="AV528" i="24"/>
  <c r="AG528" i="24"/>
  <c r="U528" i="24"/>
  <c r="T528" i="24"/>
  <c r="N528" i="24"/>
  <c r="C528" i="24"/>
  <c r="A528" i="24"/>
  <c r="BP527" i="24"/>
  <c r="BO527" i="24"/>
  <c r="BA527" i="24"/>
  <c r="AZ527" i="24"/>
  <c r="AW527" i="24"/>
  <c r="AV527" i="24"/>
  <c r="AG527" i="24"/>
  <c r="U527" i="24"/>
  <c r="T527" i="24"/>
  <c r="N527" i="24"/>
  <c r="C527" i="24"/>
  <c r="A527" i="24"/>
  <c r="BP526" i="24"/>
  <c r="BO526" i="24"/>
  <c r="BA526" i="24"/>
  <c r="AZ526" i="24"/>
  <c r="AW526" i="24"/>
  <c r="AV526" i="24"/>
  <c r="AG526" i="24"/>
  <c r="U526" i="24"/>
  <c r="T526" i="24"/>
  <c r="N526" i="24"/>
  <c r="C526" i="24"/>
  <c r="A526" i="24"/>
  <c r="BP525" i="24"/>
  <c r="BO525" i="24"/>
  <c r="BA525" i="24"/>
  <c r="AZ525" i="24"/>
  <c r="AW525" i="24"/>
  <c r="AV525" i="24"/>
  <c r="AG525" i="24"/>
  <c r="U525" i="24"/>
  <c r="T525" i="24"/>
  <c r="N525" i="24"/>
  <c r="C525" i="24"/>
  <c r="A525" i="24"/>
  <c r="BP524" i="24"/>
  <c r="BO524" i="24"/>
  <c r="BA524" i="24"/>
  <c r="AZ524" i="24"/>
  <c r="AW524" i="24"/>
  <c r="AV524" i="24"/>
  <c r="AG524" i="24"/>
  <c r="U524" i="24"/>
  <c r="T524" i="24"/>
  <c r="N524" i="24"/>
  <c r="C524" i="24"/>
  <c r="A524" i="24"/>
  <c r="BP523" i="24"/>
  <c r="BO523" i="24"/>
  <c r="BA523" i="24"/>
  <c r="AZ523" i="24"/>
  <c r="AW523" i="24"/>
  <c r="AV523" i="24"/>
  <c r="AG523" i="24"/>
  <c r="U523" i="24"/>
  <c r="T523" i="24"/>
  <c r="N523" i="24"/>
  <c r="C523" i="24"/>
  <c r="A523" i="24"/>
  <c r="BP522" i="24"/>
  <c r="BO522" i="24"/>
  <c r="BA522" i="24"/>
  <c r="AZ522" i="24"/>
  <c r="AW522" i="24"/>
  <c r="AV522" i="24"/>
  <c r="AG522" i="24"/>
  <c r="U522" i="24"/>
  <c r="T522" i="24"/>
  <c r="N522" i="24"/>
  <c r="C522" i="24"/>
  <c r="A522" i="24"/>
  <c r="BP521" i="24"/>
  <c r="BO521" i="24"/>
  <c r="BA521" i="24"/>
  <c r="AZ521" i="24"/>
  <c r="AW521" i="24"/>
  <c r="AV521" i="24"/>
  <c r="AG521" i="24"/>
  <c r="U521" i="24"/>
  <c r="T521" i="24"/>
  <c r="N521" i="24"/>
  <c r="C521" i="24"/>
  <c r="A521" i="24"/>
  <c r="BP520" i="24"/>
  <c r="BO520" i="24"/>
  <c r="BA520" i="24"/>
  <c r="AZ520" i="24"/>
  <c r="AW520" i="24"/>
  <c r="AV520" i="24"/>
  <c r="AG520" i="24"/>
  <c r="U520" i="24"/>
  <c r="T520" i="24"/>
  <c r="N520" i="24"/>
  <c r="C520" i="24"/>
  <c r="A520" i="24"/>
  <c r="BP519" i="24"/>
  <c r="BO519" i="24"/>
  <c r="BA519" i="24"/>
  <c r="AZ519" i="24"/>
  <c r="AW519" i="24"/>
  <c r="AV519" i="24"/>
  <c r="AG519" i="24"/>
  <c r="U519" i="24"/>
  <c r="T519" i="24"/>
  <c r="N519" i="24"/>
  <c r="C519" i="24"/>
  <c r="A519" i="24"/>
  <c r="BP518" i="24"/>
  <c r="BO518" i="24"/>
  <c r="BA518" i="24"/>
  <c r="AZ518" i="24"/>
  <c r="AW518" i="24"/>
  <c r="AV518" i="24"/>
  <c r="AG518" i="24"/>
  <c r="U518" i="24"/>
  <c r="T518" i="24"/>
  <c r="N518" i="24"/>
  <c r="C518" i="24"/>
  <c r="A518" i="24"/>
  <c r="BP517" i="24"/>
  <c r="BO517" i="24"/>
  <c r="BA517" i="24"/>
  <c r="AZ517" i="24"/>
  <c r="AW517" i="24"/>
  <c r="AV517" i="24"/>
  <c r="AG517" i="24"/>
  <c r="U517" i="24"/>
  <c r="T517" i="24"/>
  <c r="N517" i="24"/>
  <c r="C517" i="24"/>
  <c r="A517" i="24"/>
  <c r="BP516" i="24"/>
  <c r="BO516" i="24"/>
  <c r="BA516" i="24"/>
  <c r="AZ516" i="24"/>
  <c r="AW516" i="24"/>
  <c r="AV516" i="24"/>
  <c r="AG516" i="24"/>
  <c r="U516" i="24"/>
  <c r="T516" i="24"/>
  <c r="N516" i="24"/>
  <c r="C516" i="24"/>
  <c r="A516" i="24"/>
  <c r="BP515" i="24"/>
  <c r="BO515" i="24"/>
  <c r="BA515" i="24"/>
  <c r="AZ515" i="24"/>
  <c r="AW515" i="24"/>
  <c r="AV515" i="24"/>
  <c r="AG515" i="24"/>
  <c r="U515" i="24"/>
  <c r="T515" i="24"/>
  <c r="N515" i="24"/>
  <c r="C515" i="24"/>
  <c r="A515" i="24"/>
  <c r="BP514" i="24"/>
  <c r="BO514" i="24"/>
  <c r="BA514" i="24"/>
  <c r="AZ514" i="24"/>
  <c r="AW514" i="24"/>
  <c r="AV514" i="24"/>
  <c r="AG514" i="24"/>
  <c r="U514" i="24"/>
  <c r="T514" i="24"/>
  <c r="N514" i="24"/>
  <c r="C514" i="24"/>
  <c r="A514" i="24"/>
  <c r="BP513" i="24"/>
  <c r="BO513" i="24"/>
  <c r="BA513" i="24"/>
  <c r="AZ513" i="24"/>
  <c r="AW513" i="24"/>
  <c r="AV513" i="24"/>
  <c r="AG513" i="24"/>
  <c r="U513" i="24"/>
  <c r="T513" i="24"/>
  <c r="N513" i="24"/>
  <c r="C513" i="24"/>
  <c r="A513" i="24"/>
  <c r="BP512" i="24"/>
  <c r="BO512" i="24"/>
  <c r="BA512" i="24"/>
  <c r="AZ512" i="24"/>
  <c r="AW512" i="24"/>
  <c r="AV512" i="24"/>
  <c r="AG512" i="24"/>
  <c r="U512" i="24"/>
  <c r="T512" i="24"/>
  <c r="N512" i="24"/>
  <c r="C512" i="24"/>
  <c r="A512" i="24"/>
  <c r="BP511" i="24"/>
  <c r="BO511" i="24"/>
  <c r="BA511" i="24"/>
  <c r="AZ511" i="24"/>
  <c r="AW511" i="24"/>
  <c r="AV511" i="24"/>
  <c r="AG511" i="24"/>
  <c r="U511" i="24"/>
  <c r="T511" i="24"/>
  <c r="N511" i="24"/>
  <c r="C511" i="24"/>
  <c r="A511" i="24"/>
  <c r="BP510" i="24"/>
  <c r="BO510" i="24"/>
  <c r="BA510" i="24"/>
  <c r="AZ510" i="24"/>
  <c r="AW510" i="24"/>
  <c r="AV510" i="24"/>
  <c r="AG510" i="24"/>
  <c r="U510" i="24"/>
  <c r="T510" i="24"/>
  <c r="N510" i="24"/>
  <c r="C510" i="24"/>
  <c r="A510" i="24"/>
  <c r="BP509" i="24"/>
  <c r="BO509" i="24"/>
  <c r="BA509" i="24"/>
  <c r="AZ509" i="24"/>
  <c r="AW509" i="24"/>
  <c r="AV509" i="24"/>
  <c r="AG509" i="24"/>
  <c r="U509" i="24"/>
  <c r="T509" i="24"/>
  <c r="N509" i="24"/>
  <c r="C509" i="24"/>
  <c r="A509" i="24"/>
  <c r="BP508" i="24"/>
  <c r="BO508" i="24"/>
  <c r="BA508" i="24"/>
  <c r="AZ508" i="24"/>
  <c r="AW508" i="24"/>
  <c r="AV508" i="24"/>
  <c r="AG508" i="24"/>
  <c r="U508" i="24"/>
  <c r="T508" i="24"/>
  <c r="N508" i="24"/>
  <c r="C508" i="24"/>
  <c r="A508" i="24"/>
  <c r="BP507" i="24"/>
  <c r="BO507" i="24"/>
  <c r="BA507" i="24"/>
  <c r="AZ507" i="24"/>
  <c r="AW507" i="24"/>
  <c r="AV507" i="24"/>
  <c r="AG507" i="24"/>
  <c r="U507" i="24"/>
  <c r="T507" i="24"/>
  <c r="N507" i="24"/>
  <c r="C507" i="24"/>
  <c r="A507" i="24"/>
  <c r="BP506" i="24"/>
  <c r="BO506" i="24"/>
  <c r="BA506" i="24"/>
  <c r="AZ506" i="24"/>
  <c r="AW506" i="24"/>
  <c r="AV506" i="24"/>
  <c r="AG506" i="24"/>
  <c r="U506" i="24"/>
  <c r="T506" i="24"/>
  <c r="N506" i="24"/>
  <c r="C506" i="24"/>
  <c r="A506" i="24"/>
  <c r="BP505" i="24"/>
  <c r="BO505" i="24"/>
  <c r="BA505" i="24"/>
  <c r="AZ505" i="24"/>
  <c r="AW505" i="24"/>
  <c r="AV505" i="24"/>
  <c r="AG505" i="24"/>
  <c r="U505" i="24"/>
  <c r="T505" i="24"/>
  <c r="N505" i="24"/>
  <c r="C505" i="24"/>
  <c r="A505" i="24"/>
  <c r="BP504" i="24"/>
  <c r="BO504" i="24"/>
  <c r="BA504" i="24"/>
  <c r="AZ504" i="24"/>
  <c r="AW504" i="24"/>
  <c r="AV504" i="24"/>
  <c r="AG504" i="24"/>
  <c r="U504" i="24"/>
  <c r="T504" i="24"/>
  <c r="N504" i="24"/>
  <c r="C504" i="24"/>
  <c r="A504" i="24"/>
  <c r="BP503" i="24"/>
  <c r="BO503" i="24"/>
  <c r="BA503" i="24"/>
  <c r="AZ503" i="24"/>
  <c r="AW503" i="24"/>
  <c r="AV503" i="24"/>
  <c r="AG503" i="24"/>
  <c r="U503" i="24"/>
  <c r="T503" i="24"/>
  <c r="N503" i="24"/>
  <c r="C503" i="24"/>
  <c r="A503" i="24"/>
  <c r="BP502" i="24"/>
  <c r="BO502" i="24"/>
  <c r="BA502" i="24"/>
  <c r="AZ502" i="24"/>
  <c r="AW502" i="24"/>
  <c r="AV502" i="24"/>
  <c r="AG502" i="24"/>
  <c r="U502" i="24"/>
  <c r="T502" i="24"/>
  <c r="N502" i="24"/>
  <c r="C502" i="24"/>
  <c r="A502" i="24"/>
  <c r="BP501" i="24"/>
  <c r="BO501" i="24"/>
  <c r="BA501" i="24"/>
  <c r="AZ501" i="24"/>
  <c r="AW501" i="24"/>
  <c r="AV501" i="24"/>
  <c r="AG501" i="24"/>
  <c r="U501" i="24"/>
  <c r="T501" i="24"/>
  <c r="N501" i="24"/>
  <c r="C501" i="24"/>
  <c r="A501" i="24"/>
  <c r="BP500" i="24"/>
  <c r="BO500" i="24"/>
  <c r="BA500" i="24"/>
  <c r="AZ500" i="24"/>
  <c r="AW500" i="24"/>
  <c r="AV500" i="24"/>
  <c r="AG500" i="24"/>
  <c r="U500" i="24"/>
  <c r="T500" i="24"/>
  <c r="N500" i="24"/>
  <c r="C500" i="24"/>
  <c r="A500" i="24"/>
  <c r="BP499" i="24"/>
  <c r="BO499" i="24"/>
  <c r="BA499" i="24"/>
  <c r="AZ499" i="24"/>
  <c r="AW499" i="24"/>
  <c r="AV499" i="24"/>
  <c r="AG499" i="24"/>
  <c r="U499" i="24"/>
  <c r="T499" i="24"/>
  <c r="N499" i="24"/>
  <c r="C499" i="24"/>
  <c r="A499" i="24"/>
  <c r="BP498" i="24"/>
  <c r="BO498" i="24"/>
  <c r="BA498" i="24"/>
  <c r="AZ498" i="24"/>
  <c r="AW498" i="24"/>
  <c r="AV498" i="24"/>
  <c r="AG498" i="24"/>
  <c r="U498" i="24"/>
  <c r="T498" i="24"/>
  <c r="N498" i="24"/>
  <c r="C498" i="24"/>
  <c r="A498" i="24"/>
  <c r="BP497" i="24"/>
  <c r="BO497" i="24"/>
  <c r="BA497" i="24"/>
  <c r="AZ497" i="24"/>
  <c r="AW497" i="24"/>
  <c r="AV497" i="24"/>
  <c r="AG497" i="24"/>
  <c r="U497" i="24"/>
  <c r="T497" i="24"/>
  <c r="N497" i="24"/>
  <c r="C497" i="24"/>
  <c r="A497" i="24"/>
  <c r="BP496" i="24"/>
  <c r="BO496" i="24"/>
  <c r="BA496" i="24"/>
  <c r="AZ496" i="24"/>
  <c r="AW496" i="24"/>
  <c r="AV496" i="24"/>
  <c r="AG496" i="24"/>
  <c r="U496" i="24"/>
  <c r="T496" i="24"/>
  <c r="N496" i="24"/>
  <c r="C496" i="24"/>
  <c r="A496" i="24"/>
  <c r="BP495" i="24"/>
  <c r="BO495" i="24"/>
  <c r="BA495" i="24"/>
  <c r="AZ495" i="24"/>
  <c r="AW495" i="24"/>
  <c r="AV495" i="24"/>
  <c r="AG495" i="24"/>
  <c r="U495" i="24"/>
  <c r="T495" i="24"/>
  <c r="N495" i="24"/>
  <c r="C495" i="24"/>
  <c r="A495" i="24"/>
  <c r="BP494" i="24"/>
  <c r="BO494" i="24"/>
  <c r="BA494" i="24"/>
  <c r="AZ494" i="24"/>
  <c r="AW494" i="24"/>
  <c r="AV494" i="24"/>
  <c r="AG494" i="24"/>
  <c r="U494" i="24"/>
  <c r="T494" i="24"/>
  <c r="N494" i="24"/>
  <c r="C494" i="24"/>
  <c r="A494" i="24"/>
  <c r="BP493" i="24"/>
  <c r="BO493" i="24"/>
  <c r="BA493" i="24"/>
  <c r="AZ493" i="24"/>
  <c r="AW493" i="24"/>
  <c r="AV493" i="24"/>
  <c r="AG493" i="24"/>
  <c r="U493" i="24"/>
  <c r="T493" i="24"/>
  <c r="N493" i="24"/>
  <c r="C493" i="24"/>
  <c r="A493" i="24"/>
  <c r="BP492" i="24"/>
  <c r="BO492" i="24"/>
  <c r="BA492" i="24"/>
  <c r="AZ492" i="24"/>
  <c r="AW492" i="24"/>
  <c r="AV492" i="24"/>
  <c r="AG492" i="24"/>
  <c r="U492" i="24"/>
  <c r="T492" i="24"/>
  <c r="N492" i="24"/>
  <c r="C492" i="24"/>
  <c r="A492" i="24"/>
  <c r="BP491" i="24"/>
  <c r="BO491" i="24"/>
  <c r="BA491" i="24"/>
  <c r="AZ491" i="24"/>
  <c r="AW491" i="24"/>
  <c r="AV491" i="24"/>
  <c r="AG491" i="24"/>
  <c r="U491" i="24"/>
  <c r="T491" i="24"/>
  <c r="N491" i="24"/>
  <c r="C491" i="24"/>
  <c r="A491" i="24"/>
  <c r="BP490" i="24"/>
  <c r="BO490" i="24"/>
  <c r="BA490" i="24"/>
  <c r="AZ490" i="24"/>
  <c r="AW490" i="24"/>
  <c r="AV490" i="24"/>
  <c r="AG490" i="24"/>
  <c r="U490" i="24"/>
  <c r="T490" i="24"/>
  <c r="N490" i="24"/>
  <c r="C490" i="24"/>
  <c r="A490" i="24"/>
  <c r="BP489" i="24"/>
  <c r="BO489" i="24"/>
  <c r="BA489" i="24"/>
  <c r="AZ489" i="24"/>
  <c r="AW489" i="24"/>
  <c r="AV489" i="24"/>
  <c r="AG489" i="24"/>
  <c r="U489" i="24"/>
  <c r="T489" i="24"/>
  <c r="N489" i="24"/>
  <c r="C489" i="24"/>
  <c r="A489" i="24"/>
  <c r="BP488" i="24"/>
  <c r="BO488" i="24"/>
  <c r="BA488" i="24"/>
  <c r="AZ488" i="24"/>
  <c r="AW488" i="24"/>
  <c r="AV488" i="24"/>
  <c r="AG488" i="24"/>
  <c r="U488" i="24"/>
  <c r="T488" i="24"/>
  <c r="N488" i="24"/>
  <c r="C488" i="24"/>
  <c r="A488" i="24"/>
  <c r="BP487" i="24"/>
  <c r="BO487" i="24"/>
  <c r="BA487" i="24"/>
  <c r="AZ487" i="24"/>
  <c r="AW487" i="24"/>
  <c r="AV487" i="24"/>
  <c r="AG487" i="24"/>
  <c r="U487" i="24"/>
  <c r="T487" i="24"/>
  <c r="N487" i="24"/>
  <c r="C487" i="24"/>
  <c r="A487" i="24"/>
  <c r="BP486" i="24"/>
  <c r="BO486" i="24"/>
  <c r="BA486" i="24"/>
  <c r="AZ486" i="24"/>
  <c r="AW486" i="24"/>
  <c r="AV486" i="24"/>
  <c r="AG486" i="24"/>
  <c r="U486" i="24"/>
  <c r="T486" i="24"/>
  <c r="N486" i="24"/>
  <c r="C486" i="24"/>
  <c r="A486" i="24"/>
  <c r="BP485" i="24"/>
  <c r="BO485" i="24"/>
  <c r="BA485" i="24"/>
  <c r="AZ485" i="24"/>
  <c r="AW485" i="24"/>
  <c r="AV485" i="24"/>
  <c r="AG485" i="24"/>
  <c r="U485" i="24"/>
  <c r="T485" i="24"/>
  <c r="N485" i="24"/>
  <c r="C485" i="24"/>
  <c r="A485" i="24"/>
  <c r="BP484" i="24"/>
  <c r="BO484" i="24"/>
  <c r="BA484" i="24"/>
  <c r="AZ484" i="24"/>
  <c r="AW484" i="24"/>
  <c r="AV484" i="24"/>
  <c r="AG484" i="24"/>
  <c r="U484" i="24"/>
  <c r="T484" i="24"/>
  <c r="N484" i="24"/>
  <c r="C484" i="24"/>
  <c r="A484" i="24"/>
  <c r="BP483" i="24"/>
  <c r="BO483" i="24"/>
  <c r="BA483" i="24"/>
  <c r="AZ483" i="24"/>
  <c r="AW483" i="24"/>
  <c r="AV483" i="24"/>
  <c r="AG483" i="24"/>
  <c r="U483" i="24"/>
  <c r="T483" i="24"/>
  <c r="N483" i="24"/>
  <c r="C483" i="24"/>
  <c r="A483" i="24"/>
  <c r="BP482" i="24"/>
  <c r="BO482" i="24"/>
  <c r="BA482" i="24"/>
  <c r="AZ482" i="24"/>
  <c r="AW482" i="24"/>
  <c r="AV482" i="24"/>
  <c r="AG482" i="24"/>
  <c r="U482" i="24"/>
  <c r="T482" i="24"/>
  <c r="N482" i="24"/>
  <c r="C482" i="24"/>
  <c r="A482" i="24"/>
  <c r="BP481" i="24"/>
  <c r="BO481" i="24"/>
  <c r="BA481" i="24"/>
  <c r="AZ481" i="24"/>
  <c r="AW481" i="24"/>
  <c r="AV481" i="24"/>
  <c r="AG481" i="24"/>
  <c r="U481" i="24"/>
  <c r="T481" i="24"/>
  <c r="N481" i="24"/>
  <c r="C481" i="24"/>
  <c r="A481" i="24"/>
  <c r="BP480" i="24"/>
  <c r="BO480" i="24"/>
  <c r="BA480" i="24"/>
  <c r="AZ480" i="24"/>
  <c r="AW480" i="24"/>
  <c r="AV480" i="24"/>
  <c r="AG480" i="24"/>
  <c r="U480" i="24"/>
  <c r="T480" i="24"/>
  <c r="N480" i="24"/>
  <c r="C480" i="24"/>
  <c r="A480" i="24"/>
  <c r="BP479" i="24"/>
  <c r="BO479" i="24"/>
  <c r="BA479" i="24"/>
  <c r="AZ479" i="24"/>
  <c r="AW479" i="24"/>
  <c r="AV479" i="24"/>
  <c r="AG479" i="24"/>
  <c r="U479" i="24"/>
  <c r="T479" i="24"/>
  <c r="N479" i="24"/>
  <c r="C479" i="24"/>
  <c r="A479" i="24"/>
  <c r="BP478" i="24"/>
  <c r="BO478" i="24"/>
  <c r="BA478" i="24"/>
  <c r="AZ478" i="24"/>
  <c r="AW478" i="24"/>
  <c r="AV478" i="24"/>
  <c r="AG478" i="24"/>
  <c r="U478" i="24"/>
  <c r="T478" i="24"/>
  <c r="N478" i="24"/>
  <c r="C478" i="24"/>
  <c r="A478" i="24"/>
  <c r="BP477" i="24"/>
  <c r="BO477" i="24"/>
  <c r="BA477" i="24"/>
  <c r="AZ477" i="24"/>
  <c r="AW477" i="24"/>
  <c r="AV477" i="24"/>
  <c r="AG477" i="24"/>
  <c r="U477" i="24"/>
  <c r="T477" i="24"/>
  <c r="N477" i="24"/>
  <c r="C477" i="24"/>
  <c r="A477" i="24"/>
  <c r="BP476" i="24"/>
  <c r="BO476" i="24"/>
  <c r="BA476" i="24"/>
  <c r="AZ476" i="24"/>
  <c r="AW476" i="24"/>
  <c r="AV476" i="24"/>
  <c r="AG476" i="24"/>
  <c r="U476" i="24"/>
  <c r="T476" i="24"/>
  <c r="N476" i="24"/>
  <c r="C476" i="24"/>
  <c r="A476" i="24"/>
  <c r="BP475" i="24"/>
  <c r="BO475" i="24"/>
  <c r="BA475" i="24"/>
  <c r="AZ475" i="24"/>
  <c r="AW475" i="24"/>
  <c r="AV475" i="24"/>
  <c r="AG475" i="24"/>
  <c r="U475" i="24"/>
  <c r="T475" i="24"/>
  <c r="N475" i="24"/>
  <c r="C475" i="24"/>
  <c r="A475" i="24"/>
  <c r="BP474" i="24"/>
  <c r="BO474" i="24"/>
  <c r="BA474" i="24"/>
  <c r="AZ474" i="24"/>
  <c r="AW474" i="24"/>
  <c r="AV474" i="24"/>
  <c r="AG474" i="24"/>
  <c r="U474" i="24"/>
  <c r="T474" i="24"/>
  <c r="N474" i="24"/>
  <c r="C474" i="24"/>
  <c r="A474" i="24"/>
  <c r="BP473" i="24"/>
  <c r="BO473" i="24"/>
  <c r="BA473" i="24"/>
  <c r="AZ473" i="24"/>
  <c r="AW473" i="24"/>
  <c r="AV473" i="24"/>
  <c r="AG473" i="24"/>
  <c r="U473" i="24"/>
  <c r="T473" i="24"/>
  <c r="N473" i="24"/>
  <c r="C473" i="24"/>
  <c r="A473" i="24"/>
  <c r="BP472" i="24"/>
  <c r="BO472" i="24"/>
  <c r="BA472" i="24"/>
  <c r="AZ472" i="24"/>
  <c r="AW472" i="24"/>
  <c r="AV472" i="24"/>
  <c r="AG472" i="24"/>
  <c r="U472" i="24"/>
  <c r="T472" i="24"/>
  <c r="N472" i="24"/>
  <c r="C472" i="24"/>
  <c r="A472" i="24"/>
  <c r="BP471" i="24"/>
  <c r="BO471" i="24"/>
  <c r="BA471" i="24"/>
  <c r="AZ471" i="24"/>
  <c r="AW471" i="24"/>
  <c r="AV471" i="24"/>
  <c r="AG471" i="24"/>
  <c r="U471" i="24"/>
  <c r="T471" i="24"/>
  <c r="N471" i="24"/>
  <c r="C471" i="24"/>
  <c r="A471" i="24"/>
  <c r="BP470" i="24"/>
  <c r="BO470" i="24"/>
  <c r="BA470" i="24"/>
  <c r="AZ470" i="24"/>
  <c r="AW470" i="24"/>
  <c r="AV470" i="24"/>
  <c r="AG470" i="24"/>
  <c r="U470" i="24"/>
  <c r="T470" i="24"/>
  <c r="N470" i="24"/>
  <c r="C470" i="24"/>
  <c r="A470" i="24"/>
  <c r="BP469" i="24"/>
  <c r="BO469" i="24"/>
  <c r="BA469" i="24"/>
  <c r="AZ469" i="24"/>
  <c r="AW469" i="24"/>
  <c r="AV469" i="24"/>
  <c r="AG469" i="24"/>
  <c r="U469" i="24"/>
  <c r="T469" i="24"/>
  <c r="N469" i="24"/>
  <c r="C469" i="24"/>
  <c r="A469" i="24"/>
  <c r="BP468" i="24"/>
  <c r="BO468" i="24"/>
  <c r="BA468" i="24"/>
  <c r="AZ468" i="24"/>
  <c r="AW468" i="24"/>
  <c r="AV468" i="24"/>
  <c r="AG468" i="24"/>
  <c r="U468" i="24"/>
  <c r="T468" i="24"/>
  <c r="N468" i="24"/>
  <c r="C468" i="24"/>
  <c r="A468" i="24"/>
  <c r="BP467" i="24"/>
  <c r="BO467" i="24"/>
  <c r="BA467" i="24"/>
  <c r="AZ467" i="24"/>
  <c r="AW467" i="24"/>
  <c r="AV467" i="24"/>
  <c r="AG467" i="24"/>
  <c r="U467" i="24"/>
  <c r="T467" i="24"/>
  <c r="N467" i="24"/>
  <c r="C467" i="24"/>
  <c r="A467" i="24"/>
  <c r="BP466" i="24"/>
  <c r="BO466" i="24"/>
  <c r="BA466" i="24"/>
  <c r="AZ466" i="24"/>
  <c r="AW466" i="24"/>
  <c r="AV466" i="24"/>
  <c r="AG466" i="24"/>
  <c r="U466" i="24"/>
  <c r="T466" i="24"/>
  <c r="N466" i="24"/>
  <c r="C466" i="24"/>
  <c r="A466" i="24"/>
  <c r="BP465" i="24"/>
  <c r="BO465" i="24"/>
  <c r="BA465" i="24"/>
  <c r="AZ465" i="24"/>
  <c r="AW465" i="24"/>
  <c r="AV465" i="24"/>
  <c r="AG465" i="24"/>
  <c r="U465" i="24"/>
  <c r="T465" i="24"/>
  <c r="N465" i="24"/>
  <c r="C465" i="24"/>
  <c r="A465" i="24"/>
  <c r="BP464" i="24"/>
  <c r="BO464" i="24"/>
  <c r="BA464" i="24"/>
  <c r="AZ464" i="24"/>
  <c r="AW464" i="24"/>
  <c r="AV464" i="24"/>
  <c r="AG464" i="24"/>
  <c r="U464" i="24"/>
  <c r="T464" i="24"/>
  <c r="N464" i="24"/>
  <c r="C464" i="24"/>
  <c r="A464" i="24"/>
  <c r="BP463" i="24"/>
  <c r="BO463" i="24"/>
  <c r="BA463" i="24"/>
  <c r="AZ463" i="24"/>
  <c r="AW463" i="24"/>
  <c r="AV463" i="24"/>
  <c r="AG463" i="24"/>
  <c r="U463" i="24"/>
  <c r="T463" i="24"/>
  <c r="N463" i="24"/>
  <c r="C463" i="24"/>
  <c r="A463" i="24"/>
  <c r="BP462" i="24"/>
  <c r="BO462" i="24"/>
  <c r="BA462" i="24"/>
  <c r="AZ462" i="24"/>
  <c r="AW462" i="24"/>
  <c r="AV462" i="24"/>
  <c r="AG462" i="24"/>
  <c r="U462" i="24"/>
  <c r="T462" i="24"/>
  <c r="N462" i="24"/>
  <c r="C462" i="24"/>
  <c r="A462" i="24"/>
  <c r="BP461" i="24"/>
  <c r="BO461" i="24"/>
  <c r="BA461" i="24"/>
  <c r="AZ461" i="24"/>
  <c r="AW461" i="24"/>
  <c r="AV461" i="24"/>
  <c r="AG461" i="24"/>
  <c r="U461" i="24"/>
  <c r="T461" i="24"/>
  <c r="N461" i="24"/>
  <c r="C461" i="24"/>
  <c r="A461" i="24"/>
  <c r="BP460" i="24"/>
  <c r="BO460" i="24"/>
  <c r="BA460" i="24"/>
  <c r="AZ460" i="24"/>
  <c r="AW460" i="24"/>
  <c r="AV460" i="24"/>
  <c r="AG460" i="24"/>
  <c r="U460" i="24"/>
  <c r="T460" i="24"/>
  <c r="N460" i="24"/>
  <c r="C460" i="24"/>
  <c r="A460" i="24"/>
  <c r="BP459" i="24"/>
  <c r="BO459" i="24"/>
  <c r="BA459" i="24"/>
  <c r="AZ459" i="24"/>
  <c r="AW459" i="24"/>
  <c r="AV459" i="24"/>
  <c r="AG459" i="24"/>
  <c r="U459" i="24"/>
  <c r="T459" i="24"/>
  <c r="N459" i="24"/>
  <c r="C459" i="24"/>
  <c r="A459" i="24"/>
  <c r="BP458" i="24"/>
  <c r="BO458" i="24"/>
  <c r="BA458" i="24"/>
  <c r="AZ458" i="24"/>
  <c r="AW458" i="24"/>
  <c r="AV458" i="24"/>
  <c r="AG458" i="24"/>
  <c r="U458" i="24"/>
  <c r="T458" i="24"/>
  <c r="N458" i="24"/>
  <c r="C458" i="24"/>
  <c r="A458" i="24"/>
  <c r="BP457" i="24"/>
  <c r="BO457" i="24"/>
  <c r="BA457" i="24"/>
  <c r="AZ457" i="24"/>
  <c r="AW457" i="24"/>
  <c r="AV457" i="24"/>
  <c r="AG457" i="24"/>
  <c r="U457" i="24"/>
  <c r="T457" i="24"/>
  <c r="N457" i="24"/>
  <c r="C457" i="24"/>
  <c r="A457" i="24"/>
  <c r="BP456" i="24"/>
  <c r="BO456" i="24"/>
  <c r="BA456" i="24"/>
  <c r="AZ456" i="24"/>
  <c r="AW456" i="24"/>
  <c r="AV456" i="24"/>
  <c r="AG456" i="24"/>
  <c r="U456" i="24"/>
  <c r="T456" i="24"/>
  <c r="N456" i="24"/>
  <c r="C456" i="24"/>
  <c r="A456" i="24"/>
  <c r="BP455" i="24"/>
  <c r="BO455" i="24"/>
  <c r="BA455" i="24"/>
  <c r="AZ455" i="24"/>
  <c r="AW455" i="24"/>
  <c r="AV455" i="24"/>
  <c r="AG455" i="24"/>
  <c r="U455" i="24"/>
  <c r="T455" i="24"/>
  <c r="N455" i="24"/>
  <c r="C455" i="24"/>
  <c r="A455" i="24"/>
  <c r="BP454" i="24"/>
  <c r="BO454" i="24"/>
  <c r="BA454" i="24"/>
  <c r="AZ454" i="24"/>
  <c r="AW454" i="24"/>
  <c r="AV454" i="24"/>
  <c r="AG454" i="24"/>
  <c r="U454" i="24"/>
  <c r="T454" i="24"/>
  <c r="N454" i="24"/>
  <c r="C454" i="24"/>
  <c r="A454" i="24"/>
  <c r="BP453" i="24"/>
  <c r="BO453" i="24"/>
  <c r="BA453" i="24"/>
  <c r="AZ453" i="24"/>
  <c r="AW453" i="24"/>
  <c r="AV453" i="24"/>
  <c r="AG453" i="24"/>
  <c r="U453" i="24"/>
  <c r="T453" i="24"/>
  <c r="N453" i="24"/>
  <c r="C453" i="24"/>
  <c r="A453" i="24"/>
  <c r="BP452" i="24"/>
  <c r="BO452" i="24"/>
  <c r="BA452" i="24"/>
  <c r="AZ452" i="24"/>
  <c r="AW452" i="24"/>
  <c r="AV452" i="24"/>
  <c r="AG452" i="24"/>
  <c r="U452" i="24"/>
  <c r="T452" i="24"/>
  <c r="N452" i="24"/>
  <c r="C452" i="24"/>
  <c r="A452" i="24"/>
  <c r="BP451" i="24"/>
  <c r="BO451" i="24"/>
  <c r="BA451" i="24"/>
  <c r="AZ451" i="24"/>
  <c r="AW451" i="24"/>
  <c r="AV451" i="24"/>
  <c r="AG451" i="24"/>
  <c r="U451" i="24"/>
  <c r="T451" i="24"/>
  <c r="N451" i="24"/>
  <c r="C451" i="24"/>
  <c r="A451" i="24"/>
  <c r="BP450" i="24"/>
  <c r="BO450" i="24"/>
  <c r="BA450" i="24"/>
  <c r="AZ450" i="24"/>
  <c r="AW450" i="24"/>
  <c r="AV450" i="24"/>
  <c r="AG450" i="24"/>
  <c r="U450" i="24"/>
  <c r="T450" i="24"/>
  <c r="N450" i="24"/>
  <c r="C450" i="24"/>
  <c r="A450" i="24"/>
  <c r="BP449" i="24"/>
  <c r="BO449" i="24"/>
  <c r="BA449" i="24"/>
  <c r="AZ449" i="24"/>
  <c r="AW449" i="24"/>
  <c r="AV449" i="24"/>
  <c r="AG449" i="24"/>
  <c r="U449" i="24"/>
  <c r="T449" i="24"/>
  <c r="N449" i="24"/>
  <c r="C449" i="24"/>
  <c r="A449" i="24"/>
  <c r="BP448" i="24"/>
  <c r="BO448" i="24"/>
  <c r="BA448" i="24"/>
  <c r="AZ448" i="24"/>
  <c r="AW448" i="24"/>
  <c r="AV448" i="24"/>
  <c r="AG448" i="24"/>
  <c r="U448" i="24"/>
  <c r="T448" i="24"/>
  <c r="N448" i="24"/>
  <c r="C448" i="24"/>
  <c r="A448" i="24"/>
  <c r="BP447" i="24"/>
  <c r="BO447" i="24"/>
  <c r="BA447" i="24"/>
  <c r="AZ447" i="24"/>
  <c r="AW447" i="24"/>
  <c r="AV447" i="24"/>
  <c r="AG447" i="24"/>
  <c r="U447" i="24"/>
  <c r="T447" i="24"/>
  <c r="N447" i="24"/>
  <c r="C447" i="24"/>
  <c r="A447" i="24"/>
  <c r="BP446" i="24"/>
  <c r="BO446" i="24"/>
  <c r="BA446" i="24"/>
  <c r="AZ446" i="24"/>
  <c r="AW446" i="24"/>
  <c r="AV446" i="24"/>
  <c r="AG446" i="24"/>
  <c r="U446" i="24"/>
  <c r="T446" i="24"/>
  <c r="N446" i="24"/>
  <c r="C446" i="24"/>
  <c r="A446" i="24"/>
  <c r="BP445" i="24"/>
  <c r="BO445" i="24"/>
  <c r="BA445" i="24"/>
  <c r="AZ445" i="24"/>
  <c r="AW445" i="24"/>
  <c r="AV445" i="24"/>
  <c r="AG445" i="24"/>
  <c r="U445" i="24"/>
  <c r="T445" i="24"/>
  <c r="N445" i="24"/>
  <c r="C445" i="24"/>
  <c r="A445" i="24"/>
  <c r="BP444" i="24"/>
  <c r="BO444" i="24"/>
  <c r="BA444" i="24"/>
  <c r="AZ444" i="24"/>
  <c r="AW444" i="24"/>
  <c r="AV444" i="24"/>
  <c r="AG444" i="24"/>
  <c r="U444" i="24"/>
  <c r="T444" i="24"/>
  <c r="N444" i="24"/>
  <c r="C444" i="24"/>
  <c r="A444" i="24"/>
  <c r="BP443" i="24"/>
  <c r="BO443" i="24"/>
  <c r="BA443" i="24"/>
  <c r="AZ443" i="24"/>
  <c r="AW443" i="24"/>
  <c r="AV443" i="24"/>
  <c r="AG443" i="24"/>
  <c r="U443" i="24"/>
  <c r="T443" i="24"/>
  <c r="N443" i="24"/>
  <c r="C443" i="24"/>
  <c r="A443" i="24"/>
  <c r="BP442" i="24"/>
  <c r="BO442" i="24"/>
  <c r="BA442" i="24"/>
  <c r="AZ442" i="24"/>
  <c r="AW442" i="24"/>
  <c r="AV442" i="24"/>
  <c r="AG442" i="24"/>
  <c r="U442" i="24"/>
  <c r="T442" i="24"/>
  <c r="N442" i="24"/>
  <c r="C442" i="24"/>
  <c r="A442" i="24"/>
  <c r="BP441" i="24"/>
  <c r="BO441" i="24"/>
  <c r="BA441" i="24"/>
  <c r="AZ441" i="24"/>
  <c r="AW441" i="24"/>
  <c r="AV441" i="24"/>
  <c r="AG441" i="24"/>
  <c r="U441" i="24"/>
  <c r="T441" i="24"/>
  <c r="N441" i="24"/>
  <c r="C441" i="24"/>
  <c r="A441" i="24"/>
  <c r="BP440" i="24"/>
  <c r="BO440" i="24"/>
  <c r="BA440" i="24"/>
  <c r="AZ440" i="24"/>
  <c r="AW440" i="24"/>
  <c r="AV440" i="24"/>
  <c r="AG440" i="24"/>
  <c r="U440" i="24"/>
  <c r="T440" i="24"/>
  <c r="N440" i="24"/>
  <c r="C440" i="24"/>
  <c r="A440" i="24"/>
  <c r="BP439" i="24"/>
  <c r="BO439" i="24"/>
  <c r="BA439" i="24"/>
  <c r="AZ439" i="24"/>
  <c r="AW439" i="24"/>
  <c r="AV439" i="24"/>
  <c r="AG439" i="24"/>
  <c r="U439" i="24"/>
  <c r="T439" i="24"/>
  <c r="N439" i="24"/>
  <c r="C439" i="24"/>
  <c r="A439" i="24"/>
  <c r="BP438" i="24"/>
  <c r="BO438" i="24"/>
  <c r="BA438" i="24"/>
  <c r="AZ438" i="24"/>
  <c r="AW438" i="24"/>
  <c r="AV438" i="24"/>
  <c r="AG438" i="24"/>
  <c r="U438" i="24"/>
  <c r="T438" i="24"/>
  <c r="N438" i="24"/>
  <c r="C438" i="24"/>
  <c r="A438" i="24"/>
  <c r="BP437" i="24"/>
  <c r="BO437" i="24"/>
  <c r="BA437" i="24"/>
  <c r="AZ437" i="24"/>
  <c r="AW437" i="24"/>
  <c r="AV437" i="24"/>
  <c r="AG437" i="24"/>
  <c r="U437" i="24"/>
  <c r="T437" i="24"/>
  <c r="N437" i="24"/>
  <c r="C437" i="24"/>
  <c r="A437" i="24"/>
  <c r="BP436" i="24"/>
  <c r="BO436" i="24"/>
  <c r="BA436" i="24"/>
  <c r="AZ436" i="24"/>
  <c r="AW436" i="24"/>
  <c r="AV436" i="24"/>
  <c r="AG436" i="24"/>
  <c r="U436" i="24"/>
  <c r="T436" i="24"/>
  <c r="N436" i="24"/>
  <c r="C436" i="24"/>
  <c r="A436" i="24"/>
  <c r="BP435" i="24"/>
  <c r="BO435" i="24"/>
  <c r="BA435" i="24"/>
  <c r="AZ435" i="24"/>
  <c r="AW435" i="24"/>
  <c r="AV435" i="24"/>
  <c r="AG435" i="24"/>
  <c r="U435" i="24"/>
  <c r="T435" i="24"/>
  <c r="N435" i="24"/>
  <c r="C435" i="24"/>
  <c r="A435" i="24"/>
  <c r="BP434" i="24"/>
  <c r="BO434" i="24"/>
  <c r="BA434" i="24"/>
  <c r="AZ434" i="24"/>
  <c r="AW434" i="24"/>
  <c r="AV434" i="24"/>
  <c r="AG434" i="24"/>
  <c r="U434" i="24"/>
  <c r="T434" i="24"/>
  <c r="N434" i="24"/>
  <c r="C434" i="24"/>
  <c r="A434" i="24"/>
  <c r="BP433" i="24"/>
  <c r="BO433" i="24"/>
  <c r="BA433" i="24"/>
  <c r="AZ433" i="24"/>
  <c r="AW433" i="24"/>
  <c r="AV433" i="24"/>
  <c r="AG433" i="24"/>
  <c r="U433" i="24"/>
  <c r="T433" i="24"/>
  <c r="N433" i="24"/>
  <c r="C433" i="24"/>
  <c r="A433" i="24"/>
  <c r="BP432" i="24"/>
  <c r="BO432" i="24"/>
  <c r="BA432" i="24"/>
  <c r="AZ432" i="24"/>
  <c r="AW432" i="24"/>
  <c r="AV432" i="24"/>
  <c r="AG432" i="24"/>
  <c r="U432" i="24"/>
  <c r="T432" i="24"/>
  <c r="N432" i="24"/>
  <c r="C432" i="24"/>
  <c r="A432" i="24"/>
  <c r="BP431" i="24"/>
  <c r="BO431" i="24"/>
  <c r="BA431" i="24"/>
  <c r="AZ431" i="24"/>
  <c r="AW431" i="24"/>
  <c r="AV431" i="24"/>
  <c r="AG431" i="24"/>
  <c r="U431" i="24"/>
  <c r="T431" i="24"/>
  <c r="N431" i="24"/>
  <c r="C431" i="24"/>
  <c r="A431" i="24"/>
  <c r="BP430" i="24"/>
  <c r="BO430" i="24"/>
  <c r="BA430" i="24"/>
  <c r="AZ430" i="24"/>
  <c r="AW430" i="24"/>
  <c r="AV430" i="24"/>
  <c r="AG430" i="24"/>
  <c r="U430" i="24"/>
  <c r="T430" i="24"/>
  <c r="N430" i="24"/>
  <c r="C430" i="24"/>
  <c r="A430" i="24"/>
  <c r="BP429" i="24"/>
  <c r="BO429" i="24"/>
  <c r="BA429" i="24"/>
  <c r="AZ429" i="24"/>
  <c r="AW429" i="24"/>
  <c r="AV429" i="24"/>
  <c r="AG429" i="24"/>
  <c r="U429" i="24"/>
  <c r="T429" i="24"/>
  <c r="N429" i="24"/>
  <c r="C429" i="24"/>
  <c r="A429" i="24"/>
  <c r="BP428" i="24"/>
  <c r="BO428" i="24"/>
  <c r="BA428" i="24"/>
  <c r="AZ428" i="24"/>
  <c r="AW428" i="24"/>
  <c r="AV428" i="24"/>
  <c r="AG428" i="24"/>
  <c r="U428" i="24"/>
  <c r="T428" i="24"/>
  <c r="N428" i="24"/>
  <c r="C428" i="24"/>
  <c r="A428" i="24"/>
  <c r="BP427" i="24"/>
  <c r="BO427" i="24"/>
  <c r="BA427" i="24"/>
  <c r="AZ427" i="24"/>
  <c r="AW427" i="24"/>
  <c r="AV427" i="24"/>
  <c r="AG427" i="24"/>
  <c r="U427" i="24"/>
  <c r="T427" i="24"/>
  <c r="N427" i="24"/>
  <c r="C427" i="24"/>
  <c r="A427" i="24"/>
  <c r="BP426" i="24"/>
  <c r="BO426" i="24"/>
  <c r="BA426" i="24"/>
  <c r="AZ426" i="24"/>
  <c r="AW426" i="24"/>
  <c r="AV426" i="24"/>
  <c r="AG426" i="24"/>
  <c r="U426" i="24"/>
  <c r="T426" i="24"/>
  <c r="N426" i="24"/>
  <c r="C426" i="24"/>
  <c r="A426" i="24"/>
  <c r="BP425" i="24"/>
  <c r="BO425" i="24"/>
  <c r="BA425" i="24"/>
  <c r="AZ425" i="24"/>
  <c r="AW425" i="24"/>
  <c r="AV425" i="24"/>
  <c r="AG425" i="24"/>
  <c r="U425" i="24"/>
  <c r="T425" i="24"/>
  <c r="N425" i="24"/>
  <c r="C425" i="24"/>
  <c r="A425" i="24"/>
  <c r="BP424" i="24"/>
  <c r="BO424" i="24"/>
  <c r="BA424" i="24"/>
  <c r="AZ424" i="24"/>
  <c r="AW424" i="24"/>
  <c r="AV424" i="24"/>
  <c r="AG424" i="24"/>
  <c r="U424" i="24"/>
  <c r="T424" i="24"/>
  <c r="N424" i="24"/>
  <c r="C424" i="24"/>
  <c r="A424" i="24"/>
  <c r="BP423" i="24"/>
  <c r="BO423" i="24"/>
  <c r="BA423" i="24"/>
  <c r="AZ423" i="24"/>
  <c r="AW423" i="24"/>
  <c r="AV423" i="24"/>
  <c r="AG423" i="24"/>
  <c r="U423" i="24"/>
  <c r="T423" i="24"/>
  <c r="N423" i="24"/>
  <c r="C423" i="24"/>
  <c r="A423" i="24"/>
  <c r="BP422" i="24"/>
  <c r="BO422" i="24"/>
  <c r="BA422" i="24"/>
  <c r="AZ422" i="24"/>
  <c r="AW422" i="24"/>
  <c r="AV422" i="24"/>
  <c r="AG422" i="24"/>
  <c r="U422" i="24"/>
  <c r="T422" i="24"/>
  <c r="N422" i="24"/>
  <c r="C422" i="24"/>
  <c r="A422" i="24"/>
  <c r="BP421" i="24"/>
  <c r="BO421" i="24"/>
  <c r="BA421" i="24"/>
  <c r="AZ421" i="24"/>
  <c r="AW421" i="24"/>
  <c r="AV421" i="24"/>
  <c r="AG421" i="24"/>
  <c r="U421" i="24"/>
  <c r="T421" i="24"/>
  <c r="N421" i="24"/>
  <c r="C421" i="24"/>
  <c r="A421" i="24"/>
  <c r="BP420" i="24"/>
  <c r="BO420" i="24"/>
  <c r="BA420" i="24"/>
  <c r="AZ420" i="24"/>
  <c r="AW420" i="24"/>
  <c r="AV420" i="24"/>
  <c r="AG420" i="24"/>
  <c r="U420" i="24"/>
  <c r="T420" i="24"/>
  <c r="N420" i="24"/>
  <c r="C420" i="24"/>
  <c r="A420" i="24"/>
  <c r="BP419" i="24"/>
  <c r="BO419" i="24"/>
  <c r="BA419" i="24"/>
  <c r="AZ419" i="24"/>
  <c r="AW419" i="24"/>
  <c r="AV419" i="24"/>
  <c r="AG419" i="24"/>
  <c r="U419" i="24"/>
  <c r="T419" i="24"/>
  <c r="N419" i="24"/>
  <c r="C419" i="24"/>
  <c r="A419" i="24"/>
  <c r="BP418" i="24"/>
  <c r="BO418" i="24"/>
  <c r="BA418" i="24"/>
  <c r="AZ418" i="24"/>
  <c r="AW418" i="24"/>
  <c r="AV418" i="24"/>
  <c r="AG418" i="24"/>
  <c r="U418" i="24"/>
  <c r="T418" i="24"/>
  <c r="N418" i="24"/>
  <c r="C418" i="24"/>
  <c r="A418" i="24"/>
  <c r="BP417" i="24"/>
  <c r="BO417" i="24"/>
  <c r="BA417" i="24"/>
  <c r="AZ417" i="24"/>
  <c r="AW417" i="24"/>
  <c r="AV417" i="24"/>
  <c r="AG417" i="24"/>
  <c r="U417" i="24"/>
  <c r="T417" i="24"/>
  <c r="N417" i="24"/>
  <c r="C417" i="24"/>
  <c r="A417" i="24"/>
  <c r="BP416" i="24"/>
  <c r="BO416" i="24"/>
  <c r="BA416" i="24"/>
  <c r="AZ416" i="24"/>
  <c r="AW416" i="24"/>
  <c r="AV416" i="24"/>
  <c r="AG416" i="24"/>
  <c r="U416" i="24"/>
  <c r="T416" i="24"/>
  <c r="N416" i="24"/>
  <c r="C416" i="24"/>
  <c r="A416" i="24"/>
  <c r="BP415" i="24"/>
  <c r="BO415" i="24"/>
  <c r="BA415" i="24"/>
  <c r="AZ415" i="24"/>
  <c r="AW415" i="24"/>
  <c r="AV415" i="24"/>
  <c r="AG415" i="24"/>
  <c r="U415" i="24"/>
  <c r="T415" i="24"/>
  <c r="N415" i="24"/>
  <c r="C415" i="24"/>
  <c r="A415" i="24"/>
  <c r="BP414" i="24"/>
  <c r="BO414" i="24"/>
  <c r="BA414" i="24"/>
  <c r="AZ414" i="24"/>
  <c r="AW414" i="24"/>
  <c r="AV414" i="24"/>
  <c r="AG414" i="24"/>
  <c r="U414" i="24"/>
  <c r="T414" i="24"/>
  <c r="N414" i="24"/>
  <c r="C414" i="24"/>
  <c r="A414" i="24"/>
  <c r="BP413" i="24"/>
  <c r="BO413" i="24"/>
  <c r="BA413" i="24"/>
  <c r="AZ413" i="24"/>
  <c r="AW413" i="24"/>
  <c r="AV413" i="24"/>
  <c r="AG413" i="24"/>
  <c r="U413" i="24"/>
  <c r="T413" i="24"/>
  <c r="N413" i="24"/>
  <c r="C413" i="24"/>
  <c r="A413" i="24"/>
  <c r="BP412" i="24"/>
  <c r="BO412" i="24"/>
  <c r="BA412" i="24"/>
  <c r="AZ412" i="24"/>
  <c r="AW412" i="24"/>
  <c r="AV412" i="24"/>
  <c r="AG412" i="24"/>
  <c r="U412" i="24"/>
  <c r="T412" i="24"/>
  <c r="N412" i="24"/>
  <c r="C412" i="24"/>
  <c r="A412" i="24"/>
  <c r="BP411" i="24"/>
  <c r="BO411" i="24"/>
  <c r="BA411" i="24"/>
  <c r="AZ411" i="24"/>
  <c r="AW411" i="24"/>
  <c r="AV411" i="24"/>
  <c r="AG411" i="24"/>
  <c r="U411" i="24"/>
  <c r="T411" i="24"/>
  <c r="N411" i="24"/>
  <c r="C411" i="24"/>
  <c r="A411" i="24"/>
  <c r="BP410" i="24"/>
  <c r="BO410" i="24"/>
  <c r="BA410" i="24"/>
  <c r="AZ410" i="24"/>
  <c r="AW410" i="24"/>
  <c r="AV410" i="24"/>
  <c r="AG410" i="24"/>
  <c r="U410" i="24"/>
  <c r="T410" i="24"/>
  <c r="N410" i="24"/>
  <c r="C410" i="24"/>
  <c r="A410" i="24"/>
  <c r="BP409" i="24"/>
  <c r="BO409" i="24"/>
  <c r="BA409" i="24"/>
  <c r="AZ409" i="24"/>
  <c r="AW409" i="24"/>
  <c r="AV409" i="24"/>
  <c r="AG409" i="24"/>
  <c r="U409" i="24"/>
  <c r="T409" i="24"/>
  <c r="N409" i="24"/>
  <c r="C409" i="24"/>
  <c r="A409" i="24"/>
  <c r="BP408" i="24"/>
  <c r="BO408" i="24"/>
  <c r="BA408" i="24"/>
  <c r="AZ408" i="24"/>
  <c r="AW408" i="24"/>
  <c r="AV408" i="24"/>
  <c r="AG408" i="24"/>
  <c r="U408" i="24"/>
  <c r="T408" i="24"/>
  <c r="N408" i="24"/>
  <c r="C408" i="24"/>
  <c r="A408" i="24"/>
  <c r="BP407" i="24"/>
  <c r="BO407" i="24"/>
  <c r="BA407" i="24"/>
  <c r="AZ407" i="24"/>
  <c r="AW407" i="24"/>
  <c r="AV407" i="24"/>
  <c r="AG407" i="24"/>
  <c r="U407" i="24"/>
  <c r="T407" i="24"/>
  <c r="N407" i="24"/>
  <c r="C407" i="24"/>
  <c r="A407" i="24"/>
  <c r="BP406" i="24"/>
  <c r="BO406" i="24"/>
  <c r="BA406" i="24"/>
  <c r="AZ406" i="24"/>
  <c r="AW406" i="24"/>
  <c r="AV406" i="24"/>
  <c r="AG406" i="24"/>
  <c r="U406" i="24"/>
  <c r="T406" i="24"/>
  <c r="N406" i="24"/>
  <c r="C406" i="24"/>
  <c r="A406" i="24"/>
  <c r="BP405" i="24"/>
  <c r="BO405" i="24"/>
  <c r="BA405" i="24"/>
  <c r="AZ405" i="24"/>
  <c r="AW405" i="24"/>
  <c r="AV405" i="24"/>
  <c r="AG405" i="24"/>
  <c r="U405" i="24"/>
  <c r="T405" i="24"/>
  <c r="N405" i="24"/>
  <c r="C405" i="24"/>
  <c r="A405" i="24"/>
  <c r="BP404" i="24"/>
  <c r="BO404" i="24"/>
  <c r="BA404" i="24"/>
  <c r="AZ404" i="24"/>
  <c r="AW404" i="24"/>
  <c r="AV404" i="24"/>
  <c r="AG404" i="24"/>
  <c r="U404" i="24"/>
  <c r="T404" i="24"/>
  <c r="N404" i="24"/>
  <c r="C404" i="24"/>
  <c r="A404" i="24"/>
  <c r="BP403" i="24"/>
  <c r="BO403" i="24"/>
  <c r="BA403" i="24"/>
  <c r="AZ403" i="24"/>
  <c r="AW403" i="24"/>
  <c r="AV403" i="24"/>
  <c r="AG403" i="24"/>
  <c r="U403" i="24"/>
  <c r="T403" i="24"/>
  <c r="N403" i="24"/>
  <c r="C403" i="24"/>
  <c r="A403" i="24"/>
  <c r="BP402" i="24"/>
  <c r="BO402" i="24"/>
  <c r="BA402" i="24"/>
  <c r="AZ402" i="24"/>
  <c r="AW402" i="24"/>
  <c r="AV402" i="24"/>
  <c r="AG402" i="24"/>
  <c r="U402" i="24"/>
  <c r="T402" i="24"/>
  <c r="N402" i="24"/>
  <c r="C402" i="24"/>
  <c r="A402" i="24"/>
  <c r="BP401" i="24"/>
  <c r="BO401" i="24"/>
  <c r="BA401" i="24"/>
  <c r="AZ401" i="24"/>
  <c r="AW401" i="24"/>
  <c r="AV401" i="24"/>
  <c r="AG401" i="24"/>
  <c r="U401" i="24"/>
  <c r="T401" i="24"/>
  <c r="N401" i="24"/>
  <c r="C401" i="24"/>
  <c r="A401" i="24"/>
  <c r="BP400" i="24"/>
  <c r="BO400" i="24"/>
  <c r="BA400" i="24"/>
  <c r="AZ400" i="24"/>
  <c r="AW400" i="24"/>
  <c r="AV400" i="24"/>
  <c r="AG400" i="24"/>
  <c r="U400" i="24"/>
  <c r="T400" i="24"/>
  <c r="N400" i="24"/>
  <c r="C400" i="24"/>
  <c r="A400" i="24"/>
  <c r="BP399" i="24"/>
  <c r="BO399" i="24"/>
  <c r="BA399" i="24"/>
  <c r="AZ399" i="24"/>
  <c r="AW399" i="24"/>
  <c r="AV399" i="24"/>
  <c r="AG399" i="24"/>
  <c r="U399" i="24"/>
  <c r="T399" i="24"/>
  <c r="N399" i="24"/>
  <c r="C399" i="24"/>
  <c r="A399" i="24"/>
  <c r="BP398" i="24"/>
  <c r="BO398" i="24"/>
  <c r="BA398" i="24"/>
  <c r="AZ398" i="24"/>
  <c r="AW398" i="24"/>
  <c r="AV398" i="24"/>
  <c r="AG398" i="24"/>
  <c r="U398" i="24"/>
  <c r="T398" i="24"/>
  <c r="N398" i="24"/>
  <c r="C398" i="24"/>
  <c r="A398" i="24"/>
  <c r="BP397" i="24"/>
  <c r="BO397" i="24"/>
  <c r="BA397" i="24"/>
  <c r="AZ397" i="24"/>
  <c r="AW397" i="24"/>
  <c r="AV397" i="24"/>
  <c r="AG397" i="24"/>
  <c r="U397" i="24"/>
  <c r="T397" i="24"/>
  <c r="N397" i="24"/>
  <c r="C397" i="24"/>
  <c r="A397" i="24"/>
  <c r="BP396" i="24"/>
  <c r="BO396" i="24"/>
  <c r="BA396" i="24"/>
  <c r="AZ396" i="24"/>
  <c r="AW396" i="24"/>
  <c r="AV396" i="24"/>
  <c r="AG396" i="24"/>
  <c r="U396" i="24"/>
  <c r="T396" i="24"/>
  <c r="N396" i="24"/>
  <c r="C396" i="24"/>
  <c r="A396" i="24"/>
  <c r="BP395" i="24"/>
  <c r="BO395" i="24"/>
  <c r="BA395" i="24"/>
  <c r="AZ395" i="24"/>
  <c r="AW395" i="24"/>
  <c r="AV395" i="24"/>
  <c r="AG395" i="24"/>
  <c r="U395" i="24"/>
  <c r="T395" i="24"/>
  <c r="N395" i="24"/>
  <c r="C395" i="24"/>
  <c r="A395" i="24"/>
  <c r="BP394" i="24"/>
  <c r="BO394" i="24"/>
  <c r="BA394" i="24"/>
  <c r="AZ394" i="24"/>
  <c r="AW394" i="24"/>
  <c r="AV394" i="24"/>
  <c r="AG394" i="24"/>
  <c r="U394" i="24"/>
  <c r="T394" i="24"/>
  <c r="N394" i="24"/>
  <c r="C394" i="24"/>
  <c r="A394" i="24"/>
  <c r="BP393" i="24"/>
  <c r="BO393" i="24"/>
  <c r="BA393" i="24"/>
  <c r="AZ393" i="24"/>
  <c r="AW393" i="24"/>
  <c r="AV393" i="24"/>
  <c r="AG393" i="24"/>
  <c r="U393" i="24"/>
  <c r="T393" i="24"/>
  <c r="N393" i="24"/>
  <c r="C393" i="24"/>
  <c r="A393" i="24"/>
  <c r="BP392" i="24"/>
  <c r="BO392" i="24"/>
  <c r="BA392" i="24"/>
  <c r="AZ392" i="24"/>
  <c r="AW392" i="24"/>
  <c r="AV392" i="24"/>
  <c r="AG392" i="24"/>
  <c r="U392" i="24"/>
  <c r="T392" i="24"/>
  <c r="N392" i="24"/>
  <c r="C392" i="24"/>
  <c r="A392" i="24"/>
  <c r="BP391" i="24"/>
  <c r="BO391" i="24"/>
  <c r="BA391" i="24"/>
  <c r="AZ391" i="24"/>
  <c r="AW391" i="24"/>
  <c r="AV391" i="24"/>
  <c r="AG391" i="24"/>
  <c r="U391" i="24"/>
  <c r="T391" i="24"/>
  <c r="N391" i="24"/>
  <c r="C391" i="24"/>
  <c r="A391" i="24"/>
  <c r="BP390" i="24"/>
  <c r="BO390" i="24"/>
  <c r="BA390" i="24"/>
  <c r="AZ390" i="24"/>
  <c r="AW390" i="24"/>
  <c r="AV390" i="24"/>
  <c r="AG390" i="24"/>
  <c r="U390" i="24"/>
  <c r="T390" i="24"/>
  <c r="N390" i="24"/>
  <c r="C390" i="24"/>
  <c r="A390" i="24"/>
  <c r="BP389" i="24"/>
  <c r="BO389" i="24"/>
  <c r="BA389" i="24"/>
  <c r="AZ389" i="24"/>
  <c r="AW389" i="24"/>
  <c r="AV389" i="24"/>
  <c r="AG389" i="24"/>
  <c r="U389" i="24"/>
  <c r="T389" i="24"/>
  <c r="N389" i="24"/>
  <c r="C389" i="24"/>
  <c r="A389" i="24"/>
  <c r="BP388" i="24"/>
  <c r="BO388" i="24"/>
  <c r="BA388" i="24"/>
  <c r="AZ388" i="24"/>
  <c r="AW388" i="24"/>
  <c r="AV388" i="24"/>
  <c r="AG388" i="24"/>
  <c r="U388" i="24"/>
  <c r="T388" i="24"/>
  <c r="N388" i="24"/>
  <c r="C388" i="24"/>
  <c r="A388" i="24"/>
  <c r="BP387" i="24"/>
  <c r="BO387" i="24"/>
  <c r="BA387" i="24"/>
  <c r="AZ387" i="24"/>
  <c r="AW387" i="24"/>
  <c r="AV387" i="24"/>
  <c r="AG387" i="24"/>
  <c r="U387" i="24"/>
  <c r="T387" i="24"/>
  <c r="N387" i="24"/>
  <c r="C387" i="24"/>
  <c r="A387" i="24"/>
  <c r="BP386" i="24"/>
  <c r="BO386" i="24"/>
  <c r="BA386" i="24"/>
  <c r="AZ386" i="24"/>
  <c r="AW386" i="24"/>
  <c r="AV386" i="24"/>
  <c r="AG386" i="24"/>
  <c r="U386" i="24"/>
  <c r="T386" i="24"/>
  <c r="N386" i="24"/>
  <c r="C386" i="24"/>
  <c r="A386" i="24"/>
  <c r="BP385" i="24"/>
  <c r="BO385" i="24"/>
  <c r="BA385" i="24"/>
  <c r="AZ385" i="24"/>
  <c r="AW385" i="24"/>
  <c r="AV385" i="24"/>
  <c r="AG385" i="24"/>
  <c r="U385" i="24"/>
  <c r="T385" i="24"/>
  <c r="N385" i="24"/>
  <c r="C385" i="24"/>
  <c r="A385" i="24"/>
  <c r="BP384" i="24"/>
  <c r="BO384" i="24"/>
  <c r="BA384" i="24"/>
  <c r="AZ384" i="24"/>
  <c r="AW384" i="24"/>
  <c r="AV384" i="24"/>
  <c r="AG384" i="24"/>
  <c r="U384" i="24"/>
  <c r="T384" i="24"/>
  <c r="N384" i="24"/>
  <c r="C384" i="24"/>
  <c r="A384" i="24"/>
  <c r="BP383" i="24"/>
  <c r="BO383" i="24"/>
  <c r="BA383" i="24"/>
  <c r="AZ383" i="24"/>
  <c r="AW383" i="24"/>
  <c r="AV383" i="24"/>
  <c r="AG383" i="24"/>
  <c r="U383" i="24"/>
  <c r="T383" i="24"/>
  <c r="N383" i="24"/>
  <c r="C383" i="24"/>
  <c r="A383" i="24"/>
  <c r="BP382" i="24"/>
  <c r="BO382" i="24"/>
  <c r="BA382" i="24"/>
  <c r="AZ382" i="24"/>
  <c r="AW382" i="24"/>
  <c r="AV382" i="24"/>
  <c r="AG382" i="24"/>
  <c r="U382" i="24"/>
  <c r="T382" i="24"/>
  <c r="N382" i="24"/>
  <c r="C382" i="24"/>
  <c r="A382" i="24"/>
  <c r="BP381" i="24"/>
  <c r="BO381" i="24"/>
  <c r="BA381" i="24"/>
  <c r="AZ381" i="24"/>
  <c r="AW381" i="24"/>
  <c r="AV381" i="24"/>
  <c r="AG381" i="24"/>
  <c r="U381" i="24"/>
  <c r="T381" i="24"/>
  <c r="N381" i="24"/>
  <c r="C381" i="24"/>
  <c r="A381" i="24"/>
  <c r="BP380" i="24"/>
  <c r="BO380" i="24"/>
  <c r="BA380" i="24"/>
  <c r="AZ380" i="24"/>
  <c r="AW380" i="24"/>
  <c r="AV380" i="24"/>
  <c r="AG380" i="24"/>
  <c r="U380" i="24"/>
  <c r="T380" i="24"/>
  <c r="N380" i="24"/>
  <c r="C380" i="24"/>
  <c r="A380" i="24"/>
  <c r="BP379" i="24"/>
  <c r="BO379" i="24"/>
  <c r="BA379" i="24"/>
  <c r="AZ379" i="24"/>
  <c r="AW379" i="24"/>
  <c r="AV379" i="24"/>
  <c r="AG379" i="24"/>
  <c r="U379" i="24"/>
  <c r="T379" i="24"/>
  <c r="N379" i="24"/>
  <c r="C379" i="24"/>
  <c r="A379" i="24"/>
  <c r="BP378" i="24"/>
  <c r="BO378" i="24"/>
  <c r="BA378" i="24"/>
  <c r="AZ378" i="24"/>
  <c r="AW378" i="24"/>
  <c r="AV378" i="24"/>
  <c r="AG378" i="24"/>
  <c r="U378" i="24"/>
  <c r="T378" i="24"/>
  <c r="N378" i="24"/>
  <c r="C378" i="24"/>
  <c r="A378" i="24"/>
  <c r="BP377" i="24"/>
  <c r="BO377" i="24"/>
  <c r="BA377" i="24"/>
  <c r="AZ377" i="24"/>
  <c r="AW377" i="24"/>
  <c r="AV377" i="24"/>
  <c r="AG377" i="24"/>
  <c r="U377" i="24"/>
  <c r="T377" i="24"/>
  <c r="N377" i="24"/>
  <c r="C377" i="24"/>
  <c r="A377" i="24"/>
  <c r="BP376" i="24"/>
  <c r="BO376" i="24"/>
  <c r="BA376" i="24"/>
  <c r="AZ376" i="24"/>
  <c r="AW376" i="24"/>
  <c r="AV376" i="24"/>
  <c r="AG376" i="24"/>
  <c r="U376" i="24"/>
  <c r="T376" i="24"/>
  <c r="N376" i="24"/>
  <c r="C376" i="24"/>
  <c r="A376" i="24"/>
  <c r="BP375" i="24"/>
  <c r="BO375" i="24"/>
  <c r="BA375" i="24"/>
  <c r="AZ375" i="24"/>
  <c r="AW375" i="24"/>
  <c r="AV375" i="24"/>
  <c r="AG375" i="24"/>
  <c r="U375" i="24"/>
  <c r="T375" i="24"/>
  <c r="N375" i="24"/>
  <c r="C375" i="24"/>
  <c r="A375" i="24"/>
  <c r="BP374" i="24"/>
  <c r="BO374" i="24"/>
  <c r="BA374" i="24"/>
  <c r="AZ374" i="24"/>
  <c r="AW374" i="24"/>
  <c r="AV374" i="24"/>
  <c r="AG374" i="24"/>
  <c r="U374" i="24"/>
  <c r="T374" i="24"/>
  <c r="N374" i="24"/>
  <c r="C374" i="24"/>
  <c r="A374" i="24"/>
  <c r="BP373" i="24"/>
  <c r="BO373" i="24"/>
  <c r="BA373" i="24"/>
  <c r="AZ373" i="24"/>
  <c r="AW373" i="24"/>
  <c r="AV373" i="24"/>
  <c r="AG373" i="24"/>
  <c r="U373" i="24"/>
  <c r="T373" i="24"/>
  <c r="N373" i="24"/>
  <c r="C373" i="24"/>
  <c r="A373" i="24"/>
  <c r="BP372" i="24"/>
  <c r="BO372" i="24"/>
  <c r="BA372" i="24"/>
  <c r="AZ372" i="24"/>
  <c r="AW372" i="24"/>
  <c r="AV372" i="24"/>
  <c r="AG372" i="24"/>
  <c r="U372" i="24"/>
  <c r="T372" i="24"/>
  <c r="N372" i="24"/>
  <c r="C372" i="24"/>
  <c r="A372" i="24"/>
  <c r="BP371" i="24"/>
  <c r="BO371" i="24"/>
  <c r="BA371" i="24"/>
  <c r="AZ371" i="24"/>
  <c r="AW371" i="24"/>
  <c r="AV371" i="24"/>
  <c r="AG371" i="24"/>
  <c r="U371" i="24"/>
  <c r="T371" i="24"/>
  <c r="N371" i="24"/>
  <c r="C371" i="24"/>
  <c r="A371" i="24"/>
  <c r="BP370" i="24"/>
  <c r="BO370" i="24"/>
  <c r="BA370" i="24"/>
  <c r="AZ370" i="24"/>
  <c r="AW370" i="24"/>
  <c r="AV370" i="24"/>
  <c r="AG370" i="24"/>
  <c r="U370" i="24"/>
  <c r="T370" i="24"/>
  <c r="N370" i="24"/>
  <c r="C370" i="24"/>
  <c r="A370" i="24"/>
  <c r="BP369" i="24"/>
  <c r="BO369" i="24"/>
  <c r="BA369" i="24"/>
  <c r="AZ369" i="24"/>
  <c r="AW369" i="24"/>
  <c r="AV369" i="24"/>
  <c r="AG369" i="24"/>
  <c r="U369" i="24"/>
  <c r="T369" i="24"/>
  <c r="N369" i="24"/>
  <c r="C369" i="24"/>
  <c r="A369" i="24"/>
  <c r="BP368" i="24"/>
  <c r="BO368" i="24"/>
  <c r="BA368" i="24"/>
  <c r="AZ368" i="24"/>
  <c r="AW368" i="24"/>
  <c r="AV368" i="24"/>
  <c r="AG368" i="24"/>
  <c r="U368" i="24"/>
  <c r="T368" i="24"/>
  <c r="N368" i="24"/>
  <c r="C368" i="24"/>
  <c r="A368" i="24"/>
  <c r="BP367" i="24"/>
  <c r="BO367" i="24"/>
  <c r="BA367" i="24"/>
  <c r="AZ367" i="24"/>
  <c r="AW367" i="24"/>
  <c r="AV367" i="24"/>
  <c r="AG367" i="24"/>
  <c r="U367" i="24"/>
  <c r="T367" i="24"/>
  <c r="N367" i="24"/>
  <c r="C367" i="24"/>
  <c r="A367" i="24"/>
  <c r="BP366" i="24"/>
  <c r="BO366" i="24"/>
  <c r="BA366" i="24"/>
  <c r="AZ366" i="24"/>
  <c r="AW366" i="24"/>
  <c r="AV366" i="24"/>
  <c r="AG366" i="24"/>
  <c r="U366" i="24"/>
  <c r="T366" i="24"/>
  <c r="N366" i="24"/>
  <c r="C366" i="24"/>
  <c r="A366" i="24"/>
  <c r="BP365" i="24"/>
  <c r="BO365" i="24"/>
  <c r="BA365" i="24"/>
  <c r="AZ365" i="24"/>
  <c r="AW365" i="24"/>
  <c r="AV365" i="24"/>
  <c r="AG365" i="24"/>
  <c r="U365" i="24"/>
  <c r="T365" i="24"/>
  <c r="N365" i="24"/>
  <c r="C365" i="24"/>
  <c r="A365" i="24"/>
  <c r="BP364" i="24"/>
  <c r="BO364" i="24"/>
  <c r="BA364" i="24"/>
  <c r="AZ364" i="24"/>
  <c r="AW364" i="24"/>
  <c r="AV364" i="24"/>
  <c r="AG364" i="24"/>
  <c r="U364" i="24"/>
  <c r="T364" i="24"/>
  <c r="N364" i="24"/>
  <c r="C364" i="24"/>
  <c r="A364" i="24"/>
  <c r="BP363" i="24"/>
  <c r="BO363" i="24"/>
  <c r="BA363" i="24"/>
  <c r="AZ363" i="24"/>
  <c r="AW363" i="24"/>
  <c r="AV363" i="24"/>
  <c r="AG363" i="24"/>
  <c r="U363" i="24"/>
  <c r="T363" i="24"/>
  <c r="N363" i="24"/>
  <c r="C363" i="24"/>
  <c r="A363" i="24"/>
  <c r="BP362" i="24"/>
  <c r="BO362" i="24"/>
  <c r="BA362" i="24"/>
  <c r="AZ362" i="24"/>
  <c r="AW362" i="24"/>
  <c r="AV362" i="24"/>
  <c r="AG362" i="24"/>
  <c r="U362" i="24"/>
  <c r="T362" i="24"/>
  <c r="N362" i="24"/>
  <c r="C362" i="24"/>
  <c r="A362" i="24"/>
  <c r="BP361" i="24"/>
  <c r="BO361" i="24"/>
  <c r="BA361" i="24"/>
  <c r="AZ361" i="24"/>
  <c r="AW361" i="24"/>
  <c r="AV361" i="24"/>
  <c r="AG361" i="24"/>
  <c r="U361" i="24"/>
  <c r="T361" i="24"/>
  <c r="N361" i="24"/>
  <c r="C361" i="24"/>
  <c r="A361" i="24"/>
  <c r="BP360" i="24"/>
  <c r="BO360" i="24"/>
  <c r="BA360" i="24"/>
  <c r="AZ360" i="24"/>
  <c r="AW360" i="24"/>
  <c r="AV360" i="24"/>
  <c r="AG360" i="24"/>
  <c r="U360" i="24"/>
  <c r="T360" i="24"/>
  <c r="N360" i="24"/>
  <c r="C360" i="24"/>
  <c r="A360" i="24"/>
  <c r="BP359" i="24"/>
  <c r="BO359" i="24"/>
  <c r="BA359" i="24"/>
  <c r="AZ359" i="24"/>
  <c r="AW359" i="24"/>
  <c r="AV359" i="24"/>
  <c r="AG359" i="24"/>
  <c r="U359" i="24"/>
  <c r="T359" i="24"/>
  <c r="N359" i="24"/>
  <c r="C359" i="24"/>
  <c r="A359" i="24"/>
  <c r="BP358" i="24"/>
  <c r="BO358" i="24"/>
  <c r="BA358" i="24"/>
  <c r="AZ358" i="24"/>
  <c r="AW358" i="24"/>
  <c r="AV358" i="24"/>
  <c r="AG358" i="24"/>
  <c r="U358" i="24"/>
  <c r="T358" i="24"/>
  <c r="N358" i="24"/>
  <c r="C358" i="24"/>
  <c r="A358" i="24"/>
  <c r="BP357" i="24"/>
  <c r="BO357" i="24"/>
  <c r="BA357" i="24"/>
  <c r="AZ357" i="24"/>
  <c r="AW357" i="24"/>
  <c r="AV357" i="24"/>
  <c r="AG357" i="24"/>
  <c r="U357" i="24"/>
  <c r="T357" i="24"/>
  <c r="N357" i="24"/>
  <c r="C357" i="24"/>
  <c r="A357" i="24"/>
  <c r="BP356" i="24"/>
  <c r="BO356" i="24"/>
  <c r="BA356" i="24"/>
  <c r="AZ356" i="24"/>
  <c r="AW356" i="24"/>
  <c r="AV356" i="24"/>
  <c r="AG356" i="24"/>
  <c r="U356" i="24"/>
  <c r="T356" i="24"/>
  <c r="N356" i="24"/>
  <c r="C356" i="24"/>
  <c r="A356" i="24"/>
  <c r="BP355" i="24"/>
  <c r="BO355" i="24"/>
  <c r="BA355" i="24"/>
  <c r="AZ355" i="24"/>
  <c r="AW355" i="24"/>
  <c r="AV355" i="24"/>
  <c r="AG355" i="24"/>
  <c r="U355" i="24"/>
  <c r="T355" i="24"/>
  <c r="N355" i="24"/>
  <c r="C355" i="24"/>
  <c r="A355" i="24"/>
  <c r="BP354" i="24"/>
  <c r="BO354" i="24"/>
  <c r="BA354" i="24"/>
  <c r="AZ354" i="24"/>
  <c r="AW354" i="24"/>
  <c r="AV354" i="24"/>
  <c r="AG354" i="24"/>
  <c r="U354" i="24"/>
  <c r="T354" i="24"/>
  <c r="N354" i="24"/>
  <c r="C354" i="24"/>
  <c r="A354" i="24"/>
  <c r="BP353" i="24"/>
  <c r="BO353" i="24"/>
  <c r="BA353" i="24"/>
  <c r="AZ353" i="24"/>
  <c r="AW353" i="24"/>
  <c r="AV353" i="24"/>
  <c r="AG353" i="24"/>
  <c r="U353" i="24"/>
  <c r="T353" i="24"/>
  <c r="N353" i="24"/>
  <c r="C353" i="24"/>
  <c r="A353" i="24"/>
  <c r="BP352" i="24"/>
  <c r="BO352" i="24"/>
  <c r="BA352" i="24"/>
  <c r="AZ352" i="24"/>
  <c r="AW352" i="24"/>
  <c r="AV352" i="24"/>
  <c r="AG352" i="24"/>
  <c r="U352" i="24"/>
  <c r="T352" i="24"/>
  <c r="N352" i="24"/>
  <c r="C352" i="24"/>
  <c r="A352" i="24"/>
  <c r="BP351" i="24"/>
  <c r="BO351" i="24"/>
  <c r="BA351" i="24"/>
  <c r="AZ351" i="24"/>
  <c r="AW351" i="24"/>
  <c r="AV351" i="24"/>
  <c r="AG351" i="24"/>
  <c r="U351" i="24"/>
  <c r="T351" i="24"/>
  <c r="N351" i="24"/>
  <c r="C351" i="24"/>
  <c r="A351" i="24"/>
  <c r="BP350" i="24"/>
  <c r="BO350" i="24"/>
  <c r="BA350" i="24"/>
  <c r="AZ350" i="24"/>
  <c r="AW350" i="24"/>
  <c r="AV350" i="24"/>
  <c r="AG350" i="24"/>
  <c r="U350" i="24"/>
  <c r="T350" i="24"/>
  <c r="N350" i="24"/>
  <c r="C350" i="24"/>
  <c r="A350" i="24"/>
  <c r="BP349" i="24"/>
  <c r="BO349" i="24"/>
  <c r="BA349" i="24"/>
  <c r="AZ349" i="24"/>
  <c r="AW349" i="24"/>
  <c r="AV349" i="24"/>
  <c r="AG349" i="24"/>
  <c r="U349" i="24"/>
  <c r="T349" i="24"/>
  <c r="N349" i="24"/>
  <c r="C349" i="24"/>
  <c r="A349" i="24"/>
  <c r="BP348" i="24"/>
  <c r="BO348" i="24"/>
  <c r="BA348" i="24"/>
  <c r="AZ348" i="24"/>
  <c r="AW348" i="24"/>
  <c r="AV348" i="24"/>
  <c r="AG348" i="24"/>
  <c r="U348" i="24"/>
  <c r="T348" i="24"/>
  <c r="N348" i="24"/>
  <c r="C348" i="24"/>
  <c r="A348" i="24"/>
  <c r="BP347" i="24"/>
  <c r="BO347" i="24"/>
  <c r="BA347" i="24"/>
  <c r="AZ347" i="24"/>
  <c r="AW347" i="24"/>
  <c r="AV347" i="24"/>
  <c r="AG347" i="24"/>
  <c r="U347" i="24"/>
  <c r="T347" i="24"/>
  <c r="N347" i="24"/>
  <c r="C347" i="24"/>
  <c r="A347" i="24"/>
  <c r="BP346" i="24"/>
  <c r="BO346" i="24"/>
  <c r="BA346" i="24"/>
  <c r="AZ346" i="24"/>
  <c r="AW346" i="24"/>
  <c r="AV346" i="24"/>
  <c r="AG346" i="24"/>
  <c r="U346" i="24"/>
  <c r="T346" i="24"/>
  <c r="N346" i="24"/>
  <c r="C346" i="24"/>
  <c r="A346" i="24"/>
  <c r="BP345" i="24"/>
  <c r="BO345" i="24"/>
  <c r="BA345" i="24"/>
  <c r="AZ345" i="24"/>
  <c r="AW345" i="24"/>
  <c r="AV345" i="24"/>
  <c r="AG345" i="24"/>
  <c r="U345" i="24"/>
  <c r="T345" i="24"/>
  <c r="N345" i="24"/>
  <c r="C345" i="24"/>
  <c r="A345" i="24"/>
  <c r="BP344" i="24"/>
  <c r="BO344" i="24"/>
  <c r="BA344" i="24"/>
  <c r="AZ344" i="24"/>
  <c r="AW344" i="24"/>
  <c r="AV344" i="24"/>
  <c r="AG344" i="24"/>
  <c r="U344" i="24"/>
  <c r="T344" i="24"/>
  <c r="N344" i="24"/>
  <c r="C344" i="24"/>
  <c r="A344" i="24"/>
  <c r="BP343" i="24"/>
  <c r="BO343" i="24"/>
  <c r="BA343" i="24"/>
  <c r="AZ343" i="24"/>
  <c r="AW343" i="24"/>
  <c r="AV343" i="24"/>
  <c r="AG343" i="24"/>
  <c r="U343" i="24"/>
  <c r="T343" i="24"/>
  <c r="N343" i="24"/>
  <c r="C343" i="24"/>
  <c r="A343" i="24"/>
  <c r="BP342" i="24"/>
  <c r="BO342" i="24"/>
  <c r="BA342" i="24"/>
  <c r="AZ342" i="24"/>
  <c r="AW342" i="24"/>
  <c r="AV342" i="24"/>
  <c r="AG342" i="24"/>
  <c r="U342" i="24"/>
  <c r="T342" i="24"/>
  <c r="N342" i="24"/>
  <c r="C342" i="24"/>
  <c r="A342" i="24"/>
  <c r="BP341" i="24"/>
  <c r="BO341" i="24"/>
  <c r="BA341" i="24"/>
  <c r="AZ341" i="24"/>
  <c r="AW341" i="24"/>
  <c r="AV341" i="24"/>
  <c r="AG341" i="24"/>
  <c r="U341" i="24"/>
  <c r="T341" i="24"/>
  <c r="N341" i="24"/>
  <c r="C341" i="24"/>
  <c r="A341" i="24"/>
  <c r="BP340" i="24"/>
  <c r="BO340" i="24"/>
  <c r="BA340" i="24"/>
  <c r="AZ340" i="24"/>
  <c r="AW340" i="24"/>
  <c r="AV340" i="24"/>
  <c r="AG340" i="24"/>
  <c r="U340" i="24"/>
  <c r="T340" i="24"/>
  <c r="N340" i="24"/>
  <c r="C340" i="24"/>
  <c r="A340" i="24"/>
  <c r="BP339" i="24"/>
  <c r="BO339" i="24"/>
  <c r="BA339" i="24"/>
  <c r="AZ339" i="24"/>
  <c r="AW339" i="24"/>
  <c r="AV339" i="24"/>
  <c r="AG339" i="24"/>
  <c r="U339" i="24"/>
  <c r="T339" i="24"/>
  <c r="N339" i="24"/>
  <c r="C339" i="24"/>
  <c r="A339" i="24"/>
  <c r="BP338" i="24"/>
  <c r="BO338" i="24"/>
  <c r="BA338" i="24"/>
  <c r="AZ338" i="24"/>
  <c r="AW338" i="24"/>
  <c r="AV338" i="24"/>
  <c r="AG338" i="24"/>
  <c r="U338" i="24"/>
  <c r="T338" i="24"/>
  <c r="N338" i="24"/>
  <c r="C338" i="24"/>
  <c r="A338" i="24"/>
  <c r="BP337" i="24"/>
  <c r="BO337" i="24"/>
  <c r="BA337" i="24"/>
  <c r="AZ337" i="24"/>
  <c r="AW337" i="24"/>
  <c r="AV337" i="24"/>
  <c r="AG337" i="24"/>
  <c r="U337" i="24"/>
  <c r="T337" i="24"/>
  <c r="N337" i="24"/>
  <c r="C337" i="24"/>
  <c r="A337" i="24"/>
  <c r="BP336" i="24"/>
  <c r="BO336" i="24"/>
  <c r="BA336" i="24"/>
  <c r="AZ336" i="24"/>
  <c r="AW336" i="24"/>
  <c r="AV336" i="24"/>
  <c r="AG336" i="24"/>
  <c r="U336" i="24"/>
  <c r="T336" i="24"/>
  <c r="N336" i="24"/>
  <c r="C336" i="24"/>
  <c r="A336" i="24"/>
  <c r="BP335" i="24"/>
  <c r="BO335" i="24"/>
  <c r="BA335" i="24"/>
  <c r="AZ335" i="24"/>
  <c r="AW335" i="24"/>
  <c r="AV335" i="24"/>
  <c r="AG335" i="24"/>
  <c r="U335" i="24"/>
  <c r="T335" i="24"/>
  <c r="N335" i="24"/>
  <c r="C335" i="24"/>
  <c r="A335" i="24"/>
  <c r="BP334" i="24"/>
  <c r="BO334" i="24"/>
  <c r="BA334" i="24"/>
  <c r="AZ334" i="24"/>
  <c r="AW334" i="24"/>
  <c r="AV334" i="24"/>
  <c r="AG334" i="24"/>
  <c r="U334" i="24"/>
  <c r="T334" i="24"/>
  <c r="N334" i="24"/>
  <c r="C334" i="24"/>
  <c r="A334" i="24"/>
  <c r="BP333" i="24"/>
  <c r="BO333" i="24"/>
  <c r="BA333" i="24"/>
  <c r="AZ333" i="24"/>
  <c r="AW333" i="24"/>
  <c r="AV333" i="24"/>
  <c r="AG333" i="24"/>
  <c r="U333" i="24"/>
  <c r="T333" i="24"/>
  <c r="N333" i="24"/>
  <c r="C333" i="24"/>
  <c r="A333" i="24"/>
  <c r="BP332" i="24"/>
  <c r="BO332" i="24"/>
  <c r="BA332" i="24"/>
  <c r="AZ332" i="24"/>
  <c r="AW332" i="24"/>
  <c r="AV332" i="24"/>
  <c r="AG332" i="24"/>
  <c r="U332" i="24"/>
  <c r="T332" i="24"/>
  <c r="N332" i="24"/>
  <c r="C332" i="24"/>
  <c r="A332" i="24"/>
  <c r="BP331" i="24"/>
  <c r="BO331" i="24"/>
  <c r="BA331" i="24"/>
  <c r="AZ331" i="24"/>
  <c r="AW331" i="24"/>
  <c r="AV331" i="24"/>
  <c r="AG331" i="24"/>
  <c r="U331" i="24"/>
  <c r="T331" i="24"/>
  <c r="N331" i="24"/>
  <c r="C331" i="24"/>
  <c r="A331" i="24"/>
  <c r="BP330" i="24"/>
  <c r="BO330" i="24"/>
  <c r="BA330" i="24"/>
  <c r="AZ330" i="24"/>
  <c r="AW330" i="24"/>
  <c r="AV330" i="24"/>
  <c r="AG330" i="24"/>
  <c r="U330" i="24"/>
  <c r="T330" i="24"/>
  <c r="N330" i="24"/>
  <c r="C330" i="24"/>
  <c r="A330" i="24"/>
  <c r="BP329" i="24"/>
  <c r="BO329" i="24"/>
  <c r="BA329" i="24"/>
  <c r="AZ329" i="24"/>
  <c r="AW329" i="24"/>
  <c r="AV329" i="24"/>
  <c r="AG329" i="24"/>
  <c r="U329" i="24"/>
  <c r="T329" i="24"/>
  <c r="N329" i="24"/>
  <c r="C329" i="24"/>
  <c r="A329" i="24"/>
  <c r="BP328" i="24"/>
  <c r="BO328" i="24"/>
  <c r="BA328" i="24"/>
  <c r="AZ328" i="24"/>
  <c r="AW328" i="24"/>
  <c r="AV328" i="24"/>
  <c r="AG328" i="24"/>
  <c r="U328" i="24"/>
  <c r="T328" i="24"/>
  <c r="N328" i="24"/>
  <c r="C328" i="24"/>
  <c r="A328" i="24"/>
  <c r="BP327" i="24"/>
  <c r="BO327" i="24"/>
  <c r="BA327" i="24"/>
  <c r="AZ327" i="24"/>
  <c r="AW327" i="24"/>
  <c r="AV327" i="24"/>
  <c r="AG327" i="24"/>
  <c r="U327" i="24"/>
  <c r="T327" i="24"/>
  <c r="N327" i="24"/>
  <c r="C327" i="24"/>
  <c r="A327" i="24"/>
  <c r="BP326" i="24"/>
  <c r="BO326" i="24"/>
  <c r="BA326" i="24"/>
  <c r="AZ326" i="24"/>
  <c r="AW326" i="24"/>
  <c r="AV326" i="24"/>
  <c r="AG326" i="24"/>
  <c r="U326" i="24"/>
  <c r="T326" i="24"/>
  <c r="N326" i="24"/>
  <c r="C326" i="24"/>
  <c r="A326" i="24"/>
  <c r="BP325" i="24"/>
  <c r="BO325" i="24"/>
  <c r="BA325" i="24"/>
  <c r="AZ325" i="24"/>
  <c r="AW325" i="24"/>
  <c r="AV325" i="24"/>
  <c r="AG325" i="24"/>
  <c r="U325" i="24"/>
  <c r="T325" i="24"/>
  <c r="N325" i="24"/>
  <c r="C325" i="24"/>
  <c r="A325" i="24"/>
  <c r="BP324" i="24"/>
  <c r="BO324" i="24"/>
  <c r="BA324" i="24"/>
  <c r="AZ324" i="24"/>
  <c r="AW324" i="24"/>
  <c r="AV324" i="24"/>
  <c r="AG324" i="24"/>
  <c r="U324" i="24"/>
  <c r="T324" i="24"/>
  <c r="N324" i="24"/>
  <c r="C324" i="24"/>
  <c r="A324" i="24"/>
  <c r="BP323" i="24"/>
  <c r="BO323" i="24"/>
  <c r="BA323" i="24"/>
  <c r="AZ323" i="24"/>
  <c r="AW323" i="24"/>
  <c r="AV323" i="24"/>
  <c r="AG323" i="24"/>
  <c r="U323" i="24"/>
  <c r="T323" i="24"/>
  <c r="N323" i="24"/>
  <c r="C323" i="24"/>
  <c r="A323" i="24"/>
  <c r="BP322" i="24"/>
  <c r="BO322" i="24"/>
  <c r="BA322" i="24"/>
  <c r="AZ322" i="24"/>
  <c r="AW322" i="24"/>
  <c r="AV322" i="24"/>
  <c r="AG322" i="24"/>
  <c r="U322" i="24"/>
  <c r="T322" i="24"/>
  <c r="N322" i="24"/>
  <c r="C322" i="24"/>
  <c r="A322" i="24"/>
  <c r="BP321" i="24"/>
  <c r="BO321" i="24"/>
  <c r="BA321" i="24"/>
  <c r="AZ321" i="24"/>
  <c r="AW321" i="24"/>
  <c r="AV321" i="24"/>
  <c r="AG321" i="24"/>
  <c r="U321" i="24"/>
  <c r="T321" i="24"/>
  <c r="N321" i="24"/>
  <c r="C321" i="24"/>
  <c r="A321" i="24"/>
  <c r="BP320" i="24"/>
  <c r="BO320" i="24"/>
  <c r="BA320" i="24"/>
  <c r="AZ320" i="24"/>
  <c r="AW320" i="24"/>
  <c r="AV320" i="24"/>
  <c r="AG320" i="24"/>
  <c r="U320" i="24"/>
  <c r="T320" i="24"/>
  <c r="N320" i="24"/>
  <c r="C320" i="24"/>
  <c r="A320" i="24"/>
  <c r="BP319" i="24"/>
  <c r="BO319" i="24"/>
  <c r="BA319" i="24"/>
  <c r="AZ319" i="24"/>
  <c r="AW319" i="24"/>
  <c r="AV319" i="24"/>
  <c r="AG319" i="24"/>
  <c r="U319" i="24"/>
  <c r="T319" i="24"/>
  <c r="N319" i="24"/>
  <c r="C319" i="24"/>
  <c r="A319" i="24"/>
  <c r="BP318" i="24"/>
  <c r="BO318" i="24"/>
  <c r="BA318" i="24"/>
  <c r="AZ318" i="24"/>
  <c r="AW318" i="24"/>
  <c r="AV318" i="24"/>
  <c r="AG318" i="24"/>
  <c r="U318" i="24"/>
  <c r="T318" i="24"/>
  <c r="N318" i="24"/>
  <c r="C318" i="24"/>
  <c r="A318" i="24"/>
  <c r="BP317" i="24"/>
  <c r="BO317" i="24"/>
  <c r="BA317" i="24"/>
  <c r="AZ317" i="24"/>
  <c r="AW317" i="24"/>
  <c r="AV317" i="24"/>
  <c r="AG317" i="24"/>
  <c r="U317" i="24"/>
  <c r="T317" i="24"/>
  <c r="N317" i="24"/>
  <c r="C317" i="24"/>
  <c r="A317" i="24"/>
  <c r="BP316" i="24"/>
  <c r="BO316" i="24"/>
  <c r="BA316" i="24"/>
  <c r="AZ316" i="24"/>
  <c r="AW316" i="24"/>
  <c r="AV316" i="24"/>
  <c r="AG316" i="24"/>
  <c r="U316" i="24"/>
  <c r="T316" i="24"/>
  <c r="N316" i="24"/>
  <c r="C316" i="24"/>
  <c r="A316" i="24"/>
  <c r="BP315" i="24"/>
  <c r="BO315" i="24"/>
  <c r="BA315" i="24"/>
  <c r="AZ315" i="24"/>
  <c r="AW315" i="24"/>
  <c r="AV315" i="24"/>
  <c r="AG315" i="24"/>
  <c r="U315" i="24"/>
  <c r="T315" i="24"/>
  <c r="N315" i="24"/>
  <c r="C315" i="24"/>
  <c r="A315" i="24"/>
  <c r="BP314" i="24"/>
  <c r="BO314" i="24"/>
  <c r="BA314" i="24"/>
  <c r="AZ314" i="24"/>
  <c r="AW314" i="24"/>
  <c r="AV314" i="24"/>
  <c r="AG314" i="24"/>
  <c r="U314" i="24"/>
  <c r="T314" i="24"/>
  <c r="N314" i="24"/>
  <c r="C314" i="24"/>
  <c r="A314" i="24"/>
  <c r="BP313" i="24"/>
  <c r="BO313" i="24"/>
  <c r="BA313" i="24"/>
  <c r="AZ313" i="24"/>
  <c r="AW313" i="24"/>
  <c r="AV313" i="24"/>
  <c r="AG313" i="24"/>
  <c r="U313" i="24"/>
  <c r="T313" i="24"/>
  <c r="N313" i="24"/>
  <c r="C313" i="24"/>
  <c r="A313" i="24"/>
  <c r="BP312" i="24"/>
  <c r="BO312" i="24"/>
  <c r="BA312" i="24"/>
  <c r="AZ312" i="24"/>
  <c r="AW312" i="24"/>
  <c r="AV312" i="24"/>
  <c r="AG312" i="24"/>
  <c r="U312" i="24"/>
  <c r="T312" i="24"/>
  <c r="N312" i="24"/>
  <c r="C312" i="24"/>
  <c r="A312" i="24"/>
  <c r="BP311" i="24"/>
  <c r="BO311" i="24"/>
  <c r="BA311" i="24"/>
  <c r="AZ311" i="24"/>
  <c r="AW311" i="24"/>
  <c r="AV311" i="24"/>
  <c r="AG311" i="24"/>
  <c r="U311" i="24"/>
  <c r="T311" i="24"/>
  <c r="N311" i="24"/>
  <c r="C311" i="24"/>
  <c r="A311" i="24"/>
  <c r="BP310" i="24"/>
  <c r="BO310" i="24"/>
  <c r="BA310" i="24"/>
  <c r="AZ310" i="24"/>
  <c r="AW310" i="24"/>
  <c r="AV310" i="24"/>
  <c r="AG310" i="24"/>
  <c r="U310" i="24"/>
  <c r="T310" i="24"/>
  <c r="N310" i="24"/>
  <c r="C310" i="24"/>
  <c r="A310" i="24"/>
  <c r="BP309" i="24"/>
  <c r="BO309" i="24"/>
  <c r="BA309" i="24"/>
  <c r="AZ309" i="24"/>
  <c r="AW309" i="24"/>
  <c r="AV309" i="24"/>
  <c r="AG309" i="24"/>
  <c r="U309" i="24"/>
  <c r="T309" i="24"/>
  <c r="N309" i="24"/>
  <c r="C309" i="24"/>
  <c r="A309" i="24"/>
  <c r="BP308" i="24"/>
  <c r="BO308" i="24"/>
  <c r="BA308" i="24"/>
  <c r="AZ308" i="24"/>
  <c r="AW308" i="24"/>
  <c r="AV308" i="24"/>
  <c r="AG308" i="24"/>
  <c r="U308" i="24"/>
  <c r="T308" i="24"/>
  <c r="N308" i="24"/>
  <c r="C308" i="24"/>
  <c r="A308" i="24"/>
  <c r="BP307" i="24"/>
  <c r="BO307" i="24"/>
  <c r="BA307" i="24"/>
  <c r="AZ307" i="24"/>
  <c r="AW307" i="24"/>
  <c r="AV307" i="24"/>
  <c r="AG307" i="24"/>
  <c r="U307" i="24"/>
  <c r="T307" i="24"/>
  <c r="N307" i="24"/>
  <c r="C307" i="24"/>
  <c r="A307" i="24"/>
  <c r="BP306" i="24"/>
  <c r="BO306" i="24"/>
  <c r="BA306" i="24"/>
  <c r="AZ306" i="24"/>
  <c r="AW306" i="24"/>
  <c r="AV306" i="24"/>
  <c r="AG306" i="24"/>
  <c r="U306" i="24"/>
  <c r="T306" i="24"/>
  <c r="N306" i="24"/>
  <c r="C306" i="24"/>
  <c r="A306" i="24"/>
  <c r="BP305" i="24"/>
  <c r="BO305" i="24"/>
  <c r="BA305" i="24"/>
  <c r="AZ305" i="24"/>
  <c r="AW305" i="24"/>
  <c r="AV305" i="24"/>
  <c r="AG305" i="24"/>
  <c r="U305" i="24"/>
  <c r="T305" i="24"/>
  <c r="N305" i="24"/>
  <c r="C305" i="24"/>
  <c r="A305" i="24"/>
  <c r="BP304" i="24"/>
  <c r="BO304" i="24"/>
  <c r="BA304" i="24"/>
  <c r="AZ304" i="24"/>
  <c r="AW304" i="24"/>
  <c r="AV304" i="24"/>
  <c r="AG304" i="24"/>
  <c r="U304" i="24"/>
  <c r="T304" i="24"/>
  <c r="N304" i="24"/>
  <c r="C304" i="24"/>
  <c r="A304" i="24"/>
  <c r="BP303" i="24"/>
  <c r="BO303" i="24"/>
  <c r="BA303" i="24"/>
  <c r="AZ303" i="24"/>
  <c r="AW303" i="24"/>
  <c r="AV303" i="24"/>
  <c r="AG303" i="24"/>
  <c r="U303" i="24"/>
  <c r="T303" i="24"/>
  <c r="N303" i="24"/>
  <c r="C303" i="24"/>
  <c r="A303" i="24"/>
  <c r="BP302" i="24"/>
  <c r="BO302" i="24"/>
  <c r="BA302" i="24"/>
  <c r="AZ302" i="24"/>
  <c r="AW302" i="24"/>
  <c r="AV302" i="24"/>
  <c r="AG302" i="24"/>
  <c r="U302" i="24"/>
  <c r="T302" i="24"/>
  <c r="N302" i="24"/>
  <c r="C302" i="24"/>
  <c r="A302" i="24"/>
  <c r="BP301" i="24"/>
  <c r="BO301" i="24"/>
  <c r="BA301" i="24"/>
  <c r="AZ301" i="24"/>
  <c r="AW301" i="24"/>
  <c r="AV301" i="24"/>
  <c r="AG301" i="24"/>
  <c r="U301" i="24"/>
  <c r="T301" i="24"/>
  <c r="N301" i="24"/>
  <c r="C301" i="24"/>
  <c r="A301" i="24"/>
  <c r="BP300" i="24"/>
  <c r="BO300" i="24"/>
  <c r="BA300" i="24"/>
  <c r="AZ300" i="24"/>
  <c r="AW300" i="24"/>
  <c r="AV300" i="24"/>
  <c r="AG300" i="24"/>
  <c r="U300" i="24"/>
  <c r="T300" i="24"/>
  <c r="N300" i="24"/>
  <c r="C300" i="24"/>
  <c r="A300" i="24"/>
  <c r="BP299" i="24"/>
  <c r="BO299" i="24"/>
  <c r="BA299" i="24"/>
  <c r="AZ299" i="24"/>
  <c r="AW299" i="24"/>
  <c r="AV299" i="24"/>
  <c r="AG299" i="24"/>
  <c r="U299" i="24"/>
  <c r="T299" i="24"/>
  <c r="N299" i="24"/>
  <c r="C299" i="24"/>
  <c r="A299" i="24"/>
  <c r="BP298" i="24"/>
  <c r="BO298" i="24"/>
  <c r="BA298" i="24"/>
  <c r="AZ298" i="24"/>
  <c r="AW298" i="24"/>
  <c r="AV298" i="24"/>
  <c r="AG298" i="24"/>
  <c r="U298" i="24"/>
  <c r="T298" i="24"/>
  <c r="N298" i="24"/>
  <c r="C298" i="24"/>
  <c r="A298" i="24"/>
  <c r="BP297" i="24"/>
  <c r="BO297" i="24"/>
  <c r="BA297" i="24"/>
  <c r="AZ297" i="24"/>
  <c r="AW297" i="24"/>
  <c r="AV297" i="24"/>
  <c r="AG297" i="24"/>
  <c r="U297" i="24"/>
  <c r="T297" i="24"/>
  <c r="N297" i="24"/>
  <c r="C297" i="24"/>
  <c r="A297" i="24"/>
  <c r="BP296" i="24"/>
  <c r="BO296" i="24"/>
  <c r="BA296" i="24"/>
  <c r="AZ296" i="24"/>
  <c r="AW296" i="24"/>
  <c r="AV296" i="24"/>
  <c r="AG296" i="24"/>
  <c r="U296" i="24"/>
  <c r="T296" i="24"/>
  <c r="N296" i="24"/>
  <c r="C296" i="24"/>
  <c r="A296" i="24"/>
  <c r="BP295" i="24"/>
  <c r="BO295" i="24"/>
  <c r="BA295" i="24"/>
  <c r="AZ295" i="24"/>
  <c r="AW295" i="24"/>
  <c r="AV295" i="24"/>
  <c r="AG295" i="24"/>
  <c r="U295" i="24"/>
  <c r="T295" i="24"/>
  <c r="N295" i="24"/>
  <c r="C295" i="24"/>
  <c r="A295" i="24"/>
  <c r="BP294" i="24"/>
  <c r="BO294" i="24"/>
  <c r="BA294" i="24"/>
  <c r="AZ294" i="24"/>
  <c r="AW294" i="24"/>
  <c r="AV294" i="24"/>
  <c r="AG294" i="24"/>
  <c r="U294" i="24"/>
  <c r="T294" i="24"/>
  <c r="N294" i="24"/>
  <c r="C294" i="24"/>
  <c r="A294" i="24"/>
  <c r="BP293" i="24"/>
  <c r="BO293" i="24"/>
  <c r="BA293" i="24"/>
  <c r="AZ293" i="24"/>
  <c r="AW293" i="24"/>
  <c r="AV293" i="24"/>
  <c r="AG293" i="24"/>
  <c r="U293" i="24"/>
  <c r="T293" i="24"/>
  <c r="N293" i="24"/>
  <c r="C293" i="24"/>
  <c r="A293" i="24"/>
  <c r="BP292" i="24"/>
  <c r="BO292" i="24"/>
  <c r="BA292" i="24"/>
  <c r="AZ292" i="24"/>
  <c r="AW292" i="24"/>
  <c r="AV292" i="24"/>
  <c r="AG292" i="24"/>
  <c r="U292" i="24"/>
  <c r="T292" i="24"/>
  <c r="N292" i="24"/>
  <c r="C292" i="24"/>
  <c r="A292" i="24"/>
  <c r="BP291" i="24"/>
  <c r="BO291" i="24"/>
  <c r="BA291" i="24"/>
  <c r="AZ291" i="24"/>
  <c r="AW291" i="24"/>
  <c r="AV291" i="24"/>
  <c r="AG291" i="24"/>
  <c r="U291" i="24"/>
  <c r="T291" i="24"/>
  <c r="N291" i="24"/>
  <c r="C291" i="24"/>
  <c r="A291" i="24"/>
  <c r="BP290" i="24"/>
  <c r="BO290" i="24"/>
  <c r="BA290" i="24"/>
  <c r="AZ290" i="24"/>
  <c r="AW290" i="24"/>
  <c r="AV290" i="24"/>
  <c r="AG290" i="24"/>
  <c r="U290" i="24"/>
  <c r="T290" i="24"/>
  <c r="N290" i="24"/>
  <c r="C290" i="24"/>
  <c r="A290" i="24"/>
  <c r="BP289" i="24"/>
  <c r="BO289" i="24"/>
  <c r="BA289" i="24"/>
  <c r="AZ289" i="24"/>
  <c r="AW289" i="24"/>
  <c r="AV289" i="24"/>
  <c r="AG289" i="24"/>
  <c r="U289" i="24"/>
  <c r="T289" i="24"/>
  <c r="N289" i="24"/>
  <c r="C289" i="24"/>
  <c r="A289" i="24"/>
  <c r="BP288" i="24"/>
  <c r="BO288" i="24"/>
  <c r="BA288" i="24"/>
  <c r="AZ288" i="24"/>
  <c r="AW288" i="24"/>
  <c r="AV288" i="24"/>
  <c r="AG288" i="24"/>
  <c r="U288" i="24"/>
  <c r="T288" i="24"/>
  <c r="N288" i="24"/>
  <c r="C288" i="24"/>
  <c r="A288" i="24"/>
  <c r="BP287" i="24"/>
  <c r="BO287" i="24"/>
  <c r="BA287" i="24"/>
  <c r="AZ287" i="24"/>
  <c r="AW287" i="24"/>
  <c r="AV287" i="24"/>
  <c r="AG287" i="24"/>
  <c r="U287" i="24"/>
  <c r="T287" i="24"/>
  <c r="N287" i="24"/>
  <c r="C287" i="24"/>
  <c r="A287" i="24"/>
  <c r="BP286" i="24"/>
  <c r="BO286" i="24"/>
  <c r="BA286" i="24"/>
  <c r="AZ286" i="24"/>
  <c r="AW286" i="24"/>
  <c r="AV286" i="24"/>
  <c r="AG286" i="24"/>
  <c r="U286" i="24"/>
  <c r="T286" i="24"/>
  <c r="N286" i="24"/>
  <c r="C286" i="24"/>
  <c r="A286" i="24"/>
  <c r="BP285" i="24"/>
  <c r="BO285" i="24"/>
  <c r="BA285" i="24"/>
  <c r="AZ285" i="24"/>
  <c r="AW285" i="24"/>
  <c r="AV285" i="24"/>
  <c r="AG285" i="24"/>
  <c r="U285" i="24"/>
  <c r="T285" i="24"/>
  <c r="N285" i="24"/>
  <c r="C285" i="24"/>
  <c r="A285" i="24"/>
  <c r="BP284" i="24"/>
  <c r="BO284" i="24"/>
  <c r="BA284" i="24"/>
  <c r="AZ284" i="24"/>
  <c r="AW284" i="24"/>
  <c r="AV284" i="24"/>
  <c r="AG284" i="24"/>
  <c r="U284" i="24"/>
  <c r="T284" i="24"/>
  <c r="N284" i="24"/>
  <c r="C284" i="24"/>
  <c r="A284" i="24"/>
  <c r="BP283" i="24"/>
  <c r="BO283" i="24"/>
  <c r="BA283" i="24"/>
  <c r="AZ283" i="24"/>
  <c r="AW283" i="24"/>
  <c r="AV283" i="24"/>
  <c r="AG283" i="24"/>
  <c r="U283" i="24"/>
  <c r="T283" i="24"/>
  <c r="N283" i="24"/>
  <c r="C283" i="24"/>
  <c r="A283" i="24"/>
  <c r="BP282" i="24"/>
  <c r="BO282" i="24"/>
  <c r="BA282" i="24"/>
  <c r="AZ282" i="24"/>
  <c r="AW282" i="24"/>
  <c r="AV282" i="24"/>
  <c r="AG282" i="24"/>
  <c r="U282" i="24"/>
  <c r="T282" i="24"/>
  <c r="N282" i="24"/>
  <c r="C282" i="24"/>
  <c r="A282" i="24"/>
  <c r="BP281" i="24"/>
  <c r="BO281" i="24"/>
  <c r="BA281" i="24"/>
  <c r="AZ281" i="24"/>
  <c r="AW281" i="24"/>
  <c r="AV281" i="24"/>
  <c r="AG281" i="24"/>
  <c r="U281" i="24"/>
  <c r="T281" i="24"/>
  <c r="N281" i="24"/>
  <c r="C281" i="24"/>
  <c r="A281" i="24"/>
  <c r="BP280" i="24"/>
  <c r="BO280" i="24"/>
  <c r="BA280" i="24"/>
  <c r="AZ280" i="24"/>
  <c r="AW280" i="24"/>
  <c r="AV280" i="24"/>
  <c r="AG280" i="24"/>
  <c r="U280" i="24"/>
  <c r="T280" i="24"/>
  <c r="N280" i="24"/>
  <c r="C280" i="24"/>
  <c r="A280" i="24"/>
  <c r="BP279" i="24"/>
  <c r="BO279" i="24"/>
  <c r="BA279" i="24"/>
  <c r="AZ279" i="24"/>
  <c r="AW279" i="24"/>
  <c r="AV279" i="24"/>
  <c r="AG279" i="24"/>
  <c r="U279" i="24"/>
  <c r="T279" i="24"/>
  <c r="N279" i="24"/>
  <c r="C279" i="24"/>
  <c r="A279" i="24"/>
  <c r="BP278" i="24"/>
  <c r="BO278" i="24"/>
  <c r="BA278" i="24"/>
  <c r="AZ278" i="24"/>
  <c r="AW278" i="24"/>
  <c r="AV278" i="24"/>
  <c r="AG278" i="24"/>
  <c r="U278" i="24"/>
  <c r="T278" i="24"/>
  <c r="N278" i="24"/>
  <c r="C278" i="24"/>
  <c r="A278" i="24"/>
  <c r="BP277" i="24"/>
  <c r="BO277" i="24"/>
  <c r="BA277" i="24"/>
  <c r="AZ277" i="24"/>
  <c r="AW277" i="24"/>
  <c r="AV277" i="24"/>
  <c r="AG277" i="24"/>
  <c r="U277" i="24"/>
  <c r="T277" i="24"/>
  <c r="N277" i="24"/>
  <c r="C277" i="24"/>
  <c r="A277" i="24"/>
  <c r="BP276" i="24"/>
  <c r="BO276" i="24"/>
  <c r="BA276" i="24"/>
  <c r="AZ276" i="24"/>
  <c r="AW276" i="24"/>
  <c r="AV276" i="24"/>
  <c r="AG276" i="24"/>
  <c r="U276" i="24"/>
  <c r="T276" i="24"/>
  <c r="N276" i="24"/>
  <c r="C276" i="24"/>
  <c r="A276" i="24"/>
  <c r="BP275" i="24"/>
  <c r="BO275" i="24"/>
  <c r="BA275" i="24"/>
  <c r="AZ275" i="24"/>
  <c r="AW275" i="24"/>
  <c r="AV275" i="24"/>
  <c r="AG275" i="24"/>
  <c r="U275" i="24"/>
  <c r="T275" i="24"/>
  <c r="N275" i="24"/>
  <c r="C275" i="24"/>
  <c r="A275" i="24"/>
  <c r="BP274" i="24"/>
  <c r="BO274" i="24"/>
  <c r="BA274" i="24"/>
  <c r="AZ274" i="24"/>
  <c r="AW274" i="24"/>
  <c r="AV274" i="24"/>
  <c r="AG274" i="24"/>
  <c r="U274" i="24"/>
  <c r="T274" i="24"/>
  <c r="N274" i="24"/>
  <c r="C274" i="24"/>
  <c r="A274" i="24"/>
  <c r="BP273" i="24"/>
  <c r="BO273" i="24"/>
  <c r="BA273" i="24"/>
  <c r="AZ273" i="24"/>
  <c r="AW273" i="24"/>
  <c r="AV273" i="24"/>
  <c r="AG273" i="24"/>
  <c r="U273" i="24"/>
  <c r="T273" i="24"/>
  <c r="N273" i="24"/>
  <c r="C273" i="24"/>
  <c r="A273" i="24"/>
  <c r="BP272" i="24"/>
  <c r="BO272" i="24"/>
  <c r="BA272" i="24"/>
  <c r="AZ272" i="24"/>
  <c r="AW272" i="24"/>
  <c r="AV272" i="24"/>
  <c r="AG272" i="24"/>
  <c r="U272" i="24"/>
  <c r="T272" i="24"/>
  <c r="N272" i="24"/>
  <c r="C272" i="24"/>
  <c r="A272" i="24"/>
  <c r="BP271" i="24"/>
  <c r="BO271" i="24"/>
  <c r="BA271" i="24"/>
  <c r="AZ271" i="24"/>
  <c r="AW271" i="24"/>
  <c r="AV271" i="24"/>
  <c r="AG271" i="24"/>
  <c r="U271" i="24"/>
  <c r="T271" i="24"/>
  <c r="N271" i="24"/>
  <c r="C271" i="24"/>
  <c r="A271" i="24"/>
  <c r="BP270" i="24"/>
  <c r="BO270" i="24"/>
  <c r="BA270" i="24"/>
  <c r="AZ270" i="24"/>
  <c r="AW270" i="24"/>
  <c r="AV270" i="24"/>
  <c r="AG270" i="24"/>
  <c r="U270" i="24"/>
  <c r="T270" i="24"/>
  <c r="N270" i="24"/>
  <c r="C270" i="24"/>
  <c r="A270" i="24"/>
  <c r="BP269" i="24"/>
  <c r="BO269" i="24"/>
  <c r="BA269" i="24"/>
  <c r="AZ269" i="24"/>
  <c r="AW269" i="24"/>
  <c r="AV269" i="24"/>
  <c r="AG269" i="24"/>
  <c r="U269" i="24"/>
  <c r="T269" i="24"/>
  <c r="N269" i="24"/>
  <c r="C269" i="24"/>
  <c r="A269" i="24"/>
  <c r="BP268" i="24"/>
  <c r="BO268" i="24"/>
  <c r="BA268" i="24"/>
  <c r="AZ268" i="24"/>
  <c r="AW268" i="24"/>
  <c r="AV268" i="24"/>
  <c r="AG268" i="24"/>
  <c r="U268" i="24"/>
  <c r="T268" i="24"/>
  <c r="N268" i="24"/>
  <c r="C268" i="24"/>
  <c r="A268" i="24"/>
  <c r="BP267" i="24"/>
  <c r="BO267" i="24"/>
  <c r="BA267" i="24"/>
  <c r="AZ267" i="24"/>
  <c r="AW267" i="24"/>
  <c r="AV267" i="24"/>
  <c r="AG267" i="24"/>
  <c r="U267" i="24"/>
  <c r="T267" i="24"/>
  <c r="N267" i="24"/>
  <c r="C267" i="24"/>
  <c r="A267" i="24"/>
  <c r="BP266" i="24"/>
  <c r="BO266" i="24"/>
  <c r="BA266" i="24"/>
  <c r="AZ266" i="24"/>
  <c r="AW266" i="24"/>
  <c r="AV266" i="24"/>
  <c r="AG266" i="24"/>
  <c r="U266" i="24"/>
  <c r="T266" i="24"/>
  <c r="N266" i="24"/>
  <c r="C266" i="24"/>
  <c r="A266" i="24"/>
  <c r="BP265" i="24"/>
  <c r="BO265" i="24"/>
  <c r="BA265" i="24"/>
  <c r="AZ265" i="24"/>
  <c r="AW265" i="24"/>
  <c r="AV265" i="24"/>
  <c r="AG265" i="24"/>
  <c r="U265" i="24"/>
  <c r="T265" i="24"/>
  <c r="N265" i="24"/>
  <c r="C265" i="24"/>
  <c r="A265" i="24"/>
  <c r="BP264" i="24"/>
  <c r="BO264" i="24"/>
  <c r="BA264" i="24"/>
  <c r="AZ264" i="24"/>
  <c r="AW264" i="24"/>
  <c r="AV264" i="24"/>
  <c r="AG264" i="24"/>
  <c r="U264" i="24"/>
  <c r="T264" i="24"/>
  <c r="N264" i="24"/>
  <c r="C264" i="24"/>
  <c r="A264" i="24"/>
  <c r="BP263" i="24"/>
  <c r="BO263" i="24"/>
  <c r="BA263" i="24"/>
  <c r="AZ263" i="24"/>
  <c r="AW263" i="24"/>
  <c r="AV263" i="24"/>
  <c r="AG263" i="24"/>
  <c r="U263" i="24"/>
  <c r="T263" i="24"/>
  <c r="N263" i="24"/>
  <c r="C263" i="24"/>
  <c r="A263" i="24"/>
  <c r="BP262" i="24"/>
  <c r="BO262" i="24"/>
  <c r="BA262" i="24"/>
  <c r="AZ262" i="24"/>
  <c r="AW262" i="24"/>
  <c r="AV262" i="24"/>
  <c r="AG262" i="24"/>
  <c r="U262" i="24"/>
  <c r="T262" i="24"/>
  <c r="N262" i="24"/>
  <c r="C262" i="24"/>
  <c r="A262" i="24"/>
  <c r="BP261" i="24"/>
  <c r="BO261" i="24"/>
  <c r="BA261" i="24"/>
  <c r="AZ261" i="24"/>
  <c r="AW261" i="24"/>
  <c r="AV261" i="24"/>
  <c r="AG261" i="24"/>
  <c r="U261" i="24"/>
  <c r="T261" i="24"/>
  <c r="N261" i="24"/>
  <c r="C261" i="24"/>
  <c r="A261" i="24"/>
  <c r="BP260" i="24"/>
  <c r="BO260" i="24"/>
  <c r="BA260" i="24"/>
  <c r="AZ260" i="24"/>
  <c r="AW260" i="24"/>
  <c r="AV260" i="24"/>
  <c r="AG260" i="24"/>
  <c r="U260" i="24"/>
  <c r="T260" i="24"/>
  <c r="N260" i="24"/>
  <c r="C260" i="24"/>
  <c r="A260" i="24"/>
  <c r="BP259" i="24"/>
  <c r="BO259" i="24"/>
  <c r="BA259" i="24"/>
  <c r="AZ259" i="24"/>
  <c r="AW259" i="24"/>
  <c r="AV259" i="24"/>
  <c r="AG259" i="24"/>
  <c r="U259" i="24"/>
  <c r="T259" i="24"/>
  <c r="N259" i="24"/>
  <c r="C259" i="24"/>
  <c r="A259" i="24"/>
  <c r="BP258" i="24"/>
  <c r="BO258" i="24"/>
  <c r="BA258" i="24"/>
  <c r="AZ258" i="24"/>
  <c r="AW258" i="24"/>
  <c r="AV258" i="24"/>
  <c r="AG258" i="24"/>
  <c r="U258" i="24"/>
  <c r="T258" i="24"/>
  <c r="N258" i="24"/>
  <c r="C258" i="24"/>
  <c r="A258" i="24"/>
  <c r="BP257" i="24"/>
  <c r="BO257" i="24"/>
  <c r="BA257" i="24"/>
  <c r="AZ257" i="24"/>
  <c r="AW257" i="24"/>
  <c r="AV257" i="24"/>
  <c r="AG257" i="24"/>
  <c r="U257" i="24"/>
  <c r="T257" i="24"/>
  <c r="N257" i="24"/>
  <c r="C257" i="24"/>
  <c r="A257" i="24"/>
  <c r="BP256" i="24"/>
  <c r="BO256" i="24"/>
  <c r="BA256" i="24"/>
  <c r="AZ256" i="24"/>
  <c r="AW256" i="24"/>
  <c r="AV256" i="24"/>
  <c r="AG256" i="24"/>
  <c r="U256" i="24"/>
  <c r="T256" i="24"/>
  <c r="N256" i="24"/>
  <c r="C256" i="24"/>
  <c r="A256" i="24"/>
  <c r="BP255" i="24"/>
  <c r="BO255" i="24"/>
  <c r="BA255" i="24"/>
  <c r="AZ255" i="24"/>
  <c r="AW255" i="24"/>
  <c r="AV255" i="24"/>
  <c r="AG255" i="24"/>
  <c r="U255" i="24"/>
  <c r="T255" i="24"/>
  <c r="N255" i="24"/>
  <c r="C255" i="24"/>
  <c r="A255" i="24"/>
  <c r="BP254" i="24"/>
  <c r="BO254" i="24"/>
  <c r="BA254" i="24"/>
  <c r="AZ254" i="24"/>
  <c r="AW254" i="24"/>
  <c r="AV254" i="24"/>
  <c r="AG254" i="24"/>
  <c r="U254" i="24"/>
  <c r="T254" i="24"/>
  <c r="N254" i="24"/>
  <c r="C254" i="24"/>
  <c r="A254" i="24"/>
  <c r="BP253" i="24"/>
  <c r="BO253" i="24"/>
  <c r="BA253" i="24"/>
  <c r="AZ253" i="24"/>
  <c r="AW253" i="24"/>
  <c r="AV253" i="24"/>
  <c r="AG253" i="24"/>
  <c r="U253" i="24"/>
  <c r="T253" i="24"/>
  <c r="N253" i="24"/>
  <c r="C253" i="24"/>
  <c r="A253" i="24"/>
  <c r="BP252" i="24"/>
  <c r="BO252" i="24"/>
  <c r="BA252" i="24"/>
  <c r="AZ252" i="24"/>
  <c r="AW252" i="24"/>
  <c r="AV252" i="24"/>
  <c r="AG252" i="24"/>
  <c r="U252" i="24"/>
  <c r="T252" i="24"/>
  <c r="N252" i="24"/>
  <c r="C252" i="24"/>
  <c r="A252" i="24"/>
  <c r="BP251" i="24"/>
  <c r="BO251" i="24"/>
  <c r="BA251" i="24"/>
  <c r="AZ251" i="24"/>
  <c r="AW251" i="24"/>
  <c r="AV251" i="24"/>
  <c r="AG251" i="24"/>
  <c r="U251" i="24"/>
  <c r="T251" i="24"/>
  <c r="N251" i="24"/>
  <c r="C251" i="24"/>
  <c r="A251" i="24"/>
  <c r="BP250" i="24"/>
  <c r="BO250" i="24"/>
  <c r="BA250" i="24"/>
  <c r="AZ250" i="24"/>
  <c r="AW250" i="24"/>
  <c r="AV250" i="24"/>
  <c r="AG250" i="24"/>
  <c r="U250" i="24"/>
  <c r="T250" i="24"/>
  <c r="N250" i="24"/>
  <c r="C250" i="24"/>
  <c r="A250" i="24"/>
  <c r="BP249" i="24"/>
  <c r="BO249" i="24"/>
  <c r="BA249" i="24"/>
  <c r="AZ249" i="24"/>
  <c r="AW249" i="24"/>
  <c r="AV249" i="24"/>
  <c r="AG249" i="24"/>
  <c r="U249" i="24"/>
  <c r="T249" i="24"/>
  <c r="N249" i="24"/>
  <c r="C249" i="24"/>
  <c r="A249" i="24"/>
  <c r="BP248" i="24"/>
  <c r="BO248" i="24"/>
  <c r="BA248" i="24"/>
  <c r="AZ248" i="24"/>
  <c r="AW248" i="24"/>
  <c r="AV248" i="24"/>
  <c r="AG248" i="24"/>
  <c r="U248" i="24"/>
  <c r="T248" i="24"/>
  <c r="N248" i="24"/>
  <c r="C248" i="24"/>
  <c r="A248" i="24"/>
  <c r="BP247" i="24"/>
  <c r="BO247" i="24"/>
  <c r="BA247" i="24"/>
  <c r="AZ247" i="24"/>
  <c r="AW247" i="24"/>
  <c r="AV247" i="24"/>
  <c r="AG247" i="24"/>
  <c r="U247" i="24"/>
  <c r="T247" i="24"/>
  <c r="N247" i="24"/>
  <c r="C247" i="24"/>
  <c r="A247" i="24"/>
  <c r="BP246" i="24"/>
  <c r="BO246" i="24"/>
  <c r="BA246" i="24"/>
  <c r="AZ246" i="24"/>
  <c r="AW246" i="24"/>
  <c r="AV246" i="24"/>
  <c r="AG246" i="24"/>
  <c r="U246" i="24"/>
  <c r="T246" i="24"/>
  <c r="N246" i="24"/>
  <c r="C246" i="24"/>
  <c r="A246" i="24"/>
  <c r="BP245" i="24"/>
  <c r="BO245" i="24"/>
  <c r="BA245" i="24"/>
  <c r="AZ245" i="24"/>
  <c r="AW245" i="24"/>
  <c r="AV245" i="24"/>
  <c r="AG245" i="24"/>
  <c r="U245" i="24"/>
  <c r="T245" i="24"/>
  <c r="N245" i="24"/>
  <c r="C245" i="24"/>
  <c r="A245" i="24"/>
  <c r="BP244" i="24"/>
  <c r="BO244" i="24"/>
  <c r="BA244" i="24"/>
  <c r="AZ244" i="24"/>
  <c r="AW244" i="24"/>
  <c r="AV244" i="24"/>
  <c r="AG244" i="24"/>
  <c r="U244" i="24"/>
  <c r="T244" i="24"/>
  <c r="N244" i="24"/>
  <c r="C244" i="24"/>
  <c r="A244" i="24"/>
  <c r="BP243" i="24"/>
  <c r="BO243" i="24"/>
  <c r="BA243" i="24"/>
  <c r="AZ243" i="24"/>
  <c r="AW243" i="24"/>
  <c r="AV243" i="24"/>
  <c r="AG243" i="24"/>
  <c r="U243" i="24"/>
  <c r="T243" i="24"/>
  <c r="N243" i="24"/>
  <c r="C243" i="24"/>
  <c r="A243" i="24"/>
  <c r="BP242" i="24"/>
  <c r="BO242" i="24"/>
  <c r="BA242" i="24"/>
  <c r="AZ242" i="24"/>
  <c r="AW242" i="24"/>
  <c r="AV242" i="24"/>
  <c r="AG242" i="24"/>
  <c r="U242" i="24"/>
  <c r="T242" i="24"/>
  <c r="N242" i="24"/>
  <c r="C242" i="24"/>
  <c r="A242" i="24"/>
  <c r="BP241" i="24"/>
  <c r="BO241" i="24"/>
  <c r="BA241" i="24"/>
  <c r="AZ241" i="24"/>
  <c r="AW241" i="24"/>
  <c r="AV241" i="24"/>
  <c r="AG241" i="24"/>
  <c r="U241" i="24"/>
  <c r="T241" i="24"/>
  <c r="N241" i="24"/>
  <c r="C241" i="24"/>
  <c r="A241" i="24"/>
  <c r="BP240" i="24"/>
  <c r="BO240" i="24"/>
  <c r="BA240" i="24"/>
  <c r="AZ240" i="24"/>
  <c r="AW240" i="24"/>
  <c r="AV240" i="24"/>
  <c r="AG240" i="24"/>
  <c r="U240" i="24"/>
  <c r="T240" i="24"/>
  <c r="N240" i="24"/>
  <c r="C240" i="24"/>
  <c r="A240" i="24"/>
  <c r="BP239" i="24"/>
  <c r="BO239" i="24"/>
  <c r="BA239" i="24"/>
  <c r="AZ239" i="24"/>
  <c r="AW239" i="24"/>
  <c r="AV239" i="24"/>
  <c r="AG239" i="24"/>
  <c r="U239" i="24"/>
  <c r="T239" i="24"/>
  <c r="N239" i="24"/>
  <c r="C239" i="24"/>
  <c r="A239" i="24"/>
  <c r="BP238" i="24"/>
  <c r="BO238" i="24"/>
  <c r="BA238" i="24"/>
  <c r="AZ238" i="24"/>
  <c r="AW238" i="24"/>
  <c r="AV238" i="24"/>
  <c r="AG238" i="24"/>
  <c r="U238" i="24"/>
  <c r="T238" i="24"/>
  <c r="N238" i="24"/>
  <c r="C238" i="24"/>
  <c r="A238" i="24"/>
  <c r="BP237" i="24"/>
  <c r="BO237" i="24"/>
  <c r="BA237" i="24"/>
  <c r="AZ237" i="24"/>
  <c r="AW237" i="24"/>
  <c r="AV237" i="24"/>
  <c r="AG237" i="24"/>
  <c r="U237" i="24"/>
  <c r="T237" i="24"/>
  <c r="N237" i="24"/>
  <c r="C237" i="24"/>
  <c r="A237" i="24"/>
  <c r="BP236" i="24"/>
  <c r="BO236" i="24"/>
  <c r="BA236" i="24"/>
  <c r="AZ236" i="24"/>
  <c r="AW236" i="24"/>
  <c r="AV236" i="24"/>
  <c r="AG236" i="24"/>
  <c r="U236" i="24"/>
  <c r="T236" i="24"/>
  <c r="N236" i="24"/>
  <c r="C236" i="24"/>
  <c r="A236" i="24"/>
  <c r="BP235" i="24"/>
  <c r="BO235" i="24"/>
  <c r="BA235" i="24"/>
  <c r="AZ235" i="24"/>
  <c r="AW235" i="24"/>
  <c r="AV235" i="24"/>
  <c r="AG235" i="24"/>
  <c r="U235" i="24"/>
  <c r="T235" i="24"/>
  <c r="N235" i="24"/>
  <c r="C235" i="24"/>
  <c r="A235" i="24"/>
  <c r="BP234" i="24"/>
  <c r="BO234" i="24"/>
  <c r="BA234" i="24"/>
  <c r="AZ234" i="24"/>
  <c r="AW234" i="24"/>
  <c r="AV234" i="24"/>
  <c r="AG234" i="24"/>
  <c r="U234" i="24"/>
  <c r="T234" i="24"/>
  <c r="N234" i="24"/>
  <c r="C234" i="24"/>
  <c r="A234" i="24"/>
  <c r="BP233" i="24"/>
  <c r="BO233" i="24"/>
  <c r="BA233" i="24"/>
  <c r="AZ233" i="24"/>
  <c r="AW233" i="24"/>
  <c r="AV233" i="24"/>
  <c r="AG233" i="24"/>
  <c r="U233" i="24"/>
  <c r="T233" i="24"/>
  <c r="N233" i="24"/>
  <c r="C233" i="24"/>
  <c r="A233" i="24"/>
  <c r="BP232" i="24"/>
  <c r="BO232" i="24"/>
  <c r="BA232" i="24"/>
  <c r="AZ232" i="24"/>
  <c r="AW232" i="24"/>
  <c r="AV232" i="24"/>
  <c r="AG232" i="24"/>
  <c r="U232" i="24"/>
  <c r="T232" i="24"/>
  <c r="N232" i="24"/>
  <c r="C232" i="24"/>
  <c r="A232" i="24"/>
  <c r="BP231" i="24"/>
  <c r="BO231" i="24"/>
  <c r="BA231" i="24"/>
  <c r="AZ231" i="24"/>
  <c r="AW231" i="24"/>
  <c r="AV231" i="24"/>
  <c r="AG231" i="24"/>
  <c r="U231" i="24"/>
  <c r="T231" i="24"/>
  <c r="N231" i="24"/>
  <c r="C231" i="24"/>
  <c r="A231" i="24"/>
  <c r="BP230" i="24"/>
  <c r="BO230" i="24"/>
  <c r="BA230" i="24"/>
  <c r="AZ230" i="24"/>
  <c r="AW230" i="24"/>
  <c r="AV230" i="24"/>
  <c r="AG230" i="24"/>
  <c r="U230" i="24"/>
  <c r="T230" i="24"/>
  <c r="N230" i="24"/>
  <c r="C230" i="24"/>
  <c r="A230" i="24"/>
  <c r="BP229" i="24"/>
  <c r="BO229" i="24"/>
  <c r="BA229" i="24"/>
  <c r="AZ229" i="24"/>
  <c r="AW229" i="24"/>
  <c r="AV229" i="24"/>
  <c r="AG229" i="24"/>
  <c r="U229" i="24"/>
  <c r="T229" i="24"/>
  <c r="N229" i="24"/>
  <c r="C229" i="24"/>
  <c r="A229" i="24"/>
  <c r="BP228" i="24"/>
  <c r="BO228" i="24"/>
  <c r="BA228" i="24"/>
  <c r="AZ228" i="24"/>
  <c r="AW228" i="24"/>
  <c r="AV228" i="24"/>
  <c r="AG228" i="24"/>
  <c r="U228" i="24"/>
  <c r="T228" i="24"/>
  <c r="N228" i="24"/>
  <c r="C228" i="24"/>
  <c r="A228" i="24"/>
  <c r="BP227" i="24"/>
  <c r="BO227" i="24"/>
  <c r="BA227" i="24"/>
  <c r="AZ227" i="24"/>
  <c r="AW227" i="24"/>
  <c r="AV227" i="24"/>
  <c r="AG227" i="24"/>
  <c r="U227" i="24"/>
  <c r="T227" i="24"/>
  <c r="N227" i="24"/>
  <c r="C227" i="24"/>
  <c r="A227" i="24"/>
  <c r="BP226" i="24"/>
  <c r="BO226" i="24"/>
  <c r="BA226" i="24"/>
  <c r="AZ226" i="24"/>
  <c r="AW226" i="24"/>
  <c r="AV226" i="24"/>
  <c r="AG226" i="24"/>
  <c r="U226" i="24"/>
  <c r="T226" i="24"/>
  <c r="N226" i="24"/>
  <c r="C226" i="24"/>
  <c r="A226" i="24"/>
  <c r="BP225" i="24"/>
  <c r="BO225" i="24"/>
  <c r="BA225" i="24"/>
  <c r="AZ225" i="24"/>
  <c r="AW225" i="24"/>
  <c r="AV225" i="24"/>
  <c r="AG225" i="24"/>
  <c r="U225" i="24"/>
  <c r="T225" i="24"/>
  <c r="N225" i="24"/>
  <c r="C225" i="24"/>
  <c r="A225" i="24"/>
  <c r="BP224" i="24"/>
  <c r="BO224" i="24"/>
  <c r="BA224" i="24"/>
  <c r="AZ224" i="24"/>
  <c r="AW224" i="24"/>
  <c r="AV224" i="24"/>
  <c r="AG224" i="24"/>
  <c r="U224" i="24"/>
  <c r="T224" i="24"/>
  <c r="N224" i="24"/>
  <c r="C224" i="24"/>
  <c r="A224" i="24"/>
  <c r="BP223" i="24"/>
  <c r="BO223" i="24"/>
  <c r="BA223" i="24"/>
  <c r="AZ223" i="24"/>
  <c r="AW223" i="24"/>
  <c r="AV223" i="24"/>
  <c r="AG223" i="24"/>
  <c r="U223" i="24"/>
  <c r="T223" i="24"/>
  <c r="N223" i="24"/>
  <c r="C223" i="24"/>
  <c r="A223" i="24"/>
  <c r="BP222" i="24"/>
  <c r="BO222" i="24"/>
  <c r="BA222" i="24"/>
  <c r="AZ222" i="24"/>
  <c r="AW222" i="24"/>
  <c r="AV222" i="24"/>
  <c r="AG222" i="24"/>
  <c r="U222" i="24"/>
  <c r="T222" i="24"/>
  <c r="N222" i="24"/>
  <c r="C222" i="24"/>
  <c r="A222" i="24"/>
  <c r="BP221" i="24"/>
  <c r="BO221" i="24"/>
  <c r="BA221" i="24"/>
  <c r="AZ221" i="24"/>
  <c r="AW221" i="24"/>
  <c r="AV221" i="24"/>
  <c r="AG221" i="24"/>
  <c r="U221" i="24"/>
  <c r="T221" i="24"/>
  <c r="N221" i="24"/>
  <c r="C221" i="24"/>
  <c r="A221" i="24"/>
  <c r="BP220" i="24"/>
  <c r="BO220" i="24"/>
  <c r="BA220" i="24"/>
  <c r="AZ220" i="24"/>
  <c r="AW220" i="24"/>
  <c r="AV220" i="24"/>
  <c r="AG220" i="24"/>
  <c r="U220" i="24"/>
  <c r="T220" i="24"/>
  <c r="N220" i="24"/>
  <c r="C220" i="24"/>
  <c r="A220" i="24"/>
  <c r="BP219" i="24"/>
  <c r="BO219" i="24"/>
  <c r="BA219" i="24"/>
  <c r="AZ219" i="24"/>
  <c r="AW219" i="24"/>
  <c r="AV219" i="24"/>
  <c r="AG219" i="24"/>
  <c r="U219" i="24"/>
  <c r="T219" i="24"/>
  <c r="N219" i="24"/>
  <c r="C219" i="24"/>
  <c r="A219" i="24"/>
  <c r="BP218" i="24"/>
  <c r="BO218" i="24"/>
  <c r="BA218" i="24"/>
  <c r="AZ218" i="24"/>
  <c r="AW218" i="24"/>
  <c r="AV218" i="24"/>
  <c r="AG218" i="24"/>
  <c r="U218" i="24"/>
  <c r="T218" i="24"/>
  <c r="N218" i="24"/>
  <c r="C218" i="24"/>
  <c r="A218" i="24"/>
  <c r="BP217" i="24"/>
  <c r="BO217" i="24"/>
  <c r="BA217" i="24"/>
  <c r="AZ217" i="24"/>
  <c r="AW217" i="24"/>
  <c r="AV217" i="24"/>
  <c r="AG217" i="24"/>
  <c r="U217" i="24"/>
  <c r="T217" i="24"/>
  <c r="N217" i="24"/>
  <c r="C217" i="24"/>
  <c r="A217" i="24"/>
  <c r="BP216" i="24"/>
  <c r="BO216" i="24"/>
  <c r="BA216" i="24"/>
  <c r="AZ216" i="24"/>
  <c r="AW216" i="24"/>
  <c r="AV216" i="24"/>
  <c r="AG216" i="24"/>
  <c r="U216" i="24"/>
  <c r="T216" i="24"/>
  <c r="N216" i="24"/>
  <c r="C216" i="24"/>
  <c r="A216" i="24"/>
  <c r="BP215" i="24"/>
  <c r="BO215" i="24"/>
  <c r="BA215" i="24"/>
  <c r="AZ215" i="24"/>
  <c r="AW215" i="24"/>
  <c r="AV215" i="24"/>
  <c r="AG215" i="24"/>
  <c r="U215" i="24"/>
  <c r="T215" i="24"/>
  <c r="N215" i="24"/>
  <c r="C215" i="24"/>
  <c r="A215" i="24"/>
  <c r="BP214" i="24"/>
  <c r="BO214" i="24"/>
  <c r="BA214" i="24"/>
  <c r="AZ214" i="24"/>
  <c r="AW214" i="24"/>
  <c r="AV214" i="24"/>
  <c r="AG214" i="24"/>
  <c r="U214" i="24"/>
  <c r="T214" i="24"/>
  <c r="N214" i="24"/>
  <c r="C214" i="24"/>
  <c r="A214" i="24"/>
  <c r="BP213" i="24"/>
  <c r="BO213" i="24"/>
  <c r="BA213" i="24"/>
  <c r="AZ213" i="24"/>
  <c r="AW213" i="24"/>
  <c r="AV213" i="24"/>
  <c r="AG213" i="24"/>
  <c r="U213" i="24"/>
  <c r="T213" i="24"/>
  <c r="N213" i="24"/>
  <c r="C213" i="24"/>
  <c r="A213" i="24"/>
  <c r="BP212" i="24"/>
  <c r="BO212" i="24"/>
  <c r="BA212" i="24"/>
  <c r="AZ212" i="24"/>
  <c r="AW212" i="24"/>
  <c r="AV212" i="24"/>
  <c r="AG212" i="24"/>
  <c r="U212" i="24"/>
  <c r="T212" i="24"/>
  <c r="N212" i="24"/>
  <c r="C212" i="24"/>
  <c r="A212" i="24"/>
  <c r="BP211" i="24"/>
  <c r="BO211" i="24"/>
  <c r="BA211" i="24"/>
  <c r="AZ211" i="24"/>
  <c r="AW211" i="24"/>
  <c r="AV211" i="24"/>
  <c r="AG211" i="24"/>
  <c r="U211" i="24"/>
  <c r="T211" i="24"/>
  <c r="N211" i="24"/>
  <c r="C211" i="24"/>
  <c r="A211" i="24"/>
  <c r="BP210" i="24"/>
  <c r="BO210" i="24"/>
  <c r="BA210" i="24"/>
  <c r="AZ210" i="24"/>
  <c r="AW210" i="24"/>
  <c r="AV210" i="24"/>
  <c r="AG210" i="24"/>
  <c r="U210" i="24"/>
  <c r="T210" i="24"/>
  <c r="N210" i="24"/>
  <c r="C210" i="24"/>
  <c r="A210" i="24"/>
  <c r="BP209" i="24"/>
  <c r="BO209" i="24"/>
  <c r="BA209" i="24"/>
  <c r="AZ209" i="24"/>
  <c r="AW209" i="24"/>
  <c r="AV209" i="24"/>
  <c r="AG209" i="24"/>
  <c r="U209" i="24"/>
  <c r="T209" i="24"/>
  <c r="N209" i="24"/>
  <c r="C209" i="24"/>
  <c r="A209" i="24"/>
  <c r="BP208" i="24"/>
  <c r="BO208" i="24"/>
  <c r="BA208" i="24"/>
  <c r="AZ208" i="24"/>
  <c r="AW208" i="24"/>
  <c r="AV208" i="24"/>
  <c r="AG208" i="24"/>
  <c r="U208" i="24"/>
  <c r="T208" i="24"/>
  <c r="N208" i="24"/>
  <c r="C208" i="24"/>
  <c r="A208" i="24"/>
  <c r="BP207" i="24"/>
  <c r="BO207" i="24"/>
  <c r="BA207" i="24"/>
  <c r="AZ207" i="24"/>
  <c r="AW207" i="24"/>
  <c r="AV207" i="24"/>
  <c r="AG207" i="24"/>
  <c r="U207" i="24"/>
  <c r="T207" i="24"/>
  <c r="N207" i="24"/>
  <c r="C207" i="24"/>
  <c r="A207" i="24"/>
  <c r="BP206" i="24"/>
  <c r="BO206" i="24"/>
  <c r="BA206" i="24"/>
  <c r="AZ206" i="24"/>
  <c r="AW206" i="24"/>
  <c r="AV206" i="24"/>
  <c r="AG206" i="24"/>
  <c r="U206" i="24"/>
  <c r="T206" i="24"/>
  <c r="N206" i="24"/>
  <c r="C206" i="24"/>
  <c r="A206" i="24"/>
  <c r="BP205" i="24"/>
  <c r="BO205" i="24"/>
  <c r="BA205" i="24"/>
  <c r="AZ205" i="24"/>
  <c r="AW205" i="24"/>
  <c r="AV205" i="24"/>
  <c r="AG205" i="24"/>
  <c r="U205" i="24"/>
  <c r="T205" i="24"/>
  <c r="N205" i="24"/>
  <c r="C205" i="24"/>
  <c r="A205" i="24"/>
  <c r="BP204" i="24"/>
  <c r="BO204" i="24"/>
  <c r="BA204" i="24"/>
  <c r="AZ204" i="24"/>
  <c r="AW204" i="24"/>
  <c r="AV204" i="24"/>
  <c r="AG204" i="24"/>
  <c r="U204" i="24"/>
  <c r="T204" i="24"/>
  <c r="N204" i="24"/>
  <c r="C204" i="24"/>
  <c r="A204" i="24"/>
  <c r="BP203" i="24"/>
  <c r="BO203" i="24"/>
  <c r="BA203" i="24"/>
  <c r="AZ203" i="24"/>
  <c r="AW203" i="24"/>
  <c r="AV203" i="24"/>
  <c r="AG203" i="24"/>
  <c r="U203" i="24"/>
  <c r="T203" i="24"/>
  <c r="N203" i="24"/>
  <c r="C203" i="24"/>
  <c r="A203" i="24"/>
  <c r="BP202" i="24"/>
  <c r="BO202" i="24"/>
  <c r="BA202" i="24"/>
  <c r="AZ202" i="24"/>
  <c r="AW202" i="24"/>
  <c r="AV202" i="24"/>
  <c r="AG202" i="24"/>
  <c r="U202" i="24"/>
  <c r="T202" i="24"/>
  <c r="N202" i="24"/>
  <c r="C202" i="24"/>
  <c r="A202" i="24"/>
  <c r="BP201" i="24"/>
  <c r="BO201" i="24"/>
  <c r="BA201" i="24"/>
  <c r="AZ201" i="24"/>
  <c r="AW201" i="24"/>
  <c r="AV201" i="24"/>
  <c r="AG201" i="24"/>
  <c r="U201" i="24"/>
  <c r="T201" i="24"/>
  <c r="N201" i="24"/>
  <c r="C201" i="24"/>
  <c r="A201" i="24"/>
  <c r="BP200" i="24"/>
  <c r="BO200" i="24"/>
  <c r="BA200" i="24"/>
  <c r="AZ200" i="24"/>
  <c r="AW200" i="24"/>
  <c r="AV200" i="24"/>
  <c r="AG200" i="24"/>
  <c r="U200" i="24"/>
  <c r="T200" i="24"/>
  <c r="N200" i="24"/>
  <c r="C200" i="24"/>
  <c r="A200" i="24"/>
  <c r="BP199" i="24"/>
  <c r="BO199" i="24"/>
  <c r="BA199" i="24"/>
  <c r="AZ199" i="24"/>
  <c r="AW199" i="24"/>
  <c r="AV199" i="24"/>
  <c r="AG199" i="24"/>
  <c r="U199" i="24"/>
  <c r="T199" i="24"/>
  <c r="N199" i="24"/>
  <c r="C199" i="24"/>
  <c r="A199" i="24"/>
  <c r="BP198" i="24"/>
  <c r="BO198" i="24"/>
  <c r="BA198" i="24"/>
  <c r="AZ198" i="24"/>
  <c r="AW198" i="24"/>
  <c r="AV198" i="24"/>
  <c r="AG198" i="24"/>
  <c r="U198" i="24"/>
  <c r="T198" i="24"/>
  <c r="N198" i="24"/>
  <c r="C198" i="24"/>
  <c r="A198" i="24"/>
  <c r="BP197" i="24"/>
  <c r="BO197" i="24"/>
  <c r="BA197" i="24"/>
  <c r="AZ197" i="24"/>
  <c r="AW197" i="24"/>
  <c r="AV197" i="24"/>
  <c r="AG197" i="24"/>
  <c r="U197" i="24"/>
  <c r="T197" i="24"/>
  <c r="N197" i="24"/>
  <c r="C197" i="24"/>
  <c r="A197" i="24"/>
  <c r="BP196" i="24"/>
  <c r="BO196" i="24"/>
  <c r="BA196" i="24"/>
  <c r="AZ196" i="24"/>
  <c r="AW196" i="24"/>
  <c r="AV196" i="24"/>
  <c r="AG196" i="24"/>
  <c r="U196" i="24"/>
  <c r="T196" i="24"/>
  <c r="N196" i="24"/>
  <c r="C196" i="24"/>
  <c r="A196" i="24"/>
  <c r="BP195" i="24"/>
  <c r="BO195" i="24"/>
  <c r="BA195" i="24"/>
  <c r="AZ195" i="24"/>
  <c r="AW195" i="24"/>
  <c r="AV195" i="24"/>
  <c r="AG195" i="24"/>
  <c r="U195" i="24"/>
  <c r="T195" i="24"/>
  <c r="N195" i="24"/>
  <c r="C195" i="24"/>
  <c r="A195" i="24"/>
  <c r="BP194" i="24"/>
  <c r="BO194" i="24"/>
  <c r="BA194" i="24"/>
  <c r="AZ194" i="24"/>
  <c r="AW194" i="24"/>
  <c r="AV194" i="24"/>
  <c r="AG194" i="24"/>
  <c r="U194" i="24"/>
  <c r="T194" i="24"/>
  <c r="N194" i="24"/>
  <c r="C194" i="24"/>
  <c r="A194" i="24"/>
  <c r="BP193" i="24"/>
  <c r="BO193" i="24"/>
  <c r="BA193" i="24"/>
  <c r="AZ193" i="24"/>
  <c r="AW193" i="24"/>
  <c r="AV193" i="24"/>
  <c r="AG193" i="24"/>
  <c r="U193" i="24"/>
  <c r="T193" i="24"/>
  <c r="N193" i="24"/>
  <c r="C193" i="24"/>
  <c r="A193" i="24"/>
  <c r="BP192" i="24"/>
  <c r="BO192" i="24"/>
  <c r="BA192" i="24"/>
  <c r="AZ192" i="24"/>
  <c r="AW192" i="24"/>
  <c r="AV192" i="24"/>
  <c r="AG192" i="24"/>
  <c r="U192" i="24"/>
  <c r="T192" i="24"/>
  <c r="N192" i="24"/>
  <c r="C192" i="24"/>
  <c r="A192" i="24"/>
  <c r="BP191" i="24"/>
  <c r="BO191" i="24"/>
  <c r="BA191" i="24"/>
  <c r="AZ191" i="24"/>
  <c r="AW191" i="24"/>
  <c r="AV191" i="24"/>
  <c r="AG191" i="24"/>
  <c r="U191" i="24"/>
  <c r="T191" i="24"/>
  <c r="N191" i="24"/>
  <c r="C191" i="24"/>
  <c r="A191" i="24"/>
  <c r="BP190" i="24"/>
  <c r="BO190" i="24"/>
  <c r="BA190" i="24"/>
  <c r="AZ190" i="24"/>
  <c r="AW190" i="24"/>
  <c r="AV190" i="24"/>
  <c r="AG190" i="24"/>
  <c r="U190" i="24"/>
  <c r="T190" i="24"/>
  <c r="N190" i="24"/>
  <c r="C190" i="24"/>
  <c r="A190" i="24"/>
  <c r="BP189" i="24"/>
  <c r="BO189" i="24"/>
  <c r="BA189" i="24"/>
  <c r="AZ189" i="24"/>
  <c r="AW189" i="24"/>
  <c r="AV189" i="24"/>
  <c r="AG189" i="24"/>
  <c r="U189" i="24"/>
  <c r="T189" i="24"/>
  <c r="N189" i="24"/>
  <c r="C189" i="24"/>
  <c r="A189" i="24"/>
  <c r="BP188" i="24"/>
  <c r="BO188" i="24"/>
  <c r="BA188" i="24"/>
  <c r="AZ188" i="24"/>
  <c r="AW188" i="24"/>
  <c r="AV188" i="24"/>
  <c r="AG188" i="24"/>
  <c r="U188" i="24"/>
  <c r="T188" i="24"/>
  <c r="N188" i="24"/>
  <c r="C188" i="24"/>
  <c r="A188" i="24"/>
  <c r="BP187" i="24"/>
  <c r="BO187" i="24"/>
  <c r="BA187" i="24"/>
  <c r="AZ187" i="24"/>
  <c r="AW187" i="24"/>
  <c r="AV187" i="24"/>
  <c r="AG187" i="24"/>
  <c r="U187" i="24"/>
  <c r="T187" i="24"/>
  <c r="N187" i="24"/>
  <c r="C187" i="24"/>
  <c r="A187" i="24"/>
  <c r="BP186" i="24"/>
  <c r="BO186" i="24"/>
  <c r="BA186" i="24"/>
  <c r="AZ186" i="24"/>
  <c r="AW186" i="24"/>
  <c r="AV186" i="24"/>
  <c r="AG186" i="24"/>
  <c r="U186" i="24"/>
  <c r="T186" i="24"/>
  <c r="N186" i="24"/>
  <c r="C186" i="24"/>
  <c r="A186" i="24"/>
  <c r="BP185" i="24"/>
  <c r="BO185" i="24"/>
  <c r="BA185" i="24"/>
  <c r="AZ185" i="24"/>
  <c r="AW185" i="24"/>
  <c r="AV185" i="24"/>
  <c r="AG185" i="24"/>
  <c r="U185" i="24"/>
  <c r="T185" i="24"/>
  <c r="N185" i="24"/>
  <c r="C185" i="24"/>
  <c r="A185" i="24"/>
  <c r="BP184" i="24"/>
  <c r="BO184" i="24"/>
  <c r="BA184" i="24"/>
  <c r="AZ184" i="24"/>
  <c r="AW184" i="24"/>
  <c r="AV184" i="24"/>
  <c r="AG184" i="24"/>
  <c r="U184" i="24"/>
  <c r="T184" i="24"/>
  <c r="N184" i="24"/>
  <c r="C184" i="24"/>
  <c r="A184" i="24"/>
  <c r="BP183" i="24"/>
  <c r="BO183" i="24"/>
  <c r="BA183" i="24"/>
  <c r="AZ183" i="24"/>
  <c r="AW183" i="24"/>
  <c r="AV183" i="24"/>
  <c r="AG183" i="24"/>
  <c r="U183" i="24"/>
  <c r="T183" i="24"/>
  <c r="N183" i="24"/>
  <c r="C183" i="24"/>
  <c r="A183" i="24"/>
  <c r="BP182" i="24"/>
  <c r="BO182" i="24"/>
  <c r="BA182" i="24"/>
  <c r="AZ182" i="24"/>
  <c r="AW182" i="24"/>
  <c r="AV182" i="24"/>
  <c r="AG182" i="24"/>
  <c r="U182" i="24"/>
  <c r="T182" i="24"/>
  <c r="N182" i="24"/>
  <c r="C182" i="24"/>
  <c r="A182" i="24"/>
  <c r="BP181" i="24"/>
  <c r="BO181" i="24"/>
  <c r="BA181" i="24"/>
  <c r="AZ181" i="24"/>
  <c r="AW181" i="24"/>
  <c r="AV181" i="24"/>
  <c r="AG181" i="24"/>
  <c r="U181" i="24"/>
  <c r="T181" i="24"/>
  <c r="N181" i="24"/>
  <c r="C181" i="24"/>
  <c r="A181" i="24"/>
  <c r="BP180" i="24"/>
  <c r="BO180" i="24"/>
  <c r="BA180" i="24"/>
  <c r="AZ180" i="24"/>
  <c r="AW180" i="24"/>
  <c r="AV180" i="24"/>
  <c r="AG180" i="24"/>
  <c r="U180" i="24"/>
  <c r="T180" i="24"/>
  <c r="N180" i="24"/>
  <c r="C180" i="24"/>
  <c r="A180" i="24"/>
  <c r="BP179" i="24"/>
  <c r="BO179" i="24"/>
  <c r="BA179" i="24"/>
  <c r="AZ179" i="24"/>
  <c r="AW179" i="24"/>
  <c r="AV179" i="24"/>
  <c r="AG179" i="24"/>
  <c r="U179" i="24"/>
  <c r="T179" i="24"/>
  <c r="N179" i="24"/>
  <c r="C179" i="24"/>
  <c r="A179" i="24"/>
  <c r="BP178" i="24"/>
  <c r="BO178" i="24"/>
  <c r="BA178" i="24"/>
  <c r="AZ178" i="24"/>
  <c r="AW178" i="24"/>
  <c r="AV178" i="24"/>
  <c r="AG178" i="24"/>
  <c r="U178" i="24"/>
  <c r="T178" i="24"/>
  <c r="N178" i="24"/>
  <c r="C178" i="24"/>
  <c r="A178" i="24"/>
  <c r="BP177" i="24"/>
  <c r="BO177" i="24"/>
  <c r="BA177" i="24"/>
  <c r="AZ177" i="24"/>
  <c r="AW177" i="24"/>
  <c r="AV177" i="24"/>
  <c r="AG177" i="24"/>
  <c r="U177" i="24"/>
  <c r="T177" i="24"/>
  <c r="N177" i="24"/>
  <c r="C177" i="24"/>
  <c r="A177" i="24"/>
  <c r="BP176" i="24"/>
  <c r="BO176" i="24"/>
  <c r="BA176" i="24"/>
  <c r="AZ176" i="24"/>
  <c r="AW176" i="24"/>
  <c r="AV176" i="24"/>
  <c r="AG176" i="24"/>
  <c r="U176" i="24"/>
  <c r="T176" i="24"/>
  <c r="N176" i="24"/>
  <c r="C176" i="24"/>
  <c r="A176" i="24"/>
  <c r="BP175" i="24"/>
  <c r="BO175" i="24"/>
  <c r="BA175" i="24"/>
  <c r="AZ175" i="24"/>
  <c r="AW175" i="24"/>
  <c r="AV175" i="24"/>
  <c r="AG175" i="24"/>
  <c r="U175" i="24"/>
  <c r="T175" i="24"/>
  <c r="N175" i="24"/>
  <c r="C175" i="24"/>
  <c r="A175" i="24"/>
  <c r="BP174" i="24"/>
  <c r="BO174" i="24"/>
  <c r="BA174" i="24"/>
  <c r="AZ174" i="24"/>
  <c r="AW174" i="24"/>
  <c r="AV174" i="24"/>
  <c r="AG174" i="24"/>
  <c r="U174" i="24"/>
  <c r="T174" i="24"/>
  <c r="N174" i="24"/>
  <c r="C174" i="24"/>
  <c r="A174" i="24"/>
  <c r="BP173" i="24"/>
  <c r="BO173" i="24"/>
  <c r="BA173" i="24"/>
  <c r="AZ173" i="24"/>
  <c r="AW173" i="24"/>
  <c r="AV173" i="24"/>
  <c r="AG173" i="24"/>
  <c r="U173" i="24"/>
  <c r="T173" i="24"/>
  <c r="N173" i="24"/>
  <c r="C173" i="24"/>
  <c r="A173" i="24"/>
  <c r="BP172" i="24"/>
  <c r="BO172" i="24"/>
  <c r="BA172" i="24"/>
  <c r="AZ172" i="24"/>
  <c r="AW172" i="24"/>
  <c r="AV172" i="24"/>
  <c r="AG172" i="24"/>
  <c r="U172" i="24"/>
  <c r="T172" i="24"/>
  <c r="N172" i="24"/>
  <c r="C172" i="24"/>
  <c r="A172" i="24"/>
  <c r="BP171" i="24"/>
  <c r="BO171" i="24"/>
  <c r="BA171" i="24"/>
  <c r="AZ171" i="24"/>
  <c r="AW171" i="24"/>
  <c r="AV171" i="24"/>
  <c r="AG171" i="24"/>
  <c r="U171" i="24"/>
  <c r="T171" i="24"/>
  <c r="N171" i="24"/>
  <c r="C171" i="24"/>
  <c r="A171" i="24"/>
  <c r="BP170" i="24"/>
  <c r="BO170" i="24"/>
  <c r="BA170" i="24"/>
  <c r="AZ170" i="24"/>
  <c r="AW170" i="24"/>
  <c r="AV170" i="24"/>
  <c r="AG170" i="24"/>
  <c r="U170" i="24"/>
  <c r="T170" i="24"/>
  <c r="N170" i="24"/>
  <c r="C170" i="24"/>
  <c r="A170" i="24"/>
  <c r="BP169" i="24"/>
  <c r="BO169" i="24"/>
  <c r="BA169" i="24"/>
  <c r="AZ169" i="24"/>
  <c r="AW169" i="24"/>
  <c r="AV169" i="24"/>
  <c r="AG169" i="24"/>
  <c r="U169" i="24"/>
  <c r="T169" i="24"/>
  <c r="N169" i="24"/>
  <c r="C169" i="24"/>
  <c r="A169" i="24"/>
  <c r="BP168" i="24"/>
  <c r="BO168" i="24"/>
  <c r="BA168" i="24"/>
  <c r="AZ168" i="24"/>
  <c r="AW168" i="24"/>
  <c r="AV168" i="24"/>
  <c r="AG168" i="24"/>
  <c r="U168" i="24"/>
  <c r="T168" i="24"/>
  <c r="N168" i="24"/>
  <c r="C168" i="24"/>
  <c r="A168" i="24"/>
  <c r="BP167" i="24"/>
  <c r="BO167" i="24"/>
  <c r="BA167" i="24"/>
  <c r="AZ167" i="24"/>
  <c r="AW167" i="24"/>
  <c r="AV167" i="24"/>
  <c r="AG167" i="24"/>
  <c r="U167" i="24"/>
  <c r="T167" i="24"/>
  <c r="N167" i="24"/>
  <c r="C167" i="24"/>
  <c r="A167" i="24"/>
  <c r="BP166" i="24"/>
  <c r="BO166" i="24"/>
  <c r="BA166" i="24"/>
  <c r="AZ166" i="24"/>
  <c r="AW166" i="24"/>
  <c r="AV166" i="24"/>
  <c r="AG166" i="24"/>
  <c r="U166" i="24"/>
  <c r="T166" i="24"/>
  <c r="N166" i="24"/>
  <c r="C166" i="24"/>
  <c r="A166" i="24"/>
  <c r="BP165" i="24"/>
  <c r="BO165" i="24"/>
  <c r="BA165" i="24"/>
  <c r="AZ165" i="24"/>
  <c r="AW165" i="24"/>
  <c r="AV165" i="24"/>
  <c r="AG165" i="24"/>
  <c r="U165" i="24"/>
  <c r="T165" i="24"/>
  <c r="N165" i="24"/>
  <c r="C165" i="24"/>
  <c r="A165" i="24"/>
  <c r="BP164" i="24"/>
  <c r="BO164" i="24"/>
  <c r="BA164" i="24"/>
  <c r="AZ164" i="24"/>
  <c r="AW164" i="24"/>
  <c r="AV164" i="24"/>
  <c r="AG164" i="24"/>
  <c r="U164" i="24"/>
  <c r="T164" i="24"/>
  <c r="N164" i="24"/>
  <c r="C164" i="24"/>
  <c r="A164" i="24"/>
  <c r="BP163" i="24"/>
  <c r="BO163" i="24"/>
  <c r="BA163" i="24"/>
  <c r="AZ163" i="24"/>
  <c r="AW163" i="24"/>
  <c r="AV163" i="24"/>
  <c r="AG163" i="24"/>
  <c r="U163" i="24"/>
  <c r="T163" i="24"/>
  <c r="N163" i="24"/>
  <c r="C163" i="24"/>
  <c r="A163" i="24"/>
  <c r="BP162" i="24"/>
  <c r="BO162" i="24"/>
  <c r="BA162" i="24"/>
  <c r="AZ162" i="24"/>
  <c r="AW162" i="24"/>
  <c r="AV162" i="24"/>
  <c r="AG162" i="24"/>
  <c r="U162" i="24"/>
  <c r="T162" i="24"/>
  <c r="N162" i="24"/>
  <c r="C162" i="24"/>
  <c r="A162" i="24"/>
  <c r="BP161" i="24"/>
  <c r="BO161" i="24"/>
  <c r="BA161" i="24"/>
  <c r="AZ161" i="24"/>
  <c r="AW161" i="24"/>
  <c r="AV161" i="24"/>
  <c r="AG161" i="24"/>
  <c r="U161" i="24"/>
  <c r="T161" i="24"/>
  <c r="N161" i="24"/>
  <c r="C161" i="24"/>
  <c r="A161" i="24"/>
  <c r="BP160" i="24"/>
  <c r="BO160" i="24"/>
  <c r="BA160" i="24"/>
  <c r="AZ160" i="24"/>
  <c r="AW160" i="24"/>
  <c r="AV160" i="24"/>
  <c r="AG160" i="24"/>
  <c r="U160" i="24"/>
  <c r="T160" i="24"/>
  <c r="N160" i="24"/>
  <c r="C160" i="24"/>
  <c r="A160" i="24"/>
  <c r="BP159" i="24"/>
  <c r="BO159" i="24"/>
  <c r="BA159" i="24"/>
  <c r="AZ159" i="24"/>
  <c r="AW159" i="24"/>
  <c r="AV159" i="24"/>
  <c r="AG159" i="24"/>
  <c r="U159" i="24"/>
  <c r="T159" i="24"/>
  <c r="N159" i="24"/>
  <c r="C159" i="24"/>
  <c r="A159" i="24"/>
  <c r="BP158" i="24"/>
  <c r="BO158" i="24"/>
  <c r="BA158" i="24"/>
  <c r="AZ158" i="24"/>
  <c r="AW158" i="24"/>
  <c r="AV158" i="24"/>
  <c r="AG158" i="24"/>
  <c r="U158" i="24"/>
  <c r="T158" i="24"/>
  <c r="N158" i="24"/>
  <c r="C158" i="24"/>
  <c r="A158" i="24"/>
  <c r="BP157" i="24"/>
  <c r="BO157" i="24"/>
  <c r="BA157" i="24"/>
  <c r="AZ157" i="24"/>
  <c r="AW157" i="24"/>
  <c r="AV157" i="24"/>
  <c r="AG157" i="24"/>
  <c r="U157" i="24"/>
  <c r="T157" i="24"/>
  <c r="N157" i="24"/>
  <c r="C157" i="24"/>
  <c r="A157" i="24"/>
  <c r="BP156" i="24"/>
  <c r="BO156" i="24"/>
  <c r="BA156" i="24"/>
  <c r="AZ156" i="24"/>
  <c r="AW156" i="24"/>
  <c r="AV156" i="24"/>
  <c r="AG156" i="24"/>
  <c r="U156" i="24"/>
  <c r="T156" i="24"/>
  <c r="N156" i="24"/>
  <c r="C156" i="24"/>
  <c r="A156" i="24"/>
  <c r="BP155" i="24"/>
  <c r="BO155" i="24"/>
  <c r="BA155" i="24"/>
  <c r="AZ155" i="24"/>
  <c r="AW155" i="24"/>
  <c r="AV155" i="24"/>
  <c r="AG155" i="24"/>
  <c r="U155" i="24"/>
  <c r="T155" i="24"/>
  <c r="N155" i="24"/>
  <c r="C155" i="24"/>
  <c r="A155" i="24"/>
  <c r="BP154" i="24"/>
  <c r="BO154" i="24"/>
  <c r="BA154" i="24"/>
  <c r="AZ154" i="24"/>
  <c r="AW154" i="24"/>
  <c r="AV154" i="24"/>
  <c r="AG154" i="24"/>
  <c r="U154" i="24"/>
  <c r="T154" i="24"/>
  <c r="N154" i="24"/>
  <c r="C154" i="24"/>
  <c r="A154" i="24"/>
  <c r="BP153" i="24"/>
  <c r="BO153" i="24"/>
  <c r="BA153" i="24"/>
  <c r="AZ153" i="24"/>
  <c r="AW153" i="24"/>
  <c r="AV153" i="24"/>
  <c r="AG153" i="24"/>
  <c r="U153" i="24"/>
  <c r="T153" i="24"/>
  <c r="N153" i="24"/>
  <c r="C153" i="24"/>
  <c r="A153" i="24"/>
  <c r="BP152" i="24"/>
  <c r="BO152" i="24"/>
  <c r="BA152" i="24"/>
  <c r="AZ152" i="24"/>
  <c r="AW152" i="24"/>
  <c r="AV152" i="24"/>
  <c r="AG152" i="24"/>
  <c r="U152" i="24"/>
  <c r="T152" i="24"/>
  <c r="N152" i="24"/>
  <c r="C152" i="24"/>
  <c r="A152" i="24"/>
  <c r="BP151" i="24"/>
  <c r="BO151" i="24"/>
  <c r="BA151" i="24"/>
  <c r="AZ151" i="24"/>
  <c r="AW151" i="24"/>
  <c r="AV151" i="24"/>
  <c r="AG151" i="24"/>
  <c r="U151" i="24"/>
  <c r="T151" i="24"/>
  <c r="N151" i="24"/>
  <c r="C151" i="24"/>
  <c r="A151" i="24"/>
  <c r="BP150" i="24"/>
  <c r="BO150" i="24"/>
  <c r="BA150" i="24"/>
  <c r="AZ150" i="24"/>
  <c r="AW150" i="24"/>
  <c r="AV150" i="24"/>
  <c r="AG150" i="24"/>
  <c r="U150" i="24"/>
  <c r="T150" i="24"/>
  <c r="N150" i="24"/>
  <c r="C150" i="24"/>
  <c r="A150" i="24"/>
  <c r="BP149" i="24"/>
  <c r="BO149" i="24"/>
  <c r="BA149" i="24"/>
  <c r="AZ149" i="24"/>
  <c r="AW149" i="24"/>
  <c r="AV149" i="24"/>
  <c r="AG149" i="24"/>
  <c r="U149" i="24"/>
  <c r="T149" i="24"/>
  <c r="N149" i="24"/>
  <c r="C149" i="24"/>
  <c r="A149" i="24"/>
  <c r="BP148" i="24"/>
  <c r="BO148" i="24"/>
  <c r="BA148" i="24"/>
  <c r="AZ148" i="24"/>
  <c r="AW148" i="24"/>
  <c r="AV148" i="24"/>
  <c r="AG148" i="24"/>
  <c r="U148" i="24"/>
  <c r="T148" i="24"/>
  <c r="N148" i="24"/>
  <c r="C148" i="24"/>
  <c r="A148" i="24"/>
  <c r="BP147" i="24"/>
  <c r="BO147" i="24"/>
  <c r="BA147" i="24"/>
  <c r="AZ147" i="24"/>
  <c r="AW147" i="24"/>
  <c r="AV147" i="24"/>
  <c r="AG147" i="24"/>
  <c r="U147" i="24"/>
  <c r="T147" i="24"/>
  <c r="N147" i="24"/>
  <c r="C147" i="24"/>
  <c r="A147" i="24"/>
  <c r="BP146" i="24"/>
  <c r="BO146" i="24"/>
  <c r="BA146" i="24"/>
  <c r="AZ146" i="24"/>
  <c r="AW146" i="24"/>
  <c r="AV146" i="24"/>
  <c r="AG146" i="24"/>
  <c r="U146" i="24"/>
  <c r="T146" i="24"/>
  <c r="N146" i="24"/>
  <c r="C146" i="24"/>
  <c r="A146" i="24"/>
  <c r="BP145" i="24"/>
  <c r="BO145" i="24"/>
  <c r="BA145" i="24"/>
  <c r="AZ145" i="24"/>
  <c r="AW145" i="24"/>
  <c r="AV145" i="24"/>
  <c r="AG145" i="24"/>
  <c r="U145" i="24"/>
  <c r="T145" i="24"/>
  <c r="N145" i="24"/>
  <c r="C145" i="24"/>
  <c r="A145" i="24"/>
  <c r="BP144" i="24"/>
  <c r="BO144" i="24"/>
  <c r="BA144" i="24"/>
  <c r="AZ144" i="24"/>
  <c r="AW144" i="24"/>
  <c r="AV144" i="24"/>
  <c r="AG144" i="24"/>
  <c r="U144" i="24"/>
  <c r="T144" i="24"/>
  <c r="N144" i="24"/>
  <c r="C144" i="24"/>
  <c r="A144" i="24"/>
  <c r="BP143" i="24"/>
  <c r="BO143" i="24"/>
  <c r="BA143" i="24"/>
  <c r="AZ143" i="24"/>
  <c r="AW143" i="24"/>
  <c r="AV143" i="24"/>
  <c r="AG143" i="24"/>
  <c r="U143" i="24"/>
  <c r="T143" i="24"/>
  <c r="N143" i="24"/>
  <c r="C143" i="24"/>
  <c r="A143" i="24"/>
  <c r="BP142" i="24"/>
  <c r="BO142" i="24"/>
  <c r="BA142" i="24"/>
  <c r="AZ142" i="24"/>
  <c r="AW142" i="24"/>
  <c r="AV142" i="24"/>
  <c r="AG142" i="24"/>
  <c r="U142" i="24"/>
  <c r="T142" i="24"/>
  <c r="N142" i="24"/>
  <c r="C142" i="24"/>
  <c r="A142" i="24"/>
  <c r="BP141" i="24"/>
  <c r="BO141" i="24"/>
  <c r="BA141" i="24"/>
  <c r="AZ141" i="24"/>
  <c r="AW141" i="24"/>
  <c r="AV141" i="24"/>
  <c r="AG141" i="24"/>
  <c r="U141" i="24"/>
  <c r="T141" i="24"/>
  <c r="N141" i="24"/>
  <c r="C141" i="24"/>
  <c r="A141" i="24"/>
  <c r="BP140" i="24"/>
  <c r="BO140" i="24"/>
  <c r="BA140" i="24"/>
  <c r="AZ140" i="24"/>
  <c r="AW140" i="24"/>
  <c r="AV140" i="24"/>
  <c r="AG140" i="24"/>
  <c r="U140" i="24"/>
  <c r="T140" i="24"/>
  <c r="N140" i="24"/>
  <c r="C140" i="24"/>
  <c r="A140" i="24"/>
  <c r="BP139" i="24"/>
  <c r="BO139" i="24"/>
  <c r="BA139" i="24"/>
  <c r="AZ139" i="24"/>
  <c r="AW139" i="24"/>
  <c r="AV139" i="24"/>
  <c r="AG139" i="24"/>
  <c r="U139" i="24"/>
  <c r="T139" i="24"/>
  <c r="N139" i="24"/>
  <c r="C139" i="24"/>
  <c r="A139" i="24"/>
  <c r="BP138" i="24"/>
  <c r="BO138" i="24"/>
  <c r="BA138" i="24"/>
  <c r="AZ138" i="24"/>
  <c r="AW138" i="24"/>
  <c r="AV138" i="24"/>
  <c r="AG138" i="24"/>
  <c r="U138" i="24"/>
  <c r="T138" i="24"/>
  <c r="N138" i="24"/>
  <c r="C138" i="24"/>
  <c r="A138" i="24"/>
  <c r="BP137" i="24"/>
  <c r="BO137" i="24"/>
  <c r="BA137" i="24"/>
  <c r="AZ137" i="24"/>
  <c r="AW137" i="24"/>
  <c r="AV137" i="24"/>
  <c r="AG137" i="24"/>
  <c r="U137" i="24"/>
  <c r="T137" i="24"/>
  <c r="N137" i="24"/>
  <c r="C137" i="24"/>
  <c r="A137" i="24"/>
  <c r="BP136" i="24"/>
  <c r="BO136" i="24"/>
  <c r="BA136" i="24"/>
  <c r="AZ136" i="24"/>
  <c r="AW136" i="24"/>
  <c r="AV136" i="24"/>
  <c r="AG136" i="24"/>
  <c r="U136" i="24"/>
  <c r="T136" i="24"/>
  <c r="N136" i="24"/>
  <c r="C136" i="24"/>
  <c r="A136" i="24"/>
  <c r="BP135" i="24"/>
  <c r="BO135" i="24"/>
  <c r="BA135" i="24"/>
  <c r="AZ135" i="24"/>
  <c r="AW135" i="24"/>
  <c r="AV135" i="24"/>
  <c r="AG135" i="24"/>
  <c r="U135" i="24"/>
  <c r="T135" i="24"/>
  <c r="N135" i="24"/>
  <c r="C135" i="24"/>
  <c r="A135" i="24"/>
  <c r="BP134" i="24"/>
  <c r="BO134" i="24"/>
  <c r="BA134" i="24"/>
  <c r="AZ134" i="24"/>
  <c r="AW134" i="24"/>
  <c r="AV134" i="24"/>
  <c r="AG134" i="24"/>
  <c r="U134" i="24"/>
  <c r="T134" i="24"/>
  <c r="N134" i="24"/>
  <c r="C134" i="24"/>
  <c r="A134" i="24"/>
  <c r="BP133" i="24"/>
  <c r="BO133" i="24"/>
  <c r="BA133" i="24"/>
  <c r="AZ133" i="24"/>
  <c r="AW133" i="24"/>
  <c r="AV133" i="24"/>
  <c r="AG133" i="24"/>
  <c r="U133" i="24"/>
  <c r="T133" i="24"/>
  <c r="N133" i="24"/>
  <c r="C133" i="24"/>
  <c r="A133" i="24"/>
  <c r="BP132" i="24"/>
  <c r="BO132" i="24"/>
  <c r="BA132" i="24"/>
  <c r="AZ132" i="24"/>
  <c r="AW132" i="24"/>
  <c r="AV132" i="24"/>
  <c r="AG132" i="24"/>
  <c r="U132" i="24"/>
  <c r="T132" i="24"/>
  <c r="N132" i="24"/>
  <c r="C132" i="24"/>
  <c r="A132" i="24"/>
  <c r="BP131" i="24"/>
  <c r="BO131" i="24"/>
  <c r="BA131" i="24"/>
  <c r="AZ131" i="24"/>
  <c r="AW131" i="24"/>
  <c r="AV131" i="24"/>
  <c r="AG131" i="24"/>
  <c r="U131" i="24"/>
  <c r="T131" i="24"/>
  <c r="N131" i="24"/>
  <c r="C131" i="24"/>
  <c r="A131" i="24"/>
  <c r="BP130" i="24"/>
  <c r="BO130" i="24"/>
  <c r="BA130" i="24"/>
  <c r="AZ130" i="24"/>
  <c r="AW130" i="24"/>
  <c r="AV130" i="24"/>
  <c r="AG130" i="24"/>
  <c r="U130" i="24"/>
  <c r="T130" i="24"/>
  <c r="N130" i="24"/>
  <c r="C130" i="24"/>
  <c r="A130" i="24"/>
  <c r="BP129" i="24"/>
  <c r="BO129" i="24"/>
  <c r="BA129" i="24"/>
  <c r="AZ129" i="24"/>
  <c r="AW129" i="24"/>
  <c r="AV129" i="24"/>
  <c r="AG129" i="24"/>
  <c r="U129" i="24"/>
  <c r="T129" i="24"/>
  <c r="N129" i="24"/>
  <c r="C129" i="24"/>
  <c r="A129" i="24"/>
  <c r="BP128" i="24"/>
  <c r="BO128" i="24"/>
  <c r="BA128" i="24"/>
  <c r="AZ128" i="24"/>
  <c r="AW128" i="24"/>
  <c r="AV128" i="24"/>
  <c r="AG128" i="24"/>
  <c r="U128" i="24"/>
  <c r="T128" i="24"/>
  <c r="N128" i="24"/>
  <c r="C128" i="24"/>
  <c r="A128" i="24"/>
  <c r="BP127" i="24"/>
  <c r="BO127" i="24"/>
  <c r="BA127" i="24"/>
  <c r="AZ127" i="24"/>
  <c r="AW127" i="24"/>
  <c r="AV127" i="24"/>
  <c r="AG127" i="24"/>
  <c r="U127" i="24"/>
  <c r="T127" i="24"/>
  <c r="N127" i="24"/>
  <c r="C127" i="24"/>
  <c r="A127" i="24"/>
  <c r="BP126" i="24"/>
  <c r="BO126" i="24"/>
  <c r="BA126" i="24"/>
  <c r="AZ126" i="24"/>
  <c r="AW126" i="24"/>
  <c r="AV126" i="24"/>
  <c r="AG126" i="24"/>
  <c r="U126" i="24"/>
  <c r="T126" i="24"/>
  <c r="N126" i="24"/>
  <c r="C126" i="24"/>
  <c r="A126" i="24"/>
  <c r="BP125" i="24"/>
  <c r="BO125" i="24"/>
  <c r="BA125" i="24"/>
  <c r="AZ125" i="24"/>
  <c r="AW125" i="24"/>
  <c r="AV125" i="24"/>
  <c r="AG125" i="24"/>
  <c r="U125" i="24"/>
  <c r="T125" i="24"/>
  <c r="N125" i="24"/>
  <c r="C125" i="24"/>
  <c r="A125" i="24"/>
  <c r="BP124" i="24"/>
  <c r="BO124" i="24"/>
  <c r="BA124" i="24"/>
  <c r="AZ124" i="24"/>
  <c r="AW124" i="24"/>
  <c r="AV124" i="24"/>
  <c r="AG124" i="24"/>
  <c r="U124" i="24"/>
  <c r="T124" i="24"/>
  <c r="N124" i="24"/>
  <c r="C124" i="24"/>
  <c r="A124" i="24"/>
  <c r="BP123" i="24"/>
  <c r="BO123" i="24"/>
  <c r="BA123" i="24"/>
  <c r="AZ123" i="24"/>
  <c r="AW123" i="24"/>
  <c r="AV123" i="24"/>
  <c r="AG123" i="24"/>
  <c r="U123" i="24"/>
  <c r="T123" i="24"/>
  <c r="N123" i="24"/>
  <c r="C123" i="24"/>
  <c r="A123" i="24"/>
  <c r="BP122" i="24"/>
  <c r="BO122" i="24"/>
  <c r="BA122" i="24"/>
  <c r="AZ122" i="24"/>
  <c r="AW122" i="24"/>
  <c r="AV122" i="24"/>
  <c r="AG122" i="24"/>
  <c r="U122" i="24"/>
  <c r="T122" i="24"/>
  <c r="N122" i="24"/>
  <c r="C122" i="24"/>
  <c r="A122" i="24"/>
  <c r="BP121" i="24"/>
  <c r="BO121" i="24"/>
  <c r="BA121" i="24"/>
  <c r="AZ121" i="24"/>
  <c r="AW121" i="24"/>
  <c r="AV121" i="24"/>
  <c r="AG121" i="24"/>
  <c r="U121" i="24"/>
  <c r="T121" i="24"/>
  <c r="N121" i="24"/>
  <c r="C121" i="24"/>
  <c r="A121" i="24"/>
  <c r="BP120" i="24"/>
  <c r="BO120" i="24"/>
  <c r="BA120" i="24"/>
  <c r="AZ120" i="24"/>
  <c r="AW120" i="24"/>
  <c r="AV120" i="24"/>
  <c r="AG120" i="24"/>
  <c r="U120" i="24"/>
  <c r="T120" i="24"/>
  <c r="N120" i="24"/>
  <c r="C120" i="24"/>
  <c r="A120" i="24"/>
  <c r="BP119" i="24"/>
  <c r="BO119" i="24"/>
  <c r="BA119" i="24"/>
  <c r="AZ119" i="24"/>
  <c r="AW119" i="24"/>
  <c r="AV119" i="24"/>
  <c r="AG119" i="24"/>
  <c r="U119" i="24"/>
  <c r="T119" i="24"/>
  <c r="N119" i="24"/>
  <c r="C119" i="24"/>
  <c r="A119" i="24"/>
  <c r="BP118" i="24"/>
  <c r="BO118" i="24"/>
  <c r="BA118" i="24"/>
  <c r="AZ118" i="24"/>
  <c r="AW118" i="24"/>
  <c r="AV118" i="24"/>
  <c r="AG118" i="24"/>
  <c r="U118" i="24"/>
  <c r="T118" i="24"/>
  <c r="N118" i="24"/>
  <c r="C118" i="24"/>
  <c r="A118" i="24"/>
  <c r="BP117" i="24"/>
  <c r="BO117" i="24"/>
  <c r="BA117" i="24"/>
  <c r="AZ117" i="24"/>
  <c r="AW117" i="24"/>
  <c r="AV117" i="24"/>
  <c r="AG117" i="24"/>
  <c r="U117" i="24"/>
  <c r="T117" i="24"/>
  <c r="N117" i="24"/>
  <c r="C117" i="24"/>
  <c r="A117" i="24"/>
  <c r="BP116" i="24"/>
  <c r="BO116" i="24"/>
  <c r="BA116" i="24"/>
  <c r="AZ116" i="24"/>
  <c r="AW116" i="24"/>
  <c r="AV116" i="24"/>
  <c r="AG116" i="24"/>
  <c r="U116" i="24"/>
  <c r="T116" i="24"/>
  <c r="N116" i="24"/>
  <c r="C116" i="24"/>
  <c r="A116" i="24"/>
  <c r="BP115" i="24"/>
  <c r="BO115" i="24"/>
  <c r="BA115" i="24"/>
  <c r="AZ115" i="24"/>
  <c r="AW115" i="24"/>
  <c r="AV115" i="24"/>
  <c r="AG115" i="24"/>
  <c r="U115" i="24"/>
  <c r="T115" i="24"/>
  <c r="N115" i="24"/>
  <c r="C115" i="24"/>
  <c r="A115" i="24"/>
  <c r="BP114" i="24"/>
  <c r="BO114" i="24"/>
  <c r="BA114" i="24"/>
  <c r="AZ114" i="24"/>
  <c r="AW114" i="24"/>
  <c r="AV114" i="24"/>
  <c r="AG114" i="24"/>
  <c r="U114" i="24"/>
  <c r="T114" i="24"/>
  <c r="N114" i="24"/>
  <c r="C114" i="24"/>
  <c r="A114" i="24"/>
  <c r="BP113" i="24"/>
  <c r="BO113" i="24"/>
  <c r="BA113" i="24"/>
  <c r="AZ113" i="24"/>
  <c r="AW113" i="24"/>
  <c r="AV113" i="24"/>
  <c r="AG113" i="24"/>
  <c r="U113" i="24"/>
  <c r="T113" i="24"/>
  <c r="N113" i="24"/>
  <c r="C113" i="24"/>
  <c r="A113" i="24"/>
  <c r="BP112" i="24"/>
  <c r="BO112" i="24"/>
  <c r="BA112" i="24"/>
  <c r="AZ112" i="24"/>
  <c r="AW112" i="24"/>
  <c r="AV112" i="24"/>
  <c r="AG112" i="24"/>
  <c r="U112" i="24"/>
  <c r="T112" i="24"/>
  <c r="N112" i="24"/>
  <c r="C112" i="24"/>
  <c r="A112" i="24"/>
  <c r="BP111" i="24"/>
  <c r="BO111" i="24"/>
  <c r="BA111" i="24"/>
  <c r="AZ111" i="24"/>
  <c r="AW111" i="24"/>
  <c r="AV111" i="24"/>
  <c r="AG111" i="24"/>
  <c r="U111" i="24"/>
  <c r="T111" i="24"/>
  <c r="N111" i="24"/>
  <c r="C111" i="24"/>
  <c r="A111" i="24"/>
  <c r="BP110" i="24"/>
  <c r="BO110" i="24"/>
  <c r="BA110" i="24"/>
  <c r="AZ110" i="24"/>
  <c r="AW110" i="24"/>
  <c r="AV110" i="24"/>
  <c r="AG110" i="24"/>
  <c r="U110" i="24"/>
  <c r="T110" i="24"/>
  <c r="N110" i="24"/>
  <c r="C110" i="24"/>
  <c r="A110" i="24"/>
  <c r="BP109" i="24"/>
  <c r="BO109" i="24"/>
  <c r="BA109" i="24"/>
  <c r="AZ109" i="24"/>
  <c r="AW109" i="24"/>
  <c r="AV109" i="24"/>
  <c r="AG109" i="24"/>
  <c r="U109" i="24"/>
  <c r="T109" i="24"/>
  <c r="N109" i="24"/>
  <c r="C109" i="24"/>
  <c r="A109" i="24"/>
  <c r="BP108" i="24"/>
  <c r="BO108" i="24"/>
  <c r="BA108" i="24"/>
  <c r="AZ108" i="24"/>
  <c r="AW108" i="24"/>
  <c r="AV108" i="24"/>
  <c r="AG108" i="24"/>
  <c r="U108" i="24"/>
  <c r="T108" i="24"/>
  <c r="N108" i="24"/>
  <c r="C108" i="24"/>
  <c r="A108" i="24"/>
  <c r="BP107" i="24"/>
  <c r="BO107" i="24"/>
  <c r="BA107" i="24"/>
  <c r="AZ107" i="24"/>
  <c r="AW107" i="24"/>
  <c r="AV107" i="24"/>
  <c r="AG107" i="24"/>
  <c r="U107" i="24"/>
  <c r="T107" i="24"/>
  <c r="N107" i="24"/>
  <c r="C107" i="24"/>
  <c r="A107" i="24"/>
  <c r="BP106" i="24"/>
  <c r="BO106" i="24"/>
  <c r="BA106" i="24"/>
  <c r="AZ106" i="24"/>
  <c r="AW106" i="24"/>
  <c r="AV106" i="24"/>
  <c r="AG106" i="24"/>
  <c r="U106" i="24"/>
  <c r="T106" i="24"/>
  <c r="N106" i="24"/>
  <c r="C106" i="24"/>
  <c r="A106" i="24"/>
  <c r="BP105" i="24"/>
  <c r="BO105" i="24"/>
  <c r="BA105" i="24"/>
  <c r="AZ105" i="24"/>
  <c r="AW105" i="24"/>
  <c r="AV105" i="24"/>
  <c r="AG105" i="24"/>
  <c r="U105" i="24"/>
  <c r="T105" i="24"/>
  <c r="N105" i="24"/>
  <c r="C105" i="24"/>
  <c r="A105" i="24"/>
  <c r="BP104" i="24"/>
  <c r="BO104" i="24"/>
  <c r="BA104" i="24"/>
  <c r="AZ104" i="24"/>
  <c r="AW104" i="24"/>
  <c r="AV104" i="24"/>
  <c r="AG104" i="24"/>
  <c r="U104" i="24"/>
  <c r="T104" i="24"/>
  <c r="N104" i="24"/>
  <c r="C104" i="24"/>
  <c r="A104" i="24"/>
  <c r="BP103" i="24"/>
  <c r="BO103" i="24"/>
  <c r="BA103" i="24"/>
  <c r="AZ103" i="24"/>
  <c r="AW103" i="24"/>
  <c r="AV103" i="24"/>
  <c r="AG103" i="24"/>
  <c r="U103" i="24"/>
  <c r="T103" i="24"/>
  <c r="N103" i="24"/>
  <c r="C103" i="24"/>
  <c r="A103" i="24"/>
  <c r="BP102" i="24"/>
  <c r="BO102" i="24"/>
  <c r="BA102" i="24"/>
  <c r="AZ102" i="24"/>
  <c r="AW102" i="24"/>
  <c r="AV102" i="24"/>
  <c r="AG102" i="24"/>
  <c r="U102" i="24"/>
  <c r="T102" i="24"/>
  <c r="N102" i="24"/>
  <c r="C102" i="24"/>
  <c r="A102" i="24"/>
  <c r="BP101" i="24"/>
  <c r="BO101" i="24"/>
  <c r="BA101" i="24"/>
  <c r="AZ101" i="24"/>
  <c r="AW101" i="24"/>
  <c r="AV101" i="24"/>
  <c r="AG101" i="24"/>
  <c r="U101" i="24"/>
  <c r="T101" i="24"/>
  <c r="N101" i="24"/>
  <c r="C101" i="24"/>
  <c r="A101" i="24"/>
  <c r="BP100" i="24"/>
  <c r="BO100" i="24"/>
  <c r="BA100" i="24"/>
  <c r="AZ100" i="24"/>
  <c r="AW100" i="24"/>
  <c r="AV100" i="24"/>
  <c r="AG100" i="24"/>
  <c r="U100" i="24"/>
  <c r="T100" i="24"/>
  <c r="N100" i="24"/>
  <c r="C100" i="24"/>
  <c r="A100" i="24"/>
  <c r="BP99" i="24"/>
  <c r="BO99" i="24"/>
  <c r="BA99" i="24"/>
  <c r="AZ99" i="24"/>
  <c r="AW99" i="24"/>
  <c r="AV99" i="24"/>
  <c r="AG99" i="24"/>
  <c r="U99" i="24"/>
  <c r="T99" i="24"/>
  <c r="N99" i="24"/>
  <c r="C99" i="24"/>
  <c r="A99" i="24"/>
  <c r="BP98" i="24"/>
  <c r="BO98" i="24"/>
  <c r="BA98" i="24"/>
  <c r="AZ98" i="24"/>
  <c r="AW98" i="24"/>
  <c r="AV98" i="24"/>
  <c r="AG98" i="24"/>
  <c r="U98" i="24"/>
  <c r="T98" i="24"/>
  <c r="N98" i="24"/>
  <c r="C98" i="24"/>
  <c r="A98" i="24"/>
  <c r="BP97" i="24"/>
  <c r="BO97" i="24"/>
  <c r="BA97" i="24"/>
  <c r="AZ97" i="24"/>
  <c r="AW97" i="24"/>
  <c r="AV97" i="24"/>
  <c r="AG97" i="24"/>
  <c r="U97" i="24"/>
  <c r="T97" i="24"/>
  <c r="N97" i="24"/>
  <c r="C97" i="24"/>
  <c r="A97" i="24"/>
  <c r="BP96" i="24"/>
  <c r="BO96" i="24"/>
  <c r="BA96" i="24"/>
  <c r="AZ96" i="24"/>
  <c r="AW96" i="24"/>
  <c r="AV96" i="24"/>
  <c r="AG96" i="24"/>
  <c r="U96" i="24"/>
  <c r="T96" i="24"/>
  <c r="N96" i="24"/>
  <c r="C96" i="24"/>
  <c r="A96" i="24"/>
  <c r="BP95" i="24"/>
  <c r="BO95" i="24"/>
  <c r="BA95" i="24"/>
  <c r="AZ95" i="24"/>
  <c r="AW95" i="24"/>
  <c r="AV95" i="24"/>
  <c r="AG95" i="24"/>
  <c r="U95" i="24"/>
  <c r="T95" i="24"/>
  <c r="N95" i="24"/>
  <c r="C95" i="24"/>
  <c r="A95" i="24"/>
  <c r="BP94" i="24"/>
  <c r="BO94" i="24"/>
  <c r="BA94" i="24"/>
  <c r="AZ94" i="24"/>
  <c r="AW94" i="24"/>
  <c r="AV94" i="24"/>
  <c r="AG94" i="24"/>
  <c r="U94" i="24"/>
  <c r="T94" i="24"/>
  <c r="N94" i="24"/>
  <c r="C94" i="24"/>
  <c r="A94" i="24"/>
  <c r="BP93" i="24"/>
  <c r="BO93" i="24"/>
  <c r="BA93" i="24"/>
  <c r="AZ93" i="24"/>
  <c r="AW93" i="24"/>
  <c r="AV93" i="24"/>
  <c r="AG93" i="24"/>
  <c r="U93" i="24"/>
  <c r="T93" i="24"/>
  <c r="N93" i="24"/>
  <c r="C93" i="24"/>
  <c r="A93" i="24"/>
  <c r="BP92" i="24"/>
  <c r="BO92" i="24"/>
  <c r="BA92" i="24"/>
  <c r="AZ92" i="24"/>
  <c r="AW92" i="24"/>
  <c r="AV92" i="24"/>
  <c r="AG92" i="24"/>
  <c r="U92" i="24"/>
  <c r="T92" i="24"/>
  <c r="N92" i="24"/>
  <c r="C92" i="24"/>
  <c r="A92" i="24"/>
  <c r="BP91" i="24"/>
  <c r="BO91" i="24"/>
  <c r="BA91" i="24"/>
  <c r="AZ91" i="24"/>
  <c r="AW91" i="24"/>
  <c r="AV91" i="24"/>
  <c r="AG91" i="24"/>
  <c r="U91" i="24"/>
  <c r="T91" i="24"/>
  <c r="N91" i="24"/>
  <c r="C91" i="24"/>
  <c r="A91" i="24"/>
  <c r="BP90" i="24"/>
  <c r="BO90" i="24"/>
  <c r="BA90" i="24"/>
  <c r="AZ90" i="24"/>
  <c r="AW90" i="24"/>
  <c r="AV90" i="24"/>
  <c r="AG90" i="24"/>
  <c r="U90" i="24"/>
  <c r="T90" i="24"/>
  <c r="N90" i="24"/>
  <c r="C90" i="24"/>
  <c r="A90" i="24"/>
  <c r="BP89" i="24"/>
  <c r="BO89" i="24"/>
  <c r="BA89" i="24"/>
  <c r="AZ89" i="24"/>
  <c r="AW89" i="24"/>
  <c r="AV89" i="24"/>
  <c r="AG89" i="24"/>
  <c r="U89" i="24"/>
  <c r="T89" i="24"/>
  <c r="N89" i="24"/>
  <c r="C89" i="24"/>
  <c r="A89" i="24"/>
  <c r="BP88" i="24"/>
  <c r="BO88" i="24"/>
  <c r="BA88" i="24"/>
  <c r="AZ88" i="24"/>
  <c r="AW88" i="24"/>
  <c r="AV88" i="24"/>
  <c r="AG88" i="24"/>
  <c r="U88" i="24"/>
  <c r="T88" i="24"/>
  <c r="N88" i="24"/>
  <c r="C88" i="24"/>
  <c r="A88" i="24"/>
  <c r="BP87" i="24"/>
  <c r="BO87" i="24"/>
  <c r="BA87" i="24"/>
  <c r="AZ87" i="24"/>
  <c r="AW87" i="24"/>
  <c r="AV87" i="24"/>
  <c r="AG87" i="24"/>
  <c r="U87" i="24"/>
  <c r="T87" i="24"/>
  <c r="N87" i="24"/>
  <c r="C87" i="24"/>
  <c r="A87" i="24"/>
  <c r="BP86" i="24"/>
  <c r="BO86" i="24"/>
  <c r="BA86" i="24"/>
  <c r="AZ86" i="24"/>
  <c r="AW86" i="24"/>
  <c r="AV86" i="24"/>
  <c r="AG86" i="24"/>
  <c r="U86" i="24"/>
  <c r="T86" i="24"/>
  <c r="N86" i="24"/>
  <c r="C86" i="24"/>
  <c r="A86" i="24"/>
  <c r="BP85" i="24"/>
  <c r="BO85" i="24"/>
  <c r="BA85" i="24"/>
  <c r="AZ85" i="24"/>
  <c r="AW85" i="24"/>
  <c r="AV85" i="24"/>
  <c r="AG85" i="24"/>
  <c r="U85" i="24"/>
  <c r="T85" i="24"/>
  <c r="N85" i="24"/>
  <c r="C85" i="24"/>
  <c r="A85" i="24"/>
  <c r="BP84" i="24"/>
  <c r="BO84" i="24"/>
  <c r="BA84" i="24"/>
  <c r="AZ84" i="24"/>
  <c r="AW84" i="24"/>
  <c r="AV84" i="24"/>
  <c r="AG84" i="24"/>
  <c r="U84" i="24"/>
  <c r="T84" i="24"/>
  <c r="N84" i="24"/>
  <c r="C84" i="24"/>
  <c r="A84" i="24"/>
  <c r="BP83" i="24"/>
  <c r="BO83" i="24"/>
  <c r="BA83" i="24"/>
  <c r="AZ83" i="24"/>
  <c r="AW83" i="24"/>
  <c r="AV83" i="24"/>
  <c r="AG83" i="24"/>
  <c r="U83" i="24"/>
  <c r="T83" i="24"/>
  <c r="N83" i="24"/>
  <c r="C83" i="24"/>
  <c r="A83" i="24"/>
  <c r="BP82" i="24"/>
  <c r="BO82" i="24"/>
  <c r="BA82" i="24"/>
  <c r="AZ82" i="24"/>
  <c r="AW82" i="24"/>
  <c r="AV82" i="24"/>
  <c r="AG82" i="24"/>
  <c r="U82" i="24"/>
  <c r="T82" i="24"/>
  <c r="N82" i="24"/>
  <c r="C82" i="24"/>
  <c r="A82" i="24"/>
  <c r="BP81" i="24"/>
  <c r="BO81" i="24"/>
  <c r="BA81" i="24"/>
  <c r="AZ81" i="24"/>
  <c r="AW81" i="24"/>
  <c r="AV81" i="24"/>
  <c r="AG81" i="24"/>
  <c r="U81" i="24"/>
  <c r="T81" i="24"/>
  <c r="N81" i="24"/>
  <c r="C81" i="24"/>
  <c r="A81" i="24"/>
  <c r="BP80" i="24"/>
  <c r="BO80" i="24"/>
  <c r="BA80" i="24"/>
  <c r="AZ80" i="24"/>
  <c r="AW80" i="24"/>
  <c r="AV80" i="24"/>
  <c r="AG80" i="24"/>
  <c r="U80" i="24"/>
  <c r="T80" i="24"/>
  <c r="N80" i="24"/>
  <c r="C80" i="24"/>
  <c r="A80" i="24"/>
  <c r="BP79" i="24"/>
  <c r="BO79" i="24"/>
  <c r="BA79" i="24"/>
  <c r="AZ79" i="24"/>
  <c r="AW79" i="24"/>
  <c r="AV79" i="24"/>
  <c r="AG79" i="24"/>
  <c r="U79" i="24"/>
  <c r="T79" i="24"/>
  <c r="N79" i="24"/>
  <c r="C79" i="24"/>
  <c r="A79" i="24"/>
  <c r="BP78" i="24"/>
  <c r="BO78" i="24"/>
  <c r="BA78" i="24"/>
  <c r="AZ78" i="24"/>
  <c r="AW78" i="24"/>
  <c r="AV78" i="24"/>
  <c r="AG78" i="24"/>
  <c r="U78" i="24"/>
  <c r="T78" i="24"/>
  <c r="N78" i="24"/>
  <c r="C78" i="24"/>
  <c r="A78" i="24"/>
  <c r="BP77" i="24"/>
  <c r="BO77" i="24"/>
  <c r="BA77" i="24"/>
  <c r="AZ77" i="24"/>
  <c r="AW77" i="24"/>
  <c r="AV77" i="24"/>
  <c r="AG77" i="24"/>
  <c r="U77" i="24"/>
  <c r="T77" i="24"/>
  <c r="N77" i="24"/>
  <c r="C77" i="24"/>
  <c r="A77" i="24"/>
  <c r="BP76" i="24"/>
  <c r="BO76" i="24"/>
  <c r="BA76" i="24"/>
  <c r="AZ76" i="24"/>
  <c r="AW76" i="24"/>
  <c r="AV76" i="24"/>
  <c r="AG76" i="24"/>
  <c r="U76" i="24"/>
  <c r="T76" i="24"/>
  <c r="N76" i="24"/>
  <c r="C76" i="24"/>
  <c r="A76" i="24"/>
  <c r="BP75" i="24"/>
  <c r="BO75" i="24"/>
  <c r="BA75" i="24"/>
  <c r="AZ75" i="24"/>
  <c r="AW75" i="24"/>
  <c r="AV75" i="24"/>
  <c r="AG75" i="24"/>
  <c r="U75" i="24"/>
  <c r="T75" i="24"/>
  <c r="N75" i="24"/>
  <c r="C75" i="24"/>
  <c r="A75" i="24"/>
  <c r="BP74" i="24"/>
  <c r="BO74" i="24"/>
  <c r="BA74" i="24"/>
  <c r="AZ74" i="24"/>
  <c r="AW74" i="24"/>
  <c r="AV74" i="24"/>
  <c r="AG74" i="24"/>
  <c r="U74" i="24"/>
  <c r="T74" i="24"/>
  <c r="N74" i="24"/>
  <c r="C74" i="24"/>
  <c r="A74" i="24"/>
  <c r="BP73" i="24"/>
  <c r="BO73" i="24"/>
  <c r="BA73" i="24"/>
  <c r="AZ73" i="24"/>
  <c r="AW73" i="24"/>
  <c r="AV73" i="24"/>
  <c r="AG73" i="24"/>
  <c r="U73" i="24"/>
  <c r="T73" i="24"/>
  <c r="N73" i="24"/>
  <c r="C73" i="24"/>
  <c r="A73" i="24"/>
  <c r="BP72" i="24"/>
  <c r="BO72" i="24"/>
  <c r="BA72" i="24"/>
  <c r="AZ72" i="24"/>
  <c r="AW72" i="24"/>
  <c r="AV72" i="24"/>
  <c r="AG72" i="24"/>
  <c r="U72" i="24"/>
  <c r="T72" i="24"/>
  <c r="N72" i="24"/>
  <c r="C72" i="24"/>
  <c r="A72" i="24"/>
  <c r="BP4" i="24"/>
  <c r="BO4" i="24"/>
  <c r="AW4" i="24"/>
  <c r="AV4" i="24"/>
  <c r="AG4" i="24"/>
  <c r="N4" i="24"/>
  <c r="C4" i="24"/>
  <c r="A4" i="24"/>
  <c r="BP71" i="24"/>
  <c r="BO71" i="24"/>
  <c r="BA71" i="24"/>
  <c r="AZ71" i="24"/>
  <c r="AW71" i="24"/>
  <c r="AV71" i="24"/>
  <c r="AG71" i="24"/>
  <c r="U71" i="24"/>
  <c r="T71" i="24"/>
  <c r="N71" i="24"/>
  <c r="C71" i="24"/>
  <c r="A71" i="24"/>
  <c r="BP70" i="24"/>
  <c r="BO70" i="24"/>
  <c r="BA70" i="24"/>
  <c r="AZ70" i="24"/>
  <c r="AW70" i="24"/>
  <c r="AV70" i="24"/>
  <c r="AG70" i="24"/>
  <c r="U70" i="24"/>
  <c r="T70" i="24"/>
  <c r="N70" i="24"/>
  <c r="C70" i="24"/>
  <c r="A70" i="24"/>
  <c r="BP69" i="24"/>
  <c r="BO69" i="24"/>
  <c r="BA69" i="24"/>
  <c r="AZ69" i="24"/>
  <c r="AW69" i="24"/>
  <c r="AV69" i="24"/>
  <c r="AG69" i="24"/>
  <c r="U69" i="24"/>
  <c r="T69" i="24"/>
  <c r="N69" i="24"/>
  <c r="C69" i="24"/>
  <c r="A69" i="24"/>
  <c r="BP68" i="24"/>
  <c r="BO68" i="24"/>
  <c r="BA68" i="24"/>
  <c r="AZ68" i="24"/>
  <c r="AW68" i="24"/>
  <c r="AV68" i="24"/>
  <c r="AG68" i="24"/>
  <c r="U68" i="24"/>
  <c r="T68" i="24"/>
  <c r="N68" i="24"/>
  <c r="C68" i="24"/>
  <c r="A68" i="24"/>
  <c r="BP67" i="24"/>
  <c r="BO67" i="24"/>
  <c r="BA67" i="24"/>
  <c r="AZ67" i="24"/>
  <c r="AW67" i="24"/>
  <c r="AV67" i="24"/>
  <c r="AG67" i="24"/>
  <c r="U67" i="24"/>
  <c r="T67" i="24"/>
  <c r="N67" i="24"/>
  <c r="C67" i="24"/>
  <c r="A67" i="24"/>
  <c r="BP66" i="24"/>
  <c r="BO66" i="24"/>
  <c r="BA66" i="24"/>
  <c r="AZ66" i="24"/>
  <c r="AW66" i="24"/>
  <c r="AV66" i="24"/>
  <c r="AG66" i="24"/>
  <c r="U66" i="24"/>
  <c r="T66" i="24"/>
  <c r="N66" i="24"/>
  <c r="C66" i="24"/>
  <c r="A66" i="24"/>
  <c r="BP65" i="24"/>
  <c r="BO65" i="24"/>
  <c r="BA65" i="24"/>
  <c r="AZ65" i="24"/>
  <c r="AW65" i="24"/>
  <c r="AV65" i="24"/>
  <c r="AG65" i="24"/>
  <c r="U65" i="24"/>
  <c r="T65" i="24"/>
  <c r="N65" i="24"/>
  <c r="C65" i="24"/>
  <c r="A65" i="24"/>
  <c r="BP64" i="24"/>
  <c r="BO64" i="24"/>
  <c r="BA64" i="24"/>
  <c r="AZ64" i="24"/>
  <c r="AW64" i="24"/>
  <c r="AV64" i="24"/>
  <c r="AG64" i="24"/>
  <c r="U64" i="24"/>
  <c r="T64" i="24"/>
  <c r="N64" i="24"/>
  <c r="C64" i="24"/>
  <c r="A64" i="24"/>
  <c r="BP63" i="24"/>
  <c r="BO63" i="24"/>
  <c r="BA63" i="24"/>
  <c r="AZ63" i="24"/>
  <c r="AW63" i="24"/>
  <c r="AV63" i="24"/>
  <c r="AG63" i="24"/>
  <c r="U63" i="24"/>
  <c r="T63" i="24"/>
  <c r="N63" i="24"/>
  <c r="C63" i="24"/>
  <c r="A63" i="24"/>
  <c r="BP62" i="24"/>
  <c r="BO62" i="24"/>
  <c r="BA62" i="24"/>
  <c r="AZ62" i="24"/>
  <c r="AW62" i="24"/>
  <c r="AV62" i="24"/>
  <c r="AG62" i="24"/>
  <c r="U62" i="24"/>
  <c r="T62" i="24"/>
  <c r="N62" i="24"/>
  <c r="C62" i="24"/>
  <c r="A62" i="24"/>
  <c r="BP61" i="24"/>
  <c r="BO61" i="24"/>
  <c r="BA61" i="24"/>
  <c r="AZ61" i="24"/>
  <c r="AW61" i="24"/>
  <c r="AV61" i="24"/>
  <c r="AG61" i="24"/>
  <c r="U61" i="24"/>
  <c r="T61" i="24"/>
  <c r="N61" i="24"/>
  <c r="C61" i="24"/>
  <c r="A61" i="24"/>
  <c r="BP60" i="24"/>
  <c r="BO60" i="24"/>
  <c r="BA60" i="24"/>
  <c r="AZ60" i="24"/>
  <c r="AW60" i="24"/>
  <c r="AV60" i="24"/>
  <c r="AG60" i="24"/>
  <c r="U60" i="24"/>
  <c r="T60" i="24"/>
  <c r="N60" i="24"/>
  <c r="C60" i="24"/>
  <c r="A60" i="24"/>
  <c r="BP59" i="24"/>
  <c r="BO59" i="24"/>
  <c r="BA59" i="24"/>
  <c r="AZ59" i="24"/>
  <c r="AW59" i="24"/>
  <c r="AV59" i="24"/>
  <c r="AG59" i="24"/>
  <c r="U59" i="24"/>
  <c r="T59" i="24"/>
  <c r="N59" i="24"/>
  <c r="C59" i="24"/>
  <c r="A59" i="24"/>
  <c r="BP58" i="24"/>
  <c r="BO58" i="24"/>
  <c r="BA58" i="24"/>
  <c r="AZ58" i="24"/>
  <c r="AW58" i="24"/>
  <c r="AV58" i="24"/>
  <c r="AG58" i="24"/>
  <c r="U58" i="24"/>
  <c r="T58" i="24"/>
  <c r="N58" i="24"/>
  <c r="C58" i="24"/>
  <c r="A58" i="24"/>
  <c r="BP57" i="24"/>
  <c r="BO57" i="24"/>
  <c r="BA57" i="24"/>
  <c r="AZ57" i="24"/>
  <c r="AW57" i="24"/>
  <c r="AV57" i="24"/>
  <c r="AG57" i="24"/>
  <c r="U57" i="24"/>
  <c r="T57" i="24"/>
  <c r="N57" i="24"/>
  <c r="C57" i="24"/>
  <c r="A57" i="24"/>
  <c r="BP56" i="24"/>
  <c r="BO56" i="24"/>
  <c r="BA56" i="24"/>
  <c r="AZ56" i="24"/>
  <c r="AW56" i="24"/>
  <c r="AV56" i="24"/>
  <c r="AG56" i="24"/>
  <c r="U56" i="24"/>
  <c r="T56" i="24"/>
  <c r="N56" i="24"/>
  <c r="C56" i="24"/>
  <c r="A56" i="24"/>
  <c r="BP55" i="24"/>
  <c r="BO55" i="24"/>
  <c r="BA55" i="24"/>
  <c r="AZ55" i="24"/>
  <c r="AW55" i="24"/>
  <c r="AV55" i="24"/>
  <c r="AG55" i="24"/>
  <c r="U55" i="24"/>
  <c r="T55" i="24"/>
  <c r="N55" i="24"/>
  <c r="C55" i="24"/>
  <c r="A55" i="24"/>
  <c r="BP54" i="24"/>
  <c r="BO54" i="24"/>
  <c r="BA54" i="24"/>
  <c r="AZ54" i="24"/>
  <c r="AW54" i="24"/>
  <c r="AV54" i="24"/>
  <c r="AG54" i="24"/>
  <c r="U54" i="24"/>
  <c r="T54" i="24"/>
  <c r="N54" i="24"/>
  <c r="C54" i="24"/>
  <c r="A54" i="24"/>
  <c r="BP53" i="24"/>
  <c r="BO53" i="24"/>
  <c r="BA53" i="24"/>
  <c r="AZ53" i="24"/>
  <c r="AW53" i="24"/>
  <c r="AV53" i="24"/>
  <c r="AG53" i="24"/>
  <c r="U53" i="24"/>
  <c r="T53" i="24"/>
  <c r="N53" i="24"/>
  <c r="C53" i="24"/>
  <c r="A53" i="24"/>
  <c r="BP52" i="24"/>
  <c r="BO52" i="24"/>
  <c r="BA52" i="24"/>
  <c r="AZ52" i="24"/>
  <c r="AW52" i="24"/>
  <c r="AV52" i="24"/>
  <c r="AG52" i="24"/>
  <c r="U52" i="24"/>
  <c r="T52" i="24"/>
  <c r="N52" i="24"/>
  <c r="C52" i="24"/>
  <c r="A52" i="24"/>
  <c r="BP51" i="24"/>
  <c r="BO51" i="24"/>
  <c r="BA51" i="24"/>
  <c r="AZ51" i="24"/>
  <c r="AW51" i="24"/>
  <c r="AV51" i="24"/>
  <c r="AG51" i="24"/>
  <c r="U51" i="24"/>
  <c r="T51" i="24"/>
  <c r="N51" i="24"/>
  <c r="C51" i="24"/>
  <c r="A51" i="24"/>
  <c r="BP50" i="24"/>
  <c r="BO50" i="24"/>
  <c r="BA50" i="24"/>
  <c r="AZ50" i="24"/>
  <c r="AW50" i="24"/>
  <c r="AV50" i="24"/>
  <c r="AG50" i="24"/>
  <c r="U50" i="24"/>
  <c r="T50" i="24"/>
  <c r="N50" i="24"/>
  <c r="C50" i="24"/>
  <c r="A50" i="24"/>
  <c r="BP49" i="24"/>
  <c r="BO49" i="24"/>
  <c r="BA49" i="24"/>
  <c r="AZ49" i="24"/>
  <c r="AW49" i="24"/>
  <c r="AV49" i="24"/>
  <c r="AG49" i="24"/>
  <c r="U49" i="24"/>
  <c r="T49" i="24"/>
  <c r="N49" i="24"/>
  <c r="C49" i="24"/>
  <c r="A49" i="24"/>
  <c r="BP48" i="24"/>
  <c r="BO48" i="24"/>
  <c r="BA48" i="24"/>
  <c r="AZ48" i="24"/>
  <c r="AW48" i="24"/>
  <c r="AV48" i="24"/>
  <c r="AG48" i="24"/>
  <c r="U48" i="24"/>
  <c r="T48" i="24"/>
  <c r="N48" i="24"/>
  <c r="C48" i="24"/>
  <c r="A48" i="24"/>
  <c r="BP47" i="24"/>
  <c r="BO47" i="24"/>
  <c r="BA47" i="24"/>
  <c r="AZ47" i="24"/>
  <c r="AW47" i="24"/>
  <c r="AV47" i="24"/>
  <c r="AG47" i="24"/>
  <c r="U47" i="24"/>
  <c r="T47" i="24"/>
  <c r="N47" i="24"/>
  <c r="C47" i="24"/>
  <c r="A47" i="24"/>
  <c r="BP46" i="24"/>
  <c r="BO46" i="24"/>
  <c r="BA46" i="24"/>
  <c r="AZ46" i="24"/>
  <c r="AW46" i="24"/>
  <c r="AV46" i="24"/>
  <c r="AG46" i="24"/>
  <c r="U46" i="24"/>
  <c r="T46" i="24"/>
  <c r="N46" i="24"/>
  <c r="C46" i="24"/>
  <c r="A46" i="24"/>
  <c r="BP45" i="24"/>
  <c r="BO45" i="24"/>
  <c r="BA45" i="24"/>
  <c r="AZ45" i="24"/>
  <c r="AW45" i="24"/>
  <c r="AV45" i="24"/>
  <c r="AG45" i="24"/>
  <c r="U45" i="24"/>
  <c r="T45" i="24"/>
  <c r="N45" i="24"/>
  <c r="C45" i="24"/>
  <c r="A45" i="24"/>
  <c r="BP44" i="24"/>
  <c r="BO44" i="24"/>
  <c r="BA44" i="24"/>
  <c r="AZ44" i="24"/>
  <c r="AW44" i="24"/>
  <c r="AV44" i="24"/>
  <c r="AG44" i="24"/>
  <c r="U44" i="24"/>
  <c r="T44" i="24"/>
  <c r="N44" i="24"/>
  <c r="C44" i="24"/>
  <c r="A44" i="24"/>
  <c r="BP43" i="24"/>
  <c r="BO43" i="24"/>
  <c r="BA43" i="24"/>
  <c r="AZ43" i="24"/>
  <c r="AW43" i="24"/>
  <c r="AV43" i="24"/>
  <c r="AG43" i="24"/>
  <c r="U43" i="24"/>
  <c r="T43" i="24"/>
  <c r="N43" i="24"/>
  <c r="C43" i="24"/>
  <c r="A43" i="24"/>
  <c r="BP42" i="24"/>
  <c r="BO42" i="24"/>
  <c r="BA42" i="24"/>
  <c r="AZ42" i="24"/>
  <c r="AW42" i="24"/>
  <c r="AV42" i="24"/>
  <c r="AG42" i="24"/>
  <c r="U42" i="24"/>
  <c r="T42" i="24"/>
  <c r="N42" i="24"/>
  <c r="C42" i="24"/>
  <c r="A42" i="24"/>
  <c r="BP41" i="24"/>
  <c r="BO41" i="24"/>
  <c r="BA41" i="24"/>
  <c r="AZ41" i="24"/>
  <c r="AW41" i="24"/>
  <c r="AV41" i="24"/>
  <c r="AG41" i="24"/>
  <c r="U41" i="24"/>
  <c r="T41" i="24"/>
  <c r="N41" i="24"/>
  <c r="C41" i="24"/>
  <c r="A41" i="24"/>
  <c r="BP40" i="24"/>
  <c r="BO40" i="24"/>
  <c r="BA40" i="24"/>
  <c r="AZ40" i="24"/>
  <c r="AW40" i="24"/>
  <c r="AV40" i="24"/>
  <c r="AG40" i="24"/>
  <c r="U40" i="24"/>
  <c r="T40" i="24"/>
  <c r="N40" i="24"/>
  <c r="C40" i="24"/>
  <c r="A40" i="24"/>
  <c r="BP39" i="24"/>
  <c r="BO39" i="24"/>
  <c r="BA39" i="24"/>
  <c r="AZ39" i="24"/>
  <c r="AW39" i="24"/>
  <c r="AV39" i="24"/>
  <c r="AG39" i="24"/>
  <c r="U39" i="24"/>
  <c r="T39" i="24"/>
  <c r="N39" i="24"/>
  <c r="C39" i="24"/>
  <c r="A39" i="24"/>
  <c r="BP38" i="24"/>
  <c r="BO38" i="24"/>
  <c r="BA38" i="24"/>
  <c r="AZ38" i="24"/>
  <c r="AW38" i="24"/>
  <c r="AV38" i="24"/>
  <c r="AG38" i="24"/>
  <c r="U38" i="24"/>
  <c r="T38" i="24"/>
  <c r="N38" i="24"/>
  <c r="C38" i="24"/>
  <c r="A38" i="24"/>
  <c r="BP37" i="24"/>
  <c r="BO37" i="24"/>
  <c r="BA37" i="24"/>
  <c r="AZ37" i="24"/>
  <c r="AW37" i="24"/>
  <c r="AV37" i="24"/>
  <c r="AG37" i="24"/>
  <c r="U37" i="24"/>
  <c r="T37" i="24"/>
  <c r="N37" i="24"/>
  <c r="C37" i="24"/>
  <c r="A37" i="24"/>
  <c r="BP36" i="24"/>
  <c r="BO36" i="24"/>
  <c r="BA36" i="24"/>
  <c r="AZ36" i="24"/>
  <c r="AW36" i="24"/>
  <c r="AV36" i="24"/>
  <c r="AG36" i="24"/>
  <c r="U36" i="24"/>
  <c r="T36" i="24"/>
  <c r="N36" i="24"/>
  <c r="C36" i="24"/>
  <c r="A36" i="24"/>
  <c r="BP35" i="24"/>
  <c r="BO35" i="24"/>
  <c r="BA35" i="24"/>
  <c r="AZ35" i="24"/>
  <c r="AW35" i="24"/>
  <c r="AV35" i="24"/>
  <c r="AG35" i="24"/>
  <c r="U35" i="24"/>
  <c r="T35" i="24"/>
  <c r="N35" i="24"/>
  <c r="C35" i="24"/>
  <c r="A35" i="24"/>
  <c r="BP34" i="24"/>
  <c r="BO34" i="24"/>
  <c r="BA34" i="24"/>
  <c r="AZ34" i="24"/>
  <c r="AW34" i="24"/>
  <c r="AV34" i="24"/>
  <c r="AG34" i="24"/>
  <c r="U34" i="24"/>
  <c r="T34" i="24"/>
  <c r="N34" i="24"/>
  <c r="C34" i="24"/>
  <c r="A34" i="24"/>
  <c r="BP33" i="24"/>
  <c r="BO33" i="24"/>
  <c r="BA33" i="24"/>
  <c r="AZ33" i="24"/>
  <c r="AW33" i="24"/>
  <c r="AV33" i="24"/>
  <c r="AG33" i="24"/>
  <c r="U33" i="24"/>
  <c r="T33" i="24"/>
  <c r="N33" i="24"/>
  <c r="C33" i="24"/>
  <c r="A33" i="24"/>
  <c r="BP32" i="24"/>
  <c r="BO32" i="24"/>
  <c r="BA32" i="24"/>
  <c r="AZ32" i="24"/>
  <c r="AW32" i="24"/>
  <c r="AV32" i="24"/>
  <c r="AG32" i="24"/>
  <c r="U32" i="24"/>
  <c r="T32" i="24"/>
  <c r="N32" i="24"/>
  <c r="C32" i="24"/>
  <c r="A32" i="24"/>
  <c r="BP31" i="24"/>
  <c r="BO31" i="24"/>
  <c r="BA31" i="24"/>
  <c r="AZ31" i="24"/>
  <c r="AW31" i="24"/>
  <c r="AV31" i="24"/>
  <c r="AG31" i="24"/>
  <c r="U31" i="24"/>
  <c r="T31" i="24"/>
  <c r="N31" i="24"/>
  <c r="C31" i="24"/>
  <c r="A31" i="24"/>
  <c r="BP30" i="24"/>
  <c r="BO30" i="24"/>
  <c r="BA30" i="24"/>
  <c r="AZ30" i="24"/>
  <c r="AW30" i="24"/>
  <c r="AV30" i="24"/>
  <c r="AG30" i="24"/>
  <c r="U30" i="24"/>
  <c r="T30" i="24"/>
  <c r="N30" i="24"/>
  <c r="C30" i="24"/>
  <c r="A30" i="24"/>
  <c r="BP29" i="24"/>
  <c r="BO29" i="24"/>
  <c r="BA29" i="24"/>
  <c r="AZ29" i="24"/>
  <c r="AW29" i="24"/>
  <c r="AV29" i="24"/>
  <c r="AG29" i="24"/>
  <c r="U29" i="24"/>
  <c r="T29" i="24"/>
  <c r="N29" i="24"/>
  <c r="C29" i="24"/>
  <c r="A29" i="24"/>
  <c r="BP28" i="24"/>
  <c r="BO28" i="24"/>
  <c r="BA28" i="24"/>
  <c r="AZ28" i="24"/>
  <c r="AW28" i="24"/>
  <c r="AV28" i="24"/>
  <c r="AG28" i="24"/>
  <c r="U28" i="24"/>
  <c r="T28" i="24"/>
  <c r="N28" i="24"/>
  <c r="C28" i="24"/>
  <c r="A28" i="24"/>
  <c r="BP27" i="24"/>
  <c r="BO27" i="24"/>
  <c r="BA27" i="24"/>
  <c r="AZ27" i="24"/>
  <c r="AW27" i="24"/>
  <c r="AV27" i="24"/>
  <c r="AG27" i="24"/>
  <c r="U27" i="24"/>
  <c r="T27" i="24"/>
  <c r="N27" i="24"/>
  <c r="C27" i="24"/>
  <c r="A27" i="24"/>
  <c r="BP26" i="24"/>
  <c r="BO26" i="24"/>
  <c r="BA26" i="24"/>
  <c r="AZ26" i="24"/>
  <c r="AW26" i="24"/>
  <c r="AV26" i="24"/>
  <c r="AG26" i="24"/>
  <c r="U26" i="24"/>
  <c r="T26" i="24"/>
  <c r="N26" i="24"/>
  <c r="C26" i="24"/>
  <c r="A26" i="24"/>
  <c r="BP25" i="24"/>
  <c r="BO25" i="24"/>
  <c r="BA25" i="24"/>
  <c r="AZ25" i="24"/>
  <c r="AW25" i="24"/>
  <c r="AV25" i="24"/>
  <c r="AG25" i="24"/>
  <c r="U25" i="24"/>
  <c r="T25" i="24"/>
  <c r="N25" i="24"/>
  <c r="C25" i="24"/>
  <c r="A25" i="24"/>
  <c r="BP24" i="24"/>
  <c r="BO24" i="24"/>
  <c r="BA24" i="24"/>
  <c r="AZ24" i="24"/>
  <c r="AW24" i="24"/>
  <c r="AV24" i="24"/>
  <c r="AG24" i="24"/>
  <c r="U24" i="24"/>
  <c r="T24" i="24"/>
  <c r="N24" i="24"/>
  <c r="C24" i="24"/>
  <c r="A24" i="24"/>
  <c r="BP23" i="24"/>
  <c r="BO23" i="24"/>
  <c r="BA23" i="24"/>
  <c r="AZ23" i="24"/>
  <c r="AW23" i="24"/>
  <c r="AV23" i="24"/>
  <c r="AG23" i="24"/>
  <c r="U23" i="24"/>
  <c r="T23" i="24"/>
  <c r="N23" i="24"/>
  <c r="C23" i="24"/>
  <c r="A23" i="24"/>
  <c r="BP22" i="24"/>
  <c r="BO22" i="24"/>
  <c r="BA22" i="24"/>
  <c r="AZ22" i="24"/>
  <c r="AW22" i="24"/>
  <c r="AV22" i="24"/>
  <c r="AG22" i="24"/>
  <c r="U22" i="24"/>
  <c r="T22" i="24"/>
  <c r="N22" i="24"/>
  <c r="C22" i="24"/>
  <c r="A22" i="24"/>
  <c r="BP21" i="24"/>
  <c r="BO21" i="24"/>
  <c r="BA21" i="24"/>
  <c r="AZ21" i="24"/>
  <c r="AW21" i="24"/>
  <c r="AV21" i="24"/>
  <c r="AG21" i="24"/>
  <c r="U21" i="24"/>
  <c r="T21" i="24"/>
  <c r="N21" i="24"/>
  <c r="C21" i="24"/>
  <c r="A21" i="24"/>
  <c r="BP20" i="24"/>
  <c r="BO20" i="24"/>
  <c r="BA20" i="24"/>
  <c r="AZ20" i="24"/>
  <c r="AW20" i="24"/>
  <c r="AV20" i="24"/>
  <c r="AG20" i="24"/>
  <c r="U20" i="24"/>
  <c r="T20" i="24"/>
  <c r="N20" i="24"/>
  <c r="C20" i="24"/>
  <c r="A20" i="24"/>
  <c r="BP19" i="24"/>
  <c r="BO19" i="24"/>
  <c r="BA19" i="24"/>
  <c r="AZ19" i="24"/>
  <c r="AW19" i="24"/>
  <c r="AV19" i="24"/>
  <c r="AG19" i="24"/>
  <c r="U19" i="24"/>
  <c r="T19" i="24"/>
  <c r="N19" i="24"/>
  <c r="C19" i="24"/>
  <c r="A19" i="24"/>
  <c r="BP18" i="24"/>
  <c r="BO18" i="24"/>
  <c r="BA18" i="24"/>
  <c r="AZ18" i="24"/>
  <c r="AW18" i="24"/>
  <c r="AV18" i="24"/>
  <c r="AG18" i="24"/>
  <c r="U18" i="24"/>
  <c r="T18" i="24"/>
  <c r="N18" i="24"/>
  <c r="C18" i="24"/>
  <c r="A18" i="24"/>
  <c r="BP17" i="24"/>
  <c r="BO17" i="24"/>
  <c r="BA17" i="24"/>
  <c r="AZ17" i="24"/>
  <c r="AW17" i="24"/>
  <c r="AV17" i="24"/>
  <c r="AG17" i="24"/>
  <c r="U17" i="24"/>
  <c r="T17" i="24"/>
  <c r="N17" i="24"/>
  <c r="C17" i="24"/>
  <c r="A17" i="24"/>
  <c r="BP16" i="24"/>
  <c r="BO16" i="24"/>
  <c r="BA16" i="24"/>
  <c r="AZ16" i="24"/>
  <c r="AW16" i="24"/>
  <c r="AV16" i="24"/>
  <c r="AG16" i="24"/>
  <c r="U16" i="24"/>
  <c r="T16" i="24"/>
  <c r="N16" i="24"/>
  <c r="C16" i="24"/>
  <c r="A16" i="24"/>
  <c r="BP15" i="24"/>
  <c r="BO15" i="24"/>
  <c r="BA15" i="24"/>
  <c r="AZ15" i="24"/>
  <c r="AW15" i="24"/>
  <c r="AV15" i="24"/>
  <c r="AG15" i="24"/>
  <c r="U15" i="24"/>
  <c r="T15" i="24"/>
  <c r="N15" i="24"/>
  <c r="C15" i="24"/>
  <c r="A15" i="24"/>
  <c r="BP14" i="24"/>
  <c r="BO14" i="24"/>
  <c r="BA14" i="24"/>
  <c r="AZ14" i="24"/>
  <c r="AW14" i="24"/>
  <c r="AV14" i="24"/>
  <c r="AG14" i="24"/>
  <c r="U14" i="24"/>
  <c r="T14" i="24"/>
  <c r="N14" i="24"/>
  <c r="C14" i="24"/>
  <c r="A14" i="24"/>
  <c r="BP13" i="24"/>
  <c r="BO13" i="24"/>
  <c r="BA13" i="24"/>
  <c r="AZ13" i="24"/>
  <c r="AW13" i="24"/>
  <c r="AV13" i="24"/>
  <c r="AG13" i="24"/>
  <c r="U13" i="24"/>
  <c r="T13" i="24"/>
  <c r="N13" i="24"/>
  <c r="C13" i="24"/>
  <c r="A13" i="24"/>
  <c r="BP12" i="24"/>
  <c r="BO12" i="24"/>
  <c r="BA12" i="24"/>
  <c r="AZ12" i="24"/>
  <c r="AW12" i="24"/>
  <c r="AV12" i="24"/>
  <c r="AG12" i="24"/>
  <c r="U12" i="24"/>
  <c r="T12" i="24"/>
  <c r="N12" i="24"/>
  <c r="C12" i="24"/>
  <c r="A12" i="24"/>
  <c r="BP11" i="24"/>
  <c r="BO11" i="24"/>
  <c r="BA11" i="24"/>
  <c r="AZ11" i="24"/>
  <c r="AW11" i="24"/>
  <c r="AV11" i="24"/>
  <c r="AG11" i="24"/>
  <c r="U11" i="24"/>
  <c r="T11" i="24"/>
  <c r="N11" i="24"/>
  <c r="C11" i="24"/>
  <c r="A11" i="24"/>
  <c r="BP10" i="24"/>
  <c r="BO10" i="24"/>
  <c r="BA10" i="24"/>
  <c r="AZ10" i="24"/>
  <c r="AW10" i="24"/>
  <c r="AV10" i="24"/>
  <c r="AG10" i="24"/>
  <c r="U10" i="24"/>
  <c r="T10" i="24"/>
  <c r="N10" i="24"/>
  <c r="C10" i="24"/>
  <c r="A10" i="24"/>
  <c r="BP9" i="24"/>
  <c r="BO9" i="24"/>
  <c r="BA9" i="24"/>
  <c r="AZ9" i="24"/>
  <c r="AW9" i="24"/>
  <c r="AV9" i="24"/>
  <c r="AG9" i="24"/>
  <c r="U9" i="24"/>
  <c r="T9" i="24"/>
  <c r="N9" i="24"/>
  <c r="C9" i="24"/>
  <c r="A9" i="24"/>
  <c r="BP8" i="24"/>
  <c r="BO8" i="24"/>
  <c r="BA8" i="24"/>
  <c r="AZ8" i="24"/>
  <c r="AW8" i="24"/>
  <c r="AV8" i="24"/>
  <c r="AG8" i="24"/>
  <c r="U8" i="24"/>
  <c r="N8" i="24"/>
  <c r="C8" i="24"/>
  <c r="A8" i="24"/>
  <c r="BP7" i="24"/>
  <c r="BO7" i="24"/>
  <c r="BA7" i="24"/>
  <c r="AZ7" i="24"/>
  <c r="AW7" i="24"/>
  <c r="AV7" i="24"/>
  <c r="AG7" i="24"/>
  <c r="U7" i="24"/>
  <c r="N7" i="24"/>
  <c r="C7" i="24"/>
  <c r="A7" i="24"/>
  <c r="BP6" i="24"/>
  <c r="BO6" i="24"/>
  <c r="BA6" i="24"/>
  <c r="AZ6" i="24"/>
  <c r="AW6" i="24"/>
  <c r="AV6" i="24"/>
  <c r="AG6" i="24"/>
  <c r="U6" i="24"/>
  <c r="N6" i="24"/>
  <c r="C6" i="24"/>
  <c r="A6" i="24"/>
  <c r="BP5" i="24"/>
  <c r="BO5" i="24"/>
  <c r="BA5" i="24"/>
  <c r="AZ5" i="24"/>
  <c r="AW5" i="24"/>
  <c r="AV5" i="24"/>
  <c r="AG5" i="24"/>
  <c r="U5" i="24"/>
  <c r="N5" i="24"/>
  <c r="C5" i="24"/>
  <c r="A5" i="24"/>
  <c r="BP3" i="24"/>
  <c r="BO3" i="24"/>
  <c r="AV3" i="24"/>
  <c r="AG3" i="24"/>
  <c r="C3" i="24"/>
  <c r="A3" i="24"/>
  <c r="AW1546" i="24" l="1"/>
  <c r="AW1564" i="24"/>
  <c r="AW1568" i="24"/>
  <c r="AW1572" i="24"/>
  <c r="AW1576" i="24"/>
  <c r="AW1580" i="24"/>
  <c r="AW3" i="24"/>
  <c r="AW1550" i="24"/>
  <c r="AW1554" i="24"/>
  <c r="AW1558" i="24"/>
  <c r="AW1562" i="24"/>
  <c r="AW1566" i="24"/>
  <c r="AW1570" i="24"/>
  <c r="AW1574" i="24"/>
  <c r="AW1578" i="24"/>
  <c r="AW1503" i="24"/>
  <c r="AW1507" i="24"/>
  <c r="AW1511" i="24"/>
  <c r="AW1515" i="24"/>
  <c r="AW1519" i="24"/>
  <c r="AW1523" i="24"/>
  <c r="AW1527" i="24"/>
  <c r="AW1531" i="24"/>
  <c r="AW1535" i="24"/>
  <c r="AW1539" i="24"/>
  <c r="AW1543" i="24"/>
  <c r="AW1547" i="24"/>
  <c r="AW1551" i="24"/>
  <c r="AW1555" i="24"/>
  <c r="AW1559" i="24"/>
  <c r="AW1563" i="24"/>
  <c r="AW1567" i="24"/>
  <c r="AW1571" i="24"/>
  <c r="AW1575" i="24"/>
  <c r="AW1579" i="24"/>
  <c r="AW1505" i="24"/>
  <c r="AW1509" i="24"/>
  <c r="AW1513" i="24"/>
  <c r="AW1517" i="24"/>
  <c r="AW1521" i="24"/>
  <c r="AW1525" i="24"/>
  <c r="AW1529" i="24"/>
  <c r="AW1533" i="24"/>
  <c r="AW1537" i="24"/>
  <c r="AW1541" i="24"/>
  <c r="AW1545" i="24"/>
  <c r="AW1549" i="24"/>
  <c r="AW1553" i="24"/>
  <c r="AW1557" i="24"/>
  <c r="AW1561" i="24"/>
  <c r="AW1565" i="24"/>
  <c r="AW1569" i="24"/>
  <c r="AW1573" i="24"/>
  <c r="AW1577" i="24"/>
  <c r="AW1499" i="24"/>
  <c r="AW1497" i="24"/>
  <c r="AW1501" i="24"/>
  <c r="BQ342" i="2" l="1"/>
  <c r="BQ341" i="2"/>
  <c r="BQ340" i="2"/>
  <c r="K60" i="23" l="1"/>
  <c r="I60" i="23"/>
  <c r="F61" i="23"/>
  <c r="F62" i="23"/>
  <c r="E61" i="23"/>
  <c r="F58" i="23"/>
  <c r="F55" i="23"/>
  <c r="E55" i="23"/>
  <c r="F56" i="23"/>
  <c r="F52" i="23"/>
  <c r="K54" i="23"/>
  <c r="I54" i="23"/>
  <c r="F50" i="23"/>
  <c r="E49" i="23"/>
  <c r="F49" i="23"/>
  <c r="F46" i="23"/>
  <c r="K48" i="23"/>
  <c r="I48" i="23"/>
  <c r="K42" i="23"/>
  <c r="I42" i="23"/>
  <c r="F44" i="23"/>
  <c r="E43" i="23"/>
  <c r="F43" i="23"/>
  <c r="F40" i="23"/>
  <c r="F38" i="23"/>
  <c r="E37" i="23"/>
  <c r="F37" i="23"/>
  <c r="F34" i="23"/>
  <c r="K36" i="23"/>
  <c r="I36" i="23"/>
  <c r="F31" i="23"/>
  <c r="E31" i="23"/>
  <c r="K30" i="23"/>
  <c r="I30" i="23"/>
  <c r="F28" i="23"/>
  <c r="K24" i="23"/>
  <c r="I24" i="23"/>
  <c r="E25" i="23"/>
  <c r="F25" i="23"/>
  <c r="F22" i="23"/>
  <c r="F19" i="23"/>
  <c r="E19" i="23"/>
  <c r="F16" i="23"/>
  <c r="F13" i="23"/>
  <c r="E13" i="23"/>
  <c r="F10" i="23"/>
  <c r="K18" i="23"/>
  <c r="K12" i="23"/>
  <c r="I12" i="23"/>
  <c r="I18" i="23"/>
  <c r="F4" i="23"/>
  <c r="F7" i="23"/>
  <c r="E7" i="23"/>
  <c r="F56" i="21"/>
  <c r="F62" i="21"/>
  <c r="F50" i="21"/>
  <c r="F8" i="21"/>
  <c r="F20" i="21"/>
  <c r="F26" i="21"/>
  <c r="F32" i="21"/>
  <c r="F8" i="22"/>
  <c r="F8" i="23"/>
  <c r="K6" i="23"/>
  <c r="I6" i="23"/>
  <c r="I6" i="22"/>
  <c r="E7" i="22"/>
  <c r="XFA5" i="23" l="1"/>
  <c r="XFA8" i="23" s="1"/>
  <c r="XEV14" i="23"/>
  <c r="XEY14" i="23" s="1"/>
  <c r="XEV32" i="23"/>
  <c r="XEY32" i="23" s="1"/>
  <c r="XEV41" i="23"/>
  <c r="XEY41" i="23" s="1"/>
  <c r="XFA14" i="23"/>
  <c r="XFD14" i="23" s="1"/>
  <c r="XEV23" i="23"/>
  <c r="XEY23" i="23" s="1"/>
  <c r="XEV5" i="23"/>
  <c r="XEY5" i="23" s="1"/>
  <c r="XFA23" i="23"/>
  <c r="XFD23" i="23" s="1"/>
  <c r="XFA32" i="23"/>
  <c r="XFD32" i="23" s="1"/>
  <c r="XFA41" i="23"/>
  <c r="XFD41" i="23" s="1"/>
  <c r="XFC5" i="23" l="1"/>
  <c r="XFB5" i="23"/>
  <c r="XFD5" i="23"/>
  <c r="XEW14" i="23"/>
  <c r="XEV17" i="23"/>
  <c r="XEY17" i="23" s="1"/>
  <c r="XEV26" i="23"/>
  <c r="XEY26" i="23" s="1"/>
  <c r="XEX14" i="23"/>
  <c r="XEX32" i="23"/>
  <c r="XEW32" i="23"/>
  <c r="XFC41" i="23"/>
  <c r="XFB23" i="23"/>
  <c r="XFB41" i="23"/>
  <c r="XFA26" i="23"/>
  <c r="XFD26" i="23" s="1"/>
  <c r="XEX41" i="23"/>
  <c r="XEV44" i="23"/>
  <c r="XEY44" i="23" s="1"/>
  <c r="XFC23" i="23"/>
  <c r="XEV35" i="23"/>
  <c r="XEW35" i="23" s="1"/>
  <c r="XEW41" i="23"/>
  <c r="XEX23" i="23"/>
  <c r="XEW23" i="23"/>
  <c r="XFB14" i="23"/>
  <c r="XFA35" i="23"/>
  <c r="XFB35" i="23" s="1"/>
  <c r="XFA44" i="23"/>
  <c r="XFB44" i="23" s="1"/>
  <c r="XFA17" i="23"/>
  <c r="XFD17" i="23" s="1"/>
  <c r="XFC32" i="23"/>
  <c r="XFC14" i="23"/>
  <c r="XFB32" i="23"/>
  <c r="XFD8" i="23"/>
  <c r="XFC8" i="23"/>
  <c r="XFB8" i="23"/>
  <c r="XEX5" i="23"/>
  <c r="XEW5" i="23"/>
  <c r="XEV8" i="23"/>
  <c r="XEW8" i="23" s="1"/>
  <c r="BM335" i="2"/>
  <c r="BM336" i="2"/>
  <c r="XEX17" i="23" l="1"/>
  <c r="XEW17" i="23"/>
  <c r="XEX26" i="23"/>
  <c r="XEW26" i="23"/>
  <c r="XEX35" i="23"/>
  <c r="XEY35" i="23"/>
  <c r="XFB26" i="23"/>
  <c r="XFC26" i="23"/>
  <c r="XFD35" i="23"/>
  <c r="XEW44" i="23"/>
  <c r="XEX44" i="23"/>
  <c r="XFD44" i="23"/>
  <c r="XFC44" i="23"/>
  <c r="XFB17" i="23"/>
  <c r="XFC35" i="23"/>
  <c r="XFC17" i="23"/>
  <c r="XEY8" i="23"/>
  <c r="XEX8" i="23"/>
  <c r="C686" i="10"/>
  <c r="C687" i="10"/>
  <c r="AI686" i="10"/>
  <c r="AI687" i="10"/>
  <c r="AJ686" i="10"/>
  <c r="AJ687" i="10"/>
  <c r="C680" i="10"/>
  <c r="C681" i="10"/>
  <c r="C679" i="10"/>
  <c r="C682" i="10"/>
  <c r="C683" i="10"/>
  <c r="C684" i="10"/>
  <c r="C685" i="10"/>
  <c r="AI680" i="10"/>
  <c r="AI681" i="10"/>
  <c r="AI679" i="10"/>
  <c r="AI682" i="10"/>
  <c r="AI683" i="10"/>
  <c r="AI684" i="10"/>
  <c r="AI685" i="10"/>
  <c r="AJ680" i="10"/>
  <c r="AJ681" i="10"/>
  <c r="AJ679" i="10"/>
  <c r="AJ682" i="10"/>
  <c r="AJ683" i="10"/>
  <c r="AJ684" i="10"/>
  <c r="AJ685" i="10"/>
  <c r="C678" i="10"/>
  <c r="AI678" i="10"/>
  <c r="AJ678" i="10"/>
  <c r="BB344" i="2"/>
  <c r="AI666" i="10"/>
  <c r="AI655" i="10"/>
  <c r="AI674" i="10"/>
  <c r="AI660" i="10"/>
  <c r="AI656" i="10"/>
  <c r="AI675" i="10"/>
  <c r="AI661" i="10"/>
  <c r="AI668" i="10"/>
  <c r="AI676" i="10"/>
  <c r="AI667" i="10"/>
  <c r="AI677" i="10"/>
  <c r="AI657" i="10"/>
  <c r="AI669" i="10"/>
  <c r="AI662" i="10"/>
  <c r="AI658" i="10"/>
  <c r="AI659" i="10"/>
  <c r="AI663" i="10"/>
  <c r="AI664" i="10"/>
  <c r="AI670" i="10"/>
  <c r="AI671" i="10"/>
  <c r="AI672" i="10"/>
  <c r="AI673" i="10"/>
  <c r="AJ666" i="10"/>
  <c r="AJ655" i="10"/>
  <c r="AJ674" i="10"/>
  <c r="AJ660" i="10"/>
  <c r="AJ656" i="10"/>
  <c r="AJ675" i="10"/>
  <c r="AJ661" i="10"/>
  <c r="AJ668" i="10"/>
  <c r="AJ676" i="10"/>
  <c r="AJ667" i="10"/>
  <c r="AJ677" i="10"/>
  <c r="AJ657" i="10"/>
  <c r="AJ669" i="10"/>
  <c r="AJ662" i="10"/>
  <c r="AJ658" i="10"/>
  <c r="AJ659" i="10"/>
  <c r="AJ663" i="10"/>
  <c r="AJ664" i="10"/>
  <c r="AJ670" i="10"/>
  <c r="AJ671" i="10"/>
  <c r="AJ672" i="10"/>
  <c r="AJ673" i="10"/>
  <c r="AI665" i="10"/>
  <c r="AJ665" i="10"/>
  <c r="C654" i="10"/>
  <c r="AI654" i="10"/>
  <c r="AJ654" i="10"/>
  <c r="BM318" i="2"/>
  <c r="BM320" i="2"/>
  <c r="BM322" i="2"/>
  <c r="BM323" i="2"/>
  <c r="C651" i="10"/>
  <c r="C652" i="10"/>
  <c r="C653" i="10"/>
  <c r="AI651" i="10"/>
  <c r="AI652" i="10"/>
  <c r="AI653" i="10"/>
  <c r="AJ651" i="10"/>
  <c r="AJ652" i="10"/>
  <c r="AJ653" i="10"/>
  <c r="C650" i="10"/>
  <c r="AI650" i="10"/>
  <c r="AJ650" i="10"/>
  <c r="C637" i="10" l="1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AI637" i="10"/>
  <c r="AI638" i="10"/>
  <c r="AI639" i="10"/>
  <c r="AI640" i="10"/>
  <c r="AI641" i="10"/>
  <c r="AI642" i="10"/>
  <c r="AI643" i="10"/>
  <c r="AI644" i="10"/>
  <c r="AI645" i="10"/>
  <c r="AI646" i="10"/>
  <c r="AI647" i="10"/>
  <c r="AI648" i="10"/>
  <c r="AI649" i="10"/>
  <c r="AJ637" i="10"/>
  <c r="AJ638" i="10"/>
  <c r="AJ639" i="10"/>
  <c r="AJ640" i="10"/>
  <c r="AJ641" i="10"/>
  <c r="AJ642" i="10"/>
  <c r="AJ643" i="10"/>
  <c r="AJ644" i="10"/>
  <c r="AJ645" i="10"/>
  <c r="AJ646" i="10"/>
  <c r="AJ647" i="10"/>
  <c r="AJ648" i="10"/>
  <c r="AJ649" i="10"/>
  <c r="BM314" i="2"/>
  <c r="BM312" i="2"/>
  <c r="BB310" i="2" l="1"/>
  <c r="BM309" i="2"/>
  <c r="BM308" i="2"/>
  <c r="BM307" i="2"/>
  <c r="AG304" i="2"/>
  <c r="C623" i="10"/>
  <c r="C627" i="10"/>
  <c r="C628" i="10"/>
  <c r="C633" i="10"/>
  <c r="C634" i="10"/>
  <c r="C629" i="10"/>
  <c r="C630" i="10"/>
  <c r="C635" i="10"/>
  <c r="C631" i="10"/>
  <c r="C636" i="10"/>
  <c r="C624" i="10"/>
  <c r="C625" i="10"/>
  <c r="C626" i="10"/>
  <c r="C632" i="10"/>
  <c r="C622" i="10"/>
  <c r="AI623" i="10"/>
  <c r="AI627" i="10"/>
  <c r="AI628" i="10"/>
  <c r="AI633" i="10"/>
  <c r="AI634" i="10"/>
  <c r="AI629" i="10"/>
  <c r="AI630" i="10"/>
  <c r="AI635" i="10"/>
  <c r="AI631" i="10"/>
  <c r="AI636" i="10"/>
  <c r="AI624" i="10"/>
  <c r="AI625" i="10"/>
  <c r="AI626" i="10"/>
  <c r="AI632" i="10"/>
  <c r="AI622" i="10"/>
  <c r="AJ623" i="10"/>
  <c r="AJ627" i="10"/>
  <c r="AJ628" i="10"/>
  <c r="AJ633" i="10"/>
  <c r="AJ634" i="10"/>
  <c r="AJ629" i="10"/>
  <c r="AJ630" i="10"/>
  <c r="AJ635" i="10"/>
  <c r="AJ631" i="10"/>
  <c r="AJ636" i="10"/>
  <c r="AJ624" i="10"/>
  <c r="AJ625" i="10"/>
  <c r="AJ626" i="10"/>
  <c r="AJ632" i="10"/>
  <c r="AJ622" i="10"/>
  <c r="N309" i="2"/>
  <c r="N307" i="2"/>
  <c r="N305" i="2"/>
  <c r="N308" i="2"/>
  <c r="N306" i="2"/>
  <c r="C621" i="10"/>
  <c r="AI621" i="10"/>
  <c r="AJ621" i="10"/>
  <c r="C615" i="10"/>
  <c r="C617" i="10"/>
  <c r="C618" i="10"/>
  <c r="C616" i="10"/>
  <c r="C619" i="10"/>
  <c r="C620" i="10"/>
  <c r="AI615" i="10"/>
  <c r="AI617" i="10"/>
  <c r="AI618" i="10"/>
  <c r="AI616" i="10"/>
  <c r="AI619" i="10"/>
  <c r="AI620" i="10"/>
  <c r="AJ615" i="10"/>
  <c r="AJ617" i="10"/>
  <c r="AJ618" i="10"/>
  <c r="AJ616" i="10"/>
  <c r="AJ619" i="10"/>
  <c r="AJ620" i="10"/>
  <c r="BM303" i="2"/>
  <c r="BM302" i="2"/>
  <c r="C598" i="10" l="1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AI598" i="10"/>
  <c r="AI599" i="10"/>
  <c r="AI600" i="10"/>
  <c r="AI601" i="10"/>
  <c r="AI602" i="10"/>
  <c r="AI603" i="10"/>
  <c r="AI604" i="10"/>
  <c r="AI605" i="10"/>
  <c r="AI606" i="10"/>
  <c r="AI607" i="10"/>
  <c r="AI608" i="10"/>
  <c r="AI609" i="10"/>
  <c r="AI610" i="10"/>
  <c r="AI611" i="10"/>
  <c r="AI612" i="10"/>
  <c r="AI613" i="10"/>
  <c r="AI614" i="10"/>
  <c r="AJ598" i="10"/>
  <c r="AJ599" i="10"/>
  <c r="AJ600" i="10"/>
  <c r="AJ601" i="10"/>
  <c r="AJ602" i="10"/>
  <c r="AJ603" i="10"/>
  <c r="AJ604" i="10"/>
  <c r="AJ605" i="10"/>
  <c r="AJ606" i="10"/>
  <c r="AJ607" i="10"/>
  <c r="AJ608" i="10"/>
  <c r="AJ609" i="10"/>
  <c r="AJ610" i="10"/>
  <c r="AJ611" i="10"/>
  <c r="AJ612" i="10"/>
  <c r="AJ613" i="10"/>
  <c r="AJ614" i="10"/>
  <c r="C589" i="10" l="1"/>
  <c r="C590" i="10"/>
  <c r="C591" i="10"/>
  <c r="C592" i="10"/>
  <c r="C593" i="10"/>
  <c r="C594" i="10"/>
  <c r="C595" i="10"/>
  <c r="C596" i="10"/>
  <c r="C597" i="10"/>
  <c r="AI594" i="10"/>
  <c r="AI595" i="10"/>
  <c r="AI596" i="10"/>
  <c r="AI597" i="10"/>
  <c r="AJ594" i="10"/>
  <c r="AJ595" i="10"/>
  <c r="AJ596" i="10"/>
  <c r="AJ597" i="10"/>
  <c r="AI590" i="10"/>
  <c r="AI591" i="10"/>
  <c r="AI592" i="10"/>
  <c r="AI593" i="10"/>
  <c r="AJ590" i="10"/>
  <c r="AJ591" i="10"/>
  <c r="AJ592" i="10"/>
  <c r="AJ593" i="10"/>
  <c r="AI589" i="10"/>
  <c r="AJ589" i="10"/>
  <c r="C588" i="10"/>
  <c r="AI588" i="10"/>
  <c r="AJ588" i="10"/>
  <c r="C587" i="10" l="1"/>
  <c r="AI587" i="10"/>
  <c r="AJ587" i="10"/>
  <c r="C584" i="10"/>
  <c r="C585" i="10"/>
  <c r="C567" i="10"/>
  <c r="C568" i="10"/>
  <c r="C569" i="10"/>
  <c r="C570" i="10"/>
  <c r="C578" i="10"/>
  <c r="C557" i="10"/>
  <c r="C558" i="10"/>
  <c r="C571" i="10"/>
  <c r="C579" i="10"/>
  <c r="C586" i="10"/>
  <c r="C559" i="10"/>
  <c r="C560" i="10"/>
  <c r="C561" i="10"/>
  <c r="C562" i="10"/>
  <c r="C572" i="10"/>
  <c r="C573" i="10"/>
  <c r="C563" i="10"/>
  <c r="AI584" i="10"/>
  <c r="AI585" i="10"/>
  <c r="AI567" i="10"/>
  <c r="AI568" i="10"/>
  <c r="AI569" i="10"/>
  <c r="AI570" i="10"/>
  <c r="AI578" i="10"/>
  <c r="AI557" i="10"/>
  <c r="AI558" i="10"/>
  <c r="AI571" i="10"/>
  <c r="AI579" i="10"/>
  <c r="AI586" i="10"/>
  <c r="AI559" i="10"/>
  <c r="AI560" i="10"/>
  <c r="AI561" i="10"/>
  <c r="AI562" i="10"/>
  <c r="AI572" i="10"/>
  <c r="AI573" i="10"/>
  <c r="AI563" i="10"/>
  <c r="AJ584" i="10"/>
  <c r="AJ585" i="10"/>
  <c r="AJ567" i="10"/>
  <c r="AJ568" i="10"/>
  <c r="AJ569" i="10"/>
  <c r="AJ570" i="10"/>
  <c r="AJ578" i="10"/>
  <c r="AJ557" i="10"/>
  <c r="AJ558" i="10"/>
  <c r="AJ571" i="10"/>
  <c r="AJ579" i="10"/>
  <c r="AJ586" i="10"/>
  <c r="AJ559" i="10"/>
  <c r="AJ560" i="10"/>
  <c r="AJ561" i="10"/>
  <c r="AJ562" i="10"/>
  <c r="AJ572" i="10"/>
  <c r="AJ573" i="10"/>
  <c r="AJ563" i="10"/>
  <c r="C279" i="2"/>
  <c r="BM277" i="2"/>
  <c r="BM276" i="2"/>
  <c r="BM273" i="2"/>
  <c r="BM272" i="2"/>
  <c r="NO39" i="21"/>
  <c r="NI39" i="21"/>
  <c r="N279" i="2" l="1"/>
  <c r="C582" i="10"/>
  <c r="C577" i="10"/>
  <c r="C583" i="10"/>
  <c r="AI582" i="10"/>
  <c r="AI577" i="10"/>
  <c r="AI583" i="10"/>
  <c r="AJ582" i="10"/>
  <c r="AJ577" i="10"/>
  <c r="AJ583" i="10"/>
  <c r="C580" i="10"/>
  <c r="C581" i="10"/>
  <c r="C564" i="10"/>
  <c r="C576" i="10"/>
  <c r="C565" i="10"/>
  <c r="C566" i="10"/>
  <c r="C574" i="10"/>
  <c r="C575" i="10"/>
  <c r="AI580" i="10"/>
  <c r="AI581" i="10"/>
  <c r="AI564" i="10"/>
  <c r="AI576" i="10"/>
  <c r="AI565" i="10"/>
  <c r="AI566" i="10"/>
  <c r="AI574" i="10"/>
  <c r="AI575" i="10"/>
  <c r="AJ580" i="10"/>
  <c r="AJ581" i="10"/>
  <c r="AJ564" i="10"/>
  <c r="AJ576" i="10"/>
  <c r="AJ565" i="10"/>
  <c r="AJ566" i="10"/>
  <c r="AJ574" i="10"/>
  <c r="AJ575" i="10"/>
  <c r="J82" i="4" l="1"/>
  <c r="BM253" i="2" l="1"/>
  <c r="BM252" i="2"/>
  <c r="BM251" i="2"/>
  <c r="BM250" i="2"/>
  <c r="BM248" i="2"/>
  <c r="BM247" i="2"/>
  <c r="BM245" i="2"/>
  <c r="BM243" i="2"/>
  <c r="BM242" i="2"/>
  <c r="BM240" i="2"/>
  <c r="BM239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5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88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3" i="2"/>
  <c r="AG287" i="2"/>
  <c r="AG284" i="2"/>
  <c r="AG282" i="2"/>
  <c r="AG285" i="2"/>
  <c r="AG286" i="2"/>
  <c r="AG280" i="2"/>
  <c r="AG281" i="2"/>
  <c r="AG290" i="2"/>
  <c r="AG289" i="2"/>
  <c r="AG327" i="2"/>
  <c r="AG302" i="2"/>
  <c r="AG303" i="2"/>
  <c r="AG292" i="2"/>
  <c r="AG293" i="2"/>
  <c r="AG294" i="2"/>
  <c r="AG295" i="2"/>
  <c r="AG296" i="2"/>
  <c r="AG297" i="2"/>
  <c r="AG298" i="2"/>
  <c r="AG299" i="2"/>
  <c r="AG300" i="2"/>
  <c r="AG301" i="2"/>
  <c r="AG309" i="2"/>
  <c r="AG307" i="2"/>
  <c r="AG305" i="2"/>
  <c r="AG308" i="2"/>
  <c r="AG306" i="2"/>
  <c r="AG291" i="2"/>
  <c r="AG311" i="2"/>
  <c r="AG310" i="2"/>
  <c r="AG312" i="2"/>
  <c r="AG313" i="2"/>
  <c r="AG326" i="2"/>
  <c r="AG316" i="2"/>
  <c r="AG317" i="2"/>
  <c r="AG315" i="2"/>
  <c r="AG318" i="2"/>
  <c r="AG314" i="2"/>
  <c r="AG320" i="2"/>
  <c r="AG319" i="2"/>
  <c r="AG322" i="2"/>
  <c r="AG321" i="2"/>
  <c r="AG323" i="2"/>
  <c r="AG324" i="2"/>
  <c r="AG325" i="2"/>
  <c r="AG328" i="2"/>
  <c r="AG329" i="2"/>
  <c r="AG330" i="2"/>
  <c r="AG331" i="2"/>
  <c r="AG335" i="2"/>
  <c r="AG333" i="2"/>
  <c r="AG336" i="2"/>
  <c r="AG332" i="2"/>
  <c r="AG334" i="2"/>
  <c r="AG350" i="2"/>
  <c r="AG337" i="2"/>
  <c r="AG338" i="2"/>
  <c r="AG339" i="2"/>
  <c r="AG340" i="2"/>
  <c r="AG369" i="2"/>
  <c r="AG370" i="2"/>
  <c r="AG371" i="2"/>
  <c r="AG372" i="2"/>
  <c r="AG373" i="2"/>
  <c r="AG341" i="2"/>
  <c r="AG358" i="2"/>
  <c r="AG345" i="2"/>
  <c r="AG344" i="2"/>
  <c r="AG349" i="2"/>
  <c r="AG400" i="2"/>
  <c r="AG348" i="2"/>
  <c r="AG343" i="2"/>
  <c r="AG347" i="2"/>
  <c r="AG342" i="2"/>
  <c r="AG379" i="2"/>
  <c r="AG367" i="2"/>
  <c r="AG408" i="2"/>
  <c r="AG346" i="2"/>
  <c r="AG351" i="2"/>
  <c r="AG352" i="2"/>
  <c r="AG353" i="2"/>
  <c r="AG354" i="2"/>
  <c r="AG355" i="2"/>
  <c r="AG357" i="2"/>
  <c r="AG368" i="2"/>
  <c r="AG399" i="2"/>
  <c r="AG366" i="2"/>
  <c r="AG356" i="2"/>
  <c r="AG387" i="2"/>
  <c r="AG359" i="2"/>
  <c r="AG360" i="2"/>
  <c r="AG361" i="2"/>
  <c r="AG363" i="2"/>
  <c r="AG362" i="2"/>
  <c r="AG364" i="2"/>
  <c r="AG365" i="2"/>
  <c r="AG403" i="2"/>
  <c r="AG404" i="2"/>
  <c r="AG397" i="2"/>
  <c r="AG398" i="2"/>
  <c r="AG374" i="2"/>
  <c r="AG376" i="2"/>
  <c r="AG377" i="2"/>
  <c r="AG378" i="2"/>
  <c r="AG375" i="2"/>
  <c r="AG380" i="2"/>
  <c r="AG381" i="2"/>
  <c r="AG435" i="2"/>
  <c r="AG388" i="2"/>
  <c r="AG382" i="2"/>
  <c r="AG383" i="2"/>
  <c r="AG384" i="2"/>
  <c r="AG385" i="2"/>
  <c r="AG386" i="2"/>
  <c r="AG389" i="2"/>
  <c r="AG390" i="2"/>
  <c r="AG392" i="2"/>
  <c r="AG391" i="2"/>
  <c r="AG394" i="2"/>
  <c r="AG393" i="2"/>
  <c r="AG395" i="2"/>
  <c r="AG396" i="2"/>
  <c r="AG401" i="2"/>
  <c r="AG402" i="2"/>
  <c r="AG405" i="2"/>
  <c r="AG407" i="2"/>
  <c r="AG411" i="2"/>
  <c r="AG406" i="2"/>
  <c r="AG409" i="2"/>
  <c r="AG410" i="2"/>
  <c r="AG412" i="2"/>
  <c r="AG413" i="2"/>
  <c r="AG414" i="2"/>
  <c r="AG415" i="2"/>
  <c r="AG436" i="2"/>
  <c r="AG443" i="2"/>
  <c r="AG444" i="2"/>
  <c r="AG430" i="2"/>
  <c r="AG416" i="2"/>
  <c r="AG437" i="2"/>
  <c r="AG438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3" i="2"/>
  <c r="AG431" i="2"/>
  <c r="AG432" i="2"/>
  <c r="AG434" i="2"/>
  <c r="AG439" i="2"/>
  <c r="AG440" i="2"/>
  <c r="AG441" i="2"/>
  <c r="AG442" i="2"/>
  <c r="AG488" i="2"/>
  <c r="AG473" i="2"/>
  <c r="AG474" i="2"/>
  <c r="AG446" i="2"/>
  <c r="AG447" i="2"/>
  <c r="AG448" i="2"/>
  <c r="AG449" i="2"/>
  <c r="AG471" i="2"/>
  <c r="AG472" i="2"/>
  <c r="AG445" i="2"/>
  <c r="AG450" i="2"/>
  <c r="AG451" i="2"/>
  <c r="AG454" i="2"/>
  <c r="AG452" i="2"/>
  <c r="AG453" i="2"/>
  <c r="AG455" i="2"/>
  <c r="AG456" i="2"/>
  <c r="AG457" i="2"/>
  <c r="AG458" i="2"/>
  <c r="AG465" i="2"/>
  <c r="AG466" i="2"/>
  <c r="AG467" i="2"/>
  <c r="AG468" i="2"/>
  <c r="AG470" i="2"/>
  <c r="AG460" i="2"/>
  <c r="AG461" i="2"/>
  <c r="AG462" i="2"/>
  <c r="AG463" i="2"/>
  <c r="AG459" i="2"/>
  <c r="AG464" i="2"/>
  <c r="AG476" i="2"/>
  <c r="AG478" i="2"/>
  <c r="AG480" i="2"/>
  <c r="AG479" i="2"/>
  <c r="AG477" i="2"/>
  <c r="AG469" i="2"/>
  <c r="AG475" i="2"/>
  <c r="AG511" i="2"/>
  <c r="AG483" i="2"/>
  <c r="AG481" i="2"/>
  <c r="AG512" i="2"/>
  <c r="AG489" i="2"/>
  <c r="AG514" i="2"/>
  <c r="AG484" i="2"/>
  <c r="AG485" i="2"/>
  <c r="AG486" i="2"/>
  <c r="AG487" i="2"/>
  <c r="AG482" i="2"/>
  <c r="AG498" i="2"/>
  <c r="AG490" i="2"/>
  <c r="AG491" i="2"/>
  <c r="AG499" i="2"/>
  <c r="AG492" i="2"/>
  <c r="AG493" i="2"/>
  <c r="AG494" i="2"/>
  <c r="AG495" i="2"/>
  <c r="AG496" i="2"/>
  <c r="AG497" i="2"/>
  <c r="AG500" i="2"/>
  <c r="AG506" i="2"/>
  <c r="AG507" i="2"/>
  <c r="AG508" i="2"/>
  <c r="AG509" i="2"/>
  <c r="AG510" i="2"/>
  <c r="AG501" i="2"/>
  <c r="AG502" i="2"/>
  <c r="AG503" i="2"/>
  <c r="AG504" i="2"/>
  <c r="AG505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C556" i="10"/>
  <c r="C542" i="10"/>
  <c r="C553" i="10"/>
  <c r="C554" i="10"/>
  <c r="C547" i="10"/>
  <c r="C548" i="10"/>
  <c r="C543" i="10"/>
  <c r="C544" i="10"/>
  <c r="C545" i="10"/>
  <c r="C546" i="10"/>
  <c r="C549" i="10"/>
  <c r="C550" i="10"/>
  <c r="C551" i="10"/>
  <c r="C552" i="10"/>
  <c r="C555" i="10"/>
  <c r="AI542" i="10"/>
  <c r="AI553" i="10"/>
  <c r="AI554" i="10"/>
  <c r="AI547" i="10"/>
  <c r="AI548" i="10"/>
  <c r="AI543" i="10"/>
  <c r="AI544" i="10"/>
  <c r="AI545" i="10"/>
  <c r="AI546" i="10"/>
  <c r="AI549" i="10"/>
  <c r="AI550" i="10"/>
  <c r="AI551" i="10"/>
  <c r="AI552" i="10"/>
  <c r="AI555" i="10"/>
  <c r="AJ542" i="10"/>
  <c r="AJ553" i="10"/>
  <c r="AJ554" i="10"/>
  <c r="AJ547" i="10"/>
  <c r="AJ548" i="10"/>
  <c r="AJ543" i="10"/>
  <c r="AJ544" i="10"/>
  <c r="AJ545" i="10"/>
  <c r="AJ546" i="10"/>
  <c r="AJ549" i="10"/>
  <c r="AJ550" i="10"/>
  <c r="AJ551" i="10"/>
  <c r="AJ552" i="10"/>
  <c r="AJ555" i="10"/>
  <c r="AI556" i="10"/>
  <c r="AJ556" i="10"/>
  <c r="BB233" i="2" l="1"/>
  <c r="BB232" i="2"/>
  <c r="BB231" i="2"/>
  <c r="BB230" i="2"/>
  <c r="BB229" i="2"/>
  <c r="C525" i="10"/>
  <c r="AI525" i="10"/>
  <c r="AJ525" i="10"/>
  <c r="C516" i="10"/>
  <c r="AI516" i="10"/>
  <c r="AJ516" i="10"/>
  <c r="C539" i="10" l="1"/>
  <c r="C540" i="10"/>
  <c r="C537" i="10"/>
  <c r="C538" i="10"/>
  <c r="C541" i="10"/>
  <c r="AI539" i="10"/>
  <c r="AI540" i="10"/>
  <c r="AI537" i="10"/>
  <c r="AI538" i="10"/>
  <c r="AI541" i="10"/>
  <c r="AJ539" i="10"/>
  <c r="AJ540" i="10"/>
  <c r="AJ537" i="10"/>
  <c r="AJ538" i="10"/>
  <c r="AJ541" i="10"/>
  <c r="AB280" i="10"/>
  <c r="AB279" i="10"/>
  <c r="AB273" i="10"/>
  <c r="AB272" i="10"/>
  <c r="BM225" i="2" l="1"/>
  <c r="C532" i="10"/>
  <c r="C528" i="10"/>
  <c r="C531" i="10"/>
  <c r="C535" i="10"/>
  <c r="C533" i="10"/>
  <c r="C536" i="10"/>
  <c r="C534" i="10"/>
  <c r="C529" i="10"/>
  <c r="C530" i="10"/>
  <c r="AI532" i="10"/>
  <c r="AI528" i="10"/>
  <c r="AI531" i="10"/>
  <c r="AI535" i="10"/>
  <c r="AI533" i="10"/>
  <c r="AI536" i="10"/>
  <c r="AI534" i="10"/>
  <c r="AI529" i="10"/>
  <c r="AI530" i="10"/>
  <c r="AJ532" i="10"/>
  <c r="AJ528" i="10"/>
  <c r="AJ531" i="10"/>
  <c r="AJ535" i="10"/>
  <c r="AJ533" i="10"/>
  <c r="AJ536" i="10"/>
  <c r="AJ534" i="10"/>
  <c r="AJ529" i="10"/>
  <c r="AJ530" i="10"/>
  <c r="C527" i="10" l="1"/>
  <c r="AI527" i="10"/>
  <c r="AJ527" i="10"/>
  <c r="C526" i="10"/>
  <c r="AI526" i="10"/>
  <c r="AJ526" i="10"/>
  <c r="C524" i="10"/>
  <c r="C520" i="10"/>
  <c r="C519" i="10"/>
  <c r="C517" i="10"/>
  <c r="C518" i="10"/>
  <c r="C521" i="10"/>
  <c r="C523" i="10"/>
  <c r="AI524" i="10"/>
  <c r="AI520" i="10"/>
  <c r="AI519" i="10"/>
  <c r="AI517" i="10"/>
  <c r="AI518" i="10"/>
  <c r="AI521" i="10"/>
  <c r="AI523" i="10"/>
  <c r="AJ524" i="10"/>
  <c r="AJ520" i="10"/>
  <c r="AJ519" i="10"/>
  <c r="AJ517" i="10"/>
  <c r="AJ518" i="10"/>
  <c r="AJ521" i="10"/>
  <c r="AJ523" i="10"/>
  <c r="C522" i="10"/>
  <c r="AI522" i="10"/>
  <c r="AJ522" i="10"/>
  <c r="AJ510" i="10" l="1"/>
  <c r="AJ511" i="10"/>
  <c r="AI510" i="10"/>
  <c r="AI511" i="10"/>
  <c r="C510" i="10"/>
  <c r="C511" i="10"/>
  <c r="C513" i="10"/>
  <c r="C512" i="10"/>
  <c r="C514" i="10"/>
  <c r="C515" i="10"/>
  <c r="AI513" i="10"/>
  <c r="AI512" i="10"/>
  <c r="AI514" i="10"/>
  <c r="AI515" i="10"/>
  <c r="AJ513" i="10"/>
  <c r="AJ512" i="10"/>
  <c r="AJ514" i="10"/>
  <c r="AJ515" i="10"/>
  <c r="C491" i="10"/>
  <c r="C497" i="10"/>
  <c r="C490" i="10"/>
  <c r="C498" i="10"/>
  <c r="C489" i="10"/>
  <c r="C492" i="10"/>
  <c r="C493" i="10"/>
  <c r="AI491" i="10"/>
  <c r="AI497" i="10"/>
  <c r="AI490" i="10"/>
  <c r="AI498" i="10"/>
  <c r="AI489" i="10"/>
  <c r="AI492" i="10"/>
  <c r="AI493" i="10"/>
  <c r="AJ491" i="10"/>
  <c r="AJ497" i="10"/>
  <c r="AJ490" i="10"/>
  <c r="AJ498" i="10"/>
  <c r="AJ489" i="10"/>
  <c r="AJ492" i="10"/>
  <c r="AJ493" i="10"/>
  <c r="C503" i="10"/>
  <c r="AI503" i="10"/>
  <c r="AJ503" i="10"/>
  <c r="C504" i="10"/>
  <c r="C505" i="10"/>
  <c r="C506" i="10"/>
  <c r="C507" i="10"/>
  <c r="C494" i="10"/>
  <c r="C508" i="10"/>
  <c r="C509" i="10"/>
  <c r="C487" i="10"/>
  <c r="C488" i="10"/>
  <c r="C499" i="10"/>
  <c r="C500" i="10"/>
  <c r="C495" i="10"/>
  <c r="C496" i="10"/>
  <c r="C502" i="10"/>
  <c r="C501" i="10"/>
  <c r="AI504" i="10"/>
  <c r="AI505" i="10"/>
  <c r="AI506" i="10"/>
  <c r="AI507" i="10"/>
  <c r="AI494" i="10"/>
  <c r="AI508" i="10"/>
  <c r="AI509" i="10"/>
  <c r="AI487" i="10"/>
  <c r="AI488" i="10"/>
  <c r="AI499" i="10"/>
  <c r="AI500" i="10"/>
  <c r="AI495" i="10"/>
  <c r="AI496" i="10"/>
  <c r="AI502" i="10"/>
  <c r="AI501" i="10"/>
  <c r="AJ504" i="10"/>
  <c r="AJ505" i="10"/>
  <c r="AJ506" i="10"/>
  <c r="AJ507" i="10"/>
  <c r="AJ494" i="10"/>
  <c r="AJ508" i="10"/>
  <c r="AJ509" i="10"/>
  <c r="AJ487" i="10"/>
  <c r="AJ488" i="10"/>
  <c r="AJ499" i="10"/>
  <c r="AJ500" i="10"/>
  <c r="AJ495" i="10"/>
  <c r="AJ496" i="10"/>
  <c r="AJ502" i="10"/>
  <c r="AJ501" i="10"/>
  <c r="C485" i="10"/>
  <c r="C484" i="10"/>
  <c r="C486" i="10"/>
  <c r="AI485" i="10"/>
  <c r="AI484" i="10"/>
  <c r="AI486" i="10"/>
  <c r="AJ485" i="10"/>
  <c r="AJ484" i="10"/>
  <c r="AJ486" i="10"/>
  <c r="AJ433" i="10"/>
  <c r="AJ434" i="10"/>
  <c r="AI433" i="10"/>
  <c r="C465" i="10"/>
  <c r="C473" i="10"/>
  <c r="C480" i="10"/>
  <c r="C474" i="10"/>
  <c r="C481" i="10"/>
  <c r="C475" i="10"/>
  <c r="C482" i="10"/>
  <c r="C472" i="10"/>
  <c r="C476" i="10"/>
  <c r="C483" i="10"/>
  <c r="AI473" i="10"/>
  <c r="AI480" i="10"/>
  <c r="AI474" i="10"/>
  <c r="AI481" i="10"/>
  <c r="AI475" i="10"/>
  <c r="AI482" i="10"/>
  <c r="AI472" i="10"/>
  <c r="AI476" i="10"/>
  <c r="AI483" i="10"/>
  <c r="AJ473" i="10"/>
  <c r="AJ480" i="10"/>
  <c r="AJ474" i="10"/>
  <c r="AJ481" i="10"/>
  <c r="AJ475" i="10"/>
  <c r="AJ482" i="10"/>
  <c r="AJ472" i="10"/>
  <c r="AJ476" i="10"/>
  <c r="AJ483" i="10"/>
  <c r="C469" i="10"/>
  <c r="C477" i="10"/>
  <c r="C478" i="10"/>
  <c r="C479" i="10"/>
  <c r="C470" i="10"/>
  <c r="C471" i="10"/>
  <c r="AI469" i="10"/>
  <c r="AI477" i="10"/>
  <c r="AI478" i="10"/>
  <c r="AI479" i="10"/>
  <c r="AI470" i="10"/>
  <c r="AI471" i="10"/>
  <c r="AI465" i="10"/>
  <c r="AJ469" i="10"/>
  <c r="AJ477" i="10"/>
  <c r="AJ478" i="10"/>
  <c r="AJ479" i="10"/>
  <c r="AJ470" i="10"/>
  <c r="AJ471" i="10"/>
  <c r="AJ465" i="10"/>
  <c r="C464" i="10"/>
  <c r="C462" i="10"/>
  <c r="C468" i="10"/>
  <c r="AI464" i="10"/>
  <c r="AI462" i="10"/>
  <c r="AI468" i="10"/>
  <c r="AJ464" i="10"/>
  <c r="AJ462" i="10"/>
  <c r="AJ468" i="10"/>
  <c r="C463" i="10"/>
  <c r="C461" i="10"/>
  <c r="C460" i="10"/>
  <c r="C466" i="10"/>
  <c r="C467" i="10"/>
  <c r="AI463" i="10"/>
  <c r="AI461" i="10"/>
  <c r="AI460" i="10"/>
  <c r="AI466" i="10"/>
  <c r="AI467" i="10"/>
  <c r="AJ463" i="10"/>
  <c r="AJ461" i="10"/>
  <c r="AJ460" i="10"/>
  <c r="AJ466" i="10"/>
  <c r="AJ467" i="10"/>
  <c r="C459" i="10"/>
  <c r="AI459" i="10"/>
  <c r="AJ459" i="10"/>
  <c r="C456" i="10"/>
  <c r="C457" i="10"/>
  <c r="C458" i="10"/>
  <c r="AI456" i="10"/>
  <c r="AI457" i="10"/>
  <c r="AI458" i="10"/>
  <c r="AJ456" i="10"/>
  <c r="AJ457" i="10"/>
  <c r="AJ458" i="10"/>
  <c r="C455" i="10"/>
  <c r="AI455" i="10"/>
  <c r="AJ455" i="10"/>
  <c r="BM206" i="2"/>
  <c r="BM205" i="2" l="1"/>
  <c r="C431" i="10"/>
  <c r="AI431" i="10"/>
  <c r="AJ431" i="10"/>
  <c r="C430" i="10"/>
  <c r="AI430" i="10"/>
  <c r="AJ430" i="10"/>
  <c r="C425" i="10"/>
  <c r="C436" i="10"/>
  <c r="C450" i="10"/>
  <c r="C443" i="10"/>
  <c r="C444" i="10"/>
  <c r="C437" i="10"/>
  <c r="C445" i="10"/>
  <c r="C438" i="10"/>
  <c r="C439" i="10"/>
  <c r="C446" i="10"/>
  <c r="C447" i="10"/>
  <c r="C440" i="10"/>
  <c r="C441" i="10"/>
  <c r="C442" i="10"/>
  <c r="C448" i="10"/>
  <c r="C449" i="10"/>
  <c r="C451" i="10"/>
  <c r="C452" i="10"/>
  <c r="C453" i="10"/>
  <c r="C454" i="10"/>
  <c r="AI436" i="10"/>
  <c r="AI450" i="10"/>
  <c r="AI443" i="10"/>
  <c r="AI444" i="10"/>
  <c r="AI437" i="10"/>
  <c r="AI445" i="10"/>
  <c r="AI438" i="10"/>
  <c r="AI439" i="10"/>
  <c r="AI446" i="10"/>
  <c r="AI447" i="10"/>
  <c r="AI440" i="10"/>
  <c r="AI441" i="10"/>
  <c r="AI442" i="10"/>
  <c r="AI448" i="10"/>
  <c r="AI449" i="10"/>
  <c r="AI451" i="10"/>
  <c r="AI452" i="10"/>
  <c r="AI453" i="10"/>
  <c r="AI454" i="10"/>
  <c r="AJ436" i="10"/>
  <c r="AJ450" i="10"/>
  <c r="AJ443" i="10"/>
  <c r="AJ444" i="10"/>
  <c r="AJ437" i="10"/>
  <c r="AJ445" i="10"/>
  <c r="AJ438" i="10"/>
  <c r="AJ439" i="10"/>
  <c r="AJ446" i="10"/>
  <c r="AJ447" i="10"/>
  <c r="AJ440" i="10"/>
  <c r="AJ441" i="10"/>
  <c r="AJ442" i="10"/>
  <c r="AJ448" i="10"/>
  <c r="AJ449" i="10"/>
  <c r="AJ451" i="10"/>
  <c r="AJ452" i="10"/>
  <c r="AJ453" i="10"/>
  <c r="AJ454" i="10"/>
  <c r="C435" i="10"/>
  <c r="AI435" i="10"/>
  <c r="AJ435" i="10"/>
  <c r="C433" i="10"/>
  <c r="C434" i="10"/>
  <c r="C432" i="10"/>
  <c r="AI434" i="10"/>
  <c r="AI432" i="10"/>
  <c r="AJ432" i="10"/>
  <c r="BM193" i="2"/>
  <c r="BM195" i="2"/>
  <c r="BM192" i="2"/>
  <c r="BM191" i="2"/>
  <c r="BM190" i="2"/>
  <c r="C413" i="10"/>
  <c r="C414" i="10"/>
  <c r="C422" i="10"/>
  <c r="C423" i="10"/>
  <c r="C415" i="10"/>
  <c r="C421" i="10"/>
  <c r="C424" i="10"/>
  <c r="C426" i="10"/>
  <c r="C427" i="10"/>
  <c r="C428" i="10"/>
  <c r="C419" i="10"/>
  <c r="C420" i="10"/>
  <c r="C416" i="10"/>
  <c r="C417" i="10"/>
  <c r="C418" i="10"/>
  <c r="C429" i="10"/>
  <c r="AI413" i="10"/>
  <c r="AI414" i="10"/>
  <c r="AI422" i="10"/>
  <c r="AI423" i="10"/>
  <c r="AI415" i="10"/>
  <c r="AI421" i="10"/>
  <c r="AI424" i="10"/>
  <c r="AI425" i="10"/>
  <c r="AI426" i="10"/>
  <c r="AI427" i="10"/>
  <c r="AI428" i="10"/>
  <c r="AI419" i="10"/>
  <c r="AI420" i="10"/>
  <c r="AI416" i="10"/>
  <c r="AI417" i="10"/>
  <c r="AI418" i="10"/>
  <c r="AI429" i="10"/>
  <c r="AJ413" i="10"/>
  <c r="AJ414" i="10"/>
  <c r="AJ422" i="10"/>
  <c r="AJ423" i="10"/>
  <c r="AJ415" i="10"/>
  <c r="AJ421" i="10"/>
  <c r="AJ424" i="10"/>
  <c r="AJ425" i="10"/>
  <c r="AJ426" i="10"/>
  <c r="AJ427" i="10"/>
  <c r="AJ428" i="10"/>
  <c r="AJ419" i="10"/>
  <c r="AJ420" i="10"/>
  <c r="AJ416" i="10"/>
  <c r="AJ417" i="10"/>
  <c r="AJ418" i="10"/>
  <c r="AJ429" i="10"/>
  <c r="C412" i="10" l="1"/>
  <c r="AI412" i="10"/>
  <c r="AJ412" i="10"/>
  <c r="A151" i="2" l="1"/>
  <c r="BF180" i="2"/>
  <c r="BB180" i="2"/>
  <c r="C402" i="10" l="1"/>
  <c r="C407" i="10"/>
  <c r="C403" i="10"/>
  <c r="C410" i="10"/>
  <c r="C408" i="10"/>
  <c r="C404" i="10"/>
  <c r="C405" i="10"/>
  <c r="C411" i="10"/>
  <c r="C406" i="10"/>
  <c r="AI402" i="10"/>
  <c r="AI407" i="10"/>
  <c r="AI403" i="10"/>
  <c r="AI410" i="10"/>
  <c r="AI408" i="10"/>
  <c r="AI404" i="10"/>
  <c r="AI405" i="10"/>
  <c r="AI411" i="10"/>
  <c r="AI406" i="10"/>
  <c r="AJ402" i="10"/>
  <c r="AJ407" i="10"/>
  <c r="AJ403" i="10"/>
  <c r="AJ410" i="10"/>
  <c r="AJ408" i="10"/>
  <c r="AJ404" i="10"/>
  <c r="AJ405" i="10"/>
  <c r="AJ411" i="10"/>
  <c r="AJ406" i="10"/>
  <c r="C409" i="10"/>
  <c r="AI409" i="10"/>
  <c r="AJ409" i="10"/>
  <c r="C398" i="10"/>
  <c r="C399" i="10"/>
  <c r="C400" i="10"/>
  <c r="C401" i="10"/>
  <c r="AI398" i="10"/>
  <c r="AI399" i="10"/>
  <c r="AI400" i="10"/>
  <c r="AI401" i="10"/>
  <c r="AJ398" i="10"/>
  <c r="AJ399" i="10"/>
  <c r="AJ400" i="10"/>
  <c r="AJ401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" i="10"/>
  <c r="F44" i="21"/>
  <c r="F38" i="21"/>
  <c r="F14" i="21"/>
  <c r="A251" i="2"/>
  <c r="A252" i="2"/>
  <c r="A253" i="2"/>
  <c r="A238" i="2"/>
  <c r="A237" i="2"/>
  <c r="A254" i="2"/>
  <c r="A256" i="2"/>
  <c r="A270" i="2"/>
  <c r="A271" i="2"/>
  <c r="A257" i="2"/>
  <c r="A258" i="2"/>
  <c r="A259" i="2"/>
  <c r="A288" i="2"/>
  <c r="A283" i="2"/>
  <c r="A282" i="2"/>
  <c r="A261" i="2"/>
  <c r="A262" i="2"/>
  <c r="A260" i="2"/>
  <c r="A287" i="2"/>
  <c r="A272" i="2"/>
  <c r="A273" i="2"/>
  <c r="A274" i="2"/>
  <c r="A275" i="2"/>
  <c r="A276" i="2"/>
  <c r="A277" i="2"/>
  <c r="A278" i="2"/>
  <c r="A279" i="2"/>
  <c r="A265" i="2"/>
  <c r="A266" i="2"/>
  <c r="A267" i="2"/>
  <c r="A263" i="2"/>
  <c r="A268" i="2"/>
  <c r="A269" i="2"/>
  <c r="A264" i="2"/>
  <c r="A284" i="2"/>
  <c r="A285" i="2"/>
  <c r="A286" i="2"/>
  <c r="A280" i="2"/>
  <c r="A281" i="2"/>
  <c r="A290" i="2"/>
  <c r="A289" i="2"/>
  <c r="A327" i="2"/>
  <c r="A302" i="2"/>
  <c r="A303" i="2"/>
  <c r="A292" i="2"/>
  <c r="A293" i="2"/>
  <c r="A294" i="2"/>
  <c r="A295" i="2"/>
  <c r="A296" i="2"/>
  <c r="A297" i="2"/>
  <c r="A298" i="2"/>
  <c r="A299" i="2"/>
  <c r="A300" i="2"/>
  <c r="A301" i="2"/>
  <c r="A304" i="2"/>
  <c r="A309" i="2"/>
  <c r="A307" i="2"/>
  <c r="A305" i="2"/>
  <c r="A308" i="2"/>
  <c r="A306" i="2"/>
  <c r="A291" i="2"/>
  <c r="A311" i="2"/>
  <c r="A310" i="2"/>
  <c r="A312" i="2"/>
  <c r="A313" i="2"/>
  <c r="A326" i="2"/>
  <c r="A316" i="2"/>
  <c r="A317" i="2"/>
  <c r="A315" i="2"/>
  <c r="A318" i="2"/>
  <c r="A314" i="2"/>
  <c r="A320" i="2"/>
  <c r="A319" i="2"/>
  <c r="A322" i="2"/>
  <c r="A321" i="2"/>
  <c r="A323" i="2"/>
  <c r="A324" i="2"/>
  <c r="A325" i="2"/>
  <c r="A328" i="2"/>
  <c r="A329" i="2"/>
  <c r="A330" i="2"/>
  <c r="A331" i="2"/>
  <c r="A335" i="2"/>
  <c r="A333" i="2"/>
  <c r="A336" i="2"/>
  <c r="A332" i="2"/>
  <c r="A334" i="2"/>
  <c r="A350" i="2"/>
  <c r="A337" i="2"/>
  <c r="A338" i="2"/>
  <c r="A339" i="2"/>
  <c r="A340" i="2"/>
  <c r="A369" i="2"/>
  <c r="A370" i="2"/>
  <c r="A371" i="2"/>
  <c r="A372" i="2"/>
  <c r="A373" i="2"/>
  <c r="A341" i="2"/>
  <c r="A358" i="2"/>
  <c r="A345" i="2"/>
  <c r="A344" i="2"/>
  <c r="A349" i="2"/>
  <c r="A400" i="2"/>
  <c r="A348" i="2"/>
  <c r="A343" i="2"/>
  <c r="A347" i="2"/>
  <c r="A342" i="2"/>
  <c r="A379" i="2"/>
  <c r="A367" i="2"/>
  <c r="A408" i="2"/>
  <c r="A346" i="2"/>
  <c r="A351" i="2"/>
  <c r="A352" i="2"/>
  <c r="A353" i="2"/>
  <c r="A354" i="2"/>
  <c r="A355" i="2"/>
  <c r="A357" i="2"/>
  <c r="A368" i="2"/>
  <c r="A399" i="2"/>
  <c r="A366" i="2"/>
  <c r="A356" i="2"/>
  <c r="A387" i="2"/>
  <c r="A359" i="2"/>
  <c r="A360" i="2"/>
  <c r="A361" i="2"/>
  <c r="A363" i="2"/>
  <c r="A362" i="2"/>
  <c r="A364" i="2"/>
  <c r="A365" i="2"/>
  <c r="A403" i="2"/>
  <c r="A404" i="2"/>
  <c r="A397" i="2"/>
  <c r="A398" i="2"/>
  <c r="A374" i="2"/>
  <c r="A376" i="2"/>
  <c r="A377" i="2"/>
  <c r="A378" i="2"/>
  <c r="A375" i="2"/>
  <c r="A380" i="2"/>
  <c r="A381" i="2"/>
  <c r="A435" i="2"/>
  <c r="A388" i="2"/>
  <c r="A382" i="2"/>
  <c r="A383" i="2"/>
  <c r="A384" i="2"/>
  <c r="A385" i="2"/>
  <c r="A386" i="2"/>
  <c r="A389" i="2"/>
  <c r="A390" i="2"/>
  <c r="A392" i="2"/>
  <c r="A391" i="2"/>
  <c r="A394" i="2"/>
  <c r="A393" i="2"/>
  <c r="A395" i="2"/>
  <c r="A396" i="2"/>
  <c r="A402" i="2"/>
  <c r="A405" i="2"/>
  <c r="A407" i="2"/>
  <c r="A411" i="2"/>
  <c r="A406" i="2"/>
  <c r="A409" i="2"/>
  <c r="A410" i="2"/>
  <c r="A412" i="2"/>
  <c r="A413" i="2"/>
  <c r="A414" i="2"/>
  <c r="A415" i="2"/>
  <c r="A436" i="2"/>
  <c r="A443" i="2"/>
  <c r="A444" i="2"/>
  <c r="A430" i="2"/>
  <c r="A416" i="2"/>
  <c r="A437" i="2"/>
  <c r="A438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3" i="2"/>
  <c r="A431" i="2"/>
  <c r="A432" i="2"/>
  <c r="A434" i="2"/>
  <c r="A439" i="2"/>
  <c r="A440" i="2"/>
  <c r="A441" i="2"/>
  <c r="A442" i="2"/>
  <c r="A488" i="2"/>
  <c r="A473" i="2"/>
  <c r="A474" i="2"/>
  <c r="A446" i="2"/>
  <c r="A447" i="2"/>
  <c r="A448" i="2"/>
  <c r="A449" i="2"/>
  <c r="A471" i="2"/>
  <c r="A472" i="2"/>
  <c r="A445" i="2"/>
  <c r="A450" i="2"/>
  <c r="A451" i="2"/>
  <c r="A454" i="2"/>
  <c r="A452" i="2"/>
  <c r="A453" i="2"/>
  <c r="A455" i="2"/>
  <c r="A456" i="2"/>
  <c r="A457" i="2"/>
  <c r="A458" i="2"/>
  <c r="A465" i="2"/>
  <c r="A466" i="2"/>
  <c r="A467" i="2"/>
  <c r="A468" i="2"/>
  <c r="A470" i="2"/>
  <c r="A460" i="2"/>
  <c r="A461" i="2"/>
  <c r="A462" i="2"/>
  <c r="A463" i="2"/>
  <c r="A459" i="2"/>
  <c r="A464" i="2"/>
  <c r="A476" i="2"/>
  <c r="A478" i="2"/>
  <c r="A480" i="2"/>
  <c r="A479" i="2"/>
  <c r="A477" i="2"/>
  <c r="A469" i="2"/>
  <c r="A475" i="2"/>
  <c r="A511" i="2"/>
  <c r="A483" i="2"/>
  <c r="A481" i="2"/>
  <c r="A512" i="2"/>
  <c r="A489" i="2"/>
  <c r="A514" i="2"/>
  <c r="A484" i="2"/>
  <c r="A485" i="2"/>
  <c r="A486" i="2"/>
  <c r="A487" i="2"/>
  <c r="A482" i="2"/>
  <c r="A498" i="2"/>
  <c r="A490" i="2"/>
  <c r="A491" i="2"/>
  <c r="A499" i="2"/>
  <c r="A492" i="2"/>
  <c r="A493" i="2"/>
  <c r="A494" i="2"/>
  <c r="A495" i="2"/>
  <c r="A496" i="2"/>
  <c r="A497" i="2"/>
  <c r="A500" i="2"/>
  <c r="A506" i="2"/>
  <c r="A507" i="2"/>
  <c r="A508" i="2"/>
  <c r="A509" i="2"/>
  <c r="A510" i="2"/>
  <c r="A501" i="2"/>
  <c r="A502" i="2"/>
  <c r="A503" i="2"/>
  <c r="A504" i="2"/>
  <c r="A505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2" i="2"/>
  <c r="A183" i="2"/>
  <c r="A184" i="2"/>
  <c r="A185" i="2"/>
  <c r="A196" i="2"/>
  <c r="A198" i="2"/>
  <c r="A181" i="2"/>
  <c r="A186" i="2"/>
  <c r="A189" i="2"/>
  <c r="A190" i="2"/>
  <c r="A188" i="2"/>
  <c r="A191" i="2"/>
  <c r="A192" i="2"/>
  <c r="A193" i="2"/>
  <c r="A194" i="2"/>
  <c r="A195" i="2"/>
  <c r="A187" i="2"/>
  <c r="A197" i="2"/>
  <c r="A200" i="2"/>
  <c r="A209" i="2"/>
  <c r="A201" i="2"/>
  <c r="A202" i="2"/>
  <c r="A203" i="2"/>
  <c r="A204" i="2"/>
  <c r="A199" i="2"/>
  <c r="A205" i="2"/>
  <c r="A206" i="2"/>
  <c r="A207" i="2"/>
  <c r="A210" i="2"/>
  <c r="A208" i="2"/>
  <c r="A211" i="2"/>
  <c r="A215" i="2"/>
  <c r="A213" i="2"/>
  <c r="A214" i="2"/>
  <c r="A218" i="2"/>
  <c r="A212" i="2"/>
  <c r="A219" i="2"/>
  <c r="A220" i="2"/>
  <c r="A221" i="2"/>
  <c r="A222" i="2"/>
  <c r="A223" i="2"/>
  <c r="A224" i="2"/>
  <c r="A229" i="2"/>
  <c r="A230" i="2"/>
  <c r="A231" i="2"/>
  <c r="A232" i="2"/>
  <c r="A233" i="2"/>
  <c r="A216" i="2"/>
  <c r="A217" i="2"/>
  <c r="A225" i="2"/>
  <c r="A227" i="2"/>
  <c r="A255" i="2"/>
  <c r="A234" i="2"/>
  <c r="A235" i="2"/>
  <c r="A226" i="2"/>
  <c r="A228" i="2"/>
  <c r="A236" i="2"/>
  <c r="A239" i="2"/>
  <c r="A240" i="2"/>
  <c r="A241" i="2"/>
  <c r="A247" i="2"/>
  <c r="A248" i="2"/>
  <c r="A242" i="2"/>
  <c r="A243" i="2"/>
  <c r="A244" i="2"/>
  <c r="A245" i="2"/>
  <c r="A246" i="2"/>
  <c r="A249" i="2"/>
  <c r="A250" i="2"/>
  <c r="A4" i="2"/>
  <c r="A3" i="2"/>
  <c r="K60" i="22"/>
  <c r="K54" i="22"/>
  <c r="K48" i="22"/>
  <c r="K42" i="22"/>
  <c r="K36" i="22"/>
  <c r="K30" i="22"/>
  <c r="K24" i="22"/>
  <c r="K18" i="22"/>
  <c r="K12" i="22"/>
  <c r="K6" i="22"/>
  <c r="NG5" i="22" s="1"/>
  <c r="I60" i="22"/>
  <c r="I54" i="22"/>
  <c r="I48" i="22"/>
  <c r="I42" i="22"/>
  <c r="I36" i="22"/>
  <c r="I30" i="22"/>
  <c r="I24" i="22"/>
  <c r="I18" i="22"/>
  <c r="I12" i="22"/>
  <c r="I61" i="22"/>
  <c r="I55" i="22"/>
  <c r="I49" i="22"/>
  <c r="I43" i="22"/>
  <c r="I37" i="22"/>
  <c r="I31" i="22"/>
  <c r="I25" i="22"/>
  <c r="I19" i="22"/>
  <c r="I13" i="22"/>
  <c r="I7" i="22"/>
  <c r="E61" i="22"/>
  <c r="E55" i="22"/>
  <c r="E49" i="22"/>
  <c r="E43" i="22"/>
  <c r="E37" i="22"/>
  <c r="E31" i="22"/>
  <c r="E25" i="22"/>
  <c r="E19" i="22"/>
  <c r="E13" i="22"/>
  <c r="F61" i="22"/>
  <c r="F55" i="22"/>
  <c r="F49" i="22"/>
  <c r="F43" i="22"/>
  <c r="F37" i="22"/>
  <c r="F31" i="22"/>
  <c r="F25" i="22"/>
  <c r="F19" i="22"/>
  <c r="F13" i="22"/>
  <c r="F7" i="22"/>
  <c r="F59" i="22"/>
  <c r="F53" i="22"/>
  <c r="F47" i="22"/>
  <c r="F41" i="22"/>
  <c r="F35" i="22"/>
  <c r="F29" i="22"/>
  <c r="F23" i="22"/>
  <c r="F17" i="22"/>
  <c r="F11" i="22"/>
  <c r="F5" i="22"/>
  <c r="F58" i="22"/>
  <c r="F52" i="22"/>
  <c r="F46" i="22"/>
  <c r="F40" i="22"/>
  <c r="F34" i="22"/>
  <c r="F28" i="22"/>
  <c r="F22" i="22"/>
  <c r="F16" i="22"/>
  <c r="F10" i="22"/>
  <c r="F4" i="22"/>
  <c r="F57" i="22"/>
  <c r="F51" i="22"/>
  <c r="F45" i="22"/>
  <c r="F39" i="22"/>
  <c r="F33" i="22"/>
  <c r="F27" i="22"/>
  <c r="F21" i="22"/>
  <c r="F15" i="22"/>
  <c r="F9" i="22"/>
  <c r="F3" i="22"/>
  <c r="M7" i="21"/>
  <c r="F62" i="22"/>
  <c r="F56" i="22"/>
  <c r="F50" i="22"/>
  <c r="F44" i="22"/>
  <c r="F38" i="22"/>
  <c r="F32" i="22"/>
  <c r="F26" i="22"/>
  <c r="F20" i="22"/>
  <c r="F14" i="22"/>
  <c r="K61" i="22"/>
  <c r="K55" i="22"/>
  <c r="K49" i="22"/>
  <c r="K43" i="22"/>
  <c r="K37" i="22"/>
  <c r="K25" i="22"/>
  <c r="K19" i="22"/>
  <c r="K13" i="22"/>
  <c r="R6" i="22"/>
  <c r="R5" i="22"/>
  <c r="R6" i="21"/>
  <c r="R5" i="21"/>
  <c r="C397" i="10"/>
  <c r="AI397" i="10"/>
  <c r="AJ397" i="10"/>
  <c r="E7" i="21"/>
  <c r="F4" i="21"/>
  <c r="BM159" i="2"/>
  <c r="BM155" i="2"/>
  <c r="I6" i="21"/>
  <c r="I31" i="23" l="1"/>
  <c r="F57" i="23"/>
  <c r="F51" i="23"/>
  <c r="I49" i="23"/>
  <c r="F39" i="23"/>
  <c r="I37" i="23"/>
  <c r="I25" i="23"/>
  <c r="F23" i="23"/>
  <c r="I13" i="23"/>
  <c r="F17" i="23"/>
  <c r="F11" i="23"/>
  <c r="F3" i="23"/>
  <c r="I19" i="23"/>
  <c r="F45" i="23"/>
  <c r="F35" i="23"/>
  <c r="F5" i="23"/>
  <c r="F29" i="21"/>
  <c r="F15" i="23"/>
  <c r="I61" i="23"/>
  <c r="I55" i="23"/>
  <c r="F47" i="23"/>
  <c r="I43" i="23"/>
  <c r="F33" i="23"/>
  <c r="F27" i="23"/>
  <c r="F29" i="23"/>
  <c r="F9" i="23"/>
  <c r="I7" i="23"/>
  <c r="F59" i="23"/>
  <c r="F53" i="23"/>
  <c r="F41" i="23"/>
  <c r="F21" i="23"/>
  <c r="NG14" i="22"/>
  <c r="NI14" i="22" s="1"/>
  <c r="NH5" i="22"/>
  <c r="I37" i="21"/>
  <c r="I19" i="21"/>
  <c r="I43" i="21"/>
  <c r="I55" i="21"/>
  <c r="I31" i="21"/>
  <c r="I25" i="21"/>
  <c r="I13" i="21"/>
  <c r="I61" i="21"/>
  <c r="I49" i="21"/>
  <c r="NG32" i="22"/>
  <c r="NG35" i="22" s="1"/>
  <c r="F17" i="21"/>
  <c r="F23" i="21"/>
  <c r="F53" i="21"/>
  <c r="F47" i="21"/>
  <c r="F5" i="21"/>
  <c r="F35" i="21"/>
  <c r="F41" i="21"/>
  <c r="F11" i="21"/>
  <c r="F59" i="21"/>
  <c r="NM41" i="22"/>
  <c r="NM44" i="22" s="1"/>
  <c r="NP44" i="22" s="1"/>
  <c r="NG41" i="22"/>
  <c r="NH41" i="22" s="1"/>
  <c r="NM32" i="22"/>
  <c r="NO32" i="22" s="1"/>
  <c r="NM23" i="22"/>
  <c r="NM26" i="22" s="1"/>
  <c r="NO26" i="22" s="1"/>
  <c r="NG23" i="22"/>
  <c r="NH23" i="22" s="1"/>
  <c r="NM14" i="22"/>
  <c r="NM17" i="22" s="1"/>
  <c r="NN17" i="22" s="1"/>
  <c r="NM5" i="22"/>
  <c r="NM8" i="22" s="1"/>
  <c r="NN8" i="22" s="1"/>
  <c r="M48" i="21"/>
  <c r="NN39" i="21"/>
  <c r="NH39" i="21"/>
  <c r="NO30" i="21"/>
  <c r="NN30" i="21"/>
  <c r="NI30" i="21"/>
  <c r="NH30" i="21"/>
  <c r="NO21" i="21"/>
  <c r="NN21" i="21"/>
  <c r="NI21" i="21"/>
  <c r="NH21" i="21"/>
  <c r="M60" i="21"/>
  <c r="M54" i="21"/>
  <c r="I60" i="21"/>
  <c r="I54" i="21"/>
  <c r="M61" i="21"/>
  <c r="E61" i="21"/>
  <c r="I48" i="21"/>
  <c r="M55" i="21"/>
  <c r="E55" i="21"/>
  <c r="M42" i="21"/>
  <c r="I42" i="21"/>
  <c r="M49" i="21"/>
  <c r="E49" i="21"/>
  <c r="E43" i="21"/>
  <c r="M36" i="21"/>
  <c r="I36" i="21"/>
  <c r="M43" i="21"/>
  <c r="M37" i="21"/>
  <c r="E37" i="21"/>
  <c r="M30" i="21"/>
  <c r="I30" i="21"/>
  <c r="F61" i="21"/>
  <c r="F58" i="21"/>
  <c r="F55" i="21"/>
  <c r="F52" i="21"/>
  <c r="F49" i="21"/>
  <c r="F46" i="21"/>
  <c r="F43" i="21"/>
  <c r="F40" i="21"/>
  <c r="F37" i="21"/>
  <c r="F34" i="21"/>
  <c r="NO12" i="21"/>
  <c r="NN12" i="21"/>
  <c r="M24" i="21"/>
  <c r="I24" i="21"/>
  <c r="M31" i="21"/>
  <c r="E31" i="21"/>
  <c r="F31" i="21"/>
  <c r="F28" i="21"/>
  <c r="M18" i="21"/>
  <c r="I18" i="21"/>
  <c r="M25" i="21"/>
  <c r="E25" i="21"/>
  <c r="F25" i="21"/>
  <c r="F22" i="21"/>
  <c r="NI12" i="21"/>
  <c r="NH12" i="21"/>
  <c r="M12" i="21"/>
  <c r="I12" i="21"/>
  <c r="M13" i="21"/>
  <c r="E19" i="21"/>
  <c r="E13" i="21"/>
  <c r="F19" i="21"/>
  <c r="F13" i="21"/>
  <c r="F16" i="21"/>
  <c r="F10" i="21"/>
  <c r="NO3" i="21"/>
  <c r="NN3" i="21"/>
  <c r="NI3" i="21"/>
  <c r="NH3" i="21"/>
  <c r="M6" i="21"/>
  <c r="F7" i="21"/>
  <c r="I7" i="21"/>
  <c r="C391" i="10"/>
  <c r="C392" i="10"/>
  <c r="AI391" i="10"/>
  <c r="AI392" i="10"/>
  <c r="AJ391" i="10"/>
  <c r="AJ392" i="10"/>
  <c r="NG41" i="21" l="1"/>
  <c r="NJ41" i="21" s="1"/>
  <c r="NM41" i="21"/>
  <c r="NM44" i="21" s="1"/>
  <c r="NP44" i="21" s="1"/>
  <c r="NG32" i="21"/>
  <c r="NK32" i="21" s="1"/>
  <c r="NM32" i="21"/>
  <c r="NO32" i="21" s="1"/>
  <c r="NI32" i="22"/>
  <c r="NJ32" i="22"/>
  <c r="NH32" i="22"/>
  <c r="NM23" i="21"/>
  <c r="NP23" i="21" s="1"/>
  <c r="NG23" i="21"/>
  <c r="NI23" i="21" s="1"/>
  <c r="NM14" i="21"/>
  <c r="NO14" i="21" s="1"/>
  <c r="NG14" i="21"/>
  <c r="NK14" i="21" s="1"/>
  <c r="NN14" i="22"/>
  <c r="NP26" i="22"/>
  <c r="NO41" i="22"/>
  <c r="NP41" i="22"/>
  <c r="NP17" i="22"/>
  <c r="NI23" i="22"/>
  <c r="NJ23" i="22"/>
  <c r="NO17" i="22"/>
  <c r="NJ14" i="22"/>
  <c r="NN44" i="22"/>
  <c r="NO44" i="22"/>
  <c r="NN41" i="22"/>
  <c r="NI41" i="22"/>
  <c r="NG44" i="22"/>
  <c r="NH44" i="22" s="1"/>
  <c r="NJ41" i="22"/>
  <c r="NM35" i="22"/>
  <c r="NO35" i="22" s="1"/>
  <c r="NP32" i="22"/>
  <c r="NN32" i="22"/>
  <c r="NN23" i="22"/>
  <c r="NP23" i="22"/>
  <c r="NN26" i="22"/>
  <c r="NO23" i="22"/>
  <c r="NG26" i="22"/>
  <c r="NH26" i="22" s="1"/>
  <c r="NO14" i="22"/>
  <c r="NP14" i="22"/>
  <c r="NG17" i="22"/>
  <c r="NI17" i="22" s="1"/>
  <c r="NH14" i="22"/>
  <c r="NO5" i="22"/>
  <c r="NP5" i="22"/>
  <c r="NN5" i="22"/>
  <c r="NO8" i="22"/>
  <c r="NP8" i="22"/>
  <c r="NI5" i="22"/>
  <c r="NG8" i="22"/>
  <c r="NI8" i="22" s="1"/>
  <c r="NJ5" i="22"/>
  <c r="NI35" i="22"/>
  <c r="NH35" i="22"/>
  <c r="NJ35" i="22"/>
  <c r="NM5" i="21"/>
  <c r="NM8" i="21" s="1"/>
  <c r="NO8" i="21" s="1"/>
  <c r="NG5" i="21"/>
  <c r="NH5" i="21" s="1"/>
  <c r="C384" i="10"/>
  <c r="C386" i="10"/>
  <c r="C385" i="10"/>
  <c r="C380" i="10"/>
  <c r="C379" i="10"/>
  <c r="C381" i="10"/>
  <c r="C382" i="10"/>
  <c r="C393" i="10"/>
  <c r="C394" i="10"/>
  <c r="C389" i="10"/>
  <c r="C390" i="10"/>
  <c r="C383" i="10"/>
  <c r="C387" i="10"/>
  <c r="C395" i="10"/>
  <c r="C396" i="10"/>
  <c r="C388" i="10"/>
  <c r="AI384" i="10"/>
  <c r="AI386" i="10"/>
  <c r="AI385" i="10"/>
  <c r="AI380" i="10"/>
  <c r="AI379" i="10"/>
  <c r="AI381" i="10"/>
  <c r="AI382" i="10"/>
  <c r="AI393" i="10"/>
  <c r="AI394" i="10"/>
  <c r="AI389" i="10"/>
  <c r="AI390" i="10"/>
  <c r="AI383" i="10"/>
  <c r="AI387" i="10"/>
  <c r="AI395" i="10"/>
  <c r="AI396" i="10"/>
  <c r="AI388" i="10"/>
  <c r="AJ384" i="10"/>
  <c r="AJ386" i="10"/>
  <c r="AJ385" i="10"/>
  <c r="AJ380" i="10"/>
  <c r="AJ379" i="10"/>
  <c r="AJ381" i="10"/>
  <c r="AJ382" i="10"/>
  <c r="AJ393" i="10"/>
  <c r="AJ394" i="10"/>
  <c r="AJ389" i="10"/>
  <c r="AJ390" i="10"/>
  <c r="AJ383" i="10"/>
  <c r="AJ387" i="10"/>
  <c r="AJ395" i="10"/>
  <c r="AJ396" i="10"/>
  <c r="AJ388" i="10"/>
  <c r="NJ32" i="21" l="1"/>
  <c r="NG35" i="21"/>
  <c r="NH35" i="21" s="1"/>
  <c r="NH32" i="21"/>
  <c r="NI32" i="21"/>
  <c r="NK41" i="21"/>
  <c r="NG44" i="21"/>
  <c r="NJ44" i="21" s="1"/>
  <c r="NH41" i="21"/>
  <c r="NI41" i="21"/>
  <c r="NQ41" i="21"/>
  <c r="NO41" i="21"/>
  <c r="NN41" i="21"/>
  <c r="NP41" i="21"/>
  <c r="NM35" i="21"/>
  <c r="NP35" i="21" s="1"/>
  <c r="NM26" i="21"/>
  <c r="NQ26" i="21" s="1"/>
  <c r="NN23" i="21"/>
  <c r="NO23" i="21"/>
  <c r="NQ23" i="21"/>
  <c r="NG26" i="21"/>
  <c r="NH26" i="21" s="1"/>
  <c r="NJ23" i="21"/>
  <c r="NQ14" i="21"/>
  <c r="NN14" i="21"/>
  <c r="NP14" i="21"/>
  <c r="NH23" i="21"/>
  <c r="NM17" i="21"/>
  <c r="NP17" i="21" s="1"/>
  <c r="NK23" i="21"/>
  <c r="NH14" i="21"/>
  <c r="NI14" i="21"/>
  <c r="NJ14" i="21"/>
  <c r="NG17" i="21"/>
  <c r="NH17" i="21" s="1"/>
  <c r="NJ44" i="22"/>
  <c r="NI44" i="22"/>
  <c r="NH17" i="22"/>
  <c r="NP35" i="22"/>
  <c r="NN35" i="22"/>
  <c r="NJ26" i="22"/>
  <c r="NI26" i="22"/>
  <c r="NJ17" i="22"/>
  <c r="NJ8" i="22"/>
  <c r="NH8" i="22"/>
  <c r="NP5" i="21"/>
  <c r="NQ8" i="21"/>
  <c r="NO5" i="21"/>
  <c r="NN8" i="21"/>
  <c r="NN5" i="21"/>
  <c r="NP8" i="21"/>
  <c r="NQ5" i="21"/>
  <c r="NN44" i="21"/>
  <c r="NO44" i="21"/>
  <c r="NQ44" i="21"/>
  <c r="NN32" i="21"/>
  <c r="NQ32" i="21"/>
  <c r="NP32" i="21"/>
  <c r="NK5" i="21"/>
  <c r="NJ5" i="21"/>
  <c r="NI5" i="21"/>
  <c r="NG8" i="21"/>
  <c r="NI8" i="21" s="1"/>
  <c r="C378" i="10"/>
  <c r="C370" i="10"/>
  <c r="C374" i="10"/>
  <c r="AI378" i="10"/>
  <c r="AI370" i="10"/>
  <c r="AI374" i="10"/>
  <c r="AJ378" i="10"/>
  <c r="AJ370" i="10"/>
  <c r="AJ374" i="10"/>
  <c r="C375" i="10"/>
  <c r="C376" i="10"/>
  <c r="C377" i="10"/>
  <c r="C372" i="10"/>
  <c r="C373" i="10"/>
  <c r="AI375" i="10"/>
  <c r="AI376" i="10"/>
  <c r="AI377" i="10"/>
  <c r="AI372" i="10"/>
  <c r="AI373" i="10"/>
  <c r="AJ375" i="10"/>
  <c r="AJ376" i="10"/>
  <c r="AJ377" i="10"/>
  <c r="AJ372" i="10"/>
  <c r="AJ373" i="10"/>
  <c r="C371" i="10"/>
  <c r="AI371" i="10"/>
  <c r="AJ371" i="10"/>
  <c r="NJ35" i="21" l="1"/>
  <c r="NI35" i="21"/>
  <c r="NK35" i="21"/>
  <c r="NI44" i="21"/>
  <c r="NN35" i="21"/>
  <c r="NK44" i="21"/>
  <c r="NH44" i="21"/>
  <c r="NQ35" i="21"/>
  <c r="NO35" i="21"/>
  <c r="NK26" i="21"/>
  <c r="NO26" i="21"/>
  <c r="NP26" i="21"/>
  <c r="NN26" i="21"/>
  <c r="NJ26" i="21"/>
  <c r="NI26" i="21"/>
  <c r="NQ17" i="21"/>
  <c r="NN17" i="21"/>
  <c r="NO17" i="21"/>
  <c r="NK17" i="21"/>
  <c r="NJ17" i="21"/>
  <c r="NI17" i="21"/>
  <c r="NJ8" i="21"/>
  <c r="NK8" i="21"/>
  <c r="NH8" i="21"/>
  <c r="N157" i="2"/>
  <c r="N156" i="2"/>
  <c r="N158" i="2"/>
  <c r="N159" i="2"/>
  <c r="N153" i="2"/>
  <c r="N154" i="2"/>
  <c r="C367" i="10" l="1"/>
  <c r="C348" i="10"/>
  <c r="C362" i="10"/>
  <c r="C356" i="10"/>
  <c r="C357" i="10"/>
  <c r="AI367" i="10"/>
  <c r="AI348" i="10"/>
  <c r="AI362" i="10"/>
  <c r="AI356" i="10"/>
  <c r="AI357" i="10"/>
  <c r="AJ367" i="10"/>
  <c r="AJ348" i="10"/>
  <c r="AJ362" i="10"/>
  <c r="AJ356" i="10"/>
  <c r="AJ357" i="10"/>
  <c r="C358" i="10"/>
  <c r="C349" i="10"/>
  <c r="C350" i="10"/>
  <c r="C365" i="10"/>
  <c r="C359" i="10"/>
  <c r="C364" i="10"/>
  <c r="C354" i="10"/>
  <c r="C355" i="10"/>
  <c r="C346" i="10"/>
  <c r="C360" i="10"/>
  <c r="C351" i="10"/>
  <c r="C352" i="10"/>
  <c r="C353" i="10"/>
  <c r="C345" i="10"/>
  <c r="C368" i="10"/>
  <c r="C369" i="10"/>
  <c r="C366" i="10"/>
  <c r="C361" i="10"/>
  <c r="C347" i="10"/>
  <c r="AI358" i="10"/>
  <c r="AI349" i="10"/>
  <c r="AI350" i="10"/>
  <c r="AI365" i="10"/>
  <c r="AI359" i="10"/>
  <c r="AI364" i="10"/>
  <c r="AI354" i="10"/>
  <c r="AI355" i="10"/>
  <c r="AI346" i="10"/>
  <c r="AI360" i="10"/>
  <c r="AI351" i="10"/>
  <c r="AI352" i="10"/>
  <c r="AI353" i="10"/>
  <c r="AI345" i="10"/>
  <c r="AI368" i="10"/>
  <c r="AI369" i="10"/>
  <c r="AI366" i="10"/>
  <c r="AI361" i="10"/>
  <c r="AI347" i="10"/>
  <c r="AJ358" i="10"/>
  <c r="AJ349" i="10"/>
  <c r="AJ350" i="10"/>
  <c r="AJ365" i="10"/>
  <c r="AJ359" i="10"/>
  <c r="AJ364" i="10"/>
  <c r="AJ354" i="10"/>
  <c r="AJ355" i="10"/>
  <c r="AJ346" i="10"/>
  <c r="AJ360" i="10"/>
  <c r="AJ351" i="10"/>
  <c r="AJ352" i="10"/>
  <c r="AJ353" i="10"/>
  <c r="AJ345" i="10"/>
  <c r="AJ368" i="10"/>
  <c r="AJ369" i="10"/>
  <c r="AJ366" i="10"/>
  <c r="AJ361" i="10"/>
  <c r="AJ347" i="10"/>
  <c r="C363" i="10"/>
  <c r="AI363" i="10"/>
  <c r="AJ363" i="10"/>
  <c r="C317" i="10" l="1"/>
  <c r="AI317" i="10"/>
  <c r="AJ317" i="10"/>
  <c r="C319" i="10"/>
  <c r="AI319" i="10"/>
  <c r="AJ319" i="10"/>
  <c r="C318" i="10"/>
  <c r="AI318" i="10"/>
  <c r="AJ318" i="10"/>
  <c r="BB133" i="2"/>
  <c r="BB134" i="2"/>
  <c r="BB135" i="2"/>
  <c r="BB136" i="2"/>
  <c r="C340" i="10"/>
  <c r="AI340" i="10"/>
  <c r="AJ340" i="10"/>
  <c r="C336" i="10"/>
  <c r="C343" i="10"/>
  <c r="C344" i="10"/>
  <c r="C337" i="10"/>
  <c r="C338" i="10"/>
  <c r="C339" i="10"/>
  <c r="C341" i="10"/>
  <c r="C342" i="10"/>
  <c r="AI336" i="10"/>
  <c r="AI343" i="10"/>
  <c r="AI344" i="10"/>
  <c r="AI337" i="10"/>
  <c r="AI338" i="10"/>
  <c r="AI339" i="10"/>
  <c r="AI341" i="10"/>
  <c r="AI342" i="10"/>
  <c r="AJ336" i="10"/>
  <c r="AJ343" i="10"/>
  <c r="AJ344" i="10"/>
  <c r="AJ337" i="10"/>
  <c r="AJ338" i="10"/>
  <c r="AJ339" i="10"/>
  <c r="AJ341" i="10"/>
  <c r="AJ342" i="10"/>
  <c r="C335" i="10"/>
  <c r="AI335" i="10"/>
  <c r="AJ335" i="10"/>
  <c r="C334" i="10"/>
  <c r="AI334" i="10"/>
  <c r="AJ334" i="10"/>
  <c r="C333" i="10"/>
  <c r="AI333" i="10"/>
  <c r="AJ333" i="10"/>
  <c r="C332" i="10"/>
  <c r="AI332" i="10"/>
  <c r="AJ332" i="10"/>
  <c r="C331" i="10"/>
  <c r="AI331" i="10"/>
  <c r="AJ331" i="10"/>
  <c r="C330" i="10"/>
  <c r="AI330" i="10"/>
  <c r="AJ330" i="10"/>
  <c r="C329" i="10"/>
  <c r="AI329" i="10"/>
  <c r="AJ329" i="10"/>
  <c r="C328" i="10"/>
  <c r="AI328" i="10"/>
  <c r="AJ328" i="10"/>
  <c r="C327" i="10"/>
  <c r="AI327" i="10"/>
  <c r="AJ327" i="10"/>
  <c r="C326" i="10"/>
  <c r="AI326" i="10"/>
  <c r="AJ326" i="10"/>
  <c r="C325" i="10"/>
  <c r="AI325" i="10"/>
  <c r="AJ325" i="10"/>
  <c r="C323" i="10"/>
  <c r="AI323" i="10"/>
  <c r="AJ323" i="10"/>
  <c r="C322" i="10"/>
  <c r="AI322" i="10"/>
  <c r="AJ322" i="10"/>
  <c r="C324" i="10"/>
  <c r="AI324" i="10"/>
  <c r="AJ324" i="10"/>
  <c r="C321" i="10"/>
  <c r="AI321" i="10"/>
  <c r="AJ321" i="10"/>
  <c r="C320" i="10"/>
  <c r="AI320" i="10"/>
  <c r="AJ320" i="10"/>
  <c r="C316" i="10" l="1"/>
  <c r="AI316" i="10"/>
  <c r="AJ316" i="10"/>
  <c r="C315" i="10"/>
  <c r="AI315" i="10"/>
  <c r="AJ315" i="10"/>
  <c r="AB311" i="10"/>
  <c r="AB309" i="10"/>
  <c r="AB296" i="10"/>
  <c r="AB282" i="10"/>
  <c r="AB274" i="10"/>
  <c r="AB242" i="10"/>
  <c r="AB235" i="10"/>
  <c r="AB208" i="10"/>
  <c r="C296" i="10" l="1"/>
  <c r="C309" i="10"/>
  <c r="C311" i="10"/>
  <c r="C297" i="10"/>
  <c r="C312" i="10"/>
  <c r="C314" i="10"/>
  <c r="C298" i="10"/>
  <c r="C299" i="10"/>
  <c r="C308" i="10"/>
  <c r="AI296" i="10"/>
  <c r="AI309" i="10"/>
  <c r="AI311" i="10"/>
  <c r="AI297" i="10"/>
  <c r="AI312" i="10"/>
  <c r="AI314" i="10"/>
  <c r="AI298" i="10"/>
  <c r="AI299" i="10"/>
  <c r="AI308" i="10"/>
  <c r="AJ296" i="10"/>
  <c r="AJ309" i="10"/>
  <c r="AJ311" i="10"/>
  <c r="AJ297" i="10"/>
  <c r="AJ312" i="10"/>
  <c r="AJ314" i="10"/>
  <c r="AJ298" i="10"/>
  <c r="AJ299" i="10"/>
  <c r="AJ308" i="10"/>
  <c r="C310" i="10"/>
  <c r="AI310" i="10"/>
  <c r="AJ310" i="10"/>
  <c r="C313" i="10"/>
  <c r="AI313" i="10"/>
  <c r="AJ313" i="10"/>
  <c r="C295" i="10"/>
  <c r="AI295" i="10"/>
  <c r="AJ295" i="10"/>
  <c r="C294" i="10"/>
  <c r="AI294" i="10"/>
  <c r="AJ294" i="10"/>
  <c r="C293" i="10"/>
  <c r="AI293" i="10"/>
  <c r="AJ293" i="10"/>
  <c r="C292" i="10"/>
  <c r="AI292" i="10"/>
  <c r="AJ292" i="10"/>
  <c r="C307" i="10"/>
  <c r="AI307" i="10"/>
  <c r="AJ307" i="10"/>
  <c r="C291" i="10" l="1"/>
  <c r="AI291" i="10"/>
  <c r="AJ291" i="10"/>
  <c r="C303" i="10" l="1"/>
  <c r="AI303" i="10"/>
  <c r="AJ303" i="10"/>
  <c r="C306" i="10"/>
  <c r="AI306" i="10"/>
  <c r="AJ306" i="10"/>
  <c r="C305" i="10"/>
  <c r="AI305" i="10"/>
  <c r="AJ305" i="10"/>
  <c r="C302" i="10"/>
  <c r="AI302" i="10"/>
  <c r="AJ302" i="10"/>
  <c r="C301" i="10"/>
  <c r="AI301" i="10"/>
  <c r="AJ301" i="10"/>
  <c r="C304" i="10"/>
  <c r="AI304" i="10"/>
  <c r="AJ304" i="10"/>
  <c r="C300" i="10"/>
  <c r="AI300" i="10"/>
  <c r="AJ300" i="10"/>
  <c r="BM118" i="2" l="1"/>
  <c r="C290" i="10" l="1"/>
  <c r="AI290" i="10"/>
  <c r="AJ290" i="10"/>
  <c r="N129" i="2"/>
  <c r="AB262" i="10"/>
  <c r="AB261" i="10"/>
  <c r="N128" i="2"/>
  <c r="N127" i="2"/>
  <c r="N126" i="2"/>
  <c r="N125" i="2"/>
  <c r="BM117" i="2" l="1"/>
  <c r="C289" i="10"/>
  <c r="AI289" i="10"/>
  <c r="AJ289" i="10"/>
  <c r="C276" i="10" l="1"/>
  <c r="AI276" i="10"/>
  <c r="AJ276" i="10"/>
  <c r="C284" i="10"/>
  <c r="AI284" i="10"/>
  <c r="AJ284" i="10"/>
  <c r="C288" i="10"/>
  <c r="AI288" i="10"/>
  <c r="AJ288" i="10"/>
  <c r="C287" i="10"/>
  <c r="AI287" i="10"/>
  <c r="AJ287" i="10"/>
  <c r="C286" i="10"/>
  <c r="AI286" i="10"/>
  <c r="AJ286" i="10"/>
  <c r="C285" i="10"/>
  <c r="AI285" i="10"/>
  <c r="AJ285" i="10"/>
  <c r="C283" i="10"/>
  <c r="AI283" i="10"/>
  <c r="AJ283" i="10"/>
  <c r="C280" i="10"/>
  <c r="C269" i="10"/>
  <c r="C274" i="10"/>
  <c r="C282" i="10"/>
  <c r="C275" i="10"/>
  <c r="AI280" i="10"/>
  <c r="AI269" i="10"/>
  <c r="AI274" i="10"/>
  <c r="AI282" i="10"/>
  <c r="AI275" i="10"/>
  <c r="AJ280" i="10"/>
  <c r="AJ269" i="10"/>
  <c r="AJ274" i="10"/>
  <c r="AJ282" i="10"/>
  <c r="AJ275" i="10"/>
  <c r="C279" i="10"/>
  <c r="AI279" i="10"/>
  <c r="AJ279" i="10"/>
  <c r="C273" i="10"/>
  <c r="AI273" i="10"/>
  <c r="AJ273" i="10"/>
  <c r="C272" i="10"/>
  <c r="AI272" i="10"/>
  <c r="AJ272" i="10"/>
  <c r="C278" i="10"/>
  <c r="AI278" i="10"/>
  <c r="AJ278" i="10"/>
  <c r="C267" i="10"/>
  <c r="AI267" i="10"/>
  <c r="AJ267" i="10"/>
  <c r="C268" i="10"/>
  <c r="AI268" i="10"/>
  <c r="AJ268" i="10"/>
  <c r="C266" i="10"/>
  <c r="AI266" i="10"/>
  <c r="AJ266" i="10"/>
  <c r="C281" i="10"/>
  <c r="AI281" i="10"/>
  <c r="AJ281" i="10"/>
  <c r="C277" i="10"/>
  <c r="AI277" i="10"/>
  <c r="AJ277" i="10"/>
  <c r="C265" i="10" l="1"/>
  <c r="AI265" i="10"/>
  <c r="AJ265" i="10"/>
  <c r="C264" i="10"/>
  <c r="AI264" i="10"/>
  <c r="AJ264" i="10"/>
  <c r="C271" i="10"/>
  <c r="AI271" i="10"/>
  <c r="AJ271" i="10"/>
  <c r="C263" i="10"/>
  <c r="AI263" i="10"/>
  <c r="AJ263" i="10"/>
  <c r="C270" i="10"/>
  <c r="AI270" i="10"/>
  <c r="AJ270" i="10"/>
  <c r="AB248" i="10" l="1"/>
  <c r="AB247" i="10"/>
  <c r="AB246" i="10"/>
  <c r="AB245" i="10"/>
  <c r="AB222" i="10"/>
  <c r="AB221" i="10"/>
  <c r="AB220" i="10"/>
  <c r="AB219" i="10"/>
  <c r="AB218" i="10"/>
  <c r="AB217" i="10"/>
  <c r="AB216" i="10"/>
  <c r="AB215" i="10"/>
  <c r="AB214" i="10"/>
  <c r="AB213" i="10"/>
  <c r="AB212" i="10"/>
  <c r="AB211" i="10"/>
  <c r="AB210" i="10"/>
  <c r="AB209" i="10"/>
  <c r="AB239" i="10"/>
  <c r="AB260" i="10"/>
  <c r="AB259" i="10"/>
  <c r="AB230" i="10"/>
  <c r="AB225" i="10"/>
  <c r="AB224" i="10"/>
  <c r="AB254" i="10"/>
  <c r="AB237" i="10"/>
  <c r="AB231" i="10"/>
  <c r="AB258" i="10"/>
  <c r="AB253" i="10"/>
  <c r="AB241" i="10"/>
  <c r="AB233" i="10"/>
  <c r="AB202" i="10"/>
  <c r="AB232" i="10"/>
  <c r="AB228" i="10"/>
  <c r="AB227" i="10"/>
  <c r="AB206" i="10"/>
  <c r="AB205" i="10"/>
  <c r="AB257" i="10"/>
  <c r="AB256" i="10"/>
  <c r="AB251" i="10"/>
  <c r="AB250" i="10"/>
  <c r="AB244" i="10"/>
  <c r="AB243" i="10"/>
  <c r="AI252" i="10"/>
  <c r="C249" i="10"/>
  <c r="C253" i="10"/>
  <c r="C258" i="10"/>
  <c r="C259" i="10"/>
  <c r="C260" i="10"/>
  <c r="C254" i="10"/>
  <c r="C255" i="10"/>
  <c r="C261" i="10"/>
  <c r="C243" i="10"/>
  <c r="C244" i="10"/>
  <c r="C250" i="10"/>
  <c r="C251" i="10"/>
  <c r="C256" i="10"/>
  <c r="C257" i="10"/>
  <c r="C252" i="10"/>
  <c r="C262" i="10"/>
  <c r="AI249" i="10"/>
  <c r="AI253" i="10"/>
  <c r="AI258" i="10"/>
  <c r="AI259" i="10"/>
  <c r="AI260" i="10"/>
  <c r="AI254" i="10"/>
  <c r="AI255" i="10"/>
  <c r="AI261" i="10"/>
  <c r="AI243" i="10"/>
  <c r="AI244" i="10"/>
  <c r="AI250" i="10"/>
  <c r="AI251" i="10"/>
  <c r="AI256" i="10"/>
  <c r="AI257" i="10"/>
  <c r="AI262" i="10"/>
  <c r="AJ249" i="10"/>
  <c r="AJ253" i="10"/>
  <c r="AJ258" i="10"/>
  <c r="AJ259" i="10"/>
  <c r="AJ260" i="10"/>
  <c r="AJ254" i="10"/>
  <c r="AJ255" i="10"/>
  <c r="AJ261" i="10"/>
  <c r="AJ243" i="10"/>
  <c r="AJ244" i="10"/>
  <c r="AJ250" i="10"/>
  <c r="AJ251" i="10"/>
  <c r="AJ256" i="10"/>
  <c r="AJ257" i="10"/>
  <c r="AJ252" i="10"/>
  <c r="AJ262" i="10"/>
  <c r="C248" i="10" l="1"/>
  <c r="AI248" i="10"/>
  <c r="AJ248" i="10"/>
  <c r="C247" i="10"/>
  <c r="AI247" i="10"/>
  <c r="AJ247" i="10"/>
  <c r="C246" i="10"/>
  <c r="AI246" i="10"/>
  <c r="AJ246" i="10"/>
  <c r="C245" i="10"/>
  <c r="AI245" i="10"/>
  <c r="AJ245" i="10"/>
  <c r="BM97" i="2" l="1"/>
  <c r="BM98" i="2"/>
  <c r="BB100" i="2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3" i="17"/>
  <c r="M3" i="17"/>
  <c r="L3" i="17"/>
  <c r="K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3" i="17"/>
  <c r="H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3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4" i="17"/>
  <c r="D3" i="17"/>
  <c r="J41" i="17"/>
  <c r="J40" i="17"/>
  <c r="J39" i="17"/>
  <c r="J38" i="17"/>
  <c r="J37" i="17"/>
  <c r="BQ67" i="2" l="1"/>
  <c r="BQ68" i="2"/>
  <c r="BQ69" i="2"/>
  <c r="BQ70" i="2"/>
  <c r="BQ71" i="2"/>
  <c r="BQ72" i="2"/>
  <c r="BQ73" i="2"/>
  <c r="BQ74" i="2"/>
  <c r="BQ75" i="2"/>
  <c r="BQ76" i="2"/>
  <c r="BQ77" i="2"/>
  <c r="BQ78" i="2"/>
  <c r="BQ79" i="2"/>
  <c r="BQ80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4" i="2"/>
  <c r="C105" i="2"/>
  <c r="C103" i="2"/>
  <c r="C106" i="2"/>
  <c r="C107" i="2"/>
  <c r="C108" i="2"/>
  <c r="C109" i="2"/>
  <c r="C110" i="2"/>
  <c r="C111" i="2"/>
  <c r="C113" i="2"/>
  <c r="C114" i="2"/>
  <c r="C115" i="2"/>
  <c r="C116" i="2"/>
  <c r="C117" i="2"/>
  <c r="C118" i="2"/>
  <c r="C112" i="2"/>
  <c r="C121" i="2"/>
  <c r="C119" i="2"/>
  <c r="C122" i="2"/>
  <c r="C123" i="2"/>
  <c r="C124" i="2"/>
  <c r="C125" i="2"/>
  <c r="C126" i="2"/>
  <c r="C127" i="2"/>
  <c r="C128" i="2"/>
  <c r="C129" i="2"/>
  <c r="C120" i="2"/>
  <c r="C198" i="2"/>
  <c r="C130" i="2"/>
  <c r="C131" i="2"/>
  <c r="C137" i="2"/>
  <c r="C138" i="2"/>
  <c r="C132" i="2"/>
  <c r="C133" i="2"/>
  <c r="C134" i="2"/>
  <c r="C135" i="2"/>
  <c r="C136" i="2"/>
  <c r="C139" i="2"/>
  <c r="C141" i="2"/>
  <c r="C142" i="2"/>
  <c r="C143" i="2"/>
  <c r="C144" i="2"/>
  <c r="C145" i="2"/>
  <c r="C151" i="2"/>
  <c r="C163" i="2"/>
  <c r="C140" i="2"/>
  <c r="C146" i="2"/>
  <c r="C181" i="2"/>
  <c r="C161" i="2"/>
  <c r="C147" i="2"/>
  <c r="C148" i="2"/>
  <c r="C155" i="2"/>
  <c r="C154" i="2"/>
  <c r="C153" i="2"/>
  <c r="C159" i="2"/>
  <c r="C158" i="2"/>
  <c r="C156" i="2"/>
  <c r="C157" i="2"/>
  <c r="C149" i="2"/>
  <c r="C150" i="2"/>
  <c r="C152" i="2"/>
  <c r="C162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80" i="2"/>
  <c r="C160" i="2"/>
  <c r="C185" i="2"/>
  <c r="C196" i="2"/>
  <c r="C179" i="2"/>
  <c r="C182" i="2"/>
  <c r="C183" i="2"/>
  <c r="C184" i="2"/>
  <c r="C186" i="2"/>
  <c r="C189" i="2"/>
  <c r="C190" i="2"/>
  <c r="C188" i="2"/>
  <c r="C191" i="2"/>
  <c r="C192" i="2"/>
  <c r="C193" i="2"/>
  <c r="C194" i="2"/>
  <c r="C195" i="2"/>
  <c r="C187" i="2"/>
  <c r="C197" i="2"/>
  <c r="C200" i="2"/>
  <c r="C209" i="2"/>
  <c r="C201" i="2"/>
  <c r="C202" i="2"/>
  <c r="C203" i="2"/>
  <c r="C204" i="2"/>
  <c r="C199" i="2"/>
  <c r="C205" i="2"/>
  <c r="C206" i="2"/>
  <c r="C207" i="2"/>
  <c r="C210" i="2"/>
  <c r="C208" i="2"/>
  <c r="C211" i="2"/>
  <c r="C215" i="2"/>
  <c r="C213" i="2"/>
  <c r="C214" i="2"/>
  <c r="C218" i="2"/>
  <c r="C212" i="2"/>
  <c r="C219" i="2"/>
  <c r="C220" i="2"/>
  <c r="C221" i="2"/>
  <c r="C222" i="2"/>
  <c r="C223" i="2"/>
  <c r="C224" i="2"/>
  <c r="C229" i="2"/>
  <c r="C230" i="2"/>
  <c r="C231" i="2"/>
  <c r="C232" i="2"/>
  <c r="C233" i="2"/>
  <c r="C216" i="2"/>
  <c r="C217" i="2"/>
  <c r="C225" i="2"/>
  <c r="C227" i="2"/>
  <c r="C255" i="2"/>
  <c r="C234" i="2"/>
  <c r="C235" i="2"/>
  <c r="C226" i="2"/>
  <c r="C228" i="2"/>
  <c r="C236" i="2"/>
  <c r="C239" i="2"/>
  <c r="C240" i="2"/>
  <c r="C241" i="2"/>
  <c r="C247" i="2"/>
  <c r="C248" i="2"/>
  <c r="C242" i="2"/>
  <c r="C243" i="2"/>
  <c r="C244" i="2"/>
  <c r="C245" i="2"/>
  <c r="C246" i="2"/>
  <c r="C249" i="2"/>
  <c r="C250" i="2"/>
  <c r="C251" i="2"/>
  <c r="C252" i="2"/>
  <c r="C253" i="2"/>
  <c r="C238" i="2"/>
  <c r="C237" i="2"/>
  <c r="C254" i="2"/>
  <c r="C256" i="2"/>
  <c r="C270" i="2"/>
  <c r="C271" i="2"/>
  <c r="C257" i="2"/>
  <c r="C258" i="2"/>
  <c r="C259" i="2"/>
  <c r="C288" i="2"/>
  <c r="C283" i="2"/>
  <c r="C282" i="2"/>
  <c r="C261" i="2"/>
  <c r="C262" i="2"/>
  <c r="C260" i="2"/>
  <c r="C287" i="2"/>
  <c r="C272" i="2"/>
  <c r="C273" i="2"/>
  <c r="C274" i="2"/>
  <c r="C275" i="2"/>
  <c r="C276" i="2"/>
  <c r="C277" i="2"/>
  <c r="C278" i="2"/>
  <c r="C265" i="2"/>
  <c r="C266" i="2"/>
  <c r="C267" i="2"/>
  <c r="C263" i="2"/>
  <c r="C268" i="2"/>
  <c r="C269" i="2"/>
  <c r="C264" i="2"/>
  <c r="C284" i="2"/>
  <c r="C285" i="2"/>
  <c r="C286" i="2"/>
  <c r="C280" i="2"/>
  <c r="C281" i="2"/>
  <c r="C290" i="2"/>
  <c r="C289" i="2"/>
  <c r="C327" i="2"/>
  <c r="C302" i="2"/>
  <c r="C303" i="2"/>
  <c r="C292" i="2"/>
  <c r="C293" i="2"/>
  <c r="C294" i="2"/>
  <c r="C295" i="2"/>
  <c r="C296" i="2"/>
  <c r="C297" i="2"/>
  <c r="C298" i="2"/>
  <c r="C299" i="2"/>
  <c r="C300" i="2"/>
  <c r="C301" i="2"/>
  <c r="C304" i="2"/>
  <c r="C309" i="2"/>
  <c r="C307" i="2"/>
  <c r="C305" i="2"/>
  <c r="C308" i="2"/>
  <c r="C306" i="2"/>
  <c r="C291" i="2"/>
  <c r="C311" i="2"/>
  <c r="C310" i="2"/>
  <c r="C312" i="2"/>
  <c r="C313" i="2"/>
  <c r="C326" i="2"/>
  <c r="C316" i="2"/>
  <c r="C317" i="2"/>
  <c r="C315" i="2"/>
  <c r="C318" i="2"/>
  <c r="C314" i="2"/>
  <c r="C320" i="2"/>
  <c r="C319" i="2"/>
  <c r="C322" i="2"/>
  <c r="C321" i="2"/>
  <c r="C323" i="2"/>
  <c r="C324" i="2"/>
  <c r="C325" i="2"/>
  <c r="C328" i="2"/>
  <c r="C329" i="2"/>
  <c r="C330" i="2"/>
  <c r="C331" i="2"/>
  <c r="C335" i="2"/>
  <c r="C333" i="2"/>
  <c r="C336" i="2"/>
  <c r="C332" i="2"/>
  <c r="C334" i="2"/>
  <c r="C350" i="2"/>
  <c r="C337" i="2"/>
  <c r="C338" i="2"/>
  <c r="C339" i="2"/>
  <c r="C340" i="2"/>
  <c r="C369" i="2"/>
  <c r="C370" i="2"/>
  <c r="C371" i="2"/>
  <c r="C372" i="2"/>
  <c r="C373" i="2"/>
  <c r="C341" i="2"/>
  <c r="C358" i="2"/>
  <c r="C345" i="2"/>
  <c r="C344" i="2"/>
  <c r="C349" i="2"/>
  <c r="C400" i="2"/>
  <c r="C348" i="2"/>
  <c r="C343" i="2"/>
  <c r="C347" i="2"/>
  <c r="C342" i="2"/>
  <c r="C379" i="2"/>
  <c r="C367" i="2"/>
  <c r="C408" i="2"/>
  <c r="C346" i="2"/>
  <c r="C351" i="2"/>
  <c r="C352" i="2"/>
  <c r="C353" i="2"/>
  <c r="C354" i="2"/>
  <c r="C355" i="2"/>
  <c r="C357" i="2"/>
  <c r="C368" i="2"/>
  <c r="C399" i="2"/>
  <c r="C366" i="2"/>
  <c r="C356" i="2"/>
  <c r="C387" i="2"/>
  <c r="C359" i="2"/>
  <c r="C360" i="2"/>
  <c r="C361" i="2"/>
  <c r="C363" i="2"/>
  <c r="C362" i="2"/>
  <c r="C364" i="2"/>
  <c r="C365" i="2"/>
  <c r="C403" i="2"/>
  <c r="C404" i="2"/>
  <c r="C397" i="2"/>
  <c r="C398" i="2"/>
  <c r="C374" i="2"/>
  <c r="C376" i="2"/>
  <c r="C377" i="2"/>
  <c r="C378" i="2"/>
  <c r="C375" i="2"/>
  <c r="C380" i="2"/>
  <c r="C381" i="2"/>
  <c r="C435" i="2"/>
  <c r="C388" i="2"/>
  <c r="C382" i="2"/>
  <c r="C383" i="2"/>
  <c r="C384" i="2"/>
  <c r="C385" i="2"/>
  <c r="C386" i="2"/>
  <c r="C389" i="2"/>
  <c r="C390" i="2"/>
  <c r="C392" i="2"/>
  <c r="C391" i="2"/>
  <c r="C394" i="2"/>
  <c r="C393" i="2"/>
  <c r="C395" i="2"/>
  <c r="C396" i="2"/>
  <c r="C401" i="2"/>
  <c r="C402" i="2"/>
  <c r="C405" i="2"/>
  <c r="C407" i="2"/>
  <c r="C411" i="2"/>
  <c r="C406" i="2"/>
  <c r="C409" i="2"/>
  <c r="C410" i="2"/>
  <c r="C412" i="2"/>
  <c r="C413" i="2"/>
  <c r="C414" i="2"/>
  <c r="C415" i="2"/>
  <c r="C436" i="2"/>
  <c r="C443" i="2"/>
  <c r="C444" i="2"/>
  <c r="C430" i="2"/>
  <c r="C416" i="2"/>
  <c r="C437" i="2"/>
  <c r="C438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3" i="2"/>
  <c r="C431" i="2"/>
  <c r="C432" i="2"/>
  <c r="C434" i="2"/>
  <c r="C439" i="2"/>
  <c r="C440" i="2"/>
  <c r="C441" i="2"/>
  <c r="C442" i="2"/>
  <c r="C488" i="2"/>
  <c r="C473" i="2"/>
  <c r="C474" i="2"/>
  <c r="C446" i="2"/>
  <c r="C447" i="2"/>
  <c r="C448" i="2"/>
  <c r="C449" i="2"/>
  <c r="C471" i="2"/>
  <c r="C472" i="2"/>
  <c r="C445" i="2"/>
  <c r="C450" i="2"/>
  <c r="C454" i="2"/>
  <c r="C452" i="2"/>
  <c r="C453" i="2"/>
  <c r="C455" i="2"/>
  <c r="C456" i="2"/>
  <c r="C457" i="2"/>
  <c r="C458" i="2"/>
  <c r="C465" i="2"/>
  <c r="C466" i="2"/>
  <c r="C467" i="2"/>
  <c r="C468" i="2"/>
  <c r="C470" i="2"/>
  <c r="C460" i="2"/>
  <c r="C461" i="2"/>
  <c r="C462" i="2"/>
  <c r="C463" i="2"/>
  <c r="C459" i="2"/>
  <c r="C464" i="2"/>
  <c r="C476" i="2"/>
  <c r="C478" i="2"/>
  <c r="C480" i="2"/>
  <c r="C479" i="2"/>
  <c r="C477" i="2"/>
  <c r="C469" i="2"/>
  <c r="C475" i="2"/>
  <c r="C511" i="2"/>
  <c r="C483" i="2"/>
  <c r="C481" i="2"/>
  <c r="C512" i="2"/>
  <c r="C489" i="2"/>
  <c r="C514" i="2"/>
  <c r="C484" i="2"/>
  <c r="C485" i="2"/>
  <c r="C486" i="2"/>
  <c r="C487" i="2"/>
  <c r="C482" i="2"/>
  <c r="C498" i="2"/>
  <c r="C490" i="2"/>
  <c r="C491" i="2"/>
  <c r="C499" i="2"/>
  <c r="C492" i="2"/>
  <c r="C493" i="2"/>
  <c r="C494" i="2"/>
  <c r="C495" i="2"/>
  <c r="C496" i="2"/>
  <c r="C497" i="2"/>
  <c r="C500" i="2"/>
  <c r="C506" i="2"/>
  <c r="C507" i="2"/>
  <c r="C508" i="2"/>
  <c r="C509" i="2"/>
  <c r="C510" i="2"/>
  <c r="C501" i="2"/>
  <c r="C502" i="2"/>
  <c r="C503" i="2"/>
  <c r="C504" i="2"/>
  <c r="C505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229" i="10" l="1"/>
  <c r="C242" i="10" l="1"/>
  <c r="AI242" i="10"/>
  <c r="AJ242" i="10"/>
  <c r="AI236" i="10" l="1"/>
  <c r="C231" i="10"/>
  <c r="C237" i="10"/>
  <c r="C238" i="10"/>
  <c r="C241" i="10"/>
  <c r="C233" i="10"/>
  <c r="C234" i="10"/>
  <c r="C239" i="10"/>
  <c r="C235" i="10"/>
  <c r="C232" i="10"/>
  <c r="C236" i="10"/>
  <c r="C240" i="10"/>
  <c r="AI231" i="10"/>
  <c r="AI237" i="10"/>
  <c r="AI238" i="10"/>
  <c r="AI241" i="10"/>
  <c r="AI233" i="10"/>
  <c r="AI234" i="10"/>
  <c r="AI239" i="10"/>
  <c r="AI235" i="10"/>
  <c r="AI232" i="10"/>
  <c r="AI240" i="10"/>
  <c r="AJ231" i="10"/>
  <c r="AJ237" i="10"/>
  <c r="AJ238" i="10"/>
  <c r="AJ241" i="10"/>
  <c r="AJ233" i="10"/>
  <c r="AJ234" i="10"/>
  <c r="AJ239" i="10"/>
  <c r="AJ235" i="10"/>
  <c r="AJ232" i="10"/>
  <c r="AJ236" i="10"/>
  <c r="AJ240" i="10"/>
  <c r="N95" i="2" l="1"/>
  <c r="AX95" i="2"/>
  <c r="BB95" i="2"/>
  <c r="BC95" i="2"/>
  <c r="BQ95" i="2"/>
  <c r="BR95" i="2"/>
  <c r="AH35" i="15"/>
  <c r="AH34" i="15"/>
  <c r="AH33" i="15"/>
  <c r="AH32" i="15"/>
  <c r="AB35" i="15" a="1"/>
  <c r="AB35" i="15" s="1"/>
  <c r="AB34" i="15" a="1"/>
  <c r="AB34" i="15" s="1"/>
  <c r="AA35" i="15" a="1"/>
  <c r="AA35" i="15" s="1"/>
  <c r="AA34" i="15" a="1"/>
  <c r="AA34" i="15" s="1"/>
  <c r="Z35" i="15" a="1"/>
  <c r="Z35" i="15" s="1"/>
  <c r="Z34" i="15" a="1"/>
  <c r="Z34" i="15" s="1"/>
  <c r="Y35" i="15" a="1"/>
  <c r="Y35" i="15" s="1"/>
  <c r="Y34" i="15" a="1"/>
  <c r="Y34" i="15" s="1"/>
  <c r="AB32" i="15" a="1"/>
  <c r="AB32" i="15" s="1"/>
  <c r="AA32" i="15" a="1"/>
  <c r="AA32" i="15" s="1"/>
  <c r="Z32" i="15" a="1"/>
  <c r="Z32" i="15" s="1"/>
  <c r="AB33" i="15" a="1"/>
  <c r="AB33" i="15" s="1"/>
  <c r="AA33" i="15" a="1"/>
  <c r="AA33" i="15" s="1"/>
  <c r="Z33" i="15" a="1"/>
  <c r="Z33" i="15" s="1"/>
  <c r="Y33" i="15" a="1"/>
  <c r="Y33" i="15" s="1"/>
  <c r="Y32" i="15" a="1"/>
  <c r="Y32" i="15" s="1"/>
  <c r="P5" i="15"/>
  <c r="AH48" i="15"/>
  <c r="AH51" i="15"/>
  <c r="AH50" i="15"/>
  <c r="AH49" i="15"/>
  <c r="AY95" i="2" l="1"/>
  <c r="Z36" i="15"/>
  <c r="Y36" i="15"/>
  <c r="AB36" i="15"/>
  <c r="AA36" i="15"/>
  <c r="AH36" i="15"/>
  <c r="AI34" i="15" s="1"/>
  <c r="AJ34" i="15" s="1"/>
  <c r="AH52" i="15"/>
  <c r="AI35" i="15" l="1"/>
  <c r="AJ35" i="15" s="1"/>
  <c r="AI33" i="15"/>
  <c r="AJ33" i="15" s="1"/>
  <c r="AI32" i="15"/>
  <c r="AJ32" i="15" s="1"/>
  <c r="BM92" i="2"/>
  <c r="C230" i="10" l="1"/>
  <c r="C227" i="10"/>
  <c r="C228" i="10"/>
  <c r="AI229" i="10"/>
  <c r="AI230" i="10"/>
  <c r="AI227" i="10"/>
  <c r="AI228" i="10"/>
  <c r="AJ229" i="10"/>
  <c r="AJ230" i="10"/>
  <c r="AJ227" i="10"/>
  <c r="AJ228" i="10"/>
  <c r="C226" i="10"/>
  <c r="AI226" i="10"/>
  <c r="AJ226" i="10"/>
  <c r="BB66" i="2"/>
  <c r="AY66" i="2" s="1"/>
  <c r="BB67" i="2"/>
  <c r="AY67" i="2" s="1"/>
  <c r="BB68" i="2"/>
  <c r="AY68" i="2" s="1"/>
  <c r="BB69" i="2"/>
  <c r="AY69" i="2" s="1"/>
  <c r="BB70" i="2"/>
  <c r="AY70" i="2" s="1"/>
  <c r="BB71" i="2"/>
  <c r="AY71" i="2" s="1"/>
  <c r="AY3" i="2"/>
  <c r="AY4" i="2"/>
  <c r="AY5" i="2"/>
  <c r="AY6" i="2"/>
  <c r="AY7" i="2"/>
  <c r="AY18" i="2"/>
  <c r="AY55" i="2"/>
  <c r="AY77" i="2"/>
  <c r="AY78" i="2"/>
  <c r="AY79" i="2"/>
  <c r="AY80" i="2"/>
  <c r="AY82" i="2"/>
  <c r="AY83" i="2"/>
  <c r="AY84" i="2"/>
  <c r="AY85" i="2"/>
  <c r="AY89" i="2"/>
  <c r="AY90" i="2"/>
  <c r="BC8" i="2"/>
  <c r="AY8" i="2" s="1"/>
  <c r="BC9" i="2"/>
  <c r="AY9" i="2" s="1"/>
  <c r="BC10" i="2"/>
  <c r="AY10" i="2" s="1"/>
  <c r="BC11" i="2"/>
  <c r="AY11" i="2" s="1"/>
  <c r="BC12" i="2"/>
  <c r="AY12" i="2" s="1"/>
  <c r="BC13" i="2"/>
  <c r="AY13" i="2" s="1"/>
  <c r="BC14" i="2"/>
  <c r="AY14" i="2" s="1"/>
  <c r="BC15" i="2"/>
  <c r="AY15" i="2" s="1"/>
  <c r="BC16" i="2"/>
  <c r="AY16" i="2" s="1"/>
  <c r="BC17" i="2"/>
  <c r="AY17" i="2" s="1"/>
  <c r="BC19" i="2"/>
  <c r="AY19" i="2" s="1"/>
  <c r="BC20" i="2"/>
  <c r="AY20" i="2" s="1"/>
  <c r="BC21" i="2"/>
  <c r="AY21" i="2" s="1"/>
  <c r="BC22" i="2"/>
  <c r="BC23" i="2"/>
  <c r="BC24" i="2"/>
  <c r="BC25" i="2"/>
  <c r="BC26" i="2"/>
  <c r="BC27" i="2"/>
  <c r="BC28" i="2"/>
  <c r="BC29" i="2"/>
  <c r="BC30" i="2"/>
  <c r="BC31" i="2"/>
  <c r="BC88" i="2"/>
  <c r="BC102" i="2"/>
  <c r="BC97" i="2"/>
  <c r="BC112" i="2"/>
  <c r="BC122" i="2"/>
  <c r="BC123" i="2"/>
  <c r="BC198" i="2"/>
  <c r="BC132" i="2"/>
  <c r="BC139" i="2"/>
  <c r="BC151" i="2"/>
  <c r="BC163" i="2"/>
  <c r="BC140" i="2"/>
  <c r="BC181" i="2"/>
  <c r="BC161" i="2"/>
  <c r="BC147" i="2"/>
  <c r="BC148" i="2"/>
  <c r="BC149" i="2"/>
  <c r="BC150" i="2"/>
  <c r="BC162" i="2"/>
  <c r="BC169" i="2"/>
  <c r="BC170" i="2"/>
  <c r="BC171" i="2"/>
  <c r="BC172" i="2"/>
  <c r="BC173" i="2"/>
  <c r="BC174" i="2"/>
  <c r="BC175" i="2"/>
  <c r="BC176" i="2"/>
  <c r="BC177" i="2"/>
  <c r="BC178" i="2"/>
  <c r="BC200" i="2"/>
  <c r="BC209" i="2"/>
  <c r="BC201" i="2"/>
  <c r="BC202" i="2"/>
  <c r="BC203" i="2"/>
  <c r="BC204" i="2"/>
  <c r="BC211" i="2"/>
  <c r="BC215" i="2"/>
  <c r="BC214" i="2"/>
  <c r="BC218" i="2"/>
  <c r="BC229" i="2"/>
  <c r="BC230" i="2"/>
  <c r="BC231" i="2"/>
  <c r="BC232" i="2"/>
  <c r="BC233" i="2"/>
  <c r="BC216" i="2"/>
  <c r="BC217" i="2"/>
  <c r="BC227" i="2"/>
  <c r="BC226" i="2"/>
  <c r="BC228" i="2"/>
  <c r="BC256" i="2"/>
  <c r="BC270" i="2"/>
  <c r="BC271" i="2"/>
  <c r="BC257" i="2"/>
  <c r="BC258" i="2"/>
  <c r="BC259" i="2"/>
  <c r="BC288" i="2"/>
  <c r="BC282" i="2"/>
  <c r="BC265" i="2"/>
  <c r="BC266" i="2"/>
  <c r="BC267" i="2"/>
  <c r="BC263" i="2"/>
  <c r="BC268" i="2"/>
  <c r="BC269" i="2"/>
  <c r="BC264" i="2"/>
  <c r="BC286" i="2"/>
  <c r="BC280" i="2"/>
  <c r="BC281" i="2"/>
  <c r="BC327" i="2"/>
  <c r="BC311" i="2"/>
  <c r="BC310" i="2"/>
  <c r="BC313" i="2"/>
  <c r="BC326" i="2"/>
  <c r="BC316" i="2"/>
  <c r="BC317" i="2"/>
  <c r="BC318" i="2"/>
  <c r="BC320" i="2"/>
  <c r="BC322" i="2"/>
  <c r="BC321" i="2"/>
  <c r="BC323" i="2"/>
  <c r="BC324" i="2"/>
  <c r="BC325" i="2"/>
  <c r="BC328" i="2"/>
  <c r="BC329" i="2"/>
  <c r="BC330" i="2"/>
  <c r="BC331" i="2"/>
  <c r="BC350" i="2"/>
  <c r="BC337" i="2"/>
  <c r="BC338" i="2"/>
  <c r="BC344" i="2"/>
  <c r="BC349" i="2"/>
  <c r="BC400" i="2"/>
  <c r="BC343" i="2"/>
  <c r="BC347" i="2"/>
  <c r="BC357" i="2"/>
  <c r="BC399" i="2"/>
  <c r="BC387" i="2"/>
  <c r="BC360" i="2"/>
  <c r="BC363" i="2"/>
  <c r="BC362" i="2"/>
  <c r="BC364" i="2"/>
  <c r="BC365" i="2"/>
  <c r="BC403" i="2"/>
  <c r="BC404" i="2"/>
  <c r="BC375" i="2"/>
  <c r="BC380" i="2"/>
  <c r="BC382" i="2"/>
  <c r="BC383" i="2"/>
  <c r="BC384" i="2"/>
  <c r="BC385" i="2"/>
  <c r="BC386" i="2"/>
  <c r="BC405" i="2"/>
  <c r="BC409" i="2"/>
  <c r="BC410" i="2"/>
  <c r="BC414" i="2"/>
  <c r="BC415" i="2"/>
  <c r="BC430" i="2"/>
  <c r="BC429" i="2"/>
  <c r="BC434" i="2"/>
  <c r="BC488" i="2"/>
  <c r="BC445" i="2"/>
  <c r="BC450" i="2"/>
  <c r="BC460" i="2"/>
  <c r="BC461" i="2"/>
  <c r="BC462" i="2"/>
  <c r="BC463" i="2"/>
  <c r="BC459" i="2"/>
  <c r="BC464" i="2"/>
  <c r="BC475" i="2"/>
  <c r="BC511" i="2"/>
  <c r="BC483" i="2"/>
  <c r="BC512" i="2"/>
  <c r="BC514" i="2"/>
  <c r="BC484" i="2"/>
  <c r="BC485" i="2"/>
  <c r="BC486" i="2"/>
  <c r="BC499" i="2"/>
  <c r="BC497" i="2"/>
  <c r="BC500" i="2"/>
  <c r="BC506" i="2"/>
  <c r="BC507" i="2"/>
  <c r="BC508" i="2"/>
  <c r="BC509" i="2"/>
  <c r="BC510" i="2"/>
  <c r="BC501" i="2"/>
  <c r="BC502" i="2"/>
  <c r="BC503" i="2"/>
  <c r="BC504" i="2"/>
  <c r="BC505" i="2"/>
  <c r="BC515" i="2"/>
  <c r="BC516" i="2"/>
  <c r="BC517" i="2"/>
  <c r="BC518" i="2"/>
  <c r="BC519" i="2"/>
  <c r="BC520" i="2"/>
  <c r="BC521" i="2"/>
  <c r="BC522" i="2"/>
  <c r="BC523" i="2"/>
  <c r="BC524" i="2"/>
  <c r="BC525" i="2"/>
  <c r="BC526" i="2"/>
  <c r="BC527" i="2"/>
  <c r="BC528" i="2"/>
  <c r="BC529" i="2"/>
  <c r="BC530" i="2"/>
  <c r="BC531" i="2"/>
  <c r="BC532" i="2"/>
  <c r="BC533" i="2"/>
  <c r="BC534" i="2"/>
  <c r="BC535" i="2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BC552" i="2"/>
  <c r="BC553" i="2"/>
  <c r="BC554" i="2"/>
  <c r="BC555" i="2"/>
  <c r="BC556" i="2"/>
  <c r="BC557" i="2"/>
  <c r="BC558" i="2"/>
  <c r="BC559" i="2"/>
  <c r="BC560" i="2"/>
  <c r="BC561" i="2"/>
  <c r="BC562" i="2"/>
  <c r="BC563" i="2"/>
  <c r="BC564" i="2"/>
  <c r="BC565" i="2"/>
  <c r="BC566" i="2"/>
  <c r="BC567" i="2"/>
  <c r="BC568" i="2"/>
  <c r="BC569" i="2"/>
  <c r="BC570" i="2"/>
  <c r="BC571" i="2"/>
  <c r="BC572" i="2"/>
  <c r="BC573" i="2"/>
  <c r="BC574" i="2"/>
  <c r="BC575" i="2"/>
  <c r="BC576" i="2"/>
  <c r="BC577" i="2"/>
  <c r="BC578" i="2"/>
  <c r="BC579" i="2"/>
  <c r="BC580" i="2"/>
  <c r="BC581" i="2"/>
  <c r="BC582" i="2"/>
  <c r="BC583" i="2"/>
  <c r="BC584" i="2"/>
  <c r="BC585" i="2"/>
  <c r="BC586" i="2"/>
  <c r="BC587" i="2"/>
  <c r="BC588" i="2"/>
  <c r="BC589" i="2"/>
  <c r="BC590" i="2"/>
  <c r="BC591" i="2"/>
  <c r="BC592" i="2"/>
  <c r="BC593" i="2"/>
  <c r="BC594" i="2"/>
  <c r="BC595" i="2"/>
  <c r="BC596" i="2"/>
  <c r="BC597" i="2"/>
  <c r="BC598" i="2"/>
  <c r="BC599" i="2"/>
  <c r="BC600" i="2"/>
  <c r="BC601" i="2"/>
  <c r="BC602" i="2"/>
  <c r="BC603" i="2"/>
  <c r="BC604" i="2"/>
  <c r="BC605" i="2"/>
  <c r="BC606" i="2"/>
  <c r="BC607" i="2"/>
  <c r="BC608" i="2"/>
  <c r="BC609" i="2"/>
  <c r="BC610" i="2"/>
  <c r="BC611" i="2"/>
  <c r="BC612" i="2"/>
  <c r="BC613" i="2"/>
  <c r="BC614" i="2"/>
  <c r="BC615" i="2"/>
  <c r="BC616" i="2"/>
  <c r="BC617" i="2"/>
  <c r="BC618" i="2"/>
  <c r="BC619" i="2"/>
  <c r="BC620" i="2"/>
  <c r="BC621" i="2"/>
  <c r="BC622" i="2"/>
  <c r="BC623" i="2"/>
  <c r="BC624" i="2"/>
  <c r="BC625" i="2"/>
  <c r="BC626" i="2"/>
  <c r="BC627" i="2"/>
  <c r="BC628" i="2"/>
  <c r="BC629" i="2"/>
  <c r="BC630" i="2"/>
  <c r="BC631" i="2"/>
  <c r="BC632" i="2"/>
  <c r="BC633" i="2"/>
  <c r="BC634" i="2"/>
  <c r="BC635" i="2"/>
  <c r="BC636" i="2"/>
  <c r="BC637" i="2"/>
  <c r="BC638" i="2"/>
  <c r="BC639" i="2"/>
  <c r="BC640" i="2"/>
  <c r="BC641" i="2"/>
  <c r="BC642" i="2"/>
  <c r="BC643" i="2"/>
  <c r="BC644" i="2"/>
  <c r="BC645" i="2"/>
  <c r="BC646" i="2"/>
  <c r="BC647" i="2"/>
  <c r="BC648" i="2"/>
  <c r="BC649" i="2"/>
  <c r="BC650" i="2"/>
  <c r="BC651" i="2"/>
  <c r="BC652" i="2"/>
  <c r="BC653" i="2"/>
  <c r="BC654" i="2"/>
  <c r="BC655" i="2"/>
  <c r="BC656" i="2"/>
  <c r="BC657" i="2"/>
  <c r="BC658" i="2"/>
  <c r="BC659" i="2"/>
  <c r="BC660" i="2"/>
  <c r="BC661" i="2"/>
  <c r="BC662" i="2"/>
  <c r="BC663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7" i="2"/>
  <c r="BC678" i="2"/>
  <c r="BC679" i="2"/>
  <c r="BC680" i="2"/>
  <c r="BC681" i="2"/>
  <c r="BC682" i="2"/>
  <c r="BC683" i="2"/>
  <c r="BC684" i="2"/>
  <c r="BC685" i="2"/>
  <c r="BC686" i="2"/>
  <c r="BC687" i="2"/>
  <c r="BC688" i="2"/>
  <c r="BC689" i="2"/>
  <c r="BC690" i="2"/>
  <c r="BC691" i="2"/>
  <c r="BC692" i="2"/>
  <c r="BC693" i="2"/>
  <c r="BC694" i="2"/>
  <c r="BC695" i="2"/>
  <c r="BC696" i="2"/>
  <c r="BC697" i="2"/>
  <c r="BC698" i="2"/>
  <c r="BC699" i="2"/>
  <c r="BC700" i="2"/>
  <c r="BC70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C717" i="2"/>
  <c r="BC718" i="2"/>
  <c r="BC719" i="2"/>
  <c r="BC720" i="2"/>
  <c r="BC721" i="2"/>
  <c r="BC722" i="2"/>
  <c r="BC723" i="2"/>
  <c r="BC724" i="2"/>
  <c r="BC725" i="2"/>
  <c r="BC726" i="2"/>
  <c r="BC727" i="2"/>
  <c r="BC728" i="2"/>
  <c r="BC729" i="2"/>
  <c r="BC730" i="2"/>
  <c r="BC731" i="2"/>
  <c r="BC732" i="2"/>
  <c r="BC733" i="2"/>
  <c r="BC734" i="2"/>
  <c r="BC735" i="2"/>
  <c r="BC736" i="2"/>
  <c r="BC737" i="2"/>
  <c r="BC738" i="2"/>
  <c r="BC739" i="2"/>
  <c r="BC740" i="2"/>
  <c r="BC741" i="2"/>
  <c r="BC742" i="2"/>
  <c r="BC743" i="2"/>
  <c r="BC744" i="2"/>
  <c r="BC745" i="2"/>
  <c r="BC746" i="2"/>
  <c r="BC747" i="2"/>
  <c r="BC748" i="2"/>
  <c r="BC749" i="2"/>
  <c r="BC750" i="2"/>
  <c r="BC751" i="2"/>
  <c r="BC752" i="2"/>
  <c r="BC753" i="2"/>
  <c r="BC754" i="2"/>
  <c r="BC755" i="2"/>
  <c r="BC756" i="2"/>
  <c r="BC757" i="2"/>
  <c r="BC758" i="2"/>
  <c r="BC759" i="2"/>
  <c r="BC760" i="2"/>
  <c r="BC761" i="2"/>
  <c r="BC762" i="2"/>
  <c r="BC763" i="2"/>
  <c r="BC764" i="2"/>
  <c r="BC765" i="2"/>
  <c r="BC766" i="2"/>
  <c r="BC767" i="2"/>
  <c r="BC768" i="2"/>
  <c r="BC769" i="2"/>
  <c r="BC770" i="2"/>
  <c r="BC771" i="2"/>
  <c r="BC772" i="2"/>
  <c r="BC773" i="2"/>
  <c r="BC774" i="2"/>
  <c r="BC775" i="2"/>
  <c r="BC776" i="2"/>
  <c r="BC777" i="2"/>
  <c r="BC778" i="2"/>
  <c r="BC779" i="2"/>
  <c r="BC780" i="2"/>
  <c r="BC781" i="2"/>
  <c r="BC782" i="2"/>
  <c r="BC783" i="2"/>
  <c r="BC784" i="2"/>
  <c r="BC785" i="2"/>
  <c r="BC786" i="2"/>
  <c r="BC787" i="2"/>
  <c r="BC788" i="2"/>
  <c r="BC789" i="2"/>
  <c r="BC790" i="2"/>
  <c r="BC791" i="2"/>
  <c r="BC792" i="2"/>
  <c r="BC793" i="2"/>
  <c r="BC794" i="2"/>
  <c r="BC795" i="2"/>
  <c r="BC796" i="2"/>
  <c r="BC797" i="2"/>
  <c r="BC798" i="2"/>
  <c r="BC799" i="2"/>
  <c r="BC800" i="2"/>
  <c r="BC801" i="2"/>
  <c r="BC802" i="2"/>
  <c r="BC803" i="2"/>
  <c r="BC804" i="2"/>
  <c r="BC805" i="2"/>
  <c r="BC806" i="2"/>
  <c r="BC807" i="2"/>
  <c r="BC808" i="2"/>
  <c r="BC809" i="2"/>
  <c r="BC810" i="2"/>
  <c r="BC811" i="2"/>
  <c r="BC812" i="2"/>
  <c r="BC813" i="2"/>
  <c r="BC814" i="2"/>
  <c r="BC815" i="2"/>
  <c r="BC816" i="2"/>
  <c r="BC817" i="2"/>
  <c r="BC818" i="2"/>
  <c r="BC819" i="2"/>
  <c r="BC820" i="2"/>
  <c r="BC821" i="2"/>
  <c r="BC822" i="2"/>
  <c r="BC823" i="2"/>
  <c r="BC824" i="2"/>
  <c r="BC825" i="2"/>
  <c r="BC826" i="2"/>
  <c r="BC827" i="2"/>
  <c r="BC828" i="2"/>
  <c r="BC829" i="2"/>
  <c r="BC830" i="2"/>
  <c r="BC831" i="2"/>
  <c r="BC832" i="2"/>
  <c r="BC833" i="2"/>
  <c r="BC834" i="2"/>
  <c r="BC835" i="2"/>
  <c r="BC836" i="2"/>
  <c r="BC837" i="2"/>
  <c r="BC838" i="2"/>
  <c r="BC839" i="2"/>
  <c r="BC840" i="2"/>
  <c r="BC841" i="2"/>
  <c r="BC842" i="2"/>
  <c r="BC843" i="2"/>
  <c r="BC844" i="2"/>
  <c r="BC845" i="2"/>
  <c r="BC846" i="2"/>
  <c r="BC847" i="2"/>
  <c r="BC848" i="2"/>
  <c r="BC849" i="2"/>
  <c r="BC850" i="2"/>
  <c r="BC851" i="2"/>
  <c r="BC852" i="2"/>
  <c r="BC853" i="2"/>
  <c r="BC854" i="2"/>
  <c r="BC855" i="2"/>
  <c r="BC856" i="2"/>
  <c r="BC857" i="2"/>
  <c r="BC858" i="2"/>
  <c r="BC859" i="2"/>
  <c r="BC860" i="2"/>
  <c r="BC861" i="2"/>
  <c r="BC862" i="2"/>
  <c r="BC863" i="2"/>
  <c r="BC864" i="2"/>
  <c r="BC865" i="2"/>
  <c r="BC866" i="2"/>
  <c r="BC867" i="2"/>
  <c r="BC868" i="2"/>
  <c r="BC869" i="2"/>
  <c r="BC870" i="2"/>
  <c r="BC871" i="2"/>
  <c r="BC872" i="2"/>
  <c r="BC873" i="2"/>
  <c r="BC874" i="2"/>
  <c r="BC875" i="2"/>
  <c r="BC876" i="2"/>
  <c r="BC877" i="2"/>
  <c r="BC878" i="2"/>
  <c r="BC879" i="2"/>
  <c r="BC880" i="2"/>
  <c r="BC881" i="2"/>
  <c r="BC882" i="2"/>
  <c r="BC883" i="2"/>
  <c r="BC884" i="2"/>
  <c r="BC885" i="2"/>
  <c r="BC886" i="2"/>
  <c r="BC887" i="2"/>
  <c r="BC888" i="2"/>
  <c r="BC889" i="2"/>
  <c r="BC890" i="2"/>
  <c r="BC891" i="2"/>
  <c r="BC892" i="2"/>
  <c r="BC893" i="2"/>
  <c r="BC894" i="2"/>
  <c r="BC895" i="2"/>
  <c r="BC896" i="2"/>
  <c r="BC897" i="2"/>
  <c r="BC898" i="2"/>
  <c r="BC899" i="2"/>
  <c r="BC900" i="2"/>
  <c r="BC901" i="2"/>
  <c r="BC902" i="2"/>
  <c r="BC903" i="2"/>
  <c r="BC904" i="2"/>
  <c r="BC905" i="2"/>
  <c r="BC906" i="2"/>
  <c r="BC907" i="2"/>
  <c r="BC908" i="2"/>
  <c r="BC909" i="2"/>
  <c r="BC910" i="2"/>
  <c r="BC911" i="2"/>
  <c r="BC912" i="2"/>
  <c r="BC913" i="2"/>
  <c r="BC914" i="2"/>
  <c r="BC915" i="2"/>
  <c r="BC916" i="2"/>
  <c r="BC917" i="2"/>
  <c r="BC918" i="2"/>
  <c r="BC919" i="2"/>
  <c r="BC920" i="2"/>
  <c r="BC921" i="2"/>
  <c r="BC922" i="2"/>
  <c r="BC923" i="2"/>
  <c r="BC924" i="2"/>
  <c r="BC925" i="2"/>
  <c r="BC926" i="2"/>
  <c r="BC927" i="2"/>
  <c r="BC928" i="2"/>
  <c r="BC929" i="2"/>
  <c r="BC930" i="2"/>
  <c r="BC931" i="2"/>
  <c r="BC932" i="2"/>
  <c r="BC933" i="2"/>
  <c r="BC934" i="2"/>
  <c r="BC935" i="2"/>
  <c r="BC936" i="2"/>
  <c r="BC937" i="2"/>
  <c r="BC938" i="2"/>
  <c r="BC939" i="2"/>
  <c r="BC940" i="2"/>
  <c r="BC941" i="2"/>
  <c r="BC942" i="2"/>
  <c r="BC943" i="2"/>
  <c r="BC944" i="2"/>
  <c r="BC945" i="2"/>
  <c r="BC946" i="2"/>
  <c r="BC947" i="2"/>
  <c r="BC948" i="2"/>
  <c r="BC949" i="2"/>
  <c r="BC950" i="2"/>
  <c r="BC951" i="2"/>
  <c r="BC952" i="2"/>
  <c r="BC953" i="2"/>
  <c r="BC954" i="2"/>
  <c r="BC955" i="2"/>
  <c r="BC956" i="2"/>
  <c r="BC957" i="2"/>
  <c r="BC958" i="2"/>
  <c r="BC959" i="2"/>
  <c r="BC960" i="2"/>
  <c r="BC961" i="2"/>
  <c r="BC962" i="2"/>
  <c r="BC963" i="2"/>
  <c r="BC964" i="2"/>
  <c r="BC965" i="2"/>
  <c r="BC966" i="2"/>
  <c r="BC967" i="2"/>
  <c r="BC968" i="2"/>
  <c r="BC969" i="2"/>
  <c r="BC970" i="2"/>
  <c r="BC971" i="2"/>
  <c r="BC972" i="2"/>
  <c r="BC973" i="2"/>
  <c r="BC974" i="2"/>
  <c r="BC975" i="2"/>
  <c r="BC976" i="2"/>
  <c r="BC977" i="2"/>
  <c r="BC978" i="2"/>
  <c r="BC979" i="2"/>
  <c r="BC980" i="2"/>
  <c r="BC981" i="2"/>
  <c r="BC982" i="2"/>
  <c r="BC983" i="2"/>
  <c r="BC984" i="2"/>
  <c r="BC985" i="2"/>
  <c r="BC986" i="2"/>
  <c r="BC987" i="2"/>
  <c r="BC988" i="2"/>
  <c r="BC989" i="2"/>
  <c r="BC990" i="2"/>
  <c r="BC991" i="2"/>
  <c r="BC992" i="2"/>
  <c r="BC993" i="2"/>
  <c r="BC994" i="2"/>
  <c r="BC995" i="2"/>
  <c r="BC996" i="2"/>
  <c r="BC997" i="2"/>
  <c r="BC998" i="2"/>
  <c r="BC999" i="2"/>
  <c r="BC1000" i="2"/>
  <c r="BC1001" i="2"/>
  <c r="BC1002" i="2"/>
  <c r="BC1003" i="2"/>
  <c r="BC1004" i="2"/>
  <c r="BC1005" i="2"/>
  <c r="BC1006" i="2"/>
  <c r="BC1007" i="2"/>
  <c r="BC1008" i="2"/>
  <c r="BC1009" i="2"/>
  <c r="BC1010" i="2"/>
  <c r="BC1011" i="2"/>
  <c r="BC1012" i="2"/>
  <c r="BC1013" i="2"/>
  <c r="BC1014" i="2"/>
  <c r="BC1015" i="2"/>
  <c r="BC1016" i="2"/>
  <c r="BC1017" i="2"/>
  <c r="BC1018" i="2"/>
  <c r="BC1019" i="2"/>
  <c r="BC1020" i="2"/>
  <c r="BC1021" i="2"/>
  <c r="BC1022" i="2"/>
  <c r="BC1023" i="2"/>
  <c r="BC1024" i="2"/>
  <c r="BC1025" i="2"/>
  <c r="BC1026" i="2"/>
  <c r="BC1027" i="2"/>
  <c r="BC1028" i="2"/>
  <c r="BC1029" i="2"/>
  <c r="BC1030" i="2"/>
  <c r="BC1031" i="2"/>
  <c r="BC1032" i="2"/>
  <c r="BC1033" i="2"/>
  <c r="BC1034" i="2"/>
  <c r="BC1035" i="2"/>
  <c r="BC1036" i="2"/>
  <c r="BC1037" i="2"/>
  <c r="BC1038" i="2"/>
  <c r="BC1039" i="2"/>
  <c r="BC1040" i="2"/>
  <c r="BC1041" i="2"/>
  <c r="BC1042" i="2"/>
  <c r="BC1043" i="2"/>
  <c r="BC1044" i="2"/>
  <c r="BC1045" i="2"/>
  <c r="BC1046" i="2"/>
  <c r="BC1047" i="2"/>
  <c r="BC1048" i="2"/>
  <c r="BC1049" i="2"/>
  <c r="BC1050" i="2"/>
  <c r="BC1051" i="2"/>
  <c r="BC1052" i="2"/>
  <c r="BC1053" i="2"/>
  <c r="BC1054" i="2"/>
  <c r="BC1055" i="2"/>
  <c r="BC1056" i="2"/>
  <c r="BC1057" i="2"/>
  <c r="BC1058" i="2"/>
  <c r="BC1059" i="2"/>
  <c r="BC1060" i="2"/>
  <c r="BC1061" i="2"/>
  <c r="BC1062" i="2"/>
  <c r="BC1063" i="2"/>
  <c r="BC1064" i="2"/>
  <c r="BC1065" i="2"/>
  <c r="BC1066" i="2"/>
  <c r="BC1067" i="2"/>
  <c r="BC1068" i="2"/>
  <c r="BC1069" i="2"/>
  <c r="BC1070" i="2"/>
  <c r="BC1071" i="2"/>
  <c r="BC1072" i="2"/>
  <c r="BC1073" i="2"/>
  <c r="BC1074" i="2"/>
  <c r="BC1075" i="2"/>
  <c r="BC1076" i="2"/>
  <c r="BC1077" i="2"/>
  <c r="BC1078" i="2"/>
  <c r="BC1079" i="2"/>
  <c r="BC1080" i="2"/>
  <c r="BC1081" i="2"/>
  <c r="BC1082" i="2"/>
  <c r="BC1083" i="2"/>
  <c r="BC1084" i="2"/>
  <c r="BC1085" i="2"/>
  <c r="BC1086" i="2"/>
  <c r="BC1087" i="2"/>
  <c r="BC1088" i="2"/>
  <c r="BC1089" i="2"/>
  <c r="BC1090" i="2"/>
  <c r="BC1091" i="2"/>
  <c r="BC1092" i="2"/>
  <c r="BC1093" i="2"/>
  <c r="BC1094" i="2"/>
  <c r="BC1095" i="2"/>
  <c r="BC1096" i="2"/>
  <c r="BC1097" i="2"/>
  <c r="BC1098" i="2"/>
  <c r="BC1099" i="2"/>
  <c r="BC1100" i="2"/>
  <c r="BC1101" i="2"/>
  <c r="BC1102" i="2"/>
  <c r="BC1103" i="2"/>
  <c r="BC1104" i="2"/>
  <c r="BC1105" i="2"/>
  <c r="BC1106" i="2"/>
  <c r="BC1107" i="2"/>
  <c r="BC1108" i="2"/>
  <c r="BC1109" i="2"/>
  <c r="BC1110" i="2"/>
  <c r="BC1111" i="2"/>
  <c r="BC1112" i="2"/>
  <c r="BC1113" i="2"/>
  <c r="BC1114" i="2"/>
  <c r="BC1115" i="2"/>
  <c r="BC1116" i="2"/>
  <c r="BC1117" i="2"/>
  <c r="BC1118" i="2"/>
  <c r="BC1119" i="2"/>
  <c r="BC1120" i="2"/>
  <c r="BC1121" i="2"/>
  <c r="BC1122" i="2"/>
  <c r="BC1123" i="2"/>
  <c r="BC1124" i="2"/>
  <c r="BC1125" i="2"/>
  <c r="BC1126" i="2"/>
  <c r="BC1127" i="2"/>
  <c r="BC1128" i="2"/>
  <c r="BC1129" i="2"/>
  <c r="BC1130" i="2"/>
  <c r="BC1131" i="2"/>
  <c r="BC1132" i="2"/>
  <c r="BC1133" i="2"/>
  <c r="BC1134" i="2"/>
  <c r="BC1135" i="2"/>
  <c r="BC1136" i="2"/>
  <c r="BC1137" i="2"/>
  <c r="BC1138" i="2"/>
  <c r="BC1139" i="2"/>
  <c r="BC1140" i="2"/>
  <c r="BC1141" i="2"/>
  <c r="BC1142" i="2"/>
  <c r="BC1143" i="2"/>
  <c r="BC1144" i="2"/>
  <c r="BC1145" i="2"/>
  <c r="BC1146" i="2"/>
  <c r="BC1147" i="2"/>
  <c r="BC1148" i="2"/>
  <c r="BC1149" i="2"/>
  <c r="BC1150" i="2"/>
  <c r="BC1151" i="2"/>
  <c r="BC1152" i="2"/>
  <c r="BC1153" i="2"/>
  <c r="BC1154" i="2"/>
  <c r="BC1155" i="2"/>
  <c r="BC1156" i="2"/>
  <c r="BC1157" i="2"/>
  <c r="BC1158" i="2"/>
  <c r="BC1159" i="2"/>
  <c r="BC1160" i="2"/>
  <c r="BC1161" i="2"/>
  <c r="BC1162" i="2"/>
  <c r="BC1163" i="2"/>
  <c r="BC1164" i="2"/>
  <c r="BC1165" i="2"/>
  <c r="BC1166" i="2"/>
  <c r="BC1167" i="2"/>
  <c r="BC1168" i="2"/>
  <c r="BC1169" i="2"/>
  <c r="BC1170" i="2"/>
  <c r="BC1171" i="2"/>
  <c r="BC1172" i="2"/>
  <c r="BC1173" i="2"/>
  <c r="BC1174" i="2"/>
  <c r="BC1175" i="2"/>
  <c r="BC1176" i="2"/>
  <c r="BC1177" i="2"/>
  <c r="BC1178" i="2"/>
  <c r="BC1179" i="2"/>
  <c r="BC1180" i="2"/>
  <c r="BC1181" i="2"/>
  <c r="BC1182" i="2"/>
  <c r="BC1183" i="2"/>
  <c r="BC1184" i="2"/>
  <c r="BC1185" i="2"/>
  <c r="BC1186" i="2"/>
  <c r="BC1187" i="2"/>
  <c r="BC1188" i="2"/>
  <c r="BC1189" i="2"/>
  <c r="BC1190" i="2"/>
  <c r="BC1191" i="2"/>
  <c r="BC1192" i="2"/>
  <c r="BC1193" i="2"/>
  <c r="BC1194" i="2"/>
  <c r="BC1195" i="2"/>
  <c r="BC1196" i="2"/>
  <c r="BC1197" i="2"/>
  <c r="BC1198" i="2"/>
  <c r="BC1199" i="2"/>
  <c r="BC1200" i="2"/>
  <c r="BC1201" i="2"/>
  <c r="BC1202" i="2"/>
  <c r="BC1203" i="2"/>
  <c r="BC1204" i="2"/>
  <c r="BC1205" i="2"/>
  <c r="BC1206" i="2"/>
  <c r="BC1207" i="2"/>
  <c r="BC1208" i="2"/>
  <c r="BC1209" i="2"/>
  <c r="BC1210" i="2"/>
  <c r="BC1211" i="2"/>
  <c r="BC1212" i="2"/>
  <c r="BC1213" i="2"/>
  <c r="BC1214" i="2"/>
  <c r="BC1215" i="2"/>
  <c r="BC1216" i="2"/>
  <c r="BC1217" i="2"/>
  <c r="BC1218" i="2"/>
  <c r="BC1219" i="2"/>
  <c r="BC1220" i="2"/>
  <c r="BC1221" i="2"/>
  <c r="BC1222" i="2"/>
  <c r="BC1223" i="2"/>
  <c r="BC1224" i="2"/>
  <c r="BC1225" i="2"/>
  <c r="BC1226" i="2"/>
  <c r="BC1227" i="2"/>
  <c r="BC1228" i="2"/>
  <c r="BC1229" i="2"/>
  <c r="BC1230" i="2"/>
  <c r="BC1231" i="2"/>
  <c r="BC1232" i="2"/>
  <c r="BC1233" i="2"/>
  <c r="BC1234" i="2"/>
  <c r="BC1235" i="2"/>
  <c r="BC1236" i="2"/>
  <c r="BC1237" i="2"/>
  <c r="BC1238" i="2"/>
  <c r="BC1239" i="2"/>
  <c r="BC1240" i="2"/>
  <c r="BC1241" i="2"/>
  <c r="BC1242" i="2"/>
  <c r="BC1243" i="2"/>
  <c r="BC1244" i="2"/>
  <c r="BC1245" i="2"/>
  <c r="BC1246" i="2"/>
  <c r="BC1247" i="2"/>
  <c r="BC1248" i="2"/>
  <c r="BC1249" i="2"/>
  <c r="BC1250" i="2"/>
  <c r="BC1251" i="2"/>
  <c r="BC1252" i="2"/>
  <c r="BC1253" i="2"/>
  <c r="BC1254" i="2"/>
  <c r="BC1255" i="2"/>
  <c r="BC1256" i="2"/>
  <c r="BC1257" i="2"/>
  <c r="BC1258" i="2"/>
  <c r="BC1259" i="2"/>
  <c r="BC1260" i="2"/>
  <c r="BC1261" i="2"/>
  <c r="BC1262" i="2"/>
  <c r="BC1263" i="2"/>
  <c r="BC1264" i="2"/>
  <c r="BC1265" i="2"/>
  <c r="BC1266" i="2"/>
  <c r="BC1267" i="2"/>
  <c r="BC1268" i="2"/>
  <c r="BC1269" i="2"/>
  <c r="BC1270" i="2"/>
  <c r="BC1271" i="2"/>
  <c r="BC1272" i="2"/>
  <c r="BC1273" i="2"/>
  <c r="BC1274" i="2"/>
  <c r="BC1275" i="2"/>
  <c r="BC1276" i="2"/>
  <c r="BC1277" i="2"/>
  <c r="BC1278" i="2"/>
  <c r="BC1279" i="2"/>
  <c r="BC1280" i="2"/>
  <c r="BC1281" i="2"/>
  <c r="BC1282" i="2"/>
  <c r="BC1283" i="2"/>
  <c r="BC1284" i="2"/>
  <c r="BC1285" i="2"/>
  <c r="BC1286" i="2"/>
  <c r="BC1287" i="2"/>
  <c r="BC1288" i="2"/>
  <c r="BC1289" i="2"/>
  <c r="BC1290" i="2"/>
  <c r="BC1291" i="2"/>
  <c r="BC1292" i="2"/>
  <c r="BC1293" i="2"/>
  <c r="BC1294" i="2"/>
  <c r="BC1295" i="2"/>
  <c r="BC1296" i="2"/>
  <c r="BC1297" i="2"/>
  <c r="BC1298" i="2"/>
  <c r="BC1299" i="2"/>
  <c r="BC1300" i="2"/>
  <c r="BC1301" i="2"/>
  <c r="BC1302" i="2"/>
  <c r="BC1303" i="2"/>
  <c r="BC1304" i="2"/>
  <c r="BC1305" i="2"/>
  <c r="BC1306" i="2"/>
  <c r="BC1307" i="2"/>
  <c r="BC1308" i="2"/>
  <c r="BC1309" i="2"/>
  <c r="BC1310" i="2"/>
  <c r="BC1311" i="2"/>
  <c r="BC1312" i="2"/>
  <c r="BC1313" i="2"/>
  <c r="BC1314" i="2"/>
  <c r="BC1315" i="2"/>
  <c r="BC1316" i="2"/>
  <c r="BC1317" i="2"/>
  <c r="BC1318" i="2"/>
  <c r="BC1319" i="2"/>
  <c r="BC1320" i="2"/>
  <c r="BC1321" i="2"/>
  <c r="BC1322" i="2"/>
  <c r="BC1323" i="2"/>
  <c r="BC1324" i="2"/>
  <c r="BC1325" i="2"/>
  <c r="BC1326" i="2"/>
  <c r="BC1327" i="2"/>
  <c r="BC1328" i="2"/>
  <c r="BC1329" i="2"/>
  <c r="BC1330" i="2"/>
  <c r="BC1331" i="2"/>
  <c r="BC1332" i="2"/>
  <c r="BC1333" i="2"/>
  <c r="BC1334" i="2"/>
  <c r="BC1335" i="2"/>
  <c r="BC1336" i="2"/>
  <c r="BC1337" i="2"/>
  <c r="BC1338" i="2"/>
  <c r="BC1339" i="2"/>
  <c r="BC1340" i="2"/>
  <c r="BC1341" i="2"/>
  <c r="BC1342" i="2"/>
  <c r="BC1343" i="2"/>
  <c r="BC1344" i="2"/>
  <c r="BC1345" i="2"/>
  <c r="BC1346" i="2"/>
  <c r="BC1347" i="2"/>
  <c r="BC1348" i="2"/>
  <c r="BC1349" i="2"/>
  <c r="BC1350" i="2"/>
  <c r="BC1351" i="2"/>
  <c r="BC1352" i="2"/>
  <c r="BC1353" i="2"/>
  <c r="BC1354" i="2"/>
  <c r="BC1355" i="2"/>
  <c r="BC1356" i="2"/>
  <c r="BC1357" i="2"/>
  <c r="BC1358" i="2"/>
  <c r="BC1359" i="2"/>
  <c r="BC1360" i="2"/>
  <c r="BC1361" i="2"/>
  <c r="BC1362" i="2"/>
  <c r="BC1363" i="2"/>
  <c r="BC1364" i="2"/>
  <c r="BC1365" i="2"/>
  <c r="BC1366" i="2"/>
  <c r="BC1367" i="2"/>
  <c r="BC1368" i="2"/>
  <c r="BC1369" i="2"/>
  <c r="BC1370" i="2"/>
  <c r="BC1371" i="2"/>
  <c r="BC1372" i="2"/>
  <c r="BC1373" i="2"/>
  <c r="BC1374" i="2"/>
  <c r="BC1375" i="2"/>
  <c r="BC1376" i="2"/>
  <c r="BC1377" i="2"/>
  <c r="BC1378" i="2"/>
  <c r="BC1379" i="2"/>
  <c r="BC1380" i="2"/>
  <c r="BC1381" i="2"/>
  <c r="BC1382" i="2"/>
  <c r="BC1383" i="2"/>
  <c r="BC1384" i="2"/>
  <c r="BC1385" i="2"/>
  <c r="BC1386" i="2"/>
  <c r="BC1387" i="2"/>
  <c r="BC1388" i="2"/>
  <c r="BC1389" i="2"/>
  <c r="BC1390" i="2"/>
  <c r="BC1391" i="2"/>
  <c r="BC1392" i="2"/>
  <c r="BC1393" i="2"/>
  <c r="BC1394" i="2"/>
  <c r="BC1395" i="2"/>
  <c r="BC1396" i="2"/>
  <c r="BC1397" i="2"/>
  <c r="BC1398" i="2"/>
  <c r="BC1399" i="2"/>
  <c r="BC1400" i="2"/>
  <c r="BC1401" i="2"/>
  <c r="BC1402" i="2"/>
  <c r="BC1403" i="2"/>
  <c r="BC1404" i="2"/>
  <c r="BC1405" i="2"/>
  <c r="BC1406" i="2"/>
  <c r="BC1407" i="2"/>
  <c r="BC1408" i="2"/>
  <c r="BC1409" i="2"/>
  <c r="BC1410" i="2"/>
  <c r="BC1411" i="2"/>
  <c r="BC1412" i="2"/>
  <c r="BC1413" i="2"/>
  <c r="BC1414" i="2"/>
  <c r="BC1415" i="2"/>
  <c r="BC1416" i="2"/>
  <c r="BC1417" i="2"/>
  <c r="BC1418" i="2"/>
  <c r="BC1419" i="2"/>
  <c r="BC1420" i="2"/>
  <c r="BC1421" i="2"/>
  <c r="BC1422" i="2"/>
  <c r="BC1423" i="2"/>
  <c r="BC1424" i="2"/>
  <c r="BC1425" i="2"/>
  <c r="BC1426" i="2"/>
  <c r="BC1427" i="2"/>
  <c r="BC1428" i="2"/>
  <c r="BC1429" i="2"/>
  <c r="BC1430" i="2"/>
  <c r="BC1431" i="2"/>
  <c r="BC1432" i="2"/>
  <c r="BC1433" i="2"/>
  <c r="BC1434" i="2"/>
  <c r="BC1435" i="2"/>
  <c r="BC1436" i="2"/>
  <c r="BC1437" i="2"/>
  <c r="BC1438" i="2"/>
  <c r="BC1439" i="2"/>
  <c r="BC1440" i="2"/>
  <c r="BC1441" i="2"/>
  <c r="BC1442" i="2"/>
  <c r="BC1443" i="2"/>
  <c r="BC1444" i="2"/>
  <c r="BC1445" i="2"/>
  <c r="BC1446" i="2"/>
  <c r="BC1447" i="2"/>
  <c r="BC1448" i="2"/>
  <c r="BC1449" i="2"/>
  <c r="BC1450" i="2"/>
  <c r="BC1451" i="2"/>
  <c r="BC1452" i="2"/>
  <c r="BC1453" i="2"/>
  <c r="BC1454" i="2"/>
  <c r="BC1455" i="2"/>
  <c r="BC1456" i="2"/>
  <c r="BC1457" i="2"/>
  <c r="BC1458" i="2"/>
  <c r="BC1459" i="2"/>
  <c r="BC1460" i="2"/>
  <c r="BC1461" i="2"/>
  <c r="BC1462" i="2"/>
  <c r="BC1463" i="2"/>
  <c r="BC1464" i="2"/>
  <c r="BC1465" i="2"/>
  <c r="BC1466" i="2"/>
  <c r="BC1467" i="2"/>
  <c r="BC1468" i="2"/>
  <c r="BC1469" i="2"/>
  <c r="BC1470" i="2"/>
  <c r="BC1471" i="2"/>
  <c r="BC1472" i="2"/>
  <c r="BC1473" i="2"/>
  <c r="BC1474" i="2"/>
  <c r="BC1475" i="2"/>
  <c r="BC1476" i="2"/>
  <c r="BC1477" i="2"/>
  <c r="BC1478" i="2"/>
  <c r="BC1479" i="2"/>
  <c r="BC1480" i="2"/>
  <c r="BC1481" i="2"/>
  <c r="BC1482" i="2"/>
  <c r="BC1483" i="2"/>
  <c r="BC1484" i="2"/>
  <c r="BC1485" i="2"/>
  <c r="BC1486" i="2"/>
  <c r="BC1487" i="2"/>
  <c r="BC1488" i="2"/>
  <c r="BC1489" i="2"/>
  <c r="BC1490" i="2"/>
  <c r="BC1491" i="2"/>
  <c r="BC1492" i="2"/>
  <c r="BC1493" i="2"/>
  <c r="BC1494" i="2"/>
  <c r="BC1495" i="2"/>
  <c r="BC1496" i="2"/>
  <c r="BC1497" i="2"/>
  <c r="BC1498" i="2"/>
  <c r="BC1499" i="2"/>
  <c r="BC1500" i="2"/>
  <c r="BC1501" i="2"/>
  <c r="BC1502" i="2"/>
  <c r="BC1503" i="2"/>
  <c r="BC1504" i="2"/>
  <c r="BC1505" i="2"/>
  <c r="BC1506" i="2"/>
  <c r="BC1507" i="2"/>
  <c r="BC1508" i="2"/>
  <c r="BC1509" i="2"/>
  <c r="BC1510" i="2"/>
  <c r="BC1511" i="2"/>
  <c r="BC1512" i="2"/>
  <c r="BC1513" i="2"/>
  <c r="BC1514" i="2"/>
  <c r="BC1515" i="2"/>
  <c r="BC1516" i="2"/>
  <c r="BC1517" i="2"/>
  <c r="BC1518" i="2"/>
  <c r="BC1519" i="2"/>
  <c r="BC1520" i="2"/>
  <c r="BC1521" i="2"/>
  <c r="BC1522" i="2"/>
  <c r="BC1523" i="2"/>
  <c r="BC1524" i="2"/>
  <c r="BC1525" i="2"/>
  <c r="BC1526" i="2"/>
  <c r="BC1527" i="2"/>
  <c r="BC1528" i="2"/>
  <c r="BC1529" i="2"/>
  <c r="BC1530" i="2"/>
  <c r="BC1531" i="2"/>
  <c r="BC1532" i="2"/>
  <c r="BC1533" i="2"/>
  <c r="BC1534" i="2"/>
  <c r="BC1535" i="2"/>
  <c r="BC1536" i="2"/>
  <c r="BC1537" i="2"/>
  <c r="BC1538" i="2"/>
  <c r="BC1539" i="2"/>
  <c r="BC1540" i="2"/>
  <c r="BC1541" i="2"/>
  <c r="BC1542" i="2"/>
  <c r="BC1543" i="2"/>
  <c r="BC1544" i="2"/>
  <c r="BC1545" i="2"/>
  <c r="BC1546" i="2"/>
  <c r="BC1547" i="2"/>
  <c r="BC1548" i="2"/>
  <c r="BC1549" i="2"/>
  <c r="BC1550" i="2"/>
  <c r="BC1551" i="2"/>
  <c r="BC1552" i="2"/>
  <c r="BC1553" i="2"/>
  <c r="BC1554" i="2"/>
  <c r="BC1555" i="2"/>
  <c r="BC1556" i="2"/>
  <c r="BC1557" i="2"/>
  <c r="BC1558" i="2"/>
  <c r="BC1559" i="2"/>
  <c r="BC1560" i="2"/>
  <c r="BC1561" i="2"/>
  <c r="BC1562" i="2"/>
  <c r="BC1563" i="2"/>
  <c r="BC1564" i="2"/>
  <c r="BC1565" i="2"/>
  <c r="BC1566" i="2"/>
  <c r="BC1567" i="2"/>
  <c r="BC1568" i="2"/>
  <c r="BC1569" i="2"/>
  <c r="BC1570" i="2"/>
  <c r="BC1571" i="2"/>
  <c r="BC1572" i="2"/>
  <c r="BC1573" i="2"/>
  <c r="BC1574" i="2"/>
  <c r="BC1575" i="2"/>
  <c r="BC1576" i="2"/>
  <c r="BC1577" i="2"/>
  <c r="BC1578" i="2"/>
  <c r="BC1579" i="2"/>
  <c r="BC1580" i="2"/>
  <c r="BC1581" i="2"/>
  <c r="BC1582" i="2"/>
  <c r="BC1583" i="2"/>
  <c r="BC1584" i="2"/>
  <c r="BC1585" i="2"/>
  <c r="BC1586" i="2"/>
  <c r="BC1587" i="2"/>
  <c r="BC1588" i="2"/>
  <c r="BC1589" i="2"/>
  <c r="BC1590" i="2"/>
  <c r="BC1591" i="2"/>
  <c r="BC1592" i="2"/>
  <c r="BC1593" i="2"/>
  <c r="BC1594" i="2"/>
  <c r="BC1595" i="2"/>
  <c r="BC1596" i="2"/>
  <c r="BC1597" i="2"/>
  <c r="BC1598" i="2"/>
  <c r="BC1599" i="2"/>
  <c r="BC1600" i="2"/>
  <c r="BC1601" i="2"/>
  <c r="BC1602" i="2"/>
  <c r="BC1603" i="2"/>
  <c r="BC1604" i="2"/>
  <c r="BC1605" i="2"/>
  <c r="BC1606" i="2"/>
  <c r="BC1607" i="2"/>
  <c r="BC1608" i="2"/>
  <c r="BC1609" i="2"/>
  <c r="BC1610" i="2"/>
  <c r="BC1611" i="2"/>
  <c r="BC1612" i="2"/>
  <c r="BC1613" i="2"/>
  <c r="BC1614" i="2"/>
  <c r="BC1615" i="2"/>
  <c r="BC1616" i="2"/>
  <c r="BC1617" i="2"/>
  <c r="BC1618" i="2"/>
  <c r="BC1619" i="2"/>
  <c r="BC1620" i="2"/>
  <c r="BC1621" i="2"/>
  <c r="BC1622" i="2"/>
  <c r="BC1623" i="2"/>
  <c r="BC1624" i="2"/>
  <c r="BC1625" i="2"/>
  <c r="BC1626" i="2"/>
  <c r="BC1627" i="2"/>
  <c r="BC1628" i="2"/>
  <c r="BC1629" i="2"/>
  <c r="BC1630" i="2"/>
  <c r="BC1631" i="2"/>
  <c r="BC1632" i="2"/>
  <c r="BC1633" i="2"/>
  <c r="BC1634" i="2"/>
  <c r="BC1635" i="2"/>
  <c r="BC1636" i="2"/>
  <c r="BC1637" i="2"/>
  <c r="BC1638" i="2"/>
  <c r="BC1639" i="2"/>
  <c r="BC1640" i="2"/>
  <c r="BC1641" i="2"/>
  <c r="BC1642" i="2"/>
  <c r="BC1643" i="2"/>
  <c r="BC1644" i="2"/>
  <c r="BC1645" i="2"/>
  <c r="BC1646" i="2"/>
  <c r="BC1647" i="2"/>
  <c r="BC1648" i="2"/>
  <c r="BC1649" i="2"/>
  <c r="BC1650" i="2"/>
  <c r="BC1651" i="2"/>
  <c r="BC1652" i="2"/>
  <c r="BC1653" i="2"/>
  <c r="BC1654" i="2"/>
  <c r="BC1655" i="2"/>
  <c r="BC1656" i="2"/>
  <c r="BC1657" i="2"/>
  <c r="BC1658" i="2"/>
  <c r="BC1659" i="2"/>
  <c r="BC1660" i="2"/>
  <c r="BC1661" i="2"/>
  <c r="BC1662" i="2"/>
  <c r="BC1663" i="2"/>
  <c r="BC1664" i="2"/>
  <c r="BC1665" i="2"/>
  <c r="BC1666" i="2"/>
  <c r="BC1667" i="2"/>
  <c r="BC1668" i="2"/>
  <c r="BC1669" i="2"/>
  <c r="BC1670" i="2"/>
  <c r="BC1671" i="2"/>
  <c r="BC1672" i="2"/>
  <c r="BC1673" i="2"/>
  <c r="BC1674" i="2"/>
  <c r="BC1675" i="2"/>
  <c r="BC1676" i="2"/>
  <c r="BC1677" i="2"/>
  <c r="BC1678" i="2"/>
  <c r="BC1679" i="2"/>
  <c r="BC1680" i="2"/>
  <c r="BC1681" i="2"/>
  <c r="BC1682" i="2"/>
  <c r="BC1683" i="2"/>
  <c r="BC1684" i="2"/>
  <c r="BC1685" i="2"/>
  <c r="BC1686" i="2"/>
  <c r="BC1687" i="2"/>
  <c r="BC1688" i="2"/>
  <c r="BC1689" i="2"/>
  <c r="BC1690" i="2"/>
  <c r="BC1691" i="2"/>
  <c r="BC1692" i="2"/>
  <c r="BC1693" i="2"/>
  <c r="BC1694" i="2"/>
  <c r="BC1695" i="2"/>
  <c r="BC1696" i="2"/>
  <c r="BC1697" i="2"/>
  <c r="BC1698" i="2"/>
  <c r="BC1699" i="2"/>
  <c r="BC1700" i="2"/>
  <c r="BC1701" i="2"/>
  <c r="BC1702" i="2"/>
  <c r="BC1703" i="2"/>
  <c r="BC1704" i="2"/>
  <c r="BC1705" i="2"/>
  <c r="BC1706" i="2"/>
  <c r="BC1707" i="2"/>
  <c r="BC1708" i="2"/>
  <c r="BC1709" i="2"/>
  <c r="BC1710" i="2"/>
  <c r="BC1711" i="2"/>
  <c r="BC1712" i="2"/>
  <c r="BC1713" i="2"/>
  <c r="BC1714" i="2"/>
  <c r="BC1715" i="2"/>
  <c r="BC1716" i="2"/>
  <c r="BC1717" i="2"/>
  <c r="BC1718" i="2"/>
  <c r="BC1719" i="2"/>
  <c r="BC1720" i="2"/>
  <c r="BC1721" i="2"/>
  <c r="BC1722" i="2"/>
  <c r="BC1723" i="2"/>
  <c r="BC1724" i="2"/>
  <c r="BC1725" i="2"/>
  <c r="BC1726" i="2"/>
  <c r="BC1727" i="2"/>
  <c r="BC1728" i="2"/>
  <c r="BC1729" i="2"/>
  <c r="BC1730" i="2"/>
  <c r="BC1731" i="2"/>
  <c r="BC1732" i="2"/>
  <c r="BC1733" i="2"/>
  <c r="BC1734" i="2"/>
  <c r="BC1735" i="2"/>
  <c r="BC1736" i="2"/>
  <c r="BC1737" i="2"/>
  <c r="BC1738" i="2"/>
  <c r="BC1739" i="2"/>
  <c r="BC1740" i="2"/>
  <c r="BC1741" i="2"/>
  <c r="BC1742" i="2"/>
  <c r="BC1743" i="2"/>
  <c r="BC1744" i="2"/>
  <c r="BC1745" i="2"/>
  <c r="BC1746" i="2"/>
  <c r="BC1747" i="2"/>
  <c r="BC1748" i="2"/>
  <c r="BC1749" i="2"/>
  <c r="BC1750" i="2"/>
  <c r="BC1751" i="2"/>
  <c r="BC1752" i="2"/>
  <c r="BC1753" i="2"/>
  <c r="BC1754" i="2"/>
  <c r="BC1755" i="2"/>
  <c r="BC1756" i="2"/>
  <c r="BC1757" i="2"/>
  <c r="BC1758" i="2"/>
  <c r="BC1759" i="2"/>
  <c r="BC1760" i="2"/>
  <c r="BC1761" i="2"/>
  <c r="BC1762" i="2"/>
  <c r="BC1763" i="2"/>
  <c r="BC1764" i="2"/>
  <c r="BC1765" i="2"/>
  <c r="BC1766" i="2"/>
  <c r="BC1767" i="2"/>
  <c r="BC1768" i="2"/>
  <c r="BC1769" i="2"/>
  <c r="BC1770" i="2"/>
  <c r="BC1771" i="2"/>
  <c r="BC1772" i="2"/>
  <c r="BC1773" i="2"/>
  <c r="BC1774" i="2"/>
  <c r="BC1775" i="2"/>
  <c r="BC1776" i="2"/>
  <c r="BC1777" i="2"/>
  <c r="BC1778" i="2"/>
  <c r="BC1779" i="2"/>
  <c r="BC1780" i="2"/>
  <c r="BC1781" i="2"/>
  <c r="BC1782" i="2"/>
  <c r="BC1783" i="2"/>
  <c r="BC1784" i="2"/>
  <c r="BC1785" i="2"/>
  <c r="BC1786" i="2"/>
  <c r="BC1787" i="2"/>
  <c r="BC1788" i="2"/>
  <c r="BC1789" i="2"/>
  <c r="BC1790" i="2"/>
  <c r="BC1791" i="2"/>
  <c r="BC1792" i="2"/>
  <c r="BC1793" i="2"/>
  <c r="BC1794" i="2"/>
  <c r="BC1795" i="2"/>
  <c r="BC1796" i="2"/>
  <c r="BC1797" i="2"/>
  <c r="BC1798" i="2"/>
  <c r="BC1799" i="2"/>
  <c r="BC1800" i="2"/>
  <c r="BC1801" i="2"/>
  <c r="BC1802" i="2"/>
  <c r="BC1803" i="2"/>
  <c r="BC1804" i="2"/>
  <c r="BC1805" i="2"/>
  <c r="BC1806" i="2"/>
  <c r="BC1807" i="2"/>
  <c r="BC1808" i="2"/>
  <c r="BC1809" i="2"/>
  <c r="BC1810" i="2"/>
  <c r="BC1811" i="2"/>
  <c r="BC1812" i="2"/>
  <c r="BC1813" i="2"/>
  <c r="BC1814" i="2"/>
  <c r="BC1815" i="2"/>
  <c r="BC1816" i="2"/>
  <c r="BC1817" i="2"/>
  <c r="BC1818" i="2"/>
  <c r="BC1819" i="2"/>
  <c r="BC1820" i="2"/>
  <c r="BC1821" i="2"/>
  <c r="BC1822" i="2"/>
  <c r="BC1823" i="2"/>
  <c r="BC1824" i="2"/>
  <c r="BC1825" i="2"/>
  <c r="BC1826" i="2"/>
  <c r="BC1827" i="2"/>
  <c r="BC1828" i="2"/>
  <c r="BC1829" i="2"/>
  <c r="BC1830" i="2"/>
  <c r="BC1831" i="2"/>
  <c r="BC1832" i="2"/>
  <c r="BC1833" i="2"/>
  <c r="BC1834" i="2"/>
  <c r="BC1835" i="2"/>
  <c r="BC1836" i="2"/>
  <c r="BC1837" i="2"/>
  <c r="BC1838" i="2"/>
  <c r="BC1839" i="2"/>
  <c r="BC1840" i="2"/>
  <c r="BC1841" i="2"/>
  <c r="BC1842" i="2"/>
  <c r="BC1843" i="2"/>
  <c r="BC1844" i="2"/>
  <c r="BC1845" i="2"/>
  <c r="BC1846" i="2"/>
  <c r="BC1847" i="2"/>
  <c r="BC1848" i="2"/>
  <c r="BC1849" i="2"/>
  <c r="BC1850" i="2"/>
  <c r="BC1851" i="2"/>
  <c r="BC1852" i="2"/>
  <c r="BC1853" i="2"/>
  <c r="BC1854" i="2"/>
  <c r="BC1855" i="2"/>
  <c r="BC1856" i="2"/>
  <c r="BC1857" i="2"/>
  <c r="BC1858" i="2"/>
  <c r="BC1859" i="2"/>
  <c r="BC1860" i="2"/>
  <c r="BC1861" i="2"/>
  <c r="BC1862" i="2"/>
  <c r="BC1863" i="2"/>
  <c r="BC1864" i="2"/>
  <c r="BC1865" i="2"/>
  <c r="BC1866" i="2"/>
  <c r="BC1867" i="2"/>
  <c r="BC1868" i="2"/>
  <c r="BC1869" i="2"/>
  <c r="BC1870" i="2"/>
  <c r="BC1871" i="2"/>
  <c r="BC1872" i="2"/>
  <c r="BC1873" i="2"/>
  <c r="BC1874" i="2"/>
  <c r="BC1875" i="2"/>
  <c r="BC1876" i="2"/>
  <c r="BC1877" i="2"/>
  <c r="BC1878" i="2"/>
  <c r="BC1879" i="2"/>
  <c r="BC1880" i="2"/>
  <c r="BC1881" i="2"/>
  <c r="BC1882" i="2"/>
  <c r="BC1883" i="2"/>
  <c r="BC1884" i="2"/>
  <c r="BC1885" i="2"/>
  <c r="BC1886" i="2"/>
  <c r="BC1887" i="2"/>
  <c r="BC1888" i="2"/>
  <c r="BC1889" i="2"/>
  <c r="BC1890" i="2"/>
  <c r="BC1891" i="2"/>
  <c r="BC1892" i="2"/>
  <c r="BC1893" i="2"/>
  <c r="BC1894" i="2"/>
  <c r="BC1895" i="2"/>
  <c r="BC1896" i="2"/>
  <c r="BC1897" i="2"/>
  <c r="BC1898" i="2"/>
  <c r="BC1899" i="2"/>
  <c r="BC1900" i="2"/>
  <c r="BC1901" i="2"/>
  <c r="BC1902" i="2"/>
  <c r="BC1903" i="2"/>
  <c r="BC1904" i="2"/>
  <c r="BC1905" i="2"/>
  <c r="BC1906" i="2"/>
  <c r="BC1907" i="2"/>
  <c r="BC1908" i="2"/>
  <c r="BC1909" i="2"/>
  <c r="BC1910" i="2"/>
  <c r="BC1911" i="2"/>
  <c r="BC1912" i="2"/>
  <c r="BC1913" i="2"/>
  <c r="BC1914" i="2"/>
  <c r="BC1915" i="2"/>
  <c r="BC1916" i="2"/>
  <c r="BC1917" i="2"/>
  <c r="BC1918" i="2"/>
  <c r="BC1919" i="2"/>
  <c r="BC1920" i="2"/>
  <c r="BC1921" i="2"/>
  <c r="BC1922" i="2"/>
  <c r="BC1923" i="2"/>
  <c r="BC1924" i="2"/>
  <c r="BC1925" i="2"/>
  <c r="BC1926" i="2"/>
  <c r="BC1927" i="2"/>
  <c r="BC1928" i="2"/>
  <c r="BC1929" i="2"/>
  <c r="BC1930" i="2"/>
  <c r="BC1931" i="2"/>
  <c r="BC1932" i="2"/>
  <c r="BC1933" i="2"/>
  <c r="BC1934" i="2"/>
  <c r="BC1935" i="2"/>
  <c r="BC1936" i="2"/>
  <c r="BC1937" i="2"/>
  <c r="BC1938" i="2"/>
  <c r="BC1939" i="2"/>
  <c r="BC1940" i="2"/>
  <c r="BC1941" i="2"/>
  <c r="BC1942" i="2"/>
  <c r="BC1943" i="2"/>
  <c r="BC1944" i="2"/>
  <c r="BC1945" i="2"/>
  <c r="BC1946" i="2"/>
  <c r="BM87" i="2"/>
  <c r="AY87" i="2" s="1"/>
  <c r="C225" i="10" l="1"/>
  <c r="C207" i="10"/>
  <c r="C202" i="10"/>
  <c r="C203" i="10"/>
  <c r="C204" i="10"/>
  <c r="C205" i="10"/>
  <c r="C206" i="10"/>
  <c r="C208" i="10"/>
  <c r="C223" i="10"/>
  <c r="C213" i="10"/>
  <c r="C214" i="10"/>
  <c r="C210" i="10"/>
  <c r="C209" i="10"/>
  <c r="C215" i="10"/>
  <c r="C218" i="10"/>
  <c r="C212" i="10"/>
  <c r="C219" i="10"/>
  <c r="C211" i="10"/>
  <c r="C217" i="10"/>
  <c r="C220" i="10"/>
  <c r="C221" i="10"/>
  <c r="C222" i="10"/>
  <c r="C216" i="10"/>
  <c r="C224" i="10"/>
  <c r="AI224" i="10"/>
  <c r="AI225" i="10"/>
  <c r="AI207" i="10"/>
  <c r="AI202" i="10"/>
  <c r="AI203" i="10"/>
  <c r="AI204" i="10"/>
  <c r="AI205" i="10"/>
  <c r="AI206" i="10"/>
  <c r="AI208" i="10"/>
  <c r="AI223" i="10"/>
  <c r="AI213" i="10"/>
  <c r="AI214" i="10"/>
  <c r="AI210" i="10"/>
  <c r="AI209" i="10"/>
  <c r="AI215" i="10"/>
  <c r="AI218" i="10"/>
  <c r="AI212" i="10"/>
  <c r="AI219" i="10"/>
  <c r="AI211" i="10"/>
  <c r="AI217" i="10"/>
  <c r="AI220" i="10"/>
  <c r="AI221" i="10"/>
  <c r="AI222" i="10"/>
  <c r="AI216" i="10"/>
  <c r="AJ224" i="10"/>
  <c r="AJ225" i="10"/>
  <c r="AJ207" i="10"/>
  <c r="AJ202" i="10"/>
  <c r="AJ203" i="10"/>
  <c r="AJ204" i="10"/>
  <c r="AJ205" i="10"/>
  <c r="AJ206" i="10"/>
  <c r="AJ208" i="10"/>
  <c r="AJ223" i="10"/>
  <c r="AJ213" i="10"/>
  <c r="AJ214" i="10"/>
  <c r="AJ210" i="10"/>
  <c r="AJ209" i="10"/>
  <c r="AJ215" i="10"/>
  <c r="AJ218" i="10"/>
  <c r="AJ212" i="10"/>
  <c r="AJ219" i="10"/>
  <c r="AJ211" i="10"/>
  <c r="AJ217" i="10"/>
  <c r="AJ220" i="10"/>
  <c r="AJ221" i="10"/>
  <c r="AJ222" i="10"/>
  <c r="AJ216" i="10"/>
  <c r="P7" i="15" l="1"/>
  <c r="P6" i="15"/>
  <c r="P4" i="15"/>
  <c r="P19" i="15"/>
  <c r="P18" i="15"/>
  <c r="P17" i="15"/>
  <c r="P16" i="15"/>
  <c r="P15" i="15"/>
  <c r="P14" i="15"/>
  <c r="P8" i="15" l="1"/>
  <c r="Q7" i="15" s="1"/>
  <c r="R7" i="15" s="1"/>
  <c r="Q4" i="15"/>
  <c r="P20" i="15"/>
  <c r="Q17" i="15" s="1"/>
  <c r="R17" i="15" s="1"/>
  <c r="Q5" i="15" l="1"/>
  <c r="Q6" i="15"/>
  <c r="R6" i="15" s="1"/>
  <c r="Q15" i="15"/>
  <c r="R15" i="15" s="1"/>
  <c r="Q14" i="15"/>
  <c r="R14" i="15" s="1"/>
  <c r="Q18" i="15"/>
  <c r="R18" i="15" s="1"/>
  <c r="Q16" i="15"/>
  <c r="R16" i="15" s="1"/>
  <c r="Q19" i="15"/>
  <c r="R19" i="15" s="1"/>
  <c r="R5" i="15" l="1"/>
  <c r="Q8" i="15"/>
  <c r="BB72" i="2"/>
  <c r="AY72" i="2" s="1"/>
  <c r="BB73" i="2"/>
  <c r="AY73" i="2" s="1"/>
  <c r="BB74" i="2"/>
  <c r="AY74" i="2" s="1"/>
  <c r="C45" i="10"/>
  <c r="N56" i="2"/>
  <c r="N57" i="2"/>
  <c r="N58" i="2"/>
  <c r="N59" i="2"/>
  <c r="N60" i="2"/>
  <c r="N61" i="2"/>
  <c r="N62" i="2"/>
  <c r="N63" i="2"/>
  <c r="N64" i="2"/>
  <c r="N65" i="2"/>
  <c r="AX56" i="2"/>
  <c r="AX57" i="2"/>
  <c r="AX58" i="2"/>
  <c r="AX59" i="2"/>
  <c r="AX60" i="2"/>
  <c r="AX61" i="2"/>
  <c r="AX62" i="2"/>
  <c r="AX63" i="2"/>
  <c r="AX64" i="2"/>
  <c r="AX65" i="2"/>
  <c r="BB56" i="2"/>
  <c r="BB57" i="2"/>
  <c r="BB58" i="2"/>
  <c r="BB59" i="2"/>
  <c r="BB60" i="2"/>
  <c r="BB61" i="2"/>
  <c r="BB62" i="2"/>
  <c r="BB63" i="2"/>
  <c r="BB64" i="2"/>
  <c r="BB65" i="2"/>
  <c r="BM56" i="2"/>
  <c r="BM57" i="2"/>
  <c r="BM58" i="2"/>
  <c r="BM59" i="2"/>
  <c r="BM60" i="2"/>
  <c r="BM61" i="2"/>
  <c r="BM62" i="2"/>
  <c r="BM63" i="2"/>
  <c r="BM64" i="2"/>
  <c r="BM65" i="2"/>
  <c r="BR56" i="2"/>
  <c r="BR57" i="2"/>
  <c r="BR58" i="2"/>
  <c r="BR59" i="2"/>
  <c r="BR60" i="2"/>
  <c r="BR61" i="2"/>
  <c r="BR62" i="2"/>
  <c r="BR63" i="2"/>
  <c r="BR64" i="2"/>
  <c r="BR65" i="2"/>
  <c r="N34" i="2"/>
  <c r="N35" i="2"/>
  <c r="N36" i="2"/>
  <c r="N37" i="2"/>
  <c r="N38" i="2"/>
  <c r="N39" i="2"/>
  <c r="AX34" i="2"/>
  <c r="AX35" i="2"/>
  <c r="AX36" i="2"/>
  <c r="AX37" i="2"/>
  <c r="AX38" i="2"/>
  <c r="AX39" i="2"/>
  <c r="BB34" i="2"/>
  <c r="BB35" i="2"/>
  <c r="BB36" i="2"/>
  <c r="BB37" i="2"/>
  <c r="BB38" i="2"/>
  <c r="BB39" i="2"/>
  <c r="BM34" i="2"/>
  <c r="BM35" i="2"/>
  <c r="BM36" i="2"/>
  <c r="BM37" i="2"/>
  <c r="BM38" i="2"/>
  <c r="BM39" i="2"/>
  <c r="BR34" i="2"/>
  <c r="BR35" i="2"/>
  <c r="BR36" i="2"/>
  <c r="BR37" i="2"/>
  <c r="BR38" i="2"/>
  <c r="BR39" i="2"/>
  <c r="N40" i="2"/>
  <c r="N41" i="2"/>
  <c r="N42" i="2"/>
  <c r="N43" i="2"/>
  <c r="AX40" i="2"/>
  <c r="AX41" i="2"/>
  <c r="AX42" i="2"/>
  <c r="AX43" i="2"/>
  <c r="BB40" i="2"/>
  <c r="BB41" i="2"/>
  <c r="BB42" i="2"/>
  <c r="BB43" i="2"/>
  <c r="BM40" i="2"/>
  <c r="BM41" i="2"/>
  <c r="BM42" i="2"/>
  <c r="BM43" i="2"/>
  <c r="BR40" i="2"/>
  <c r="BR41" i="2"/>
  <c r="BR42" i="2"/>
  <c r="BR43" i="2"/>
  <c r="N44" i="2"/>
  <c r="AX44" i="2"/>
  <c r="BB44" i="2"/>
  <c r="BM44" i="2"/>
  <c r="BR44" i="2"/>
  <c r="N46" i="2"/>
  <c r="N47" i="2"/>
  <c r="N48" i="2"/>
  <c r="N49" i="2"/>
  <c r="N50" i="2"/>
  <c r="N51" i="2"/>
  <c r="N52" i="2"/>
  <c r="N53" i="2"/>
  <c r="AX46" i="2"/>
  <c r="AX47" i="2"/>
  <c r="AX48" i="2"/>
  <c r="AX49" i="2"/>
  <c r="AX50" i="2"/>
  <c r="AX51" i="2"/>
  <c r="AX52" i="2"/>
  <c r="AX53" i="2"/>
  <c r="BB46" i="2"/>
  <c r="BB47" i="2"/>
  <c r="BB48" i="2"/>
  <c r="BB49" i="2"/>
  <c r="BB50" i="2"/>
  <c r="BB51" i="2"/>
  <c r="BB52" i="2"/>
  <c r="BB53" i="2"/>
  <c r="BM46" i="2"/>
  <c r="BM47" i="2"/>
  <c r="BM48" i="2"/>
  <c r="BM49" i="2"/>
  <c r="BM50" i="2"/>
  <c r="BM51" i="2"/>
  <c r="BM52" i="2"/>
  <c r="BM53" i="2"/>
  <c r="BR46" i="2"/>
  <c r="BR47" i="2"/>
  <c r="BR48" i="2"/>
  <c r="BR49" i="2"/>
  <c r="BR50" i="2"/>
  <c r="BR51" i="2"/>
  <c r="BR52" i="2"/>
  <c r="BR53" i="2"/>
  <c r="AB182" i="10"/>
  <c r="AB191" i="10"/>
  <c r="AB193" i="10"/>
  <c r="AB183" i="10"/>
  <c r="AB184" i="10"/>
  <c r="AB176" i="10"/>
  <c r="AB192" i="10"/>
  <c r="AB185" i="10"/>
  <c r="AB194" i="10"/>
  <c r="AB177" i="10"/>
  <c r="AB178" i="10"/>
  <c r="AB186" i="10"/>
  <c r="AB187" i="10"/>
  <c r="AB179" i="10"/>
  <c r="AB195" i="10"/>
  <c r="AB196" i="10"/>
  <c r="AB188" i="10"/>
  <c r="AB189" i="10"/>
  <c r="AB197" i="10"/>
  <c r="AB180" i="10"/>
  <c r="AB198" i="10"/>
  <c r="AB200" i="10"/>
  <c r="AB201" i="10"/>
  <c r="AB199" i="10"/>
  <c r="AB155" i="10"/>
  <c r="AB156" i="10"/>
  <c r="AB157" i="10"/>
  <c r="AB158" i="10"/>
  <c r="AB159" i="10"/>
  <c r="AB160" i="10"/>
  <c r="AB161" i="10"/>
  <c r="AB162" i="10"/>
  <c r="AB163" i="10"/>
  <c r="AB164" i="10"/>
  <c r="AB165" i="10"/>
  <c r="AB166" i="10"/>
  <c r="AB167" i="10"/>
  <c r="AB168" i="10"/>
  <c r="AB169" i="10"/>
  <c r="AB170" i="10"/>
  <c r="AB171" i="10"/>
  <c r="AB172" i="10"/>
  <c r="AB173" i="10"/>
  <c r="AB174" i="10"/>
  <c r="AB175" i="10"/>
  <c r="AB190" i="10"/>
  <c r="AB181" i="10"/>
  <c r="AB130" i="10"/>
  <c r="AB131" i="10"/>
  <c r="AB132" i="10"/>
  <c r="AB133" i="10"/>
  <c r="AB134" i="10"/>
  <c r="AB135" i="10"/>
  <c r="AB136" i="10"/>
  <c r="AB137" i="10"/>
  <c r="AB138" i="10"/>
  <c r="AB139" i="10"/>
  <c r="AB140" i="10"/>
  <c r="AB141" i="10"/>
  <c r="AB142" i="10"/>
  <c r="AB143" i="10"/>
  <c r="AB144" i="10"/>
  <c r="AB145" i="10"/>
  <c r="AB146" i="10"/>
  <c r="AB147" i="10"/>
  <c r="AB148" i="10"/>
  <c r="AB149" i="10"/>
  <c r="AB150" i="10"/>
  <c r="AB151" i="10"/>
  <c r="AB152" i="10"/>
  <c r="AB153" i="10"/>
  <c r="AB154" i="10"/>
  <c r="AB110" i="10"/>
  <c r="AB111" i="10"/>
  <c r="AB112" i="10"/>
  <c r="AB113" i="10"/>
  <c r="AB114" i="10"/>
  <c r="AB115" i="10"/>
  <c r="AB116" i="10"/>
  <c r="AB117" i="10"/>
  <c r="AB118" i="10"/>
  <c r="AB119" i="10"/>
  <c r="AB120" i="10"/>
  <c r="AB121" i="10"/>
  <c r="AB122" i="10"/>
  <c r="AB123" i="10"/>
  <c r="AB124" i="10"/>
  <c r="AB125" i="10"/>
  <c r="AB126" i="10"/>
  <c r="AB127" i="10"/>
  <c r="AB128" i="10"/>
  <c r="AB129" i="10"/>
  <c r="AB65" i="10"/>
  <c r="AB66" i="10"/>
  <c r="AB67" i="10"/>
  <c r="AB68" i="10"/>
  <c r="AB69" i="10"/>
  <c r="AB70" i="10"/>
  <c r="AB71" i="10"/>
  <c r="AB72" i="10"/>
  <c r="AB73" i="10"/>
  <c r="AB74" i="10"/>
  <c r="AB75" i="10"/>
  <c r="AB76" i="10"/>
  <c r="AB77" i="10"/>
  <c r="AB78" i="10"/>
  <c r="AB79" i="10"/>
  <c r="AB80" i="10"/>
  <c r="AB81" i="10"/>
  <c r="AB82" i="10"/>
  <c r="AB83" i="10"/>
  <c r="AB84" i="10"/>
  <c r="AB85" i="10"/>
  <c r="AB86" i="10"/>
  <c r="AB87" i="10"/>
  <c r="AB88" i="10"/>
  <c r="AB89" i="10"/>
  <c r="AB90" i="10"/>
  <c r="AB91" i="10"/>
  <c r="AB92" i="10"/>
  <c r="AB93" i="10"/>
  <c r="AB94" i="10"/>
  <c r="AB95" i="10"/>
  <c r="AB96" i="10"/>
  <c r="AB97" i="10"/>
  <c r="AB98" i="10"/>
  <c r="AB99" i="10"/>
  <c r="AB100" i="10"/>
  <c r="AB101" i="10"/>
  <c r="AB102" i="10"/>
  <c r="AB103" i="10"/>
  <c r="AB104" i="10"/>
  <c r="AB105" i="10"/>
  <c r="AB106" i="10"/>
  <c r="AB107" i="10"/>
  <c r="AB108" i="10"/>
  <c r="AB109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26" i="10"/>
  <c r="AB27" i="10"/>
  <c r="AB28" i="10"/>
  <c r="AB29" i="10"/>
  <c r="AB30" i="10"/>
  <c r="AB31" i="10"/>
  <c r="AB32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4" i="10"/>
  <c r="AB5" i="10"/>
  <c r="AB6" i="10"/>
  <c r="AB3" i="10"/>
  <c r="C199" i="10"/>
  <c r="AI199" i="10"/>
  <c r="AJ199" i="10"/>
  <c r="AY53" i="2" l="1"/>
  <c r="AY49" i="2"/>
  <c r="AY36" i="2"/>
  <c r="AY64" i="2"/>
  <c r="AY60" i="2"/>
  <c r="AY65" i="2"/>
  <c r="AY61" i="2"/>
  <c r="AY42" i="2"/>
  <c r="AY56" i="2"/>
  <c r="AY52" i="2"/>
  <c r="AY48" i="2"/>
  <c r="AY41" i="2"/>
  <c r="AY39" i="2"/>
  <c r="AY35" i="2"/>
  <c r="AY63" i="2"/>
  <c r="AY59" i="2"/>
  <c r="AY51" i="2"/>
  <c r="AY47" i="2"/>
  <c r="AY40" i="2"/>
  <c r="AY38" i="2"/>
  <c r="AY34" i="2"/>
  <c r="AY62" i="2"/>
  <c r="AY58" i="2"/>
  <c r="AY50" i="2"/>
  <c r="AY46" i="2"/>
  <c r="AY44" i="2"/>
  <c r="AY43" i="2"/>
  <c r="AY37" i="2"/>
  <c r="AY57" i="2"/>
  <c r="N45" i="2"/>
  <c r="AX45" i="2"/>
  <c r="BB45" i="2"/>
  <c r="AY45" i="2" s="1"/>
  <c r="BR45" i="2"/>
  <c r="AI177" i="10" l="1"/>
  <c r="AI178" i="10"/>
  <c r="AI186" i="10"/>
  <c r="AI187" i="10"/>
  <c r="AI179" i="10"/>
  <c r="AI195" i="10"/>
  <c r="AI196" i="10"/>
  <c r="AI188" i="10"/>
  <c r="AI189" i="10"/>
  <c r="AI197" i="10"/>
  <c r="AI180" i="10"/>
  <c r="AI198" i="10"/>
  <c r="AI200" i="10"/>
  <c r="AI201" i="10"/>
  <c r="AJ174" i="10"/>
  <c r="AJ181" i="10"/>
  <c r="AJ175" i="10"/>
  <c r="AJ182" i="10"/>
  <c r="AJ190" i="10"/>
  <c r="AJ191" i="10"/>
  <c r="AJ193" i="10"/>
  <c r="AJ183" i="10"/>
  <c r="AJ184" i="10"/>
  <c r="AJ176" i="10"/>
  <c r="AJ192" i="10"/>
  <c r="AJ185" i="10"/>
  <c r="AJ194" i="10"/>
  <c r="AJ177" i="10"/>
  <c r="AJ178" i="10"/>
  <c r="AJ186" i="10"/>
  <c r="AJ187" i="10"/>
  <c r="AJ179" i="10"/>
  <c r="AJ195" i="10"/>
  <c r="AJ196" i="10"/>
  <c r="AJ188" i="10"/>
  <c r="AJ189" i="10"/>
  <c r="AJ197" i="10"/>
  <c r="AJ180" i="10"/>
  <c r="AJ198" i="10"/>
  <c r="AJ200" i="10"/>
  <c r="AJ201" i="10"/>
  <c r="AI174" i="10"/>
  <c r="AI181" i="10"/>
  <c r="AI175" i="10"/>
  <c r="AI182" i="10"/>
  <c r="AI190" i="10"/>
  <c r="AI191" i="10"/>
  <c r="AI193" i="10"/>
  <c r="AI183" i="10"/>
  <c r="AI184" i="10"/>
  <c r="AI176" i="10"/>
  <c r="AI192" i="10"/>
  <c r="AI185" i="10"/>
  <c r="AI194" i="10"/>
  <c r="C109" i="10" l="1"/>
  <c r="AI109" i="10"/>
  <c r="AJ109" i="10"/>
  <c r="C3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36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7" i="10"/>
  <c r="C38" i="10"/>
  <c r="C39" i="10"/>
  <c r="C40" i="10"/>
  <c r="C41" i="10"/>
  <c r="C42" i="10"/>
  <c r="C43" i="10"/>
  <c r="C44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81" i="10"/>
  <c r="C175" i="10"/>
  <c r="C182" i="10"/>
  <c r="C190" i="10"/>
  <c r="C191" i="10"/>
  <c r="C193" i="10"/>
  <c r="C183" i="10"/>
  <c r="C184" i="10"/>
  <c r="C176" i="10"/>
  <c r="C192" i="10"/>
  <c r="C185" i="10"/>
  <c r="C194" i="10"/>
  <c r="C177" i="10"/>
  <c r="C178" i="10"/>
  <c r="C186" i="10"/>
  <c r="C187" i="10"/>
  <c r="C179" i="10"/>
  <c r="C195" i="10"/>
  <c r="C196" i="10"/>
  <c r="C188" i="10"/>
  <c r="C189" i="10"/>
  <c r="C197" i="10"/>
  <c r="C180" i="10"/>
  <c r="C198" i="10"/>
  <c r="C200" i="10"/>
  <c r="C201" i="10"/>
  <c r="AX3" i="2" l="1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54" i="2"/>
  <c r="AX5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7" i="2"/>
  <c r="AX86" i="2"/>
  <c r="AX89" i="2"/>
  <c r="AX90" i="2"/>
  <c r="AX91" i="2"/>
  <c r="AX92" i="2"/>
  <c r="AX94" i="2"/>
  <c r="AX88" i="2"/>
  <c r="AX93" i="2"/>
  <c r="AX102" i="2"/>
  <c r="AX96" i="2"/>
  <c r="AX100" i="2"/>
  <c r="AX101" i="2"/>
  <c r="AX99" i="2"/>
  <c r="AX97" i="2"/>
  <c r="AX98" i="2"/>
  <c r="AX104" i="2"/>
  <c r="AX105" i="2"/>
  <c r="AX103" i="2"/>
  <c r="AX106" i="2"/>
  <c r="AX107" i="2"/>
  <c r="AX108" i="2"/>
  <c r="AX109" i="2"/>
  <c r="AX110" i="2"/>
  <c r="AX111" i="2"/>
  <c r="AX113" i="2"/>
  <c r="AX114" i="2"/>
  <c r="AX115" i="2"/>
  <c r="AX116" i="2"/>
  <c r="AX117" i="2"/>
  <c r="AX118" i="2"/>
  <c r="AX112" i="2"/>
  <c r="AX121" i="2"/>
  <c r="AX119" i="2"/>
  <c r="AX122" i="2"/>
  <c r="AX123" i="2"/>
  <c r="AX124" i="2"/>
  <c r="AX125" i="2"/>
  <c r="AX126" i="2"/>
  <c r="AX127" i="2"/>
  <c r="AX128" i="2"/>
  <c r="AX129" i="2"/>
  <c r="AX120" i="2"/>
  <c r="AX198" i="2"/>
  <c r="AX130" i="2"/>
  <c r="AX131" i="2"/>
  <c r="AX137" i="2"/>
  <c r="AX138" i="2"/>
  <c r="AX132" i="2"/>
  <c r="AX133" i="2"/>
  <c r="AX134" i="2"/>
  <c r="AX135" i="2"/>
  <c r="AX136" i="2"/>
  <c r="AX139" i="2"/>
  <c r="AX141" i="2"/>
  <c r="AX142" i="2"/>
  <c r="AX143" i="2"/>
  <c r="AX144" i="2"/>
  <c r="AX145" i="2"/>
  <c r="AX151" i="2"/>
  <c r="AX163" i="2"/>
  <c r="AX140" i="2"/>
  <c r="AX146" i="2"/>
  <c r="AX181" i="2"/>
  <c r="AX161" i="2"/>
  <c r="AX147" i="2"/>
  <c r="AX148" i="2"/>
  <c r="AX155" i="2"/>
  <c r="AX154" i="2"/>
  <c r="AX153" i="2"/>
  <c r="AX159" i="2"/>
  <c r="AX158" i="2"/>
  <c r="AX156" i="2"/>
  <c r="AX157" i="2"/>
  <c r="AX149" i="2"/>
  <c r="AX150" i="2"/>
  <c r="AX152" i="2"/>
  <c r="AX162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80" i="2"/>
  <c r="AX160" i="2"/>
  <c r="AX185" i="2"/>
  <c r="AX196" i="2"/>
  <c r="AX179" i="2"/>
  <c r="AX182" i="2"/>
  <c r="AX183" i="2"/>
  <c r="AX184" i="2"/>
  <c r="AX186" i="2"/>
  <c r="AX189" i="2"/>
  <c r="AX190" i="2"/>
  <c r="AX188" i="2"/>
  <c r="AX191" i="2"/>
  <c r="AX192" i="2"/>
  <c r="AX193" i="2"/>
  <c r="AX194" i="2"/>
  <c r="AX195" i="2"/>
  <c r="AX187" i="2"/>
  <c r="AX197" i="2"/>
  <c r="AX200" i="2"/>
  <c r="AX209" i="2"/>
  <c r="AX201" i="2"/>
  <c r="AX202" i="2"/>
  <c r="AX203" i="2"/>
  <c r="AX204" i="2"/>
  <c r="AX199" i="2"/>
  <c r="AX205" i="2"/>
  <c r="AX206" i="2"/>
  <c r="AX207" i="2"/>
  <c r="AX210" i="2"/>
  <c r="AX208" i="2"/>
  <c r="AX211" i="2"/>
  <c r="AX215" i="2"/>
  <c r="AX213" i="2"/>
  <c r="AX214" i="2"/>
  <c r="AX218" i="2"/>
  <c r="AX212" i="2"/>
  <c r="AX219" i="2"/>
  <c r="AX220" i="2"/>
  <c r="AX221" i="2"/>
  <c r="AX222" i="2"/>
  <c r="AX223" i="2"/>
  <c r="AX224" i="2"/>
  <c r="AX229" i="2"/>
  <c r="AX230" i="2"/>
  <c r="AX231" i="2"/>
  <c r="AX232" i="2"/>
  <c r="AX233" i="2"/>
  <c r="AX216" i="2"/>
  <c r="AX217" i="2"/>
  <c r="AX225" i="2"/>
  <c r="AX227" i="2"/>
  <c r="AX255" i="2"/>
  <c r="AX234" i="2"/>
  <c r="AX235" i="2"/>
  <c r="AX226" i="2"/>
  <c r="AX228" i="2"/>
  <c r="AX236" i="2"/>
  <c r="AX239" i="2"/>
  <c r="AX240" i="2"/>
  <c r="AX241" i="2"/>
  <c r="AX247" i="2"/>
  <c r="AX248" i="2"/>
  <c r="AX242" i="2"/>
  <c r="AX243" i="2"/>
  <c r="AX244" i="2"/>
  <c r="AX245" i="2"/>
  <c r="AX246" i="2"/>
  <c r="AX249" i="2"/>
  <c r="AX250" i="2"/>
  <c r="AX251" i="2"/>
  <c r="AX252" i="2"/>
  <c r="AX253" i="2"/>
  <c r="AX238" i="2"/>
  <c r="AX237" i="2"/>
  <c r="AX254" i="2"/>
  <c r="AX256" i="2"/>
  <c r="AX270" i="2"/>
  <c r="AX271" i="2"/>
  <c r="AX257" i="2"/>
  <c r="AX258" i="2"/>
  <c r="AX259" i="2"/>
  <c r="AX288" i="2"/>
  <c r="AX283" i="2"/>
  <c r="AX282" i="2"/>
  <c r="AX261" i="2"/>
  <c r="AX262" i="2"/>
  <c r="AX260" i="2"/>
  <c r="AX287" i="2"/>
  <c r="AX272" i="2"/>
  <c r="AX273" i="2"/>
  <c r="AX274" i="2"/>
  <c r="AX275" i="2"/>
  <c r="AX276" i="2"/>
  <c r="AX277" i="2"/>
  <c r="AX278" i="2"/>
  <c r="AX279" i="2"/>
  <c r="AX265" i="2"/>
  <c r="AX266" i="2"/>
  <c r="AX267" i="2"/>
  <c r="AX263" i="2"/>
  <c r="AX268" i="2"/>
  <c r="AX269" i="2"/>
  <c r="AX264" i="2"/>
  <c r="AX284" i="2"/>
  <c r="AX285" i="2"/>
  <c r="AX286" i="2"/>
  <c r="AX280" i="2"/>
  <c r="AX281" i="2"/>
  <c r="AX290" i="2"/>
  <c r="AX289" i="2"/>
  <c r="AX327" i="2"/>
  <c r="AX302" i="2"/>
  <c r="AX303" i="2"/>
  <c r="AX292" i="2"/>
  <c r="AX293" i="2"/>
  <c r="AX294" i="2"/>
  <c r="AX295" i="2"/>
  <c r="AX296" i="2"/>
  <c r="AX297" i="2"/>
  <c r="AX298" i="2"/>
  <c r="AX299" i="2"/>
  <c r="AX300" i="2"/>
  <c r="AX301" i="2"/>
  <c r="AX304" i="2"/>
  <c r="AX309" i="2"/>
  <c r="AX307" i="2"/>
  <c r="AX305" i="2"/>
  <c r="AX308" i="2"/>
  <c r="AX306" i="2"/>
  <c r="AX291" i="2"/>
  <c r="AX311" i="2"/>
  <c r="AX310" i="2"/>
  <c r="AX312" i="2"/>
  <c r="AX313" i="2"/>
  <c r="AX326" i="2"/>
  <c r="AX316" i="2"/>
  <c r="AX317" i="2"/>
  <c r="AX315" i="2"/>
  <c r="AX318" i="2"/>
  <c r="AX314" i="2"/>
  <c r="AX320" i="2"/>
  <c r="AX319" i="2"/>
  <c r="AX322" i="2"/>
  <c r="AX321" i="2"/>
  <c r="AX323" i="2"/>
  <c r="AX324" i="2"/>
  <c r="AX325" i="2"/>
  <c r="AX328" i="2"/>
  <c r="AX329" i="2"/>
  <c r="AX330" i="2"/>
  <c r="AX331" i="2"/>
  <c r="AX335" i="2"/>
  <c r="AX333" i="2"/>
  <c r="AX336" i="2"/>
  <c r="AX332" i="2"/>
  <c r="AX334" i="2"/>
  <c r="AX350" i="2"/>
  <c r="AX337" i="2"/>
  <c r="AX338" i="2"/>
  <c r="AX339" i="2"/>
  <c r="AX340" i="2"/>
  <c r="AX369" i="2"/>
  <c r="AX370" i="2"/>
  <c r="AX371" i="2"/>
  <c r="AX372" i="2"/>
  <c r="AX373" i="2"/>
  <c r="AX341" i="2"/>
  <c r="AX358" i="2"/>
  <c r="AX345" i="2"/>
  <c r="AX344" i="2"/>
  <c r="AX349" i="2"/>
  <c r="AX400" i="2"/>
  <c r="AX348" i="2"/>
  <c r="AX343" i="2"/>
  <c r="AX347" i="2"/>
  <c r="AX342" i="2"/>
  <c r="AX379" i="2"/>
  <c r="AX367" i="2"/>
  <c r="AX408" i="2"/>
  <c r="AX346" i="2"/>
  <c r="AX351" i="2"/>
  <c r="AX352" i="2"/>
  <c r="AX353" i="2"/>
  <c r="AX354" i="2"/>
  <c r="AX355" i="2"/>
  <c r="AX357" i="2"/>
  <c r="AX368" i="2"/>
  <c r="AX399" i="2"/>
  <c r="AX366" i="2"/>
  <c r="AX356" i="2"/>
  <c r="AX387" i="2"/>
  <c r="AX359" i="2"/>
  <c r="AX360" i="2"/>
  <c r="AX361" i="2"/>
  <c r="AX363" i="2"/>
  <c r="AX362" i="2"/>
  <c r="AX364" i="2"/>
  <c r="AX365" i="2"/>
  <c r="AX403" i="2"/>
  <c r="AX404" i="2"/>
  <c r="AX397" i="2"/>
  <c r="AX398" i="2"/>
  <c r="AX374" i="2"/>
  <c r="AX376" i="2"/>
  <c r="AX377" i="2"/>
  <c r="AX378" i="2"/>
  <c r="AX375" i="2"/>
  <c r="AX380" i="2"/>
  <c r="AX381" i="2"/>
  <c r="AX435" i="2"/>
  <c r="AX388" i="2"/>
  <c r="AX382" i="2"/>
  <c r="AX383" i="2"/>
  <c r="AX384" i="2"/>
  <c r="AX385" i="2"/>
  <c r="AX386" i="2"/>
  <c r="AX389" i="2"/>
  <c r="AX390" i="2"/>
  <c r="AX392" i="2"/>
  <c r="AX391" i="2"/>
  <c r="AX394" i="2"/>
  <c r="AX393" i="2"/>
  <c r="AX395" i="2"/>
  <c r="AX396" i="2"/>
  <c r="AX401" i="2"/>
  <c r="AX402" i="2"/>
  <c r="AX405" i="2"/>
  <c r="AX407" i="2"/>
  <c r="AX411" i="2"/>
  <c r="AX406" i="2"/>
  <c r="AX409" i="2"/>
  <c r="AX410" i="2"/>
  <c r="AX412" i="2"/>
  <c r="AX413" i="2"/>
  <c r="AX414" i="2"/>
  <c r="AX415" i="2"/>
  <c r="AX436" i="2"/>
  <c r="AX443" i="2"/>
  <c r="AX444" i="2"/>
  <c r="AX430" i="2"/>
  <c r="AX416" i="2"/>
  <c r="AX437" i="2"/>
  <c r="AX438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33" i="2"/>
  <c r="AX431" i="2"/>
  <c r="AX432" i="2"/>
  <c r="AX434" i="2"/>
  <c r="AX439" i="2"/>
  <c r="AX440" i="2"/>
  <c r="AX441" i="2"/>
  <c r="AX442" i="2"/>
  <c r="AX488" i="2"/>
  <c r="AX473" i="2"/>
  <c r="AX474" i="2"/>
  <c r="AX446" i="2"/>
  <c r="AX447" i="2"/>
  <c r="AX448" i="2"/>
  <c r="AX449" i="2"/>
  <c r="AX471" i="2"/>
  <c r="AX472" i="2"/>
  <c r="AX445" i="2"/>
  <c r="AX450" i="2"/>
  <c r="AX451" i="2"/>
  <c r="AX454" i="2"/>
  <c r="AX452" i="2"/>
  <c r="AX453" i="2"/>
  <c r="AX455" i="2"/>
  <c r="AX456" i="2"/>
  <c r="AX457" i="2"/>
  <c r="AX458" i="2"/>
  <c r="AX465" i="2"/>
  <c r="AX466" i="2"/>
  <c r="AX467" i="2"/>
  <c r="AX468" i="2"/>
  <c r="AX470" i="2"/>
  <c r="AX460" i="2"/>
  <c r="AX461" i="2"/>
  <c r="AX462" i="2"/>
  <c r="AX463" i="2"/>
  <c r="AX459" i="2"/>
  <c r="AX464" i="2"/>
  <c r="AX476" i="2"/>
  <c r="AX478" i="2"/>
  <c r="AX480" i="2"/>
  <c r="AX479" i="2"/>
  <c r="AX477" i="2"/>
  <c r="AX469" i="2"/>
  <c r="AX475" i="2"/>
  <c r="AX511" i="2"/>
  <c r="AX483" i="2"/>
  <c r="AX481" i="2"/>
  <c r="AX512" i="2"/>
  <c r="AX489" i="2"/>
  <c r="AX514" i="2"/>
  <c r="AX484" i="2"/>
  <c r="AX485" i="2"/>
  <c r="AX486" i="2"/>
  <c r="AX487" i="2"/>
  <c r="AX482" i="2"/>
  <c r="AX498" i="2"/>
  <c r="AX490" i="2"/>
  <c r="AX491" i="2"/>
  <c r="AX499" i="2"/>
  <c r="AX492" i="2"/>
  <c r="AX493" i="2"/>
  <c r="AX494" i="2"/>
  <c r="AX495" i="2"/>
  <c r="AX496" i="2"/>
  <c r="AX497" i="2"/>
  <c r="AX500" i="2"/>
  <c r="AX506" i="2"/>
  <c r="AX507" i="2"/>
  <c r="AX508" i="2"/>
  <c r="AX509" i="2"/>
  <c r="AX510" i="2"/>
  <c r="AX501" i="2"/>
  <c r="AX502" i="2"/>
  <c r="AX503" i="2"/>
  <c r="AX504" i="2"/>
  <c r="AX505" i="2"/>
  <c r="AX515" i="2"/>
  <c r="AX516" i="2"/>
  <c r="AX517" i="2"/>
  <c r="AX518" i="2"/>
  <c r="AX519" i="2"/>
  <c r="AX520" i="2"/>
  <c r="AX521" i="2"/>
  <c r="AX522" i="2"/>
  <c r="AX523" i="2"/>
  <c r="AX524" i="2"/>
  <c r="AX525" i="2"/>
  <c r="AX526" i="2"/>
  <c r="AX527" i="2"/>
  <c r="AX528" i="2"/>
  <c r="AX529" i="2"/>
  <c r="AX530" i="2"/>
  <c r="AX531" i="2"/>
  <c r="AX532" i="2"/>
  <c r="AX533" i="2"/>
  <c r="AX534" i="2"/>
  <c r="AX535" i="2"/>
  <c r="AX536" i="2"/>
  <c r="AX537" i="2"/>
  <c r="AX538" i="2"/>
  <c r="AX539" i="2"/>
  <c r="AX540" i="2"/>
  <c r="AX541" i="2"/>
  <c r="AX542" i="2"/>
  <c r="AX543" i="2"/>
  <c r="AX544" i="2"/>
  <c r="AX545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X612" i="2"/>
  <c r="AX613" i="2"/>
  <c r="AX614" i="2"/>
  <c r="AX615" i="2"/>
  <c r="AX616" i="2"/>
  <c r="AX617" i="2"/>
  <c r="AX618" i="2"/>
  <c r="AX619" i="2"/>
  <c r="AX620" i="2"/>
  <c r="AX621" i="2"/>
  <c r="AX622" i="2"/>
  <c r="AX623" i="2"/>
  <c r="AX624" i="2"/>
  <c r="AX625" i="2"/>
  <c r="AX626" i="2"/>
  <c r="AX627" i="2"/>
  <c r="AX628" i="2"/>
  <c r="AX629" i="2"/>
  <c r="AX630" i="2"/>
  <c r="AX631" i="2"/>
  <c r="AX632" i="2"/>
  <c r="AX633" i="2"/>
  <c r="AX634" i="2"/>
  <c r="AX635" i="2"/>
  <c r="AX636" i="2"/>
  <c r="AX637" i="2"/>
  <c r="AX638" i="2"/>
  <c r="AX639" i="2"/>
  <c r="AX640" i="2"/>
  <c r="AX641" i="2"/>
  <c r="AX642" i="2"/>
  <c r="AX643" i="2"/>
  <c r="AX644" i="2"/>
  <c r="AX645" i="2"/>
  <c r="AX646" i="2"/>
  <c r="AX647" i="2"/>
  <c r="AX648" i="2"/>
  <c r="AX649" i="2"/>
  <c r="AX650" i="2"/>
  <c r="AX651" i="2"/>
  <c r="AX652" i="2"/>
  <c r="AX653" i="2"/>
  <c r="AX654" i="2"/>
  <c r="AX655" i="2"/>
  <c r="AX656" i="2"/>
  <c r="AX657" i="2"/>
  <c r="AX658" i="2"/>
  <c r="AX659" i="2"/>
  <c r="AX660" i="2"/>
  <c r="AX661" i="2"/>
  <c r="AX662" i="2"/>
  <c r="AX663" i="2"/>
  <c r="AX664" i="2"/>
  <c r="AX665" i="2"/>
  <c r="AX666" i="2"/>
  <c r="AX667" i="2"/>
  <c r="AX668" i="2"/>
  <c r="AX669" i="2"/>
  <c r="AX670" i="2"/>
  <c r="AX671" i="2"/>
  <c r="AX672" i="2"/>
  <c r="AX673" i="2"/>
  <c r="AX674" i="2"/>
  <c r="AX675" i="2"/>
  <c r="AX676" i="2"/>
  <c r="AX677" i="2"/>
  <c r="AX678" i="2"/>
  <c r="AX679" i="2"/>
  <c r="AX680" i="2"/>
  <c r="AX681" i="2"/>
  <c r="AX682" i="2"/>
  <c r="AX683" i="2"/>
  <c r="AX684" i="2"/>
  <c r="AX685" i="2"/>
  <c r="AX686" i="2"/>
  <c r="AX687" i="2"/>
  <c r="AX688" i="2"/>
  <c r="AX689" i="2"/>
  <c r="AX690" i="2"/>
  <c r="AX691" i="2"/>
  <c r="AX692" i="2"/>
  <c r="AX693" i="2"/>
  <c r="AX694" i="2"/>
  <c r="AX695" i="2"/>
  <c r="AX696" i="2"/>
  <c r="AX697" i="2"/>
  <c r="AX698" i="2"/>
  <c r="AX699" i="2"/>
  <c r="AX700" i="2"/>
  <c r="AX701" i="2"/>
  <c r="AX702" i="2"/>
  <c r="AX703" i="2"/>
  <c r="AX704" i="2"/>
  <c r="AX705" i="2"/>
  <c r="AX706" i="2"/>
  <c r="AX707" i="2"/>
  <c r="AX708" i="2"/>
  <c r="AX709" i="2"/>
  <c r="AX710" i="2"/>
  <c r="AX711" i="2"/>
  <c r="AX712" i="2"/>
  <c r="AX713" i="2"/>
  <c r="AX714" i="2"/>
  <c r="AX715" i="2"/>
  <c r="AX716" i="2"/>
  <c r="AX717" i="2"/>
  <c r="AX718" i="2"/>
  <c r="AX719" i="2"/>
  <c r="AX720" i="2"/>
  <c r="AX721" i="2"/>
  <c r="AX722" i="2"/>
  <c r="AX723" i="2"/>
  <c r="AX724" i="2"/>
  <c r="AX725" i="2"/>
  <c r="AX726" i="2"/>
  <c r="AX727" i="2"/>
  <c r="AX728" i="2"/>
  <c r="AX729" i="2"/>
  <c r="AX730" i="2"/>
  <c r="AX731" i="2"/>
  <c r="AX732" i="2"/>
  <c r="AX733" i="2"/>
  <c r="AX734" i="2"/>
  <c r="AX735" i="2"/>
  <c r="AX736" i="2"/>
  <c r="AX737" i="2"/>
  <c r="AX738" i="2"/>
  <c r="AX739" i="2"/>
  <c r="AX740" i="2"/>
  <c r="AX741" i="2"/>
  <c r="AX742" i="2"/>
  <c r="AX743" i="2"/>
  <c r="AX744" i="2"/>
  <c r="AX745" i="2"/>
  <c r="AX746" i="2"/>
  <c r="AX747" i="2"/>
  <c r="AX748" i="2"/>
  <c r="AX749" i="2"/>
  <c r="AX750" i="2"/>
  <c r="AX751" i="2"/>
  <c r="AX752" i="2"/>
  <c r="AX753" i="2"/>
  <c r="AX754" i="2"/>
  <c r="AX755" i="2"/>
  <c r="AX756" i="2"/>
  <c r="AX757" i="2"/>
  <c r="AX758" i="2"/>
  <c r="AX759" i="2"/>
  <c r="AX760" i="2"/>
  <c r="AX761" i="2"/>
  <c r="AX762" i="2"/>
  <c r="AX763" i="2"/>
  <c r="AX764" i="2"/>
  <c r="AX765" i="2"/>
  <c r="AX766" i="2"/>
  <c r="AX767" i="2"/>
  <c r="AX768" i="2"/>
  <c r="AX769" i="2"/>
  <c r="AX770" i="2"/>
  <c r="AX771" i="2"/>
  <c r="AX772" i="2"/>
  <c r="AX773" i="2"/>
  <c r="AX774" i="2"/>
  <c r="AX775" i="2"/>
  <c r="AX776" i="2"/>
  <c r="AX777" i="2"/>
  <c r="AX778" i="2"/>
  <c r="AX779" i="2"/>
  <c r="AX780" i="2"/>
  <c r="AX781" i="2"/>
  <c r="AX782" i="2"/>
  <c r="AX783" i="2"/>
  <c r="AX784" i="2"/>
  <c r="AX785" i="2"/>
  <c r="AX786" i="2"/>
  <c r="AX787" i="2"/>
  <c r="AX788" i="2"/>
  <c r="AX789" i="2"/>
  <c r="AX790" i="2"/>
  <c r="AX791" i="2"/>
  <c r="AX792" i="2"/>
  <c r="AX793" i="2"/>
  <c r="AX794" i="2"/>
  <c r="AX795" i="2"/>
  <c r="AX796" i="2"/>
  <c r="AX797" i="2"/>
  <c r="AX798" i="2"/>
  <c r="AX799" i="2"/>
  <c r="AX800" i="2"/>
  <c r="AX801" i="2"/>
  <c r="AX802" i="2"/>
  <c r="AX803" i="2"/>
  <c r="AX804" i="2"/>
  <c r="AX805" i="2"/>
  <c r="AX806" i="2"/>
  <c r="AX807" i="2"/>
  <c r="AX808" i="2"/>
  <c r="AX809" i="2"/>
  <c r="AX810" i="2"/>
  <c r="AX811" i="2"/>
  <c r="AX812" i="2"/>
  <c r="AX813" i="2"/>
  <c r="AX814" i="2"/>
  <c r="AX815" i="2"/>
  <c r="AX816" i="2"/>
  <c r="AX817" i="2"/>
  <c r="AX818" i="2"/>
  <c r="AX819" i="2"/>
  <c r="AX820" i="2"/>
  <c r="AX821" i="2"/>
  <c r="AX822" i="2"/>
  <c r="AX823" i="2"/>
  <c r="AX824" i="2"/>
  <c r="AX825" i="2"/>
  <c r="AX826" i="2"/>
  <c r="AX827" i="2"/>
  <c r="AX828" i="2"/>
  <c r="AX829" i="2"/>
  <c r="AX830" i="2"/>
  <c r="AX831" i="2"/>
  <c r="AX832" i="2"/>
  <c r="AX833" i="2"/>
  <c r="AX834" i="2"/>
  <c r="AX835" i="2"/>
  <c r="AX836" i="2"/>
  <c r="AX837" i="2"/>
  <c r="AX838" i="2"/>
  <c r="AX839" i="2"/>
  <c r="AX840" i="2"/>
  <c r="AX841" i="2"/>
  <c r="AX842" i="2"/>
  <c r="AX843" i="2"/>
  <c r="AX844" i="2"/>
  <c r="AX845" i="2"/>
  <c r="AX846" i="2"/>
  <c r="AX847" i="2"/>
  <c r="AX848" i="2"/>
  <c r="AX849" i="2"/>
  <c r="AX850" i="2"/>
  <c r="AX851" i="2"/>
  <c r="AX852" i="2"/>
  <c r="AX853" i="2"/>
  <c r="AX854" i="2"/>
  <c r="AX855" i="2"/>
  <c r="AX856" i="2"/>
  <c r="AX857" i="2"/>
  <c r="AX858" i="2"/>
  <c r="AX859" i="2"/>
  <c r="AX860" i="2"/>
  <c r="AX861" i="2"/>
  <c r="AX862" i="2"/>
  <c r="AX863" i="2"/>
  <c r="AX864" i="2"/>
  <c r="AX865" i="2"/>
  <c r="AX866" i="2"/>
  <c r="AX867" i="2"/>
  <c r="AX868" i="2"/>
  <c r="AX869" i="2"/>
  <c r="AX870" i="2"/>
  <c r="AX871" i="2"/>
  <c r="AX872" i="2"/>
  <c r="AX873" i="2"/>
  <c r="AX874" i="2"/>
  <c r="AX875" i="2"/>
  <c r="AX876" i="2"/>
  <c r="AX877" i="2"/>
  <c r="AX878" i="2"/>
  <c r="AX879" i="2"/>
  <c r="AX880" i="2"/>
  <c r="AX881" i="2"/>
  <c r="AX882" i="2"/>
  <c r="AX883" i="2"/>
  <c r="AX884" i="2"/>
  <c r="AX885" i="2"/>
  <c r="AX886" i="2"/>
  <c r="AX887" i="2"/>
  <c r="AX888" i="2"/>
  <c r="AX889" i="2"/>
  <c r="AX890" i="2"/>
  <c r="AX891" i="2"/>
  <c r="AX892" i="2"/>
  <c r="AX893" i="2"/>
  <c r="AX894" i="2"/>
  <c r="AX895" i="2"/>
  <c r="AX896" i="2"/>
  <c r="AX897" i="2"/>
  <c r="AX898" i="2"/>
  <c r="AX899" i="2"/>
  <c r="AX900" i="2"/>
  <c r="AX901" i="2"/>
  <c r="AX902" i="2"/>
  <c r="AX903" i="2"/>
  <c r="AX904" i="2"/>
  <c r="AX905" i="2"/>
  <c r="AX906" i="2"/>
  <c r="AX907" i="2"/>
  <c r="AX908" i="2"/>
  <c r="AX909" i="2"/>
  <c r="AX910" i="2"/>
  <c r="AX911" i="2"/>
  <c r="AX912" i="2"/>
  <c r="AX913" i="2"/>
  <c r="AX914" i="2"/>
  <c r="AX915" i="2"/>
  <c r="AX916" i="2"/>
  <c r="AX917" i="2"/>
  <c r="AX918" i="2"/>
  <c r="AX919" i="2"/>
  <c r="AX920" i="2"/>
  <c r="AX921" i="2"/>
  <c r="AX922" i="2"/>
  <c r="AX923" i="2"/>
  <c r="AX924" i="2"/>
  <c r="AX925" i="2"/>
  <c r="AX926" i="2"/>
  <c r="AX927" i="2"/>
  <c r="AX928" i="2"/>
  <c r="AX929" i="2"/>
  <c r="AX930" i="2"/>
  <c r="AX931" i="2"/>
  <c r="AX932" i="2"/>
  <c r="AX933" i="2"/>
  <c r="AX934" i="2"/>
  <c r="AX935" i="2"/>
  <c r="AX936" i="2"/>
  <c r="AX937" i="2"/>
  <c r="AX938" i="2"/>
  <c r="AX939" i="2"/>
  <c r="AX940" i="2"/>
  <c r="AX941" i="2"/>
  <c r="AX942" i="2"/>
  <c r="AX943" i="2"/>
  <c r="AX944" i="2"/>
  <c r="AX945" i="2"/>
  <c r="AX946" i="2"/>
  <c r="AX947" i="2"/>
  <c r="AX948" i="2"/>
  <c r="AX949" i="2"/>
  <c r="AX950" i="2"/>
  <c r="AX951" i="2"/>
  <c r="AX952" i="2"/>
  <c r="AX953" i="2"/>
  <c r="AX954" i="2"/>
  <c r="AX955" i="2"/>
  <c r="AX956" i="2"/>
  <c r="AX957" i="2"/>
  <c r="AX958" i="2"/>
  <c r="AX959" i="2"/>
  <c r="AX960" i="2"/>
  <c r="AX961" i="2"/>
  <c r="AX962" i="2"/>
  <c r="AX963" i="2"/>
  <c r="AX964" i="2"/>
  <c r="AX965" i="2"/>
  <c r="AX966" i="2"/>
  <c r="AX967" i="2"/>
  <c r="AX968" i="2"/>
  <c r="AX969" i="2"/>
  <c r="AX970" i="2"/>
  <c r="AX971" i="2"/>
  <c r="AX972" i="2"/>
  <c r="AX973" i="2"/>
  <c r="AX974" i="2"/>
  <c r="AX975" i="2"/>
  <c r="AX976" i="2"/>
  <c r="AX977" i="2"/>
  <c r="AX978" i="2"/>
  <c r="AX979" i="2"/>
  <c r="AX980" i="2"/>
  <c r="AX981" i="2"/>
  <c r="AX982" i="2"/>
  <c r="AX983" i="2"/>
  <c r="AX984" i="2"/>
  <c r="AX985" i="2"/>
  <c r="AX986" i="2"/>
  <c r="AX987" i="2"/>
  <c r="AX988" i="2"/>
  <c r="AX989" i="2"/>
  <c r="AX990" i="2"/>
  <c r="AX991" i="2"/>
  <c r="AX992" i="2"/>
  <c r="AX993" i="2"/>
  <c r="AX994" i="2"/>
  <c r="AX995" i="2"/>
  <c r="AX996" i="2"/>
  <c r="AX997" i="2"/>
  <c r="AX998" i="2"/>
  <c r="AX999" i="2"/>
  <c r="AX1000" i="2"/>
  <c r="AX1001" i="2"/>
  <c r="AX1002" i="2"/>
  <c r="AX1003" i="2"/>
  <c r="AX1004" i="2"/>
  <c r="AX1005" i="2"/>
  <c r="AX1006" i="2"/>
  <c r="AX1007" i="2"/>
  <c r="AX1008" i="2"/>
  <c r="AX1009" i="2"/>
  <c r="AX1010" i="2"/>
  <c r="AX1011" i="2"/>
  <c r="AX1012" i="2"/>
  <c r="AX1013" i="2"/>
  <c r="AX1014" i="2"/>
  <c r="AX1015" i="2"/>
  <c r="AX1016" i="2"/>
  <c r="AX1017" i="2"/>
  <c r="AX1018" i="2"/>
  <c r="AX1019" i="2"/>
  <c r="AX1020" i="2"/>
  <c r="AX1021" i="2"/>
  <c r="AX1022" i="2"/>
  <c r="AX1023" i="2"/>
  <c r="AX1024" i="2"/>
  <c r="AX1025" i="2"/>
  <c r="AX1026" i="2"/>
  <c r="AX1027" i="2"/>
  <c r="AX1028" i="2"/>
  <c r="AX1029" i="2"/>
  <c r="AX1030" i="2"/>
  <c r="AX1031" i="2"/>
  <c r="AX1032" i="2"/>
  <c r="AX1033" i="2"/>
  <c r="AX1034" i="2"/>
  <c r="AX1035" i="2"/>
  <c r="AX1036" i="2"/>
  <c r="AX1037" i="2"/>
  <c r="AX1038" i="2"/>
  <c r="AX1039" i="2"/>
  <c r="AX1040" i="2"/>
  <c r="AX1041" i="2"/>
  <c r="AX1042" i="2"/>
  <c r="AX1043" i="2"/>
  <c r="AX1044" i="2"/>
  <c r="AX1045" i="2"/>
  <c r="AX1046" i="2"/>
  <c r="AX1047" i="2"/>
  <c r="AX1048" i="2"/>
  <c r="AX1049" i="2"/>
  <c r="AX1050" i="2"/>
  <c r="AX1051" i="2"/>
  <c r="AX1052" i="2"/>
  <c r="AX1053" i="2"/>
  <c r="AX1054" i="2"/>
  <c r="AX1055" i="2"/>
  <c r="AX1056" i="2"/>
  <c r="AX1057" i="2"/>
  <c r="AX1058" i="2"/>
  <c r="AX1059" i="2"/>
  <c r="AX1060" i="2"/>
  <c r="AX1061" i="2"/>
  <c r="AX1062" i="2"/>
  <c r="AX1063" i="2"/>
  <c r="AX1064" i="2"/>
  <c r="AX1065" i="2"/>
  <c r="AX1066" i="2"/>
  <c r="AX1067" i="2"/>
  <c r="AX1068" i="2"/>
  <c r="AX1069" i="2"/>
  <c r="AX1070" i="2"/>
  <c r="AX1071" i="2"/>
  <c r="AX1072" i="2"/>
  <c r="AX1073" i="2"/>
  <c r="AX1074" i="2"/>
  <c r="AX1075" i="2"/>
  <c r="AX1076" i="2"/>
  <c r="AX1077" i="2"/>
  <c r="AX1078" i="2"/>
  <c r="AX1079" i="2"/>
  <c r="AX1080" i="2"/>
  <c r="AX1081" i="2"/>
  <c r="AX1082" i="2"/>
  <c r="AX1083" i="2"/>
  <c r="AX1084" i="2"/>
  <c r="AX1085" i="2"/>
  <c r="AX1086" i="2"/>
  <c r="AX1087" i="2"/>
  <c r="AX1088" i="2"/>
  <c r="AX1089" i="2"/>
  <c r="AX1090" i="2"/>
  <c r="AX1091" i="2"/>
  <c r="AX1092" i="2"/>
  <c r="AX1093" i="2"/>
  <c r="AX1094" i="2"/>
  <c r="AX1095" i="2"/>
  <c r="AX1096" i="2"/>
  <c r="AX1097" i="2"/>
  <c r="AX1098" i="2"/>
  <c r="AX1099" i="2"/>
  <c r="AX1100" i="2"/>
  <c r="AX1101" i="2"/>
  <c r="AX1102" i="2"/>
  <c r="AX1103" i="2"/>
  <c r="AX1104" i="2"/>
  <c r="AX1105" i="2"/>
  <c r="AX1106" i="2"/>
  <c r="AX1107" i="2"/>
  <c r="AX1108" i="2"/>
  <c r="AX1109" i="2"/>
  <c r="AX1110" i="2"/>
  <c r="AX1111" i="2"/>
  <c r="AX1112" i="2"/>
  <c r="AX1113" i="2"/>
  <c r="AX1114" i="2"/>
  <c r="AX1115" i="2"/>
  <c r="AX1116" i="2"/>
  <c r="AX1117" i="2"/>
  <c r="AX1118" i="2"/>
  <c r="AX1119" i="2"/>
  <c r="AX1120" i="2"/>
  <c r="AX1121" i="2"/>
  <c r="AX1122" i="2"/>
  <c r="AX1123" i="2"/>
  <c r="AX1124" i="2"/>
  <c r="AX1125" i="2"/>
  <c r="AX1126" i="2"/>
  <c r="AX1127" i="2"/>
  <c r="AX1128" i="2"/>
  <c r="AX1129" i="2"/>
  <c r="AX1130" i="2"/>
  <c r="AX1131" i="2"/>
  <c r="AX1132" i="2"/>
  <c r="AX1133" i="2"/>
  <c r="AX1134" i="2"/>
  <c r="AX1135" i="2"/>
  <c r="AX1136" i="2"/>
  <c r="AX1137" i="2"/>
  <c r="AX1138" i="2"/>
  <c r="AX1139" i="2"/>
  <c r="AX1140" i="2"/>
  <c r="AX1141" i="2"/>
  <c r="AX1142" i="2"/>
  <c r="AX1143" i="2"/>
  <c r="AX1144" i="2"/>
  <c r="AX1145" i="2"/>
  <c r="AX1146" i="2"/>
  <c r="AX1147" i="2"/>
  <c r="AX1148" i="2"/>
  <c r="AX1149" i="2"/>
  <c r="AX1150" i="2"/>
  <c r="AX1151" i="2"/>
  <c r="AX1152" i="2"/>
  <c r="AX1153" i="2"/>
  <c r="AX1154" i="2"/>
  <c r="AX1155" i="2"/>
  <c r="AX1156" i="2"/>
  <c r="AX1157" i="2"/>
  <c r="AX1158" i="2"/>
  <c r="AX1159" i="2"/>
  <c r="AX1160" i="2"/>
  <c r="AX1161" i="2"/>
  <c r="AX1162" i="2"/>
  <c r="AX1163" i="2"/>
  <c r="AX1164" i="2"/>
  <c r="AX1165" i="2"/>
  <c r="AX1166" i="2"/>
  <c r="AX1167" i="2"/>
  <c r="AX1168" i="2"/>
  <c r="AX1169" i="2"/>
  <c r="AX1170" i="2"/>
  <c r="AX1171" i="2"/>
  <c r="AX1172" i="2"/>
  <c r="AX1173" i="2"/>
  <c r="AX1174" i="2"/>
  <c r="AX1175" i="2"/>
  <c r="AX1176" i="2"/>
  <c r="AX1177" i="2"/>
  <c r="AX1178" i="2"/>
  <c r="AX1179" i="2"/>
  <c r="AX1180" i="2"/>
  <c r="AX1181" i="2"/>
  <c r="AX1182" i="2"/>
  <c r="AX1183" i="2"/>
  <c r="AX1184" i="2"/>
  <c r="AX1185" i="2"/>
  <c r="AX1186" i="2"/>
  <c r="AX1187" i="2"/>
  <c r="AX1188" i="2"/>
  <c r="AX1189" i="2"/>
  <c r="AX1190" i="2"/>
  <c r="AX1191" i="2"/>
  <c r="AX1192" i="2"/>
  <c r="AX1193" i="2"/>
  <c r="AX1194" i="2"/>
  <c r="AX1195" i="2"/>
  <c r="AX1196" i="2"/>
  <c r="AX1197" i="2"/>
  <c r="AX1198" i="2"/>
  <c r="AX1199" i="2"/>
  <c r="AX1200" i="2"/>
  <c r="AX1201" i="2"/>
  <c r="AX1202" i="2"/>
  <c r="AX1203" i="2"/>
  <c r="AX1204" i="2"/>
  <c r="AX1205" i="2"/>
  <c r="AX1206" i="2"/>
  <c r="AX1207" i="2"/>
  <c r="AX1208" i="2"/>
  <c r="AX1209" i="2"/>
  <c r="AX1210" i="2"/>
  <c r="AX1211" i="2"/>
  <c r="AX1212" i="2"/>
  <c r="AX1213" i="2"/>
  <c r="AX1214" i="2"/>
  <c r="AX1215" i="2"/>
  <c r="AX1216" i="2"/>
  <c r="AX1217" i="2"/>
  <c r="AX1218" i="2"/>
  <c r="AX1219" i="2"/>
  <c r="AX1220" i="2"/>
  <c r="AX1221" i="2"/>
  <c r="AX1222" i="2"/>
  <c r="AX1223" i="2"/>
  <c r="AX1224" i="2"/>
  <c r="AX1225" i="2"/>
  <c r="AX1226" i="2"/>
  <c r="AX1227" i="2"/>
  <c r="AX1228" i="2"/>
  <c r="AX1229" i="2"/>
  <c r="AX1230" i="2"/>
  <c r="AX1231" i="2"/>
  <c r="AX1232" i="2"/>
  <c r="AX1233" i="2"/>
  <c r="AX1234" i="2"/>
  <c r="AX1235" i="2"/>
  <c r="AX1236" i="2"/>
  <c r="AX1237" i="2"/>
  <c r="AX1238" i="2"/>
  <c r="AX1239" i="2"/>
  <c r="AX1240" i="2"/>
  <c r="AX1241" i="2"/>
  <c r="AX1242" i="2"/>
  <c r="AX1243" i="2"/>
  <c r="AX1244" i="2"/>
  <c r="AX1245" i="2"/>
  <c r="AX1246" i="2"/>
  <c r="AX1247" i="2"/>
  <c r="AX1248" i="2"/>
  <c r="AX1249" i="2"/>
  <c r="AX1250" i="2"/>
  <c r="AX1251" i="2"/>
  <c r="AX1252" i="2"/>
  <c r="AX1253" i="2"/>
  <c r="AX1254" i="2"/>
  <c r="AX1255" i="2"/>
  <c r="AX1256" i="2"/>
  <c r="AX1257" i="2"/>
  <c r="AX1258" i="2"/>
  <c r="AX1259" i="2"/>
  <c r="AX1260" i="2"/>
  <c r="AX1261" i="2"/>
  <c r="AX1262" i="2"/>
  <c r="AX1263" i="2"/>
  <c r="AX1264" i="2"/>
  <c r="AX1265" i="2"/>
  <c r="AX1266" i="2"/>
  <c r="AX1267" i="2"/>
  <c r="AX1268" i="2"/>
  <c r="AX1269" i="2"/>
  <c r="AX1270" i="2"/>
  <c r="AX1271" i="2"/>
  <c r="AX1272" i="2"/>
  <c r="AX1273" i="2"/>
  <c r="AX1274" i="2"/>
  <c r="AX1275" i="2"/>
  <c r="AX1276" i="2"/>
  <c r="AX1277" i="2"/>
  <c r="AX1278" i="2"/>
  <c r="AX1279" i="2"/>
  <c r="AX1280" i="2"/>
  <c r="AX1281" i="2"/>
  <c r="AX1282" i="2"/>
  <c r="AX1283" i="2"/>
  <c r="AX1284" i="2"/>
  <c r="AX1285" i="2"/>
  <c r="AX1286" i="2"/>
  <c r="AX1287" i="2"/>
  <c r="AX1288" i="2"/>
  <c r="AX1289" i="2"/>
  <c r="AX1290" i="2"/>
  <c r="AX1291" i="2"/>
  <c r="AX1292" i="2"/>
  <c r="AX1293" i="2"/>
  <c r="AX1294" i="2"/>
  <c r="AX1295" i="2"/>
  <c r="AX1296" i="2"/>
  <c r="AX1297" i="2"/>
  <c r="AX1298" i="2"/>
  <c r="AX1299" i="2"/>
  <c r="AX1300" i="2"/>
  <c r="AX1301" i="2"/>
  <c r="AX1302" i="2"/>
  <c r="AX1303" i="2"/>
  <c r="AX1304" i="2"/>
  <c r="AX1305" i="2"/>
  <c r="AX1306" i="2"/>
  <c r="AX1307" i="2"/>
  <c r="AX1308" i="2"/>
  <c r="AX1309" i="2"/>
  <c r="AX1310" i="2"/>
  <c r="AX1311" i="2"/>
  <c r="AX1312" i="2"/>
  <c r="AX1313" i="2"/>
  <c r="AX1314" i="2"/>
  <c r="AX1315" i="2"/>
  <c r="AX1316" i="2"/>
  <c r="AX1317" i="2"/>
  <c r="AX1318" i="2"/>
  <c r="AX1319" i="2"/>
  <c r="AX1320" i="2"/>
  <c r="AX1321" i="2"/>
  <c r="AX1322" i="2"/>
  <c r="AX1323" i="2"/>
  <c r="AX1324" i="2"/>
  <c r="AX1325" i="2"/>
  <c r="AX1326" i="2"/>
  <c r="AX1327" i="2"/>
  <c r="AX1328" i="2"/>
  <c r="AX1329" i="2"/>
  <c r="AX1330" i="2"/>
  <c r="AX1331" i="2"/>
  <c r="AX1332" i="2"/>
  <c r="AX1333" i="2"/>
  <c r="AX1334" i="2"/>
  <c r="AX1335" i="2"/>
  <c r="AX1336" i="2"/>
  <c r="AX1337" i="2"/>
  <c r="AX1338" i="2"/>
  <c r="AX1339" i="2"/>
  <c r="AX1340" i="2"/>
  <c r="AX1341" i="2"/>
  <c r="AX1342" i="2"/>
  <c r="AX1343" i="2"/>
  <c r="AX1344" i="2"/>
  <c r="AX1345" i="2"/>
  <c r="AX1346" i="2"/>
  <c r="AX1347" i="2"/>
  <c r="AX1348" i="2"/>
  <c r="AX1349" i="2"/>
  <c r="AX1350" i="2"/>
  <c r="AX1351" i="2"/>
  <c r="AX1352" i="2"/>
  <c r="AX1353" i="2"/>
  <c r="AX1354" i="2"/>
  <c r="AX1355" i="2"/>
  <c r="AX1356" i="2"/>
  <c r="AX1357" i="2"/>
  <c r="AX1358" i="2"/>
  <c r="AX1359" i="2"/>
  <c r="AX1360" i="2"/>
  <c r="AX1361" i="2"/>
  <c r="AX1362" i="2"/>
  <c r="AX1363" i="2"/>
  <c r="AX1364" i="2"/>
  <c r="AX1365" i="2"/>
  <c r="AX1366" i="2"/>
  <c r="AX1367" i="2"/>
  <c r="AX1368" i="2"/>
  <c r="AX1369" i="2"/>
  <c r="AX1370" i="2"/>
  <c r="AX1371" i="2"/>
  <c r="AX1372" i="2"/>
  <c r="AX1373" i="2"/>
  <c r="AX1374" i="2"/>
  <c r="AX1375" i="2"/>
  <c r="AX1376" i="2"/>
  <c r="AX1377" i="2"/>
  <c r="AX1378" i="2"/>
  <c r="AX1379" i="2"/>
  <c r="AX1380" i="2"/>
  <c r="AX1381" i="2"/>
  <c r="AX1382" i="2"/>
  <c r="AX1383" i="2"/>
  <c r="AX1384" i="2"/>
  <c r="AX1385" i="2"/>
  <c r="AX1386" i="2"/>
  <c r="AX1387" i="2"/>
  <c r="AX1388" i="2"/>
  <c r="AX1389" i="2"/>
  <c r="AX1390" i="2"/>
  <c r="AX1391" i="2"/>
  <c r="AX1392" i="2"/>
  <c r="AX1393" i="2"/>
  <c r="AX1394" i="2"/>
  <c r="AX1395" i="2"/>
  <c r="AX1396" i="2"/>
  <c r="AX1397" i="2"/>
  <c r="AX1398" i="2"/>
  <c r="AX1399" i="2"/>
  <c r="AX1400" i="2"/>
  <c r="AX1401" i="2"/>
  <c r="AX1402" i="2"/>
  <c r="AX1403" i="2"/>
  <c r="AX1404" i="2"/>
  <c r="AX1405" i="2"/>
  <c r="AX1406" i="2"/>
  <c r="AX1407" i="2"/>
  <c r="AX1408" i="2"/>
  <c r="AX1409" i="2"/>
  <c r="AX1410" i="2"/>
  <c r="AX1411" i="2"/>
  <c r="AX1412" i="2"/>
  <c r="AX1413" i="2"/>
  <c r="AX1414" i="2"/>
  <c r="AX1415" i="2"/>
  <c r="AX1416" i="2"/>
  <c r="AX1417" i="2"/>
  <c r="AX1418" i="2"/>
  <c r="AX1419" i="2"/>
  <c r="AX1420" i="2"/>
  <c r="AX1421" i="2"/>
  <c r="AX1422" i="2"/>
  <c r="AX1423" i="2"/>
  <c r="AX1424" i="2"/>
  <c r="AX1425" i="2"/>
  <c r="AX1426" i="2"/>
  <c r="AX1427" i="2"/>
  <c r="AX1428" i="2"/>
  <c r="AX1429" i="2"/>
  <c r="AX1430" i="2"/>
  <c r="AX1431" i="2"/>
  <c r="AX1432" i="2"/>
  <c r="AX1433" i="2"/>
  <c r="AX1434" i="2"/>
  <c r="AX1435" i="2"/>
  <c r="AX1436" i="2"/>
  <c r="AX1437" i="2"/>
  <c r="AX1438" i="2"/>
  <c r="AX1439" i="2"/>
  <c r="AX1440" i="2"/>
  <c r="AX1441" i="2"/>
  <c r="AX1442" i="2"/>
  <c r="AX1443" i="2"/>
  <c r="AX1444" i="2"/>
  <c r="AX1445" i="2"/>
  <c r="AX1446" i="2"/>
  <c r="AX1447" i="2"/>
  <c r="AX1448" i="2"/>
  <c r="AX1449" i="2"/>
  <c r="AX1450" i="2"/>
  <c r="AX1451" i="2"/>
  <c r="AX1452" i="2"/>
  <c r="AX1453" i="2"/>
  <c r="AX1454" i="2"/>
  <c r="AX1455" i="2"/>
  <c r="AX1456" i="2"/>
  <c r="AX1457" i="2"/>
  <c r="AX1458" i="2"/>
  <c r="AX1459" i="2"/>
  <c r="AX1460" i="2"/>
  <c r="AX1461" i="2"/>
  <c r="AX1462" i="2"/>
  <c r="AX1463" i="2"/>
  <c r="AX1464" i="2"/>
  <c r="AX1465" i="2"/>
  <c r="AX1466" i="2"/>
  <c r="AX1467" i="2"/>
  <c r="AX1468" i="2"/>
  <c r="AX1469" i="2"/>
  <c r="AX1470" i="2"/>
  <c r="AX1471" i="2"/>
  <c r="AX1472" i="2"/>
  <c r="AX1473" i="2"/>
  <c r="AX1474" i="2"/>
  <c r="AX1475" i="2"/>
  <c r="AX1476" i="2"/>
  <c r="AX1477" i="2"/>
  <c r="AX1478" i="2"/>
  <c r="AX1479" i="2"/>
  <c r="AX1480" i="2"/>
  <c r="AX1481" i="2"/>
  <c r="AX1482" i="2"/>
  <c r="AX1483" i="2"/>
  <c r="AX1484" i="2"/>
  <c r="AX1485" i="2"/>
  <c r="AX1486" i="2"/>
  <c r="AX1487" i="2"/>
  <c r="AX1488" i="2"/>
  <c r="AX1489" i="2"/>
  <c r="AX1490" i="2"/>
  <c r="AX1491" i="2"/>
  <c r="AX1492" i="2"/>
  <c r="AX1493" i="2"/>
  <c r="AX1494" i="2"/>
  <c r="AX1495" i="2"/>
  <c r="AX1496" i="2"/>
  <c r="AX1497" i="2"/>
  <c r="AX1498" i="2"/>
  <c r="AX1499" i="2"/>
  <c r="AX1500" i="2"/>
  <c r="AX1501" i="2"/>
  <c r="AX1502" i="2"/>
  <c r="AX1503" i="2"/>
  <c r="AX1504" i="2"/>
  <c r="AX1505" i="2"/>
  <c r="AX1506" i="2"/>
  <c r="AX1507" i="2"/>
  <c r="AX1508" i="2"/>
  <c r="AX1509" i="2"/>
  <c r="AX1510" i="2"/>
  <c r="AX1511" i="2"/>
  <c r="AX1512" i="2"/>
  <c r="AX1513" i="2"/>
  <c r="AX1514" i="2"/>
  <c r="AX1515" i="2"/>
  <c r="AX1516" i="2"/>
  <c r="AX1517" i="2"/>
  <c r="AX1518" i="2"/>
  <c r="AX1519" i="2"/>
  <c r="AX1520" i="2"/>
  <c r="AX1521" i="2"/>
  <c r="AX1522" i="2"/>
  <c r="AX1523" i="2"/>
  <c r="AX1524" i="2"/>
  <c r="AX1525" i="2"/>
  <c r="AX1526" i="2"/>
  <c r="AX1527" i="2"/>
  <c r="AX1528" i="2"/>
  <c r="AX1529" i="2"/>
  <c r="AX1530" i="2"/>
  <c r="AX1531" i="2"/>
  <c r="AX1532" i="2"/>
  <c r="AX1533" i="2"/>
  <c r="AX1534" i="2"/>
  <c r="AX1535" i="2"/>
  <c r="AX1536" i="2"/>
  <c r="AX1537" i="2"/>
  <c r="AX1538" i="2"/>
  <c r="AX1539" i="2"/>
  <c r="AX1540" i="2"/>
  <c r="AX1541" i="2"/>
  <c r="AX1542" i="2"/>
  <c r="AX1543" i="2"/>
  <c r="AX1544" i="2"/>
  <c r="AX1545" i="2"/>
  <c r="AX1546" i="2"/>
  <c r="AX1547" i="2"/>
  <c r="AX1548" i="2"/>
  <c r="AX1549" i="2"/>
  <c r="AX1550" i="2"/>
  <c r="AX1551" i="2"/>
  <c r="AX1552" i="2"/>
  <c r="AX1553" i="2"/>
  <c r="AX1554" i="2"/>
  <c r="AX1555" i="2"/>
  <c r="AX1556" i="2"/>
  <c r="AX1557" i="2"/>
  <c r="AX1558" i="2"/>
  <c r="AX1559" i="2"/>
  <c r="AX1560" i="2"/>
  <c r="AX1561" i="2"/>
  <c r="AX1562" i="2"/>
  <c r="AX1563" i="2"/>
  <c r="AX1564" i="2"/>
  <c r="AX1565" i="2"/>
  <c r="AX1566" i="2"/>
  <c r="AX1567" i="2"/>
  <c r="AX1568" i="2"/>
  <c r="AX1569" i="2"/>
  <c r="AX1570" i="2"/>
  <c r="AX1571" i="2"/>
  <c r="AX1572" i="2"/>
  <c r="AX1573" i="2"/>
  <c r="AX1574" i="2"/>
  <c r="AX1575" i="2"/>
  <c r="AX1576" i="2"/>
  <c r="AX1577" i="2"/>
  <c r="AX1578" i="2"/>
  <c r="AX1579" i="2"/>
  <c r="AX1580" i="2"/>
  <c r="AX1581" i="2"/>
  <c r="AX1582" i="2"/>
  <c r="AX1583" i="2"/>
  <c r="AX1584" i="2"/>
  <c r="AX1585" i="2"/>
  <c r="AX1586" i="2"/>
  <c r="AX1587" i="2"/>
  <c r="AX1588" i="2"/>
  <c r="AX1589" i="2"/>
  <c r="AX1590" i="2"/>
  <c r="AX1591" i="2"/>
  <c r="AX1592" i="2"/>
  <c r="AX1593" i="2"/>
  <c r="AX1594" i="2"/>
  <c r="AX1595" i="2"/>
  <c r="AX1596" i="2"/>
  <c r="AX1597" i="2"/>
  <c r="AX1598" i="2"/>
  <c r="AX1599" i="2"/>
  <c r="AX1600" i="2"/>
  <c r="AX1601" i="2"/>
  <c r="AX1602" i="2"/>
  <c r="AX1603" i="2"/>
  <c r="AX1604" i="2"/>
  <c r="AX1605" i="2"/>
  <c r="AX1606" i="2"/>
  <c r="AX1607" i="2"/>
  <c r="AX1608" i="2"/>
  <c r="AX1609" i="2"/>
  <c r="AX1610" i="2"/>
  <c r="AX1611" i="2"/>
  <c r="AX1612" i="2"/>
  <c r="AX1613" i="2"/>
  <c r="AX1614" i="2"/>
  <c r="AX1615" i="2"/>
  <c r="AX1616" i="2"/>
  <c r="AX1617" i="2"/>
  <c r="AX1618" i="2"/>
  <c r="AX1619" i="2"/>
  <c r="AX1620" i="2"/>
  <c r="AX1621" i="2"/>
  <c r="AX1622" i="2"/>
  <c r="AX1623" i="2"/>
  <c r="AX1624" i="2"/>
  <c r="AX1625" i="2"/>
  <c r="AX1626" i="2"/>
  <c r="AX1627" i="2"/>
  <c r="AX1628" i="2"/>
  <c r="AX1629" i="2"/>
  <c r="AX1630" i="2"/>
  <c r="AX1631" i="2"/>
  <c r="AX1632" i="2"/>
  <c r="AX1633" i="2"/>
  <c r="AX1634" i="2"/>
  <c r="AX1635" i="2"/>
  <c r="AX1636" i="2"/>
  <c r="AX1637" i="2"/>
  <c r="AX1638" i="2"/>
  <c r="AX1639" i="2"/>
  <c r="AX1640" i="2"/>
  <c r="AX1641" i="2"/>
  <c r="AX1642" i="2"/>
  <c r="AX1643" i="2"/>
  <c r="AX1644" i="2"/>
  <c r="AX1645" i="2"/>
  <c r="AX1646" i="2"/>
  <c r="AX1647" i="2"/>
  <c r="AX1648" i="2"/>
  <c r="AX1649" i="2"/>
  <c r="AX1650" i="2"/>
  <c r="AX1651" i="2"/>
  <c r="AX1652" i="2"/>
  <c r="AX1653" i="2"/>
  <c r="AX1654" i="2"/>
  <c r="AX1655" i="2"/>
  <c r="AX1656" i="2"/>
  <c r="AX1657" i="2"/>
  <c r="AX1658" i="2"/>
  <c r="AX1659" i="2"/>
  <c r="AX1660" i="2"/>
  <c r="AX1661" i="2"/>
  <c r="AX1662" i="2"/>
  <c r="AX1663" i="2"/>
  <c r="AX1664" i="2"/>
  <c r="AX1665" i="2"/>
  <c r="AX1666" i="2"/>
  <c r="AX1667" i="2"/>
  <c r="AX1668" i="2"/>
  <c r="AX1669" i="2"/>
  <c r="AX1670" i="2"/>
  <c r="AX1671" i="2"/>
  <c r="AX1672" i="2"/>
  <c r="AX1673" i="2"/>
  <c r="AX1674" i="2"/>
  <c r="AX1675" i="2"/>
  <c r="AX1676" i="2"/>
  <c r="AX1677" i="2"/>
  <c r="AX1678" i="2"/>
  <c r="AX1679" i="2"/>
  <c r="AX1680" i="2"/>
  <c r="AX1681" i="2"/>
  <c r="AX1682" i="2"/>
  <c r="AX1683" i="2"/>
  <c r="AX1684" i="2"/>
  <c r="AX1685" i="2"/>
  <c r="AX1686" i="2"/>
  <c r="AX1687" i="2"/>
  <c r="AX1688" i="2"/>
  <c r="AX1689" i="2"/>
  <c r="AX1690" i="2"/>
  <c r="AX1691" i="2"/>
  <c r="AX1692" i="2"/>
  <c r="AX1693" i="2"/>
  <c r="AX1694" i="2"/>
  <c r="AX1695" i="2"/>
  <c r="AX1696" i="2"/>
  <c r="AX1697" i="2"/>
  <c r="AX1698" i="2"/>
  <c r="AX1699" i="2"/>
  <c r="AX1700" i="2"/>
  <c r="AX1701" i="2"/>
  <c r="AX1702" i="2"/>
  <c r="AX1703" i="2"/>
  <c r="AX1704" i="2"/>
  <c r="AX1705" i="2"/>
  <c r="AX1706" i="2"/>
  <c r="AX1707" i="2"/>
  <c r="AX1708" i="2"/>
  <c r="AX1709" i="2"/>
  <c r="AX1710" i="2"/>
  <c r="AX1711" i="2"/>
  <c r="AX1712" i="2"/>
  <c r="AX1713" i="2"/>
  <c r="AX1714" i="2"/>
  <c r="AX1715" i="2"/>
  <c r="AX1716" i="2"/>
  <c r="AX1717" i="2"/>
  <c r="AX1718" i="2"/>
  <c r="AX1719" i="2"/>
  <c r="AX1720" i="2"/>
  <c r="AX1721" i="2"/>
  <c r="AX1722" i="2"/>
  <c r="AX1723" i="2"/>
  <c r="AX1724" i="2"/>
  <c r="AX1725" i="2"/>
  <c r="AX1726" i="2"/>
  <c r="AX1727" i="2"/>
  <c r="AX1728" i="2"/>
  <c r="AX1729" i="2"/>
  <c r="AX1730" i="2"/>
  <c r="AX1731" i="2"/>
  <c r="AX1732" i="2"/>
  <c r="AX1733" i="2"/>
  <c r="AX1734" i="2"/>
  <c r="AX1735" i="2"/>
  <c r="AX1736" i="2"/>
  <c r="AX1737" i="2"/>
  <c r="AX1738" i="2"/>
  <c r="AX1739" i="2"/>
  <c r="AX1740" i="2"/>
  <c r="AX1741" i="2"/>
  <c r="AX1742" i="2"/>
  <c r="AX1743" i="2"/>
  <c r="AX1744" i="2"/>
  <c r="AX1745" i="2"/>
  <c r="AX1746" i="2"/>
  <c r="AX1747" i="2"/>
  <c r="AX1748" i="2"/>
  <c r="AX1749" i="2"/>
  <c r="AX1750" i="2"/>
  <c r="AX1751" i="2"/>
  <c r="AX1752" i="2"/>
  <c r="AX1753" i="2"/>
  <c r="AX1754" i="2"/>
  <c r="AX1755" i="2"/>
  <c r="AX1756" i="2"/>
  <c r="AX1757" i="2"/>
  <c r="AX1758" i="2"/>
  <c r="AX1759" i="2"/>
  <c r="AX1760" i="2"/>
  <c r="AX1761" i="2"/>
  <c r="AX1762" i="2"/>
  <c r="AX1763" i="2"/>
  <c r="AX1764" i="2"/>
  <c r="AX1765" i="2"/>
  <c r="AX1766" i="2"/>
  <c r="AX1767" i="2"/>
  <c r="AX1768" i="2"/>
  <c r="AX1769" i="2"/>
  <c r="AX1770" i="2"/>
  <c r="AX1771" i="2"/>
  <c r="AX1772" i="2"/>
  <c r="AX1773" i="2"/>
  <c r="AX1774" i="2"/>
  <c r="AX1775" i="2"/>
  <c r="AX1776" i="2"/>
  <c r="AX1777" i="2"/>
  <c r="AX1778" i="2"/>
  <c r="AX1779" i="2"/>
  <c r="AX1780" i="2"/>
  <c r="AX1781" i="2"/>
  <c r="AX1782" i="2"/>
  <c r="AX1783" i="2"/>
  <c r="AX1784" i="2"/>
  <c r="AX1785" i="2"/>
  <c r="AX1786" i="2"/>
  <c r="AX1787" i="2"/>
  <c r="AX1788" i="2"/>
  <c r="AX1789" i="2"/>
  <c r="AX1790" i="2"/>
  <c r="AX1791" i="2"/>
  <c r="AX1792" i="2"/>
  <c r="AX1793" i="2"/>
  <c r="AX1794" i="2"/>
  <c r="AX1795" i="2"/>
  <c r="AX1796" i="2"/>
  <c r="AX1797" i="2"/>
  <c r="AX1798" i="2"/>
  <c r="AX1799" i="2"/>
  <c r="AX1800" i="2"/>
  <c r="AX1801" i="2"/>
  <c r="AX1802" i="2"/>
  <c r="AX1803" i="2"/>
  <c r="AX1804" i="2"/>
  <c r="AX1805" i="2"/>
  <c r="AX1806" i="2"/>
  <c r="AX1807" i="2"/>
  <c r="AX1808" i="2"/>
  <c r="AX1809" i="2"/>
  <c r="AX1810" i="2"/>
  <c r="AX1811" i="2"/>
  <c r="AX1812" i="2"/>
  <c r="AX1813" i="2"/>
  <c r="AX1814" i="2"/>
  <c r="AX1815" i="2"/>
  <c r="AX1816" i="2"/>
  <c r="AX1817" i="2"/>
  <c r="AX1818" i="2"/>
  <c r="AX1819" i="2"/>
  <c r="AX1820" i="2"/>
  <c r="AX1821" i="2"/>
  <c r="AX1822" i="2"/>
  <c r="AX1823" i="2"/>
  <c r="AX1824" i="2"/>
  <c r="AX1825" i="2"/>
  <c r="AX1826" i="2"/>
  <c r="AX1827" i="2"/>
  <c r="AX1828" i="2"/>
  <c r="AX1829" i="2"/>
  <c r="AX1830" i="2"/>
  <c r="AX1831" i="2"/>
  <c r="AX1832" i="2"/>
  <c r="AX1833" i="2"/>
  <c r="AX1834" i="2"/>
  <c r="AX1835" i="2"/>
  <c r="AX1836" i="2"/>
  <c r="AX1837" i="2"/>
  <c r="AX1838" i="2"/>
  <c r="AX1839" i="2"/>
  <c r="AX1840" i="2"/>
  <c r="AX1841" i="2"/>
  <c r="AX1842" i="2"/>
  <c r="AX1843" i="2"/>
  <c r="AX1844" i="2"/>
  <c r="AX1845" i="2"/>
  <c r="AX1846" i="2"/>
  <c r="AX1847" i="2"/>
  <c r="AX1848" i="2"/>
  <c r="AX1849" i="2"/>
  <c r="AX1850" i="2"/>
  <c r="AX1851" i="2"/>
  <c r="AX1852" i="2"/>
  <c r="AX1853" i="2"/>
  <c r="AX1854" i="2"/>
  <c r="AX1855" i="2"/>
  <c r="AX1856" i="2"/>
  <c r="AX1857" i="2"/>
  <c r="AX1858" i="2"/>
  <c r="AX1859" i="2"/>
  <c r="AX1860" i="2"/>
  <c r="AX1861" i="2"/>
  <c r="AX1862" i="2"/>
  <c r="AX1863" i="2"/>
  <c r="AX1864" i="2"/>
  <c r="AX1865" i="2"/>
  <c r="AX1866" i="2"/>
  <c r="AX1867" i="2"/>
  <c r="AX1868" i="2"/>
  <c r="AX1869" i="2"/>
  <c r="AX1870" i="2"/>
  <c r="AX1871" i="2"/>
  <c r="AX1872" i="2"/>
  <c r="AX1873" i="2"/>
  <c r="AX1874" i="2"/>
  <c r="AX1875" i="2"/>
  <c r="AX1876" i="2"/>
  <c r="AX1877" i="2"/>
  <c r="AX1878" i="2"/>
  <c r="AX1879" i="2"/>
  <c r="AX1880" i="2"/>
  <c r="AX1881" i="2"/>
  <c r="AX1882" i="2"/>
  <c r="AX1883" i="2"/>
  <c r="AX1884" i="2"/>
  <c r="AX1885" i="2"/>
  <c r="AX1886" i="2"/>
  <c r="AX1887" i="2"/>
  <c r="AX1888" i="2"/>
  <c r="AX1889" i="2"/>
  <c r="AX1890" i="2"/>
  <c r="AX1891" i="2"/>
  <c r="AX1892" i="2"/>
  <c r="AX1893" i="2"/>
  <c r="AX1894" i="2"/>
  <c r="AX1895" i="2"/>
  <c r="AX1896" i="2"/>
  <c r="AX1897" i="2"/>
  <c r="AX1898" i="2"/>
  <c r="AX1899" i="2"/>
  <c r="AX1900" i="2"/>
  <c r="AX1901" i="2"/>
  <c r="AX1902" i="2"/>
  <c r="AX1903" i="2"/>
  <c r="AX1904" i="2"/>
  <c r="AX1905" i="2"/>
  <c r="AX1906" i="2"/>
  <c r="AX1907" i="2"/>
  <c r="AX1908" i="2"/>
  <c r="AX1909" i="2"/>
  <c r="AX1910" i="2"/>
  <c r="AX1911" i="2"/>
  <c r="AX1912" i="2"/>
  <c r="AX1913" i="2"/>
  <c r="AX1914" i="2"/>
  <c r="AX1915" i="2"/>
  <c r="AX1916" i="2"/>
  <c r="AX1917" i="2"/>
  <c r="AX1918" i="2"/>
  <c r="AX1919" i="2"/>
  <c r="AX1920" i="2"/>
  <c r="AX1921" i="2"/>
  <c r="AX1922" i="2"/>
  <c r="AX1923" i="2"/>
  <c r="AX1924" i="2"/>
  <c r="AX1925" i="2"/>
  <c r="AX1926" i="2"/>
  <c r="AX1927" i="2"/>
  <c r="AX1928" i="2"/>
  <c r="AX1929" i="2"/>
  <c r="AX1930" i="2"/>
  <c r="AX1931" i="2"/>
  <c r="AX1932" i="2"/>
  <c r="AX1933" i="2"/>
  <c r="AX1934" i="2"/>
  <c r="AX1935" i="2"/>
  <c r="AX1936" i="2"/>
  <c r="AX1937" i="2"/>
  <c r="AX1938" i="2"/>
  <c r="AX1939" i="2"/>
  <c r="AX1940" i="2"/>
  <c r="AX1941" i="2"/>
  <c r="AX1942" i="2"/>
  <c r="AX1943" i="2"/>
  <c r="AX1944" i="2"/>
  <c r="AX1945" i="2"/>
  <c r="AX1946" i="2"/>
  <c r="BM81" i="2"/>
  <c r="AY81" i="2" s="1"/>
  <c r="N54" i="2" l="1"/>
  <c r="N55" i="2"/>
  <c r="BB54" i="2"/>
  <c r="AY54" i="2" s="1"/>
  <c r="BR54" i="2"/>
  <c r="BR55" i="2"/>
  <c r="N71" i="2"/>
  <c r="BR71" i="2"/>
  <c r="AI91" i="10" l="1"/>
  <c r="AI92" i="10"/>
  <c r="AI93" i="10"/>
  <c r="AI94" i="10"/>
  <c r="AI95" i="10"/>
  <c r="AI96" i="10"/>
  <c r="AI97" i="10"/>
  <c r="AI98" i="10"/>
  <c r="AI99" i="10"/>
  <c r="AI100" i="10"/>
  <c r="AI101" i="10"/>
  <c r="AI102" i="10"/>
  <c r="AI103" i="10"/>
  <c r="AI104" i="10"/>
  <c r="AI105" i="10"/>
  <c r="AI106" i="10"/>
  <c r="AI107" i="10"/>
  <c r="AI108" i="10"/>
  <c r="AI110" i="10"/>
  <c r="AI111" i="10"/>
  <c r="AJ91" i="10"/>
  <c r="AJ92" i="10"/>
  <c r="AJ93" i="10"/>
  <c r="AJ94" i="10"/>
  <c r="AJ95" i="10"/>
  <c r="AJ96" i="10"/>
  <c r="AJ97" i="10"/>
  <c r="AJ98" i="10"/>
  <c r="AJ99" i="10"/>
  <c r="AJ100" i="10"/>
  <c r="AJ101" i="10"/>
  <c r="AJ102" i="10"/>
  <c r="AJ103" i="10"/>
  <c r="AJ104" i="10"/>
  <c r="AJ105" i="10"/>
  <c r="AJ106" i="10"/>
  <c r="AJ107" i="10"/>
  <c r="AJ108" i="10"/>
  <c r="AJ110" i="10"/>
  <c r="AJ111" i="10"/>
  <c r="AI112" i="10"/>
  <c r="AI113" i="10"/>
  <c r="AI114" i="10"/>
  <c r="AI115" i="10"/>
  <c r="AI116" i="10"/>
  <c r="AI117" i="10"/>
  <c r="AI118" i="10"/>
  <c r="AI119" i="10"/>
  <c r="AI120" i="10"/>
  <c r="AI121" i="10"/>
  <c r="AI122" i="10"/>
  <c r="AI123" i="10"/>
  <c r="AI124" i="10"/>
  <c r="AI125" i="10"/>
  <c r="AI126" i="10"/>
  <c r="AI127" i="10"/>
  <c r="AI128" i="10"/>
  <c r="AI129" i="10"/>
  <c r="AI130" i="10"/>
  <c r="AI131" i="10"/>
  <c r="AJ112" i="10"/>
  <c r="AJ113" i="10"/>
  <c r="AJ114" i="10"/>
  <c r="AJ115" i="10"/>
  <c r="AJ116" i="10"/>
  <c r="AJ117" i="10"/>
  <c r="AJ118" i="10"/>
  <c r="AJ119" i="10"/>
  <c r="AJ120" i="10"/>
  <c r="AJ121" i="10"/>
  <c r="AJ122" i="10"/>
  <c r="AJ123" i="10"/>
  <c r="AJ124" i="10"/>
  <c r="AJ125" i="10"/>
  <c r="AJ126" i="10"/>
  <c r="AJ127" i="10"/>
  <c r="AJ128" i="10"/>
  <c r="AJ129" i="10"/>
  <c r="AJ130" i="10"/>
  <c r="AJ131" i="10"/>
  <c r="AI64" i="10"/>
  <c r="AI65" i="10"/>
  <c r="AI66" i="10"/>
  <c r="AI67" i="10"/>
  <c r="AI68" i="10"/>
  <c r="AI69" i="10"/>
  <c r="AI70" i="10"/>
  <c r="AI71" i="10"/>
  <c r="AI72" i="10"/>
  <c r="AI73" i="10"/>
  <c r="AJ64" i="10"/>
  <c r="AJ65" i="10"/>
  <c r="AJ66" i="10"/>
  <c r="AJ67" i="10"/>
  <c r="AJ68" i="10"/>
  <c r="AJ69" i="10"/>
  <c r="AJ70" i="10"/>
  <c r="AJ71" i="10"/>
  <c r="AJ72" i="10"/>
  <c r="AJ73" i="10"/>
  <c r="AI74" i="10"/>
  <c r="AI75" i="10"/>
  <c r="AI76" i="10"/>
  <c r="AI77" i="10"/>
  <c r="AI78" i="10"/>
  <c r="AI79" i="10"/>
  <c r="AI80" i="10"/>
  <c r="AI81" i="10"/>
  <c r="AI82" i="10"/>
  <c r="AI83" i="10"/>
  <c r="AJ74" i="10"/>
  <c r="AJ75" i="10"/>
  <c r="AJ76" i="10"/>
  <c r="AJ77" i="10"/>
  <c r="AJ78" i="10"/>
  <c r="AJ79" i="10"/>
  <c r="AJ80" i="10"/>
  <c r="AJ81" i="10"/>
  <c r="AJ82" i="10"/>
  <c r="AJ83" i="10"/>
  <c r="AI84" i="10"/>
  <c r="AI85" i="10"/>
  <c r="AI86" i="10"/>
  <c r="AI87" i="10"/>
  <c r="AI88" i="10"/>
  <c r="AI89" i="10"/>
  <c r="AI90" i="10"/>
  <c r="AI132" i="10"/>
  <c r="AI133" i="10"/>
  <c r="AI134" i="10"/>
  <c r="AJ84" i="10"/>
  <c r="AJ85" i="10"/>
  <c r="AJ86" i="10"/>
  <c r="AJ87" i="10"/>
  <c r="AJ88" i="10"/>
  <c r="AJ89" i="10"/>
  <c r="AJ90" i="10"/>
  <c r="AJ132" i="10"/>
  <c r="AJ133" i="10"/>
  <c r="AJ134" i="10"/>
  <c r="AI136" i="10"/>
  <c r="AI137" i="10"/>
  <c r="AI138" i="10"/>
  <c r="AI139" i="10"/>
  <c r="AI140" i="10"/>
  <c r="AJ136" i="10"/>
  <c r="AJ137" i="10"/>
  <c r="AJ138" i="10"/>
  <c r="AJ139" i="10"/>
  <c r="AJ140" i="10"/>
  <c r="AI38" i="10"/>
  <c r="AI39" i="10"/>
  <c r="AI40" i="10"/>
  <c r="AI41" i="10"/>
  <c r="AI42" i="10"/>
  <c r="AI43" i="10"/>
  <c r="AI44" i="10"/>
  <c r="AI45" i="10"/>
  <c r="AI46" i="10"/>
  <c r="AI47" i="10"/>
  <c r="AI48" i="10"/>
  <c r="AJ38" i="10"/>
  <c r="AJ39" i="10"/>
  <c r="AJ40" i="10"/>
  <c r="AJ41" i="10"/>
  <c r="AJ42" i="10"/>
  <c r="AJ43" i="10"/>
  <c r="AJ44" i="10"/>
  <c r="AJ45" i="10"/>
  <c r="AJ46" i="10"/>
  <c r="AJ47" i="10"/>
  <c r="AJ48" i="10"/>
  <c r="AI49" i="10"/>
  <c r="AI50" i="10"/>
  <c r="AI51" i="10"/>
  <c r="AI52" i="10"/>
  <c r="AI53" i="10"/>
  <c r="AI54" i="10"/>
  <c r="AI55" i="10"/>
  <c r="AI56" i="10"/>
  <c r="AI57" i="10"/>
  <c r="AI58" i="10"/>
  <c r="AI59" i="10"/>
  <c r="AJ49" i="10"/>
  <c r="AJ50" i="10"/>
  <c r="AJ51" i="10"/>
  <c r="AJ52" i="10"/>
  <c r="AJ53" i="10"/>
  <c r="AJ54" i="10"/>
  <c r="AJ55" i="10"/>
  <c r="AJ56" i="10"/>
  <c r="AJ57" i="10"/>
  <c r="AJ58" i="10"/>
  <c r="AJ59" i="10"/>
  <c r="AI27" i="10"/>
  <c r="AI28" i="10"/>
  <c r="AI29" i="10"/>
  <c r="AI30" i="10"/>
  <c r="AI31" i="10"/>
  <c r="AI32" i="10"/>
  <c r="AI33" i="10"/>
  <c r="AI34" i="10"/>
  <c r="AI35" i="10"/>
  <c r="AJ27" i="10"/>
  <c r="AJ28" i="10"/>
  <c r="AJ29" i="10"/>
  <c r="AJ30" i="10"/>
  <c r="AJ31" i="10"/>
  <c r="AJ32" i="10"/>
  <c r="AJ33" i="10"/>
  <c r="AJ34" i="10"/>
  <c r="AJ35" i="10"/>
  <c r="AI37" i="10"/>
  <c r="AI60" i="10"/>
  <c r="AI61" i="10"/>
  <c r="AI62" i="10"/>
  <c r="AI63" i="10"/>
  <c r="AI135" i="10"/>
  <c r="AJ37" i="10"/>
  <c r="AJ60" i="10"/>
  <c r="AJ61" i="10"/>
  <c r="AJ62" i="10"/>
  <c r="AJ63" i="10"/>
  <c r="AJ135" i="10"/>
  <c r="AI12" i="10"/>
  <c r="AI13" i="10"/>
  <c r="AI14" i="10"/>
  <c r="AI15" i="10"/>
  <c r="AI16" i="10"/>
  <c r="AI17" i="10"/>
  <c r="AI18" i="10"/>
  <c r="AI19" i="10"/>
  <c r="AI20" i="10"/>
  <c r="AI21" i="10"/>
  <c r="AI22" i="10"/>
  <c r="AI36" i="10"/>
  <c r="AI23" i="10"/>
  <c r="AI24" i="10"/>
  <c r="AI25" i="10"/>
  <c r="AI26" i="10"/>
  <c r="AJ12" i="10"/>
  <c r="AJ13" i="10"/>
  <c r="AJ14" i="10"/>
  <c r="AJ15" i="10"/>
  <c r="AJ16" i="10"/>
  <c r="AJ17" i="10"/>
  <c r="AJ18" i="10"/>
  <c r="AJ19" i="10"/>
  <c r="AJ20" i="10"/>
  <c r="AJ21" i="10"/>
  <c r="AJ22" i="10"/>
  <c r="AJ36" i="10"/>
  <c r="AJ23" i="10"/>
  <c r="AJ24" i="10"/>
  <c r="AJ25" i="10"/>
  <c r="AJ26" i="10"/>
  <c r="AI4" i="10"/>
  <c r="AI5" i="10"/>
  <c r="AI6" i="10"/>
  <c r="AI7" i="10"/>
  <c r="AI8" i="10"/>
  <c r="AI9" i="10"/>
  <c r="AI10" i="10"/>
  <c r="AI11" i="10"/>
  <c r="AJ4" i="10"/>
  <c r="AJ5" i="10"/>
  <c r="AJ6" i="10"/>
  <c r="AJ7" i="10"/>
  <c r="AJ8" i="10"/>
  <c r="AJ9" i="10"/>
  <c r="AJ10" i="10"/>
  <c r="AJ11" i="10"/>
  <c r="BQ3" i="2" l="1"/>
  <c r="BQ4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B22" i="2"/>
  <c r="AY22" i="2" s="1"/>
  <c r="BB23" i="2"/>
  <c r="AY23" i="2" s="1"/>
  <c r="BB24" i="2"/>
  <c r="AY24" i="2" s="1"/>
  <c r="BB25" i="2"/>
  <c r="AY25" i="2" s="1"/>
  <c r="BB26" i="2"/>
  <c r="AY26" i="2" s="1"/>
  <c r="BB27" i="2"/>
  <c r="AY27" i="2" s="1"/>
  <c r="BB28" i="2"/>
  <c r="AY28" i="2" s="1"/>
  <c r="BB29" i="2"/>
  <c r="AY29" i="2" s="1"/>
  <c r="BB30" i="2"/>
  <c r="AY30" i="2" s="1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N69" i="2" l="1"/>
  <c r="BB31" i="2"/>
  <c r="AY31" i="2" s="1"/>
  <c r="BB32" i="2"/>
  <c r="AY32" i="2" s="1"/>
  <c r="BB33" i="2"/>
  <c r="AY33" i="2" s="1"/>
  <c r="BR4" i="2"/>
  <c r="BR5" i="2"/>
  <c r="BR31" i="2"/>
  <c r="BR32" i="2"/>
  <c r="BR33" i="2"/>
  <c r="N72" i="2"/>
  <c r="N66" i="2"/>
  <c r="N67" i="2"/>
  <c r="N68" i="2"/>
  <c r="N70" i="2"/>
  <c r="BR66" i="2"/>
  <c r="BR67" i="2"/>
  <c r="BR68" i="2"/>
  <c r="BR69" i="2"/>
  <c r="BR70" i="2"/>
  <c r="BR72" i="2"/>
  <c r="BB75" i="2"/>
  <c r="AY75" i="2" s="1"/>
  <c r="BB76" i="2"/>
  <c r="AY76" i="2" s="1"/>
  <c r="BB86" i="2"/>
  <c r="AY86" i="2" s="1"/>
  <c r="AY91" i="2"/>
  <c r="AY92" i="2"/>
  <c r="AY94" i="2"/>
  <c r="BB88" i="2"/>
  <c r="AY88" i="2" s="1"/>
  <c r="BB93" i="2"/>
  <c r="AY93" i="2" s="1"/>
  <c r="BB102" i="2"/>
  <c r="AY102" i="2" s="1"/>
  <c r="BB96" i="2"/>
  <c r="AY96" i="2" s="1"/>
  <c r="AY100" i="2"/>
  <c r="AY101" i="2"/>
  <c r="AY99" i="2"/>
  <c r="BB97" i="2"/>
  <c r="AY97" i="2" s="1"/>
  <c r="AY98" i="2"/>
  <c r="AY104" i="2"/>
  <c r="AY105" i="2"/>
  <c r="AY103" i="2"/>
  <c r="AY106" i="2"/>
  <c r="AY107" i="2"/>
  <c r="AY108" i="2"/>
  <c r="AY109" i="2"/>
  <c r="AY110" i="2"/>
  <c r="AY111" i="2"/>
  <c r="AY113" i="2"/>
  <c r="AY114" i="2"/>
  <c r="AY115" i="2"/>
  <c r="AY116" i="2"/>
  <c r="AY117" i="2"/>
  <c r="AY118" i="2"/>
  <c r="BB112" i="2"/>
  <c r="AY112" i="2" s="1"/>
  <c r="BB121" i="2"/>
  <c r="AY121" i="2" s="1"/>
  <c r="BB119" i="2"/>
  <c r="AY119" i="2" s="1"/>
  <c r="BB122" i="2"/>
  <c r="AY122" i="2" s="1"/>
  <c r="BB123" i="2"/>
  <c r="AY123" i="2" s="1"/>
  <c r="AY124" i="2"/>
  <c r="AY125" i="2"/>
  <c r="AY126" i="2"/>
  <c r="AY127" i="2"/>
  <c r="AY128" i="2"/>
  <c r="AY129" i="2"/>
  <c r="BB120" i="2"/>
  <c r="AY120" i="2" s="1"/>
  <c r="BB198" i="2"/>
  <c r="AY198" i="2" s="1"/>
  <c r="AY130" i="2"/>
  <c r="BB131" i="2"/>
  <c r="AY131" i="2" s="1"/>
  <c r="BB137" i="2"/>
  <c r="AY137" i="2" s="1"/>
  <c r="BB138" i="2"/>
  <c r="AY138" i="2" s="1"/>
  <c r="BB132" i="2"/>
  <c r="AY132" i="2" s="1"/>
  <c r="AY133" i="2"/>
  <c r="AY134" i="2"/>
  <c r="AY135" i="2"/>
  <c r="AY136" i="2"/>
  <c r="BB139" i="2"/>
  <c r="AY139" i="2" s="1"/>
  <c r="AY141" i="2"/>
  <c r="AY142" i="2"/>
  <c r="AY143" i="2"/>
  <c r="AY144" i="2"/>
  <c r="AY145" i="2"/>
  <c r="BB151" i="2"/>
  <c r="AY151" i="2" s="1"/>
  <c r="BB163" i="2"/>
  <c r="AY163" i="2" s="1"/>
  <c r="BB140" i="2"/>
  <c r="AY140" i="2" s="1"/>
  <c r="AY146" i="2"/>
  <c r="BB181" i="2"/>
  <c r="AY181" i="2" s="1"/>
  <c r="BB161" i="2"/>
  <c r="AY161" i="2" s="1"/>
  <c r="BB147" i="2"/>
  <c r="AY147" i="2" s="1"/>
  <c r="BB148" i="2"/>
  <c r="AY148" i="2" s="1"/>
  <c r="AY155" i="2"/>
  <c r="AY154" i="2"/>
  <c r="AY153" i="2"/>
  <c r="AY159" i="2"/>
  <c r="AY158" i="2"/>
  <c r="AY156" i="2"/>
  <c r="AY157" i="2"/>
  <c r="BB149" i="2"/>
  <c r="AY149" i="2" s="1"/>
  <c r="BB150" i="2"/>
  <c r="AY150" i="2" s="1"/>
  <c r="BB152" i="2"/>
  <c r="AY152" i="2" s="1"/>
  <c r="BB162" i="2"/>
  <c r="AY162" i="2" s="1"/>
  <c r="AY164" i="2"/>
  <c r="AY165" i="2"/>
  <c r="AY166" i="2"/>
  <c r="AY167" i="2"/>
  <c r="AY168" i="2"/>
  <c r="BB169" i="2"/>
  <c r="AY169" i="2" s="1"/>
  <c r="BB170" i="2"/>
  <c r="AY170" i="2" s="1"/>
  <c r="BB171" i="2"/>
  <c r="AY171" i="2" s="1"/>
  <c r="BB172" i="2"/>
  <c r="AY172" i="2" s="1"/>
  <c r="BB173" i="2"/>
  <c r="AY173" i="2" s="1"/>
  <c r="BB174" i="2"/>
  <c r="AY174" i="2" s="1"/>
  <c r="BB175" i="2"/>
  <c r="AY175" i="2" s="1"/>
  <c r="BB176" i="2"/>
  <c r="AY176" i="2" s="1"/>
  <c r="BB177" i="2"/>
  <c r="AY177" i="2" s="1"/>
  <c r="BB178" i="2"/>
  <c r="AY178" i="2" s="1"/>
  <c r="AY180" i="2"/>
  <c r="AY160" i="2"/>
  <c r="BB185" i="2"/>
  <c r="AY185" i="2" s="1"/>
  <c r="BB196" i="2"/>
  <c r="AY196" i="2" s="1"/>
  <c r="BB179" i="2"/>
  <c r="AY179" i="2" s="1"/>
  <c r="AY182" i="2"/>
  <c r="AY183" i="2"/>
  <c r="AY184" i="2"/>
  <c r="AY186" i="2"/>
  <c r="AY189" i="2"/>
  <c r="AY190" i="2"/>
  <c r="AY188" i="2"/>
  <c r="AY191" i="2"/>
  <c r="AY192" i="2"/>
  <c r="AY193" i="2"/>
  <c r="AY194" i="2"/>
  <c r="AY195" i="2"/>
  <c r="AY187" i="2"/>
  <c r="AY197" i="2"/>
  <c r="BB200" i="2"/>
  <c r="AY200" i="2" s="1"/>
  <c r="BB209" i="2"/>
  <c r="AY209" i="2" s="1"/>
  <c r="BB201" i="2"/>
  <c r="AY201" i="2" s="1"/>
  <c r="BB202" i="2"/>
  <c r="AY202" i="2" s="1"/>
  <c r="BB203" i="2"/>
  <c r="AY203" i="2" s="1"/>
  <c r="BB204" i="2"/>
  <c r="AY204" i="2" s="1"/>
  <c r="AY199" i="2"/>
  <c r="AY205" i="2"/>
  <c r="AY206" i="2"/>
  <c r="AY207" i="2"/>
  <c r="AY210" i="2"/>
  <c r="AY208" i="2"/>
  <c r="BB211" i="2"/>
  <c r="AY211" i="2" s="1"/>
  <c r="BB215" i="2"/>
  <c r="AY215" i="2" s="1"/>
  <c r="AY213" i="2"/>
  <c r="BB214" i="2"/>
  <c r="AY214" i="2" s="1"/>
  <c r="BB218" i="2"/>
  <c r="AY218" i="2" s="1"/>
  <c r="AY212" i="2"/>
  <c r="BB219" i="2"/>
  <c r="AY219" i="2" s="1"/>
  <c r="BB220" i="2"/>
  <c r="AY220" i="2" s="1"/>
  <c r="BB221" i="2"/>
  <c r="AY221" i="2" s="1"/>
  <c r="BB222" i="2"/>
  <c r="AY222" i="2" s="1"/>
  <c r="BB223" i="2"/>
  <c r="AY223" i="2" s="1"/>
  <c r="BB224" i="2"/>
  <c r="AY224" i="2" s="1"/>
  <c r="AY229" i="2"/>
  <c r="AY230" i="2"/>
  <c r="AY231" i="2"/>
  <c r="AY232" i="2"/>
  <c r="AY233" i="2"/>
  <c r="BB216" i="2"/>
  <c r="AY216" i="2" s="1"/>
  <c r="BB217" i="2"/>
  <c r="AY217" i="2" s="1"/>
  <c r="AY225" i="2"/>
  <c r="BB227" i="2"/>
  <c r="AY227" i="2" s="1"/>
  <c r="AY255" i="2"/>
  <c r="BB234" i="2"/>
  <c r="AY234" i="2" s="1"/>
  <c r="BB235" i="2"/>
  <c r="AY235" i="2" s="1"/>
  <c r="BB226" i="2"/>
  <c r="AY226" i="2" s="1"/>
  <c r="BB228" i="2"/>
  <c r="AY228" i="2" s="1"/>
  <c r="BB236" i="2"/>
  <c r="AY236" i="2" s="1"/>
  <c r="AY239" i="2"/>
  <c r="AY240" i="2"/>
  <c r="AY241" i="2"/>
  <c r="AY247" i="2"/>
  <c r="AY248" i="2"/>
  <c r="AY242" i="2"/>
  <c r="AY243" i="2"/>
  <c r="AY244" i="2"/>
  <c r="AY245" i="2"/>
  <c r="AY246" i="2"/>
  <c r="AY249" i="2"/>
  <c r="AY250" i="2"/>
  <c r="AY251" i="2"/>
  <c r="AY252" i="2"/>
  <c r="AY253" i="2"/>
  <c r="AY238" i="2"/>
  <c r="BB237" i="2"/>
  <c r="AY237" i="2" s="1"/>
  <c r="AY254" i="2"/>
  <c r="BB256" i="2"/>
  <c r="BB270" i="2"/>
  <c r="AY270" i="2" s="1"/>
  <c r="BB271" i="2"/>
  <c r="AY271" i="2" s="1"/>
  <c r="BB257" i="2"/>
  <c r="AY257" i="2" s="1"/>
  <c r="BB258" i="2"/>
  <c r="AY258" i="2" s="1"/>
  <c r="BB259" i="2"/>
  <c r="AY259" i="2" s="1"/>
  <c r="BB288" i="2"/>
  <c r="AY288" i="2" s="1"/>
  <c r="AY283" i="2"/>
  <c r="BB282" i="2"/>
  <c r="AY282" i="2" s="1"/>
  <c r="BB261" i="2"/>
  <c r="AY261" i="2" s="1"/>
  <c r="AY262" i="2"/>
  <c r="BB260" i="2"/>
  <c r="AY260" i="2" s="1"/>
  <c r="BB287" i="2"/>
  <c r="AY287" i="2" s="1"/>
  <c r="AY272" i="2"/>
  <c r="AY273" i="2"/>
  <c r="AY274" i="2"/>
  <c r="AY275" i="2"/>
  <c r="AY276" i="2"/>
  <c r="AY277" i="2"/>
  <c r="AY278" i="2"/>
  <c r="AY279" i="2"/>
  <c r="BB265" i="2"/>
  <c r="AY265" i="2" s="1"/>
  <c r="BB266" i="2"/>
  <c r="AY266" i="2" s="1"/>
  <c r="BB267" i="2"/>
  <c r="AY267" i="2" s="1"/>
  <c r="BB263" i="2"/>
  <c r="AY263" i="2" s="1"/>
  <c r="BB268" i="2"/>
  <c r="AY268" i="2" s="1"/>
  <c r="BB269" i="2"/>
  <c r="AY269" i="2" s="1"/>
  <c r="BB264" i="2"/>
  <c r="AY264" i="2" s="1"/>
  <c r="BB284" i="2"/>
  <c r="AY284" i="2" s="1"/>
  <c r="AY285" i="2"/>
  <c r="BB286" i="2"/>
  <c r="AY286" i="2" s="1"/>
  <c r="BB280" i="2"/>
  <c r="AY280" i="2" s="1"/>
  <c r="BB281" i="2"/>
  <c r="AY281" i="2" s="1"/>
  <c r="BB290" i="2"/>
  <c r="AY290" i="2" s="1"/>
  <c r="BB289" i="2"/>
  <c r="AY289" i="2" s="1"/>
  <c r="BB327" i="2"/>
  <c r="AY327" i="2" s="1"/>
  <c r="AY302" i="2"/>
  <c r="AY303" i="2"/>
  <c r="BB292" i="2"/>
  <c r="AY292" i="2" s="1"/>
  <c r="BB293" i="2"/>
  <c r="AY293" i="2" s="1"/>
  <c r="BB294" i="2"/>
  <c r="AY294" i="2" s="1"/>
  <c r="BB295" i="2"/>
  <c r="AY295" i="2" s="1"/>
  <c r="BB296" i="2"/>
  <c r="AY296" i="2" s="1"/>
  <c r="BB297" i="2"/>
  <c r="AY297" i="2" s="1"/>
  <c r="BB298" i="2"/>
  <c r="AY298" i="2" s="1"/>
  <c r="BB299" i="2"/>
  <c r="AY299" i="2" s="1"/>
  <c r="BB300" i="2"/>
  <c r="AY300" i="2" s="1"/>
  <c r="BB301" i="2"/>
  <c r="AY301" i="2" s="1"/>
  <c r="AY304" i="2"/>
  <c r="AY309" i="2"/>
  <c r="AY307" i="2"/>
  <c r="AY305" i="2"/>
  <c r="AY308" i="2"/>
  <c r="AY306" i="2"/>
  <c r="AY291" i="2"/>
  <c r="BB311" i="2"/>
  <c r="AY311" i="2" s="1"/>
  <c r="AY310" i="2"/>
  <c r="AY312" i="2"/>
  <c r="BB313" i="2"/>
  <c r="AY313" i="2" s="1"/>
  <c r="BB326" i="2"/>
  <c r="AY326" i="2" s="1"/>
  <c r="BB316" i="2"/>
  <c r="AY316" i="2" s="1"/>
  <c r="BB317" i="2"/>
  <c r="AY317" i="2" s="1"/>
  <c r="AY315" i="2"/>
  <c r="BB318" i="2"/>
  <c r="AY318" i="2" s="1"/>
  <c r="AY314" i="2"/>
  <c r="BB320" i="2"/>
  <c r="AY320" i="2" s="1"/>
  <c r="AY319" i="2"/>
  <c r="BB322" i="2"/>
  <c r="AY322" i="2" s="1"/>
  <c r="BB321" i="2"/>
  <c r="AY321" i="2" s="1"/>
  <c r="BB323" i="2"/>
  <c r="AY323" i="2" s="1"/>
  <c r="BB324" i="2"/>
  <c r="AY324" i="2" s="1"/>
  <c r="BB325" i="2"/>
  <c r="AY325" i="2" s="1"/>
  <c r="BB328" i="2"/>
  <c r="AY328" i="2" s="1"/>
  <c r="BB329" i="2"/>
  <c r="AY329" i="2" s="1"/>
  <c r="BB330" i="2"/>
  <c r="AY330" i="2" s="1"/>
  <c r="BB331" i="2"/>
  <c r="AY331" i="2" s="1"/>
  <c r="AY335" i="2"/>
  <c r="AY333" i="2"/>
  <c r="AY336" i="2"/>
  <c r="AY332" i="2"/>
  <c r="AY334" i="2"/>
  <c r="BB350" i="2"/>
  <c r="AY350" i="2" s="1"/>
  <c r="AY337" i="2"/>
  <c r="BB338" i="2"/>
  <c r="AY338" i="2" s="1"/>
  <c r="AY339" i="2"/>
  <c r="AY340" i="2"/>
  <c r="AY369" i="2"/>
  <c r="AY370" i="2"/>
  <c r="AY371" i="2"/>
  <c r="AY372" i="2"/>
  <c r="AY373" i="2"/>
  <c r="BB341" i="2"/>
  <c r="AY341" i="2" s="1"/>
  <c r="BB358" i="2"/>
  <c r="AY358" i="2" s="1"/>
  <c r="AY345" i="2"/>
  <c r="AY344" i="2"/>
  <c r="BB349" i="2"/>
  <c r="AY349" i="2" s="1"/>
  <c r="BB400" i="2"/>
  <c r="AY400" i="2" s="1"/>
  <c r="AY348" i="2"/>
  <c r="BB343" i="2"/>
  <c r="AY343" i="2" s="1"/>
  <c r="BB347" i="2"/>
  <c r="AY347" i="2" s="1"/>
  <c r="AY342" i="2"/>
  <c r="BB379" i="2"/>
  <c r="AY379" i="2" s="1"/>
  <c r="BB367" i="2"/>
  <c r="AY367" i="2" s="1"/>
  <c r="BB408" i="2"/>
  <c r="AY408" i="2" s="1"/>
  <c r="AY346" i="2"/>
  <c r="AY351" i="2"/>
  <c r="AY352" i="2"/>
  <c r="AY353" i="2"/>
  <c r="AY354" i="2"/>
  <c r="AY355" i="2"/>
  <c r="BB357" i="2"/>
  <c r="AY357" i="2" s="1"/>
  <c r="BB368" i="2"/>
  <c r="AY368" i="2" s="1"/>
  <c r="BB399" i="2"/>
  <c r="AY399" i="2" s="1"/>
  <c r="AY366" i="2"/>
  <c r="AY356" i="2"/>
  <c r="BB387" i="2"/>
  <c r="AY387" i="2" s="1"/>
  <c r="AY359" i="2"/>
  <c r="BB360" i="2"/>
  <c r="AY360" i="2" s="1"/>
  <c r="AY361" i="2"/>
  <c r="BB363" i="2"/>
  <c r="AY363" i="2" s="1"/>
  <c r="BB362" i="2"/>
  <c r="AY362" i="2" s="1"/>
  <c r="BB364" i="2"/>
  <c r="AY364" i="2" s="1"/>
  <c r="BB365" i="2"/>
  <c r="AY365" i="2" s="1"/>
  <c r="BB403" i="2"/>
  <c r="AY403" i="2" s="1"/>
  <c r="BB404" i="2"/>
  <c r="AY404" i="2" s="1"/>
  <c r="AY397" i="2"/>
  <c r="AY398" i="2"/>
  <c r="BB374" i="2"/>
  <c r="AY374" i="2" s="1"/>
  <c r="BB376" i="2"/>
  <c r="AY376" i="2" s="1"/>
  <c r="BB377" i="2"/>
  <c r="AY377" i="2" s="1"/>
  <c r="BB378" i="2"/>
  <c r="AY378" i="2" s="1"/>
  <c r="BB375" i="2"/>
  <c r="AY375" i="2" s="1"/>
  <c r="BB380" i="2"/>
  <c r="AY380" i="2" s="1"/>
  <c r="AY381" i="2"/>
  <c r="AY435" i="2"/>
  <c r="BB388" i="2"/>
  <c r="AY388" i="2" s="1"/>
  <c r="BB382" i="2"/>
  <c r="AY382" i="2" s="1"/>
  <c r="BB383" i="2"/>
  <c r="AY383" i="2" s="1"/>
  <c r="BB384" i="2"/>
  <c r="AY384" i="2" s="1"/>
  <c r="BB385" i="2"/>
  <c r="AY385" i="2" s="1"/>
  <c r="BB386" i="2"/>
  <c r="AY386" i="2" s="1"/>
  <c r="AY389" i="2"/>
  <c r="AY390" i="2"/>
  <c r="AY392" i="2"/>
  <c r="AY391" i="2"/>
  <c r="AY394" i="2"/>
  <c r="AY393" i="2"/>
  <c r="AY395" i="2"/>
  <c r="AY396" i="2"/>
  <c r="BB401" i="2"/>
  <c r="AY401" i="2" s="1"/>
  <c r="BB402" i="2"/>
  <c r="AY402" i="2" s="1"/>
  <c r="BB405" i="2"/>
  <c r="AY405" i="2" s="1"/>
  <c r="BB407" i="2"/>
  <c r="AY407" i="2" s="1"/>
  <c r="AY411" i="2"/>
  <c r="AY406" i="2"/>
  <c r="BB409" i="2"/>
  <c r="AY409" i="2" s="1"/>
  <c r="AY410" i="2"/>
  <c r="AY412" i="2"/>
  <c r="AY413" i="2"/>
  <c r="BB414" i="2"/>
  <c r="AY414" i="2" s="1"/>
  <c r="BB415" i="2"/>
  <c r="AY415" i="2" s="1"/>
  <c r="AY436" i="2"/>
  <c r="AY443" i="2"/>
  <c r="AY444" i="2"/>
  <c r="BB430" i="2"/>
  <c r="AY430" i="2" s="1"/>
  <c r="AY416" i="2"/>
  <c r="AY437" i="2"/>
  <c r="AY438" i="2"/>
  <c r="AY417" i="2"/>
  <c r="AY418" i="2"/>
  <c r="AY419" i="2"/>
  <c r="AY420" i="2"/>
  <c r="AY421" i="2"/>
  <c r="AY422" i="2"/>
  <c r="AY423" i="2"/>
  <c r="AY424" i="2"/>
  <c r="AY425" i="2"/>
  <c r="AY426" i="2"/>
  <c r="AY427" i="2"/>
  <c r="AY428" i="2"/>
  <c r="BB429" i="2"/>
  <c r="AY429" i="2" s="1"/>
  <c r="BB433" i="2"/>
  <c r="AY433" i="2" s="1"/>
  <c r="AY431" i="2"/>
  <c r="AY432" i="2"/>
  <c r="BB434" i="2"/>
  <c r="AY434" i="2" s="1"/>
  <c r="AY439" i="2"/>
  <c r="AY440" i="2"/>
  <c r="AY441" i="2"/>
  <c r="AY442" i="2"/>
  <c r="BB488" i="2"/>
  <c r="AY488" i="2" s="1"/>
  <c r="AY473" i="2"/>
  <c r="AY474" i="2"/>
  <c r="AY446" i="2"/>
  <c r="AY447" i="2"/>
  <c r="AY448" i="2"/>
  <c r="AY449" i="2"/>
  <c r="AY471" i="2"/>
  <c r="AY472" i="2"/>
  <c r="BB445" i="2"/>
  <c r="AY445" i="2" s="1"/>
  <c r="BB450" i="2"/>
  <c r="AY450" i="2" s="1"/>
  <c r="AY451" i="2"/>
  <c r="AY454" i="2"/>
  <c r="AY452" i="2"/>
  <c r="AY453" i="2"/>
  <c r="AY455" i="2"/>
  <c r="AY456" i="2"/>
  <c r="AY457" i="2"/>
  <c r="AY458" i="2"/>
  <c r="AY465" i="2"/>
  <c r="AY466" i="2"/>
  <c r="AY467" i="2"/>
  <c r="AY468" i="2"/>
  <c r="AY470" i="2"/>
  <c r="BB460" i="2"/>
  <c r="AY460" i="2" s="1"/>
  <c r="BB461" i="2"/>
  <c r="AY461" i="2" s="1"/>
  <c r="BB462" i="2"/>
  <c r="AY462" i="2" s="1"/>
  <c r="BB463" i="2"/>
  <c r="AY463" i="2" s="1"/>
  <c r="BB459" i="2"/>
  <c r="AY459" i="2" s="1"/>
  <c r="BB464" i="2"/>
  <c r="AY464" i="2" s="1"/>
  <c r="AY476" i="2"/>
  <c r="AY478" i="2"/>
  <c r="BB480" i="2"/>
  <c r="AY480" i="2" s="1"/>
  <c r="AY479" i="2"/>
  <c r="AY477" i="2"/>
  <c r="BB475" i="2"/>
  <c r="AY475" i="2" s="1"/>
  <c r="BB511" i="2"/>
  <c r="AY511" i="2" s="1"/>
  <c r="BB483" i="2"/>
  <c r="AY483" i="2" s="1"/>
  <c r="BB481" i="2"/>
  <c r="AY481" i="2" s="1"/>
  <c r="BB512" i="2"/>
  <c r="AY512" i="2" s="1"/>
  <c r="AY489" i="2"/>
  <c r="BB514" i="2"/>
  <c r="AY514" i="2" s="1"/>
  <c r="BB484" i="2"/>
  <c r="AY484" i="2" s="1"/>
  <c r="BB485" i="2"/>
  <c r="AY485" i="2" s="1"/>
  <c r="BB486" i="2"/>
  <c r="AY486" i="2" s="1"/>
  <c r="AY487" i="2"/>
  <c r="AY482" i="2"/>
  <c r="AY498" i="2"/>
  <c r="AY490" i="2"/>
  <c r="AY491" i="2"/>
  <c r="BB499" i="2"/>
  <c r="AY499" i="2" s="1"/>
  <c r="AY492" i="2"/>
  <c r="AY493" i="2"/>
  <c r="AY494" i="2"/>
  <c r="AY495" i="2"/>
  <c r="AY496" i="2"/>
  <c r="BB497" i="2"/>
  <c r="AY497" i="2" s="1"/>
  <c r="BB500" i="2"/>
  <c r="AY500" i="2" s="1"/>
  <c r="BB506" i="2"/>
  <c r="AY506" i="2" s="1"/>
  <c r="BB507" i="2"/>
  <c r="AY507" i="2" s="1"/>
  <c r="BB508" i="2"/>
  <c r="AY508" i="2" s="1"/>
  <c r="BB509" i="2"/>
  <c r="AY509" i="2" s="1"/>
  <c r="BB510" i="2"/>
  <c r="AY510" i="2" s="1"/>
  <c r="BB501" i="2"/>
  <c r="AY501" i="2" s="1"/>
  <c r="BB502" i="2"/>
  <c r="AY502" i="2" s="1"/>
  <c r="BB503" i="2"/>
  <c r="AY503" i="2" s="1"/>
  <c r="BB504" i="2"/>
  <c r="AY504" i="2" s="1"/>
  <c r="BB505" i="2"/>
  <c r="AY505" i="2" s="1"/>
  <c r="BB515" i="2"/>
  <c r="AY515" i="2" s="1"/>
  <c r="BB516" i="2"/>
  <c r="AY516" i="2" s="1"/>
  <c r="BB517" i="2"/>
  <c r="AY517" i="2" s="1"/>
  <c r="BB518" i="2"/>
  <c r="AY518" i="2" s="1"/>
  <c r="BB519" i="2"/>
  <c r="AY519" i="2" s="1"/>
  <c r="BB520" i="2"/>
  <c r="AY520" i="2" s="1"/>
  <c r="BB521" i="2"/>
  <c r="AY521" i="2" s="1"/>
  <c r="BB522" i="2"/>
  <c r="AY522" i="2" s="1"/>
  <c r="BB523" i="2"/>
  <c r="AY523" i="2" s="1"/>
  <c r="BB524" i="2"/>
  <c r="AY524" i="2" s="1"/>
  <c r="BB525" i="2"/>
  <c r="AY525" i="2" s="1"/>
  <c r="BB526" i="2"/>
  <c r="AY526" i="2" s="1"/>
  <c r="BB527" i="2"/>
  <c r="AY527" i="2" s="1"/>
  <c r="BB528" i="2"/>
  <c r="AY528" i="2" s="1"/>
  <c r="BB529" i="2"/>
  <c r="AY529" i="2" s="1"/>
  <c r="BB530" i="2"/>
  <c r="AY530" i="2" s="1"/>
  <c r="BB531" i="2"/>
  <c r="AY531" i="2" s="1"/>
  <c r="BB532" i="2"/>
  <c r="AY532" i="2" s="1"/>
  <c r="BB533" i="2"/>
  <c r="AY533" i="2" s="1"/>
  <c r="BB534" i="2"/>
  <c r="AY534" i="2" s="1"/>
  <c r="BB535" i="2"/>
  <c r="AY535" i="2" s="1"/>
  <c r="BB536" i="2"/>
  <c r="AY536" i="2" s="1"/>
  <c r="BB537" i="2"/>
  <c r="AY537" i="2" s="1"/>
  <c r="BB538" i="2"/>
  <c r="AY538" i="2" s="1"/>
  <c r="BB539" i="2"/>
  <c r="AY539" i="2" s="1"/>
  <c r="BB540" i="2"/>
  <c r="AY540" i="2" s="1"/>
  <c r="BB541" i="2"/>
  <c r="AY541" i="2" s="1"/>
  <c r="BB542" i="2"/>
  <c r="AY542" i="2" s="1"/>
  <c r="BB543" i="2"/>
  <c r="AY543" i="2" s="1"/>
  <c r="BB544" i="2"/>
  <c r="AY544" i="2" s="1"/>
  <c r="BB545" i="2"/>
  <c r="AY545" i="2" s="1"/>
  <c r="BB546" i="2"/>
  <c r="AY546" i="2" s="1"/>
  <c r="BB547" i="2"/>
  <c r="AY547" i="2" s="1"/>
  <c r="BB548" i="2"/>
  <c r="AY548" i="2" s="1"/>
  <c r="BB549" i="2"/>
  <c r="AY549" i="2" s="1"/>
  <c r="BB550" i="2"/>
  <c r="AY550" i="2" s="1"/>
  <c r="BB551" i="2"/>
  <c r="AY551" i="2" s="1"/>
  <c r="BB552" i="2"/>
  <c r="AY552" i="2" s="1"/>
  <c r="BB553" i="2"/>
  <c r="AY553" i="2" s="1"/>
  <c r="BB554" i="2"/>
  <c r="AY554" i="2" s="1"/>
  <c r="BB555" i="2"/>
  <c r="AY555" i="2" s="1"/>
  <c r="BB556" i="2"/>
  <c r="AY556" i="2" s="1"/>
  <c r="BB557" i="2"/>
  <c r="AY557" i="2" s="1"/>
  <c r="BB558" i="2"/>
  <c r="AY558" i="2" s="1"/>
  <c r="BB559" i="2"/>
  <c r="AY559" i="2" s="1"/>
  <c r="BB560" i="2"/>
  <c r="AY560" i="2" s="1"/>
  <c r="BB561" i="2"/>
  <c r="AY561" i="2" s="1"/>
  <c r="BB562" i="2"/>
  <c r="AY562" i="2" s="1"/>
  <c r="BB563" i="2"/>
  <c r="AY563" i="2" s="1"/>
  <c r="BB564" i="2"/>
  <c r="AY564" i="2" s="1"/>
  <c r="BB565" i="2"/>
  <c r="AY565" i="2" s="1"/>
  <c r="BB566" i="2"/>
  <c r="AY566" i="2" s="1"/>
  <c r="BB567" i="2"/>
  <c r="AY567" i="2" s="1"/>
  <c r="BB568" i="2"/>
  <c r="AY568" i="2" s="1"/>
  <c r="BB569" i="2"/>
  <c r="AY569" i="2" s="1"/>
  <c r="BB570" i="2"/>
  <c r="AY570" i="2" s="1"/>
  <c r="BB571" i="2"/>
  <c r="AY571" i="2" s="1"/>
  <c r="BB572" i="2"/>
  <c r="AY572" i="2" s="1"/>
  <c r="BB573" i="2"/>
  <c r="AY573" i="2" s="1"/>
  <c r="BB574" i="2"/>
  <c r="AY574" i="2" s="1"/>
  <c r="BB575" i="2"/>
  <c r="AY575" i="2" s="1"/>
  <c r="BB576" i="2"/>
  <c r="AY576" i="2" s="1"/>
  <c r="BB577" i="2"/>
  <c r="AY577" i="2" s="1"/>
  <c r="BB578" i="2"/>
  <c r="AY578" i="2" s="1"/>
  <c r="BB579" i="2"/>
  <c r="AY579" i="2" s="1"/>
  <c r="BB580" i="2"/>
  <c r="AY580" i="2" s="1"/>
  <c r="BB581" i="2"/>
  <c r="AY581" i="2" s="1"/>
  <c r="BB582" i="2"/>
  <c r="AY582" i="2" s="1"/>
  <c r="BB583" i="2"/>
  <c r="AY583" i="2" s="1"/>
  <c r="BB584" i="2"/>
  <c r="AY584" i="2" s="1"/>
  <c r="BB585" i="2"/>
  <c r="AY585" i="2" s="1"/>
  <c r="BB586" i="2"/>
  <c r="AY586" i="2" s="1"/>
  <c r="BB587" i="2"/>
  <c r="AY587" i="2" s="1"/>
  <c r="BB588" i="2"/>
  <c r="AY588" i="2" s="1"/>
  <c r="BB589" i="2"/>
  <c r="AY589" i="2" s="1"/>
  <c r="BB590" i="2"/>
  <c r="AY590" i="2" s="1"/>
  <c r="BB591" i="2"/>
  <c r="AY591" i="2" s="1"/>
  <c r="BB592" i="2"/>
  <c r="AY592" i="2" s="1"/>
  <c r="BB593" i="2"/>
  <c r="AY593" i="2" s="1"/>
  <c r="BB594" i="2"/>
  <c r="AY594" i="2" s="1"/>
  <c r="BB595" i="2"/>
  <c r="AY595" i="2" s="1"/>
  <c r="BB596" i="2"/>
  <c r="AY596" i="2" s="1"/>
  <c r="BB597" i="2"/>
  <c r="AY597" i="2" s="1"/>
  <c r="BB598" i="2"/>
  <c r="AY598" i="2" s="1"/>
  <c r="BB599" i="2"/>
  <c r="AY599" i="2" s="1"/>
  <c r="BB600" i="2"/>
  <c r="AY600" i="2" s="1"/>
  <c r="BB601" i="2"/>
  <c r="AY601" i="2" s="1"/>
  <c r="BB602" i="2"/>
  <c r="AY602" i="2" s="1"/>
  <c r="BB603" i="2"/>
  <c r="AY603" i="2" s="1"/>
  <c r="BB604" i="2"/>
  <c r="AY604" i="2" s="1"/>
  <c r="BB605" i="2"/>
  <c r="AY605" i="2" s="1"/>
  <c r="BB606" i="2"/>
  <c r="AY606" i="2" s="1"/>
  <c r="BB607" i="2"/>
  <c r="AY607" i="2" s="1"/>
  <c r="BB608" i="2"/>
  <c r="AY608" i="2" s="1"/>
  <c r="BB609" i="2"/>
  <c r="AY609" i="2" s="1"/>
  <c r="BB610" i="2"/>
  <c r="AY610" i="2" s="1"/>
  <c r="BB611" i="2"/>
  <c r="AY611" i="2" s="1"/>
  <c r="BB612" i="2"/>
  <c r="AY612" i="2" s="1"/>
  <c r="BB613" i="2"/>
  <c r="AY613" i="2" s="1"/>
  <c r="BB614" i="2"/>
  <c r="AY614" i="2" s="1"/>
  <c r="BB615" i="2"/>
  <c r="AY615" i="2" s="1"/>
  <c r="BB616" i="2"/>
  <c r="AY616" i="2" s="1"/>
  <c r="BB617" i="2"/>
  <c r="AY617" i="2" s="1"/>
  <c r="BB618" i="2"/>
  <c r="AY618" i="2" s="1"/>
  <c r="BB619" i="2"/>
  <c r="AY619" i="2" s="1"/>
  <c r="BB620" i="2"/>
  <c r="AY620" i="2" s="1"/>
  <c r="BB621" i="2"/>
  <c r="AY621" i="2" s="1"/>
  <c r="BB622" i="2"/>
  <c r="AY622" i="2" s="1"/>
  <c r="BB623" i="2"/>
  <c r="AY623" i="2" s="1"/>
  <c r="BB624" i="2"/>
  <c r="AY624" i="2" s="1"/>
  <c r="BB625" i="2"/>
  <c r="AY625" i="2" s="1"/>
  <c r="BB626" i="2"/>
  <c r="AY626" i="2" s="1"/>
  <c r="BB627" i="2"/>
  <c r="AY627" i="2" s="1"/>
  <c r="BB628" i="2"/>
  <c r="AY628" i="2" s="1"/>
  <c r="BB629" i="2"/>
  <c r="AY629" i="2" s="1"/>
  <c r="BB630" i="2"/>
  <c r="AY630" i="2" s="1"/>
  <c r="BB631" i="2"/>
  <c r="AY631" i="2" s="1"/>
  <c r="BB632" i="2"/>
  <c r="AY632" i="2" s="1"/>
  <c r="BB633" i="2"/>
  <c r="AY633" i="2" s="1"/>
  <c r="BB634" i="2"/>
  <c r="AY634" i="2" s="1"/>
  <c r="BB635" i="2"/>
  <c r="AY635" i="2" s="1"/>
  <c r="BB636" i="2"/>
  <c r="AY636" i="2" s="1"/>
  <c r="BB637" i="2"/>
  <c r="AY637" i="2" s="1"/>
  <c r="BB638" i="2"/>
  <c r="AY638" i="2" s="1"/>
  <c r="BB639" i="2"/>
  <c r="AY639" i="2" s="1"/>
  <c r="BB640" i="2"/>
  <c r="AY640" i="2" s="1"/>
  <c r="BB641" i="2"/>
  <c r="AY641" i="2" s="1"/>
  <c r="BB642" i="2"/>
  <c r="AY642" i="2" s="1"/>
  <c r="BB643" i="2"/>
  <c r="AY643" i="2" s="1"/>
  <c r="BB644" i="2"/>
  <c r="AY644" i="2" s="1"/>
  <c r="BB645" i="2"/>
  <c r="AY645" i="2" s="1"/>
  <c r="BB646" i="2"/>
  <c r="AY646" i="2" s="1"/>
  <c r="BB647" i="2"/>
  <c r="AY647" i="2" s="1"/>
  <c r="BB648" i="2"/>
  <c r="AY648" i="2" s="1"/>
  <c r="BB649" i="2"/>
  <c r="AY649" i="2" s="1"/>
  <c r="BB650" i="2"/>
  <c r="AY650" i="2" s="1"/>
  <c r="BB651" i="2"/>
  <c r="AY651" i="2" s="1"/>
  <c r="BB652" i="2"/>
  <c r="AY652" i="2" s="1"/>
  <c r="BB653" i="2"/>
  <c r="AY653" i="2" s="1"/>
  <c r="BB654" i="2"/>
  <c r="AY654" i="2" s="1"/>
  <c r="BB655" i="2"/>
  <c r="AY655" i="2" s="1"/>
  <c r="BB656" i="2"/>
  <c r="AY656" i="2" s="1"/>
  <c r="BB657" i="2"/>
  <c r="AY657" i="2" s="1"/>
  <c r="BB658" i="2"/>
  <c r="AY658" i="2" s="1"/>
  <c r="BB659" i="2"/>
  <c r="AY659" i="2" s="1"/>
  <c r="BB660" i="2"/>
  <c r="AY660" i="2" s="1"/>
  <c r="BB661" i="2"/>
  <c r="AY661" i="2" s="1"/>
  <c r="BB662" i="2"/>
  <c r="AY662" i="2" s="1"/>
  <c r="BB663" i="2"/>
  <c r="AY663" i="2" s="1"/>
  <c r="BB664" i="2"/>
  <c r="AY664" i="2" s="1"/>
  <c r="BB665" i="2"/>
  <c r="AY665" i="2" s="1"/>
  <c r="BB666" i="2"/>
  <c r="AY666" i="2" s="1"/>
  <c r="BB667" i="2"/>
  <c r="AY667" i="2" s="1"/>
  <c r="BB668" i="2"/>
  <c r="AY668" i="2" s="1"/>
  <c r="BB669" i="2"/>
  <c r="AY669" i="2" s="1"/>
  <c r="BB670" i="2"/>
  <c r="AY670" i="2" s="1"/>
  <c r="BB671" i="2"/>
  <c r="AY671" i="2" s="1"/>
  <c r="BB672" i="2"/>
  <c r="AY672" i="2" s="1"/>
  <c r="BB673" i="2"/>
  <c r="AY673" i="2" s="1"/>
  <c r="BB674" i="2"/>
  <c r="AY674" i="2" s="1"/>
  <c r="BB675" i="2"/>
  <c r="AY675" i="2" s="1"/>
  <c r="BB676" i="2"/>
  <c r="AY676" i="2" s="1"/>
  <c r="BB677" i="2"/>
  <c r="AY677" i="2" s="1"/>
  <c r="BB678" i="2"/>
  <c r="AY678" i="2" s="1"/>
  <c r="BB679" i="2"/>
  <c r="AY679" i="2" s="1"/>
  <c r="BB680" i="2"/>
  <c r="AY680" i="2" s="1"/>
  <c r="BB681" i="2"/>
  <c r="AY681" i="2" s="1"/>
  <c r="BB682" i="2"/>
  <c r="AY682" i="2" s="1"/>
  <c r="BB683" i="2"/>
  <c r="AY683" i="2" s="1"/>
  <c r="BB684" i="2"/>
  <c r="AY684" i="2" s="1"/>
  <c r="BB685" i="2"/>
  <c r="AY685" i="2" s="1"/>
  <c r="BB686" i="2"/>
  <c r="AY686" i="2" s="1"/>
  <c r="BB687" i="2"/>
  <c r="AY687" i="2" s="1"/>
  <c r="BB688" i="2"/>
  <c r="AY688" i="2" s="1"/>
  <c r="BB689" i="2"/>
  <c r="AY689" i="2" s="1"/>
  <c r="BB690" i="2"/>
  <c r="AY690" i="2" s="1"/>
  <c r="BB691" i="2"/>
  <c r="AY691" i="2" s="1"/>
  <c r="BB692" i="2"/>
  <c r="AY692" i="2" s="1"/>
  <c r="BB693" i="2"/>
  <c r="AY693" i="2" s="1"/>
  <c r="BB694" i="2"/>
  <c r="AY694" i="2" s="1"/>
  <c r="BB695" i="2"/>
  <c r="AY695" i="2" s="1"/>
  <c r="BB696" i="2"/>
  <c r="AY696" i="2" s="1"/>
  <c r="BB697" i="2"/>
  <c r="AY697" i="2" s="1"/>
  <c r="BB698" i="2"/>
  <c r="AY698" i="2" s="1"/>
  <c r="BB699" i="2"/>
  <c r="AY699" i="2" s="1"/>
  <c r="BB700" i="2"/>
  <c r="AY700" i="2" s="1"/>
  <c r="BB701" i="2"/>
  <c r="AY701" i="2" s="1"/>
  <c r="BB702" i="2"/>
  <c r="AY702" i="2" s="1"/>
  <c r="BB703" i="2"/>
  <c r="AY703" i="2" s="1"/>
  <c r="BB704" i="2"/>
  <c r="AY704" i="2" s="1"/>
  <c r="BB705" i="2"/>
  <c r="AY705" i="2" s="1"/>
  <c r="BB706" i="2"/>
  <c r="AY706" i="2" s="1"/>
  <c r="BB707" i="2"/>
  <c r="AY707" i="2" s="1"/>
  <c r="BB708" i="2"/>
  <c r="AY708" i="2" s="1"/>
  <c r="BB709" i="2"/>
  <c r="AY709" i="2" s="1"/>
  <c r="BB710" i="2"/>
  <c r="AY710" i="2" s="1"/>
  <c r="BB711" i="2"/>
  <c r="AY711" i="2" s="1"/>
  <c r="BB712" i="2"/>
  <c r="AY712" i="2" s="1"/>
  <c r="BB713" i="2"/>
  <c r="AY713" i="2" s="1"/>
  <c r="BB714" i="2"/>
  <c r="AY714" i="2" s="1"/>
  <c r="BB715" i="2"/>
  <c r="AY715" i="2" s="1"/>
  <c r="BB716" i="2"/>
  <c r="AY716" i="2" s="1"/>
  <c r="BB717" i="2"/>
  <c r="AY717" i="2" s="1"/>
  <c r="BB718" i="2"/>
  <c r="AY718" i="2" s="1"/>
  <c r="BB719" i="2"/>
  <c r="AY719" i="2" s="1"/>
  <c r="BB720" i="2"/>
  <c r="AY720" i="2" s="1"/>
  <c r="BB721" i="2"/>
  <c r="AY721" i="2" s="1"/>
  <c r="BB722" i="2"/>
  <c r="AY722" i="2" s="1"/>
  <c r="BB723" i="2"/>
  <c r="AY723" i="2" s="1"/>
  <c r="BB724" i="2"/>
  <c r="AY724" i="2" s="1"/>
  <c r="BB725" i="2"/>
  <c r="AY725" i="2" s="1"/>
  <c r="BB726" i="2"/>
  <c r="AY726" i="2" s="1"/>
  <c r="BB727" i="2"/>
  <c r="AY727" i="2" s="1"/>
  <c r="BB728" i="2"/>
  <c r="AY728" i="2" s="1"/>
  <c r="BB729" i="2"/>
  <c r="AY729" i="2" s="1"/>
  <c r="BB730" i="2"/>
  <c r="AY730" i="2" s="1"/>
  <c r="BB731" i="2"/>
  <c r="AY731" i="2" s="1"/>
  <c r="BB732" i="2"/>
  <c r="AY732" i="2" s="1"/>
  <c r="BB733" i="2"/>
  <c r="AY733" i="2" s="1"/>
  <c r="BB734" i="2"/>
  <c r="AY734" i="2" s="1"/>
  <c r="BB735" i="2"/>
  <c r="AY735" i="2" s="1"/>
  <c r="BB736" i="2"/>
  <c r="AY736" i="2" s="1"/>
  <c r="BB737" i="2"/>
  <c r="AY737" i="2" s="1"/>
  <c r="BB738" i="2"/>
  <c r="AY738" i="2" s="1"/>
  <c r="BB739" i="2"/>
  <c r="AY739" i="2" s="1"/>
  <c r="BB740" i="2"/>
  <c r="AY740" i="2" s="1"/>
  <c r="BB741" i="2"/>
  <c r="AY741" i="2" s="1"/>
  <c r="BB742" i="2"/>
  <c r="AY742" i="2" s="1"/>
  <c r="BB743" i="2"/>
  <c r="AY743" i="2" s="1"/>
  <c r="BB744" i="2"/>
  <c r="AY744" i="2" s="1"/>
  <c r="BB745" i="2"/>
  <c r="AY745" i="2" s="1"/>
  <c r="BB746" i="2"/>
  <c r="AY746" i="2" s="1"/>
  <c r="BB747" i="2"/>
  <c r="AY747" i="2" s="1"/>
  <c r="BB748" i="2"/>
  <c r="AY748" i="2" s="1"/>
  <c r="BB749" i="2"/>
  <c r="AY749" i="2" s="1"/>
  <c r="BB750" i="2"/>
  <c r="AY750" i="2" s="1"/>
  <c r="BB751" i="2"/>
  <c r="AY751" i="2" s="1"/>
  <c r="BB752" i="2"/>
  <c r="AY752" i="2" s="1"/>
  <c r="BB753" i="2"/>
  <c r="AY753" i="2" s="1"/>
  <c r="BB754" i="2"/>
  <c r="AY754" i="2" s="1"/>
  <c r="BB755" i="2"/>
  <c r="AY755" i="2" s="1"/>
  <c r="BB756" i="2"/>
  <c r="AY756" i="2" s="1"/>
  <c r="BB757" i="2"/>
  <c r="AY757" i="2" s="1"/>
  <c r="BB758" i="2"/>
  <c r="AY758" i="2" s="1"/>
  <c r="BB759" i="2"/>
  <c r="AY759" i="2" s="1"/>
  <c r="BB760" i="2"/>
  <c r="AY760" i="2" s="1"/>
  <c r="BB761" i="2"/>
  <c r="AY761" i="2" s="1"/>
  <c r="BB762" i="2"/>
  <c r="AY762" i="2" s="1"/>
  <c r="BB763" i="2"/>
  <c r="AY763" i="2" s="1"/>
  <c r="BB764" i="2"/>
  <c r="AY764" i="2" s="1"/>
  <c r="BB765" i="2"/>
  <c r="AY765" i="2" s="1"/>
  <c r="BB766" i="2"/>
  <c r="AY766" i="2" s="1"/>
  <c r="BB767" i="2"/>
  <c r="AY767" i="2" s="1"/>
  <c r="BB768" i="2"/>
  <c r="AY768" i="2" s="1"/>
  <c r="BB769" i="2"/>
  <c r="AY769" i="2" s="1"/>
  <c r="BB770" i="2"/>
  <c r="AY770" i="2" s="1"/>
  <c r="BB771" i="2"/>
  <c r="AY771" i="2" s="1"/>
  <c r="BB772" i="2"/>
  <c r="AY772" i="2" s="1"/>
  <c r="BB773" i="2"/>
  <c r="AY773" i="2" s="1"/>
  <c r="BB774" i="2"/>
  <c r="AY774" i="2" s="1"/>
  <c r="BB775" i="2"/>
  <c r="AY775" i="2" s="1"/>
  <c r="BB776" i="2"/>
  <c r="AY776" i="2" s="1"/>
  <c r="BB777" i="2"/>
  <c r="AY777" i="2" s="1"/>
  <c r="BB778" i="2"/>
  <c r="AY778" i="2" s="1"/>
  <c r="BB779" i="2"/>
  <c r="AY779" i="2" s="1"/>
  <c r="BB780" i="2"/>
  <c r="AY780" i="2" s="1"/>
  <c r="BB781" i="2"/>
  <c r="AY781" i="2" s="1"/>
  <c r="BB782" i="2"/>
  <c r="AY782" i="2" s="1"/>
  <c r="BB783" i="2"/>
  <c r="AY783" i="2" s="1"/>
  <c r="BB784" i="2"/>
  <c r="AY784" i="2" s="1"/>
  <c r="BB785" i="2"/>
  <c r="AY785" i="2" s="1"/>
  <c r="BB786" i="2"/>
  <c r="AY786" i="2" s="1"/>
  <c r="BB787" i="2"/>
  <c r="AY787" i="2" s="1"/>
  <c r="BB788" i="2"/>
  <c r="AY788" i="2" s="1"/>
  <c r="BB789" i="2"/>
  <c r="AY789" i="2" s="1"/>
  <c r="BB790" i="2"/>
  <c r="AY790" i="2" s="1"/>
  <c r="BB791" i="2"/>
  <c r="AY791" i="2" s="1"/>
  <c r="BB792" i="2"/>
  <c r="AY792" i="2" s="1"/>
  <c r="BB793" i="2"/>
  <c r="AY793" i="2" s="1"/>
  <c r="BB794" i="2"/>
  <c r="AY794" i="2" s="1"/>
  <c r="BB795" i="2"/>
  <c r="AY795" i="2" s="1"/>
  <c r="BB796" i="2"/>
  <c r="AY796" i="2" s="1"/>
  <c r="BB797" i="2"/>
  <c r="AY797" i="2" s="1"/>
  <c r="BB798" i="2"/>
  <c r="AY798" i="2" s="1"/>
  <c r="BB799" i="2"/>
  <c r="AY799" i="2" s="1"/>
  <c r="BB800" i="2"/>
  <c r="AY800" i="2" s="1"/>
  <c r="BB801" i="2"/>
  <c r="AY801" i="2" s="1"/>
  <c r="BB802" i="2"/>
  <c r="AY802" i="2" s="1"/>
  <c r="BB803" i="2"/>
  <c r="AY803" i="2" s="1"/>
  <c r="BB804" i="2"/>
  <c r="AY804" i="2" s="1"/>
  <c r="BB805" i="2"/>
  <c r="AY805" i="2" s="1"/>
  <c r="BB806" i="2"/>
  <c r="AY806" i="2" s="1"/>
  <c r="BB807" i="2"/>
  <c r="AY807" i="2" s="1"/>
  <c r="BB808" i="2"/>
  <c r="AY808" i="2" s="1"/>
  <c r="BB809" i="2"/>
  <c r="AY809" i="2" s="1"/>
  <c r="BB810" i="2"/>
  <c r="AY810" i="2" s="1"/>
  <c r="BB811" i="2"/>
  <c r="AY811" i="2" s="1"/>
  <c r="BB812" i="2"/>
  <c r="AY812" i="2" s="1"/>
  <c r="BB813" i="2"/>
  <c r="AY813" i="2" s="1"/>
  <c r="BB814" i="2"/>
  <c r="AY814" i="2" s="1"/>
  <c r="BB815" i="2"/>
  <c r="AY815" i="2" s="1"/>
  <c r="BB816" i="2"/>
  <c r="AY816" i="2" s="1"/>
  <c r="BB817" i="2"/>
  <c r="AY817" i="2" s="1"/>
  <c r="BB818" i="2"/>
  <c r="AY818" i="2" s="1"/>
  <c r="BB819" i="2"/>
  <c r="AY819" i="2" s="1"/>
  <c r="BB820" i="2"/>
  <c r="AY820" i="2" s="1"/>
  <c r="BB821" i="2"/>
  <c r="AY821" i="2" s="1"/>
  <c r="BB822" i="2"/>
  <c r="AY822" i="2" s="1"/>
  <c r="BB823" i="2"/>
  <c r="AY823" i="2" s="1"/>
  <c r="BB824" i="2"/>
  <c r="AY824" i="2" s="1"/>
  <c r="BB825" i="2"/>
  <c r="AY825" i="2" s="1"/>
  <c r="BB826" i="2"/>
  <c r="AY826" i="2" s="1"/>
  <c r="BB827" i="2"/>
  <c r="AY827" i="2" s="1"/>
  <c r="BB828" i="2"/>
  <c r="AY828" i="2" s="1"/>
  <c r="BB829" i="2"/>
  <c r="AY829" i="2" s="1"/>
  <c r="BB830" i="2"/>
  <c r="AY830" i="2" s="1"/>
  <c r="BB831" i="2"/>
  <c r="AY831" i="2" s="1"/>
  <c r="BB832" i="2"/>
  <c r="AY832" i="2" s="1"/>
  <c r="BB833" i="2"/>
  <c r="AY833" i="2" s="1"/>
  <c r="BB834" i="2"/>
  <c r="AY834" i="2" s="1"/>
  <c r="BB835" i="2"/>
  <c r="AY835" i="2" s="1"/>
  <c r="BB836" i="2"/>
  <c r="AY836" i="2" s="1"/>
  <c r="BB837" i="2"/>
  <c r="AY837" i="2" s="1"/>
  <c r="BB838" i="2"/>
  <c r="AY838" i="2" s="1"/>
  <c r="BB839" i="2"/>
  <c r="AY839" i="2" s="1"/>
  <c r="BB840" i="2"/>
  <c r="AY840" i="2" s="1"/>
  <c r="BB841" i="2"/>
  <c r="AY841" i="2" s="1"/>
  <c r="BB842" i="2"/>
  <c r="AY842" i="2" s="1"/>
  <c r="BB843" i="2"/>
  <c r="AY843" i="2" s="1"/>
  <c r="BB844" i="2"/>
  <c r="AY844" i="2" s="1"/>
  <c r="BB845" i="2"/>
  <c r="AY845" i="2" s="1"/>
  <c r="BB846" i="2"/>
  <c r="AY846" i="2" s="1"/>
  <c r="BB847" i="2"/>
  <c r="AY847" i="2" s="1"/>
  <c r="BB848" i="2"/>
  <c r="AY848" i="2" s="1"/>
  <c r="BB849" i="2"/>
  <c r="AY849" i="2" s="1"/>
  <c r="BB850" i="2"/>
  <c r="AY850" i="2" s="1"/>
  <c r="BB851" i="2"/>
  <c r="AY851" i="2" s="1"/>
  <c r="BB852" i="2"/>
  <c r="AY852" i="2" s="1"/>
  <c r="BB853" i="2"/>
  <c r="AY853" i="2" s="1"/>
  <c r="BB854" i="2"/>
  <c r="AY854" i="2" s="1"/>
  <c r="BB855" i="2"/>
  <c r="AY855" i="2" s="1"/>
  <c r="BB856" i="2"/>
  <c r="AY856" i="2" s="1"/>
  <c r="BB857" i="2"/>
  <c r="AY857" i="2" s="1"/>
  <c r="BB858" i="2"/>
  <c r="AY858" i="2" s="1"/>
  <c r="BB859" i="2"/>
  <c r="AY859" i="2" s="1"/>
  <c r="BB860" i="2"/>
  <c r="AY860" i="2" s="1"/>
  <c r="BB861" i="2"/>
  <c r="AY861" i="2" s="1"/>
  <c r="BB862" i="2"/>
  <c r="AY862" i="2" s="1"/>
  <c r="BB863" i="2"/>
  <c r="AY863" i="2" s="1"/>
  <c r="BB864" i="2"/>
  <c r="AY864" i="2" s="1"/>
  <c r="BB865" i="2"/>
  <c r="AY865" i="2" s="1"/>
  <c r="BB866" i="2"/>
  <c r="AY866" i="2" s="1"/>
  <c r="BB867" i="2"/>
  <c r="AY867" i="2" s="1"/>
  <c r="BB868" i="2"/>
  <c r="AY868" i="2" s="1"/>
  <c r="BB869" i="2"/>
  <c r="AY869" i="2" s="1"/>
  <c r="BB870" i="2"/>
  <c r="AY870" i="2" s="1"/>
  <c r="BB871" i="2"/>
  <c r="AY871" i="2" s="1"/>
  <c r="BB872" i="2"/>
  <c r="AY872" i="2" s="1"/>
  <c r="BB873" i="2"/>
  <c r="AY873" i="2" s="1"/>
  <c r="BB874" i="2"/>
  <c r="AY874" i="2" s="1"/>
  <c r="BB875" i="2"/>
  <c r="AY875" i="2" s="1"/>
  <c r="BB876" i="2"/>
  <c r="AY876" i="2" s="1"/>
  <c r="BB877" i="2"/>
  <c r="AY877" i="2" s="1"/>
  <c r="BB878" i="2"/>
  <c r="AY878" i="2" s="1"/>
  <c r="BB879" i="2"/>
  <c r="AY879" i="2" s="1"/>
  <c r="BB880" i="2"/>
  <c r="AY880" i="2" s="1"/>
  <c r="BB881" i="2"/>
  <c r="AY881" i="2" s="1"/>
  <c r="BB882" i="2"/>
  <c r="AY882" i="2" s="1"/>
  <c r="BB883" i="2"/>
  <c r="AY883" i="2" s="1"/>
  <c r="BB884" i="2"/>
  <c r="AY884" i="2" s="1"/>
  <c r="BB885" i="2"/>
  <c r="AY885" i="2" s="1"/>
  <c r="BB886" i="2"/>
  <c r="AY886" i="2" s="1"/>
  <c r="BB887" i="2"/>
  <c r="AY887" i="2" s="1"/>
  <c r="BB888" i="2"/>
  <c r="AY888" i="2" s="1"/>
  <c r="BB889" i="2"/>
  <c r="AY889" i="2" s="1"/>
  <c r="BB890" i="2"/>
  <c r="AY890" i="2" s="1"/>
  <c r="BB891" i="2"/>
  <c r="AY891" i="2" s="1"/>
  <c r="BB892" i="2"/>
  <c r="AY892" i="2" s="1"/>
  <c r="BB893" i="2"/>
  <c r="AY893" i="2" s="1"/>
  <c r="BB894" i="2"/>
  <c r="AY894" i="2" s="1"/>
  <c r="BB895" i="2"/>
  <c r="AY895" i="2" s="1"/>
  <c r="BB896" i="2"/>
  <c r="AY896" i="2" s="1"/>
  <c r="BB897" i="2"/>
  <c r="AY897" i="2" s="1"/>
  <c r="BB898" i="2"/>
  <c r="AY898" i="2" s="1"/>
  <c r="BB899" i="2"/>
  <c r="AY899" i="2" s="1"/>
  <c r="BB900" i="2"/>
  <c r="AY900" i="2" s="1"/>
  <c r="BB901" i="2"/>
  <c r="AY901" i="2" s="1"/>
  <c r="BB902" i="2"/>
  <c r="AY902" i="2" s="1"/>
  <c r="BB903" i="2"/>
  <c r="AY903" i="2" s="1"/>
  <c r="BB904" i="2"/>
  <c r="AY904" i="2" s="1"/>
  <c r="BB905" i="2"/>
  <c r="AY905" i="2" s="1"/>
  <c r="BB906" i="2"/>
  <c r="AY906" i="2" s="1"/>
  <c r="BB907" i="2"/>
  <c r="AY907" i="2" s="1"/>
  <c r="BB908" i="2"/>
  <c r="AY908" i="2" s="1"/>
  <c r="BB909" i="2"/>
  <c r="AY909" i="2" s="1"/>
  <c r="BB910" i="2"/>
  <c r="AY910" i="2" s="1"/>
  <c r="BB911" i="2"/>
  <c r="AY911" i="2" s="1"/>
  <c r="BB912" i="2"/>
  <c r="AY912" i="2" s="1"/>
  <c r="BB913" i="2"/>
  <c r="AY913" i="2" s="1"/>
  <c r="BB914" i="2"/>
  <c r="AY914" i="2" s="1"/>
  <c r="BB915" i="2"/>
  <c r="AY915" i="2" s="1"/>
  <c r="BB916" i="2"/>
  <c r="AY916" i="2" s="1"/>
  <c r="BB917" i="2"/>
  <c r="AY917" i="2" s="1"/>
  <c r="BB918" i="2"/>
  <c r="AY918" i="2" s="1"/>
  <c r="BB919" i="2"/>
  <c r="AY919" i="2" s="1"/>
  <c r="BB920" i="2"/>
  <c r="AY920" i="2" s="1"/>
  <c r="BB921" i="2"/>
  <c r="AY921" i="2" s="1"/>
  <c r="BB922" i="2"/>
  <c r="AY922" i="2" s="1"/>
  <c r="BB923" i="2"/>
  <c r="AY923" i="2" s="1"/>
  <c r="BB924" i="2"/>
  <c r="AY924" i="2" s="1"/>
  <c r="BB925" i="2"/>
  <c r="AY925" i="2" s="1"/>
  <c r="BB926" i="2"/>
  <c r="AY926" i="2" s="1"/>
  <c r="BB927" i="2"/>
  <c r="AY927" i="2" s="1"/>
  <c r="BB928" i="2"/>
  <c r="AY928" i="2" s="1"/>
  <c r="BB929" i="2"/>
  <c r="AY929" i="2" s="1"/>
  <c r="BB930" i="2"/>
  <c r="AY930" i="2" s="1"/>
  <c r="BB931" i="2"/>
  <c r="AY931" i="2" s="1"/>
  <c r="BB932" i="2"/>
  <c r="AY932" i="2" s="1"/>
  <c r="BB933" i="2"/>
  <c r="AY933" i="2" s="1"/>
  <c r="BB934" i="2"/>
  <c r="AY934" i="2" s="1"/>
  <c r="BB935" i="2"/>
  <c r="AY935" i="2" s="1"/>
  <c r="BB936" i="2"/>
  <c r="AY936" i="2" s="1"/>
  <c r="BB937" i="2"/>
  <c r="AY937" i="2" s="1"/>
  <c r="BB938" i="2"/>
  <c r="AY938" i="2" s="1"/>
  <c r="BB939" i="2"/>
  <c r="AY939" i="2" s="1"/>
  <c r="BB940" i="2"/>
  <c r="AY940" i="2" s="1"/>
  <c r="BB941" i="2"/>
  <c r="AY941" i="2" s="1"/>
  <c r="BB942" i="2"/>
  <c r="AY942" i="2" s="1"/>
  <c r="BB943" i="2"/>
  <c r="AY943" i="2" s="1"/>
  <c r="BB944" i="2"/>
  <c r="AY944" i="2" s="1"/>
  <c r="BB945" i="2"/>
  <c r="AY945" i="2" s="1"/>
  <c r="BB946" i="2"/>
  <c r="AY946" i="2" s="1"/>
  <c r="BB947" i="2"/>
  <c r="AY947" i="2" s="1"/>
  <c r="BB948" i="2"/>
  <c r="AY948" i="2" s="1"/>
  <c r="BB949" i="2"/>
  <c r="AY949" i="2" s="1"/>
  <c r="BB950" i="2"/>
  <c r="AY950" i="2" s="1"/>
  <c r="BB951" i="2"/>
  <c r="AY951" i="2" s="1"/>
  <c r="BB952" i="2"/>
  <c r="AY952" i="2" s="1"/>
  <c r="BB953" i="2"/>
  <c r="AY953" i="2" s="1"/>
  <c r="BB954" i="2"/>
  <c r="AY954" i="2" s="1"/>
  <c r="BB955" i="2"/>
  <c r="AY955" i="2" s="1"/>
  <c r="BB956" i="2"/>
  <c r="AY956" i="2" s="1"/>
  <c r="BB957" i="2"/>
  <c r="AY957" i="2" s="1"/>
  <c r="BB958" i="2"/>
  <c r="AY958" i="2" s="1"/>
  <c r="BB959" i="2"/>
  <c r="AY959" i="2" s="1"/>
  <c r="BB960" i="2"/>
  <c r="AY960" i="2" s="1"/>
  <c r="BB961" i="2"/>
  <c r="AY961" i="2" s="1"/>
  <c r="BB962" i="2"/>
  <c r="AY962" i="2" s="1"/>
  <c r="BB963" i="2"/>
  <c r="AY963" i="2" s="1"/>
  <c r="BB964" i="2"/>
  <c r="AY964" i="2" s="1"/>
  <c r="BB965" i="2"/>
  <c r="AY965" i="2" s="1"/>
  <c r="BB966" i="2"/>
  <c r="AY966" i="2" s="1"/>
  <c r="BB967" i="2"/>
  <c r="AY967" i="2" s="1"/>
  <c r="BB968" i="2"/>
  <c r="AY968" i="2" s="1"/>
  <c r="BB969" i="2"/>
  <c r="AY969" i="2" s="1"/>
  <c r="BB970" i="2"/>
  <c r="AY970" i="2" s="1"/>
  <c r="BB971" i="2"/>
  <c r="AY971" i="2" s="1"/>
  <c r="BB972" i="2"/>
  <c r="AY972" i="2" s="1"/>
  <c r="BB973" i="2"/>
  <c r="AY973" i="2" s="1"/>
  <c r="BB974" i="2"/>
  <c r="AY974" i="2" s="1"/>
  <c r="BB975" i="2"/>
  <c r="AY975" i="2" s="1"/>
  <c r="BB976" i="2"/>
  <c r="AY976" i="2" s="1"/>
  <c r="BB977" i="2"/>
  <c r="AY977" i="2" s="1"/>
  <c r="BB978" i="2"/>
  <c r="AY978" i="2" s="1"/>
  <c r="BB979" i="2"/>
  <c r="AY979" i="2" s="1"/>
  <c r="BB980" i="2"/>
  <c r="AY980" i="2" s="1"/>
  <c r="BB981" i="2"/>
  <c r="AY981" i="2" s="1"/>
  <c r="BB982" i="2"/>
  <c r="AY982" i="2" s="1"/>
  <c r="BB983" i="2"/>
  <c r="AY983" i="2" s="1"/>
  <c r="BB984" i="2"/>
  <c r="AY984" i="2" s="1"/>
  <c r="BB985" i="2"/>
  <c r="AY985" i="2" s="1"/>
  <c r="BB986" i="2"/>
  <c r="AY986" i="2" s="1"/>
  <c r="BB987" i="2"/>
  <c r="AY987" i="2" s="1"/>
  <c r="BB988" i="2"/>
  <c r="AY988" i="2" s="1"/>
  <c r="BB989" i="2"/>
  <c r="AY989" i="2" s="1"/>
  <c r="BB990" i="2"/>
  <c r="AY990" i="2" s="1"/>
  <c r="BB991" i="2"/>
  <c r="AY991" i="2" s="1"/>
  <c r="BB992" i="2"/>
  <c r="AY992" i="2" s="1"/>
  <c r="BB993" i="2"/>
  <c r="AY993" i="2" s="1"/>
  <c r="BB994" i="2"/>
  <c r="AY994" i="2" s="1"/>
  <c r="BB995" i="2"/>
  <c r="AY995" i="2" s="1"/>
  <c r="BB996" i="2"/>
  <c r="AY996" i="2" s="1"/>
  <c r="BB997" i="2"/>
  <c r="AY997" i="2" s="1"/>
  <c r="BB998" i="2"/>
  <c r="AY998" i="2" s="1"/>
  <c r="BB999" i="2"/>
  <c r="AY999" i="2" s="1"/>
  <c r="BB1000" i="2"/>
  <c r="AY1000" i="2" s="1"/>
  <c r="BB1001" i="2"/>
  <c r="AY1001" i="2" s="1"/>
  <c r="BB1002" i="2"/>
  <c r="AY1002" i="2" s="1"/>
  <c r="BB1003" i="2"/>
  <c r="AY1003" i="2" s="1"/>
  <c r="BB1004" i="2"/>
  <c r="AY1004" i="2" s="1"/>
  <c r="BB1005" i="2"/>
  <c r="AY1005" i="2" s="1"/>
  <c r="BB1006" i="2"/>
  <c r="AY1006" i="2" s="1"/>
  <c r="BB1007" i="2"/>
  <c r="AY1007" i="2" s="1"/>
  <c r="BB1008" i="2"/>
  <c r="AY1008" i="2" s="1"/>
  <c r="BB1009" i="2"/>
  <c r="AY1009" i="2" s="1"/>
  <c r="BB1010" i="2"/>
  <c r="AY1010" i="2" s="1"/>
  <c r="BB1011" i="2"/>
  <c r="AY1011" i="2" s="1"/>
  <c r="BB1012" i="2"/>
  <c r="AY1012" i="2" s="1"/>
  <c r="BB1013" i="2"/>
  <c r="AY1013" i="2" s="1"/>
  <c r="BB1014" i="2"/>
  <c r="AY1014" i="2" s="1"/>
  <c r="BB1015" i="2"/>
  <c r="AY1015" i="2" s="1"/>
  <c r="BB1016" i="2"/>
  <c r="AY1016" i="2" s="1"/>
  <c r="BB1017" i="2"/>
  <c r="AY1017" i="2" s="1"/>
  <c r="BB1018" i="2"/>
  <c r="AY1018" i="2" s="1"/>
  <c r="BB1019" i="2"/>
  <c r="AY1019" i="2" s="1"/>
  <c r="BB1020" i="2"/>
  <c r="AY1020" i="2" s="1"/>
  <c r="BB1021" i="2"/>
  <c r="AY1021" i="2" s="1"/>
  <c r="BB1022" i="2"/>
  <c r="AY1022" i="2" s="1"/>
  <c r="BB1023" i="2"/>
  <c r="AY1023" i="2" s="1"/>
  <c r="BB1024" i="2"/>
  <c r="AY1024" i="2" s="1"/>
  <c r="BB1025" i="2"/>
  <c r="AY1025" i="2" s="1"/>
  <c r="BB1026" i="2"/>
  <c r="AY1026" i="2" s="1"/>
  <c r="BB1027" i="2"/>
  <c r="AY1027" i="2" s="1"/>
  <c r="BB1028" i="2"/>
  <c r="AY1028" i="2" s="1"/>
  <c r="BB1029" i="2"/>
  <c r="AY1029" i="2" s="1"/>
  <c r="BB1030" i="2"/>
  <c r="AY1030" i="2" s="1"/>
  <c r="BB1031" i="2"/>
  <c r="AY1031" i="2" s="1"/>
  <c r="BB1032" i="2"/>
  <c r="AY1032" i="2" s="1"/>
  <c r="BB1033" i="2"/>
  <c r="AY1033" i="2" s="1"/>
  <c r="BB1034" i="2"/>
  <c r="AY1034" i="2" s="1"/>
  <c r="BB1035" i="2"/>
  <c r="AY1035" i="2" s="1"/>
  <c r="BB1036" i="2"/>
  <c r="AY1036" i="2" s="1"/>
  <c r="BB1037" i="2"/>
  <c r="AY1037" i="2" s="1"/>
  <c r="BB1038" i="2"/>
  <c r="AY1038" i="2" s="1"/>
  <c r="BB1039" i="2"/>
  <c r="AY1039" i="2" s="1"/>
  <c r="BB1040" i="2"/>
  <c r="AY1040" i="2" s="1"/>
  <c r="BB1041" i="2"/>
  <c r="AY1041" i="2" s="1"/>
  <c r="BB1042" i="2"/>
  <c r="AY1042" i="2" s="1"/>
  <c r="BB1043" i="2"/>
  <c r="AY1043" i="2" s="1"/>
  <c r="BB1044" i="2"/>
  <c r="AY1044" i="2" s="1"/>
  <c r="BB1045" i="2"/>
  <c r="AY1045" i="2" s="1"/>
  <c r="BB1046" i="2"/>
  <c r="AY1046" i="2" s="1"/>
  <c r="BB1047" i="2"/>
  <c r="AY1047" i="2" s="1"/>
  <c r="BB1048" i="2"/>
  <c r="AY1048" i="2" s="1"/>
  <c r="BB1049" i="2"/>
  <c r="AY1049" i="2" s="1"/>
  <c r="BB1050" i="2"/>
  <c r="AY1050" i="2" s="1"/>
  <c r="BB1051" i="2"/>
  <c r="AY1051" i="2" s="1"/>
  <c r="BB1052" i="2"/>
  <c r="AY1052" i="2" s="1"/>
  <c r="BB1053" i="2"/>
  <c r="AY1053" i="2" s="1"/>
  <c r="BB1054" i="2"/>
  <c r="AY1054" i="2" s="1"/>
  <c r="BB1055" i="2"/>
  <c r="AY1055" i="2" s="1"/>
  <c r="BB1056" i="2"/>
  <c r="AY1056" i="2" s="1"/>
  <c r="BB1057" i="2"/>
  <c r="AY1057" i="2" s="1"/>
  <c r="BB1058" i="2"/>
  <c r="AY1058" i="2" s="1"/>
  <c r="BB1059" i="2"/>
  <c r="AY1059" i="2" s="1"/>
  <c r="BB1060" i="2"/>
  <c r="AY1060" i="2" s="1"/>
  <c r="BB1061" i="2"/>
  <c r="AY1061" i="2" s="1"/>
  <c r="BB1062" i="2"/>
  <c r="AY1062" i="2" s="1"/>
  <c r="BB1063" i="2"/>
  <c r="AY1063" i="2" s="1"/>
  <c r="BB1064" i="2"/>
  <c r="AY1064" i="2" s="1"/>
  <c r="BB1065" i="2"/>
  <c r="AY1065" i="2" s="1"/>
  <c r="BB1066" i="2"/>
  <c r="AY1066" i="2" s="1"/>
  <c r="BB1067" i="2"/>
  <c r="AY1067" i="2" s="1"/>
  <c r="BB1068" i="2"/>
  <c r="AY1068" i="2" s="1"/>
  <c r="BB1069" i="2"/>
  <c r="AY1069" i="2" s="1"/>
  <c r="BB1070" i="2"/>
  <c r="AY1070" i="2" s="1"/>
  <c r="BB1071" i="2"/>
  <c r="AY1071" i="2" s="1"/>
  <c r="BB1072" i="2"/>
  <c r="AY1072" i="2" s="1"/>
  <c r="BB1073" i="2"/>
  <c r="AY1073" i="2" s="1"/>
  <c r="BB1074" i="2"/>
  <c r="AY1074" i="2" s="1"/>
  <c r="BB1075" i="2"/>
  <c r="AY1075" i="2" s="1"/>
  <c r="BB1076" i="2"/>
  <c r="AY1076" i="2" s="1"/>
  <c r="BB1077" i="2"/>
  <c r="AY1077" i="2" s="1"/>
  <c r="BB1078" i="2"/>
  <c r="AY1078" i="2" s="1"/>
  <c r="BB1079" i="2"/>
  <c r="AY1079" i="2" s="1"/>
  <c r="BB1080" i="2"/>
  <c r="AY1080" i="2" s="1"/>
  <c r="BB1081" i="2"/>
  <c r="AY1081" i="2" s="1"/>
  <c r="BB1082" i="2"/>
  <c r="AY1082" i="2" s="1"/>
  <c r="BB1083" i="2"/>
  <c r="AY1083" i="2" s="1"/>
  <c r="BB1084" i="2"/>
  <c r="AY1084" i="2" s="1"/>
  <c r="BB1085" i="2"/>
  <c r="AY1085" i="2" s="1"/>
  <c r="BB1086" i="2"/>
  <c r="AY1086" i="2" s="1"/>
  <c r="BB1087" i="2"/>
  <c r="AY1087" i="2" s="1"/>
  <c r="BB1088" i="2"/>
  <c r="AY1088" i="2" s="1"/>
  <c r="BB1089" i="2"/>
  <c r="AY1089" i="2" s="1"/>
  <c r="BB1090" i="2"/>
  <c r="AY1090" i="2" s="1"/>
  <c r="BB1091" i="2"/>
  <c r="AY1091" i="2" s="1"/>
  <c r="BB1092" i="2"/>
  <c r="AY1092" i="2" s="1"/>
  <c r="BB1093" i="2"/>
  <c r="AY1093" i="2" s="1"/>
  <c r="BB1094" i="2"/>
  <c r="AY1094" i="2" s="1"/>
  <c r="BB1095" i="2"/>
  <c r="AY1095" i="2" s="1"/>
  <c r="BB1096" i="2"/>
  <c r="AY1096" i="2" s="1"/>
  <c r="BB1097" i="2"/>
  <c r="AY1097" i="2" s="1"/>
  <c r="BB1098" i="2"/>
  <c r="AY1098" i="2" s="1"/>
  <c r="BB1099" i="2"/>
  <c r="AY1099" i="2" s="1"/>
  <c r="BB1100" i="2"/>
  <c r="AY1100" i="2" s="1"/>
  <c r="BB1101" i="2"/>
  <c r="AY1101" i="2" s="1"/>
  <c r="BB1102" i="2"/>
  <c r="AY1102" i="2" s="1"/>
  <c r="BB1103" i="2"/>
  <c r="AY1103" i="2" s="1"/>
  <c r="BB1104" i="2"/>
  <c r="AY1104" i="2" s="1"/>
  <c r="BB1105" i="2"/>
  <c r="AY1105" i="2" s="1"/>
  <c r="BB1106" i="2"/>
  <c r="AY1106" i="2" s="1"/>
  <c r="BB1107" i="2"/>
  <c r="AY1107" i="2" s="1"/>
  <c r="BB1108" i="2"/>
  <c r="AY1108" i="2" s="1"/>
  <c r="BB1109" i="2"/>
  <c r="AY1109" i="2" s="1"/>
  <c r="BB1110" i="2"/>
  <c r="AY1110" i="2" s="1"/>
  <c r="BB1111" i="2"/>
  <c r="AY1111" i="2" s="1"/>
  <c r="BB1112" i="2"/>
  <c r="AY1112" i="2" s="1"/>
  <c r="BB1113" i="2"/>
  <c r="AY1113" i="2" s="1"/>
  <c r="BB1114" i="2"/>
  <c r="AY1114" i="2" s="1"/>
  <c r="BB1115" i="2"/>
  <c r="AY1115" i="2" s="1"/>
  <c r="BB1116" i="2"/>
  <c r="AY1116" i="2" s="1"/>
  <c r="BB1117" i="2"/>
  <c r="AY1117" i="2" s="1"/>
  <c r="BB1118" i="2"/>
  <c r="AY1118" i="2" s="1"/>
  <c r="BB1119" i="2"/>
  <c r="AY1119" i="2" s="1"/>
  <c r="BB1120" i="2"/>
  <c r="AY1120" i="2" s="1"/>
  <c r="BB1121" i="2"/>
  <c r="AY1121" i="2" s="1"/>
  <c r="BB1122" i="2"/>
  <c r="AY1122" i="2" s="1"/>
  <c r="BB1123" i="2"/>
  <c r="AY1123" i="2" s="1"/>
  <c r="BB1124" i="2"/>
  <c r="AY1124" i="2" s="1"/>
  <c r="BB1125" i="2"/>
  <c r="AY1125" i="2" s="1"/>
  <c r="BB1126" i="2"/>
  <c r="AY1126" i="2" s="1"/>
  <c r="BB1127" i="2"/>
  <c r="AY1127" i="2" s="1"/>
  <c r="BB1128" i="2"/>
  <c r="AY1128" i="2" s="1"/>
  <c r="BB1129" i="2"/>
  <c r="AY1129" i="2" s="1"/>
  <c r="BB1130" i="2"/>
  <c r="AY1130" i="2" s="1"/>
  <c r="BB1131" i="2"/>
  <c r="AY1131" i="2" s="1"/>
  <c r="BB1132" i="2"/>
  <c r="AY1132" i="2" s="1"/>
  <c r="BB1133" i="2"/>
  <c r="AY1133" i="2" s="1"/>
  <c r="BB1134" i="2"/>
  <c r="AY1134" i="2" s="1"/>
  <c r="BB1135" i="2"/>
  <c r="AY1135" i="2" s="1"/>
  <c r="BB1136" i="2"/>
  <c r="AY1136" i="2" s="1"/>
  <c r="BB1137" i="2"/>
  <c r="AY1137" i="2" s="1"/>
  <c r="BB1138" i="2"/>
  <c r="AY1138" i="2" s="1"/>
  <c r="BB1139" i="2"/>
  <c r="AY1139" i="2" s="1"/>
  <c r="BB1140" i="2"/>
  <c r="AY1140" i="2" s="1"/>
  <c r="BB1141" i="2"/>
  <c r="AY1141" i="2" s="1"/>
  <c r="BB1142" i="2"/>
  <c r="AY1142" i="2" s="1"/>
  <c r="BB1143" i="2"/>
  <c r="AY1143" i="2" s="1"/>
  <c r="BB1144" i="2"/>
  <c r="AY1144" i="2" s="1"/>
  <c r="BB1145" i="2"/>
  <c r="AY1145" i="2" s="1"/>
  <c r="BB1146" i="2"/>
  <c r="AY1146" i="2" s="1"/>
  <c r="BB1147" i="2"/>
  <c r="AY1147" i="2" s="1"/>
  <c r="BB1148" i="2"/>
  <c r="AY1148" i="2" s="1"/>
  <c r="BB1149" i="2"/>
  <c r="AY1149" i="2" s="1"/>
  <c r="BB1150" i="2"/>
  <c r="AY1150" i="2" s="1"/>
  <c r="BB1151" i="2"/>
  <c r="AY1151" i="2" s="1"/>
  <c r="BB1152" i="2"/>
  <c r="AY1152" i="2" s="1"/>
  <c r="BB1153" i="2"/>
  <c r="AY1153" i="2" s="1"/>
  <c r="BB1154" i="2"/>
  <c r="AY1154" i="2" s="1"/>
  <c r="BB1155" i="2"/>
  <c r="AY1155" i="2" s="1"/>
  <c r="BB1156" i="2"/>
  <c r="AY1156" i="2" s="1"/>
  <c r="BB1157" i="2"/>
  <c r="AY1157" i="2" s="1"/>
  <c r="BB1158" i="2"/>
  <c r="AY1158" i="2" s="1"/>
  <c r="BB1159" i="2"/>
  <c r="AY1159" i="2" s="1"/>
  <c r="BB1160" i="2"/>
  <c r="AY1160" i="2" s="1"/>
  <c r="BB1161" i="2"/>
  <c r="AY1161" i="2" s="1"/>
  <c r="BB1162" i="2"/>
  <c r="AY1162" i="2" s="1"/>
  <c r="BB1163" i="2"/>
  <c r="AY1163" i="2" s="1"/>
  <c r="BB1164" i="2"/>
  <c r="AY1164" i="2" s="1"/>
  <c r="BB1165" i="2"/>
  <c r="AY1165" i="2" s="1"/>
  <c r="BB1166" i="2"/>
  <c r="AY1166" i="2" s="1"/>
  <c r="BB1167" i="2"/>
  <c r="AY1167" i="2" s="1"/>
  <c r="BB1168" i="2"/>
  <c r="AY1168" i="2" s="1"/>
  <c r="BB1169" i="2"/>
  <c r="AY1169" i="2" s="1"/>
  <c r="BB1170" i="2"/>
  <c r="AY1170" i="2" s="1"/>
  <c r="BB1171" i="2"/>
  <c r="AY1171" i="2" s="1"/>
  <c r="BB1172" i="2"/>
  <c r="AY1172" i="2" s="1"/>
  <c r="BB1173" i="2"/>
  <c r="AY1173" i="2" s="1"/>
  <c r="BB1174" i="2"/>
  <c r="AY1174" i="2" s="1"/>
  <c r="BB1175" i="2"/>
  <c r="AY1175" i="2" s="1"/>
  <c r="BB1176" i="2"/>
  <c r="AY1176" i="2" s="1"/>
  <c r="BB1177" i="2"/>
  <c r="AY1177" i="2" s="1"/>
  <c r="BB1178" i="2"/>
  <c r="AY1178" i="2" s="1"/>
  <c r="BB1179" i="2"/>
  <c r="AY1179" i="2" s="1"/>
  <c r="BB1180" i="2"/>
  <c r="AY1180" i="2" s="1"/>
  <c r="BB1181" i="2"/>
  <c r="AY1181" i="2" s="1"/>
  <c r="BB1182" i="2"/>
  <c r="AY1182" i="2" s="1"/>
  <c r="BB1183" i="2"/>
  <c r="AY1183" i="2" s="1"/>
  <c r="BB1184" i="2"/>
  <c r="AY1184" i="2" s="1"/>
  <c r="BB1185" i="2"/>
  <c r="AY1185" i="2" s="1"/>
  <c r="BB1186" i="2"/>
  <c r="AY1186" i="2" s="1"/>
  <c r="BB1187" i="2"/>
  <c r="AY1187" i="2" s="1"/>
  <c r="BB1188" i="2"/>
  <c r="AY1188" i="2" s="1"/>
  <c r="BB1189" i="2"/>
  <c r="AY1189" i="2" s="1"/>
  <c r="BB1190" i="2"/>
  <c r="AY1190" i="2" s="1"/>
  <c r="BB1191" i="2"/>
  <c r="AY1191" i="2" s="1"/>
  <c r="BB1192" i="2"/>
  <c r="AY1192" i="2" s="1"/>
  <c r="BB1193" i="2"/>
  <c r="AY1193" i="2" s="1"/>
  <c r="BB1194" i="2"/>
  <c r="AY1194" i="2" s="1"/>
  <c r="BB1195" i="2"/>
  <c r="AY1195" i="2" s="1"/>
  <c r="BB1196" i="2"/>
  <c r="AY1196" i="2" s="1"/>
  <c r="BB1197" i="2"/>
  <c r="AY1197" i="2" s="1"/>
  <c r="BB1198" i="2"/>
  <c r="AY1198" i="2" s="1"/>
  <c r="BB1199" i="2"/>
  <c r="AY1199" i="2" s="1"/>
  <c r="BB1200" i="2"/>
  <c r="AY1200" i="2" s="1"/>
  <c r="BB1201" i="2"/>
  <c r="AY1201" i="2" s="1"/>
  <c r="BB1202" i="2"/>
  <c r="AY1202" i="2" s="1"/>
  <c r="BB1203" i="2"/>
  <c r="AY1203" i="2" s="1"/>
  <c r="BB1204" i="2"/>
  <c r="AY1204" i="2" s="1"/>
  <c r="BB1205" i="2"/>
  <c r="AY1205" i="2" s="1"/>
  <c r="BB1206" i="2"/>
  <c r="AY1206" i="2" s="1"/>
  <c r="BB1207" i="2"/>
  <c r="AY1207" i="2" s="1"/>
  <c r="BB1208" i="2"/>
  <c r="AY1208" i="2" s="1"/>
  <c r="BB1209" i="2"/>
  <c r="AY1209" i="2" s="1"/>
  <c r="BB1210" i="2"/>
  <c r="AY1210" i="2" s="1"/>
  <c r="BB1211" i="2"/>
  <c r="AY1211" i="2" s="1"/>
  <c r="BB1212" i="2"/>
  <c r="AY1212" i="2" s="1"/>
  <c r="BB1213" i="2"/>
  <c r="AY1213" i="2" s="1"/>
  <c r="BB1214" i="2"/>
  <c r="AY1214" i="2" s="1"/>
  <c r="BB1215" i="2"/>
  <c r="AY1215" i="2" s="1"/>
  <c r="BB1216" i="2"/>
  <c r="AY1216" i="2" s="1"/>
  <c r="BB1217" i="2"/>
  <c r="AY1217" i="2" s="1"/>
  <c r="BB1218" i="2"/>
  <c r="AY1218" i="2" s="1"/>
  <c r="BB1219" i="2"/>
  <c r="AY1219" i="2" s="1"/>
  <c r="BB1220" i="2"/>
  <c r="AY1220" i="2" s="1"/>
  <c r="BB1221" i="2"/>
  <c r="AY1221" i="2" s="1"/>
  <c r="BB1222" i="2"/>
  <c r="AY1222" i="2" s="1"/>
  <c r="BB1223" i="2"/>
  <c r="AY1223" i="2" s="1"/>
  <c r="BB1224" i="2"/>
  <c r="AY1224" i="2" s="1"/>
  <c r="BB1225" i="2"/>
  <c r="AY1225" i="2" s="1"/>
  <c r="BB1226" i="2"/>
  <c r="AY1226" i="2" s="1"/>
  <c r="BB1227" i="2"/>
  <c r="AY1227" i="2" s="1"/>
  <c r="BB1228" i="2"/>
  <c r="AY1228" i="2" s="1"/>
  <c r="BB1229" i="2"/>
  <c r="AY1229" i="2" s="1"/>
  <c r="BB1230" i="2"/>
  <c r="AY1230" i="2" s="1"/>
  <c r="BB1231" i="2"/>
  <c r="AY1231" i="2" s="1"/>
  <c r="BB1232" i="2"/>
  <c r="AY1232" i="2" s="1"/>
  <c r="BB1233" i="2"/>
  <c r="AY1233" i="2" s="1"/>
  <c r="BB1234" i="2"/>
  <c r="AY1234" i="2" s="1"/>
  <c r="BB1235" i="2"/>
  <c r="AY1235" i="2" s="1"/>
  <c r="BB1236" i="2"/>
  <c r="AY1236" i="2" s="1"/>
  <c r="BB1237" i="2"/>
  <c r="AY1237" i="2" s="1"/>
  <c r="BB1238" i="2"/>
  <c r="AY1238" i="2" s="1"/>
  <c r="BB1239" i="2"/>
  <c r="AY1239" i="2" s="1"/>
  <c r="BB1240" i="2"/>
  <c r="AY1240" i="2" s="1"/>
  <c r="BB1241" i="2"/>
  <c r="AY1241" i="2" s="1"/>
  <c r="BB1242" i="2"/>
  <c r="AY1242" i="2" s="1"/>
  <c r="BB1243" i="2"/>
  <c r="AY1243" i="2" s="1"/>
  <c r="BB1244" i="2"/>
  <c r="AY1244" i="2" s="1"/>
  <c r="BB1245" i="2"/>
  <c r="AY1245" i="2" s="1"/>
  <c r="BB1246" i="2"/>
  <c r="AY1246" i="2" s="1"/>
  <c r="BB1247" i="2"/>
  <c r="AY1247" i="2" s="1"/>
  <c r="BB1248" i="2"/>
  <c r="AY1248" i="2" s="1"/>
  <c r="BB1249" i="2"/>
  <c r="AY1249" i="2" s="1"/>
  <c r="BB1250" i="2"/>
  <c r="AY1250" i="2" s="1"/>
  <c r="BB1251" i="2"/>
  <c r="AY1251" i="2" s="1"/>
  <c r="BB1252" i="2"/>
  <c r="AY1252" i="2" s="1"/>
  <c r="BB1253" i="2"/>
  <c r="AY1253" i="2" s="1"/>
  <c r="BB1254" i="2"/>
  <c r="AY1254" i="2" s="1"/>
  <c r="BB1255" i="2"/>
  <c r="AY1255" i="2" s="1"/>
  <c r="BB1256" i="2"/>
  <c r="AY1256" i="2" s="1"/>
  <c r="BB1257" i="2"/>
  <c r="AY1257" i="2" s="1"/>
  <c r="BB1258" i="2"/>
  <c r="AY1258" i="2" s="1"/>
  <c r="BB1259" i="2"/>
  <c r="AY1259" i="2" s="1"/>
  <c r="BB1260" i="2"/>
  <c r="AY1260" i="2" s="1"/>
  <c r="BB1261" i="2"/>
  <c r="AY1261" i="2" s="1"/>
  <c r="BB1262" i="2"/>
  <c r="AY1262" i="2" s="1"/>
  <c r="BB1263" i="2"/>
  <c r="AY1263" i="2" s="1"/>
  <c r="BB1264" i="2"/>
  <c r="AY1264" i="2" s="1"/>
  <c r="BB1265" i="2"/>
  <c r="AY1265" i="2" s="1"/>
  <c r="BB1266" i="2"/>
  <c r="AY1266" i="2" s="1"/>
  <c r="BB1267" i="2"/>
  <c r="AY1267" i="2" s="1"/>
  <c r="BB1268" i="2"/>
  <c r="AY1268" i="2" s="1"/>
  <c r="BB1269" i="2"/>
  <c r="AY1269" i="2" s="1"/>
  <c r="BB1270" i="2"/>
  <c r="AY1270" i="2" s="1"/>
  <c r="BB1271" i="2"/>
  <c r="AY1271" i="2" s="1"/>
  <c r="BB1272" i="2"/>
  <c r="AY1272" i="2" s="1"/>
  <c r="BB1273" i="2"/>
  <c r="AY1273" i="2" s="1"/>
  <c r="BB1274" i="2"/>
  <c r="AY1274" i="2" s="1"/>
  <c r="BB1275" i="2"/>
  <c r="AY1275" i="2" s="1"/>
  <c r="BB1276" i="2"/>
  <c r="AY1276" i="2" s="1"/>
  <c r="BB1277" i="2"/>
  <c r="AY1277" i="2" s="1"/>
  <c r="BB1278" i="2"/>
  <c r="AY1278" i="2" s="1"/>
  <c r="BB1279" i="2"/>
  <c r="AY1279" i="2" s="1"/>
  <c r="BB1280" i="2"/>
  <c r="AY1280" i="2" s="1"/>
  <c r="BB1281" i="2"/>
  <c r="AY1281" i="2" s="1"/>
  <c r="BB1282" i="2"/>
  <c r="AY1282" i="2" s="1"/>
  <c r="BB1283" i="2"/>
  <c r="AY1283" i="2" s="1"/>
  <c r="BB1284" i="2"/>
  <c r="AY1284" i="2" s="1"/>
  <c r="BB1285" i="2"/>
  <c r="AY1285" i="2" s="1"/>
  <c r="BB1286" i="2"/>
  <c r="AY1286" i="2" s="1"/>
  <c r="BB1287" i="2"/>
  <c r="AY1287" i="2" s="1"/>
  <c r="BB1288" i="2"/>
  <c r="AY1288" i="2" s="1"/>
  <c r="BB1289" i="2"/>
  <c r="AY1289" i="2" s="1"/>
  <c r="BB1290" i="2"/>
  <c r="AY1290" i="2" s="1"/>
  <c r="BB1291" i="2"/>
  <c r="AY1291" i="2" s="1"/>
  <c r="BB1292" i="2"/>
  <c r="AY1292" i="2" s="1"/>
  <c r="BB1293" i="2"/>
  <c r="AY1293" i="2" s="1"/>
  <c r="BB1294" i="2"/>
  <c r="AY1294" i="2" s="1"/>
  <c r="BB1295" i="2"/>
  <c r="AY1295" i="2" s="1"/>
  <c r="BB1296" i="2"/>
  <c r="AY1296" i="2" s="1"/>
  <c r="BB1297" i="2"/>
  <c r="AY1297" i="2" s="1"/>
  <c r="BB1298" i="2"/>
  <c r="AY1298" i="2" s="1"/>
  <c r="BB1299" i="2"/>
  <c r="AY1299" i="2" s="1"/>
  <c r="BB1300" i="2"/>
  <c r="AY1300" i="2" s="1"/>
  <c r="BB1301" i="2"/>
  <c r="AY1301" i="2" s="1"/>
  <c r="BB1302" i="2"/>
  <c r="AY1302" i="2" s="1"/>
  <c r="BB1303" i="2"/>
  <c r="AY1303" i="2" s="1"/>
  <c r="BB1304" i="2"/>
  <c r="AY1304" i="2" s="1"/>
  <c r="BB1305" i="2"/>
  <c r="AY1305" i="2" s="1"/>
  <c r="BB1306" i="2"/>
  <c r="AY1306" i="2" s="1"/>
  <c r="BB1307" i="2"/>
  <c r="AY1307" i="2" s="1"/>
  <c r="BB1308" i="2"/>
  <c r="AY1308" i="2" s="1"/>
  <c r="BB1309" i="2"/>
  <c r="AY1309" i="2" s="1"/>
  <c r="BB1310" i="2"/>
  <c r="AY1310" i="2" s="1"/>
  <c r="BB1311" i="2"/>
  <c r="AY1311" i="2" s="1"/>
  <c r="BB1312" i="2"/>
  <c r="AY1312" i="2" s="1"/>
  <c r="BB1313" i="2"/>
  <c r="AY1313" i="2" s="1"/>
  <c r="BB1314" i="2"/>
  <c r="AY1314" i="2" s="1"/>
  <c r="BB1315" i="2"/>
  <c r="AY1315" i="2" s="1"/>
  <c r="BB1316" i="2"/>
  <c r="AY1316" i="2" s="1"/>
  <c r="BB1317" i="2"/>
  <c r="AY1317" i="2" s="1"/>
  <c r="BB1318" i="2"/>
  <c r="AY1318" i="2" s="1"/>
  <c r="BB1319" i="2"/>
  <c r="AY1319" i="2" s="1"/>
  <c r="BB1320" i="2"/>
  <c r="AY1320" i="2" s="1"/>
  <c r="BB1321" i="2"/>
  <c r="AY1321" i="2" s="1"/>
  <c r="BB1322" i="2"/>
  <c r="AY1322" i="2" s="1"/>
  <c r="BB1323" i="2"/>
  <c r="AY1323" i="2" s="1"/>
  <c r="BB1324" i="2"/>
  <c r="AY1324" i="2" s="1"/>
  <c r="BB1325" i="2"/>
  <c r="AY1325" i="2" s="1"/>
  <c r="BB1326" i="2"/>
  <c r="AY1326" i="2" s="1"/>
  <c r="BB1327" i="2"/>
  <c r="AY1327" i="2" s="1"/>
  <c r="BB1328" i="2"/>
  <c r="AY1328" i="2" s="1"/>
  <c r="BB1329" i="2"/>
  <c r="AY1329" i="2" s="1"/>
  <c r="BB1330" i="2"/>
  <c r="AY1330" i="2" s="1"/>
  <c r="BB1331" i="2"/>
  <c r="AY1331" i="2" s="1"/>
  <c r="BB1332" i="2"/>
  <c r="AY1332" i="2" s="1"/>
  <c r="BB1333" i="2"/>
  <c r="AY1333" i="2" s="1"/>
  <c r="BB1334" i="2"/>
  <c r="AY1334" i="2" s="1"/>
  <c r="BB1335" i="2"/>
  <c r="AY1335" i="2" s="1"/>
  <c r="BB1336" i="2"/>
  <c r="AY1336" i="2" s="1"/>
  <c r="BB1337" i="2"/>
  <c r="AY1337" i="2" s="1"/>
  <c r="BB1338" i="2"/>
  <c r="AY1338" i="2" s="1"/>
  <c r="BB1339" i="2"/>
  <c r="AY1339" i="2" s="1"/>
  <c r="BB1340" i="2"/>
  <c r="AY1340" i="2" s="1"/>
  <c r="BB1341" i="2"/>
  <c r="AY1341" i="2" s="1"/>
  <c r="BB1342" i="2"/>
  <c r="AY1342" i="2" s="1"/>
  <c r="BB1343" i="2"/>
  <c r="AY1343" i="2" s="1"/>
  <c r="BB1344" i="2"/>
  <c r="AY1344" i="2" s="1"/>
  <c r="BB1345" i="2"/>
  <c r="AY1345" i="2" s="1"/>
  <c r="BB1346" i="2"/>
  <c r="AY1346" i="2" s="1"/>
  <c r="BB1347" i="2"/>
  <c r="AY1347" i="2" s="1"/>
  <c r="BB1348" i="2"/>
  <c r="AY1348" i="2" s="1"/>
  <c r="BB1349" i="2"/>
  <c r="AY1349" i="2" s="1"/>
  <c r="BB1350" i="2"/>
  <c r="AY1350" i="2" s="1"/>
  <c r="BB1351" i="2"/>
  <c r="AY1351" i="2" s="1"/>
  <c r="BB1352" i="2"/>
  <c r="AY1352" i="2" s="1"/>
  <c r="BB1353" i="2"/>
  <c r="AY1353" i="2" s="1"/>
  <c r="BB1354" i="2"/>
  <c r="AY1354" i="2" s="1"/>
  <c r="BB1355" i="2"/>
  <c r="AY1355" i="2" s="1"/>
  <c r="BB1356" i="2"/>
  <c r="AY1356" i="2" s="1"/>
  <c r="BB1357" i="2"/>
  <c r="AY1357" i="2" s="1"/>
  <c r="BB1358" i="2"/>
  <c r="AY1358" i="2" s="1"/>
  <c r="BB1359" i="2"/>
  <c r="AY1359" i="2" s="1"/>
  <c r="BB1360" i="2"/>
  <c r="AY1360" i="2" s="1"/>
  <c r="BB1361" i="2"/>
  <c r="AY1361" i="2" s="1"/>
  <c r="BB1362" i="2"/>
  <c r="AY1362" i="2" s="1"/>
  <c r="BB1363" i="2"/>
  <c r="AY1363" i="2" s="1"/>
  <c r="BB1364" i="2"/>
  <c r="AY1364" i="2" s="1"/>
  <c r="BB1365" i="2"/>
  <c r="AY1365" i="2" s="1"/>
  <c r="BB1366" i="2"/>
  <c r="AY1366" i="2" s="1"/>
  <c r="BB1367" i="2"/>
  <c r="AY1367" i="2" s="1"/>
  <c r="BB1368" i="2"/>
  <c r="AY1368" i="2" s="1"/>
  <c r="BB1369" i="2"/>
  <c r="AY1369" i="2" s="1"/>
  <c r="BB1370" i="2"/>
  <c r="AY1370" i="2" s="1"/>
  <c r="BB1371" i="2"/>
  <c r="AY1371" i="2" s="1"/>
  <c r="BB1372" i="2"/>
  <c r="AY1372" i="2" s="1"/>
  <c r="BB1373" i="2"/>
  <c r="AY1373" i="2" s="1"/>
  <c r="BB1374" i="2"/>
  <c r="AY1374" i="2" s="1"/>
  <c r="BB1375" i="2"/>
  <c r="AY1375" i="2" s="1"/>
  <c r="BB1376" i="2"/>
  <c r="AY1376" i="2" s="1"/>
  <c r="BB1377" i="2"/>
  <c r="AY1377" i="2" s="1"/>
  <c r="BB1378" i="2"/>
  <c r="AY1378" i="2" s="1"/>
  <c r="BB1379" i="2"/>
  <c r="AY1379" i="2" s="1"/>
  <c r="BB1380" i="2"/>
  <c r="AY1380" i="2" s="1"/>
  <c r="BB1381" i="2"/>
  <c r="AY1381" i="2" s="1"/>
  <c r="BB1382" i="2"/>
  <c r="AY1382" i="2" s="1"/>
  <c r="BB1383" i="2"/>
  <c r="AY1383" i="2" s="1"/>
  <c r="BB1384" i="2"/>
  <c r="AY1384" i="2" s="1"/>
  <c r="BB1385" i="2"/>
  <c r="AY1385" i="2" s="1"/>
  <c r="BB1386" i="2"/>
  <c r="AY1386" i="2" s="1"/>
  <c r="BB1387" i="2"/>
  <c r="AY1387" i="2" s="1"/>
  <c r="BB1388" i="2"/>
  <c r="AY1388" i="2" s="1"/>
  <c r="BB1389" i="2"/>
  <c r="AY1389" i="2" s="1"/>
  <c r="BB1390" i="2"/>
  <c r="AY1390" i="2" s="1"/>
  <c r="BB1391" i="2"/>
  <c r="AY1391" i="2" s="1"/>
  <c r="BB1392" i="2"/>
  <c r="AY1392" i="2" s="1"/>
  <c r="BB1393" i="2"/>
  <c r="AY1393" i="2" s="1"/>
  <c r="BB1394" i="2"/>
  <c r="AY1394" i="2" s="1"/>
  <c r="BB1395" i="2"/>
  <c r="AY1395" i="2" s="1"/>
  <c r="BB1396" i="2"/>
  <c r="AY1396" i="2" s="1"/>
  <c r="BB1397" i="2"/>
  <c r="AY1397" i="2" s="1"/>
  <c r="BB1398" i="2"/>
  <c r="AY1398" i="2" s="1"/>
  <c r="BB1399" i="2"/>
  <c r="AY1399" i="2" s="1"/>
  <c r="BB1400" i="2"/>
  <c r="AY1400" i="2" s="1"/>
  <c r="BB1401" i="2"/>
  <c r="AY1401" i="2" s="1"/>
  <c r="BB1402" i="2"/>
  <c r="AY1402" i="2" s="1"/>
  <c r="BB1403" i="2"/>
  <c r="AY1403" i="2" s="1"/>
  <c r="BB1404" i="2"/>
  <c r="AY1404" i="2" s="1"/>
  <c r="BB1405" i="2"/>
  <c r="AY1405" i="2" s="1"/>
  <c r="BB1406" i="2"/>
  <c r="AY1406" i="2" s="1"/>
  <c r="BB1407" i="2"/>
  <c r="AY1407" i="2" s="1"/>
  <c r="BB1408" i="2"/>
  <c r="AY1408" i="2" s="1"/>
  <c r="BB1409" i="2"/>
  <c r="AY1409" i="2" s="1"/>
  <c r="BB1410" i="2"/>
  <c r="AY1410" i="2" s="1"/>
  <c r="BB1411" i="2"/>
  <c r="AY1411" i="2" s="1"/>
  <c r="BB1412" i="2"/>
  <c r="AY1412" i="2" s="1"/>
  <c r="BB1413" i="2"/>
  <c r="AY1413" i="2" s="1"/>
  <c r="BB1414" i="2"/>
  <c r="AY1414" i="2" s="1"/>
  <c r="BB1415" i="2"/>
  <c r="AY1415" i="2" s="1"/>
  <c r="BB1416" i="2"/>
  <c r="AY1416" i="2" s="1"/>
  <c r="BB1417" i="2"/>
  <c r="AY1417" i="2" s="1"/>
  <c r="BB1418" i="2"/>
  <c r="AY1418" i="2" s="1"/>
  <c r="BB1419" i="2"/>
  <c r="AY1419" i="2" s="1"/>
  <c r="BB1420" i="2"/>
  <c r="AY1420" i="2" s="1"/>
  <c r="BB1421" i="2"/>
  <c r="AY1421" i="2" s="1"/>
  <c r="BB1422" i="2"/>
  <c r="AY1422" i="2" s="1"/>
  <c r="BB1423" i="2"/>
  <c r="AY1423" i="2" s="1"/>
  <c r="BB1424" i="2"/>
  <c r="AY1424" i="2" s="1"/>
  <c r="BB1425" i="2"/>
  <c r="AY1425" i="2" s="1"/>
  <c r="BB1426" i="2"/>
  <c r="AY1426" i="2" s="1"/>
  <c r="BB1427" i="2"/>
  <c r="AY1427" i="2" s="1"/>
  <c r="BB1428" i="2"/>
  <c r="AY1428" i="2" s="1"/>
  <c r="BB1429" i="2"/>
  <c r="AY1429" i="2" s="1"/>
  <c r="BB1430" i="2"/>
  <c r="AY1430" i="2" s="1"/>
  <c r="BB1431" i="2"/>
  <c r="AY1431" i="2" s="1"/>
  <c r="BB1432" i="2"/>
  <c r="AY1432" i="2" s="1"/>
  <c r="BB1433" i="2"/>
  <c r="AY1433" i="2" s="1"/>
  <c r="BB1434" i="2"/>
  <c r="AY1434" i="2" s="1"/>
  <c r="BB1435" i="2"/>
  <c r="AY1435" i="2" s="1"/>
  <c r="BB1436" i="2"/>
  <c r="AY1436" i="2" s="1"/>
  <c r="BB1437" i="2"/>
  <c r="AY1437" i="2" s="1"/>
  <c r="BB1438" i="2"/>
  <c r="AY1438" i="2" s="1"/>
  <c r="BB1439" i="2"/>
  <c r="AY1439" i="2" s="1"/>
  <c r="BB1440" i="2"/>
  <c r="AY1440" i="2" s="1"/>
  <c r="BB1441" i="2"/>
  <c r="AY1441" i="2" s="1"/>
  <c r="BB1442" i="2"/>
  <c r="AY1442" i="2" s="1"/>
  <c r="BB1443" i="2"/>
  <c r="AY1443" i="2" s="1"/>
  <c r="BB1444" i="2"/>
  <c r="AY1444" i="2" s="1"/>
  <c r="BB1445" i="2"/>
  <c r="AY1445" i="2" s="1"/>
  <c r="BB1446" i="2"/>
  <c r="AY1446" i="2" s="1"/>
  <c r="BB1447" i="2"/>
  <c r="AY1447" i="2" s="1"/>
  <c r="BB1448" i="2"/>
  <c r="AY1448" i="2" s="1"/>
  <c r="BB1449" i="2"/>
  <c r="AY1449" i="2" s="1"/>
  <c r="BB1450" i="2"/>
  <c r="AY1450" i="2" s="1"/>
  <c r="BB1451" i="2"/>
  <c r="AY1451" i="2" s="1"/>
  <c r="BB1452" i="2"/>
  <c r="AY1452" i="2" s="1"/>
  <c r="BB1453" i="2"/>
  <c r="AY1453" i="2" s="1"/>
  <c r="BB1454" i="2"/>
  <c r="AY1454" i="2" s="1"/>
  <c r="BB1455" i="2"/>
  <c r="AY1455" i="2" s="1"/>
  <c r="BB1456" i="2"/>
  <c r="AY1456" i="2" s="1"/>
  <c r="BB1457" i="2"/>
  <c r="AY1457" i="2" s="1"/>
  <c r="BB1458" i="2"/>
  <c r="AY1458" i="2" s="1"/>
  <c r="BB1459" i="2"/>
  <c r="AY1459" i="2" s="1"/>
  <c r="BB1460" i="2"/>
  <c r="AY1460" i="2" s="1"/>
  <c r="BB1461" i="2"/>
  <c r="AY1461" i="2" s="1"/>
  <c r="BB1462" i="2"/>
  <c r="AY1462" i="2" s="1"/>
  <c r="BB1463" i="2"/>
  <c r="AY1463" i="2" s="1"/>
  <c r="BB1464" i="2"/>
  <c r="AY1464" i="2" s="1"/>
  <c r="BB1465" i="2"/>
  <c r="AY1465" i="2" s="1"/>
  <c r="BB1466" i="2"/>
  <c r="AY1466" i="2" s="1"/>
  <c r="BB1467" i="2"/>
  <c r="AY1467" i="2" s="1"/>
  <c r="BB1468" i="2"/>
  <c r="AY1468" i="2" s="1"/>
  <c r="BB1469" i="2"/>
  <c r="AY1469" i="2" s="1"/>
  <c r="BB1470" i="2"/>
  <c r="AY1470" i="2" s="1"/>
  <c r="BB1471" i="2"/>
  <c r="AY1471" i="2" s="1"/>
  <c r="BB1472" i="2"/>
  <c r="AY1472" i="2" s="1"/>
  <c r="BB1473" i="2"/>
  <c r="AY1473" i="2" s="1"/>
  <c r="BB1474" i="2"/>
  <c r="AY1474" i="2" s="1"/>
  <c r="BB1475" i="2"/>
  <c r="AY1475" i="2" s="1"/>
  <c r="BB1476" i="2"/>
  <c r="AY1476" i="2" s="1"/>
  <c r="BB1477" i="2"/>
  <c r="AY1477" i="2" s="1"/>
  <c r="BB1478" i="2"/>
  <c r="AY1478" i="2" s="1"/>
  <c r="BB1479" i="2"/>
  <c r="AY1479" i="2" s="1"/>
  <c r="BB1480" i="2"/>
  <c r="AY1480" i="2" s="1"/>
  <c r="BB1481" i="2"/>
  <c r="AY1481" i="2" s="1"/>
  <c r="BB1482" i="2"/>
  <c r="AY1482" i="2" s="1"/>
  <c r="BB1483" i="2"/>
  <c r="AY1483" i="2" s="1"/>
  <c r="BB1484" i="2"/>
  <c r="AY1484" i="2" s="1"/>
  <c r="BB1485" i="2"/>
  <c r="AY1485" i="2" s="1"/>
  <c r="BB1486" i="2"/>
  <c r="AY1486" i="2" s="1"/>
  <c r="BB1487" i="2"/>
  <c r="AY1487" i="2" s="1"/>
  <c r="BB1488" i="2"/>
  <c r="AY1488" i="2" s="1"/>
  <c r="BB1489" i="2"/>
  <c r="AY1489" i="2" s="1"/>
  <c r="BB1490" i="2"/>
  <c r="AY1490" i="2" s="1"/>
  <c r="BB1491" i="2"/>
  <c r="AY1491" i="2" s="1"/>
  <c r="BB1492" i="2"/>
  <c r="AY1492" i="2" s="1"/>
  <c r="BB1493" i="2"/>
  <c r="AY1493" i="2" s="1"/>
  <c r="BB1494" i="2"/>
  <c r="AY1494" i="2" s="1"/>
  <c r="BB1495" i="2"/>
  <c r="AY1495" i="2" s="1"/>
  <c r="BB1496" i="2"/>
  <c r="AY1496" i="2" s="1"/>
  <c r="BB1497" i="2"/>
  <c r="AY1497" i="2" s="1"/>
  <c r="BB1498" i="2"/>
  <c r="AY1498" i="2" s="1"/>
  <c r="BB1499" i="2"/>
  <c r="AY1499" i="2" s="1"/>
  <c r="BB1500" i="2"/>
  <c r="AY1500" i="2" s="1"/>
  <c r="BB1501" i="2"/>
  <c r="AY1501" i="2" s="1"/>
  <c r="BB1502" i="2"/>
  <c r="AY1502" i="2" s="1"/>
  <c r="BB1503" i="2"/>
  <c r="AY1503" i="2" s="1"/>
  <c r="BB1504" i="2"/>
  <c r="AY1504" i="2" s="1"/>
  <c r="BB1505" i="2"/>
  <c r="AY1505" i="2" s="1"/>
  <c r="BB1506" i="2"/>
  <c r="AY1506" i="2" s="1"/>
  <c r="BB1507" i="2"/>
  <c r="AY1507" i="2" s="1"/>
  <c r="BB1508" i="2"/>
  <c r="AY1508" i="2" s="1"/>
  <c r="BB1509" i="2"/>
  <c r="AY1509" i="2" s="1"/>
  <c r="BB1510" i="2"/>
  <c r="AY1510" i="2" s="1"/>
  <c r="BB1511" i="2"/>
  <c r="AY1511" i="2" s="1"/>
  <c r="BB1512" i="2"/>
  <c r="AY1512" i="2" s="1"/>
  <c r="BB1513" i="2"/>
  <c r="AY1513" i="2" s="1"/>
  <c r="BB1514" i="2"/>
  <c r="AY1514" i="2" s="1"/>
  <c r="BB1515" i="2"/>
  <c r="AY1515" i="2" s="1"/>
  <c r="BB1516" i="2"/>
  <c r="AY1516" i="2" s="1"/>
  <c r="BB1517" i="2"/>
  <c r="AY1517" i="2" s="1"/>
  <c r="BB1518" i="2"/>
  <c r="AY1518" i="2" s="1"/>
  <c r="BB1519" i="2"/>
  <c r="AY1519" i="2" s="1"/>
  <c r="BB1520" i="2"/>
  <c r="AY1520" i="2" s="1"/>
  <c r="BB1521" i="2"/>
  <c r="AY1521" i="2" s="1"/>
  <c r="BB1522" i="2"/>
  <c r="AY1522" i="2" s="1"/>
  <c r="BB1523" i="2"/>
  <c r="AY1523" i="2" s="1"/>
  <c r="BB1524" i="2"/>
  <c r="AY1524" i="2" s="1"/>
  <c r="BB1525" i="2"/>
  <c r="AY1525" i="2" s="1"/>
  <c r="BB1526" i="2"/>
  <c r="AY1526" i="2" s="1"/>
  <c r="BB1527" i="2"/>
  <c r="AY1527" i="2" s="1"/>
  <c r="BB1528" i="2"/>
  <c r="AY1528" i="2" s="1"/>
  <c r="BB1529" i="2"/>
  <c r="AY1529" i="2" s="1"/>
  <c r="BB1530" i="2"/>
  <c r="AY1530" i="2" s="1"/>
  <c r="BB1531" i="2"/>
  <c r="AY1531" i="2" s="1"/>
  <c r="BB1532" i="2"/>
  <c r="AY1532" i="2" s="1"/>
  <c r="BB1533" i="2"/>
  <c r="AY1533" i="2" s="1"/>
  <c r="BB1534" i="2"/>
  <c r="AY1534" i="2" s="1"/>
  <c r="BB1535" i="2"/>
  <c r="AY1535" i="2" s="1"/>
  <c r="BB1536" i="2"/>
  <c r="AY1536" i="2" s="1"/>
  <c r="BB1537" i="2"/>
  <c r="AY1537" i="2" s="1"/>
  <c r="BB1538" i="2"/>
  <c r="AY1538" i="2" s="1"/>
  <c r="BB1539" i="2"/>
  <c r="AY1539" i="2" s="1"/>
  <c r="BB1540" i="2"/>
  <c r="AY1540" i="2" s="1"/>
  <c r="BB1541" i="2"/>
  <c r="AY1541" i="2" s="1"/>
  <c r="BB1542" i="2"/>
  <c r="AY1542" i="2" s="1"/>
  <c r="BB1543" i="2"/>
  <c r="AY1543" i="2" s="1"/>
  <c r="BB1544" i="2"/>
  <c r="AY1544" i="2" s="1"/>
  <c r="BB1545" i="2"/>
  <c r="AY1545" i="2" s="1"/>
  <c r="BB1546" i="2"/>
  <c r="AY1546" i="2" s="1"/>
  <c r="BB1547" i="2"/>
  <c r="AY1547" i="2" s="1"/>
  <c r="BB1548" i="2"/>
  <c r="AY1548" i="2" s="1"/>
  <c r="BB1549" i="2"/>
  <c r="AY1549" i="2" s="1"/>
  <c r="BB1550" i="2"/>
  <c r="AY1550" i="2" s="1"/>
  <c r="BB1551" i="2"/>
  <c r="AY1551" i="2" s="1"/>
  <c r="BB1552" i="2"/>
  <c r="AY1552" i="2" s="1"/>
  <c r="BB1553" i="2"/>
  <c r="AY1553" i="2" s="1"/>
  <c r="BB1554" i="2"/>
  <c r="AY1554" i="2" s="1"/>
  <c r="BB1555" i="2"/>
  <c r="AY1555" i="2" s="1"/>
  <c r="BB1556" i="2"/>
  <c r="AY1556" i="2" s="1"/>
  <c r="BB1557" i="2"/>
  <c r="AY1557" i="2" s="1"/>
  <c r="BB1558" i="2"/>
  <c r="AY1558" i="2" s="1"/>
  <c r="BB1559" i="2"/>
  <c r="AY1559" i="2" s="1"/>
  <c r="BB1560" i="2"/>
  <c r="AY1560" i="2" s="1"/>
  <c r="BB1561" i="2"/>
  <c r="AY1561" i="2" s="1"/>
  <c r="BB1562" i="2"/>
  <c r="AY1562" i="2" s="1"/>
  <c r="BB1563" i="2"/>
  <c r="AY1563" i="2" s="1"/>
  <c r="BB1564" i="2"/>
  <c r="AY1564" i="2" s="1"/>
  <c r="BB1565" i="2"/>
  <c r="AY1565" i="2" s="1"/>
  <c r="BB1566" i="2"/>
  <c r="AY1566" i="2" s="1"/>
  <c r="BB1567" i="2"/>
  <c r="AY1567" i="2" s="1"/>
  <c r="BB1568" i="2"/>
  <c r="AY1568" i="2" s="1"/>
  <c r="BB1569" i="2"/>
  <c r="AY1569" i="2" s="1"/>
  <c r="BB1570" i="2"/>
  <c r="AY1570" i="2" s="1"/>
  <c r="BB1571" i="2"/>
  <c r="AY1571" i="2" s="1"/>
  <c r="BB1572" i="2"/>
  <c r="AY1572" i="2" s="1"/>
  <c r="BB1573" i="2"/>
  <c r="AY1573" i="2" s="1"/>
  <c r="BB1574" i="2"/>
  <c r="AY1574" i="2" s="1"/>
  <c r="BB1575" i="2"/>
  <c r="AY1575" i="2" s="1"/>
  <c r="BB1576" i="2"/>
  <c r="AY1576" i="2" s="1"/>
  <c r="BB1577" i="2"/>
  <c r="AY1577" i="2" s="1"/>
  <c r="BB1578" i="2"/>
  <c r="AY1578" i="2" s="1"/>
  <c r="BB1579" i="2"/>
  <c r="AY1579" i="2" s="1"/>
  <c r="BB1580" i="2"/>
  <c r="AY1580" i="2" s="1"/>
  <c r="BB1581" i="2"/>
  <c r="AY1581" i="2" s="1"/>
  <c r="BB1582" i="2"/>
  <c r="AY1582" i="2" s="1"/>
  <c r="BB1583" i="2"/>
  <c r="AY1583" i="2" s="1"/>
  <c r="BB1584" i="2"/>
  <c r="AY1584" i="2" s="1"/>
  <c r="BB1585" i="2"/>
  <c r="AY1585" i="2" s="1"/>
  <c r="BB1586" i="2"/>
  <c r="AY1586" i="2" s="1"/>
  <c r="BB1587" i="2"/>
  <c r="AY1587" i="2" s="1"/>
  <c r="BB1588" i="2"/>
  <c r="AY1588" i="2" s="1"/>
  <c r="BB1589" i="2"/>
  <c r="AY1589" i="2" s="1"/>
  <c r="BB1590" i="2"/>
  <c r="AY1590" i="2" s="1"/>
  <c r="BB1591" i="2"/>
  <c r="AY1591" i="2" s="1"/>
  <c r="BB1592" i="2"/>
  <c r="AY1592" i="2" s="1"/>
  <c r="BB1593" i="2"/>
  <c r="AY1593" i="2" s="1"/>
  <c r="BB1594" i="2"/>
  <c r="AY1594" i="2" s="1"/>
  <c r="BB1595" i="2"/>
  <c r="AY1595" i="2" s="1"/>
  <c r="BB1596" i="2"/>
  <c r="AY1596" i="2" s="1"/>
  <c r="BB1597" i="2"/>
  <c r="AY1597" i="2" s="1"/>
  <c r="BB1598" i="2"/>
  <c r="AY1598" i="2" s="1"/>
  <c r="BB1599" i="2"/>
  <c r="AY1599" i="2" s="1"/>
  <c r="BB1600" i="2"/>
  <c r="AY1600" i="2" s="1"/>
  <c r="BB1601" i="2"/>
  <c r="AY1601" i="2" s="1"/>
  <c r="BB1602" i="2"/>
  <c r="AY1602" i="2" s="1"/>
  <c r="BB1603" i="2"/>
  <c r="AY1603" i="2" s="1"/>
  <c r="BB1604" i="2"/>
  <c r="AY1604" i="2" s="1"/>
  <c r="BB1605" i="2"/>
  <c r="AY1605" i="2" s="1"/>
  <c r="BB1606" i="2"/>
  <c r="AY1606" i="2" s="1"/>
  <c r="BB1607" i="2"/>
  <c r="AY1607" i="2" s="1"/>
  <c r="BB1608" i="2"/>
  <c r="AY1608" i="2" s="1"/>
  <c r="BB1609" i="2"/>
  <c r="AY1609" i="2" s="1"/>
  <c r="BB1610" i="2"/>
  <c r="AY1610" i="2" s="1"/>
  <c r="BB1611" i="2"/>
  <c r="AY1611" i="2" s="1"/>
  <c r="BB1612" i="2"/>
  <c r="AY1612" i="2" s="1"/>
  <c r="BB1613" i="2"/>
  <c r="AY1613" i="2" s="1"/>
  <c r="BB1614" i="2"/>
  <c r="AY1614" i="2" s="1"/>
  <c r="BB1615" i="2"/>
  <c r="AY1615" i="2" s="1"/>
  <c r="BB1616" i="2"/>
  <c r="AY1616" i="2" s="1"/>
  <c r="BB1617" i="2"/>
  <c r="AY1617" i="2" s="1"/>
  <c r="BB1618" i="2"/>
  <c r="AY1618" i="2" s="1"/>
  <c r="BB1619" i="2"/>
  <c r="AY1619" i="2" s="1"/>
  <c r="BB1620" i="2"/>
  <c r="AY1620" i="2" s="1"/>
  <c r="BB1621" i="2"/>
  <c r="AY1621" i="2" s="1"/>
  <c r="BB1622" i="2"/>
  <c r="AY1622" i="2" s="1"/>
  <c r="BB1623" i="2"/>
  <c r="AY1623" i="2" s="1"/>
  <c r="BB1624" i="2"/>
  <c r="AY1624" i="2" s="1"/>
  <c r="BB1625" i="2"/>
  <c r="AY1625" i="2" s="1"/>
  <c r="BB1626" i="2"/>
  <c r="AY1626" i="2" s="1"/>
  <c r="BB1627" i="2"/>
  <c r="AY1627" i="2" s="1"/>
  <c r="BB1628" i="2"/>
  <c r="AY1628" i="2" s="1"/>
  <c r="BB1629" i="2"/>
  <c r="AY1629" i="2" s="1"/>
  <c r="BB1630" i="2"/>
  <c r="AY1630" i="2" s="1"/>
  <c r="BB1631" i="2"/>
  <c r="AY1631" i="2" s="1"/>
  <c r="BB1632" i="2"/>
  <c r="AY1632" i="2" s="1"/>
  <c r="BB1633" i="2"/>
  <c r="AY1633" i="2" s="1"/>
  <c r="BB1634" i="2"/>
  <c r="AY1634" i="2" s="1"/>
  <c r="BB1635" i="2"/>
  <c r="AY1635" i="2" s="1"/>
  <c r="BB1636" i="2"/>
  <c r="AY1636" i="2" s="1"/>
  <c r="BB1637" i="2"/>
  <c r="AY1637" i="2" s="1"/>
  <c r="BB1638" i="2"/>
  <c r="AY1638" i="2" s="1"/>
  <c r="BB1639" i="2"/>
  <c r="AY1639" i="2" s="1"/>
  <c r="BB1640" i="2"/>
  <c r="AY1640" i="2" s="1"/>
  <c r="BB1641" i="2"/>
  <c r="AY1641" i="2" s="1"/>
  <c r="BB1642" i="2"/>
  <c r="AY1642" i="2" s="1"/>
  <c r="BB1643" i="2"/>
  <c r="AY1643" i="2" s="1"/>
  <c r="BB1644" i="2"/>
  <c r="AY1644" i="2" s="1"/>
  <c r="BB1645" i="2"/>
  <c r="AY1645" i="2" s="1"/>
  <c r="BB1646" i="2"/>
  <c r="AY1646" i="2" s="1"/>
  <c r="BB1647" i="2"/>
  <c r="AY1647" i="2" s="1"/>
  <c r="BB1648" i="2"/>
  <c r="AY1648" i="2" s="1"/>
  <c r="BB1649" i="2"/>
  <c r="AY1649" i="2" s="1"/>
  <c r="BB1650" i="2"/>
  <c r="AY1650" i="2" s="1"/>
  <c r="BB1651" i="2"/>
  <c r="AY1651" i="2" s="1"/>
  <c r="BB1652" i="2"/>
  <c r="AY1652" i="2" s="1"/>
  <c r="BB1653" i="2"/>
  <c r="AY1653" i="2" s="1"/>
  <c r="BB1654" i="2"/>
  <c r="AY1654" i="2" s="1"/>
  <c r="BB1655" i="2"/>
  <c r="AY1655" i="2" s="1"/>
  <c r="BB1656" i="2"/>
  <c r="AY1656" i="2" s="1"/>
  <c r="BB1657" i="2"/>
  <c r="AY1657" i="2" s="1"/>
  <c r="BB1658" i="2"/>
  <c r="AY1658" i="2" s="1"/>
  <c r="BB1659" i="2"/>
  <c r="AY1659" i="2" s="1"/>
  <c r="BB1660" i="2"/>
  <c r="AY1660" i="2" s="1"/>
  <c r="BB1661" i="2"/>
  <c r="AY1661" i="2" s="1"/>
  <c r="BB1662" i="2"/>
  <c r="AY1662" i="2" s="1"/>
  <c r="BB1663" i="2"/>
  <c r="AY1663" i="2" s="1"/>
  <c r="BB1664" i="2"/>
  <c r="AY1664" i="2" s="1"/>
  <c r="BB1665" i="2"/>
  <c r="AY1665" i="2" s="1"/>
  <c r="BB1666" i="2"/>
  <c r="AY1666" i="2" s="1"/>
  <c r="BB1667" i="2"/>
  <c r="AY1667" i="2" s="1"/>
  <c r="BB1668" i="2"/>
  <c r="AY1668" i="2" s="1"/>
  <c r="BB1669" i="2"/>
  <c r="AY1669" i="2" s="1"/>
  <c r="BB1670" i="2"/>
  <c r="AY1670" i="2" s="1"/>
  <c r="BB1671" i="2"/>
  <c r="AY1671" i="2" s="1"/>
  <c r="BB1672" i="2"/>
  <c r="AY1672" i="2" s="1"/>
  <c r="BB1673" i="2"/>
  <c r="AY1673" i="2" s="1"/>
  <c r="BB1674" i="2"/>
  <c r="AY1674" i="2" s="1"/>
  <c r="BB1675" i="2"/>
  <c r="AY1675" i="2" s="1"/>
  <c r="BB1676" i="2"/>
  <c r="AY1676" i="2" s="1"/>
  <c r="BB1677" i="2"/>
  <c r="AY1677" i="2" s="1"/>
  <c r="BB1678" i="2"/>
  <c r="AY1678" i="2" s="1"/>
  <c r="BB1679" i="2"/>
  <c r="AY1679" i="2" s="1"/>
  <c r="BB1680" i="2"/>
  <c r="AY1680" i="2" s="1"/>
  <c r="BB1681" i="2"/>
  <c r="AY1681" i="2" s="1"/>
  <c r="BB1682" i="2"/>
  <c r="AY1682" i="2" s="1"/>
  <c r="BB1683" i="2"/>
  <c r="AY1683" i="2" s="1"/>
  <c r="BB1684" i="2"/>
  <c r="AY1684" i="2" s="1"/>
  <c r="BB1685" i="2"/>
  <c r="AY1685" i="2" s="1"/>
  <c r="BB1686" i="2"/>
  <c r="AY1686" i="2" s="1"/>
  <c r="BB1687" i="2"/>
  <c r="AY1687" i="2" s="1"/>
  <c r="BB1688" i="2"/>
  <c r="AY1688" i="2" s="1"/>
  <c r="BB1689" i="2"/>
  <c r="AY1689" i="2" s="1"/>
  <c r="BB1690" i="2"/>
  <c r="AY1690" i="2" s="1"/>
  <c r="BB1691" i="2"/>
  <c r="AY1691" i="2" s="1"/>
  <c r="BB1692" i="2"/>
  <c r="AY1692" i="2" s="1"/>
  <c r="BB1693" i="2"/>
  <c r="AY1693" i="2" s="1"/>
  <c r="BB1694" i="2"/>
  <c r="AY1694" i="2" s="1"/>
  <c r="BB1695" i="2"/>
  <c r="AY1695" i="2" s="1"/>
  <c r="BB1696" i="2"/>
  <c r="AY1696" i="2" s="1"/>
  <c r="BB1697" i="2"/>
  <c r="AY1697" i="2" s="1"/>
  <c r="BB1698" i="2"/>
  <c r="AY1698" i="2" s="1"/>
  <c r="BB1699" i="2"/>
  <c r="AY1699" i="2" s="1"/>
  <c r="BB1700" i="2"/>
  <c r="AY1700" i="2" s="1"/>
  <c r="BB1701" i="2"/>
  <c r="AY1701" i="2" s="1"/>
  <c r="BB1702" i="2"/>
  <c r="AY1702" i="2" s="1"/>
  <c r="BB1703" i="2"/>
  <c r="AY1703" i="2" s="1"/>
  <c r="BB1704" i="2"/>
  <c r="AY1704" i="2" s="1"/>
  <c r="BB1705" i="2"/>
  <c r="AY1705" i="2" s="1"/>
  <c r="BB1706" i="2"/>
  <c r="AY1706" i="2" s="1"/>
  <c r="BB1707" i="2"/>
  <c r="AY1707" i="2" s="1"/>
  <c r="BB1708" i="2"/>
  <c r="AY1708" i="2" s="1"/>
  <c r="BB1709" i="2"/>
  <c r="AY1709" i="2" s="1"/>
  <c r="BB1710" i="2"/>
  <c r="AY1710" i="2" s="1"/>
  <c r="BB1711" i="2"/>
  <c r="AY1711" i="2" s="1"/>
  <c r="BB1712" i="2"/>
  <c r="AY1712" i="2" s="1"/>
  <c r="BB1713" i="2"/>
  <c r="AY1713" i="2" s="1"/>
  <c r="BB1714" i="2"/>
  <c r="AY1714" i="2" s="1"/>
  <c r="BB1715" i="2"/>
  <c r="AY1715" i="2" s="1"/>
  <c r="BB1716" i="2"/>
  <c r="AY1716" i="2" s="1"/>
  <c r="BB1717" i="2"/>
  <c r="AY1717" i="2" s="1"/>
  <c r="BB1718" i="2"/>
  <c r="AY1718" i="2" s="1"/>
  <c r="BB1719" i="2"/>
  <c r="AY1719" i="2" s="1"/>
  <c r="BB1720" i="2"/>
  <c r="AY1720" i="2" s="1"/>
  <c r="BB1721" i="2"/>
  <c r="AY1721" i="2" s="1"/>
  <c r="BB1722" i="2"/>
  <c r="AY1722" i="2" s="1"/>
  <c r="BB1723" i="2"/>
  <c r="AY1723" i="2" s="1"/>
  <c r="BB1724" i="2"/>
  <c r="AY1724" i="2" s="1"/>
  <c r="BB1725" i="2"/>
  <c r="AY1725" i="2" s="1"/>
  <c r="BB1726" i="2"/>
  <c r="AY1726" i="2" s="1"/>
  <c r="BB1727" i="2"/>
  <c r="AY1727" i="2" s="1"/>
  <c r="BB1728" i="2"/>
  <c r="AY1728" i="2" s="1"/>
  <c r="BB1729" i="2"/>
  <c r="AY1729" i="2" s="1"/>
  <c r="BB1730" i="2"/>
  <c r="AY1730" i="2" s="1"/>
  <c r="BB1731" i="2"/>
  <c r="AY1731" i="2" s="1"/>
  <c r="BB1732" i="2"/>
  <c r="AY1732" i="2" s="1"/>
  <c r="BB1733" i="2"/>
  <c r="AY1733" i="2" s="1"/>
  <c r="BB1734" i="2"/>
  <c r="AY1734" i="2" s="1"/>
  <c r="BB1735" i="2"/>
  <c r="AY1735" i="2" s="1"/>
  <c r="BB1736" i="2"/>
  <c r="AY1736" i="2" s="1"/>
  <c r="BB1737" i="2"/>
  <c r="AY1737" i="2" s="1"/>
  <c r="BB1738" i="2"/>
  <c r="AY1738" i="2" s="1"/>
  <c r="BB1739" i="2"/>
  <c r="AY1739" i="2" s="1"/>
  <c r="BB1740" i="2"/>
  <c r="AY1740" i="2" s="1"/>
  <c r="BB1741" i="2"/>
  <c r="AY1741" i="2" s="1"/>
  <c r="BB1742" i="2"/>
  <c r="AY1742" i="2" s="1"/>
  <c r="BB1743" i="2"/>
  <c r="AY1743" i="2" s="1"/>
  <c r="BB1744" i="2"/>
  <c r="AY1744" i="2" s="1"/>
  <c r="BB1745" i="2"/>
  <c r="AY1745" i="2" s="1"/>
  <c r="BB1746" i="2"/>
  <c r="AY1746" i="2" s="1"/>
  <c r="BB1747" i="2"/>
  <c r="AY1747" i="2" s="1"/>
  <c r="BB1748" i="2"/>
  <c r="AY1748" i="2" s="1"/>
  <c r="BB1749" i="2"/>
  <c r="AY1749" i="2" s="1"/>
  <c r="BB1750" i="2"/>
  <c r="AY1750" i="2" s="1"/>
  <c r="BB1751" i="2"/>
  <c r="AY1751" i="2" s="1"/>
  <c r="BB1752" i="2"/>
  <c r="AY1752" i="2" s="1"/>
  <c r="BB1753" i="2"/>
  <c r="AY1753" i="2" s="1"/>
  <c r="BB1754" i="2"/>
  <c r="AY1754" i="2" s="1"/>
  <c r="BB1755" i="2"/>
  <c r="AY1755" i="2" s="1"/>
  <c r="BB1756" i="2"/>
  <c r="AY1756" i="2" s="1"/>
  <c r="BB1757" i="2"/>
  <c r="AY1757" i="2" s="1"/>
  <c r="BB1758" i="2"/>
  <c r="AY1758" i="2" s="1"/>
  <c r="BB1759" i="2"/>
  <c r="AY1759" i="2" s="1"/>
  <c r="BB1760" i="2"/>
  <c r="AY1760" i="2" s="1"/>
  <c r="BB1761" i="2"/>
  <c r="AY1761" i="2" s="1"/>
  <c r="BB1762" i="2"/>
  <c r="AY1762" i="2" s="1"/>
  <c r="BB1763" i="2"/>
  <c r="AY1763" i="2" s="1"/>
  <c r="BB1764" i="2"/>
  <c r="AY1764" i="2" s="1"/>
  <c r="BB1765" i="2"/>
  <c r="AY1765" i="2" s="1"/>
  <c r="BB1766" i="2"/>
  <c r="AY1766" i="2" s="1"/>
  <c r="BB1767" i="2"/>
  <c r="AY1767" i="2" s="1"/>
  <c r="BB1768" i="2"/>
  <c r="AY1768" i="2" s="1"/>
  <c r="BB1769" i="2"/>
  <c r="AY1769" i="2" s="1"/>
  <c r="BB1770" i="2"/>
  <c r="AY1770" i="2" s="1"/>
  <c r="BB1771" i="2"/>
  <c r="AY1771" i="2" s="1"/>
  <c r="BB1772" i="2"/>
  <c r="AY1772" i="2" s="1"/>
  <c r="BB1773" i="2"/>
  <c r="AY1773" i="2" s="1"/>
  <c r="BB1774" i="2"/>
  <c r="AY1774" i="2" s="1"/>
  <c r="BB1775" i="2"/>
  <c r="AY1775" i="2" s="1"/>
  <c r="BB1776" i="2"/>
  <c r="AY1776" i="2" s="1"/>
  <c r="BB1777" i="2"/>
  <c r="AY1777" i="2" s="1"/>
  <c r="BB1778" i="2"/>
  <c r="AY1778" i="2" s="1"/>
  <c r="BB1779" i="2"/>
  <c r="AY1779" i="2" s="1"/>
  <c r="BB1780" i="2"/>
  <c r="AY1780" i="2" s="1"/>
  <c r="BB1781" i="2"/>
  <c r="AY1781" i="2" s="1"/>
  <c r="BB1782" i="2"/>
  <c r="AY1782" i="2" s="1"/>
  <c r="BB1783" i="2"/>
  <c r="AY1783" i="2" s="1"/>
  <c r="BB1784" i="2"/>
  <c r="AY1784" i="2" s="1"/>
  <c r="BB1785" i="2"/>
  <c r="AY1785" i="2" s="1"/>
  <c r="BB1786" i="2"/>
  <c r="AY1786" i="2" s="1"/>
  <c r="BB1787" i="2"/>
  <c r="AY1787" i="2" s="1"/>
  <c r="BB1788" i="2"/>
  <c r="AY1788" i="2" s="1"/>
  <c r="BB1789" i="2"/>
  <c r="AY1789" i="2" s="1"/>
  <c r="BB1790" i="2"/>
  <c r="AY1790" i="2" s="1"/>
  <c r="BB1791" i="2"/>
  <c r="AY1791" i="2" s="1"/>
  <c r="BB1792" i="2"/>
  <c r="AY1792" i="2" s="1"/>
  <c r="BB1793" i="2"/>
  <c r="AY1793" i="2" s="1"/>
  <c r="BB1794" i="2"/>
  <c r="AY1794" i="2" s="1"/>
  <c r="BB1795" i="2"/>
  <c r="AY1795" i="2" s="1"/>
  <c r="BB1796" i="2"/>
  <c r="AY1796" i="2" s="1"/>
  <c r="BB1797" i="2"/>
  <c r="AY1797" i="2" s="1"/>
  <c r="BB1798" i="2"/>
  <c r="AY1798" i="2" s="1"/>
  <c r="BB1799" i="2"/>
  <c r="AY1799" i="2" s="1"/>
  <c r="BB1800" i="2"/>
  <c r="AY1800" i="2" s="1"/>
  <c r="BB1801" i="2"/>
  <c r="AY1801" i="2" s="1"/>
  <c r="BB1802" i="2"/>
  <c r="AY1802" i="2" s="1"/>
  <c r="BB1803" i="2"/>
  <c r="AY1803" i="2" s="1"/>
  <c r="BB1804" i="2"/>
  <c r="AY1804" i="2" s="1"/>
  <c r="BB1805" i="2"/>
  <c r="AY1805" i="2" s="1"/>
  <c r="BB1806" i="2"/>
  <c r="AY1806" i="2" s="1"/>
  <c r="BB1807" i="2"/>
  <c r="AY1807" i="2" s="1"/>
  <c r="BB1808" i="2"/>
  <c r="AY1808" i="2" s="1"/>
  <c r="BB1809" i="2"/>
  <c r="AY1809" i="2" s="1"/>
  <c r="BB1810" i="2"/>
  <c r="AY1810" i="2" s="1"/>
  <c r="BB1811" i="2"/>
  <c r="AY1811" i="2" s="1"/>
  <c r="BB1812" i="2"/>
  <c r="AY1812" i="2" s="1"/>
  <c r="BB1813" i="2"/>
  <c r="AY1813" i="2" s="1"/>
  <c r="BB1814" i="2"/>
  <c r="AY1814" i="2" s="1"/>
  <c r="BB1815" i="2"/>
  <c r="AY1815" i="2" s="1"/>
  <c r="BB1816" i="2"/>
  <c r="AY1816" i="2" s="1"/>
  <c r="BB1817" i="2"/>
  <c r="AY1817" i="2" s="1"/>
  <c r="BB1818" i="2"/>
  <c r="AY1818" i="2" s="1"/>
  <c r="BB1819" i="2"/>
  <c r="AY1819" i="2" s="1"/>
  <c r="BB1820" i="2"/>
  <c r="AY1820" i="2" s="1"/>
  <c r="BB1821" i="2"/>
  <c r="AY1821" i="2" s="1"/>
  <c r="BB1822" i="2"/>
  <c r="AY1822" i="2" s="1"/>
  <c r="BB1823" i="2"/>
  <c r="AY1823" i="2" s="1"/>
  <c r="BB1824" i="2"/>
  <c r="AY1824" i="2" s="1"/>
  <c r="BB1825" i="2"/>
  <c r="AY1825" i="2" s="1"/>
  <c r="BB1826" i="2"/>
  <c r="AY1826" i="2" s="1"/>
  <c r="BB1827" i="2"/>
  <c r="AY1827" i="2" s="1"/>
  <c r="BB1828" i="2"/>
  <c r="AY1828" i="2" s="1"/>
  <c r="BB1829" i="2"/>
  <c r="AY1829" i="2" s="1"/>
  <c r="BB1830" i="2"/>
  <c r="AY1830" i="2" s="1"/>
  <c r="BB1831" i="2"/>
  <c r="AY1831" i="2" s="1"/>
  <c r="BB1832" i="2"/>
  <c r="AY1832" i="2" s="1"/>
  <c r="BB1833" i="2"/>
  <c r="AY1833" i="2" s="1"/>
  <c r="BB1834" i="2"/>
  <c r="AY1834" i="2" s="1"/>
  <c r="BB1835" i="2"/>
  <c r="AY1835" i="2" s="1"/>
  <c r="BB1836" i="2"/>
  <c r="AY1836" i="2" s="1"/>
  <c r="BB1837" i="2"/>
  <c r="AY1837" i="2" s="1"/>
  <c r="BB1838" i="2"/>
  <c r="AY1838" i="2" s="1"/>
  <c r="BB1839" i="2"/>
  <c r="AY1839" i="2" s="1"/>
  <c r="BB1840" i="2"/>
  <c r="AY1840" i="2" s="1"/>
  <c r="BB1841" i="2"/>
  <c r="AY1841" i="2" s="1"/>
  <c r="BB1842" i="2"/>
  <c r="AY1842" i="2" s="1"/>
  <c r="BB1843" i="2"/>
  <c r="AY1843" i="2" s="1"/>
  <c r="BB1844" i="2"/>
  <c r="AY1844" i="2" s="1"/>
  <c r="BB1845" i="2"/>
  <c r="AY1845" i="2" s="1"/>
  <c r="BB1846" i="2"/>
  <c r="AY1846" i="2" s="1"/>
  <c r="BB1847" i="2"/>
  <c r="AY1847" i="2" s="1"/>
  <c r="BB1848" i="2"/>
  <c r="AY1848" i="2" s="1"/>
  <c r="BB1849" i="2"/>
  <c r="AY1849" i="2" s="1"/>
  <c r="BB1850" i="2"/>
  <c r="AY1850" i="2" s="1"/>
  <c r="BB1851" i="2"/>
  <c r="AY1851" i="2" s="1"/>
  <c r="BB1852" i="2"/>
  <c r="AY1852" i="2" s="1"/>
  <c r="BB1853" i="2"/>
  <c r="AY1853" i="2" s="1"/>
  <c r="BB1854" i="2"/>
  <c r="AY1854" i="2" s="1"/>
  <c r="BB1855" i="2"/>
  <c r="AY1855" i="2" s="1"/>
  <c r="BB1856" i="2"/>
  <c r="AY1856" i="2" s="1"/>
  <c r="BB1857" i="2"/>
  <c r="AY1857" i="2" s="1"/>
  <c r="BB1858" i="2"/>
  <c r="AY1858" i="2" s="1"/>
  <c r="BB1859" i="2"/>
  <c r="AY1859" i="2" s="1"/>
  <c r="BB1860" i="2"/>
  <c r="AY1860" i="2" s="1"/>
  <c r="BB1861" i="2"/>
  <c r="AY1861" i="2" s="1"/>
  <c r="BB1862" i="2"/>
  <c r="AY1862" i="2" s="1"/>
  <c r="BB1863" i="2"/>
  <c r="AY1863" i="2" s="1"/>
  <c r="BB1864" i="2"/>
  <c r="AY1864" i="2" s="1"/>
  <c r="BB1865" i="2"/>
  <c r="AY1865" i="2" s="1"/>
  <c r="BB1866" i="2"/>
  <c r="AY1866" i="2" s="1"/>
  <c r="BB1867" i="2"/>
  <c r="AY1867" i="2" s="1"/>
  <c r="BB1868" i="2"/>
  <c r="AY1868" i="2" s="1"/>
  <c r="BB1869" i="2"/>
  <c r="AY1869" i="2" s="1"/>
  <c r="BB1870" i="2"/>
  <c r="AY1870" i="2" s="1"/>
  <c r="BB1871" i="2"/>
  <c r="AY1871" i="2" s="1"/>
  <c r="BB1872" i="2"/>
  <c r="AY1872" i="2" s="1"/>
  <c r="BB1873" i="2"/>
  <c r="AY1873" i="2" s="1"/>
  <c r="BB1874" i="2"/>
  <c r="AY1874" i="2" s="1"/>
  <c r="BB1875" i="2"/>
  <c r="AY1875" i="2" s="1"/>
  <c r="BB1876" i="2"/>
  <c r="AY1876" i="2" s="1"/>
  <c r="BB1877" i="2"/>
  <c r="AY1877" i="2" s="1"/>
  <c r="BB1878" i="2"/>
  <c r="AY1878" i="2" s="1"/>
  <c r="BB1879" i="2"/>
  <c r="AY1879" i="2" s="1"/>
  <c r="BB1880" i="2"/>
  <c r="AY1880" i="2" s="1"/>
  <c r="BB1881" i="2"/>
  <c r="AY1881" i="2" s="1"/>
  <c r="BB1882" i="2"/>
  <c r="AY1882" i="2" s="1"/>
  <c r="BB1883" i="2"/>
  <c r="AY1883" i="2" s="1"/>
  <c r="BB1884" i="2"/>
  <c r="AY1884" i="2" s="1"/>
  <c r="BB1885" i="2"/>
  <c r="AY1885" i="2" s="1"/>
  <c r="BB1886" i="2"/>
  <c r="AY1886" i="2" s="1"/>
  <c r="BB1887" i="2"/>
  <c r="AY1887" i="2" s="1"/>
  <c r="BB1888" i="2"/>
  <c r="AY1888" i="2" s="1"/>
  <c r="BB1889" i="2"/>
  <c r="AY1889" i="2" s="1"/>
  <c r="BB1890" i="2"/>
  <c r="AY1890" i="2" s="1"/>
  <c r="BB1891" i="2"/>
  <c r="AY1891" i="2" s="1"/>
  <c r="BB1892" i="2"/>
  <c r="AY1892" i="2" s="1"/>
  <c r="BB1893" i="2"/>
  <c r="AY1893" i="2" s="1"/>
  <c r="BB1894" i="2"/>
  <c r="AY1894" i="2" s="1"/>
  <c r="BB1895" i="2"/>
  <c r="AY1895" i="2" s="1"/>
  <c r="BB1896" i="2"/>
  <c r="AY1896" i="2" s="1"/>
  <c r="BB1897" i="2"/>
  <c r="AY1897" i="2" s="1"/>
  <c r="BB1898" i="2"/>
  <c r="AY1898" i="2" s="1"/>
  <c r="BB1899" i="2"/>
  <c r="AY1899" i="2" s="1"/>
  <c r="BB1900" i="2"/>
  <c r="AY1900" i="2" s="1"/>
  <c r="BB1901" i="2"/>
  <c r="AY1901" i="2" s="1"/>
  <c r="BB1902" i="2"/>
  <c r="AY1902" i="2" s="1"/>
  <c r="BB1903" i="2"/>
  <c r="AY1903" i="2" s="1"/>
  <c r="BB1904" i="2"/>
  <c r="AY1904" i="2" s="1"/>
  <c r="BB1905" i="2"/>
  <c r="AY1905" i="2" s="1"/>
  <c r="BB1906" i="2"/>
  <c r="AY1906" i="2" s="1"/>
  <c r="BB1907" i="2"/>
  <c r="AY1907" i="2" s="1"/>
  <c r="BB1908" i="2"/>
  <c r="AY1908" i="2" s="1"/>
  <c r="BB1909" i="2"/>
  <c r="AY1909" i="2" s="1"/>
  <c r="BB1910" i="2"/>
  <c r="AY1910" i="2" s="1"/>
  <c r="BB1911" i="2"/>
  <c r="AY1911" i="2" s="1"/>
  <c r="BB1912" i="2"/>
  <c r="AY1912" i="2" s="1"/>
  <c r="BB1913" i="2"/>
  <c r="AY1913" i="2" s="1"/>
  <c r="BB1914" i="2"/>
  <c r="AY1914" i="2" s="1"/>
  <c r="BB1915" i="2"/>
  <c r="AY1915" i="2" s="1"/>
  <c r="BB1916" i="2"/>
  <c r="AY1916" i="2" s="1"/>
  <c r="BB1917" i="2"/>
  <c r="AY1917" i="2" s="1"/>
  <c r="BB1918" i="2"/>
  <c r="AY1918" i="2" s="1"/>
  <c r="BB1919" i="2"/>
  <c r="AY1919" i="2" s="1"/>
  <c r="BB1920" i="2"/>
  <c r="AY1920" i="2" s="1"/>
  <c r="BB1921" i="2"/>
  <c r="AY1921" i="2" s="1"/>
  <c r="BB1922" i="2"/>
  <c r="AY1922" i="2" s="1"/>
  <c r="BB1923" i="2"/>
  <c r="AY1923" i="2" s="1"/>
  <c r="BB1924" i="2"/>
  <c r="AY1924" i="2" s="1"/>
  <c r="BB1925" i="2"/>
  <c r="AY1925" i="2" s="1"/>
  <c r="BB1926" i="2"/>
  <c r="AY1926" i="2" s="1"/>
  <c r="BB1927" i="2"/>
  <c r="AY1927" i="2" s="1"/>
  <c r="BB1928" i="2"/>
  <c r="AY1928" i="2" s="1"/>
  <c r="BB1929" i="2"/>
  <c r="AY1929" i="2" s="1"/>
  <c r="BB1930" i="2"/>
  <c r="AY1930" i="2" s="1"/>
  <c r="BB1931" i="2"/>
  <c r="AY1931" i="2" s="1"/>
  <c r="BB1932" i="2"/>
  <c r="AY1932" i="2" s="1"/>
  <c r="BB1933" i="2"/>
  <c r="AY1933" i="2" s="1"/>
  <c r="BB1934" i="2"/>
  <c r="AY1934" i="2" s="1"/>
  <c r="BB1935" i="2"/>
  <c r="AY1935" i="2" s="1"/>
  <c r="BB1936" i="2"/>
  <c r="AY1936" i="2" s="1"/>
  <c r="BB1937" i="2"/>
  <c r="AY1937" i="2" s="1"/>
  <c r="BB1938" i="2"/>
  <c r="AY1938" i="2" s="1"/>
  <c r="BB1939" i="2"/>
  <c r="AY1939" i="2" s="1"/>
  <c r="BB1940" i="2"/>
  <c r="AY1940" i="2" s="1"/>
  <c r="BB1941" i="2"/>
  <c r="AY1941" i="2" s="1"/>
  <c r="BB1942" i="2"/>
  <c r="AY1942" i="2" s="1"/>
  <c r="BB1943" i="2"/>
  <c r="AY1943" i="2" s="1"/>
  <c r="BB1944" i="2"/>
  <c r="AY1944" i="2" s="1"/>
  <c r="BB1945" i="2"/>
  <c r="AY1945" i="2" s="1"/>
  <c r="BB1946" i="2"/>
  <c r="AY1946" i="2" s="1"/>
  <c r="AJ3" i="10"/>
  <c r="AJ141" i="10"/>
  <c r="AJ142" i="10"/>
  <c r="AJ143" i="10"/>
  <c r="AJ144" i="10"/>
  <c r="AJ145" i="10"/>
  <c r="AJ146" i="10"/>
  <c r="AJ147" i="10"/>
  <c r="AJ148" i="10"/>
  <c r="AJ149" i="10"/>
  <c r="AJ150" i="10"/>
  <c r="AJ151" i="10"/>
  <c r="AJ152" i="10"/>
  <c r="AJ153" i="10"/>
  <c r="AJ154" i="10"/>
  <c r="AJ155" i="10"/>
  <c r="AJ156" i="10"/>
  <c r="AJ157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69" i="10"/>
  <c r="AJ170" i="10"/>
  <c r="AJ171" i="10"/>
  <c r="AJ173" i="10"/>
  <c r="AJ172" i="10"/>
  <c r="AI3" i="10"/>
  <c r="AI141" i="10"/>
  <c r="AI142" i="10"/>
  <c r="AI143" i="10"/>
  <c r="AI144" i="10"/>
  <c r="AI145" i="10"/>
  <c r="AI146" i="10"/>
  <c r="AI147" i="10"/>
  <c r="AI148" i="10"/>
  <c r="AI149" i="10"/>
  <c r="AI150" i="10"/>
  <c r="AI151" i="10"/>
  <c r="AI152" i="10"/>
  <c r="AI153" i="10"/>
  <c r="AI154" i="10"/>
  <c r="AI155" i="10"/>
  <c r="AI156" i="10"/>
  <c r="AI157" i="10"/>
  <c r="AI158" i="10"/>
  <c r="AI159" i="10"/>
  <c r="AI160" i="10"/>
  <c r="AI161" i="10"/>
  <c r="AI162" i="10"/>
  <c r="AI163" i="10"/>
  <c r="AI164" i="10"/>
  <c r="AI165" i="10"/>
  <c r="AI166" i="10"/>
  <c r="AI167" i="10"/>
  <c r="AI168" i="10"/>
  <c r="AI169" i="10"/>
  <c r="AI170" i="10"/>
  <c r="AI171" i="10"/>
  <c r="AI173" i="10"/>
  <c r="AI172" i="10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7" i="2"/>
  <c r="N86" i="2"/>
  <c r="N89" i="2"/>
  <c r="N90" i="2"/>
  <c r="N91" i="2"/>
  <c r="N92" i="2"/>
  <c r="N94" i="2"/>
  <c r="N88" i="2"/>
  <c r="N93" i="2"/>
  <c r="N102" i="2"/>
  <c r="N96" i="2"/>
  <c r="N100" i="2"/>
  <c r="N101" i="2"/>
  <c r="N99" i="2"/>
  <c r="N97" i="2"/>
  <c r="N98" i="2"/>
  <c r="N104" i="2"/>
  <c r="N105" i="2"/>
  <c r="N103" i="2"/>
  <c r="N106" i="2"/>
  <c r="N107" i="2"/>
  <c r="N108" i="2"/>
  <c r="N109" i="2"/>
  <c r="N110" i="2"/>
  <c r="N111" i="2"/>
  <c r="N113" i="2"/>
  <c r="N114" i="2"/>
  <c r="N115" i="2"/>
  <c r="N116" i="2"/>
  <c r="N117" i="2"/>
  <c r="N118" i="2"/>
  <c r="N112" i="2"/>
  <c r="N121" i="2"/>
  <c r="N119" i="2"/>
  <c r="N122" i="2"/>
  <c r="N123" i="2"/>
  <c r="N124" i="2"/>
  <c r="N120" i="2"/>
  <c r="N198" i="2"/>
  <c r="N130" i="2"/>
  <c r="N131" i="2"/>
  <c r="N137" i="2"/>
  <c r="N138" i="2"/>
  <c r="N132" i="2"/>
  <c r="N133" i="2"/>
  <c r="N134" i="2"/>
  <c r="N135" i="2"/>
  <c r="N136" i="2"/>
  <c r="N139" i="2"/>
  <c r="N141" i="2"/>
  <c r="N142" i="2"/>
  <c r="N143" i="2"/>
  <c r="N144" i="2"/>
  <c r="N145" i="2"/>
  <c r="N151" i="2"/>
  <c r="N163" i="2"/>
  <c r="N140" i="2"/>
  <c r="N146" i="2"/>
  <c r="N181" i="2"/>
  <c r="N161" i="2"/>
  <c r="N147" i="2"/>
  <c r="N148" i="2"/>
  <c r="N155" i="2"/>
  <c r="N149" i="2"/>
  <c r="N150" i="2"/>
  <c r="N152" i="2"/>
  <c r="N162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80" i="2"/>
  <c r="N160" i="2"/>
  <c r="N185" i="2"/>
  <c r="N196" i="2"/>
  <c r="N179" i="2"/>
  <c r="N182" i="2"/>
  <c r="N183" i="2"/>
  <c r="N184" i="2"/>
  <c r="N186" i="2"/>
  <c r="N189" i="2"/>
  <c r="N190" i="2"/>
  <c r="N188" i="2"/>
  <c r="N191" i="2"/>
  <c r="N192" i="2"/>
  <c r="N193" i="2"/>
  <c r="N194" i="2"/>
  <c r="N195" i="2"/>
  <c r="N187" i="2"/>
  <c r="N197" i="2"/>
  <c r="N200" i="2"/>
  <c r="N209" i="2"/>
  <c r="N201" i="2"/>
  <c r="N202" i="2"/>
  <c r="N203" i="2"/>
  <c r="N204" i="2"/>
  <c r="N199" i="2"/>
  <c r="N205" i="2"/>
  <c r="N206" i="2"/>
  <c r="N207" i="2"/>
  <c r="N210" i="2"/>
  <c r="N208" i="2"/>
  <c r="N211" i="2"/>
  <c r="N215" i="2"/>
  <c r="N213" i="2"/>
  <c r="N214" i="2"/>
  <c r="N218" i="2"/>
  <c r="N212" i="2"/>
  <c r="N219" i="2"/>
  <c r="N220" i="2"/>
  <c r="N221" i="2"/>
  <c r="N222" i="2"/>
  <c r="N223" i="2"/>
  <c r="N224" i="2"/>
  <c r="N229" i="2"/>
  <c r="N230" i="2"/>
  <c r="N231" i="2"/>
  <c r="N232" i="2"/>
  <c r="N233" i="2"/>
  <c r="N216" i="2"/>
  <c r="N217" i="2"/>
  <c r="N225" i="2"/>
  <c r="N227" i="2"/>
  <c r="N255" i="2"/>
  <c r="N234" i="2"/>
  <c r="N235" i="2"/>
  <c r="N226" i="2"/>
  <c r="N228" i="2"/>
  <c r="N236" i="2"/>
  <c r="N239" i="2"/>
  <c r="N240" i="2"/>
  <c r="N241" i="2"/>
  <c r="N247" i="2"/>
  <c r="N248" i="2"/>
  <c r="N242" i="2"/>
  <c r="N243" i="2"/>
  <c r="N244" i="2"/>
  <c r="N245" i="2"/>
  <c r="N246" i="2"/>
  <c r="N249" i="2"/>
  <c r="N250" i="2"/>
  <c r="N251" i="2"/>
  <c r="N252" i="2"/>
  <c r="N253" i="2"/>
  <c r="N238" i="2"/>
  <c r="N237" i="2"/>
  <c r="N254" i="2"/>
  <c r="N256" i="2"/>
  <c r="N270" i="2"/>
  <c r="N271" i="2"/>
  <c r="N257" i="2"/>
  <c r="N258" i="2"/>
  <c r="N259" i="2"/>
  <c r="N288" i="2"/>
  <c r="N283" i="2"/>
  <c r="N282" i="2"/>
  <c r="N261" i="2"/>
  <c r="N262" i="2"/>
  <c r="N260" i="2"/>
  <c r="N287" i="2"/>
  <c r="N272" i="2"/>
  <c r="N273" i="2"/>
  <c r="N274" i="2"/>
  <c r="N275" i="2"/>
  <c r="N276" i="2"/>
  <c r="N277" i="2"/>
  <c r="N278" i="2"/>
  <c r="N265" i="2"/>
  <c r="N266" i="2"/>
  <c r="N267" i="2"/>
  <c r="N263" i="2"/>
  <c r="N268" i="2"/>
  <c r="N269" i="2"/>
  <c r="N264" i="2"/>
  <c r="N284" i="2"/>
  <c r="N285" i="2"/>
  <c r="N286" i="2"/>
  <c r="N280" i="2"/>
  <c r="N281" i="2"/>
  <c r="N290" i="2"/>
  <c r="N289" i="2"/>
  <c r="N327" i="2"/>
  <c r="N302" i="2"/>
  <c r="N303" i="2"/>
  <c r="N292" i="2"/>
  <c r="N293" i="2"/>
  <c r="N294" i="2"/>
  <c r="N295" i="2"/>
  <c r="N296" i="2"/>
  <c r="N297" i="2"/>
  <c r="N298" i="2"/>
  <c r="N299" i="2"/>
  <c r="N300" i="2"/>
  <c r="N301" i="2"/>
  <c r="N304" i="2"/>
  <c r="N291" i="2"/>
  <c r="N311" i="2"/>
  <c r="N310" i="2"/>
  <c r="N312" i="2"/>
  <c r="N313" i="2"/>
  <c r="N326" i="2"/>
  <c r="N316" i="2"/>
  <c r="N317" i="2"/>
  <c r="N315" i="2"/>
  <c r="N318" i="2"/>
  <c r="N314" i="2"/>
  <c r="N320" i="2"/>
  <c r="N319" i="2"/>
  <c r="N322" i="2"/>
  <c r="N321" i="2"/>
  <c r="N323" i="2"/>
  <c r="N324" i="2"/>
  <c r="N325" i="2"/>
  <c r="N328" i="2"/>
  <c r="N329" i="2"/>
  <c r="N330" i="2"/>
  <c r="N331" i="2"/>
  <c r="N335" i="2"/>
  <c r="N333" i="2"/>
  <c r="N336" i="2"/>
  <c r="N332" i="2"/>
  <c r="N334" i="2"/>
  <c r="N350" i="2"/>
  <c r="N337" i="2"/>
  <c r="N338" i="2"/>
  <c r="N339" i="2"/>
  <c r="N340" i="2"/>
  <c r="N369" i="2"/>
  <c r="N370" i="2"/>
  <c r="N371" i="2"/>
  <c r="N372" i="2"/>
  <c r="N373" i="2"/>
  <c r="N341" i="2"/>
  <c r="N358" i="2"/>
  <c r="N345" i="2"/>
  <c r="N344" i="2"/>
  <c r="N349" i="2"/>
  <c r="N400" i="2"/>
  <c r="N343" i="2"/>
  <c r="N347" i="2"/>
  <c r="N342" i="2"/>
  <c r="N367" i="2"/>
  <c r="N408" i="2"/>
  <c r="N346" i="2"/>
  <c r="N351" i="2"/>
  <c r="N352" i="2"/>
  <c r="N353" i="2"/>
  <c r="N354" i="2"/>
  <c r="N355" i="2"/>
  <c r="N357" i="2"/>
  <c r="N368" i="2"/>
  <c r="N399" i="2"/>
  <c r="N366" i="2"/>
  <c r="N356" i="2"/>
  <c r="N387" i="2"/>
  <c r="N359" i="2"/>
  <c r="N360" i="2"/>
  <c r="N361" i="2"/>
  <c r="N363" i="2"/>
  <c r="N362" i="2"/>
  <c r="N364" i="2"/>
  <c r="N365" i="2"/>
  <c r="N403" i="2"/>
  <c r="N404" i="2"/>
  <c r="N397" i="2"/>
  <c r="N398" i="2"/>
  <c r="N374" i="2"/>
  <c r="N376" i="2"/>
  <c r="N377" i="2"/>
  <c r="N378" i="2"/>
  <c r="N375" i="2"/>
  <c r="N380" i="2"/>
  <c r="N381" i="2"/>
  <c r="N435" i="2"/>
  <c r="N388" i="2"/>
  <c r="N382" i="2"/>
  <c r="N383" i="2"/>
  <c r="N384" i="2"/>
  <c r="N385" i="2"/>
  <c r="N386" i="2"/>
  <c r="N389" i="2"/>
  <c r="N390" i="2"/>
  <c r="N392" i="2"/>
  <c r="N391" i="2"/>
  <c r="N394" i="2"/>
  <c r="N393" i="2"/>
  <c r="N395" i="2"/>
  <c r="N396" i="2"/>
  <c r="N401" i="2"/>
  <c r="N402" i="2"/>
  <c r="N405" i="2"/>
  <c r="N407" i="2"/>
  <c r="N411" i="2"/>
  <c r="N406" i="2"/>
  <c r="N409" i="2"/>
  <c r="N410" i="2"/>
  <c r="N412" i="2"/>
  <c r="N413" i="2"/>
  <c r="N414" i="2"/>
  <c r="N415" i="2"/>
  <c r="N443" i="2"/>
  <c r="N444" i="2"/>
  <c r="N430" i="2"/>
  <c r="N416" i="2"/>
  <c r="N437" i="2"/>
  <c r="N438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3" i="2"/>
  <c r="N431" i="2"/>
  <c r="N432" i="2"/>
  <c r="N434" i="2"/>
  <c r="N439" i="2"/>
  <c r="N440" i="2"/>
  <c r="N441" i="2"/>
  <c r="N442" i="2"/>
  <c r="N488" i="2"/>
  <c r="N473" i="2"/>
  <c r="N474" i="2"/>
  <c r="N446" i="2"/>
  <c r="N447" i="2"/>
  <c r="N448" i="2"/>
  <c r="N449" i="2"/>
  <c r="N471" i="2"/>
  <c r="N472" i="2"/>
  <c r="N445" i="2"/>
  <c r="N450" i="2"/>
  <c r="N451" i="2"/>
  <c r="N454" i="2"/>
  <c r="N452" i="2"/>
  <c r="N453" i="2"/>
  <c r="N455" i="2"/>
  <c r="N456" i="2"/>
  <c r="N457" i="2"/>
  <c r="N458" i="2"/>
  <c r="N465" i="2"/>
  <c r="N466" i="2"/>
  <c r="N467" i="2"/>
  <c r="N468" i="2"/>
  <c r="N470" i="2"/>
  <c r="N460" i="2"/>
  <c r="N461" i="2"/>
  <c r="N463" i="2"/>
  <c r="N459" i="2"/>
  <c r="N464" i="2"/>
  <c r="N476" i="2"/>
  <c r="N478" i="2"/>
  <c r="N480" i="2"/>
  <c r="N479" i="2"/>
  <c r="N477" i="2"/>
  <c r="N469" i="2"/>
  <c r="N475" i="2"/>
  <c r="N511" i="2"/>
  <c r="N483" i="2"/>
  <c r="N481" i="2"/>
  <c r="N512" i="2"/>
  <c r="N489" i="2"/>
  <c r="N514" i="2"/>
  <c r="N484" i="2"/>
  <c r="N485" i="2"/>
  <c r="N486" i="2"/>
  <c r="N487" i="2"/>
  <c r="N482" i="2"/>
  <c r="N498" i="2"/>
  <c r="N490" i="2"/>
  <c r="N491" i="2"/>
  <c r="N499" i="2"/>
  <c r="N492" i="2"/>
  <c r="N493" i="2"/>
  <c r="N494" i="2"/>
  <c r="N495" i="2"/>
  <c r="N496" i="2"/>
  <c r="N497" i="2"/>
  <c r="N506" i="2"/>
  <c r="N507" i="2"/>
  <c r="N508" i="2"/>
  <c r="N509" i="2"/>
  <c r="N510" i="2"/>
  <c r="N501" i="2"/>
  <c r="N502" i="2"/>
  <c r="N503" i="2"/>
  <c r="N504" i="2"/>
  <c r="N505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BR73" i="2" l="1"/>
  <c r="BQ87" i="2"/>
  <c r="BQ86" i="2"/>
  <c r="BQ89" i="2"/>
  <c r="BQ90" i="2"/>
  <c r="BQ91" i="2"/>
  <c r="BQ92" i="2"/>
  <c r="BQ94" i="2"/>
  <c r="BQ88" i="2"/>
  <c r="BQ93" i="2"/>
  <c r="BQ102" i="2"/>
  <c r="BQ96" i="2"/>
  <c r="BQ100" i="2"/>
  <c r="BQ101" i="2"/>
  <c r="BQ99" i="2"/>
  <c r="BQ97" i="2"/>
  <c r="BQ98" i="2"/>
  <c r="BQ104" i="2"/>
  <c r="BQ105" i="2"/>
  <c r="BQ103" i="2"/>
  <c r="BQ106" i="2"/>
  <c r="BQ107" i="2"/>
  <c r="BQ108" i="2"/>
  <c r="BQ109" i="2"/>
  <c r="BQ110" i="2"/>
  <c r="BQ111" i="2"/>
  <c r="BQ113" i="2"/>
  <c r="BQ114" i="2"/>
  <c r="BQ115" i="2"/>
  <c r="BQ116" i="2"/>
  <c r="BQ117" i="2"/>
  <c r="BQ118" i="2"/>
  <c r="BQ112" i="2"/>
  <c r="BQ121" i="2"/>
  <c r="BQ119" i="2"/>
  <c r="BQ122" i="2"/>
  <c r="BQ123" i="2"/>
  <c r="BQ124" i="2"/>
  <c r="BQ125" i="2"/>
  <c r="BQ126" i="2"/>
  <c r="BQ127" i="2"/>
  <c r="BQ128" i="2"/>
  <c r="BQ129" i="2"/>
  <c r="BQ120" i="2"/>
  <c r="BQ198" i="2"/>
  <c r="BQ130" i="2"/>
  <c r="BQ131" i="2"/>
  <c r="BQ137" i="2"/>
  <c r="BQ138" i="2"/>
  <c r="BQ132" i="2"/>
  <c r="BQ133" i="2"/>
  <c r="BQ134" i="2"/>
  <c r="BQ135" i="2"/>
  <c r="BQ136" i="2"/>
  <c r="BQ139" i="2"/>
  <c r="BQ141" i="2"/>
  <c r="BQ142" i="2"/>
  <c r="BQ143" i="2"/>
  <c r="BQ144" i="2"/>
  <c r="BQ145" i="2"/>
  <c r="BQ151" i="2"/>
  <c r="BQ163" i="2"/>
  <c r="BQ140" i="2"/>
  <c r="BQ146" i="2"/>
  <c r="BQ181" i="2"/>
  <c r="BQ161" i="2"/>
  <c r="BQ147" i="2"/>
  <c r="BQ148" i="2"/>
  <c r="BQ155" i="2"/>
  <c r="BQ154" i="2"/>
  <c r="BQ153" i="2"/>
  <c r="BQ159" i="2"/>
  <c r="BQ158" i="2"/>
  <c r="BQ156" i="2"/>
  <c r="BQ157" i="2"/>
  <c r="BQ149" i="2"/>
  <c r="BQ150" i="2"/>
  <c r="BQ152" i="2"/>
  <c r="BQ162" i="2"/>
  <c r="BQ164" i="2"/>
  <c r="BQ165" i="2"/>
  <c r="BQ166" i="2"/>
  <c r="BQ167" i="2"/>
  <c r="BQ168" i="2"/>
  <c r="BQ169" i="2"/>
  <c r="BQ170" i="2"/>
  <c r="BQ171" i="2"/>
  <c r="BQ172" i="2"/>
  <c r="BQ173" i="2"/>
  <c r="BQ174" i="2"/>
  <c r="BQ175" i="2"/>
  <c r="BQ176" i="2"/>
  <c r="BQ177" i="2"/>
  <c r="BQ178" i="2"/>
  <c r="BQ180" i="2"/>
  <c r="BQ160" i="2"/>
  <c r="BQ185" i="2"/>
  <c r="BQ196" i="2"/>
  <c r="BQ179" i="2"/>
  <c r="BQ182" i="2"/>
  <c r="BQ183" i="2"/>
  <c r="BQ184" i="2"/>
  <c r="BQ186" i="2"/>
  <c r="BQ189" i="2"/>
  <c r="BQ190" i="2"/>
  <c r="BQ188" i="2"/>
  <c r="BQ191" i="2"/>
  <c r="BQ192" i="2"/>
  <c r="BQ193" i="2"/>
  <c r="BQ194" i="2"/>
  <c r="BQ195" i="2"/>
  <c r="BQ187" i="2"/>
  <c r="BQ197" i="2"/>
  <c r="BQ200" i="2"/>
  <c r="BQ209" i="2"/>
  <c r="BQ201" i="2"/>
  <c r="BQ202" i="2"/>
  <c r="BQ203" i="2"/>
  <c r="BQ204" i="2"/>
  <c r="BQ199" i="2"/>
  <c r="BQ205" i="2"/>
  <c r="BQ206" i="2"/>
  <c r="BQ207" i="2"/>
  <c r="BQ210" i="2"/>
  <c r="BQ208" i="2"/>
  <c r="BQ211" i="2"/>
  <c r="BQ215" i="2"/>
  <c r="BQ213" i="2"/>
  <c r="BQ214" i="2"/>
  <c r="BQ218" i="2"/>
  <c r="BQ212" i="2"/>
  <c r="BQ219" i="2"/>
  <c r="BQ220" i="2"/>
  <c r="BQ221" i="2"/>
  <c r="BQ222" i="2"/>
  <c r="BQ223" i="2"/>
  <c r="BQ224" i="2"/>
  <c r="BQ229" i="2"/>
  <c r="BQ230" i="2"/>
  <c r="BQ231" i="2"/>
  <c r="BQ232" i="2"/>
  <c r="BQ233" i="2"/>
  <c r="BQ216" i="2"/>
  <c r="BQ217" i="2"/>
  <c r="BQ225" i="2"/>
  <c r="BQ227" i="2"/>
  <c r="BQ255" i="2"/>
  <c r="BQ234" i="2"/>
  <c r="BQ235" i="2"/>
  <c r="BQ226" i="2"/>
  <c r="BQ228" i="2"/>
  <c r="BQ236" i="2"/>
  <c r="BQ239" i="2"/>
  <c r="BQ240" i="2"/>
  <c r="BQ241" i="2"/>
  <c r="BQ247" i="2"/>
  <c r="BQ248" i="2"/>
  <c r="BQ242" i="2"/>
  <c r="BQ243" i="2"/>
  <c r="BQ244" i="2"/>
  <c r="BQ245" i="2"/>
  <c r="BQ246" i="2"/>
  <c r="BQ249" i="2"/>
  <c r="BQ250" i="2"/>
  <c r="BQ251" i="2"/>
  <c r="BQ252" i="2"/>
  <c r="BQ253" i="2"/>
  <c r="BQ238" i="2"/>
  <c r="BQ237" i="2"/>
  <c r="BQ254" i="2"/>
  <c r="BQ256" i="2"/>
  <c r="BQ270" i="2"/>
  <c r="BQ271" i="2"/>
  <c r="BQ257" i="2"/>
  <c r="BQ258" i="2"/>
  <c r="BQ259" i="2"/>
  <c r="BQ288" i="2"/>
  <c r="BQ283" i="2"/>
  <c r="BQ282" i="2"/>
  <c r="BQ261" i="2"/>
  <c r="BQ262" i="2"/>
  <c r="BQ260" i="2"/>
  <c r="BQ287" i="2"/>
  <c r="BQ272" i="2"/>
  <c r="BQ273" i="2"/>
  <c r="BQ274" i="2"/>
  <c r="BQ275" i="2"/>
  <c r="BQ276" i="2"/>
  <c r="BQ277" i="2"/>
  <c r="BQ278" i="2"/>
  <c r="BQ279" i="2"/>
  <c r="BQ265" i="2"/>
  <c r="BQ266" i="2"/>
  <c r="BQ267" i="2"/>
  <c r="BQ263" i="2"/>
  <c r="BQ268" i="2"/>
  <c r="BQ269" i="2"/>
  <c r="BQ264" i="2"/>
  <c r="BQ284" i="2"/>
  <c r="BQ285" i="2"/>
  <c r="BQ286" i="2"/>
  <c r="BQ280" i="2"/>
  <c r="BQ281" i="2"/>
  <c r="BQ290" i="2"/>
  <c r="BQ289" i="2"/>
  <c r="BQ327" i="2"/>
  <c r="BQ302" i="2"/>
  <c r="BQ303" i="2"/>
  <c r="BQ292" i="2"/>
  <c r="BQ293" i="2"/>
  <c r="BQ294" i="2"/>
  <c r="BQ295" i="2"/>
  <c r="BQ296" i="2"/>
  <c r="BQ297" i="2"/>
  <c r="BQ298" i="2"/>
  <c r="BQ299" i="2"/>
  <c r="BQ300" i="2"/>
  <c r="BQ301" i="2"/>
  <c r="BQ304" i="2"/>
  <c r="BQ309" i="2"/>
  <c r="BQ307" i="2"/>
  <c r="BQ305" i="2"/>
  <c r="BQ308" i="2"/>
  <c r="BQ306" i="2"/>
  <c r="BQ291" i="2"/>
  <c r="BQ311" i="2"/>
  <c r="BQ310" i="2"/>
  <c r="BQ312" i="2"/>
  <c r="BQ313" i="2"/>
  <c r="BQ326" i="2"/>
  <c r="BQ316" i="2"/>
  <c r="BQ317" i="2"/>
  <c r="BQ315" i="2"/>
  <c r="BQ318" i="2"/>
  <c r="BQ314" i="2"/>
  <c r="BQ320" i="2"/>
  <c r="BQ319" i="2"/>
  <c r="BQ322" i="2"/>
  <c r="BQ321" i="2"/>
  <c r="BQ323" i="2"/>
  <c r="BQ324" i="2"/>
  <c r="BQ325" i="2"/>
  <c r="BQ328" i="2"/>
  <c r="BQ329" i="2"/>
  <c r="BQ330" i="2"/>
  <c r="BQ331" i="2"/>
  <c r="BQ335" i="2"/>
  <c r="BQ333" i="2"/>
  <c r="BQ336" i="2"/>
  <c r="BQ332" i="2"/>
  <c r="BQ334" i="2"/>
  <c r="BQ350" i="2"/>
  <c r="BQ337" i="2"/>
  <c r="BQ338" i="2"/>
  <c r="BQ339" i="2"/>
  <c r="BQ369" i="2"/>
  <c r="BQ370" i="2"/>
  <c r="BQ371" i="2"/>
  <c r="BQ372" i="2"/>
  <c r="BQ373" i="2"/>
  <c r="BQ358" i="2"/>
  <c r="BQ345" i="2"/>
  <c r="BQ344" i="2"/>
  <c r="BQ349" i="2"/>
  <c r="BQ400" i="2"/>
  <c r="BQ348" i="2"/>
  <c r="BQ343" i="2"/>
  <c r="BQ347" i="2"/>
  <c r="BQ379" i="2"/>
  <c r="BQ367" i="2"/>
  <c r="BQ408" i="2"/>
  <c r="BQ346" i="2"/>
  <c r="BQ351" i="2"/>
  <c r="BQ352" i="2"/>
  <c r="BQ353" i="2"/>
  <c r="BQ354" i="2"/>
  <c r="BQ355" i="2"/>
  <c r="BQ357" i="2"/>
  <c r="BQ368" i="2"/>
  <c r="BQ399" i="2"/>
  <c r="BQ366" i="2"/>
  <c r="BQ356" i="2"/>
  <c r="BQ387" i="2"/>
  <c r="BQ359" i="2"/>
  <c r="BQ360" i="2"/>
  <c r="BQ361" i="2"/>
  <c r="BQ363" i="2"/>
  <c r="BQ362" i="2"/>
  <c r="BQ364" i="2"/>
  <c r="BQ365" i="2"/>
  <c r="BQ403" i="2"/>
  <c r="BQ404" i="2"/>
  <c r="BQ397" i="2"/>
  <c r="BQ398" i="2"/>
  <c r="BQ374" i="2"/>
  <c r="BQ376" i="2"/>
  <c r="BQ377" i="2"/>
  <c r="BQ378" i="2"/>
  <c r="BQ375" i="2"/>
  <c r="BQ380" i="2"/>
  <c r="BQ381" i="2"/>
  <c r="BQ435" i="2"/>
  <c r="BQ388" i="2"/>
  <c r="BQ382" i="2"/>
  <c r="BQ383" i="2"/>
  <c r="BQ384" i="2"/>
  <c r="BQ385" i="2"/>
  <c r="BQ386" i="2"/>
  <c r="BQ389" i="2"/>
  <c r="BQ390" i="2"/>
  <c r="BQ392" i="2"/>
  <c r="BQ391" i="2"/>
  <c r="BQ394" i="2"/>
  <c r="BQ393" i="2"/>
  <c r="BQ395" i="2"/>
  <c r="BQ396" i="2"/>
  <c r="BQ401" i="2"/>
  <c r="BQ402" i="2"/>
  <c r="BQ405" i="2"/>
  <c r="BQ407" i="2"/>
  <c r="BQ411" i="2"/>
  <c r="BQ406" i="2"/>
  <c r="BQ409" i="2"/>
  <c r="BQ410" i="2"/>
  <c r="BQ412" i="2"/>
  <c r="BQ413" i="2"/>
  <c r="BQ414" i="2"/>
  <c r="BQ415" i="2"/>
  <c r="BQ436" i="2"/>
  <c r="BQ430" i="2"/>
  <c r="BQ416" i="2"/>
  <c r="BQ437" i="2"/>
  <c r="BQ438" i="2"/>
  <c r="BQ417" i="2"/>
  <c r="BQ418" i="2"/>
  <c r="BQ419" i="2"/>
  <c r="BQ420" i="2"/>
  <c r="BQ421" i="2"/>
  <c r="BQ422" i="2"/>
  <c r="BQ423" i="2"/>
  <c r="BQ424" i="2"/>
  <c r="BQ425" i="2"/>
  <c r="BQ426" i="2"/>
  <c r="BQ427" i="2"/>
  <c r="BQ428" i="2"/>
  <c r="BQ429" i="2"/>
  <c r="BQ433" i="2"/>
  <c r="BQ431" i="2"/>
  <c r="BQ432" i="2"/>
  <c r="BQ434" i="2"/>
  <c r="BQ439" i="2"/>
  <c r="BQ440" i="2"/>
  <c r="BQ441" i="2"/>
  <c r="BQ442" i="2"/>
  <c r="BQ488" i="2"/>
  <c r="BQ473" i="2"/>
  <c r="BQ474" i="2"/>
  <c r="BQ446" i="2"/>
  <c r="BQ447" i="2"/>
  <c r="BQ448" i="2"/>
  <c r="BQ449" i="2"/>
  <c r="BQ471" i="2"/>
  <c r="BQ472" i="2"/>
  <c r="BQ445" i="2"/>
  <c r="BQ450" i="2"/>
  <c r="BQ451" i="2"/>
  <c r="BQ454" i="2"/>
  <c r="BQ452" i="2"/>
  <c r="BQ453" i="2"/>
  <c r="BQ455" i="2"/>
  <c r="BQ456" i="2"/>
  <c r="BQ457" i="2"/>
  <c r="BQ458" i="2"/>
  <c r="BQ465" i="2"/>
  <c r="BQ466" i="2"/>
  <c r="BQ467" i="2"/>
  <c r="BQ468" i="2"/>
  <c r="BQ470" i="2"/>
  <c r="BQ460" i="2"/>
  <c r="BQ461" i="2"/>
  <c r="BQ462" i="2"/>
  <c r="BQ463" i="2"/>
  <c r="BQ459" i="2"/>
  <c r="BQ464" i="2"/>
  <c r="BQ476" i="2"/>
  <c r="BQ478" i="2"/>
  <c r="BQ480" i="2"/>
  <c r="BQ479" i="2"/>
  <c r="BQ477" i="2"/>
  <c r="BQ469" i="2"/>
  <c r="BQ475" i="2"/>
  <c r="BQ511" i="2"/>
  <c r="BQ483" i="2"/>
  <c r="BQ481" i="2"/>
  <c r="BQ512" i="2"/>
  <c r="BQ489" i="2"/>
  <c r="BQ514" i="2"/>
  <c r="BQ484" i="2"/>
  <c r="BQ485" i="2"/>
  <c r="BQ486" i="2"/>
  <c r="BQ487" i="2"/>
  <c r="BQ482" i="2"/>
  <c r="BQ498" i="2"/>
  <c r="BQ490" i="2"/>
  <c r="BQ491" i="2"/>
  <c r="BQ499" i="2"/>
  <c r="BQ492" i="2"/>
  <c r="BQ493" i="2"/>
  <c r="BQ494" i="2"/>
  <c r="BQ495" i="2"/>
  <c r="BQ496" i="2"/>
  <c r="BQ497" i="2"/>
  <c r="BQ500" i="2"/>
  <c r="BQ506" i="2"/>
  <c r="BQ507" i="2"/>
  <c r="BQ508" i="2"/>
  <c r="BQ509" i="2"/>
  <c r="BQ510" i="2"/>
  <c r="BQ501" i="2"/>
  <c r="BQ502" i="2"/>
  <c r="BQ503" i="2"/>
  <c r="BQ504" i="2"/>
  <c r="BQ505" i="2"/>
  <c r="BQ515" i="2"/>
  <c r="BQ516" i="2"/>
  <c r="BQ517" i="2"/>
  <c r="BQ518" i="2"/>
  <c r="BQ519" i="2"/>
  <c r="BQ520" i="2"/>
  <c r="BQ521" i="2"/>
  <c r="BQ522" i="2"/>
  <c r="BQ523" i="2"/>
  <c r="BQ524" i="2"/>
  <c r="BQ525" i="2"/>
  <c r="BQ526" i="2"/>
  <c r="BQ527" i="2"/>
  <c r="BQ528" i="2"/>
  <c r="BQ529" i="2"/>
  <c r="BQ530" i="2"/>
  <c r="BQ531" i="2"/>
  <c r="BQ532" i="2"/>
  <c r="BQ533" i="2"/>
  <c r="BQ534" i="2"/>
  <c r="BQ535" i="2"/>
  <c r="BQ536" i="2"/>
  <c r="BQ537" i="2"/>
  <c r="BQ538" i="2"/>
  <c r="BQ539" i="2"/>
  <c r="BQ540" i="2"/>
  <c r="BQ541" i="2"/>
  <c r="BQ542" i="2"/>
  <c r="BQ543" i="2"/>
  <c r="BQ544" i="2"/>
  <c r="BQ545" i="2"/>
  <c r="BQ546" i="2"/>
  <c r="BQ547" i="2"/>
  <c r="BQ548" i="2"/>
  <c r="BQ549" i="2"/>
  <c r="BQ550" i="2"/>
  <c r="BQ551" i="2"/>
  <c r="BQ552" i="2"/>
  <c r="BQ553" i="2"/>
  <c r="BQ554" i="2"/>
  <c r="BQ555" i="2"/>
  <c r="BQ556" i="2"/>
  <c r="BQ557" i="2"/>
  <c r="BQ558" i="2"/>
  <c r="BQ559" i="2"/>
  <c r="BQ560" i="2"/>
  <c r="BQ561" i="2"/>
  <c r="BQ562" i="2"/>
  <c r="BQ563" i="2"/>
  <c r="BQ564" i="2"/>
  <c r="BQ565" i="2"/>
  <c r="BQ566" i="2"/>
  <c r="BQ567" i="2"/>
  <c r="BQ568" i="2"/>
  <c r="BQ569" i="2"/>
  <c r="BQ570" i="2"/>
  <c r="BQ571" i="2"/>
  <c r="BQ572" i="2"/>
  <c r="BQ573" i="2"/>
  <c r="BQ574" i="2"/>
  <c r="BQ575" i="2"/>
  <c r="BQ576" i="2"/>
  <c r="BQ577" i="2"/>
  <c r="BQ578" i="2"/>
  <c r="BQ579" i="2"/>
  <c r="BQ580" i="2"/>
  <c r="BQ581" i="2"/>
  <c r="BQ582" i="2"/>
  <c r="BQ583" i="2"/>
  <c r="BQ584" i="2"/>
  <c r="BQ585" i="2"/>
  <c r="BQ586" i="2"/>
  <c r="BQ587" i="2"/>
  <c r="BQ588" i="2"/>
  <c r="BQ589" i="2"/>
  <c r="BQ590" i="2"/>
  <c r="BQ591" i="2"/>
  <c r="BQ592" i="2"/>
  <c r="BQ593" i="2"/>
  <c r="BQ594" i="2"/>
  <c r="BQ595" i="2"/>
  <c r="BQ596" i="2"/>
  <c r="BQ597" i="2"/>
  <c r="BQ598" i="2"/>
  <c r="BQ599" i="2"/>
  <c r="BQ600" i="2"/>
  <c r="BQ601" i="2"/>
  <c r="BQ602" i="2"/>
  <c r="BQ603" i="2"/>
  <c r="BQ604" i="2"/>
  <c r="BQ605" i="2"/>
  <c r="BQ606" i="2"/>
  <c r="BQ607" i="2"/>
  <c r="BQ608" i="2"/>
  <c r="BQ609" i="2"/>
  <c r="BQ610" i="2"/>
  <c r="BQ611" i="2"/>
  <c r="BQ612" i="2"/>
  <c r="BQ613" i="2"/>
  <c r="BQ614" i="2"/>
  <c r="BQ615" i="2"/>
  <c r="BQ616" i="2"/>
  <c r="BQ617" i="2"/>
  <c r="BQ618" i="2"/>
  <c r="BQ619" i="2"/>
  <c r="BQ620" i="2"/>
  <c r="BQ621" i="2"/>
  <c r="BQ622" i="2"/>
  <c r="BQ623" i="2"/>
  <c r="BQ624" i="2"/>
  <c r="BQ625" i="2"/>
  <c r="BQ626" i="2"/>
  <c r="BQ627" i="2"/>
  <c r="BQ628" i="2"/>
  <c r="BQ629" i="2"/>
  <c r="BQ630" i="2"/>
  <c r="BQ631" i="2"/>
  <c r="BQ632" i="2"/>
  <c r="BQ633" i="2"/>
  <c r="BQ634" i="2"/>
  <c r="BQ635" i="2"/>
  <c r="BQ636" i="2"/>
  <c r="BQ637" i="2"/>
  <c r="BQ638" i="2"/>
  <c r="BQ639" i="2"/>
  <c r="BQ640" i="2"/>
  <c r="BQ641" i="2"/>
  <c r="BQ642" i="2"/>
  <c r="BQ643" i="2"/>
  <c r="BQ644" i="2"/>
  <c r="BQ645" i="2"/>
  <c r="BQ646" i="2"/>
  <c r="BQ647" i="2"/>
  <c r="BQ648" i="2"/>
  <c r="BQ649" i="2"/>
  <c r="BQ650" i="2"/>
  <c r="BQ651" i="2"/>
  <c r="BQ652" i="2"/>
  <c r="BQ653" i="2"/>
  <c r="BQ654" i="2"/>
  <c r="BQ655" i="2"/>
  <c r="BQ656" i="2"/>
  <c r="BQ657" i="2"/>
  <c r="BQ658" i="2"/>
  <c r="BQ659" i="2"/>
  <c r="BQ660" i="2"/>
  <c r="BQ661" i="2"/>
  <c r="BQ662" i="2"/>
  <c r="BQ663" i="2"/>
  <c r="BQ664" i="2"/>
  <c r="BQ665" i="2"/>
  <c r="BQ666" i="2"/>
  <c r="BQ667" i="2"/>
  <c r="BQ668" i="2"/>
  <c r="BQ669" i="2"/>
  <c r="BQ670" i="2"/>
  <c r="BQ671" i="2"/>
  <c r="BQ672" i="2"/>
  <c r="BQ673" i="2"/>
  <c r="BQ674" i="2"/>
  <c r="BQ675" i="2"/>
  <c r="BQ676" i="2"/>
  <c r="BQ677" i="2"/>
  <c r="BQ678" i="2"/>
  <c r="BQ679" i="2"/>
  <c r="BQ680" i="2"/>
  <c r="BQ681" i="2"/>
  <c r="BQ682" i="2"/>
  <c r="BQ683" i="2"/>
  <c r="BQ684" i="2"/>
  <c r="BQ685" i="2"/>
  <c r="BQ686" i="2"/>
  <c r="BQ687" i="2"/>
  <c r="BQ688" i="2"/>
  <c r="BQ689" i="2"/>
  <c r="BQ690" i="2"/>
  <c r="BQ691" i="2"/>
  <c r="BQ692" i="2"/>
  <c r="BQ693" i="2"/>
  <c r="BQ694" i="2"/>
  <c r="BQ695" i="2"/>
  <c r="BQ696" i="2"/>
  <c r="BQ697" i="2"/>
  <c r="BQ698" i="2"/>
  <c r="BQ699" i="2"/>
  <c r="BQ700" i="2"/>
  <c r="BQ701" i="2"/>
  <c r="BQ702" i="2"/>
  <c r="BQ703" i="2"/>
  <c r="BQ704" i="2"/>
  <c r="BQ705" i="2"/>
  <c r="BQ706" i="2"/>
  <c r="BQ707" i="2"/>
  <c r="BQ708" i="2"/>
  <c r="BQ709" i="2"/>
  <c r="BQ710" i="2"/>
  <c r="BQ711" i="2"/>
  <c r="BQ712" i="2"/>
  <c r="BQ713" i="2"/>
  <c r="BQ714" i="2"/>
  <c r="BQ715" i="2"/>
  <c r="BQ716" i="2"/>
  <c r="BQ717" i="2"/>
  <c r="BQ718" i="2"/>
  <c r="BQ719" i="2"/>
  <c r="BQ720" i="2"/>
  <c r="BQ721" i="2"/>
  <c r="BQ722" i="2"/>
  <c r="BQ723" i="2"/>
  <c r="BQ724" i="2"/>
  <c r="BQ725" i="2"/>
  <c r="BQ726" i="2"/>
  <c r="BQ727" i="2"/>
  <c r="BQ728" i="2"/>
  <c r="BQ729" i="2"/>
  <c r="BQ730" i="2"/>
  <c r="BQ731" i="2"/>
  <c r="BQ732" i="2"/>
  <c r="BQ733" i="2"/>
  <c r="BQ734" i="2"/>
  <c r="BQ735" i="2"/>
  <c r="BQ736" i="2"/>
  <c r="BQ737" i="2"/>
  <c r="BQ738" i="2"/>
  <c r="BQ739" i="2"/>
  <c r="BQ740" i="2"/>
  <c r="BQ741" i="2"/>
  <c r="BQ742" i="2"/>
  <c r="BQ743" i="2"/>
  <c r="BQ744" i="2"/>
  <c r="BQ745" i="2"/>
  <c r="BQ746" i="2"/>
  <c r="BQ747" i="2"/>
  <c r="BQ748" i="2"/>
  <c r="BQ749" i="2"/>
  <c r="BQ750" i="2"/>
  <c r="BQ751" i="2"/>
  <c r="BQ752" i="2"/>
  <c r="BQ753" i="2"/>
  <c r="BQ754" i="2"/>
  <c r="BQ755" i="2"/>
  <c r="BQ756" i="2"/>
  <c r="BQ757" i="2"/>
  <c r="BQ758" i="2"/>
  <c r="BQ759" i="2"/>
  <c r="BQ760" i="2"/>
  <c r="BQ761" i="2"/>
  <c r="BQ762" i="2"/>
  <c r="BQ763" i="2"/>
  <c r="BQ764" i="2"/>
  <c r="BQ765" i="2"/>
  <c r="BQ766" i="2"/>
  <c r="BQ767" i="2"/>
  <c r="BQ768" i="2"/>
  <c r="BQ769" i="2"/>
  <c r="BQ770" i="2"/>
  <c r="BQ771" i="2"/>
  <c r="BQ772" i="2"/>
  <c r="BQ773" i="2"/>
  <c r="BQ774" i="2"/>
  <c r="BQ775" i="2"/>
  <c r="BQ776" i="2"/>
  <c r="BQ777" i="2"/>
  <c r="BQ778" i="2"/>
  <c r="BQ779" i="2"/>
  <c r="BQ780" i="2"/>
  <c r="BQ781" i="2"/>
  <c r="BQ782" i="2"/>
  <c r="BQ783" i="2"/>
  <c r="BQ784" i="2"/>
  <c r="BQ785" i="2"/>
  <c r="BQ786" i="2"/>
  <c r="BQ787" i="2"/>
  <c r="BQ788" i="2"/>
  <c r="BQ789" i="2"/>
  <c r="BQ790" i="2"/>
  <c r="BQ791" i="2"/>
  <c r="BQ792" i="2"/>
  <c r="BQ793" i="2"/>
  <c r="BQ794" i="2"/>
  <c r="BQ795" i="2"/>
  <c r="BQ796" i="2"/>
  <c r="BQ797" i="2"/>
  <c r="BQ798" i="2"/>
  <c r="BQ799" i="2"/>
  <c r="BQ800" i="2"/>
  <c r="BQ801" i="2"/>
  <c r="BQ802" i="2"/>
  <c r="BQ803" i="2"/>
  <c r="BQ804" i="2"/>
  <c r="BQ805" i="2"/>
  <c r="BQ806" i="2"/>
  <c r="BQ807" i="2"/>
  <c r="BQ808" i="2"/>
  <c r="BQ809" i="2"/>
  <c r="BQ810" i="2"/>
  <c r="BQ811" i="2"/>
  <c r="BQ812" i="2"/>
  <c r="BQ813" i="2"/>
  <c r="BQ814" i="2"/>
  <c r="BQ815" i="2"/>
  <c r="BQ816" i="2"/>
  <c r="BQ817" i="2"/>
  <c r="BQ818" i="2"/>
  <c r="BQ819" i="2"/>
  <c r="BQ820" i="2"/>
  <c r="BQ821" i="2"/>
  <c r="BQ822" i="2"/>
  <c r="BQ823" i="2"/>
  <c r="BQ824" i="2"/>
  <c r="BQ825" i="2"/>
  <c r="BQ826" i="2"/>
  <c r="BQ827" i="2"/>
  <c r="BQ828" i="2"/>
  <c r="BQ829" i="2"/>
  <c r="BQ830" i="2"/>
  <c r="BQ831" i="2"/>
  <c r="BQ832" i="2"/>
  <c r="BQ833" i="2"/>
  <c r="BQ834" i="2"/>
  <c r="BQ835" i="2"/>
  <c r="BQ836" i="2"/>
  <c r="BQ837" i="2"/>
  <c r="BQ838" i="2"/>
  <c r="BQ839" i="2"/>
  <c r="BQ840" i="2"/>
  <c r="BQ841" i="2"/>
  <c r="BQ842" i="2"/>
  <c r="BQ843" i="2"/>
  <c r="BQ844" i="2"/>
  <c r="BQ845" i="2"/>
  <c r="BQ846" i="2"/>
  <c r="BQ847" i="2"/>
  <c r="BQ848" i="2"/>
  <c r="BQ849" i="2"/>
  <c r="BQ850" i="2"/>
  <c r="BQ851" i="2"/>
  <c r="BQ852" i="2"/>
  <c r="BQ853" i="2"/>
  <c r="BQ854" i="2"/>
  <c r="BQ855" i="2"/>
  <c r="BQ856" i="2"/>
  <c r="BQ857" i="2"/>
  <c r="BQ858" i="2"/>
  <c r="BQ859" i="2"/>
  <c r="BQ860" i="2"/>
  <c r="BQ861" i="2"/>
  <c r="BQ862" i="2"/>
  <c r="BQ863" i="2"/>
  <c r="BQ864" i="2"/>
  <c r="BQ865" i="2"/>
  <c r="BQ866" i="2"/>
  <c r="BQ867" i="2"/>
  <c r="BQ868" i="2"/>
  <c r="BQ869" i="2"/>
  <c r="BQ870" i="2"/>
  <c r="BQ871" i="2"/>
  <c r="BQ872" i="2"/>
  <c r="BQ873" i="2"/>
  <c r="BQ874" i="2"/>
  <c r="BQ875" i="2"/>
  <c r="BQ876" i="2"/>
  <c r="BQ877" i="2"/>
  <c r="BQ878" i="2"/>
  <c r="BQ879" i="2"/>
  <c r="BQ880" i="2"/>
  <c r="BQ881" i="2"/>
  <c r="BQ882" i="2"/>
  <c r="BQ883" i="2"/>
  <c r="BQ884" i="2"/>
  <c r="BQ885" i="2"/>
  <c r="BQ886" i="2"/>
  <c r="BQ887" i="2"/>
  <c r="BQ888" i="2"/>
  <c r="BQ889" i="2"/>
  <c r="BQ890" i="2"/>
  <c r="BQ891" i="2"/>
  <c r="BQ892" i="2"/>
  <c r="BQ893" i="2"/>
  <c r="BQ894" i="2"/>
  <c r="BQ895" i="2"/>
  <c r="BQ896" i="2"/>
  <c r="BQ897" i="2"/>
  <c r="BQ898" i="2"/>
  <c r="BQ899" i="2"/>
  <c r="BQ900" i="2"/>
  <c r="BQ901" i="2"/>
  <c r="BQ902" i="2"/>
  <c r="BQ903" i="2"/>
  <c r="BQ904" i="2"/>
  <c r="BQ905" i="2"/>
  <c r="BQ906" i="2"/>
  <c r="BQ907" i="2"/>
  <c r="BQ908" i="2"/>
  <c r="BQ909" i="2"/>
  <c r="BQ910" i="2"/>
  <c r="BQ911" i="2"/>
  <c r="BQ912" i="2"/>
  <c r="BQ913" i="2"/>
  <c r="BQ914" i="2"/>
  <c r="BQ915" i="2"/>
  <c r="BQ916" i="2"/>
  <c r="BQ917" i="2"/>
  <c r="BQ918" i="2"/>
  <c r="BQ919" i="2"/>
  <c r="BQ920" i="2"/>
  <c r="BQ921" i="2"/>
  <c r="BQ922" i="2"/>
  <c r="BQ923" i="2"/>
  <c r="BQ924" i="2"/>
  <c r="BQ925" i="2"/>
  <c r="BQ926" i="2"/>
  <c r="BQ927" i="2"/>
  <c r="BQ928" i="2"/>
  <c r="BQ929" i="2"/>
  <c r="BQ930" i="2"/>
  <c r="BQ931" i="2"/>
  <c r="BQ932" i="2"/>
  <c r="BQ933" i="2"/>
  <c r="BQ934" i="2"/>
  <c r="BQ935" i="2"/>
  <c r="BQ936" i="2"/>
  <c r="BQ937" i="2"/>
  <c r="BQ938" i="2"/>
  <c r="BQ939" i="2"/>
  <c r="BQ940" i="2"/>
  <c r="BQ941" i="2"/>
  <c r="BQ942" i="2"/>
  <c r="BQ943" i="2"/>
  <c r="BQ944" i="2"/>
  <c r="BQ945" i="2"/>
  <c r="BQ946" i="2"/>
  <c r="BQ947" i="2"/>
  <c r="BQ948" i="2"/>
  <c r="BQ949" i="2"/>
  <c r="BQ950" i="2"/>
  <c r="BQ951" i="2"/>
  <c r="BQ952" i="2"/>
  <c r="BQ953" i="2"/>
  <c r="BQ954" i="2"/>
  <c r="BQ955" i="2"/>
  <c r="BQ956" i="2"/>
  <c r="BQ957" i="2"/>
  <c r="BQ958" i="2"/>
  <c r="BQ959" i="2"/>
  <c r="BQ960" i="2"/>
  <c r="BQ961" i="2"/>
  <c r="BQ962" i="2"/>
  <c r="BQ963" i="2"/>
  <c r="BQ964" i="2"/>
  <c r="BQ965" i="2"/>
  <c r="BQ966" i="2"/>
  <c r="BQ967" i="2"/>
  <c r="BQ968" i="2"/>
  <c r="BQ969" i="2"/>
  <c r="BQ970" i="2"/>
  <c r="BQ971" i="2"/>
  <c r="BQ972" i="2"/>
  <c r="BQ973" i="2"/>
  <c r="BQ974" i="2"/>
  <c r="BQ975" i="2"/>
  <c r="BQ976" i="2"/>
  <c r="BQ977" i="2"/>
  <c r="BQ978" i="2"/>
  <c r="BQ979" i="2"/>
  <c r="BQ980" i="2"/>
  <c r="BQ981" i="2"/>
  <c r="BQ982" i="2"/>
  <c r="BQ983" i="2"/>
  <c r="BQ984" i="2"/>
  <c r="BQ985" i="2"/>
  <c r="BQ986" i="2"/>
  <c r="BQ987" i="2"/>
  <c r="BQ988" i="2"/>
  <c r="BQ989" i="2"/>
  <c r="BQ990" i="2"/>
  <c r="BQ991" i="2"/>
  <c r="BQ992" i="2"/>
  <c r="BQ993" i="2"/>
  <c r="BQ994" i="2"/>
  <c r="BQ995" i="2"/>
  <c r="BQ996" i="2"/>
  <c r="BQ997" i="2"/>
  <c r="BQ998" i="2"/>
  <c r="BQ999" i="2"/>
  <c r="BQ1000" i="2"/>
  <c r="BQ1001" i="2"/>
  <c r="BQ1002" i="2"/>
  <c r="BQ1003" i="2"/>
  <c r="BQ1004" i="2"/>
  <c r="BQ1005" i="2"/>
  <c r="BQ1006" i="2"/>
  <c r="BQ1007" i="2"/>
  <c r="BQ1008" i="2"/>
  <c r="BQ1009" i="2"/>
  <c r="BQ1010" i="2"/>
  <c r="BQ1011" i="2"/>
  <c r="BQ1012" i="2"/>
  <c r="BQ1013" i="2"/>
  <c r="BQ1014" i="2"/>
  <c r="BQ1015" i="2"/>
  <c r="BQ1016" i="2"/>
  <c r="BQ1017" i="2"/>
  <c r="BQ1018" i="2"/>
  <c r="BQ1019" i="2"/>
  <c r="BQ1020" i="2"/>
  <c r="BQ1021" i="2"/>
  <c r="BQ1022" i="2"/>
  <c r="BQ1023" i="2"/>
  <c r="BQ1024" i="2"/>
  <c r="BQ1025" i="2"/>
  <c r="BQ1026" i="2"/>
  <c r="BQ1027" i="2"/>
  <c r="BQ1028" i="2"/>
  <c r="BQ1029" i="2"/>
  <c r="BQ1030" i="2"/>
  <c r="BQ1031" i="2"/>
  <c r="BQ1032" i="2"/>
  <c r="BQ1033" i="2"/>
  <c r="BQ1034" i="2"/>
  <c r="BQ1035" i="2"/>
  <c r="BQ1036" i="2"/>
  <c r="BQ1037" i="2"/>
  <c r="BQ1038" i="2"/>
  <c r="BQ1039" i="2"/>
  <c r="BQ1040" i="2"/>
  <c r="BQ1041" i="2"/>
  <c r="BQ1042" i="2"/>
  <c r="BQ1043" i="2"/>
  <c r="BQ1044" i="2"/>
  <c r="BQ1045" i="2"/>
  <c r="BQ1046" i="2"/>
  <c r="BQ1047" i="2"/>
  <c r="BQ1048" i="2"/>
  <c r="BQ1049" i="2"/>
  <c r="BQ1050" i="2"/>
  <c r="BQ1051" i="2"/>
  <c r="BQ1052" i="2"/>
  <c r="BQ1053" i="2"/>
  <c r="BQ1054" i="2"/>
  <c r="BQ1055" i="2"/>
  <c r="BQ1056" i="2"/>
  <c r="BQ1057" i="2"/>
  <c r="BQ1058" i="2"/>
  <c r="BQ1059" i="2"/>
  <c r="BQ1060" i="2"/>
  <c r="BQ1061" i="2"/>
  <c r="BQ1062" i="2"/>
  <c r="BQ1063" i="2"/>
  <c r="BQ1064" i="2"/>
  <c r="BQ1065" i="2"/>
  <c r="BQ1066" i="2"/>
  <c r="BQ1067" i="2"/>
  <c r="BQ1068" i="2"/>
  <c r="BQ1069" i="2"/>
  <c r="BQ1070" i="2"/>
  <c r="BQ1071" i="2"/>
  <c r="BQ1072" i="2"/>
  <c r="BQ1073" i="2"/>
  <c r="BQ1074" i="2"/>
  <c r="BQ1075" i="2"/>
  <c r="BQ1076" i="2"/>
  <c r="BQ1077" i="2"/>
  <c r="BQ1078" i="2"/>
  <c r="BQ1079" i="2"/>
  <c r="BQ1080" i="2"/>
  <c r="BQ1081" i="2"/>
  <c r="BQ1082" i="2"/>
  <c r="BQ1083" i="2"/>
  <c r="BQ1084" i="2"/>
  <c r="BQ1085" i="2"/>
  <c r="BQ1086" i="2"/>
  <c r="BQ1087" i="2"/>
  <c r="BQ1088" i="2"/>
  <c r="BQ1089" i="2"/>
  <c r="BQ1090" i="2"/>
  <c r="BQ1091" i="2"/>
  <c r="BQ1092" i="2"/>
  <c r="BQ1093" i="2"/>
  <c r="BQ1094" i="2"/>
  <c r="BQ1095" i="2"/>
  <c r="BQ1096" i="2"/>
  <c r="BQ1097" i="2"/>
  <c r="BQ1098" i="2"/>
  <c r="BQ1099" i="2"/>
  <c r="BQ1100" i="2"/>
  <c r="BQ1101" i="2"/>
  <c r="BQ1102" i="2"/>
  <c r="BQ1103" i="2"/>
  <c r="BQ1104" i="2"/>
  <c r="BQ1105" i="2"/>
  <c r="BQ1106" i="2"/>
  <c r="BQ1107" i="2"/>
  <c r="BQ1108" i="2"/>
  <c r="BQ1109" i="2"/>
  <c r="BQ1110" i="2"/>
  <c r="BQ1111" i="2"/>
  <c r="BQ1112" i="2"/>
  <c r="BQ1113" i="2"/>
  <c r="BQ1114" i="2"/>
  <c r="BQ1115" i="2"/>
  <c r="BQ1116" i="2"/>
  <c r="BQ1117" i="2"/>
  <c r="BQ1118" i="2"/>
  <c r="BQ1119" i="2"/>
  <c r="BQ1120" i="2"/>
  <c r="BQ1121" i="2"/>
  <c r="BQ1122" i="2"/>
  <c r="BQ1123" i="2"/>
  <c r="BQ1124" i="2"/>
  <c r="BQ1125" i="2"/>
  <c r="BQ1126" i="2"/>
  <c r="BQ1127" i="2"/>
  <c r="BQ1128" i="2"/>
  <c r="BQ1129" i="2"/>
  <c r="BQ1130" i="2"/>
  <c r="BQ1131" i="2"/>
  <c r="BQ1132" i="2"/>
  <c r="BQ1133" i="2"/>
  <c r="BQ1134" i="2"/>
  <c r="BQ1135" i="2"/>
  <c r="BQ1136" i="2"/>
  <c r="BQ1137" i="2"/>
  <c r="BQ1138" i="2"/>
  <c r="BQ1139" i="2"/>
  <c r="BQ1140" i="2"/>
  <c r="BQ1141" i="2"/>
  <c r="BQ1142" i="2"/>
  <c r="BQ1143" i="2"/>
  <c r="BQ1144" i="2"/>
  <c r="BQ1145" i="2"/>
  <c r="BQ1146" i="2"/>
  <c r="BQ1147" i="2"/>
  <c r="BQ1148" i="2"/>
  <c r="BQ1149" i="2"/>
  <c r="BQ1150" i="2"/>
  <c r="BQ1151" i="2"/>
  <c r="BQ1152" i="2"/>
  <c r="BQ1153" i="2"/>
  <c r="BQ1154" i="2"/>
  <c r="BQ1155" i="2"/>
  <c r="BQ1156" i="2"/>
  <c r="BQ1157" i="2"/>
  <c r="BQ1158" i="2"/>
  <c r="BQ1159" i="2"/>
  <c r="BQ1160" i="2"/>
  <c r="BQ1161" i="2"/>
  <c r="BQ1162" i="2"/>
  <c r="BQ1163" i="2"/>
  <c r="BQ1164" i="2"/>
  <c r="BQ1165" i="2"/>
  <c r="BQ1166" i="2"/>
  <c r="BQ1167" i="2"/>
  <c r="BQ1168" i="2"/>
  <c r="BQ1169" i="2"/>
  <c r="BQ1170" i="2"/>
  <c r="BQ1171" i="2"/>
  <c r="BQ1172" i="2"/>
  <c r="BQ1173" i="2"/>
  <c r="BQ1174" i="2"/>
  <c r="BQ1175" i="2"/>
  <c r="BQ1176" i="2"/>
  <c r="BQ1177" i="2"/>
  <c r="BQ1178" i="2"/>
  <c r="BQ1179" i="2"/>
  <c r="BQ1180" i="2"/>
  <c r="BQ1181" i="2"/>
  <c r="BQ1182" i="2"/>
  <c r="BQ1183" i="2"/>
  <c r="BQ1184" i="2"/>
  <c r="BQ1185" i="2"/>
  <c r="BQ1186" i="2"/>
  <c r="BQ1187" i="2"/>
  <c r="BQ1188" i="2"/>
  <c r="BQ1189" i="2"/>
  <c r="BQ1190" i="2"/>
  <c r="BQ1191" i="2"/>
  <c r="BQ1192" i="2"/>
  <c r="BQ1193" i="2"/>
  <c r="BQ1194" i="2"/>
  <c r="BQ1195" i="2"/>
  <c r="BQ1196" i="2"/>
  <c r="BQ1197" i="2"/>
  <c r="BQ1198" i="2"/>
  <c r="BQ1199" i="2"/>
  <c r="BQ1200" i="2"/>
  <c r="BQ1201" i="2"/>
  <c r="BQ1202" i="2"/>
  <c r="BQ1203" i="2"/>
  <c r="BQ1204" i="2"/>
  <c r="BQ1205" i="2"/>
  <c r="BQ1206" i="2"/>
  <c r="BQ1207" i="2"/>
  <c r="BQ1208" i="2"/>
  <c r="BQ1209" i="2"/>
  <c r="BQ1210" i="2"/>
  <c r="BQ1211" i="2"/>
  <c r="BQ1212" i="2"/>
  <c r="BQ1213" i="2"/>
  <c r="BQ1214" i="2"/>
  <c r="BQ1215" i="2"/>
  <c r="BQ1216" i="2"/>
  <c r="BQ1217" i="2"/>
  <c r="BQ1218" i="2"/>
  <c r="BQ1219" i="2"/>
  <c r="BQ1220" i="2"/>
  <c r="BQ1221" i="2"/>
  <c r="BQ1222" i="2"/>
  <c r="BQ1223" i="2"/>
  <c r="BQ1224" i="2"/>
  <c r="BQ1225" i="2"/>
  <c r="BQ1226" i="2"/>
  <c r="BQ1227" i="2"/>
  <c r="BQ1228" i="2"/>
  <c r="BQ1229" i="2"/>
  <c r="BQ1230" i="2"/>
  <c r="BQ1231" i="2"/>
  <c r="BQ1232" i="2"/>
  <c r="BQ1233" i="2"/>
  <c r="BQ1234" i="2"/>
  <c r="BQ1235" i="2"/>
  <c r="BQ1236" i="2"/>
  <c r="BQ1237" i="2"/>
  <c r="BQ1238" i="2"/>
  <c r="BQ1239" i="2"/>
  <c r="BQ1240" i="2"/>
  <c r="BQ1241" i="2"/>
  <c r="BQ1242" i="2"/>
  <c r="BQ1243" i="2"/>
  <c r="BQ1244" i="2"/>
  <c r="BQ1245" i="2"/>
  <c r="BQ1246" i="2"/>
  <c r="BQ1247" i="2"/>
  <c r="BQ1248" i="2"/>
  <c r="BQ1249" i="2"/>
  <c r="BQ1250" i="2"/>
  <c r="BQ1251" i="2"/>
  <c r="BQ1252" i="2"/>
  <c r="BQ1253" i="2"/>
  <c r="BQ1254" i="2"/>
  <c r="BQ1255" i="2"/>
  <c r="BQ1256" i="2"/>
  <c r="BQ1257" i="2"/>
  <c r="BQ1258" i="2"/>
  <c r="BQ1259" i="2"/>
  <c r="BQ1260" i="2"/>
  <c r="BQ1261" i="2"/>
  <c r="BQ1262" i="2"/>
  <c r="BQ1263" i="2"/>
  <c r="BQ1264" i="2"/>
  <c r="BQ1265" i="2"/>
  <c r="BQ1266" i="2"/>
  <c r="BQ1267" i="2"/>
  <c r="BQ1268" i="2"/>
  <c r="BQ1269" i="2"/>
  <c r="BQ1270" i="2"/>
  <c r="BQ1271" i="2"/>
  <c r="BQ1272" i="2"/>
  <c r="BQ1273" i="2"/>
  <c r="BQ1274" i="2"/>
  <c r="BQ1275" i="2"/>
  <c r="BQ1276" i="2"/>
  <c r="BQ1277" i="2"/>
  <c r="BQ1278" i="2"/>
  <c r="BQ1279" i="2"/>
  <c r="BQ1280" i="2"/>
  <c r="BQ1281" i="2"/>
  <c r="BQ1282" i="2"/>
  <c r="BQ1283" i="2"/>
  <c r="BQ1284" i="2"/>
  <c r="BQ1285" i="2"/>
  <c r="BQ1286" i="2"/>
  <c r="BQ1287" i="2"/>
  <c r="BQ1288" i="2"/>
  <c r="BQ1289" i="2"/>
  <c r="BQ1290" i="2"/>
  <c r="BQ1291" i="2"/>
  <c r="BQ1292" i="2"/>
  <c r="BQ1293" i="2"/>
  <c r="BQ1294" i="2"/>
  <c r="BQ1295" i="2"/>
  <c r="BQ1296" i="2"/>
  <c r="BQ1297" i="2"/>
  <c r="BQ1298" i="2"/>
  <c r="BQ1299" i="2"/>
  <c r="BQ1300" i="2"/>
  <c r="BQ1301" i="2"/>
  <c r="BQ1302" i="2"/>
  <c r="BQ1303" i="2"/>
  <c r="BQ1304" i="2"/>
  <c r="BQ1305" i="2"/>
  <c r="BQ1306" i="2"/>
  <c r="BQ1307" i="2"/>
  <c r="BQ1308" i="2"/>
  <c r="BQ1309" i="2"/>
  <c r="BQ1310" i="2"/>
  <c r="BQ1311" i="2"/>
  <c r="BQ1312" i="2"/>
  <c r="BQ1313" i="2"/>
  <c r="BQ1314" i="2"/>
  <c r="BQ1315" i="2"/>
  <c r="BQ1316" i="2"/>
  <c r="BQ1317" i="2"/>
  <c r="BQ1318" i="2"/>
  <c r="BQ1319" i="2"/>
  <c r="BQ1320" i="2"/>
  <c r="BQ1321" i="2"/>
  <c r="BQ1322" i="2"/>
  <c r="BQ1323" i="2"/>
  <c r="BQ1324" i="2"/>
  <c r="BQ1325" i="2"/>
  <c r="BQ1326" i="2"/>
  <c r="BQ1327" i="2"/>
  <c r="BQ1328" i="2"/>
  <c r="BQ1329" i="2"/>
  <c r="BQ1330" i="2"/>
  <c r="BQ1331" i="2"/>
  <c r="BQ1332" i="2"/>
  <c r="BQ1333" i="2"/>
  <c r="BQ1334" i="2"/>
  <c r="BQ1335" i="2"/>
  <c r="BQ1336" i="2"/>
  <c r="BQ1337" i="2"/>
  <c r="BQ1338" i="2"/>
  <c r="BQ1339" i="2"/>
  <c r="BQ1340" i="2"/>
  <c r="BQ1341" i="2"/>
  <c r="BQ1342" i="2"/>
  <c r="BQ1343" i="2"/>
  <c r="BQ1344" i="2"/>
  <c r="BQ1345" i="2"/>
  <c r="BQ1346" i="2"/>
  <c r="BQ1347" i="2"/>
  <c r="BQ1348" i="2"/>
  <c r="BQ1349" i="2"/>
  <c r="BQ1350" i="2"/>
  <c r="BQ1351" i="2"/>
  <c r="BQ1352" i="2"/>
  <c r="BQ1353" i="2"/>
  <c r="BQ1354" i="2"/>
  <c r="BQ1355" i="2"/>
  <c r="BQ1356" i="2"/>
  <c r="BQ1357" i="2"/>
  <c r="BQ1358" i="2"/>
  <c r="BQ1359" i="2"/>
  <c r="BQ1360" i="2"/>
  <c r="BQ1361" i="2"/>
  <c r="BQ1362" i="2"/>
  <c r="BQ1363" i="2"/>
  <c r="BQ1364" i="2"/>
  <c r="BQ1365" i="2"/>
  <c r="BQ1366" i="2"/>
  <c r="BQ1367" i="2"/>
  <c r="BQ1368" i="2"/>
  <c r="BQ1369" i="2"/>
  <c r="BQ1370" i="2"/>
  <c r="BQ1371" i="2"/>
  <c r="BQ1372" i="2"/>
  <c r="BQ1373" i="2"/>
  <c r="BQ1374" i="2"/>
  <c r="BQ1375" i="2"/>
  <c r="BQ1376" i="2"/>
  <c r="BQ1377" i="2"/>
  <c r="BQ1378" i="2"/>
  <c r="BQ1379" i="2"/>
  <c r="BQ1380" i="2"/>
  <c r="BQ1381" i="2"/>
  <c r="BQ1382" i="2"/>
  <c r="BQ1383" i="2"/>
  <c r="BQ1384" i="2"/>
  <c r="BQ1385" i="2"/>
  <c r="BQ1386" i="2"/>
  <c r="BQ1387" i="2"/>
  <c r="BQ1388" i="2"/>
  <c r="BQ1389" i="2"/>
  <c r="BQ1390" i="2"/>
  <c r="BQ1391" i="2"/>
  <c r="BQ1392" i="2"/>
  <c r="BQ1393" i="2"/>
  <c r="BQ1394" i="2"/>
  <c r="BQ1395" i="2"/>
  <c r="BQ1396" i="2"/>
  <c r="BQ1397" i="2"/>
  <c r="BQ1398" i="2"/>
  <c r="BQ1399" i="2"/>
  <c r="BQ1400" i="2"/>
  <c r="BQ1401" i="2"/>
  <c r="BQ1402" i="2"/>
  <c r="BQ1403" i="2"/>
  <c r="BQ1404" i="2"/>
  <c r="BQ1405" i="2"/>
  <c r="BQ1406" i="2"/>
  <c r="BQ1407" i="2"/>
  <c r="BQ1408" i="2"/>
  <c r="BQ1409" i="2"/>
  <c r="BQ1410" i="2"/>
  <c r="BQ1411" i="2"/>
  <c r="BQ1412" i="2"/>
  <c r="BQ1413" i="2"/>
  <c r="BQ1414" i="2"/>
  <c r="BQ1415" i="2"/>
  <c r="BQ1416" i="2"/>
  <c r="BQ1417" i="2"/>
  <c r="BQ1418" i="2"/>
  <c r="BQ1419" i="2"/>
  <c r="BQ1420" i="2"/>
  <c r="BQ1421" i="2"/>
  <c r="BQ1422" i="2"/>
  <c r="BQ1423" i="2"/>
  <c r="BQ1424" i="2"/>
  <c r="BQ1425" i="2"/>
  <c r="BQ1426" i="2"/>
  <c r="BQ1427" i="2"/>
  <c r="BQ1428" i="2"/>
  <c r="BQ1429" i="2"/>
  <c r="BQ1430" i="2"/>
  <c r="BQ1431" i="2"/>
  <c r="BQ1432" i="2"/>
  <c r="BQ1433" i="2"/>
  <c r="BQ1434" i="2"/>
  <c r="BQ1435" i="2"/>
  <c r="BQ1436" i="2"/>
  <c r="BQ1437" i="2"/>
  <c r="BQ1438" i="2"/>
  <c r="BQ1439" i="2"/>
  <c r="BQ1440" i="2"/>
  <c r="BQ1441" i="2"/>
  <c r="BQ1442" i="2"/>
  <c r="BQ1443" i="2"/>
  <c r="BQ1444" i="2"/>
  <c r="BQ1445" i="2"/>
  <c r="BQ1446" i="2"/>
  <c r="BQ1447" i="2"/>
  <c r="BQ1448" i="2"/>
  <c r="BQ1449" i="2"/>
  <c r="BQ1450" i="2"/>
  <c r="BQ1451" i="2"/>
  <c r="BQ1452" i="2"/>
  <c r="BQ1453" i="2"/>
  <c r="BQ1454" i="2"/>
  <c r="BQ1455" i="2"/>
  <c r="BQ1456" i="2"/>
  <c r="BQ1457" i="2"/>
  <c r="BQ1458" i="2"/>
  <c r="BQ1459" i="2"/>
  <c r="BQ1460" i="2"/>
  <c r="BQ1461" i="2"/>
  <c r="BQ1462" i="2"/>
  <c r="BQ1463" i="2"/>
  <c r="BQ1464" i="2"/>
  <c r="BQ1465" i="2"/>
  <c r="BQ1466" i="2"/>
  <c r="BQ1467" i="2"/>
  <c r="BQ1468" i="2"/>
  <c r="BQ1469" i="2"/>
  <c r="BQ1470" i="2"/>
  <c r="BQ1471" i="2"/>
  <c r="BQ1472" i="2"/>
  <c r="BQ1473" i="2"/>
  <c r="BQ1474" i="2"/>
  <c r="BQ1475" i="2"/>
  <c r="BQ1476" i="2"/>
  <c r="BQ1477" i="2"/>
  <c r="BQ1478" i="2"/>
  <c r="BQ1479" i="2"/>
  <c r="BQ1480" i="2"/>
  <c r="BQ1481" i="2"/>
  <c r="BQ1482" i="2"/>
  <c r="BQ1483" i="2"/>
  <c r="BQ1484" i="2"/>
  <c r="BQ1485" i="2"/>
  <c r="BQ1486" i="2"/>
  <c r="BQ1487" i="2"/>
  <c r="BQ1488" i="2"/>
  <c r="BQ1489" i="2"/>
  <c r="BQ1490" i="2"/>
  <c r="BQ1491" i="2"/>
  <c r="BQ1492" i="2"/>
  <c r="BQ1493" i="2"/>
  <c r="BQ1494" i="2"/>
  <c r="BQ1495" i="2"/>
  <c r="BQ1496" i="2"/>
  <c r="BQ1497" i="2"/>
  <c r="BQ1498" i="2"/>
  <c r="BQ1499" i="2"/>
  <c r="BQ1500" i="2"/>
  <c r="BQ1501" i="2"/>
  <c r="BQ1502" i="2"/>
  <c r="BQ1503" i="2"/>
  <c r="BQ1504" i="2"/>
  <c r="BQ1505" i="2"/>
  <c r="BQ1506" i="2"/>
  <c r="BQ1507" i="2"/>
  <c r="BQ1508" i="2"/>
  <c r="BQ1509" i="2"/>
  <c r="BQ1510" i="2"/>
  <c r="BQ1511" i="2"/>
  <c r="BQ1512" i="2"/>
  <c r="BQ1513" i="2"/>
  <c r="BQ1514" i="2"/>
  <c r="BQ1515" i="2"/>
  <c r="BQ1516" i="2"/>
  <c r="BQ1517" i="2"/>
  <c r="BQ1518" i="2"/>
  <c r="BQ1519" i="2"/>
  <c r="BQ1520" i="2"/>
  <c r="BQ1521" i="2"/>
  <c r="BQ1522" i="2"/>
  <c r="BQ1523" i="2"/>
  <c r="BQ1524" i="2"/>
  <c r="BQ1525" i="2"/>
  <c r="BQ1526" i="2"/>
  <c r="BQ1527" i="2"/>
  <c r="BQ1528" i="2"/>
  <c r="BQ1529" i="2"/>
  <c r="BQ1530" i="2"/>
  <c r="BQ1531" i="2"/>
  <c r="BQ1532" i="2"/>
  <c r="BQ1533" i="2"/>
  <c r="BQ1534" i="2"/>
  <c r="BQ1535" i="2"/>
  <c r="BQ1536" i="2"/>
  <c r="BQ1537" i="2"/>
  <c r="BQ1538" i="2"/>
  <c r="BQ1539" i="2"/>
  <c r="BQ1540" i="2"/>
  <c r="BQ1541" i="2"/>
  <c r="BQ1542" i="2"/>
  <c r="BQ1543" i="2"/>
  <c r="BQ1544" i="2"/>
  <c r="BQ1545" i="2"/>
  <c r="BQ1546" i="2"/>
  <c r="BQ1547" i="2"/>
  <c r="BQ1548" i="2"/>
  <c r="BQ1549" i="2"/>
  <c r="BQ1550" i="2"/>
  <c r="BQ1551" i="2"/>
  <c r="BQ1552" i="2"/>
  <c r="BQ1553" i="2"/>
  <c r="BQ1554" i="2"/>
  <c r="BQ1555" i="2"/>
  <c r="BQ1556" i="2"/>
  <c r="BQ1557" i="2"/>
  <c r="BQ1558" i="2"/>
  <c r="BQ1559" i="2"/>
  <c r="BQ1560" i="2"/>
  <c r="BQ1561" i="2"/>
  <c r="BQ1562" i="2"/>
  <c r="BQ1563" i="2"/>
  <c r="BQ1564" i="2"/>
  <c r="BQ1565" i="2"/>
  <c r="BQ1566" i="2"/>
  <c r="BQ1567" i="2"/>
  <c r="BQ1568" i="2"/>
  <c r="BQ1569" i="2"/>
  <c r="BQ1570" i="2"/>
  <c r="BQ1571" i="2"/>
  <c r="BQ1572" i="2"/>
  <c r="BQ1573" i="2"/>
  <c r="BQ1574" i="2"/>
  <c r="BQ1575" i="2"/>
  <c r="BQ1576" i="2"/>
  <c r="BQ1577" i="2"/>
  <c r="BQ1578" i="2"/>
  <c r="BQ1579" i="2"/>
  <c r="BQ1580" i="2"/>
  <c r="BQ1581" i="2"/>
  <c r="BQ1582" i="2"/>
  <c r="BQ1583" i="2"/>
  <c r="BQ1584" i="2"/>
  <c r="BQ1585" i="2"/>
  <c r="BQ1586" i="2"/>
  <c r="BQ1587" i="2"/>
  <c r="BQ1588" i="2"/>
  <c r="BQ1589" i="2"/>
  <c r="BQ1590" i="2"/>
  <c r="BQ1591" i="2"/>
  <c r="BQ1592" i="2"/>
  <c r="BQ1593" i="2"/>
  <c r="BQ1594" i="2"/>
  <c r="BQ1595" i="2"/>
  <c r="BQ1596" i="2"/>
  <c r="BQ1597" i="2"/>
  <c r="BQ1598" i="2"/>
  <c r="BQ1599" i="2"/>
  <c r="BQ1600" i="2"/>
  <c r="BQ1601" i="2"/>
  <c r="BQ1602" i="2"/>
  <c r="BQ1603" i="2"/>
  <c r="BQ1604" i="2"/>
  <c r="BQ1605" i="2"/>
  <c r="BQ1606" i="2"/>
  <c r="BQ1607" i="2"/>
  <c r="BQ1608" i="2"/>
  <c r="BQ1609" i="2"/>
  <c r="BQ1610" i="2"/>
  <c r="BQ1611" i="2"/>
  <c r="BQ1612" i="2"/>
  <c r="BQ1613" i="2"/>
  <c r="BQ1614" i="2"/>
  <c r="BQ1615" i="2"/>
  <c r="BQ1616" i="2"/>
  <c r="BQ1617" i="2"/>
  <c r="BQ1618" i="2"/>
  <c r="BQ1619" i="2"/>
  <c r="BQ1620" i="2"/>
  <c r="BQ1621" i="2"/>
  <c r="BQ1622" i="2"/>
  <c r="BQ1623" i="2"/>
  <c r="BQ1624" i="2"/>
  <c r="BQ1625" i="2"/>
  <c r="BQ1626" i="2"/>
  <c r="BQ1627" i="2"/>
  <c r="BQ1628" i="2"/>
  <c r="BQ1629" i="2"/>
  <c r="BQ1630" i="2"/>
  <c r="BQ1631" i="2"/>
  <c r="BQ1632" i="2"/>
  <c r="BQ1633" i="2"/>
  <c r="BQ1634" i="2"/>
  <c r="BQ1635" i="2"/>
  <c r="BQ1636" i="2"/>
  <c r="BQ1637" i="2"/>
  <c r="BQ1638" i="2"/>
  <c r="BQ1639" i="2"/>
  <c r="BQ1640" i="2"/>
  <c r="BQ1641" i="2"/>
  <c r="BQ1642" i="2"/>
  <c r="BQ1643" i="2"/>
  <c r="BQ1644" i="2"/>
  <c r="BQ1645" i="2"/>
  <c r="BQ1646" i="2"/>
  <c r="BQ1647" i="2"/>
  <c r="BQ1648" i="2"/>
  <c r="BQ1649" i="2"/>
  <c r="BQ1650" i="2"/>
  <c r="BQ1651" i="2"/>
  <c r="BQ1652" i="2"/>
  <c r="BQ1653" i="2"/>
  <c r="BQ1654" i="2"/>
  <c r="BQ1655" i="2"/>
  <c r="BQ1656" i="2"/>
  <c r="BQ1657" i="2"/>
  <c r="BQ1658" i="2"/>
  <c r="BQ1659" i="2"/>
  <c r="BQ1660" i="2"/>
  <c r="BQ1661" i="2"/>
  <c r="BQ1662" i="2"/>
  <c r="BQ1663" i="2"/>
  <c r="BQ1664" i="2"/>
  <c r="BQ1665" i="2"/>
  <c r="BQ1666" i="2"/>
  <c r="BQ1667" i="2"/>
  <c r="BQ1668" i="2"/>
  <c r="BQ1669" i="2"/>
  <c r="BQ1670" i="2"/>
  <c r="BQ1671" i="2"/>
  <c r="BQ1672" i="2"/>
  <c r="BQ1673" i="2"/>
  <c r="BQ1674" i="2"/>
  <c r="BQ1675" i="2"/>
  <c r="BQ1676" i="2"/>
  <c r="BQ1677" i="2"/>
  <c r="BQ1678" i="2"/>
  <c r="BQ1679" i="2"/>
  <c r="BQ1680" i="2"/>
  <c r="BQ1681" i="2"/>
  <c r="BQ1682" i="2"/>
  <c r="BQ1683" i="2"/>
  <c r="BQ1684" i="2"/>
  <c r="BQ1685" i="2"/>
  <c r="BQ1686" i="2"/>
  <c r="BQ1687" i="2"/>
  <c r="BQ1688" i="2"/>
  <c r="BQ1689" i="2"/>
  <c r="BQ1690" i="2"/>
  <c r="BQ1691" i="2"/>
  <c r="BQ1692" i="2"/>
  <c r="BQ1693" i="2"/>
  <c r="BQ1694" i="2"/>
  <c r="BQ1695" i="2"/>
  <c r="BQ1696" i="2"/>
  <c r="BQ1697" i="2"/>
  <c r="BQ1698" i="2"/>
  <c r="BQ1699" i="2"/>
  <c r="BQ1700" i="2"/>
  <c r="BQ1701" i="2"/>
  <c r="BQ1702" i="2"/>
  <c r="BQ1703" i="2"/>
  <c r="BQ1704" i="2"/>
  <c r="BQ1705" i="2"/>
  <c r="BQ1706" i="2"/>
  <c r="BQ1707" i="2"/>
  <c r="BQ1708" i="2"/>
  <c r="BQ1709" i="2"/>
  <c r="BQ1710" i="2"/>
  <c r="BQ1711" i="2"/>
  <c r="BQ1712" i="2"/>
  <c r="BQ1713" i="2"/>
  <c r="BQ1714" i="2"/>
  <c r="BQ1715" i="2"/>
  <c r="BQ1716" i="2"/>
  <c r="BQ1717" i="2"/>
  <c r="BQ1718" i="2"/>
  <c r="BQ1719" i="2"/>
  <c r="BQ1720" i="2"/>
  <c r="BQ1721" i="2"/>
  <c r="BQ1722" i="2"/>
  <c r="BQ1723" i="2"/>
  <c r="BQ1724" i="2"/>
  <c r="BQ1725" i="2"/>
  <c r="BQ1726" i="2"/>
  <c r="BQ1727" i="2"/>
  <c r="BQ1728" i="2"/>
  <c r="BQ1729" i="2"/>
  <c r="BQ1730" i="2"/>
  <c r="BQ1731" i="2"/>
  <c r="BQ1732" i="2"/>
  <c r="BQ1733" i="2"/>
  <c r="BQ1734" i="2"/>
  <c r="BQ1735" i="2"/>
  <c r="BQ1736" i="2"/>
  <c r="BQ1737" i="2"/>
  <c r="BQ1738" i="2"/>
  <c r="BQ1739" i="2"/>
  <c r="BQ1740" i="2"/>
  <c r="BQ1741" i="2"/>
  <c r="BQ1742" i="2"/>
  <c r="BQ1743" i="2"/>
  <c r="BQ1744" i="2"/>
  <c r="BQ1745" i="2"/>
  <c r="BQ1746" i="2"/>
  <c r="BQ1747" i="2"/>
  <c r="BQ1748" i="2"/>
  <c r="BQ1749" i="2"/>
  <c r="BQ1750" i="2"/>
  <c r="BQ1751" i="2"/>
  <c r="BQ1752" i="2"/>
  <c r="BQ1753" i="2"/>
  <c r="BQ1754" i="2"/>
  <c r="BQ1755" i="2"/>
  <c r="BQ1756" i="2"/>
  <c r="BQ1757" i="2"/>
  <c r="BQ1758" i="2"/>
  <c r="BQ1759" i="2"/>
  <c r="BQ1760" i="2"/>
  <c r="BQ1761" i="2"/>
  <c r="BQ1762" i="2"/>
  <c r="BQ1763" i="2"/>
  <c r="BQ1764" i="2"/>
  <c r="BQ1765" i="2"/>
  <c r="BQ1766" i="2"/>
  <c r="BQ1767" i="2"/>
  <c r="BQ1768" i="2"/>
  <c r="BQ1769" i="2"/>
  <c r="BQ1770" i="2"/>
  <c r="BQ1771" i="2"/>
  <c r="BQ1772" i="2"/>
  <c r="BQ1773" i="2"/>
  <c r="BQ1774" i="2"/>
  <c r="BQ1775" i="2"/>
  <c r="BQ1776" i="2"/>
  <c r="BQ1777" i="2"/>
  <c r="BQ1778" i="2"/>
  <c r="BQ1779" i="2"/>
  <c r="BQ1780" i="2"/>
  <c r="BQ1781" i="2"/>
  <c r="BQ1782" i="2"/>
  <c r="BQ1783" i="2"/>
  <c r="BQ1784" i="2"/>
  <c r="BQ1785" i="2"/>
  <c r="BQ1786" i="2"/>
  <c r="BQ1787" i="2"/>
  <c r="BQ1788" i="2"/>
  <c r="BQ1789" i="2"/>
  <c r="BQ1790" i="2"/>
  <c r="BQ1791" i="2"/>
  <c r="BQ1792" i="2"/>
  <c r="BQ1793" i="2"/>
  <c r="BQ1794" i="2"/>
  <c r="BQ1795" i="2"/>
  <c r="BQ1796" i="2"/>
  <c r="BQ1797" i="2"/>
  <c r="BQ1798" i="2"/>
  <c r="BQ1799" i="2"/>
  <c r="BQ1800" i="2"/>
  <c r="BQ1801" i="2"/>
  <c r="BQ1802" i="2"/>
  <c r="BQ1803" i="2"/>
  <c r="BQ1804" i="2"/>
  <c r="BQ1805" i="2"/>
  <c r="BQ1806" i="2"/>
  <c r="BQ1807" i="2"/>
  <c r="BQ1808" i="2"/>
  <c r="BQ1809" i="2"/>
  <c r="BQ1810" i="2"/>
  <c r="BQ1811" i="2"/>
  <c r="BQ1812" i="2"/>
  <c r="BQ1813" i="2"/>
  <c r="BQ1814" i="2"/>
  <c r="BQ1815" i="2"/>
  <c r="BQ1816" i="2"/>
  <c r="BQ1817" i="2"/>
  <c r="BQ1818" i="2"/>
  <c r="BQ1819" i="2"/>
  <c r="BQ1820" i="2"/>
  <c r="BQ1821" i="2"/>
  <c r="BQ1822" i="2"/>
  <c r="BQ1823" i="2"/>
  <c r="BQ1824" i="2"/>
  <c r="BQ1825" i="2"/>
  <c r="BQ1826" i="2"/>
  <c r="BQ1827" i="2"/>
  <c r="BQ1828" i="2"/>
  <c r="BQ1829" i="2"/>
  <c r="BQ1830" i="2"/>
  <c r="BQ1831" i="2"/>
  <c r="BQ1832" i="2"/>
  <c r="BQ1833" i="2"/>
  <c r="BQ1834" i="2"/>
  <c r="BQ1835" i="2"/>
  <c r="BQ1836" i="2"/>
  <c r="BQ1837" i="2"/>
  <c r="BQ1838" i="2"/>
  <c r="BQ1839" i="2"/>
  <c r="BQ1840" i="2"/>
  <c r="BQ1841" i="2"/>
  <c r="BQ1842" i="2"/>
  <c r="BQ1843" i="2"/>
  <c r="BQ1844" i="2"/>
  <c r="BQ1845" i="2"/>
  <c r="BQ1846" i="2"/>
  <c r="BQ1847" i="2"/>
  <c r="BQ1848" i="2"/>
  <c r="BQ1849" i="2"/>
  <c r="BQ1850" i="2"/>
  <c r="BQ1851" i="2"/>
  <c r="BQ1852" i="2"/>
  <c r="BQ1853" i="2"/>
  <c r="BQ1854" i="2"/>
  <c r="BQ1855" i="2"/>
  <c r="BQ1856" i="2"/>
  <c r="BQ1857" i="2"/>
  <c r="BQ1858" i="2"/>
  <c r="BQ1859" i="2"/>
  <c r="BQ1860" i="2"/>
  <c r="BQ1861" i="2"/>
  <c r="BQ1862" i="2"/>
  <c r="BQ1863" i="2"/>
  <c r="BQ1864" i="2"/>
  <c r="BQ1865" i="2"/>
  <c r="BQ1866" i="2"/>
  <c r="BQ1867" i="2"/>
  <c r="BQ1868" i="2"/>
  <c r="BQ1869" i="2"/>
  <c r="BQ1870" i="2"/>
  <c r="BQ1871" i="2"/>
  <c r="BQ1872" i="2"/>
  <c r="BQ1873" i="2"/>
  <c r="BQ1874" i="2"/>
  <c r="BQ1875" i="2"/>
  <c r="BQ1876" i="2"/>
  <c r="BQ1877" i="2"/>
  <c r="BQ1878" i="2"/>
  <c r="BQ1879" i="2"/>
  <c r="BQ1880" i="2"/>
  <c r="BQ1881" i="2"/>
  <c r="BQ1882" i="2"/>
  <c r="BQ1883" i="2"/>
  <c r="BQ1884" i="2"/>
  <c r="BQ1885" i="2"/>
  <c r="BQ1886" i="2"/>
  <c r="BQ1887" i="2"/>
  <c r="BQ1888" i="2"/>
  <c r="BQ1889" i="2"/>
  <c r="BQ1890" i="2"/>
  <c r="BQ1891" i="2"/>
  <c r="BQ1892" i="2"/>
  <c r="BQ1893" i="2"/>
  <c r="BQ1894" i="2"/>
  <c r="BQ1895" i="2"/>
  <c r="BQ1896" i="2"/>
  <c r="BQ1897" i="2"/>
  <c r="BQ1898" i="2"/>
  <c r="BQ1899" i="2"/>
  <c r="BQ1900" i="2"/>
  <c r="BQ1901" i="2"/>
  <c r="BQ1902" i="2"/>
  <c r="BQ1903" i="2"/>
  <c r="BQ1904" i="2"/>
  <c r="BQ1905" i="2"/>
  <c r="BQ1906" i="2"/>
  <c r="BQ1907" i="2"/>
  <c r="BQ1908" i="2"/>
  <c r="BQ1909" i="2"/>
  <c r="BQ1910" i="2"/>
  <c r="BQ1911" i="2"/>
  <c r="BQ1912" i="2"/>
  <c r="BQ1913" i="2"/>
  <c r="BQ1914" i="2"/>
  <c r="BQ1915" i="2"/>
  <c r="BQ1916" i="2"/>
  <c r="BQ1917" i="2"/>
  <c r="BQ1918" i="2"/>
  <c r="BQ1919" i="2"/>
  <c r="BQ1920" i="2"/>
  <c r="BQ1921" i="2"/>
  <c r="BQ1922" i="2"/>
  <c r="BQ1923" i="2"/>
  <c r="BQ1924" i="2"/>
  <c r="BQ1925" i="2"/>
  <c r="BQ1926" i="2"/>
  <c r="BQ1927" i="2"/>
  <c r="BQ1928" i="2"/>
  <c r="BQ1929" i="2"/>
  <c r="BQ1930" i="2"/>
  <c r="BQ1931" i="2"/>
  <c r="BQ1932" i="2"/>
  <c r="BQ1933" i="2"/>
  <c r="BQ1934" i="2"/>
  <c r="BQ1935" i="2"/>
  <c r="BQ1936" i="2"/>
  <c r="BQ1937" i="2"/>
  <c r="BQ1938" i="2"/>
  <c r="BQ1939" i="2"/>
  <c r="BQ1940" i="2"/>
  <c r="BQ1941" i="2"/>
  <c r="BQ1942" i="2"/>
  <c r="BQ1943" i="2"/>
  <c r="BQ1944" i="2"/>
  <c r="BQ1945" i="2"/>
  <c r="BQ1946" i="2"/>
  <c r="BQ81" i="2"/>
  <c r="BQ82" i="2"/>
  <c r="BQ83" i="2"/>
  <c r="BQ84" i="2"/>
  <c r="BQ85" i="2"/>
  <c r="BR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7" i="2"/>
  <c r="BR86" i="2"/>
  <c r="BR89" i="2"/>
  <c r="BR90" i="2"/>
  <c r="BR91" i="2"/>
  <c r="BR92" i="2"/>
  <c r="BR94" i="2"/>
  <c r="BR88" i="2"/>
  <c r="BR93" i="2"/>
  <c r="BR102" i="2"/>
  <c r="BR96" i="2"/>
  <c r="BR100" i="2"/>
  <c r="BR101" i="2"/>
  <c r="BR99" i="2"/>
  <c r="BR97" i="2"/>
  <c r="BR98" i="2"/>
  <c r="BR104" i="2"/>
  <c r="BR105" i="2"/>
  <c r="BR103" i="2"/>
  <c r="BR106" i="2"/>
  <c r="BR107" i="2"/>
  <c r="BR108" i="2"/>
  <c r="BR109" i="2"/>
  <c r="BR110" i="2"/>
  <c r="BR111" i="2"/>
  <c r="BR113" i="2"/>
  <c r="BR114" i="2"/>
  <c r="BR115" i="2"/>
  <c r="BR116" i="2"/>
  <c r="BR117" i="2"/>
  <c r="BR118" i="2"/>
  <c r="BR112" i="2"/>
  <c r="BR121" i="2"/>
  <c r="BR119" i="2"/>
  <c r="BR122" i="2"/>
  <c r="BR123" i="2"/>
  <c r="BR124" i="2"/>
  <c r="BR125" i="2"/>
  <c r="BR126" i="2"/>
  <c r="BR127" i="2"/>
  <c r="BR128" i="2"/>
  <c r="BR129" i="2"/>
  <c r="BR120" i="2"/>
  <c r="BR198" i="2"/>
  <c r="BR130" i="2"/>
  <c r="BR131" i="2"/>
  <c r="BR137" i="2"/>
  <c r="BR138" i="2"/>
  <c r="BR132" i="2"/>
  <c r="BR133" i="2"/>
  <c r="BR134" i="2"/>
  <c r="BR135" i="2"/>
  <c r="BR136" i="2"/>
  <c r="BR139" i="2"/>
  <c r="BR141" i="2"/>
  <c r="BR142" i="2"/>
  <c r="BR143" i="2"/>
  <c r="BR144" i="2"/>
  <c r="BR145" i="2"/>
  <c r="BR151" i="2"/>
  <c r="BR163" i="2"/>
  <c r="BR140" i="2"/>
  <c r="BR146" i="2"/>
  <c r="BR181" i="2"/>
  <c r="BR161" i="2"/>
  <c r="BR147" i="2"/>
  <c r="BR148" i="2"/>
  <c r="BR155" i="2"/>
  <c r="BR154" i="2"/>
  <c r="BR153" i="2"/>
  <c r="BR159" i="2"/>
  <c r="BR158" i="2"/>
  <c r="BR156" i="2"/>
  <c r="BR157" i="2"/>
  <c r="BR149" i="2"/>
  <c r="BR150" i="2"/>
  <c r="BR152" i="2"/>
  <c r="BR162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80" i="2"/>
  <c r="BR160" i="2"/>
  <c r="BR185" i="2"/>
  <c r="BR196" i="2"/>
  <c r="BR179" i="2"/>
  <c r="BR182" i="2"/>
  <c r="BR183" i="2"/>
  <c r="BR184" i="2"/>
  <c r="BR186" i="2"/>
  <c r="BR189" i="2"/>
  <c r="BR190" i="2"/>
  <c r="BR188" i="2"/>
  <c r="BR191" i="2"/>
  <c r="BR192" i="2"/>
  <c r="BR193" i="2"/>
  <c r="BR194" i="2"/>
  <c r="BR195" i="2"/>
  <c r="BR187" i="2"/>
  <c r="BR197" i="2"/>
  <c r="BR200" i="2"/>
  <c r="BR209" i="2"/>
  <c r="BR201" i="2"/>
  <c r="BR202" i="2"/>
  <c r="BR203" i="2"/>
  <c r="BR204" i="2"/>
  <c r="BR199" i="2"/>
  <c r="BR205" i="2"/>
  <c r="BR206" i="2"/>
  <c r="BR207" i="2"/>
  <c r="BR210" i="2"/>
  <c r="BR208" i="2"/>
  <c r="BR211" i="2"/>
  <c r="BR215" i="2"/>
  <c r="BR213" i="2"/>
  <c r="BR214" i="2"/>
  <c r="BR218" i="2"/>
  <c r="BR212" i="2"/>
  <c r="BR219" i="2"/>
  <c r="BR220" i="2"/>
  <c r="BR221" i="2"/>
  <c r="BR222" i="2"/>
  <c r="BR223" i="2"/>
  <c r="BR224" i="2"/>
  <c r="BR229" i="2"/>
  <c r="BR230" i="2"/>
  <c r="BR231" i="2"/>
  <c r="BR232" i="2"/>
  <c r="BR233" i="2"/>
  <c r="BR216" i="2"/>
  <c r="BR217" i="2"/>
  <c r="BR225" i="2"/>
  <c r="BR227" i="2"/>
  <c r="BR255" i="2"/>
  <c r="BR234" i="2"/>
  <c r="BR235" i="2"/>
  <c r="BR226" i="2"/>
  <c r="BR228" i="2"/>
  <c r="BR236" i="2"/>
  <c r="BR239" i="2"/>
  <c r="BR240" i="2"/>
  <c r="BR241" i="2"/>
  <c r="BR247" i="2"/>
  <c r="BR248" i="2"/>
  <c r="BR242" i="2"/>
  <c r="BR243" i="2"/>
  <c r="BR244" i="2"/>
  <c r="BR245" i="2"/>
  <c r="BR246" i="2"/>
  <c r="BR249" i="2"/>
  <c r="BR250" i="2"/>
  <c r="BR251" i="2"/>
  <c r="BR252" i="2"/>
  <c r="BR253" i="2"/>
  <c r="BR238" i="2"/>
  <c r="BR237" i="2"/>
  <c r="BR254" i="2"/>
  <c r="BR256" i="2"/>
  <c r="BR270" i="2"/>
  <c r="BR271" i="2"/>
  <c r="BR257" i="2"/>
  <c r="BR258" i="2"/>
  <c r="BR259" i="2"/>
  <c r="BR288" i="2"/>
  <c r="BR283" i="2"/>
  <c r="BR282" i="2"/>
  <c r="BR261" i="2"/>
  <c r="BR262" i="2"/>
  <c r="BR260" i="2"/>
  <c r="BR287" i="2"/>
  <c r="BR272" i="2"/>
  <c r="BR273" i="2"/>
  <c r="BR274" i="2"/>
  <c r="BR275" i="2"/>
  <c r="BR276" i="2"/>
  <c r="BR277" i="2"/>
  <c r="BR278" i="2"/>
  <c r="BR279" i="2"/>
  <c r="BR265" i="2"/>
  <c r="BR266" i="2"/>
  <c r="BR267" i="2"/>
  <c r="BR263" i="2"/>
  <c r="BR268" i="2"/>
  <c r="BR269" i="2"/>
  <c r="BR264" i="2"/>
  <c r="BR284" i="2"/>
  <c r="BR285" i="2"/>
  <c r="BR286" i="2"/>
  <c r="BR280" i="2"/>
  <c r="BR281" i="2"/>
  <c r="BR290" i="2"/>
  <c r="BR289" i="2"/>
  <c r="BR327" i="2"/>
  <c r="BR302" i="2"/>
  <c r="BR303" i="2"/>
  <c r="BR292" i="2"/>
  <c r="BR293" i="2"/>
  <c r="BR294" i="2"/>
  <c r="BR295" i="2"/>
  <c r="BR296" i="2"/>
  <c r="BR297" i="2"/>
  <c r="BR298" i="2"/>
  <c r="BR299" i="2"/>
  <c r="BR300" i="2"/>
  <c r="BR301" i="2"/>
  <c r="BR304" i="2"/>
  <c r="BR309" i="2"/>
  <c r="BR307" i="2"/>
  <c r="BR305" i="2"/>
  <c r="BR308" i="2"/>
  <c r="BR306" i="2"/>
  <c r="BR291" i="2"/>
  <c r="BR311" i="2"/>
  <c r="BR310" i="2"/>
  <c r="BR312" i="2"/>
  <c r="BR313" i="2"/>
  <c r="BR326" i="2"/>
  <c r="BR316" i="2"/>
  <c r="BR317" i="2"/>
  <c r="BR315" i="2"/>
  <c r="BR318" i="2"/>
  <c r="BR314" i="2"/>
  <c r="BR320" i="2"/>
  <c r="BR319" i="2"/>
  <c r="BR322" i="2"/>
  <c r="BR321" i="2"/>
  <c r="BR323" i="2"/>
  <c r="BR324" i="2"/>
  <c r="BR325" i="2"/>
  <c r="BR328" i="2"/>
  <c r="BR329" i="2"/>
  <c r="BR330" i="2"/>
  <c r="BR331" i="2"/>
  <c r="BR335" i="2"/>
  <c r="BR333" i="2"/>
  <c r="BR336" i="2"/>
  <c r="BR332" i="2"/>
  <c r="BR334" i="2"/>
  <c r="BR350" i="2"/>
  <c r="BR337" i="2"/>
  <c r="BR338" i="2"/>
  <c r="BR339" i="2"/>
  <c r="BR340" i="2"/>
  <c r="BR369" i="2"/>
  <c r="BR370" i="2"/>
  <c r="BR371" i="2"/>
  <c r="BR372" i="2"/>
  <c r="BR373" i="2"/>
  <c r="BR341" i="2"/>
  <c r="BR358" i="2"/>
  <c r="BR345" i="2"/>
  <c r="BR344" i="2"/>
  <c r="BR349" i="2"/>
  <c r="BR400" i="2"/>
  <c r="BR348" i="2"/>
  <c r="BR343" i="2"/>
  <c r="BR347" i="2"/>
  <c r="BR342" i="2"/>
  <c r="BR379" i="2"/>
  <c r="BR367" i="2"/>
  <c r="BR408" i="2"/>
  <c r="BR346" i="2"/>
  <c r="BR351" i="2"/>
  <c r="BR352" i="2"/>
  <c r="BR353" i="2"/>
  <c r="BR354" i="2"/>
  <c r="BR355" i="2"/>
  <c r="BR357" i="2"/>
  <c r="BR368" i="2"/>
  <c r="BR399" i="2"/>
  <c r="BR366" i="2"/>
  <c r="BR356" i="2"/>
  <c r="BR387" i="2"/>
  <c r="BR359" i="2"/>
  <c r="BR360" i="2"/>
  <c r="BR361" i="2"/>
  <c r="BR363" i="2"/>
  <c r="BR362" i="2"/>
  <c r="BR364" i="2"/>
  <c r="BR365" i="2"/>
  <c r="BR403" i="2"/>
  <c r="BR404" i="2"/>
  <c r="BR397" i="2"/>
  <c r="BR398" i="2"/>
  <c r="BR374" i="2"/>
  <c r="BR376" i="2"/>
  <c r="BR377" i="2"/>
  <c r="BR378" i="2"/>
  <c r="BR375" i="2"/>
  <c r="BR380" i="2"/>
  <c r="BR381" i="2"/>
  <c r="BR435" i="2"/>
  <c r="BR388" i="2"/>
  <c r="BR382" i="2"/>
  <c r="BR383" i="2"/>
  <c r="BR384" i="2"/>
  <c r="BR385" i="2"/>
  <c r="BR386" i="2"/>
  <c r="BR389" i="2"/>
  <c r="BR390" i="2"/>
  <c r="BR392" i="2"/>
  <c r="BR391" i="2"/>
  <c r="BR394" i="2"/>
  <c r="BR393" i="2"/>
  <c r="BR395" i="2"/>
  <c r="BR396" i="2"/>
  <c r="BR401" i="2"/>
  <c r="BR402" i="2"/>
  <c r="BR405" i="2"/>
  <c r="BR407" i="2"/>
  <c r="BR411" i="2"/>
  <c r="BR406" i="2"/>
  <c r="BR409" i="2"/>
  <c r="BR410" i="2"/>
  <c r="BR412" i="2"/>
  <c r="BR413" i="2"/>
  <c r="BR414" i="2"/>
  <c r="BR415" i="2"/>
  <c r="BR436" i="2"/>
  <c r="BR443" i="2"/>
  <c r="BR444" i="2"/>
  <c r="BR430" i="2"/>
  <c r="BR416" i="2"/>
  <c r="BR437" i="2"/>
  <c r="BR438" i="2"/>
  <c r="BR417" i="2"/>
  <c r="BR418" i="2"/>
  <c r="BR419" i="2"/>
  <c r="BR420" i="2"/>
  <c r="BR421" i="2"/>
  <c r="BR422" i="2"/>
  <c r="BR423" i="2"/>
  <c r="BR424" i="2"/>
  <c r="BR425" i="2"/>
  <c r="BR426" i="2"/>
  <c r="BR427" i="2"/>
  <c r="BR428" i="2"/>
  <c r="BR429" i="2"/>
  <c r="BR433" i="2"/>
  <c r="BR431" i="2"/>
  <c r="BR432" i="2"/>
  <c r="BR434" i="2"/>
  <c r="BR439" i="2"/>
  <c r="BR440" i="2"/>
  <c r="BR441" i="2"/>
  <c r="BR442" i="2"/>
  <c r="BR488" i="2"/>
  <c r="BR473" i="2"/>
  <c r="BR474" i="2"/>
  <c r="BR446" i="2"/>
  <c r="BR447" i="2"/>
  <c r="BR448" i="2"/>
  <c r="BR449" i="2"/>
  <c r="BR471" i="2"/>
  <c r="BR472" i="2"/>
  <c r="BR445" i="2"/>
  <c r="BR450" i="2"/>
  <c r="BR451" i="2"/>
  <c r="BR454" i="2"/>
  <c r="BR452" i="2"/>
  <c r="BR453" i="2"/>
  <c r="BR455" i="2"/>
  <c r="BR456" i="2"/>
  <c r="BR457" i="2"/>
  <c r="BR458" i="2"/>
  <c r="BR465" i="2"/>
  <c r="BR466" i="2"/>
  <c r="BR467" i="2"/>
  <c r="BR468" i="2"/>
  <c r="BR470" i="2"/>
  <c r="BR460" i="2"/>
  <c r="BR461" i="2"/>
  <c r="BR462" i="2"/>
  <c r="BR463" i="2"/>
  <c r="BR459" i="2"/>
  <c r="BR464" i="2"/>
  <c r="BR476" i="2"/>
  <c r="BR478" i="2"/>
  <c r="BR480" i="2"/>
  <c r="BR479" i="2"/>
  <c r="BR477" i="2"/>
  <c r="BR469" i="2"/>
  <c r="BR475" i="2"/>
  <c r="BR511" i="2"/>
  <c r="BR483" i="2"/>
  <c r="BR481" i="2"/>
  <c r="BR512" i="2"/>
  <c r="BR489" i="2"/>
  <c r="BR514" i="2"/>
  <c r="BR484" i="2"/>
  <c r="BR485" i="2"/>
  <c r="BR486" i="2"/>
  <c r="BR487" i="2"/>
  <c r="BR482" i="2"/>
  <c r="BR498" i="2"/>
  <c r="BR490" i="2"/>
  <c r="BR491" i="2"/>
  <c r="BR499" i="2"/>
  <c r="BR492" i="2"/>
  <c r="BR493" i="2"/>
  <c r="BR494" i="2"/>
  <c r="BR495" i="2"/>
  <c r="BR496" i="2"/>
  <c r="BR497" i="2"/>
  <c r="BR500" i="2"/>
  <c r="BR506" i="2"/>
  <c r="BR507" i="2"/>
  <c r="BR508" i="2"/>
  <c r="BR509" i="2"/>
  <c r="BR510" i="2"/>
  <c r="BR501" i="2"/>
  <c r="BR502" i="2"/>
  <c r="BR503" i="2"/>
  <c r="BR504" i="2"/>
  <c r="BR505" i="2"/>
  <c r="BR515" i="2"/>
  <c r="BR516" i="2"/>
  <c r="BR517" i="2"/>
  <c r="BR518" i="2"/>
  <c r="BR519" i="2"/>
  <c r="BR520" i="2"/>
  <c r="BR521" i="2"/>
  <c r="BR522" i="2"/>
  <c r="BR523" i="2"/>
  <c r="BR524" i="2"/>
  <c r="BR525" i="2"/>
  <c r="BR526" i="2"/>
  <c r="BR527" i="2"/>
  <c r="BR528" i="2"/>
  <c r="BR529" i="2"/>
  <c r="BR530" i="2"/>
  <c r="BR531" i="2"/>
  <c r="BR532" i="2"/>
  <c r="BR533" i="2"/>
  <c r="BR534" i="2"/>
  <c r="BR535" i="2"/>
  <c r="BR536" i="2"/>
  <c r="BR537" i="2"/>
  <c r="BR538" i="2"/>
  <c r="BR539" i="2"/>
  <c r="BR540" i="2"/>
  <c r="BR541" i="2"/>
  <c r="BR542" i="2"/>
  <c r="BR543" i="2"/>
  <c r="BR544" i="2"/>
  <c r="BR545" i="2"/>
  <c r="BR546" i="2"/>
  <c r="BR547" i="2"/>
  <c r="BR548" i="2"/>
  <c r="BR549" i="2"/>
  <c r="BR550" i="2"/>
  <c r="BR551" i="2"/>
  <c r="BR552" i="2"/>
  <c r="BR553" i="2"/>
  <c r="BR554" i="2"/>
  <c r="BR555" i="2"/>
  <c r="BR556" i="2"/>
  <c r="BR557" i="2"/>
  <c r="BR558" i="2"/>
  <c r="BR559" i="2"/>
  <c r="BR560" i="2"/>
  <c r="BR561" i="2"/>
  <c r="BR562" i="2"/>
  <c r="BR563" i="2"/>
  <c r="BR564" i="2"/>
  <c r="BR565" i="2"/>
  <c r="BR566" i="2"/>
  <c r="BR567" i="2"/>
  <c r="BR568" i="2"/>
  <c r="BR569" i="2"/>
  <c r="BR570" i="2"/>
  <c r="BR571" i="2"/>
  <c r="BR572" i="2"/>
  <c r="BR573" i="2"/>
  <c r="BR574" i="2"/>
  <c r="BR575" i="2"/>
  <c r="BR576" i="2"/>
  <c r="BR577" i="2"/>
  <c r="BR578" i="2"/>
  <c r="BR579" i="2"/>
  <c r="BR580" i="2"/>
  <c r="BR581" i="2"/>
  <c r="BR582" i="2"/>
  <c r="BR583" i="2"/>
  <c r="BR584" i="2"/>
  <c r="BR585" i="2"/>
  <c r="BR586" i="2"/>
  <c r="BR587" i="2"/>
  <c r="BR588" i="2"/>
  <c r="BR589" i="2"/>
  <c r="BR590" i="2"/>
  <c r="BR591" i="2"/>
  <c r="BR592" i="2"/>
  <c r="BR593" i="2"/>
  <c r="BR594" i="2"/>
  <c r="BR595" i="2"/>
  <c r="BR596" i="2"/>
  <c r="BR597" i="2"/>
  <c r="BR598" i="2"/>
  <c r="BR599" i="2"/>
  <c r="BR600" i="2"/>
  <c r="BR601" i="2"/>
  <c r="BR602" i="2"/>
  <c r="BR603" i="2"/>
  <c r="BR604" i="2"/>
  <c r="BR605" i="2"/>
  <c r="BR606" i="2"/>
  <c r="BR607" i="2"/>
  <c r="BR608" i="2"/>
  <c r="BR609" i="2"/>
  <c r="BR610" i="2"/>
  <c r="BR611" i="2"/>
  <c r="BR612" i="2"/>
  <c r="BR613" i="2"/>
  <c r="BR614" i="2"/>
  <c r="BR615" i="2"/>
  <c r="BR616" i="2"/>
  <c r="BR617" i="2"/>
  <c r="BR618" i="2"/>
  <c r="BR619" i="2"/>
  <c r="BR620" i="2"/>
  <c r="BR621" i="2"/>
  <c r="BR622" i="2"/>
  <c r="BR623" i="2"/>
  <c r="BR624" i="2"/>
  <c r="BR625" i="2"/>
  <c r="BR626" i="2"/>
  <c r="BR627" i="2"/>
  <c r="BR628" i="2"/>
  <c r="BR629" i="2"/>
  <c r="BR630" i="2"/>
  <c r="BR631" i="2"/>
  <c r="BR632" i="2"/>
  <c r="BR633" i="2"/>
  <c r="BR634" i="2"/>
  <c r="BR635" i="2"/>
  <c r="BR636" i="2"/>
  <c r="BR637" i="2"/>
  <c r="BR638" i="2"/>
  <c r="BR639" i="2"/>
  <c r="BR640" i="2"/>
  <c r="BR641" i="2"/>
  <c r="BR642" i="2"/>
  <c r="BR643" i="2"/>
  <c r="BR644" i="2"/>
  <c r="BR645" i="2"/>
  <c r="BR646" i="2"/>
  <c r="BR647" i="2"/>
  <c r="BR648" i="2"/>
  <c r="BR649" i="2"/>
  <c r="BR650" i="2"/>
  <c r="BR651" i="2"/>
  <c r="BR652" i="2"/>
  <c r="BR653" i="2"/>
  <c r="BR654" i="2"/>
  <c r="BR655" i="2"/>
  <c r="BR656" i="2"/>
  <c r="BR657" i="2"/>
  <c r="BR658" i="2"/>
  <c r="BR659" i="2"/>
  <c r="BR660" i="2"/>
  <c r="BR661" i="2"/>
  <c r="BR662" i="2"/>
  <c r="BR663" i="2"/>
  <c r="BR664" i="2"/>
  <c r="BR665" i="2"/>
  <c r="BR666" i="2"/>
  <c r="BR667" i="2"/>
  <c r="BR668" i="2"/>
  <c r="BR669" i="2"/>
  <c r="BR670" i="2"/>
  <c r="BR671" i="2"/>
  <c r="BR672" i="2"/>
  <c r="BR673" i="2"/>
  <c r="BR674" i="2"/>
  <c r="BR675" i="2"/>
  <c r="BR676" i="2"/>
  <c r="BR677" i="2"/>
  <c r="BR678" i="2"/>
  <c r="BR679" i="2"/>
  <c r="BR680" i="2"/>
  <c r="BR681" i="2"/>
  <c r="BR682" i="2"/>
  <c r="BR683" i="2"/>
  <c r="BR684" i="2"/>
  <c r="BR685" i="2"/>
  <c r="BR686" i="2"/>
  <c r="BR687" i="2"/>
  <c r="BR688" i="2"/>
  <c r="BR689" i="2"/>
  <c r="BR690" i="2"/>
  <c r="BR691" i="2"/>
  <c r="BR692" i="2"/>
  <c r="BR693" i="2"/>
  <c r="BR694" i="2"/>
  <c r="BR695" i="2"/>
  <c r="BR696" i="2"/>
  <c r="BR697" i="2"/>
  <c r="BR698" i="2"/>
  <c r="BR699" i="2"/>
  <c r="BR700" i="2"/>
  <c r="BR701" i="2"/>
  <c r="BR702" i="2"/>
  <c r="BR703" i="2"/>
  <c r="BR704" i="2"/>
  <c r="BR705" i="2"/>
  <c r="BR706" i="2"/>
  <c r="BR707" i="2"/>
  <c r="BR708" i="2"/>
  <c r="BR709" i="2"/>
  <c r="BR710" i="2"/>
  <c r="BR711" i="2"/>
  <c r="BR712" i="2"/>
  <c r="BR713" i="2"/>
  <c r="BR714" i="2"/>
  <c r="BR715" i="2"/>
  <c r="BR716" i="2"/>
  <c r="BR717" i="2"/>
  <c r="BR718" i="2"/>
  <c r="BR719" i="2"/>
  <c r="BR720" i="2"/>
  <c r="BR721" i="2"/>
  <c r="BR722" i="2"/>
  <c r="BR723" i="2"/>
  <c r="BR724" i="2"/>
  <c r="BR725" i="2"/>
  <c r="BR726" i="2"/>
  <c r="BR727" i="2"/>
  <c r="BR728" i="2"/>
  <c r="BR729" i="2"/>
  <c r="BR730" i="2"/>
  <c r="BR731" i="2"/>
  <c r="BR732" i="2"/>
  <c r="BR733" i="2"/>
  <c r="BR734" i="2"/>
  <c r="BR735" i="2"/>
  <c r="BR736" i="2"/>
  <c r="BR737" i="2"/>
  <c r="BR738" i="2"/>
  <c r="BR739" i="2"/>
  <c r="BR740" i="2"/>
  <c r="BR741" i="2"/>
  <c r="BR742" i="2"/>
  <c r="BR743" i="2"/>
  <c r="BR744" i="2"/>
  <c r="BR745" i="2"/>
  <c r="BR746" i="2"/>
  <c r="BR747" i="2"/>
  <c r="BR748" i="2"/>
  <c r="BR749" i="2"/>
  <c r="BR750" i="2"/>
  <c r="BR751" i="2"/>
  <c r="BR752" i="2"/>
  <c r="BR753" i="2"/>
  <c r="BR754" i="2"/>
  <c r="BR755" i="2"/>
  <c r="BR756" i="2"/>
  <c r="BR757" i="2"/>
  <c r="BR758" i="2"/>
  <c r="BR759" i="2"/>
  <c r="BR760" i="2"/>
  <c r="BR761" i="2"/>
  <c r="BR762" i="2"/>
  <c r="BR763" i="2"/>
  <c r="BR764" i="2"/>
  <c r="BR765" i="2"/>
  <c r="BR766" i="2"/>
  <c r="BR767" i="2"/>
  <c r="BR768" i="2"/>
  <c r="BR769" i="2"/>
  <c r="BR770" i="2"/>
  <c r="BR771" i="2"/>
  <c r="BR772" i="2"/>
  <c r="BR773" i="2"/>
  <c r="BR774" i="2"/>
  <c r="BR775" i="2"/>
  <c r="BR776" i="2"/>
  <c r="BR777" i="2"/>
  <c r="BR778" i="2"/>
  <c r="BR779" i="2"/>
  <c r="BR780" i="2"/>
  <c r="BR781" i="2"/>
  <c r="BR782" i="2"/>
  <c r="BR783" i="2"/>
  <c r="BR784" i="2"/>
  <c r="BR785" i="2"/>
  <c r="BR786" i="2"/>
  <c r="BR787" i="2"/>
  <c r="BR788" i="2"/>
  <c r="BR789" i="2"/>
  <c r="BR790" i="2"/>
  <c r="BR791" i="2"/>
  <c r="BR792" i="2"/>
  <c r="BR793" i="2"/>
  <c r="BR794" i="2"/>
  <c r="BR795" i="2"/>
  <c r="BR796" i="2"/>
  <c r="BR797" i="2"/>
  <c r="BR798" i="2"/>
  <c r="BR799" i="2"/>
  <c r="BR800" i="2"/>
  <c r="BR801" i="2"/>
  <c r="BR802" i="2"/>
  <c r="BR803" i="2"/>
  <c r="BR804" i="2"/>
  <c r="BR805" i="2"/>
  <c r="BR806" i="2"/>
  <c r="BR807" i="2"/>
  <c r="BR808" i="2"/>
  <c r="BR809" i="2"/>
  <c r="BR810" i="2"/>
  <c r="BR811" i="2"/>
  <c r="BR812" i="2"/>
  <c r="BR813" i="2"/>
  <c r="BR814" i="2"/>
  <c r="BR815" i="2"/>
  <c r="BR816" i="2"/>
  <c r="BR817" i="2"/>
  <c r="BR818" i="2"/>
  <c r="BR819" i="2"/>
  <c r="BR820" i="2"/>
  <c r="BR821" i="2"/>
  <c r="BR822" i="2"/>
  <c r="BR823" i="2"/>
  <c r="BR824" i="2"/>
  <c r="BR825" i="2"/>
  <c r="BR826" i="2"/>
  <c r="BR827" i="2"/>
  <c r="BR828" i="2"/>
  <c r="BR829" i="2"/>
  <c r="BR830" i="2"/>
  <c r="BR831" i="2"/>
  <c r="BR832" i="2"/>
  <c r="BR833" i="2"/>
  <c r="BR834" i="2"/>
  <c r="BR835" i="2"/>
  <c r="BR836" i="2"/>
  <c r="BR837" i="2"/>
  <c r="BR838" i="2"/>
  <c r="BR839" i="2"/>
  <c r="BR840" i="2"/>
  <c r="BR841" i="2"/>
  <c r="BR842" i="2"/>
  <c r="BR843" i="2"/>
  <c r="BR844" i="2"/>
  <c r="BR845" i="2"/>
  <c r="BR846" i="2"/>
  <c r="BR847" i="2"/>
  <c r="BR848" i="2"/>
  <c r="BR849" i="2"/>
  <c r="BR850" i="2"/>
  <c r="BR851" i="2"/>
  <c r="BR852" i="2"/>
  <c r="BR853" i="2"/>
  <c r="BR854" i="2"/>
  <c r="BR855" i="2"/>
  <c r="BR856" i="2"/>
  <c r="BR857" i="2"/>
  <c r="BR858" i="2"/>
  <c r="BR859" i="2"/>
  <c r="BR860" i="2"/>
  <c r="BR861" i="2"/>
  <c r="BR862" i="2"/>
  <c r="BR863" i="2"/>
  <c r="BR864" i="2"/>
  <c r="BR865" i="2"/>
  <c r="BR866" i="2"/>
  <c r="BR867" i="2"/>
  <c r="BR868" i="2"/>
  <c r="BR869" i="2"/>
  <c r="BR870" i="2"/>
  <c r="BR871" i="2"/>
  <c r="BR872" i="2"/>
  <c r="BR873" i="2"/>
  <c r="BR874" i="2"/>
  <c r="BR875" i="2"/>
  <c r="BR876" i="2"/>
  <c r="BR877" i="2"/>
  <c r="BR878" i="2"/>
  <c r="BR879" i="2"/>
  <c r="BR880" i="2"/>
  <c r="BR881" i="2"/>
  <c r="BR882" i="2"/>
  <c r="BR883" i="2"/>
  <c r="BR884" i="2"/>
  <c r="BR885" i="2"/>
  <c r="BR886" i="2"/>
  <c r="BR887" i="2"/>
  <c r="BR888" i="2"/>
  <c r="BR889" i="2"/>
  <c r="BR890" i="2"/>
  <c r="BR891" i="2"/>
  <c r="BR892" i="2"/>
  <c r="BR893" i="2"/>
  <c r="BR894" i="2"/>
  <c r="BR895" i="2"/>
  <c r="BR896" i="2"/>
  <c r="BR897" i="2"/>
  <c r="BR898" i="2"/>
  <c r="BR899" i="2"/>
  <c r="BR900" i="2"/>
  <c r="BR901" i="2"/>
  <c r="BR902" i="2"/>
  <c r="BR903" i="2"/>
  <c r="BR904" i="2"/>
  <c r="BR905" i="2"/>
  <c r="BR906" i="2"/>
  <c r="BR907" i="2"/>
  <c r="BR908" i="2"/>
  <c r="BR909" i="2"/>
  <c r="BR910" i="2"/>
  <c r="BR911" i="2"/>
  <c r="BR912" i="2"/>
  <c r="BR913" i="2"/>
  <c r="BR914" i="2"/>
  <c r="BR915" i="2"/>
  <c r="BR916" i="2"/>
  <c r="BR917" i="2"/>
  <c r="BR918" i="2"/>
  <c r="BR919" i="2"/>
  <c r="BR920" i="2"/>
  <c r="BR921" i="2"/>
  <c r="BR922" i="2"/>
  <c r="BR923" i="2"/>
  <c r="BR924" i="2"/>
  <c r="BR925" i="2"/>
  <c r="BR926" i="2"/>
  <c r="BR927" i="2"/>
  <c r="BR928" i="2"/>
  <c r="BR929" i="2"/>
  <c r="BR930" i="2"/>
  <c r="BR931" i="2"/>
  <c r="BR932" i="2"/>
  <c r="BR933" i="2"/>
  <c r="BR934" i="2"/>
  <c r="BR935" i="2"/>
  <c r="BR936" i="2"/>
  <c r="BR937" i="2"/>
  <c r="BR938" i="2"/>
  <c r="BR939" i="2"/>
  <c r="BR940" i="2"/>
  <c r="BR941" i="2"/>
  <c r="BR942" i="2"/>
  <c r="BR943" i="2"/>
  <c r="BR944" i="2"/>
  <c r="BR945" i="2"/>
  <c r="BR946" i="2"/>
  <c r="BR947" i="2"/>
  <c r="BR948" i="2"/>
  <c r="BR949" i="2"/>
  <c r="BR950" i="2"/>
  <c r="BR951" i="2"/>
  <c r="BR952" i="2"/>
  <c r="BR953" i="2"/>
  <c r="BR954" i="2"/>
  <c r="BR955" i="2"/>
  <c r="BR956" i="2"/>
  <c r="BR957" i="2"/>
  <c r="BR958" i="2"/>
  <c r="BR959" i="2"/>
  <c r="BR960" i="2"/>
  <c r="BR961" i="2"/>
  <c r="BR962" i="2"/>
  <c r="BR963" i="2"/>
  <c r="BR964" i="2"/>
  <c r="BR965" i="2"/>
  <c r="BR966" i="2"/>
  <c r="BR967" i="2"/>
  <c r="BR968" i="2"/>
  <c r="BR969" i="2"/>
  <c r="BR970" i="2"/>
  <c r="BR971" i="2"/>
  <c r="BR972" i="2"/>
  <c r="BR973" i="2"/>
  <c r="BR974" i="2"/>
  <c r="BR975" i="2"/>
  <c r="BR976" i="2"/>
  <c r="BR977" i="2"/>
  <c r="BR978" i="2"/>
  <c r="BR979" i="2"/>
  <c r="BR980" i="2"/>
  <c r="BR981" i="2"/>
  <c r="BR982" i="2"/>
  <c r="BR983" i="2"/>
  <c r="BR984" i="2"/>
  <c r="BR985" i="2"/>
  <c r="BR986" i="2"/>
  <c r="BR987" i="2"/>
  <c r="BR988" i="2"/>
  <c r="BR989" i="2"/>
  <c r="BR990" i="2"/>
  <c r="BR991" i="2"/>
  <c r="BR992" i="2"/>
  <c r="BR993" i="2"/>
  <c r="BR994" i="2"/>
  <c r="BR995" i="2"/>
  <c r="BR996" i="2"/>
  <c r="BR997" i="2"/>
  <c r="BR998" i="2"/>
  <c r="BR999" i="2"/>
  <c r="BR1000" i="2"/>
  <c r="BR1001" i="2"/>
  <c r="BR1002" i="2"/>
  <c r="BR1003" i="2"/>
  <c r="BR1004" i="2"/>
  <c r="BR1005" i="2"/>
  <c r="BR1006" i="2"/>
  <c r="BR1007" i="2"/>
  <c r="BR1008" i="2"/>
  <c r="BR1009" i="2"/>
  <c r="BR1010" i="2"/>
  <c r="BR1011" i="2"/>
  <c r="BR1012" i="2"/>
  <c r="BR1013" i="2"/>
  <c r="BR1014" i="2"/>
  <c r="BR1015" i="2"/>
  <c r="BR1016" i="2"/>
  <c r="BR1017" i="2"/>
  <c r="BR1018" i="2"/>
  <c r="BR1019" i="2"/>
  <c r="BR1020" i="2"/>
  <c r="BR1021" i="2"/>
  <c r="BR1022" i="2"/>
  <c r="BR1023" i="2"/>
  <c r="BR1024" i="2"/>
  <c r="BR1025" i="2"/>
  <c r="BR1026" i="2"/>
  <c r="BR1027" i="2"/>
  <c r="BR1028" i="2"/>
  <c r="BR1029" i="2"/>
  <c r="BR1030" i="2"/>
  <c r="BR1031" i="2"/>
  <c r="BR1032" i="2"/>
  <c r="BR1033" i="2"/>
  <c r="BR1034" i="2"/>
  <c r="BR1035" i="2"/>
  <c r="BR1036" i="2"/>
  <c r="BR1037" i="2"/>
  <c r="BR1038" i="2"/>
  <c r="BR1039" i="2"/>
  <c r="BR1040" i="2"/>
  <c r="BR1041" i="2"/>
  <c r="BR1042" i="2"/>
  <c r="BR1043" i="2"/>
  <c r="BR1044" i="2"/>
  <c r="BR1045" i="2"/>
  <c r="BR1046" i="2"/>
  <c r="BR1047" i="2"/>
  <c r="BR1048" i="2"/>
  <c r="BR1049" i="2"/>
  <c r="BR1050" i="2"/>
  <c r="BR1051" i="2"/>
  <c r="BR1052" i="2"/>
  <c r="BR1053" i="2"/>
  <c r="BR1054" i="2"/>
  <c r="BR1055" i="2"/>
  <c r="BR1056" i="2"/>
  <c r="BR1057" i="2"/>
  <c r="BR1058" i="2"/>
  <c r="BR1059" i="2"/>
  <c r="BR1060" i="2"/>
  <c r="BR1061" i="2"/>
  <c r="BR1062" i="2"/>
  <c r="BR1063" i="2"/>
  <c r="BR1064" i="2"/>
  <c r="BR1065" i="2"/>
  <c r="BR1066" i="2"/>
  <c r="BR1067" i="2"/>
  <c r="BR1068" i="2"/>
  <c r="BR1069" i="2"/>
  <c r="BR1070" i="2"/>
  <c r="BR1071" i="2"/>
  <c r="BR1072" i="2"/>
  <c r="BR1073" i="2"/>
  <c r="BR1074" i="2"/>
  <c r="BR1075" i="2"/>
  <c r="BR1076" i="2"/>
  <c r="BR1077" i="2"/>
  <c r="BR1078" i="2"/>
  <c r="BR1079" i="2"/>
  <c r="BR1080" i="2"/>
  <c r="BR1081" i="2"/>
  <c r="BR1082" i="2"/>
  <c r="BR1083" i="2"/>
  <c r="BR1084" i="2"/>
  <c r="BR1085" i="2"/>
  <c r="BR1086" i="2"/>
  <c r="BR1087" i="2"/>
  <c r="BR1088" i="2"/>
  <c r="BR1089" i="2"/>
  <c r="BR1090" i="2"/>
  <c r="BR1091" i="2"/>
  <c r="BR1092" i="2"/>
  <c r="BR1093" i="2"/>
  <c r="BR1094" i="2"/>
  <c r="BR1095" i="2"/>
  <c r="BR1096" i="2"/>
  <c r="BR1097" i="2"/>
  <c r="BR1098" i="2"/>
  <c r="BR1099" i="2"/>
  <c r="BR1100" i="2"/>
  <c r="BR1101" i="2"/>
  <c r="BR1102" i="2"/>
  <c r="BR1103" i="2"/>
  <c r="BR1104" i="2"/>
  <c r="BR1105" i="2"/>
  <c r="BR1106" i="2"/>
  <c r="BR1107" i="2"/>
  <c r="BR1108" i="2"/>
  <c r="BR1109" i="2"/>
  <c r="BR1110" i="2"/>
  <c r="BR1111" i="2"/>
  <c r="BR1112" i="2"/>
  <c r="BR1113" i="2"/>
  <c r="BR1114" i="2"/>
  <c r="BR1115" i="2"/>
  <c r="BR1116" i="2"/>
  <c r="BR1117" i="2"/>
  <c r="BR1118" i="2"/>
  <c r="BR1119" i="2"/>
  <c r="BR1120" i="2"/>
  <c r="BR1121" i="2"/>
  <c r="BR1122" i="2"/>
  <c r="BR1123" i="2"/>
  <c r="BR1124" i="2"/>
  <c r="BR1125" i="2"/>
  <c r="BR1126" i="2"/>
  <c r="BR1127" i="2"/>
  <c r="BR1128" i="2"/>
  <c r="BR1129" i="2"/>
  <c r="BR1130" i="2"/>
  <c r="BR1131" i="2"/>
  <c r="BR1132" i="2"/>
  <c r="BR1133" i="2"/>
  <c r="BR1134" i="2"/>
  <c r="BR1135" i="2"/>
  <c r="BR1136" i="2"/>
  <c r="BR1137" i="2"/>
  <c r="BR1138" i="2"/>
  <c r="BR1139" i="2"/>
  <c r="BR1140" i="2"/>
  <c r="BR1141" i="2"/>
  <c r="BR1142" i="2"/>
  <c r="BR1143" i="2"/>
  <c r="BR1144" i="2"/>
  <c r="BR1145" i="2"/>
  <c r="BR1146" i="2"/>
  <c r="BR1147" i="2"/>
  <c r="BR1148" i="2"/>
  <c r="BR1149" i="2"/>
  <c r="BR1150" i="2"/>
  <c r="BR1151" i="2"/>
  <c r="BR1152" i="2"/>
  <c r="BR1153" i="2"/>
  <c r="BR1154" i="2"/>
  <c r="BR1155" i="2"/>
  <c r="BR1156" i="2"/>
  <c r="BR1157" i="2"/>
  <c r="BR1158" i="2"/>
  <c r="BR1159" i="2"/>
  <c r="BR1160" i="2"/>
  <c r="BR1161" i="2"/>
  <c r="BR1162" i="2"/>
  <c r="BR1163" i="2"/>
  <c r="BR1164" i="2"/>
  <c r="BR1165" i="2"/>
  <c r="BR1166" i="2"/>
  <c r="BR1167" i="2"/>
  <c r="BR1168" i="2"/>
  <c r="BR1169" i="2"/>
  <c r="BR1170" i="2"/>
  <c r="BR1171" i="2"/>
  <c r="BR1172" i="2"/>
  <c r="BR1173" i="2"/>
  <c r="BR1174" i="2"/>
  <c r="BR1175" i="2"/>
  <c r="BR1176" i="2"/>
  <c r="BR1177" i="2"/>
  <c r="BR1178" i="2"/>
  <c r="BR1179" i="2"/>
  <c r="BR1180" i="2"/>
  <c r="BR1181" i="2"/>
  <c r="BR1182" i="2"/>
  <c r="BR1183" i="2"/>
  <c r="BR1184" i="2"/>
  <c r="BR1185" i="2"/>
  <c r="BR1186" i="2"/>
  <c r="BR1187" i="2"/>
  <c r="BR1188" i="2"/>
  <c r="BR1189" i="2"/>
  <c r="BR1190" i="2"/>
  <c r="BR1191" i="2"/>
  <c r="BR1192" i="2"/>
  <c r="BR1193" i="2"/>
  <c r="BR1194" i="2"/>
  <c r="BR1195" i="2"/>
  <c r="BR1196" i="2"/>
  <c r="BR1197" i="2"/>
  <c r="BR1198" i="2"/>
  <c r="BR1199" i="2"/>
  <c r="BR1200" i="2"/>
  <c r="BR1201" i="2"/>
  <c r="BR1202" i="2"/>
  <c r="BR1203" i="2"/>
  <c r="BR1204" i="2"/>
  <c r="BR1205" i="2"/>
  <c r="BR1206" i="2"/>
  <c r="BR1207" i="2"/>
  <c r="BR1208" i="2"/>
  <c r="BR1209" i="2"/>
  <c r="BR1210" i="2"/>
  <c r="BR1211" i="2"/>
  <c r="BR1212" i="2"/>
  <c r="BR1213" i="2"/>
  <c r="BR1214" i="2"/>
  <c r="BR1215" i="2"/>
  <c r="BR1216" i="2"/>
  <c r="BR1217" i="2"/>
  <c r="BR1218" i="2"/>
  <c r="BR1219" i="2"/>
  <c r="BR1220" i="2"/>
  <c r="BR1221" i="2"/>
  <c r="BR1222" i="2"/>
  <c r="BR1223" i="2"/>
  <c r="BR1224" i="2"/>
  <c r="BR1225" i="2"/>
  <c r="BR1226" i="2"/>
  <c r="BR1227" i="2"/>
  <c r="BR1228" i="2"/>
  <c r="BR1229" i="2"/>
  <c r="BR1230" i="2"/>
  <c r="BR1231" i="2"/>
  <c r="BR1232" i="2"/>
  <c r="BR1233" i="2"/>
  <c r="BR1234" i="2"/>
  <c r="BR1235" i="2"/>
  <c r="BR1236" i="2"/>
  <c r="BR1237" i="2"/>
  <c r="BR1238" i="2"/>
  <c r="BR1239" i="2"/>
  <c r="BR1240" i="2"/>
  <c r="BR1241" i="2"/>
  <c r="BR1242" i="2"/>
  <c r="BR1243" i="2"/>
  <c r="BR1244" i="2"/>
  <c r="BR1245" i="2"/>
  <c r="BR1246" i="2"/>
  <c r="BR1247" i="2"/>
  <c r="BR1248" i="2"/>
  <c r="BR1249" i="2"/>
  <c r="BR1250" i="2"/>
  <c r="BR1251" i="2"/>
  <c r="BR1252" i="2"/>
  <c r="BR1253" i="2"/>
  <c r="BR1254" i="2"/>
  <c r="BR1255" i="2"/>
  <c r="BR1256" i="2"/>
  <c r="BR1257" i="2"/>
  <c r="BR1258" i="2"/>
  <c r="BR1259" i="2"/>
  <c r="BR1260" i="2"/>
  <c r="BR1261" i="2"/>
  <c r="BR1262" i="2"/>
  <c r="BR1263" i="2"/>
  <c r="BR1264" i="2"/>
  <c r="BR1265" i="2"/>
  <c r="BR1266" i="2"/>
  <c r="BR1267" i="2"/>
  <c r="BR1268" i="2"/>
  <c r="BR1269" i="2"/>
  <c r="BR1270" i="2"/>
  <c r="BR1271" i="2"/>
  <c r="BR1272" i="2"/>
  <c r="BR1273" i="2"/>
  <c r="BR1274" i="2"/>
  <c r="BR1275" i="2"/>
  <c r="BR1276" i="2"/>
  <c r="BR1277" i="2"/>
  <c r="BR1278" i="2"/>
  <c r="BR1279" i="2"/>
  <c r="BR1280" i="2"/>
  <c r="BR1281" i="2"/>
  <c r="BR1282" i="2"/>
  <c r="BR1283" i="2"/>
  <c r="BR1284" i="2"/>
  <c r="BR1285" i="2"/>
  <c r="BR1286" i="2"/>
  <c r="BR1287" i="2"/>
  <c r="BR1288" i="2"/>
  <c r="BR1289" i="2"/>
  <c r="BR1290" i="2"/>
  <c r="BR1291" i="2"/>
  <c r="BR1292" i="2"/>
  <c r="BR1293" i="2"/>
  <c r="BR1294" i="2"/>
  <c r="BR1295" i="2"/>
  <c r="BR1296" i="2"/>
  <c r="BR1297" i="2"/>
  <c r="BR1298" i="2"/>
  <c r="BR1299" i="2"/>
  <c r="BR1300" i="2"/>
  <c r="BR1301" i="2"/>
  <c r="BR1302" i="2"/>
  <c r="BR1303" i="2"/>
  <c r="BR1304" i="2"/>
  <c r="BR1305" i="2"/>
  <c r="BR1306" i="2"/>
  <c r="BR1307" i="2"/>
  <c r="BR1308" i="2"/>
  <c r="BR1309" i="2"/>
  <c r="BR1310" i="2"/>
  <c r="BR1311" i="2"/>
  <c r="BR1312" i="2"/>
  <c r="BR1313" i="2"/>
  <c r="BR1314" i="2"/>
  <c r="BR1315" i="2"/>
  <c r="BR1316" i="2"/>
  <c r="BR1317" i="2"/>
  <c r="BR1318" i="2"/>
  <c r="BR1319" i="2"/>
  <c r="BR1320" i="2"/>
  <c r="BR1321" i="2"/>
  <c r="BR1322" i="2"/>
  <c r="BR1323" i="2"/>
  <c r="BR1324" i="2"/>
  <c r="BR1325" i="2"/>
  <c r="BR1326" i="2"/>
  <c r="BR1327" i="2"/>
  <c r="BR1328" i="2"/>
  <c r="BR1329" i="2"/>
  <c r="BR1330" i="2"/>
  <c r="BR1331" i="2"/>
  <c r="BR1332" i="2"/>
  <c r="BR1333" i="2"/>
  <c r="BR1334" i="2"/>
  <c r="BR1335" i="2"/>
  <c r="BR1336" i="2"/>
  <c r="BR1337" i="2"/>
  <c r="BR1338" i="2"/>
  <c r="BR1339" i="2"/>
  <c r="BR1340" i="2"/>
  <c r="BR1341" i="2"/>
  <c r="BR1342" i="2"/>
  <c r="BR1343" i="2"/>
  <c r="BR1344" i="2"/>
  <c r="BR1345" i="2"/>
  <c r="BR1346" i="2"/>
  <c r="BR1347" i="2"/>
  <c r="BR1348" i="2"/>
  <c r="BR1349" i="2"/>
  <c r="BR1350" i="2"/>
  <c r="BR1351" i="2"/>
  <c r="BR1352" i="2"/>
  <c r="BR1353" i="2"/>
  <c r="BR1354" i="2"/>
  <c r="BR1355" i="2"/>
  <c r="BR1356" i="2"/>
  <c r="BR1357" i="2"/>
  <c r="BR1358" i="2"/>
  <c r="BR1359" i="2"/>
  <c r="BR1360" i="2"/>
  <c r="BR1361" i="2"/>
  <c r="BR1362" i="2"/>
  <c r="BR1363" i="2"/>
  <c r="BR1364" i="2"/>
  <c r="BR1365" i="2"/>
  <c r="BR1366" i="2"/>
  <c r="BR1367" i="2"/>
  <c r="BR1368" i="2"/>
  <c r="BR1369" i="2"/>
  <c r="BR1370" i="2"/>
  <c r="BR1371" i="2"/>
  <c r="BR1372" i="2"/>
  <c r="BR1373" i="2"/>
  <c r="BR1374" i="2"/>
  <c r="BR1375" i="2"/>
  <c r="BR1376" i="2"/>
  <c r="BR1377" i="2"/>
  <c r="BR1378" i="2"/>
  <c r="BR1379" i="2"/>
  <c r="BR1380" i="2"/>
  <c r="BR1381" i="2"/>
  <c r="BR1382" i="2"/>
  <c r="BR1383" i="2"/>
  <c r="BR1384" i="2"/>
  <c r="BR1385" i="2"/>
  <c r="BR1386" i="2"/>
  <c r="BR1387" i="2"/>
  <c r="BR1388" i="2"/>
  <c r="BR1389" i="2"/>
  <c r="BR1390" i="2"/>
  <c r="BR1391" i="2"/>
  <c r="BR1392" i="2"/>
  <c r="BR1393" i="2"/>
  <c r="BR1394" i="2"/>
  <c r="BR1395" i="2"/>
  <c r="BR1396" i="2"/>
  <c r="BR1397" i="2"/>
  <c r="BR1398" i="2"/>
  <c r="BR1399" i="2"/>
  <c r="BR1400" i="2"/>
  <c r="BR1401" i="2"/>
  <c r="BR1402" i="2"/>
  <c r="BR1403" i="2"/>
  <c r="BR1404" i="2"/>
  <c r="BR1405" i="2"/>
  <c r="BR1406" i="2"/>
  <c r="BR1407" i="2"/>
  <c r="BR1408" i="2"/>
  <c r="BR1409" i="2"/>
  <c r="BR1410" i="2"/>
  <c r="BR1411" i="2"/>
  <c r="BR1412" i="2"/>
  <c r="BR1413" i="2"/>
  <c r="BR1414" i="2"/>
  <c r="BR1415" i="2"/>
  <c r="BR1416" i="2"/>
  <c r="BR1417" i="2"/>
  <c r="BR1418" i="2"/>
  <c r="BR1419" i="2"/>
  <c r="BR1420" i="2"/>
  <c r="BR1421" i="2"/>
  <c r="BR1422" i="2"/>
  <c r="BR1423" i="2"/>
  <c r="BR1424" i="2"/>
  <c r="BR1425" i="2"/>
  <c r="BR1426" i="2"/>
  <c r="BR1427" i="2"/>
  <c r="BR1428" i="2"/>
  <c r="BR1429" i="2"/>
  <c r="BR1430" i="2"/>
  <c r="BR1431" i="2"/>
  <c r="BR1432" i="2"/>
  <c r="BR1433" i="2"/>
  <c r="BR1434" i="2"/>
  <c r="BR1435" i="2"/>
  <c r="BR1436" i="2"/>
  <c r="BR1437" i="2"/>
  <c r="BR1438" i="2"/>
  <c r="BR1439" i="2"/>
  <c r="BR1440" i="2"/>
  <c r="BR1441" i="2"/>
  <c r="BR1442" i="2"/>
  <c r="BR1443" i="2"/>
  <c r="BR1444" i="2"/>
  <c r="BR1445" i="2"/>
  <c r="BR1446" i="2"/>
  <c r="BR1447" i="2"/>
  <c r="BR1448" i="2"/>
  <c r="BR1449" i="2"/>
  <c r="BR1450" i="2"/>
  <c r="BR1451" i="2"/>
  <c r="BR1452" i="2"/>
  <c r="BR1453" i="2"/>
  <c r="BR1454" i="2"/>
  <c r="BR1455" i="2"/>
  <c r="BR1456" i="2"/>
  <c r="BR1457" i="2"/>
  <c r="BR1458" i="2"/>
  <c r="BR1459" i="2"/>
  <c r="BR1460" i="2"/>
  <c r="BR1461" i="2"/>
  <c r="BR1462" i="2"/>
  <c r="BR1463" i="2"/>
  <c r="BR1464" i="2"/>
  <c r="BR1465" i="2"/>
  <c r="BR1466" i="2"/>
  <c r="BR1467" i="2"/>
  <c r="BR1468" i="2"/>
  <c r="BR1469" i="2"/>
  <c r="BR1470" i="2"/>
  <c r="BR1471" i="2"/>
  <c r="BR1472" i="2"/>
  <c r="BR1473" i="2"/>
  <c r="BR1474" i="2"/>
  <c r="BR1475" i="2"/>
  <c r="BR1476" i="2"/>
  <c r="BR1477" i="2"/>
  <c r="BR1478" i="2"/>
  <c r="BR1479" i="2"/>
  <c r="BR1480" i="2"/>
  <c r="BR1481" i="2"/>
  <c r="BR1482" i="2"/>
  <c r="BR1483" i="2"/>
  <c r="BR1484" i="2"/>
  <c r="BR1485" i="2"/>
  <c r="BR1486" i="2"/>
  <c r="BR1487" i="2"/>
  <c r="BR1488" i="2"/>
  <c r="BR1489" i="2"/>
  <c r="BR1490" i="2"/>
  <c r="BR1491" i="2"/>
  <c r="BR1492" i="2"/>
  <c r="BR1493" i="2"/>
  <c r="BR1494" i="2"/>
  <c r="BR1495" i="2"/>
  <c r="BR1496" i="2"/>
  <c r="BR1497" i="2"/>
  <c r="BR1498" i="2"/>
  <c r="BR1499" i="2"/>
  <c r="BR1500" i="2"/>
  <c r="BR1501" i="2"/>
  <c r="BR1502" i="2"/>
  <c r="BR1503" i="2"/>
  <c r="BR1504" i="2"/>
  <c r="BR1505" i="2"/>
  <c r="BR1506" i="2"/>
  <c r="BR1507" i="2"/>
  <c r="BR1508" i="2"/>
  <c r="BR1509" i="2"/>
  <c r="BR1510" i="2"/>
  <c r="BR1511" i="2"/>
  <c r="BR1512" i="2"/>
  <c r="BR1513" i="2"/>
  <c r="BR1514" i="2"/>
  <c r="BR1515" i="2"/>
  <c r="BR1516" i="2"/>
  <c r="BR1517" i="2"/>
  <c r="BR1518" i="2"/>
  <c r="BR1519" i="2"/>
  <c r="BR1520" i="2"/>
  <c r="BR1521" i="2"/>
  <c r="BR1522" i="2"/>
  <c r="BR1523" i="2"/>
  <c r="BR1524" i="2"/>
  <c r="BR1525" i="2"/>
  <c r="BR1526" i="2"/>
  <c r="BR1527" i="2"/>
  <c r="BR1528" i="2"/>
  <c r="BR1529" i="2"/>
  <c r="BR1530" i="2"/>
  <c r="BR1531" i="2"/>
  <c r="BR1532" i="2"/>
  <c r="BR1533" i="2"/>
  <c r="BR1534" i="2"/>
  <c r="BR1535" i="2"/>
  <c r="BR1536" i="2"/>
  <c r="BR1537" i="2"/>
  <c r="BR1538" i="2"/>
  <c r="BR1539" i="2"/>
  <c r="BR1540" i="2"/>
  <c r="BR1541" i="2"/>
  <c r="BR1542" i="2"/>
  <c r="BR1543" i="2"/>
  <c r="BR1544" i="2"/>
  <c r="BR1545" i="2"/>
  <c r="BR1546" i="2"/>
  <c r="BR1547" i="2"/>
  <c r="BR1548" i="2"/>
  <c r="BR1549" i="2"/>
  <c r="BR1550" i="2"/>
  <c r="BR1551" i="2"/>
  <c r="BR1552" i="2"/>
  <c r="BR1553" i="2"/>
  <c r="BR1554" i="2"/>
  <c r="BR1555" i="2"/>
  <c r="BR1556" i="2"/>
  <c r="BR1557" i="2"/>
  <c r="BR1558" i="2"/>
  <c r="BR1559" i="2"/>
  <c r="BR1560" i="2"/>
  <c r="BR1561" i="2"/>
  <c r="BR1562" i="2"/>
  <c r="BR1563" i="2"/>
  <c r="BR1564" i="2"/>
  <c r="BR1565" i="2"/>
  <c r="BR1566" i="2"/>
  <c r="BR1567" i="2"/>
  <c r="BR1568" i="2"/>
  <c r="BR1569" i="2"/>
  <c r="BR1570" i="2"/>
  <c r="BR1571" i="2"/>
  <c r="BR1572" i="2"/>
  <c r="BR1573" i="2"/>
  <c r="BR1574" i="2"/>
  <c r="BR1575" i="2"/>
  <c r="BR1576" i="2"/>
  <c r="BR1577" i="2"/>
  <c r="BR1578" i="2"/>
  <c r="BR1579" i="2"/>
  <c r="BR1580" i="2"/>
  <c r="BR1581" i="2"/>
  <c r="BR1582" i="2"/>
  <c r="BR1583" i="2"/>
  <c r="BR1584" i="2"/>
  <c r="BR1585" i="2"/>
  <c r="BR1586" i="2"/>
  <c r="BR1587" i="2"/>
  <c r="BR1588" i="2"/>
  <c r="BR1589" i="2"/>
  <c r="BR1590" i="2"/>
  <c r="BR1591" i="2"/>
  <c r="BR1592" i="2"/>
  <c r="BR1593" i="2"/>
  <c r="BR1594" i="2"/>
  <c r="BR1595" i="2"/>
  <c r="BR1596" i="2"/>
  <c r="BR1597" i="2"/>
  <c r="BR1598" i="2"/>
  <c r="BR1599" i="2"/>
  <c r="BR1600" i="2"/>
  <c r="BR1601" i="2"/>
  <c r="BR1602" i="2"/>
  <c r="BR1603" i="2"/>
  <c r="BR1604" i="2"/>
  <c r="BR1605" i="2"/>
  <c r="BR1606" i="2"/>
  <c r="BR1607" i="2"/>
  <c r="BR1608" i="2"/>
  <c r="BR1609" i="2"/>
  <c r="BR1610" i="2"/>
  <c r="BR1611" i="2"/>
  <c r="BR1612" i="2"/>
  <c r="BR1613" i="2"/>
  <c r="BR1614" i="2"/>
  <c r="BR1615" i="2"/>
  <c r="BR1616" i="2"/>
  <c r="BR1617" i="2"/>
  <c r="BR1618" i="2"/>
  <c r="BR1619" i="2"/>
  <c r="BR1620" i="2"/>
  <c r="BR1621" i="2"/>
  <c r="BR1622" i="2"/>
  <c r="BR1623" i="2"/>
  <c r="BR1624" i="2"/>
  <c r="BR1625" i="2"/>
  <c r="BR1626" i="2"/>
  <c r="BR1627" i="2"/>
  <c r="BR1628" i="2"/>
  <c r="BR1629" i="2"/>
  <c r="BR1630" i="2"/>
  <c r="BR1631" i="2"/>
  <c r="BR1632" i="2"/>
  <c r="BR1633" i="2"/>
  <c r="BR1634" i="2"/>
  <c r="BR1635" i="2"/>
  <c r="BR1636" i="2"/>
  <c r="BR1637" i="2"/>
  <c r="BR1638" i="2"/>
  <c r="BR1639" i="2"/>
  <c r="BR1640" i="2"/>
  <c r="BR1641" i="2"/>
  <c r="BR1642" i="2"/>
  <c r="BR1643" i="2"/>
  <c r="BR1644" i="2"/>
  <c r="BR1645" i="2"/>
  <c r="BR1646" i="2"/>
  <c r="BR1647" i="2"/>
  <c r="BR1648" i="2"/>
  <c r="BR1649" i="2"/>
  <c r="BR1650" i="2"/>
  <c r="BR1651" i="2"/>
  <c r="BR1652" i="2"/>
  <c r="BR1653" i="2"/>
  <c r="BR1654" i="2"/>
  <c r="BR1655" i="2"/>
  <c r="BR1656" i="2"/>
  <c r="BR1657" i="2"/>
  <c r="BR1658" i="2"/>
  <c r="BR1659" i="2"/>
  <c r="BR1660" i="2"/>
  <c r="BR1661" i="2"/>
  <c r="BR1662" i="2"/>
  <c r="BR1663" i="2"/>
  <c r="BR1664" i="2"/>
  <c r="BR1665" i="2"/>
  <c r="BR1666" i="2"/>
  <c r="BR1667" i="2"/>
  <c r="BR1668" i="2"/>
  <c r="BR1669" i="2"/>
  <c r="BR1670" i="2"/>
  <c r="BR1671" i="2"/>
  <c r="BR1672" i="2"/>
  <c r="BR1673" i="2"/>
  <c r="BR1674" i="2"/>
  <c r="BR1675" i="2"/>
  <c r="BR1676" i="2"/>
  <c r="BR1677" i="2"/>
  <c r="BR1678" i="2"/>
  <c r="BR1679" i="2"/>
  <c r="BR1680" i="2"/>
  <c r="BR1681" i="2"/>
  <c r="BR1682" i="2"/>
  <c r="BR1683" i="2"/>
  <c r="BR1684" i="2"/>
  <c r="BR1685" i="2"/>
  <c r="BR1686" i="2"/>
  <c r="BR1687" i="2"/>
  <c r="BR1688" i="2"/>
  <c r="BR1689" i="2"/>
  <c r="BR1690" i="2"/>
  <c r="BR1691" i="2"/>
  <c r="BR1692" i="2"/>
  <c r="BR1693" i="2"/>
  <c r="BR1694" i="2"/>
  <c r="BR1695" i="2"/>
  <c r="BR1696" i="2"/>
  <c r="BR1697" i="2"/>
  <c r="BR1698" i="2"/>
  <c r="BR1699" i="2"/>
  <c r="BR1700" i="2"/>
  <c r="BR1701" i="2"/>
  <c r="BR1702" i="2"/>
  <c r="BR1703" i="2"/>
  <c r="BR1704" i="2"/>
  <c r="BR1705" i="2"/>
  <c r="BR1706" i="2"/>
  <c r="BR1707" i="2"/>
  <c r="BR1708" i="2"/>
  <c r="BR1709" i="2"/>
  <c r="BR1710" i="2"/>
  <c r="BR1711" i="2"/>
  <c r="BR1712" i="2"/>
  <c r="BR1713" i="2"/>
  <c r="BR1714" i="2"/>
  <c r="BR1715" i="2"/>
  <c r="BR1716" i="2"/>
  <c r="BR1717" i="2"/>
  <c r="BR1718" i="2"/>
  <c r="BR1719" i="2"/>
  <c r="BR1720" i="2"/>
  <c r="BR1721" i="2"/>
  <c r="BR1722" i="2"/>
  <c r="BR1723" i="2"/>
  <c r="BR1724" i="2"/>
  <c r="BR1725" i="2"/>
  <c r="BR1726" i="2"/>
  <c r="BR1727" i="2"/>
  <c r="BR1728" i="2"/>
  <c r="BR1729" i="2"/>
  <c r="BR1730" i="2"/>
  <c r="BR1731" i="2"/>
  <c r="BR1732" i="2"/>
  <c r="BR1733" i="2"/>
  <c r="BR1734" i="2"/>
  <c r="BR1735" i="2"/>
  <c r="BR1736" i="2"/>
  <c r="BR1737" i="2"/>
  <c r="BR1738" i="2"/>
  <c r="BR1739" i="2"/>
  <c r="BR1740" i="2"/>
  <c r="BR1741" i="2"/>
  <c r="BR1742" i="2"/>
  <c r="BR1743" i="2"/>
  <c r="BR1744" i="2"/>
  <c r="BR1745" i="2"/>
  <c r="BR1746" i="2"/>
  <c r="BR1747" i="2"/>
  <c r="BR1748" i="2"/>
  <c r="BR1749" i="2"/>
  <c r="BR1750" i="2"/>
  <c r="BR1751" i="2"/>
  <c r="BR1752" i="2"/>
  <c r="BR1753" i="2"/>
  <c r="BR1754" i="2"/>
  <c r="BR1755" i="2"/>
  <c r="BR1756" i="2"/>
  <c r="BR1757" i="2"/>
  <c r="BR1758" i="2"/>
  <c r="BR1759" i="2"/>
  <c r="BR1760" i="2"/>
  <c r="BR1761" i="2"/>
  <c r="BR1762" i="2"/>
  <c r="BR1763" i="2"/>
  <c r="BR1764" i="2"/>
  <c r="BR1765" i="2"/>
  <c r="BR1766" i="2"/>
  <c r="BR1767" i="2"/>
  <c r="BR1768" i="2"/>
  <c r="BR1769" i="2"/>
  <c r="BR1770" i="2"/>
  <c r="BR1771" i="2"/>
  <c r="BR1772" i="2"/>
  <c r="BR1773" i="2"/>
  <c r="BR1774" i="2"/>
  <c r="BR1775" i="2"/>
  <c r="BR1776" i="2"/>
  <c r="BR1777" i="2"/>
  <c r="BR1778" i="2"/>
  <c r="BR1779" i="2"/>
  <c r="BR1780" i="2"/>
  <c r="BR1781" i="2"/>
  <c r="BR1782" i="2"/>
  <c r="BR1783" i="2"/>
  <c r="BR1784" i="2"/>
  <c r="BR1785" i="2"/>
  <c r="BR1786" i="2"/>
  <c r="BR1787" i="2"/>
  <c r="BR1788" i="2"/>
  <c r="BR1789" i="2"/>
  <c r="BR1790" i="2"/>
  <c r="BR1791" i="2"/>
  <c r="BR1792" i="2"/>
  <c r="BR1793" i="2"/>
  <c r="BR1794" i="2"/>
  <c r="BR1795" i="2"/>
  <c r="BR1796" i="2"/>
  <c r="BR1797" i="2"/>
  <c r="BR1798" i="2"/>
  <c r="BR1799" i="2"/>
  <c r="BR1800" i="2"/>
  <c r="BR1801" i="2"/>
  <c r="BR1802" i="2"/>
  <c r="BR1803" i="2"/>
  <c r="BR1804" i="2"/>
  <c r="BR1805" i="2"/>
  <c r="BR1806" i="2"/>
  <c r="BR1807" i="2"/>
  <c r="BR1808" i="2"/>
  <c r="BR1809" i="2"/>
  <c r="BR1810" i="2"/>
  <c r="BR1811" i="2"/>
  <c r="BR1812" i="2"/>
  <c r="BR1813" i="2"/>
  <c r="BR1814" i="2"/>
  <c r="BR1815" i="2"/>
  <c r="BR1816" i="2"/>
  <c r="BR1817" i="2"/>
  <c r="BR1818" i="2"/>
  <c r="BR1819" i="2"/>
  <c r="BR1820" i="2"/>
  <c r="BR1821" i="2"/>
  <c r="BR1822" i="2"/>
  <c r="BR1823" i="2"/>
  <c r="BR1824" i="2"/>
  <c r="BR1825" i="2"/>
  <c r="BR1826" i="2"/>
  <c r="BR1827" i="2"/>
  <c r="BR1828" i="2"/>
  <c r="BR1829" i="2"/>
  <c r="BR1830" i="2"/>
  <c r="BR1831" i="2"/>
  <c r="BR1832" i="2"/>
  <c r="BR1833" i="2"/>
  <c r="BR1834" i="2"/>
  <c r="BR1835" i="2"/>
  <c r="BR1836" i="2"/>
  <c r="BR1837" i="2"/>
  <c r="BR1838" i="2"/>
  <c r="BR1839" i="2"/>
  <c r="BR1840" i="2"/>
  <c r="BR1841" i="2"/>
  <c r="BR1842" i="2"/>
  <c r="BR1843" i="2"/>
  <c r="BR1844" i="2"/>
  <c r="BR1845" i="2"/>
  <c r="BR1846" i="2"/>
  <c r="BR1847" i="2"/>
  <c r="BR1848" i="2"/>
  <c r="BR1849" i="2"/>
  <c r="BR1850" i="2"/>
  <c r="BR1851" i="2"/>
  <c r="BR1852" i="2"/>
  <c r="BR1853" i="2"/>
  <c r="BR1854" i="2"/>
  <c r="BR1855" i="2"/>
  <c r="BR1856" i="2"/>
  <c r="BR1857" i="2"/>
  <c r="BR1858" i="2"/>
  <c r="BR1859" i="2"/>
  <c r="BR1860" i="2"/>
  <c r="BR1861" i="2"/>
  <c r="BR1862" i="2"/>
  <c r="BR1863" i="2"/>
  <c r="BR1864" i="2"/>
  <c r="BR1865" i="2"/>
  <c r="BR1866" i="2"/>
  <c r="BR1867" i="2"/>
  <c r="BR1868" i="2"/>
  <c r="BR1869" i="2"/>
  <c r="BR1870" i="2"/>
  <c r="BR1871" i="2"/>
  <c r="BR1872" i="2"/>
  <c r="BR1873" i="2"/>
  <c r="BR1874" i="2"/>
  <c r="BR1875" i="2"/>
  <c r="BR1876" i="2"/>
  <c r="BR1877" i="2"/>
  <c r="BR1878" i="2"/>
  <c r="BR1879" i="2"/>
  <c r="BR1880" i="2"/>
  <c r="BR1881" i="2"/>
  <c r="BR1882" i="2"/>
  <c r="BR1883" i="2"/>
  <c r="BR1884" i="2"/>
  <c r="BR1885" i="2"/>
  <c r="BR1886" i="2"/>
  <c r="BR1887" i="2"/>
  <c r="BR1888" i="2"/>
  <c r="BR1889" i="2"/>
  <c r="BR1890" i="2"/>
  <c r="BR1891" i="2"/>
  <c r="BR1892" i="2"/>
  <c r="BR1893" i="2"/>
  <c r="BR1894" i="2"/>
  <c r="BR1895" i="2"/>
  <c r="BR1896" i="2"/>
  <c r="BR1897" i="2"/>
  <c r="BR1898" i="2"/>
  <c r="BR1899" i="2"/>
  <c r="BR1900" i="2"/>
  <c r="BR1901" i="2"/>
  <c r="BR1902" i="2"/>
  <c r="BR1903" i="2"/>
  <c r="BR1904" i="2"/>
  <c r="BR1905" i="2"/>
  <c r="BR1906" i="2"/>
  <c r="BR1907" i="2"/>
  <c r="BR1908" i="2"/>
  <c r="BR1909" i="2"/>
  <c r="BR1910" i="2"/>
  <c r="BR1911" i="2"/>
  <c r="BR1912" i="2"/>
  <c r="BR1913" i="2"/>
  <c r="BR1914" i="2"/>
  <c r="BR1915" i="2"/>
  <c r="BR1916" i="2"/>
  <c r="BR1917" i="2"/>
  <c r="BR1918" i="2"/>
  <c r="BR1919" i="2"/>
  <c r="BR1920" i="2"/>
  <c r="BR1921" i="2"/>
  <c r="BR1922" i="2"/>
  <c r="BR1923" i="2"/>
  <c r="BR1924" i="2"/>
  <c r="BR1925" i="2"/>
  <c r="BR1926" i="2"/>
  <c r="BR1927" i="2"/>
  <c r="BR1928" i="2"/>
  <c r="BR1929" i="2"/>
  <c r="BR1930" i="2"/>
  <c r="BR1931" i="2"/>
  <c r="BR1932" i="2"/>
  <c r="BR1933" i="2"/>
  <c r="BR1934" i="2"/>
  <c r="BR1935" i="2"/>
  <c r="BR1936" i="2"/>
  <c r="BR1937" i="2"/>
  <c r="BR1938" i="2"/>
  <c r="BR1939" i="2"/>
  <c r="BR1940" i="2"/>
  <c r="BR1941" i="2"/>
  <c r="BR1942" i="2"/>
  <c r="BR1943" i="2"/>
  <c r="BR1944" i="2"/>
  <c r="BR1945" i="2"/>
  <c r="BR1946" i="2"/>
  <c r="CA8" i="2"/>
  <c r="BZ8" i="2" s="1"/>
  <c r="CB4" i="2" l="1"/>
  <c r="CB3" i="2"/>
  <c r="CB7" i="2"/>
  <c r="CB6" i="2"/>
  <c r="CB5" i="2"/>
  <c r="CB8" i="2" l="1"/>
  <c r="Q3" i="10"/>
  <c r="R3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Alexandre-note</author>
  </authors>
  <commentList>
    <comment ref="AE819" authorId="0" shapeId="0" xr:uid="{FC6985BE-8E0C-4237-A2E5-300B58223F84}">
      <text>
        <r>
          <rPr>
            <sz val="9"/>
            <color indexed="81"/>
            <rFont val="Segoe UI"/>
            <charset val="1"/>
          </rPr>
          <t xml:space="preserve">ADICIONAL DE MARGEM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Alexandre-note</author>
  </authors>
  <commentList>
    <comment ref="AV238" authorId="0" shapeId="0" xr:uid="{BEC6F12D-3B1F-4AE9-9627-4924B762AD90}">
      <text>
        <r>
          <rPr>
            <b/>
            <sz val="9"/>
            <color indexed="81"/>
            <rFont val="Segoe UI"/>
            <family val="2"/>
          </rPr>
          <t>VLR REFERENTE AO RAPHAEL</t>
        </r>
      </text>
    </comment>
    <comment ref="BJ348" authorId="0" shapeId="0" xr:uid="{CE2F1F49-7F23-4A37-9E69-FE816DC70675}">
      <text>
        <r>
          <rPr>
            <sz val="9"/>
            <color indexed="81"/>
            <rFont val="Segoe UI"/>
            <family val="2"/>
          </rPr>
          <t xml:space="preserve">Valor AJUDANTE
</t>
        </r>
      </text>
    </comment>
    <comment ref="AH363" authorId="0" shapeId="0" xr:uid="{AFA572B8-0B0F-4612-9832-5CF5061D1ADE}">
      <text>
        <r>
          <rPr>
            <b/>
            <sz val="9"/>
            <color indexed="81"/>
            <rFont val="Segoe UI"/>
            <family val="2"/>
          </rPr>
          <t>6577817 lacre na haste errada</t>
        </r>
      </text>
    </comment>
    <comment ref="P366" authorId="0" shapeId="0" xr:uid="{5CFAF2AC-7687-4BC2-A6CF-F6937CEF0CD5}">
      <text>
        <r>
          <rPr>
            <sz val="9"/>
            <color indexed="81"/>
            <rFont val="Segoe UI"/>
            <family val="2"/>
          </rPr>
          <t xml:space="preserve">Navio anterior, MSK LABREA 329E, MSK LAVRAS  330E
</t>
        </r>
      </text>
    </comment>
    <comment ref="BJ416" authorId="0" shapeId="0" xr:uid="{0F4FD32C-313D-4E29-91C1-4CCB628BCB4E}">
      <text>
        <r>
          <rPr>
            <b/>
            <sz val="9"/>
            <color indexed="81"/>
            <rFont val="Segoe UI"/>
            <family val="2"/>
          </rPr>
          <t>Valor referente ao ajudante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BJ470" authorId="0" shapeId="0" xr:uid="{2FE3AC5A-C691-4E59-9FFC-A580CC4A555F}">
      <text>
        <r>
          <rPr>
            <b/>
            <sz val="9"/>
            <color indexed="81"/>
            <rFont val="Segoe UI"/>
            <family val="2"/>
          </rPr>
          <t>RETIRADA ANTECIPADA DE VAZIO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<sst xmlns="http://schemas.openxmlformats.org/spreadsheetml/2006/main" count="39322" uniqueCount="8698">
  <si>
    <t>ID</t>
  </si>
  <si>
    <t>PLACA CAVALO</t>
  </si>
  <si>
    <t>PLACA CARRETA</t>
  </si>
  <si>
    <t>MOTORISTA</t>
  </si>
  <si>
    <t>CPF</t>
  </si>
  <si>
    <t>CNH</t>
  </si>
  <si>
    <t>FUZ5A18</t>
  </si>
  <si>
    <t>FKR5A57</t>
  </si>
  <si>
    <t xml:space="preserve">ADMILSON SOARES JARDIM </t>
  </si>
  <si>
    <t>09892031822</t>
  </si>
  <si>
    <t>02273879269</t>
  </si>
  <si>
    <t>GJC0625</t>
  </si>
  <si>
    <t>FKD4126</t>
  </si>
  <si>
    <t>ADONES JUNIOR GOMES</t>
  </si>
  <si>
    <t>37530391879</t>
  </si>
  <si>
    <t>04267085309</t>
  </si>
  <si>
    <t>DVS2010</t>
  </si>
  <si>
    <t>DVS1495</t>
  </si>
  <si>
    <t>AGNALDO IZIDRO DE SOUZA</t>
  </si>
  <si>
    <t>03300368820</t>
  </si>
  <si>
    <t>02281615982</t>
  </si>
  <si>
    <t>FVG8C38</t>
  </si>
  <si>
    <t>PRU2G60</t>
  </si>
  <si>
    <t>ALEXANDRE JOSE DOS SANTOS</t>
  </si>
  <si>
    <t>18724267864</t>
  </si>
  <si>
    <t>01919527190</t>
  </si>
  <si>
    <t>CZC3296</t>
  </si>
  <si>
    <t>ESU7272</t>
  </si>
  <si>
    <t>ALEXANDRO DOMINGUES ALVES</t>
  </si>
  <si>
    <t>34559117810</t>
  </si>
  <si>
    <t>04951446821</t>
  </si>
  <si>
    <t>DFT0E47</t>
  </si>
  <si>
    <t>BVT0E67</t>
  </si>
  <si>
    <t>ALMIR CARDOSO DOS SANTOS</t>
  </si>
  <si>
    <t>09776430856</t>
  </si>
  <si>
    <t>01258979905</t>
  </si>
  <si>
    <t>FUJ0D24</t>
  </si>
  <si>
    <t>DPC8864</t>
  </si>
  <si>
    <t>BWF7577</t>
  </si>
  <si>
    <t>ANTONIO CARLOS DA SILVA JUNIOR</t>
  </si>
  <si>
    <t>12126370895</t>
  </si>
  <si>
    <t>02988821539</t>
  </si>
  <si>
    <t>GKF5F47</t>
  </si>
  <si>
    <t>ECM0G55</t>
  </si>
  <si>
    <t>AZARIAS OLIVEIRA MACIEL</t>
  </si>
  <si>
    <t>08839540873</t>
  </si>
  <si>
    <t>02853512232</t>
  </si>
  <si>
    <t>GQF0J16</t>
  </si>
  <si>
    <t>DAO7B52</t>
  </si>
  <si>
    <t>CICERO JOSE PINHEIRO</t>
  </si>
  <si>
    <t>20074409549</t>
  </si>
  <si>
    <t>01098533717</t>
  </si>
  <si>
    <t>NXS7H21</t>
  </si>
  <si>
    <t>HEH6I53</t>
  </si>
  <si>
    <t>DANIEL ALVES DAVID</t>
  </si>
  <si>
    <t>92922252604</t>
  </si>
  <si>
    <t>00880375606</t>
  </si>
  <si>
    <t>CUB3G64</t>
  </si>
  <si>
    <t>BWU8E73</t>
  </si>
  <si>
    <t>BWY3H61</t>
  </si>
  <si>
    <t>DAVI GERALDO STECCA JUNIOR</t>
  </si>
  <si>
    <t>26089774804</t>
  </si>
  <si>
    <t>02049345755</t>
  </si>
  <si>
    <t>ECM3H30</t>
  </si>
  <si>
    <t>DBM7A33</t>
  </si>
  <si>
    <t>DOMINGOS CRAMOLISK</t>
  </si>
  <si>
    <t>16951438846</t>
  </si>
  <si>
    <t>01893213302</t>
  </si>
  <si>
    <t>FGD8G49</t>
  </si>
  <si>
    <t>GILVAN LAURENTINO DA SILVA</t>
  </si>
  <si>
    <t>92693377404</t>
  </si>
  <si>
    <t>02954783990</t>
  </si>
  <si>
    <t>FRG7C59</t>
  </si>
  <si>
    <t>EWJ4J85</t>
  </si>
  <si>
    <t>EDUARDO ALEXANDRE SALES DE CASTRO</t>
  </si>
  <si>
    <t>32311594826</t>
  </si>
  <si>
    <t>HIA4C87</t>
  </si>
  <si>
    <t>BSF4963</t>
  </si>
  <si>
    <t>ERCIO MAGNER DE OLIVEIRA</t>
  </si>
  <si>
    <t>13676500890</t>
  </si>
  <si>
    <t>02966642107</t>
  </si>
  <si>
    <t>NGF1065</t>
  </si>
  <si>
    <t>GLY1431</t>
  </si>
  <si>
    <t>GSH7270</t>
  </si>
  <si>
    <t>ERIVALDO DE SOUZA MASCARENHAS</t>
  </si>
  <si>
    <t>15921106810</t>
  </si>
  <si>
    <t>02351127968</t>
  </si>
  <si>
    <t>DVS9G77</t>
  </si>
  <si>
    <t>DPE7C55</t>
  </si>
  <si>
    <t>FABIO COSTA DA SILVA</t>
  </si>
  <si>
    <t>00097734527</t>
  </si>
  <si>
    <t>03148346870</t>
  </si>
  <si>
    <t>FZF3E97</t>
  </si>
  <si>
    <t>FXU8J10</t>
  </si>
  <si>
    <t>FABIO DARIO RODRIGUES</t>
  </si>
  <si>
    <t>26283419801</t>
  </si>
  <si>
    <t>02002046946</t>
  </si>
  <si>
    <t>EJZ7J81</t>
  </si>
  <si>
    <t>GRG3447</t>
  </si>
  <si>
    <t>FAULLER GABRIEL MODESTO</t>
  </si>
  <si>
    <t>41475455801</t>
  </si>
  <si>
    <t>06144560936</t>
  </si>
  <si>
    <t>BXD2J87</t>
  </si>
  <si>
    <t>GILMAR DIOGO</t>
  </si>
  <si>
    <t>11456571842</t>
  </si>
  <si>
    <t>04307254422</t>
  </si>
  <si>
    <t>GFL7E87</t>
  </si>
  <si>
    <t>GIK5H08</t>
  </si>
  <si>
    <t>JEFFERSON BATISTA ARISTIDES</t>
  </si>
  <si>
    <t>34927982840</t>
  </si>
  <si>
    <t>03500129879</t>
  </si>
  <si>
    <t>DTB9J13</t>
  </si>
  <si>
    <t>BXE2B57</t>
  </si>
  <si>
    <t>JOSE EDNILSON DOS SANTOS</t>
  </si>
  <si>
    <t>HGJ7489</t>
  </si>
  <si>
    <t>KMJ3684</t>
  </si>
  <si>
    <t>JOSE MARIA DE MORAIS</t>
  </si>
  <si>
    <t>04859371828</t>
  </si>
  <si>
    <t>02957983561</t>
  </si>
  <si>
    <t>CUA6604</t>
  </si>
  <si>
    <t>MIG0A93</t>
  </si>
  <si>
    <t>LEANDRO HENRIQUE TOBIAS DOS SANTOS</t>
  </si>
  <si>
    <t>34597330801</t>
  </si>
  <si>
    <t>03565076543</t>
  </si>
  <si>
    <t>BWJ1651</t>
  </si>
  <si>
    <t>X</t>
  </si>
  <si>
    <t>LUIZ FERNANDO QUIRINO</t>
  </si>
  <si>
    <t>16235741880</t>
  </si>
  <si>
    <t>03876277087</t>
  </si>
  <si>
    <t>HIJ5066</t>
  </si>
  <si>
    <t>CPN9873</t>
  </si>
  <si>
    <t>MARCELO EPIFANIO DE PAIVA</t>
  </si>
  <si>
    <t>04027359607</t>
  </si>
  <si>
    <t>01101627970</t>
  </si>
  <si>
    <t>CPN9874</t>
  </si>
  <si>
    <t>DAF1630</t>
  </si>
  <si>
    <t>BXP3I67</t>
  </si>
  <si>
    <t>MARCOS AURELIO PAGLIUSO</t>
  </si>
  <si>
    <t>0746293899</t>
  </si>
  <si>
    <t>01355777261</t>
  </si>
  <si>
    <t>DTB7A34</t>
  </si>
  <si>
    <t>ABR8E82</t>
  </si>
  <si>
    <t>MARCOS NUNES DE OLIVEIRA</t>
  </si>
  <si>
    <t>01849561885</t>
  </si>
  <si>
    <t>02056740063</t>
  </si>
  <si>
    <t>FRW4263</t>
  </si>
  <si>
    <t>EVO1I91</t>
  </si>
  <si>
    <t>MARIO CARLOS DAVID</t>
  </si>
  <si>
    <t>04265938639</t>
  </si>
  <si>
    <t>HJG6631</t>
  </si>
  <si>
    <t>FQE9I91</t>
  </si>
  <si>
    <t>DPB9J85</t>
  </si>
  <si>
    <t>MARCO ANTONIO LOBATO CASTILHO</t>
  </si>
  <si>
    <t>05753633803</t>
  </si>
  <si>
    <t>01922497849</t>
  </si>
  <si>
    <t>FSI0I03</t>
  </si>
  <si>
    <t>EMERSON PEREIRA DA SILVA</t>
  </si>
  <si>
    <t>09803034863</t>
  </si>
  <si>
    <t>01484565209</t>
  </si>
  <si>
    <t>EJZ7883</t>
  </si>
  <si>
    <t>DBB8430</t>
  </si>
  <si>
    <t>NOEL MODESTO</t>
  </si>
  <si>
    <t>09466513885</t>
  </si>
  <si>
    <t>03235974703</t>
  </si>
  <si>
    <t>GYS5J88</t>
  </si>
  <si>
    <t>BWT8642</t>
  </si>
  <si>
    <t>OSMAR ELIAS DA SILVA</t>
  </si>
  <si>
    <t>09799016850</t>
  </si>
  <si>
    <t>03471780743</t>
  </si>
  <si>
    <t>ECM3D70</t>
  </si>
  <si>
    <t>OML0247</t>
  </si>
  <si>
    <t>RAFAEL SOUZA FIUZA</t>
  </si>
  <si>
    <t>31043400800</t>
  </si>
  <si>
    <t>02424219280</t>
  </si>
  <si>
    <t>CUT8I08</t>
  </si>
  <si>
    <t>REGINALDO FERREIRA DA SILVA</t>
  </si>
  <si>
    <t>07001077895</t>
  </si>
  <si>
    <t>04473375949</t>
  </si>
  <si>
    <t>DVT6D42</t>
  </si>
  <si>
    <t>CYB6H56</t>
  </si>
  <si>
    <t>ROBERTO RONALD SANTOS</t>
  </si>
  <si>
    <t>04640435232</t>
  </si>
  <si>
    <t>EIL0892</t>
  </si>
  <si>
    <t>CXA9B85</t>
  </si>
  <si>
    <t>ROVILSON DA SILVA</t>
  </si>
  <si>
    <t>77061209615</t>
  </si>
  <si>
    <t>00604434075</t>
  </si>
  <si>
    <t>JZR1D16</t>
  </si>
  <si>
    <t>MXO7I00</t>
  </si>
  <si>
    <t>SAMUEL ROCHA DE OLIVEIRA</t>
  </si>
  <si>
    <t>47240442845</t>
  </si>
  <si>
    <t>06855781375</t>
  </si>
  <si>
    <t>BSF3577</t>
  </si>
  <si>
    <t>DPC0999</t>
  </si>
  <si>
    <t>TIAGO DA SILVA FARIAS</t>
  </si>
  <si>
    <t>38529612892</t>
  </si>
  <si>
    <t>05021398574</t>
  </si>
  <si>
    <t>GXH0876</t>
  </si>
  <si>
    <t>CPJ5404</t>
  </si>
  <si>
    <t>WILLIAN DONIZETE RIBEIRO</t>
  </si>
  <si>
    <t>05556926638</t>
  </si>
  <si>
    <t>02190719384</t>
  </si>
  <si>
    <t>CZX3807</t>
  </si>
  <si>
    <t>WILSON FLAVIO ALVES DA SILVA</t>
  </si>
  <si>
    <t>10395859816</t>
  </si>
  <si>
    <t>01965794851</t>
  </si>
  <si>
    <t>AGEILSON ANTONIO DA SILVA</t>
  </si>
  <si>
    <t>09085263425</t>
  </si>
  <si>
    <t>04557705505</t>
  </si>
  <si>
    <t>DPB9G64</t>
  </si>
  <si>
    <t>DDL8B54</t>
  </si>
  <si>
    <t>FEI4012</t>
  </si>
  <si>
    <t>WILTON SILVA BARBOSA</t>
  </si>
  <si>
    <t>38029906846</t>
  </si>
  <si>
    <t>04946846842</t>
  </si>
  <si>
    <t>PAGAMENTO DE FRETE</t>
  </si>
  <si>
    <t>COMPOSIÇÃO DO FRETE</t>
  </si>
  <si>
    <t>PROGRAMAÇÃO CLIENTE</t>
  </si>
  <si>
    <t>CLIENTE</t>
  </si>
  <si>
    <t>CIDADE</t>
  </si>
  <si>
    <t>REFERÊNCIA</t>
  </si>
  <si>
    <t>DI / BOOKING</t>
  </si>
  <si>
    <t>CONTEINER</t>
  </si>
  <si>
    <t>TIPO</t>
  </si>
  <si>
    <t>TARA</t>
  </si>
  <si>
    <t>LACRE</t>
  </si>
  <si>
    <t>PESO</t>
  </si>
  <si>
    <t>VGM</t>
  </si>
  <si>
    <t>NOTA FISCAL</t>
  </si>
  <si>
    <t>NAVIO</t>
  </si>
  <si>
    <t>RETIRADA VAZIO / CHEIO</t>
  </si>
  <si>
    <t>DATA DE RETIRADA</t>
  </si>
  <si>
    <t>CHEGADA NO CLIENTE</t>
  </si>
  <si>
    <t>SAÍDA DO CLIENTE</t>
  </si>
  <si>
    <t>ENTREGA VAZIO / CHEIO</t>
  </si>
  <si>
    <t>DATA DE ENTREGA</t>
  </si>
  <si>
    <t>OPENING</t>
  </si>
  <si>
    <t>DRAFT</t>
  </si>
  <si>
    <t>DEAD LINE</t>
  </si>
  <si>
    <t>POD</t>
  </si>
  <si>
    <t>CTe</t>
  </si>
  <si>
    <t>OC</t>
  </si>
  <si>
    <t>OS</t>
  </si>
  <si>
    <t>OCORRÊNCIAS</t>
  </si>
  <si>
    <t>TERM. PRE STACKING</t>
  </si>
  <si>
    <t>DATA DE ARMAZ.</t>
  </si>
  <si>
    <t>PERÍODO</t>
  </si>
  <si>
    <t>VLR PRE STACKING</t>
  </si>
  <si>
    <t>TERM. ARMAZ. VAZIOS</t>
  </si>
  <si>
    <t>VLR ARMAZ. VAZIO</t>
  </si>
  <si>
    <t>ADIANTAMENTO</t>
  </si>
  <si>
    <t>SALDO</t>
  </si>
  <si>
    <t>MARGEM</t>
  </si>
  <si>
    <t>TOTAL</t>
  </si>
  <si>
    <t>ESTADIA</t>
  </si>
  <si>
    <t>Total CTe</t>
  </si>
  <si>
    <t>FRETE PESO</t>
  </si>
  <si>
    <t>VLR NF</t>
  </si>
  <si>
    <t>Pedágio</t>
  </si>
  <si>
    <t>Taxa LS</t>
  </si>
  <si>
    <t>Taxa IMO</t>
  </si>
  <si>
    <t>Seguro</t>
  </si>
  <si>
    <t>ICMS</t>
  </si>
  <si>
    <t>Outros</t>
  </si>
  <si>
    <t>Retirada</t>
  </si>
  <si>
    <t>Entrega</t>
  </si>
  <si>
    <t>FATURADO</t>
  </si>
  <si>
    <t>REDE</t>
  </si>
  <si>
    <t>SISTEMA</t>
  </si>
  <si>
    <t>RETIRADA DO VAZIO</t>
  </si>
  <si>
    <t>Ad-valorem</t>
  </si>
  <si>
    <t>Gris</t>
  </si>
  <si>
    <t>Taxa DTA</t>
  </si>
  <si>
    <t>STATUS</t>
  </si>
  <si>
    <t>AVISO</t>
  </si>
  <si>
    <t>AVISOS</t>
  </si>
  <si>
    <t>IMP. FEDERAIS</t>
  </si>
  <si>
    <t>Ad-valoem</t>
  </si>
  <si>
    <t>GRIS</t>
  </si>
  <si>
    <t>TAXA DTA</t>
  </si>
  <si>
    <t>Vlr. Estadia</t>
  </si>
  <si>
    <t>MÊS</t>
  </si>
  <si>
    <t>ANO</t>
  </si>
  <si>
    <t>AMBAR</t>
  </si>
  <si>
    <t>SÃO CARLOS-SP</t>
  </si>
  <si>
    <t>CXPMAO244/22</t>
  </si>
  <si>
    <t>LA0233385</t>
  </si>
  <si>
    <t>CAIU3399093</t>
  </si>
  <si>
    <t>20DC</t>
  </si>
  <si>
    <t>MERCOSUL SUAPE  299N</t>
  </si>
  <si>
    <t>CPG7002</t>
  </si>
  <si>
    <t>JUVERCI COSTA OLIVEIRA</t>
  </si>
  <si>
    <t>TRANSTEC SANTOS</t>
  </si>
  <si>
    <t>DPW</t>
  </si>
  <si>
    <t>MANAUS</t>
  </si>
  <si>
    <t>NÃO</t>
  </si>
  <si>
    <t>FEV</t>
  </si>
  <si>
    <t>SELMI</t>
  </si>
  <si>
    <t>SUMARÉ-SP</t>
  </si>
  <si>
    <t>2414/22</t>
  </si>
  <si>
    <t>MRKU3521367</t>
  </si>
  <si>
    <t>40HC</t>
  </si>
  <si>
    <t>MLBR2173524</t>
  </si>
  <si>
    <t>CAP SAN ARTEMISSIO  205N</t>
  </si>
  <si>
    <t>LTJ1526</t>
  </si>
  <si>
    <t>FASSINA GUARUJA</t>
  </si>
  <si>
    <t>SANTOS BRASIL</t>
  </si>
  <si>
    <t>07/02/2022 12:00</t>
  </si>
  <si>
    <t>LUANDA</t>
  </si>
  <si>
    <t>EMBRACONT</t>
  </si>
  <si>
    <t>UESU4557100</t>
  </si>
  <si>
    <t>MLBR2173538</t>
  </si>
  <si>
    <t>DPB9664</t>
  </si>
  <si>
    <t>VALDENIR GOMES SOARES</t>
  </si>
  <si>
    <t>01193621064</t>
  </si>
  <si>
    <t>HASU4890110</t>
  </si>
  <si>
    <t>MLBR2173526</t>
  </si>
  <si>
    <t>11464 </t>
  </si>
  <si>
    <t>MRSU3898820</t>
  </si>
  <si>
    <t>MLBR2360691</t>
  </si>
  <si>
    <t>09799016851</t>
  </si>
  <si>
    <t>SUDU8826066</t>
  </si>
  <si>
    <t>MLBR2360667</t>
  </si>
  <si>
    <t>BXM9J13</t>
  </si>
  <si>
    <t>BUS0A94</t>
  </si>
  <si>
    <t>WENDEL DA SILVA SANTOS</t>
  </si>
  <si>
    <t>05329504475</t>
  </si>
  <si>
    <t>TEMU7337832 </t>
  </si>
  <si>
    <t>MLBR2360789</t>
  </si>
  <si>
    <t>ALEX APARECIDO RODRIGUES</t>
  </si>
  <si>
    <t>03266439704</t>
  </si>
  <si>
    <t>MSKU1593740</t>
  </si>
  <si>
    <t>MLBR2360616</t>
  </si>
  <si>
    <t>00920373596</t>
  </si>
  <si>
    <t>MRKU5176341</t>
  </si>
  <si>
    <t>MLBR2404600</t>
  </si>
  <si>
    <t>11542 / 11586</t>
  </si>
  <si>
    <t>TCKU6133608</t>
  </si>
  <si>
    <t>MLBR2360724</t>
  </si>
  <si>
    <t>BUX6221</t>
  </si>
  <si>
    <t>BUX6872</t>
  </si>
  <si>
    <t>DIEGO APARECIDO VALERIANO</t>
  </si>
  <si>
    <t>02431429080</t>
  </si>
  <si>
    <t>TGBU6757770</t>
  </si>
  <si>
    <t>MLBR2409601</t>
  </si>
  <si>
    <t>KQX1113</t>
  </si>
  <si>
    <t>KFB4712</t>
  </si>
  <si>
    <t>JIRLAN DOS SANTOS PEREIRA</t>
  </si>
  <si>
    <t>03832448426</t>
  </si>
  <si>
    <t>11543 / 11587</t>
  </si>
  <si>
    <t>MRSU4382910</t>
  </si>
  <si>
    <t>MLBR2360113</t>
  </si>
  <si>
    <t>ALGECIRAS</t>
  </si>
  <si>
    <t>DEXCO</t>
  </si>
  <si>
    <t>ITAPETININGA-SP</t>
  </si>
  <si>
    <t>MIEU0041940</t>
  </si>
  <si>
    <t>MLBR2360060</t>
  </si>
  <si>
    <t>HASU4994665</t>
  </si>
  <si>
    <t>MLBR2360061</t>
  </si>
  <si>
    <t>MRKU4885738</t>
  </si>
  <si>
    <t>MLBR2360065</t>
  </si>
  <si>
    <t>HLXU8209940</t>
  </si>
  <si>
    <t>HLG0267915</t>
  </si>
  <si>
    <t>DUBLIN EXPRESS  205N</t>
  </si>
  <si>
    <t>CHARLESTON</t>
  </si>
  <si>
    <t>CAIU8553658</t>
  </si>
  <si>
    <t>HLG0236702</t>
  </si>
  <si>
    <t>DAO9J03</t>
  </si>
  <si>
    <t>FOC9I07</t>
  </si>
  <si>
    <t>CARLOS ROBERTO BENITE</t>
  </si>
  <si>
    <t>17927450875</t>
  </si>
  <si>
    <t>02770576505</t>
  </si>
  <si>
    <t>c11601 / 11634</t>
  </si>
  <si>
    <t>TLLU5240675</t>
  </si>
  <si>
    <t>HLG0236711</t>
  </si>
  <si>
    <t>ECM0833</t>
  </si>
  <si>
    <t>GKH0H94</t>
  </si>
  <si>
    <t>MARCELO ELDER DOS SANTOS GALHARDO</t>
  </si>
  <si>
    <t>31020634898</t>
  </si>
  <si>
    <t>01784587843</t>
  </si>
  <si>
    <t>HLBU3204893</t>
  </si>
  <si>
    <t>HLG0253880</t>
  </si>
  <si>
    <t> FCIU8440541</t>
  </si>
  <si>
    <t>HLG0267917 </t>
  </si>
  <si>
    <t> HLBU1887234</t>
  </si>
  <si>
    <t>HLG0267918 </t>
  </si>
  <si>
    <t>03595479067</t>
  </si>
  <si>
    <t> HLBU1922551</t>
  </si>
  <si>
    <t>HLG0267920 </t>
  </si>
  <si>
    <t>SAOC02026800</t>
  </si>
  <si>
    <t>ONEU0199455</t>
  </si>
  <si>
    <t>LAA684020</t>
  </si>
  <si>
    <t>TIRUA  2201N</t>
  </si>
  <si>
    <t>EMBNEWS</t>
  </si>
  <si>
    <t>TRHU5190962</t>
  </si>
  <si>
    <t>LAA684095</t>
  </si>
  <si>
    <t>BEAU5323282</t>
  </si>
  <si>
    <t>LAA684012</t>
  </si>
  <si>
    <t>KKFU8121795</t>
  </si>
  <si>
    <t>LAA684016</t>
  </si>
  <si>
    <t>JUNDIAÍ-SP</t>
  </si>
  <si>
    <t>241ISZ1984191</t>
  </si>
  <si>
    <t>TEMU5320759</t>
  </si>
  <si>
    <t>FJ12437044</t>
  </si>
  <si>
    <t>3579056 / 3579057</t>
  </si>
  <si>
    <t>MSC PALAK  NA206R</t>
  </si>
  <si>
    <t>KSV6606</t>
  </si>
  <si>
    <t>IGOR DOS SANTOS CAPALDI</t>
  </si>
  <si>
    <t>01469569410</t>
  </si>
  <si>
    <t>FASSINA SANTOS</t>
  </si>
  <si>
    <t>BTP</t>
  </si>
  <si>
    <t>NHAVA SHEVA</t>
  </si>
  <si>
    <t>BMOU6537832</t>
  </si>
  <si>
    <t>HLG0239811</t>
  </si>
  <si>
    <t>BUD6G02</t>
  </si>
  <si>
    <t>GGQ7H19</t>
  </si>
  <si>
    <t>ANDRE PAIVA DE OLIVEIRA</t>
  </si>
  <si>
    <t>03020591085</t>
  </si>
  <si>
    <t>CARTAGENA</t>
  </si>
  <si>
    <t>M6</t>
  </si>
  <si>
    <t>HLBU2082996</t>
  </si>
  <si>
    <t>HLG0198752</t>
  </si>
  <si>
    <t>BYF4B66</t>
  </si>
  <si>
    <t>ADP5604</t>
  </si>
  <si>
    <t>MARCELO CARVALHO DE MORAES</t>
  </si>
  <si>
    <t>00867668095</t>
  </si>
  <si>
    <t>GESU5923875</t>
  </si>
  <si>
    <t>HLG0198843</t>
  </si>
  <si>
    <t>CUE5E13</t>
  </si>
  <si>
    <t>DPF1E30</t>
  </si>
  <si>
    <t>EDIMILSON SOARES BARBOSA JUNIOR</t>
  </si>
  <si>
    <t>03433747292</t>
  </si>
  <si>
    <t>HLXU8571965</t>
  </si>
  <si>
    <t>HLG0236721</t>
  </si>
  <si>
    <t>HLBU2550802</t>
  </si>
  <si>
    <t>HLG0198995</t>
  </si>
  <si>
    <t>HLBU3332868</t>
  </si>
  <si>
    <t>HLG0198949</t>
  </si>
  <si>
    <t>FROTA</t>
  </si>
  <si>
    <t>HLXU8149651</t>
  </si>
  <si>
    <t>HLG0198852</t>
  </si>
  <si>
    <t>TCLU5174929</t>
  </si>
  <si>
    <t>HLG0198767</t>
  </si>
  <si>
    <t>TCLU8793022</t>
  </si>
  <si>
    <t>HLG0198762</t>
  </si>
  <si>
    <t>NILSON LAMAS DUARTE</t>
  </si>
  <si>
    <t>03044953484</t>
  </si>
  <si>
    <t>FDCU0317166</t>
  </si>
  <si>
    <t>HLG0198907</t>
  </si>
  <si>
    <t>PARANÁ GRANITOS</t>
  </si>
  <si>
    <t>SANTA RITA DE CALDAS-MG</t>
  </si>
  <si>
    <t>09/02/2022 12:00</t>
  </si>
  <si>
    <t>PORT EVERGLADES</t>
  </si>
  <si>
    <t>JAN</t>
  </si>
  <si>
    <t>MONTE OLIVIA  206N</t>
  </si>
  <si>
    <t>14/02/2022 12:00</t>
  </si>
  <si>
    <t>FROOTY</t>
  </si>
  <si>
    <t>POÇOS DE CALDAS-MG</t>
  </si>
  <si>
    <t>CRLU7268871</t>
  </si>
  <si>
    <t>40HR</t>
  </si>
  <si>
    <t>HLG0236096</t>
  </si>
  <si>
    <t>241ISZ2008157</t>
  </si>
  <si>
    <t>MSMU5004999</t>
  </si>
  <si>
    <t>FJ12464019</t>
  </si>
  <si>
    <t>TUCAPEL  2202N</t>
  </si>
  <si>
    <t>EQM2D11</t>
  </si>
  <si>
    <t>BMF7A89</t>
  </si>
  <si>
    <t>RODRIGO DE ARAUJO</t>
  </si>
  <si>
    <t>01961395957</t>
  </si>
  <si>
    <t>MEDLOG</t>
  </si>
  <si>
    <t>OZIRIS</t>
  </si>
  <si>
    <t>DFSU7583454</t>
  </si>
  <si>
    <t>FJ12464062</t>
  </si>
  <si>
    <t>BOB7E91</t>
  </si>
  <si>
    <t>EZJ2F02</t>
  </si>
  <si>
    <t>VANDERLEI ALVES JUNIOR</t>
  </si>
  <si>
    <t>06894612838</t>
  </si>
  <si>
    <t>TRHU5045075</t>
  </si>
  <si>
    <t>FJ12464039</t>
  </si>
  <si>
    <t>EXU6582</t>
  </si>
  <si>
    <t>MSMU7090933</t>
  </si>
  <si>
    <t>FJ12464066</t>
  </si>
  <si>
    <t>FEI5A34</t>
  </si>
  <si>
    <t>BYQ6F61</t>
  </si>
  <si>
    <t>FERNANDO ROBERTO TELLES DO NASCIMENTO</t>
  </si>
  <si>
    <t>26707832875</t>
  </si>
  <si>
    <t>02401338426</t>
  </si>
  <si>
    <t>19/02/202217:04</t>
  </si>
  <si>
    <t>MSMU6078907</t>
  </si>
  <si>
    <t>FJ12463364</t>
  </si>
  <si>
    <t>MSMU6079415</t>
  </si>
  <si>
    <t>FJ12463363</t>
  </si>
  <si>
    <t>MSMU6089809</t>
  </si>
  <si>
    <t>FJ12462426</t>
  </si>
  <si>
    <t>MSMU7322710</t>
  </si>
  <si>
    <t>FJ12464081</t>
  </si>
  <si>
    <t>GDN6133</t>
  </si>
  <si>
    <t>EXC4250</t>
  </si>
  <si>
    <t>FAGNER CRISTIANO GONÇALVES CARPINE</t>
  </si>
  <si>
    <t>41139173880</t>
  </si>
  <si>
    <t>04990400558</t>
  </si>
  <si>
    <t>CAIU7577378</t>
  </si>
  <si>
    <t>FJ12464089</t>
  </si>
  <si>
    <t>MGZ2579</t>
  </si>
  <si>
    <t>GIU4069</t>
  </si>
  <si>
    <t>ROGERIO DOS SANTOS NUNES</t>
  </si>
  <si>
    <t>31267374802</t>
  </si>
  <si>
    <t>03572178750</t>
  </si>
  <si>
    <t>TLLU5139926</t>
  </si>
  <si>
    <t>FJ12462468</t>
  </si>
  <si>
    <t>FDZ3D30</t>
  </si>
  <si>
    <t>FRK9F86</t>
  </si>
  <si>
    <t>JAILTON RIBEIRO DE SOUZA</t>
  </si>
  <si>
    <t>09793087803</t>
  </si>
  <si>
    <t>04196969208</t>
  </si>
  <si>
    <t>BLAZE</t>
  </si>
  <si>
    <t>CABO FRIO-RJ</t>
  </si>
  <si>
    <t>34/22</t>
  </si>
  <si>
    <t>SAOA05998500</t>
  </si>
  <si>
    <t>HDMU5505255</t>
  </si>
  <si>
    <t>HYUNDAI PLATINIUM  0077E</t>
  </si>
  <si>
    <t>TRANSTEC GUARUJA</t>
  </si>
  <si>
    <t>BUSAN</t>
  </si>
  <si>
    <t>VIA SANTOS</t>
  </si>
  <si>
    <t>SOGEFI</t>
  </si>
  <si>
    <t>JARINU-SP</t>
  </si>
  <si>
    <t>DEPOTCE</t>
  </si>
  <si>
    <t>NEWARK</t>
  </si>
  <si>
    <t>6F DECORAÇÕES</t>
  </si>
  <si>
    <t>COTIA-SP</t>
  </si>
  <si>
    <t xml:space="preserve">SSZ19572 </t>
  </si>
  <si>
    <t>22/0293292-4</t>
  </si>
  <si>
    <t>FCIU4098180</t>
  </si>
  <si>
    <t>MAERSK LABERINTO</t>
  </si>
  <si>
    <t>28540113848</t>
  </si>
  <si>
    <t>00709532945</t>
  </si>
  <si>
    <t>LOCAL FRIO</t>
  </si>
  <si>
    <t>LECHMAN</t>
  </si>
  <si>
    <t> TEMU7054920</t>
  </si>
  <si>
    <t>MLBR2379044</t>
  </si>
  <si>
    <t>LODUR  208E</t>
  </si>
  <si>
    <t>CAPETOWN</t>
  </si>
  <si>
    <t> SUDU6985937</t>
  </si>
  <si>
    <t>MLBR2379049</t>
  </si>
  <si>
    <t>26893292805</t>
  </si>
  <si>
    <t> MRKU6036874</t>
  </si>
  <si>
    <t>MLBR2379017</t>
  </si>
  <si>
    <t>EVO2882</t>
  </si>
  <si>
    <t>BYB8808</t>
  </si>
  <si>
    <t>GUSTAVO DOS SANTOS TAGAMI</t>
  </si>
  <si>
    <t>39163958821</t>
  </si>
  <si>
    <t>04091193953</t>
  </si>
  <si>
    <t> MRKU6019901</t>
  </si>
  <si>
    <t>MLBR2379087</t>
  </si>
  <si>
    <t> MRKU2997404</t>
  </si>
  <si>
    <t>MLBR2378898 </t>
  </si>
  <si>
    <t>01396847610</t>
  </si>
  <si>
    <t> MSKU0247444</t>
  </si>
  <si>
    <t>MLBR2378897</t>
  </si>
  <si>
    <t>ETU7197</t>
  </si>
  <si>
    <t>FPP1E52</t>
  </si>
  <si>
    <t>CARLOS VAGNER BRINGUENTI</t>
  </si>
  <si>
    <t>26153301878</t>
  </si>
  <si>
    <t>01209919913</t>
  </si>
  <si>
    <t>MRKU2988803</t>
  </si>
  <si>
    <t>MLBR2379021</t>
  </si>
  <si>
    <t>CAAU5262039</t>
  </si>
  <si>
    <t>MLBR2379046</t>
  </si>
  <si>
    <t>23/02/2022 1100</t>
  </si>
  <si>
    <t>MRKU2021650</t>
  </si>
  <si>
    <t>MLBR2401643</t>
  </si>
  <si>
    <t>FOL0B81</t>
  </si>
  <si>
    <t>FYL8A15</t>
  </si>
  <si>
    <t>MARIVALDO SANTOS DA SILVA</t>
  </si>
  <si>
    <t>02320807470</t>
  </si>
  <si>
    <t>00172259567</t>
  </si>
  <si>
    <t>MRKU4289662</t>
  </si>
  <si>
    <t>MLBR2379022</t>
  </si>
  <si>
    <t>DAF1832</t>
  </si>
  <si>
    <t>ENE1003</t>
  </si>
  <si>
    <t>JOSE FRANCISCO TEIXEIRA JUNIOR</t>
  </si>
  <si>
    <t>33789378828</t>
  </si>
  <si>
    <t>02814273782</t>
  </si>
  <si>
    <t>HLXU3383482</t>
  </si>
  <si>
    <t>HLG0253005</t>
  </si>
  <si>
    <t>POLAR CHILE  208W</t>
  </si>
  <si>
    <t>CALLAO</t>
  </si>
  <si>
    <t>x11708 / x11881 / 11923</t>
  </si>
  <si>
    <t>TCKU7625963</t>
  </si>
  <si>
    <t>MLBR2378896</t>
  </si>
  <si>
    <t>DURBAN</t>
  </si>
  <si>
    <t> HASU4971700</t>
  </si>
  <si>
    <t> MLBR2379041</t>
  </si>
  <si>
    <t>FFI3850</t>
  </si>
  <si>
    <t>GII1F36</t>
  </si>
  <si>
    <t>CLAUDIONOR DONIZETE PISTORI</t>
  </si>
  <si>
    <t>13707953866</t>
  </si>
  <si>
    <t>03288979252</t>
  </si>
  <si>
    <t>PONU7449200</t>
  </si>
  <si>
    <t>MLBR2378806</t>
  </si>
  <si>
    <t>MRKU6418795</t>
  </si>
  <si>
    <t>MLBR2379036</t>
  </si>
  <si>
    <t>DOCE VIDA</t>
  </si>
  <si>
    <t>ANÁPOLIS - GO</t>
  </si>
  <si>
    <t>MONTE ALEGRE  207N</t>
  </si>
  <si>
    <t>NEW YORK</t>
  </si>
  <si>
    <t>0002|2022</t>
  </si>
  <si>
    <t>SUDU7622772</t>
  </si>
  <si>
    <t>MLBR2434967</t>
  </si>
  <si>
    <t>RETIRADA ANTECIPADA VZ</t>
  </si>
  <si>
    <t>MALU</t>
  </si>
  <si>
    <t>0001|2022</t>
  </si>
  <si>
    <t>TGHU1609940</t>
  </si>
  <si>
    <t>MLBR2434968</t>
  </si>
  <si>
    <t>CSNU7431150</t>
  </si>
  <si>
    <t>EXPRESS FRANCE  013N</t>
  </si>
  <si>
    <t>KINGSTON</t>
  </si>
  <si>
    <t>TGBU5026235</t>
  </si>
  <si>
    <t>30092217893</t>
  </si>
  <si>
    <t>CCLU7253208</t>
  </si>
  <si>
    <t>2SSZ013197</t>
  </si>
  <si>
    <t>PONU0463356</t>
  </si>
  <si>
    <t>MLBR2379910</t>
  </si>
  <si>
    <t>TEMPANOS  2203 N</t>
  </si>
  <si>
    <t>ALTAMIRA</t>
  </si>
  <si>
    <t>x11786 / x11883 / 11922</t>
  </si>
  <si>
    <t>TCNU8198201</t>
  </si>
  <si>
    <t>LT0977192</t>
  </si>
  <si>
    <t>MSC CATERINA  NA208R</t>
  </si>
  <si>
    <t>TCLU5693415</t>
  </si>
  <si>
    <t>LT0977242</t>
  </si>
  <si>
    <t>HLBU1158839</t>
  </si>
  <si>
    <t>LT0978923</t>
  </si>
  <si>
    <t>HLBU2551901</t>
  </si>
  <si>
    <t>LT0978753</t>
  </si>
  <si>
    <t>ZIMUSNT8060164</t>
  </si>
  <si>
    <t>TEMU6764613</t>
  </si>
  <si>
    <t>ZZZS925134</t>
  </si>
  <si>
    <t>MAERSK YANGTZE  209N</t>
  </si>
  <si>
    <t>DEPOTAINER</t>
  </si>
  <si>
    <t>25/022022 00:00</t>
  </si>
  <si>
    <t>RETIRADA ANTECIPADA VZ SANDRO</t>
  </si>
  <si>
    <t>SEGU5285327</t>
  </si>
  <si>
    <t>ZZZS925091</t>
  </si>
  <si>
    <t>BSIU9690028</t>
  </si>
  <si>
    <t>ZZZS925082</t>
  </si>
  <si>
    <t>TEMU7734228</t>
  </si>
  <si>
    <t>ZZZS925090</t>
  </si>
  <si>
    <t>TCNU2299093</t>
  </si>
  <si>
    <t>ZZZS925098</t>
  </si>
  <si>
    <t>TEMU8176429</t>
  </si>
  <si>
    <t>EXPRESS FRANCE  0GBB8N1MA-NB</t>
  </si>
  <si>
    <t>PUERTO BARRIOS</t>
  </si>
  <si>
    <t>C11795 | 11900</t>
  </si>
  <si>
    <t>DFSU6633669</t>
  </si>
  <si>
    <t>HLG0291764</t>
  </si>
  <si>
    <t>TOLTEN  2204N</t>
  </si>
  <si>
    <t>VERACRUZ</t>
  </si>
  <si>
    <t>7632402 / 7632882</t>
  </si>
  <si>
    <t>SSZ1184528</t>
  </si>
  <si>
    <t>CMAU7454653</t>
  </si>
  <si>
    <t>H5858452</t>
  </si>
  <si>
    <t>1554636 / 3596827</t>
  </si>
  <si>
    <t>CMA CGM MALTA  0HK40N1MA</t>
  </si>
  <si>
    <t>PUERTO MOIN</t>
  </si>
  <si>
    <t>c11800 / 11945 / 11946</t>
  </si>
  <si>
    <t>R$530,00 (AJUSTE DE DUE)</t>
  </si>
  <si>
    <t>CXDU2075191</t>
  </si>
  <si>
    <t>HLG0290958</t>
  </si>
  <si>
    <t>MAR</t>
  </si>
  <si>
    <t>HLBU1085938</t>
  </si>
  <si>
    <t>HLG0290903</t>
  </si>
  <si>
    <t>UASC AL KHOR  NA207R</t>
  </si>
  <si>
    <t>FSCU7087640</t>
  </si>
  <si>
    <t>HLG0290953</t>
  </si>
  <si>
    <t>CAIU8417060</t>
  </si>
  <si>
    <t>HLG0290954</t>
  </si>
  <si>
    <t>ESU6244</t>
  </si>
  <si>
    <t>RFCU5026657</t>
  </si>
  <si>
    <t>HLG0290955</t>
  </si>
  <si>
    <t>NILO LAMAS DUARTE</t>
  </si>
  <si>
    <t>27013397822</t>
  </si>
  <si>
    <t>01256151048</t>
  </si>
  <si>
    <t>TCNU7129628</t>
  </si>
  <si>
    <t>HLG0290910</t>
  </si>
  <si>
    <t>TCNU8612158</t>
  </si>
  <si>
    <t>HLG0286730</t>
  </si>
  <si>
    <t>05/03/022 00:11</t>
  </si>
  <si>
    <t>TEMU7246136</t>
  </si>
  <si>
    <t>HLG0286729</t>
  </si>
  <si>
    <t>HAMU1174315</t>
  </si>
  <si>
    <t>HLG0286525</t>
  </si>
  <si>
    <t>TCNU7040464</t>
  </si>
  <si>
    <t>HLG0286678</t>
  </si>
  <si>
    <t>HLXU8608072</t>
  </si>
  <si>
    <t>HLG0286680</t>
  </si>
  <si>
    <t>ALCANCE</t>
  </si>
  <si>
    <t>SÃO PAULO-SP</t>
  </si>
  <si>
    <t>CXPSSZ240/22</t>
  </si>
  <si>
    <t>LA0233318</t>
  </si>
  <si>
    <t>CIPU5022606</t>
  </si>
  <si>
    <t>409 / 410 / 411 / 412 / 413 / 414 / 415 / 416</t>
  </si>
  <si>
    <t>MERCOSUL SANTOS 297S</t>
  </si>
  <si>
    <t>CPG3880</t>
  </si>
  <si>
    <t>JPU1579</t>
  </si>
  <si>
    <t>CLAUDIO MARCIO DE ANDRADE PASSOS</t>
  </si>
  <si>
    <t>16761474892</t>
  </si>
  <si>
    <t>01511773107</t>
  </si>
  <si>
    <t>SANTOS</t>
  </si>
  <si>
    <t>11452 / 11453 / 11454 / 11455 / 11456</t>
  </si>
  <si>
    <t>FCIU9078144</t>
  </si>
  <si>
    <t>MLBR2439380</t>
  </si>
  <si>
    <t>CMA CGM RIO GRANDE  0NSB8N1MA</t>
  </si>
  <si>
    <t>FSCU8431791</t>
  </si>
  <si>
    <t>LT0977450</t>
  </si>
  <si>
    <t>NORTHERN PRIORITY  209W</t>
  </si>
  <si>
    <t>GUAYAQUIL</t>
  </si>
  <si>
    <t>HLXU8347549</t>
  </si>
  <si>
    <t>HLG0267770</t>
  </si>
  <si>
    <t>FSCU7237884</t>
  </si>
  <si>
    <t>HLG0261341</t>
  </si>
  <si>
    <t>HLXU8193700</t>
  </si>
  <si>
    <t>LT0979408</t>
  </si>
  <si>
    <t>HLXU8569253</t>
  </si>
  <si>
    <t>HLG0267958</t>
  </si>
  <si>
    <t>CAAU5685072</t>
  </si>
  <si>
    <t>LT0979426</t>
  </si>
  <si>
    <t>FDCU0147650</t>
  </si>
  <si>
    <t>LT0977414</t>
  </si>
  <si>
    <t>CAIU9130795</t>
  </si>
  <si>
    <t>HLG0267956</t>
  </si>
  <si>
    <t>TGHU9582342</t>
  </si>
  <si>
    <t>HLG0267959</t>
  </si>
  <si>
    <t>TCNU3766839</t>
  </si>
  <si>
    <t>LT0979262</t>
  </si>
  <si>
    <t>MONTE CERVANTES  208N</t>
  </si>
  <si>
    <t>28/02/2022 12:00</t>
  </si>
  <si>
    <t>JUPARANÁ</t>
  </si>
  <si>
    <t>023/21  C</t>
  </si>
  <si>
    <t>CSLU1596319</t>
  </si>
  <si>
    <t>KURE  020E</t>
  </si>
  <si>
    <t>ATLANTIS SANTOS</t>
  </si>
  <si>
    <t>XIAMEN</t>
  </si>
  <si>
    <t>FCIU5069329</t>
  </si>
  <si>
    <t>JZR1316</t>
  </si>
  <si>
    <t>UETU2560388</t>
  </si>
  <si>
    <t>BSIU3114350</t>
  </si>
  <si>
    <t>OOLU1578428</t>
  </si>
  <si>
    <t>CSNU1686127</t>
  </si>
  <si>
    <t>CSLU1259914</t>
  </si>
  <si>
    <t>FBIU0375469</t>
  </si>
  <si>
    <t>BMOU1037921</t>
  </si>
  <si>
    <t>CSNU1834271</t>
  </si>
  <si>
    <t>TCKU3037051</t>
  </si>
  <si>
    <t>TEMU0159702</t>
  </si>
  <si>
    <t>CSLU2263992</t>
  </si>
  <si>
    <t>CSLU1070725</t>
  </si>
  <si>
    <t>2448/22</t>
  </si>
  <si>
    <t>TCNU8700731</t>
  </si>
  <si>
    <t>LT0979903</t>
  </si>
  <si>
    <t>POLONIA  2210E</t>
  </si>
  <si>
    <t>TRANSVAZIO</t>
  </si>
  <si>
    <t>BMOU5761616</t>
  </si>
  <si>
    <t>LT0977260</t>
  </si>
  <si>
    <t>TCLU8032506</t>
  </si>
  <si>
    <t>LT0977425</t>
  </si>
  <si>
    <t>10/03/202215:42</t>
  </si>
  <si>
    <t>MX-00.033-22</t>
  </si>
  <si>
    <t>SSZVER2164306V</t>
  </si>
  <si>
    <t>2 PALLETS</t>
  </si>
  <si>
    <t>119349 / 120184</t>
  </si>
  <si>
    <t>MSC MATILDE</t>
  </si>
  <si>
    <t>DEICMAR</t>
  </si>
  <si>
    <t>AGUDOS-SP</t>
  </si>
  <si>
    <t>CSNU6325240</t>
  </si>
  <si>
    <t>1395850 / 1395851</t>
  </si>
  <si>
    <t>HARIS  0HK44N1MA</t>
  </si>
  <si>
    <t>PORT OF SPAIN</t>
  </si>
  <si>
    <t>TCNU7562094</t>
  </si>
  <si>
    <t>MLBR2375719</t>
  </si>
  <si>
    <t>CAP SAN MALEAS 209N</t>
  </si>
  <si>
    <t>MRKU5320628</t>
  </si>
  <si>
    <t>MLBR2375743</t>
  </si>
  <si>
    <t>MSKU8247883</t>
  </si>
  <si>
    <t>MLBR2375730</t>
  </si>
  <si>
    <t>TRLU7634447</t>
  </si>
  <si>
    <t>MLBR2439159</t>
  </si>
  <si>
    <t>MRKU3847836</t>
  </si>
  <si>
    <t>MLBR2439124</t>
  </si>
  <si>
    <t>CAAU6508770</t>
  </si>
  <si>
    <t>MLBR2439148</t>
  </si>
  <si>
    <t>TCKU7644074</t>
  </si>
  <si>
    <t>MLBR2439144</t>
  </si>
  <si>
    <t>AMB7618</t>
  </si>
  <si>
    <t>CPR7906</t>
  </si>
  <si>
    <t>ANDERSON DA LUZ MAURICIO</t>
  </si>
  <si>
    <t>26628578895</t>
  </si>
  <si>
    <t>MSKU1063380</t>
  </si>
  <si>
    <t>MLBR2432474</t>
  </si>
  <si>
    <t>2416/22</t>
  </si>
  <si>
    <t>UACU5045155</t>
  </si>
  <si>
    <t>HLG0256863</t>
  </si>
  <si>
    <t>BEAU4989757</t>
  </si>
  <si>
    <t>HLG0256864</t>
  </si>
  <si>
    <t>INKU6444262</t>
  </si>
  <si>
    <t>HLG0256999</t>
  </si>
  <si>
    <t>241ISZ2022331</t>
  </si>
  <si>
    <t>TXGU5375815</t>
  </si>
  <si>
    <t>FJ14039303</t>
  </si>
  <si>
    <t>MSC BARCELONA  210N</t>
  </si>
  <si>
    <t>32292167840</t>
  </si>
  <si>
    <t>OAKLAND</t>
  </si>
  <si>
    <t>241ISZ2022352</t>
  </si>
  <si>
    <t>TGHU8929550</t>
  </si>
  <si>
    <t>FJ14039328</t>
  </si>
  <si>
    <t>CUA5E13</t>
  </si>
  <si>
    <t>14055837895</t>
  </si>
  <si>
    <t>241ISZ2022369</t>
  </si>
  <si>
    <t>MSMU7829406</t>
  </si>
  <si>
    <t>FJ14039270</t>
  </si>
  <si>
    <t>241ISZ2022355</t>
  </si>
  <si>
    <t>TGBU8916295</t>
  </si>
  <si>
    <t>FJ14039262</t>
  </si>
  <si>
    <t>GKO8826</t>
  </si>
  <si>
    <t>241ISZ2022353</t>
  </si>
  <si>
    <t>MSMU7894377</t>
  </si>
  <si>
    <t>FJ14039355</t>
  </si>
  <si>
    <t>ABB1J72</t>
  </si>
  <si>
    <t>LEVI DE FREITAS OLIVEIRA</t>
  </si>
  <si>
    <t>08498646820</t>
  </si>
  <si>
    <t>02743388460</t>
  </si>
  <si>
    <t>241ISZ2022129</t>
  </si>
  <si>
    <t>TGBU7954876</t>
  </si>
  <si>
    <t>FJ14031910</t>
  </si>
  <si>
    <t>MSC ADELAIDE  MM209R</t>
  </si>
  <si>
    <t>VALENCIA</t>
  </si>
  <si>
    <t>CANCELADO</t>
  </si>
  <si>
    <t>0005|2022</t>
  </si>
  <si>
    <t>MAIPO  209N</t>
  </si>
  <si>
    <t>0004|2022</t>
  </si>
  <si>
    <t>CXPMAO255/22</t>
  </si>
  <si>
    <t>LA0237586</t>
  </si>
  <si>
    <t>CAIU3420689</t>
  </si>
  <si>
    <t xml:space="preserve">28984 / 29513 /29571 </t>
  </si>
  <si>
    <t>MERCOSUL ITAJAI  157N</t>
  </si>
  <si>
    <t>LUW5081</t>
  </si>
  <si>
    <t>x</t>
  </si>
  <si>
    <t>FRANCISCO DA SILVA NUNES</t>
  </si>
  <si>
    <t>08053454852</t>
  </si>
  <si>
    <t>03409257572</t>
  </si>
  <si>
    <t>CXPMAO254/22</t>
  </si>
  <si>
    <t>LA0238344</t>
  </si>
  <si>
    <t>TCNU7707259</t>
  </si>
  <si>
    <t>29558 / 29563 / 29565 / 29569</t>
  </si>
  <si>
    <t>DFSU7487635</t>
  </si>
  <si>
    <t>CAIU4703174</t>
  </si>
  <si>
    <t>CAIU4831405</t>
  </si>
  <si>
    <t>REAPROVEITAMENTO</t>
  </si>
  <si>
    <t>EBKG02789809</t>
  </si>
  <si>
    <t>MEDU6130637</t>
  </si>
  <si>
    <t>FJ14054808</t>
  </si>
  <si>
    <t>UASC ZAMZAM  NA210R</t>
  </si>
  <si>
    <t>ARACAJÚ-SE</t>
  </si>
  <si>
    <t>HYAR-55-2022</t>
  </si>
  <si>
    <t>20220275446-5</t>
  </si>
  <si>
    <t>MRKU2229788</t>
  </si>
  <si>
    <t>ML-CN8581848</t>
  </si>
  <si>
    <t>YUE ZHU 236</t>
  </si>
  <si>
    <t>LOCALFRIO /PE</t>
  </si>
  <si>
    <t>SAOC08912400</t>
  </si>
  <si>
    <t>HELLA  2206N</t>
  </si>
  <si>
    <t>2SSZ014625</t>
  </si>
  <si>
    <t>MRKU6886749</t>
  </si>
  <si>
    <t>MLBR2444075</t>
  </si>
  <si>
    <t>MONTE AZUL  210N</t>
  </si>
  <si>
    <t>c11959 / c11960 / 12024</t>
  </si>
  <si>
    <t>2SSZ014992</t>
  </si>
  <si>
    <t>MRKU7111801</t>
  </si>
  <si>
    <t>MLBR2444074</t>
  </si>
  <si>
    <t>2SSZ015955</t>
  </si>
  <si>
    <t>TCKU7037450</t>
  </si>
  <si>
    <t>MLBR2443986</t>
  </si>
  <si>
    <t>GSL ELEFTHERIA  211W</t>
  </si>
  <si>
    <t>HASU4375871</t>
  </si>
  <si>
    <t>MLBR2443925</t>
  </si>
  <si>
    <t>2SSZ015953</t>
  </si>
  <si>
    <t>MRKU3802889</t>
  </si>
  <si>
    <t>MLBR2261204</t>
  </si>
  <si>
    <t>MRKU4051566</t>
  </si>
  <si>
    <t>MLBR2437420</t>
  </si>
  <si>
    <t>EFU6A89</t>
  </si>
  <si>
    <t>CPJ3G59</t>
  </si>
  <si>
    <t>VALDECIR DA SILVA</t>
  </si>
  <si>
    <t>55283063968</t>
  </si>
  <si>
    <t>02537032407</t>
  </si>
  <si>
    <t>INV 031/21 B</t>
  </si>
  <si>
    <t>SSZ200050400</t>
  </si>
  <si>
    <t>PCIU1339149</t>
  </si>
  <si>
    <t>BZ052354</t>
  </si>
  <si>
    <t>EVER LEADER  0058E</t>
  </si>
  <si>
    <t>ATLANTIS GUARUJA</t>
  </si>
  <si>
    <t>PCIU1467474</t>
  </si>
  <si>
    <t>BZ052353</t>
  </si>
  <si>
    <t>PCIU1330809</t>
  </si>
  <si>
    <t>BZ052356</t>
  </si>
  <si>
    <t>PCIU0070501</t>
  </si>
  <si>
    <t>BZ052355</t>
  </si>
  <si>
    <t>PCIU0169834</t>
  </si>
  <si>
    <t>BZ052351</t>
  </si>
  <si>
    <t>01481801136</t>
  </si>
  <si>
    <t>PCIU0044312</t>
  </si>
  <si>
    <t>BZ052352</t>
  </si>
  <si>
    <t>PCIU1179138</t>
  </si>
  <si>
    <t>BZ052469</t>
  </si>
  <si>
    <t>PCIU1404603</t>
  </si>
  <si>
    <t>BZ052332</t>
  </si>
  <si>
    <t>KJF7C28</t>
  </si>
  <si>
    <t>GTQ5E88</t>
  </si>
  <si>
    <t>CARLOS DANIEL BARBOSA DA SILVA</t>
  </si>
  <si>
    <t>72035412404</t>
  </si>
  <si>
    <t>TECON SUAPE</t>
  </si>
  <si>
    <t>12028 / 14</t>
  </si>
  <si>
    <t>031/21 A * 030/21 G</t>
  </si>
  <si>
    <t>SSZ200039700</t>
  </si>
  <si>
    <t>PCIU2509403</t>
  </si>
  <si>
    <t>BZ052407</t>
  </si>
  <si>
    <t>CARDIFF  0BDBNE1MA</t>
  </si>
  <si>
    <t>PCIU1798889</t>
  </si>
  <si>
    <t>BZ052408</t>
  </si>
  <si>
    <t>PCIU1222888</t>
  </si>
  <si>
    <t>BZ052409</t>
  </si>
  <si>
    <t>PCIU1003581</t>
  </si>
  <si>
    <t>BZ052410</t>
  </si>
  <si>
    <t>CAIU3209228</t>
  </si>
  <si>
    <t>BZ052463</t>
  </si>
  <si>
    <t>PCIU1666882</t>
  </si>
  <si>
    <t>BZ052464</t>
  </si>
  <si>
    <t>PCIU1100719</t>
  </si>
  <si>
    <t>BZ052465</t>
  </si>
  <si>
    <t>PCIU1181264</t>
  </si>
  <si>
    <t>BZ052468</t>
  </si>
  <si>
    <t>MSKU5751611</t>
  </si>
  <si>
    <t>MLBR2457387</t>
  </si>
  <si>
    <t>CAP SAN AUGUSTIN  210N</t>
  </si>
  <si>
    <t>SINGAPORE</t>
  </si>
  <si>
    <t>032/21 B</t>
  </si>
  <si>
    <t>BEAU2108727</t>
  </si>
  <si>
    <t>EMCQGR3000</t>
  </si>
  <si>
    <t>SANDRO / TRANSVZ</t>
  </si>
  <si>
    <t>EGHU3528530</t>
  </si>
  <si>
    <t>EMCQGR3010</t>
  </si>
  <si>
    <t>TEMU0052416</t>
  </si>
  <si>
    <t>EMCQGR3080</t>
  </si>
  <si>
    <t>FRW4C63</t>
  </si>
  <si>
    <t>30/03/2022 23;52</t>
  </si>
  <si>
    <t>EITU0318741</t>
  </si>
  <si>
    <t>EMCQGR3090</t>
  </si>
  <si>
    <t>EITU0257712</t>
  </si>
  <si>
    <t>EMCQGR3030</t>
  </si>
  <si>
    <t>EITU0136515</t>
  </si>
  <si>
    <t>EMCQGR3040</t>
  </si>
  <si>
    <t>DRYU2296260</t>
  </si>
  <si>
    <t>EMCQGR9820</t>
  </si>
  <si>
    <t>EISU3955190</t>
  </si>
  <si>
    <t>EMCQGR9810</t>
  </si>
  <si>
    <t>EITU0377636</t>
  </si>
  <si>
    <t>EMCQGR9840</t>
  </si>
  <si>
    <t>DFSU1311715</t>
  </si>
  <si>
    <t>EMCQGR9830</t>
  </si>
  <si>
    <t>032/21 C</t>
  </si>
  <si>
    <t>DRYU2256653</t>
  </si>
  <si>
    <t>EMCQGR3070</t>
  </si>
  <si>
    <t>EITU0205555</t>
  </si>
  <si>
    <t>EMCQGR3060</t>
  </si>
  <si>
    <t>TEMU3654314</t>
  </si>
  <si>
    <t>EMCQGR3050</t>
  </si>
  <si>
    <t>EGHU3152191</t>
  </si>
  <si>
    <t>EMCQGR4290</t>
  </si>
  <si>
    <t>DRYU2655735</t>
  </si>
  <si>
    <t>EMCQGR4280</t>
  </si>
  <si>
    <t>EGSU3084357</t>
  </si>
  <si>
    <t>EMCQGR4270</t>
  </si>
  <si>
    <t>EITU0369610</t>
  </si>
  <si>
    <t>EMCQGR9880</t>
  </si>
  <si>
    <t>EMCU6053617</t>
  </si>
  <si>
    <t>EMCQGR9890</t>
  </si>
  <si>
    <t>TEMU0682122</t>
  </si>
  <si>
    <t>EMCQGR9850</t>
  </si>
  <si>
    <t>EITU0352962</t>
  </si>
  <si>
    <t>EMCQGR9860</t>
  </si>
  <si>
    <t>ULMA</t>
  </si>
  <si>
    <t>FOZ DO IGUAÇÚ-PR</t>
  </si>
  <si>
    <t>FV11210</t>
  </si>
  <si>
    <t>2022/0565294-9</t>
  </si>
  <si>
    <t>MEDU9447672</t>
  </si>
  <si>
    <t>CXPSSZ251/22</t>
  </si>
  <si>
    <t>LA0235974</t>
  </si>
  <si>
    <t>SEGU1152080</t>
  </si>
  <si>
    <t>417 / 418 / 418 / 420 / 418/ 422</t>
  </si>
  <si>
    <t>MERCOSUL SANTOS  299S</t>
  </si>
  <si>
    <t>027/21 H</t>
  </si>
  <si>
    <t>MSKU7322909</t>
  </si>
  <si>
    <t>MLBR2407629</t>
  </si>
  <si>
    <t>CAP SAN ARTEMISSIO  213N</t>
  </si>
  <si>
    <t>GLDU5580957</t>
  </si>
  <si>
    <t>MLBR2407628</t>
  </si>
  <si>
    <t>SUDU7795119</t>
  </si>
  <si>
    <t>MLBR2407696</t>
  </si>
  <si>
    <t>MRKU8693841</t>
  </si>
  <si>
    <t>MLBR2407697</t>
  </si>
  <si>
    <t>TCLU2298931</t>
  </si>
  <si>
    <t>MLBR2361074</t>
  </si>
  <si>
    <t>SUDU7710786</t>
  </si>
  <si>
    <t>MLBR2361075</t>
  </si>
  <si>
    <t>MRKU9537611</t>
  </si>
  <si>
    <t>MLBR2407705</t>
  </si>
  <si>
    <t>MRSU0209810</t>
  </si>
  <si>
    <t>MLBR2407704</t>
  </si>
  <si>
    <t>MRKU8607484</t>
  </si>
  <si>
    <t>MLBR2361024</t>
  </si>
  <si>
    <t>MSKU4285078</t>
  </si>
  <si>
    <t>MLBR2361023</t>
  </si>
  <si>
    <t>002/22 A</t>
  </si>
  <si>
    <t>MSKU3506092</t>
  </si>
  <si>
    <t>MLBR2361116</t>
  </si>
  <si>
    <t>MRKU9218975</t>
  </si>
  <si>
    <t>MLBR2361117</t>
  </si>
  <si>
    <t>MRKU9738616</t>
  </si>
  <si>
    <t>MLBR2455621</t>
  </si>
  <si>
    <t>MRKU7839206</t>
  </si>
  <si>
    <t>MLBR2455622</t>
  </si>
  <si>
    <t>MSKU7296918</t>
  </si>
  <si>
    <t>MLBR2455625</t>
  </si>
  <si>
    <t>MRKU8669439</t>
  </si>
  <si>
    <t>MLBR2361022</t>
  </si>
  <si>
    <t>TCKU1152020</t>
  </si>
  <si>
    <t>MLBR2361021</t>
  </si>
  <si>
    <t>BSIU2013215</t>
  </si>
  <si>
    <t>MLBR2455624</t>
  </si>
  <si>
    <t>GLDU5440765</t>
  </si>
  <si>
    <t>MLBR2361025</t>
  </si>
  <si>
    <t>MRKU9068052</t>
  </si>
  <si>
    <t>MLBR2455623</t>
  </si>
  <si>
    <t>002/22 B</t>
  </si>
  <si>
    <t>SUDU7536000</t>
  </si>
  <si>
    <t>MLBR2457716</t>
  </si>
  <si>
    <t>MRKU9332020</t>
  </si>
  <si>
    <t>MLBR2457717</t>
  </si>
  <si>
    <t>MSKU7323530</t>
  </si>
  <si>
    <t>MLBR2457718</t>
  </si>
  <si>
    <t>MSKU7512149</t>
  </si>
  <si>
    <t>MLBR2457719</t>
  </si>
  <si>
    <t>HASU1549922</t>
  </si>
  <si>
    <t>MLBR2457720</t>
  </si>
  <si>
    <t>TLLU2384719</t>
  </si>
  <si>
    <t>MLBR2457721</t>
  </si>
  <si>
    <t>c10299 / 10338</t>
  </si>
  <si>
    <t>MRKU6798587</t>
  </si>
  <si>
    <t>MLBR2457722</t>
  </si>
  <si>
    <t>MRSU0166929</t>
  </si>
  <si>
    <t>MLBR2457723</t>
  </si>
  <si>
    <t>SUDU1928024</t>
  </si>
  <si>
    <t>MLBR2457724</t>
  </si>
  <si>
    <t>MRKU8706511</t>
  </si>
  <si>
    <t>MLBR2457725</t>
  </si>
  <si>
    <t>2442/22</t>
  </si>
  <si>
    <t>241ISZ2048559</t>
  </si>
  <si>
    <t>BMOU2811631</t>
  </si>
  <si>
    <t>FJ14074715</t>
  </si>
  <si>
    <t>FJE0F90</t>
  </si>
  <si>
    <t>KWD7D59</t>
  </si>
  <si>
    <t>VILMAR ROCHA SOUZA</t>
  </si>
  <si>
    <t>15919434856</t>
  </si>
  <si>
    <t>LAS PALMAS</t>
  </si>
  <si>
    <t>002/22 C</t>
  </si>
  <si>
    <t>MSKU5571498</t>
  </si>
  <si>
    <t>MLBR2451634</t>
  </si>
  <si>
    <t>HASU1524415</t>
  </si>
  <si>
    <t>MLBR2451633</t>
  </si>
  <si>
    <t>MRKU7607176</t>
  </si>
  <si>
    <t>MLBR2451601</t>
  </si>
  <si>
    <t>TGHU0382045</t>
  </si>
  <si>
    <t>MLBR2451602</t>
  </si>
  <si>
    <t>MSKU5814725</t>
  </si>
  <si>
    <t>MLBR2451635</t>
  </si>
  <si>
    <t>MSKU5007723</t>
  </si>
  <si>
    <t>MLBR2451604</t>
  </si>
  <si>
    <t>TCLU3473690</t>
  </si>
  <si>
    <t>MLBR2451603</t>
  </si>
  <si>
    <t>MRKU8373956</t>
  </si>
  <si>
    <t>MLBR2451605</t>
  </si>
  <si>
    <t>HASU1044099</t>
  </si>
  <si>
    <t>MLBR2451631</t>
  </si>
  <si>
    <t>EQU5597</t>
  </si>
  <si>
    <t>RFF9I62</t>
  </si>
  <si>
    <t>BRUNO CELESTINO SILVA</t>
  </si>
  <si>
    <t>13166164600</t>
  </si>
  <si>
    <t>MRKU7639580</t>
  </si>
  <si>
    <t>MLBR2451632</t>
  </si>
  <si>
    <t>RFF3F80</t>
  </si>
  <si>
    <t xml:space="preserve">7494503 / 7494526 / 7622475 / 7748101 / 7747717 / 7683657 / 7606551 / 7494522 / 7622503 / 7339360 </t>
  </si>
  <si>
    <t>SSZ1203729</t>
  </si>
  <si>
    <t>LCL</t>
  </si>
  <si>
    <t>1569569 / 1569570 /1569571 /1569572 / 1569573 /1569574 / 3631204 / 3631205 / 3631206 /3631207 / 3631208</t>
  </si>
  <si>
    <t>BALLENITA  OHK4EN1MA</t>
  </si>
  <si>
    <t>DPE6A41</t>
  </si>
  <si>
    <t>CXA8505CX</t>
  </si>
  <si>
    <t>VALDOMIRO CLAUDINEI NARDES</t>
  </si>
  <si>
    <t>07355153870</t>
  </si>
  <si>
    <t>12225 / 12226</t>
  </si>
  <si>
    <t>UNIPAR</t>
  </si>
  <si>
    <t>SANTO ANDRÉ-SP</t>
  </si>
  <si>
    <t>CXPMAO267/22</t>
  </si>
  <si>
    <t>LA0241947</t>
  </si>
  <si>
    <t>TCLU5011541</t>
  </si>
  <si>
    <t>POLARIS  062N</t>
  </si>
  <si>
    <t>TCLU8337423</t>
  </si>
  <si>
    <t>2503/22</t>
  </si>
  <si>
    <t>NIDU5207326</t>
  </si>
  <si>
    <t>HLG0253734</t>
  </si>
  <si>
    <t>LODUR  2214E</t>
  </si>
  <si>
    <t>ABR</t>
  </si>
  <si>
    <t>TCLU1462640</t>
  </si>
  <si>
    <t>HLG0253581</t>
  </si>
  <si>
    <t>HLBU2237589</t>
  </si>
  <si>
    <t>HLG0253640</t>
  </si>
  <si>
    <t>HLBU1678234</t>
  </si>
  <si>
    <t>HLG0253632</t>
  </si>
  <si>
    <t>TGBU6885528</t>
  </si>
  <si>
    <t>HLG0251620</t>
  </si>
  <si>
    <t>FEI4346</t>
  </si>
  <si>
    <t>FEI4912</t>
  </si>
  <si>
    <t>ELIZEU FERNANDES DA CRUZ</t>
  </si>
  <si>
    <t>05304033825</t>
  </si>
  <si>
    <t>SLSU8040660</t>
  </si>
  <si>
    <t>HLG0251617</t>
  </si>
  <si>
    <t>FEI4347</t>
  </si>
  <si>
    <t>FEI4911</t>
  </si>
  <si>
    <t>ALEXANDRE DIAS IANELLI</t>
  </si>
  <si>
    <t>13403635856</t>
  </si>
  <si>
    <t>BEAU4985690</t>
  </si>
  <si>
    <t>HLG0251716</t>
  </si>
  <si>
    <t>HLBU1834790</t>
  </si>
  <si>
    <t>HLG0251715</t>
  </si>
  <si>
    <t>DRYU9741619</t>
  </si>
  <si>
    <t>HLG0251608</t>
  </si>
  <si>
    <t>TCLU5034423</t>
  </si>
  <si>
    <t>HLG0255743</t>
  </si>
  <si>
    <t>CXPMAO266/22</t>
  </si>
  <si>
    <t>LA0241971</t>
  </si>
  <si>
    <t>TEMU8500604</t>
  </si>
  <si>
    <t>0008|2022</t>
  </si>
  <si>
    <t>2SSZ015990</t>
  </si>
  <si>
    <t>MSKU3805262</t>
  </si>
  <si>
    <t>MLBR2443051</t>
  </si>
  <si>
    <t>DUBLIN EXPRESS  212N</t>
  </si>
  <si>
    <t>ANTONIO BARBOSA DE LIMA</t>
  </si>
  <si>
    <t>04699341314</t>
  </si>
  <si>
    <t>c12334 / 12354 / 12366</t>
  </si>
  <si>
    <t>08/0/2022 09:00</t>
  </si>
  <si>
    <t>0007|2022</t>
  </si>
  <si>
    <t>2SSZ015986</t>
  </si>
  <si>
    <t>MSKU4247231</t>
  </si>
  <si>
    <t>MLBR2443052</t>
  </si>
  <si>
    <t>MRT8D64</t>
  </si>
  <si>
    <t>BXH4875</t>
  </si>
  <si>
    <t>ADILSON RIBEIRO DE MACEDO</t>
  </si>
  <si>
    <t>83115188900</t>
  </si>
  <si>
    <t>10/04/2022 23&gt;22</t>
  </si>
  <si>
    <t>MAITINO</t>
  </si>
  <si>
    <t>TRÊS CORAÇÕES-MG</t>
  </si>
  <si>
    <t>003/22</t>
  </si>
  <si>
    <t>HLXU3405215</t>
  </si>
  <si>
    <t>HLG0233953</t>
  </si>
  <si>
    <t>TIRUA  2209N</t>
  </si>
  <si>
    <t>12364 / 12420 / 85</t>
  </si>
  <si>
    <t>TOP TELHAS</t>
  </si>
  <si>
    <t>LEME-SP</t>
  </si>
  <si>
    <t>SSZ1212314</t>
  </si>
  <si>
    <t>CAIU9664867</t>
  </si>
  <si>
    <t>H5896473</t>
  </si>
  <si>
    <t>BALLENITA  0HK4EN1MA</t>
  </si>
  <si>
    <t>2524/22</t>
  </si>
  <si>
    <t>POLONIA  2216E</t>
  </si>
  <si>
    <t>2452/22</t>
  </si>
  <si>
    <t>FFAU1765316</t>
  </si>
  <si>
    <t>CMA CGM VERACRUZ  0GBBKN1MA</t>
  </si>
  <si>
    <t>0/05/2022 12:00</t>
  </si>
  <si>
    <t>SAKURA</t>
  </si>
  <si>
    <t>GUARULHOS-SP</t>
  </si>
  <si>
    <t>2463/22</t>
  </si>
  <si>
    <t>SSZ1217338</t>
  </si>
  <si>
    <t>CMAU7596431</t>
  </si>
  <si>
    <t>H5893640</t>
  </si>
  <si>
    <t>HARIS / 0HK4GN1MA</t>
  </si>
  <si>
    <t>PARAMARIBO</t>
  </si>
  <si>
    <t>UBERABA-MG</t>
  </si>
  <si>
    <t>TGHU9120956</t>
  </si>
  <si>
    <t>HLG0193470</t>
  </si>
  <si>
    <t>559505 / 559506</t>
  </si>
  <si>
    <t>UASC AL KHOR</t>
  </si>
  <si>
    <t>QINGDAO</t>
  </si>
  <si>
    <t>BEAU4965312</t>
  </si>
  <si>
    <t>HLG0194717</t>
  </si>
  <si>
    <t>559472 / 559473</t>
  </si>
  <si>
    <t>TLLU5874725</t>
  </si>
  <si>
    <t>HLG0194719</t>
  </si>
  <si>
    <t>559492 / 559493</t>
  </si>
  <si>
    <t>HLBU1292149</t>
  </si>
  <si>
    <t>HLG0193468</t>
  </si>
  <si>
    <t>559562 / 559563</t>
  </si>
  <si>
    <t>HLXU8209051</t>
  </si>
  <si>
    <t>HLG0194720</t>
  </si>
  <si>
    <t>559543 / 559544</t>
  </si>
  <si>
    <t>LOWELL</t>
  </si>
  <si>
    <t>ITAPIRA-SP</t>
  </si>
  <si>
    <t>SSSZ002420</t>
  </si>
  <si>
    <t>EBKG02981020</t>
  </si>
  <si>
    <t>TCNU8144761</t>
  </si>
  <si>
    <t>FJ14076086</t>
  </si>
  <si>
    <t>HUNGARY  NA215R</t>
  </si>
  <si>
    <t>LEIXOES</t>
  </si>
  <si>
    <t>SSSZ002364</t>
  </si>
  <si>
    <t>EBKG02980987</t>
  </si>
  <si>
    <t>MEDU7915347</t>
  </si>
  <si>
    <t>FJ14076002</t>
  </si>
  <si>
    <t>MSC PALAK  NA216R</t>
  </si>
  <si>
    <t>2523/22</t>
  </si>
  <si>
    <t>MSKU0886580</t>
  </si>
  <si>
    <t>MLBR2594905</t>
  </si>
  <si>
    <t>CAP SAN ANTONIO  216N</t>
  </si>
  <si>
    <t>IMB7C74</t>
  </si>
  <si>
    <t>MCB1B86</t>
  </si>
  <si>
    <t>ANTONIO CORREIA DE MELLO FILHO</t>
  </si>
  <si>
    <t>MINDELO</t>
  </si>
  <si>
    <t>2528/22</t>
  </si>
  <si>
    <t>MSKU0836676</t>
  </si>
  <si>
    <t>MLBR2594985</t>
  </si>
  <si>
    <t>CUE4E13</t>
  </si>
  <si>
    <t>NGO6D55</t>
  </si>
  <si>
    <t>PAULO CEZAR CARREIRA</t>
  </si>
  <si>
    <t>CXPSSZ261/22</t>
  </si>
  <si>
    <t>LA0242732</t>
  </si>
  <si>
    <t>TRHU7045433</t>
  </si>
  <si>
    <t>423 / 424 / 425 / 426 / 427 / 428</t>
  </si>
  <si>
    <t>MERCOSUL SANTOS 301S</t>
  </si>
  <si>
    <t>BWP9539</t>
  </si>
  <si>
    <t>2377/22</t>
  </si>
  <si>
    <t>HLBU1914469</t>
  </si>
  <si>
    <t>HLG0204662</t>
  </si>
  <si>
    <t>TEMPANOS  2211N</t>
  </si>
  <si>
    <t>HLXU6523588</t>
  </si>
  <si>
    <t>HLG0194613</t>
  </si>
  <si>
    <t>GJV3G83</t>
  </si>
  <si>
    <t>COB9H51</t>
  </si>
  <si>
    <t>MARCIO ROGERIO MAZETE</t>
  </si>
  <si>
    <t>12179062826</t>
  </si>
  <si>
    <t>DRYU9756861</t>
  </si>
  <si>
    <t>HLG0194611</t>
  </si>
  <si>
    <t>GCC1F84</t>
  </si>
  <si>
    <t>DTO9F43</t>
  </si>
  <si>
    <t>ROGERIO BURATTI</t>
  </si>
  <si>
    <t>27379399845</t>
  </si>
  <si>
    <t>UACU5756153</t>
  </si>
  <si>
    <t>HLG0194616</t>
  </si>
  <si>
    <t>FKH4G43</t>
  </si>
  <si>
    <t>FUY3249</t>
  </si>
  <si>
    <t>EDUARDO JULIO POMPEU DA SILVA</t>
  </si>
  <si>
    <t>21356020860</t>
  </si>
  <si>
    <t>UACU5999425</t>
  </si>
  <si>
    <t>HLG0194614</t>
  </si>
  <si>
    <t>EHX4I71</t>
  </si>
  <si>
    <t>EST8I76</t>
  </si>
  <si>
    <t xml:space="preserve">VALCIR HERNANDES FRANCISCO </t>
  </si>
  <si>
    <t>07862126831</t>
  </si>
  <si>
    <t>SEGU5621289</t>
  </si>
  <si>
    <t>HLG1194612</t>
  </si>
  <si>
    <t>GFM2E50</t>
  </si>
  <si>
    <t>GJR2867</t>
  </si>
  <si>
    <t>ALCEU ALVES DE JESUS</t>
  </si>
  <si>
    <t>84316586904</t>
  </si>
  <si>
    <t>GESU6198752</t>
  </si>
  <si>
    <t>HLG0194663</t>
  </si>
  <si>
    <t>559750 / 559751</t>
  </si>
  <si>
    <t>QHT2A06</t>
  </si>
  <si>
    <t>GCP1F93</t>
  </si>
  <si>
    <t>JOÃO HENRIQUE DA SILVA</t>
  </si>
  <si>
    <t>38352328867</t>
  </si>
  <si>
    <t>VC5604698</t>
  </si>
  <si>
    <t>HLBU2672842</t>
  </si>
  <si>
    <t>HLG0204670</t>
  </si>
  <si>
    <t>559797 / 559798</t>
  </si>
  <si>
    <t>DJB0J89</t>
  </si>
  <si>
    <t>DBM0E64</t>
  </si>
  <si>
    <t>SERGIO DE LIMA SILVA</t>
  </si>
  <si>
    <t>22450856803</t>
  </si>
  <si>
    <t>VC5605374</t>
  </si>
  <si>
    <t>FANU1113733</t>
  </si>
  <si>
    <t>HLG0204668</t>
  </si>
  <si>
    <t>559983 / 559984</t>
  </si>
  <si>
    <t>FUZ1614</t>
  </si>
  <si>
    <t>VC5610267</t>
  </si>
  <si>
    <t>GESU6310625</t>
  </si>
  <si>
    <t>HLG0204651</t>
  </si>
  <si>
    <t>559765 / 559765</t>
  </si>
  <si>
    <t>VC5605609</t>
  </si>
  <si>
    <t>HLBU2871000</t>
  </si>
  <si>
    <t>HLG0204705</t>
  </si>
  <si>
    <t>559737 / 559738</t>
  </si>
  <si>
    <t xml:space="preserve"> FERNANDO ROBERTO TELLES DO NASCIMENTO</t>
  </si>
  <si>
    <t>VC5604458</t>
  </si>
  <si>
    <t>HLXU6350712</t>
  </si>
  <si>
    <t>HLG0204687</t>
  </si>
  <si>
    <t>559709 / 559715</t>
  </si>
  <si>
    <t>VC5603132</t>
  </si>
  <si>
    <t>HLXU8188745</t>
  </si>
  <si>
    <t>HLG0204615</t>
  </si>
  <si>
    <t>559859 / 559860</t>
  </si>
  <si>
    <t>VC5606522</t>
  </si>
  <si>
    <t>TGCU5181451</t>
  </si>
  <si>
    <t>HLG0204688</t>
  </si>
  <si>
    <t>559815 / 559817</t>
  </si>
  <si>
    <t>VC5605775</t>
  </si>
  <si>
    <t>TCLU9500767</t>
  </si>
  <si>
    <t>HLG0204718</t>
  </si>
  <si>
    <t>559722 / 559723</t>
  </si>
  <si>
    <t>VC5603990</t>
  </si>
  <si>
    <t>GESU6811170</t>
  </si>
  <si>
    <t>HLG0204620</t>
  </si>
  <si>
    <t>559741 / 559742</t>
  </si>
  <si>
    <t>VC5604670</t>
  </si>
  <si>
    <t>SSZ1203515</t>
  </si>
  <si>
    <t>TCKU6384080</t>
  </si>
  <si>
    <t>H5830044</t>
  </si>
  <si>
    <t>1580621 / 1580622 / 1580623 / 1580624</t>
  </si>
  <si>
    <t>MARFRET GUYANE 0HK4IN1MA</t>
  </si>
  <si>
    <t>12597 / 12598</t>
  </si>
  <si>
    <t>SOCER</t>
  </si>
  <si>
    <t>CXPSUA273/22</t>
  </si>
  <si>
    <t>LA0244713</t>
  </si>
  <si>
    <t>CIPU5021662</t>
  </si>
  <si>
    <t>MERCOSUL GUARANI/050N</t>
  </si>
  <si>
    <t>TEMU8501220</t>
  </si>
  <si>
    <t>2531/22</t>
  </si>
  <si>
    <t>DFSU6813697</t>
  </si>
  <si>
    <t>CAUCEDO</t>
  </si>
  <si>
    <t>2532/22</t>
  </si>
  <si>
    <t>BEAU5560140</t>
  </si>
  <si>
    <t>2533/22</t>
  </si>
  <si>
    <t>CSNU6017000</t>
  </si>
  <si>
    <t>0010/2022</t>
  </si>
  <si>
    <t>2SSZ022465</t>
  </si>
  <si>
    <t>MRKU8649751</t>
  </si>
  <si>
    <t>MLBR2443268</t>
  </si>
  <si>
    <t>AL SAFAT 216N</t>
  </si>
  <si>
    <t>MAI</t>
  </si>
  <si>
    <t>0011/2022</t>
  </si>
  <si>
    <t>2SSZ022467</t>
  </si>
  <si>
    <t>MSKU4151593</t>
  </si>
  <si>
    <t>MLBR2443267</t>
  </si>
  <si>
    <t>SSSZ002712</t>
  </si>
  <si>
    <t>EBKG03108422</t>
  </si>
  <si>
    <t>MSCU4987054</t>
  </si>
  <si>
    <t>FJ14062383</t>
  </si>
  <si>
    <t>MAIPO  NA217R</t>
  </si>
  <si>
    <t>FSG4A65</t>
  </si>
  <si>
    <t>FUR2535</t>
  </si>
  <si>
    <t>ANDERSON PEDRAO SANTOS</t>
  </si>
  <si>
    <t>19244424851</t>
  </si>
  <si>
    <t>MEDU8638479</t>
  </si>
  <si>
    <t>FJ14062389</t>
  </si>
  <si>
    <t>12614 / 13350</t>
  </si>
  <si>
    <t>241ISZ2069645</t>
  </si>
  <si>
    <t>MSMU7405054</t>
  </si>
  <si>
    <t>FJ14078537</t>
  </si>
  <si>
    <t>MONTE PASCOAL  219N</t>
  </si>
  <si>
    <t>VANCOUVER</t>
  </si>
  <si>
    <t>241ISZ2070275</t>
  </si>
  <si>
    <t>CAIU4819190</t>
  </si>
  <si>
    <t>FJ14078464</t>
  </si>
  <si>
    <t>LOS ANGELAS</t>
  </si>
  <si>
    <t>241ISZ2069640</t>
  </si>
  <si>
    <t>MEDU7819786</t>
  </si>
  <si>
    <t>FJ14078543</t>
  </si>
  <si>
    <t>MARLO DA SILVA ANDRE</t>
  </si>
  <si>
    <t>37752335800</t>
  </si>
  <si>
    <t>040318990855</t>
  </si>
  <si>
    <t>241ISZ2088765</t>
  </si>
  <si>
    <t>MEDU9424044</t>
  </si>
  <si>
    <t>FJ14078542</t>
  </si>
  <si>
    <t>MONTE TAMARO  226N</t>
  </si>
  <si>
    <t>CRISTOBAL</t>
  </si>
  <si>
    <t>241ISZ2069676</t>
  </si>
  <si>
    <t>MSDU8002437</t>
  </si>
  <si>
    <t>FJ14078491</t>
  </si>
  <si>
    <t>241ISZ2069643</t>
  </si>
  <si>
    <t>CAIU4678852</t>
  </si>
  <si>
    <t>FJ14078490</t>
  </si>
  <si>
    <t xml:space="preserve">GILBERTO CANDIDO ROSA </t>
  </si>
  <si>
    <t>19288332847</t>
  </si>
  <si>
    <t>01109897677</t>
  </si>
  <si>
    <t>09/05/222 21:30</t>
  </si>
  <si>
    <t>241ISZ2070273</t>
  </si>
  <si>
    <t>MSDU5957870</t>
  </si>
  <si>
    <t>FJ14103656</t>
  </si>
  <si>
    <t>LOS ANGELES</t>
  </si>
  <si>
    <t>2505/22</t>
  </si>
  <si>
    <t>SSZ1241486</t>
  </si>
  <si>
    <t>SEGU4519462</t>
  </si>
  <si>
    <t>H5917802</t>
  </si>
  <si>
    <t>NORTHERN DELEGATION  0GBBSN1MA</t>
  </si>
  <si>
    <t>241ISZ2070274</t>
  </si>
  <si>
    <t>TXGU5452547</t>
  </si>
  <si>
    <t>FJ14078455</t>
  </si>
  <si>
    <t>GRANOL</t>
  </si>
  <si>
    <t>ANÁPOLI-GO</t>
  </si>
  <si>
    <t>TO 004/22</t>
  </si>
  <si>
    <t>SNTU7410129</t>
  </si>
  <si>
    <t>20TK</t>
  </si>
  <si>
    <t>01544099 / 01545249 / 01545250 / 01545262</t>
  </si>
  <si>
    <t>SAN FELIPE  010E</t>
  </si>
  <si>
    <t>TECNITAINER</t>
  </si>
  <si>
    <t>1205/2022 12:00</t>
  </si>
  <si>
    <t>0012/2022</t>
  </si>
  <si>
    <t>2SSZ022463</t>
  </si>
  <si>
    <t>MSKU2894970</t>
  </si>
  <si>
    <t>MLBR2443338</t>
  </si>
  <si>
    <t>FTG0E76</t>
  </si>
  <si>
    <t>FEI3853</t>
  </si>
  <si>
    <t>ERICK FERREIRA RIBEIRO</t>
  </si>
  <si>
    <t>39540364876</t>
  </si>
  <si>
    <t>0013/2022</t>
  </si>
  <si>
    <t>2SSZ022464</t>
  </si>
  <si>
    <t>MRKU6686801</t>
  </si>
  <si>
    <t>MLBR2443339</t>
  </si>
  <si>
    <t>FEI3523</t>
  </si>
  <si>
    <t>22/0864300-2</t>
  </si>
  <si>
    <t>TEMU9555920</t>
  </si>
  <si>
    <t>CMA CGM LITANI</t>
  </si>
  <si>
    <t>LOCALFRIO</t>
  </si>
  <si>
    <t>SAOA21260200</t>
  </si>
  <si>
    <t>HDMU6854251</t>
  </si>
  <si>
    <t>HMM146554</t>
  </si>
  <si>
    <t>562661 / 562662</t>
  </si>
  <si>
    <t>HYUNDAI GOODWILL  0113E</t>
  </si>
  <si>
    <t>SHANGHAI</t>
  </si>
  <si>
    <t>KOCU4537587</t>
  </si>
  <si>
    <t>HMM146503</t>
  </si>
  <si>
    <t>562626 / 562627</t>
  </si>
  <si>
    <t>HMMU6302292</t>
  </si>
  <si>
    <t>HMM146502</t>
  </si>
  <si>
    <t>562738 / 562739</t>
  </si>
  <si>
    <t>14/05/2022 22&gt;30</t>
  </si>
  <si>
    <t>TCNU7902342</t>
  </si>
  <si>
    <t>HMM146505</t>
  </si>
  <si>
    <t>562622 / 562633</t>
  </si>
  <si>
    <t>KOCU4604999</t>
  </si>
  <si>
    <t>HMM146504</t>
  </si>
  <si>
    <t>562644 / 562645</t>
  </si>
  <si>
    <t>BALDAN</t>
  </si>
  <si>
    <t>MATÃO-SP</t>
  </si>
  <si>
    <t>MEX-469/21</t>
  </si>
  <si>
    <t>SSZ1244136</t>
  </si>
  <si>
    <t>APHU6753271</t>
  </si>
  <si>
    <t>H5918458</t>
  </si>
  <si>
    <t>BALLENITA  0HK51N1MA</t>
  </si>
  <si>
    <t>PUERTO CORTES</t>
  </si>
  <si>
    <t>KO MÁQUINAS</t>
  </si>
  <si>
    <t>JABOTICABAL-SP</t>
  </si>
  <si>
    <t>46590 / 46591 / 46592 / 46593 / 46594 / 46596</t>
  </si>
  <si>
    <t>SSZ1244660</t>
  </si>
  <si>
    <t>CGMU5231556</t>
  </si>
  <si>
    <t>H5819029</t>
  </si>
  <si>
    <t>161873 / 163662</t>
  </si>
  <si>
    <t>17/05/202 18:00</t>
  </si>
  <si>
    <t>ESCOLHA</t>
  </si>
  <si>
    <t>HLXU6495151</t>
  </si>
  <si>
    <t>HLG0200409</t>
  </si>
  <si>
    <t>LODUR  2220N</t>
  </si>
  <si>
    <t>DURAN</t>
  </si>
  <si>
    <t>HLBU2668610</t>
  </si>
  <si>
    <t>HLG0204855</t>
  </si>
  <si>
    <t>WESLLEY RODRIGO CONSTANCIO DA SILVA</t>
  </si>
  <si>
    <t>38329597857</t>
  </si>
  <si>
    <t>04956762510</t>
  </si>
  <si>
    <t>FCIU7041655</t>
  </si>
  <si>
    <t>HLG0204963</t>
  </si>
  <si>
    <t>88265951434</t>
  </si>
  <si>
    <t>241ISZ2069670</t>
  </si>
  <si>
    <t>TCNU7706102</t>
  </si>
  <si>
    <t>FJ14104366</t>
  </si>
  <si>
    <t>MH HAMBURG  220N</t>
  </si>
  <si>
    <t>241ISZ2069672</t>
  </si>
  <si>
    <t>DFSU7731470</t>
  </si>
  <si>
    <t>FJ14104455</t>
  </si>
  <si>
    <t>DTV6D42</t>
  </si>
  <si>
    <t>241ISZ2069673</t>
  </si>
  <si>
    <t>CAIU8971880</t>
  </si>
  <si>
    <t>FJ14104384</t>
  </si>
  <si>
    <t>241ISZ2069654</t>
  </si>
  <si>
    <t>TLLU7957578</t>
  </si>
  <si>
    <t>FJ14104465</t>
  </si>
  <si>
    <t>241ISZ2069653</t>
  </si>
  <si>
    <t>TGBU6878391</t>
  </si>
  <si>
    <t>FJ14104400</t>
  </si>
  <si>
    <t>LONG BEACH</t>
  </si>
  <si>
    <t>241ISZ2069659</t>
  </si>
  <si>
    <t>FFAU2553029</t>
  </si>
  <si>
    <t>FJ14104311</t>
  </si>
  <si>
    <t>241ISZ2069661</t>
  </si>
  <si>
    <t>CAAU5812691</t>
  </si>
  <si>
    <t>FJ14104347</t>
  </si>
  <si>
    <t>CAIU4226894</t>
  </si>
  <si>
    <t>HLG0279990</t>
  </si>
  <si>
    <t>LODUR  2220E</t>
  </si>
  <si>
    <t>CAP TOWN</t>
  </si>
  <si>
    <t>CAIU8135010</t>
  </si>
  <si>
    <t>HLG0279983</t>
  </si>
  <si>
    <t>BMOU5533046</t>
  </si>
  <si>
    <t>HLG0279899</t>
  </si>
  <si>
    <t>CAIU4225223</t>
  </si>
  <si>
    <t>HLG0279925</t>
  </si>
  <si>
    <t>7622803 / 7622816</t>
  </si>
  <si>
    <t>GESU6297610</t>
  </si>
  <si>
    <t>HLG0222680</t>
  </si>
  <si>
    <t>MSC AJACCIO  MM219R</t>
  </si>
  <si>
    <t>HLXU8069710</t>
  </si>
  <si>
    <t>HLG0222621</t>
  </si>
  <si>
    <t>HLBU1163692</t>
  </si>
  <si>
    <t>HLG0222575</t>
  </si>
  <si>
    <t>HLBU2061606</t>
  </si>
  <si>
    <t>HLG0222679</t>
  </si>
  <si>
    <t>UACU5449645</t>
  </si>
  <si>
    <t>HLG0222578</t>
  </si>
  <si>
    <t>FCIU7486070</t>
  </si>
  <si>
    <t>HLG0222662</t>
  </si>
  <si>
    <t>17/05/202 23:00</t>
  </si>
  <si>
    <t>HLXU8489332</t>
  </si>
  <si>
    <t>HLG0222661</t>
  </si>
  <si>
    <t>BEAU4709460</t>
  </si>
  <si>
    <t>HLG0222517</t>
  </si>
  <si>
    <t>HLBU1711857</t>
  </si>
  <si>
    <t>HLG0222608</t>
  </si>
  <si>
    <t>MARCO ANTONIO FERREIRA DA SILVA</t>
  </si>
  <si>
    <t>17273266876</t>
  </si>
  <si>
    <t>02886691050</t>
  </si>
  <si>
    <t>FSCU7163415</t>
  </si>
  <si>
    <t>HLG0222513</t>
  </si>
  <si>
    <t>GESU6170267</t>
  </si>
  <si>
    <t>HLG0279975</t>
  </si>
  <si>
    <t>MSC CATERINA  NA218R</t>
  </si>
  <si>
    <t>NLG9A83</t>
  </si>
  <si>
    <t>CNI2J42</t>
  </si>
  <si>
    <t>ADILSON DE FIGUEIREDO OLIVEIRA</t>
  </si>
  <si>
    <t>21792229801</t>
  </si>
  <si>
    <t>01451084703</t>
  </si>
  <si>
    <t>TCLU8348120</t>
  </si>
  <si>
    <t>HLG0278055</t>
  </si>
  <si>
    <t>MULINHA</t>
  </si>
  <si>
    <t>TCLU8078174</t>
  </si>
  <si>
    <t>HLG0278057</t>
  </si>
  <si>
    <t>HLBU1897398</t>
  </si>
  <si>
    <t>HLG0279758</t>
  </si>
  <si>
    <t>BMOU5797244</t>
  </si>
  <si>
    <t>HLG0279873</t>
  </si>
  <si>
    <t>S322148085</t>
  </si>
  <si>
    <t>ACLU9730760</t>
  </si>
  <si>
    <t>SA479832</t>
  </si>
  <si>
    <t>GRANDE FRANCIA  GFR0322N</t>
  </si>
  <si>
    <t>ECOPORTO</t>
  </si>
  <si>
    <t>ACLU9678847</t>
  </si>
  <si>
    <t>SA479831</t>
  </si>
  <si>
    <t>ACLU9819626</t>
  </si>
  <si>
    <t>SA479835</t>
  </si>
  <si>
    <t>27/05/2022 12|:15</t>
  </si>
  <si>
    <t>GCNU4746388</t>
  </si>
  <si>
    <t>SA479830</t>
  </si>
  <si>
    <t>ACLU9732125</t>
  </si>
  <si>
    <t>SA479842</t>
  </si>
  <si>
    <t>S322148029</t>
  </si>
  <si>
    <t>CAIU8306278</t>
  </si>
  <si>
    <t>SA479849</t>
  </si>
  <si>
    <t>GCNU4801510</t>
  </si>
  <si>
    <t>SA479826</t>
  </si>
  <si>
    <t>ACLU9816925</t>
  </si>
  <si>
    <t>SA479839</t>
  </si>
  <si>
    <t>GCNU4742968</t>
  </si>
  <si>
    <t>SA479837</t>
  </si>
  <si>
    <t>GCNU4732023</t>
  </si>
  <si>
    <t>SA479836</t>
  </si>
  <si>
    <t>HLXU8248891</t>
  </si>
  <si>
    <t>HLG0273378</t>
  </si>
  <si>
    <t>MONTE OLIVIA  220N</t>
  </si>
  <si>
    <t>24/05/2022 18|:00</t>
  </si>
  <si>
    <t>LA0247462</t>
  </si>
  <si>
    <t>CAIU3398348</t>
  </si>
  <si>
    <t>429 / 430 / 431 / 432 / 433</t>
  </si>
  <si>
    <t>MERCOSUL SUAPE 304S</t>
  </si>
  <si>
    <t>0/05/2022 09:00</t>
  </si>
  <si>
    <t>SOROCABA-SP</t>
  </si>
  <si>
    <t>MRKU8890603</t>
  </si>
  <si>
    <t>MLBR2624085</t>
  </si>
  <si>
    <t xml:space="preserve">1694351 / 1745427 / 1847982 / 1858570 / 1858571 / 1858577 / 1873589 / 1873626 / 1878356 / 1873571 / 1879990 / 1879993 / 1887948 / 1897348 / 1907317 / 1907321 </t>
  </si>
  <si>
    <t>MAERSK LONDRINA  22E</t>
  </si>
  <si>
    <t>PWD9243</t>
  </si>
  <si>
    <t xml:space="preserve">MAURO ANDRE GUERRA </t>
  </si>
  <si>
    <t>25676961805</t>
  </si>
  <si>
    <t>01364436674</t>
  </si>
  <si>
    <t>JUN</t>
  </si>
  <si>
    <t>0003/2022</t>
  </si>
  <si>
    <t>EBKG02819440</t>
  </si>
  <si>
    <t>MEDU6019500</t>
  </si>
  <si>
    <t>FJ14147727</t>
  </si>
  <si>
    <t>MSC SABRINA  WW222R</t>
  </si>
  <si>
    <t>AHE0788</t>
  </si>
  <si>
    <t>MONTREAL</t>
  </si>
  <si>
    <t>0014/2022</t>
  </si>
  <si>
    <t>EBKG03106370</t>
  </si>
  <si>
    <t>TRHU1485630</t>
  </si>
  <si>
    <t>FJ14147725</t>
  </si>
  <si>
    <t>34382 / 34834</t>
  </si>
  <si>
    <t>MSC SABRINA WW222R</t>
  </si>
  <si>
    <t>EVO1856</t>
  </si>
  <si>
    <t>TGBU4379372</t>
  </si>
  <si>
    <t>0020|2022</t>
  </si>
  <si>
    <t>EBKG03235821</t>
  </si>
  <si>
    <t>MEDU2099596</t>
  </si>
  <si>
    <t>FJ14132119</t>
  </si>
  <si>
    <t>ATHENS GLORY  223N</t>
  </si>
  <si>
    <t>HOUSTON</t>
  </si>
  <si>
    <t>0015|2022</t>
  </si>
  <si>
    <t>2SSZ036021</t>
  </si>
  <si>
    <t>TEMU3507587</t>
  </si>
  <si>
    <t>MLBR2608518</t>
  </si>
  <si>
    <t>MONTE CERVANTES  222N</t>
  </si>
  <si>
    <t>0050|2022</t>
  </si>
  <si>
    <t>GESU9536679</t>
  </si>
  <si>
    <t>HLG0205089</t>
  </si>
  <si>
    <t>PURO PELLET</t>
  </si>
  <si>
    <t>ITAJAÍ-SC</t>
  </si>
  <si>
    <t>MSC BUSAN  MM222R</t>
  </si>
  <si>
    <t>GENOA</t>
  </si>
  <si>
    <t>HLBU1917961</t>
  </si>
  <si>
    <t>HLG0200004</t>
  </si>
  <si>
    <t>NORTHERN DEMOCRAT  2225E</t>
  </si>
  <si>
    <t>SLSU8067927</t>
  </si>
  <si>
    <t>HLG0208037</t>
  </si>
  <si>
    <t>HLXU8184138</t>
  </si>
  <si>
    <t>HLG0208243</t>
  </si>
  <si>
    <t>BMOU6604524</t>
  </si>
  <si>
    <t>HLG0208147</t>
  </si>
  <si>
    <t>BEAU4729981</t>
  </si>
  <si>
    <t>HLG0208089</t>
  </si>
  <si>
    <t>2430/22</t>
  </si>
  <si>
    <t>HLBU2545977</t>
  </si>
  <si>
    <t>HLG0208118</t>
  </si>
  <si>
    <t>TEMPANOS  2219N</t>
  </si>
  <si>
    <t>18990500869</t>
  </si>
  <si>
    <t>2475/22</t>
  </si>
  <si>
    <t>FANU1474633</t>
  </si>
  <si>
    <t>HLG0208096</t>
  </si>
  <si>
    <t>BUS5619</t>
  </si>
  <si>
    <t>DTV5836</t>
  </si>
  <si>
    <t>GELSON LEMOS RIBEIRO</t>
  </si>
  <si>
    <t>73350419887</t>
  </si>
  <si>
    <t>01449022605</t>
  </si>
  <si>
    <t>2485/22</t>
  </si>
  <si>
    <t>FANU1206076</t>
  </si>
  <si>
    <t>HLG0208149</t>
  </si>
  <si>
    <t>MRKU4531159</t>
  </si>
  <si>
    <t>MLBR2529287</t>
  </si>
  <si>
    <t>SAN VICENTE  224N</t>
  </si>
  <si>
    <t>22/0/2022 13:00</t>
  </si>
  <si>
    <t>PRAIA</t>
  </si>
  <si>
    <t>AJINOMOTO</t>
  </si>
  <si>
    <t>LIMEIRA-SP</t>
  </si>
  <si>
    <t>S322322983</t>
  </si>
  <si>
    <t>GRANDE BUENOS AIRES  GBA0322</t>
  </si>
  <si>
    <t>S322334171</t>
  </si>
  <si>
    <t>CXPSSZ282/22</t>
  </si>
  <si>
    <t>LA0250216</t>
  </si>
  <si>
    <t>SEGU1061695</t>
  </si>
  <si>
    <t>MERCOSUL SUAPE  306S</t>
  </si>
  <si>
    <t>241ISZ2088455</t>
  </si>
  <si>
    <t>TCNU7458346</t>
  </si>
  <si>
    <t>FJ14172070</t>
  </si>
  <si>
    <t>MONTE TAMARO 226N</t>
  </si>
  <si>
    <t>01991849508</t>
  </si>
  <si>
    <t>0026|2022</t>
  </si>
  <si>
    <t>EBKG03451210</t>
  </si>
  <si>
    <t>TEMU4446320</t>
  </si>
  <si>
    <t>FJ14171219</t>
  </si>
  <si>
    <t>0027|2022</t>
  </si>
  <si>
    <t>EBKG03451196</t>
  </si>
  <si>
    <t>MEDU6437731</t>
  </si>
  <si>
    <t>FJ14171201</t>
  </si>
  <si>
    <t>0025|2022</t>
  </si>
  <si>
    <t>2SSZ044573</t>
  </si>
  <si>
    <t>HASU1203077</t>
  </si>
  <si>
    <t>MLBR2660099</t>
  </si>
  <si>
    <t>MONTE VERDE 225N</t>
  </si>
  <si>
    <t>TO 007|2022</t>
  </si>
  <si>
    <t>EXFU669788-6</t>
  </si>
  <si>
    <t>01539723 / 01539724 / 01539725 / 01539726</t>
  </si>
  <si>
    <t>SEASPAN RAPTOR  2219E</t>
  </si>
  <si>
    <t>VC5750739</t>
  </si>
  <si>
    <t>JUL</t>
  </si>
  <si>
    <t>2520/22</t>
  </si>
  <si>
    <t>SEGU5458989</t>
  </si>
  <si>
    <t>HLG0216866</t>
  </si>
  <si>
    <t>LODUR  2227E</t>
  </si>
  <si>
    <t>HLBU2011040</t>
  </si>
  <si>
    <t>HLG0198380</t>
  </si>
  <si>
    <t>HLBU2847283</t>
  </si>
  <si>
    <t>HLG0198261</t>
  </si>
  <si>
    <t>DTV9G77</t>
  </si>
  <si>
    <t>0028|2022</t>
  </si>
  <si>
    <t>2SSZ046512</t>
  </si>
  <si>
    <t>MRKU9954929</t>
  </si>
  <si>
    <t>MLBR2660373</t>
  </si>
  <si>
    <t>MONTE OLIVIA  227N</t>
  </si>
  <si>
    <t>0029|2022</t>
  </si>
  <si>
    <t>2SSZ046505</t>
  </si>
  <si>
    <t>MSKU7428824</t>
  </si>
  <si>
    <t>MLBR2660372</t>
  </si>
  <si>
    <t>34799 / 34800</t>
  </si>
  <si>
    <t>HASU4398516</t>
  </si>
  <si>
    <t>MLBR2675222</t>
  </si>
  <si>
    <t>CAP SAN RAPHAEL  227N</t>
  </si>
  <si>
    <t>AHP6I00</t>
  </si>
  <si>
    <t>NAW9108</t>
  </si>
  <si>
    <t>PAULO ROBERTO GERMANO</t>
  </si>
  <si>
    <t>03965340824</t>
  </si>
  <si>
    <t>01420704735</t>
  </si>
  <si>
    <t>AARHUS</t>
  </si>
  <si>
    <t>MSKU0994619</t>
  </si>
  <si>
    <t>MLBR2675383</t>
  </si>
  <si>
    <t>MALU / EDINHO</t>
  </si>
  <si>
    <t>MRKU6053260</t>
  </si>
  <si>
    <t>MLBR2675224</t>
  </si>
  <si>
    <t>GILVAN LOURENTINO DA SILVA</t>
  </si>
  <si>
    <t>HASU5191610</t>
  </si>
  <si>
    <t>MLBR2670835</t>
  </si>
  <si>
    <t>FEI4349</t>
  </si>
  <si>
    <t>FEI4905</t>
  </si>
  <si>
    <t>ELISIO CAVALCANTE DE ALBUQUERQUE</t>
  </si>
  <si>
    <t>87073730404</t>
  </si>
  <si>
    <t>04414696830</t>
  </si>
  <si>
    <t>FSCU8313720</t>
  </si>
  <si>
    <t>MLBR2670805</t>
  </si>
  <si>
    <t>13212c / 13219</t>
  </si>
  <si>
    <t>MSKU1741132</t>
  </si>
  <si>
    <t>MLBR2675360</t>
  </si>
  <si>
    <t>ELIZEU FERNANDES CRUZ</t>
  </si>
  <si>
    <t>03383277308</t>
  </si>
  <si>
    <t>MRSU3143320</t>
  </si>
  <si>
    <t>MLBR2670993</t>
  </si>
  <si>
    <t>CGS8H51</t>
  </si>
  <si>
    <t>BUD5G36</t>
  </si>
  <si>
    <t>CARLOS HENRIQUE MENDES</t>
  </si>
  <si>
    <t>19934496801</t>
  </si>
  <si>
    <t>01195670843</t>
  </si>
  <si>
    <t>13213c / 13218</t>
  </si>
  <si>
    <t>TRHU4951291</t>
  </si>
  <si>
    <t>MLBR2670847</t>
  </si>
  <si>
    <t>ABZ8B81</t>
  </si>
  <si>
    <t>BUD7B12</t>
  </si>
  <si>
    <t>JOSE VANILDO DA SILVA</t>
  </si>
  <si>
    <t>66006740400</t>
  </si>
  <si>
    <t>04068555877</t>
  </si>
  <si>
    <t>TGBU5378426</t>
  </si>
  <si>
    <t>MLBR2670871</t>
  </si>
  <si>
    <t>FEI4352</t>
  </si>
  <si>
    <t>FEI4906</t>
  </si>
  <si>
    <t>ROGER CORREIA DO NASCIMENTO</t>
  </si>
  <si>
    <t>22993763806</t>
  </si>
  <si>
    <t>03706108900</t>
  </si>
  <si>
    <t>MRKU5195320</t>
  </si>
  <si>
    <t>MLBR2670927</t>
  </si>
  <si>
    <t>CRY6I27</t>
  </si>
  <si>
    <t>GQD8C43</t>
  </si>
  <si>
    <t>CRISTIAN FERREIRA DE OLIVEIRA</t>
  </si>
  <si>
    <t>34396159870</t>
  </si>
  <si>
    <t>03863368016</t>
  </si>
  <si>
    <t>0016|2022</t>
  </si>
  <si>
    <t>EBKG03392621</t>
  </si>
  <si>
    <t>TGHU0130613</t>
  </si>
  <si>
    <t>FJ14196486</t>
  </si>
  <si>
    <t>34823 / 34824</t>
  </si>
  <si>
    <t>MH HAMBURG  228N</t>
  </si>
  <si>
    <t>SAVANNAH</t>
  </si>
  <si>
    <t>HLBU1624686</t>
  </si>
  <si>
    <t>HLG0205630 / H096500</t>
  </si>
  <si>
    <t>POLONIA  2229E</t>
  </si>
  <si>
    <t>MATADI</t>
  </si>
  <si>
    <t xml:space="preserve">CXPSSZ291/22 </t>
  </si>
  <si>
    <t>LA0254794</t>
  </si>
  <si>
    <t>CAIU3400810</t>
  </si>
  <si>
    <t xml:space="preserve">441 / 442 / 443 / 444 / 445 </t>
  </si>
  <si>
    <t>MERCOSUL SANTOS  307S</t>
  </si>
  <si>
    <t>LGF</t>
  </si>
  <si>
    <t>POUSO ALEGTRE-MG</t>
  </si>
  <si>
    <t>MKT4220322</t>
  </si>
  <si>
    <t>22/0311585-2</t>
  </si>
  <si>
    <t>CSNU6507651</t>
  </si>
  <si>
    <t>EUDMARCO</t>
  </si>
  <si>
    <t>19/27/2022 07:00</t>
  </si>
  <si>
    <t>21/07/202 12:00</t>
  </si>
  <si>
    <t>13281 / 13341</t>
  </si>
  <si>
    <t>0030|2022</t>
  </si>
  <si>
    <t>2SSZ049837</t>
  </si>
  <si>
    <t>MSKU3131571</t>
  </si>
  <si>
    <t>MLBR2827435</t>
  </si>
  <si>
    <t>MONTE ALEGRE  228N</t>
  </si>
  <si>
    <t>048|2022</t>
  </si>
  <si>
    <t>UACU4778538</t>
  </si>
  <si>
    <t>HLG3853689</t>
  </si>
  <si>
    <t>CXPMAO294-22</t>
  </si>
  <si>
    <t>P10384274</t>
  </si>
  <si>
    <t>CMAU7918121</t>
  </si>
  <si>
    <t>H8427636</t>
  </si>
  <si>
    <t>LOGIN POLARIS  070N</t>
  </si>
  <si>
    <t>SEKU5489140</t>
  </si>
  <si>
    <t>H8427635</t>
  </si>
  <si>
    <t>MEX-116/22</t>
  </si>
  <si>
    <t>CSNU6637357</t>
  </si>
  <si>
    <t>457874 / 003585</t>
  </si>
  <si>
    <t>CMA CGM VERA CRUZ  0GBCGN1MA</t>
  </si>
  <si>
    <t>CXPMAO296-22</t>
  </si>
  <si>
    <t>LA0257930</t>
  </si>
  <si>
    <t>CIPU5003144</t>
  </si>
  <si>
    <t>MERCOSUL SANTOS  310N</t>
  </si>
  <si>
    <t>TCLU8701849</t>
  </si>
  <si>
    <t>241ISZ2105747</t>
  </si>
  <si>
    <t>MSCU5088243</t>
  </si>
  <si>
    <t>FJ14196035</t>
  </si>
  <si>
    <t>MONTE ROSA  231N</t>
  </si>
  <si>
    <t>VC 5822942</t>
  </si>
  <si>
    <t>AGO</t>
  </si>
  <si>
    <t>FVE22200541</t>
  </si>
  <si>
    <t>22/1454641-2</t>
  </si>
  <si>
    <t>MEDU2604300</t>
  </si>
  <si>
    <t>SEAMAX NEW HAVEN</t>
  </si>
  <si>
    <t>FNE1C53</t>
  </si>
  <si>
    <t>BXF6124</t>
  </si>
  <si>
    <t>LUCAS TEIXEIRA COSTA</t>
  </si>
  <si>
    <t>05826127805</t>
  </si>
  <si>
    <t>02397620357</t>
  </si>
  <si>
    <t>TRANSBRASA</t>
  </si>
  <si>
    <t>SSZ1296881</t>
  </si>
  <si>
    <t>CMAU8456917</t>
  </si>
  <si>
    <t>H8425024</t>
  </si>
  <si>
    <t>CMA CGM MALTA  0HKSJN1MA</t>
  </si>
  <si>
    <t>03/08/2022 21;15</t>
  </si>
  <si>
    <t>MANZANILLO</t>
  </si>
  <si>
    <t>0032|2022</t>
  </si>
  <si>
    <t>EBKG03726107</t>
  </si>
  <si>
    <t>MEDU5004085</t>
  </si>
  <si>
    <t>FJ14723987</t>
  </si>
  <si>
    <t>AGIOS DIMITRIOS  UA231R</t>
  </si>
  <si>
    <t>VC5839223</t>
  </si>
  <si>
    <t>HLBU2461670</t>
  </si>
  <si>
    <t>HLG0269474</t>
  </si>
  <si>
    <t>NORTHERN DEMOCRAT  2231E</t>
  </si>
  <si>
    <t>S322702211</t>
  </si>
  <si>
    <t>GCNU4699861</t>
  </si>
  <si>
    <t>SA482243</t>
  </si>
  <si>
    <t>GRANDE GABON  GGA0422</t>
  </si>
  <si>
    <t>S322702149</t>
  </si>
  <si>
    <t>DRYU9353193</t>
  </si>
  <si>
    <t>SA482233</t>
  </si>
  <si>
    <t>FEJ6A19</t>
  </si>
  <si>
    <t>FSCU8754372</t>
  </si>
  <si>
    <t>DIMITRIS C  0GBCIN1MA</t>
  </si>
  <si>
    <t>TCNU4656970</t>
  </si>
  <si>
    <t>HLG3852719</t>
  </si>
  <si>
    <t>LODUR  2233E</t>
  </si>
  <si>
    <t>2631/22</t>
  </si>
  <si>
    <t>HLBU1970842</t>
  </si>
  <si>
    <t>HLG3850817</t>
  </si>
  <si>
    <t>17/08/202 12:00</t>
  </si>
  <si>
    <t>HLBU1358760</t>
  </si>
  <si>
    <t>HLG3850815</t>
  </si>
  <si>
    <t>04031990855</t>
  </si>
  <si>
    <t>HLBU3123976</t>
  </si>
  <si>
    <t>HLG3850868</t>
  </si>
  <si>
    <t>TCLU5532956</t>
  </si>
  <si>
    <t>HLG3850816</t>
  </si>
  <si>
    <t>MMD2650</t>
  </si>
  <si>
    <t>ECT7E82</t>
  </si>
  <si>
    <t>JUAREZ IZIDORO DOS SANTOS</t>
  </si>
  <si>
    <t>24642512837</t>
  </si>
  <si>
    <t>FANU1693349</t>
  </si>
  <si>
    <t>HLG3850765</t>
  </si>
  <si>
    <t xml:space="preserve">LA0262914 </t>
  </si>
  <si>
    <t>TEMU8333256</t>
  </si>
  <si>
    <t xml:space="preserve">LOGIN POLARIS  072N </t>
  </si>
  <si>
    <t>22/08/202 18:00</t>
  </si>
  <si>
    <t>CXPSSZ295/22</t>
  </si>
  <si>
    <t>LA0259005 - 621 / 622 / 623</t>
  </si>
  <si>
    <t>TRHU1990381</t>
  </si>
  <si>
    <t>446 / 447 / 448 / 449 / 450 /451</t>
  </si>
  <si>
    <t>MERCOSUL SUAPE  310S</t>
  </si>
  <si>
    <t>CLASSIC MOVEIS</t>
  </si>
  <si>
    <t>SSZ1300924</t>
  </si>
  <si>
    <t>CMAU5829719</t>
  </si>
  <si>
    <t>H8314696</t>
  </si>
  <si>
    <t>CMA CGM PUERTO ANTIOQUIA 0HK71N1MA</t>
  </si>
  <si>
    <t>TRANSVAZIO / MULINHA</t>
  </si>
  <si>
    <t>CMAU6003676</t>
  </si>
  <si>
    <t>H8314691</t>
  </si>
  <si>
    <t>CAIU4485088</t>
  </si>
  <si>
    <t>HLG0224211</t>
  </si>
  <si>
    <t>MSC MELINE  MM233R</t>
  </si>
  <si>
    <t>VC5876436</t>
  </si>
  <si>
    <t>HLBU1296442</t>
  </si>
  <si>
    <t>HLG0268029</t>
  </si>
  <si>
    <t>FUG7F95</t>
  </si>
  <si>
    <t>FOA1E86</t>
  </si>
  <si>
    <t>WAGNER LUIZ COSTA</t>
  </si>
  <si>
    <t>14994589836</t>
  </si>
  <si>
    <t>01526525666</t>
  </si>
  <si>
    <t>VC5876462</t>
  </si>
  <si>
    <t>HLXU8305559</t>
  </si>
  <si>
    <t>HLG0268021</t>
  </si>
  <si>
    <t>FGI7F22</t>
  </si>
  <si>
    <t>VC5876479</t>
  </si>
  <si>
    <t>HLXU8144243</t>
  </si>
  <si>
    <t>HLG0268025</t>
  </si>
  <si>
    <t>BOX5686</t>
  </si>
  <si>
    <t>FNV2G56</t>
  </si>
  <si>
    <t>WESLEI SANTOS MOLINA</t>
  </si>
  <si>
    <t>22874432822</t>
  </si>
  <si>
    <t>03803052605</t>
  </si>
  <si>
    <t>VC5876574</t>
  </si>
  <si>
    <t>HLBU2385755</t>
  </si>
  <si>
    <t>HLG0268027</t>
  </si>
  <si>
    <t>FLA8A97</t>
  </si>
  <si>
    <t>VC5876508</t>
  </si>
  <si>
    <t>CAIU8456220</t>
  </si>
  <si>
    <t>HLG0268023</t>
  </si>
  <si>
    <t>FYZ8F25</t>
  </si>
  <si>
    <t>FXN2J47</t>
  </si>
  <si>
    <t>CRISTIANO LAZARO MARTINS</t>
  </si>
  <si>
    <t>2218160320</t>
  </si>
  <si>
    <t>02026585790</t>
  </si>
  <si>
    <t>VC5876556</t>
  </si>
  <si>
    <t>TCLU8069953</t>
  </si>
  <si>
    <t>HLG0268022</t>
  </si>
  <si>
    <t>FKP1E48</t>
  </si>
  <si>
    <t>VC5876521</t>
  </si>
  <si>
    <t>MRKU2093285</t>
  </si>
  <si>
    <t>MLBR2846555</t>
  </si>
  <si>
    <t>MONTE PASCOAL  235N</t>
  </si>
  <si>
    <t>13617C / 13622</t>
  </si>
  <si>
    <t>7606552 / 7750575 / 8258211 / 8258272 / 7750380 / 8258282 / 8258123 / 8258265 / 8258341 / 8257981</t>
  </si>
  <si>
    <t>ZIMUSNT8066727</t>
  </si>
  <si>
    <t>TLLU4585585</t>
  </si>
  <si>
    <t>ZZZS948787</t>
  </si>
  <si>
    <t>3795063 / 3795064 / 3795065 / 3795066 / 1636701 / 1636702 / 1636698 / 1636699 / 1636700 / 1636703</t>
  </si>
  <si>
    <t>CONTSHIP KEY  65N</t>
  </si>
  <si>
    <t>EKH4C25</t>
  </si>
  <si>
    <t>DAO7B51</t>
  </si>
  <si>
    <t>13629 / 13641</t>
  </si>
  <si>
    <t>CXPMAO301-22</t>
  </si>
  <si>
    <t>LA0264086</t>
  </si>
  <si>
    <t>FFAU1701482</t>
  </si>
  <si>
    <t>MERCOSUL ITAJAI  169N</t>
  </si>
  <si>
    <t>FUR2F35</t>
  </si>
  <si>
    <t>2599/22</t>
  </si>
  <si>
    <t>SSZ1301174</t>
  </si>
  <si>
    <t>CMAU6677626</t>
  </si>
  <si>
    <t>3700</t>
  </si>
  <si>
    <t>H8411226</t>
  </si>
  <si>
    <t>EXPRESS BRAZIL  0GBCMN1MA-NB</t>
  </si>
  <si>
    <t>SET</t>
  </si>
  <si>
    <t>TRHU8963562</t>
  </si>
  <si>
    <t>H8411099</t>
  </si>
  <si>
    <t>CMAU8508899</t>
  </si>
  <si>
    <t>H8411225</t>
  </si>
  <si>
    <t>TECUMSEH</t>
  </si>
  <si>
    <t>CXPMAO303-22</t>
  </si>
  <si>
    <t>LA0264093</t>
  </si>
  <si>
    <t>TCLU5012189</t>
  </si>
  <si>
    <t>MECOSUL SANTOS  0BCBVN1RC</t>
  </si>
  <si>
    <t>CXPMAO304-22</t>
  </si>
  <si>
    <t>LA0265333</t>
  </si>
  <si>
    <t>SEGU4046884</t>
  </si>
  <si>
    <t>MERCOSUL SUAPE  313N</t>
  </si>
  <si>
    <t>1309/2022 08:00</t>
  </si>
  <si>
    <t>13738C / 13739</t>
  </si>
  <si>
    <t>2642/22</t>
  </si>
  <si>
    <t>FDCU0344310</t>
  </si>
  <si>
    <t>HLG2149980</t>
  </si>
  <si>
    <t>SUAPE EXPRESS  2232N</t>
  </si>
  <si>
    <t>BALTIMORE</t>
  </si>
  <si>
    <t>2643/22</t>
  </si>
  <si>
    <t>FANU1088142</t>
  </si>
  <si>
    <t>HLG2149881</t>
  </si>
  <si>
    <t>2646/22</t>
  </si>
  <si>
    <t>FANU1713511</t>
  </si>
  <si>
    <t>HLG2149890</t>
  </si>
  <si>
    <t>PAULO HENRIQUE TEIXEIRA</t>
  </si>
  <si>
    <t>16231246892</t>
  </si>
  <si>
    <t>00938981953</t>
  </si>
  <si>
    <t>HLBU1413111</t>
  </si>
  <si>
    <t>HLG3863649</t>
  </si>
  <si>
    <t>MONTE CERVANTES  236N</t>
  </si>
  <si>
    <t>CXPMAO305-22</t>
  </si>
  <si>
    <t>P10388940</t>
  </si>
  <si>
    <t>TLLU4512450</t>
  </si>
  <si>
    <t>H8413845</t>
  </si>
  <si>
    <t>LOGIN POLARIS  0BCBZN1RCN</t>
  </si>
  <si>
    <t>CXPMAO306/22</t>
  </si>
  <si>
    <t>P10389005</t>
  </si>
  <si>
    <t>CMAU7695898</t>
  </si>
  <si>
    <t>4HC</t>
  </si>
  <si>
    <t>H8413893</t>
  </si>
  <si>
    <t>TCLU4935598</t>
  </si>
  <si>
    <t>H8413898</t>
  </si>
  <si>
    <t>ANÁPOLIS-GO</t>
  </si>
  <si>
    <t>TO 011/22</t>
  </si>
  <si>
    <t>GMCU3055027</t>
  </si>
  <si>
    <t>MAERSK LAGUNA  237E</t>
  </si>
  <si>
    <t>VC: 5930360</t>
  </si>
  <si>
    <t>S220814929</t>
  </si>
  <si>
    <t>TCNU7518240</t>
  </si>
  <si>
    <t>0055456</t>
  </si>
  <si>
    <t>1646645 / 1646646 / 1646647 / 3819845</t>
  </si>
  <si>
    <t xml:space="preserve">UAL FORTITUDE  UAL100 </t>
  </si>
  <si>
    <t>13829 / 13830</t>
  </si>
  <si>
    <t>MONTE OLIVIA  234N</t>
  </si>
  <si>
    <t>2685/22</t>
  </si>
  <si>
    <t>1KT688506</t>
  </si>
  <si>
    <t>MSKU0674338</t>
  </si>
  <si>
    <t>MLBR2838328</t>
  </si>
  <si>
    <t>MAERSK LEON  237N</t>
  </si>
  <si>
    <t>23/0/2022 18:00</t>
  </si>
  <si>
    <t>VC: 5939164</t>
  </si>
  <si>
    <t>MRKU2682454</t>
  </si>
  <si>
    <t>MLBR2838334</t>
  </si>
  <si>
    <t>VC: 5939214</t>
  </si>
  <si>
    <t>MRKU3803524</t>
  </si>
  <si>
    <t>MLBR2838354</t>
  </si>
  <si>
    <t>03803034863</t>
  </si>
  <si>
    <t>VC: 5939151</t>
  </si>
  <si>
    <t>MRKU6150871</t>
  </si>
  <si>
    <t>MLBR2838342</t>
  </si>
  <si>
    <t>VC: 5939111</t>
  </si>
  <si>
    <t>MRSU3570955</t>
  </si>
  <si>
    <t>MLBR2838448</t>
  </si>
  <si>
    <t>JAILTON GEOVANIO TAVARES DOS SANTOS</t>
  </si>
  <si>
    <t>33913917829</t>
  </si>
  <si>
    <t>03312585500</t>
  </si>
  <si>
    <t>VC: 5939138</t>
  </si>
  <si>
    <t>MSKU0754346</t>
  </si>
  <si>
    <t>MLBR2948877</t>
  </si>
  <si>
    <t>VC: 5939230</t>
  </si>
  <si>
    <t>MULINHA / EMBRACONT</t>
  </si>
  <si>
    <t>ADIMAX</t>
  </si>
  <si>
    <t>SALTO DE PIRAPORA-SP</t>
  </si>
  <si>
    <t>BKKTS001533</t>
  </si>
  <si>
    <t>22/1780698-9</t>
  </si>
  <si>
    <t>TGBU5944307</t>
  </si>
  <si>
    <t>GFL-7E87</t>
  </si>
  <si>
    <t>TERMARES</t>
  </si>
  <si>
    <t>TRANSTEC GUARUJÁ</t>
  </si>
  <si>
    <t>13848c / 13849</t>
  </si>
  <si>
    <t>UACU5713980</t>
  </si>
  <si>
    <t>HLG0278755</t>
  </si>
  <si>
    <t>TENO  MM237R</t>
  </si>
  <si>
    <t>FUD3J21</t>
  </si>
  <si>
    <t>22181603820</t>
  </si>
  <si>
    <t>VC: 5942143</t>
  </si>
  <si>
    <t>HLBU1154469</t>
  </si>
  <si>
    <t>HLG0278757</t>
  </si>
  <si>
    <t>GAY6G09</t>
  </si>
  <si>
    <t>VC: 5948653</t>
  </si>
  <si>
    <t>FDCU0193851</t>
  </si>
  <si>
    <t>HLG0278902</t>
  </si>
  <si>
    <t>GBJ6F45</t>
  </si>
  <si>
    <t>GAK5I91</t>
  </si>
  <si>
    <t>JOSIVALDO JOSÉ DA SILVA</t>
  </si>
  <si>
    <t>09051036450</t>
  </si>
  <si>
    <t>05416069742</t>
  </si>
  <si>
    <t>VC: 5948645</t>
  </si>
  <si>
    <t>TCLU1457535</t>
  </si>
  <si>
    <t>HLG0278910</t>
  </si>
  <si>
    <t>FCA4F77</t>
  </si>
  <si>
    <t>vc: 5942163</t>
  </si>
  <si>
    <t>MOACIR / EMBRACOPNT</t>
  </si>
  <si>
    <t>TCLU8059256</t>
  </si>
  <si>
    <t>HLG0278901</t>
  </si>
  <si>
    <t>EPA6054</t>
  </si>
  <si>
    <t>FYB6J62</t>
  </si>
  <si>
    <t>LEONALDO VIEIRA DA MOTA</t>
  </si>
  <si>
    <t>37369922898</t>
  </si>
  <si>
    <t>03880819828</t>
  </si>
  <si>
    <t>VC: 5942134</t>
  </si>
  <si>
    <t>TCNU5220620</t>
  </si>
  <si>
    <t>HLG3856902</t>
  </si>
  <si>
    <t>FCP7E68</t>
  </si>
  <si>
    <t>HLXU8637867</t>
  </si>
  <si>
    <t>HLG3856954</t>
  </si>
  <si>
    <t>VC: 5941060</t>
  </si>
  <si>
    <t>INFIBRA</t>
  </si>
  <si>
    <t>TS-22/19820</t>
  </si>
  <si>
    <t>SSZ1312623</t>
  </si>
  <si>
    <t>HARIS  0HKSXN1MA</t>
  </si>
  <si>
    <t>0019/2022</t>
  </si>
  <si>
    <t>2SSZ064214</t>
  </si>
  <si>
    <t>MRKU7495543</t>
  </si>
  <si>
    <t>MLBR2865480</t>
  </si>
  <si>
    <t>35494 / 35516</t>
  </si>
  <si>
    <t>MONTE AZUL  238N</t>
  </si>
  <si>
    <t>GSV1944</t>
  </si>
  <si>
    <t>DPC7975</t>
  </si>
  <si>
    <t>JOSÉ SOARES ALVES</t>
  </si>
  <si>
    <t>10276953886</t>
  </si>
  <si>
    <t>01297932722</t>
  </si>
  <si>
    <t>0041/2022</t>
  </si>
  <si>
    <t>2SSZ064220</t>
  </si>
  <si>
    <t>MSKU3355210</t>
  </si>
  <si>
    <t>MLBR2865541</t>
  </si>
  <si>
    <t>DPC8I64</t>
  </si>
  <si>
    <t>BWF7F77</t>
  </si>
  <si>
    <t>27/09/202 17:20</t>
  </si>
  <si>
    <t>781c / 784</t>
  </si>
  <si>
    <t>TCLU6375065</t>
  </si>
  <si>
    <t>HLG3854487</t>
  </si>
  <si>
    <t>TCNU8374656</t>
  </si>
  <si>
    <t>HLG3854482</t>
  </si>
  <si>
    <t>TCLU5105640</t>
  </si>
  <si>
    <t>HLG3854483</t>
  </si>
  <si>
    <t>HAMU1164641</t>
  </si>
  <si>
    <t>HLG3854489</t>
  </si>
  <si>
    <t>BEAU4986001</t>
  </si>
  <si>
    <t>HLG2160986</t>
  </si>
  <si>
    <t>SEGU5840287</t>
  </si>
  <si>
    <t>HLG2160788</t>
  </si>
  <si>
    <t>VANILDO DA SILVA</t>
  </si>
  <si>
    <t>28/09/202 17:24</t>
  </si>
  <si>
    <t>DFSU7489371</t>
  </si>
  <si>
    <t>HLG2160981</t>
  </si>
  <si>
    <t>DPE7C65</t>
  </si>
  <si>
    <t>HLBU2791100</t>
  </si>
  <si>
    <t>HLG2160790</t>
  </si>
  <si>
    <t>BMOU9200911</t>
  </si>
  <si>
    <t>HLG2150895</t>
  </si>
  <si>
    <t>CAPE PIONEER</t>
  </si>
  <si>
    <t>EDINHO / MALU</t>
  </si>
  <si>
    <t>8589755 / 8413793</t>
  </si>
  <si>
    <t>MSKU4264394</t>
  </si>
  <si>
    <t>MLBR2838982</t>
  </si>
  <si>
    <t>3835822 / 3835823</t>
  </si>
  <si>
    <t>CAP SAN MARCO  239N</t>
  </si>
  <si>
    <t>EPU5990</t>
  </si>
  <si>
    <t>BSG1388</t>
  </si>
  <si>
    <t>LEANDRO SOARES CAETANO</t>
  </si>
  <si>
    <t>10485530864</t>
  </si>
  <si>
    <t>02033192841</t>
  </si>
  <si>
    <t>JAWAHARLAL</t>
  </si>
  <si>
    <t>0038/2022</t>
  </si>
  <si>
    <t>EBKG03948316</t>
  </si>
  <si>
    <t>FCIU5809889</t>
  </si>
  <si>
    <t>FJ14764009</t>
  </si>
  <si>
    <t>35561 /35562</t>
  </si>
  <si>
    <t>MSC BARBARA  UA237R</t>
  </si>
  <si>
    <t>MONTREL</t>
  </si>
  <si>
    <t>VC: 5963841</t>
  </si>
  <si>
    <t>SSZ1318827</t>
  </si>
  <si>
    <t>TCLU6547400</t>
  </si>
  <si>
    <t>H8345651</t>
  </si>
  <si>
    <t>CMA CGM FORT STE MARIE  0HK79N1MA</t>
  </si>
  <si>
    <t>CXPMAO309-22</t>
  </si>
  <si>
    <t>LA0269589</t>
  </si>
  <si>
    <t>AMFU8854592</t>
  </si>
  <si>
    <t>MERCOSUL SANTOS  314N</t>
  </si>
  <si>
    <t>TO 012/22</t>
  </si>
  <si>
    <t>RLTU3006449</t>
  </si>
  <si>
    <t>SEASPAN RAPTOR  2232E</t>
  </si>
  <si>
    <t>OUT</t>
  </si>
  <si>
    <t>HLBU1794050</t>
  </si>
  <si>
    <t>40DC</t>
  </si>
  <si>
    <t>HLG2162112</t>
  </si>
  <si>
    <t>GEMLIK EXPRESS  240W</t>
  </si>
  <si>
    <t>TCLU1482862</t>
  </si>
  <si>
    <t>HLG5022375</t>
  </si>
  <si>
    <t>MEDITERRANEAN EXPRESS  2236N</t>
  </si>
  <si>
    <t>ANDERSON GONÇALVES AMARO</t>
  </si>
  <si>
    <t>01625298137</t>
  </si>
  <si>
    <t>05063439799</t>
  </si>
  <si>
    <t>FANU1226241</t>
  </si>
  <si>
    <t>HLG5022321</t>
  </si>
  <si>
    <t>03048346870</t>
  </si>
  <si>
    <t>BEAU4546888</t>
  </si>
  <si>
    <t>HLG5022424</t>
  </si>
  <si>
    <t>TCNU8446709</t>
  </si>
  <si>
    <t>HLG5022426</t>
  </si>
  <si>
    <t>TCLU5097123</t>
  </si>
  <si>
    <t>HLG5022322</t>
  </si>
  <si>
    <t>TCNU6674401</t>
  </si>
  <si>
    <t>HLG5022488</t>
  </si>
  <si>
    <t>FBLU0123950</t>
  </si>
  <si>
    <t>HLG5022325</t>
  </si>
  <si>
    <t>01595628251</t>
  </si>
  <si>
    <t>UACU5510431</t>
  </si>
  <si>
    <t>HLG5022431</t>
  </si>
  <si>
    <t>ATACAMA  241E</t>
  </si>
  <si>
    <t>YOKOHAMA</t>
  </si>
  <si>
    <t>C.FERNANDO</t>
  </si>
  <si>
    <t>22/0452303-2</t>
  </si>
  <si>
    <t>MRKU6262300</t>
  </si>
  <si>
    <t>MLCN0463911</t>
  </si>
  <si>
    <t>ATACAMA  04016</t>
  </si>
  <si>
    <t>21/10/022 00:01</t>
  </si>
  <si>
    <t>14041c / 14042</t>
  </si>
  <si>
    <t>CXPMAO311/22</t>
  </si>
  <si>
    <t>LA0269396</t>
  </si>
  <si>
    <t>CAIU4703430</t>
  </si>
  <si>
    <t>LOGIN POLARIS  076N</t>
  </si>
  <si>
    <t>BEAU5605136</t>
  </si>
  <si>
    <t>CMA CGM VERACRUZ  0GBCWN1MA</t>
  </si>
  <si>
    <t>FFAU2746080</t>
  </si>
  <si>
    <t>CVN9A32</t>
  </si>
  <si>
    <t>DFSU7441423</t>
  </si>
  <si>
    <t>2644/22</t>
  </si>
  <si>
    <t>HLBU2815429</t>
  </si>
  <si>
    <t>HLG2178126</t>
  </si>
  <si>
    <t>TEMPANOS  2237N</t>
  </si>
  <si>
    <t>2645/22</t>
  </si>
  <si>
    <t>TGHU9270792</t>
  </si>
  <si>
    <t>HLG2177173</t>
  </si>
  <si>
    <t>ARTFLEXIVEIS</t>
  </si>
  <si>
    <t>TRÈS PONTAS-MG</t>
  </si>
  <si>
    <t>IMP-1448/22</t>
  </si>
  <si>
    <t>22/2009506-0</t>
  </si>
  <si>
    <t>HLBU9554245</t>
  </si>
  <si>
    <t>HLG4509817</t>
  </si>
  <si>
    <t>MSC SARA ELENA  03878</t>
  </si>
  <si>
    <t>TO015/22</t>
  </si>
  <si>
    <t>EXFU6671958</t>
  </si>
  <si>
    <t>1515238 / 1515237 / 1515236</t>
  </si>
  <si>
    <t>MAERSK LIMA  242E</t>
  </si>
  <si>
    <t>CPJ9874</t>
  </si>
  <si>
    <t>24/10/202 10:00</t>
  </si>
  <si>
    <t>VC: 6012801</t>
  </si>
  <si>
    <t>TO018/22</t>
  </si>
  <si>
    <t>EXFU6636751</t>
  </si>
  <si>
    <t>1515234 / 1515233/1515235/1515232</t>
  </si>
  <si>
    <t>CPJ9873</t>
  </si>
  <si>
    <t>VC: 6012806</t>
  </si>
  <si>
    <t>CXPMAO313-22</t>
  </si>
  <si>
    <t>LA0269948</t>
  </si>
  <si>
    <t>TCLU8165772</t>
  </si>
  <si>
    <t xml:space="preserve">MERCOSUL ITAJAI/173N </t>
  </si>
  <si>
    <t>CXPSSZ308/22</t>
  </si>
  <si>
    <t xml:space="preserve">CAIU3402509  </t>
  </si>
  <si>
    <t>458 / 459 / 460 / 462 / 466</t>
  </si>
  <si>
    <t xml:space="preserve">LOGIN POLARIS  075S </t>
  </si>
  <si>
    <t>OAJ1J50</t>
  </si>
  <si>
    <t>BWP9J59</t>
  </si>
  <si>
    <t>WILLIAMS DIONIZIO TEIXEIRA DOS SANTOS</t>
  </si>
  <si>
    <t>39669866472</t>
  </si>
  <si>
    <t>03304186289</t>
  </si>
  <si>
    <t>792 / 793 / 794 / 795</t>
  </si>
  <si>
    <t>TCNU7299291</t>
  </si>
  <si>
    <t>HLG2171754</t>
  </si>
  <si>
    <t>MONTE ALEGRE  242N</t>
  </si>
  <si>
    <t>EMBRACOT</t>
  </si>
  <si>
    <t>BSIU9854306</t>
  </si>
  <si>
    <t>HLG2171875</t>
  </si>
  <si>
    <t>DFSU7318661</t>
  </si>
  <si>
    <t>HLG2180467</t>
  </si>
  <si>
    <t>BSIU9866760</t>
  </si>
  <si>
    <t>HLG2171825</t>
  </si>
  <si>
    <t>TO017/22</t>
  </si>
  <si>
    <t>UTCU4677715</t>
  </si>
  <si>
    <t>1549174 / 1549173 / 1549171 / 1549172 / 1515227</t>
  </si>
  <si>
    <t>MSC CHANNE  FI242R</t>
  </si>
  <si>
    <t>26/10/022 17:30</t>
  </si>
  <si>
    <t>J-MACHINE</t>
  </si>
  <si>
    <t>PEDERNEIRAS-SP</t>
  </si>
  <si>
    <t>MRSU5729985</t>
  </si>
  <si>
    <t>MLBR2959161</t>
  </si>
  <si>
    <t>239 / 240</t>
  </si>
  <si>
    <t>MAERSK LAVRAS  243E</t>
  </si>
  <si>
    <t>FKD1G57</t>
  </si>
  <si>
    <t>FYC8H96</t>
  </si>
  <si>
    <t>26/10/20220 08:00</t>
  </si>
  <si>
    <t>vc: 6028111</t>
  </si>
  <si>
    <t>MAEU4047997</t>
  </si>
  <si>
    <t>40OT</t>
  </si>
  <si>
    <t>MLBR2969339</t>
  </si>
  <si>
    <t>237 / 238 / 242</t>
  </si>
  <si>
    <t>FKG1G57</t>
  </si>
  <si>
    <t>FSI7E73</t>
  </si>
  <si>
    <t>VC: 6028098</t>
  </si>
  <si>
    <t>EKA-131/2022</t>
  </si>
  <si>
    <t>22/2054770-0</t>
  </si>
  <si>
    <t>TRHU3105494</t>
  </si>
  <si>
    <t>A4220323305</t>
  </si>
  <si>
    <t>SEDER</t>
  </si>
  <si>
    <t>SAOC41725300</t>
  </si>
  <si>
    <t>TCLU1813174</t>
  </si>
  <si>
    <t>LAA791271</t>
  </si>
  <si>
    <t>119661 / 119662 / 119664 / 119665 / 119666</t>
  </si>
  <si>
    <t>MAIPO  2238N</t>
  </si>
  <si>
    <t>26/10/202218:40</t>
  </si>
  <si>
    <t>2706/22</t>
  </si>
  <si>
    <t>FCIU7491499</t>
  </si>
  <si>
    <t>HLG3848642</t>
  </si>
  <si>
    <t>NORTHERN DEMOCRAT  2243E</t>
  </si>
  <si>
    <t>TCLU5294740</t>
  </si>
  <si>
    <t>HLG3848640</t>
  </si>
  <si>
    <t>BEAU4984312</t>
  </si>
  <si>
    <t>HLG5018684</t>
  </si>
  <si>
    <t>POLONIA  2246E</t>
  </si>
  <si>
    <t>8620617/8620488</t>
  </si>
  <si>
    <t>MSKU6225231</t>
  </si>
  <si>
    <t>MLBR2964539</t>
  </si>
  <si>
    <t>3876641 / 1665045</t>
  </si>
  <si>
    <t>MONTE ACONCAGUA  245N</t>
  </si>
  <si>
    <t>14169 / 14170</t>
  </si>
  <si>
    <t>058/2022</t>
  </si>
  <si>
    <t>HLXU1305095</t>
  </si>
  <si>
    <t>HLG5022081</t>
  </si>
  <si>
    <t>RIO DE JANEIRO EXPRESS  2237E</t>
  </si>
  <si>
    <t>KUWAIT</t>
  </si>
  <si>
    <t>HLBU9245462</t>
  </si>
  <si>
    <t>HLG5023015</t>
  </si>
  <si>
    <t>AL SAFAT  244N</t>
  </si>
  <si>
    <t>NOV</t>
  </si>
  <si>
    <t>QUATRO K</t>
  </si>
  <si>
    <t>IMP.4257</t>
  </si>
  <si>
    <t>22-2152064-4</t>
  </si>
  <si>
    <t>TCNU7552455</t>
  </si>
  <si>
    <t>H6525911</t>
  </si>
  <si>
    <t>6888 / 6884 / 410343 / 410344 / 410345 / 410346 / 410347</t>
  </si>
  <si>
    <t>MAERSK LEON   241S</t>
  </si>
  <si>
    <t>14210 / 14220</t>
  </si>
  <si>
    <t>CXPMAO316/22</t>
  </si>
  <si>
    <t>LA0274945</t>
  </si>
  <si>
    <t>TCNU6134872</t>
  </si>
  <si>
    <t>LOGIN POLARIS  078N</t>
  </si>
  <si>
    <t>TLLU5952258</t>
  </si>
  <si>
    <t>HLG2146150</t>
  </si>
  <si>
    <t>POLONIA  246E</t>
  </si>
  <si>
    <t xml:space="preserve">JOSIVALDO JOSÉ DA SILVA </t>
  </si>
  <si>
    <t xml:space="preserve"> 09051036450</t>
  </si>
  <si>
    <t>CAPE TOWN</t>
  </si>
  <si>
    <t>HLBU1310746</t>
  </si>
  <si>
    <t>HLG2146050</t>
  </si>
  <si>
    <t>16/11/202208:14</t>
  </si>
  <si>
    <t>HLBU2417019</t>
  </si>
  <si>
    <t>HLG2146198</t>
  </si>
  <si>
    <t>12/11/022 12:15</t>
  </si>
  <si>
    <t>TCLU5551299</t>
  </si>
  <si>
    <t>HLG2146049</t>
  </si>
  <si>
    <t>FYL2F07</t>
  </si>
  <si>
    <t>FYC5F67</t>
  </si>
  <si>
    <t>JOSE MARCOS DOS SANTOS LOPES</t>
  </si>
  <si>
    <t xml:space="preserve"> 29656377885</t>
  </si>
  <si>
    <t>00957717305</t>
  </si>
  <si>
    <t>FANU1417947</t>
  </si>
  <si>
    <t>HLG2146097</t>
  </si>
  <si>
    <t>GAY7A68</t>
  </si>
  <si>
    <t>FCIU9108043</t>
  </si>
  <si>
    <t>HLG2146192</t>
  </si>
  <si>
    <t>FANU3107128</t>
  </si>
  <si>
    <t>HLG2146043</t>
  </si>
  <si>
    <t>CAIU8481347</t>
  </si>
  <si>
    <t>HLG2146191</t>
  </si>
  <si>
    <t>TCLU8330120</t>
  </si>
  <si>
    <t>HLG2146239</t>
  </si>
  <si>
    <t>8757954 / 8757962 / 8757964</t>
  </si>
  <si>
    <t>HLBU3445355</t>
  </si>
  <si>
    <t>HLG5023425</t>
  </si>
  <si>
    <t>1668607 / 1668608 / 1668609 / 1668610 / 1668611 / 1668612 / 1668613 / 1668614</t>
  </si>
  <si>
    <t>SUAPE EXPRESS  2241N</t>
  </si>
  <si>
    <t>CXPMAO321-22</t>
  </si>
  <si>
    <t>LA0275302</t>
  </si>
  <si>
    <t>TCLU8187597</t>
  </si>
  <si>
    <t>BARTOLOMEU DIAS  134N</t>
  </si>
  <si>
    <t>TEMU8499930</t>
  </si>
  <si>
    <t>2735/22</t>
  </si>
  <si>
    <t>SUDU5907903</t>
  </si>
  <si>
    <t>MLBR2862813</t>
  </si>
  <si>
    <t>MAERSK LAMANAI  245N</t>
  </si>
  <si>
    <t>CUA7F62</t>
  </si>
  <si>
    <t>BSG2J78</t>
  </si>
  <si>
    <t>CARGILL</t>
  </si>
  <si>
    <t>UBERLANDIA-MG</t>
  </si>
  <si>
    <t>HASU4495481</t>
  </si>
  <si>
    <t>MLBR2956223</t>
  </si>
  <si>
    <t>GSL ELEFTHERIA  246W</t>
  </si>
  <si>
    <t>1611/2022 12:00</t>
  </si>
  <si>
    <t>241ISZ2157825</t>
  </si>
  <si>
    <t>DFSU6512137</t>
  </si>
  <si>
    <t>FJ14785391</t>
  </si>
  <si>
    <t>ATHENS GLORY  246N</t>
  </si>
  <si>
    <t>6070102 NS/ 6074199</t>
  </si>
  <si>
    <t>241ISZ2157826</t>
  </si>
  <si>
    <t>MSDU5430149</t>
  </si>
  <si>
    <t>FJ14785268</t>
  </si>
  <si>
    <t>063-2022</t>
  </si>
  <si>
    <t>HLBU1011811</t>
  </si>
  <si>
    <t>HLG2146186</t>
  </si>
  <si>
    <t>064-2022</t>
  </si>
  <si>
    <t>TGBU9633622</t>
  </si>
  <si>
    <t>HLG2143808</t>
  </si>
  <si>
    <t>NYK DIANA  2242N</t>
  </si>
  <si>
    <t>8505505 / 8730667</t>
  </si>
  <si>
    <t>HLXU8146776</t>
  </si>
  <si>
    <t>HLG2148825</t>
  </si>
  <si>
    <t>AMSTERDAM EXPRESS  247W</t>
  </si>
  <si>
    <t>FJI4A22</t>
  </si>
  <si>
    <t>FDX5B66</t>
  </si>
  <si>
    <t>LUCIANO APARECIDO SIMÕES</t>
  </si>
  <si>
    <t>15728016898</t>
  </si>
  <si>
    <t>03101600380</t>
  </si>
  <si>
    <t>21/14/2022 19:00</t>
  </si>
  <si>
    <t>HLXU8290525</t>
  </si>
  <si>
    <t>HLG2148828</t>
  </si>
  <si>
    <t>FOD4B56</t>
  </si>
  <si>
    <t>FFAU1547818</t>
  </si>
  <si>
    <t>HLG2148830</t>
  </si>
  <si>
    <t>FUL4E92</t>
  </si>
  <si>
    <t>FOS3D86</t>
  </si>
  <si>
    <t>JEFFERSON VICENTE DA SILVA</t>
  </si>
  <si>
    <t>04715589400</t>
  </si>
  <si>
    <t>04956431831</t>
  </si>
  <si>
    <t>HLBU1316791</t>
  </si>
  <si>
    <t>HLG2148826</t>
  </si>
  <si>
    <t>FUA5A91</t>
  </si>
  <si>
    <t>MUNDIAUDIO</t>
  </si>
  <si>
    <t>RIBEIRÃO PRETO-SP</t>
  </si>
  <si>
    <t>SSSZ005609</t>
  </si>
  <si>
    <t>22/2275269-7</t>
  </si>
  <si>
    <t>MRKU7397510</t>
  </si>
  <si>
    <t>CMA CGM RHONE  242S</t>
  </si>
  <si>
    <t>HLBU2119523</t>
  </si>
  <si>
    <t>HLG5019557</t>
  </si>
  <si>
    <t>LODUR  2248E</t>
  </si>
  <si>
    <t>CXPSSZ312/22</t>
  </si>
  <si>
    <t>GESU1439353</t>
  </si>
  <si>
    <t>467/ 468 /469 / 470 / 473</t>
  </si>
  <si>
    <t xml:space="preserve">MERCOSUL ITAJAI  174S </t>
  </si>
  <si>
    <t>876 / 877 / 878 / 879</t>
  </si>
  <si>
    <t>050-2022</t>
  </si>
  <si>
    <t>MRKU8489695</t>
  </si>
  <si>
    <t>MLBR2957066</t>
  </si>
  <si>
    <t>CAP SAN MARCO  247N</t>
  </si>
  <si>
    <t>02972587906</t>
  </si>
  <si>
    <t>JEBEL ALI</t>
  </si>
  <si>
    <t>CXPMA324-22</t>
  </si>
  <si>
    <t>LA0277309</t>
  </si>
  <si>
    <t>CAAU5130691</t>
  </si>
  <si>
    <t>MERCOSUL SANTOS  318N</t>
  </si>
  <si>
    <t>8692300 / 8648244</t>
  </si>
  <si>
    <t>MRKU6819036</t>
  </si>
  <si>
    <t>MLBR3038257</t>
  </si>
  <si>
    <t>1673434 / 3908110</t>
  </si>
  <si>
    <t>GSL ARCADIA  249N</t>
  </si>
  <si>
    <t>BSG1D88</t>
  </si>
  <si>
    <t>14473 / 14474</t>
  </si>
  <si>
    <t>2739/22</t>
  </si>
  <si>
    <t>TGHU6063908</t>
  </si>
  <si>
    <t>MLBR2963147 / MLBR3023487</t>
  </si>
  <si>
    <t>CMA CGM COLUMBIA  247N</t>
  </si>
  <si>
    <t>MSKU1317607</t>
  </si>
  <si>
    <t>MLBR2963522</t>
  </si>
  <si>
    <t>MSKU8441311</t>
  </si>
  <si>
    <t>MLBR2963053</t>
  </si>
  <si>
    <t>14480 / 14482</t>
  </si>
  <si>
    <t>MRSU4109151</t>
  </si>
  <si>
    <t>MLBR2963011</t>
  </si>
  <si>
    <t>GESU6233299</t>
  </si>
  <si>
    <t>MLBR3037804</t>
  </si>
  <si>
    <t>THERMOTITE</t>
  </si>
  <si>
    <t>SERRA-ES</t>
  </si>
  <si>
    <t>SAOFIM22090046</t>
  </si>
  <si>
    <t>22/0542993-5</t>
  </si>
  <si>
    <t>MNBU3025372</t>
  </si>
  <si>
    <t>MLGB4394667</t>
  </si>
  <si>
    <t>CAP SAN ARTEMISSIO</t>
  </si>
  <si>
    <t>DEZ</t>
  </si>
  <si>
    <t>MNBU4314180</t>
  </si>
  <si>
    <t>MLGB4536966</t>
  </si>
  <si>
    <t>SSZ1330816</t>
  </si>
  <si>
    <t>TGHU9418555</t>
  </si>
  <si>
    <t>H8330177</t>
  </si>
  <si>
    <t>CMA CGM SAN FRANCISCO  0GBDLN1MA</t>
  </si>
  <si>
    <t>0042/2022</t>
  </si>
  <si>
    <t>2SSZ075342</t>
  </si>
  <si>
    <t>MRKU6985783</t>
  </si>
  <si>
    <t>MLBR2862482</t>
  </si>
  <si>
    <t>MONTE OLIVIA  248N</t>
  </si>
  <si>
    <t>BYA0806</t>
  </si>
  <si>
    <t>BWN2701</t>
  </si>
  <si>
    <t>MIGUEL ARNOLD</t>
  </si>
  <si>
    <t>10838670830</t>
  </si>
  <si>
    <t>01808675938</t>
  </si>
  <si>
    <t>934C / 935</t>
  </si>
  <si>
    <t>0043/2022</t>
  </si>
  <si>
    <t>2SSZ075348</t>
  </si>
  <si>
    <t>MRKU9371048</t>
  </si>
  <si>
    <t>MLBR2862481</t>
  </si>
  <si>
    <t>APV1133</t>
  </si>
  <si>
    <t>CPN9654</t>
  </si>
  <si>
    <t>JOSE AFONSO FERREIRA</t>
  </si>
  <si>
    <t>15818591808</t>
  </si>
  <si>
    <t>02670671608</t>
  </si>
  <si>
    <t>2758/22</t>
  </si>
  <si>
    <t>MRSU4433129</t>
  </si>
  <si>
    <t>MLBR3036252</t>
  </si>
  <si>
    <t>SAN VICENTE  248N</t>
  </si>
  <si>
    <t>GKF6G84</t>
  </si>
  <si>
    <t>06/12/2022 12;00</t>
  </si>
  <si>
    <t>VC6114065</t>
  </si>
  <si>
    <t>GOLD SPELL</t>
  </si>
  <si>
    <t>S323220649</t>
  </si>
  <si>
    <t>GRANDE ARGENTINA  GAR0722</t>
  </si>
  <si>
    <t>118/2022</t>
  </si>
  <si>
    <t>UAEU1259623</t>
  </si>
  <si>
    <t>HLG2167961</t>
  </si>
  <si>
    <t>0/12/2022 12:00</t>
  </si>
  <si>
    <t>08/12/2022 180</t>
  </si>
  <si>
    <t>TECUNSEH</t>
  </si>
  <si>
    <t>CXPMAO318-22</t>
  </si>
  <si>
    <t>LA0277969</t>
  </si>
  <si>
    <t>TCLU8206022</t>
  </si>
  <si>
    <t>LOGIN POLARIS  080N</t>
  </si>
  <si>
    <t>SCHOLLE</t>
  </si>
  <si>
    <t>VINHEDO-SP</t>
  </si>
  <si>
    <t>EXP22/406</t>
  </si>
  <si>
    <t>TCKU6778269</t>
  </si>
  <si>
    <t>MLBR2960966</t>
  </si>
  <si>
    <t>GSL MELINA  250W</t>
  </si>
  <si>
    <t>TEXFYT</t>
  </si>
  <si>
    <t>SANTA BÁRBARA D`OESTE-SP</t>
  </si>
  <si>
    <t>SSSZ007091 * ORDEN 5410</t>
  </si>
  <si>
    <t>CSNU7717591</t>
  </si>
  <si>
    <t>CMA CGM VERACRUZ  0GBDNN1MA</t>
  </si>
  <si>
    <t>ATLANTIS GUARUJÁ</t>
  </si>
  <si>
    <t>14575D / 14771A / 14772</t>
  </si>
  <si>
    <t>SUDU8684721</t>
  </si>
  <si>
    <t>MLBR2967812</t>
  </si>
  <si>
    <t>968 / 982</t>
  </si>
  <si>
    <t>JAZAM</t>
  </si>
  <si>
    <t>POMPÉIA-SP</t>
  </si>
  <si>
    <t>JP0245/22-D</t>
  </si>
  <si>
    <t>241SZ2165847</t>
  </si>
  <si>
    <t>MSMU7960798</t>
  </si>
  <si>
    <t>0017787 / FJ14817222 / E1808342</t>
  </si>
  <si>
    <t>MSC MICHELA  NA251R</t>
  </si>
  <si>
    <t>ANTWERPEN</t>
  </si>
  <si>
    <t>GTMINAS</t>
  </si>
  <si>
    <t>MSNU7379160</t>
  </si>
  <si>
    <t>FJ14817210 / E1806322</t>
  </si>
  <si>
    <t>UASC ZAMZAM  NA250R</t>
  </si>
  <si>
    <t>MSDU5284450</t>
  </si>
  <si>
    <t>FJ14817224 / E1808343</t>
  </si>
  <si>
    <t>TRHU7158912</t>
  </si>
  <si>
    <t>0017790 / FJ14817204 / E1806323</t>
  </si>
  <si>
    <t>MSDU7263708</t>
  </si>
  <si>
    <t>FJ14817227 / E1806309</t>
  </si>
  <si>
    <t>MRKU5520945</t>
  </si>
  <si>
    <t>MLBR2967830</t>
  </si>
  <si>
    <t>MAERSK LEON 249N</t>
  </si>
  <si>
    <t>VC : 6128902</t>
  </si>
  <si>
    <t>MRKU4243933</t>
  </si>
  <si>
    <t>MLBR3040278</t>
  </si>
  <si>
    <t>MAERSK LEON  249N</t>
  </si>
  <si>
    <t>13/12/022 23:14</t>
  </si>
  <si>
    <t>VC:  6127907</t>
  </si>
  <si>
    <t>MSKU9175622</t>
  </si>
  <si>
    <t>MLBR3040280</t>
  </si>
  <si>
    <t>VC  : 6127921</t>
  </si>
  <si>
    <t>NORTHERN DEMOCRAT  2250E</t>
  </si>
  <si>
    <t>TO020/22</t>
  </si>
  <si>
    <t>GMCU3065236</t>
  </si>
  <si>
    <t>1549180 / 1515231 / 1549188 / 1549179</t>
  </si>
  <si>
    <t>MAERSK LAGUNA  250E</t>
  </si>
  <si>
    <t>FXG5H10</t>
  </si>
  <si>
    <t>DBC3G21</t>
  </si>
  <si>
    <t>ROBERTO CARLOS BEZERRA PIRES</t>
  </si>
  <si>
    <t>08312935860</t>
  </si>
  <si>
    <t>03106516083</t>
  </si>
  <si>
    <t>VC: 6134927</t>
  </si>
  <si>
    <t>JP0275/22-C</t>
  </si>
  <si>
    <t>241SZ2165835</t>
  </si>
  <si>
    <t>MSMU7801543</t>
  </si>
  <si>
    <t>0017981 / FJ14816740 / E1806320</t>
  </si>
  <si>
    <t>MSMU5275007</t>
  </si>
  <si>
    <t>0017985 / FJ14816731 / E1806281</t>
  </si>
  <si>
    <t>MSMU5069623</t>
  </si>
  <si>
    <t>0017984 / FJ14816761 / E1806300</t>
  </si>
  <si>
    <t>TRHU7485089</t>
  </si>
  <si>
    <t>0017986 / FJ14816770 / E1806301</t>
  </si>
  <si>
    <t>MSDU7551670</t>
  </si>
  <si>
    <t>0017919 / FJ14816707 / E1806321</t>
  </si>
  <si>
    <t>TRHU7618258</t>
  </si>
  <si>
    <t>0017961 / FJ14819218 / E1806335</t>
  </si>
  <si>
    <t>CUA5828</t>
  </si>
  <si>
    <t>ANS6198</t>
  </si>
  <si>
    <t>GUSTAVO FERREIRA CEZAR DE JESUS</t>
  </si>
  <si>
    <t>33444915802</t>
  </si>
  <si>
    <t>04335340877</t>
  </si>
  <si>
    <t>MSMU7149857</t>
  </si>
  <si>
    <t>0017982 / FJ14819269 / E1806334</t>
  </si>
  <si>
    <t>DPC1G50</t>
  </si>
  <si>
    <t>MDD1E46</t>
  </si>
  <si>
    <t>GUILHERME SILVA DE JESUS</t>
  </si>
  <si>
    <t>31677968800</t>
  </si>
  <si>
    <t>05045192700</t>
  </si>
  <si>
    <t>MSDU5826850</t>
  </si>
  <si>
    <t>0017963 / FJ14819382 / E1806337</t>
  </si>
  <si>
    <t>MSDU5979709</t>
  </si>
  <si>
    <t>FJ14819356 / E1809390</t>
  </si>
  <si>
    <t>MSDU7433717</t>
  </si>
  <si>
    <t>0017962 / FJ14819357 / E1806336</t>
  </si>
  <si>
    <t>DAJ5055</t>
  </si>
  <si>
    <t>CUE2461</t>
  </si>
  <si>
    <t>NELSON LOPES AMANCIO</t>
  </si>
  <si>
    <t>31147992568</t>
  </si>
  <si>
    <t>03359999478</t>
  </si>
  <si>
    <t>JP0285/22-B</t>
  </si>
  <si>
    <t>241SZ2165844</t>
  </si>
  <si>
    <t>MSMU6421298</t>
  </si>
  <si>
    <t>E1807363 / FJ14817645 / 0018142</t>
  </si>
  <si>
    <t>19/12/022 15:00</t>
  </si>
  <si>
    <t>FFAU2571399</t>
  </si>
  <si>
    <t>E1809391 / FJ14818660 / 0018143</t>
  </si>
  <si>
    <t>RFCU5020200</t>
  </si>
  <si>
    <t>E1806303 / FJ14818664 / 0017960</t>
  </si>
  <si>
    <t>FCIU7431062</t>
  </si>
  <si>
    <t>E1806331 / FJ14818659 / 0018141</t>
  </si>
  <si>
    <t>MSMU4033694</t>
  </si>
  <si>
    <t>E1806291 / FJ14817646 / 0017952</t>
  </si>
  <si>
    <t>FUY6G10</t>
  </si>
  <si>
    <t>FCZ4D47</t>
  </si>
  <si>
    <t>MARCELO CLERICE ERCULANO</t>
  </si>
  <si>
    <t>29996305813</t>
  </si>
  <si>
    <t>01241701818</t>
  </si>
  <si>
    <t>MSCU5155090</t>
  </si>
  <si>
    <t>E1806292 / FJ14817614 / 0017953</t>
  </si>
  <si>
    <t>CAIU9211475</t>
  </si>
  <si>
    <t>E1809393 / FJ14816594 / 0017958</t>
  </si>
  <si>
    <t>MEDU7989057</t>
  </si>
  <si>
    <t>E1806330 / FJ14818651 / 0017959</t>
  </si>
  <si>
    <t>RAFAEL SOARES DELAMONICA</t>
  </si>
  <si>
    <t>34223710877</t>
  </si>
  <si>
    <t>03005131866</t>
  </si>
  <si>
    <t>FFAU4089494</t>
  </si>
  <si>
    <t>E1806302 / FJ14818656 / 0017957</t>
  </si>
  <si>
    <t>TRHU8413376</t>
  </si>
  <si>
    <t>E1809392 / FJ14817643 / 0017951</t>
  </si>
  <si>
    <t>MTA3G66</t>
  </si>
  <si>
    <t>FKJ8A49</t>
  </si>
  <si>
    <t>EMERSON BAIÃO DE OLIVEIRA</t>
  </si>
  <si>
    <t>27386770880</t>
  </si>
  <si>
    <t>00878878531</t>
  </si>
  <si>
    <t>FANU1309270</t>
  </si>
  <si>
    <t>HLG2156336</t>
  </si>
  <si>
    <t>HLBU1919727</t>
  </si>
  <si>
    <t>HLG2154331</t>
  </si>
  <si>
    <t>BEAU4172880</t>
  </si>
  <si>
    <t>HLG5018922</t>
  </si>
  <si>
    <t>14659C / 14661</t>
  </si>
  <si>
    <t>HLBU2128438</t>
  </si>
  <si>
    <t>HLG5018982</t>
  </si>
  <si>
    <t>BSIU9864686</t>
  </si>
  <si>
    <t>HLG5018917</t>
  </si>
  <si>
    <t>TEMU7402748</t>
  </si>
  <si>
    <t>HLG5018923</t>
  </si>
  <si>
    <t>HLXU8326295</t>
  </si>
  <si>
    <t>HLG5018919</t>
  </si>
  <si>
    <t>GUSTAVO ANTONIO CAVALCANTE</t>
  </si>
  <si>
    <t>28386357860</t>
  </si>
  <si>
    <t>01042201192</t>
  </si>
  <si>
    <t>FFAU4144483</t>
  </si>
  <si>
    <t>FJ14817769 / E1806333 / 0018113</t>
  </si>
  <si>
    <t>MSMU6023099</t>
  </si>
  <si>
    <t>FJ14817773 / E1808368 / 0018136</t>
  </si>
  <si>
    <t>ECM2C90</t>
  </si>
  <si>
    <t>EXN6D67</t>
  </si>
  <si>
    <t>ADALBERTO EGIDIO POLIDO</t>
  </si>
  <si>
    <t>MSDU7719948</t>
  </si>
  <si>
    <t>FJ14817737 / E1806287 / 0018102</t>
  </si>
  <si>
    <t>MSMU6432728</t>
  </si>
  <si>
    <t>FJ14817135 / E1806332 / 0018125</t>
  </si>
  <si>
    <t>CAAU5032695</t>
  </si>
  <si>
    <t>FJ14817732 / E1806 /0018104</t>
  </si>
  <si>
    <t>TCNU2354246</t>
  </si>
  <si>
    <t>FJ14817739 / E1806304 / 0018123</t>
  </si>
  <si>
    <t>MSDU8196142</t>
  </si>
  <si>
    <t>FJ14817762 / 0018103</t>
  </si>
  <si>
    <t>TCLU9102819</t>
  </si>
  <si>
    <t>FJ14817750 / 0018121</t>
  </si>
  <si>
    <t>BTR7181</t>
  </si>
  <si>
    <t>CUJ9B87</t>
  </si>
  <si>
    <t>IRAC NELSON DA SILLVA</t>
  </si>
  <si>
    <t>00514081805</t>
  </si>
  <si>
    <t>01213001904</t>
  </si>
  <si>
    <t>CAIU9816949</t>
  </si>
  <si>
    <t>FJ14817744 / E1808369 / 0018139</t>
  </si>
  <si>
    <t>AVD9A02</t>
  </si>
  <si>
    <t>ETU4618</t>
  </si>
  <si>
    <t>NELSON VECCI DA SILVA</t>
  </si>
  <si>
    <t>31335266852</t>
  </si>
  <si>
    <t>03408182477</t>
  </si>
  <si>
    <t>TRHU7527158</t>
  </si>
  <si>
    <t>FJ14817770 / E1806 / 0018114</t>
  </si>
  <si>
    <t>FDC1J20</t>
  </si>
  <si>
    <t>NKE8B66</t>
  </si>
  <si>
    <t>PEDRO DE JESUS JUNIOR</t>
  </si>
  <si>
    <t>27616563856</t>
  </si>
  <si>
    <t>02453882390</t>
  </si>
  <si>
    <t>2756/22</t>
  </si>
  <si>
    <t>TEMU6723872</t>
  </si>
  <si>
    <t>HLG2163846</t>
  </si>
  <si>
    <t>MAIPO  2246N</t>
  </si>
  <si>
    <t>23/12/022 00:09</t>
  </si>
  <si>
    <t>22/2478480-4</t>
  </si>
  <si>
    <t>ONEU0104742</t>
  </si>
  <si>
    <t>SALVADOR EXPRESS  2244W</t>
  </si>
  <si>
    <t>14622 / 14643</t>
  </si>
  <si>
    <t>CXPMAO328-22</t>
  </si>
  <si>
    <t>LA0280773</t>
  </si>
  <si>
    <t>TCLU8703097</t>
  </si>
  <si>
    <t>MERCOSUL SANTOS  320N</t>
  </si>
  <si>
    <t>23/12/202 12:00</t>
  </si>
  <si>
    <t>CIPU5024527</t>
  </si>
  <si>
    <t>CXPSSZ323/22</t>
  </si>
  <si>
    <t>90727 / 90726 / 90725</t>
  </si>
  <si>
    <t>CAAU6483158</t>
  </si>
  <si>
    <t>MERCOSUL ITAJAÍ  176S</t>
  </si>
  <si>
    <t>2761/22</t>
  </si>
  <si>
    <t>SSZ1336488</t>
  </si>
  <si>
    <t>CMAU4783167</t>
  </si>
  <si>
    <t>L1612865</t>
  </si>
  <si>
    <t>CMA CGM PARANAGUÁ  0GBDTN1MA</t>
  </si>
  <si>
    <t>MARIEL</t>
  </si>
  <si>
    <t>2762/22</t>
  </si>
  <si>
    <t>CMAU7155694</t>
  </si>
  <si>
    <t>L1612863</t>
  </si>
  <si>
    <t>CXPMAO329/22</t>
  </si>
  <si>
    <t>LA0280636</t>
  </si>
  <si>
    <t>TRHU7048330</t>
  </si>
  <si>
    <t>VICENTE PIZON  982N</t>
  </si>
  <si>
    <t>DEL MAIPO</t>
  </si>
  <si>
    <t>SÃO BERNARDO DO CAMPO-SP</t>
  </si>
  <si>
    <t>NT0022-22</t>
  </si>
  <si>
    <t>22-0597601-4</t>
  </si>
  <si>
    <t>TCKU7569263</t>
  </si>
  <si>
    <t>EADI LACHMANN / TRANSTEC SANTOS</t>
  </si>
  <si>
    <t>14709C / 14718C / 14725</t>
  </si>
  <si>
    <t>2709/22</t>
  </si>
  <si>
    <t>TCNU3707311</t>
  </si>
  <si>
    <t>HLG2156997</t>
  </si>
  <si>
    <t>POLONIA  2252E</t>
  </si>
  <si>
    <t>04/0/2022 12:00</t>
  </si>
  <si>
    <t>GESU6388032</t>
  </si>
  <si>
    <t>HLG2156950</t>
  </si>
  <si>
    <t>UACU5385833</t>
  </si>
  <si>
    <t>HLG2157884</t>
  </si>
  <si>
    <t>0709532945</t>
  </si>
  <si>
    <t>SIM</t>
  </si>
  <si>
    <t>N</t>
  </si>
  <si>
    <t>sIM</t>
  </si>
  <si>
    <t>FINALIZADO</t>
  </si>
  <si>
    <t>PAGAMENTOS</t>
  </si>
  <si>
    <t xml:space="preserve"> STATUS</t>
  </si>
  <si>
    <t xml:space="preserve">PROGRAMAÇÃO </t>
  </si>
  <si>
    <t>CONTAINER</t>
  </si>
  <si>
    <t>Tipo</t>
  </si>
  <si>
    <t>TOMADOR</t>
  </si>
  <si>
    <t>Cliente</t>
  </si>
  <si>
    <t>DESTINO</t>
  </si>
  <si>
    <t>CTAC</t>
  </si>
  <si>
    <t>Nota Fiscal 1</t>
  </si>
  <si>
    <t>Nota Fiscal 2</t>
  </si>
  <si>
    <t>Cavalo</t>
  </si>
  <si>
    <t>Carreta</t>
  </si>
  <si>
    <t>Motorista</t>
  </si>
  <si>
    <t>CTE</t>
  </si>
  <si>
    <t>TERMINAL DE RETIRADA CHEIO</t>
  </si>
  <si>
    <t>AGENDAMENTO DE RETIRADA</t>
  </si>
  <si>
    <t>TERMINAL DE ENTREGA VAZIO</t>
  </si>
  <si>
    <t>DATA DE ENTREGA VAZIO</t>
  </si>
  <si>
    <t>Adiantamento</t>
  </si>
  <si>
    <t>Saldo</t>
  </si>
  <si>
    <t>Ajudante</t>
  </si>
  <si>
    <t>COMPRA</t>
  </si>
  <si>
    <t>EIR - SISTEMA</t>
  </si>
  <si>
    <t>EIR - REDE</t>
  </si>
  <si>
    <t>REPROGRAMADO</t>
  </si>
  <si>
    <t>PROGRAMADO</t>
  </si>
  <si>
    <t>A</t>
  </si>
  <si>
    <t>STATUS DETALHADO</t>
  </si>
  <si>
    <t>PROGRAMAÇÃO</t>
  </si>
  <si>
    <t>AAA</t>
  </si>
  <si>
    <t>CAIU7627376</t>
  </si>
  <si>
    <t>BMOU6991017</t>
  </si>
  <si>
    <t>TCLU6533453</t>
  </si>
  <si>
    <t>APHU7342470</t>
  </si>
  <si>
    <t>SEKU6045500</t>
  </si>
  <si>
    <t>LN</t>
  </si>
  <si>
    <t>P10400976D</t>
  </si>
  <si>
    <t>P10400976A</t>
  </si>
  <si>
    <t>P10400976B</t>
  </si>
  <si>
    <t>P10400976C</t>
  </si>
  <si>
    <t>P10401660A</t>
  </si>
  <si>
    <t>TCLU3467527</t>
  </si>
  <si>
    <t>CAIU3314645</t>
  </si>
  <si>
    <t>CAIU3406248</t>
  </si>
  <si>
    <t>CAIU3014186</t>
  </si>
  <si>
    <t>CAIU2914563</t>
  </si>
  <si>
    <t>SEGU1084411</t>
  </si>
  <si>
    <t>SOSAL</t>
  </si>
  <si>
    <t>SBC</t>
  </si>
  <si>
    <t>GUARULHOS</t>
  </si>
  <si>
    <t>AMERICANA</t>
  </si>
  <si>
    <t>VL. INDEPENDENTE</t>
  </si>
  <si>
    <t>PENINA</t>
  </si>
  <si>
    <t>CIMSAL</t>
  </si>
  <si>
    <t>NEW MAX</t>
  </si>
  <si>
    <t>ITUPEVA</t>
  </si>
  <si>
    <t>LIMEIRA</t>
  </si>
  <si>
    <t>JANDIRA</t>
  </si>
  <si>
    <t>VALINHOS</t>
  </si>
  <si>
    <t>RIO CLARO</t>
  </si>
  <si>
    <t>IBRAC</t>
  </si>
  <si>
    <t>FLUIDRA</t>
  </si>
  <si>
    <t>DOREMUS</t>
  </si>
  <si>
    <t>BUNGE</t>
  </si>
  <si>
    <t>MIAN</t>
  </si>
  <si>
    <t>FUCKS</t>
  </si>
  <si>
    <t>TCLU3461175</t>
  </si>
  <si>
    <t>CAIU3027780</t>
  </si>
  <si>
    <t>SEGU1153847</t>
  </si>
  <si>
    <t>CAIU3410084</t>
  </si>
  <si>
    <t>TCLU3467050</t>
  </si>
  <si>
    <t>CAIU3310486</t>
  </si>
  <si>
    <t>TCLU2967153</t>
  </si>
  <si>
    <t>SEGU1086271</t>
  </si>
  <si>
    <t>TCLU8204349</t>
  </si>
  <si>
    <t>TCNU7707217</t>
  </si>
  <si>
    <t>SEGU4064785</t>
  </si>
  <si>
    <t>TCLU8328400</t>
  </si>
  <si>
    <t>GLDU7608729</t>
  </si>
  <si>
    <t>TEMU7721940</t>
  </si>
  <si>
    <t>FCIU9210116</t>
  </si>
  <si>
    <t>TCLU8701540</t>
  </si>
  <si>
    <t>AMFU8788361</t>
  </si>
  <si>
    <t>TCLU5012403</t>
  </si>
  <si>
    <t>TCLU8697250</t>
  </si>
  <si>
    <t>TCLU8187350</t>
  </si>
  <si>
    <t>BHP9483</t>
  </si>
  <si>
    <t>BSF4E26</t>
  </si>
  <si>
    <t>ANACLETO RODRIGUES DE SANTANA</t>
  </si>
  <si>
    <t>00821760640</t>
  </si>
  <si>
    <t>01817591878</t>
  </si>
  <si>
    <t>CPN9C57</t>
  </si>
  <si>
    <t>3CPH000136</t>
  </si>
  <si>
    <t> HASU4467638</t>
  </si>
  <si>
    <t> MSKU1923266</t>
  </si>
  <si>
    <t> MSKU1651419</t>
  </si>
  <si>
    <t> MRKU6499668</t>
  </si>
  <si>
    <t>MRSU3545675</t>
  </si>
  <si>
    <t>MLBR3056768 </t>
  </si>
  <si>
    <t>MLBR3054861 </t>
  </si>
  <si>
    <t>MLBR3054857 </t>
  </si>
  <si>
    <t> MLBR3054819</t>
  </si>
  <si>
    <t>MLBR3054864</t>
  </si>
  <si>
    <t>CAP SAN MARCO  304N</t>
  </si>
  <si>
    <t xml:space="preserve">FCX0G15 </t>
  </si>
  <si>
    <t xml:space="preserve">FEI4C72 </t>
  </si>
  <si>
    <t>FCX0G15</t>
  </si>
  <si>
    <t>DPC9F05</t>
  </si>
  <si>
    <t>CHP4C52</t>
  </si>
  <si>
    <t>DPE7G57</t>
  </si>
  <si>
    <t>PAULO LIMA DOS SANTOS</t>
  </si>
  <si>
    <t>DAO7A32</t>
  </si>
  <si>
    <t xml:space="preserve">DTB9J13 </t>
  </si>
  <si>
    <t>30/01/20223 13:00</t>
  </si>
  <si>
    <t>N.SRA.</t>
  </si>
  <si>
    <t>LOGIN JACARANDA 149S</t>
  </si>
  <si>
    <t>2780/22</t>
  </si>
  <si>
    <t>2781/22</t>
  </si>
  <si>
    <t>EBKG04709807</t>
  </si>
  <si>
    <t>MSC TAVVISHI  UA305R</t>
  </si>
  <si>
    <t>2825/23</t>
  </si>
  <si>
    <t>SEKU4470958 </t>
  </si>
  <si>
    <t>MRSU6254380 </t>
  </si>
  <si>
    <t>TCKU7573406</t>
  </si>
  <si>
    <t>MRSU5919769</t>
  </si>
  <si>
    <t>CAAU6638033</t>
  </si>
  <si>
    <t>MLBR3179364</t>
  </si>
  <si>
    <t>MLBR3060604</t>
  </si>
  <si>
    <t>MLBR3179392</t>
  </si>
  <si>
    <t>MLBR3060601</t>
  </si>
  <si>
    <t>MLBR3179355</t>
  </si>
  <si>
    <t>CAP SAN MARCO 304N</t>
  </si>
  <si>
    <t>BXF2H57</t>
  </si>
  <si>
    <t>BTR2J45</t>
  </si>
  <si>
    <t>EDERSON MACIEL FERNANDES</t>
  </si>
  <si>
    <t xml:space="preserve">EMERSON PEREIRA DA SILVA </t>
  </si>
  <si>
    <t>ENTREGUE</t>
  </si>
  <si>
    <t>06271346573</t>
  </si>
  <si>
    <t>3356C / 3357</t>
  </si>
  <si>
    <t>LNX9650</t>
  </si>
  <si>
    <t>GPC4I25</t>
  </si>
  <si>
    <t>ANDREW FELIPE DE SOUZA BRUNO</t>
  </si>
  <si>
    <t>06043477724</t>
  </si>
  <si>
    <t>01819349701</t>
  </si>
  <si>
    <t>VINICIUS NASCIMENTO GIANGIULIO</t>
  </si>
  <si>
    <t>3CPH000137</t>
  </si>
  <si>
    <t>MLBR3056729</t>
  </si>
  <si>
    <t>MLBR3054821</t>
  </si>
  <si>
    <t>MLBR3054882</t>
  </si>
  <si>
    <t> MLBR3179365</t>
  </si>
  <si>
    <t>MLBR3179368</t>
  </si>
  <si>
    <t>MRKU2897489</t>
  </si>
  <si>
    <t>TCLU5648308</t>
  </si>
  <si>
    <t>TRHU4390375</t>
  </si>
  <si>
    <t> MSKU8979879</t>
  </si>
  <si>
    <t>TRHU4960992 </t>
  </si>
  <si>
    <t>DXV7C72</t>
  </si>
  <si>
    <t>CUA6F64</t>
  </si>
  <si>
    <t>14994 </t>
  </si>
  <si>
    <t>JOSE EURIPEDES PEREIRA</t>
  </si>
  <si>
    <t>MRB4D47</t>
  </si>
  <si>
    <t>87607395849</t>
  </si>
  <si>
    <t>0049/2022</t>
  </si>
  <si>
    <t>2SSZ083581</t>
  </si>
  <si>
    <t>MRKU8876631</t>
  </si>
  <si>
    <t>MLBR3050178</t>
  </si>
  <si>
    <t>MEDITERRANEAN EXPRESS  302N</t>
  </si>
  <si>
    <t>BED0J40</t>
  </si>
  <si>
    <t>MFJ3290</t>
  </si>
  <si>
    <t>0048/2022</t>
  </si>
  <si>
    <t>2SSZ083582</t>
  </si>
  <si>
    <t>HASU1185857</t>
  </si>
  <si>
    <t>MLBR3050177</t>
  </si>
  <si>
    <t>BXF6C67</t>
  </si>
  <si>
    <t>01842622116</t>
  </si>
  <si>
    <t>MARCOS PAULO NUNES</t>
  </si>
  <si>
    <t>CGS0A65</t>
  </si>
  <si>
    <t>CPJ5G64</t>
  </si>
  <si>
    <t>01877235038</t>
  </si>
  <si>
    <t>1KT792173</t>
  </si>
  <si>
    <t>TCKU7525877</t>
  </si>
  <si>
    <t>MLBR3066521</t>
  </si>
  <si>
    <t>CAP SAN RAPHAEL  252N</t>
  </si>
  <si>
    <t>HASU4078030</t>
  </si>
  <si>
    <t>MLBR3038942</t>
  </si>
  <si>
    <t>PONU7512874</t>
  </si>
  <si>
    <t>MLBR3066418</t>
  </si>
  <si>
    <t>DFSU7090329</t>
  </si>
  <si>
    <t>MLBR3066447</t>
  </si>
  <si>
    <t>MSKU9295401</t>
  </si>
  <si>
    <t>MLBR3066523 / MLBR3027275</t>
  </si>
  <si>
    <t>1KT792171</t>
  </si>
  <si>
    <t>SUDU6675551</t>
  </si>
  <si>
    <t>MLBR3066473</t>
  </si>
  <si>
    <t>MRSU4855021</t>
  </si>
  <si>
    <t>MLBR3066524</t>
  </si>
  <si>
    <t>TEMU6716220</t>
  </si>
  <si>
    <t>MLBR3066568</t>
  </si>
  <si>
    <t>MSKU8878132</t>
  </si>
  <si>
    <t>MLBR3066583</t>
  </si>
  <si>
    <t>TGHU6796192</t>
  </si>
  <si>
    <t>MLBR3066581</t>
  </si>
  <si>
    <t>1KT793061</t>
  </si>
  <si>
    <t>MSKU0844624</t>
  </si>
  <si>
    <t>MLBR3066472</t>
  </si>
  <si>
    <t>MSKU1251393</t>
  </si>
  <si>
    <t>MLBR2960857</t>
  </si>
  <si>
    <t>MRKU6361529</t>
  </si>
  <si>
    <t>MLBR2960858</t>
  </si>
  <si>
    <t>MRKU5537700</t>
  </si>
  <si>
    <t>MLBR3066522</t>
  </si>
  <si>
    <t>MRSU4031583</t>
  </si>
  <si>
    <t>MLBR3066487</t>
  </si>
  <si>
    <t>TO 019/22</t>
  </si>
  <si>
    <t>GMCU3062134</t>
  </si>
  <si>
    <t>151560/151553/151574/151549</t>
  </si>
  <si>
    <t>MSC SARA ELENA  FI301R</t>
  </si>
  <si>
    <t>2776/22</t>
  </si>
  <si>
    <t>TCNU1726930</t>
  </si>
  <si>
    <t>MLBR3031493</t>
  </si>
  <si>
    <t>CAP SAN ARTEMISSIO  301N</t>
  </si>
  <si>
    <t>MRKU4154707</t>
  </si>
  <si>
    <t>MLBR3031455</t>
  </si>
  <si>
    <t>CAAU6640494</t>
  </si>
  <si>
    <t>MLBR3031467</t>
  </si>
  <si>
    <t>TCKU7803371</t>
  </si>
  <si>
    <t>MLBR3031189</t>
  </si>
  <si>
    <t>MSKU1546814</t>
  </si>
  <si>
    <t>MLBR3033523</t>
  </si>
  <si>
    <t>SUDU6786508</t>
  </si>
  <si>
    <t>MLBR3033405</t>
  </si>
  <si>
    <t>SUDU6829744</t>
  </si>
  <si>
    <t>MLBR3033559</t>
  </si>
  <si>
    <t>MRKU2117730</t>
  </si>
  <si>
    <t>MLBR3031427</t>
  </si>
  <si>
    <t>MRKU4953771</t>
  </si>
  <si>
    <t>MLBR3033401</t>
  </si>
  <si>
    <t>MRKU2482498</t>
  </si>
  <si>
    <t>MLBR3033599</t>
  </si>
  <si>
    <t>MVIU0032955</t>
  </si>
  <si>
    <t>MLBR3031172</t>
  </si>
  <si>
    <t>MRKU3384942</t>
  </si>
  <si>
    <t>MLBR3031173</t>
  </si>
  <si>
    <t>MSKU8914327</t>
  </si>
  <si>
    <t>MLBR3031586</t>
  </si>
  <si>
    <t>AMFU8877052</t>
  </si>
  <si>
    <t>CMA CGM FORT ST GEORGES  012S</t>
  </si>
  <si>
    <t>CAIU3309783</t>
  </si>
  <si>
    <t>CAIU2845225</t>
  </si>
  <si>
    <t>3197 / 3198</t>
  </si>
  <si>
    <t>MRKU8880020</t>
  </si>
  <si>
    <t>AAK43FPD</t>
  </si>
  <si>
    <t>VICENTE PIZON  251S</t>
  </si>
  <si>
    <t>MSKU5214269</t>
  </si>
  <si>
    <t>AAK43FPD / AAK43FPC</t>
  </si>
  <si>
    <t>KBK0D67</t>
  </si>
  <si>
    <t>JOSE LUIZ BARBOSA DA SILVA</t>
  </si>
  <si>
    <t>29956720852</t>
  </si>
  <si>
    <t>01114102381</t>
  </si>
  <si>
    <t>3200 / 3201</t>
  </si>
  <si>
    <t>CIPU5296021</t>
  </si>
  <si>
    <t>P10398048A</t>
  </si>
  <si>
    <t>GLDU9336511</t>
  </si>
  <si>
    <t>ITAPEVI</t>
  </si>
  <si>
    <t>P10398686A</t>
  </si>
  <si>
    <t>TEMU2916451</t>
  </si>
  <si>
    <t>P10398686B</t>
  </si>
  <si>
    <t>EWJ2162</t>
  </si>
  <si>
    <t>ETF6391</t>
  </si>
  <si>
    <t>CARLOS BUENO BALTAZAR</t>
  </si>
  <si>
    <t>01301319672</t>
  </si>
  <si>
    <t>TCNU4030267</t>
  </si>
  <si>
    <t>P10398549A</t>
  </si>
  <si>
    <t>MAGU5343917</t>
  </si>
  <si>
    <t>P10398549B</t>
  </si>
  <si>
    <t>SEGU5372695</t>
  </si>
  <si>
    <t>P10398924A</t>
  </si>
  <si>
    <t>SEGU5213380</t>
  </si>
  <si>
    <t>P10398924B</t>
  </si>
  <si>
    <t>MSKU7685735</t>
  </si>
  <si>
    <t>AAK47JOC</t>
  </si>
  <si>
    <t>SEASPAN SANTOS  252S</t>
  </si>
  <si>
    <t>TGHU1497218</t>
  </si>
  <si>
    <t>AAK47JXB</t>
  </si>
  <si>
    <t>3206C / 3209</t>
  </si>
  <si>
    <t>MRKU9362051</t>
  </si>
  <si>
    <t>AAK47JOB</t>
  </si>
  <si>
    <t>SUDU7465082</t>
  </si>
  <si>
    <t>AAK47JXC</t>
  </si>
  <si>
    <t>TCLU8287488</t>
  </si>
  <si>
    <t>LOGIN ENDURANCE  036S</t>
  </si>
  <si>
    <t>FCIU9216372</t>
  </si>
  <si>
    <t>AMFU8942179</t>
  </si>
  <si>
    <t>DBP3732</t>
  </si>
  <si>
    <t>TCLU8806984</t>
  </si>
  <si>
    <t>SEGU4052444</t>
  </si>
  <si>
    <t>CPJ3E5</t>
  </si>
  <si>
    <t>CAIU3288166</t>
  </si>
  <si>
    <t>KERRY</t>
  </si>
  <si>
    <t>COTIA</t>
  </si>
  <si>
    <t>CAIU3027244</t>
  </si>
  <si>
    <t>MAXSOY</t>
  </si>
  <si>
    <t>TCLU3042224</t>
  </si>
  <si>
    <t>DPC9A68</t>
  </si>
  <si>
    <t>NGQ9F61</t>
  </si>
  <si>
    <t>JOSE ROBERTO ANICIO</t>
  </si>
  <si>
    <t>24622050803</t>
  </si>
  <si>
    <t>01922404290</t>
  </si>
  <si>
    <t>CAIU3417221</t>
  </si>
  <si>
    <t>MOINHO ROMANIZ</t>
  </si>
  <si>
    <t>ITAQUERA</t>
  </si>
  <si>
    <t>CAIU3154871</t>
  </si>
  <si>
    <t>BXF6C</t>
  </si>
  <si>
    <t>JOAB FELICIANO DOS VALES</t>
  </si>
  <si>
    <t>03177639496</t>
  </si>
  <si>
    <t>CAIU3159657</t>
  </si>
  <si>
    <t>CAIU3073086</t>
  </si>
  <si>
    <t>TCLU3042055</t>
  </si>
  <si>
    <t>SANTA RITA</t>
  </si>
  <si>
    <t>EMBU</t>
  </si>
  <si>
    <t>TCLU3462736</t>
  </si>
  <si>
    <t>CAIU2913910</t>
  </si>
  <si>
    <t>59494 / 59495</t>
  </si>
  <si>
    <t>AQM8D39</t>
  </si>
  <si>
    <t>DPF3850</t>
  </si>
  <si>
    <t>REINALDO PAZOTTO</t>
  </si>
  <si>
    <t>03001275806</t>
  </si>
  <si>
    <t>3210 / 3211</t>
  </si>
  <si>
    <t>CAIU3309762</t>
  </si>
  <si>
    <t>SEGU1124010</t>
  </si>
  <si>
    <t>GESU6802991</t>
  </si>
  <si>
    <t>TCLU3459882</t>
  </si>
  <si>
    <t>ADESTE</t>
  </si>
  <si>
    <t>SEGU4123872</t>
  </si>
  <si>
    <t>TCLU8697841</t>
  </si>
  <si>
    <t>CAIU3072942</t>
  </si>
  <si>
    <t>TCLU3039220</t>
  </si>
  <si>
    <t>CAIU3108644</t>
  </si>
  <si>
    <t>CAIU2950719</t>
  </si>
  <si>
    <t>CAIU2938420</t>
  </si>
  <si>
    <t>VILHENA</t>
  </si>
  <si>
    <t>CAJAMAR</t>
  </si>
  <si>
    <t>TCLU3055319</t>
  </si>
  <si>
    <t>VILHETO</t>
  </si>
  <si>
    <t>BARUERI</t>
  </si>
  <si>
    <t>CAIU3410090</t>
  </si>
  <si>
    <t>TCLU8704220</t>
  </si>
  <si>
    <t>TCLU5992186</t>
  </si>
  <si>
    <t>SEGU1063086</t>
  </si>
  <si>
    <t>SEGU1118105</t>
  </si>
  <si>
    <t>TCLU3466095</t>
  </si>
  <si>
    <t>SEGU4662220</t>
  </si>
  <si>
    <t>TCNU8696040</t>
  </si>
  <si>
    <t>SEGU5029515</t>
  </si>
  <si>
    <t>CAIU3022448</t>
  </si>
  <si>
    <t>TCLU8336978</t>
  </si>
  <si>
    <t>TCLU8697590</t>
  </si>
  <si>
    <t>TCLU3465925</t>
  </si>
  <si>
    <t>CAIU3022480</t>
  </si>
  <si>
    <t>CAIU3014376</t>
  </si>
  <si>
    <t>TCLU3467580</t>
  </si>
  <si>
    <t>CAIU3016070</t>
  </si>
  <si>
    <t>CAIU3153216</t>
  </si>
  <si>
    <t>CAIU2929054</t>
  </si>
  <si>
    <t>CAIU3310207</t>
  </si>
  <si>
    <t>SEGU1122949</t>
  </si>
  <si>
    <t>TCLU3041207</t>
  </si>
  <si>
    <t>TCNU6206566</t>
  </si>
  <si>
    <t>59697 / 59698</t>
  </si>
  <si>
    <t>CAIU3104016</t>
  </si>
  <si>
    <t>SEGU1029986</t>
  </si>
  <si>
    <t>CAIU3022197</t>
  </si>
  <si>
    <t>TRHU7430661</t>
  </si>
  <si>
    <t>P10399091A</t>
  </si>
  <si>
    <t>SEKU4346150</t>
  </si>
  <si>
    <t>P10399091B</t>
  </si>
  <si>
    <t>TCKU7063655</t>
  </si>
  <si>
    <t>P10399091C</t>
  </si>
  <si>
    <t>TCNU1175225</t>
  </si>
  <si>
    <t>P10399395A</t>
  </si>
  <si>
    <t>GESU6620739</t>
  </si>
  <si>
    <t>APYCE</t>
  </si>
  <si>
    <t>SANTA BARBARA D`OESTE</t>
  </si>
  <si>
    <t>P10399668A</t>
  </si>
  <si>
    <t>GESU6808794</t>
  </si>
  <si>
    <t>P10399668B</t>
  </si>
  <si>
    <t>CMAU5770760</t>
  </si>
  <si>
    <t>P10399668C</t>
  </si>
  <si>
    <t>JUNDIAI-SP</t>
  </si>
  <si>
    <t>8700957 / 8700997</t>
  </si>
  <si>
    <t>UACU5156020</t>
  </si>
  <si>
    <t>HLG2164595</t>
  </si>
  <si>
    <t>3960086 / 1690651</t>
  </si>
  <si>
    <t>HAMMONIA HUSUM 306W</t>
  </si>
  <si>
    <t>14989 / 14990</t>
  </si>
  <si>
    <t xml:space="preserve">BXD2J87 </t>
  </si>
  <si>
    <t>MSDU8097704</t>
  </si>
  <si>
    <t>FJ14866259</t>
  </si>
  <si>
    <t>MSCU5239308</t>
  </si>
  <si>
    <t>FJ14866254</t>
  </si>
  <si>
    <t>GESU5985476</t>
  </si>
  <si>
    <t xml:space="preserve">LOGIN JATOBA 236S </t>
  </si>
  <si>
    <t>CAIU8811808</t>
  </si>
  <si>
    <t xml:space="preserve">ALMIR CARDOSO DOS SANTOS </t>
  </si>
  <si>
    <t>TCNU7723542</t>
  </si>
  <si>
    <t xml:space="preserve">FZF3E97 </t>
  </si>
  <si>
    <t>CAIU3309865</t>
  </si>
  <si>
    <t>CAIU3159913</t>
  </si>
  <si>
    <t>SEGU1179841</t>
  </si>
  <si>
    <t>EVANDRO DE FREITAS ROSA</t>
  </si>
  <si>
    <t>03605652476</t>
  </si>
  <si>
    <t>TCLU3463959</t>
  </si>
  <si>
    <t>SANTO ANDRE</t>
  </si>
  <si>
    <t>SEGU1076571</t>
  </si>
  <si>
    <t>TCLU3042184</t>
  </si>
  <si>
    <t>TCLU3059269</t>
  </si>
  <si>
    <t>TCLU3465170</t>
  </si>
  <si>
    <t>SEGU4053461</t>
  </si>
  <si>
    <t>FUS3314</t>
  </si>
  <si>
    <t>DTB6F84</t>
  </si>
  <si>
    <t xml:space="preserve">RENATO FERREIRA </t>
  </si>
  <si>
    <t>AMFU8942327</t>
  </si>
  <si>
    <t>BR SPICE</t>
  </si>
  <si>
    <t>FEI9J41</t>
  </si>
  <si>
    <t>NKB0I82</t>
  </si>
  <si>
    <t>TRHU2074280</t>
  </si>
  <si>
    <t>CAIU3403110</t>
  </si>
  <si>
    <t>FCIU4501211</t>
  </si>
  <si>
    <t xml:space="preserve">DELTA TERMINAIS </t>
  </si>
  <si>
    <t>TCNU6240468</t>
  </si>
  <si>
    <t>219 / 220</t>
  </si>
  <si>
    <t>3303 / 3316</t>
  </si>
  <si>
    <t>CAIU8783347</t>
  </si>
  <si>
    <t xml:space="preserve">PAULO ROBERTO GERMANO </t>
  </si>
  <si>
    <t>TCLU8207348</t>
  </si>
  <si>
    <t>SEGU1063105</t>
  </si>
  <si>
    <t>TCLU2965593</t>
  </si>
  <si>
    <t>TCLU3461848</t>
  </si>
  <si>
    <t>CAIU3159220</t>
  </si>
  <si>
    <t>3309-3310</t>
  </si>
  <si>
    <t>CAIU3410525</t>
  </si>
  <si>
    <t>APV1B33</t>
  </si>
  <si>
    <t>TCLU3040690</t>
  </si>
  <si>
    <t>GESU1307212</t>
  </si>
  <si>
    <t>P10399394A</t>
  </si>
  <si>
    <t>ECMU1730823</t>
  </si>
  <si>
    <t>P10399394B</t>
  </si>
  <si>
    <t>CMAU5196014</t>
  </si>
  <si>
    <t>P10400091A</t>
  </si>
  <si>
    <t>3297 / 3329</t>
  </si>
  <si>
    <t>TGHU8860665</t>
  </si>
  <si>
    <t>P10399921A</t>
  </si>
  <si>
    <t>TCNU8651679</t>
  </si>
  <si>
    <t>P10399921B</t>
  </si>
  <si>
    <t>3298 / 3330</t>
  </si>
  <si>
    <t>MSKU7876372</t>
  </si>
  <si>
    <t>AAK1032B</t>
  </si>
  <si>
    <t>MRKU8982150</t>
  </si>
  <si>
    <t>BRB4D47</t>
  </si>
  <si>
    <t>CAIU8811120</t>
  </si>
  <si>
    <t>TCLU5011942</t>
  </si>
  <si>
    <t>GLDU7694630</t>
  </si>
  <si>
    <t>kbl5g59</t>
  </si>
  <si>
    <t>TCLU8805988</t>
  </si>
  <si>
    <t>458 457</t>
  </si>
  <si>
    <t xml:space="preserve">3322 - 3323 </t>
  </si>
  <si>
    <t>TCLU3461262</t>
  </si>
  <si>
    <t>CAIU3288119</t>
  </si>
  <si>
    <t>TCLU3461555</t>
  </si>
  <si>
    <t>TCNU7707449</t>
  </si>
  <si>
    <t xml:space="preserve">DEPOTCE </t>
  </si>
  <si>
    <t>SEGU4116132</t>
  </si>
  <si>
    <t>TCLU8468022</t>
  </si>
  <si>
    <t>BXA0I63</t>
  </si>
  <si>
    <t>CAIU3018129</t>
  </si>
  <si>
    <t>SEGU1119713</t>
  </si>
  <si>
    <t>CXDU1105882</t>
  </si>
  <si>
    <t>TCLU8188253</t>
  </si>
  <si>
    <t xml:space="preserve">FQE9I91 </t>
  </si>
  <si>
    <t>CAIU3154845</t>
  </si>
  <si>
    <t>SANTANA DE PARNAIBA</t>
  </si>
  <si>
    <t>TCLU3461426</t>
  </si>
  <si>
    <t>TCLU3467424</t>
  </si>
  <si>
    <t>CAIU3105223</t>
  </si>
  <si>
    <t>CAIU3310315</t>
  </si>
  <si>
    <t>TCLU3459753</t>
  </si>
  <si>
    <t>CAIU3018690</t>
  </si>
  <si>
    <t>TCLU3460630</t>
  </si>
  <si>
    <t>CMAU5983724</t>
  </si>
  <si>
    <t>P10400922A</t>
  </si>
  <si>
    <t>TRHU5714988</t>
  </si>
  <si>
    <t>P10400922B</t>
  </si>
  <si>
    <t>EMERSON BAIAO DE OLIVEIRA</t>
  </si>
  <si>
    <t>TCNU1769757</t>
  </si>
  <si>
    <t>P10400940A</t>
  </si>
  <si>
    <t>TCKU1998764</t>
  </si>
  <si>
    <t>AAK2206B</t>
  </si>
  <si>
    <t>MRKU7889552</t>
  </si>
  <si>
    <t>AAK2209B</t>
  </si>
  <si>
    <t>PONU0365848</t>
  </si>
  <si>
    <t>MRKU7669706</t>
  </si>
  <si>
    <t>JYM3480</t>
  </si>
  <si>
    <t>2745/22</t>
  </si>
  <si>
    <t>TCNU1729292</t>
  </si>
  <si>
    <t>MLBR3033783</t>
  </si>
  <si>
    <t>BEIRUT</t>
  </si>
  <si>
    <t>MSKU5937020</t>
  </si>
  <si>
    <t>BSIU8084710</t>
  </si>
  <si>
    <t>VICENTE PIZON  303S</t>
  </si>
  <si>
    <t>AAK3242B</t>
  </si>
  <si>
    <t>AAK3915B</t>
  </si>
  <si>
    <t>Rótulos de Linha</t>
  </si>
  <si>
    <t>(vazio)</t>
  </si>
  <si>
    <t>Total Geral</t>
  </si>
  <si>
    <t>Contagem de CONTAINER</t>
  </si>
  <si>
    <t>AGUARDANDO VEÍCULO</t>
  </si>
  <si>
    <t>APH6I00</t>
  </si>
  <si>
    <t>JOÃO EUDES CORDEIRO DA SILVA</t>
  </si>
  <si>
    <t>Em trânsito - Atrasado</t>
  </si>
  <si>
    <t>Em trânsito - No prazo</t>
  </si>
  <si>
    <t>ENTREGUE ATRASADO</t>
  </si>
  <si>
    <t>ENTREGUE NO PRAZO</t>
  </si>
  <si>
    <t>NO CLIENTE</t>
  </si>
  <si>
    <t>SEM PROGRAMAÇÃO</t>
  </si>
  <si>
    <t>DPC9D90</t>
  </si>
  <si>
    <t>03044141400</t>
  </si>
  <si>
    <t>GLDU7700413</t>
  </si>
  <si>
    <t xml:space="preserve">FABIO DARIO RODRIGUES </t>
  </si>
  <si>
    <t>BARTOLOMEU DIAS 301S</t>
  </si>
  <si>
    <t>PEDRO ALVARES CABRAL  302S</t>
  </si>
  <si>
    <t>CMA CGM FORT ST GEORGES  013S</t>
  </si>
  <si>
    <t>00916251144</t>
  </si>
  <si>
    <t>EBKG04897069</t>
  </si>
  <si>
    <t>076-2022</t>
  </si>
  <si>
    <t>FANU1864565</t>
  </si>
  <si>
    <t>HLG3833069</t>
  </si>
  <si>
    <t>NYK DIANA  2250N</t>
  </si>
  <si>
    <t>FUR</t>
  </si>
  <si>
    <t>FANU1912391</t>
  </si>
  <si>
    <t>HLG2158611</t>
  </si>
  <si>
    <t>077-2022</t>
  </si>
  <si>
    <t>PALENA  2251N</t>
  </si>
  <si>
    <t>31/001/2023 18:00</t>
  </si>
  <si>
    <t>13990937898</t>
  </si>
  <si>
    <t>01825123407</t>
  </si>
  <si>
    <t>FLUIDrA</t>
  </si>
  <si>
    <t>LOGIN ENDURANCE  037S</t>
  </si>
  <si>
    <t>GESU1442188</t>
  </si>
  <si>
    <t>CAIU3419190</t>
  </si>
  <si>
    <t>SEGU1124319</t>
  </si>
  <si>
    <t>CAIU3108705</t>
  </si>
  <si>
    <t>CAIU3402509</t>
  </si>
  <si>
    <t>SEGU1119586</t>
  </si>
  <si>
    <t>SEGU1061020</t>
  </si>
  <si>
    <t>TCLU3055200</t>
  </si>
  <si>
    <t>TCLU8168534</t>
  </si>
  <si>
    <t>TCLU8167610</t>
  </si>
  <si>
    <t>TCNU6247884</t>
  </si>
  <si>
    <t>TCNU6247816</t>
  </si>
  <si>
    <t>DFSU7532354</t>
  </si>
  <si>
    <t>FJKU6013828</t>
  </si>
  <si>
    <t>TEMU8499273</t>
  </si>
  <si>
    <t>TCLU8161479</t>
  </si>
  <si>
    <t>TCNU8698700</t>
  </si>
  <si>
    <t>GLDU7711737</t>
  </si>
  <si>
    <t>TCNU7990826</t>
  </si>
  <si>
    <t>TCLU8701710</t>
  </si>
  <si>
    <t>TEMU8501513</t>
  </si>
  <si>
    <t>TEMU8497938</t>
  </si>
  <si>
    <t>TEMU7716395</t>
  </si>
  <si>
    <t>BRC</t>
  </si>
  <si>
    <t>JAÇANA</t>
  </si>
  <si>
    <t>AROUMAR</t>
  </si>
  <si>
    <t>Trânsito</t>
  </si>
  <si>
    <t>Documental</t>
  </si>
  <si>
    <t>RICARDO FARIAS SANTOS</t>
  </si>
  <si>
    <t>03725565371</t>
  </si>
  <si>
    <t>WAGNER JOSE BRAVO</t>
  </si>
  <si>
    <t>01250072999</t>
  </si>
  <si>
    <t>29714736862</t>
  </si>
  <si>
    <t>07022698830</t>
  </si>
  <si>
    <t>02551117859</t>
  </si>
  <si>
    <t>3378c / 3387</t>
  </si>
  <si>
    <t>3267 / 3360</t>
  </si>
  <si>
    <t>BEAU4075140</t>
  </si>
  <si>
    <t>TCNU2830255</t>
  </si>
  <si>
    <t>TGHU6731503</t>
  </si>
  <si>
    <t>TRHU6376191</t>
  </si>
  <si>
    <t>P10401730A</t>
  </si>
  <si>
    <t>P10401730C</t>
  </si>
  <si>
    <t>P10401730D</t>
  </si>
  <si>
    <t>P10401730B</t>
  </si>
  <si>
    <t>CAIU3159019</t>
  </si>
  <si>
    <t>BEAU5897737</t>
  </si>
  <si>
    <t>MLBR3069414</t>
  </si>
  <si>
    <t xml:space="preserve">SUDU8539826 </t>
  </si>
  <si>
    <t>MLBR3069413</t>
  </si>
  <si>
    <t xml:space="preserve">TCLU5135840 </t>
  </si>
  <si>
    <t>HLG5017359</t>
  </si>
  <si>
    <t xml:space="preserve">HLXU8369635 </t>
  </si>
  <si>
    <t>HLG5017360</t>
  </si>
  <si>
    <t xml:space="preserve"> DRYU9566970</t>
  </si>
  <si>
    <t>HLG5017357</t>
  </si>
  <si>
    <t xml:space="preserve">TCNU8348718 </t>
  </si>
  <si>
    <t>HLG5017253</t>
  </si>
  <si>
    <t xml:space="preserve">SEGU5693550 </t>
  </si>
  <si>
    <t>HLG5011834</t>
  </si>
  <si>
    <t>HLXU8413785</t>
  </si>
  <si>
    <t>HLG3796733</t>
  </si>
  <si>
    <t>LODUR  2302E</t>
  </si>
  <si>
    <t xml:space="preserve">BHZ5C81 </t>
  </si>
  <si>
    <t>DBB8E65</t>
  </si>
  <si>
    <t>LUCIANO DA CUNHA</t>
  </si>
  <si>
    <t xml:space="preserve">FEI9J41 </t>
  </si>
  <si>
    <t xml:space="preserve">DTB7A34 </t>
  </si>
  <si>
    <t>DBB8B01</t>
  </si>
  <si>
    <t>MRKU3439768 </t>
  </si>
  <si>
    <t>MLBR3069434</t>
  </si>
  <si>
    <t>MRKU3202800 </t>
  </si>
  <si>
    <t>MLBR3069405</t>
  </si>
  <si>
    <t>HASU4789589 </t>
  </si>
  <si>
    <t>MLBR3069435</t>
  </si>
  <si>
    <t>TLLU5987418 </t>
  </si>
  <si>
    <t>MLBR3069477</t>
  </si>
  <si>
    <t>TCKU6980726</t>
  </si>
  <si>
    <t>MLBR3069444</t>
  </si>
  <si>
    <t>CAP SAN LORENZO  302N</t>
  </si>
  <si>
    <t>MARCO ANTONIO  LOBATO CASTILHO</t>
  </si>
  <si>
    <t>MRSU3144902</t>
  </si>
  <si>
    <t>MLBR3069588</t>
  </si>
  <si>
    <t>MSKU8707464</t>
  </si>
  <si>
    <t>MLBR3069429</t>
  </si>
  <si>
    <t>MSKU0241446</t>
  </si>
  <si>
    <t>MLBR3069555</t>
  </si>
  <si>
    <t>MRKU3236610</t>
  </si>
  <si>
    <t>MLBR3069587</t>
  </si>
  <si>
    <t>PONU7950000</t>
  </si>
  <si>
    <t>MLBR3069406</t>
  </si>
  <si>
    <t>MSKU1515109</t>
  </si>
  <si>
    <t>MLBR3069498</t>
  </si>
  <si>
    <t>TGHU8613069</t>
  </si>
  <si>
    <t>MLBR3060747</t>
  </si>
  <si>
    <t>MRKU3635591</t>
  </si>
  <si>
    <t>MLBR3060748</t>
  </si>
  <si>
    <t>TCLU5446040</t>
  </si>
  <si>
    <t>MLBR3060741</t>
  </si>
  <si>
    <t>MRKU4700665</t>
  </si>
  <si>
    <t>MLBR3060755</t>
  </si>
  <si>
    <t>MRKU5279437</t>
  </si>
  <si>
    <t>MLBR3060744</t>
  </si>
  <si>
    <t>TCKU6634106</t>
  </si>
  <si>
    <t>MLBR3060719</t>
  </si>
  <si>
    <t>TCNU1474798</t>
  </si>
  <si>
    <t>MLBR3060749</t>
  </si>
  <si>
    <t>MSKU1208735</t>
  </si>
  <si>
    <t>MLBR3060713</t>
  </si>
  <si>
    <t>TGBU6664574</t>
  </si>
  <si>
    <t>MLBR3060711</t>
  </si>
  <si>
    <t>CAAU5276618</t>
  </si>
  <si>
    <t>MLBR3060751</t>
  </si>
  <si>
    <t xml:space="preserve">CUA6604 </t>
  </si>
  <si>
    <t>18/012023 16:10</t>
  </si>
  <si>
    <t>2787/23</t>
  </si>
  <si>
    <t>CAP SAN TAINARO  306N</t>
  </si>
  <si>
    <t>PORT LOUIS</t>
  </si>
  <si>
    <t>CARAPICUIBA</t>
  </si>
  <si>
    <t>HORTOLANDIA</t>
  </si>
  <si>
    <t>CHARQUE CAMPEAO</t>
  </si>
  <si>
    <t>IRMAOS AVELINO</t>
  </si>
  <si>
    <t>GOTA QUIMICA</t>
  </si>
  <si>
    <t>JOAO BATISTA DOS SANTOS</t>
  </si>
  <si>
    <t>JOAO EUDES CORDEIRO DA SILVA</t>
  </si>
  <si>
    <t>CW 004-2023</t>
  </si>
  <si>
    <t>30/01/2023 1709/02/202300</t>
  </si>
  <si>
    <t>2782/22</t>
  </si>
  <si>
    <t>MSC PHOENIX  UA306R</t>
  </si>
  <si>
    <t>2836/23</t>
  </si>
  <si>
    <t>1KT816268</t>
  </si>
  <si>
    <t>2783/22</t>
  </si>
  <si>
    <t>TRHU5060059</t>
  </si>
  <si>
    <t>FJ14865515</t>
  </si>
  <si>
    <t>BMOU6124485</t>
  </si>
  <si>
    <t>FJ14865514</t>
  </si>
  <si>
    <t>15006a / 15062</t>
  </si>
  <si>
    <t>SZR</t>
  </si>
  <si>
    <t>QUINTANA-SP</t>
  </si>
  <si>
    <t>SSSZ007995</t>
  </si>
  <si>
    <t>SEASPAN EMPIRE  306N</t>
  </si>
  <si>
    <t>CMA CGM COLUMBIA  0NSE2N1MA</t>
  </si>
  <si>
    <t>DURRES</t>
  </si>
  <si>
    <t>CAIU3310697</t>
  </si>
  <si>
    <t>MERCOSUL ITAJAI  180S</t>
  </si>
  <si>
    <t>CXPSSZ332/23</t>
  </si>
  <si>
    <t>487/488/489/490/491/492/493</t>
  </si>
  <si>
    <t>998 / 999 / 1000 /1001</t>
  </si>
  <si>
    <t>HLBU2788642</t>
  </si>
  <si>
    <t>HLG3795028</t>
  </si>
  <si>
    <t>Qual é a taxa de entregas da nossa empresa?</t>
  </si>
  <si>
    <t>Quantas cargas foram entregues atrasadas</t>
  </si>
  <si>
    <t>Quais são os principais motivos de ocorrências de atrasos?</t>
  </si>
  <si>
    <t>Quais são as transportadoras que não estão cumprindo com a % acordada de taxas de entregas</t>
  </si>
  <si>
    <t xml:space="preserve">Relatório sobre os principais problemas enfrenteados deverá ser enviado via pdf para o diretor de logistica para sua reunião com os contatos das transportadoras </t>
  </si>
  <si>
    <t>filtro</t>
  </si>
  <si>
    <t>mês</t>
  </si>
  <si>
    <t>ano</t>
  </si>
  <si>
    <t>Análise</t>
  </si>
  <si>
    <t>Quantidade de entregas realizadas</t>
  </si>
  <si>
    <t>Quantidade de entregas dentro do prazo</t>
  </si>
  <si>
    <t>Quantidade de entregas atrasadas</t>
  </si>
  <si>
    <t>Quantidade de entregas em aberto</t>
  </si>
  <si>
    <t>Taxa de entrega (quatidade de entregas realizadas/quantidade de entregas previstas total)</t>
  </si>
  <si>
    <t>Análise de tipo de OCORRÊNCIAS</t>
  </si>
  <si>
    <t>Análise de taxa de entregas por transportadora</t>
  </si>
  <si>
    <t>Você precisa criar um relatório mensal sobre as seguintes questões do setor logístico da empresa</t>
  </si>
  <si>
    <t>Quais são os CLIENTES que mais apresentam atrasos nas entregas</t>
  </si>
  <si>
    <t>Linha do tempo</t>
  </si>
  <si>
    <t>FOLLOW UP - COMPLEX</t>
  </si>
  <si>
    <t>NF</t>
  </si>
  <si>
    <t xml:space="preserve">Cavalo </t>
  </si>
  <si>
    <t>Status</t>
  </si>
  <si>
    <t>AGUARDANDO CARREGAMENTO</t>
  </si>
  <si>
    <t>NO CLIENTE, CHEGADA 07HR.</t>
  </si>
  <si>
    <t>CARREGADO</t>
  </si>
  <si>
    <t>AGUARDANDO DESCARGA</t>
  </si>
  <si>
    <t>DESCARREGANDO</t>
  </si>
  <si>
    <t>CARREGANDO</t>
  </si>
  <si>
    <t>PREVISÃO</t>
  </si>
  <si>
    <t>EM TRÂNSITO</t>
  </si>
  <si>
    <t xml:space="preserve">Nota Fiscal </t>
  </si>
  <si>
    <t>Atraso Motorista</t>
  </si>
  <si>
    <t>BOOKING</t>
  </si>
  <si>
    <t>CAVALO</t>
  </si>
  <si>
    <t>CARRETA</t>
  </si>
  <si>
    <t>INSERIR DI / BOOKING</t>
  </si>
  <si>
    <t>CAIU3417406</t>
  </si>
  <si>
    <t>CAIU3022155</t>
  </si>
  <si>
    <t>SEGU1119821</t>
  </si>
  <si>
    <t>TRHU2067260</t>
  </si>
  <si>
    <t>TCLU3464493</t>
  </si>
  <si>
    <t>FFAU1702529</t>
  </si>
  <si>
    <t>TCLU8227684</t>
  </si>
  <si>
    <t>CAIU4835360</t>
  </si>
  <si>
    <t>CIPU5008043</t>
  </si>
  <si>
    <t>CAIU8783007</t>
  </si>
  <si>
    <t>CAIU3374578</t>
  </si>
  <si>
    <t>CAIU3400872</t>
  </si>
  <si>
    <t>TCLU3467023</t>
  </si>
  <si>
    <t>CAIU3369611</t>
  </si>
  <si>
    <t>CAIU3413150</t>
  </si>
  <si>
    <t>CAIU3155862</t>
  </si>
  <si>
    <t>CAIU3154763</t>
  </si>
  <si>
    <t>TCLU3459732</t>
  </si>
  <si>
    <t>TCLU2965150</t>
  </si>
  <si>
    <t>CAIU3161016</t>
  </si>
  <si>
    <t>CAIU3022920</t>
  </si>
  <si>
    <t>TCLU3055978</t>
  </si>
  <si>
    <t>SEGU1093141</t>
  </si>
  <si>
    <t>CAIU3159493</t>
  </si>
  <si>
    <t>SANTANA PARNAÍBA</t>
  </si>
  <si>
    <t>HOTOLOLÂNDIA</t>
  </si>
  <si>
    <t>LOGIN JATOBA  237S</t>
  </si>
  <si>
    <t>MRKU5976339</t>
  </si>
  <si>
    <t>MLBR3044282</t>
  </si>
  <si>
    <t>121975   / 121976 / / 121977 / 121978 / 122018</t>
  </si>
  <si>
    <t>TEMU8413388</t>
  </si>
  <si>
    <t>MLBR3174665</t>
  </si>
  <si>
    <t>1568608 / 1568610</t>
  </si>
  <si>
    <t>MOTIVO</t>
  </si>
  <si>
    <t>31/01/202316:59</t>
  </si>
  <si>
    <t>Carregado, saida da garagem 7:14</t>
  </si>
  <si>
    <t>MRKU6356625</t>
  </si>
  <si>
    <t>MLBR3177583</t>
  </si>
  <si>
    <t>MRSU3504871</t>
  </si>
  <si>
    <t>MLBR3177582</t>
  </si>
  <si>
    <t>19/2023-001</t>
  </si>
  <si>
    <t>MRSU3469132</t>
  </si>
  <si>
    <t>MLBR3177544</t>
  </si>
  <si>
    <t>MRSU3399190</t>
  </si>
  <si>
    <t>MLBR3177560</t>
  </si>
  <si>
    <t>1381 / 1384</t>
  </si>
  <si>
    <t>KLEBER EDUARDO SILVA</t>
  </si>
  <si>
    <t>CPN9D58</t>
  </si>
  <si>
    <t>AIF6006</t>
  </si>
  <si>
    <t>15107 / 15108</t>
  </si>
  <si>
    <t>FLORESTA</t>
  </si>
  <si>
    <t>MONTE AZUL  308N</t>
  </si>
  <si>
    <t>YORK</t>
  </si>
  <si>
    <t>SALTO-SP</t>
  </si>
  <si>
    <t>OSASCO-SP</t>
  </si>
  <si>
    <t>MRKU8598715</t>
  </si>
  <si>
    <t>MRKU9509559</t>
  </si>
  <si>
    <t>MRKU9570097</t>
  </si>
  <si>
    <t>TCKU6837166</t>
  </si>
  <si>
    <t>MRKU5238607</t>
  </si>
  <si>
    <t>BARTOLOMEU DIAS 306S</t>
  </si>
  <si>
    <t>YO-638/22</t>
  </si>
  <si>
    <t>MAIPO  2303N</t>
  </si>
  <si>
    <t>WSCU8790931</t>
  </si>
  <si>
    <t>DBB7467</t>
  </si>
  <si>
    <t>DAJ8C31</t>
  </si>
  <si>
    <t>BSG2A82</t>
  </si>
  <si>
    <t>ALEX DA SILVA FERREIRA</t>
  </si>
  <si>
    <t>FSF7F96</t>
  </si>
  <si>
    <t>EFO7522</t>
  </si>
  <si>
    <t>ANDERSON DE SOUZA COSTA</t>
  </si>
  <si>
    <t>HLG3797610</t>
  </si>
  <si>
    <t>MODULAR</t>
  </si>
  <si>
    <t>MONTE ACONCAGUA  309N</t>
  </si>
  <si>
    <t>VE 005-2023</t>
  </si>
  <si>
    <t>AA 010-2023</t>
  </si>
  <si>
    <t>FSC7F96</t>
  </si>
  <si>
    <t>19294729869</t>
  </si>
  <si>
    <t>01008628403</t>
  </si>
  <si>
    <t>LA0285174</t>
  </si>
  <si>
    <t>SUDU7742802</t>
  </si>
  <si>
    <t>MLBR3028797</t>
  </si>
  <si>
    <t>LSM</t>
  </si>
  <si>
    <t>Rótulos de Coluna</t>
  </si>
  <si>
    <t>VC 6269211</t>
  </si>
  <si>
    <t>ZIMUSNT8071133</t>
  </si>
  <si>
    <t>POÇO DE CALDAS-MG</t>
  </si>
  <si>
    <t>MH HAMBURG  UA308R</t>
  </si>
  <si>
    <t>1KT816978</t>
  </si>
  <si>
    <t>CAP SAN MALEAS 308N</t>
  </si>
  <si>
    <t>CONSTANZA</t>
  </si>
  <si>
    <t>CMA CGM SAN FRANCISCO  0GBE5N1MA</t>
  </si>
  <si>
    <t>SSZ1347691</t>
  </si>
  <si>
    <t xml:space="preserve"> 2767/22</t>
  </si>
  <si>
    <t>2429/22</t>
  </si>
  <si>
    <t>Operacional</t>
  </si>
  <si>
    <t>TCLU3466813</t>
  </si>
  <si>
    <t>SEGU1118189</t>
  </si>
  <si>
    <t>CAIU3288783</t>
  </si>
  <si>
    <t>CAIU3160745</t>
  </si>
  <si>
    <t>SEGU1119328</t>
  </si>
  <si>
    <t>CAIU3403845</t>
  </si>
  <si>
    <t>CAIU3277710</t>
  </si>
  <si>
    <t>CAIU8801939</t>
  </si>
  <si>
    <t>TCNU6205019</t>
  </si>
  <si>
    <t>CAAU6478866</t>
  </si>
  <si>
    <t>CIPU5012948</t>
  </si>
  <si>
    <t>CMA CGM FORT ST GEORGES  014S</t>
  </si>
  <si>
    <t>22/2023-001</t>
  </si>
  <si>
    <t>TCNU2744033</t>
  </si>
  <si>
    <t>MLBR3170722</t>
  </si>
  <si>
    <t>1KT819898</t>
  </si>
  <si>
    <t>CAP SAN MALEAS  308N</t>
  </si>
  <si>
    <t>15149 / 15165</t>
  </si>
  <si>
    <t>2853/23</t>
  </si>
  <si>
    <t>AAK5582B</t>
  </si>
  <si>
    <t>AAK6120B</t>
  </si>
  <si>
    <t>AAK5582C</t>
  </si>
  <si>
    <t>1590 / 1591</t>
  </si>
  <si>
    <t>3428 / 3430</t>
  </si>
  <si>
    <t>1080C / 15133C / 15138</t>
  </si>
  <si>
    <t>CARU9948010</t>
  </si>
  <si>
    <t>L1576847</t>
  </si>
  <si>
    <t>CMAU5547150</t>
  </si>
  <si>
    <t>L1576793</t>
  </si>
  <si>
    <t>MRSU5512140</t>
  </si>
  <si>
    <t>CSL MELINA  307S</t>
  </si>
  <si>
    <t>IMP4296-006978</t>
  </si>
  <si>
    <t>AAK7694B</t>
  </si>
  <si>
    <t>TCKU7410522</t>
  </si>
  <si>
    <t>23-0348751-9</t>
  </si>
  <si>
    <t>CMA CGM COLUMBIA  0NSE1S1MA</t>
  </si>
  <si>
    <t>ZCSU5108636</t>
  </si>
  <si>
    <t>ZZZS965805</t>
  </si>
  <si>
    <t>MSKU3085481</t>
  </si>
  <si>
    <t>MLBR3028755</t>
  </si>
  <si>
    <t>Pane elétrica ou mecânica</t>
  </si>
  <si>
    <t>MIEU0057669</t>
  </si>
  <si>
    <t>MLBR3177919</t>
  </si>
  <si>
    <t>28/0/2023 01:00</t>
  </si>
  <si>
    <t>15189c / 15191</t>
  </si>
  <si>
    <t>VC6282086</t>
  </si>
  <si>
    <t>VC6280958</t>
  </si>
  <si>
    <t>MLBR3028755 / 3152/0003829</t>
  </si>
  <si>
    <t>Motivo da ocorrência</t>
  </si>
  <si>
    <t>SAÍDA DA GARAGEM 7:30</t>
  </si>
  <si>
    <t>MRKU5782122</t>
  </si>
  <si>
    <t>MLBR3170497</t>
  </si>
  <si>
    <t>2702/2023 22:28</t>
  </si>
  <si>
    <t>15178 / 15204</t>
  </si>
  <si>
    <t>LOGIN JACARANDA  150S</t>
  </si>
  <si>
    <t>MSDU1466694</t>
  </si>
  <si>
    <t>CAIU3405262</t>
  </si>
  <si>
    <t>SEGU1248114</t>
  </si>
  <si>
    <t>TCLU3467018</t>
  </si>
  <si>
    <t>CAIU2938462</t>
  </si>
  <si>
    <t>CAIU3288696</t>
  </si>
  <si>
    <t>CAIU2929141</t>
  </si>
  <si>
    <t>CAIU3158310</t>
  </si>
  <si>
    <t>SEGU1118553</t>
  </si>
  <si>
    <t>MSMU1766194</t>
  </si>
  <si>
    <t>SEGU4046689</t>
  </si>
  <si>
    <t>TCLU8166090</t>
  </si>
  <si>
    <t>CAIU8763377</t>
  </si>
  <si>
    <t>TCNU8695872</t>
  </si>
  <si>
    <t>TCNU7370640</t>
  </si>
  <si>
    <t>TEMU8498148</t>
  </si>
  <si>
    <t>TCLU8808740</t>
  </si>
  <si>
    <t>CAIU8802940</t>
  </si>
  <si>
    <t>FFAU1701950</t>
  </si>
  <si>
    <t>SANTOS ANDRE</t>
  </si>
  <si>
    <t>RIOC</t>
  </si>
  <si>
    <t>SSZ1348476</t>
  </si>
  <si>
    <t>CARDIFF  OGBEBN1MA</t>
  </si>
  <si>
    <t>SSZ1348078</t>
  </si>
  <si>
    <t>MAERSK LEON  0NSE6N1MA</t>
  </si>
  <si>
    <t>SSZ1348509</t>
  </si>
  <si>
    <t>DUBAI 006-2023</t>
  </si>
  <si>
    <t>MRKU5342519</t>
  </si>
  <si>
    <t>MLBR3045648</t>
  </si>
  <si>
    <t>HASU4078174</t>
  </si>
  <si>
    <t>MLBR3045660</t>
  </si>
  <si>
    <t>MRSU3435981</t>
  </si>
  <si>
    <t>MLBR3045664</t>
  </si>
  <si>
    <t>MRKU3377882</t>
  </si>
  <si>
    <t>MLBR3045675</t>
  </si>
  <si>
    <t>1947 / 1948</t>
  </si>
  <si>
    <t>TCLU3054652</t>
  </si>
  <si>
    <t xml:space="preserve"> </t>
  </si>
  <si>
    <t>15241c  / 15071 / 15242</t>
  </si>
  <si>
    <t>15168 / 15243</t>
  </si>
  <si>
    <t>2866/23</t>
  </si>
  <si>
    <t>2765/22</t>
  </si>
  <si>
    <t>2420/22</t>
  </si>
  <si>
    <t>2766/22</t>
  </si>
  <si>
    <t>2768/22</t>
  </si>
  <si>
    <t>2769/22</t>
  </si>
  <si>
    <t>2770/22</t>
  </si>
  <si>
    <t>2771/22</t>
  </si>
  <si>
    <t>2772/22</t>
  </si>
  <si>
    <t>TROCA DE MOTORISTA</t>
  </si>
  <si>
    <t>CYB7H09</t>
  </si>
  <si>
    <t>BSG8786</t>
  </si>
  <si>
    <t>01798714809</t>
  </si>
  <si>
    <t>00755031506</t>
  </si>
  <si>
    <t>CPJ4E06</t>
  </si>
  <si>
    <t>BXJ7542</t>
  </si>
  <si>
    <t>ANILTON MENDES CARDOZO</t>
  </si>
  <si>
    <t>15221 / 15224</t>
  </si>
  <si>
    <t>3442C / 3444C / 3448</t>
  </si>
  <si>
    <t>CAIU3309905</t>
  </si>
  <si>
    <t>MSDU1566203</t>
  </si>
  <si>
    <t>MSDU1617717</t>
  </si>
  <si>
    <t>CAIU3288211</t>
  </si>
  <si>
    <t>LOGIN ENDURANCE  038S</t>
  </si>
  <si>
    <t>SEGU1120083</t>
  </si>
  <si>
    <t>CXDU1852677</t>
  </si>
  <si>
    <t>UETU5558656</t>
  </si>
  <si>
    <t>L1579672</t>
  </si>
  <si>
    <t>L1579673</t>
  </si>
  <si>
    <t>CXDU2075118</t>
  </si>
  <si>
    <t>L1579589</t>
  </si>
  <si>
    <t>CRSU9349453</t>
  </si>
  <si>
    <t>L1579587</t>
  </si>
  <si>
    <t>APHU7326504</t>
  </si>
  <si>
    <t>L1579581</t>
  </si>
  <si>
    <t>BSIU9273641</t>
  </si>
  <si>
    <t>L1579547</t>
  </si>
  <si>
    <t>CMA CGM RHONE  0NST7N1MA</t>
  </si>
  <si>
    <t>008-2023</t>
  </si>
  <si>
    <t>006-2023</t>
  </si>
  <si>
    <t>CMAU7638990</t>
  </si>
  <si>
    <t>L1582912</t>
  </si>
  <si>
    <t>SEKU4328943</t>
  </si>
  <si>
    <t>L1582915</t>
  </si>
  <si>
    <t>DOCUMENTO ERRADO</t>
  </si>
  <si>
    <t>CMAU9312513</t>
  </si>
  <si>
    <t>APHU7302924</t>
  </si>
  <si>
    <t>L1582803</t>
  </si>
  <si>
    <t>L1582955</t>
  </si>
  <si>
    <t>TCLU3463060</t>
  </si>
  <si>
    <t>CAIU3159723</t>
  </si>
  <si>
    <t>TCLU3460163</t>
  </si>
  <si>
    <t>TCLU3465099</t>
  </si>
  <si>
    <t>SEGU1118276</t>
  </si>
  <si>
    <t>FCIU8728688</t>
  </si>
  <si>
    <t>TCLU8227874</t>
  </si>
  <si>
    <t>TCLU8703158</t>
  </si>
  <si>
    <t>TCNU8699522</t>
  </si>
  <si>
    <t>TCLU8161099</t>
  </si>
  <si>
    <t>DFSU7488375</t>
  </si>
  <si>
    <t>AMFU8903629</t>
  </si>
  <si>
    <t>TCNU7442864</t>
  </si>
  <si>
    <t>TCLU3055535</t>
  </si>
  <si>
    <t>MONTE ROSA  311N</t>
  </si>
  <si>
    <t>07/032023 11:00</t>
  </si>
  <si>
    <t>MRKU7452053</t>
  </si>
  <si>
    <t>MRKU9102007</t>
  </si>
  <si>
    <t>PONU2049181</t>
  </si>
  <si>
    <t>MSKU5199143</t>
  </si>
  <si>
    <t>SUDU7369108</t>
  </si>
  <si>
    <t>SEBASTIAO CABOTO  309S</t>
  </si>
  <si>
    <t>MEDITERRANEAN EXPRESS  310N</t>
  </si>
  <si>
    <t>WORLD FARMERS</t>
  </si>
  <si>
    <t>15222 / 15223</t>
  </si>
  <si>
    <t>3381c / 3458</t>
  </si>
  <si>
    <t>TCKU6618358</t>
  </si>
  <si>
    <t>MLBR3060589</t>
  </si>
  <si>
    <t>MRKU7537757</t>
  </si>
  <si>
    <t>CAIU3402432</t>
  </si>
  <si>
    <t>TROCA DE VEÍCULO</t>
  </si>
  <si>
    <t>PONU0325470</t>
  </si>
  <si>
    <t>AAK007BB</t>
  </si>
  <si>
    <t>AAK007BC</t>
  </si>
  <si>
    <t>AAK007BD</t>
  </si>
  <si>
    <t>AAK0253D</t>
  </si>
  <si>
    <t>1584425 / 1584426</t>
  </si>
  <si>
    <t>1KT829078</t>
  </si>
  <si>
    <t>CAP SAN ARTEMISSIO  310N</t>
  </si>
  <si>
    <t>2895/23</t>
  </si>
  <si>
    <t>MRKU7962798</t>
  </si>
  <si>
    <t>MSC MICHELA  NA310R</t>
  </si>
  <si>
    <t>LISBOA</t>
  </si>
  <si>
    <t>BEAUTY</t>
  </si>
  <si>
    <t>SOLICITOU TROCA DE AGENDAMENTO</t>
  </si>
  <si>
    <t>AA9195AS</t>
  </si>
  <si>
    <t>CAIU3307380</t>
  </si>
  <si>
    <t>CAIU3288715</t>
  </si>
  <si>
    <t>TRHU2285600</t>
  </si>
  <si>
    <t>MSDU1419985</t>
  </si>
  <si>
    <t>FCIU9176069</t>
  </si>
  <si>
    <t>LOGIN JATOBA  238S</t>
  </si>
  <si>
    <t>10/03/202314:34</t>
  </si>
  <si>
    <t>GESU6324927</t>
  </si>
  <si>
    <t>HLG5014738</t>
  </si>
  <si>
    <t>699 / 700 / 701 / 702 / 703 / 704 / 705 / 706 / 707 / 708</t>
  </si>
  <si>
    <t>CAIU3015963</t>
  </si>
  <si>
    <t>CAIU3415316</t>
  </si>
  <si>
    <t>SEGU1061669</t>
  </si>
  <si>
    <t>TCLU3038498</t>
  </si>
  <si>
    <t>TCLU3041357</t>
  </si>
  <si>
    <t>TCLU3055638</t>
  </si>
  <si>
    <t>TCNU6243657</t>
  </si>
  <si>
    <t>SEGU4117416</t>
  </si>
  <si>
    <t>CRSU9082006</t>
  </si>
  <si>
    <t>GESU6823356</t>
  </si>
  <si>
    <t>TCLU8158480</t>
  </si>
  <si>
    <t>TCLU8160472</t>
  </si>
  <si>
    <t>TCNU6242218</t>
  </si>
  <si>
    <t>TCLU8187180</t>
  </si>
  <si>
    <t>TEMU8333641</t>
  </si>
  <si>
    <t>TCNU7378847</t>
  </si>
  <si>
    <t>CAAU6386862</t>
  </si>
  <si>
    <t>MONTE ALEGRE  312N</t>
  </si>
  <si>
    <t>TLLU2320123</t>
  </si>
  <si>
    <t>L1554464</t>
  </si>
  <si>
    <t>MRSU3140580</t>
  </si>
  <si>
    <t>MLBR3063940</t>
  </si>
  <si>
    <t>TRHU6302408</t>
  </si>
  <si>
    <t>MLBR3063983</t>
  </si>
  <si>
    <t>MRKU4257583</t>
  </si>
  <si>
    <t>MLBR3062108</t>
  </si>
  <si>
    <t>MRKU5889960</t>
  </si>
  <si>
    <t>MLBR3062026</t>
  </si>
  <si>
    <t>MRKU3584088</t>
  </si>
  <si>
    <t>MLBR3063936</t>
  </si>
  <si>
    <t>MRKU3320110</t>
  </si>
  <si>
    <t>MLBR3063944</t>
  </si>
  <si>
    <t>MRSU6302072</t>
  </si>
  <si>
    <t>MLBR3062053</t>
  </si>
  <si>
    <t>13/032023 20:53</t>
  </si>
  <si>
    <t>VC6312249</t>
  </si>
  <si>
    <t>14/032023 09:30</t>
  </si>
  <si>
    <t>1588925 / 1588928</t>
  </si>
  <si>
    <t>15373c / 15374</t>
  </si>
  <si>
    <t>SSZ1352402</t>
  </si>
  <si>
    <t>2891/23</t>
  </si>
  <si>
    <t>8727372 / 8891890 / 8891889</t>
  </si>
  <si>
    <t>NYK DIANA  2307N</t>
  </si>
  <si>
    <t>3474 / 3475</t>
  </si>
  <si>
    <t>15385c/ 15389</t>
  </si>
  <si>
    <t>15386c / 15390</t>
  </si>
  <si>
    <t>15387c / 15391</t>
  </si>
  <si>
    <t>SEGU1029970</t>
  </si>
  <si>
    <t>2342 / 2343</t>
  </si>
  <si>
    <t>BSG5I57</t>
  </si>
  <si>
    <t>CMA CGM BERLIOZ  0GBEGN1MA</t>
  </si>
  <si>
    <t>CURAÇÃO</t>
  </si>
  <si>
    <t>SSZ1350753</t>
  </si>
  <si>
    <t>017-2023 (A)</t>
  </si>
  <si>
    <t>017-2023 (B)</t>
  </si>
  <si>
    <t>16/03/2023 03&gt;45</t>
  </si>
  <si>
    <t>16/03/2023 04;32</t>
  </si>
  <si>
    <t>MSC BARCELONA  312N</t>
  </si>
  <si>
    <t>S00008248</t>
  </si>
  <si>
    <t>INFORMOU QUE O VEÍCULO QUEBROU AS 6HR</t>
  </si>
  <si>
    <t>SAÍDA DA GARAGEM ÀS 6:37</t>
  </si>
  <si>
    <t>Acidente na porta da DPW</t>
  </si>
  <si>
    <t>15104 / S 15421</t>
  </si>
  <si>
    <t>15115 / S 15425</t>
  </si>
  <si>
    <t>15114 / S 15423</t>
  </si>
  <si>
    <t>15118 / S 15427</t>
  </si>
  <si>
    <t>14984 / S 15429</t>
  </si>
  <si>
    <t>14991 / S 15431</t>
  </si>
  <si>
    <t>14993 / S 15435</t>
  </si>
  <si>
    <t>14992 / S 15433</t>
  </si>
  <si>
    <t>15001 / S 15437</t>
  </si>
  <si>
    <t>MDLRUS01044</t>
  </si>
  <si>
    <t>LAGES-SC</t>
  </si>
  <si>
    <t>GTS</t>
  </si>
  <si>
    <t>ST. PETERSBURG</t>
  </si>
  <si>
    <t>HUANGHAI STRUGGLER  HGS1</t>
  </si>
  <si>
    <t>SUDU3962178</t>
  </si>
  <si>
    <t>MRKU7510669</t>
  </si>
  <si>
    <t>BARTOLOMEU DIAS  310S</t>
  </si>
  <si>
    <t>SEGU1157040</t>
  </si>
  <si>
    <t>TCLU3055258</t>
  </si>
  <si>
    <t>MSMU1782261</t>
  </si>
  <si>
    <t>TCLU3466367</t>
  </si>
  <si>
    <t>CAIU3412045</t>
  </si>
  <si>
    <t>TCLU3461880</t>
  </si>
  <si>
    <t>FCIU9177851</t>
  </si>
  <si>
    <t>TRHU7049125</t>
  </si>
  <si>
    <t>TCLU8703944</t>
  </si>
  <si>
    <t>14/032023 13:30</t>
  </si>
  <si>
    <t>CMA CGM FORT ST GEORGES  015S</t>
  </si>
  <si>
    <t>CAIU3310300</t>
  </si>
  <si>
    <t>TCLU2966178</t>
  </si>
  <si>
    <t>CAIU3405241</t>
  </si>
  <si>
    <t>MSDU1212468</t>
  </si>
  <si>
    <t>MSMU1696245</t>
  </si>
  <si>
    <t>CAIU2913654</t>
  </si>
  <si>
    <t>CAIU3108346</t>
  </si>
  <si>
    <t>CAIU3377659</t>
  </si>
  <si>
    <t>CAIU8811428</t>
  </si>
  <si>
    <t>TEMU7892141</t>
  </si>
  <si>
    <t>TCLU8702779</t>
  </si>
  <si>
    <t>TCLU5011813</t>
  </si>
  <si>
    <t>GLDU7712672</t>
  </si>
  <si>
    <t>MEDU8884174</t>
  </si>
  <si>
    <t>TCNU8696713</t>
  </si>
  <si>
    <t>TCNU7748134</t>
  </si>
  <si>
    <t>SANTANA PARNAIBA</t>
  </si>
  <si>
    <t>JBS</t>
  </si>
  <si>
    <t>MEDU5036190</t>
  </si>
  <si>
    <t>TOMU3158762</t>
  </si>
  <si>
    <t>DLBR0000047</t>
  </si>
  <si>
    <t>TOMU4097785</t>
  </si>
  <si>
    <t>DLBR0000049</t>
  </si>
  <si>
    <t>TOMU2201592</t>
  </si>
  <si>
    <t>DLBR0000050</t>
  </si>
  <si>
    <t>TOMU3159537</t>
  </si>
  <si>
    <t>DLBR0000091</t>
  </si>
  <si>
    <t>18/03/202310:40</t>
  </si>
  <si>
    <t>HLG3807202</t>
  </si>
  <si>
    <t>FCIU9405313</t>
  </si>
  <si>
    <t>WSCU7895347</t>
  </si>
  <si>
    <t xml:space="preserve">3996657 / </t>
  </si>
  <si>
    <t>MAERSK LAMANAI  0NSE8N1MA (311N)</t>
  </si>
  <si>
    <t>TEMU1319533</t>
  </si>
  <si>
    <t>MLBR3028854</t>
  </si>
  <si>
    <t>15452 / 15453 / 15459</t>
  </si>
  <si>
    <t>AAK042IB</t>
  </si>
  <si>
    <t>3495C / 3496</t>
  </si>
  <si>
    <t>CAIU3021159</t>
  </si>
  <si>
    <t>MERCOSUL SANTOS  325S</t>
  </si>
  <si>
    <t>LA0289287</t>
  </si>
  <si>
    <t>15395 / 15397</t>
  </si>
  <si>
    <t>SEKU5509669</t>
  </si>
  <si>
    <t>L1653364</t>
  </si>
  <si>
    <t>122756 / 122757 / 122758 /122759 / 122760 /122761 / 122762 / 122773</t>
  </si>
  <si>
    <t>2620 / 2621 / 2606 / 2607</t>
  </si>
  <si>
    <t>L1570975 / 69937</t>
  </si>
  <si>
    <t>GCXU5844985</t>
  </si>
  <si>
    <t>L1657770</t>
  </si>
  <si>
    <t>1135 / 1138</t>
  </si>
  <si>
    <t>1136 / 1139</t>
  </si>
  <si>
    <t>1137 / 1140</t>
  </si>
  <si>
    <t>1134 / 1141</t>
  </si>
  <si>
    <t>1KT842299</t>
  </si>
  <si>
    <t>CAP SAN SOUNIO  312N</t>
  </si>
  <si>
    <t>22/03/023 15:50</t>
  </si>
  <si>
    <t>FINALIZANDO OUTRA VIAGEM</t>
  </si>
  <si>
    <t>OBSERVAÇÕES</t>
  </si>
  <si>
    <t>VC6328405</t>
  </si>
  <si>
    <t>VC6310029</t>
  </si>
  <si>
    <t>15469C / 15470 / 15478</t>
  </si>
  <si>
    <t>494 / 495 / 496 / 497 / 498 / 499 / 500</t>
  </si>
  <si>
    <t>2911/23</t>
  </si>
  <si>
    <t>TCKU6170767</t>
  </si>
  <si>
    <t>GCXU5760713</t>
  </si>
  <si>
    <t>MRKU9618143</t>
  </si>
  <si>
    <t>PEDRO ALVARES CABRAL  311S</t>
  </si>
  <si>
    <t>MONTE CERVANTES  313N</t>
  </si>
  <si>
    <t>PORT NEWARK</t>
  </si>
  <si>
    <t>3497C / 3498</t>
  </si>
  <si>
    <t>P10407528</t>
  </si>
  <si>
    <t>MERCOSUL SUAPE  0BCDHN1RCN</t>
  </si>
  <si>
    <t>CXPMAO342-23</t>
  </si>
  <si>
    <t>BMOU6984147</t>
  </si>
  <si>
    <t>L1664454</t>
  </si>
  <si>
    <t>PNEU FURADO</t>
  </si>
  <si>
    <t>FEI4D49</t>
  </si>
  <si>
    <t>FEI4D47</t>
  </si>
  <si>
    <t>TIAGO SPOSITO ALVES</t>
  </si>
  <si>
    <t>32587313813</t>
  </si>
  <si>
    <t>03118222077</t>
  </si>
  <si>
    <t xml:space="preserve">ELISIO CAVALCANTE DE ALBUQUERQUE </t>
  </si>
  <si>
    <t>02916619830</t>
  </si>
  <si>
    <t>SEASPAN EMPIRE  314N</t>
  </si>
  <si>
    <t>EVO1588</t>
  </si>
  <si>
    <t>KOM3005</t>
  </si>
  <si>
    <t>GILBERTO AMARAL DA SILVA</t>
  </si>
  <si>
    <t>AAK092GB</t>
  </si>
  <si>
    <t>FFI9G97</t>
  </si>
  <si>
    <t>GGR0B93</t>
  </si>
  <si>
    <t>SERGIO RICARDO DE OLIVEIRA VIOLA</t>
  </si>
  <si>
    <t>FJP8E41</t>
  </si>
  <si>
    <t>DKU7A83</t>
  </si>
  <si>
    <t>GEDIVALDO DA SILVA MOREIRA</t>
  </si>
  <si>
    <t>FHE5D22</t>
  </si>
  <si>
    <t>GIW3495</t>
  </si>
  <si>
    <t>MARCIO OLIVEIRA FIDELIS</t>
  </si>
  <si>
    <t>DAH4J89</t>
  </si>
  <si>
    <t>TCNU2730636</t>
  </si>
  <si>
    <t>MLBR3252772</t>
  </si>
  <si>
    <t>CIPU5012090</t>
  </si>
  <si>
    <t>TCLU8697287</t>
  </si>
  <si>
    <t>CAIU3020888</t>
  </si>
  <si>
    <t>TCNU7446556</t>
  </si>
  <si>
    <t>CAIU4832103</t>
  </si>
  <si>
    <t>FFAU1702133</t>
  </si>
  <si>
    <t>TCLU8806691</t>
  </si>
  <si>
    <t>CAIU3159791</t>
  </si>
  <si>
    <t>SEGU1084685</t>
  </si>
  <si>
    <t>SEGU1154479</t>
  </si>
  <si>
    <t>CAIU3154830</t>
  </si>
  <si>
    <t>TCLU3043149</t>
  </si>
  <si>
    <t>SEGU1062881</t>
  </si>
  <si>
    <t>SEGU1255319</t>
  </si>
  <si>
    <t>CIPU5019140</t>
  </si>
  <si>
    <t>SEGU4056310</t>
  </si>
  <si>
    <t>TCLU3463408</t>
  </si>
  <si>
    <t>TCLU3055746</t>
  </si>
  <si>
    <t>MSDU2071174</t>
  </si>
  <si>
    <t>VL INDEPENDENTE</t>
  </si>
  <si>
    <t>LOGIN JACARANDA  151S</t>
  </si>
  <si>
    <t>2764 / 2765</t>
  </si>
  <si>
    <t>MLBR3252620</t>
  </si>
  <si>
    <t>MRKU4715670</t>
  </si>
  <si>
    <t>MRKU5457415</t>
  </si>
  <si>
    <t>MLBR3252745</t>
  </si>
  <si>
    <t>CIPU5036600</t>
  </si>
  <si>
    <t>HASU4815841</t>
  </si>
  <si>
    <t>MLBR3252782</t>
  </si>
  <si>
    <t>Entrega cheio Suzano as 5hr</t>
  </si>
  <si>
    <t>MRKU2418478</t>
  </si>
  <si>
    <t>MLBR3252768</t>
  </si>
  <si>
    <t>122945 / 122946 / 122947 / 122948</t>
  </si>
  <si>
    <t>TCLU3463100</t>
  </si>
  <si>
    <t>SEGU1152563</t>
  </si>
  <si>
    <t>CAIU3399637</t>
  </si>
  <si>
    <t>CAIU3307604</t>
  </si>
  <si>
    <t>CAIU3020548</t>
  </si>
  <si>
    <t>15520 / 15521</t>
  </si>
  <si>
    <t>P10406333</t>
  </si>
  <si>
    <t>LOGIN POLARIS  0BCDJN1RCN</t>
  </si>
  <si>
    <t>CXPMAO341-23</t>
  </si>
  <si>
    <r>
      <rPr>
        <sz val="10"/>
        <color rgb="FFFF0000"/>
        <rFont val="Calibri"/>
        <family val="2"/>
        <scheme val="minor"/>
      </rPr>
      <t>MLBR3252751</t>
    </r>
    <r>
      <rPr>
        <sz val="10"/>
        <color theme="1"/>
        <rFont val="Calibri"/>
        <family val="2"/>
        <scheme val="minor"/>
      </rPr>
      <t xml:space="preserve"> / MLBR3262313</t>
    </r>
  </si>
  <si>
    <t>PALENA  2309N</t>
  </si>
  <si>
    <t>2424/22</t>
  </si>
  <si>
    <t>2634/22</t>
  </si>
  <si>
    <t>2898/23</t>
  </si>
  <si>
    <t>2899/23</t>
  </si>
  <si>
    <t>2900/23</t>
  </si>
  <si>
    <t>2909/23</t>
  </si>
  <si>
    <t>2908/23</t>
  </si>
  <si>
    <t>AAK092IB</t>
  </si>
  <si>
    <t>CPN9</t>
  </si>
  <si>
    <t>P10407515</t>
  </si>
  <si>
    <t>CXPMAO344-23</t>
  </si>
  <si>
    <t>123025 / 123026 / 123027 / 123028 / 123029 / 123030</t>
  </si>
  <si>
    <t>CAP SAN MARCO  313N</t>
  </si>
  <si>
    <t>TEMU6850959</t>
  </si>
  <si>
    <t>AAK092GC</t>
  </si>
  <si>
    <t>CMAU4770494</t>
  </si>
  <si>
    <t>L1668118</t>
  </si>
  <si>
    <t>L1668120</t>
  </si>
  <si>
    <t>TGBU6328348</t>
  </si>
  <si>
    <t>L1668367</t>
  </si>
  <si>
    <t>L1668365</t>
  </si>
  <si>
    <t>CRSU9187310</t>
  </si>
  <si>
    <t>013-2023</t>
  </si>
  <si>
    <t>075-2022</t>
  </si>
  <si>
    <t>PAROU PARA DORMIR</t>
  </si>
  <si>
    <t>PORT TANGIER</t>
  </si>
  <si>
    <t>NO CLIENTE, CHEGADA 09:50</t>
  </si>
  <si>
    <t>CAIU6272667</t>
  </si>
  <si>
    <t>MRKU8976179</t>
  </si>
  <si>
    <t>SUDU1335878</t>
  </si>
  <si>
    <t>TCKU1121245</t>
  </si>
  <si>
    <t>MSKU5458943</t>
  </si>
  <si>
    <t>MRKU8954863</t>
  </si>
  <si>
    <t>VICENTE PIZON  312S</t>
  </si>
  <si>
    <t>MRKU9054676</t>
  </si>
  <si>
    <t>MRKU2961314</t>
  </si>
  <si>
    <t>MRKU5932829</t>
  </si>
  <si>
    <t>POMPEIA-SP</t>
  </si>
  <si>
    <t>241ISZ2199986</t>
  </si>
  <si>
    <t>JP0120/23-A</t>
  </si>
  <si>
    <t>JP0160/23</t>
  </si>
  <si>
    <t>CAP SAN ANTONIO  314N</t>
  </si>
  <si>
    <t>ALGIERS</t>
  </si>
  <si>
    <t>MERSIN</t>
  </si>
  <si>
    <t>MSC ATHOS  MM314R</t>
  </si>
  <si>
    <t>TCLU2708168</t>
  </si>
  <si>
    <t>MLBR3258634</t>
  </si>
  <si>
    <t>CUA6D73</t>
  </si>
  <si>
    <t>JOSE RICARDO ARAUJO DA SILVA</t>
  </si>
  <si>
    <t>POLAR ARGENTINA  315W</t>
  </si>
  <si>
    <t>CLASSIC</t>
  </si>
  <si>
    <t>23/0618756-7</t>
  </si>
  <si>
    <t>KKFU8016681</t>
  </si>
  <si>
    <t>PALENA  2308S</t>
  </si>
  <si>
    <t>EMBRAGEM</t>
  </si>
  <si>
    <t>123075 / 123079 / 123080</t>
  </si>
  <si>
    <t>MRKU4330982</t>
  </si>
  <si>
    <t>MLBR3255849</t>
  </si>
  <si>
    <t>0198/23-MR</t>
  </si>
  <si>
    <t>ALVAREZ MACHADO-SP</t>
  </si>
  <si>
    <t>UL7984621</t>
  </si>
  <si>
    <t>FANU3170985</t>
  </si>
  <si>
    <t>HLG3814304</t>
  </si>
  <si>
    <t>GESU6436758</t>
  </si>
  <si>
    <t>HLG3814433</t>
  </si>
  <si>
    <t>TLLU5948833</t>
  </si>
  <si>
    <t>HLG3824977</t>
  </si>
  <si>
    <t>AGENDAMENTO DE ENTREGA UNIPAR</t>
  </si>
  <si>
    <t>03/04/023 10:50</t>
  </si>
  <si>
    <t>FWF1I71</t>
  </si>
  <si>
    <t>FEI4472</t>
  </si>
  <si>
    <t>IPA0J77</t>
  </si>
  <si>
    <t>KBL9G59</t>
  </si>
  <si>
    <t>AAK161ZB</t>
  </si>
  <si>
    <t>FEI4C72</t>
  </si>
  <si>
    <t>3530 / 15589</t>
  </si>
  <si>
    <t>15590 / 3532</t>
  </si>
  <si>
    <t>LUCIANO PEREIRA DA SILVA</t>
  </si>
  <si>
    <t>MRSU5742713</t>
  </si>
  <si>
    <t>MLBR3253661</t>
  </si>
  <si>
    <t>MRKU5322322</t>
  </si>
  <si>
    <t>MLBR3253619</t>
  </si>
  <si>
    <t>DVS1956</t>
  </si>
  <si>
    <t>EVU7H35</t>
  </si>
  <si>
    <t>LVG1330</t>
  </si>
  <si>
    <t>KBE5476</t>
  </si>
  <si>
    <t>EVO8G36</t>
  </si>
  <si>
    <t>EPU9116</t>
  </si>
  <si>
    <t>LEANDRO JESUS DOS SANTOS</t>
  </si>
  <si>
    <t>RUBENS CLIMACO DOS SANTOS</t>
  </si>
  <si>
    <t>JEFERSON PEDRO TROVINO</t>
  </si>
  <si>
    <t>DFSU7323159</t>
  </si>
  <si>
    <t>HLG3824790</t>
  </si>
  <si>
    <t>HLBU3190911</t>
  </si>
  <si>
    <t>HLG3824963</t>
  </si>
  <si>
    <t>HLBU2466878</t>
  </si>
  <si>
    <t>HLG3824779</t>
  </si>
  <si>
    <t>HLBU2668631</t>
  </si>
  <si>
    <t>HLG3824830</t>
  </si>
  <si>
    <t>03/042023 15:00</t>
  </si>
  <si>
    <t>TCLU3059818</t>
  </si>
  <si>
    <t>CAIU3402387</t>
  </si>
  <si>
    <t>SEGU1064668</t>
  </si>
  <si>
    <t>TCLU3463460</t>
  </si>
  <si>
    <t>MSDU1714321</t>
  </si>
  <si>
    <t>CAIU2928989</t>
  </si>
  <si>
    <t>UESU5112948</t>
  </si>
  <si>
    <t>CAIU8809586</t>
  </si>
  <si>
    <t>MEDU4863213</t>
  </si>
  <si>
    <t>TCLU8171749</t>
  </si>
  <si>
    <t>TCNU8697160</t>
  </si>
  <si>
    <t>FCIU9171513</t>
  </si>
  <si>
    <t>TCLU5011916</t>
  </si>
  <si>
    <t>TCLU8187724</t>
  </si>
  <si>
    <t>TCNU8694217</t>
  </si>
  <si>
    <t>SEGU4047854</t>
  </si>
  <si>
    <t>SEGU6803729</t>
  </si>
  <si>
    <t>TRHU8637519</t>
  </si>
  <si>
    <t>MSMU4190498</t>
  </si>
  <si>
    <t>TGBU9917552</t>
  </si>
  <si>
    <t>FFAU2035781</t>
  </si>
  <si>
    <t>GCXU5605743</t>
  </si>
  <si>
    <t>TCKU7409413</t>
  </si>
  <si>
    <t>CAP SAN MARCO</t>
  </si>
  <si>
    <t>MSKU6073951</t>
  </si>
  <si>
    <t>MLIT1990367</t>
  </si>
  <si>
    <t>REG 52246</t>
  </si>
  <si>
    <t>TCKU7462629</t>
  </si>
  <si>
    <t>LOGIN ENDURENCE  039S</t>
  </si>
  <si>
    <t>CAIU3400018</t>
  </si>
  <si>
    <t>CAIU3399051</t>
  </si>
  <si>
    <t>AAK179DB</t>
  </si>
  <si>
    <t>MRSU6005114</t>
  </si>
  <si>
    <t>TGBU8898817</t>
  </si>
  <si>
    <t>MAERSK LABREA  316E</t>
  </si>
  <si>
    <t>LAEM CHABANG</t>
  </si>
  <si>
    <t>MSC DOMITILLE  NA314R</t>
  </si>
  <si>
    <t>MRKU3984090</t>
  </si>
  <si>
    <t>MLBR3051962</t>
  </si>
  <si>
    <t>1605083 / 1605084</t>
  </si>
  <si>
    <t>DPE8882</t>
  </si>
  <si>
    <t>EPU1637</t>
  </si>
  <si>
    <t>LUCIANO ARAUJO FALCAO</t>
  </si>
  <si>
    <t>CUE1J19</t>
  </si>
  <si>
    <t>ESU6C43</t>
  </si>
  <si>
    <t>FELIPE DE JESUS SOUZA</t>
  </si>
  <si>
    <t xml:space="preserve">insira o conteiner </t>
  </si>
  <si>
    <t xml:space="preserve">Em Trânsito </t>
  </si>
  <si>
    <t>No Cliente</t>
  </si>
  <si>
    <t>Em Trânsito</t>
  </si>
  <si>
    <t>Entregue</t>
  </si>
  <si>
    <t>Grafico 1</t>
  </si>
  <si>
    <t>Grafico 2</t>
  </si>
  <si>
    <t>Grafico 3</t>
  </si>
  <si>
    <t>Grafico 4</t>
  </si>
  <si>
    <t>Grafico 5</t>
  </si>
  <si>
    <t>Grafico 6</t>
  </si>
  <si>
    <t>Grafico 7</t>
  </si>
  <si>
    <t>Grafico 8</t>
  </si>
  <si>
    <t>Grafico 9</t>
  </si>
  <si>
    <t>Grafico 10</t>
  </si>
  <si>
    <t>SEGU1149512</t>
  </si>
  <si>
    <t>FJ14890894 / E1808374 / 0003868 / 0019436</t>
  </si>
  <si>
    <t>FJ14890895 / E1808373 / 0003866 / 0019444</t>
  </si>
  <si>
    <t>FJ14890892 / E1816269 / 0003867 / 0019435</t>
  </si>
  <si>
    <t>FVB4J87</t>
  </si>
  <si>
    <t>LUCIANO PERERIRA DA SILVA</t>
  </si>
  <si>
    <t>FJ14890897 / 0122193 / 0003853 / 0019431</t>
  </si>
  <si>
    <t>FJ14890893 / E1808372 / 0003852 / 0019495</t>
  </si>
  <si>
    <t>MRSU5261359</t>
  </si>
  <si>
    <t>MRSU3913268</t>
  </si>
  <si>
    <t>MRSU5547743</t>
  </si>
  <si>
    <t>MRSU6036901</t>
  </si>
  <si>
    <t>MRSU3620803</t>
  </si>
  <si>
    <t>AAK161YB</t>
  </si>
  <si>
    <t>AAK179DC</t>
  </si>
  <si>
    <t>THIAGO SILVEIRA DE SOUZA</t>
  </si>
  <si>
    <t>3541 / 15618</t>
  </si>
  <si>
    <t>3538C / 3540C / 3547 / 3546</t>
  </si>
  <si>
    <t>MLBR3255939 / 0122200 / 0003863 / 0019490</t>
  </si>
  <si>
    <t>MLBR3255864 / 0122194 / 0003864 / 0019466</t>
  </si>
  <si>
    <t>MLBR3255858 / 0122197 / 0003850 / 0019461</t>
  </si>
  <si>
    <t>MLBR3255910 / 0122195 / 0003849 / 0019462</t>
  </si>
  <si>
    <t>015-2023</t>
  </si>
  <si>
    <t>BINGAZI</t>
  </si>
  <si>
    <t>MLBR3253731 / 0122198 / 0003851 / 0019459</t>
  </si>
  <si>
    <t>MLBR3253764 / 0122190 / 0017388 / 0019452</t>
  </si>
  <si>
    <t>JP0180/23</t>
  </si>
  <si>
    <t>MLBR3253763 / 0122199 / 0017391 / 0019479</t>
  </si>
  <si>
    <t>MLBR3253681 / 0122192 / 0017389 / 0019477</t>
  </si>
  <si>
    <t>MLBR3253756 / 0122191 / 0017390 / 0019480</t>
  </si>
  <si>
    <t>TSL</t>
  </si>
  <si>
    <t>FVG8G38</t>
  </si>
  <si>
    <t>DPF0125</t>
  </si>
  <si>
    <t>23/0140533-2</t>
  </si>
  <si>
    <t>MLBR3253678 / 0122189 / 0017392 / 0019618</t>
  </si>
  <si>
    <t>Contêiner</t>
  </si>
  <si>
    <t>Booking</t>
  </si>
  <si>
    <t>NA DELAVI</t>
  </si>
  <si>
    <t>SEBASTIAO CABOTO  313S</t>
  </si>
  <si>
    <t>TRHU7114391</t>
  </si>
  <si>
    <t>HLG3828950</t>
  </si>
  <si>
    <t>CAIU2612012</t>
  </si>
  <si>
    <t>Observações</t>
  </si>
  <si>
    <t>Previsão</t>
  </si>
  <si>
    <t>Obs:</t>
  </si>
  <si>
    <t xml:space="preserve">Insira o conteiner </t>
  </si>
  <si>
    <t>VC6365841</t>
  </si>
  <si>
    <t>MRKU7831530</t>
  </si>
  <si>
    <t>MRKU9080211</t>
  </si>
  <si>
    <t>MSKU5962912</t>
  </si>
  <si>
    <t>MRKU9630848</t>
  </si>
  <si>
    <t>HLBU2579067</t>
  </si>
  <si>
    <t>DBB8B65</t>
  </si>
  <si>
    <t>15606 / 15660</t>
  </si>
  <si>
    <t>MRKU3611368</t>
  </si>
  <si>
    <t>MLBR3251739</t>
  </si>
  <si>
    <t>LOGIN JATOBA  239S</t>
  </si>
  <si>
    <t>CAIU3018010</t>
  </si>
  <si>
    <t>SEGU1030040</t>
  </si>
  <si>
    <t>CAIU3161459</t>
  </si>
  <si>
    <t>CAIU3022659</t>
  </si>
  <si>
    <t>CAIU2929199</t>
  </si>
  <si>
    <t>TCLU3060402</t>
  </si>
  <si>
    <t>CAIU3020764</t>
  </si>
  <si>
    <t>TCLU8187513</t>
  </si>
  <si>
    <t>CRSU9158225</t>
  </si>
  <si>
    <t>TCLU8287657</t>
  </si>
  <si>
    <t>TROCA DE BATERIA</t>
  </si>
  <si>
    <t>BILBAO</t>
  </si>
  <si>
    <t>AAK213UB</t>
  </si>
  <si>
    <t>MRSU5302329</t>
  </si>
  <si>
    <t>MRKU6315462</t>
  </si>
  <si>
    <t>MRSU4859829</t>
  </si>
  <si>
    <t>Obs.:</t>
  </si>
  <si>
    <t>AAK229HB</t>
  </si>
  <si>
    <t>HLG3824081 / 0206122</t>
  </si>
  <si>
    <t>MAERSK LEON  315N</t>
  </si>
  <si>
    <t>MLBR3049029 / 0122180 / 0017398 / 0019661</t>
  </si>
  <si>
    <t>FERNANDO FERREIRA DA SILVA</t>
  </si>
  <si>
    <t>MLBR3049035 / 0122179 / 0017396 / 0019878</t>
  </si>
  <si>
    <t>MLBR3049034 / 0122178 / 0017397 / 0019880</t>
  </si>
  <si>
    <t>42/2023-001</t>
  </si>
  <si>
    <t>BEAU2171355</t>
  </si>
  <si>
    <t>MSC PALAK  NA315R</t>
  </si>
  <si>
    <t>PEDRO ALVARES CABRAL  317E</t>
  </si>
  <si>
    <t>Demora para sair da DPW 3H</t>
  </si>
  <si>
    <t>23/0149900-0</t>
  </si>
  <si>
    <t>MONSTER</t>
  </si>
  <si>
    <t>CAMPINAS-SP</t>
  </si>
  <si>
    <t>MONTE AZUL  312S</t>
  </si>
  <si>
    <t>6 PALLETS</t>
  </si>
  <si>
    <t xml:space="preserve">ARQUINALDO SANTANA MATOS </t>
  </si>
  <si>
    <t>IMM-000426/2023 - PO 480152693</t>
  </si>
  <si>
    <t>VC6375845</t>
  </si>
  <si>
    <t>DPC1390</t>
  </si>
  <si>
    <t>HLG3813253 / 3152/0003860</t>
  </si>
  <si>
    <t>2945/23</t>
  </si>
  <si>
    <t>Carga</t>
  </si>
  <si>
    <t>TCLU8698956</t>
  </si>
  <si>
    <t>CAAU6490250</t>
  </si>
  <si>
    <t>CAIU8207418</t>
  </si>
  <si>
    <t>FCIU8831715</t>
  </si>
  <si>
    <t>TCNU8696565</t>
  </si>
  <si>
    <t>TCLU8287493</t>
  </si>
  <si>
    <t>CAIU4703019</t>
  </si>
  <si>
    <t>CAIU3155878</t>
  </si>
  <si>
    <t>CAIU3277644</t>
  </si>
  <si>
    <t>CAIU3309973</t>
  </si>
  <si>
    <t>CAIU3412744</t>
  </si>
  <si>
    <t>CAIU3417197</t>
  </si>
  <si>
    <t>CAIU3309844</t>
  </si>
  <si>
    <t>CAIU3156766</t>
  </si>
  <si>
    <t>GESU1439348</t>
  </si>
  <si>
    <t>MRSU6191744</t>
  </si>
  <si>
    <t>MLBR3575228</t>
  </si>
  <si>
    <t>MERCOSUL GUARANI  060S</t>
  </si>
  <si>
    <t>MRSU5734472</t>
  </si>
  <si>
    <t>MLBR3575230</t>
  </si>
  <si>
    <t>TCKU6782295</t>
  </si>
  <si>
    <t>MLBR3575329</t>
  </si>
  <si>
    <t>TCKU6923310</t>
  </si>
  <si>
    <t>MLBR3575212</t>
  </si>
  <si>
    <t>TRHU4264016</t>
  </si>
  <si>
    <t>MLBR3575306</t>
  </si>
  <si>
    <t>MRSU4224324</t>
  </si>
  <si>
    <t>MLBR3251674</t>
  </si>
  <si>
    <t>MRSU5233830</t>
  </si>
  <si>
    <t>MLBR3251638</t>
  </si>
  <si>
    <t>MRSU6205869</t>
  </si>
  <si>
    <t>MLBR3575224</t>
  </si>
  <si>
    <t>VC 6383871</t>
  </si>
  <si>
    <t>VC 6383887</t>
  </si>
  <si>
    <t>VC 6383902</t>
  </si>
  <si>
    <t>VC 6383925</t>
  </si>
  <si>
    <t>VC 6383951</t>
  </si>
  <si>
    <t>23/0154982-2</t>
  </si>
  <si>
    <t>CAIU8802365</t>
  </si>
  <si>
    <t>03/04/023 14:09</t>
  </si>
  <si>
    <t>VC 6383855</t>
  </si>
  <si>
    <t>VC 6383701</t>
  </si>
  <si>
    <t>VC 6383715</t>
  </si>
  <si>
    <t>MONTE VERDE  316N</t>
  </si>
  <si>
    <t>HLBU8147939</t>
  </si>
  <si>
    <t>23hr</t>
  </si>
  <si>
    <t>PZD2990</t>
  </si>
  <si>
    <t>NILSON SANTOS FARIAS</t>
  </si>
  <si>
    <t>CAMPINAS</t>
  </si>
  <si>
    <t>23h</t>
  </si>
  <si>
    <t>19h</t>
  </si>
  <si>
    <t>166/2023 - 159/2022</t>
  </si>
  <si>
    <t>2 VOLUMES</t>
  </si>
  <si>
    <t>VIRACOPOS</t>
  </si>
  <si>
    <t>P10409643</t>
  </si>
  <si>
    <t>CXPMAO347-23</t>
  </si>
  <si>
    <t>VC 6388511</t>
  </si>
  <si>
    <t>MRKU9549150</t>
  </si>
  <si>
    <t>MRKU7141880</t>
  </si>
  <si>
    <t>MRKU9171564</t>
  </si>
  <si>
    <t>PEDRO ALVARES CABRAL  315S</t>
  </si>
  <si>
    <t>123551 / 123552 / 123553 / 123554 / 123555</t>
  </si>
  <si>
    <t>1KT850166</t>
  </si>
  <si>
    <t>CAP SAN MALEAS  317N</t>
  </si>
  <si>
    <t>TALLINN</t>
  </si>
  <si>
    <t>TLLU2237826</t>
  </si>
  <si>
    <t>23/0161324-5</t>
  </si>
  <si>
    <t>MONTE VERDE  001S</t>
  </si>
  <si>
    <t>Falta de janela</t>
  </si>
  <si>
    <t>270 / 271</t>
  </si>
  <si>
    <t>HLG5018324 / 0256241</t>
  </si>
  <si>
    <t>TCKU6612616</t>
  </si>
  <si>
    <t>MLBR3575127</t>
  </si>
  <si>
    <t>2940/23</t>
  </si>
  <si>
    <t>2943/23</t>
  </si>
  <si>
    <t>ATHENS GLORY  317N</t>
  </si>
  <si>
    <t>MRSU0074571</t>
  </si>
  <si>
    <t>23/0165400-6</t>
  </si>
  <si>
    <t>LOGIN JACARANDA  152S</t>
  </si>
  <si>
    <t>CAIU2914650</t>
  </si>
  <si>
    <t>SEGU1061524</t>
  </si>
  <si>
    <t>CAIU3157090</t>
  </si>
  <si>
    <t>SEGU1178465</t>
  </si>
  <si>
    <t>CAIU3014416</t>
  </si>
  <si>
    <t>TCLU3466900</t>
  </si>
  <si>
    <t>FFAU1195086</t>
  </si>
  <si>
    <t>TEMU7707705</t>
  </si>
  <si>
    <t>CAIU8209067</t>
  </si>
  <si>
    <t>FCIU8832060</t>
  </si>
  <si>
    <t>MSMU8722691</t>
  </si>
  <si>
    <t>CAIU8822130</t>
  </si>
  <si>
    <t>TEMU8499910</t>
  </si>
  <si>
    <t>CAIU4693610</t>
  </si>
  <si>
    <t>GESU5900458</t>
  </si>
  <si>
    <t>TCLU8805967</t>
  </si>
  <si>
    <t>CIPU5013841</t>
  </si>
  <si>
    <t>TEMU7890339</t>
  </si>
  <si>
    <t>AMFU8912770</t>
  </si>
  <si>
    <t>TCNU8695147</t>
  </si>
  <si>
    <t>DENVER</t>
  </si>
  <si>
    <t>PO: 480153892</t>
  </si>
  <si>
    <t>UL-9905228</t>
  </si>
  <si>
    <t>BANDEIRANTES</t>
  </si>
  <si>
    <t>2892/23</t>
  </si>
  <si>
    <t>241ISZ2209297</t>
  </si>
  <si>
    <t>MSC APOLLO  UA317R</t>
  </si>
  <si>
    <t>15622 / 15798</t>
  </si>
  <si>
    <t>15624 / 15800</t>
  </si>
  <si>
    <t>TCNU2443066</t>
  </si>
  <si>
    <t>MLBR3573192</t>
  </si>
  <si>
    <t>MSKU3137353</t>
  </si>
  <si>
    <t>BELLA SACHE</t>
  </si>
  <si>
    <t>MRSU0013724</t>
  </si>
  <si>
    <t>23/0161145-5</t>
  </si>
  <si>
    <t>PO: 480154890</t>
  </si>
  <si>
    <t>1 VOLUME</t>
  </si>
  <si>
    <t>AEREO</t>
  </si>
  <si>
    <t>PO: 480153893</t>
  </si>
  <si>
    <t>MLBR3049977</t>
  </si>
  <si>
    <t>MRKU3213786</t>
  </si>
  <si>
    <t>TCLU2966060</t>
  </si>
  <si>
    <t>4572 / 4573 / 4574 / 4575</t>
  </si>
  <si>
    <t>27/04 04</t>
  </si>
  <si>
    <t>VC 6400838</t>
  </si>
  <si>
    <t>VC 6400796</t>
  </si>
  <si>
    <t>UL-9905227</t>
  </si>
  <si>
    <t>AAK219BB</t>
  </si>
  <si>
    <t>LIBRAPORT</t>
  </si>
  <si>
    <t>AAK329QB</t>
  </si>
  <si>
    <t>IMA-000588/2023 – PO 480155420</t>
  </si>
  <si>
    <t>MONTE OLIVIA  318N</t>
  </si>
  <si>
    <t>CAIU2938293</t>
  </si>
  <si>
    <t>ESTADIA 1</t>
  </si>
  <si>
    <t>Estadia</t>
  </si>
  <si>
    <t>VICENTE PIZON  316S</t>
  </si>
  <si>
    <t>FCIU4276300</t>
  </si>
  <si>
    <t>MSKU5426355</t>
  </si>
  <si>
    <t>MSKU7710041</t>
  </si>
  <si>
    <t>HASU1489968</t>
  </si>
  <si>
    <t>A255720</t>
  </si>
  <si>
    <t>HWF1J26</t>
  </si>
  <si>
    <t>BTR2408</t>
  </si>
  <si>
    <t>DANILO TADEU AZEVEDO ALVES</t>
  </si>
  <si>
    <t>AAK329QC</t>
  </si>
  <si>
    <t>BXA8485</t>
  </si>
  <si>
    <t>AGR4C77</t>
  </si>
  <si>
    <t>JOSE LITO DE SOUZA JUNIOR</t>
  </si>
  <si>
    <t>GESU6874482</t>
  </si>
  <si>
    <t>FJ14934325</t>
  </si>
  <si>
    <t>MSDU8340007</t>
  </si>
  <si>
    <t>LOGIN ENDURANCE  040S</t>
  </si>
  <si>
    <t>CAIU3373592</t>
  </si>
  <si>
    <t>CAIU3422819</t>
  </si>
  <si>
    <t>SEGU1119842</t>
  </si>
  <si>
    <t>CAIU3413041</t>
  </si>
  <si>
    <t>GLDU7711697</t>
  </si>
  <si>
    <t>FCIU9172736</t>
  </si>
  <si>
    <t>CAAU5139615</t>
  </si>
  <si>
    <t>23/0168601-3</t>
  </si>
  <si>
    <t>501 / 502 / 203 / 504 / 505 / 506 / 507</t>
  </si>
  <si>
    <t>L1664238 / G3767070 / 036658</t>
  </si>
  <si>
    <t xml:space="preserve">	28/04/2023 23:44</t>
  </si>
  <si>
    <t>AAK386BO</t>
  </si>
  <si>
    <t>0205/2023 08:10</t>
  </si>
  <si>
    <t>CXPMAO348-23</t>
  </si>
  <si>
    <t>MERCOSUL ITAJAI  0BCDTN1RC</t>
  </si>
  <si>
    <t>SEGU1062460</t>
  </si>
  <si>
    <t>TCLU3466752</t>
  </si>
  <si>
    <t>TCLU3055772</t>
  </si>
  <si>
    <t>CAIU3368111</t>
  </si>
  <si>
    <t>MSDU1817016</t>
  </si>
  <si>
    <t>CAIU3311163</t>
  </si>
  <si>
    <t>GESU1441520</t>
  </si>
  <si>
    <t>TCLU3462741</t>
  </si>
  <si>
    <t>TCLU8701366</t>
  </si>
  <si>
    <t>CAIU8133444</t>
  </si>
  <si>
    <t>GESU6258759</t>
  </si>
  <si>
    <t>TCLU8704909</t>
  </si>
  <si>
    <t>TCLU8702830</t>
  </si>
  <si>
    <t>CAAU6392504</t>
  </si>
  <si>
    <t>CAIU4836428</t>
  </si>
  <si>
    <t>TCLU8170465</t>
  </si>
  <si>
    <t>MAERSK LETICIA  318E</t>
  </si>
  <si>
    <t>TOLYO</t>
  </si>
  <si>
    <t>SAR</t>
  </si>
  <si>
    <t>AAK386BN</t>
  </si>
  <si>
    <t>P10410763</t>
  </si>
  <si>
    <t>15878 / 15879</t>
  </si>
  <si>
    <t>MEDU6934574</t>
  </si>
  <si>
    <t>MRKU4884583</t>
  </si>
  <si>
    <t>MLBR3571738</t>
  </si>
  <si>
    <t>BENEDITO APARECIDO LIBERATO</t>
  </si>
  <si>
    <t>PO: 480155408</t>
  </si>
  <si>
    <t>CUB4B72</t>
  </si>
  <si>
    <t>MET0225</t>
  </si>
  <si>
    <t>TABOÃO DA SERRA-SP</t>
  </si>
  <si>
    <t>SEGU1119333</t>
  </si>
  <si>
    <t>VC 6416274</t>
  </si>
  <si>
    <t>2  VOLUMES</t>
  </si>
  <si>
    <t>MDLRUS01290</t>
  </si>
  <si>
    <t>HUANGHAI STRUGGLER  2BRASTP</t>
  </si>
  <si>
    <t>ST PETERSBURG</t>
  </si>
  <si>
    <t>TRHU6939037</t>
  </si>
  <si>
    <t>MRSU3531060</t>
  </si>
  <si>
    <t>TCNU9161399</t>
  </si>
  <si>
    <t>SEBASTIAO CABOTO  317S</t>
  </si>
  <si>
    <t>TGHU6774336</t>
  </si>
  <si>
    <t>L1606980</t>
  </si>
  <si>
    <t>15784C / 15899</t>
  </si>
  <si>
    <t>123777 / 123808</t>
  </si>
  <si>
    <t>15877C / 15920</t>
  </si>
  <si>
    <t>BHZ5C81</t>
  </si>
  <si>
    <t>15922C / 15923C /15927 / 15929</t>
  </si>
  <si>
    <t>MSKU1269197</t>
  </si>
  <si>
    <t>MLBR3255050</t>
  </si>
  <si>
    <t>EQU0G82</t>
  </si>
  <si>
    <t>FEI3865</t>
  </si>
  <si>
    <t>DOMINGOS NEVES DOS SANTOS</t>
  </si>
  <si>
    <t>CAIU3368600</t>
  </si>
  <si>
    <t>SEGU1093584</t>
  </si>
  <si>
    <t>SEGU1178589</t>
  </si>
  <si>
    <t>CAIU3159873</t>
  </si>
  <si>
    <t>SEGU1255108</t>
  </si>
  <si>
    <t>GESU1441849</t>
  </si>
  <si>
    <t>SEGU1063173</t>
  </si>
  <si>
    <t>TCLU3055453</t>
  </si>
  <si>
    <t>SEGU1063527</t>
  </si>
  <si>
    <t>TCLU3461196</t>
  </si>
  <si>
    <t>TEMU8501473</t>
  </si>
  <si>
    <t>TCNU7442571</t>
  </si>
  <si>
    <t>TRHU7047694</t>
  </si>
  <si>
    <t>CXDU2042095</t>
  </si>
  <si>
    <t>TCLU8702742</t>
  </si>
  <si>
    <t>TCNU6245623</t>
  </si>
  <si>
    <t>HOTOLOLANDIA</t>
  </si>
  <si>
    <t>LOGIN JATOBA  240S</t>
  </si>
  <si>
    <t>15933c / 15934</t>
  </si>
  <si>
    <t>TRHU4489270</t>
  </si>
  <si>
    <t>MLBR3572345</t>
  </si>
  <si>
    <t>123882 / 123882 / 123883 / 123884</t>
  </si>
  <si>
    <t>CAIU3404076</t>
  </si>
  <si>
    <t>CAIU3420204</t>
  </si>
  <si>
    <t>TCLU8348881</t>
  </si>
  <si>
    <t>TCLU3464636</t>
  </si>
  <si>
    <t>TCLU3467430</t>
  </si>
  <si>
    <t>CAIU2929389</t>
  </si>
  <si>
    <t>TCLU3458783</t>
  </si>
  <si>
    <t>15807C / 15937</t>
  </si>
  <si>
    <t>15806C / 15938</t>
  </si>
  <si>
    <t>123679 / 123680 / 123681 / 123682 / 123683</t>
  </si>
  <si>
    <t>ABAK435H</t>
  </si>
  <si>
    <t>MLBR3267160</t>
  </si>
  <si>
    <t>MRSU5240802</t>
  </si>
  <si>
    <t>02/05/023 22:01</t>
  </si>
  <si>
    <t>CMA CGM COLUMBIA  0NSEON1MA</t>
  </si>
  <si>
    <t>SSZ1364761</t>
  </si>
  <si>
    <t>2913/23</t>
  </si>
  <si>
    <t>MRW9E15</t>
  </si>
  <si>
    <t>EFS9J20</t>
  </si>
  <si>
    <t>EDSON LUIZ GERMANO</t>
  </si>
  <si>
    <t>JYE0660</t>
  </si>
  <si>
    <t>07018404800</t>
  </si>
  <si>
    <t>TOMU4310550</t>
  </si>
  <si>
    <t>TOMU4305596</t>
  </si>
  <si>
    <t>TOMU4310606</t>
  </si>
  <si>
    <t>BR000011</t>
  </si>
  <si>
    <t>TOMU4309143</t>
  </si>
  <si>
    <t>TOMU3152701</t>
  </si>
  <si>
    <t>09/05/023 23:35</t>
  </si>
  <si>
    <t>BR000009</t>
  </si>
  <si>
    <t>BR000013</t>
  </si>
  <si>
    <t>BR000015</t>
  </si>
  <si>
    <t>BR000014</t>
  </si>
  <si>
    <t>BR000012</t>
  </si>
  <si>
    <t>TOMU4309930</t>
  </si>
  <si>
    <t>OAJ1J52</t>
  </si>
  <si>
    <t>BWY6F22</t>
  </si>
  <si>
    <t>MARCONI DE OLIVEIRA CORDEIRO</t>
  </si>
  <si>
    <t>15962C / 15965</t>
  </si>
  <si>
    <t>15967 / 15968</t>
  </si>
  <si>
    <t>P10411789</t>
  </si>
  <si>
    <t xml:space="preserve">CXPMAO352-23 </t>
  </si>
  <si>
    <t>MERCOSUL SANTOS  0BCDVN1RCN</t>
  </si>
  <si>
    <t>SSZ1365967</t>
  </si>
  <si>
    <t>CMA CGM NIAGARA  0AALGE1MA</t>
  </si>
  <si>
    <t>PORT KLANG</t>
  </si>
  <si>
    <t>0016/2023</t>
  </si>
  <si>
    <t>MONTE ALEGRE  319N</t>
  </si>
  <si>
    <t>EBKG05631250</t>
  </si>
  <si>
    <t>UASC ZAMZAM  NA319R</t>
  </si>
  <si>
    <t>SINDE</t>
  </si>
  <si>
    <t>EBKG05593491</t>
  </si>
  <si>
    <t>L1672976</t>
  </si>
  <si>
    <t>12/05/2023 073:50</t>
  </si>
  <si>
    <t>INKU6431455</t>
  </si>
  <si>
    <t>MARIO CARLOS VARELA DA COSTA</t>
  </si>
  <si>
    <t>ECM1F27</t>
  </si>
  <si>
    <t xml:space="preserve">AYI9B83 </t>
  </si>
  <si>
    <t>12124113828</t>
  </si>
  <si>
    <t>04633245935</t>
  </si>
  <si>
    <t>SSSZ009669</t>
  </si>
  <si>
    <t>GSL ARCADIA  320N</t>
  </si>
  <si>
    <t>VC 6437241</t>
  </si>
  <si>
    <t>TOMU4305600</t>
  </si>
  <si>
    <t>BR000018</t>
  </si>
  <si>
    <t>TEMU6347327</t>
  </si>
  <si>
    <t>L1672218</t>
  </si>
  <si>
    <t>TOMU1794805</t>
  </si>
  <si>
    <t>TOMU3022143</t>
  </si>
  <si>
    <t>BR000022</t>
  </si>
  <si>
    <t>BR000023</t>
  </si>
  <si>
    <t>TOMU4308764</t>
  </si>
  <si>
    <t>BR000024</t>
  </si>
  <si>
    <t>TOMU3157745</t>
  </si>
  <si>
    <t>BR000030</t>
  </si>
  <si>
    <t>MEDU8458902</t>
  </si>
  <si>
    <t>FJ14943896</t>
  </si>
  <si>
    <t>VC 6441113</t>
  </si>
  <si>
    <t>NYK DIANA  2316N</t>
  </si>
  <si>
    <t>SUDU7435299</t>
  </si>
  <si>
    <t>TGHU1707130</t>
  </si>
  <si>
    <t>MLBR3567468</t>
  </si>
  <si>
    <t>MLBR3567411</t>
  </si>
  <si>
    <t>15/05/202308:57</t>
  </si>
  <si>
    <t>BSG5I9</t>
  </si>
  <si>
    <t>23/0193616-8</t>
  </si>
  <si>
    <t>PO: 480155413</t>
  </si>
  <si>
    <t>TCLU3467893</t>
  </si>
  <si>
    <t>MEDU5375851</t>
  </si>
  <si>
    <t>TCLU3041779</t>
  </si>
  <si>
    <t>MERCOSUL GUARANI  061S</t>
  </si>
  <si>
    <t>CAIU4702748</t>
  </si>
  <si>
    <t>CAIU4833516</t>
  </si>
  <si>
    <t>1448 / 1520</t>
  </si>
  <si>
    <t>735 / 736 / 737 / 739 / 9531 / 9527</t>
  </si>
  <si>
    <t>16012 / 16013</t>
  </si>
  <si>
    <t>0017/2023</t>
  </si>
  <si>
    <t>1431 / 1432 / 1447 / 1558 / 1570</t>
  </si>
  <si>
    <t>MRSU4713243</t>
  </si>
  <si>
    <t>MLBR3586795</t>
  </si>
  <si>
    <t>DALASTRA</t>
  </si>
  <si>
    <t>124099 / 124100 / 124101 / 124102 / 124107</t>
  </si>
  <si>
    <t>124044 / 124045 / 124046 / 124047 / 124048 / 124049</t>
  </si>
  <si>
    <t>VC 6444173</t>
  </si>
  <si>
    <t>AMERICO VESPUCIO  319S</t>
  </si>
  <si>
    <t>TTNU1190583</t>
  </si>
  <si>
    <t>MRSU0197513</t>
  </si>
  <si>
    <t>MSKU5239415</t>
  </si>
  <si>
    <t>MRKU9117970</t>
  </si>
  <si>
    <t>HASU1453040</t>
  </si>
  <si>
    <t>MSKU3330763</t>
  </si>
  <si>
    <t>MSKU5904650</t>
  </si>
  <si>
    <t>GCXU5689997</t>
  </si>
  <si>
    <t>TCKU1131114</t>
  </si>
  <si>
    <t>FERNANDO DE MAGALHAES  318S</t>
  </si>
  <si>
    <t>HASU4453336</t>
  </si>
  <si>
    <t>MLBR3265643</t>
  </si>
  <si>
    <t>23/0933378-5</t>
  </si>
  <si>
    <t>3 PALLETS</t>
  </si>
  <si>
    <t>MSKU5918036</t>
  </si>
  <si>
    <t>IMP.4309</t>
  </si>
  <si>
    <t>TRHU7889579</t>
  </si>
  <si>
    <t>MSC BIANCA  001S</t>
  </si>
  <si>
    <t>FVK0651</t>
  </si>
  <si>
    <t>RAIMUNDO DOS SANTOS</t>
  </si>
  <si>
    <t>PAR0006</t>
  </si>
  <si>
    <t>TCLU3039030</t>
  </si>
  <si>
    <t>CAIU3022962</t>
  </si>
  <si>
    <t>CRSU9163026</t>
  </si>
  <si>
    <t>TEMU7722248</t>
  </si>
  <si>
    <t>MSMU6776600</t>
  </si>
  <si>
    <t>CIPU5023557</t>
  </si>
  <si>
    <t>AMFU8917392</t>
  </si>
  <si>
    <t>CAAU6393481</t>
  </si>
  <si>
    <t>FCIU9216304</t>
  </si>
  <si>
    <t>2920/23</t>
  </si>
  <si>
    <t>2921/23</t>
  </si>
  <si>
    <t>2922/23</t>
  </si>
  <si>
    <t>2923/23</t>
  </si>
  <si>
    <t>2924/23</t>
  </si>
  <si>
    <t>2925/23</t>
  </si>
  <si>
    <t>2926/23</t>
  </si>
  <si>
    <t>2927/23</t>
  </si>
  <si>
    <t>2928/23</t>
  </si>
  <si>
    <t>2929/23</t>
  </si>
  <si>
    <t>2930/23</t>
  </si>
  <si>
    <t>2972/23</t>
  </si>
  <si>
    <t>2973/23</t>
  </si>
  <si>
    <t>2974/23</t>
  </si>
  <si>
    <t>2975/23</t>
  </si>
  <si>
    <t>AAK498R</t>
  </si>
  <si>
    <t>16056 / 16057</t>
  </si>
  <si>
    <t>FX22480947</t>
  </si>
  <si>
    <t>7046 / 7048 / 425236 / 425237 / 425238 / 425239 / 425240</t>
  </si>
  <si>
    <t>TCLU3460306</t>
  </si>
  <si>
    <t>MERCOSUL SANTOS  329S</t>
  </si>
  <si>
    <t>CXPSSZ349/23</t>
  </si>
  <si>
    <t>LA0299071</t>
  </si>
  <si>
    <t>DFSU6613699</t>
  </si>
  <si>
    <t>TGHU8863411</t>
  </si>
  <si>
    <t>SKYU8115539</t>
  </si>
  <si>
    <t>HLG3863416</t>
  </si>
  <si>
    <t>HLG3863414</t>
  </si>
  <si>
    <t>HLG3863419</t>
  </si>
  <si>
    <t>Chegou no limite do agendamento que era as 4h</t>
  </si>
  <si>
    <t>BSG5I97</t>
  </si>
  <si>
    <t>18/05/023 02:25</t>
  </si>
  <si>
    <t>GYI2E68</t>
  </si>
  <si>
    <t>AAK480C</t>
  </si>
  <si>
    <t>P10411201</t>
  </si>
  <si>
    <t>CXPMAO350-23</t>
  </si>
  <si>
    <t>ANTONIO ISAEL PINHA</t>
  </si>
  <si>
    <t>02511580623</t>
  </si>
  <si>
    <t>16034c / 16050 / 16070</t>
  </si>
  <si>
    <t>L1600970</t>
  </si>
  <si>
    <t>CMAU5521541</t>
  </si>
  <si>
    <t>UACU5827262</t>
  </si>
  <si>
    <t>TCNU4328800</t>
  </si>
  <si>
    <t>BSIU9868125</t>
  </si>
  <si>
    <t>HLG3865007</t>
  </si>
  <si>
    <t>HLG3865001</t>
  </si>
  <si>
    <t>HLG3865192</t>
  </si>
  <si>
    <t>UACU5070040</t>
  </si>
  <si>
    <t>HLG3865167</t>
  </si>
  <si>
    <t>UACU5929069</t>
  </si>
  <si>
    <t>HLG3865147</t>
  </si>
  <si>
    <t>16080 / 16081</t>
  </si>
  <si>
    <t>ITAJAI</t>
  </si>
  <si>
    <t>HLBU1633029</t>
  </si>
  <si>
    <t>HLG3865230</t>
  </si>
  <si>
    <t>BOTUCATU-SP</t>
  </si>
  <si>
    <t>MSDU4504247</t>
  </si>
  <si>
    <t>TCKU4002337</t>
  </si>
  <si>
    <t>MSDU4350732</t>
  </si>
  <si>
    <t>23/0882185-9</t>
  </si>
  <si>
    <t>LL283421</t>
  </si>
  <si>
    <t>UACU5615751</t>
  </si>
  <si>
    <t>HLG3865174</t>
  </si>
  <si>
    <t>509 / 513 / 512 / 511 / 510 / 514</t>
  </si>
  <si>
    <t>EPU7B83</t>
  </si>
  <si>
    <t>CUA6F04</t>
  </si>
  <si>
    <t>CLAUDIO SANTANA SANTOS</t>
  </si>
  <si>
    <t>02377424013</t>
  </si>
  <si>
    <t>06216995863</t>
  </si>
  <si>
    <t>MDX4I98</t>
  </si>
  <si>
    <t>JOSE CARLOS SANTANA SANTOS</t>
  </si>
  <si>
    <t>05499539812</t>
  </si>
  <si>
    <t>01862455850</t>
  </si>
  <si>
    <t>2958/23</t>
  </si>
  <si>
    <t>SSZ1366806</t>
  </si>
  <si>
    <t>MSDU1929063</t>
  </si>
  <si>
    <t>MSDU1543260</t>
  </si>
  <si>
    <t>AMFU8920800</t>
  </si>
  <si>
    <t>CAAU6491404</t>
  </si>
  <si>
    <t>TCLU8207055</t>
  </si>
  <si>
    <t>LOGIN JACARANDA  153S</t>
  </si>
  <si>
    <t>MSKU7198362</t>
  </si>
  <si>
    <t>AAK4954B</t>
  </si>
  <si>
    <t>TRHU2837839</t>
  </si>
  <si>
    <t>BSG5I</t>
  </si>
  <si>
    <t>AAK530KB</t>
  </si>
  <si>
    <t>13777529842</t>
  </si>
  <si>
    <t>18/05/023 00:00</t>
  </si>
  <si>
    <t>1KT872938</t>
  </si>
  <si>
    <t>CMA CGM RHONE  322N</t>
  </si>
  <si>
    <t>23/0197313-6</t>
  </si>
  <si>
    <t>124261 / 124262 / 124263 / 124264 / 124265</t>
  </si>
  <si>
    <t>MONTE CERVANTES  320N</t>
  </si>
  <si>
    <t>23/0202543-6</t>
  </si>
  <si>
    <t>MONTE CERVANTES  001S</t>
  </si>
  <si>
    <t>MRKU7018469</t>
  </si>
  <si>
    <t>ML-UL9905240</t>
  </si>
  <si>
    <t>PO 480155412 / 480155418</t>
  </si>
  <si>
    <t>15921c / 15926a / 16112</t>
  </si>
  <si>
    <t>UACU5536930</t>
  </si>
  <si>
    <t>FSCU8431410</t>
  </si>
  <si>
    <t>TGBU6065766</t>
  </si>
  <si>
    <t>HLG3853817</t>
  </si>
  <si>
    <t>HLG3853762</t>
  </si>
  <si>
    <t>HLG3853766</t>
  </si>
  <si>
    <t>TLLU5839339</t>
  </si>
  <si>
    <t>MLBR3268667</t>
  </si>
  <si>
    <t>SEKU6316392</t>
  </si>
  <si>
    <t>HLG3853935</t>
  </si>
  <si>
    <t>MRKU3765260</t>
  </si>
  <si>
    <t>GESU6802796</t>
  </si>
  <si>
    <t>HLG3853888</t>
  </si>
  <si>
    <t>124182 / 124183 / 124200 / 124201 / 124202 / 124203</t>
  </si>
  <si>
    <t>MLBR3568822</t>
  </si>
  <si>
    <t>AAK530LC</t>
  </si>
  <si>
    <t>AAK530LB</t>
  </si>
  <si>
    <t>16121 / 16122</t>
  </si>
  <si>
    <t>Falta de averbação CISMSAL</t>
  </si>
  <si>
    <t>MSC ALESSIA  322N</t>
  </si>
  <si>
    <t>NFG7H71</t>
  </si>
  <si>
    <t>TCLU3463394</t>
  </si>
  <si>
    <t>SEGU1084453</t>
  </si>
  <si>
    <t>TCLU3467321</t>
  </si>
  <si>
    <t>CAIU3020614</t>
  </si>
  <si>
    <t>TRHU7051821</t>
  </si>
  <si>
    <t>TCLU8187719</t>
  </si>
  <si>
    <t>SEGU4117993</t>
  </si>
  <si>
    <t>TCLU8208489</t>
  </si>
  <si>
    <t>TCLU8698792</t>
  </si>
  <si>
    <t>TCNU7790113</t>
  </si>
  <si>
    <t>CAIU4839915</t>
  </si>
  <si>
    <t>DFSU7730600</t>
  </si>
  <si>
    <t>TCLU8154335</t>
  </si>
  <si>
    <t>GESU6803370</t>
  </si>
  <si>
    <t>TCLU8808415</t>
  </si>
  <si>
    <t>23/05/023 12:34</t>
  </si>
  <si>
    <t>23/05/023 06:21</t>
  </si>
  <si>
    <t>56/2023-002</t>
  </si>
  <si>
    <t>1KT866343</t>
  </si>
  <si>
    <t>MAERSK LEON  321N</t>
  </si>
  <si>
    <t>2967/23</t>
  </si>
  <si>
    <t>16151 / 16152</t>
  </si>
  <si>
    <t>5008 / 5009</t>
  </si>
  <si>
    <t>MSC ALBANY  MM314A</t>
  </si>
  <si>
    <t>AMSTERDAM EXPRESS  323W</t>
  </si>
  <si>
    <t>021/2023</t>
  </si>
  <si>
    <t>MSDU4179949</t>
  </si>
  <si>
    <t>23/0987222-8</t>
  </si>
  <si>
    <t>LL284960</t>
  </si>
  <si>
    <t>LL284912</t>
  </si>
  <si>
    <t>MSDU4312368</t>
  </si>
  <si>
    <t>MEDUIQ980274</t>
  </si>
  <si>
    <t>MSC AVNI  MM316A</t>
  </si>
  <si>
    <t>AAK530LE</t>
  </si>
  <si>
    <t>CAIU8845290</t>
  </si>
  <si>
    <t>23/0986648-1</t>
  </si>
  <si>
    <t>MEDU9422530</t>
  </si>
  <si>
    <t>MEDUIQ981124</t>
  </si>
  <si>
    <t>MSMU7257276</t>
  </si>
  <si>
    <t>MSDU8213105</t>
  </si>
  <si>
    <t>FCIU8907451</t>
  </si>
  <si>
    <t>N8896289</t>
  </si>
  <si>
    <t>N8896344</t>
  </si>
  <si>
    <t>N8896309</t>
  </si>
  <si>
    <t>N8896349</t>
  </si>
  <si>
    <t>N8896340</t>
  </si>
  <si>
    <t>25/05/023 05:17</t>
  </si>
  <si>
    <t>5010 / 5011</t>
  </si>
  <si>
    <t>16162 / 16163</t>
  </si>
  <si>
    <t>HORA EM ESTADIA</t>
  </si>
  <si>
    <t>CMA CGM RHONE  0NSEUN1MA</t>
  </si>
  <si>
    <t>DPB6I67</t>
  </si>
  <si>
    <t>DBM7C64</t>
  </si>
  <si>
    <t>AMADEU HERCULANO DOS SANTOS</t>
  </si>
  <si>
    <t>ZIMUSNT8073541</t>
  </si>
  <si>
    <t>MSC BOSPHORUS  14N</t>
  </si>
  <si>
    <t>124470 / 124471</t>
  </si>
  <si>
    <t>EM TRÂNSITO TERMINAL</t>
  </si>
  <si>
    <t>1 VOLUME - 420KG</t>
  </si>
  <si>
    <t>PO: 480155803</t>
  </si>
  <si>
    <t>FCS7248</t>
  </si>
  <si>
    <t>ADONIS GODINHO DE SOUZA</t>
  </si>
  <si>
    <t>02118594581</t>
  </si>
  <si>
    <t>SEASPAN EMPIRE  321N</t>
  </si>
  <si>
    <t>MRKU5629263</t>
  </si>
  <si>
    <t>TGHU9756280</t>
  </si>
  <si>
    <t>MLBR3268896</t>
  </si>
  <si>
    <t>MSKU1896664</t>
  </si>
  <si>
    <t>MLBR3566995</t>
  </si>
  <si>
    <t>MLBR3566006</t>
  </si>
  <si>
    <t>CMAU7495056</t>
  </si>
  <si>
    <t>L1672348</t>
  </si>
  <si>
    <t>MSKU9255055</t>
  </si>
  <si>
    <t>MLBR3566922</t>
  </si>
  <si>
    <t>CMAU7824866</t>
  </si>
  <si>
    <t>L1672497</t>
  </si>
  <si>
    <t>CXPMAO355/23</t>
  </si>
  <si>
    <t>REGINALDO SANTOS BARBOSA</t>
  </si>
  <si>
    <t>02071379708</t>
  </si>
  <si>
    <t>MLBR3560708</t>
  </si>
  <si>
    <t>TCKU7799775</t>
  </si>
  <si>
    <t>MLBR3560706</t>
  </si>
  <si>
    <t>MRKU6255595</t>
  </si>
  <si>
    <t>SUDU8885710</t>
  </si>
  <si>
    <t>MLBR3566929</t>
  </si>
  <si>
    <t>MRSU3457018</t>
  </si>
  <si>
    <t>MLBR3560707</t>
  </si>
  <si>
    <t>ANTONIO LIRANI</t>
  </si>
  <si>
    <t>02475699922</t>
  </si>
  <si>
    <t>CMAU4238630</t>
  </si>
  <si>
    <t>L1672405</t>
  </si>
  <si>
    <t>SEKU4709111</t>
  </si>
  <si>
    <t>MLBR3582655</t>
  </si>
  <si>
    <t>SM0032023-H23</t>
  </si>
  <si>
    <t>TEMU6861249</t>
  </si>
  <si>
    <t>L1592047</t>
  </si>
  <si>
    <t>CUA7547</t>
  </si>
  <si>
    <t>ZMOU8851342</t>
  </si>
  <si>
    <t>S947295</t>
  </si>
  <si>
    <t>COROA</t>
  </si>
  <si>
    <t>MATE</t>
  </si>
  <si>
    <t>AGUA</t>
  </si>
  <si>
    <t>VALOR FRETE</t>
  </si>
  <si>
    <t>PESO P/ NOTA</t>
  </si>
  <si>
    <t>FRETE P/CTe</t>
  </si>
  <si>
    <t>NF 1</t>
  </si>
  <si>
    <t>NF 2</t>
  </si>
  <si>
    <t xml:space="preserve">NF 3 </t>
  </si>
  <si>
    <t>NF 4</t>
  </si>
  <si>
    <t>NF 5</t>
  </si>
  <si>
    <t>VINICIUS THADEU MENDES</t>
  </si>
  <si>
    <t>01845110101</t>
  </si>
  <si>
    <t>CAIU3399112</t>
  </si>
  <si>
    <t>CAIU3022221</t>
  </si>
  <si>
    <t>CAIU3398306</t>
  </si>
  <si>
    <t>CAIU3424154</t>
  </si>
  <si>
    <t>MEDU5344589</t>
  </si>
  <si>
    <t>CAIU3404950</t>
  </si>
  <si>
    <t>TRHU7048957</t>
  </si>
  <si>
    <t>MSDU5821210</t>
  </si>
  <si>
    <t>LOGIN ENDURANCE  041S</t>
  </si>
  <si>
    <t>TEMU8501806</t>
  </si>
  <si>
    <t>MLBR3017536</t>
  </si>
  <si>
    <t>HASU1239547</t>
  </si>
  <si>
    <t>16 / 17</t>
  </si>
  <si>
    <t>4948 / 4949</t>
  </si>
  <si>
    <t>AAK530KC</t>
  </si>
  <si>
    <t>VC 6476881</t>
  </si>
  <si>
    <t>HASU4971103</t>
  </si>
  <si>
    <t>MLBR3560602</t>
  </si>
  <si>
    <t>TCKU7015507</t>
  </si>
  <si>
    <t>30/05/023 00:15</t>
  </si>
  <si>
    <t>LOGIN POLARIS  0BCDZN1RCN</t>
  </si>
  <si>
    <t>03/06/023 07:00</t>
  </si>
  <si>
    <t>CAIU2929080</t>
  </si>
  <si>
    <t>GESU1443034</t>
  </si>
  <si>
    <t>TCLU3466578</t>
  </si>
  <si>
    <t>CAIU3021056</t>
  </si>
  <si>
    <t>TCLU3464148</t>
  </si>
  <si>
    <t>SEGU1251381</t>
  </si>
  <si>
    <t>CAIU3154450</t>
  </si>
  <si>
    <t>TCLU3041700</t>
  </si>
  <si>
    <t>TCLU2990050</t>
  </si>
  <si>
    <t>FFAU1701815</t>
  </si>
  <si>
    <t>CAIU4833331</t>
  </si>
  <si>
    <t>TCLU8168160</t>
  </si>
  <si>
    <t>CAIU4835123</t>
  </si>
  <si>
    <t>TRHU7051077</t>
  </si>
  <si>
    <t>TEMU8499801</t>
  </si>
  <si>
    <t>TEMU8333678</t>
  </si>
  <si>
    <t>TRHU5064270</t>
  </si>
  <si>
    <t>DFSU7532349</t>
  </si>
  <si>
    <t>FCIU9168607</t>
  </si>
  <si>
    <t>LIBERO QUIMICO</t>
  </si>
  <si>
    <t>MONTE AZUL  322N</t>
  </si>
  <si>
    <t>MRKU7936253</t>
  </si>
  <si>
    <t>VICENTE PINZON</t>
  </si>
  <si>
    <t>L1600151</t>
  </si>
  <si>
    <t>3AIBAK571T</t>
  </si>
  <si>
    <t>EFW8I41</t>
  </si>
  <si>
    <t>16229C / 16230</t>
  </si>
  <si>
    <t>MLBR3582636 / MLBR3587610</t>
  </si>
  <si>
    <t>1649937 / 1649938</t>
  </si>
  <si>
    <t>MFH2H05</t>
  </si>
  <si>
    <t>CPJ2G60</t>
  </si>
  <si>
    <t>JONAS ALVARES IGNEZ</t>
  </si>
  <si>
    <t>03025741371</t>
  </si>
  <si>
    <t>SEBASTIAO CABOTO  321S</t>
  </si>
  <si>
    <t>SUDU1798039</t>
  </si>
  <si>
    <t>MRKU9435142</t>
  </si>
  <si>
    <t>PONU0530691</t>
  </si>
  <si>
    <t>SUDU7601661</t>
  </si>
  <si>
    <t>TCLU2535587</t>
  </si>
  <si>
    <t>SUDU7615475</t>
  </si>
  <si>
    <t>MRKU6924730</t>
  </si>
  <si>
    <t>MSKU4489174</t>
  </si>
  <si>
    <t>HASU1189180</t>
  </si>
  <si>
    <t>CLAUDIO APARECIDO DA GAMA</t>
  </si>
  <si>
    <t>01993121205</t>
  </si>
  <si>
    <t>WSCU7799071</t>
  </si>
  <si>
    <t>124614 / 124616 / 124617 / 124618 / 124619 / 124623</t>
  </si>
  <si>
    <t>124583 / 124584 / 124585 / 124586 / 124587 / 124588</t>
  </si>
  <si>
    <t>EDINHO</t>
  </si>
  <si>
    <t>NORTHERN DEMOCRAT  2324E</t>
  </si>
  <si>
    <t>2968/23</t>
  </si>
  <si>
    <t>16247 / 16246</t>
  </si>
  <si>
    <t>VARGINHA-MG</t>
  </si>
  <si>
    <t>PRÉ-STACKING</t>
  </si>
  <si>
    <t>MACADAMIA</t>
  </si>
  <si>
    <t>Causa desconhecida</t>
  </si>
  <si>
    <t>INTERNO DPW</t>
  </si>
  <si>
    <t>EBKG05834887</t>
  </si>
  <si>
    <t>MSC ATHOS  MM323R</t>
  </si>
  <si>
    <t>MLBR3569908</t>
  </si>
  <si>
    <t>MRKU4232245</t>
  </si>
  <si>
    <t>SUDU8635434</t>
  </si>
  <si>
    <t>MLBR3560478</t>
  </si>
  <si>
    <t>AAK628QB</t>
  </si>
  <si>
    <t>AAK628PB</t>
  </si>
  <si>
    <t>02/062023 16:24</t>
  </si>
  <si>
    <t>TTNU1286242</t>
  </si>
  <si>
    <t>AAK628KB</t>
  </si>
  <si>
    <t>JP0215/23</t>
  </si>
  <si>
    <t>MAIPO  2320N</t>
  </si>
  <si>
    <t>BREMEN BELLE  324N</t>
  </si>
  <si>
    <t>LA GUAIRA</t>
  </si>
  <si>
    <t>16205c / 16207</t>
  </si>
  <si>
    <t>TGBU9872859</t>
  </si>
  <si>
    <t>MSMU7873100</t>
  </si>
  <si>
    <t>MSDU5459060</t>
  </si>
  <si>
    <t>MSDU8507157</t>
  </si>
  <si>
    <t>MSMU4052499</t>
  </si>
  <si>
    <t>23/0228383-4</t>
  </si>
  <si>
    <t>PO: 480155419</t>
  </si>
  <si>
    <t>AAK628QC</t>
  </si>
  <si>
    <t>16184a / 16254C / 16267a / 16270</t>
  </si>
  <si>
    <t>16172a / 16265a / 16272A</t>
  </si>
  <si>
    <t>7 PALLETS</t>
  </si>
  <si>
    <t>MSDU5324825</t>
  </si>
  <si>
    <t>MSDU7524777</t>
  </si>
  <si>
    <t>MSMU4724628</t>
  </si>
  <si>
    <t>MSMU6375063</t>
  </si>
  <si>
    <t>MSMU7621963</t>
  </si>
  <si>
    <t>CAIU3020722</t>
  </si>
  <si>
    <t>SEGU1086585</t>
  </si>
  <si>
    <t>CAIU3072768</t>
  </si>
  <si>
    <t>TCLU3059377</t>
  </si>
  <si>
    <t>CAIU3160658</t>
  </si>
  <si>
    <t>TCLU2967467</t>
  </si>
  <si>
    <t>CAIU3310510</t>
  </si>
  <si>
    <t>TGHU9563804</t>
  </si>
  <si>
    <t>TRHU7044289</t>
  </si>
  <si>
    <t>SEGU4050950</t>
  </si>
  <si>
    <t>TEMU8167495</t>
  </si>
  <si>
    <t>MSDU8821316</t>
  </si>
  <si>
    <t>CAAU6389408</t>
  </si>
  <si>
    <t>MSMU5529755</t>
  </si>
  <si>
    <t>AMFU8904667</t>
  </si>
  <si>
    <t>CAAU6376925</t>
  </si>
  <si>
    <t>LOGIN JATOBA  241S</t>
  </si>
  <si>
    <t>AAK628QD</t>
  </si>
  <si>
    <t>FJ16794995 / 0122158 / 0010288 / 0021223</t>
  </si>
  <si>
    <t>FJ16795927 / 0122160 / 0010286 / 0021227</t>
  </si>
  <si>
    <t>FJ16794994 / 0122156 / 0010287 / 0021224</t>
  </si>
  <si>
    <t>FJ16795969 / 0122157 / 0010290 / 0021210</t>
  </si>
  <si>
    <t>FJ16795909 / 0122159 / 0010289 / 0021242</t>
  </si>
  <si>
    <t>CUA6951</t>
  </si>
  <si>
    <t>MARCELO BELARMINO DE OLIVEIRA</t>
  </si>
  <si>
    <t>2961/23</t>
  </si>
  <si>
    <t>3004/23</t>
  </si>
  <si>
    <t>3005/23</t>
  </si>
  <si>
    <t>3007/23</t>
  </si>
  <si>
    <t>3009/23</t>
  </si>
  <si>
    <t>3010/23</t>
  </si>
  <si>
    <t>FJ16795820 / 0122164 / 0021701 / 0021296</t>
  </si>
  <si>
    <t>CAIU4475665</t>
  </si>
  <si>
    <t>HLG3814156</t>
  </si>
  <si>
    <t>23/1104466-3</t>
  </si>
  <si>
    <t>IMP.4337</t>
  </si>
  <si>
    <t>BSIU8074985</t>
  </si>
  <si>
    <t>CMA CGM RHONE  0NSETS1MA</t>
  </si>
  <si>
    <t>FJ16795871 / 0122165 / 0021705 / 0021348</t>
  </si>
  <si>
    <t>FJ16794927 / 0122163 / 0021703 / 0021347</t>
  </si>
  <si>
    <t>FJ16795813 / 0122162 / 0021704 / 0021345</t>
  </si>
  <si>
    <t>FJ16794925 / 0122161 / 0021702 / 0021346</t>
  </si>
  <si>
    <t>HLG3815548</t>
  </si>
  <si>
    <t>TCNU8880021</t>
  </si>
  <si>
    <t>16278 / 1620</t>
  </si>
  <si>
    <t>MRKU2506033</t>
  </si>
  <si>
    <t>MLBR3269972</t>
  </si>
  <si>
    <t>MRKU2567487</t>
  </si>
  <si>
    <t>MLBR3269973</t>
  </si>
  <si>
    <t>MIEU3059541</t>
  </si>
  <si>
    <t>MLBR3269971</t>
  </si>
  <si>
    <t>MRKU2556369</t>
  </si>
  <si>
    <t>MLBR3269960</t>
  </si>
  <si>
    <t>HASU4157442</t>
  </si>
  <si>
    <t>MLBR3269957</t>
  </si>
  <si>
    <t>MLBR3269943</t>
  </si>
  <si>
    <t>SUDU6975456</t>
  </si>
  <si>
    <t>DIRCEU ROSA DE OLIVEIRA</t>
  </si>
  <si>
    <t>CPN5D41</t>
  </si>
  <si>
    <t>SSZ1371599</t>
  </si>
  <si>
    <t>MAERSK LOTA  0NSEYN1MA</t>
  </si>
  <si>
    <t>SERTAOZINHO-SP</t>
  </si>
  <si>
    <t>TEMPANOS  2319N</t>
  </si>
  <si>
    <t>14/06/023 12:00</t>
  </si>
  <si>
    <t>5578 / 5577</t>
  </si>
  <si>
    <t>16216C / 16236 / 16313</t>
  </si>
  <si>
    <t>2994/23</t>
  </si>
  <si>
    <t>MSKU3947098</t>
  </si>
  <si>
    <t>MSKU7262754</t>
  </si>
  <si>
    <t>TEXU1557767</t>
  </si>
  <si>
    <t>MRKU9527763</t>
  </si>
  <si>
    <t>MRKU6519511</t>
  </si>
  <si>
    <t>MRKU7817212</t>
  </si>
  <si>
    <t>SUDU8951520</t>
  </si>
  <si>
    <t>16301 / 16300</t>
  </si>
  <si>
    <t>TCLU3463590</t>
  </si>
  <si>
    <t>CAIU3417160</t>
  </si>
  <si>
    <t>TCLU3038522</t>
  </si>
  <si>
    <t>CAIU3307570</t>
  </si>
  <si>
    <t>TCLU2968988</t>
  </si>
  <si>
    <t>TCLU8702383</t>
  </si>
  <si>
    <t>TCNU6205132</t>
  </si>
  <si>
    <t>CAIU4831447</t>
  </si>
  <si>
    <t>GESU5954900</t>
  </si>
  <si>
    <t>TCLU8808230</t>
  </si>
  <si>
    <t>CAIU4832227</t>
  </si>
  <si>
    <t>TEMU8333174</t>
  </si>
  <si>
    <t>CAIU4834024</t>
  </si>
  <si>
    <t>MSDU7851635</t>
  </si>
  <si>
    <t>FFAU1199760</t>
  </si>
  <si>
    <t>MERCOSUL SUAPE  330S</t>
  </si>
  <si>
    <t>13/06/2023 0100</t>
  </si>
  <si>
    <t>TCLU3062534</t>
  </si>
  <si>
    <t>MERCOSUL SANTOS  331S</t>
  </si>
  <si>
    <t>AAK670FD</t>
  </si>
  <si>
    <t>7065 / 7067 / 427135 / 427136 / 427137 / 427138</t>
  </si>
  <si>
    <t>16304c / 16320 / 16345</t>
  </si>
  <si>
    <t>SSZ1372980</t>
  </si>
  <si>
    <t>CARDIFF  0GBMDN1MA</t>
  </si>
  <si>
    <t>9227343 / 9227247</t>
  </si>
  <si>
    <t>MEGEN</t>
  </si>
  <si>
    <t>HLG3836485  / 0122166</t>
  </si>
  <si>
    <t>HLXU5609305</t>
  </si>
  <si>
    <t>AAK670FF</t>
  </si>
  <si>
    <t>C6106167 / 203423</t>
  </si>
  <si>
    <t>L1672984</t>
  </si>
  <si>
    <t>09/06/023 13:03</t>
  </si>
  <si>
    <t>2425/22</t>
  </si>
  <si>
    <t>2431/22</t>
  </si>
  <si>
    <t>2931/23</t>
  </si>
  <si>
    <t>2983/23</t>
  </si>
  <si>
    <t>2984/23</t>
  </si>
  <si>
    <t>2987/23</t>
  </si>
  <si>
    <t>2988/23</t>
  </si>
  <si>
    <t>2991/23</t>
  </si>
  <si>
    <t>2992/23</t>
  </si>
  <si>
    <t>2993/23</t>
  </si>
  <si>
    <t>CXPSSZ354-23</t>
  </si>
  <si>
    <t>515 / 16 / 517 / 518 / 519 / 520</t>
  </si>
  <si>
    <t>LGEU6594911</t>
  </si>
  <si>
    <t>DVT5836</t>
  </si>
  <si>
    <t>AAK670FB</t>
  </si>
  <si>
    <t>AAK680FB</t>
  </si>
  <si>
    <t>ESU7B29</t>
  </si>
  <si>
    <t>JOSE MARI DE MORAIS</t>
  </si>
  <si>
    <t>23/0244305-0</t>
  </si>
  <si>
    <t>MRSU0120213</t>
  </si>
  <si>
    <t>MLUL9905246</t>
  </si>
  <si>
    <t>MONTE VERDE  320S</t>
  </si>
  <si>
    <t>PO 480155804</t>
  </si>
  <si>
    <t>5 PALLTES</t>
  </si>
  <si>
    <t>23/0244303-3</t>
  </si>
  <si>
    <t>PO 480155416</t>
  </si>
  <si>
    <t>16375 / 16432 / 16433</t>
  </si>
  <si>
    <t>UACU5723340</t>
  </si>
  <si>
    <t>HLG3835962</t>
  </si>
  <si>
    <t>BMOU5625060</t>
  </si>
  <si>
    <t>HLG3835810</t>
  </si>
  <si>
    <t>TEMU6723065</t>
  </si>
  <si>
    <t>HLG3836376</t>
  </si>
  <si>
    <t>16/06/201317:05</t>
  </si>
  <si>
    <t>HLBU1820483</t>
  </si>
  <si>
    <t>HLG3835900</t>
  </si>
  <si>
    <t>FSCU7243568</t>
  </si>
  <si>
    <t>HLG3835897</t>
  </si>
  <si>
    <t>DPB4F69</t>
  </si>
  <si>
    <t>KOE9A82</t>
  </si>
  <si>
    <t>FERNANDO DE MAGALHAES  322S</t>
  </si>
  <si>
    <t>HLBU1197007</t>
  </si>
  <si>
    <t>HLG3817385</t>
  </si>
  <si>
    <t>CAIU8131919</t>
  </si>
  <si>
    <t>HLG3835865</t>
  </si>
  <si>
    <t>GABRIEL HENRIQUE CORREA GOMES</t>
  </si>
  <si>
    <t>AAK670FE</t>
  </si>
  <si>
    <t>AAK670FC</t>
  </si>
  <si>
    <t>CXPMAO356-23</t>
  </si>
  <si>
    <t>P10415178</t>
  </si>
  <si>
    <t>LOGIN POLARIS  0BCE7N1RCN</t>
  </si>
  <si>
    <t>19/06/023 16:30</t>
  </si>
  <si>
    <t>BEAU4708865</t>
  </si>
  <si>
    <t>HLG3817271</t>
  </si>
  <si>
    <t>TLLU5320620</t>
  </si>
  <si>
    <t>HLG3817429</t>
  </si>
  <si>
    <t>HLBU2702090</t>
  </si>
  <si>
    <t>HLG3835861</t>
  </si>
  <si>
    <t>MONTE ROSA  326N</t>
  </si>
  <si>
    <t>3002/23</t>
  </si>
  <si>
    <t>3003/23</t>
  </si>
  <si>
    <t>3006/23</t>
  </si>
  <si>
    <t>3008/23</t>
  </si>
  <si>
    <t>16456 / 16471</t>
  </si>
  <si>
    <t>16464 / 16472</t>
  </si>
  <si>
    <t>16463 / 16473</t>
  </si>
  <si>
    <t>ALERIS</t>
  </si>
  <si>
    <t>ATACAMA  328E</t>
  </si>
  <si>
    <t>PV 5837</t>
  </si>
  <si>
    <t>L1634594</t>
  </si>
  <si>
    <t>CMAU8737004</t>
  </si>
  <si>
    <t>CMAU4872011</t>
  </si>
  <si>
    <t>L1643171</t>
  </si>
  <si>
    <t>LOGIN JACARANDA  154S</t>
  </si>
  <si>
    <t>MEDU6688742</t>
  </si>
  <si>
    <t>TCLU2964730</t>
  </si>
  <si>
    <t>TCLU3460965</t>
  </si>
  <si>
    <t>CAIU3159847</t>
  </si>
  <si>
    <t>CAAU6494276</t>
  </si>
  <si>
    <t>CAIU4834410</t>
  </si>
  <si>
    <t>TCLU8227719</t>
  </si>
  <si>
    <t>TEMU8333770</t>
  </si>
  <si>
    <t>MSCU5271017</t>
  </si>
  <si>
    <t>MSMU4431208</t>
  </si>
  <si>
    <t>TEMU8500245</t>
  </si>
  <si>
    <t>1606/2023 19:52</t>
  </si>
  <si>
    <t>Mangueira rasgada</t>
  </si>
  <si>
    <t>TCNU2993186</t>
  </si>
  <si>
    <t>L1635388</t>
  </si>
  <si>
    <t>6165 / 6166</t>
  </si>
  <si>
    <t>LA0307271</t>
  </si>
  <si>
    <t>VICENTE PIZON  324S</t>
  </si>
  <si>
    <t>SUDU7822370</t>
  </si>
  <si>
    <t>MRKU9653761</t>
  </si>
  <si>
    <t>MRKU7953796</t>
  </si>
  <si>
    <t>CAIU2448418</t>
  </si>
  <si>
    <t>ALL LUBRIFICANTES</t>
  </si>
  <si>
    <t>23/1206196-0</t>
  </si>
  <si>
    <t>PUERTO SANTO</t>
  </si>
  <si>
    <t>TCLU8175940</t>
  </si>
  <si>
    <t>SSZ1375926</t>
  </si>
  <si>
    <t>CAP SAN ARTEMISSIO  0EWF8N1MA</t>
  </si>
  <si>
    <t>HAMBURG</t>
  </si>
  <si>
    <t>MEDITERRANEAN EXPRESS  325N</t>
  </si>
  <si>
    <t>MONTE OLIVIA  326N</t>
  </si>
  <si>
    <t>23/0254916-8</t>
  </si>
  <si>
    <t>JOHN DEERE</t>
  </si>
  <si>
    <t>SÃO GONÇALO DO SAPUCAÍ-MG</t>
  </si>
  <si>
    <t>8 VOLUMES</t>
  </si>
  <si>
    <t>CAAU5277954</t>
  </si>
  <si>
    <t>MLBR3385776</t>
  </si>
  <si>
    <t>4070655 / 1732205</t>
  </si>
  <si>
    <t>16500 / 16501 / 16538</t>
  </si>
  <si>
    <t>MSKU0220084</t>
  </si>
  <si>
    <t>MLBR3408035</t>
  </si>
  <si>
    <t>MLBR3407417</t>
  </si>
  <si>
    <t>MRKU2862899</t>
  </si>
  <si>
    <t>MLBR3407461</t>
  </si>
  <si>
    <t>MRKU3873898</t>
  </si>
  <si>
    <t>MLBR3407462</t>
  </si>
  <si>
    <t>SUDU1491931</t>
  </si>
  <si>
    <t>AAK719TQ</t>
  </si>
  <si>
    <t xml:space="preserve">MARCONI DE OLIVEIRA CORDEIRO </t>
  </si>
  <si>
    <t>MSC LAUSANNE  2321N</t>
  </si>
  <si>
    <t>3011/23 3012/23</t>
  </si>
  <si>
    <t>GOLDSPELL</t>
  </si>
  <si>
    <t>HUNGARY  NA326R</t>
  </si>
  <si>
    <t>DI</t>
  </si>
  <si>
    <t>GCXU5759800</t>
  </si>
  <si>
    <t>MONTE SARMIENTO  02528 2023</t>
  </si>
  <si>
    <t>NEWPOWER</t>
  </si>
  <si>
    <t>23/1230660-2</t>
  </si>
  <si>
    <t>HUNGARY  001S</t>
  </si>
  <si>
    <t>PO#133197</t>
  </si>
  <si>
    <t>HLBU2153908</t>
  </si>
  <si>
    <t>HLG3818586</t>
  </si>
  <si>
    <t>TCNU6045902</t>
  </si>
  <si>
    <t>HLG3818502</t>
  </si>
  <si>
    <t>BOLACHA PARA CHOPP</t>
  </si>
  <si>
    <t>23/1212794-5</t>
  </si>
  <si>
    <t>7 VOLUMES</t>
  </si>
  <si>
    <t>CMA CGM SACIETE ANOYME  001S</t>
  </si>
  <si>
    <t>125048 / 125049 / 125050 / 125051 / 125052 / 125053 / 125054</t>
  </si>
  <si>
    <t>HLG3818685 / 0122169</t>
  </si>
  <si>
    <t>HLBU8007346</t>
  </si>
  <si>
    <t>TLLU5929324</t>
  </si>
  <si>
    <t>MLBR3565097</t>
  </si>
  <si>
    <t>6546313 / 6548361</t>
  </si>
  <si>
    <t>AAK779IB</t>
  </si>
  <si>
    <t>JOÃO BATISTAS DOS SANTOS</t>
  </si>
  <si>
    <t>16507c / 16509</t>
  </si>
  <si>
    <t>16536c / 16561</t>
  </si>
  <si>
    <t>EBKG06039946</t>
  </si>
  <si>
    <t>ROTTERDAM</t>
  </si>
  <si>
    <t>6546306 / 6548944</t>
  </si>
  <si>
    <t>PRO230 17233M</t>
  </si>
  <si>
    <t>ZIM NORFOLK  009E</t>
  </si>
  <si>
    <t>NINGBO</t>
  </si>
  <si>
    <t>SÃO JOSÉ DOS CAMPOS-SP</t>
  </si>
  <si>
    <t>LA0307275</t>
  </si>
  <si>
    <t>CXPMAO357-23</t>
  </si>
  <si>
    <t>CARAPICUÍBA</t>
  </si>
  <si>
    <t>MEDU5808592</t>
  </si>
  <si>
    <t>TCLU3042440</t>
  </si>
  <si>
    <t>TCLU3467487</t>
  </si>
  <si>
    <t>TCLU3464030</t>
  </si>
  <si>
    <t>TRHU1537800</t>
  </si>
  <si>
    <t>TCLU2965084</t>
  </si>
  <si>
    <t>MSDU2696665</t>
  </si>
  <si>
    <t>FFAU1198444</t>
  </si>
  <si>
    <t>MEDU4911395</t>
  </si>
  <si>
    <t>TRHU7048659</t>
  </si>
  <si>
    <t>CAAU5136730</t>
  </si>
  <si>
    <t>TRHU7049892</t>
  </si>
  <si>
    <t>MEDU8951159</t>
  </si>
  <si>
    <t>SEGU4057894</t>
  </si>
  <si>
    <t>MSDU5533580</t>
  </si>
  <si>
    <t>SEGU4110026</t>
  </si>
  <si>
    <t>TEMU8333636</t>
  </si>
  <si>
    <t>AMFU8819945</t>
  </si>
  <si>
    <t>GESU5719666</t>
  </si>
  <si>
    <t>TCNU7441913</t>
  </si>
  <si>
    <t>TCLU8350472</t>
  </si>
  <si>
    <t>CAIU8781046</t>
  </si>
  <si>
    <t>LOGIN ENDURANCE  042S</t>
  </si>
  <si>
    <t>BOTELHOS-MG</t>
  </si>
  <si>
    <t>SEBASTIAO CABOTO  326N</t>
  </si>
  <si>
    <t>AAK779LB</t>
  </si>
  <si>
    <t>AAK779LC</t>
  </si>
  <si>
    <t>BWY6f22</t>
  </si>
  <si>
    <t>COMEX METAL</t>
  </si>
  <si>
    <t>RUBENS CARLOS GOES</t>
  </si>
  <si>
    <t>HZX5C69</t>
  </si>
  <si>
    <t>SEBASTIAO CABOTO  325S</t>
  </si>
  <si>
    <t>MSKU5087056</t>
  </si>
  <si>
    <t>TLLU2138150</t>
  </si>
  <si>
    <t>MRKU8394964</t>
  </si>
  <si>
    <t>AXIU2227896</t>
  </si>
  <si>
    <t>TLLU2386542</t>
  </si>
  <si>
    <t>SUDU1380619</t>
  </si>
  <si>
    <t>MRKU7676686</t>
  </si>
  <si>
    <t>CAAU6547099</t>
  </si>
  <si>
    <t>TCNU7723650</t>
  </si>
  <si>
    <t>FCIU9181065</t>
  </si>
  <si>
    <t>TGBU6811464</t>
  </si>
  <si>
    <t>MLBR3565178</t>
  </si>
  <si>
    <t>GLOG</t>
  </si>
  <si>
    <t>SÃO PAULO</t>
  </si>
  <si>
    <t>tá pronto</t>
  </si>
  <si>
    <t>FANU1942077</t>
  </si>
  <si>
    <t>Programação enviada no final do dia</t>
  </si>
  <si>
    <t>MONTE PASCOAL  329N</t>
  </si>
  <si>
    <t>FRANCE PANIFICAÇÃO</t>
  </si>
  <si>
    <t>23/1256748-1</t>
  </si>
  <si>
    <t>MRSU5745190</t>
  </si>
  <si>
    <t>CAP SAN MALEAS  321S</t>
  </si>
  <si>
    <t>IMP6357 - F205</t>
  </si>
  <si>
    <t>FR VIEIRA</t>
  </si>
  <si>
    <t>ITAJU-SP</t>
  </si>
  <si>
    <t>SAOA55020100</t>
  </si>
  <si>
    <t xml:space="preserve">BRASIL TERMINAL </t>
  </si>
  <si>
    <t>EMBRAPORT</t>
  </si>
  <si>
    <t>GSL ARCADIA  328N</t>
  </si>
  <si>
    <t>MSC ALESSIA  330N</t>
  </si>
  <si>
    <t>HYUNDAI PARAMOUNT  0076E</t>
  </si>
  <si>
    <t xml:space="preserve">ATLANTIS GJA </t>
  </si>
  <si>
    <t xml:space="preserve"> 010/23 A</t>
  </si>
  <si>
    <t>MONTE ALEGRE  327N</t>
  </si>
  <si>
    <t>23/1263320-4</t>
  </si>
  <si>
    <t>TLLU5992121</t>
  </si>
  <si>
    <t>IMP6358 - F206</t>
  </si>
  <si>
    <t>018538</t>
  </si>
  <si>
    <t>JP0205/23</t>
  </si>
  <si>
    <t>CUA5A17</t>
  </si>
  <si>
    <t>CELSO OLIVANDO BERTO</t>
  </si>
  <si>
    <t>02452058501</t>
  </si>
  <si>
    <t>MLBR3383232</t>
  </si>
  <si>
    <t>TCKU7400118</t>
  </si>
  <si>
    <t>GLDU5455343</t>
  </si>
  <si>
    <t>FJ16867690</t>
  </si>
  <si>
    <t xml:space="preserve">CARLOS  BUENO BALTAZAR </t>
  </si>
  <si>
    <t>MRKU7235422</t>
  </si>
  <si>
    <t>AAK823CB</t>
  </si>
  <si>
    <t>125195 / 125196 / 125197 / 125205 / 125224</t>
  </si>
  <si>
    <t>AAK823AB</t>
  </si>
  <si>
    <t>TGHU6009580</t>
  </si>
  <si>
    <t>23/0882118-2</t>
  </si>
  <si>
    <t>MEDUIQ905263</t>
  </si>
  <si>
    <t>TGHU6834100</t>
  </si>
  <si>
    <t>TGBU5476931</t>
  </si>
  <si>
    <t>SEGU2962888</t>
  </si>
  <si>
    <t>MSDU5769889</t>
  </si>
  <si>
    <t>16635C - 16636</t>
  </si>
  <si>
    <t>2036 / 2037</t>
  </si>
  <si>
    <t>FEJ418355</t>
  </si>
  <si>
    <t xml:space="preserve">TEMU1673803   </t>
  </si>
  <si>
    <t>HMM161632</t>
  </si>
  <si>
    <t xml:space="preserve">HDMU2783756  </t>
  </si>
  <si>
    <t>HMM161631</t>
  </si>
  <si>
    <t xml:space="preserve">DFSU2819378  </t>
  </si>
  <si>
    <t>HMM161535</t>
  </si>
  <si>
    <t xml:space="preserve">TLLU2581261  </t>
  </si>
  <si>
    <t>HMM161533</t>
  </si>
  <si>
    <t>GCXU2135728</t>
  </si>
  <si>
    <t>HMM157269</t>
  </si>
  <si>
    <t>FCIU5459590</t>
  </si>
  <si>
    <t>HMM157266</t>
  </si>
  <si>
    <t xml:space="preserve">GCXU2121154    </t>
  </si>
  <si>
    <t>HMM157264</t>
  </si>
  <si>
    <t xml:space="preserve">BSIU3214092    </t>
  </si>
  <si>
    <t>HMM157265</t>
  </si>
  <si>
    <t>FCIU5179809</t>
  </si>
  <si>
    <t>HMM161589</t>
  </si>
  <si>
    <t>TGBU2321073</t>
  </si>
  <si>
    <t>HMM161590</t>
  </si>
  <si>
    <t xml:space="preserve">TLLU2363819   </t>
  </si>
  <si>
    <t>HMM161716</t>
  </si>
  <si>
    <t xml:space="preserve">GCXU2108677   </t>
  </si>
  <si>
    <t>HMM161717</t>
  </si>
  <si>
    <t>FCIU5387607</t>
  </si>
  <si>
    <t>HMM161746</t>
  </si>
  <si>
    <t>HDMU2588960</t>
  </si>
  <si>
    <t>HMM161745</t>
  </si>
  <si>
    <t xml:space="preserve">HDMU2685507  </t>
  </si>
  <si>
    <t>HMM161534</t>
  </si>
  <si>
    <t xml:space="preserve">CAIU6058779   </t>
  </si>
  <si>
    <t>HMM161536</t>
  </si>
  <si>
    <t xml:space="preserve">HDMU2809697  </t>
  </si>
  <si>
    <t>HMM161638</t>
  </si>
  <si>
    <t xml:space="preserve">HMMU2052370  </t>
  </si>
  <si>
    <t>HMM161639</t>
  </si>
  <si>
    <t>FCIU5133834</t>
  </si>
  <si>
    <t>HMM161747</t>
  </si>
  <si>
    <t>BSIU2481788</t>
  </si>
  <si>
    <t>HMM161748</t>
  </si>
  <si>
    <t xml:space="preserve">OCGU2008717     </t>
  </si>
  <si>
    <t>HMM161744</t>
  </si>
  <si>
    <t xml:space="preserve">HDMU2721693     </t>
  </si>
  <si>
    <t>HMM161743</t>
  </si>
  <si>
    <t>TGBU2504285</t>
  </si>
  <si>
    <t>HMM157267</t>
  </si>
  <si>
    <t>HDMU2642742</t>
  </si>
  <si>
    <t>HMM157263</t>
  </si>
  <si>
    <t xml:space="preserve">KOCU2194302  </t>
  </si>
  <si>
    <t>HMM161687</t>
  </si>
  <si>
    <t xml:space="preserve">TRHU2155973  </t>
  </si>
  <si>
    <t>HMM161686</t>
  </si>
  <si>
    <t>HMMU2096866</t>
  </si>
  <si>
    <t>HMM157268</t>
  </si>
  <si>
    <t>AAK823DD</t>
  </si>
  <si>
    <t>16613C / 16642</t>
  </si>
  <si>
    <t>AAK823BC</t>
  </si>
  <si>
    <t>16641 / 16643</t>
  </si>
  <si>
    <t>AAK823BB</t>
  </si>
  <si>
    <t>SEKU5696451</t>
  </si>
  <si>
    <t>23/1283073-5</t>
  </si>
  <si>
    <t>PV 5953</t>
  </si>
  <si>
    <t>CAIU3155190</t>
  </si>
  <si>
    <t>SEGU1124772</t>
  </si>
  <si>
    <t>TCLU3059079</t>
  </si>
  <si>
    <t>TTNU1211161</t>
  </si>
  <si>
    <t>CAIU3162007</t>
  </si>
  <si>
    <t>TCLU3464702</t>
  </si>
  <si>
    <t>MEDU6912560</t>
  </si>
  <si>
    <t>CAIU2928931</t>
  </si>
  <si>
    <t>MEDU5043440</t>
  </si>
  <si>
    <t>TCLU3465632</t>
  </si>
  <si>
    <t>CAIU4833178</t>
  </si>
  <si>
    <t>MSDU8505597</t>
  </si>
  <si>
    <t>TCLU8187149</t>
  </si>
  <si>
    <t>CAIU4834678</t>
  </si>
  <si>
    <t>CIPU5019135</t>
  </si>
  <si>
    <t>DFSU7530053</t>
  </si>
  <si>
    <t>TCLU8166260</t>
  </si>
  <si>
    <t>MSMU6101099</t>
  </si>
  <si>
    <t>TRHU7045602</t>
  </si>
  <si>
    <t>TRHU7048725</t>
  </si>
  <si>
    <t>MSC BELMONTE  001S</t>
  </si>
  <si>
    <t>SSSZ010870</t>
  </si>
  <si>
    <t>MSKU7979278</t>
  </si>
  <si>
    <t>MLBR3778969</t>
  </si>
  <si>
    <t>MSKU4467236</t>
  </si>
  <si>
    <t>MLBR3779298</t>
  </si>
  <si>
    <t>TTNU1245557</t>
  </si>
  <si>
    <t>MLBR3779224</t>
  </si>
  <si>
    <t>MSKU5183722</t>
  </si>
  <si>
    <t>MLBR3779294</t>
  </si>
  <si>
    <t>BTR2H28</t>
  </si>
  <si>
    <t>CPJ4083</t>
  </si>
  <si>
    <t>CPJ4692</t>
  </si>
  <si>
    <t>AAK822YB</t>
  </si>
  <si>
    <t>SEGU1061118</t>
  </si>
  <si>
    <t>ENJOY</t>
  </si>
  <si>
    <t>23/1263586-0</t>
  </si>
  <si>
    <t>CAPE KORTIA 001S</t>
  </si>
  <si>
    <t>TCLU5663386</t>
  </si>
  <si>
    <t>MULTILOG</t>
  </si>
  <si>
    <t>CAP SAN ARTEMISSIO  328N</t>
  </si>
  <si>
    <t>RKS</t>
  </si>
  <si>
    <t>TANGER</t>
  </si>
  <si>
    <t>HELLA  329N</t>
  </si>
  <si>
    <t>CASCAVEL-PR</t>
  </si>
  <si>
    <t>23/0254934-6</t>
  </si>
  <si>
    <t>07/072023 12:0</t>
  </si>
  <si>
    <t>PAULO RICARDO DE LIMA TAVARES</t>
  </si>
  <si>
    <t>RXL7F62</t>
  </si>
  <si>
    <t>FPI0G64</t>
  </si>
  <si>
    <t>ENJ-0020B-23 METAX</t>
  </si>
  <si>
    <t>OBDE GOMES SANTOS JUNIOR</t>
  </si>
  <si>
    <t>PAULO ROBEERTO GERMANO</t>
  </si>
  <si>
    <t>125305 / 125306 / 125307 / 125308 / 125311</t>
  </si>
  <si>
    <t>NORFOLK</t>
  </si>
  <si>
    <t>16645 / 16679</t>
  </si>
  <si>
    <t>7080 / 7085 / 429096 / 429097 / 429098</t>
  </si>
  <si>
    <t>53623 / 53627</t>
  </si>
  <si>
    <t>53623 / 53628</t>
  </si>
  <si>
    <t>53623 / 53629</t>
  </si>
  <si>
    <t>53623 / 53626</t>
  </si>
  <si>
    <t>53623 / 53625</t>
  </si>
  <si>
    <t>MRKU4719341</t>
  </si>
  <si>
    <t>MLBR3782355</t>
  </si>
  <si>
    <t>3035/23</t>
  </si>
  <si>
    <t>3040/23</t>
  </si>
  <si>
    <t>3045/23</t>
  </si>
  <si>
    <t>3059/23</t>
  </si>
  <si>
    <t>MRKU5432248</t>
  </si>
  <si>
    <t>MLBR3380802</t>
  </si>
  <si>
    <t>MRKU3155329</t>
  </si>
  <si>
    <t>MLBR3782370</t>
  </si>
  <si>
    <t>MSKU8558530</t>
  </si>
  <si>
    <t>MLBR3381052</t>
  </si>
  <si>
    <t>MSKU9367918</t>
  </si>
  <si>
    <t>MLBR3380936</t>
  </si>
  <si>
    <t>MRKU5819704</t>
  </si>
  <si>
    <t>CAP SAN RAPAHEL  327N</t>
  </si>
  <si>
    <t>DPC9639</t>
  </si>
  <si>
    <t>HQR4G29</t>
  </si>
  <si>
    <t>CUE2577</t>
  </si>
  <si>
    <t>MARCOS CARLOS DE OLIVEIRA</t>
  </si>
  <si>
    <t>FASSINA GUARUJÁ</t>
  </si>
  <si>
    <t>SAN VICENTE  324S</t>
  </si>
  <si>
    <t>C6108944</t>
  </si>
  <si>
    <t>MRKU4999896</t>
  </si>
  <si>
    <t>MLBR3673925</t>
  </si>
  <si>
    <t>BEAU6093667</t>
  </si>
  <si>
    <t>CMAU6417547</t>
  </si>
  <si>
    <t>FFAU4258779</t>
  </si>
  <si>
    <t>TLLU7875063</t>
  </si>
  <si>
    <t>FFAU4234437</t>
  </si>
  <si>
    <t>MRKU4728209</t>
  </si>
  <si>
    <t>MLBR3673958</t>
  </si>
  <si>
    <t>GCXU5716388</t>
  </si>
  <si>
    <t>MRSU5714440</t>
  </si>
  <si>
    <t>MLBR3673787</t>
  </si>
  <si>
    <t>MLBR3673749</t>
  </si>
  <si>
    <t>6577817 NOSHOW / 6582035</t>
  </si>
  <si>
    <t>MLBR3403630</t>
  </si>
  <si>
    <t>HASU4433345</t>
  </si>
  <si>
    <t>HLG3823265</t>
  </si>
  <si>
    <t>HLBU2900500</t>
  </si>
  <si>
    <t>L1557712 / 0122168 / 0023141 / 0022278</t>
  </si>
  <si>
    <t>L1557716 / 0122144 / 0023142 / 0022280</t>
  </si>
  <si>
    <t>MAERSK LAMANAI  330N</t>
  </si>
  <si>
    <t>23/1342076-0</t>
  </si>
  <si>
    <t>CAP SAN ARTEMISSIO  323S</t>
  </si>
  <si>
    <t>MRSU4185676</t>
  </si>
  <si>
    <t>IMP. 4347</t>
  </si>
  <si>
    <t>MLBR3380805 / MLBR3406928</t>
  </si>
  <si>
    <t>L1557718 / 0122149 / 0023144 / 0022199</t>
  </si>
  <si>
    <t>L1557720 / 0122167 / 0023143 / 0022281</t>
  </si>
  <si>
    <t>L1557714 / 0122150 / 0022145 / 0022254</t>
  </si>
  <si>
    <t>10/072023 18:38</t>
  </si>
  <si>
    <t>MRSU0083130</t>
  </si>
  <si>
    <t>MSKU7269888</t>
  </si>
  <si>
    <t>MRKU6697241</t>
  </si>
  <si>
    <t>MRKU7478926</t>
  </si>
  <si>
    <t>MSKU5927470</t>
  </si>
  <si>
    <t>TCLU6999396</t>
  </si>
  <si>
    <t>MRKU7581209</t>
  </si>
  <si>
    <t>MRKU8710450</t>
  </si>
  <si>
    <t>MRKU6131207</t>
  </si>
  <si>
    <t>MRSU3912596</t>
  </si>
  <si>
    <t>TRHU7599517</t>
  </si>
  <si>
    <t>AMERICO VESPUCIO  327S</t>
  </si>
  <si>
    <t>125461 / 125462</t>
  </si>
  <si>
    <t>TCLU3059422</t>
  </si>
  <si>
    <t>SEGU1118785</t>
  </si>
  <si>
    <t>CAIU3159852</t>
  </si>
  <si>
    <t>TCLU3460749</t>
  </si>
  <si>
    <t>TCLU2964806</t>
  </si>
  <si>
    <t>GLDU3722815</t>
  </si>
  <si>
    <t>GESU1439414</t>
  </si>
  <si>
    <t>TCLU8698534</t>
  </si>
  <si>
    <t>SEGU6133930</t>
  </si>
  <si>
    <t>AMFU8921860</t>
  </si>
  <si>
    <t>DFSU7494758</t>
  </si>
  <si>
    <t>FFAU1701414</t>
  </si>
  <si>
    <t>MSMU8449289</t>
  </si>
  <si>
    <t>SEGU4047540</t>
  </si>
  <si>
    <t>MSMU6069612</t>
  </si>
  <si>
    <t>FFAU1702452</t>
  </si>
  <si>
    <t>TGBU7860669</t>
  </si>
  <si>
    <t>MSMU8978301</t>
  </si>
  <si>
    <t>GESU6787264</t>
  </si>
  <si>
    <t>SANTO ANDRÉ</t>
  </si>
  <si>
    <t>MSC MICHELA  MM328R</t>
  </si>
  <si>
    <t>DELLA VOLPE</t>
  </si>
  <si>
    <t>JP0265/23</t>
  </si>
  <si>
    <t>72/2023-001</t>
  </si>
  <si>
    <t>MERCOSUL SUAPE  331S</t>
  </si>
  <si>
    <t>MSMU1094783</t>
  </si>
  <si>
    <t>MERCOSUL ITAJAI  190S</t>
  </si>
  <si>
    <t>BMOU1433500</t>
  </si>
  <si>
    <t>TCKU7858184</t>
  </si>
  <si>
    <t>MRSU5621460</t>
  </si>
  <si>
    <t>CXPSSZ358/23 | LA0307385</t>
  </si>
  <si>
    <t>9213 / 9214 / 9214 / 9215</t>
  </si>
  <si>
    <t>MRSU5884580</t>
  </si>
  <si>
    <t>PEDÁGIO</t>
  </si>
  <si>
    <t>MLBR3785244 / 0122148 / 0017758 / 0022434</t>
  </si>
  <si>
    <t>MLBR3380883 / 0122147 / 0017759 / 0022435</t>
  </si>
  <si>
    <t>HLG3821052 / SIF 3152/0003937</t>
  </si>
  <si>
    <t>23/0287309-7</t>
  </si>
  <si>
    <t>GCXU5736912</t>
  </si>
  <si>
    <t>UL9905253</t>
  </si>
  <si>
    <t>MONTE CERVANTES  02693/2023</t>
  </si>
  <si>
    <t>MLBR3785205 / E1809389 / 0017761 / 0022429</t>
  </si>
  <si>
    <t>AAK865TC</t>
  </si>
  <si>
    <t>ABV8D21</t>
  </si>
  <si>
    <t>ATENIZIO PEREIRA DOS SANTOS JUNIOR</t>
  </si>
  <si>
    <t>521 / 522 / 523 / 524 /525 / 526</t>
  </si>
  <si>
    <t>PO 480155807</t>
  </si>
  <si>
    <t>17/072023 10:10</t>
  </si>
  <si>
    <t>MRSU3593396</t>
  </si>
  <si>
    <t>MLBR3408598</t>
  </si>
  <si>
    <t>15/07/023 08:31</t>
  </si>
  <si>
    <t>16742 / 16743</t>
  </si>
  <si>
    <t>6956 / 6962</t>
  </si>
  <si>
    <t>AAK916RB</t>
  </si>
  <si>
    <t>Troca de cavalo mecânico</t>
  </si>
  <si>
    <t>11/07/023 14:03</t>
  </si>
  <si>
    <t>AAK916QD</t>
  </si>
  <si>
    <t>AAK916PB</t>
  </si>
  <si>
    <t>AAK916QC</t>
  </si>
  <si>
    <t>TCLU3465000</t>
  </si>
  <si>
    <t>SEGU1092470</t>
  </si>
  <si>
    <t>MSCU6042252</t>
  </si>
  <si>
    <t>CAIU3154383</t>
  </si>
  <si>
    <t>SEGU1119164</t>
  </si>
  <si>
    <t>TTNU3646250</t>
  </si>
  <si>
    <t>TCLU3459970</t>
  </si>
  <si>
    <t>TEMU8500076</t>
  </si>
  <si>
    <t>TCLU8703625</t>
  </si>
  <si>
    <t>TRHU7050105</t>
  </si>
  <si>
    <t>MSMU6806453</t>
  </si>
  <si>
    <t>MSMU6961589</t>
  </si>
  <si>
    <t>TEMU7702004</t>
  </si>
  <si>
    <t>MSMU7666968</t>
  </si>
  <si>
    <t>LOGIN JACARANDA  155S</t>
  </si>
  <si>
    <t>LUCELIA-SP</t>
  </si>
  <si>
    <t>BARCELONA</t>
  </si>
  <si>
    <t>YES</t>
  </si>
  <si>
    <t>ES 2522/2023</t>
  </si>
  <si>
    <t>AAK916SB</t>
  </si>
  <si>
    <t>PV 6051</t>
  </si>
  <si>
    <t>AAK916RB / AAK916RC</t>
  </si>
  <si>
    <t>AAK916QB</t>
  </si>
  <si>
    <t>16762 / 16763</t>
  </si>
  <si>
    <t>MRSU4170948</t>
  </si>
  <si>
    <t>MLBR3674670</t>
  </si>
  <si>
    <t>PV 6052</t>
  </si>
  <si>
    <t>MACEDO 5</t>
  </si>
  <si>
    <t>GCXU5589405</t>
  </si>
  <si>
    <t>MLBR3674727</t>
  </si>
  <si>
    <t>ESU7C72</t>
  </si>
  <si>
    <t>2989/23</t>
  </si>
  <si>
    <t>2990/23</t>
  </si>
  <si>
    <t>CAPE PIONNER  2325N</t>
  </si>
  <si>
    <t>2932/23</t>
  </si>
  <si>
    <t>3023/23</t>
  </si>
  <si>
    <t>3024/23</t>
  </si>
  <si>
    <t>3026/23</t>
  </si>
  <si>
    <t>3027/23</t>
  </si>
  <si>
    <t>3030/23</t>
  </si>
  <si>
    <t>CMAU0773561</t>
  </si>
  <si>
    <t>TRHU3681268</t>
  </si>
  <si>
    <t>P10416467A</t>
  </si>
  <si>
    <t>P10416467B</t>
  </si>
  <si>
    <t>3 MODULOS</t>
  </si>
  <si>
    <t>8 MODULOS</t>
  </si>
  <si>
    <t>10 MODULOS</t>
  </si>
  <si>
    <t>125698 / 125691 / 125692 / 125693 / 125694 / 125695 / 125696 / 125697 / 125698</t>
  </si>
  <si>
    <t>UK 2525/2023</t>
  </si>
  <si>
    <t>26/0/2023 10:00</t>
  </si>
  <si>
    <t>STANFFORD</t>
  </si>
  <si>
    <t>SAN MARCO MAERSK  329N</t>
  </si>
  <si>
    <t>EXD0J35</t>
  </si>
  <si>
    <t>CEX0C37</t>
  </si>
  <si>
    <t>EVANDRO JOSE DOS SANTOS BRITO</t>
  </si>
  <si>
    <r>
      <t xml:space="preserve">  </t>
    </r>
    <r>
      <rPr>
        <b/>
        <sz val="11"/>
        <color rgb="FFFFFFFF"/>
        <rFont val="Calibri"/>
        <family val="2"/>
        <scheme val="minor"/>
      </rPr>
      <t xml:space="preserve">DESCRIÇÃO </t>
    </r>
  </si>
  <si>
    <r>
      <t xml:space="preserve">  </t>
    </r>
    <r>
      <rPr>
        <b/>
        <sz val="11"/>
        <color rgb="FFFFFFFF"/>
        <rFont val="Calibri"/>
        <family val="2"/>
        <scheme val="minor"/>
      </rPr>
      <t xml:space="preserve">VALOR (R$) </t>
    </r>
  </si>
  <si>
    <r>
      <t xml:space="preserve"> </t>
    </r>
    <r>
      <rPr>
        <sz val="10"/>
        <color rgb="FF000000"/>
        <rFont val="Calibri"/>
        <family val="2"/>
        <scheme val="minor"/>
      </rPr>
      <t xml:space="preserve">Seguro (ad-valorem) sob valor da mercadoria </t>
    </r>
  </si>
  <si>
    <r>
      <t xml:space="preserve"> </t>
    </r>
    <r>
      <rPr>
        <sz val="10"/>
        <color rgb="FF000000"/>
        <rFont val="Calibri"/>
        <family val="2"/>
        <scheme val="minor"/>
      </rPr>
      <t xml:space="preserve">Sobrestada por hora excedente no Terminal – após franquia de 06 horas </t>
    </r>
  </si>
  <si>
    <r>
      <t xml:space="preserve"> </t>
    </r>
    <r>
      <rPr>
        <sz val="10"/>
        <color rgb="FF000000"/>
        <rFont val="Calibri"/>
        <family val="2"/>
        <scheme val="minor"/>
      </rPr>
      <t xml:space="preserve">Sobrestada por hora excedente na planta do cliente – após franquia de 08 horas </t>
    </r>
  </si>
  <si>
    <r>
      <t xml:space="preserve"> </t>
    </r>
    <r>
      <rPr>
        <sz val="10"/>
        <color rgb="FF000000"/>
        <rFont val="Calibri"/>
        <family val="2"/>
        <scheme val="minor"/>
      </rPr>
      <t xml:space="preserve">Pedágio (oficial) </t>
    </r>
  </si>
  <si>
    <r>
      <t xml:space="preserve"> </t>
    </r>
    <r>
      <rPr>
        <sz val="10"/>
        <color rgb="FF000000"/>
        <rFont val="Calibri"/>
        <family val="2"/>
        <scheme val="minor"/>
      </rPr>
      <t xml:space="preserve">Retirada do contêiner vazio antecipado – período de 10 dias </t>
    </r>
  </si>
  <si>
    <t xml:space="preserve"> Adicional entrega Cntr Margem Esquerda </t>
  </si>
  <si>
    <t xml:space="preserve"> Adicional Retirada Cntr Margem Guarujá </t>
  </si>
  <si>
    <t>FANU1199763</t>
  </si>
  <si>
    <t>HLG3851819</t>
  </si>
  <si>
    <t>felipe</t>
  </si>
  <si>
    <t>FANU3193316</t>
  </si>
  <si>
    <t>HLG3859514</t>
  </si>
  <si>
    <t>MRKU0882094</t>
  </si>
  <si>
    <t>MRKU0624905</t>
  </si>
  <si>
    <t>CUA6J51</t>
  </si>
  <si>
    <t>21/072023 16:00</t>
  </si>
  <si>
    <t>UACU5351659</t>
  </si>
  <si>
    <t>HLG4996556</t>
  </si>
  <si>
    <t>TCLU5044041</t>
  </si>
  <si>
    <t>HLG5007462</t>
  </si>
  <si>
    <t>MLBR3407924</t>
  </si>
  <si>
    <t>VISTORIA</t>
  </si>
  <si>
    <t>VIRADA TERMINAL</t>
  </si>
  <si>
    <t>JT VISTORIA</t>
  </si>
  <si>
    <t>UACU5464655</t>
  </si>
  <si>
    <t>HLG5007417</t>
  </si>
  <si>
    <t>MLBR3670143</t>
  </si>
  <si>
    <t>HLBU1622549</t>
  </si>
  <si>
    <t>HLG5007465</t>
  </si>
  <si>
    <t>KLEBER EDUARDO DA SILVA</t>
  </si>
  <si>
    <t>CIPU5095979</t>
  </si>
  <si>
    <t>MRSU4545453</t>
  </si>
  <si>
    <t>MLBR3788977</t>
  </si>
  <si>
    <t>MLBR3788983</t>
  </si>
  <si>
    <t>RODRIGO COSTA TEIXEIRA</t>
  </si>
  <si>
    <t>24/072023 09:40</t>
  </si>
  <si>
    <t>MSKU8712964</t>
  </si>
  <si>
    <t>MLBR3781516</t>
  </si>
  <si>
    <t>MRSU4312750</t>
  </si>
  <si>
    <t>MLBR3675082</t>
  </si>
  <si>
    <t>FSCU8245478</t>
  </si>
  <si>
    <t>HLG3822605</t>
  </si>
  <si>
    <t>MRSU4956393</t>
  </si>
  <si>
    <t>MLBR3781569</t>
  </si>
  <si>
    <t>MLBR3781446</t>
  </si>
  <si>
    <t>GCXU5824063</t>
  </si>
  <si>
    <t>TCNU8233961</t>
  </si>
  <si>
    <t>HLG4996601</t>
  </si>
  <si>
    <t>033/2023</t>
  </si>
  <si>
    <t>16791 / 16849</t>
  </si>
  <si>
    <t>16831c / 16854</t>
  </si>
  <si>
    <t>16837c / 16855</t>
  </si>
  <si>
    <t>AMFU3240230</t>
  </si>
  <si>
    <t>TCLU2968587</t>
  </si>
  <si>
    <t>CAIU3020830</t>
  </si>
  <si>
    <t>SEGU1123694</t>
  </si>
  <si>
    <t>SEGU1086203</t>
  </si>
  <si>
    <t>SEGU1061503</t>
  </si>
  <si>
    <t>MSMU2035851</t>
  </si>
  <si>
    <t>CAAU6385172</t>
  </si>
  <si>
    <t>TCLU8171836</t>
  </si>
  <si>
    <t>TCNU7994312</t>
  </si>
  <si>
    <t>CIPU5013991</t>
  </si>
  <si>
    <t>MEDU7105665</t>
  </si>
  <si>
    <t>TEMU8501200</t>
  </si>
  <si>
    <t>TCLU8337681</t>
  </si>
  <si>
    <t>MSDU5106947</t>
  </si>
  <si>
    <t>GESU5887490</t>
  </si>
  <si>
    <t>MSMU7773420</t>
  </si>
  <si>
    <t>LOGIN ENDURANCE  043S</t>
  </si>
  <si>
    <t>PL GERMANY  331N</t>
  </si>
  <si>
    <t>MONTE ACONCAGUA  330N</t>
  </si>
  <si>
    <t>20/072023 11:22</t>
  </si>
  <si>
    <t>MSKU7016004</t>
  </si>
  <si>
    <t>MRKU8502312</t>
  </si>
  <si>
    <t>HASU1331519</t>
  </si>
  <si>
    <t>TEMU2887610</t>
  </si>
  <si>
    <t>MRKU5967701</t>
  </si>
  <si>
    <t>TCNU6951893</t>
  </si>
  <si>
    <t>SEKU4630927</t>
  </si>
  <si>
    <t>MSKU5908510</t>
  </si>
  <si>
    <t>MSKU7600110</t>
  </si>
  <si>
    <t>MRKU7529710</t>
  </si>
  <si>
    <t>MSKU4411900</t>
  </si>
  <si>
    <t>HASU1265490</t>
  </si>
  <si>
    <t>MRKU8274824</t>
  </si>
  <si>
    <t>SEBASTIAO CABOTO  329S</t>
  </si>
  <si>
    <t>125901 / 125902 / 125903 / 125904</t>
  </si>
  <si>
    <t>Ajundante 2</t>
  </si>
  <si>
    <t>SUDU7473724</t>
  </si>
  <si>
    <t>MLBR3675356</t>
  </si>
  <si>
    <t>AGENDAMENTO NA DPW</t>
  </si>
  <si>
    <t>FRANCE</t>
  </si>
  <si>
    <t>MRSU4254653</t>
  </si>
  <si>
    <t>CAP SAN SOUNIO  325S</t>
  </si>
  <si>
    <t>23/1463251-5</t>
  </si>
  <si>
    <t>23/1447392-1</t>
  </si>
  <si>
    <t>3AIBAK01CX</t>
  </si>
  <si>
    <t>IMP6440 - F211</t>
  </si>
  <si>
    <t>125971 / 125972 / 125973 / 125974 / 125975 / 125976 / 125977 / 125979</t>
  </si>
  <si>
    <t>31/07/023 07:50</t>
  </si>
  <si>
    <t>3AIBAK01CY</t>
  </si>
  <si>
    <t>16922 / 16923</t>
  </si>
  <si>
    <t>23/0309314-1</t>
  </si>
  <si>
    <t>EVOLVE</t>
  </si>
  <si>
    <t>PCIU8911678</t>
  </si>
  <si>
    <t>CQ0374750</t>
  </si>
  <si>
    <t>LOTA CEPAT  0059W</t>
  </si>
  <si>
    <t>IMP3077/22</t>
  </si>
  <si>
    <t>3021/23</t>
  </si>
  <si>
    <t>NILEDUTCH ANTWERPEN  2332E</t>
  </si>
  <si>
    <t>MLBR3785794</t>
  </si>
  <si>
    <t>TEMU7397960</t>
  </si>
  <si>
    <t>MSKU7707752</t>
  </si>
  <si>
    <t>MLBR3782771</t>
  </si>
  <si>
    <t>TENDA / D-LOG</t>
  </si>
  <si>
    <t>N° NF</t>
  </si>
  <si>
    <t>3AIBAK01DB</t>
  </si>
  <si>
    <t>GJA9B05</t>
  </si>
  <si>
    <t>JOSIVAN DA SILVA ALMEIDA</t>
  </si>
  <si>
    <t>MRSU5335723</t>
  </si>
  <si>
    <t>MLBR3781784</t>
  </si>
  <si>
    <t>31/07/023 17:25</t>
  </si>
  <si>
    <t>3AIBAK01CV</t>
  </si>
  <si>
    <t>1740265 / 1740266 / 1740267 / 1740270 / 1740278 / 1740277 / 1740274 / 1740276 / 1740273 / 1740271 / 1740269</t>
  </si>
  <si>
    <t>3AIBAK01CZ</t>
  </si>
  <si>
    <t>3069/23</t>
  </si>
  <si>
    <t>3070/23</t>
  </si>
  <si>
    <t>MEDITERRANEAN EXPRESS  332N</t>
  </si>
  <si>
    <t>PV 6127</t>
  </si>
  <si>
    <t>MAERSK LETICIA  331E</t>
  </si>
  <si>
    <t>ATLANTIS</t>
  </si>
  <si>
    <t>POUSO ALEGRE-MG</t>
  </si>
  <si>
    <t>ALEXANDRE AUGUSTO FRAGA DINIZ</t>
  </si>
  <si>
    <t xml:space="preserve">JOAO BATISTA DOS SANTOS </t>
  </si>
  <si>
    <t>MONTE OLIVIA  333N</t>
  </si>
  <si>
    <t>PV 6128</t>
  </si>
  <si>
    <t>ADONAI</t>
  </si>
  <si>
    <t>DESTINATARIO</t>
  </si>
  <si>
    <t>ALIQ.ICMS</t>
  </si>
  <si>
    <t>TOTAL - Frete c/ ICMS</t>
  </si>
  <si>
    <t>MAERSK LA PAZ  333E</t>
  </si>
  <si>
    <t>HLG5001787</t>
  </si>
  <si>
    <t>TCKU6036758</t>
  </si>
  <si>
    <t>HLG5002000</t>
  </si>
  <si>
    <t>Ad Valorem</t>
  </si>
  <si>
    <t>GCXU5173275</t>
  </si>
  <si>
    <t>MSKU5253877</t>
  </si>
  <si>
    <t>FERNAO DE MAGALHAES</t>
  </si>
  <si>
    <t>23/1520780-0</t>
  </si>
  <si>
    <t>PO133344</t>
  </si>
  <si>
    <t>TGBU2521364</t>
  </si>
  <si>
    <t>FX28189818</t>
  </si>
  <si>
    <t>MEDU2973090</t>
  </si>
  <si>
    <t xml:space="preserve"> MEDU3655560 </t>
  </si>
  <si>
    <t>AMFU8918531</t>
  </si>
  <si>
    <t>DFSU7488307</t>
  </si>
  <si>
    <t>TCLU8269381</t>
  </si>
  <si>
    <t>DFSU7494742</t>
  </si>
  <si>
    <t>AMFU8951822</t>
  </si>
  <si>
    <t>TRHU5408273</t>
  </si>
  <si>
    <t>MSDU7100188</t>
  </si>
  <si>
    <t>TCNU1248949</t>
  </si>
  <si>
    <t>MSMU4154802</t>
  </si>
  <si>
    <t xml:space="preserve"> 120136. </t>
  </si>
  <si>
    <t>MERCOSUL SUAPE  332S</t>
  </si>
  <si>
    <t>SEGU1118086</t>
  </si>
  <si>
    <t>CAIU3021170</t>
  </si>
  <si>
    <t>CAIU3398899</t>
  </si>
  <si>
    <t>CAIU3017539</t>
  </si>
  <si>
    <t>CAIU3108201</t>
  </si>
  <si>
    <t>SEGU1121480</t>
  </si>
  <si>
    <t>MEDU6196228</t>
  </si>
  <si>
    <t>TEMU7706334</t>
  </si>
  <si>
    <t>TCLU8204307</t>
  </si>
  <si>
    <t>CIPU5018782</t>
  </si>
  <si>
    <t>CIPU5015989</t>
  </si>
  <si>
    <t>TEMU7925944</t>
  </si>
  <si>
    <t>CAIU4835083</t>
  </si>
  <si>
    <t>TRHU7044036</t>
  </si>
  <si>
    <t>AMFU8916668</t>
  </si>
  <si>
    <t>SEGU4111399</t>
  </si>
  <si>
    <t>CIPU5019177</t>
  </si>
  <si>
    <t>CAAU6490809</t>
  </si>
  <si>
    <t>TRHU7051966</t>
  </si>
  <si>
    <t>MSDU7257963</t>
  </si>
  <si>
    <t>DFSU7488400</t>
  </si>
  <si>
    <t>16937 / 17015</t>
  </si>
  <si>
    <t>13000 L</t>
  </si>
  <si>
    <t>MRKU6828059</t>
  </si>
  <si>
    <t>23/0323634-1</t>
  </si>
  <si>
    <t>MONTE VERDE 001S</t>
  </si>
  <si>
    <t>23/1525989-3</t>
  </si>
  <si>
    <t>RAPOSO</t>
  </si>
  <si>
    <t>GLOBAL - SO 80691 - IMP-339/2023</t>
  </si>
  <si>
    <t>TEMU8827937</t>
  </si>
  <si>
    <t>TGBU5945242</t>
  </si>
  <si>
    <t>PALENA  2326S</t>
  </si>
  <si>
    <t>MUEHLSTEIN - 471309 - IMP-331/2023</t>
  </si>
  <si>
    <t>23/1525994-0</t>
  </si>
  <si>
    <t>CMAU8328109</t>
  </si>
  <si>
    <t>CMAU9590073</t>
  </si>
  <si>
    <t>FFAU4303712</t>
  </si>
  <si>
    <t>CMAU6525346</t>
  </si>
  <si>
    <t>APL TURKEY  0GBMMS1MA</t>
  </si>
  <si>
    <t>23/1525992-3</t>
  </si>
  <si>
    <t>CMAU6987323</t>
  </si>
  <si>
    <t>CMAU9166002</t>
  </si>
  <si>
    <t>SNETOR - CH2306226 - IMP-352/2023</t>
  </si>
  <si>
    <t>TRICON - SO 20047458-1 - IMP-324/2023</t>
  </si>
  <si>
    <t>23/1538940-1</t>
  </si>
  <si>
    <t>MTSU9605224</t>
  </si>
  <si>
    <t>SUDU6644442</t>
  </si>
  <si>
    <t>Y026501</t>
  </si>
  <si>
    <t>Y026503</t>
  </si>
  <si>
    <t>POLAR COSTA RICA  328S</t>
  </si>
  <si>
    <t>CAMBUI-MG</t>
  </si>
  <si>
    <t>MAIPO  2329N</t>
  </si>
  <si>
    <t>22/08/023 18:00</t>
  </si>
  <si>
    <t>CPG7A02</t>
  </si>
  <si>
    <t>2985/23</t>
  </si>
  <si>
    <t>IMP.4348</t>
  </si>
  <si>
    <t>23/1548164-2</t>
  </si>
  <si>
    <t>CMAU4195250</t>
  </si>
  <si>
    <t>R01332805</t>
  </si>
  <si>
    <t>CMA CGM COLUMBIA  0NSFBS1MA</t>
  </si>
  <si>
    <t>SEGU1258067</t>
  </si>
  <si>
    <t>TCLU3043386</t>
  </si>
  <si>
    <t>GESU1439667</t>
  </si>
  <si>
    <t>CAIU3412750</t>
  </si>
  <si>
    <t>MSDU2867027</t>
  </si>
  <si>
    <t>MEDU2137079</t>
  </si>
  <si>
    <t>LOGIN JACARANDA  156S</t>
  </si>
  <si>
    <t>TEMPANOS  2328N</t>
  </si>
  <si>
    <t>126163 / 126164 / 126169</t>
  </si>
  <si>
    <t>ALFREDO CANDIDO DE OLIVEIRA</t>
  </si>
  <si>
    <t>LTV2248</t>
  </si>
  <si>
    <t>GUARUJA TRMINAIS</t>
  </si>
  <si>
    <t>HLBU3420819</t>
  </si>
  <si>
    <t>TCKU6450351</t>
  </si>
  <si>
    <t>23/1557998-7</t>
  </si>
  <si>
    <t>BEAU2795433</t>
  </si>
  <si>
    <t>IPXU3812543</t>
  </si>
  <si>
    <t>DIAMANTE</t>
  </si>
  <si>
    <t xml:space="preserve"> CPJ3G59</t>
  </si>
  <si>
    <t>PW167096</t>
  </si>
  <si>
    <t>PW167071</t>
  </si>
  <si>
    <t>AAK02KJC</t>
  </si>
  <si>
    <t>01681109819</t>
  </si>
  <si>
    <t>TGCU5176985</t>
  </si>
  <si>
    <t>HLG4993846</t>
  </si>
  <si>
    <t>B951072542</t>
  </si>
  <si>
    <t>EVER LIFTING 049E</t>
  </si>
  <si>
    <t>BMOU6048030</t>
  </si>
  <si>
    <t>BGYM009870</t>
  </si>
  <si>
    <t>LEANDRO CEZAR DE OLIVEIRA</t>
  </si>
  <si>
    <t>ATRASADO</t>
  </si>
  <si>
    <t>17035C / 17082 / 17083 / 17084</t>
  </si>
  <si>
    <t>DOCUMENTO</t>
  </si>
  <si>
    <t>19279658883</t>
  </si>
  <si>
    <t>27098242802</t>
  </si>
  <si>
    <t>7101 / 431784 / 431785 / 7102</t>
  </si>
  <si>
    <t>17065 / 17097</t>
  </si>
  <si>
    <t>JACKSONVILLE</t>
  </si>
  <si>
    <t>MSKU1091818</t>
  </si>
  <si>
    <t>MLBR3784170</t>
  </si>
  <si>
    <t>MRSU5027314</t>
  </si>
  <si>
    <t>MLBR3784158</t>
  </si>
  <si>
    <t>DEPOCTE</t>
  </si>
  <si>
    <t>MRSU5525533</t>
  </si>
  <si>
    <t>MLBR3784003</t>
  </si>
  <si>
    <t>SSZ1385854</t>
  </si>
  <si>
    <t>3072/23</t>
  </si>
  <si>
    <t>MAERSK LEON  0NSFGN1MA</t>
  </si>
  <si>
    <t>23/08/023 18:00</t>
  </si>
  <si>
    <t>Problemas de motor c/ troca de cavalo</t>
  </si>
  <si>
    <t>SNETOR - CH2307787 - IMP-368/2023</t>
  </si>
  <si>
    <t>P10418181A</t>
  </si>
  <si>
    <t>P10418181B</t>
  </si>
  <si>
    <t>Pneu furado</t>
  </si>
  <si>
    <t>Demora para sair do terminal</t>
  </si>
  <si>
    <t>31684571839</t>
  </si>
  <si>
    <t>02434315740</t>
  </si>
  <si>
    <t>17093 / 17119</t>
  </si>
  <si>
    <t>17094 / 17120</t>
  </si>
  <si>
    <t>HASU1526845</t>
  </si>
  <si>
    <t>MLBR3761268</t>
  </si>
  <si>
    <t>MRKU8989582</t>
  </si>
  <si>
    <t>MSKU5523988</t>
  </si>
  <si>
    <t>TCKU3477831</t>
  </si>
  <si>
    <t>MSKU7428526</t>
  </si>
  <si>
    <t>MSKU4223482</t>
  </si>
  <si>
    <t>MSKU5840977</t>
  </si>
  <si>
    <t>SUDU7819627</t>
  </si>
  <si>
    <t>SUDU7468559</t>
  </si>
  <si>
    <t>MRKU8002533</t>
  </si>
  <si>
    <t>PEDRO ALVARES CABRAL  332S</t>
  </si>
  <si>
    <t>FLORESTA EM PÉ</t>
  </si>
  <si>
    <t>GSL MELINA  2334E</t>
  </si>
  <si>
    <t>TCKU4713818</t>
  </si>
  <si>
    <t>CZECH  NA327A</t>
  </si>
  <si>
    <t>HY323899</t>
  </si>
  <si>
    <t>TCLU3060505</t>
  </si>
  <si>
    <t>MEDU5924078</t>
  </si>
  <si>
    <t>MEDU3859097</t>
  </si>
  <si>
    <t>SEGU1149180</t>
  </si>
  <si>
    <t>SEGU1081156</t>
  </si>
  <si>
    <t>MSMU7678995</t>
  </si>
  <si>
    <t>MEDU7617091</t>
  </si>
  <si>
    <t>MEDU7690940</t>
  </si>
  <si>
    <t>CAAU5135327</t>
  </si>
  <si>
    <t>TCLU8257246</t>
  </si>
  <si>
    <t>TCLU8697013</t>
  </si>
  <si>
    <t>GESU6032231</t>
  </si>
  <si>
    <t>CXDU1105943</t>
  </si>
  <si>
    <t>TCLU8805503</t>
  </si>
  <si>
    <t>TCKU6559635</t>
  </si>
  <si>
    <t>HLG5005392</t>
  </si>
  <si>
    <t>BRUMAU</t>
  </si>
  <si>
    <t>1KT905928</t>
  </si>
  <si>
    <t>TAQUARITINGA-SP</t>
  </si>
  <si>
    <t>177/23</t>
  </si>
  <si>
    <t>23/1598247-1</t>
  </si>
  <si>
    <t>SNETOR - CH2307721 - IMP-354/2023</t>
  </si>
  <si>
    <t>OOLU9234178</t>
  </si>
  <si>
    <t>TGBU5344508</t>
  </si>
  <si>
    <t>CMA CGM SAN FRANCISCO  001S</t>
  </si>
  <si>
    <t>UL1166760</t>
  </si>
  <si>
    <t>UL1166761</t>
  </si>
  <si>
    <t>23/1598543-8</t>
  </si>
  <si>
    <t>GESU6433949</t>
  </si>
  <si>
    <t>TCLU8825032</t>
  </si>
  <si>
    <t>TCLU1805008</t>
  </si>
  <si>
    <t>TLLU4388518</t>
  </si>
  <si>
    <t>CMA CGM MAUPASSANT  001S</t>
  </si>
  <si>
    <t>23/1598563-2</t>
  </si>
  <si>
    <t>SNETOR - CH2307080 - IMP-342/2023</t>
  </si>
  <si>
    <t>RFCU5037380</t>
  </si>
  <si>
    <t>TCLU1547198</t>
  </si>
  <si>
    <t>SSZ300265700</t>
  </si>
  <si>
    <t>KOTA PAHLAWAN  0033E</t>
  </si>
  <si>
    <t>FAZENDA SÃO MIGUEL</t>
  </si>
  <si>
    <t>GUA 2559</t>
  </si>
  <si>
    <t>UK 2516</t>
  </si>
  <si>
    <t>CAP SAN TAINARO  333N</t>
  </si>
  <si>
    <t>LONDON GATEWAY</t>
  </si>
  <si>
    <t>23/1588658-8</t>
  </si>
  <si>
    <t xml:space="preserve"> IM-013/23  - SERI PLAST PO#134026</t>
  </si>
  <si>
    <t>16239341843</t>
  </si>
  <si>
    <t>17158c / 17160</t>
  </si>
  <si>
    <t>17157c / 17159</t>
  </si>
  <si>
    <t>BSIU9983725</t>
  </si>
  <si>
    <t>BZ090830 / 0122112</t>
  </si>
  <si>
    <t>BSIU8018003</t>
  </si>
  <si>
    <t>BZ090811 / 0122113</t>
  </si>
  <si>
    <t>2635/22</t>
  </si>
  <si>
    <t>3076/23</t>
  </si>
  <si>
    <t>3077/23</t>
  </si>
  <si>
    <t>3078/23</t>
  </si>
  <si>
    <t>L2091748</t>
  </si>
  <si>
    <t>SATEL</t>
  </si>
  <si>
    <t>GLDU7270781</t>
  </si>
  <si>
    <t>23/1616999-5</t>
  </si>
  <si>
    <t>MMAU1213601</t>
  </si>
  <si>
    <t>MNBU3585464</t>
  </si>
  <si>
    <t>MMAU1186384</t>
  </si>
  <si>
    <t>MNBU3243245</t>
  </si>
  <si>
    <t>SAN VICENTE</t>
  </si>
  <si>
    <t>DEAD LINE / DEMURRAGE</t>
  </si>
  <si>
    <t>DRAFT / VENC. ARMAZ.</t>
  </si>
  <si>
    <t>SNETOR - CH2305150 | IMP-322/2023</t>
  </si>
  <si>
    <t>23/1617001-2</t>
  </si>
  <si>
    <t>CAP SAN TAINARO</t>
  </si>
  <si>
    <t>TCLU8608633</t>
  </si>
  <si>
    <t>TCLU8785109</t>
  </si>
  <si>
    <t>MRSU5955745</t>
  </si>
  <si>
    <t>MRKU5997310</t>
  </si>
  <si>
    <t>CARMEL - 85365 | IMP-338/2023</t>
  </si>
  <si>
    <t>SNETOR - CH2306271 | IMP-323/2023</t>
  </si>
  <si>
    <t>062051</t>
  </si>
  <si>
    <t>062053</t>
  </si>
  <si>
    <t>062054</t>
  </si>
  <si>
    <t>061062</t>
  </si>
  <si>
    <t>SSZ1389737</t>
  </si>
  <si>
    <t>SWANSEA  0GBMVN1MA</t>
  </si>
  <si>
    <t>TS-23/21568</t>
  </si>
  <si>
    <t>MLCN3880805</t>
  </si>
  <si>
    <t>MLCN3880848</t>
  </si>
  <si>
    <t>B1496132</t>
  </si>
  <si>
    <t>MLCN3880850</t>
  </si>
  <si>
    <t>EVER LIBERAL  054E</t>
  </si>
  <si>
    <t>HONG KONG</t>
  </si>
  <si>
    <t>17173C / 17191</t>
  </si>
  <si>
    <t>HLBU2796252</t>
  </si>
  <si>
    <t>HLG5006274</t>
  </si>
  <si>
    <t>HLBU1357527</t>
  </si>
  <si>
    <t>HLG5006280</t>
  </si>
  <si>
    <t>3AIBAK07CW</t>
  </si>
  <si>
    <t>FANU1749140</t>
  </si>
  <si>
    <t>HLG5005263</t>
  </si>
  <si>
    <t>HYUNDAI PLATINUM  0083E</t>
  </si>
  <si>
    <t>SAOA04782300</t>
  </si>
  <si>
    <t>MLBR3617775</t>
  </si>
  <si>
    <t>MRSU4630600</t>
  </si>
  <si>
    <t>MLBR3617766</t>
  </si>
  <si>
    <t>TGBU6790546</t>
  </si>
  <si>
    <t>GABRIEL  HENRIQUE CORREA GOMES</t>
  </si>
  <si>
    <t xml:space="preserve">EKH4C25 </t>
  </si>
  <si>
    <t>Saída do cliente 07:30</t>
  </si>
  <si>
    <t>GESU1438790</t>
  </si>
  <si>
    <t>LA0313114</t>
  </si>
  <si>
    <t>MRSU5475561</t>
  </si>
  <si>
    <t>MLBR3612697</t>
  </si>
  <si>
    <t>HLXU8132860</t>
  </si>
  <si>
    <t>HLG4970218</t>
  </si>
  <si>
    <t>TCLU8718646</t>
  </si>
  <si>
    <t>CCLU7456231</t>
  </si>
  <si>
    <t>HLBU1286254</t>
  </si>
  <si>
    <t>HLG4970112</t>
  </si>
  <si>
    <t>FDCU0141760</t>
  </si>
  <si>
    <t>HLG4970092</t>
  </si>
  <si>
    <t>CAIU3288649</t>
  </si>
  <si>
    <t>SEGU1119272</t>
  </si>
  <si>
    <t>CAIU2929774</t>
  </si>
  <si>
    <t>MEDU5632939</t>
  </si>
  <si>
    <t>TCLU3460414</t>
  </si>
  <si>
    <t>CAIU3027840</t>
  </si>
  <si>
    <t>SEGU1118450</t>
  </si>
  <si>
    <t>MSDU2123278</t>
  </si>
  <si>
    <t>TEMU8167480</t>
  </si>
  <si>
    <t>TEMU8500923</t>
  </si>
  <si>
    <t>MEDU4484288</t>
  </si>
  <si>
    <t>MSCU5274459</t>
  </si>
  <si>
    <t>TCNU8898890</t>
  </si>
  <si>
    <t>LOGIN ENDURANCE  044S</t>
  </si>
  <si>
    <t>JANDIRA (PEDRINHAS/UIRAPURU)</t>
  </si>
  <si>
    <t>GENERAL WALTER</t>
  </si>
  <si>
    <t>GXA8E16</t>
  </si>
  <si>
    <t>CBHU9423155</t>
  </si>
  <si>
    <t>BMOU5840844</t>
  </si>
  <si>
    <t>NO PRAZO</t>
  </si>
  <si>
    <t>PV 6225</t>
  </si>
  <si>
    <t>PV 6223</t>
  </si>
  <si>
    <t>CAAU6387961</t>
  </si>
  <si>
    <t>TEMU1652992</t>
  </si>
  <si>
    <t>Saída do cliente 13:00</t>
  </si>
  <si>
    <t>HLBU2186250</t>
  </si>
  <si>
    <t>HLG4997143</t>
  </si>
  <si>
    <t>Aguardando para descarga</t>
  </si>
  <si>
    <t>MONTE ALEGRE  334N</t>
  </si>
  <si>
    <t>Saída do cliente 10:30</t>
  </si>
  <si>
    <t>Saída do cliente 11hr</t>
  </si>
  <si>
    <t>126502 / 126503 / 126507</t>
  </si>
  <si>
    <t>BTR0764</t>
  </si>
  <si>
    <t>L5379896</t>
  </si>
  <si>
    <t>GCXU5136991</t>
  </si>
  <si>
    <t>23/0346920-6</t>
  </si>
  <si>
    <t>MRSU4261122</t>
  </si>
  <si>
    <t>MLUL9905263</t>
  </si>
  <si>
    <t>DPB6I6</t>
  </si>
  <si>
    <t>ERNESTO RODRIGUES FILHO</t>
  </si>
  <si>
    <t>30057628823</t>
  </si>
  <si>
    <t>01604075795</t>
  </si>
  <si>
    <t>3AIBAK07CX</t>
  </si>
  <si>
    <t>3AIBAK07CV</t>
  </si>
  <si>
    <t>MLIL1466354</t>
  </si>
  <si>
    <t>MLIL1466302</t>
  </si>
  <si>
    <t>MLIL1466255</t>
  </si>
  <si>
    <t>ML141466334</t>
  </si>
  <si>
    <t xml:space="preserve"> SEASPAN EMPIRE  2331N</t>
  </si>
  <si>
    <t>MONTE OLIVIA  330S</t>
  </si>
  <si>
    <t>17280 / 17281 / 17282 / 17283 / 17284</t>
  </si>
  <si>
    <t>17206 / 17288</t>
  </si>
  <si>
    <t xml:space="preserve">WILLIANS DIONIZIO TEIXEIRA DOS SANTOS </t>
  </si>
  <si>
    <t xml:space="preserve">3AIBAK07CV </t>
  </si>
  <si>
    <t>3AIBAK07CY</t>
  </si>
  <si>
    <t>AYI9B83</t>
  </si>
  <si>
    <t>LOURIVAL DE FREITAS JUNIOR</t>
  </si>
  <si>
    <t>CUA7I26</t>
  </si>
  <si>
    <t>ALEXANDRE SANTOS DIMOPOULOS</t>
  </si>
  <si>
    <t xml:space="preserve">TIAGO DA SILVA FARIAS </t>
  </si>
  <si>
    <t>MSC CHLOE  NA338R</t>
  </si>
  <si>
    <t>FDS BEAUTY</t>
  </si>
  <si>
    <t>VALOR</t>
  </si>
  <si>
    <t>Saída do cliente 17:30hr. Previsão de entrega da unidade hoje as 23hr</t>
  </si>
  <si>
    <t>17307 / 17310</t>
  </si>
  <si>
    <t>30 / 31 / 32</t>
  </si>
  <si>
    <t>3523 0746 0257 2200 0100 5500 8000 8798 2516 4519 3341</t>
  </si>
  <si>
    <t>SSZ1391317</t>
  </si>
  <si>
    <t>HANS SCHULTE  0GBMXN1MA</t>
  </si>
  <si>
    <t>TRANSVAZIO/MULINHA</t>
  </si>
  <si>
    <t>GSL ARCADIA  336N</t>
  </si>
  <si>
    <t>MSKU9853165</t>
  </si>
  <si>
    <t>MLBR3385915</t>
  </si>
  <si>
    <t>ERLAN</t>
  </si>
  <si>
    <t>TINCAN</t>
  </si>
  <si>
    <t>1KT909934</t>
  </si>
  <si>
    <t>SATEL / BTP</t>
  </si>
  <si>
    <t>S324516697</t>
  </si>
  <si>
    <t>HLG4975052</t>
  </si>
  <si>
    <t>BMOU6611014</t>
  </si>
  <si>
    <t>TXGU7177830</t>
  </si>
  <si>
    <t>HLG4975914</t>
  </si>
  <si>
    <t>ALDERSON NARCIZO DE SOUSA</t>
  </si>
  <si>
    <t>NGL1B93</t>
  </si>
  <si>
    <t>KOQ4J93</t>
  </si>
  <si>
    <t>GRANDE NIGERIA  GNI0523</t>
  </si>
  <si>
    <t>TEMU7498204</t>
  </si>
  <si>
    <t>CAIU7914859</t>
  </si>
  <si>
    <t>HLG4975805</t>
  </si>
  <si>
    <t>HLBU3440456</t>
  </si>
  <si>
    <t>HLG4975057</t>
  </si>
  <si>
    <t>17317 / 17318</t>
  </si>
  <si>
    <t>8615 / 8595</t>
  </si>
  <si>
    <t>ACLU9791072</t>
  </si>
  <si>
    <t>SA522853</t>
  </si>
  <si>
    <t>B951072543</t>
  </si>
  <si>
    <t>YMLU8825634</t>
  </si>
  <si>
    <t>BGYM009810</t>
  </si>
  <si>
    <t xml:space="preserve">282 / 283 / 284 / 287 / 288 </t>
  </si>
  <si>
    <t>ASO6A63</t>
  </si>
  <si>
    <t>FPD2E35</t>
  </si>
  <si>
    <t>TCNU4289319</t>
  </si>
  <si>
    <t>23/1700779-4</t>
  </si>
  <si>
    <t>MRKU2166252</t>
  </si>
  <si>
    <t>MRSU3631829</t>
  </si>
  <si>
    <t>TCKU7800114</t>
  </si>
  <si>
    <t>VINMAR - SO 7570030029 (BRGM-5008) | IMP-343/2023</t>
  </si>
  <si>
    <t>MSC LAUSANNE  001S</t>
  </si>
  <si>
    <t>SNETOR - CH2307916 | IMP-357/2023</t>
  </si>
  <si>
    <t>23/1678765-6</t>
  </si>
  <si>
    <t>HLBU3342402</t>
  </si>
  <si>
    <t>QUATTROR</t>
  </si>
  <si>
    <t>23/1671228-1</t>
  </si>
  <si>
    <t>MSC AVNI  001S</t>
  </si>
  <si>
    <t>23001CSY/RO-QC</t>
  </si>
  <si>
    <t>60 VOLUMES</t>
  </si>
  <si>
    <t>QND6836</t>
  </si>
  <si>
    <t>NILSON FERREIRA DA SILVA</t>
  </si>
  <si>
    <t>10306058820</t>
  </si>
  <si>
    <t>04423300990</t>
  </si>
  <si>
    <t>UL5148493</t>
  </si>
  <si>
    <t>UL5148478</t>
  </si>
  <si>
    <t>UL5148480</t>
  </si>
  <si>
    <t>UL0707463</t>
  </si>
  <si>
    <t>MAIPO  2329S</t>
  </si>
  <si>
    <t>23/1705428-8</t>
  </si>
  <si>
    <t>TRHU8944346</t>
  </si>
  <si>
    <t>IMP.4367</t>
  </si>
  <si>
    <t>MRSU0259214</t>
  </si>
  <si>
    <t>MLBR3614539</t>
  </si>
  <si>
    <t>L2088880 / SIF003750-8 | 0000095</t>
  </si>
  <si>
    <t>1KT910967</t>
  </si>
  <si>
    <t>192/23 - AG098/23</t>
  </si>
  <si>
    <t>1KT910969</t>
  </si>
  <si>
    <t>194/23 - AG099/23</t>
  </si>
  <si>
    <t xml:space="preserve">                                   FOLLOW UP - COMPLEX</t>
  </si>
  <si>
    <t>CMA CGM RHONE  0NSFHS1MA</t>
  </si>
  <si>
    <t>C6216451</t>
  </si>
  <si>
    <t>1753694 / 1753695 / 1753696 / 1753809 / 4138477 / 4138478</t>
  </si>
  <si>
    <t>17355 / 17363</t>
  </si>
  <si>
    <t>PV 6290</t>
  </si>
  <si>
    <t>MONTE CERVANTES  335N</t>
  </si>
  <si>
    <t>190/23 - AG097/23</t>
  </si>
  <si>
    <t>APHU7056482</t>
  </si>
  <si>
    <t>BEAU4744034</t>
  </si>
  <si>
    <t>CMAU5497635</t>
  </si>
  <si>
    <t>CMAU8809151</t>
  </si>
  <si>
    <t>TRHU7900087</t>
  </si>
  <si>
    <t>CARDIFF  001S</t>
  </si>
  <si>
    <t>MUEHLSTEIN - 475837 | IMP-353/2023</t>
  </si>
  <si>
    <t>MSKU5541960</t>
  </si>
  <si>
    <t>MRKU8284798</t>
  </si>
  <si>
    <t>TCLU3298788</t>
  </si>
  <si>
    <t>CRSU1446328</t>
  </si>
  <si>
    <t>MRSU3992098</t>
  </si>
  <si>
    <t>CAAU5268886</t>
  </si>
  <si>
    <t>FERNAO DE MAGALHAES  334S</t>
  </si>
  <si>
    <t>23/0363590-4</t>
  </si>
  <si>
    <t>MAERSK LUZ  001S</t>
  </si>
  <si>
    <t>TCKU7520540</t>
  </si>
  <si>
    <t>MRSU5104663</t>
  </si>
  <si>
    <t>TRHU6934483</t>
  </si>
  <si>
    <t>MIEU2029096</t>
  </si>
  <si>
    <t>SDKB1023 | IMP-403/2023</t>
  </si>
  <si>
    <t>23/1718724-5</t>
  </si>
  <si>
    <r>
      <rPr>
        <sz val="10"/>
        <rFont val="Calibri"/>
        <family val="2"/>
        <scheme val="minor"/>
      </rPr>
      <t>HLG4996756</t>
    </r>
    <r>
      <rPr>
        <sz val="10"/>
        <color rgb="FFFF0000"/>
        <rFont val="Calibri"/>
        <family val="2"/>
        <scheme val="minor"/>
      </rPr>
      <t xml:space="preserve"> / HLG4975116</t>
    </r>
  </si>
  <si>
    <t>02/09/223 20:00</t>
  </si>
  <si>
    <t>AAK10MNB</t>
  </si>
  <si>
    <t>AAK10MPB</t>
  </si>
  <si>
    <t>MLBR3612840 / 0122126 / 0009080</t>
  </si>
  <si>
    <t>17362 / 17397</t>
  </si>
  <si>
    <t>EXPORTADOR:</t>
  </si>
  <si>
    <t>PLANTA DE ESTUFAGEM:</t>
  </si>
  <si>
    <t>CONTAINER:</t>
  </si>
  <si>
    <t>TIPO: </t>
  </si>
  <si>
    <t>TEMPERATURA:    </t>
  </si>
  <si>
    <t>RESERVA:</t>
  </si>
  <si>
    <t>ARMADOR:</t>
  </si>
  <si>
    <t>PORTO:</t>
  </si>
  <si>
    <t>NAVIO: </t>
  </si>
  <si>
    <t>TERMINAL DE EMBARQUE:</t>
  </si>
  <si>
    <t>PRODUTO: </t>
  </si>
  <si>
    <t>FRUTOS SECOS Y SEMILLAS</t>
  </si>
  <si>
    <t>BRASIL TERMINAL</t>
  </si>
  <si>
    <t>BARRANQUILA</t>
  </si>
  <si>
    <t>MAERSK</t>
  </si>
  <si>
    <t>BRUMAU COMEERCIO DE OLEOS VEGETAIS LTDA</t>
  </si>
  <si>
    <t>TAQURITINGA-SP</t>
  </si>
  <si>
    <t>40869 / 40870</t>
  </si>
  <si>
    <t>17396c / 17398</t>
  </si>
  <si>
    <t>MLBR3612925 / 0122170 / 0009078</t>
  </si>
  <si>
    <t>Saída 12:30, previsão de entega 23hr</t>
  </si>
  <si>
    <t>Saída 15:15, previsão de entega 23hr</t>
  </si>
  <si>
    <t>MLBR3612847 / 0122124 / 0009079</t>
  </si>
  <si>
    <t>17350C / 17351 / 17415</t>
  </si>
  <si>
    <t>MRSU5256964</t>
  </si>
  <si>
    <t>MLBR3612932</t>
  </si>
  <si>
    <t>MRSU6569752</t>
  </si>
  <si>
    <t>MLBR3612936</t>
  </si>
  <si>
    <t>05/09/2023 0530</t>
  </si>
  <si>
    <t>CAXU6679058</t>
  </si>
  <si>
    <t>TCLU2965295</t>
  </si>
  <si>
    <t>MEDU2238520</t>
  </si>
  <si>
    <t>CAIU3021210</t>
  </si>
  <si>
    <t>MEDU6509739</t>
  </si>
  <si>
    <t>MSMU1527950</t>
  </si>
  <si>
    <t>SEGU1118194</t>
  </si>
  <si>
    <t>MSDU1183420</t>
  </si>
  <si>
    <t>CAIU3310233</t>
  </si>
  <si>
    <t>SEGU4118412</t>
  </si>
  <si>
    <t>MSDU5018527</t>
  </si>
  <si>
    <t>CAIU4835761</t>
  </si>
  <si>
    <t>CAAU6386841</t>
  </si>
  <si>
    <t>TCLU8702130</t>
  </si>
  <si>
    <t>MSDU5149430</t>
  </si>
  <si>
    <t>TRHU7050527</t>
  </si>
  <si>
    <t>SEGU1104879</t>
  </si>
  <si>
    <t>SEGU1030009</t>
  </si>
  <si>
    <t>SEGU1123210</t>
  </si>
  <si>
    <t>TCLU3464446</t>
  </si>
  <si>
    <t>MSDU1500947</t>
  </si>
  <si>
    <t>TRHU7045460</t>
  </si>
  <si>
    <t>CAIU7259398</t>
  </si>
  <si>
    <t>MSCU5324143</t>
  </si>
  <si>
    <t>MERCOSUL SUAPE  333S</t>
  </si>
  <si>
    <t>TEMPANOS  001S</t>
  </si>
  <si>
    <t>Saída 13:55</t>
  </si>
  <si>
    <t>COL 2564/2023</t>
  </si>
  <si>
    <t>MONTE PASCOAL  337N</t>
  </si>
  <si>
    <t>RDO FORTUNE  336N</t>
  </si>
  <si>
    <t>PV 6291</t>
  </si>
  <si>
    <t>EBKG06584871</t>
  </si>
  <si>
    <t>06/09/023 00:46</t>
  </si>
  <si>
    <t>2023 11</t>
  </si>
  <si>
    <t>MARCELO DE OLIVEIRA</t>
  </si>
  <si>
    <t>CB8Y180751</t>
  </si>
  <si>
    <t>CB8Y180771</t>
  </si>
  <si>
    <t>CMAU4991936</t>
  </si>
  <si>
    <t>FDCU0259115</t>
  </si>
  <si>
    <t>SEKU5715248</t>
  </si>
  <si>
    <t>TXGU7152132</t>
  </si>
  <si>
    <t>23/1741883-2</t>
  </si>
  <si>
    <t>HANS SCHULTE  0GBMWS1MA</t>
  </si>
  <si>
    <t>00887688055</t>
  </si>
  <si>
    <t>VINMAR - SO 7570031579 (BRGM-5092) | IMP-363/2023</t>
  </si>
  <si>
    <t>MSC ALESSIA  338N</t>
  </si>
  <si>
    <t>JOAO BATISTA DO SANTOS</t>
  </si>
  <si>
    <t>EBKG06521913</t>
  </si>
  <si>
    <t xml:space="preserve">TENO   NA336R </t>
  </si>
  <si>
    <t>BOBADELA</t>
  </si>
  <si>
    <t>BSG5C08</t>
  </si>
  <si>
    <t>DPC0J29</t>
  </si>
  <si>
    <t>ETU4J30</t>
  </si>
  <si>
    <t>BTA3A97</t>
  </si>
  <si>
    <t>MAURO ROBERTO MOREIRA DE ALMEIDA PINTO</t>
  </si>
  <si>
    <t>MHP3G76</t>
  </si>
  <si>
    <t>EDVALDO DA CRUZ BOAVENTURA</t>
  </si>
  <si>
    <t>MLBR3766355</t>
  </si>
  <si>
    <t>MRSU4366648</t>
  </si>
  <si>
    <t>ADAIR DEVALIERI</t>
  </si>
  <si>
    <t>6647874098</t>
  </si>
  <si>
    <t>01539496511</t>
  </si>
  <si>
    <t>34963683814</t>
  </si>
  <si>
    <t>03209113743</t>
  </si>
  <si>
    <t>ADALBERTO SCHAPINSKI</t>
  </si>
  <si>
    <t>09847502900</t>
  </si>
  <si>
    <t>00689196807</t>
  </si>
  <si>
    <t>ADAUTO MANOEL CUSTODIO</t>
  </si>
  <si>
    <t>95128611868</t>
  </si>
  <si>
    <t>02185294076</t>
  </si>
  <si>
    <t>ADAUTO MOURA SANTOS FILHO</t>
  </si>
  <si>
    <t>08780002838</t>
  </si>
  <si>
    <t>01445342588</t>
  </si>
  <si>
    <t>ADEMAR LOPES DOS SANTOS</t>
  </si>
  <si>
    <t>14762200930</t>
  </si>
  <si>
    <t>00493337220</t>
  </si>
  <si>
    <t>ADEMILTON MORALE DE ALMEIDA</t>
  </si>
  <si>
    <t>32127810848</t>
  </si>
  <si>
    <t>03461577380</t>
  </si>
  <si>
    <t>ADILSON KISTE</t>
  </si>
  <si>
    <t>81161492968</t>
  </si>
  <si>
    <t>03363425303</t>
  </si>
  <si>
    <t>ADILSON MANUEL DA SILVA</t>
  </si>
  <si>
    <t>05027955499</t>
  </si>
  <si>
    <t>03155893082</t>
  </si>
  <si>
    <t>ADILSON PEREIRA</t>
  </si>
  <si>
    <t>26750486827</t>
  </si>
  <si>
    <t>01320809145</t>
  </si>
  <si>
    <t>02029253910</t>
  </si>
  <si>
    <t>ADINAN MENEGALLI NANDI</t>
  </si>
  <si>
    <t>71917233949</t>
  </si>
  <si>
    <t>01280379770</t>
  </si>
  <si>
    <t>ADIR SATURNINO DE MORAES</t>
  </si>
  <si>
    <t>03898836975</t>
  </si>
  <si>
    <t>04255896079</t>
  </si>
  <si>
    <t>18022436828</t>
  </si>
  <si>
    <t>ADRIANO ALEXANDRE DOS SANTOS</t>
  </si>
  <si>
    <t>02618314964</t>
  </si>
  <si>
    <t>00798223751</t>
  </si>
  <si>
    <t>ADRIANO CARVALHO</t>
  </si>
  <si>
    <t>06502278914</t>
  </si>
  <si>
    <t>03874483891</t>
  </si>
  <si>
    <t>ADRIANO DONISETE BELTRAME</t>
  </si>
  <si>
    <t>25331459803</t>
  </si>
  <si>
    <t>03359890700</t>
  </si>
  <si>
    <t>ADRIANO GUIMARAES</t>
  </si>
  <si>
    <t>26956881802</t>
  </si>
  <si>
    <t>02513917484</t>
  </si>
  <si>
    <t>ADRIANO MARCELINO DE SOUZA</t>
  </si>
  <si>
    <t>02395082970</t>
  </si>
  <si>
    <t>05052410113</t>
  </si>
  <si>
    <t>ADRIANO MOREIRA DA SILVA</t>
  </si>
  <si>
    <t>14750359858</t>
  </si>
  <si>
    <t>01275171063</t>
  </si>
  <si>
    <t>ADRIANO RICARDINO MAIA</t>
  </si>
  <si>
    <t>01227626657</t>
  </si>
  <si>
    <t>02216051619</t>
  </si>
  <si>
    <t>ADRIEL ALVES MONTEIRO</t>
  </si>
  <si>
    <t>02801446955</t>
  </si>
  <si>
    <t>04303822778</t>
  </si>
  <si>
    <t>ADRIENIO FONSECA</t>
  </si>
  <si>
    <t>61295051249</t>
  </si>
  <si>
    <t>03429323908</t>
  </si>
  <si>
    <t>AGNALDO CANDIDO DA SILVA</t>
  </si>
  <si>
    <t>28086177807</t>
  </si>
  <si>
    <t>03769109009</t>
  </si>
  <si>
    <t>AGNALDO NUNES MARTINS</t>
  </si>
  <si>
    <t>24883973859</t>
  </si>
  <si>
    <t>01578289870</t>
  </si>
  <si>
    <t>AGOSTINHO DE OLIVEIRA</t>
  </si>
  <si>
    <t>56799365934</t>
  </si>
  <si>
    <t>01558483380</t>
  </si>
  <si>
    <t>AILTON RIBEIRO DA SILVA</t>
  </si>
  <si>
    <t>05611454828</t>
  </si>
  <si>
    <t>03274292843</t>
  </si>
  <si>
    <t>ALBERTO SOUZA DE ARAUJO</t>
  </si>
  <si>
    <t>33281291899</t>
  </si>
  <si>
    <t>03648776158</t>
  </si>
  <si>
    <t>ALCEMAR ENAR SECKLER</t>
  </si>
  <si>
    <t>44596081034</t>
  </si>
  <si>
    <t>00234833334</t>
  </si>
  <si>
    <t>01847430600</t>
  </si>
  <si>
    <t>ALCIDEMIR FREITAS DE LIMA</t>
  </si>
  <si>
    <t>44372382812</t>
  </si>
  <si>
    <t>05636824226</t>
  </si>
  <si>
    <t>ALCIDES DONIZETE BITTENCOURT</t>
  </si>
  <si>
    <t>81495587991</t>
  </si>
  <si>
    <t>02973242177</t>
  </si>
  <si>
    <t>ALDO SAUER</t>
  </si>
  <si>
    <t>07994187900</t>
  </si>
  <si>
    <t>04882705082</t>
  </si>
  <si>
    <t>ALECIO CRISTIANO PLUCENIO JUNIOR</t>
  </si>
  <si>
    <t>81941080987</t>
  </si>
  <si>
    <t>02917279684</t>
  </si>
  <si>
    <t>ALEF OLIVEIRA NASCIMENTO</t>
  </si>
  <si>
    <t>42880201829</t>
  </si>
  <si>
    <t>06267353670</t>
  </si>
  <si>
    <t>ALESSANDRO MARTINS DE CASTRO</t>
  </si>
  <si>
    <t>16243177823</t>
  </si>
  <si>
    <t>01109036590</t>
  </si>
  <si>
    <t>ALESSANDRO OLIVEIRA RODRIGUES</t>
  </si>
  <si>
    <t>21307945805</t>
  </si>
  <si>
    <t>03311391318</t>
  </si>
  <si>
    <t>ALESSANDRO TORRES SIMOES PIRES</t>
  </si>
  <si>
    <t>57152314004</t>
  </si>
  <si>
    <t>01897138729</t>
  </si>
  <si>
    <t>ALEXANDRE BASTIDA VENANCIO</t>
  </si>
  <si>
    <t>14038187896</t>
  </si>
  <si>
    <t>01449243213</t>
  </si>
  <si>
    <t>ALEXANDRE DE JESUS SANTOS</t>
  </si>
  <si>
    <t>30217685803</t>
  </si>
  <si>
    <t>01256530452</t>
  </si>
  <si>
    <t>ALEXANDRE DE SOUZA</t>
  </si>
  <si>
    <t>03126719970</t>
  </si>
  <si>
    <t>01361301403</t>
  </si>
  <si>
    <t>ALEXANDRE FERREIRA DAMANTE</t>
  </si>
  <si>
    <t>21310435898</t>
  </si>
  <si>
    <t>00650266332</t>
  </si>
  <si>
    <t>ALEXANDRE JOSE ALVES</t>
  </si>
  <si>
    <t>25337576836</t>
  </si>
  <si>
    <t>01436415701</t>
  </si>
  <si>
    <t>ALEXANDRE MACHADO</t>
  </si>
  <si>
    <t>27760663846</t>
  </si>
  <si>
    <t>03830274692</t>
  </si>
  <si>
    <t>ALEXANDRE NERY ALMEIDA</t>
  </si>
  <si>
    <t>02193724628</t>
  </si>
  <si>
    <t>06311531897</t>
  </si>
  <si>
    <t>ALEXANDRE NOVOA DA SILVA</t>
  </si>
  <si>
    <t>21503398897</t>
  </si>
  <si>
    <t>02803008605</t>
  </si>
  <si>
    <t>ALEXANDRE OLIMPIO DA COSTA</t>
  </si>
  <si>
    <t>03553120932</t>
  </si>
  <si>
    <t>02655227861</t>
  </si>
  <si>
    <t>ALEXANDRE PARAGUASSU</t>
  </si>
  <si>
    <t>13391960850</t>
  </si>
  <si>
    <t>03864562136</t>
  </si>
  <si>
    <t>ALEXANDRE RAMOS</t>
  </si>
  <si>
    <t>90820835900</t>
  </si>
  <si>
    <t>02936910671</t>
  </si>
  <si>
    <t>10671375806</t>
  </si>
  <si>
    <t>02270831380</t>
  </si>
  <si>
    <t>ALEX APARECIDO PULTZ</t>
  </si>
  <si>
    <t>30135072840</t>
  </si>
  <si>
    <t>01951659314</t>
  </si>
  <si>
    <t>21974238865</t>
  </si>
  <si>
    <t>01453307207</t>
  </si>
  <si>
    <t>ALEX SANDRO BENTO DA SILVA</t>
  </si>
  <si>
    <t>04749671908</t>
  </si>
  <si>
    <t>05050924540</t>
  </si>
  <si>
    <t>ALEX SANDRO PORFIRO DE JESUS</t>
  </si>
  <si>
    <t>96985763553</t>
  </si>
  <si>
    <t>01897510110</t>
  </si>
  <si>
    <t>ALEX SANDRO ROCHA DE OLIVEIRA</t>
  </si>
  <si>
    <t>38986903857</t>
  </si>
  <si>
    <t>04596602255</t>
  </si>
  <si>
    <t>ALEX VIERA DOS SANTOS</t>
  </si>
  <si>
    <t>33168168874</t>
  </si>
  <si>
    <t>03550963391</t>
  </si>
  <si>
    <t>01419698818</t>
  </si>
  <si>
    <t>01230801963</t>
  </si>
  <si>
    <t>ALISON FERREIRA</t>
  </si>
  <si>
    <t>06260741936</t>
  </si>
  <si>
    <t>04636604339</t>
  </si>
  <si>
    <t>ALISSON RAFAEL RODRIGUES</t>
  </si>
  <si>
    <t>35201213871</t>
  </si>
  <si>
    <t>03698054730</t>
  </si>
  <si>
    <t>ALMIR ROBERTO WEBER</t>
  </si>
  <si>
    <t>35448393934</t>
  </si>
  <si>
    <t>02937755204</t>
  </si>
  <si>
    <t>ALTAMIR QUINTINO RIBEIRO DOS SANTOS</t>
  </si>
  <si>
    <t>34298326837</t>
  </si>
  <si>
    <t>07597243080</t>
  </si>
  <si>
    <t>ALTEMAR HENRIQUE DOS SANTOS LEITAO</t>
  </si>
  <si>
    <t>07063998463</t>
  </si>
  <si>
    <t>03754269469</t>
  </si>
  <si>
    <t>ALTEVIR FELIX JUNIOR DO PRADO</t>
  </si>
  <si>
    <t>28708729840</t>
  </si>
  <si>
    <t>01180539881</t>
  </si>
  <si>
    <t>ALUISIO ISIDORO DA SILVA</t>
  </si>
  <si>
    <t>05309358803</t>
  </si>
  <si>
    <t>04033044087</t>
  </si>
  <si>
    <t>30699765811</t>
  </si>
  <si>
    <t>AMARILDO JOSE PLETSCH</t>
  </si>
  <si>
    <t>06467219929</t>
  </si>
  <si>
    <t>03833657126</t>
  </si>
  <si>
    <t>ANDERSON ABELARDO KIELING</t>
  </si>
  <si>
    <t>71846255953</t>
  </si>
  <si>
    <t>01464452610</t>
  </si>
  <si>
    <t>ANDERSON BARBOZA</t>
  </si>
  <si>
    <t>05069907964</t>
  </si>
  <si>
    <t>04207516062</t>
  </si>
  <si>
    <t>ANDERSON CLAYTON NOGOSEK RODRIGUES</t>
  </si>
  <si>
    <t>02653852969</t>
  </si>
  <si>
    <t>02547270296</t>
  </si>
  <si>
    <t>ANDERSON CLEITON CARNEIRO</t>
  </si>
  <si>
    <t>30301766819</t>
  </si>
  <si>
    <t>01381221003</t>
  </si>
  <si>
    <t>02479809718</t>
  </si>
  <si>
    <t>ANDERSON DA SILVA LEAL</t>
  </si>
  <si>
    <t>02595758950</t>
  </si>
  <si>
    <t>00845737901</t>
  </si>
  <si>
    <t>ANDERSON DA SILVA MARINHO</t>
  </si>
  <si>
    <t>39622631878</t>
  </si>
  <si>
    <t>04630963427</t>
  </si>
  <si>
    <t>ANDERSON DE LIMA FERREIRA</t>
  </si>
  <si>
    <t>73437522191</t>
  </si>
  <si>
    <t>04062233904</t>
  </si>
  <si>
    <t>ANDERSON GARCIA DE CARVALHO</t>
  </si>
  <si>
    <t>41312548835</t>
  </si>
  <si>
    <t>05300502747'</t>
  </si>
  <si>
    <t>ANDERSON GOMES DOS SANTOS</t>
  </si>
  <si>
    <t>27334020804</t>
  </si>
  <si>
    <t>02565922157</t>
  </si>
  <si>
    <t>ANDERSON GONCALVES AMARO</t>
  </si>
  <si>
    <t>ANDERSON LUIS GREGORIO</t>
  </si>
  <si>
    <t>06649810975</t>
  </si>
  <si>
    <t>04351579603</t>
  </si>
  <si>
    <t>ANDERSON LUIZ MARTINS</t>
  </si>
  <si>
    <t>29397534823</t>
  </si>
  <si>
    <t>02495484062</t>
  </si>
  <si>
    <t>ANDERSON PEREIRA</t>
  </si>
  <si>
    <t>01611757916</t>
  </si>
  <si>
    <t>02073108822</t>
  </si>
  <si>
    <t>ANDERSON PIRES BARBOSA</t>
  </si>
  <si>
    <t>02784468925</t>
  </si>
  <si>
    <t>01315729466</t>
  </si>
  <si>
    <t>ANDERSON RAFAEL SONZA</t>
  </si>
  <si>
    <t>06487861960</t>
  </si>
  <si>
    <t>04687719850</t>
  </si>
  <si>
    <t>ANDERSON ROBERTO DA COSTA</t>
  </si>
  <si>
    <t>31699205884</t>
  </si>
  <si>
    <t>01898982579</t>
  </si>
  <si>
    <t>ANDRE ATANAHILDO DA SILVA</t>
  </si>
  <si>
    <t>98411276953</t>
  </si>
  <si>
    <t>01308566429</t>
  </si>
  <si>
    <t>ANDRE BARBOSA DANTAS</t>
  </si>
  <si>
    <t>39040725870</t>
  </si>
  <si>
    <t>04761840012</t>
  </si>
  <si>
    <t>ANDREI SANTOS FONSECA</t>
  </si>
  <si>
    <t>42082163873</t>
  </si>
  <si>
    <t>06262564553</t>
  </si>
  <si>
    <t>ANDRÉ LOPES DE FREITAS</t>
  </si>
  <si>
    <t>16954151831</t>
  </si>
  <si>
    <t>03107940370</t>
  </si>
  <si>
    <t>ANDRE LUIZ DE OLIVEIRA PEDROSO</t>
  </si>
  <si>
    <t>39256050889</t>
  </si>
  <si>
    <t>05056322894</t>
  </si>
  <si>
    <t>ANDRE LUIZ DE SOUZA</t>
  </si>
  <si>
    <t>34943625134</t>
  </si>
  <si>
    <t>05069536082</t>
  </si>
  <si>
    <t>ANDRE LUIZ DE SOUZA MELO</t>
  </si>
  <si>
    <t>30302168885</t>
  </si>
  <si>
    <t>01282447781</t>
  </si>
  <si>
    <t>ANDRE LUIZ NAZARIOS</t>
  </si>
  <si>
    <t>05627221658</t>
  </si>
  <si>
    <t>02250932433</t>
  </si>
  <si>
    <t>ANDRE LUIZ PENHA</t>
  </si>
  <si>
    <t>01371154660</t>
  </si>
  <si>
    <t>00737606834</t>
  </si>
  <si>
    <t>ANDRE LUIZ PEREIRA</t>
  </si>
  <si>
    <t>04836350905</t>
  </si>
  <si>
    <t>03293358958</t>
  </si>
  <si>
    <t>ANDRE NASCIMENTO DE JESUS</t>
  </si>
  <si>
    <t>39231139860</t>
  </si>
  <si>
    <t>05804732807</t>
  </si>
  <si>
    <t>ANDRE OLIVEIRA LIMA</t>
  </si>
  <si>
    <t>28669609800</t>
  </si>
  <si>
    <t>01012968610</t>
  </si>
  <si>
    <t>ANDRE RICARDO MEDINA</t>
  </si>
  <si>
    <t>18851420807</t>
  </si>
  <si>
    <t>00706508160</t>
  </si>
  <si>
    <t>36305564850</t>
  </si>
  <si>
    <t>ANIZIO APARICIO ALVES</t>
  </si>
  <si>
    <t>82614296953</t>
  </si>
  <si>
    <t>00432996650</t>
  </si>
  <si>
    <t>ANSELMO RUIZ</t>
  </si>
  <si>
    <t>07644758860</t>
  </si>
  <si>
    <t>03248085590</t>
  </si>
  <si>
    <t>ANTONIO ABIMELEC RODRIGUEZ ANIBAL</t>
  </si>
  <si>
    <t>80179705954</t>
  </si>
  <si>
    <t>07774567543</t>
  </si>
  <si>
    <t>ANTONIO CARLOS DE JESUS ANDRADE</t>
  </si>
  <si>
    <t>98519492568</t>
  </si>
  <si>
    <t>04291310101</t>
  </si>
  <si>
    <t>ANTONIO CARLOS FERREIRA</t>
  </si>
  <si>
    <t>62066838004</t>
  </si>
  <si>
    <t>00285098318</t>
  </si>
  <si>
    <t>ANTONIO CARLOS MANCINI</t>
  </si>
  <si>
    <t>28035062972</t>
  </si>
  <si>
    <t>02659097647</t>
  </si>
  <si>
    <t>ANTONIO CARLOS PEREIRA MIRANDA FILHO</t>
  </si>
  <si>
    <t>98528912272</t>
  </si>
  <si>
    <t>04728282920</t>
  </si>
  <si>
    <t>02498149864</t>
  </si>
  <si>
    <t>01455351108</t>
  </si>
  <si>
    <t>ANTONIO DANTAS PEREIRA</t>
  </si>
  <si>
    <t>05343888844</t>
  </si>
  <si>
    <t>02096952452</t>
  </si>
  <si>
    <t>ANTONIO DE OLIVEIRA</t>
  </si>
  <si>
    <t>10138109885</t>
  </si>
  <si>
    <t>00977194034</t>
  </si>
  <si>
    <t>ANTONIO HENRIQUE GOI</t>
  </si>
  <si>
    <t>06689725804</t>
  </si>
  <si>
    <t>03326372800</t>
  </si>
  <si>
    <t>25125627860</t>
  </si>
  <si>
    <t>ANTONIO MARCOS ALMEIDA</t>
  </si>
  <si>
    <t>32090076836</t>
  </si>
  <si>
    <t>02551114789</t>
  </si>
  <si>
    <t>APARECIDO VIDAL DE VASCONCELOS</t>
  </si>
  <si>
    <t>16144630856</t>
  </si>
  <si>
    <t>01205331594</t>
  </si>
  <si>
    <t>ARAAO RUBENS ALVES DA SILVA</t>
  </si>
  <si>
    <t>26196428845</t>
  </si>
  <si>
    <t>02488472749</t>
  </si>
  <si>
    <t>ARIEL LUIZ BONATO</t>
  </si>
  <si>
    <t>01989940951</t>
  </si>
  <si>
    <t>00854025900</t>
  </si>
  <si>
    <t>ARLEI ALADIO DA SILVA</t>
  </si>
  <si>
    <t>88903273915</t>
  </si>
  <si>
    <t>01774533889</t>
  </si>
  <si>
    <t>ARLINDO DOS SANTOS SOBRINHO</t>
  </si>
  <si>
    <t>04781285848</t>
  </si>
  <si>
    <t>02453633954</t>
  </si>
  <si>
    <t>ARQUINALDO SANTANA MATOS</t>
  </si>
  <si>
    <t>08287130816</t>
  </si>
  <si>
    <t>02884280516</t>
  </si>
  <si>
    <t>ARTHUR CRISTIAN CARNEIRO</t>
  </si>
  <si>
    <t>33124258835</t>
  </si>
  <si>
    <t>03399410753</t>
  </si>
  <si>
    <t>16470324827</t>
  </si>
  <si>
    <t>02687210421</t>
  </si>
  <si>
    <t>ATILIO GAVIOLI FILHO</t>
  </si>
  <si>
    <t>57125929915</t>
  </si>
  <si>
    <t>03327105308</t>
  </si>
  <si>
    <t>AYRTON SILVERIO DA LUZ</t>
  </si>
  <si>
    <t>42810358850</t>
  </si>
  <si>
    <t>05936128894</t>
  </si>
  <si>
    <t>AZARIAS DE OLIVEIRA</t>
  </si>
  <si>
    <t>07829261857</t>
  </si>
  <si>
    <t>02774298358</t>
  </si>
  <si>
    <t>BRAZ DA CONCEICAO</t>
  </si>
  <si>
    <t>90551516968</t>
  </si>
  <si>
    <t>01988203418</t>
  </si>
  <si>
    <t>06127038287</t>
  </si>
  <si>
    <t>BRUNO CEZAR BURTON DE AGUIAR</t>
  </si>
  <si>
    <t>04195173400</t>
  </si>
  <si>
    <t>02901458762</t>
  </si>
  <si>
    <t>BRUNO DE SOUZA MONTEIRO</t>
  </si>
  <si>
    <t>97757152291</t>
  </si>
  <si>
    <t>04762464155</t>
  </si>
  <si>
    <t>BRUNO GARCIA RODRIGUES</t>
  </si>
  <si>
    <t>45994012858</t>
  </si>
  <si>
    <t>06375799776</t>
  </si>
  <si>
    <t>BRUNO HENRIQUE QUAGLINO</t>
  </si>
  <si>
    <t>36050874859</t>
  </si>
  <si>
    <t>03464090142</t>
  </si>
  <si>
    <t>BRUNO LUIZ VILELA PEREIRA</t>
  </si>
  <si>
    <t>10085150606</t>
  </si>
  <si>
    <t>04245870275</t>
  </si>
  <si>
    <t>BRUNO RIBEIRO SILVA</t>
  </si>
  <si>
    <t>29229139882</t>
  </si>
  <si>
    <t>CAIO CESAR QUAGLINO</t>
  </si>
  <si>
    <t>40021607850</t>
  </si>
  <si>
    <t>04704552638</t>
  </si>
  <si>
    <t>CAIO VINICIUS GONÇALVES BATISTA</t>
  </si>
  <si>
    <t>43597291899</t>
  </si>
  <si>
    <t>06475668148</t>
  </si>
  <si>
    <t>CARLOS AILTON DA SILVA</t>
  </si>
  <si>
    <t>13404979800</t>
  </si>
  <si>
    <t>02002973678</t>
  </si>
  <si>
    <t>CARLOS ALBERTO DA SILVA</t>
  </si>
  <si>
    <t>96660686991</t>
  </si>
  <si>
    <t>04081809914</t>
  </si>
  <si>
    <t>CARLOS ALBERTO MESSIAS</t>
  </si>
  <si>
    <t>18630896833</t>
  </si>
  <si>
    <t>01780801847</t>
  </si>
  <si>
    <t>CARLOS ALBERTO SUVIRA</t>
  </si>
  <si>
    <t>30640951880</t>
  </si>
  <si>
    <t>02616524738</t>
  </si>
  <si>
    <t>CARLOS ANTONIO DE ANDRADE</t>
  </si>
  <si>
    <t>82608423949</t>
  </si>
  <si>
    <t>01472825159</t>
  </si>
  <si>
    <t>CARLOS AUGUSTO BISCAINO</t>
  </si>
  <si>
    <t>37211482826</t>
  </si>
  <si>
    <t>04582544444</t>
  </si>
  <si>
    <t>CARLOS AUGUSTO VENTURA</t>
  </si>
  <si>
    <t>35139994968</t>
  </si>
  <si>
    <t>02487105098</t>
  </si>
  <si>
    <t>CARLOS AYRES NASCIMENTO</t>
  </si>
  <si>
    <t>28260026864</t>
  </si>
  <si>
    <t>01192369616</t>
  </si>
  <si>
    <t>CARLOS EDUARDO ARABE</t>
  </si>
  <si>
    <t>16682650876</t>
  </si>
  <si>
    <t>03154455566</t>
  </si>
  <si>
    <t>CARLOS EDUARDO BALIEIRO BOMFIM</t>
  </si>
  <si>
    <t>29818341856</t>
  </si>
  <si>
    <t>02027724839</t>
  </si>
  <si>
    <t>CARLOS EDUARDO DA SILVA MENDONCA</t>
  </si>
  <si>
    <t>23064214802</t>
  </si>
  <si>
    <t>04290280522</t>
  </si>
  <si>
    <t>CARLOS EDUARDO GUARDIANO</t>
  </si>
  <si>
    <t>28642572892</t>
  </si>
  <si>
    <t>00672314957</t>
  </si>
  <si>
    <t>CARLOS EDUARDO MAZORCHI</t>
  </si>
  <si>
    <t>00689417900</t>
  </si>
  <si>
    <t>01444216371</t>
  </si>
  <si>
    <t>CARLOS EDUARDO PIRRO SANTOS</t>
  </si>
  <si>
    <t>33788169885</t>
  </si>
  <si>
    <t>03486163265</t>
  </si>
  <si>
    <t>CARLOS HENRIQUE VALENCA DE ANDRADE</t>
  </si>
  <si>
    <t>76513190444</t>
  </si>
  <si>
    <t>01003041049</t>
  </si>
  <si>
    <t>CARLOS RENATO BROWN</t>
  </si>
  <si>
    <t>26294207878</t>
  </si>
  <si>
    <t>00627468290</t>
  </si>
  <si>
    <t>CARLOS RICARDO CAPELARI BENTO</t>
  </si>
  <si>
    <t>54070716904</t>
  </si>
  <si>
    <t>02408612271</t>
  </si>
  <si>
    <t>CARLOS ROBERTO DOS SANTOS DA SILVA</t>
  </si>
  <si>
    <t>44273304015</t>
  </si>
  <si>
    <t>02305732263</t>
  </si>
  <si>
    <t>CELIO ANTONIO DE OLIVEIRA</t>
  </si>
  <si>
    <t>38092123934</t>
  </si>
  <si>
    <t>01499951231</t>
  </si>
  <si>
    <t>CELIO LUIZ BUDAL</t>
  </si>
  <si>
    <t>18386415991</t>
  </si>
  <si>
    <t>01348529930</t>
  </si>
  <si>
    <t>CELIO MANOEL DE LEMOS</t>
  </si>
  <si>
    <t>15897148813</t>
  </si>
  <si>
    <t>03083861400</t>
  </si>
  <si>
    <t>CELIO ROSA DA SILVA</t>
  </si>
  <si>
    <t>02576160980</t>
  </si>
  <si>
    <t>00463227965</t>
  </si>
  <si>
    <t>11698087861</t>
  </si>
  <si>
    <t>CELSO RIBEIRO</t>
  </si>
  <si>
    <t>25633480805</t>
  </si>
  <si>
    <t>00654736751</t>
  </si>
  <si>
    <t>CESAR ARREBOLA MORENO</t>
  </si>
  <si>
    <t>54524954872</t>
  </si>
  <si>
    <t>02613504633</t>
  </si>
  <si>
    <t>CESAR AUGUSTO DIAS</t>
  </si>
  <si>
    <t>14012755838</t>
  </si>
  <si>
    <t>02841998040</t>
  </si>
  <si>
    <t>CHARLES DE PAIVA SILVA MOURA</t>
  </si>
  <si>
    <t>36694520875</t>
  </si>
  <si>
    <t>03787075558</t>
  </si>
  <si>
    <t>CHARLES ECHAMENDI GRATHWOHL</t>
  </si>
  <si>
    <t>02951008937</t>
  </si>
  <si>
    <t>01257010791</t>
  </si>
  <si>
    <t>CHRISTIAN ROGER BRUNHANI DOS SANTOS</t>
  </si>
  <si>
    <t>26133952814</t>
  </si>
  <si>
    <t>00876036409</t>
  </si>
  <si>
    <t>CLAILTON SOUZA SANTOS</t>
  </si>
  <si>
    <t>19943639830</t>
  </si>
  <si>
    <t>01175945417</t>
  </si>
  <si>
    <t>CLAUBIR ROSANIO ALBUQUERQUE SOARES</t>
  </si>
  <si>
    <t>33868133801</t>
  </si>
  <si>
    <t>03076760989</t>
  </si>
  <si>
    <t>CLAUDECI CLARO GEREMIAS</t>
  </si>
  <si>
    <t>06075979921</t>
  </si>
  <si>
    <t>04512178259</t>
  </si>
  <si>
    <t>CLAUDEMIR DOMINGOS</t>
  </si>
  <si>
    <t>16727849803</t>
  </si>
  <si>
    <t>00698620562</t>
  </si>
  <si>
    <t>CLAUDEMIRO MATOS DE CERQUEIRA</t>
  </si>
  <si>
    <t>25901445805</t>
  </si>
  <si>
    <t>03265223091</t>
  </si>
  <si>
    <t>CLAUDINEI DA SILVA</t>
  </si>
  <si>
    <t>64179753987</t>
  </si>
  <si>
    <t>03582883918</t>
  </si>
  <si>
    <t>CLAUDINEI VICTOR DA SILVA</t>
  </si>
  <si>
    <t>13942245833</t>
  </si>
  <si>
    <t>03589425205</t>
  </si>
  <si>
    <t>CLAUDINEY GONCALVES PEREIRA</t>
  </si>
  <si>
    <t>03764957905</t>
  </si>
  <si>
    <t>01409028602</t>
  </si>
  <si>
    <t>14679464860</t>
  </si>
  <si>
    <t>CLAUDIO DONIZETE DE SOUZA</t>
  </si>
  <si>
    <t>11386211885</t>
  </si>
  <si>
    <t>02171337063</t>
  </si>
  <si>
    <t>CLAUDIO FARIAS</t>
  </si>
  <si>
    <t>57271194134</t>
  </si>
  <si>
    <t>01939034087</t>
  </si>
  <si>
    <t>CLAUDIONOR GONCALVES DE ARAUJO</t>
  </si>
  <si>
    <t>07585275862</t>
  </si>
  <si>
    <t>01333884716</t>
  </si>
  <si>
    <t>CLAUDIO ROBERTO ARABE</t>
  </si>
  <si>
    <t>13129033840</t>
  </si>
  <si>
    <t>01473961832</t>
  </si>
  <si>
    <t>CLEBER BITENCOURT RODRIGUES</t>
  </si>
  <si>
    <t>03741428906</t>
  </si>
  <si>
    <t>04383220533</t>
  </si>
  <si>
    <t>CLEBER LUIZ MARTINS</t>
  </si>
  <si>
    <t>68411332772</t>
  </si>
  <si>
    <t>02684511197</t>
  </si>
  <si>
    <t>CLEBSON FAUSTINO DA SILVA</t>
  </si>
  <si>
    <t>06471474407</t>
  </si>
  <si>
    <t>05099295302</t>
  </si>
  <si>
    <t>CLEISSON SANTOS SILVA</t>
  </si>
  <si>
    <t>36217831805</t>
  </si>
  <si>
    <t>05513496416</t>
  </si>
  <si>
    <t>CLEITON FABRICIO RAMOS MOREIRA</t>
  </si>
  <si>
    <t>41974856895</t>
  </si>
  <si>
    <t>05072817860</t>
  </si>
  <si>
    <t>CLEITON NUNES DE OLIVEIRA</t>
  </si>
  <si>
    <t>33340155801</t>
  </si>
  <si>
    <t>06597676758</t>
  </si>
  <si>
    <t>CLEOMAR ALEXANDRE SCHENEIDER</t>
  </si>
  <si>
    <t>68529120949</t>
  </si>
  <si>
    <t>01267578955</t>
  </si>
  <si>
    <t>CLERISTON CRISTIANO LUZ</t>
  </si>
  <si>
    <t>98600494591</t>
  </si>
  <si>
    <t>00810617703</t>
  </si>
  <si>
    <t>CLEVERSON MOTTA MOREIRA</t>
  </si>
  <si>
    <t>10098428977</t>
  </si>
  <si>
    <t>06314949955</t>
  </si>
  <si>
    <t>CLODOALDO DE OLIVEIRA SILVA</t>
  </si>
  <si>
    <t>27632505806</t>
  </si>
  <si>
    <t>00735636059</t>
  </si>
  <si>
    <t>CLODUALDO CANUTO SANTOS</t>
  </si>
  <si>
    <t>10831513802</t>
  </si>
  <si>
    <t>01395118004</t>
  </si>
  <si>
    <t>CRISTHIAN REDISS DELFINO</t>
  </si>
  <si>
    <t>04367230007</t>
  </si>
  <si>
    <t>06893827490</t>
  </si>
  <si>
    <t>CRISTIANO FRANCISCO DE SIQUEIRA</t>
  </si>
  <si>
    <t>16239252824</t>
  </si>
  <si>
    <t>02548828486</t>
  </si>
  <si>
    <t>DAMIAO MARCELINO DE ALENCAR</t>
  </si>
  <si>
    <t>04339374830</t>
  </si>
  <si>
    <t>03231466205</t>
  </si>
  <si>
    <t>DANIEL ALVES DO NASCIMENTO</t>
  </si>
  <si>
    <t>07021294883</t>
  </si>
  <si>
    <t>04285888048</t>
  </si>
  <si>
    <t>DANIEL BEZERRA DA SILVA</t>
  </si>
  <si>
    <t>16955224867</t>
  </si>
  <si>
    <t>02190050484</t>
  </si>
  <si>
    <t>DANIEL DA SILVA</t>
  </si>
  <si>
    <t>04398243976</t>
  </si>
  <si>
    <t>02010149230</t>
  </si>
  <si>
    <t>27477655803</t>
  </si>
  <si>
    <t>01690605395</t>
  </si>
  <si>
    <t>DANIEL DONIZETTI IRINEU</t>
  </si>
  <si>
    <t>08319150647</t>
  </si>
  <si>
    <t>04928590738</t>
  </si>
  <si>
    <t xml:space="preserve">DANILO ANTONIO DA SILVA </t>
  </si>
  <si>
    <t>32996682858</t>
  </si>
  <si>
    <t>03637398203</t>
  </si>
  <si>
    <t>DANILO DOS SANTOS BALBINO</t>
  </si>
  <si>
    <t>33479627889</t>
  </si>
  <si>
    <t>03633182765</t>
  </si>
  <si>
    <t>42110108835</t>
  </si>
  <si>
    <t>05521797512</t>
  </si>
  <si>
    <t>DAVI DA CUNHA FREITAS</t>
  </si>
  <si>
    <t>19482908805</t>
  </si>
  <si>
    <t>03153303618</t>
  </si>
  <si>
    <t>DAVID DE SOUZA SILVA</t>
  </si>
  <si>
    <t>32415795810</t>
  </si>
  <si>
    <t>03374240064</t>
  </si>
  <si>
    <t>DAVIDSON MAXWEL DA SILVA TEIXEIRA</t>
  </si>
  <si>
    <t>37204701801</t>
  </si>
  <si>
    <t>03712921676</t>
  </si>
  <si>
    <t>DEILSON FRANCISCO DA SILVA</t>
  </si>
  <si>
    <t>27687438876</t>
  </si>
  <si>
    <t>01475756370</t>
  </si>
  <si>
    <t>DEIVISON LOPES DA SILVA</t>
  </si>
  <si>
    <t>39902313833</t>
  </si>
  <si>
    <t>06112867580</t>
  </si>
  <si>
    <t>DEJAIR GOMES BORGES MOREIRA</t>
  </si>
  <si>
    <t>03010717997</t>
  </si>
  <si>
    <t>02661654706</t>
  </si>
  <si>
    <t>DENILSO BATISTA PRESTES</t>
  </si>
  <si>
    <t>02143942982</t>
  </si>
  <si>
    <t>02768847011</t>
  </si>
  <si>
    <t>DENIS RIBEIRO EMILIANO</t>
  </si>
  <si>
    <t>36126259858</t>
  </si>
  <si>
    <t>04328186138</t>
  </si>
  <si>
    <t>DEOCLIDES APARECIDO ALVES</t>
  </si>
  <si>
    <t>18421066862</t>
  </si>
  <si>
    <t>01662967106</t>
  </si>
  <si>
    <t>DEYVID CALASSANS</t>
  </si>
  <si>
    <t>08878312908</t>
  </si>
  <si>
    <t>05954516677</t>
  </si>
  <si>
    <t>DIEIZEL HELLWIG FEHLBERG</t>
  </si>
  <si>
    <t>02169612033</t>
  </si>
  <si>
    <t>04135427963</t>
  </si>
  <si>
    <t>DILSON DA PAIXAO</t>
  </si>
  <si>
    <t>09800539867</t>
  </si>
  <si>
    <t>01063261329</t>
  </si>
  <si>
    <t>DIOGO FAGUNDES DA COSTA</t>
  </si>
  <si>
    <t>42178017851</t>
  </si>
  <si>
    <t>05213238207</t>
  </si>
  <si>
    <t>75847833920</t>
  </si>
  <si>
    <t>01880281367</t>
  </si>
  <si>
    <t>DJALMA MENDES</t>
  </si>
  <si>
    <t>26382723886</t>
  </si>
  <si>
    <t>00946984861</t>
  </si>
  <si>
    <t>10828717885</t>
  </si>
  <si>
    <t>01593040803</t>
  </si>
  <si>
    <t>DONIZETI DE PAULA</t>
  </si>
  <si>
    <t>04853783881</t>
  </si>
  <si>
    <t>02736455779'</t>
  </si>
  <si>
    <t>DORIVAN BARBOSA DOS SANTOS</t>
  </si>
  <si>
    <t>63531259091</t>
  </si>
  <si>
    <t>00224202696</t>
  </si>
  <si>
    <t>DOUGLAS CHIQUETTO</t>
  </si>
  <si>
    <t>84985216968</t>
  </si>
  <si>
    <t>01217024772</t>
  </si>
  <si>
    <t>DOUGLAS NONATO DE CASTRO</t>
  </si>
  <si>
    <t>37967722850</t>
  </si>
  <si>
    <t>04341750702</t>
  </si>
  <si>
    <t>DOUGLAS TENUTTI</t>
  </si>
  <si>
    <t>06493011965</t>
  </si>
  <si>
    <t>04095997453</t>
  </si>
  <si>
    <t>EDER BENTO LUIS GAMEIRO</t>
  </si>
  <si>
    <t>03476879895</t>
  </si>
  <si>
    <t>02355818110</t>
  </si>
  <si>
    <t>EDERSON LUIZ CIVINSKI</t>
  </si>
  <si>
    <t>04280447942</t>
  </si>
  <si>
    <t>02518445690</t>
  </si>
  <si>
    <t>45616281859</t>
  </si>
  <si>
    <t>EDERSON RODRIGUES DA SILVA</t>
  </si>
  <si>
    <t>36846522883</t>
  </si>
  <si>
    <t>04530167007</t>
  </si>
  <si>
    <t>EDER WAGNER PEDROSA DA SILVA</t>
  </si>
  <si>
    <t>07419256802</t>
  </si>
  <si>
    <t>03293834020</t>
  </si>
  <si>
    <t>EDILSON SOARES DA SILVA</t>
  </si>
  <si>
    <t>07862094450</t>
  </si>
  <si>
    <t>04237099786</t>
  </si>
  <si>
    <t>34824440807</t>
  </si>
  <si>
    <t>EDINALDO DOS SANTOS</t>
  </si>
  <si>
    <t>09879737890</t>
  </si>
  <si>
    <t>02490479659</t>
  </si>
  <si>
    <t>EDINALDO RIBEIRO DE ALMEIDA</t>
  </si>
  <si>
    <t>31316253848</t>
  </si>
  <si>
    <t>03914942110</t>
  </si>
  <si>
    <t>EDISON FERNANDES GONSALVES</t>
  </si>
  <si>
    <t>34565060078</t>
  </si>
  <si>
    <t>01262388545</t>
  </si>
  <si>
    <t>EDIVALDO AGUERA GALDINO</t>
  </si>
  <si>
    <t>07256765827</t>
  </si>
  <si>
    <t>02494279882</t>
  </si>
  <si>
    <t>EDIVAR LAVORATTI DE OLIVEIRA</t>
  </si>
  <si>
    <t>06288175927</t>
  </si>
  <si>
    <t>04167629045</t>
  </si>
  <si>
    <t>EDMAR ALEX DARIZ</t>
  </si>
  <si>
    <t>04480948945</t>
  </si>
  <si>
    <t>03710382974</t>
  </si>
  <si>
    <t>EDMILSON RAMOS DA FONSECA</t>
  </si>
  <si>
    <t>30848137876</t>
  </si>
  <si>
    <t>03069942470</t>
  </si>
  <si>
    <t>EDNAN FRAGA SANTA ROSA</t>
  </si>
  <si>
    <t>00900151501</t>
  </si>
  <si>
    <t>03454996456</t>
  </si>
  <si>
    <t>EDNO RODRIGUES DE OLIVEIRA</t>
  </si>
  <si>
    <t>58232273020</t>
  </si>
  <si>
    <t>02202943614</t>
  </si>
  <si>
    <t>EDSON AMERICO BAZILIO</t>
  </si>
  <si>
    <t>33521915816</t>
  </si>
  <si>
    <t>EDSON ANTONIO DA COSTA LIMA</t>
  </si>
  <si>
    <t>65835565968</t>
  </si>
  <si>
    <t>02826780344</t>
  </si>
  <si>
    <t>EDSON DOMINGOS MEZACASA DE MATTOS</t>
  </si>
  <si>
    <t>00447202979</t>
  </si>
  <si>
    <t>00989937721</t>
  </si>
  <si>
    <t>EDSON DOS SANTOS FRANCO</t>
  </si>
  <si>
    <t>13362037810</t>
  </si>
  <si>
    <t>00689263136</t>
  </si>
  <si>
    <t>EDSON FERREIRA MACIEL</t>
  </si>
  <si>
    <t>09783782886</t>
  </si>
  <si>
    <t>00797891898</t>
  </si>
  <si>
    <t>EDSON JOSE GASPERONI</t>
  </si>
  <si>
    <t>01850783896</t>
  </si>
  <si>
    <t>01840728506</t>
  </si>
  <si>
    <t>02970966448</t>
  </si>
  <si>
    <t>EDSON ROBERTO POLTRONIERI</t>
  </si>
  <si>
    <t>10669553875</t>
  </si>
  <si>
    <t>01695579670</t>
  </si>
  <si>
    <t>EDSON SANTOS RAMOS</t>
  </si>
  <si>
    <t>65757416572</t>
  </si>
  <si>
    <t>02081028363</t>
  </si>
  <si>
    <t>EDSON SOARES DA SILVA</t>
  </si>
  <si>
    <t>05310033882</t>
  </si>
  <si>
    <t>02460764022</t>
  </si>
  <si>
    <t>EDUARDO CARLOS DE OLIVEIRA</t>
  </si>
  <si>
    <t>28600508843</t>
  </si>
  <si>
    <t>01978806655</t>
  </si>
  <si>
    <t>EDUARDO CUPERTINO BALBINO DE CASTRO</t>
  </si>
  <si>
    <t>39374102870</t>
  </si>
  <si>
    <t>05036466130</t>
  </si>
  <si>
    <t>EDUARDO DE OLIVEIRA CARDOSO</t>
  </si>
  <si>
    <t>21536452807</t>
  </si>
  <si>
    <t>00613217337</t>
  </si>
  <si>
    <t>01261018608</t>
  </si>
  <si>
    <t>EDVALDO SANTOS SILVA JUNIOR</t>
  </si>
  <si>
    <t>02934525554</t>
  </si>
  <si>
    <t>04945312862</t>
  </si>
  <si>
    <t>EDVAN ADRIANO DE ALMEIDA</t>
  </si>
  <si>
    <t>31629897876</t>
  </si>
  <si>
    <t>02143802760</t>
  </si>
  <si>
    <t>EGBERTO FREIRE GOMES</t>
  </si>
  <si>
    <t>73152366353</t>
  </si>
  <si>
    <t>04527499211</t>
  </si>
  <si>
    <t>ELCIO CORREA</t>
  </si>
  <si>
    <t>06269736862</t>
  </si>
  <si>
    <t>03010590220</t>
  </si>
  <si>
    <t>ELESSANDRO FLAVIANO CHAGAS</t>
  </si>
  <si>
    <t>28674164854</t>
  </si>
  <si>
    <t>02869934635</t>
  </si>
  <si>
    <t>ELIAS MARTINS DE SOUZA</t>
  </si>
  <si>
    <t>00765704951</t>
  </si>
  <si>
    <t>02313405627</t>
  </si>
  <si>
    <t>ELIAS PAIVA ROCHA</t>
  </si>
  <si>
    <t>26720947800</t>
  </si>
  <si>
    <t>01722040584</t>
  </si>
  <si>
    <t>ELIAS SEVERINO MOREIRA</t>
  </si>
  <si>
    <t>66130573472</t>
  </si>
  <si>
    <t>01802218029</t>
  </si>
  <si>
    <t>ELIEZER BISPO DOS SANTOS</t>
  </si>
  <si>
    <t>66770629968</t>
  </si>
  <si>
    <t>02222101804</t>
  </si>
  <si>
    <t>ELIZEU DE OLIVEIRA FERNANDES</t>
  </si>
  <si>
    <t>05156562833</t>
  </si>
  <si>
    <t>01021273600</t>
  </si>
  <si>
    <t>ELVIS COSTA CORREIA</t>
  </si>
  <si>
    <t>06922463552</t>
  </si>
  <si>
    <t>05610952999</t>
  </si>
  <si>
    <t>EMERSON BAIAO DE OILIVEIRA</t>
  </si>
  <si>
    <t>EMERSON LUIS KRUTLI</t>
  </si>
  <si>
    <t>00680211942</t>
  </si>
  <si>
    <t>03718621302</t>
  </si>
  <si>
    <t>EMILIO CRISTIANO PEROZI</t>
  </si>
  <si>
    <t>24946235884</t>
  </si>
  <si>
    <t>02922247032</t>
  </si>
  <si>
    <t>ERALDO ARQUIRUZAL BARBOSA</t>
  </si>
  <si>
    <t>13365268820</t>
  </si>
  <si>
    <t>01475533727</t>
  </si>
  <si>
    <t>ERANIL INOCENCIO LEAL</t>
  </si>
  <si>
    <t>03882023945</t>
  </si>
  <si>
    <t>01509661772</t>
  </si>
  <si>
    <t>EREVALDO DOS SANTOS</t>
  </si>
  <si>
    <t>07418958897</t>
  </si>
  <si>
    <t>02542389731</t>
  </si>
  <si>
    <t>04368700808</t>
  </si>
  <si>
    <t>ERICK SENA MACHADO</t>
  </si>
  <si>
    <t>08153216945</t>
  </si>
  <si>
    <t>05275397204</t>
  </si>
  <si>
    <t>ERINALDO DE HOLANDA CAVALCANTE</t>
  </si>
  <si>
    <t>14421270822</t>
  </si>
  <si>
    <t>03211237914</t>
  </si>
  <si>
    <t>ERIVALDO TAVARES DOS SANTOS</t>
  </si>
  <si>
    <t>32132259836</t>
  </si>
  <si>
    <t>03599201031</t>
  </si>
  <si>
    <t>ERNANDES CALESSO</t>
  </si>
  <si>
    <t>22037687893</t>
  </si>
  <si>
    <t>01358290240</t>
  </si>
  <si>
    <t>ERNANI ALVES DE SOUZA</t>
  </si>
  <si>
    <t>04886601812</t>
  </si>
  <si>
    <t>03324566069</t>
  </si>
  <si>
    <t>ESTANISLAU DA PAZ</t>
  </si>
  <si>
    <t>13389430814</t>
  </si>
  <si>
    <t>00982561517</t>
  </si>
  <si>
    <t>EVAIR DONISETE BARBOSA</t>
  </si>
  <si>
    <t>11331695899</t>
  </si>
  <si>
    <t>02965361408</t>
  </si>
  <si>
    <t>EVALDO LUIZ TARDIVO</t>
  </si>
  <si>
    <t>21626106800</t>
  </si>
  <si>
    <t>03782144905</t>
  </si>
  <si>
    <t>EVALDO MORATO LOPES</t>
  </si>
  <si>
    <t>01909931977</t>
  </si>
  <si>
    <t>01887811966</t>
  </si>
  <si>
    <t>0091837259</t>
  </si>
  <si>
    <t>05707607803</t>
  </si>
  <si>
    <t>01263773843</t>
  </si>
  <si>
    <t>FABIANO DE SOUSA LIMA</t>
  </si>
  <si>
    <t>41087741831</t>
  </si>
  <si>
    <t>05759142859</t>
  </si>
  <si>
    <t>FABIANO JOLNAI AMA</t>
  </si>
  <si>
    <t>26580945826</t>
  </si>
  <si>
    <t>02602145940</t>
  </si>
  <si>
    <t>FABIANO SILVA FAGUNDES</t>
  </si>
  <si>
    <t>22157389873</t>
  </si>
  <si>
    <t>01014756018</t>
  </si>
  <si>
    <t>FABIO AGUIAR NOBRE</t>
  </si>
  <si>
    <t>31171735871</t>
  </si>
  <si>
    <t>01811826600</t>
  </si>
  <si>
    <t>FABIO AKIHIRO TANIZAKI</t>
  </si>
  <si>
    <t>05882413931</t>
  </si>
  <si>
    <t>06054569225</t>
  </si>
  <si>
    <t>FABIO AUGUSTO MARCELO</t>
  </si>
  <si>
    <t>25211691881</t>
  </si>
  <si>
    <t>03213730300</t>
  </si>
  <si>
    <t>FABIO BIAGGINI SILVA</t>
  </si>
  <si>
    <t>01303115611</t>
  </si>
  <si>
    <t>03459625901</t>
  </si>
  <si>
    <t>FABIO CAVALCANTE JORGE</t>
  </si>
  <si>
    <t>25797701863</t>
  </si>
  <si>
    <t>02501343202</t>
  </si>
  <si>
    <t>FABIO JOSE SILVA FONTES</t>
  </si>
  <si>
    <t>27095938822</t>
  </si>
  <si>
    <t>00623911886</t>
  </si>
  <si>
    <t>FABIO JUNIOR DE JESUS</t>
  </si>
  <si>
    <t>22519507888</t>
  </si>
  <si>
    <t>01754846207</t>
  </si>
  <si>
    <t>FABIO LEANDRO AMARO</t>
  </si>
  <si>
    <t>31245468812</t>
  </si>
  <si>
    <t>03845301668</t>
  </si>
  <si>
    <t>FABIO PEREIRA LOPES</t>
  </si>
  <si>
    <t>12100898744</t>
  </si>
  <si>
    <t>04254114453</t>
  </si>
  <si>
    <t>FABIO RICARDO PARRA</t>
  </si>
  <si>
    <t>30311648819</t>
  </si>
  <si>
    <t>01347735473</t>
  </si>
  <si>
    <t>FABRICIO OLIVEIRA DE PAIVA</t>
  </si>
  <si>
    <t>78892902253</t>
  </si>
  <si>
    <t>04971139415</t>
  </si>
  <si>
    <t>FAGNER HENRIQUE ANTUNES</t>
  </si>
  <si>
    <t>29446006805</t>
  </si>
  <si>
    <t>01306664873</t>
  </si>
  <si>
    <t>FELIPE BERNARDO SOARES DA SILVA</t>
  </si>
  <si>
    <t>39347882895</t>
  </si>
  <si>
    <t>05847463204</t>
  </si>
  <si>
    <t>33400734810</t>
  </si>
  <si>
    <t>03361149430</t>
  </si>
  <si>
    <t>FELIPE SIQUEIRA FERNANDES</t>
  </si>
  <si>
    <t>32692845862</t>
  </si>
  <si>
    <t>02475949899</t>
  </si>
  <si>
    <t>FERNANDO ALLAN GOMES DA SILVA</t>
  </si>
  <si>
    <t>21445152800</t>
  </si>
  <si>
    <t>00761661024</t>
  </si>
  <si>
    <t>28803609865</t>
  </si>
  <si>
    <t>03261179456</t>
  </si>
  <si>
    <t>FERNANDO LUIZ ARAUJO CABRAL</t>
  </si>
  <si>
    <t>41417947837</t>
  </si>
  <si>
    <t>05836423841</t>
  </si>
  <si>
    <t>FERNANDO PIRRO SANTOS</t>
  </si>
  <si>
    <t>33788178876</t>
  </si>
  <si>
    <t>03728817865</t>
  </si>
  <si>
    <t>FERNANDO RIBEIRO MILANEZ</t>
  </si>
  <si>
    <t>34780345820</t>
  </si>
  <si>
    <t>03380986007</t>
  </si>
  <si>
    <t>FILIPE EMANUEL DE LIMA</t>
  </si>
  <si>
    <t>23056557895</t>
  </si>
  <si>
    <t>03917272292</t>
  </si>
  <si>
    <t>FLAVIO FERREIRA</t>
  </si>
  <si>
    <t>31734575875</t>
  </si>
  <si>
    <t>FLAVIO MENDES DE ARAUJO</t>
  </si>
  <si>
    <t>01821914864</t>
  </si>
  <si>
    <t>01475535653</t>
  </si>
  <si>
    <t>FRANCISCO ASSIS DANTAS</t>
  </si>
  <si>
    <t>32671105800</t>
  </si>
  <si>
    <t>01345118579</t>
  </si>
  <si>
    <t>FRANCISCO BOSCO FELIX</t>
  </si>
  <si>
    <t>28806786504</t>
  </si>
  <si>
    <t>01292976233</t>
  </si>
  <si>
    <t>FRANCISCO DE FRANCA</t>
  </si>
  <si>
    <t>02876483971</t>
  </si>
  <si>
    <t>01900618595</t>
  </si>
  <si>
    <t>FRANCISCO EDSON FRANCA</t>
  </si>
  <si>
    <t>92444938372</t>
  </si>
  <si>
    <t>03387780260</t>
  </si>
  <si>
    <t>FRANCISCO EVERALDO DA SILVA</t>
  </si>
  <si>
    <t>63678306349</t>
  </si>
  <si>
    <t>04024877000</t>
  </si>
  <si>
    <t>43345159830</t>
  </si>
  <si>
    <t>05585211593</t>
  </si>
  <si>
    <t>GABRIEL MORAIS OLIVEIRA</t>
  </si>
  <si>
    <t>37434882808</t>
  </si>
  <si>
    <t>07356761758</t>
  </si>
  <si>
    <t>GABRIEL SANTOS RAMOS</t>
  </si>
  <si>
    <t>43852832810</t>
  </si>
  <si>
    <t>07149840778</t>
  </si>
  <si>
    <t>28215309860</t>
  </si>
  <si>
    <t>02531686463</t>
  </si>
  <si>
    <t>GENIVAL CHAVIER DA SILVA</t>
  </si>
  <si>
    <t>93177518491</t>
  </si>
  <si>
    <t>01859715928</t>
  </si>
  <si>
    <t>GERALDO DE JESUS FILHO</t>
  </si>
  <si>
    <t>05708441852</t>
  </si>
  <si>
    <t>02205556478</t>
  </si>
  <si>
    <t>GERALDO DOMINGUES DE OLIVEIRA JUNIOR</t>
  </si>
  <si>
    <t>13357678861</t>
  </si>
  <si>
    <t>05103721653</t>
  </si>
  <si>
    <t>GERMANO MEDEIROS ALVES GREGORY</t>
  </si>
  <si>
    <t>54273556855</t>
  </si>
  <si>
    <t>06318693837</t>
  </si>
  <si>
    <t>10059506873</t>
  </si>
  <si>
    <t>00921488705</t>
  </si>
  <si>
    <t>GILBERTO CANDIDO ROSA</t>
  </si>
  <si>
    <t>GILMAR GRACIANI</t>
  </si>
  <si>
    <t>57607788972</t>
  </si>
  <si>
    <t>02863595150</t>
  </si>
  <si>
    <t>GILSON VIRGINIO DE SOUSA</t>
  </si>
  <si>
    <t>04950858807</t>
  </si>
  <si>
    <t>02157461700</t>
  </si>
  <si>
    <t>GILVAM SEVERO DOS SANTOS</t>
  </si>
  <si>
    <t>20099674882</t>
  </si>
  <si>
    <t>03368096398</t>
  </si>
  <si>
    <t>GILVAN ALEXANDRE DA SILVA</t>
  </si>
  <si>
    <t>07968457866</t>
  </si>
  <si>
    <t>03264365790</t>
  </si>
  <si>
    <t>GILVANDI DE SANTANA</t>
  </si>
  <si>
    <t>12135998818</t>
  </si>
  <si>
    <t>00872757332</t>
  </si>
  <si>
    <t>GINOEL DA SILVA</t>
  </si>
  <si>
    <t>09976783809</t>
  </si>
  <si>
    <t>01266271649</t>
  </si>
  <si>
    <t>GIOVANI CLAYTON DE OIVEIRA</t>
  </si>
  <si>
    <t>07766078635</t>
  </si>
  <si>
    <t>03834276605</t>
  </si>
  <si>
    <t>GIOVANI CORREIA</t>
  </si>
  <si>
    <t>04438768942</t>
  </si>
  <si>
    <t>02506125803</t>
  </si>
  <si>
    <t>GIULIANO ROGERIO DE SOUZA</t>
  </si>
  <si>
    <t>31566870810</t>
  </si>
  <si>
    <t>02584472831</t>
  </si>
  <si>
    <t>GLADSSON TEIXEIRA DOS SANTOS ALVES</t>
  </si>
  <si>
    <t>34934797866</t>
  </si>
  <si>
    <t>03895802630</t>
  </si>
  <si>
    <t>GLEIDSON SILVA DE ALMEIDA</t>
  </si>
  <si>
    <t>03646180510</t>
  </si>
  <si>
    <t>04557657862</t>
  </si>
  <si>
    <t>GONZAGA DE SOUZA</t>
  </si>
  <si>
    <t>04201589951</t>
  </si>
  <si>
    <t>04499856640</t>
  </si>
  <si>
    <t>GRIMALDO DERCO FERREIRA</t>
  </si>
  <si>
    <t>65473566120</t>
  </si>
  <si>
    <t>00732575951</t>
  </si>
  <si>
    <t>GUILHERME OBEROS BARBOSA</t>
  </si>
  <si>
    <t>42673237801</t>
  </si>
  <si>
    <t>06135625286</t>
  </si>
  <si>
    <t>GUSTAVO AYRES LIMA</t>
  </si>
  <si>
    <t>77521781015</t>
  </si>
  <si>
    <t>00561573467</t>
  </si>
  <si>
    <t>HAILTON FRANCISCO DA SILVA</t>
  </si>
  <si>
    <t>33873901811</t>
  </si>
  <si>
    <t>03987925020</t>
  </si>
  <si>
    <t>HARIEL DOS ANJOS PIOVESAM</t>
  </si>
  <si>
    <t>09175859920</t>
  </si>
  <si>
    <t>06501363587</t>
  </si>
  <si>
    <t>HEBER LUCAS REGINATO</t>
  </si>
  <si>
    <t>05970837970</t>
  </si>
  <si>
    <t>04126856417</t>
  </si>
  <si>
    <t>HEBERT COSTA</t>
  </si>
  <si>
    <t>31262769892</t>
  </si>
  <si>
    <t>02106815876</t>
  </si>
  <si>
    <t>HEBERT DA CONCEIÇÃO SILVA</t>
  </si>
  <si>
    <t>34893949845</t>
  </si>
  <si>
    <t>03614996132</t>
  </si>
  <si>
    <t>HELDER VIEGAS DE FARIA</t>
  </si>
  <si>
    <t>10221958673</t>
  </si>
  <si>
    <t>06870307076</t>
  </si>
  <si>
    <t>HELIO DOS SANTOS PERES</t>
  </si>
  <si>
    <t>32374867870</t>
  </si>
  <si>
    <t>05415858856</t>
  </si>
  <si>
    <t>HELIO HENRIQUE DA SILVA SANTANA</t>
  </si>
  <si>
    <t>30019304897</t>
  </si>
  <si>
    <t>02068303660</t>
  </si>
  <si>
    <t>HELIO JOSE DE CARVALHO</t>
  </si>
  <si>
    <t>55959750406</t>
  </si>
  <si>
    <t>0177617982</t>
  </si>
  <si>
    <t>HELIO ROCHA SANTOS</t>
  </si>
  <si>
    <t>30649942809</t>
  </si>
  <si>
    <t>04330633227</t>
  </si>
  <si>
    <t>HELTON BISPO JORDÃO</t>
  </si>
  <si>
    <t>35762150852</t>
  </si>
  <si>
    <t>04293163664</t>
  </si>
  <si>
    <t>IAN GABRIEL ALVES DARTORA</t>
  </si>
  <si>
    <t>44888542813</t>
  </si>
  <si>
    <t>06395737013</t>
  </si>
  <si>
    <t>ISAAC DA SILVA MENDES</t>
  </si>
  <si>
    <t>83968342968</t>
  </si>
  <si>
    <t>00779770530</t>
  </si>
  <si>
    <t>ISMAEL GRACIANO</t>
  </si>
  <si>
    <t>14994903808</t>
  </si>
  <si>
    <t>02647717307</t>
  </si>
  <si>
    <t>ISRAEL NETO MENDES</t>
  </si>
  <si>
    <t>03145145975</t>
  </si>
  <si>
    <t>01157206901</t>
  </si>
  <si>
    <t>ITALO CARLOS DA SILVA</t>
  </si>
  <si>
    <t>04727351870</t>
  </si>
  <si>
    <t>01190967380</t>
  </si>
  <si>
    <t>JACKSON SILVA DOS SANTOS</t>
  </si>
  <si>
    <t>35102949802</t>
  </si>
  <si>
    <t>04590021850</t>
  </si>
  <si>
    <t>JAILTON JACINTO DE SANTANA</t>
  </si>
  <si>
    <t>09773131823</t>
  </si>
  <si>
    <t>01250743100</t>
  </si>
  <si>
    <t>JAIME MOREIRA DA SILVA</t>
  </si>
  <si>
    <t>50086197487</t>
  </si>
  <si>
    <t>00891136410</t>
  </si>
  <si>
    <t>JAIR CAMARGO RIBEIRO</t>
  </si>
  <si>
    <t>85354511968</t>
  </si>
  <si>
    <t>02009273082</t>
  </si>
  <si>
    <t>JAIR DONIZETI DE MORAIS</t>
  </si>
  <si>
    <t>25656827860</t>
  </si>
  <si>
    <t>03038136857</t>
  </si>
  <si>
    <t>JAIR FERREIRA DE LIMA SILVA</t>
  </si>
  <si>
    <t>38637505864</t>
  </si>
  <si>
    <t>04346234882</t>
  </si>
  <si>
    <t>JAIRO ROBERTO ISAIAS</t>
  </si>
  <si>
    <t>90539443972</t>
  </si>
  <si>
    <t>01968244650</t>
  </si>
  <si>
    <t>JAIRO SODRE CORREA SENNA</t>
  </si>
  <si>
    <t>46218327000</t>
  </si>
  <si>
    <t>03862404629</t>
  </si>
  <si>
    <t>JAIR TORRES SANT ANNA</t>
  </si>
  <si>
    <t>07325462816</t>
  </si>
  <si>
    <t>01695090905</t>
  </si>
  <si>
    <t>JAMIL ALVES GUIMARAES</t>
  </si>
  <si>
    <t>98576518953</t>
  </si>
  <si>
    <t>01466852986</t>
  </si>
  <si>
    <t>JANDESSON LEFFER DE LIZ</t>
  </si>
  <si>
    <t>05120383920</t>
  </si>
  <si>
    <t>03855792510</t>
  </si>
  <si>
    <t>JANDIR BARCELOS</t>
  </si>
  <si>
    <t>00354288997</t>
  </si>
  <si>
    <t>00908669312</t>
  </si>
  <si>
    <t>JARBES LUCIANO COLONIESE</t>
  </si>
  <si>
    <t>88071197904</t>
  </si>
  <si>
    <t>01844516663</t>
  </si>
  <si>
    <t>JEAN CARLOS SALES DA FONSECA</t>
  </si>
  <si>
    <t>42345138572</t>
  </si>
  <si>
    <t>02696285746</t>
  </si>
  <si>
    <t>JEFERSON CRISTIANO BURAK</t>
  </si>
  <si>
    <t>03718777924</t>
  </si>
  <si>
    <t>02372176600</t>
  </si>
  <si>
    <t>27550973881</t>
  </si>
  <si>
    <t>02397775096</t>
  </si>
  <si>
    <t>JEFERSON RICARDO DA SILVA</t>
  </si>
  <si>
    <t>14044042870</t>
  </si>
  <si>
    <t>03970283803</t>
  </si>
  <si>
    <t>JEFERSON SCHMITZ</t>
  </si>
  <si>
    <t>09768362979</t>
  </si>
  <si>
    <t>05739347709</t>
  </si>
  <si>
    <t>JHONATHAS ANDERSON SANTANA ALMEIDA</t>
  </si>
  <si>
    <t>36023291864</t>
  </si>
  <si>
    <t>04909240394</t>
  </si>
  <si>
    <t>JHONNY ENRIQUE BERMUDEZ DAVID</t>
  </si>
  <si>
    <t>70658229230</t>
  </si>
  <si>
    <t>07374902147</t>
  </si>
  <si>
    <t>16955497839</t>
  </si>
  <si>
    <t>JOAO ABEL ULINSKI</t>
  </si>
  <si>
    <t>58258671987</t>
  </si>
  <si>
    <t>03317869990</t>
  </si>
  <si>
    <t>JOAO ADEMAR BERLESI</t>
  </si>
  <si>
    <t>42891663004</t>
  </si>
  <si>
    <t>03692404448</t>
  </si>
  <si>
    <t>JOAO ANTONIO RIBEIRO SANTANA JUNIOR</t>
  </si>
  <si>
    <t>25355344879</t>
  </si>
  <si>
    <t>02417540406</t>
  </si>
  <si>
    <t>JOAO BATISTA VALERIANO</t>
  </si>
  <si>
    <t>16612151811</t>
  </si>
  <si>
    <t>01055332889</t>
  </si>
  <si>
    <t>JOAO BEZERRA RODRIGUES</t>
  </si>
  <si>
    <t>77301765215</t>
  </si>
  <si>
    <t>04296910814</t>
  </si>
  <si>
    <t>JOÃO BUARQUE VANDERLEI NETO</t>
  </si>
  <si>
    <t>10055519440</t>
  </si>
  <si>
    <t>06096671479</t>
  </si>
  <si>
    <t>JOAO CARLOS PEREIRA MENEZES</t>
  </si>
  <si>
    <t>15244234838</t>
  </si>
  <si>
    <t>02435313750</t>
  </si>
  <si>
    <t>JOÃO FLAVIO GUEDES DE SOUZA</t>
  </si>
  <si>
    <t>54158494915</t>
  </si>
  <si>
    <t>01357455690</t>
  </si>
  <si>
    <t>JOAO FORTES</t>
  </si>
  <si>
    <t>54553725800</t>
  </si>
  <si>
    <t>02326027227</t>
  </si>
  <si>
    <t>JOAO FRANCISCO FREITAS DA SILVA</t>
  </si>
  <si>
    <t>75616874000</t>
  </si>
  <si>
    <t>01103454582</t>
  </si>
  <si>
    <t>JOAO GONÇALVES ALVES</t>
  </si>
  <si>
    <t>71890785415</t>
  </si>
  <si>
    <t>00654909146</t>
  </si>
  <si>
    <t>JOÃO PAULO AUGUSTO FERNANDES</t>
  </si>
  <si>
    <t>27903245813</t>
  </si>
  <si>
    <t>01210146016</t>
  </si>
  <si>
    <t>JOÃO PAULO DE ARAUJO</t>
  </si>
  <si>
    <t>08931707800</t>
  </si>
  <si>
    <t>03622772645</t>
  </si>
  <si>
    <t>JOÃO PAULO FERREIRA FRANCISCO</t>
  </si>
  <si>
    <t>07060571639</t>
  </si>
  <si>
    <t>06501804299</t>
  </si>
  <si>
    <t>JOÃO PAULO FLORIANO CARDOSO</t>
  </si>
  <si>
    <t>14543507843</t>
  </si>
  <si>
    <t>02146804304</t>
  </si>
  <si>
    <t>JOAO VICTOR OLIVEIRA SILVA</t>
  </si>
  <si>
    <t>47220311850</t>
  </si>
  <si>
    <t>07467818194</t>
  </si>
  <si>
    <t>JOEL ROSENDO ISABEL</t>
  </si>
  <si>
    <t>58996869953</t>
  </si>
  <si>
    <t>01972333628</t>
  </si>
  <si>
    <t>JONAS NUNES DA SILVA</t>
  </si>
  <si>
    <t>09097541956</t>
  </si>
  <si>
    <t>05539501286</t>
  </si>
  <si>
    <t>JORGE ALFREDO WEICH</t>
  </si>
  <si>
    <t>35154764072</t>
  </si>
  <si>
    <t>02203194308</t>
  </si>
  <si>
    <t>JORGE LUIZ RECZKIEGEL</t>
  </si>
  <si>
    <t>12280712091</t>
  </si>
  <si>
    <t>0020401337</t>
  </si>
  <si>
    <t>JORGE MAIA</t>
  </si>
  <si>
    <t>44302525053</t>
  </si>
  <si>
    <t>00409012709</t>
  </si>
  <si>
    <t>JOSE AILTON BISPO NOVAIS</t>
  </si>
  <si>
    <t>30462646823</t>
  </si>
  <si>
    <t>01518907184</t>
  </si>
  <si>
    <t>JOSE ALMIR DA GRACA</t>
  </si>
  <si>
    <t>58487816568</t>
  </si>
  <si>
    <t>02052265812</t>
  </si>
  <si>
    <t>JOSE ALVES DE ASSUNÇÃO</t>
  </si>
  <si>
    <t>60381434591</t>
  </si>
  <si>
    <t>01681793983</t>
  </si>
  <si>
    <t>JOSE AMARAL DE CARVALHO SANTOS</t>
  </si>
  <si>
    <t>95227407568</t>
  </si>
  <si>
    <t>04679654329</t>
  </si>
  <si>
    <t>JOSE ANSELMO PEREIRA DE JESUS</t>
  </si>
  <si>
    <t>07781986857</t>
  </si>
  <si>
    <t>01637322370</t>
  </si>
  <si>
    <t>JOSE ANTONIO DO NASCIMENTO</t>
  </si>
  <si>
    <t>02816217485</t>
  </si>
  <si>
    <t>00482196194</t>
  </si>
  <si>
    <t>JOSE ANTONIO VALDERRAMA</t>
  </si>
  <si>
    <t>70933314248</t>
  </si>
  <si>
    <t>07496047403</t>
  </si>
  <si>
    <t>JOSE APARECIDO DE PAULA</t>
  </si>
  <si>
    <t>02964390886</t>
  </si>
  <si>
    <t>01596642137</t>
  </si>
  <si>
    <t>JOSE CARLOS CRUZ DE ARAUJO</t>
  </si>
  <si>
    <t>00749919493</t>
  </si>
  <si>
    <t>01147685660</t>
  </si>
  <si>
    <t>JOSE CARLOS FERREIRA DA ROCHA JUNIOR</t>
  </si>
  <si>
    <t>12352719860</t>
  </si>
  <si>
    <t>01746145050</t>
  </si>
  <si>
    <t>JOSE EDGAR DE SOUZA</t>
  </si>
  <si>
    <t>22436496838</t>
  </si>
  <si>
    <t>01190403366</t>
  </si>
  <si>
    <t>JOSE EUSTAQUIO DA FONSECA</t>
  </si>
  <si>
    <t>94516189615</t>
  </si>
  <si>
    <t>02131336805</t>
  </si>
  <si>
    <t>JOSE EVERALDO BARBOSA</t>
  </si>
  <si>
    <t>08733088918</t>
  </si>
  <si>
    <t>04834173806</t>
  </si>
  <si>
    <t>JOSE FERNANDO CARNAROLI</t>
  </si>
  <si>
    <t>29888291874</t>
  </si>
  <si>
    <t>00866784178</t>
  </si>
  <si>
    <t>JOSE FERNANDO DE FREITAS</t>
  </si>
  <si>
    <t>17473156802</t>
  </si>
  <si>
    <t>03410901744</t>
  </si>
  <si>
    <t>JOSE FERREIRA DA SILVA</t>
  </si>
  <si>
    <t>03783887895</t>
  </si>
  <si>
    <t>01728244385</t>
  </si>
  <si>
    <t>JOSE GREGORIO MENDOZA MARTINEZ</t>
  </si>
  <si>
    <t>70687349281</t>
  </si>
  <si>
    <t>07500323166</t>
  </si>
  <si>
    <t>JOSE HELENO DOS SANTOS</t>
  </si>
  <si>
    <t>07269946850</t>
  </si>
  <si>
    <t>02416631271</t>
  </si>
  <si>
    <t>JOSE HOZANO ANDRADE CORREIA</t>
  </si>
  <si>
    <t>90926137549</t>
  </si>
  <si>
    <t>02268466975</t>
  </si>
  <si>
    <t>JOSÉ JORGE ABREU SILVA</t>
  </si>
  <si>
    <t>61991678568</t>
  </si>
  <si>
    <t>02486536424</t>
  </si>
  <si>
    <t>15284965825</t>
  </si>
  <si>
    <t>JOSELITO DIAS DA SILVA</t>
  </si>
  <si>
    <t>10102849838</t>
  </si>
  <si>
    <t>03116523887</t>
  </si>
  <si>
    <t>JOSE LOURENCO DA SILVA VASCONCELOS</t>
  </si>
  <si>
    <t>49533568453</t>
  </si>
  <si>
    <t>00273334128</t>
  </si>
  <si>
    <t>JOSE LUIZ BARBOZA DA SILVA</t>
  </si>
  <si>
    <t>JOSE LUIZ BRUM DOS SANTOS</t>
  </si>
  <si>
    <t>01110749082</t>
  </si>
  <si>
    <t>03214446820</t>
  </si>
  <si>
    <t>JOSE LUIZ DA SILVA</t>
  </si>
  <si>
    <t>08658168832</t>
  </si>
  <si>
    <t>02434660360</t>
  </si>
  <si>
    <t>JOSE LUIZ DE OLIVEIRA</t>
  </si>
  <si>
    <t>12127886801</t>
  </si>
  <si>
    <t>03844127276</t>
  </si>
  <si>
    <t>JOSE LUIZ PEREIRA</t>
  </si>
  <si>
    <t>16397272800</t>
  </si>
  <si>
    <t>01259121878</t>
  </si>
  <si>
    <t>JOSE LUIZ RIBEIRO</t>
  </si>
  <si>
    <t>38943115920</t>
  </si>
  <si>
    <t>00907724852</t>
  </si>
  <si>
    <t>JOSE MANOEL DE SOUZA NETO</t>
  </si>
  <si>
    <t>37324176895</t>
  </si>
  <si>
    <t>04201150602</t>
  </si>
  <si>
    <t>29656377885</t>
  </si>
  <si>
    <t>JOSE MOREIRA PENTEADO</t>
  </si>
  <si>
    <t>06088490900</t>
  </si>
  <si>
    <t>00404279738</t>
  </si>
  <si>
    <t>JOSE PEDRO DE OLIVEIRA</t>
  </si>
  <si>
    <t>25703287820</t>
  </si>
  <si>
    <t>02631176520</t>
  </si>
  <si>
    <t>JOSE PEREIRA DA SILVA NETO</t>
  </si>
  <si>
    <t>52751082491</t>
  </si>
  <si>
    <t>03035385141</t>
  </si>
  <si>
    <t>66280400549</t>
  </si>
  <si>
    <t>00700068174</t>
  </si>
  <si>
    <t>JOSE ROBERTO LUCENA NETO</t>
  </si>
  <si>
    <t>16229354896</t>
  </si>
  <si>
    <t>02435928802</t>
  </si>
  <si>
    <t>JOSE ROBERTO NASCIMENTO</t>
  </si>
  <si>
    <t>69852707434</t>
  </si>
  <si>
    <t>02735635969</t>
  </si>
  <si>
    <t>JOSE ROMARIO SANTANA ALVES</t>
  </si>
  <si>
    <t>08943051581</t>
  </si>
  <si>
    <t>06958634464</t>
  </si>
  <si>
    <t>JOSE RUBENS RODRIGUES DE OLIVEIRA</t>
  </si>
  <si>
    <t>25182541880</t>
  </si>
  <si>
    <t>00818010393</t>
  </si>
  <si>
    <t>JOSE SOARES ALVES</t>
  </si>
  <si>
    <t>JOSE VITOR RIBEIRO</t>
  </si>
  <si>
    <t>53190394687</t>
  </si>
  <si>
    <t>02563302633</t>
  </si>
  <si>
    <t>JOSIAS DE BITENCOURT GOULART</t>
  </si>
  <si>
    <t>04655293993</t>
  </si>
  <si>
    <t>03026393567</t>
  </si>
  <si>
    <t>JOSIMAR PEREIRA DE ALMEIDA</t>
  </si>
  <si>
    <t>07827808905</t>
  </si>
  <si>
    <t>04403880430</t>
  </si>
  <si>
    <t>JOSIVALDO JOSE DA SILVA</t>
  </si>
  <si>
    <t>35933645818</t>
  </si>
  <si>
    <t>0420508802</t>
  </si>
  <si>
    <t>JOSUE MARINHO TIAGO DOS SANTOS</t>
  </si>
  <si>
    <t>40228390826</t>
  </si>
  <si>
    <t>06715262159</t>
  </si>
  <si>
    <t>JUCEMAR DA SILVA</t>
  </si>
  <si>
    <t>47602376900</t>
  </si>
  <si>
    <t>01039167638</t>
  </si>
  <si>
    <t>JUCERLEI FRANCISCO DAS CHAGAS</t>
  </si>
  <si>
    <t>62841858987</t>
  </si>
  <si>
    <t>00498953033</t>
  </si>
  <si>
    <t>JULIANO ALVES DA SILVA</t>
  </si>
  <si>
    <t>11082966614</t>
  </si>
  <si>
    <t>04704411670</t>
  </si>
  <si>
    <t>JULIANO DA SILVA ANDRADE</t>
  </si>
  <si>
    <t>32126599809</t>
  </si>
  <si>
    <t>02235804910</t>
  </si>
  <si>
    <t>JULIANO DOS SANTOS BOFIM</t>
  </si>
  <si>
    <t>40521235812</t>
  </si>
  <si>
    <t>05807837430</t>
  </si>
  <si>
    <t>JULIANO VAZ DOS SANTOS</t>
  </si>
  <si>
    <t>72202602968</t>
  </si>
  <si>
    <t>01659724244</t>
  </si>
  <si>
    <t>JULIO CESAR DA SILVA</t>
  </si>
  <si>
    <t>00771656165</t>
  </si>
  <si>
    <t>04953810002</t>
  </si>
  <si>
    <t>JULIO CESAR DA SILVA SANTOS</t>
  </si>
  <si>
    <t>28444194883</t>
  </si>
  <si>
    <t>02586890907</t>
  </si>
  <si>
    <t>JULIO CESAR GONÇALVES MONTEIRO</t>
  </si>
  <si>
    <t>03876476941</t>
  </si>
  <si>
    <t>02869029450</t>
  </si>
  <si>
    <t>JULIO FERNANDES NETO</t>
  </si>
  <si>
    <t>22109161949</t>
  </si>
  <si>
    <t>01460416920</t>
  </si>
  <si>
    <t>JULIO JOSE BARBOSA</t>
  </si>
  <si>
    <t>15516499852</t>
  </si>
  <si>
    <t>00849138778</t>
  </si>
  <si>
    <t>JUVENAL VITAL PACHECO</t>
  </si>
  <si>
    <t>29338565904</t>
  </si>
  <si>
    <t>01047325515</t>
  </si>
  <si>
    <t>KLEBER DE SOUZA SANTOS</t>
  </si>
  <si>
    <t>81971974668</t>
  </si>
  <si>
    <t>00915983171</t>
  </si>
  <si>
    <t>26224234892</t>
  </si>
  <si>
    <t>03264892037</t>
  </si>
  <si>
    <t>KLEBER LUIZ CAVALCANTE</t>
  </si>
  <si>
    <t>35366756898</t>
  </si>
  <si>
    <t>03399388869</t>
  </si>
  <si>
    <t>LAERCIO GARCIA</t>
  </si>
  <si>
    <t>06172127837</t>
  </si>
  <si>
    <t>02176487612</t>
  </si>
  <si>
    <t>LAUDIR JOSE ANDRADE</t>
  </si>
  <si>
    <t>55053173915</t>
  </si>
  <si>
    <t>02651155892</t>
  </si>
  <si>
    <t>LAURENTINO MOURA COSTA</t>
  </si>
  <si>
    <t>22590366949</t>
  </si>
  <si>
    <t>01169419120</t>
  </si>
  <si>
    <t>LEAN CESAR LEITE FERREIRA</t>
  </si>
  <si>
    <t>09062253962</t>
  </si>
  <si>
    <t>05135075223</t>
  </si>
  <si>
    <t>LEANDRO DUARTE ALVES</t>
  </si>
  <si>
    <t>30366489844</t>
  </si>
  <si>
    <t>01471618050</t>
  </si>
  <si>
    <t>LEANDRO FERNANDES CANDIDO</t>
  </si>
  <si>
    <t>27046349800</t>
  </si>
  <si>
    <t>01211307819</t>
  </si>
  <si>
    <t>LEANDRO GONCALVES SERRAO</t>
  </si>
  <si>
    <t>17841077866</t>
  </si>
  <si>
    <t>00668256877</t>
  </si>
  <si>
    <t>32653447894</t>
  </si>
  <si>
    <t>04359741930</t>
  </si>
  <si>
    <t>LEANDRO MAURICIO MONSO PERES</t>
  </si>
  <si>
    <t>32741027846</t>
  </si>
  <si>
    <t>03493755422</t>
  </si>
  <si>
    <t>LEANDRO NASCIMENTO LIMA</t>
  </si>
  <si>
    <t>31798854830</t>
  </si>
  <si>
    <t>02611831570</t>
  </si>
  <si>
    <t>LEANDRO QUEIROZ</t>
  </si>
  <si>
    <t>28997498894</t>
  </si>
  <si>
    <t>0</t>
  </si>
  <si>
    <t>LEANDRO SANTOS DE AMORIM</t>
  </si>
  <si>
    <t>31399828878</t>
  </si>
  <si>
    <t>01837880206</t>
  </si>
  <si>
    <t>LEANDRO SILLES DE JESUS</t>
  </si>
  <si>
    <t>31649111819</t>
  </si>
  <si>
    <t>02369151845</t>
  </si>
  <si>
    <t>LEONARDO APARECIDO RONQUI DE OLIVEIRA</t>
  </si>
  <si>
    <t>38475031897</t>
  </si>
  <si>
    <t>04643628505</t>
  </si>
  <si>
    <t>LEONARDO CLIMACO DOS SANTOS</t>
  </si>
  <si>
    <t>31432949810</t>
  </si>
  <si>
    <t>02536093999</t>
  </si>
  <si>
    <t>LEONARDO DE JESUS SANTOS</t>
  </si>
  <si>
    <t>32459182830</t>
  </si>
  <si>
    <t>03319859302</t>
  </si>
  <si>
    <t>LEONARDO HENRIQUE SANCHES</t>
  </si>
  <si>
    <t>33402234831</t>
  </si>
  <si>
    <t>02687926087</t>
  </si>
  <si>
    <t>LEONARDO MURARI TURCHETI</t>
  </si>
  <si>
    <t>40893548898</t>
  </si>
  <si>
    <t>05151042762</t>
  </si>
  <si>
    <t>LEONARDO RODRIGUES LISBOA</t>
  </si>
  <si>
    <t>92769934015</t>
  </si>
  <si>
    <t>00493858945</t>
  </si>
  <si>
    <t>LINDOMAR SILVA DE OLIVEIRA</t>
  </si>
  <si>
    <t>41821777549</t>
  </si>
  <si>
    <t>01958895451</t>
  </si>
  <si>
    <t>LISANDRO FLORENCE VIEIRA</t>
  </si>
  <si>
    <t>61220132004</t>
  </si>
  <si>
    <t>02930853950</t>
  </si>
  <si>
    <t>13358151808</t>
  </si>
  <si>
    <t>00878509331</t>
  </si>
  <si>
    <t>LUANA LOURENCO</t>
  </si>
  <si>
    <t>10518931943</t>
  </si>
  <si>
    <t>06829399866</t>
  </si>
  <si>
    <t>LUCAS CEZARIO DE OLIVEIRA</t>
  </si>
  <si>
    <t>30177712880</t>
  </si>
  <si>
    <t>03060956357</t>
  </si>
  <si>
    <t>LUCAS DE SOUZA MELLO</t>
  </si>
  <si>
    <t>43595819802</t>
  </si>
  <si>
    <t>058058669953</t>
  </si>
  <si>
    <t>LUCAS GILBRAM DOS SANTOS</t>
  </si>
  <si>
    <t>33625106809</t>
  </si>
  <si>
    <t>06900108324</t>
  </si>
  <si>
    <t>LUCAS RAFAEL DE LIMA</t>
  </si>
  <si>
    <t>34446790846</t>
  </si>
  <si>
    <t>03490091700</t>
  </si>
  <si>
    <t>LUCIANO APARECIDO SIMOES DE OLIVEIRA</t>
  </si>
  <si>
    <t>09799207878</t>
  </si>
  <si>
    <t>01746281465</t>
  </si>
  <si>
    <t>16250459804</t>
  </si>
  <si>
    <t>02012565363</t>
  </si>
  <si>
    <t>LUCIANO DE SOUSA SILVA</t>
  </si>
  <si>
    <t>14798874809</t>
  </si>
  <si>
    <t>02111102101</t>
  </si>
  <si>
    <t>LUCIANO JOSE MARTIN</t>
  </si>
  <si>
    <t>77367871900</t>
  </si>
  <si>
    <t>01443139512</t>
  </si>
  <si>
    <t>21381752861</t>
  </si>
  <si>
    <t>01114110481</t>
  </si>
  <si>
    <t>LUCIANO TELESCA AMORIM</t>
  </si>
  <si>
    <t>35358212825</t>
  </si>
  <si>
    <t>03647801609</t>
  </si>
  <si>
    <t>LUCIANO VIEIRA DOS SANTOS VASQUEZ</t>
  </si>
  <si>
    <t>16960133807</t>
  </si>
  <si>
    <t>01382733098</t>
  </si>
  <si>
    <t>LUCIO NUNES DA SILVA</t>
  </si>
  <si>
    <t>02933204975</t>
  </si>
  <si>
    <t>03683823859</t>
  </si>
  <si>
    <t>LUIS ADRIANO ROSA</t>
  </si>
  <si>
    <t>08219805994</t>
  </si>
  <si>
    <t>04675487086</t>
  </si>
  <si>
    <t>LUIS ANTONIO DONIZETE DA SILVA</t>
  </si>
  <si>
    <t>10915830809</t>
  </si>
  <si>
    <t>02606647616</t>
  </si>
  <si>
    <t>LUIS CARLOS PROENCA DA COSTA JUNIOR</t>
  </si>
  <si>
    <t>11431224618</t>
  </si>
  <si>
    <t>07386791473</t>
  </si>
  <si>
    <t>LUIS ROBERTO SOARES MOURA</t>
  </si>
  <si>
    <t>30885908805</t>
  </si>
  <si>
    <t>03130880399</t>
  </si>
  <si>
    <t>LUIZ ANTONIO BARBOSA AZEVEDO</t>
  </si>
  <si>
    <t>02539882846</t>
  </si>
  <si>
    <t>01940822501</t>
  </si>
  <si>
    <t>LUIZ ANTONIO DA SILVA</t>
  </si>
  <si>
    <t>08727261859</t>
  </si>
  <si>
    <t>LUIZ AUGUSTO DA SILVA</t>
  </si>
  <si>
    <t>08536991860</t>
  </si>
  <si>
    <t>01825638515</t>
  </si>
  <si>
    <t>LUIZ CARLOS ALVES BARBOSA</t>
  </si>
  <si>
    <t>05898405925</t>
  </si>
  <si>
    <t>06035786342</t>
  </si>
  <si>
    <t>LUIZ CARLOS BATISTA GONÇALVES</t>
  </si>
  <si>
    <t>29430937855</t>
  </si>
  <si>
    <t>0208048648</t>
  </si>
  <si>
    <t>LUIZ CARLOS DA SILVA</t>
  </si>
  <si>
    <t>73347450868</t>
  </si>
  <si>
    <t>02737461003</t>
  </si>
  <si>
    <t>LUIZ CARLOS GONÇALVES PONTE</t>
  </si>
  <si>
    <t>30160836808</t>
  </si>
  <si>
    <t>03116717792</t>
  </si>
  <si>
    <t>LUIZ FERNANDO FRANCA EUGENIO</t>
  </si>
  <si>
    <t>06166317905</t>
  </si>
  <si>
    <t>06414249086</t>
  </si>
  <si>
    <t>LUIZ GUSTAVO SANTANA ALEXANDRE</t>
  </si>
  <si>
    <t>19279107810</t>
  </si>
  <si>
    <t>01002610896</t>
  </si>
  <si>
    <t>LUIZ PAULO PINHEIRO</t>
  </si>
  <si>
    <t>35038393802</t>
  </si>
  <si>
    <t>04138941815</t>
  </si>
  <si>
    <t>MAGNO APARECIDO BORGES DOS SANTO</t>
  </si>
  <si>
    <t>10838247830</t>
  </si>
  <si>
    <t>00761673310</t>
  </si>
  <si>
    <t>MAICON LUIS PEREIRA</t>
  </si>
  <si>
    <t>04723083944</t>
  </si>
  <si>
    <t>03228815582</t>
  </si>
  <si>
    <t>MAIKO CRISTIANO WEIS</t>
  </si>
  <si>
    <t>08086706974</t>
  </si>
  <si>
    <t>05095755304</t>
  </si>
  <si>
    <t>MAIKO DE OLIVEIRA SILVA</t>
  </si>
  <si>
    <t>35843283810</t>
  </si>
  <si>
    <t>03576851261</t>
  </si>
  <si>
    <t>MANOEL ALVES DA SILVA FILHO</t>
  </si>
  <si>
    <t>01011236397</t>
  </si>
  <si>
    <t>04876447159</t>
  </si>
  <si>
    <t>MANOEL ARRUDA FURTADO</t>
  </si>
  <si>
    <t>71624570453</t>
  </si>
  <si>
    <t>00820133871</t>
  </si>
  <si>
    <t>MANOEL MESSIAS DE JESUS ANDRADE</t>
  </si>
  <si>
    <t>87525208549</t>
  </si>
  <si>
    <t>02408066486</t>
  </si>
  <si>
    <t>MANOEL PAULO DA SILVA</t>
  </si>
  <si>
    <t>10167437852</t>
  </si>
  <si>
    <t>03458234375</t>
  </si>
  <si>
    <t>MANUEL VICENTE FRANCO PAEZ</t>
  </si>
  <si>
    <t>80176405950</t>
  </si>
  <si>
    <t>07897165354</t>
  </si>
  <si>
    <t>MARCELO AFFELDT</t>
  </si>
  <si>
    <t>00105446076</t>
  </si>
  <si>
    <t>02248507952</t>
  </si>
  <si>
    <t>MARCELO AMORIM DE MENEZES</t>
  </si>
  <si>
    <t>33842285884</t>
  </si>
  <si>
    <t>03439704419</t>
  </si>
  <si>
    <t>58127445487</t>
  </si>
  <si>
    <t>01980826154</t>
  </si>
  <si>
    <t>MARCELO DIAS DOS SANTOS</t>
  </si>
  <si>
    <t>26436932801</t>
  </si>
  <si>
    <t>00649571336</t>
  </si>
  <si>
    <t>MARCELO DOS SANTOS OLIVEIRA</t>
  </si>
  <si>
    <t>94173761015</t>
  </si>
  <si>
    <t>03266140218</t>
  </si>
  <si>
    <t>MARCELO EPIFANIO</t>
  </si>
  <si>
    <t>MARCELO GIROME DA SILVA</t>
  </si>
  <si>
    <t>29694842859</t>
  </si>
  <si>
    <t>00815085222</t>
  </si>
  <si>
    <t>MARCELO HENRIQUE LOPES DE ALMEIDA</t>
  </si>
  <si>
    <t>44702705806</t>
  </si>
  <si>
    <t>06321704900</t>
  </si>
  <si>
    <t>MARCELO LUIZ MARTINS</t>
  </si>
  <si>
    <t>12430062852</t>
  </si>
  <si>
    <t>01910516136</t>
  </si>
  <si>
    <t>MARCELO NEVES PINTO</t>
  </si>
  <si>
    <t>22334745898</t>
  </si>
  <si>
    <t>01791302442</t>
  </si>
  <si>
    <t>MARCELO OLIVEIRA SILVA</t>
  </si>
  <si>
    <t>22647301883</t>
  </si>
  <si>
    <t>03526455545</t>
  </si>
  <si>
    <t>MARCELO SANTO SILVA</t>
  </si>
  <si>
    <t>09135888814</t>
  </si>
  <si>
    <t>00764084933</t>
  </si>
  <si>
    <t>MARCIO AFONSO</t>
  </si>
  <si>
    <t>27805129894</t>
  </si>
  <si>
    <t>00754423946</t>
  </si>
  <si>
    <t>MARCIO BARBOSA MENES</t>
  </si>
  <si>
    <t>29450291896</t>
  </si>
  <si>
    <t>01166976955</t>
  </si>
  <si>
    <t>MARCIO BATISTA SANTOS</t>
  </si>
  <si>
    <t>22271468850</t>
  </si>
  <si>
    <t>01368656800</t>
  </si>
  <si>
    <t>MARCIO BONIN</t>
  </si>
  <si>
    <t>87309157915</t>
  </si>
  <si>
    <t>00397630200</t>
  </si>
  <si>
    <t>MARCIO BRUNO DA SILVA SOARES</t>
  </si>
  <si>
    <t>38556395821</t>
  </si>
  <si>
    <t>04460839235</t>
  </si>
  <si>
    <t>MARCIO CANALI</t>
  </si>
  <si>
    <t>01001928075</t>
  </si>
  <si>
    <t>03439301082</t>
  </si>
  <si>
    <t>MARCIO CLAUDEMIR TEODORO DOS SANTOS</t>
  </si>
  <si>
    <t>05950328930</t>
  </si>
  <si>
    <t>03936286918</t>
  </si>
  <si>
    <t>MARCIO GOMES RODRIGUEZ</t>
  </si>
  <si>
    <t>29114186896</t>
  </si>
  <si>
    <t>01951660500</t>
  </si>
  <si>
    <t>MARCIO JOSE VARGAS</t>
  </si>
  <si>
    <t>03441307976</t>
  </si>
  <si>
    <t>01351563866</t>
  </si>
  <si>
    <t>14177245879</t>
  </si>
  <si>
    <t>MARCIO PEREIRA DA ROCHA</t>
  </si>
  <si>
    <t>74820885200</t>
  </si>
  <si>
    <t>03136665545</t>
  </si>
  <si>
    <t>MARCIO TIBURCIO DE OLIVEIRA</t>
  </si>
  <si>
    <t>51550881191</t>
  </si>
  <si>
    <t>01259742428</t>
  </si>
  <si>
    <t>MARCIO WILLIAN FERREIRA MENDES</t>
  </si>
  <si>
    <t>20600725812</t>
  </si>
  <si>
    <t>02694762946</t>
  </si>
  <si>
    <t>MARCO ANTONIO AGALVES</t>
  </si>
  <si>
    <t>08197858810</t>
  </si>
  <si>
    <t>01313400885</t>
  </si>
  <si>
    <t>MARCO ANTONIO ALVES</t>
  </si>
  <si>
    <t>10625772806</t>
  </si>
  <si>
    <t>01022020582</t>
  </si>
  <si>
    <t>MARCO ANTONIO VARELLA SCHERER</t>
  </si>
  <si>
    <t>22568239034</t>
  </si>
  <si>
    <t>01033560790</t>
  </si>
  <si>
    <t>09221836860</t>
  </si>
  <si>
    <t>01994346710</t>
  </si>
  <si>
    <t>MARCOS ALESSIO DE SOUZA VIEIRA</t>
  </si>
  <si>
    <t>43966893819</t>
  </si>
  <si>
    <t>05863196692</t>
  </si>
  <si>
    <t>MARCOS ALVES</t>
  </si>
  <si>
    <t>08745433801</t>
  </si>
  <si>
    <t>02678587779</t>
  </si>
  <si>
    <t>07462993899</t>
  </si>
  <si>
    <t>MARCOS BARBOSA DA SILVA</t>
  </si>
  <si>
    <t>03345101475</t>
  </si>
  <si>
    <t>04032010633</t>
  </si>
  <si>
    <t>05820198859</t>
  </si>
  <si>
    <t>02745626246</t>
  </si>
  <si>
    <t>MARCOS DOS SANTOS BARBOZA</t>
  </si>
  <si>
    <t>35391122864</t>
  </si>
  <si>
    <t>03728815380</t>
  </si>
  <si>
    <t>MARCOS EVANDRO DAMASCENO DREHER</t>
  </si>
  <si>
    <t>62284754015</t>
  </si>
  <si>
    <t>00264247602</t>
  </si>
  <si>
    <t>MARCOS JOSE BEZERRA</t>
  </si>
  <si>
    <t>03073797955</t>
  </si>
  <si>
    <t>00356157926</t>
  </si>
  <si>
    <t>MARCOS LANGE</t>
  </si>
  <si>
    <t>00408498994</t>
  </si>
  <si>
    <t>00919055186</t>
  </si>
  <si>
    <t>MARCOS MAGNO DA ROCHA</t>
  </si>
  <si>
    <t>16949886861</t>
  </si>
  <si>
    <t>0240154302</t>
  </si>
  <si>
    <t>MARCOS ROBERTO BATISTA DA SILVA</t>
  </si>
  <si>
    <t>15892826805</t>
  </si>
  <si>
    <t>05177294686</t>
  </si>
  <si>
    <t>MARCOS ROBERTO FERNANDES DA ROCHA</t>
  </si>
  <si>
    <t>25890197851</t>
  </si>
  <si>
    <t>02072912900</t>
  </si>
  <si>
    <t>MARCOS ROBERTO NEVES</t>
  </si>
  <si>
    <t>14222017833</t>
  </si>
  <si>
    <t>01855573127</t>
  </si>
  <si>
    <t>MARCOS SERGIO FERREIRA</t>
  </si>
  <si>
    <t>27253086821</t>
  </si>
  <si>
    <t>01519048349</t>
  </si>
  <si>
    <t>MARCOS VINICIOS MARTELINI CAMARGO</t>
  </si>
  <si>
    <t>21932043810</t>
  </si>
  <si>
    <t>00862867908</t>
  </si>
  <si>
    <t>MARCOS VINICIUS RIBEIRO</t>
  </si>
  <si>
    <t>22469306850</t>
  </si>
  <si>
    <t>02868741919</t>
  </si>
  <si>
    <t>MARCUS VINICIUS GONÇALVES FORTE</t>
  </si>
  <si>
    <t>50861438884</t>
  </si>
  <si>
    <t>07424391473</t>
  </si>
  <si>
    <t>MARCUS VINICIUS SCOTTI SCHERER</t>
  </si>
  <si>
    <t>00112196020</t>
  </si>
  <si>
    <t>01331982179</t>
  </si>
  <si>
    <t>MARIO BARBOZA</t>
  </si>
  <si>
    <t>24822821870</t>
  </si>
  <si>
    <t>01888370207</t>
  </si>
  <si>
    <t>MARIO CESAR LOPES</t>
  </si>
  <si>
    <t>50957104987</t>
  </si>
  <si>
    <t>02163137028</t>
  </si>
  <si>
    <t>MARIO DE OLIVEIRA</t>
  </si>
  <si>
    <t>01847510809</t>
  </si>
  <si>
    <t>01391434559</t>
  </si>
  <si>
    <t>MARIO MARQUES DE OLIVEIRA</t>
  </si>
  <si>
    <t>05079401990</t>
  </si>
  <si>
    <t>03339083177</t>
  </si>
  <si>
    <t>MARIO UBIRAJARA BERMUDES CARRASCO JUNIOR</t>
  </si>
  <si>
    <t>03491754976</t>
  </si>
  <si>
    <t>01778532515</t>
  </si>
  <si>
    <t>MATEUS LEITE CARDOSO</t>
  </si>
  <si>
    <t>79499139591</t>
  </si>
  <si>
    <t>01251388547</t>
  </si>
  <si>
    <t>MATEUS PEDRO ROQUE</t>
  </si>
  <si>
    <t>03885472945</t>
  </si>
  <si>
    <t>04363359406</t>
  </si>
  <si>
    <t>MATHEUS ALVES DOS SANTOS</t>
  </si>
  <si>
    <t>40608503819</t>
  </si>
  <si>
    <t>06760701312</t>
  </si>
  <si>
    <t>MATHEUS LAMEIRO DIZ</t>
  </si>
  <si>
    <t>43793637832</t>
  </si>
  <si>
    <t>06238093328</t>
  </si>
  <si>
    <t>MATHEUS PAULO PADILHA</t>
  </si>
  <si>
    <t>08961323903</t>
  </si>
  <si>
    <t>05637841604</t>
  </si>
  <si>
    <t>MAURICIO MINGORANCE</t>
  </si>
  <si>
    <t>04563677809</t>
  </si>
  <si>
    <t>02605301203</t>
  </si>
  <si>
    <t>MAURO ALVES DE PAULA</t>
  </si>
  <si>
    <t>14083511885</t>
  </si>
  <si>
    <t>02688362261</t>
  </si>
  <si>
    <t>MAURO ANDRE GUERRA</t>
  </si>
  <si>
    <t>MAYCON NAYTE DE FATIMA</t>
  </si>
  <si>
    <t>06736877679</t>
  </si>
  <si>
    <t>04811592734</t>
  </si>
  <si>
    <t>MICHEL DE LIMA PORTO</t>
  </si>
  <si>
    <t>22899807811</t>
  </si>
  <si>
    <t>MILECIO MARMO MOURA</t>
  </si>
  <si>
    <t>00554992604</t>
  </si>
  <si>
    <t>02620608884</t>
  </si>
  <si>
    <t>MILTON MARQUES JUNIOR</t>
  </si>
  <si>
    <t>10842230823</t>
  </si>
  <si>
    <t>00736355906</t>
  </si>
  <si>
    <t>MOACIR BETTIOL</t>
  </si>
  <si>
    <t>43305539968</t>
  </si>
  <si>
    <t>03081614352</t>
  </si>
  <si>
    <t>MOACIR DOMINGUES FABBRIS</t>
  </si>
  <si>
    <t>31347301895</t>
  </si>
  <si>
    <t>01764744840</t>
  </si>
  <si>
    <t>MOACIR GOMES DOS SANTOS JUNIOR</t>
  </si>
  <si>
    <t>29898180811</t>
  </si>
  <si>
    <t>02497725233</t>
  </si>
  <si>
    <t>MOACIR JOSE DE LIMA</t>
  </si>
  <si>
    <t>02693407427</t>
  </si>
  <si>
    <t>00355375311</t>
  </si>
  <si>
    <t>MOISES ALVES DE OLIVEIRA</t>
  </si>
  <si>
    <t>08254568863</t>
  </si>
  <si>
    <t>02488195639</t>
  </si>
  <si>
    <t>MURILO THOME FURLAN</t>
  </si>
  <si>
    <t>02456477162</t>
  </si>
  <si>
    <t>04183411802</t>
  </si>
  <si>
    <t>NANIEL CELESTINO DE LIMA</t>
  </si>
  <si>
    <t>51609851404</t>
  </si>
  <si>
    <t>02212007053</t>
  </si>
  <si>
    <t>NARDI MANOEL DA SILVA</t>
  </si>
  <si>
    <t>10013806904</t>
  </si>
  <si>
    <t>02284333379</t>
  </si>
  <si>
    <t>NATALIO RUDINEI CARVALHO DA ROSA</t>
  </si>
  <si>
    <t>94829233087</t>
  </si>
  <si>
    <t>00189820394</t>
  </si>
  <si>
    <t>NATANAEL AURELIO DE SANTANA</t>
  </si>
  <si>
    <t>22506984810</t>
  </si>
  <si>
    <t>02551109316</t>
  </si>
  <si>
    <t>NIELSEEN MOSCARDI FERNANDES</t>
  </si>
  <si>
    <t>28004162894</t>
  </si>
  <si>
    <t>00932931610</t>
  </si>
  <si>
    <t>NILSON APARECIDO PEREIRA</t>
  </si>
  <si>
    <t>30013137816</t>
  </si>
  <si>
    <t>03126923440</t>
  </si>
  <si>
    <t>NILSON FERNANDES</t>
  </si>
  <si>
    <t>97219231849</t>
  </si>
  <si>
    <t>01062631563</t>
  </si>
  <si>
    <t>NILSON FERREIRA RODRIGUES</t>
  </si>
  <si>
    <t>40566382768</t>
  </si>
  <si>
    <t>00329761169</t>
  </si>
  <si>
    <t>65921666572</t>
  </si>
  <si>
    <t>01775229802</t>
  </si>
  <si>
    <t>NITOR DE OLIVEIRA HOFFMANN</t>
  </si>
  <si>
    <t>96180692068</t>
  </si>
  <si>
    <t>00491110395</t>
  </si>
  <si>
    <t>NIVALDO SOUZA DE ARAUJO</t>
  </si>
  <si>
    <t>36264173878</t>
  </si>
  <si>
    <t>04538498960</t>
  </si>
  <si>
    <t>NUNO JULIAO NETO</t>
  </si>
  <si>
    <t>92714358853</t>
  </si>
  <si>
    <t>00865694881</t>
  </si>
  <si>
    <t>38875368864</t>
  </si>
  <si>
    <t>05266095697</t>
  </si>
  <si>
    <t>ODAIR BALDANI</t>
  </si>
  <si>
    <t>74994867887</t>
  </si>
  <si>
    <t>00842877694</t>
  </si>
  <si>
    <t>ODAIR DOS SANTOS ANDRADE JUNIOR</t>
  </si>
  <si>
    <t>09461887930</t>
  </si>
  <si>
    <t>06447471209</t>
  </si>
  <si>
    <t>OILSON ALVES DE RAMOS</t>
  </si>
  <si>
    <t>90550005153</t>
  </si>
  <si>
    <t>02081937077</t>
  </si>
  <si>
    <t>ONIVALDO RODRIGUES DE HARO</t>
  </si>
  <si>
    <t>18739504972</t>
  </si>
  <si>
    <t>02228814700</t>
  </si>
  <si>
    <t>OSCAR JOSE BARRERO GUTIERREZ</t>
  </si>
  <si>
    <t>71135805210</t>
  </si>
  <si>
    <t>07935660611</t>
  </si>
  <si>
    <t>OSMAR QUIRINO</t>
  </si>
  <si>
    <t>02427333956</t>
  </si>
  <si>
    <t>03937543801</t>
  </si>
  <si>
    <t>OSVALDO DO NASCIMENTO NETTO</t>
  </si>
  <si>
    <t>28876955844</t>
  </si>
  <si>
    <t>00752334749</t>
  </si>
  <si>
    <t>OSWALDO ANIBAL FILHO</t>
  </si>
  <si>
    <t>40764672720</t>
  </si>
  <si>
    <t>00107393325</t>
  </si>
  <si>
    <t>OTAIDES DAVI HUBL</t>
  </si>
  <si>
    <t>05027757930</t>
  </si>
  <si>
    <t>03440911074</t>
  </si>
  <si>
    <t>OTAVIO DE FREITAS ARAUJO</t>
  </si>
  <si>
    <t>32685147829</t>
  </si>
  <si>
    <t>02534193386</t>
  </si>
  <si>
    <t>OZEIAS LAZARO SILVA</t>
  </si>
  <si>
    <t>04653179956</t>
  </si>
  <si>
    <t>03854782430</t>
  </si>
  <si>
    <t>PASCOAL MAYER</t>
  </si>
  <si>
    <t>55672272991</t>
  </si>
  <si>
    <t>02557670840</t>
  </si>
  <si>
    <t>PAULO CAVALCANTI DA SILVA</t>
  </si>
  <si>
    <t>03027363441</t>
  </si>
  <si>
    <t>03352520238</t>
  </si>
  <si>
    <t>PAULO HENRIQUE DO CARMO MALUCELLO</t>
  </si>
  <si>
    <t>59017333987</t>
  </si>
  <si>
    <t>01280159520</t>
  </si>
  <si>
    <t>PAULO HENRIQUE MORAES</t>
  </si>
  <si>
    <t>08909446870</t>
  </si>
  <si>
    <t>01480002990</t>
  </si>
  <si>
    <t>PAULO HENRIQUE QUIRINO DA SILVA</t>
  </si>
  <si>
    <t>06029220896</t>
  </si>
  <si>
    <t>03173110302</t>
  </si>
  <si>
    <t>PAULO HENRIQUE VASCONCELOS DA SILVA</t>
  </si>
  <si>
    <t>23289838803</t>
  </si>
  <si>
    <t>05611986440</t>
  </si>
  <si>
    <t>PAULO KLEIS NETO</t>
  </si>
  <si>
    <t>00791125955</t>
  </si>
  <si>
    <t>01868967984</t>
  </si>
  <si>
    <t>29740449808</t>
  </si>
  <si>
    <t>00966188197</t>
  </si>
  <si>
    <t>82272140025</t>
  </si>
  <si>
    <t>04188273191</t>
  </si>
  <si>
    <t>PAULO ROBERTO BARBOSA</t>
  </si>
  <si>
    <t>10847819809</t>
  </si>
  <si>
    <t>00702176858</t>
  </si>
  <si>
    <t>PAULO ROBERTO DA SILVA</t>
  </si>
  <si>
    <t>43433375615</t>
  </si>
  <si>
    <t>01849598317</t>
  </si>
  <si>
    <t>PAULO ROBERTO NOGUEIRA DA SILVA</t>
  </si>
  <si>
    <t>65888162949</t>
  </si>
  <si>
    <t>01795493420</t>
  </si>
  <si>
    <t>PAULO RODRIGUES DA COSTA OLIVEIRA</t>
  </si>
  <si>
    <t>34936854832</t>
  </si>
  <si>
    <t>PEDRO FELIPE FERREIRA DA SILVA</t>
  </si>
  <si>
    <t>05730324324</t>
  </si>
  <si>
    <t>05906764666</t>
  </si>
  <si>
    <t>PEDRO JANARDE DE SOUZA</t>
  </si>
  <si>
    <t>07180169803</t>
  </si>
  <si>
    <t>02164594904</t>
  </si>
  <si>
    <t>PEDRO LUIZ KNOTH</t>
  </si>
  <si>
    <t>07641694837</t>
  </si>
  <si>
    <t>01374365103</t>
  </si>
  <si>
    <t>PHELIPE MOTA SANTOS SILVA</t>
  </si>
  <si>
    <t>41030475857</t>
  </si>
  <si>
    <t>07831776538</t>
  </si>
  <si>
    <t>PLINIO ANTONIO TOME CANDIDO</t>
  </si>
  <si>
    <t>31273372808</t>
  </si>
  <si>
    <t>02026458610</t>
  </si>
  <si>
    <t>RAFAEL BOZATTI</t>
  </si>
  <si>
    <t>30377785806</t>
  </si>
  <si>
    <t>04312466279</t>
  </si>
  <si>
    <t>RAFAEL CAETANO BARBARINE</t>
  </si>
  <si>
    <t>06004594970</t>
  </si>
  <si>
    <t>04126608990</t>
  </si>
  <si>
    <t>RAFAEL DOS SANTOS</t>
  </si>
  <si>
    <t>04620074993</t>
  </si>
  <si>
    <t>05818235813</t>
  </si>
  <si>
    <t>RAFAEL DOS SANTOS FERREIRA</t>
  </si>
  <si>
    <t>37306069802</t>
  </si>
  <si>
    <t>04297476202</t>
  </si>
  <si>
    <t>RAFAEL FERNANDES DA SILVA</t>
  </si>
  <si>
    <t>28722774807</t>
  </si>
  <si>
    <t>01341391778</t>
  </si>
  <si>
    <t>RAFAEL JOÃO DA SILVA SOUSA</t>
  </si>
  <si>
    <t>43233650809</t>
  </si>
  <si>
    <t>06221247695</t>
  </si>
  <si>
    <t>RAFAEL MARREIRA BATISTA</t>
  </si>
  <si>
    <t>42319244816</t>
  </si>
  <si>
    <t>05190079742</t>
  </si>
  <si>
    <t>RAFAEL MEDEIROS RODRIGUES</t>
  </si>
  <si>
    <t>95925376072</t>
  </si>
  <si>
    <t>00280324338</t>
  </si>
  <si>
    <t>RAFAEL RODRIGO DE MOURA</t>
  </si>
  <si>
    <t>03053445018</t>
  </si>
  <si>
    <t>05296099400</t>
  </si>
  <si>
    <t>RAFAEL SANTOS DA SILVA</t>
  </si>
  <si>
    <t>42919845888</t>
  </si>
  <si>
    <t>05494455404</t>
  </si>
  <si>
    <t>09779535802</t>
  </si>
  <si>
    <t>01600270575</t>
  </si>
  <si>
    <t>RAMON DE JESUS OCHOA MOY</t>
  </si>
  <si>
    <t>70921182201</t>
  </si>
  <si>
    <t>07480778761</t>
  </si>
  <si>
    <t>REGINALDO APARECIDO LOPES</t>
  </si>
  <si>
    <t>27854277850</t>
  </si>
  <si>
    <t>020601080960</t>
  </si>
  <si>
    <t>REGINALDO AUGUSTINHO GARCIA</t>
  </si>
  <si>
    <t>16856947801</t>
  </si>
  <si>
    <t>04131513707</t>
  </si>
  <si>
    <t>REGINALDO JOSE BARZON</t>
  </si>
  <si>
    <t>28468008800</t>
  </si>
  <si>
    <t>02138436962</t>
  </si>
  <si>
    <t>REGINALDO MORAIS</t>
  </si>
  <si>
    <t>22154798845</t>
  </si>
  <si>
    <t>00885437801</t>
  </si>
  <si>
    <t>REGINALDO NAGIB LAURENTINO</t>
  </si>
  <si>
    <t>77732154991</t>
  </si>
  <si>
    <t>01247123643</t>
  </si>
  <si>
    <t>REGINALDO PEREIRA</t>
  </si>
  <si>
    <t>23063722847</t>
  </si>
  <si>
    <t>04239601919</t>
  </si>
  <si>
    <t>24925823884</t>
  </si>
  <si>
    <t>03494669988</t>
  </si>
  <si>
    <t>REINALDO DE SOUZA</t>
  </si>
  <si>
    <t>18119772865</t>
  </si>
  <si>
    <t>03141344481</t>
  </si>
  <si>
    <t>RENAN DA SILVA FERNANDES</t>
  </si>
  <si>
    <t>08404760942</t>
  </si>
  <si>
    <t>05998552057</t>
  </si>
  <si>
    <t>RENAN FEMENIA DA SILVA</t>
  </si>
  <si>
    <t>44847000854</t>
  </si>
  <si>
    <t>05941129832</t>
  </si>
  <si>
    <t>RENATO FERREIRA</t>
  </si>
  <si>
    <t>RENATO JULIUGO ZANETTI</t>
  </si>
  <si>
    <t>26732869850</t>
  </si>
  <si>
    <t>00822313770</t>
  </si>
  <si>
    <t>RENATO VINELFREDO PAULA</t>
  </si>
  <si>
    <t>03615807626</t>
  </si>
  <si>
    <t>01795607758</t>
  </si>
  <si>
    <t>RICARDO ALMEIDA DE OLIVEIRA</t>
  </si>
  <si>
    <t>25930006865</t>
  </si>
  <si>
    <t>02125186125</t>
  </si>
  <si>
    <t>RICARDO APARECIDO DE OLIVEIRA FIGUEIREDO</t>
  </si>
  <si>
    <t>27178894857</t>
  </si>
  <si>
    <t>01250645009</t>
  </si>
  <si>
    <t>33985237816</t>
  </si>
  <si>
    <t>RICARDO GONCALVES</t>
  </si>
  <si>
    <t>02608976980</t>
  </si>
  <si>
    <t>02014577205</t>
  </si>
  <si>
    <t>RICARDO LOURENÇO DA SILVA</t>
  </si>
  <si>
    <t>95978151920</t>
  </si>
  <si>
    <t>01240136385</t>
  </si>
  <si>
    <t>RICARDO MARINHO DE LIMA</t>
  </si>
  <si>
    <t>29034467848</t>
  </si>
  <si>
    <t>00720134385</t>
  </si>
  <si>
    <t>RICARDO VICENTE</t>
  </si>
  <si>
    <t>26562920850</t>
  </si>
  <si>
    <t>02223757041</t>
  </si>
  <si>
    <t>RILBERTO JOSE DE ARRUDA</t>
  </si>
  <si>
    <t>04449477448</t>
  </si>
  <si>
    <t>03527214602</t>
  </si>
  <si>
    <t>RILDO CESAR SOARES</t>
  </si>
  <si>
    <t>06914514780</t>
  </si>
  <si>
    <t>00668553499</t>
  </si>
  <si>
    <t>RINALDO GARCIA</t>
  </si>
  <si>
    <t>07036496800</t>
  </si>
  <si>
    <t>02435363792</t>
  </si>
  <si>
    <t>ROBERTO DE ANDRADE</t>
  </si>
  <si>
    <t>28792055818</t>
  </si>
  <si>
    <t>01681685513</t>
  </si>
  <si>
    <t>ROBERTO HENRIQUE DA SILVA</t>
  </si>
  <si>
    <t>01055521941</t>
  </si>
  <si>
    <t>040227945382</t>
  </si>
  <si>
    <t>ROBERTO PEREIRA ALVES</t>
  </si>
  <si>
    <t>12120637830</t>
  </si>
  <si>
    <t>00824946499</t>
  </si>
  <si>
    <t>ROBERTO RODRIGUES</t>
  </si>
  <si>
    <t>10220081883</t>
  </si>
  <si>
    <t>01999269504</t>
  </si>
  <si>
    <t>ROBERTO TIAGO DE SOUZA FERREIRA</t>
  </si>
  <si>
    <t>28302722855</t>
  </si>
  <si>
    <t>00867437126</t>
  </si>
  <si>
    <t>ROBSON DE SOUZA MOREIRA</t>
  </si>
  <si>
    <t>16054467859</t>
  </si>
  <si>
    <t>02846920705</t>
  </si>
  <si>
    <t>ROBSON DOS SANTOS GALVAO</t>
  </si>
  <si>
    <t>32026868875</t>
  </si>
  <si>
    <t>03970256219</t>
  </si>
  <si>
    <t>ROBSON FRANCISCO DE SIQUEIRA</t>
  </si>
  <si>
    <t>10464003806</t>
  </si>
  <si>
    <t>01482177012</t>
  </si>
  <si>
    <t>ROBSON VITOR APARECIDO CASSIANO</t>
  </si>
  <si>
    <t>37301464835</t>
  </si>
  <si>
    <t>04374783080</t>
  </si>
  <si>
    <t>RODINALDO FLORES DOS SANTOS</t>
  </si>
  <si>
    <t>04605572970</t>
  </si>
  <si>
    <t>02644604241</t>
  </si>
  <si>
    <t>RODNEI ZANARDO</t>
  </si>
  <si>
    <t>29224079857</t>
  </si>
  <si>
    <t>01759597831</t>
  </si>
  <si>
    <t>RODRIGO AFONSO DE ALMEIDA</t>
  </si>
  <si>
    <t>28662383890</t>
  </si>
  <si>
    <t>04035651404</t>
  </si>
  <si>
    <t>RODRIGO BACCARO PAIXAO</t>
  </si>
  <si>
    <t>28687365802</t>
  </si>
  <si>
    <t>01211829785</t>
  </si>
  <si>
    <t>RODRIGO CARLOS DE OLIVEIRA</t>
  </si>
  <si>
    <t>30808165879</t>
  </si>
  <si>
    <t>04191624042</t>
  </si>
  <si>
    <t>RODRIGO DA ROSA PEDROSO</t>
  </si>
  <si>
    <t>04183092051</t>
  </si>
  <si>
    <t>06826926682</t>
  </si>
  <si>
    <t>RODRIGO DA SILVA</t>
  </si>
  <si>
    <t>00744292999</t>
  </si>
  <si>
    <t>04384151873</t>
  </si>
  <si>
    <t>30081786859</t>
  </si>
  <si>
    <t>RODRIGO JOSE STAMM</t>
  </si>
  <si>
    <t>95165240010</t>
  </si>
  <si>
    <t>01241964917</t>
  </si>
  <si>
    <t>RODRIGO JUNIOR MOREIRA</t>
  </si>
  <si>
    <t>33127127855</t>
  </si>
  <si>
    <t>03453672914</t>
  </si>
  <si>
    <t>RODRIGO PEDROSO</t>
  </si>
  <si>
    <t>35758508870</t>
  </si>
  <si>
    <t>04009717014</t>
  </si>
  <si>
    <t>RODRIGO RIBEIRO GARCIA</t>
  </si>
  <si>
    <t>15086248876</t>
  </si>
  <si>
    <t>01107911913</t>
  </si>
  <si>
    <t>RODRIGO THEODORO DA SILVA</t>
  </si>
  <si>
    <t>01924588927</t>
  </si>
  <si>
    <t>02037627141</t>
  </si>
  <si>
    <t>ROGERIO APARECIDO DA SILVA</t>
  </si>
  <si>
    <t>24584963851</t>
  </si>
  <si>
    <t>02634080984</t>
  </si>
  <si>
    <t>ROGERIO BANDEIRA DA SILVA</t>
  </si>
  <si>
    <t>62956981072</t>
  </si>
  <si>
    <t>00439355627</t>
  </si>
  <si>
    <t>ROGERIO BORGES DE CAMPOS</t>
  </si>
  <si>
    <t>16203805874</t>
  </si>
  <si>
    <t>02470711109</t>
  </si>
  <si>
    <t>01881738053</t>
  </si>
  <si>
    <t>ROGERIO CORREIA MESQUITA</t>
  </si>
  <si>
    <t>07025210862</t>
  </si>
  <si>
    <t>04042419702</t>
  </si>
  <si>
    <t>ROGERIO FERREIRA DE ARAUJO</t>
  </si>
  <si>
    <t>32997625831</t>
  </si>
  <si>
    <t>03247134306</t>
  </si>
  <si>
    <t>ROGERIO GONÇALVES</t>
  </si>
  <si>
    <t>06214552883</t>
  </si>
  <si>
    <t>02291117442</t>
  </si>
  <si>
    <t>ROGERIO MENDONCA PEREIRA</t>
  </si>
  <si>
    <t>10832841854</t>
  </si>
  <si>
    <t>02616120384</t>
  </si>
  <si>
    <t>ROGERIO PAULO GALVAO DOS SANTOS</t>
  </si>
  <si>
    <t>11596976802</t>
  </si>
  <si>
    <t>01411222983</t>
  </si>
  <si>
    <t>ROGERIO SILVA PINO</t>
  </si>
  <si>
    <t>15900578801</t>
  </si>
  <si>
    <t>01868103070</t>
  </si>
  <si>
    <t>ROLDAO DA ROSA SILVEIRA</t>
  </si>
  <si>
    <t>43062121068</t>
  </si>
  <si>
    <t>01365378290</t>
  </si>
  <si>
    <t>ROMERO MOREIRA</t>
  </si>
  <si>
    <t>04956429401</t>
  </si>
  <si>
    <t>04253007723</t>
  </si>
  <si>
    <t>RONALDO GOMES BUENO DE CAMARGO</t>
  </si>
  <si>
    <t>18987480801</t>
  </si>
  <si>
    <t>02060969704</t>
  </si>
  <si>
    <t>RONALDO LELIS INACIO</t>
  </si>
  <si>
    <t>04297990636</t>
  </si>
  <si>
    <t>00388283372</t>
  </si>
  <si>
    <t>RONDINEI DE OLIVEIRA MALAQUIAS</t>
  </si>
  <si>
    <t>33417240875</t>
  </si>
  <si>
    <t>02841682210</t>
  </si>
  <si>
    <t>RONIELLE DA SILVA GERALDO</t>
  </si>
  <si>
    <t>29436987846</t>
  </si>
  <si>
    <t>01815405884</t>
  </si>
  <si>
    <t>ROOSEVELT TRIGO FERREIRA DA SILVA</t>
  </si>
  <si>
    <t>22411482884</t>
  </si>
  <si>
    <t>03386606822</t>
  </si>
  <si>
    <t>ROSALVO BUENO DE SOUZA</t>
  </si>
  <si>
    <t>93180853972</t>
  </si>
  <si>
    <t>02525934101</t>
  </si>
  <si>
    <t>ROSILDO DA CRUZ</t>
  </si>
  <si>
    <t>81101503904</t>
  </si>
  <si>
    <t>01392183395</t>
  </si>
  <si>
    <t>ROZEMILDO AGOSTINHO BRUCE</t>
  </si>
  <si>
    <t>39543366500</t>
  </si>
  <si>
    <t>02251259846</t>
  </si>
  <si>
    <t>RUBEM FERREIRA DE OLIVEIRA</t>
  </si>
  <si>
    <t>71364579472</t>
  </si>
  <si>
    <t>01816452709</t>
  </si>
  <si>
    <t>08199383860</t>
  </si>
  <si>
    <t>05049604420</t>
  </si>
  <si>
    <t>88517462815</t>
  </si>
  <si>
    <t>02870990342</t>
  </si>
  <si>
    <t>RUBENS FERNANDO DOS SANTOS</t>
  </si>
  <si>
    <t>36724269890</t>
  </si>
  <si>
    <t>05157179785</t>
  </si>
  <si>
    <t>RUBIANO DURAN VIDAL</t>
  </si>
  <si>
    <t>26604092852</t>
  </si>
  <si>
    <t>01896533621</t>
  </si>
  <si>
    <t>RUDNEI BREMM</t>
  </si>
  <si>
    <t>81902913000</t>
  </si>
  <si>
    <t>01902558111</t>
  </si>
  <si>
    <t>RULIAN LAUDER DE ANDRADE</t>
  </si>
  <si>
    <t>06693488641</t>
  </si>
  <si>
    <t>03245837100</t>
  </si>
  <si>
    <t>RUY CEZAR ANTUNES</t>
  </si>
  <si>
    <t>79577407900</t>
  </si>
  <si>
    <t>01124696339</t>
  </si>
  <si>
    <t>SALOMAO CARNEIRO FILHO</t>
  </si>
  <si>
    <t>34321786894</t>
  </si>
  <si>
    <t>03905272790</t>
  </si>
  <si>
    <t>SAMUEL GAMBARY</t>
  </si>
  <si>
    <t>04504056801</t>
  </si>
  <si>
    <t>02880384100</t>
  </si>
  <si>
    <t>SAMUEL LUIS DE PAULA GODENCIO</t>
  </si>
  <si>
    <t>14542152839</t>
  </si>
  <si>
    <t>02383082738</t>
  </si>
  <si>
    <t>SAMUEL MONTEIRO MARTINS</t>
  </si>
  <si>
    <t>10084745924</t>
  </si>
  <si>
    <t>06027358724</t>
  </si>
  <si>
    <t>SAMUEL TAVARES FERNANDES</t>
  </si>
  <si>
    <t>29172631805</t>
  </si>
  <si>
    <t>03006818170</t>
  </si>
  <si>
    <t>SANDRO BARBOSA SILVA</t>
  </si>
  <si>
    <t>25793653899</t>
  </si>
  <si>
    <t>02220220670</t>
  </si>
  <si>
    <t>SANDRO ROGERIO MARINO</t>
  </si>
  <si>
    <t>10851987826</t>
  </si>
  <si>
    <t>02698880329</t>
  </si>
  <si>
    <t>SANDSON MARQUES</t>
  </si>
  <si>
    <t>24558091885</t>
  </si>
  <si>
    <t>01374257519</t>
  </si>
  <si>
    <t>SANDYEL DAS CHAGAS SANTOS</t>
  </si>
  <si>
    <t>08879777904</t>
  </si>
  <si>
    <t>06353799888</t>
  </si>
  <si>
    <t>SAULO SILVA DE SOUZA</t>
  </si>
  <si>
    <t>32972408810</t>
  </si>
  <si>
    <t>05220232656</t>
  </si>
  <si>
    <t>SEBASTIAO CARLOS CHRISTIANO</t>
  </si>
  <si>
    <t>98297619834</t>
  </si>
  <si>
    <t>01076891200</t>
  </si>
  <si>
    <t>SELVINO DAROS ROSSO</t>
  </si>
  <si>
    <t>59534109991</t>
  </si>
  <si>
    <t>00226057191</t>
  </si>
  <si>
    <t>SENDER TADEU DE OLIVEIRA</t>
  </si>
  <si>
    <t>12140758862</t>
  </si>
  <si>
    <t>01246316154</t>
  </si>
  <si>
    <t>SERGIO ALVES DA SILVA</t>
  </si>
  <si>
    <t>92710123800</t>
  </si>
  <si>
    <t>01036914602</t>
  </si>
  <si>
    <t>SERGIO BATISTA DE CARVALHO</t>
  </si>
  <si>
    <t>17407955808</t>
  </si>
  <si>
    <t>01330026430</t>
  </si>
  <si>
    <t>SERGIO BRAGA DE CARVALHO</t>
  </si>
  <si>
    <t>00354537377</t>
  </si>
  <si>
    <t>03812098517</t>
  </si>
  <si>
    <t>SERGIO DA SILVA</t>
  </si>
  <si>
    <t>14118665840</t>
  </si>
  <si>
    <t>00849160376</t>
  </si>
  <si>
    <t>01445432154</t>
  </si>
  <si>
    <t>SERGIO DIONISIO CAVALCANTE</t>
  </si>
  <si>
    <t>30451664825</t>
  </si>
  <si>
    <t>01815402273</t>
  </si>
  <si>
    <t>SERGIO GUIMARAES DE VITA</t>
  </si>
  <si>
    <t>02054805785</t>
  </si>
  <si>
    <t>00099700720</t>
  </si>
  <si>
    <t>SERGIO NILSON GRIMES</t>
  </si>
  <si>
    <t>80881033987</t>
  </si>
  <si>
    <t>02295915047</t>
  </si>
  <si>
    <t>SERGIO RICARDO ARISTIDES</t>
  </si>
  <si>
    <t>14446899830</t>
  </si>
  <si>
    <t>02899994880</t>
  </si>
  <si>
    <t>13353606890</t>
  </si>
  <si>
    <t>01028914080</t>
  </si>
  <si>
    <t>SEVERINO ALEIXO DO AMARAL</t>
  </si>
  <si>
    <t>37540262834</t>
  </si>
  <si>
    <t>02365083402</t>
  </si>
  <si>
    <t>SIDNEI ANTONIO LUZ</t>
  </si>
  <si>
    <t>16941031883</t>
  </si>
  <si>
    <t>01134345219</t>
  </si>
  <si>
    <t>SIDNEI FERNANDES BATISTA</t>
  </si>
  <si>
    <t>04405984948</t>
  </si>
  <si>
    <t>03250222312</t>
  </si>
  <si>
    <t>SIDNEI RODRIGUES DA SILVA</t>
  </si>
  <si>
    <t>30429823860</t>
  </si>
  <si>
    <t>01306559130</t>
  </si>
  <si>
    <t>SILVIO JOSE DOS SANTOS</t>
  </si>
  <si>
    <t>26836228800</t>
  </si>
  <si>
    <t>00835176482</t>
  </si>
  <si>
    <t>SILVIO PAULO MENDES GOMES</t>
  </si>
  <si>
    <t>00015074196</t>
  </si>
  <si>
    <t>04478212691</t>
  </si>
  <si>
    <t>STENIO BARROS DA SILVA</t>
  </si>
  <si>
    <t>01258151154</t>
  </si>
  <si>
    <t>04449547006</t>
  </si>
  <si>
    <t>STHEPAM MARAN RIBEIRO</t>
  </si>
  <si>
    <t>36235226861</t>
  </si>
  <si>
    <t>03731590005</t>
  </si>
  <si>
    <t>TAICYL HILLMANN PRAXEDES DOS SANTOS</t>
  </si>
  <si>
    <t>06579271981</t>
  </si>
  <si>
    <t>04122570363</t>
  </si>
  <si>
    <t>THALISSON MENDES SICUPIRA</t>
  </si>
  <si>
    <t>43890642829</t>
  </si>
  <si>
    <t>05577873571</t>
  </si>
  <si>
    <t>THIAGO COSTA DE SOUZA</t>
  </si>
  <si>
    <t>32552665802</t>
  </si>
  <si>
    <t>03032956826</t>
  </si>
  <si>
    <t>THIAGO DE OLIVEIRA</t>
  </si>
  <si>
    <t>32129143865</t>
  </si>
  <si>
    <t>THIAGO DUARTE DO NASCIMENTO</t>
  </si>
  <si>
    <t>36238459816</t>
  </si>
  <si>
    <t>04013168588</t>
  </si>
  <si>
    <t>THIAGO FAGUNDES FELIX</t>
  </si>
  <si>
    <t>34684335810</t>
  </si>
  <si>
    <t>03706080947</t>
  </si>
  <si>
    <t>THIAGO HIPOLITO DE ARAUJO</t>
  </si>
  <si>
    <t>33157228897</t>
  </si>
  <si>
    <t>03310065130</t>
  </si>
  <si>
    <t>THIAGO PERES PIRRO</t>
  </si>
  <si>
    <t>32515202888</t>
  </si>
  <si>
    <t>04024497554</t>
  </si>
  <si>
    <t>40469241870</t>
  </si>
  <si>
    <t>0449259722</t>
  </si>
  <si>
    <t>TIAGO ALEXANDRE NUNES</t>
  </si>
  <si>
    <t>01164664050</t>
  </si>
  <si>
    <t>04097866300</t>
  </si>
  <si>
    <t>TIAGO CARDOSO PEREIRA DA SILVA</t>
  </si>
  <si>
    <t>48994147810</t>
  </si>
  <si>
    <t>07223010232</t>
  </si>
  <si>
    <t>TIAGO DA SILVA</t>
  </si>
  <si>
    <t>00460533959</t>
  </si>
  <si>
    <t>01319770961</t>
  </si>
  <si>
    <t>TIAGO DA SILVA BARBOSA</t>
  </si>
  <si>
    <t>11471635708</t>
  </si>
  <si>
    <t>03830573357</t>
  </si>
  <si>
    <t>TIAGO DE LIMA CALSAVARRA</t>
  </si>
  <si>
    <t>06184633996</t>
  </si>
  <si>
    <t>04223160627</t>
  </si>
  <si>
    <t>TIAGO FEORIPPE DE MIRANDA</t>
  </si>
  <si>
    <t>32915708800</t>
  </si>
  <si>
    <t>03062052780</t>
  </si>
  <si>
    <t>TIAGO VANDRE KLETKE</t>
  </si>
  <si>
    <t>93873212072</t>
  </si>
  <si>
    <t>02060276055</t>
  </si>
  <si>
    <t>TIAGO VIEIRA FUHRMANN</t>
  </si>
  <si>
    <t>83689354072</t>
  </si>
  <si>
    <t>03760955503</t>
  </si>
  <si>
    <t>TOMAS HENRIQUE GOETTMS</t>
  </si>
  <si>
    <t>04566888037</t>
  </si>
  <si>
    <t>07224567886</t>
  </si>
  <si>
    <t>UBERLEY SOUZA DA SILVA</t>
  </si>
  <si>
    <t>32233227875</t>
  </si>
  <si>
    <t>03527473508</t>
  </si>
  <si>
    <t>UBIRATAN VILLA VERDE DA ROCHA</t>
  </si>
  <si>
    <t>30852503873</t>
  </si>
  <si>
    <t>01783331882</t>
  </si>
  <si>
    <t>UELITON CESAR DE ARAUJO</t>
  </si>
  <si>
    <t>13389143831</t>
  </si>
  <si>
    <t>02062645649</t>
  </si>
  <si>
    <t>VALDECI DE SOUZA</t>
  </si>
  <si>
    <t>74745018991</t>
  </si>
  <si>
    <t>03343619636</t>
  </si>
  <si>
    <t>VALDECI LAURINDO DA SILVA</t>
  </si>
  <si>
    <t>16352808859</t>
  </si>
  <si>
    <t>01879140464</t>
  </si>
  <si>
    <t>VALDECIR ALVES</t>
  </si>
  <si>
    <t>10038328810</t>
  </si>
  <si>
    <t>01037361165</t>
  </si>
  <si>
    <t>VALDEMIR BARBOSA DOS SANTOS</t>
  </si>
  <si>
    <t>06028626805</t>
  </si>
  <si>
    <t>02374860392</t>
  </si>
  <si>
    <t>VALDEVINO ALVES</t>
  </si>
  <si>
    <t>01765249830</t>
  </si>
  <si>
    <t>00711973820</t>
  </si>
  <si>
    <t>VALDIR LOURENCO</t>
  </si>
  <si>
    <t>72274131953</t>
  </si>
  <si>
    <t>02756570010</t>
  </si>
  <si>
    <t>VALENTIM DE ALMEIDA COVAS</t>
  </si>
  <si>
    <t>01984308840</t>
  </si>
  <si>
    <t>02246007986</t>
  </si>
  <si>
    <t>VALTER NEI FLORISBAL MARQUES</t>
  </si>
  <si>
    <t>44989016068</t>
  </si>
  <si>
    <t>03278566160</t>
  </si>
  <si>
    <t>VALTER PEREIRA DA SILVA</t>
  </si>
  <si>
    <t>77647289853</t>
  </si>
  <si>
    <t>02747228660</t>
  </si>
  <si>
    <t>VANDERLEI GONCALVES DE ARAUJO</t>
  </si>
  <si>
    <t>36742780819</t>
  </si>
  <si>
    <t>04246301706</t>
  </si>
  <si>
    <t>VANDERLEI SEBASTIAO MAGAGNA</t>
  </si>
  <si>
    <t>15913192850</t>
  </si>
  <si>
    <t>02107071040</t>
  </si>
  <si>
    <t>VANDRE PESSOA NOGUEITRA</t>
  </si>
  <si>
    <t>03338903456</t>
  </si>
  <si>
    <t>01902803208</t>
  </si>
  <si>
    <t>VERRAN ARLINDO LEITE BOSEL</t>
  </si>
  <si>
    <t>00478135041</t>
  </si>
  <si>
    <t>02986577146</t>
  </si>
  <si>
    <t>VICTOR HUGO DE OLIVEIRA FERNANDES</t>
  </si>
  <si>
    <t>43143404876</t>
  </si>
  <si>
    <t>06955470496</t>
  </si>
  <si>
    <t>VILMAR DONIZETTI RODRIGUES</t>
  </si>
  <si>
    <t>93172508668</t>
  </si>
  <si>
    <t>02262872348</t>
  </si>
  <si>
    <t>VILMAR ROCHA DE SOUZA</t>
  </si>
  <si>
    <t>VILMAR TOMASI</t>
  </si>
  <si>
    <t>63901234934</t>
  </si>
  <si>
    <t>02633818001</t>
  </si>
  <si>
    <t>VINICIUS LUNA DE JESUS GERTRUDES</t>
  </si>
  <si>
    <t>49980415843</t>
  </si>
  <si>
    <t>06669285922</t>
  </si>
  <si>
    <t>31066093890</t>
  </si>
  <si>
    <t>25538214842</t>
  </si>
  <si>
    <t>VITO JOSE TRICARIO</t>
  </si>
  <si>
    <t>26237243852</t>
  </si>
  <si>
    <t>01521321918</t>
  </si>
  <si>
    <t>VITOR LEANDRO DA SILVA</t>
  </si>
  <si>
    <t>33695186860</t>
  </si>
  <si>
    <t>03258132488</t>
  </si>
  <si>
    <t>VITOR LOVISUTTO FONTES</t>
  </si>
  <si>
    <t>48054071825</t>
  </si>
  <si>
    <t>06758852979</t>
  </si>
  <si>
    <t>WAGNER ALVES SANTANA</t>
  </si>
  <si>
    <t>03784574890</t>
  </si>
  <si>
    <t>01062565143</t>
  </si>
  <si>
    <t>WAGNER DUQUE</t>
  </si>
  <si>
    <t>19235972809</t>
  </si>
  <si>
    <t>03173918228</t>
  </si>
  <si>
    <t>WAGNER ESCALONA TOFFOLI</t>
  </si>
  <si>
    <t>17616395520</t>
  </si>
  <si>
    <t>03385209120</t>
  </si>
  <si>
    <t>WAGNER GONCALVES</t>
  </si>
  <si>
    <t>32746488841</t>
  </si>
  <si>
    <t>02814986935</t>
  </si>
  <si>
    <t>27227028860</t>
  </si>
  <si>
    <t>WAGNER JOSE DA SILVA</t>
  </si>
  <si>
    <t>03274700622</t>
  </si>
  <si>
    <t>01804571502</t>
  </si>
  <si>
    <t>WAGNER LOPES FEITOSA</t>
  </si>
  <si>
    <t>13376841802</t>
  </si>
  <si>
    <t>02607267455</t>
  </si>
  <si>
    <t>WAGNER ROBERTO ALVES</t>
  </si>
  <si>
    <t>97164321949</t>
  </si>
  <si>
    <t>01008934800</t>
  </si>
  <si>
    <t>WAGNER TRENTO DE JESUS</t>
  </si>
  <si>
    <t>03858380938</t>
  </si>
  <si>
    <t>02713572005</t>
  </si>
  <si>
    <t>WALDEMIR DA SILVA</t>
  </si>
  <si>
    <t>04688130635</t>
  </si>
  <si>
    <t>02997637831</t>
  </si>
  <si>
    <t>WALDEMIR MORENO</t>
  </si>
  <si>
    <t>87379392972</t>
  </si>
  <si>
    <t>00408297518</t>
  </si>
  <si>
    <t>WALDERIO SCHAPINSKI</t>
  </si>
  <si>
    <t>26322120816</t>
  </si>
  <si>
    <t>01762695215</t>
  </si>
  <si>
    <t>WALDINEY ANESIO LANDIM</t>
  </si>
  <si>
    <t>03034249667</t>
  </si>
  <si>
    <t>03397854131</t>
  </si>
  <si>
    <t>WALLACE FONTAO MACENA</t>
  </si>
  <si>
    <t>42710672880</t>
  </si>
  <si>
    <t>05423733728</t>
  </si>
  <si>
    <t>WALTER BALECO</t>
  </si>
  <si>
    <t>95428704934</t>
  </si>
  <si>
    <t>01320109520</t>
  </si>
  <si>
    <t>WASHINTON LUIS PASSARELLI</t>
  </si>
  <si>
    <t>14540646842</t>
  </si>
  <si>
    <t>01729826216</t>
  </si>
  <si>
    <t>WELLINGTON DA CRUZ</t>
  </si>
  <si>
    <t>21943204829</t>
  </si>
  <si>
    <t>00750395735</t>
  </si>
  <si>
    <t>WELLINGTON FERNANDES DE OLIVEIRA</t>
  </si>
  <si>
    <t>00045295611</t>
  </si>
  <si>
    <t>03158778673</t>
  </si>
  <si>
    <t>WELLINGTON LUIZ QUEIROZ</t>
  </si>
  <si>
    <t>03293542646</t>
  </si>
  <si>
    <t>03673613022</t>
  </si>
  <si>
    <t>WESLEY DE OLIVEIRA RAMOS</t>
  </si>
  <si>
    <t>44666913807</t>
  </si>
  <si>
    <t>06397643467</t>
  </si>
  <si>
    <t>WESLEY GUIMARAES DA SILVA</t>
  </si>
  <si>
    <t>38873879888</t>
  </si>
  <si>
    <t>04828733848</t>
  </si>
  <si>
    <t>WESLEY LUCIO ALVES DE JESUS</t>
  </si>
  <si>
    <t>80745342604</t>
  </si>
  <si>
    <t>00419582942</t>
  </si>
  <si>
    <t>WESLEY MARTINS MATIAS</t>
  </si>
  <si>
    <t>12111110671</t>
  </si>
  <si>
    <t>05562835290</t>
  </si>
  <si>
    <t>WESLEY SANTOS DE FREITAS</t>
  </si>
  <si>
    <t>44079153821</t>
  </si>
  <si>
    <t>06468803801</t>
  </si>
  <si>
    <t>WILIAN AUGUSTO SANTOS</t>
  </si>
  <si>
    <t>08200107906</t>
  </si>
  <si>
    <t>05083185979</t>
  </si>
  <si>
    <t>WILLIAM FERNANDO PENINATTE</t>
  </si>
  <si>
    <t>35775091809</t>
  </si>
  <si>
    <t>04962449665</t>
  </si>
  <si>
    <t>WILLIAM NILSON ALEGRIA</t>
  </si>
  <si>
    <t>38309608837</t>
  </si>
  <si>
    <t>04387035455</t>
  </si>
  <si>
    <t>WILLIAM PINHEIRO DOS SANTOS</t>
  </si>
  <si>
    <t>22605633845</t>
  </si>
  <si>
    <t>03361193684</t>
  </si>
  <si>
    <t>WILSON ALVES MENDONCA</t>
  </si>
  <si>
    <t>08686583830</t>
  </si>
  <si>
    <t>02965581431</t>
  </si>
  <si>
    <t>WILSON DOS SANTOS</t>
  </si>
  <si>
    <t>32979343870</t>
  </si>
  <si>
    <t>03197497348</t>
  </si>
  <si>
    <t>WILSON ROBERTO GASQUES</t>
  </si>
  <si>
    <t>14026192865</t>
  </si>
  <si>
    <t>02039395517</t>
  </si>
  <si>
    <t>WILTON JOSE REIS</t>
  </si>
  <si>
    <t>88580563968</t>
  </si>
  <si>
    <t>02181683429</t>
  </si>
  <si>
    <t>WILTON PEREIRA DE OLIVEIRA</t>
  </si>
  <si>
    <t>88528057453</t>
  </si>
  <si>
    <t>02139985350</t>
  </si>
  <si>
    <t>WINDERSON DANIEL QUADRA SAMPAIO</t>
  </si>
  <si>
    <t>37925118865</t>
  </si>
  <si>
    <t>04275788716</t>
  </si>
  <si>
    <t>YAM MULLER GUERRA DO NASCIMENTO</t>
  </si>
  <si>
    <t>07956481546</t>
  </si>
  <si>
    <t>06539893570</t>
  </si>
  <si>
    <t>YLO FERREIRA DA SILVA</t>
  </si>
  <si>
    <t>36845923825</t>
  </si>
  <si>
    <t>YUJI DOS SANTOS ODA</t>
  </si>
  <si>
    <t>38663041888</t>
  </si>
  <si>
    <t>04444221219</t>
  </si>
  <si>
    <t>YURI GABRIEL FELIX PEREIRA DA SILVA</t>
  </si>
  <si>
    <t>39919251844</t>
  </si>
  <si>
    <t>06727950305</t>
  </si>
  <si>
    <t>ZAQUEO ALVES DOS SANTOS</t>
  </si>
  <si>
    <t>36056721833</t>
  </si>
  <si>
    <t>04253242499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</si>
</sst>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&quot;R$&quot;\ #,##0.00"/>
    <numFmt numFmtId="165" formatCode="d/m/yy\ h:mm;@"/>
    <numFmt numFmtId="166" formatCode="[$-F400]h:mm:ss\ AM/PM"/>
    <numFmt numFmtId="167" formatCode="[$-F800]dddd\,\ mmmm\ dd\,\ yyyy"/>
    <numFmt numFmtId="168" formatCode="_-&quot;R$&quot;* #,##0.00_-;\-&quot;R$&quot;* #,##0.00_-;_-&quot;R$&quot;* &quot;-&quot;??_-;_-@_-"/>
  </numFmts>
  <fonts count="67" x14ac:knownFonts="1"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B0F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5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rgb="FFC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</font>
    <font>
      <b/>
      <sz val="17"/>
      <color rgb="FF002060"/>
      <name val="Calibri"/>
      <family val="2"/>
    </font>
    <font>
      <sz val="9"/>
      <color rgb="FF000000"/>
      <name val="Calibri"/>
      <family val="2"/>
    </font>
    <font>
      <b/>
      <sz val="10"/>
      <color rgb="FFFFFFFF"/>
      <name val="Calibri"/>
      <family val="2"/>
    </font>
    <font>
      <b/>
      <sz val="9"/>
      <color rgb="FF0070C0"/>
      <name val="Calibri"/>
      <family val="2"/>
    </font>
    <font>
      <sz val="8"/>
      <name val="Calibri"/>
      <family val="2"/>
      <scheme val="minor"/>
    </font>
    <font>
      <b/>
      <sz val="9"/>
      <color rgb="FF000000"/>
      <name val="Calibri"/>
      <family val="2"/>
    </font>
    <font>
      <b/>
      <sz val="7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3"/>
      <color rgb="FF41414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414141"/>
      <name val="Calibri"/>
      <family val="2"/>
      <scheme val="minor"/>
    </font>
    <font>
      <b/>
      <sz val="9"/>
      <color rgb="FF414141"/>
      <name val="Calibri"/>
      <family val="2"/>
      <scheme val="minor"/>
    </font>
    <font>
      <sz val="11"/>
      <color rgb="FF41414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0"/>
      <color rgb="FF00669D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414141"/>
      <name val="Calibri"/>
      <family val="2"/>
      <scheme val="minor"/>
    </font>
    <font>
      <sz val="8"/>
      <color rgb="FF41414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rgb="FF00669D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indexed="81"/>
      <name val="Segoe UI"/>
      <family val="2"/>
    </font>
    <font>
      <b/>
      <sz val="6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color theme="1" tint="0.34998626667073579"/>
      <name val="Calibri"/>
      <family val="2"/>
      <scheme val="minor"/>
    </font>
    <font>
      <sz val="9"/>
      <color indexed="81"/>
      <name val="Segoe UI"/>
      <family val="2"/>
    </font>
    <font>
      <b/>
      <sz val="11"/>
      <color rgb="FFFFFFFF"/>
      <name val="Calibri"/>
      <family val="2"/>
      <scheme val="minor"/>
    </font>
    <font>
      <sz val="12"/>
      <color rgb="FF000000"/>
      <name val="Times New Roman"/>
      <family val="1"/>
    </font>
    <font>
      <sz val="10"/>
      <color rgb="FF000000"/>
      <name val="Calibri"/>
      <family val="2"/>
      <scheme val="minor"/>
    </font>
    <font>
      <sz val="11.5"/>
      <color rgb="FF000000"/>
      <name val="Times New Roman"/>
      <family val="1"/>
    </font>
    <font>
      <b/>
      <sz val="8"/>
      <name val="Calibri"/>
      <family val="2"/>
      <scheme val="minor"/>
    </font>
    <font>
      <sz val="9"/>
      <color indexed="81"/>
      <name val="Segoe UI"/>
      <charset val="1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i/>
      <sz val="11"/>
      <color rgb="FF000000"/>
      <name val="Arial"/>
      <family val="2"/>
    </font>
    <font>
      <sz val="11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44D9E"/>
        <bgColor indexed="64"/>
      </patternFill>
    </fill>
    <fill>
      <patternFill patternType="solid">
        <fgColor rgb="FFFF474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D6A300"/>
        <bgColor indexed="64"/>
      </patternFill>
    </fill>
    <fill>
      <patternFill patternType="solid">
        <fgColor rgb="FFCBAF07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CC5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A57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29FF8A"/>
        <bgColor indexed="64"/>
      </patternFill>
    </fill>
    <fill>
      <patternFill patternType="solid">
        <fgColor rgb="FFC59EE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681B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B8C3F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17A649"/>
        <bgColor indexed="64"/>
      </patternFill>
    </fill>
    <fill>
      <patternFill patternType="solid">
        <fgColor rgb="FF00669D"/>
        <bgColor indexed="64"/>
      </patternFill>
    </fill>
    <fill>
      <patternFill patternType="solid">
        <fgColor rgb="FF0286CE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666668"/>
        <bgColor indexed="64"/>
      </patternFill>
    </fill>
    <fill>
      <patternFill patternType="solid">
        <fgColor rgb="FF8F989D"/>
        <bgColor indexed="64"/>
      </patternFill>
    </fill>
    <fill>
      <patternFill patternType="solid">
        <fgColor rgb="FF02973A"/>
        <bgColor indexed="64"/>
      </patternFill>
    </fill>
    <fill>
      <patternFill patternType="solid">
        <fgColor rgb="FFF3C107"/>
        <bgColor indexed="64"/>
      </patternFill>
    </fill>
    <fill>
      <patternFill patternType="solid">
        <fgColor rgb="FF13B04F"/>
        <bgColor indexed="64"/>
      </patternFill>
    </fill>
    <fill>
      <patternFill patternType="solid">
        <fgColor rgb="FFC33018"/>
        <bgColor indexed="64"/>
      </patternFill>
    </fill>
    <fill>
      <patternFill patternType="solid">
        <fgColor rgb="FFED3E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17773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/>
        <bgColor indexed="64"/>
      </patternFill>
    </fill>
  </fills>
  <borders count="24">
    <border>
      <left/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/>
      <right style="medium">
        <color rgb="FFFFFFFF"/>
      </right>
      <top/>
      <bottom/>
      <diagonal/>
    </border>
  </borders>
  <cellStyleXfs count="7">
    <xf numFmtId="0" fontId="0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</cellStyleXfs>
  <cellXfs count="337">
    <xf numFmtId="0" fontId="0" fillId="0" borderId="0" xfId="0"/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6" borderId="5" xfId="0" applyFont="1" applyFill="1" applyBorder="1" applyAlignment="1">
      <alignment horizontal="center" vertical="center" wrapText="1"/>
    </xf>
    <xf numFmtId="0" fontId="6" fillId="7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 wrapText="1"/>
    </xf>
    <xf numFmtId="0" fontId="6" fillId="6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10" borderId="0" xfId="0" applyFont="1" applyFill="1" applyAlignment="1">
      <alignment horizontal="center" vertical="center"/>
    </xf>
    <xf numFmtId="0" fontId="6" fillId="11" borderId="0" xfId="0" applyFont="1" applyFill="1" applyAlignment="1">
      <alignment horizontal="center" vertical="center" wrapText="1"/>
    </xf>
    <xf numFmtId="0" fontId="6" fillId="1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center" vertical="center" wrapText="1"/>
    </xf>
    <xf numFmtId="0" fontId="6" fillId="13" borderId="0" xfId="0" applyFont="1" applyFill="1" applyAlignment="1">
      <alignment horizontal="center" vertical="center"/>
    </xf>
    <xf numFmtId="0" fontId="6" fillId="14" borderId="0" xfId="0" applyFont="1" applyFill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 wrapText="1"/>
    </xf>
    <xf numFmtId="0" fontId="7" fillId="16" borderId="0" xfId="0" applyFont="1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17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6" fillId="15" borderId="0" xfId="0" applyFont="1" applyFill="1" applyAlignment="1">
      <alignment horizontal="center" vertical="center" wrapText="1"/>
    </xf>
    <xf numFmtId="0" fontId="6" fillId="18" borderId="0" xfId="0" applyFont="1" applyFill="1" applyAlignment="1">
      <alignment horizontal="center" vertical="center" wrapText="1"/>
    </xf>
    <xf numFmtId="0" fontId="9" fillId="16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/>
    </xf>
    <xf numFmtId="22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0" fontId="0" fillId="10" borderId="0" xfId="0" applyFill="1" applyAlignment="1">
      <alignment horizontal="center"/>
    </xf>
    <xf numFmtId="22" fontId="0" fillId="10" borderId="0" xfId="0" applyNumberFormat="1" applyFill="1" applyAlignment="1">
      <alignment horizontal="center"/>
    </xf>
    <xf numFmtId="49" fontId="0" fillId="10" borderId="0" xfId="0" applyNumberFormat="1" applyFill="1" applyAlignment="1">
      <alignment horizontal="center"/>
    </xf>
    <xf numFmtId="44" fontId="0" fillId="10" borderId="0" xfId="1" applyFont="1" applyFill="1" applyAlignment="1">
      <alignment horizontal="center"/>
    </xf>
    <xf numFmtId="0" fontId="0" fillId="19" borderId="0" xfId="0" applyFill="1" applyAlignment="1">
      <alignment horizontal="center"/>
    </xf>
    <xf numFmtId="22" fontId="0" fillId="19" borderId="0" xfId="0" applyNumberFormat="1" applyFill="1" applyAlignment="1">
      <alignment horizontal="center"/>
    </xf>
    <xf numFmtId="49" fontId="0" fillId="19" borderId="0" xfId="0" applyNumberFormat="1" applyFill="1" applyAlignment="1">
      <alignment horizontal="center"/>
    </xf>
    <xf numFmtId="44" fontId="0" fillId="19" borderId="0" xfId="1" applyFont="1" applyFill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/>
    <xf numFmtId="0" fontId="3" fillId="0" borderId="0" xfId="0" applyFont="1" applyAlignment="1">
      <alignment horizontal="center"/>
    </xf>
    <xf numFmtId="2" fontId="12" fillId="0" borderId="0" xfId="0" applyNumberFormat="1" applyFont="1"/>
    <xf numFmtId="0" fontId="13" fillId="0" borderId="0" xfId="0" applyFont="1" applyAlignment="1">
      <alignment horizontal="center"/>
    </xf>
    <xf numFmtId="164" fontId="12" fillId="0" borderId="0" xfId="0" applyNumberFormat="1" applyFont="1"/>
    <xf numFmtId="0" fontId="10" fillId="0" borderId="0" xfId="0" applyFont="1"/>
    <xf numFmtId="165" fontId="4" fillId="0" borderId="0" xfId="0" applyNumberFormat="1" applyFont="1" applyAlignment="1">
      <alignment horizontal="center"/>
    </xf>
    <xf numFmtId="0" fontId="14" fillId="11" borderId="0" xfId="0" applyFont="1" applyFill="1" applyAlignment="1">
      <alignment horizontal="center" vertical="center" wrapText="1"/>
    </xf>
    <xf numFmtId="0" fontId="15" fillId="22" borderId="0" xfId="0" applyFont="1" applyFill="1" applyAlignment="1">
      <alignment horizontal="center" vertical="center" wrapText="1"/>
    </xf>
    <xf numFmtId="0" fontId="16" fillId="16" borderId="0" xfId="0" applyFont="1" applyFill="1" applyAlignment="1">
      <alignment horizontal="center" vertical="center" wrapText="1"/>
    </xf>
    <xf numFmtId="0" fontId="15" fillId="16" borderId="0" xfId="0" applyFont="1" applyFill="1" applyAlignment="1">
      <alignment horizontal="center" vertical="center" wrapText="1"/>
    </xf>
    <xf numFmtId="0" fontId="17" fillId="22" borderId="0" xfId="0" applyFont="1" applyFill="1" applyAlignment="1">
      <alignment horizontal="center" vertical="center"/>
    </xf>
    <xf numFmtId="0" fontId="16" fillId="22" borderId="0" xfId="0" applyFont="1" applyFill="1" applyAlignment="1">
      <alignment horizontal="center" vertical="center" wrapText="1"/>
    </xf>
    <xf numFmtId="164" fontId="16" fillId="22" borderId="0" xfId="0" applyNumberFormat="1" applyFont="1" applyFill="1" applyAlignment="1">
      <alignment horizontal="center" vertical="center" wrapText="1"/>
    </xf>
    <xf numFmtId="0" fontId="16" fillId="5" borderId="0" xfId="0" applyFont="1" applyFill="1" applyAlignment="1">
      <alignment horizontal="center" vertical="center" wrapText="1"/>
    </xf>
    <xf numFmtId="165" fontId="16" fillId="16" borderId="0" xfId="0" applyNumberFormat="1" applyFont="1" applyFill="1" applyAlignment="1">
      <alignment horizontal="center" vertical="center" wrapText="1"/>
    </xf>
    <xf numFmtId="0" fontId="16" fillId="20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8" fillId="21" borderId="0" xfId="0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19" fillId="0" borderId="0" xfId="0" applyFont="1"/>
    <xf numFmtId="0" fontId="12" fillId="0" borderId="0" xfId="0" applyFont="1" applyAlignment="1">
      <alignment horizontal="center"/>
    </xf>
    <xf numFmtId="164" fontId="12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6" fillId="21" borderId="0" xfId="0" applyFont="1" applyFill="1" applyAlignment="1">
      <alignment horizontal="centerContinuous"/>
    </xf>
    <xf numFmtId="0" fontId="6" fillId="23" borderId="0" xfId="0" applyFont="1" applyFill="1" applyAlignment="1">
      <alignment horizontal="centerContinuous" vertical="center"/>
    </xf>
    <xf numFmtId="0" fontId="6" fillId="24" borderId="0" xfId="0" applyFont="1" applyFill="1" applyAlignment="1">
      <alignment horizontal="centerContinuous"/>
    </xf>
    <xf numFmtId="0" fontId="6" fillId="3" borderId="2" xfId="0" applyFont="1" applyFill="1" applyBorder="1" applyAlignment="1">
      <alignment horizontal="centerContinuous" vertical="center"/>
    </xf>
    <xf numFmtId="0" fontId="6" fillId="3" borderId="0" xfId="0" applyFont="1" applyFill="1" applyAlignment="1">
      <alignment horizontal="centerContinuous" vertical="center"/>
    </xf>
    <xf numFmtId="0" fontId="6" fillId="3" borderId="3" xfId="0" applyFont="1" applyFill="1" applyBorder="1" applyAlignment="1">
      <alignment horizontal="centerContinuous" vertical="center"/>
    </xf>
    <xf numFmtId="0" fontId="6" fillId="5" borderId="0" xfId="0" applyFont="1" applyFill="1" applyAlignment="1">
      <alignment horizontal="centerContinuous" vertical="center"/>
    </xf>
    <xf numFmtId="0" fontId="6" fillId="0" borderId="0" xfId="0" applyFont="1" applyAlignment="1">
      <alignment horizontal="centerContinuous" vertical="center"/>
    </xf>
    <xf numFmtId="22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44" fontId="5" fillId="0" borderId="0" xfId="1" applyFont="1" applyAlignment="1">
      <alignment horizontal="center"/>
    </xf>
    <xf numFmtId="0" fontId="20" fillId="0" borderId="0" xfId="0" applyFont="1" applyAlignment="1">
      <alignment horizontal="center"/>
    </xf>
    <xf numFmtId="44" fontId="4" fillId="0" borderId="0" xfId="1" applyFont="1" applyAlignment="1">
      <alignment horizontal="center"/>
    </xf>
    <xf numFmtId="0" fontId="20" fillId="0" borderId="0" xfId="0" applyFont="1"/>
    <xf numFmtId="22" fontId="4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22" fontId="5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1" fillId="0" borderId="0" xfId="0" applyFont="1"/>
    <xf numFmtId="0" fontId="0" fillId="25" borderId="0" xfId="0" applyFill="1" applyAlignment="1">
      <alignment horizontal="left"/>
    </xf>
    <xf numFmtId="0" fontId="23" fillId="0" borderId="0" xfId="0" applyFont="1"/>
    <xf numFmtId="0" fontId="10" fillId="27" borderId="0" xfId="0" applyFont="1" applyFill="1"/>
    <xf numFmtId="0" fontId="24" fillId="27" borderId="0" xfId="0" applyFont="1" applyFill="1"/>
    <xf numFmtId="0" fontId="10" fillId="4" borderId="0" xfId="0" applyFont="1" applyFill="1"/>
    <xf numFmtId="0" fontId="0" fillId="4" borderId="0" xfId="0" applyFill="1"/>
    <xf numFmtId="0" fontId="10" fillId="22" borderId="0" xfId="0" applyFont="1" applyFill="1"/>
    <xf numFmtId="0" fontId="0" fillId="22" borderId="0" xfId="0" applyFill="1"/>
    <xf numFmtId="0" fontId="20" fillId="22" borderId="0" xfId="0" applyFont="1" applyFill="1"/>
    <xf numFmtId="0" fontId="24" fillId="11" borderId="0" xfId="0" applyFont="1" applyFill="1"/>
    <xf numFmtId="0" fontId="0" fillId="11" borderId="0" xfId="0" applyFill="1"/>
    <xf numFmtId="0" fontId="10" fillId="11" borderId="0" xfId="0" applyFont="1" applyFill="1"/>
    <xf numFmtId="0" fontId="20" fillId="25" borderId="0" xfId="0" applyFont="1" applyFill="1" applyAlignment="1">
      <alignment horizontal="left"/>
    </xf>
    <xf numFmtId="0" fontId="0" fillId="26" borderId="0" xfId="0" applyFill="1" applyAlignment="1">
      <alignment horizontal="left"/>
    </xf>
    <xf numFmtId="0" fontId="0" fillId="26" borderId="0" xfId="0" applyFill="1"/>
    <xf numFmtId="9" fontId="0" fillId="0" borderId="0" xfId="2" applyFont="1" applyAlignment="1">
      <alignment horizontal="center"/>
    </xf>
    <xf numFmtId="9" fontId="0" fillId="0" borderId="0" xfId="0" applyNumberFormat="1"/>
    <xf numFmtId="0" fontId="0" fillId="0" borderId="0" xfId="2" applyNumberFormat="1" applyFont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vertical="center"/>
    </xf>
    <xf numFmtId="0" fontId="28" fillId="10" borderId="6" xfId="0" applyFont="1" applyFill="1" applyBorder="1" applyAlignment="1">
      <alignment horizontal="center" vertical="center" wrapText="1"/>
    </xf>
    <xf numFmtId="0" fontId="28" fillId="29" borderId="6" xfId="0" applyFont="1" applyFill="1" applyBorder="1" applyAlignment="1">
      <alignment horizontal="center" vertical="center" wrapText="1"/>
    </xf>
    <xf numFmtId="0" fontId="29" fillId="0" borderId="6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20" fillId="0" borderId="0" xfId="0" applyFont="1" applyAlignment="1">
      <alignment vertical="center"/>
    </xf>
    <xf numFmtId="0" fontId="4" fillId="30" borderId="11" xfId="0" applyFont="1" applyFill="1" applyBorder="1" applyAlignment="1">
      <alignment horizontal="center"/>
    </xf>
    <xf numFmtId="0" fontId="5" fillId="30" borderId="11" xfId="0" applyFont="1" applyFill="1" applyBorder="1" applyAlignment="1">
      <alignment horizontal="center"/>
    </xf>
    <xf numFmtId="0" fontId="4" fillId="31" borderId="11" xfId="0" applyFont="1" applyFill="1" applyBorder="1" applyAlignment="1">
      <alignment horizontal="center"/>
    </xf>
    <xf numFmtId="0" fontId="5" fillId="31" borderId="11" xfId="0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0" fillId="27" borderId="0" xfId="0" applyFont="1" applyFill="1" applyAlignment="1">
      <alignment horizontal="center"/>
    </xf>
    <xf numFmtId="0" fontId="0" fillId="0" borderId="0" xfId="0" pivotButton="1" applyAlignment="1">
      <alignment horizontal="center"/>
    </xf>
    <xf numFmtId="9" fontId="0" fillId="0" borderId="0" xfId="2" applyFont="1"/>
    <xf numFmtId="9" fontId="0" fillId="0" borderId="0" xfId="2" applyFont="1" applyFill="1"/>
    <xf numFmtId="0" fontId="20" fillId="17" borderId="0" xfId="0" applyFont="1" applyFill="1" applyAlignment="1">
      <alignment horizontal="center"/>
    </xf>
    <xf numFmtId="0" fontId="0" fillId="32" borderId="0" xfId="0" applyFill="1" applyAlignment="1">
      <alignment horizontal="center"/>
    </xf>
    <xf numFmtId="0" fontId="0" fillId="32" borderId="0" xfId="0" applyFill="1"/>
    <xf numFmtId="10" fontId="0" fillId="0" borderId="0" xfId="0" applyNumberFormat="1" applyAlignment="1">
      <alignment horizontal="center"/>
    </xf>
    <xf numFmtId="9" fontId="20" fillId="0" borderId="0" xfId="2" applyFont="1" applyAlignment="1">
      <alignment horizontal="center"/>
    </xf>
    <xf numFmtId="0" fontId="5" fillId="0" borderId="0" xfId="0" applyFont="1" applyAlignment="1" applyProtection="1">
      <alignment horizontal="center"/>
      <protection locked="0"/>
    </xf>
    <xf numFmtId="0" fontId="6" fillId="34" borderId="0" xfId="0" applyFont="1" applyFill="1" applyAlignment="1">
      <alignment horizontal="center" vertical="center" wrapText="1"/>
    </xf>
    <xf numFmtId="0" fontId="6" fillId="33" borderId="0" xfId="0" applyFont="1" applyFill="1" applyAlignment="1">
      <alignment horizontal="centerContinuous" vertical="center"/>
    </xf>
    <xf numFmtId="0" fontId="16" fillId="35" borderId="0" xfId="0" applyFont="1" applyFill="1" applyAlignment="1">
      <alignment horizontal="center" vertical="center"/>
    </xf>
    <xf numFmtId="0" fontId="6" fillId="36" borderId="0" xfId="0" applyFont="1" applyFill="1" applyAlignment="1">
      <alignment horizontal="center" vertical="center"/>
    </xf>
    <xf numFmtId="0" fontId="6" fillId="36" borderId="0" xfId="0" applyFont="1" applyFill="1" applyAlignment="1">
      <alignment horizontal="center" vertical="center" wrapText="1"/>
    </xf>
    <xf numFmtId="0" fontId="6" fillId="36" borderId="4" xfId="0" applyFont="1" applyFill="1" applyBorder="1" applyAlignment="1">
      <alignment horizontal="centerContinuous" vertical="center"/>
    </xf>
    <xf numFmtId="0" fontId="6" fillId="36" borderId="0" xfId="0" applyFont="1" applyFill="1" applyAlignment="1">
      <alignment horizontal="centerContinuous" vertical="center"/>
    </xf>
    <xf numFmtId="0" fontId="6" fillId="36" borderId="3" xfId="0" applyFont="1" applyFill="1" applyBorder="1" applyAlignment="1">
      <alignment horizontal="centerContinuous" vertical="center"/>
    </xf>
    <xf numFmtId="0" fontId="16" fillId="36" borderId="0" xfId="0" applyFont="1" applyFill="1" applyAlignment="1">
      <alignment horizontal="center" vertical="center" wrapText="1"/>
    </xf>
    <xf numFmtId="0" fontId="15" fillId="36" borderId="0" xfId="0" applyFont="1" applyFill="1" applyAlignment="1">
      <alignment horizontal="center" vertical="center" wrapText="1"/>
    </xf>
    <xf numFmtId="0" fontId="17" fillId="36" borderId="0" xfId="0" applyFont="1" applyFill="1" applyAlignment="1">
      <alignment horizontal="center" vertical="center"/>
    </xf>
    <xf numFmtId="0" fontId="16" fillId="37" borderId="0" xfId="0" applyFont="1" applyFill="1" applyAlignment="1">
      <alignment horizontal="center" vertical="center" wrapText="1"/>
    </xf>
    <xf numFmtId="0" fontId="17" fillId="37" borderId="0" xfId="0" applyFont="1" applyFill="1" applyAlignment="1">
      <alignment horizontal="center" vertical="center"/>
    </xf>
    <xf numFmtId="0" fontId="15" fillId="37" borderId="0" xfId="0" applyFont="1" applyFill="1" applyAlignment="1">
      <alignment horizontal="center" vertical="center" wrapText="1"/>
    </xf>
    <xf numFmtId="164" fontId="16" fillId="37" borderId="0" xfId="0" applyNumberFormat="1" applyFont="1" applyFill="1" applyAlignment="1">
      <alignment horizontal="center" vertical="center" wrapText="1"/>
    </xf>
    <xf numFmtId="0" fontId="6" fillId="37" borderId="0" xfId="0" applyFont="1" applyFill="1" applyAlignment="1">
      <alignment horizontal="center" vertical="center" wrapText="1"/>
    </xf>
    <xf numFmtId="0" fontId="6" fillId="37" borderId="0" xfId="0" applyFont="1" applyFill="1" applyAlignment="1">
      <alignment horizontal="center" vertical="center"/>
    </xf>
    <xf numFmtId="0" fontId="6" fillId="38" borderId="0" xfId="0" applyFont="1" applyFill="1" applyAlignment="1">
      <alignment horizontal="center" vertical="center"/>
    </xf>
    <xf numFmtId="0" fontId="6" fillId="38" borderId="0" xfId="0" applyFont="1" applyFill="1" applyAlignment="1">
      <alignment horizontal="center" vertical="center" wrapText="1"/>
    </xf>
    <xf numFmtId="0" fontId="16" fillId="38" borderId="0" xfId="0" applyFont="1" applyFill="1" applyAlignment="1">
      <alignment horizontal="center" vertical="center" wrapText="1"/>
    </xf>
    <xf numFmtId="0" fontId="16" fillId="39" borderId="0" xfId="0" applyFont="1" applyFill="1" applyAlignment="1">
      <alignment horizontal="center" vertical="center" wrapText="1"/>
    </xf>
    <xf numFmtId="165" fontId="16" fillId="39" borderId="0" xfId="0" applyNumberFormat="1" applyFont="1" applyFill="1" applyAlignment="1">
      <alignment horizontal="center" vertical="center" wrapText="1"/>
    </xf>
    <xf numFmtId="0" fontId="15" fillId="39" borderId="0" xfId="0" applyFont="1" applyFill="1" applyAlignment="1">
      <alignment horizontal="center" vertical="center" wrapText="1"/>
    </xf>
    <xf numFmtId="0" fontId="6" fillId="39" borderId="0" xfId="0" applyFont="1" applyFill="1" applyAlignment="1">
      <alignment horizontal="center" vertical="center"/>
    </xf>
    <xf numFmtId="0" fontId="6" fillId="39" borderId="4" xfId="0" applyFont="1" applyFill="1" applyBorder="1" applyAlignment="1">
      <alignment horizontal="centerContinuous" vertical="center"/>
    </xf>
    <xf numFmtId="0" fontId="6" fillId="39" borderId="0" xfId="0" applyFont="1" applyFill="1" applyAlignment="1">
      <alignment horizontal="centerContinuous" vertical="center"/>
    </xf>
    <xf numFmtId="0" fontId="6" fillId="40" borderId="0" xfId="0" applyFont="1" applyFill="1" applyAlignment="1">
      <alignment horizontal="center" vertical="center"/>
    </xf>
    <xf numFmtId="0" fontId="18" fillId="44" borderId="0" xfId="0" applyFont="1" applyFill="1" applyAlignment="1">
      <alignment horizontal="center" vertical="center" wrapText="1"/>
    </xf>
    <xf numFmtId="0" fontId="16" fillId="45" borderId="0" xfId="0" applyFont="1" applyFill="1" applyAlignment="1">
      <alignment horizontal="center" vertical="center" wrapText="1"/>
    </xf>
    <xf numFmtId="0" fontId="18" fillId="45" borderId="0" xfId="0" applyFont="1" applyFill="1" applyAlignment="1">
      <alignment horizontal="center" vertical="center"/>
    </xf>
    <xf numFmtId="0" fontId="6" fillId="45" borderId="0" xfId="0" applyFont="1" applyFill="1" applyAlignment="1">
      <alignment horizontal="center" vertical="center" wrapText="1"/>
    </xf>
    <xf numFmtId="0" fontId="6" fillId="44" borderId="0" xfId="0" applyFont="1" applyFill="1" applyAlignment="1">
      <alignment horizontal="center" vertical="center"/>
    </xf>
    <xf numFmtId="0" fontId="6" fillId="44" borderId="0" xfId="0" applyFont="1" applyFill="1" applyAlignment="1">
      <alignment horizontal="center" vertical="center" wrapText="1"/>
    </xf>
    <xf numFmtId="0" fontId="6" fillId="42" borderId="0" xfId="0" applyFont="1" applyFill="1" applyAlignment="1">
      <alignment horizontal="center" vertical="center"/>
    </xf>
    <xf numFmtId="0" fontId="6" fillId="41" borderId="0" xfId="0" applyFont="1" applyFill="1" applyAlignment="1">
      <alignment horizontal="center" vertical="center"/>
    </xf>
    <xf numFmtId="0" fontId="6" fillId="41" borderId="2" xfId="0" applyFont="1" applyFill="1" applyBorder="1" applyAlignment="1">
      <alignment horizontal="centerContinuous" vertical="center"/>
    </xf>
    <xf numFmtId="0" fontId="6" fillId="41" borderId="0" xfId="0" applyFont="1" applyFill="1" applyAlignment="1">
      <alignment horizontal="centerContinuous" vertical="center"/>
    </xf>
    <xf numFmtId="0" fontId="6" fillId="41" borderId="3" xfId="0" applyFont="1" applyFill="1" applyBorder="1" applyAlignment="1">
      <alignment horizontal="centerContinuous" vertical="center"/>
    </xf>
    <xf numFmtId="0" fontId="6" fillId="43" borderId="0" xfId="0" applyFont="1" applyFill="1" applyAlignment="1">
      <alignment horizontal="center" vertical="center"/>
    </xf>
    <xf numFmtId="0" fontId="10" fillId="44" borderId="7" xfId="0" applyFont="1" applyFill="1" applyBorder="1" applyAlignment="1">
      <alignment horizontal="center" vertical="center"/>
    </xf>
    <xf numFmtId="0" fontId="10" fillId="36" borderId="7" xfId="0" applyFont="1" applyFill="1" applyBorder="1" applyAlignment="1">
      <alignment horizontal="center" vertical="center"/>
    </xf>
    <xf numFmtId="0" fontId="10" fillId="36" borderId="8" xfId="0" applyFont="1" applyFill="1" applyBorder="1" applyAlignment="1">
      <alignment horizontal="center" vertical="center"/>
    </xf>
    <xf numFmtId="0" fontId="10" fillId="36" borderId="6" xfId="0" applyFont="1" applyFill="1" applyBorder="1" applyAlignment="1">
      <alignment horizontal="center" vertical="center"/>
    </xf>
    <xf numFmtId="0" fontId="10" fillId="44" borderId="0" xfId="0" applyFont="1" applyFill="1" applyAlignment="1">
      <alignment horizontal="center" vertical="center"/>
    </xf>
    <xf numFmtId="0" fontId="0" fillId="2" borderId="0" xfId="0" applyFill="1"/>
    <xf numFmtId="9" fontId="0" fillId="0" borderId="0" xfId="0" applyNumberFormat="1" applyAlignment="1">
      <alignment horizontal="center"/>
    </xf>
    <xf numFmtId="0" fontId="6" fillId="38" borderId="14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/>
    </xf>
    <xf numFmtId="0" fontId="22" fillId="2" borderId="13" xfId="0" applyFont="1" applyFill="1" applyBorder="1" applyAlignment="1">
      <alignment horizontal="center" vertical="center"/>
    </xf>
    <xf numFmtId="0" fontId="19" fillId="0" borderId="13" xfId="0" applyFont="1" applyBorder="1"/>
    <xf numFmtId="0" fontId="4" fillId="2" borderId="13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33" fillId="36" borderId="12" xfId="0" applyFont="1" applyFill="1" applyBorder="1" applyAlignment="1">
      <alignment horizontal="center" vertical="center"/>
    </xf>
    <xf numFmtId="0" fontId="6" fillId="36" borderId="15" xfId="0" applyFont="1" applyFill="1" applyBorder="1" applyAlignment="1">
      <alignment horizontal="center" vertical="center"/>
    </xf>
    <xf numFmtId="0" fontId="6" fillId="36" borderId="16" xfId="0" applyFont="1" applyFill="1" applyBorder="1" applyAlignment="1">
      <alignment horizontal="center" vertical="center"/>
    </xf>
    <xf numFmtId="0" fontId="6" fillId="38" borderId="17" xfId="0" applyFont="1" applyFill="1" applyBorder="1" applyAlignment="1">
      <alignment horizontal="center" vertical="center"/>
    </xf>
    <xf numFmtId="0" fontId="6" fillId="38" borderId="14" xfId="0" applyFont="1" applyFill="1" applyBorder="1" applyAlignment="1">
      <alignment horizontal="center" vertical="center"/>
    </xf>
    <xf numFmtId="0" fontId="6" fillId="36" borderId="11" xfId="0" applyFont="1" applyFill="1" applyBorder="1" applyAlignment="1">
      <alignment horizontal="center" vertical="center"/>
    </xf>
    <xf numFmtId="0" fontId="6" fillId="38" borderId="10" xfId="0" applyFont="1" applyFill="1" applyBorder="1" applyAlignment="1">
      <alignment horizontal="center" vertical="center" wrapText="1"/>
    </xf>
    <xf numFmtId="22" fontId="35" fillId="0" borderId="0" xfId="0" applyNumberFormat="1" applyFont="1" applyAlignment="1">
      <alignment horizontal="center"/>
    </xf>
    <xf numFmtId="49" fontId="5" fillId="0" borderId="0" xfId="0" applyNumberFormat="1" applyFont="1" applyAlignment="1" applyProtection="1">
      <alignment horizontal="center"/>
      <protection locked="0"/>
    </xf>
    <xf numFmtId="0" fontId="21" fillId="30" borderId="12" xfId="0" applyFont="1" applyFill="1" applyBorder="1" applyAlignment="1">
      <alignment horizontal="center"/>
    </xf>
    <xf numFmtId="0" fontId="21" fillId="31" borderId="12" xfId="0" applyFont="1" applyFill="1" applyBorder="1" applyAlignment="1">
      <alignment horizontal="center"/>
    </xf>
    <xf numFmtId="0" fontId="21" fillId="31" borderId="19" xfId="0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4" fontId="40" fillId="0" borderId="0" xfId="0" applyNumberFormat="1" applyFont="1"/>
    <xf numFmtId="0" fontId="41" fillId="0" borderId="0" xfId="0" applyFont="1"/>
    <xf numFmtId="0" fontId="44" fillId="2" borderId="0" xfId="0" applyFont="1" applyFill="1" applyAlignment="1">
      <alignment horizontal="left"/>
    </xf>
    <xf numFmtId="0" fontId="45" fillId="2" borderId="0" xfId="0" applyFont="1" applyFill="1"/>
    <xf numFmtId="0" fontId="0" fillId="2" borderId="0" xfId="0" applyFill="1" applyAlignment="1">
      <alignment horizontal="left"/>
    </xf>
    <xf numFmtId="0" fontId="3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left" vertical="center"/>
    </xf>
    <xf numFmtId="0" fontId="37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43" fillId="2" borderId="0" xfId="0" applyFont="1" applyFill="1" applyAlignment="1">
      <alignment horizontal="left" vertical="center"/>
    </xf>
    <xf numFmtId="165" fontId="38" fillId="2" borderId="0" xfId="0" applyNumberFormat="1" applyFont="1" applyFill="1" applyAlignment="1">
      <alignment horizontal="center" vertical="center"/>
    </xf>
    <xf numFmtId="0" fontId="45" fillId="2" borderId="0" xfId="0" applyFont="1" applyFill="1" applyAlignment="1">
      <alignment vertical="center"/>
    </xf>
    <xf numFmtId="165" fontId="38" fillId="2" borderId="0" xfId="0" applyNumberFormat="1" applyFont="1" applyFill="1" applyAlignment="1">
      <alignment horizontal="center" vertical="top"/>
    </xf>
    <xf numFmtId="0" fontId="39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45" fillId="0" borderId="0" xfId="0" applyFont="1" applyAlignment="1">
      <alignment vertical="center"/>
    </xf>
    <xf numFmtId="0" fontId="44" fillId="0" borderId="0" xfId="0" applyFont="1" applyAlignment="1">
      <alignment horizontal="left"/>
    </xf>
    <xf numFmtId="0" fontId="43" fillId="0" borderId="0" xfId="0" applyFont="1" applyAlignment="1">
      <alignment horizontal="left" vertical="center"/>
    </xf>
    <xf numFmtId="0" fontId="38" fillId="0" borderId="0" xfId="0" applyFont="1" applyAlignment="1">
      <alignment horizontal="left" vertical="center"/>
    </xf>
    <xf numFmtId="0" fontId="0" fillId="2" borderId="20" xfId="0" applyFill="1" applyBorder="1"/>
    <xf numFmtId="0" fontId="10" fillId="43" borderId="21" xfId="0" applyFont="1" applyFill="1" applyBorder="1"/>
    <xf numFmtId="0" fontId="0" fillId="0" borderId="21" xfId="0" applyBorder="1"/>
    <xf numFmtId="0" fontId="42" fillId="0" borderId="0" xfId="0" applyFont="1" applyAlignment="1">
      <alignment vertical="center"/>
    </xf>
    <xf numFmtId="0" fontId="46" fillId="2" borderId="20" xfId="0" applyFont="1" applyFill="1" applyBorder="1" applyAlignment="1">
      <alignment vertical="center"/>
    </xf>
    <xf numFmtId="0" fontId="45" fillId="2" borderId="20" xfId="0" applyFont="1" applyFill="1" applyBorder="1" applyAlignment="1">
      <alignment vertical="center"/>
    </xf>
    <xf numFmtId="0" fontId="45" fillId="2" borderId="0" xfId="0" applyFont="1" applyFill="1" applyAlignment="1">
      <alignment horizontal="left"/>
    </xf>
    <xf numFmtId="0" fontId="46" fillId="2" borderId="0" xfId="0" applyFont="1" applyFill="1" applyAlignment="1">
      <alignment horizontal="left"/>
    </xf>
    <xf numFmtId="0" fontId="47" fillId="2" borderId="0" xfId="0" applyFont="1" applyFill="1" applyAlignment="1">
      <alignment horizontal="left"/>
    </xf>
    <xf numFmtId="0" fontId="10" fillId="43" borderId="21" xfId="0" applyFont="1" applyFill="1" applyBorder="1" applyAlignment="1">
      <alignment horizontal="center"/>
    </xf>
    <xf numFmtId="0" fontId="46" fillId="2" borderId="0" xfId="0" applyFont="1" applyFill="1" applyAlignment="1">
      <alignment horizontal="left" vertical="center"/>
    </xf>
    <xf numFmtId="0" fontId="47" fillId="2" borderId="0" xfId="0" applyFont="1" applyFill="1"/>
    <xf numFmtId="0" fontId="46" fillId="2" borderId="0" xfId="0" applyFont="1" applyFill="1" applyAlignment="1">
      <alignment horizontal="center" vertical="center"/>
    </xf>
    <xf numFmtId="0" fontId="48" fillId="2" borderId="0" xfId="0" applyFont="1" applyFill="1" applyAlignment="1">
      <alignment horizontal="left" vertical="center"/>
    </xf>
    <xf numFmtId="0" fontId="46" fillId="2" borderId="20" xfId="0" applyFont="1" applyFill="1" applyBorder="1" applyAlignment="1">
      <alignment horizontal="left"/>
    </xf>
    <xf numFmtId="0" fontId="38" fillId="2" borderId="0" xfId="0" applyFont="1" applyFill="1" applyAlignment="1">
      <alignment horizontal="left"/>
    </xf>
    <xf numFmtId="0" fontId="42" fillId="2" borderId="0" xfId="0" applyFont="1" applyFill="1" applyAlignment="1">
      <alignment horizontal="left" vertical="center"/>
    </xf>
    <xf numFmtId="0" fontId="42" fillId="2" borderId="0" xfId="0" applyFont="1" applyFill="1" applyAlignment="1">
      <alignment vertical="center"/>
    </xf>
    <xf numFmtId="0" fontId="0" fillId="0" borderId="21" xfId="0" applyBorder="1" applyAlignment="1">
      <alignment horizontal="center"/>
    </xf>
    <xf numFmtId="165" fontId="46" fillId="2" borderId="0" xfId="0" applyNumberFormat="1" applyFont="1" applyFill="1" applyAlignment="1">
      <alignment horizontal="center" vertical="top"/>
    </xf>
    <xf numFmtId="165" fontId="46" fillId="2" borderId="0" xfId="0" applyNumberFormat="1" applyFont="1" applyFill="1" applyAlignment="1">
      <alignment horizontal="center" vertical="center"/>
    </xf>
    <xf numFmtId="14" fontId="46" fillId="2" borderId="0" xfId="0" applyNumberFormat="1" applyFont="1" applyFill="1" applyAlignment="1">
      <alignment horizontal="center" vertical="top"/>
    </xf>
    <xf numFmtId="0" fontId="49" fillId="39" borderId="0" xfId="0" applyFont="1" applyFill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3" fontId="5" fillId="0" borderId="0" xfId="0" applyNumberFormat="1" applyFont="1" applyAlignment="1">
      <alignment horizontal="center"/>
    </xf>
    <xf numFmtId="0" fontId="24" fillId="2" borderId="20" xfId="0" applyFont="1" applyFill="1" applyBorder="1"/>
    <xf numFmtId="0" fontId="35" fillId="0" borderId="0" xfId="0" applyFont="1" applyAlignment="1">
      <alignment horizontal="center"/>
    </xf>
    <xf numFmtId="0" fontId="50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/>
    </xf>
    <xf numFmtId="166" fontId="4" fillId="0" borderId="0" xfId="0" applyNumberFormat="1" applyFont="1" applyAlignment="1">
      <alignment horizontal="center"/>
    </xf>
    <xf numFmtId="167" fontId="53" fillId="0" borderId="21" xfId="0" applyNumberFormat="1" applyFont="1" applyBorder="1"/>
    <xf numFmtId="44" fontId="0" fillId="46" borderId="0" xfId="1" applyFont="1" applyFill="1"/>
    <xf numFmtId="44" fontId="0" fillId="0" borderId="0" xfId="0" applyNumberFormat="1"/>
    <xf numFmtId="0" fontId="54" fillId="0" borderId="0" xfId="0" applyFont="1" applyAlignment="1">
      <alignment horizontal="center"/>
    </xf>
    <xf numFmtId="0" fontId="5" fillId="0" borderId="0" xfId="0" quotePrefix="1" applyFont="1" applyAlignment="1">
      <alignment horizontal="center"/>
    </xf>
    <xf numFmtId="0" fontId="0" fillId="2" borderId="18" xfId="0" applyFill="1" applyBorder="1"/>
    <xf numFmtId="0" fontId="47" fillId="2" borderId="18" xfId="0" applyFont="1" applyFill="1" applyBorder="1"/>
    <xf numFmtId="0" fontId="55" fillId="2" borderId="0" xfId="0" applyFont="1" applyFill="1" applyAlignment="1">
      <alignment vertical="center"/>
    </xf>
    <xf numFmtId="0" fontId="19" fillId="46" borderId="13" xfId="0" applyFont="1" applyFill="1" applyBorder="1"/>
    <xf numFmtId="0" fontId="22" fillId="46" borderId="13" xfId="0" applyFont="1" applyFill="1" applyBorder="1" applyAlignment="1">
      <alignment horizontal="center" vertical="center"/>
    </xf>
    <xf numFmtId="0" fontId="3" fillId="46" borderId="13" xfId="0" applyFont="1" applyFill="1" applyBorder="1" applyAlignment="1">
      <alignment horizontal="center" vertical="center"/>
    </xf>
    <xf numFmtId="0" fontId="4" fillId="46" borderId="13" xfId="0" applyFont="1" applyFill="1" applyBorder="1" applyAlignment="1">
      <alignment horizontal="center" vertical="center"/>
    </xf>
    <xf numFmtId="0" fontId="5" fillId="46" borderId="13" xfId="0" applyFont="1" applyFill="1" applyBorder="1" applyAlignment="1">
      <alignment horizontal="center" vertical="center"/>
    </xf>
    <xf numFmtId="0" fontId="5" fillId="46" borderId="0" xfId="0" applyFont="1" applyFill="1" applyAlignment="1">
      <alignment horizontal="center" vertical="center"/>
    </xf>
    <xf numFmtId="0" fontId="4" fillId="46" borderId="0" xfId="0" applyFont="1" applyFill="1" applyAlignment="1">
      <alignment horizontal="center" vertical="center"/>
    </xf>
    <xf numFmtId="0" fontId="4" fillId="46" borderId="1" xfId="0" applyFont="1" applyFill="1" applyBorder="1" applyAlignment="1">
      <alignment horizontal="center" vertical="center"/>
    </xf>
    <xf numFmtId="0" fontId="5" fillId="46" borderId="1" xfId="0" applyFont="1" applyFill="1" applyBorder="1" applyAlignment="1">
      <alignment horizontal="center" vertical="center"/>
    </xf>
    <xf numFmtId="0" fontId="33" fillId="4" borderId="12" xfId="0" applyFont="1" applyFill="1" applyBorder="1" applyAlignment="1">
      <alignment horizontal="center" vertical="center"/>
    </xf>
    <xf numFmtId="0" fontId="16" fillId="47" borderId="0" xfId="0" applyFont="1" applyFill="1" applyAlignment="1">
      <alignment horizontal="center" vertical="center"/>
    </xf>
    <xf numFmtId="0" fontId="58" fillId="48" borderId="0" xfId="0" applyFont="1" applyFill="1" applyAlignment="1">
      <alignment vertical="center" wrapText="1"/>
    </xf>
    <xf numFmtId="0" fontId="58" fillId="49" borderId="0" xfId="0" applyFont="1" applyFill="1" applyAlignment="1">
      <alignment vertical="center" wrapText="1"/>
    </xf>
    <xf numFmtId="10" fontId="58" fillId="49" borderId="0" xfId="0" applyNumberFormat="1" applyFont="1" applyFill="1" applyAlignment="1">
      <alignment vertical="center" wrapText="1"/>
    </xf>
    <xf numFmtId="0" fontId="60" fillId="50" borderId="0" xfId="0" applyFont="1" applyFill="1" applyAlignment="1">
      <alignment vertical="center" wrapText="1"/>
    </xf>
    <xf numFmtId="8" fontId="60" fillId="50" borderId="0" xfId="0" applyNumberFormat="1" applyFont="1" applyFill="1" applyAlignment="1">
      <alignment vertical="center" wrapText="1"/>
    </xf>
    <xf numFmtId="8" fontId="58" fillId="49" borderId="0" xfId="0" applyNumberFormat="1" applyFont="1" applyFill="1" applyAlignment="1">
      <alignment vertical="center" wrapText="1"/>
    </xf>
    <xf numFmtId="0" fontId="58" fillId="50" borderId="0" xfId="0" applyFont="1" applyFill="1" applyAlignment="1">
      <alignment vertical="center" wrapText="1"/>
    </xf>
    <xf numFmtId="8" fontId="58" fillId="50" borderId="0" xfId="0" applyNumberFormat="1" applyFont="1" applyFill="1" applyAlignment="1">
      <alignment vertical="center" wrapText="1"/>
    </xf>
    <xf numFmtId="0" fontId="6" fillId="51" borderId="0" xfId="0" applyFont="1" applyFill="1" applyAlignment="1">
      <alignment horizontal="center" vertical="center" wrapText="1"/>
    </xf>
    <xf numFmtId="44" fontId="19" fillId="0" borderId="0" xfId="1" applyFont="1"/>
    <xf numFmtId="44" fontId="21" fillId="0" borderId="0" xfId="0" applyNumberFormat="1" applyFont="1"/>
    <xf numFmtId="10" fontId="21" fillId="0" borderId="0" xfId="0" applyNumberFormat="1" applyFont="1"/>
    <xf numFmtId="9" fontId="19" fillId="0" borderId="0" xfId="2" applyFont="1"/>
    <xf numFmtId="44" fontId="21" fillId="0" borderId="0" xfId="1" applyFont="1"/>
    <xf numFmtId="0" fontId="5" fillId="47" borderId="0" xfId="0" applyFont="1" applyFill="1" applyAlignment="1">
      <alignment horizontal="center"/>
    </xf>
    <xf numFmtId="0" fontId="44" fillId="52" borderId="0" xfId="0" applyFont="1" applyFill="1" applyAlignment="1">
      <alignment horizontal="right"/>
    </xf>
    <xf numFmtId="4" fontId="54" fillId="52" borderId="0" xfId="0" applyNumberFormat="1" applyFont="1" applyFill="1"/>
    <xf numFmtId="0" fontId="20" fillId="53" borderId="0" xfId="0" applyFont="1" applyFill="1" applyAlignment="1">
      <alignment horizontal="center"/>
    </xf>
    <xf numFmtId="0" fontId="0" fillId="53" borderId="0" xfId="0" applyFill="1" applyAlignment="1">
      <alignment horizontal="center"/>
    </xf>
    <xf numFmtId="0" fontId="20" fillId="54" borderId="0" xfId="0" applyFont="1" applyFill="1" applyAlignment="1">
      <alignment horizontal="center"/>
    </xf>
    <xf numFmtId="0" fontId="0" fillId="54" borderId="0" xfId="0" applyFill="1"/>
    <xf numFmtId="0" fontId="0" fillId="53" borderId="0" xfId="0" applyFill="1"/>
    <xf numFmtId="0" fontId="20" fillId="53" borderId="0" xfId="0" applyFont="1" applyFill="1"/>
    <xf numFmtId="0" fontId="0" fillId="55" borderId="0" xfId="0" applyFill="1"/>
    <xf numFmtId="2" fontId="61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0" fontId="24" fillId="0" borderId="0" xfId="0" applyFont="1"/>
    <xf numFmtId="0" fontId="36" fillId="0" borderId="0" xfId="0" applyFont="1" applyAlignment="1">
      <alignment horizontal="center"/>
    </xf>
    <xf numFmtId="22" fontId="33" fillId="0" borderId="11" xfId="0" applyNumberFormat="1" applyFont="1" applyBorder="1" applyAlignment="1">
      <alignment horizontal="center"/>
    </xf>
    <xf numFmtId="4" fontId="0" fillId="0" borderId="0" xfId="0" applyNumberFormat="1"/>
    <xf numFmtId="0" fontId="0" fillId="46" borderId="0" xfId="0" applyFill="1"/>
    <xf numFmtId="0" fontId="6" fillId="0" borderId="11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22" fontId="5" fillId="0" borderId="11" xfId="0" applyNumberFormat="1" applyFont="1" applyBorder="1" applyAlignment="1">
      <alignment horizontal="center"/>
    </xf>
    <xf numFmtId="44" fontId="4" fillId="0" borderId="11" xfId="1" applyFont="1" applyFill="1" applyBorder="1" applyAlignment="1">
      <alignment horizontal="center"/>
    </xf>
    <xf numFmtId="44" fontId="5" fillId="0" borderId="11" xfId="1" applyFont="1" applyFill="1" applyBorder="1" applyAlignment="1">
      <alignment horizontal="center"/>
    </xf>
    <xf numFmtId="44" fontId="20" fillId="0" borderId="0" xfId="0" applyNumberFormat="1" applyFont="1" applyAlignment="1">
      <alignment horizontal="center"/>
    </xf>
    <xf numFmtId="0" fontId="28" fillId="36" borderId="22" xfId="0" applyFont="1" applyFill="1" applyBorder="1" applyAlignment="1">
      <alignment horizontal="center" vertical="center"/>
    </xf>
    <xf numFmtId="0" fontId="28" fillId="38" borderId="23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44" fontId="0" fillId="0" borderId="0" xfId="1" applyFont="1" applyFill="1" applyBorder="1" applyAlignment="1">
      <alignment horizontal="center"/>
    </xf>
    <xf numFmtId="44" fontId="8" fillId="0" borderId="0" xfId="0" applyNumberFormat="1" applyFont="1" applyAlignment="1">
      <alignment horizontal="center"/>
    </xf>
    <xf numFmtId="0" fontId="65" fillId="28" borderId="0" xfId="0" applyFont="1" applyFill="1" applyAlignment="1">
      <alignment vertical="center"/>
    </xf>
    <xf numFmtId="0" fontId="6" fillId="51" borderId="2" xfId="0" applyFont="1" applyFill="1" applyBorder="1" applyAlignment="1">
      <alignment horizontal="center" vertical="center"/>
    </xf>
    <xf numFmtId="0" fontId="6" fillId="51" borderId="1" xfId="0" applyFont="1" applyFill="1" applyBorder="1" applyAlignment="1">
      <alignment horizontal="center" vertical="center"/>
    </xf>
    <xf numFmtId="0" fontId="42" fillId="2" borderId="0" xfId="0" applyFont="1" applyFill="1" applyAlignment="1">
      <alignment horizontal="center" vertical="center"/>
    </xf>
    <xf numFmtId="0" fontId="45" fillId="2" borderId="20" xfId="0" applyFont="1" applyFill="1" applyBorder="1" applyAlignment="1">
      <alignment horizontal="left"/>
    </xf>
    <xf numFmtId="0" fontId="18" fillId="2" borderId="20" xfId="0" applyFont="1" applyFill="1" applyBorder="1" applyAlignment="1">
      <alignment horizontal="left"/>
    </xf>
    <xf numFmtId="0" fontId="18" fillId="0" borderId="18" xfId="0" applyFont="1" applyBorder="1" applyAlignment="1">
      <alignment horizontal="left" vertical="center"/>
    </xf>
    <xf numFmtId="0" fontId="0" fillId="2" borderId="18" xfId="0" applyFill="1" applyBorder="1" applyAlignment="1">
      <alignment horizontal="left" vertical="center"/>
    </xf>
    <xf numFmtId="0" fontId="42" fillId="2" borderId="18" xfId="0" applyFont="1" applyFill="1" applyBorder="1" applyAlignment="1">
      <alignment horizontal="left" vertical="center"/>
    </xf>
    <xf numFmtId="0" fontId="44" fillId="2" borderId="18" xfId="0" applyFont="1" applyFill="1" applyBorder="1" applyAlignment="1">
      <alignment horizontal="left" vertical="center"/>
    </xf>
    <xf numFmtId="0" fontId="30" fillId="2" borderId="18" xfId="0" applyFont="1" applyFill="1" applyBorder="1" applyAlignment="1">
      <alignment horizontal="left" vertical="center"/>
    </xf>
    <xf numFmtId="0" fontId="26" fillId="28" borderId="0" xfId="0" applyFont="1" applyFill="1" applyAlignment="1">
      <alignment horizontal="center" vertical="center"/>
    </xf>
    <xf numFmtId="0" fontId="34" fillId="2" borderId="18" xfId="0" applyFont="1" applyFill="1" applyBorder="1" applyAlignment="1">
      <alignment horizontal="center"/>
    </xf>
    <xf numFmtId="0" fontId="66" fillId="0" borderId="0" xfId="0" applyFont="1" applyAlignment="1">
      <alignment horizontal="center"/>
    </xf>
    <xf numFmtId="49" fontId="66" fillId="0" borderId="0" xfId="0" applyNumberFormat="1" applyFont="1" applyAlignment="1">
      <alignment horizontal="center"/>
    </xf>
    <xf numFmtId="49" fontId="35" fillId="0" borderId="0" xfId="0" applyNumberFormat="1" applyFont="1" applyAlignment="1">
      <alignment horizontal="center"/>
    </xf>
  </cellXfs>
  <cellStyles count="7">
    <cellStyle name="Moeda" xfId="1" builtinId="4"/>
    <cellStyle name="Moeda 2" xfId="3" xr:uid="{9E2611D3-0AB2-4BDF-902B-FD58E48A582E}"/>
    <cellStyle name="Moeda 2 2" xfId="4" xr:uid="{FD6E2574-E188-40AE-9C8D-9E34B306B858}"/>
    <cellStyle name="Moeda 3" xfId="5" xr:uid="{B950D23B-619F-4185-ABDD-B6FB34A878F9}"/>
    <cellStyle name="Moeda 4" xfId="6" xr:uid="{54831AE0-F547-407F-9965-B0C33EDC01B8}"/>
    <cellStyle name="Normal" xfId="0" builtinId="0"/>
    <cellStyle name="Porcentagem" xfId="2" builtinId="5"/>
  </cellStyles>
  <dxfs count="2854">
    <dxf>
      <font>
        <color rgb="FF9C0006"/>
      </font>
      <fill>
        <patternFill>
          <bgColor rgb="FFFFC7CE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1B8C3F"/>
        </patternFill>
      </fill>
    </dxf>
    <dxf>
      <fill>
        <patternFill>
          <bgColor rgb="FFADDB7B"/>
        </patternFill>
      </fill>
    </dxf>
    <dxf>
      <fill>
        <patternFill>
          <bgColor rgb="FFEDC02B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ill>
        <patternFill>
          <bgColor rgb="FFEAEAE1"/>
        </patternFill>
      </fill>
    </dxf>
    <dxf>
      <fill>
        <patternFill>
          <bgColor rgb="FFBA8CDC"/>
        </patternFill>
      </fill>
    </dxf>
    <dxf>
      <fill>
        <patternFill>
          <bgColor rgb="FFFF8585"/>
        </patternFill>
      </fill>
    </dxf>
    <dxf>
      <fill>
        <patternFill>
          <bgColor rgb="FFBF3825"/>
        </patternFill>
      </fill>
    </dxf>
    <dxf>
      <fill>
        <patternFill>
          <bgColor rgb="FF02973A"/>
        </patternFill>
      </fill>
    </dxf>
    <dxf>
      <fill>
        <patternFill>
          <bgColor rgb="FF17D35F"/>
        </patternFill>
      </fill>
    </dxf>
    <dxf>
      <fill>
        <patternFill>
          <bgColor rgb="FFF3C107"/>
        </patternFill>
      </fill>
    </dxf>
    <dxf>
      <fill>
        <patternFill>
          <bgColor rgb="FF92989A"/>
        </patternFill>
      </fill>
    </dxf>
    <dxf>
      <fill>
        <patternFill>
          <bgColor rgb="FFD09E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AEAE1"/>
        </patternFill>
      </fill>
    </dxf>
    <dxf>
      <fill>
        <patternFill>
          <bgColor rgb="FFFF4F4F"/>
        </patternFill>
      </fill>
    </dxf>
    <dxf>
      <fill>
        <patternFill>
          <bgColor rgb="FF71B3FB"/>
        </patternFill>
      </fill>
    </dxf>
    <dxf>
      <fill>
        <patternFill>
          <bgColor rgb="FF3CE4F6"/>
        </patternFill>
      </fill>
    </dxf>
    <dxf>
      <fill>
        <patternFill>
          <bgColor rgb="FF17D35F"/>
        </patternFill>
      </fill>
    </dxf>
    <dxf>
      <fill>
        <patternFill>
          <bgColor rgb="FF02973A"/>
        </patternFill>
      </fill>
    </dxf>
    <dxf>
      <fill>
        <patternFill>
          <bgColor rgb="FFEEA3FB"/>
        </patternFill>
      </fill>
    </dxf>
    <dxf>
      <fill>
        <patternFill>
          <bgColor rgb="FF92989A"/>
        </patternFill>
      </fill>
    </dxf>
    <dxf>
      <fill>
        <patternFill>
          <bgColor rgb="FFCBDC2C"/>
        </patternFill>
      </fill>
    </dxf>
    <dxf>
      <fill>
        <patternFill>
          <bgColor rgb="FFF3C10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left style="medium">
          <color rgb="FFFFFFFF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Calibri"/>
        <family val="2"/>
        <scheme val="none"/>
      </font>
      <fill>
        <patternFill patternType="solid">
          <fgColor indexed="64"/>
          <bgColor rgb="FF00669D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rgb="FFFFFFFF"/>
        </left>
        <right style="medium">
          <color rgb="FFFFFFFF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[$-F400]h:mm:ss\ AM/PM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6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minor"/>
      </font>
      <fill>
        <patternFill patternType="solid">
          <fgColor indexed="64"/>
          <bgColor rgb="FF9A57CD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[$-F400]h:mm:ss\ AM/PM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6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6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minor"/>
      </font>
      <fill>
        <patternFill patternType="solid">
          <fgColor indexed="64"/>
          <bgColor rgb="FF9A57CD"/>
        </patternFill>
      </fill>
      <alignment horizontal="center" vertical="center" textRotation="0" wrapText="0" indent="0" justifyLastLine="0" shrinkToFit="0" readingOrder="0"/>
    </dxf>
    <dxf>
      <font>
        <b/>
        <color theme="1"/>
      </font>
      <border>
        <bottom style="thin">
          <color rgb="FF4F81BD"/>
        </bottom>
        <vertical/>
        <horizontal/>
      </border>
    </dxf>
    <dxf>
      <font>
        <color theme="0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rgb="FF4F81BD"/>
        </bottom>
        <vertical/>
        <horizontal/>
      </border>
    </dxf>
    <dxf>
      <font>
        <color theme="1"/>
      </font>
      <fill>
        <patternFill>
          <bgColor rgb="FFFBFCFB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rgb="FF4F81BD"/>
        </bottom>
        <vertical/>
        <horizontal/>
      </border>
    </dxf>
    <dxf>
      <font>
        <color theme="1"/>
      </font>
      <fill>
        <patternFill>
          <bgColor theme="2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rgb="FF4F81BD"/>
        </bottom>
        <vertical/>
        <horizontal/>
      </border>
    </dxf>
    <dxf>
      <font>
        <color theme="1"/>
      </font>
      <fill>
        <patternFill>
          <bgColor rgb="FF54575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color theme="1" tint="0.14996795556505021"/>
      </font>
      <border diagonalUp="0" diagonalDown="0">
        <left/>
        <right/>
        <top/>
        <bottom/>
        <vertical/>
        <horizontal/>
      </border>
    </dxf>
    <dxf>
      <font>
        <color theme="8" tint="0.59996337778862885"/>
      </font>
      <border>
        <bottom style="thin">
          <color theme="8"/>
        </bottom>
        <vertical/>
        <horizontal/>
      </border>
    </dxf>
    <dxf>
      <font>
        <color theme="0" tint="-4.9989318521683403E-2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color theme="8" tint="0.59996337778862885"/>
      </font>
      <border>
        <bottom style="thin">
          <color theme="8"/>
        </bottom>
        <vertical/>
        <horizontal/>
      </border>
    </dxf>
    <dxf>
      <font>
        <color theme="1"/>
      </font>
      <fill>
        <patternFill>
          <bgColor theme="5" tint="-0.2499465926084170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color theme="1"/>
      </font>
      <fill>
        <patternFill>
          <bgColor rgb="FF54575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6"/>
        </bottom>
        <vertical/>
        <horizontal/>
      </border>
    </dxf>
    <dxf>
      <font>
        <color theme="1"/>
      </font>
      <fill>
        <patternFill>
          <bgColor theme="5" tint="-0.24994659260841701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border>
        <bottom style="thin">
          <color theme="4"/>
        </bottom>
        <vertical/>
        <horizontal/>
      </border>
    </dxf>
    <dxf>
      <font>
        <color theme="0"/>
      </font>
      <fill>
        <patternFill>
          <bgColor rgb="FFCFCFCF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rgb="FFFBFCFB"/>
        </patternFill>
      </fill>
    </dxf>
    <dxf>
      <fill>
        <patternFill>
          <bgColor theme="2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2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2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solid">
          <bgColor theme="0"/>
        </patternFill>
      </fill>
      <border diagonalUp="0" diagonalDown="0">
        <left/>
        <right/>
        <top/>
        <bottom/>
        <vertical/>
        <horizontal/>
      </border>
    </dxf>
  </dxfs>
  <tableStyles count="17" defaultTableStyle="TableStyleMedium2" defaultPivotStyle="PivotStyleLight16">
    <tableStyle name="Estilo de Segmentação de Dados 1" pivot="0" table="0" count="1" xr9:uid="{1C96EE2F-D6B0-4F28-A7F0-AAA57DF8EF51}">
      <tableStyleElement type="wholeTable" dxfId="2853"/>
    </tableStyle>
    <tableStyle name="Estilo de Segmentação de Dados 2" pivot="0" table="0" count="1" xr9:uid="{A16EA8B9-E324-417B-AD1A-5F5347D7D3F9}">
      <tableStyleElement type="wholeTable" dxfId="2852"/>
    </tableStyle>
    <tableStyle name="Estilo de Segmentação de Dados 3" pivot="0" table="0" count="1" xr9:uid="{37B25219-FF5E-40EE-8994-C836EE0D69D8}">
      <tableStyleElement type="wholeTable" dxfId="2851"/>
    </tableStyle>
    <tableStyle name="Estilo de Segmentação de Dados 4" pivot="0" table="0" count="1" xr9:uid="{F2E25B52-6ABF-4DE1-9D6D-C9DBE3B50A15}">
      <tableStyleElement type="headerRow" dxfId="2850"/>
    </tableStyle>
    <tableStyle name="Estilo de Segmentação de Dados 5" pivot="0" table="0" count="1" xr9:uid="{117834F3-503D-474F-928D-1E01110A25A5}">
      <tableStyleElement type="wholeTable" dxfId="2849"/>
    </tableStyle>
    <tableStyle name="Estilo de Segmentação de Dados 6" pivot="0" table="0" count="1" xr9:uid="{149A4D6A-E4BB-4884-9388-8873BD952136}">
      <tableStyleElement type="wholeTable" dxfId="2848"/>
    </tableStyle>
    <tableStyle name="Estilo de Segmentação de Dados 7" pivot="0" table="0" count="1" xr9:uid="{C8D12B88-2DA3-427C-A00A-819C45D304F0}">
      <tableStyleElement type="wholeTable" dxfId="2847"/>
    </tableStyle>
    <tableStyle name="SlicerStyleDark1 2" pivot="0" table="0" count="10" xr9:uid="{126A6111-63FB-4267-A2A1-7B05ADC2DB94}">
      <tableStyleElement type="wholeTable" dxfId="2846"/>
      <tableStyleElement type="headerRow" dxfId="2845"/>
    </tableStyle>
    <tableStyle name="SlicerStyleDark3 2" pivot="0" table="0" count="10" xr9:uid="{B60CC648-A649-4B43-924E-5C08ECCDCE5E}">
      <tableStyleElement type="wholeTable" dxfId="2844"/>
      <tableStyleElement type="headerRow" dxfId="2843"/>
    </tableStyle>
    <tableStyle name="SlicerStyleDark5 2" pivot="0" table="0" count="10" xr9:uid="{1E9A61FA-C3B4-41E4-9AB4-2DBE83CC05E9}">
      <tableStyleElement type="wholeTable" dxfId="2842"/>
      <tableStyleElement type="headerRow" dxfId="2841"/>
    </tableStyle>
    <tableStyle name="SlicerStyleLight5 2" pivot="0" table="0" count="10" xr9:uid="{95AC581E-7CB2-4CCC-9338-BB33BFD84009}">
      <tableStyleElement type="wholeTable" dxfId="2840"/>
      <tableStyleElement type="headerRow" dxfId="2839"/>
    </tableStyle>
    <tableStyle name="SlicerStyleLight5 2 2" pivot="0" table="0" count="10" xr9:uid="{F0B25EA2-8462-48DF-83A8-A7E1437D4BB0}">
      <tableStyleElement type="wholeTable" dxfId="2838"/>
      <tableStyleElement type="headerRow" dxfId="2837"/>
    </tableStyle>
    <tableStyle name="SlicerStyleLight5 3" pivot="0" table="0" count="10" xr9:uid="{E02A75EE-EC2F-4AD4-9906-AC5A276BA4AC}">
      <tableStyleElement type="wholeTable" dxfId="2836"/>
      <tableStyleElement type="headerRow" dxfId="2835"/>
    </tableStyle>
    <tableStyle name="SlicerStyleOther2 2" pivot="0" table="0" count="10" xr9:uid="{7C5D768F-A345-4B3A-9114-38ADD917B8F5}">
      <tableStyleElement type="wholeTable" dxfId="2834"/>
      <tableStyleElement type="headerRow" dxfId="2833"/>
    </tableStyle>
    <tableStyle name="SlicerStyleOther2 3" pivot="0" table="0" count="10" xr9:uid="{05F77669-130C-4D63-8A89-ACAB7E702B60}">
      <tableStyleElement type="wholeTable" dxfId="2832"/>
      <tableStyleElement type="headerRow" dxfId="2831"/>
    </tableStyle>
    <tableStyle name="SlicerStyleOther2 4" pivot="0" table="0" count="10" xr9:uid="{22A794FF-D455-4BC8-B862-FF0FD1ED3BE9}">
      <tableStyleElement type="wholeTable" dxfId="2830"/>
      <tableStyleElement type="headerRow" dxfId="2829"/>
    </tableStyle>
    <tableStyle name="SlicerStyleOther2 4 2" pivot="0" table="0" count="10" xr9:uid="{19CCA8BE-C0C0-44DE-8EB3-3EBD2A802612}">
      <tableStyleElement type="wholeTable" dxfId="2828"/>
      <tableStyleElement type="headerRow" dxfId="2827"/>
    </tableStyle>
  </tableStyles>
  <colors>
    <mruColors>
      <color rgb="FF414141"/>
      <color rgb="FFC33018"/>
      <color rgb="FF177735"/>
      <color rgb="FF00669D"/>
      <color rgb="FFF7F7F7"/>
      <color rgb="FF13B04F"/>
      <color rgb="FFE4EBE8"/>
      <color rgb="FFFFFFFF"/>
      <color rgb="FF02973A"/>
      <color rgb="FFF3C107"/>
    </mruColors>
  </colors>
  <extLst>
    <ext xmlns:x14="http://schemas.microsoft.com/office/spreadsheetml/2009/9/main" uri="{46F421CA-312F-682f-3DD2-61675219B42D}">
      <x14:dxfs count="80"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A3BBDF"/>
              </stop>
              <stop position="1">
                <color rgb="FFCADEF6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A3BBDF"/>
              </stop>
              <stop position="1">
                <color rgb="FFCADEF6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A3BBDF"/>
              </stop>
              <stop position="1">
                <color rgb="FFCADEF6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A3BBDF"/>
              </stop>
              <stop position="1">
                <color rgb="FFCADEF6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0681B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0681B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0681B9"/>
              <bgColor rgb="FF0681B9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0681B9"/>
              <bgColor rgb="FF0681B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8" tint="0.59996337778862885"/>
          </font>
          <fill>
            <patternFill patternType="solid">
              <fgColor auto="1"/>
              <bgColor theme="8" tint="0.599963377788628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025E8B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>
              <bgColor theme="8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025E8B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theme="8" tint="0.59999389629810485"/>
              <bgColor theme="8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theme="8"/>
              <bgColor rgb="FF0681B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DFDFDF"/>
              <bgColor rgb="FFDFDFD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C0C0C0"/>
              <bgColor rgb="FFC0C0C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6" tint="-0.249977111117893"/>
          </font>
          <fill>
            <patternFill patternType="solid">
              <fgColor theme="6" tint="0.59999389629810485"/>
              <bgColor theme="6" tint="0.59999389629810485"/>
            </patternFill>
          </fill>
          <border>
            <left style="thin">
              <color theme="6" tint="0.59999389629810485"/>
            </left>
            <right style="thin">
              <color theme="6" tint="0.59999389629810485"/>
            </right>
            <top style="thin">
              <color theme="6" tint="0.59999389629810485"/>
            </top>
            <bottom style="thin">
              <color theme="6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6"/>
              <bgColor theme="6"/>
            </patternFill>
          </fill>
          <border>
            <left style="thin">
              <color theme="6"/>
            </left>
            <right style="thin">
              <color theme="6"/>
            </right>
            <top style="thin">
              <color theme="6"/>
            </top>
            <bottom style="thin">
              <color theme="6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025E8B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025E8B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auto="1"/>
              <bgColor rgb="FF025E8B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025E8B"/>
              <bgColor theme="4" tint="0.59999389629810485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C0C0C0"/>
              <bgColor rgb="FFC0CAC7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5 3">
        <x14:slicerStyle name="Estilo de Segmentação de Dados 1"/>
        <x14:slicerStyle name="Estilo de Segmentação de Dados 2"/>
        <x14:slicerStyle name="Estilo de Segmentação de Dados 3"/>
        <x14:slicerStyle name="Estilo de Segmentação de Dados 4"/>
        <x14:slicerStyle name="Estilo de Segmentação de Dados 5"/>
        <x14:slicerStyle name="Estilo de Segmentação de Dados 6"/>
        <x14:slicerStyle name="Estilo de Segmentação de Dados 7"/>
        <x14:slicerStyle name="SlicerStyleDark1 2">
          <x14:slicerStyleElements>
            <x14:slicerStyleElement type="unselectedItemWithData" dxfId="79"/>
            <x14:slicerStyleElement type="unselectedItemWithNoData" dxfId="78"/>
            <x14:slicerStyleElement type="selectedItemWithData" dxfId="77"/>
            <x14:slicerStyleElement type="selectedItemWithNoData" dxfId="76"/>
            <x14:slicerStyleElement type="hoveredUnselectedItemWithData" dxfId="75"/>
            <x14:slicerStyleElement type="hoveredSelectedItemWithData" dxfId="74"/>
            <x14:slicerStyleElement type="hoveredUnselectedItemWithNoData" dxfId="73"/>
            <x14:slicerStyleElement type="hoveredSelectedItemWithNoData" dxfId="72"/>
          </x14:slicerStyleElements>
        </x14:slicerStyle>
        <x14:slicerStyle name="SlicerStyleDark3 2">
          <x14:slicerStyleElements>
            <x14:slicerStyleElement type="unselectedItemWithData" dxfId="71"/>
            <x14:slicerStyleElement type="unselectedItemWithNoData" dxfId="70"/>
            <x14:slicerStyleElement type="selectedItemWithData" dxfId="69"/>
            <x14:slicerStyleElement type="selectedItemWithNoData" dxfId="68"/>
            <x14:slicerStyleElement type="hoveredUnselectedItemWithData" dxfId="67"/>
            <x14:slicerStyleElement type="hoveredSelectedItemWithData" dxfId="66"/>
            <x14:slicerStyleElement type="hoveredUnselectedItemWithNoData" dxfId="65"/>
            <x14:slicerStyleElement type="hoveredSelectedItemWithNoData" dxfId="64"/>
          </x14:slicerStyleElements>
        </x14:slicerStyle>
        <x14:slicerStyle name="SlicerStyleDark5 2">
          <x14:slicerStyleElements>
            <x14:slicerStyleElement type="unselectedItemWithData" dxfId="63"/>
            <x14:slicerStyleElement type="unselectedItemWithNoData" dxfId="62"/>
            <x14:slicerStyleElement type="selectedItemWithData" dxfId="61"/>
            <x14:slicerStyleElement type="selectedItemWithNoData" dxfId="60"/>
            <x14:slicerStyleElement type="hoveredUnselectedItemWithData" dxfId="59"/>
            <x14:slicerStyleElement type="hoveredSelectedItemWithData" dxfId="58"/>
            <x14:slicerStyleElement type="hoveredUnselectedItemWithNoData" dxfId="57"/>
            <x14:slicerStyleElement type="hoveredSelectedItemWithNoData" dxfId="56"/>
          </x14:slicerStyleElements>
        </x14:slicerStyle>
        <x14:slicerStyle name="SlicerStyleLight5 2">
          <x14:slicerStyleElements>
            <x14:slicerStyleElement type="unselectedItemWithData" dxfId="55"/>
            <x14:slicerStyleElement type="unselectedItemWithNoData" dxfId="54"/>
            <x14:slicerStyleElement type="selectedItemWithData" dxfId="53"/>
            <x14:slicerStyleElement type="selectedItemWithNoData" dxfId="52"/>
            <x14:slicerStyleElement type="hoveredUnselectedItemWithData" dxfId="51"/>
            <x14:slicerStyleElement type="hoveredSelectedItemWithData" dxfId="50"/>
            <x14:slicerStyleElement type="hoveredUnselectedItemWithNoData" dxfId="49"/>
            <x14:slicerStyleElement type="hoveredSelectedItemWithNoData" dxfId="48"/>
          </x14:slicerStyleElements>
        </x14:slicerStyle>
        <x14:slicerStyle name="SlicerStyleLight5 2 2">
          <x14:slicerStyleElements>
            <x14:slicerStyleElement type="unselectedItemWithData" dxfId="47"/>
            <x14:slicerStyleElement type="unselectedItemWithNoData" dxfId="46"/>
            <x14:slicerStyleElement type="selectedItemWithData" dxfId="45"/>
            <x14:slicerStyleElement type="selectedItemWithNoData" dxfId="44"/>
            <x14:slicerStyleElement type="hoveredUnselectedItemWithData" dxfId="43"/>
            <x14:slicerStyleElement type="hoveredSelectedItemWithData" dxfId="42"/>
            <x14:slicerStyleElement type="hoveredUnselectedItemWithNoData" dxfId="41"/>
            <x14:slicerStyleElement type="hoveredSelectedItemWithNoData" dxfId="40"/>
          </x14:slicerStyleElements>
        </x14:slicerStyle>
        <x14:slicerStyle name="SlicerStyleLight5 3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SlicerStyleOther2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licerStyleOther2 3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Other2 4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Other2 4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098480338861312E-3"/>
          <c:y val="0.22805064477812279"/>
          <c:w val="0.96270726919255445"/>
          <c:h val="0.59390075228553119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SAL'!$NH$10:$NJ$10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0-4954-AAB6-B6187E4C308F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SAL'!$NH$8:$NJ$8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30-4954-AAB6-B6187E4C308F}"/>
            </c:ext>
          </c:extLst>
        </c:ser>
        <c:ser>
          <c:idx val="0"/>
          <c:order val="2"/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SAL'!$NH$5:$NJ$5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30-4954-AAB6-B6187E4C3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6494015"/>
        <c:axId val="2046494975"/>
      </c:lineChart>
      <c:catAx>
        <c:axId val="2046494015"/>
        <c:scaling>
          <c:orientation val="minMax"/>
        </c:scaling>
        <c:delete val="1"/>
        <c:axPos val="b"/>
        <c:majorTickMark val="none"/>
        <c:minorTickMark val="none"/>
        <c:tickLblPos val="nextTo"/>
        <c:crossAx val="2046494975"/>
        <c:crosses val="autoZero"/>
        <c:auto val="1"/>
        <c:lblAlgn val="ctr"/>
        <c:lblOffset val="100"/>
        <c:noMultiLvlLbl val="0"/>
      </c:catAx>
      <c:valAx>
        <c:axId val="204649497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04649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43183461859085E-2"/>
          <c:y val="0.16214581464112138"/>
          <c:w val="0.94393273318021731"/>
          <c:h val="0.30544632859310672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SAL'!$NN$10:$NP$10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6-47D4-9C1A-FC3607C22727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SAL'!$NN$8:$NP$8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C6-47D4-9C1A-FC3607C22727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SAL'!$NN$5:$NP$5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C6-47D4-9C1A-FC3607C22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2399"/>
        <c:axId val="6961919"/>
      </c:lineChart>
      <c:catAx>
        <c:axId val="6962399"/>
        <c:scaling>
          <c:orientation val="minMax"/>
        </c:scaling>
        <c:delete val="1"/>
        <c:axPos val="b"/>
        <c:majorTickMark val="none"/>
        <c:minorTickMark val="none"/>
        <c:tickLblPos val="nextTo"/>
        <c:crossAx val="6961919"/>
        <c:crosses val="autoZero"/>
        <c:auto val="1"/>
        <c:lblAlgn val="ctr"/>
        <c:lblOffset val="100"/>
        <c:noMultiLvlLbl val="0"/>
      </c:catAx>
      <c:valAx>
        <c:axId val="6961919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962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786548621814971E-2"/>
          <c:y val="0.28240740740740738"/>
          <c:w val="0.93888887344399907"/>
          <c:h val="0.25428651754190795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SAL'!$NH$19:$NJ$19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C-4133-B264-C622411ECDFF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SAL'!$NH$17:$NJ$17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C-4133-B264-C622411ECDFF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SAL'!$NH$14:$NJ$14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C-4133-B264-C622411EC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9039"/>
        <c:axId val="6949439"/>
      </c:lineChart>
      <c:catAx>
        <c:axId val="6959039"/>
        <c:scaling>
          <c:orientation val="minMax"/>
        </c:scaling>
        <c:delete val="1"/>
        <c:axPos val="b"/>
        <c:majorTickMark val="none"/>
        <c:minorTickMark val="none"/>
        <c:tickLblPos val="nextTo"/>
        <c:crossAx val="6949439"/>
        <c:crosses val="autoZero"/>
        <c:auto val="1"/>
        <c:lblAlgn val="ctr"/>
        <c:lblOffset val="100"/>
        <c:noMultiLvlLbl val="0"/>
      </c:catAx>
      <c:valAx>
        <c:axId val="6949439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95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8189883699169872E-2"/>
          <c:y val="0.12920834461412378"/>
          <c:w val="0.93641573471968154"/>
          <c:h val="0.3586084016888258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SAL'!$NN$19:$NP$19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6-46A0-AF48-35A56EE4662E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SAL'!$NN$17:$NP$17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16-46A0-AF48-35A56EE4662E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SAL'!$NN$14:$NP$14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16-46A0-AF48-35A56EE46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25135"/>
        <c:axId val="187427535"/>
      </c:lineChart>
      <c:catAx>
        <c:axId val="187425135"/>
        <c:scaling>
          <c:orientation val="minMax"/>
        </c:scaling>
        <c:delete val="1"/>
        <c:axPos val="b"/>
        <c:majorTickMark val="none"/>
        <c:minorTickMark val="none"/>
        <c:tickLblPos val="nextTo"/>
        <c:crossAx val="187427535"/>
        <c:crosses val="autoZero"/>
        <c:auto val="1"/>
        <c:lblAlgn val="ctr"/>
        <c:lblOffset val="100"/>
        <c:noMultiLvlLbl val="0"/>
      </c:catAx>
      <c:valAx>
        <c:axId val="18742753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7425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8970926711084191E-2"/>
          <c:y val="0.2161352456254633"/>
          <c:w val="0.96329396325459316"/>
          <c:h val="0.27831656146813721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SAL'!$NH$28:$NJ$28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2-465A-A198-1FEFC49519D7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SAL'!$NH$26:$NJ$26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92-465A-A198-1FEFC49519D7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SAL'!$NH$23:$NJ$23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92-465A-A198-1FEFC4951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7599"/>
        <c:axId val="6955679"/>
      </c:lineChart>
      <c:catAx>
        <c:axId val="6957599"/>
        <c:scaling>
          <c:orientation val="minMax"/>
        </c:scaling>
        <c:delete val="1"/>
        <c:axPos val="b"/>
        <c:majorTickMark val="none"/>
        <c:minorTickMark val="none"/>
        <c:tickLblPos val="nextTo"/>
        <c:crossAx val="6955679"/>
        <c:crosses val="autoZero"/>
        <c:auto val="1"/>
        <c:lblAlgn val="ctr"/>
        <c:lblOffset val="100"/>
        <c:noMultiLvlLbl val="0"/>
      </c:catAx>
      <c:valAx>
        <c:axId val="6955679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957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547659952654235E-2"/>
          <c:y val="0.33708673149205876"/>
          <c:w val="0.942550676517242"/>
          <c:h val="0.26939421560081567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SAL'!$NN$28:$NP$28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1-49CB-95FE-3D9895B07D8A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SAL'!$NN$26:$NP$26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1-49CB-95FE-3D9895B07D8A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SAL'!$NN$23:$NP$23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1-49CB-95FE-3D9895B07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82607"/>
        <c:axId val="187383567"/>
      </c:lineChart>
      <c:catAx>
        <c:axId val="187382607"/>
        <c:scaling>
          <c:orientation val="minMax"/>
        </c:scaling>
        <c:delete val="1"/>
        <c:axPos val="b"/>
        <c:majorTickMark val="none"/>
        <c:minorTickMark val="none"/>
        <c:tickLblPos val="nextTo"/>
        <c:crossAx val="187383567"/>
        <c:crosses val="autoZero"/>
        <c:auto val="1"/>
        <c:lblAlgn val="ctr"/>
        <c:lblOffset val="100"/>
        <c:noMultiLvlLbl val="0"/>
      </c:catAx>
      <c:valAx>
        <c:axId val="18738356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7382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9813220928542E-2"/>
          <c:y val="0.40727552874259293"/>
          <c:w val="0.94394101772157557"/>
          <c:h val="0.32658814420740356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SAL'!$NH$37:$NJ$37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93-4E88-B9A0-6998A49A7B43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SAL'!$NH$35:$NJ$35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93-4E88-B9A0-6998A49A7B43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SAL'!$NH$32:$NJ$32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93-4E88-B9A0-6998A49A7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36175"/>
        <c:axId val="187421775"/>
      </c:lineChart>
      <c:catAx>
        <c:axId val="187436175"/>
        <c:scaling>
          <c:orientation val="minMax"/>
        </c:scaling>
        <c:delete val="1"/>
        <c:axPos val="b"/>
        <c:majorTickMark val="none"/>
        <c:minorTickMark val="none"/>
        <c:tickLblPos val="nextTo"/>
        <c:crossAx val="187421775"/>
        <c:crosses val="autoZero"/>
        <c:auto val="1"/>
        <c:lblAlgn val="ctr"/>
        <c:lblOffset val="100"/>
        <c:noMultiLvlLbl val="0"/>
      </c:catAx>
      <c:valAx>
        <c:axId val="18742177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743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5200724328308052E-2"/>
          <c:y val="0.29629629629629628"/>
          <c:w val="0.96208213545361421"/>
          <c:h val="0.34722222222222227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SAL'!$NN$37:$NP$37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5-4E14-8B56-0625CB5AFFDC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SAL'!$NN$35:$NP$35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5-4E14-8B56-0625CB5AFFDC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SAL'!$NN$32:$NP$32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5-4E14-8B56-0625CB5AF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3359"/>
        <c:axId val="6954719"/>
      </c:lineChart>
      <c:catAx>
        <c:axId val="6963359"/>
        <c:scaling>
          <c:orientation val="minMax"/>
        </c:scaling>
        <c:delete val="1"/>
        <c:axPos val="b"/>
        <c:majorTickMark val="none"/>
        <c:minorTickMark val="none"/>
        <c:tickLblPos val="nextTo"/>
        <c:crossAx val="6954719"/>
        <c:crosses val="autoZero"/>
        <c:auto val="1"/>
        <c:lblAlgn val="ctr"/>
        <c:lblOffset val="100"/>
        <c:noMultiLvlLbl val="0"/>
      </c:catAx>
      <c:valAx>
        <c:axId val="6954719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963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7777777777777776E-2"/>
          <c:y val="0.37824038484212513"/>
          <c:w val="0.9516242055461851"/>
          <c:h val="0.25844884099323223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SAL'!$NH$46:$NJ$46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C-4AD4-9C19-4802043B75A1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SAL'!$NH$44:$NJ$44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C-4AD4-9C19-4802043B75A1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SAL'!$NH$41:$NJ$41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C-4AD4-9C19-4802043B7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396527"/>
        <c:axId val="187391247"/>
      </c:lineChart>
      <c:catAx>
        <c:axId val="1873965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87391247"/>
        <c:crosses val="autoZero"/>
        <c:auto val="1"/>
        <c:lblAlgn val="ctr"/>
        <c:lblOffset val="100"/>
        <c:noMultiLvlLbl val="0"/>
      </c:catAx>
      <c:valAx>
        <c:axId val="18739124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739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77355676589562E-2"/>
          <c:y val="0.32594862092377797"/>
          <c:w val="0.9516283495177511"/>
          <c:h val="0.25367105005241314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SAL'!$NN$46:$NP$46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B-4F49-9A9B-FF50D4B45C9A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SAL'!$NN$44:$NP$44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B-4F49-9A9B-FF50D4B45C9A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SAL'!$NN$41:$NP$41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B-4F49-9A9B-FF50D4B45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279"/>
        <c:axId val="6955199"/>
      </c:lineChart>
      <c:catAx>
        <c:axId val="6953279"/>
        <c:scaling>
          <c:orientation val="minMax"/>
        </c:scaling>
        <c:delete val="1"/>
        <c:axPos val="b"/>
        <c:majorTickMark val="none"/>
        <c:minorTickMark val="none"/>
        <c:tickLblPos val="nextTo"/>
        <c:crossAx val="6955199"/>
        <c:crosses val="autoZero"/>
        <c:auto val="1"/>
        <c:lblAlgn val="ctr"/>
        <c:lblOffset val="100"/>
        <c:noMultiLvlLbl val="0"/>
      </c:catAx>
      <c:valAx>
        <c:axId val="6955199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953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432370763340118E-3"/>
          <c:y val="5.072032662583844E-2"/>
          <c:w val="0.94612656197600453"/>
          <c:h val="0.89151793525809275"/>
        </c:manualLayout>
      </c:layout>
      <c:lineChart>
        <c:grouping val="standard"/>
        <c:varyColors val="0"/>
        <c:ser>
          <c:idx val="2"/>
          <c:order val="0"/>
          <c:spPr>
            <a:ln w="762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FCL'!$NH$10:$NK$10</c:f>
              <c:numCache>
                <c:formatCode>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5-4E3C-A3D9-47F960A2AB55}"/>
            </c:ext>
          </c:extLst>
        </c:ser>
        <c:ser>
          <c:idx val="1"/>
          <c:order val="1"/>
          <c:spPr>
            <a:ln w="762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FCL'!$NH$8:$NK$8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5-4E3C-A3D9-47F960A2AB55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FCL'!$NH$5:$NK$5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5-4E3C-A3D9-47F960A2A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7527455"/>
        <c:axId val="1092860735"/>
      </c:lineChart>
      <c:catAx>
        <c:axId val="1147527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092860735"/>
        <c:crosses val="autoZero"/>
        <c:auto val="1"/>
        <c:lblAlgn val="ctr"/>
        <c:lblOffset val="100"/>
        <c:noMultiLvlLbl val="0"/>
      </c:catAx>
      <c:valAx>
        <c:axId val="109286073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4752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719160104986874E-2"/>
          <c:y val="0.29166666666666669"/>
          <c:w val="0.95044571701264613"/>
          <c:h val="0.22222222222222221"/>
        </c:manualLayout>
      </c:layout>
      <c:lineChart>
        <c:grouping val="standard"/>
        <c:varyColors val="0"/>
        <c:ser>
          <c:idx val="2"/>
          <c:order val="0"/>
          <c:spPr>
            <a:ln w="762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FCL'!$NN$10:$NQ$10</c:f>
              <c:numCache>
                <c:formatCode>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A7-40D4-8E9F-A03DBAAF386A}"/>
            </c:ext>
          </c:extLst>
        </c:ser>
        <c:ser>
          <c:idx val="1"/>
          <c:order val="1"/>
          <c:spPr>
            <a:ln w="762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FCL'!$NN$8:$NQ$8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A7-40D4-8E9F-A03DBAAF386A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FCL'!$NN$5:$NQ$5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A7-40D4-8E9F-A03DBAAF3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683535"/>
        <c:axId val="713542079"/>
      </c:lineChart>
      <c:catAx>
        <c:axId val="945683535"/>
        <c:scaling>
          <c:orientation val="minMax"/>
        </c:scaling>
        <c:delete val="1"/>
        <c:axPos val="b"/>
        <c:majorTickMark val="none"/>
        <c:minorTickMark val="none"/>
        <c:tickLblPos val="nextTo"/>
        <c:crossAx val="713542079"/>
        <c:crosses val="autoZero"/>
        <c:auto val="1"/>
        <c:lblAlgn val="ctr"/>
        <c:lblOffset val="100"/>
        <c:noMultiLvlLbl val="0"/>
      </c:catAx>
      <c:valAx>
        <c:axId val="713542079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94568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8814825995448547E-2"/>
          <c:y val="0.22483022955463905"/>
          <c:w val="0.95266400965879106"/>
          <c:h val="0.47125109361329831"/>
        </c:manualLayout>
      </c:layout>
      <c:lineChart>
        <c:grouping val="standard"/>
        <c:varyColors val="0"/>
        <c:ser>
          <c:idx val="2"/>
          <c:order val="0"/>
          <c:spPr>
            <a:ln w="762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FCL'!$NH$19:$NK$19</c:f>
              <c:numCache>
                <c:formatCode>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B0-457B-8EEB-B7B061E1719D}"/>
            </c:ext>
          </c:extLst>
        </c:ser>
        <c:ser>
          <c:idx val="1"/>
          <c:order val="1"/>
          <c:spPr>
            <a:ln w="762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FCL'!$NH$17:$NK$17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0-457B-8EEB-B7B061E1719D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FCL'!$NH$14:$NK$14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0-457B-8EEB-B7B061E17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757599"/>
        <c:axId val="709487967"/>
      </c:lineChart>
      <c:catAx>
        <c:axId val="1102757599"/>
        <c:scaling>
          <c:orientation val="minMax"/>
        </c:scaling>
        <c:delete val="1"/>
        <c:axPos val="b"/>
        <c:majorTickMark val="none"/>
        <c:minorTickMark val="none"/>
        <c:tickLblPos val="nextTo"/>
        <c:crossAx val="709487967"/>
        <c:crosses val="autoZero"/>
        <c:auto val="1"/>
        <c:lblAlgn val="ctr"/>
        <c:lblOffset val="100"/>
        <c:noMultiLvlLbl val="0"/>
      </c:catAx>
      <c:valAx>
        <c:axId val="70948796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02757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76953146814095E-2"/>
          <c:y val="0.21296296296296297"/>
          <c:w val="0.95475687879440607"/>
          <c:h val="0.46548798696891541"/>
        </c:manualLayout>
      </c:layout>
      <c:lineChart>
        <c:grouping val="standard"/>
        <c:varyColors val="0"/>
        <c:ser>
          <c:idx val="2"/>
          <c:order val="0"/>
          <c:spPr>
            <a:ln w="762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FCL'!$NN$19:$NQ$19</c:f>
              <c:numCache>
                <c:formatCode>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7F-4CF9-9FD4-B18594F92B94}"/>
            </c:ext>
          </c:extLst>
        </c:ser>
        <c:ser>
          <c:idx val="1"/>
          <c:order val="1"/>
          <c:spPr>
            <a:ln w="762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FCL'!$NN$17:$NQ$17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F-4CF9-9FD4-B18594F92B94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FCL'!$NN$14:$NQ$14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F-4CF9-9FD4-B18594F92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053759"/>
        <c:axId val="1100222575"/>
      </c:lineChart>
      <c:catAx>
        <c:axId val="873053759"/>
        <c:scaling>
          <c:orientation val="minMax"/>
        </c:scaling>
        <c:delete val="1"/>
        <c:axPos val="b"/>
        <c:majorTickMark val="none"/>
        <c:minorTickMark val="none"/>
        <c:tickLblPos val="nextTo"/>
        <c:crossAx val="1100222575"/>
        <c:crosses val="autoZero"/>
        <c:auto val="1"/>
        <c:lblAlgn val="ctr"/>
        <c:lblOffset val="100"/>
        <c:noMultiLvlLbl val="0"/>
      </c:catAx>
      <c:valAx>
        <c:axId val="110022257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87305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848071599244513E-2"/>
          <c:y val="0.29505594695399923"/>
          <c:w val="0.89724328730910752"/>
          <c:h val="0.50048625500759769"/>
        </c:manualLayout>
      </c:layout>
      <c:lineChart>
        <c:grouping val="standard"/>
        <c:varyColors val="0"/>
        <c:ser>
          <c:idx val="2"/>
          <c:order val="0"/>
          <c:spPr>
            <a:ln w="762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FCL'!$NH$28:$NK$28</c:f>
              <c:numCache>
                <c:formatCode>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8C-4E50-A2CB-24AF72C2F5F0}"/>
            </c:ext>
          </c:extLst>
        </c:ser>
        <c:ser>
          <c:idx val="1"/>
          <c:order val="1"/>
          <c:spPr>
            <a:ln w="762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FCL'!$NH$26:$NK$26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8C-4E50-A2CB-24AF72C2F5F0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FCL'!$NH$23:$NK$23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C-4E50-A2CB-24AF72C2F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551167"/>
        <c:axId val="948001887"/>
      </c:lineChart>
      <c:catAx>
        <c:axId val="1142551167"/>
        <c:scaling>
          <c:orientation val="minMax"/>
        </c:scaling>
        <c:delete val="1"/>
        <c:axPos val="b"/>
        <c:majorTickMark val="none"/>
        <c:minorTickMark val="none"/>
        <c:tickLblPos val="nextTo"/>
        <c:crossAx val="948001887"/>
        <c:crosses val="autoZero"/>
        <c:auto val="1"/>
        <c:lblAlgn val="ctr"/>
        <c:lblOffset val="100"/>
        <c:noMultiLvlLbl val="0"/>
      </c:catAx>
      <c:valAx>
        <c:axId val="94800188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42551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1560670300827781E-2"/>
          <c:y val="0.11731974679635632"/>
          <c:w val="0.8943058827048328"/>
          <c:h val="0.53567515825227729"/>
        </c:manualLayout>
      </c:layout>
      <c:lineChart>
        <c:grouping val="standard"/>
        <c:varyColors val="0"/>
        <c:ser>
          <c:idx val="2"/>
          <c:order val="0"/>
          <c:spPr>
            <a:ln w="762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FCL'!$NN$28:$NQ$28</c:f>
              <c:numCache>
                <c:formatCode>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6-4EC4-A068-C77078EBDA7C}"/>
            </c:ext>
          </c:extLst>
        </c:ser>
        <c:ser>
          <c:idx val="1"/>
          <c:order val="1"/>
          <c:spPr>
            <a:ln w="762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FCL'!$NN$26:$NQ$26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76-4EC4-A068-C77078EBDA7C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FCL'!$NN$23:$NQ$23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76-4EC4-A068-C77078EBD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967855"/>
        <c:axId val="1092860255"/>
      </c:lineChart>
      <c:catAx>
        <c:axId val="11819678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092860255"/>
        <c:crosses val="autoZero"/>
        <c:auto val="1"/>
        <c:lblAlgn val="ctr"/>
        <c:lblOffset val="100"/>
        <c:noMultiLvlLbl val="0"/>
      </c:catAx>
      <c:valAx>
        <c:axId val="109286025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81967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7036635941636565E-2"/>
          <c:y val="0.32277387397765234"/>
          <c:w val="0.92391790055901257"/>
          <c:h val="0.52907922000469521"/>
        </c:manualLayout>
      </c:layout>
      <c:lineChart>
        <c:grouping val="standard"/>
        <c:varyColors val="0"/>
        <c:ser>
          <c:idx val="2"/>
          <c:order val="0"/>
          <c:spPr>
            <a:ln w="762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FCL'!$NH$37:$NK$37</c:f>
              <c:numCache>
                <c:formatCode>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A-4DEC-AC41-BBD2D9A99831}"/>
            </c:ext>
          </c:extLst>
        </c:ser>
        <c:ser>
          <c:idx val="1"/>
          <c:order val="1"/>
          <c:spPr>
            <a:ln w="762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FCL'!$NH$35:$NK$35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8A-4DEC-AC41-BBD2D9A99831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FCL'!$NH$32:$NK$32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8A-4DEC-AC41-BBD2D9A99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553487"/>
        <c:axId val="1100225935"/>
      </c:lineChart>
      <c:catAx>
        <c:axId val="1142553487"/>
        <c:scaling>
          <c:orientation val="minMax"/>
        </c:scaling>
        <c:delete val="1"/>
        <c:axPos val="b"/>
        <c:majorTickMark val="none"/>
        <c:minorTickMark val="none"/>
        <c:tickLblPos val="nextTo"/>
        <c:crossAx val="1100225935"/>
        <c:crosses val="autoZero"/>
        <c:auto val="1"/>
        <c:lblAlgn val="ctr"/>
        <c:lblOffset val="100"/>
        <c:noMultiLvlLbl val="0"/>
      </c:catAx>
      <c:valAx>
        <c:axId val="110022593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42553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771496821999018E-2"/>
          <c:y val="0.15698210450966354"/>
          <c:w val="0.95629204744962182"/>
          <c:h val="0.53842786600827441"/>
        </c:manualLayout>
      </c:layout>
      <c:lineChart>
        <c:grouping val="standard"/>
        <c:varyColors val="0"/>
        <c:ser>
          <c:idx val="2"/>
          <c:order val="0"/>
          <c:spPr>
            <a:ln w="762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FCL'!$NN$37:$NQ$37</c:f>
              <c:numCache>
                <c:formatCode>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8D-46F1-AEA4-A7103FAC8ADA}"/>
            </c:ext>
          </c:extLst>
        </c:ser>
        <c:ser>
          <c:idx val="1"/>
          <c:order val="1"/>
          <c:spPr>
            <a:ln w="762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FCL'!$NN$35:$NQ$35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8D-46F1-AEA4-A7103FAC8ADA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FCL'!$NN$32:$NQ$32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8D-46F1-AEA4-A7103FAC8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470111"/>
        <c:axId val="1263768895"/>
      </c:lineChart>
      <c:catAx>
        <c:axId val="1264470111"/>
        <c:scaling>
          <c:orientation val="minMax"/>
        </c:scaling>
        <c:delete val="1"/>
        <c:axPos val="b"/>
        <c:majorTickMark val="none"/>
        <c:minorTickMark val="none"/>
        <c:tickLblPos val="nextTo"/>
        <c:crossAx val="1263768895"/>
        <c:crosses val="autoZero"/>
        <c:auto val="1"/>
        <c:lblAlgn val="ctr"/>
        <c:lblOffset val="100"/>
        <c:noMultiLvlLbl val="0"/>
      </c:catAx>
      <c:valAx>
        <c:axId val="126376889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26447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1329080215338046E-2"/>
          <c:y val="0.16488991817199319"/>
          <c:w val="0.91518531716382179"/>
          <c:h val="0.59931202717307386"/>
        </c:manualLayout>
      </c:layout>
      <c:lineChart>
        <c:grouping val="standard"/>
        <c:varyColors val="0"/>
        <c:ser>
          <c:idx val="2"/>
          <c:order val="0"/>
          <c:spPr>
            <a:ln w="762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FCL'!$NH$46:$NK$46</c:f>
              <c:numCache>
                <c:formatCode>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F-496A-BC06-A961E4559540}"/>
            </c:ext>
          </c:extLst>
        </c:ser>
        <c:ser>
          <c:idx val="1"/>
          <c:order val="1"/>
          <c:spPr>
            <a:ln w="762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FCL'!$NH$44:$NK$44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F-496A-BC06-A961E4559540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FCL'!$NH$41:$NK$41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FF-496A-BC06-A961E4559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7728127"/>
        <c:axId val="1108296239"/>
      </c:lineChart>
      <c:catAx>
        <c:axId val="7977281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108296239"/>
        <c:crosses val="autoZero"/>
        <c:auto val="1"/>
        <c:lblAlgn val="ctr"/>
        <c:lblOffset val="100"/>
        <c:noMultiLvlLbl val="0"/>
      </c:catAx>
      <c:valAx>
        <c:axId val="1108296239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797728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1499982185484736E-2"/>
          <c:y val="0.37277760279965005"/>
          <c:w val="0.94601758490595911"/>
          <c:h val="0.43240734908136491"/>
        </c:manualLayout>
      </c:layout>
      <c:lineChart>
        <c:grouping val="standard"/>
        <c:varyColors val="0"/>
        <c:ser>
          <c:idx val="2"/>
          <c:order val="0"/>
          <c:spPr>
            <a:ln w="762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FCL'!$NN$46:$NQ$46</c:f>
              <c:numCache>
                <c:formatCode>0%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C7-4709-A194-51D4510F0552}"/>
            </c:ext>
          </c:extLst>
        </c:ser>
        <c:ser>
          <c:idx val="1"/>
          <c:order val="1"/>
          <c:spPr>
            <a:ln w="762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FCL'!$NN$44:$NQ$44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C7-4709-A194-51D4510F0552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FCL'!$NN$41:$NQ$41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C7-4709-A194-51D4510F0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546527"/>
        <c:axId val="948001407"/>
      </c:lineChart>
      <c:catAx>
        <c:axId val="1142546527"/>
        <c:scaling>
          <c:orientation val="minMax"/>
        </c:scaling>
        <c:delete val="1"/>
        <c:axPos val="b"/>
        <c:majorTickMark val="none"/>
        <c:minorTickMark val="none"/>
        <c:tickLblPos val="nextTo"/>
        <c:crossAx val="948001407"/>
        <c:crosses val="autoZero"/>
        <c:auto val="1"/>
        <c:lblAlgn val="ctr"/>
        <c:lblOffset val="100"/>
        <c:noMultiLvlLbl val="0"/>
      </c:catAx>
      <c:valAx>
        <c:axId val="94800140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4254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694906618932647E-2"/>
          <c:y val="0.196988070729575"/>
          <c:w val="0.88080097987225991"/>
          <c:h val="0.60602385854084995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LCL'!$XEW$10:$XEY$10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B7-41E7-9845-2D6E9227C69B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LCL'!$XEW$8:$XEY$8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B7-41E7-9845-2D6E9227C69B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LCL'!$XEW$5:$XEY$5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7-41E7-9845-2D6E9227C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544528"/>
        <c:axId val="1654552848"/>
      </c:lineChart>
      <c:catAx>
        <c:axId val="16545445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654552848"/>
        <c:crosses val="autoZero"/>
        <c:auto val="1"/>
        <c:lblAlgn val="ctr"/>
        <c:lblOffset val="100"/>
        <c:noMultiLvlLbl val="0"/>
      </c:catAx>
      <c:valAx>
        <c:axId val="165455284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5454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286208699122589E-2"/>
          <c:y val="0.15989415167396701"/>
          <c:w val="0.87820967197614552"/>
          <c:h val="0.68021169665206593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LCL'!$XFB$10:$XFD$10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7F-4F9D-83D9-DB3DAE848492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LCL'!$XFB$8:$XFD$8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7F-4F9D-83D9-DB3DAE848492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LCL'!$XFB$5:$XFD$5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F-4F9D-83D9-DB3DAE848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653120"/>
        <c:axId val="1880638144"/>
      </c:lineChart>
      <c:catAx>
        <c:axId val="1880653120"/>
        <c:scaling>
          <c:orientation val="minMax"/>
        </c:scaling>
        <c:delete val="1"/>
        <c:axPos val="b"/>
        <c:majorTickMark val="none"/>
        <c:minorTickMark val="none"/>
        <c:tickLblPos val="nextTo"/>
        <c:crossAx val="1880638144"/>
        <c:crosses val="autoZero"/>
        <c:auto val="1"/>
        <c:lblAlgn val="ctr"/>
        <c:lblOffset val="100"/>
        <c:noMultiLvlLbl val="0"/>
      </c:catAx>
      <c:valAx>
        <c:axId val="188063814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8065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LCL'!$XEW$19:$XEY$19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0C-46FF-8633-CE2836D413C2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LCL'!$XEW$17:$XEY$17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0C-46FF-8633-CE2836D413C2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LCL'!$XEW$14:$XEY$14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0C-46FF-8633-CE2836D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8508096"/>
        <c:axId val="1858504768"/>
      </c:lineChart>
      <c:catAx>
        <c:axId val="1858508096"/>
        <c:scaling>
          <c:orientation val="minMax"/>
        </c:scaling>
        <c:delete val="1"/>
        <c:axPos val="b"/>
        <c:majorTickMark val="none"/>
        <c:minorTickMark val="none"/>
        <c:tickLblPos val="nextTo"/>
        <c:crossAx val="1858504768"/>
        <c:crosses val="autoZero"/>
        <c:auto val="1"/>
        <c:lblAlgn val="ctr"/>
        <c:lblOffset val="100"/>
        <c:noMultiLvlLbl val="0"/>
      </c:catAx>
      <c:valAx>
        <c:axId val="185850476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85850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LCL'!$XFB$19:$XFD$19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F-46FB-9780-83FB5D1C0AF8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LCL'!$XFB$17:$XFD$17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F-46FB-9780-83FB5D1C0AF8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LCL'!$XFB$14:$XFD$14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7F-46FB-9780-83FB5D1C0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274528"/>
        <c:axId val="305277024"/>
      </c:lineChart>
      <c:catAx>
        <c:axId val="305274528"/>
        <c:scaling>
          <c:orientation val="minMax"/>
        </c:scaling>
        <c:delete val="1"/>
        <c:axPos val="b"/>
        <c:majorTickMark val="none"/>
        <c:minorTickMark val="none"/>
        <c:tickLblPos val="nextTo"/>
        <c:crossAx val="305277024"/>
        <c:crosses val="autoZero"/>
        <c:auto val="1"/>
        <c:lblAlgn val="ctr"/>
        <c:lblOffset val="100"/>
        <c:noMultiLvlLbl val="0"/>
      </c:catAx>
      <c:valAx>
        <c:axId val="30527702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3052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LCL'!$XEW$28:$XEY$28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01-43B8-956A-F20A2EBF7D54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LCL'!$XEW$26:$XEY$26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1-43B8-956A-F20A2EBF7D54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LCL'!$XEW$23:$XEY$23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1-43B8-956A-F20A2EBF7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356688"/>
        <c:axId val="305276192"/>
      </c:lineChart>
      <c:catAx>
        <c:axId val="622356688"/>
        <c:scaling>
          <c:orientation val="minMax"/>
        </c:scaling>
        <c:delete val="1"/>
        <c:axPos val="b"/>
        <c:majorTickMark val="none"/>
        <c:minorTickMark val="none"/>
        <c:tickLblPos val="nextTo"/>
        <c:crossAx val="305276192"/>
        <c:crosses val="autoZero"/>
        <c:auto val="1"/>
        <c:lblAlgn val="ctr"/>
        <c:lblOffset val="100"/>
        <c:noMultiLvlLbl val="0"/>
      </c:catAx>
      <c:valAx>
        <c:axId val="30527619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2235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6.0185185185185182E-2"/>
          <c:w val="0.93888888888888888"/>
          <c:h val="0.89814814814814814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LCL'!$XFB$28:$XFD$28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44-4D94-B619-6B28F78B39C7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LCL'!$XFB$26:$XFD$26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4-4D94-B619-6B28F78B39C7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LCL'!$XFB$23:$XFD$23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4-4D94-B619-6B28F78B3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324768"/>
        <c:axId val="1113330176"/>
      </c:lineChart>
      <c:catAx>
        <c:axId val="111332476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13330176"/>
        <c:crosses val="autoZero"/>
        <c:auto val="1"/>
        <c:lblAlgn val="ctr"/>
        <c:lblOffset val="100"/>
        <c:noMultiLvlLbl val="0"/>
      </c:catAx>
      <c:valAx>
        <c:axId val="111333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1332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LCL'!$XEW$37:$XEY$37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E7-40B6-888D-4B1506473B86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LCL'!$XEW$35:$XEY$35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E7-40B6-888D-4B1506473B86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LCL'!$XEW$32:$XEY$32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7-40B6-888D-4B1506473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240352"/>
        <c:axId val="920243680"/>
      </c:lineChart>
      <c:catAx>
        <c:axId val="920240352"/>
        <c:scaling>
          <c:orientation val="minMax"/>
        </c:scaling>
        <c:delete val="1"/>
        <c:axPos val="b"/>
        <c:majorTickMark val="none"/>
        <c:minorTickMark val="none"/>
        <c:tickLblPos val="nextTo"/>
        <c:crossAx val="920243680"/>
        <c:crosses val="autoZero"/>
        <c:auto val="1"/>
        <c:lblAlgn val="ctr"/>
        <c:lblOffset val="100"/>
        <c:noMultiLvlLbl val="0"/>
      </c:catAx>
      <c:valAx>
        <c:axId val="92024368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92024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LCL'!$XFB$37:$XFD$37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94-4ED1-BC73-E7E2D67EE5B2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LCL'!$XFB$35:$XFD$35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4-4ED1-BC73-E7E2D67EE5B2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LCL'!$XFB$32:$XFD$32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4-4ED1-BC73-E7E2D67EE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353888"/>
        <c:axId val="1113354304"/>
      </c:lineChart>
      <c:catAx>
        <c:axId val="111335388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13354304"/>
        <c:crosses val="autoZero"/>
        <c:auto val="1"/>
        <c:lblAlgn val="ctr"/>
        <c:lblOffset val="100"/>
        <c:noMultiLvlLbl val="0"/>
      </c:catAx>
      <c:valAx>
        <c:axId val="11133543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1335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LCL'!$XEW$46:$XEY$46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33B-9A09-0C15DBCBAB9B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LCL'!$XEW$44:$XEY$44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33B-9A09-0C15DBCBAB9B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LCL'!$XEW$41:$XEY$41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F-433B-9A09-0C15DBCB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235776"/>
        <c:axId val="920234944"/>
      </c:lineChart>
      <c:catAx>
        <c:axId val="920235776"/>
        <c:scaling>
          <c:orientation val="minMax"/>
        </c:scaling>
        <c:delete val="1"/>
        <c:axPos val="b"/>
        <c:majorTickMark val="none"/>
        <c:minorTickMark val="none"/>
        <c:tickLblPos val="nextTo"/>
        <c:crossAx val="920234944"/>
        <c:crosses val="autoZero"/>
        <c:auto val="1"/>
        <c:lblAlgn val="ctr"/>
        <c:lblOffset val="100"/>
        <c:noMultiLvlLbl val="0"/>
      </c:catAx>
      <c:valAx>
        <c:axId val="92023494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92023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555555555555555E-2"/>
          <c:y val="5.0925925925925923E-2"/>
          <c:w val="0.93888888888888888"/>
          <c:h val="0.89814814814814814"/>
        </c:manualLayout>
      </c:layout>
      <c:lineChart>
        <c:grouping val="standard"/>
        <c:varyColors val="0"/>
        <c:ser>
          <c:idx val="2"/>
          <c:order val="0"/>
          <c:spPr>
            <a:ln w="508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'STATUS LCL'!$XFB$46:$XFD$46</c:f>
              <c:numCache>
                <c:formatCode>0%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5C-4802-8F6E-03F830DC8225}"/>
            </c:ext>
          </c:extLst>
        </c:ser>
        <c:ser>
          <c:idx val="1"/>
          <c:order val="1"/>
          <c:spPr>
            <a:ln w="50800" cap="rnd">
              <a:solidFill>
                <a:srgbClr val="00669D"/>
              </a:solidFill>
              <a:round/>
            </a:ln>
            <a:effectLst/>
          </c:spPr>
          <c:marker>
            <c:symbol val="none"/>
          </c:marker>
          <c:val>
            <c:numRef>
              <c:f>'STATUS LCL'!$XFB$44:$XFD$44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5C-4802-8F6E-03F830DC8225}"/>
            </c:ext>
          </c:extLst>
        </c:ser>
        <c:ser>
          <c:idx val="0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val>
            <c:numRef>
              <c:f>'STATUS LCL'!$XFB$41:$XFD$41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C-4802-8F6E-03F830DC8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334336"/>
        <c:axId val="1113339328"/>
      </c:lineChart>
      <c:catAx>
        <c:axId val="1113334336"/>
        <c:scaling>
          <c:orientation val="minMax"/>
        </c:scaling>
        <c:delete val="1"/>
        <c:axPos val="b"/>
        <c:majorTickMark val="none"/>
        <c:minorTickMark val="none"/>
        <c:tickLblPos val="nextTo"/>
        <c:crossAx val="1113339328"/>
        <c:crosses val="autoZero"/>
        <c:auto val="1"/>
        <c:lblAlgn val="ctr"/>
        <c:lblOffset val="100"/>
        <c:noMultiLvlLbl val="0"/>
      </c:catAx>
      <c:valAx>
        <c:axId val="111333932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1333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[MINHA PROGRAMAÇÃO 23 versão 30-06-2023.xlsx]APOIO!Tabela dinâmica13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4392675180308344"/>
          <c:y val="0.13159297395517869"/>
          <c:w val="0.52684291406579364"/>
          <c:h val="0.846153846153846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APOIO!$B$26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APOIO!$A$27:$A$34</c:f>
              <c:strCache>
                <c:ptCount val="7"/>
                <c:pt idx="0">
                  <c:v>(vazio)</c:v>
                </c:pt>
                <c:pt idx="1">
                  <c:v>Trânsito</c:v>
                </c:pt>
                <c:pt idx="2">
                  <c:v>Motorista</c:v>
                </c:pt>
                <c:pt idx="3">
                  <c:v>Documental</c:v>
                </c:pt>
                <c:pt idx="4">
                  <c:v>Pane elétrica ou mecânica</c:v>
                </c:pt>
                <c:pt idx="5">
                  <c:v>Operacional</c:v>
                </c:pt>
                <c:pt idx="6">
                  <c:v>Causa desconhecida</c:v>
                </c:pt>
              </c:strCache>
            </c:strRef>
          </c:cat>
          <c:val>
            <c:numRef>
              <c:f>APOIO!$B$27:$B$34</c:f>
              <c:numCache>
                <c:formatCode>General</c:formatCode>
                <c:ptCount val="7"/>
                <c:pt idx="0">
                  <c:v>749</c:v>
                </c:pt>
                <c:pt idx="1">
                  <c:v>29</c:v>
                </c:pt>
                <c:pt idx="2">
                  <c:v>18</c:v>
                </c:pt>
                <c:pt idx="3">
                  <c:v>10</c:v>
                </c:pt>
                <c:pt idx="4">
                  <c:v>9</c:v>
                </c:pt>
                <c:pt idx="5">
                  <c:v>8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D9-45D0-A032-077DDC2CC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9900927"/>
        <c:axId val="789904671"/>
      </c:barChart>
      <c:catAx>
        <c:axId val="789900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89904671"/>
        <c:crosses val="autoZero"/>
        <c:auto val="1"/>
        <c:lblAlgn val="ctr"/>
        <c:lblOffset val="100"/>
        <c:noMultiLvlLbl val="0"/>
      </c:catAx>
      <c:valAx>
        <c:axId val="7899046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8990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[MINHA PROGRAMAÇÃO 23 versão 30-06-2023.xlsx]APOIO!Tabela dinâmica14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560426372129643E-2"/>
                  <c:h val="0.1417671928939917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49361105549928419"/>
          <c:y val="8.3667817384895857E-2"/>
          <c:w val="0.48677313918180287"/>
          <c:h val="0.879278538458554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APOIO!$J$26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1B9-4109-BA1B-6E3C47E14B4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F5B-4FA4-9CE5-370CABCB096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26E5-443A-AAB7-DEB667E4E9CF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560426372129643E-2"/>
                      <c:h val="0.141767192893991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1B9-4109-BA1B-6E3C47E14B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APOIO!$I$27:$I$35</c:f>
              <c:strCache>
                <c:ptCount val="8"/>
                <c:pt idx="0">
                  <c:v>FINALIZADO</c:v>
                </c:pt>
                <c:pt idx="1">
                  <c:v>AGUARDANDO VEÍCULO</c:v>
                </c:pt>
                <c:pt idx="2">
                  <c:v>ENTREGUE</c:v>
                </c:pt>
                <c:pt idx="3">
                  <c:v>DOCUMENTO</c:v>
                </c:pt>
                <c:pt idx="4">
                  <c:v>NO CLIENTE</c:v>
                </c:pt>
                <c:pt idx="5">
                  <c:v>PROGRAMADO</c:v>
                </c:pt>
                <c:pt idx="6">
                  <c:v>SEM PROGRAMAÇÃO</c:v>
                </c:pt>
                <c:pt idx="7">
                  <c:v>ATRASADO</c:v>
                </c:pt>
              </c:strCache>
            </c:strRef>
          </c:cat>
          <c:val>
            <c:numRef>
              <c:f>APOIO!$J$27:$J$35</c:f>
              <c:numCache>
                <c:formatCode>General</c:formatCode>
                <c:ptCount val="8"/>
                <c:pt idx="0">
                  <c:v>783</c:v>
                </c:pt>
                <c:pt idx="1">
                  <c:v>10</c:v>
                </c:pt>
                <c:pt idx="2">
                  <c:v>10</c:v>
                </c:pt>
                <c:pt idx="3">
                  <c:v>7</c:v>
                </c:pt>
                <c:pt idx="4">
                  <c:v>7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5-443A-AAB7-DEB667E4E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"/>
        <c:axId val="787985871"/>
        <c:axId val="787982127"/>
      </c:barChart>
      <c:catAx>
        <c:axId val="787985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87982127"/>
        <c:crosses val="autoZero"/>
        <c:auto val="1"/>
        <c:lblAlgn val="l"/>
        <c:lblOffset val="100"/>
        <c:noMultiLvlLbl val="0"/>
      </c:catAx>
      <c:valAx>
        <c:axId val="7879821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87985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BF3825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BF5-4F25-AE4F-2C93A79321F2}"/>
              </c:ext>
            </c:extLst>
          </c:dPt>
          <c:dPt>
            <c:idx val="1"/>
            <c:bubble3D val="0"/>
            <c:spPr>
              <a:solidFill>
                <a:srgbClr val="E4EBE8">
                  <a:alpha val="80000"/>
                </a:srgbClr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BF5-4F25-AE4F-2C93A79321F2}"/>
              </c:ext>
            </c:extLst>
          </c:dPt>
          <c:val>
            <c:numRef>
              <c:f>APOIO!$Q$6:$R$6</c:f>
              <c:numCache>
                <c:formatCode>0%</c:formatCode>
                <c:ptCount val="2"/>
                <c:pt idx="0">
                  <c:v>0.20145631067961164</c:v>
                </c:pt>
                <c:pt idx="1">
                  <c:v>0.79854368932038833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F5-4F25-AE4F-2C93A7932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rgbClr val="17A649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17A649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483-4A40-84FE-480FEFF7080E}"/>
              </c:ext>
            </c:extLst>
          </c:dPt>
          <c:dPt>
            <c:idx val="1"/>
            <c:bubble3D val="0"/>
            <c:spPr>
              <a:solidFill>
                <a:srgbClr val="E4EBE8">
                  <a:alpha val="80000"/>
                </a:srgbClr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483-4A40-84FE-480FEFF7080E}"/>
              </c:ext>
            </c:extLst>
          </c:dPt>
          <c:val>
            <c:numRef>
              <c:f>APOIO!$Q$7:$R$7</c:f>
              <c:numCache>
                <c:formatCode>0%</c:formatCode>
                <c:ptCount val="2"/>
                <c:pt idx="0">
                  <c:v>0.74757281553398058</c:v>
                </c:pt>
                <c:pt idx="1">
                  <c:v>0.25242718446601942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83-4A40-84FE-480FEFF70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EDC02B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414-4476-A638-044AE438A7D2}"/>
              </c:ext>
            </c:extLst>
          </c:dPt>
          <c:dPt>
            <c:idx val="1"/>
            <c:bubble3D val="0"/>
            <c:spPr>
              <a:solidFill>
                <a:srgbClr val="E4EBE8">
                  <a:alpha val="80000"/>
                </a:srgbClr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414-4476-A638-044AE438A7D2}"/>
              </c:ext>
            </c:extLst>
          </c:dPt>
          <c:val>
            <c:numRef>
              <c:f>APOIO!$Q$5:$R$5</c:f>
              <c:numCache>
                <c:formatCode>0%</c:formatCode>
                <c:ptCount val="2"/>
                <c:pt idx="0">
                  <c:v>5.0970873786407765E-2</c:v>
                </c:pt>
                <c:pt idx="1">
                  <c:v>0.94902912621359226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14-4476-A638-044AE438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[MINHA PROGRAMAÇÃO 23 versão 30-06-2023.xlsx]APOIO!Tabela dinâmica5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EDC02B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rgbClr val="025E8B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rgbClr val="BF3825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  <c:pivotFmt>
        <c:idx val="10"/>
        <c:spPr>
          <a:solidFill>
            <a:srgbClr val="1B8C3F"/>
          </a:solidFill>
          <a:ln w="19050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7.5354762828712563E-2"/>
          <c:y val="6.1204530260238171E-2"/>
          <c:w val="0.85590724425217146"/>
          <c:h val="0.88637697014349626"/>
        </c:manualLayout>
      </c:layout>
      <c:doughnutChart>
        <c:varyColors val="1"/>
        <c:ser>
          <c:idx val="0"/>
          <c:order val="0"/>
          <c:tx>
            <c:strRef>
              <c:f>APOIO!$AH$5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EDC02B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9D1-4C8C-AF20-077B1B8DB103}"/>
              </c:ext>
            </c:extLst>
          </c:dPt>
          <c:dPt>
            <c:idx val="1"/>
            <c:bubble3D val="0"/>
            <c:spPr>
              <a:solidFill>
                <a:srgbClr val="025E8B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9D1-4C8C-AF20-077B1B8DB103}"/>
              </c:ext>
            </c:extLst>
          </c:dPt>
          <c:dPt>
            <c:idx val="2"/>
            <c:bubble3D val="0"/>
            <c:spPr>
              <a:solidFill>
                <a:srgbClr val="BF3825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9D1-4C8C-AF20-077B1B8DB103}"/>
              </c:ext>
            </c:extLst>
          </c:dPt>
          <c:dPt>
            <c:idx val="3"/>
            <c:bubble3D val="0"/>
            <c:spPr>
              <a:solidFill>
                <a:srgbClr val="1B8C3F"/>
              </a:solidFill>
              <a:ln w="19050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9D1-4C8C-AF20-077B1B8DB103}"/>
              </c:ext>
            </c:extLst>
          </c:dPt>
          <c:cat>
            <c:strRef>
              <c:f>APOIO!$AG$6:$AG$10</c:f>
              <c:strCache>
                <c:ptCount val="4"/>
                <c:pt idx="0">
                  <c:v>Em trânsito - Atrasado</c:v>
                </c:pt>
                <c:pt idx="1">
                  <c:v>Em trânsito - No prazo</c:v>
                </c:pt>
                <c:pt idx="2">
                  <c:v>ENTREGUE ATRASADO</c:v>
                </c:pt>
                <c:pt idx="3">
                  <c:v>ENTREGUE NO PRAZO</c:v>
                </c:pt>
              </c:strCache>
            </c:strRef>
          </c:cat>
          <c:val>
            <c:numRef>
              <c:f>APOIO!$AH$6:$AH$10</c:f>
              <c:numCache>
                <c:formatCode>General</c:formatCode>
                <c:ptCount val="4"/>
                <c:pt idx="0">
                  <c:v>1</c:v>
                </c:pt>
                <c:pt idx="1">
                  <c:v>41</c:v>
                </c:pt>
                <c:pt idx="2">
                  <c:v>166</c:v>
                </c:pt>
                <c:pt idx="3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D1-4C8C-AF20-077B1B8DB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chart" Target="../charts/chart10.xml"/><Relationship Id="rId3" Type="http://schemas.openxmlformats.org/officeDocument/2006/relationships/image" Target="../media/image4.jpeg"/><Relationship Id="rId7" Type="http://schemas.openxmlformats.org/officeDocument/2006/relationships/chart" Target="../charts/chart4.xml"/><Relationship Id="rId12" Type="http://schemas.openxmlformats.org/officeDocument/2006/relationships/chart" Target="../charts/chart9.xml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chart" Target="../charts/chart3.xml"/><Relationship Id="rId11" Type="http://schemas.openxmlformats.org/officeDocument/2006/relationships/chart" Target="../charts/chart8.xml"/><Relationship Id="rId5" Type="http://schemas.openxmlformats.org/officeDocument/2006/relationships/chart" Target="../charts/chart2.xml"/><Relationship Id="rId10" Type="http://schemas.openxmlformats.org/officeDocument/2006/relationships/chart" Target="../charts/chart7.xml"/><Relationship Id="rId4" Type="http://schemas.openxmlformats.org/officeDocument/2006/relationships/chart" Target="../charts/chart1.xml"/><Relationship Id="rId9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image" Target="../media/image4.jpeg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30.xml"/><Relationship Id="rId3" Type="http://schemas.openxmlformats.org/officeDocument/2006/relationships/chart" Target="../charts/chart22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2" Type="http://schemas.openxmlformats.org/officeDocument/2006/relationships/chart" Target="../charts/chart21.xml"/><Relationship Id="rId1" Type="http://schemas.openxmlformats.org/officeDocument/2006/relationships/image" Target="../media/image4.jpeg"/><Relationship Id="rId6" Type="http://schemas.openxmlformats.org/officeDocument/2006/relationships/image" Target="../media/image3.svg"/><Relationship Id="rId11" Type="http://schemas.openxmlformats.org/officeDocument/2006/relationships/chart" Target="../charts/chart28.xml"/><Relationship Id="rId5" Type="http://schemas.openxmlformats.org/officeDocument/2006/relationships/image" Target="../media/image2.png"/><Relationship Id="rId10" Type="http://schemas.openxmlformats.org/officeDocument/2006/relationships/chart" Target="../charts/chart27.xml"/><Relationship Id="rId4" Type="http://schemas.openxmlformats.org/officeDocument/2006/relationships/chart" Target="../charts/chart23.xml"/><Relationship Id="rId9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31.xml"/><Relationship Id="rId7" Type="http://schemas.openxmlformats.org/officeDocument/2006/relationships/chart" Target="../charts/chart33.xml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chart" Target="../charts/chart32.xml"/><Relationship Id="rId5" Type="http://schemas.openxmlformats.org/officeDocument/2006/relationships/image" Target="../media/image14.svg"/><Relationship Id="rId10" Type="http://schemas.openxmlformats.org/officeDocument/2006/relationships/chart" Target="../charts/chart36.xml"/><Relationship Id="rId4" Type="http://schemas.openxmlformats.org/officeDocument/2006/relationships/image" Target="../media/image13.png"/><Relationship Id="rId9" Type="http://schemas.openxmlformats.org/officeDocument/2006/relationships/chart" Target="../charts/chart3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75</xdr:col>
      <xdr:colOff>0</xdr:colOff>
      <xdr:row>16</xdr:row>
      <xdr:rowOff>0</xdr:rowOff>
    </xdr:from>
    <xdr:to>
      <xdr:col>81</xdr:col>
      <xdr:colOff>342165</xdr:colOff>
      <xdr:row>28</xdr:row>
      <xdr:rowOff>142571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4162EAA-E232-1D60-5359-B8BAF662C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51175" y="3257550"/>
          <a:ext cx="5876190" cy="24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368</xdr:col>
      <xdr:colOff>89452</xdr:colOff>
      <xdr:row>3</xdr:row>
      <xdr:rowOff>0</xdr:rowOff>
    </xdr:from>
    <xdr:to>
      <xdr:col>368</xdr:col>
      <xdr:colOff>500889</xdr:colOff>
      <xdr:row>5</xdr:row>
      <xdr:rowOff>27750</xdr:rowOff>
    </xdr:to>
    <xdr:pic>
      <xdr:nvPicPr>
        <xdr:cNvPr id="3" name="Gráfico 2" descr="Caminhão com preenchimento sólido">
          <a:extLst>
            <a:ext uri="{FF2B5EF4-FFF2-40B4-BE49-F238E27FC236}">
              <a16:creationId xmlns:a16="http://schemas.microsoft.com/office/drawing/2014/main" id="{00A321CE-D997-468C-BE8A-98C0C2D8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28507235" y="720587"/>
          <a:ext cx="411437" cy="40875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152402</xdr:colOff>
      <xdr:row>0</xdr:row>
      <xdr:rowOff>76199</xdr:rowOff>
    </xdr:from>
    <xdr:to>
      <xdr:col>4</xdr:col>
      <xdr:colOff>452764</xdr:colOff>
      <xdr:row>0</xdr:row>
      <xdr:rowOff>428624</xdr:rowOff>
    </xdr:to>
    <xdr:pic>
      <xdr:nvPicPr>
        <xdr:cNvPr id="13" name="Imagem 12" descr="COMPLEX MULTIMODAL | LinkedIn">
          <a:extLst>
            <a:ext uri="{FF2B5EF4-FFF2-40B4-BE49-F238E27FC236}">
              <a16:creationId xmlns:a16="http://schemas.microsoft.com/office/drawing/2014/main" id="{DF58228A-2F00-46A0-BB76-5D6EC41AEAA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6" t="11310" r="27381" b="36309"/>
        <a:stretch/>
      </xdr:blipFill>
      <xdr:spPr bwMode="auto">
        <a:xfrm>
          <a:off x="1971677" y="76199"/>
          <a:ext cx="300362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621195</xdr:colOff>
      <xdr:row>1</xdr:row>
      <xdr:rowOff>49696</xdr:rowOff>
    </xdr:from>
    <xdr:to>
      <xdr:col>11</xdr:col>
      <xdr:colOff>538369</xdr:colOff>
      <xdr:row>4</xdr:row>
      <xdr:rowOff>157370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EF1BC7F-5B49-42E8-8DEC-02B3CF909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447260</xdr:colOff>
      <xdr:row>8</xdr:row>
      <xdr:rowOff>33130</xdr:rowOff>
    </xdr:from>
    <xdr:to>
      <xdr:col>11</xdr:col>
      <xdr:colOff>455543</xdr:colOff>
      <xdr:row>12</xdr:row>
      <xdr:rowOff>115956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BDC6C096-1C31-4F9D-8FD0-1114BBBCB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488674</xdr:colOff>
      <xdr:row>14</xdr:row>
      <xdr:rowOff>107674</xdr:rowOff>
    </xdr:from>
    <xdr:to>
      <xdr:col>11</xdr:col>
      <xdr:colOff>496957</xdr:colOff>
      <xdr:row>17</xdr:row>
      <xdr:rowOff>115957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818C2389-2C72-480F-AD51-D1405249A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530087</xdr:colOff>
      <xdr:row>20</xdr:row>
      <xdr:rowOff>173936</xdr:rowOff>
    </xdr:from>
    <xdr:to>
      <xdr:col>12</xdr:col>
      <xdr:colOff>24848</xdr:colOff>
      <xdr:row>23</xdr:row>
      <xdr:rowOff>149088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2512ADED-924F-4039-A750-D600D0288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563217</xdr:colOff>
      <xdr:row>26</xdr:row>
      <xdr:rowOff>74544</xdr:rowOff>
    </xdr:from>
    <xdr:to>
      <xdr:col>11</xdr:col>
      <xdr:colOff>488674</xdr:colOff>
      <xdr:row>30</xdr:row>
      <xdr:rowOff>24848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83F73267-3EB9-4082-9761-1A3AE417B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488674</xdr:colOff>
      <xdr:row>31</xdr:row>
      <xdr:rowOff>173934</xdr:rowOff>
    </xdr:from>
    <xdr:to>
      <xdr:col>11</xdr:col>
      <xdr:colOff>505239</xdr:colOff>
      <xdr:row>35</xdr:row>
      <xdr:rowOff>165651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1110F44-7806-4F2C-9F0F-AE6385F78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463826</xdr:colOff>
      <xdr:row>38</xdr:row>
      <xdr:rowOff>24848</xdr:rowOff>
    </xdr:from>
    <xdr:to>
      <xdr:col>11</xdr:col>
      <xdr:colOff>463827</xdr:colOff>
      <xdr:row>40</xdr:row>
      <xdr:rowOff>165652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788D90E9-FD17-43B3-B16F-160C6B48A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554934</xdr:colOff>
      <xdr:row>43</xdr:row>
      <xdr:rowOff>182218</xdr:rowOff>
    </xdr:from>
    <xdr:to>
      <xdr:col>11</xdr:col>
      <xdr:colOff>455543</xdr:colOff>
      <xdr:row>47</xdr:row>
      <xdr:rowOff>124240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B73888A8-DD3E-4291-8E84-1C7689DDAE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530087</xdr:colOff>
      <xdr:row>49</xdr:row>
      <xdr:rowOff>182216</xdr:rowOff>
    </xdr:from>
    <xdr:to>
      <xdr:col>11</xdr:col>
      <xdr:colOff>488674</xdr:colOff>
      <xdr:row>53</xdr:row>
      <xdr:rowOff>107673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9580E41-33DF-454D-A1BD-E6B13EF0C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554933</xdr:colOff>
      <xdr:row>56</xdr:row>
      <xdr:rowOff>24848</xdr:rowOff>
    </xdr:from>
    <xdr:to>
      <xdr:col>11</xdr:col>
      <xdr:colOff>521803</xdr:colOff>
      <xdr:row>59</xdr:row>
      <xdr:rowOff>157370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107391F3-80BE-49C9-A6D5-51036F3E8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714376</xdr:colOff>
      <xdr:row>1</xdr:row>
      <xdr:rowOff>84666</xdr:rowOff>
    </xdr:from>
    <xdr:to>
      <xdr:col>13</xdr:col>
      <xdr:colOff>552453</xdr:colOff>
      <xdr:row>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7F7A584-5E38-3B36-93AB-D5F0DE558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638175</xdr:colOff>
      <xdr:row>7</xdr:row>
      <xdr:rowOff>142875</xdr:rowOff>
    </xdr:from>
    <xdr:to>
      <xdr:col>13</xdr:col>
      <xdr:colOff>438149</xdr:colOff>
      <xdr:row>12</xdr:row>
      <xdr:rowOff>28575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A853CDB-02F4-D2BD-564F-D16F12882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647700</xdr:colOff>
      <xdr:row>13</xdr:row>
      <xdr:rowOff>152400</xdr:rowOff>
    </xdr:from>
    <xdr:to>
      <xdr:col>13</xdr:col>
      <xdr:colOff>428626</xdr:colOff>
      <xdr:row>17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7471E58-4F66-0696-D9A1-832A05C32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628650</xdr:colOff>
      <xdr:row>19</xdr:row>
      <xdr:rowOff>123826</xdr:rowOff>
    </xdr:from>
    <xdr:to>
      <xdr:col>13</xdr:col>
      <xdr:colOff>409575</xdr:colOff>
      <xdr:row>23</xdr:row>
      <xdr:rowOff>142876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F96178E-7BEA-8904-DE08-A715D9407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561975</xdr:colOff>
      <xdr:row>25</xdr:row>
      <xdr:rowOff>76199</xdr:rowOff>
    </xdr:from>
    <xdr:to>
      <xdr:col>14</xdr:col>
      <xdr:colOff>152401</xdr:colOff>
      <xdr:row>29</xdr:row>
      <xdr:rowOff>47625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16047DE-8FCE-B9B9-E0E2-CED9714E3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676275</xdr:colOff>
      <xdr:row>31</xdr:row>
      <xdr:rowOff>161925</xdr:rowOff>
    </xdr:from>
    <xdr:to>
      <xdr:col>14</xdr:col>
      <xdr:colOff>266700</xdr:colOff>
      <xdr:row>36</xdr:row>
      <xdr:rowOff>19050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C2BB11C-2538-4D8D-BC41-5F37059EA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638176</xdr:colOff>
      <xdr:row>37</xdr:row>
      <xdr:rowOff>85726</xdr:rowOff>
    </xdr:from>
    <xdr:to>
      <xdr:col>14</xdr:col>
      <xdr:colOff>9525</xdr:colOff>
      <xdr:row>41</xdr:row>
      <xdr:rowOff>9525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8F1C0DF2-015A-4E92-B4B3-A5760BA9C1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647700</xdr:colOff>
      <xdr:row>44</xdr:row>
      <xdr:rowOff>76199</xdr:rowOff>
    </xdr:from>
    <xdr:to>
      <xdr:col>13</xdr:col>
      <xdr:colOff>447674</xdr:colOff>
      <xdr:row>47</xdr:row>
      <xdr:rowOff>66674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E3FD3CA-C5EB-4858-A692-7ED97BFE4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685800</xdr:colOff>
      <xdr:row>49</xdr:row>
      <xdr:rowOff>95250</xdr:rowOff>
    </xdr:from>
    <xdr:to>
      <xdr:col>14</xdr:col>
      <xdr:colOff>114300</xdr:colOff>
      <xdr:row>53</xdr:row>
      <xdr:rowOff>142875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D00A4DE-610A-4B9A-BFDA-A9C89ECEF9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619125</xdr:colOff>
      <xdr:row>55</xdr:row>
      <xdr:rowOff>104776</xdr:rowOff>
    </xdr:from>
    <xdr:to>
      <xdr:col>13</xdr:col>
      <xdr:colOff>447675</xdr:colOff>
      <xdr:row>58</xdr:row>
      <xdr:rowOff>161926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A618607-BECB-42FD-B46D-11EC4F3F0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4</xdr:col>
      <xdr:colOff>152402</xdr:colOff>
      <xdr:row>0</xdr:row>
      <xdr:rowOff>76199</xdr:rowOff>
    </xdr:from>
    <xdr:to>
      <xdr:col>4</xdr:col>
      <xdr:colOff>452764</xdr:colOff>
      <xdr:row>0</xdr:row>
      <xdr:rowOff>428624</xdr:rowOff>
    </xdr:to>
    <xdr:pic>
      <xdr:nvPicPr>
        <xdr:cNvPr id="13" name="Imagem 12" descr="COMPLEX MULTIMODAL | LinkedIn">
          <a:extLst>
            <a:ext uri="{FF2B5EF4-FFF2-40B4-BE49-F238E27FC236}">
              <a16:creationId xmlns:a16="http://schemas.microsoft.com/office/drawing/2014/main" id="{90752C12-2E29-730C-EB40-57F7787567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6" t="11310" r="27381" b="36309"/>
        <a:stretch/>
      </xdr:blipFill>
      <xdr:spPr bwMode="auto">
        <a:xfrm>
          <a:off x="1971677" y="76199"/>
          <a:ext cx="300362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152402</xdr:colOff>
      <xdr:row>0</xdr:row>
      <xdr:rowOff>76199</xdr:rowOff>
    </xdr:from>
    <xdr:to>
      <xdr:col>4</xdr:col>
      <xdr:colOff>452764</xdr:colOff>
      <xdr:row>0</xdr:row>
      <xdr:rowOff>428624</xdr:rowOff>
    </xdr:to>
    <xdr:pic>
      <xdr:nvPicPr>
        <xdr:cNvPr id="4" name="Imagem 3" descr="COMPLEX MULTIMODAL | LinkedIn">
          <a:extLst>
            <a:ext uri="{FF2B5EF4-FFF2-40B4-BE49-F238E27FC236}">
              <a16:creationId xmlns:a16="http://schemas.microsoft.com/office/drawing/2014/main" id="{0513587E-5349-4A16-96CA-BBAAA3E952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6" t="11310" r="27381" b="36309"/>
        <a:stretch/>
      </xdr:blipFill>
      <xdr:spPr bwMode="auto">
        <a:xfrm>
          <a:off x="3676652" y="76199"/>
          <a:ext cx="300362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303067</xdr:colOff>
      <xdr:row>0</xdr:row>
      <xdr:rowOff>555047</xdr:rowOff>
    </xdr:from>
    <xdr:to>
      <xdr:col>11</xdr:col>
      <xdr:colOff>476250</xdr:colOff>
      <xdr:row>5</xdr:row>
      <xdr:rowOff>103909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2AAB00C-04AC-0EE3-1E64-565EF9C80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298739</xdr:colOff>
      <xdr:row>7</xdr:row>
      <xdr:rowOff>44161</xdr:rowOff>
    </xdr:from>
    <xdr:to>
      <xdr:col>11</xdr:col>
      <xdr:colOff>471921</xdr:colOff>
      <xdr:row>11</xdr:row>
      <xdr:rowOff>155864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E3F6E66-0C05-1734-2E87-7F587ED9C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614796</xdr:colOff>
      <xdr:row>14</xdr:row>
      <xdr:rowOff>18185</xdr:rowOff>
    </xdr:from>
    <xdr:to>
      <xdr:col>11</xdr:col>
      <xdr:colOff>489237</xdr:colOff>
      <xdr:row>17</xdr:row>
      <xdr:rowOff>60615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EE298DD-30DB-4C80-CAB8-F593B40E0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16374</xdr:col>
      <xdr:colOff>129887</xdr:colOff>
      <xdr:row>3</xdr:row>
      <xdr:rowOff>95251</xdr:rowOff>
    </xdr:from>
    <xdr:to>
      <xdr:col>16374</xdr:col>
      <xdr:colOff>541324</xdr:colOff>
      <xdr:row>5</xdr:row>
      <xdr:rowOff>123001</xdr:rowOff>
    </xdr:to>
    <xdr:pic>
      <xdr:nvPicPr>
        <xdr:cNvPr id="9" name="Gráfico 8" descr="Caminhão com preenchimento sólido">
          <a:extLst>
            <a:ext uri="{FF2B5EF4-FFF2-40B4-BE49-F238E27FC236}">
              <a16:creationId xmlns:a16="http://schemas.microsoft.com/office/drawing/2014/main" id="{9ED53CBF-B411-4F4D-A8C3-0363E98AC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926244955" y="874569"/>
          <a:ext cx="411437" cy="408750"/>
        </a:xfrm>
        <a:prstGeom prst="rect">
          <a:avLst/>
        </a:prstGeom>
      </xdr:spPr>
    </xdr:pic>
    <xdr:clientData/>
  </xdr:twoCellAnchor>
  <xdr:twoCellAnchor>
    <xdr:from>
      <xdr:col>5</xdr:col>
      <xdr:colOff>588818</xdr:colOff>
      <xdr:row>19</xdr:row>
      <xdr:rowOff>121227</xdr:rowOff>
    </xdr:from>
    <xdr:to>
      <xdr:col>11</xdr:col>
      <xdr:colOff>476250</xdr:colOff>
      <xdr:row>23</xdr:row>
      <xdr:rowOff>129886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4845C1C-1679-451A-9127-8D049259E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597477</xdr:colOff>
      <xdr:row>25</xdr:row>
      <xdr:rowOff>148070</xdr:rowOff>
    </xdr:from>
    <xdr:to>
      <xdr:col>11</xdr:col>
      <xdr:colOff>471921</xdr:colOff>
      <xdr:row>29</xdr:row>
      <xdr:rowOff>112569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D40EB75-7646-9B50-E98F-4EB81DAC6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606137</xdr:colOff>
      <xdr:row>31</xdr:row>
      <xdr:rowOff>96115</xdr:rowOff>
    </xdr:from>
    <xdr:to>
      <xdr:col>11</xdr:col>
      <xdr:colOff>480579</xdr:colOff>
      <xdr:row>35</xdr:row>
      <xdr:rowOff>121227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7414713-8A72-28DE-B48A-22FB3A1CE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606136</xdr:colOff>
      <xdr:row>37</xdr:row>
      <xdr:rowOff>156729</xdr:rowOff>
    </xdr:from>
    <xdr:to>
      <xdr:col>11</xdr:col>
      <xdr:colOff>489237</xdr:colOff>
      <xdr:row>41</xdr:row>
      <xdr:rowOff>95250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FDDCC65-AD27-AF30-A8CE-445A30DFE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588817</xdr:colOff>
      <xdr:row>43</xdr:row>
      <xdr:rowOff>122093</xdr:rowOff>
    </xdr:from>
    <xdr:to>
      <xdr:col>11</xdr:col>
      <xdr:colOff>471920</xdr:colOff>
      <xdr:row>47</xdr:row>
      <xdr:rowOff>129887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D433AC6-E354-1623-CAB7-C3DD5B780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614795</xdr:colOff>
      <xdr:row>49</xdr:row>
      <xdr:rowOff>96116</xdr:rowOff>
    </xdr:from>
    <xdr:to>
      <xdr:col>11</xdr:col>
      <xdr:colOff>480578</xdr:colOff>
      <xdr:row>53</xdr:row>
      <xdr:rowOff>164524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A2190B5-46D4-E0AC-9825-9A8B76CA6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606137</xdr:colOff>
      <xdr:row>55</xdr:row>
      <xdr:rowOff>148070</xdr:rowOff>
    </xdr:from>
    <xdr:to>
      <xdr:col>11</xdr:col>
      <xdr:colOff>471920</xdr:colOff>
      <xdr:row>59</xdr:row>
      <xdr:rowOff>129886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F246B57-80E4-FF5D-BF7B-89BB01952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3</xdr:row>
      <xdr:rowOff>190499</xdr:rowOff>
    </xdr:from>
    <xdr:to>
      <xdr:col>14</xdr:col>
      <xdr:colOff>0</xdr:colOff>
      <xdr:row>24</xdr:row>
      <xdr:rowOff>11186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B06BF6C-A4E1-4F4D-82D3-82BB5CE66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761999"/>
          <a:ext cx="8197848" cy="3821187"/>
        </a:xfrm>
        <a:prstGeom prst="rect">
          <a:avLst/>
        </a:prstGeom>
      </xdr:spPr>
    </xdr:pic>
    <xdr:clientData/>
  </xdr:twoCellAnchor>
  <xdr:twoCellAnchor>
    <xdr:from>
      <xdr:col>0</xdr:col>
      <xdr:colOff>34018</xdr:colOff>
      <xdr:row>4</xdr:row>
      <xdr:rowOff>80981</xdr:rowOff>
    </xdr:from>
    <xdr:to>
      <xdr:col>13</xdr:col>
      <xdr:colOff>749507</xdr:colOff>
      <xdr:row>23</xdr:row>
      <xdr:rowOff>133481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4E1524AC-3B4C-4D90-9097-B20EE2503832}"/>
            </a:ext>
          </a:extLst>
        </xdr:cNvPr>
        <xdr:cNvSpPr/>
      </xdr:nvSpPr>
      <xdr:spPr>
        <a:xfrm>
          <a:off x="34018" y="842981"/>
          <a:ext cx="8084375" cy="3672000"/>
        </a:xfrm>
        <a:prstGeom prst="rect">
          <a:avLst/>
        </a:prstGeom>
        <a:solidFill>
          <a:srgbClr val="FFFFFF">
            <a:alpha val="6980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500">
            <a:solidFill>
              <a:srgbClr val="545755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28576</xdr:rowOff>
    </xdr:from>
    <xdr:to>
      <xdr:col>14</xdr:col>
      <xdr:colOff>0</xdr:colOff>
      <xdr:row>4</xdr:row>
      <xdr:rowOff>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9FE999A9-737D-38D6-82AE-E0C3DD495157}"/>
            </a:ext>
          </a:extLst>
        </xdr:cNvPr>
        <xdr:cNvSpPr/>
      </xdr:nvSpPr>
      <xdr:spPr>
        <a:xfrm>
          <a:off x="0" y="28576"/>
          <a:ext cx="8167688" cy="733424"/>
        </a:xfrm>
        <a:prstGeom prst="rect">
          <a:avLst/>
        </a:prstGeom>
        <a:solidFill>
          <a:srgbClr val="5457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571673</xdr:colOff>
      <xdr:row>0</xdr:row>
      <xdr:rowOff>190497</xdr:rowOff>
    </xdr:from>
    <xdr:to>
      <xdr:col>8</xdr:col>
      <xdr:colOff>259367</xdr:colOff>
      <xdr:row>2</xdr:row>
      <xdr:rowOff>188683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1AE1F9C-D6FA-4769-89F2-84DF150B4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8" r="2048"/>
        <a:stretch/>
      </xdr:blipFill>
      <xdr:spPr bwMode="auto">
        <a:xfrm>
          <a:off x="4286423" y="190497"/>
          <a:ext cx="300015" cy="3791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449035</xdr:colOff>
      <xdr:row>1</xdr:row>
      <xdr:rowOff>34018</xdr:rowOff>
    </xdr:from>
    <xdr:ext cx="1904999" cy="306161"/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EB488DA4-8500-413B-A04C-7E86FEFB7AF8}"/>
            </a:ext>
          </a:extLst>
        </xdr:cNvPr>
        <xdr:cNvSpPr/>
      </xdr:nvSpPr>
      <xdr:spPr>
        <a:xfrm>
          <a:off x="2326821" y="224518"/>
          <a:ext cx="1904999" cy="306161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pt-BR" sz="1500" b="1" cap="none" spc="0">
              <a:ln w="0"/>
              <a:solidFill>
                <a:srgbClr val="EAEAE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COMPLEX</a:t>
          </a:r>
          <a:r>
            <a:rPr lang="pt-BR" sz="1500" b="0" cap="none" spc="0">
              <a:ln w="0"/>
              <a:solidFill>
                <a:srgbClr val="EAEAE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TRANSPORTES</a:t>
          </a:r>
        </a:p>
      </xdr:txBody>
    </xdr:sp>
    <xdr:clientData/>
  </xdr:oneCellAnchor>
  <xdr:twoCellAnchor>
    <xdr:from>
      <xdr:col>0</xdr:col>
      <xdr:colOff>34925</xdr:colOff>
      <xdr:row>3</xdr:row>
      <xdr:rowOff>158750</xdr:rowOff>
    </xdr:from>
    <xdr:to>
      <xdr:col>13</xdr:col>
      <xdr:colOff>754125</xdr:colOff>
      <xdr:row>4</xdr:row>
      <xdr:rowOff>44450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2F6EAABF-A19F-CF24-3329-D146021823F9}"/>
            </a:ext>
          </a:extLst>
        </xdr:cNvPr>
        <xdr:cNvSpPr/>
      </xdr:nvSpPr>
      <xdr:spPr>
        <a:xfrm>
          <a:off x="34925" y="730250"/>
          <a:ext cx="8136000" cy="762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11</xdr:col>
      <xdr:colOff>1053704</xdr:colOff>
      <xdr:row>0</xdr:row>
      <xdr:rowOff>60325</xdr:rowOff>
    </xdr:from>
    <xdr:to>
      <xdr:col>13</xdr:col>
      <xdr:colOff>745782</xdr:colOff>
      <xdr:row>3</xdr:row>
      <xdr:rowOff>64825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ANO">
              <a:extLst>
                <a:ext uri="{FF2B5EF4-FFF2-40B4-BE49-F238E27FC236}">
                  <a16:creationId xmlns:a16="http://schemas.microsoft.com/office/drawing/2014/main" id="{3767D06C-D994-47D4-B41B-18CD49B44D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1610" y="60325"/>
              <a:ext cx="972000" cy="57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296141</xdr:colOff>
      <xdr:row>0</xdr:row>
      <xdr:rowOff>67541</xdr:rowOff>
    </xdr:from>
    <xdr:to>
      <xdr:col>11</xdr:col>
      <xdr:colOff>958485</xdr:colOff>
      <xdr:row>3</xdr:row>
      <xdr:rowOff>144041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MÊS">
              <a:extLst>
                <a:ext uri="{FF2B5EF4-FFF2-40B4-BE49-F238E27FC236}">
                  <a16:creationId xmlns:a16="http://schemas.microsoft.com/office/drawing/2014/main" id="{470B1472-2C2B-4E1A-8766-7D652CCCB9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Ê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82391" y="67541"/>
              <a:ext cx="2484000" cy="64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990601</xdr:colOff>
      <xdr:row>0</xdr:row>
      <xdr:rowOff>127000</xdr:rowOff>
    </xdr:from>
    <xdr:to>
      <xdr:col>11</xdr:col>
      <xdr:colOff>990601</xdr:colOff>
      <xdr:row>3</xdr:row>
      <xdr:rowOff>131500</xdr:rowOff>
    </xdr:to>
    <xdr:cxnSp macro="">
      <xdr:nvCxnSpPr>
        <xdr:cNvPr id="37" name="Conector reto 36">
          <a:extLst>
            <a:ext uri="{FF2B5EF4-FFF2-40B4-BE49-F238E27FC236}">
              <a16:creationId xmlns:a16="http://schemas.microsoft.com/office/drawing/2014/main" id="{67389FA3-F08C-48CF-B00D-9D55D13F44BB}"/>
            </a:ext>
          </a:extLst>
        </xdr:cNvPr>
        <xdr:cNvCxnSpPr/>
      </xdr:nvCxnSpPr>
      <xdr:spPr>
        <a:xfrm>
          <a:off x="7124701" y="127000"/>
          <a:ext cx="0" cy="576000"/>
        </a:xfrm>
        <a:prstGeom prst="line">
          <a:avLst/>
        </a:prstGeom>
        <a:ln w="12700">
          <a:solidFill>
            <a:srgbClr val="92989A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1600</xdr:colOff>
      <xdr:row>14</xdr:row>
      <xdr:rowOff>22412</xdr:rowOff>
    </xdr:from>
    <xdr:to>
      <xdr:col>7</xdr:col>
      <xdr:colOff>503464</xdr:colOff>
      <xdr:row>23</xdr:row>
      <xdr:rowOff>31750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DA38459C-7CC3-4EEC-9B16-D0BE544CE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</xdr:col>
      <xdr:colOff>529167</xdr:colOff>
      <xdr:row>1</xdr:row>
      <xdr:rowOff>7408</xdr:rowOff>
    </xdr:from>
    <xdr:to>
      <xdr:col>3</xdr:col>
      <xdr:colOff>548217</xdr:colOff>
      <xdr:row>4</xdr:row>
      <xdr:rowOff>64558</xdr:rowOff>
    </xdr:to>
    <xdr:pic>
      <xdr:nvPicPr>
        <xdr:cNvPr id="52" name="Gráfico 51" descr="Caminhão com preenchimento sólido">
          <a:extLst>
            <a:ext uri="{FF2B5EF4-FFF2-40B4-BE49-F238E27FC236}">
              <a16:creationId xmlns:a16="http://schemas.microsoft.com/office/drawing/2014/main" id="{014E3FD4-7DE7-730C-BE19-DBC69416A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174750" y="197908"/>
          <a:ext cx="627592" cy="62865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0</xdr:row>
      <xdr:rowOff>0</xdr:rowOff>
    </xdr:from>
    <xdr:ext cx="1841500" cy="381000"/>
    <xdr:sp macro="" textlink="">
      <xdr:nvSpPr>
        <xdr:cNvPr id="54" name="Retângulo 53">
          <a:extLst>
            <a:ext uri="{FF2B5EF4-FFF2-40B4-BE49-F238E27FC236}">
              <a16:creationId xmlns:a16="http://schemas.microsoft.com/office/drawing/2014/main" id="{4953CF53-7FAE-4C89-90E8-355D99808BB4}"/>
            </a:ext>
          </a:extLst>
        </xdr:cNvPr>
        <xdr:cNvSpPr/>
      </xdr:nvSpPr>
      <xdr:spPr>
        <a:xfrm>
          <a:off x="38100" y="0"/>
          <a:ext cx="1841500" cy="38100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pt-BR" sz="1500" b="1" cap="none" spc="0">
              <a:ln w="0"/>
              <a:solidFill>
                <a:srgbClr val="C0CAC7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TOTAL DE ENTREGAS</a:t>
          </a:r>
          <a:endParaRPr lang="pt-BR" sz="1500" b="0" cap="none" spc="0">
            <a:ln w="0"/>
            <a:solidFill>
              <a:srgbClr val="C0CAC7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0</xdr:col>
      <xdr:colOff>40821</xdr:colOff>
      <xdr:row>12</xdr:row>
      <xdr:rowOff>47626</xdr:rowOff>
    </xdr:from>
    <xdr:ext cx="2063750" cy="292554"/>
    <xdr:sp macro="" textlink="">
      <xdr:nvSpPr>
        <xdr:cNvPr id="55" name="Retângulo 54">
          <a:extLst>
            <a:ext uri="{FF2B5EF4-FFF2-40B4-BE49-F238E27FC236}">
              <a16:creationId xmlns:a16="http://schemas.microsoft.com/office/drawing/2014/main" id="{0EE6F3E4-9A46-4B46-A729-8509C2426738}"/>
            </a:ext>
          </a:extLst>
        </xdr:cNvPr>
        <xdr:cNvSpPr/>
      </xdr:nvSpPr>
      <xdr:spPr>
        <a:xfrm>
          <a:off x="40821" y="2333626"/>
          <a:ext cx="2063750" cy="2925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pt-BR" sz="1500" b="1" cap="none" spc="0">
              <a:ln w="0"/>
              <a:solidFill>
                <a:srgbClr val="545755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TIPOS DE OCORRÊNCIAS</a:t>
          </a:r>
          <a:endParaRPr lang="pt-BR" sz="1500" b="0" cap="none" spc="0">
            <a:ln w="0"/>
            <a:solidFill>
              <a:srgbClr val="545755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6350</xdr:colOff>
      <xdr:row>1</xdr:row>
      <xdr:rowOff>82550</xdr:rowOff>
    </xdr:from>
    <xdr:to>
      <xdr:col>2</xdr:col>
      <xdr:colOff>349250</xdr:colOff>
      <xdr:row>3</xdr:row>
      <xdr:rowOff>95250</xdr:rowOff>
    </xdr:to>
    <xdr:sp macro="" textlink="APOIO!P20">
      <xdr:nvSpPr>
        <xdr:cNvPr id="60" name="CaixaDeTexto 59">
          <a:extLst>
            <a:ext uri="{FF2B5EF4-FFF2-40B4-BE49-F238E27FC236}">
              <a16:creationId xmlns:a16="http://schemas.microsoft.com/office/drawing/2014/main" id="{EE60B447-08BD-266C-6C57-3954315CAD04}"/>
            </a:ext>
          </a:extLst>
        </xdr:cNvPr>
        <xdr:cNvSpPr txBox="1"/>
      </xdr:nvSpPr>
      <xdr:spPr>
        <a:xfrm>
          <a:off x="44450" y="273050"/>
          <a:ext cx="952500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C868E5D-CCD5-4F11-ACFC-2340D3E0ECFC}" type="TxLink">
            <a:rPr lang="en-US" sz="2500" b="1" i="0" u="none" strike="noStrike">
              <a:solidFill>
                <a:srgbClr val="C0CAC7"/>
              </a:solidFill>
              <a:latin typeface="Calibri"/>
              <a:cs typeface="Calibri"/>
            </a:rPr>
            <a:pPr/>
            <a:t>806</a:t>
          </a:fld>
          <a:endParaRPr lang="pt-BR" sz="2500">
            <a:solidFill>
              <a:srgbClr val="C0CAC7"/>
            </a:solidFill>
          </a:endParaRPr>
        </a:p>
      </xdr:txBody>
    </xdr:sp>
    <xdr:clientData/>
  </xdr:twoCellAnchor>
  <xdr:twoCellAnchor>
    <xdr:from>
      <xdr:col>1</xdr:col>
      <xdr:colOff>5101</xdr:colOff>
      <xdr:row>5</xdr:row>
      <xdr:rowOff>139700</xdr:rowOff>
    </xdr:from>
    <xdr:to>
      <xdr:col>7</xdr:col>
      <xdr:colOff>226219</xdr:colOff>
      <xdr:row>12</xdr:row>
      <xdr:rowOff>95250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E447CB61-EA84-41A2-8918-8ED7CA8D9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</xdr:col>
      <xdr:colOff>0</xdr:colOff>
      <xdr:row>4</xdr:row>
      <xdr:rowOff>69850</xdr:rowOff>
    </xdr:from>
    <xdr:ext cx="819150" cy="311150"/>
    <xdr:sp macro="" textlink="">
      <xdr:nvSpPr>
        <xdr:cNvPr id="64" name="Retângulo 63">
          <a:extLst>
            <a:ext uri="{FF2B5EF4-FFF2-40B4-BE49-F238E27FC236}">
              <a16:creationId xmlns:a16="http://schemas.microsoft.com/office/drawing/2014/main" id="{471652E7-FB00-47DA-BFD6-95A3B41BF2F7}"/>
            </a:ext>
          </a:extLst>
        </xdr:cNvPr>
        <xdr:cNvSpPr/>
      </xdr:nvSpPr>
      <xdr:spPr>
        <a:xfrm>
          <a:off x="38100" y="831850"/>
          <a:ext cx="819150" cy="31115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pt-BR" sz="1500" b="1" cap="none" spc="0">
              <a:ln w="0"/>
              <a:solidFill>
                <a:srgbClr val="545755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STATUS</a:t>
          </a:r>
        </a:p>
      </xdr:txBody>
    </xdr:sp>
    <xdr:clientData/>
  </xdr:oneCellAnchor>
  <xdr:oneCellAnchor>
    <xdr:from>
      <xdr:col>10</xdr:col>
      <xdr:colOff>177800</xdr:colOff>
      <xdr:row>11</xdr:row>
      <xdr:rowOff>0</xdr:rowOff>
    </xdr:from>
    <xdr:ext cx="730250" cy="272142"/>
    <xdr:sp macro="" textlink="">
      <xdr:nvSpPr>
        <xdr:cNvPr id="71" name="Retângulo 70">
          <a:extLst>
            <a:ext uri="{FF2B5EF4-FFF2-40B4-BE49-F238E27FC236}">
              <a16:creationId xmlns:a16="http://schemas.microsoft.com/office/drawing/2014/main" id="{E4A6DE90-D23C-4AFE-BF02-35C8955C18FE}"/>
            </a:ext>
          </a:extLst>
        </xdr:cNvPr>
        <xdr:cNvSpPr/>
      </xdr:nvSpPr>
      <xdr:spPr>
        <a:xfrm>
          <a:off x="5725803" y="2109107"/>
          <a:ext cx="730250" cy="27214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pt-BR" sz="1000" b="1" cap="none" spc="0">
              <a:ln w="0"/>
              <a:solidFill>
                <a:srgbClr val="545755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ATRASADO</a:t>
          </a:r>
          <a:endParaRPr lang="pt-BR" sz="1000" b="0" cap="none" spc="0">
            <a:ln w="0"/>
            <a:solidFill>
              <a:srgbClr val="545755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8</xdr:col>
      <xdr:colOff>12700</xdr:colOff>
      <xdr:row>11</xdr:row>
      <xdr:rowOff>6184</xdr:rowOff>
    </xdr:from>
    <xdr:ext cx="800100" cy="247403"/>
    <xdr:sp macro="" textlink="">
      <xdr:nvSpPr>
        <xdr:cNvPr id="72" name="Retângulo 71">
          <a:extLst>
            <a:ext uri="{FF2B5EF4-FFF2-40B4-BE49-F238E27FC236}">
              <a16:creationId xmlns:a16="http://schemas.microsoft.com/office/drawing/2014/main" id="{AD180E43-3660-4827-B9A7-2E841B538292}"/>
            </a:ext>
          </a:extLst>
        </xdr:cNvPr>
        <xdr:cNvSpPr/>
      </xdr:nvSpPr>
      <xdr:spPr>
        <a:xfrm>
          <a:off x="4336060" y="2115291"/>
          <a:ext cx="800100" cy="247403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pt-BR" sz="1000" b="1" cap="none" spc="0">
              <a:ln w="0"/>
              <a:solidFill>
                <a:srgbClr val="545755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NO PRAZO</a:t>
          </a:r>
          <a:endParaRPr lang="pt-BR" sz="1000" b="0" cap="none" spc="0">
            <a:ln w="0"/>
            <a:solidFill>
              <a:srgbClr val="545755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8</xdr:col>
      <xdr:colOff>292100</xdr:colOff>
      <xdr:row>0</xdr:row>
      <xdr:rowOff>127000</xdr:rowOff>
    </xdr:from>
    <xdr:to>
      <xdr:col>8</xdr:col>
      <xdr:colOff>292100</xdr:colOff>
      <xdr:row>3</xdr:row>
      <xdr:rowOff>131500</xdr:rowOff>
    </xdr:to>
    <xdr:cxnSp macro="">
      <xdr:nvCxnSpPr>
        <xdr:cNvPr id="75" name="Conector reto 74">
          <a:extLst>
            <a:ext uri="{FF2B5EF4-FFF2-40B4-BE49-F238E27FC236}">
              <a16:creationId xmlns:a16="http://schemas.microsoft.com/office/drawing/2014/main" id="{4D196278-3878-450B-930D-23E7310D3D91}"/>
            </a:ext>
          </a:extLst>
        </xdr:cNvPr>
        <xdr:cNvCxnSpPr/>
      </xdr:nvCxnSpPr>
      <xdr:spPr>
        <a:xfrm flipH="1">
          <a:off x="4597400" y="127000"/>
          <a:ext cx="0" cy="576000"/>
        </a:xfrm>
        <a:prstGeom prst="line">
          <a:avLst/>
        </a:prstGeom>
        <a:ln w="12700">
          <a:solidFill>
            <a:srgbClr val="92989A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484290</xdr:colOff>
      <xdr:row>19</xdr:row>
      <xdr:rowOff>81643</xdr:rowOff>
    </xdr:from>
    <xdr:ext cx="1008000" cy="180000"/>
    <xdr:sp macro="" textlink="">
      <xdr:nvSpPr>
        <xdr:cNvPr id="86" name="Retângulo 85">
          <a:extLst>
            <a:ext uri="{FF2B5EF4-FFF2-40B4-BE49-F238E27FC236}">
              <a16:creationId xmlns:a16="http://schemas.microsoft.com/office/drawing/2014/main" id="{27DD8112-FEE1-4020-83AB-45BA3D1A33D1}"/>
            </a:ext>
          </a:extLst>
        </xdr:cNvPr>
        <xdr:cNvSpPr/>
      </xdr:nvSpPr>
      <xdr:spPr>
        <a:xfrm>
          <a:off x="5423683" y="3701143"/>
          <a:ext cx="1008000" cy="180000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l"/>
          <a:r>
            <a:rPr lang="pt-BR" sz="800" b="1" cap="none" spc="0">
              <a:ln w="0"/>
              <a:solidFill>
                <a:srgbClr val="223337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Entregue</a:t>
          </a:r>
          <a:r>
            <a:rPr lang="pt-BR" sz="800" b="1" cap="none" spc="0" baseline="0">
              <a:ln w="0"/>
              <a:solidFill>
                <a:srgbClr val="223337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No prazo</a:t>
          </a:r>
          <a:endParaRPr lang="pt-BR" sz="800" b="0" cap="none" spc="0">
            <a:ln w="0"/>
            <a:solidFill>
              <a:srgbClr val="223337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8</xdr:col>
      <xdr:colOff>437903</xdr:colOff>
      <xdr:row>7</xdr:row>
      <xdr:rowOff>50717</xdr:rowOff>
    </xdr:from>
    <xdr:to>
      <xdr:col>9</xdr:col>
      <xdr:colOff>601189</xdr:colOff>
      <xdr:row>7</xdr:row>
      <xdr:rowOff>50717</xdr:rowOff>
    </xdr:to>
    <xdr:cxnSp macro="">
      <xdr:nvCxnSpPr>
        <xdr:cNvPr id="101" name="Conector reto 100">
          <a:extLst>
            <a:ext uri="{FF2B5EF4-FFF2-40B4-BE49-F238E27FC236}">
              <a16:creationId xmlns:a16="http://schemas.microsoft.com/office/drawing/2014/main" id="{4AFFF59B-F1C8-4E00-BAE5-68661AA93866}"/>
            </a:ext>
          </a:extLst>
        </xdr:cNvPr>
        <xdr:cNvCxnSpPr/>
      </xdr:nvCxnSpPr>
      <xdr:spPr>
        <a:xfrm flipH="1">
          <a:off x="4761263" y="1392876"/>
          <a:ext cx="775608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56284</xdr:colOff>
      <xdr:row>7</xdr:row>
      <xdr:rowOff>38347</xdr:rowOff>
    </xdr:from>
    <xdr:to>
      <xdr:col>13</xdr:col>
      <xdr:colOff>634588</xdr:colOff>
      <xdr:row>7</xdr:row>
      <xdr:rowOff>38347</xdr:rowOff>
    </xdr:to>
    <xdr:cxnSp macro="">
      <xdr:nvCxnSpPr>
        <xdr:cNvPr id="104" name="Conector reto 103">
          <a:extLst>
            <a:ext uri="{FF2B5EF4-FFF2-40B4-BE49-F238E27FC236}">
              <a16:creationId xmlns:a16="http://schemas.microsoft.com/office/drawing/2014/main" id="{6A2DC0B5-E823-47CA-9DD2-69B5284A5BEB}"/>
            </a:ext>
          </a:extLst>
        </xdr:cNvPr>
        <xdr:cNvCxnSpPr/>
      </xdr:nvCxnSpPr>
      <xdr:spPr>
        <a:xfrm flipH="1">
          <a:off x="7292810" y="1380506"/>
          <a:ext cx="776226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582015</xdr:colOff>
      <xdr:row>7</xdr:row>
      <xdr:rowOff>50718</xdr:rowOff>
    </xdr:from>
    <xdr:to>
      <xdr:col>11</xdr:col>
      <xdr:colOff>745301</xdr:colOff>
      <xdr:row>7</xdr:row>
      <xdr:rowOff>50718</xdr:rowOff>
    </xdr:to>
    <xdr:cxnSp macro="">
      <xdr:nvCxnSpPr>
        <xdr:cNvPr id="105" name="Conector reto 104">
          <a:extLst>
            <a:ext uri="{FF2B5EF4-FFF2-40B4-BE49-F238E27FC236}">
              <a16:creationId xmlns:a16="http://schemas.microsoft.com/office/drawing/2014/main" id="{0681E3BA-1CD0-4867-B4FC-DDA5D1FDF468}"/>
            </a:ext>
          </a:extLst>
        </xdr:cNvPr>
        <xdr:cNvCxnSpPr/>
      </xdr:nvCxnSpPr>
      <xdr:spPr>
        <a:xfrm flipH="1">
          <a:off x="6130018" y="1392877"/>
          <a:ext cx="775608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831850</xdr:colOff>
      <xdr:row>11</xdr:row>
      <xdr:rowOff>18555</xdr:rowOff>
    </xdr:from>
    <xdr:ext cx="876300" cy="290697"/>
    <xdr:sp macro="" textlink="">
      <xdr:nvSpPr>
        <xdr:cNvPr id="87" name="Retângulo 86">
          <a:extLst>
            <a:ext uri="{FF2B5EF4-FFF2-40B4-BE49-F238E27FC236}">
              <a16:creationId xmlns:a16="http://schemas.microsoft.com/office/drawing/2014/main" id="{8863FCD1-A989-4FB5-B672-7E7EEAB63A7B}"/>
            </a:ext>
          </a:extLst>
        </xdr:cNvPr>
        <xdr:cNvSpPr/>
      </xdr:nvSpPr>
      <xdr:spPr>
        <a:xfrm>
          <a:off x="6992175" y="2127662"/>
          <a:ext cx="876300" cy="290697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pt-BR" sz="1000" b="1" cap="none" spc="0">
              <a:ln w="0"/>
              <a:solidFill>
                <a:srgbClr val="545755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EM TRÂNSITO</a:t>
          </a:r>
          <a:endParaRPr lang="pt-BR" sz="1000" b="0" cap="none" spc="0">
            <a:ln w="0"/>
            <a:solidFill>
              <a:srgbClr val="545755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9</xdr:col>
      <xdr:colOff>571170</xdr:colOff>
      <xdr:row>5</xdr:row>
      <xdr:rowOff>126175</xdr:rowOff>
    </xdr:from>
    <xdr:to>
      <xdr:col>11</xdr:col>
      <xdr:colOff>488620</xdr:colOff>
      <xdr:row>11</xdr:row>
      <xdr:rowOff>91250</xdr:rowOff>
    </xdr:to>
    <xdr:graphicFrame macro="">
      <xdr:nvGraphicFramePr>
        <xdr:cNvPr id="88" name="Gráfico 87">
          <a:extLst>
            <a:ext uri="{FF2B5EF4-FFF2-40B4-BE49-F238E27FC236}">
              <a16:creationId xmlns:a16="http://schemas.microsoft.com/office/drawing/2014/main" id="{4DD3E47F-07DB-4FE2-8C40-F1A1E092B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428955</xdr:colOff>
      <xdr:row>5</xdr:row>
      <xdr:rowOff>126175</xdr:rowOff>
    </xdr:from>
    <xdr:to>
      <xdr:col>9</xdr:col>
      <xdr:colOff>346405</xdr:colOff>
      <xdr:row>11</xdr:row>
      <xdr:rowOff>91250</xdr:rowOff>
    </xdr:to>
    <xdr:graphicFrame macro="">
      <xdr:nvGraphicFramePr>
        <xdr:cNvPr id="89" name="Gráfico 88">
          <a:extLst>
            <a:ext uri="{FF2B5EF4-FFF2-40B4-BE49-F238E27FC236}">
              <a16:creationId xmlns:a16="http://schemas.microsoft.com/office/drawing/2014/main" id="{4322A3DD-355D-43D3-AFC4-0EBBFCF80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688975</xdr:colOff>
      <xdr:row>5</xdr:row>
      <xdr:rowOff>126175</xdr:rowOff>
    </xdr:from>
    <xdr:to>
      <xdr:col>13</xdr:col>
      <xdr:colOff>542925</xdr:colOff>
      <xdr:row>11</xdr:row>
      <xdr:rowOff>91250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B8ACAEBD-F724-47A5-B13A-F814EBA6A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164605</xdr:colOff>
      <xdr:row>5</xdr:row>
      <xdr:rowOff>89283</xdr:rowOff>
    </xdr:from>
    <xdr:to>
      <xdr:col>11</xdr:col>
      <xdr:colOff>884605</xdr:colOff>
      <xdr:row>7</xdr:row>
      <xdr:rowOff>65809</xdr:rowOff>
    </xdr:to>
    <xdr:sp macro="" textlink="APOIO!Q6">
      <xdr:nvSpPr>
        <xdr:cNvPr id="93" name="CaixaDeTexto 92">
          <a:extLst>
            <a:ext uri="{FF2B5EF4-FFF2-40B4-BE49-F238E27FC236}">
              <a16:creationId xmlns:a16="http://schemas.microsoft.com/office/drawing/2014/main" id="{A87D4A75-F63E-4719-8824-8FF6181F5DAC}"/>
            </a:ext>
          </a:extLst>
        </xdr:cNvPr>
        <xdr:cNvSpPr txBox="1"/>
      </xdr:nvSpPr>
      <xdr:spPr>
        <a:xfrm>
          <a:off x="6324930" y="1047968"/>
          <a:ext cx="72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8598C2B-F4DD-45B1-9D1C-132C4845FBF1}" type="TxLink">
            <a:rPr lang="en-US" sz="2000" b="0" i="0" u="none" strike="noStrike">
              <a:solidFill>
                <a:srgbClr val="545755"/>
              </a:solidFill>
              <a:latin typeface="Calibri"/>
              <a:cs typeface="Calibri"/>
            </a:rPr>
            <a:pPr/>
            <a:t>20%</a:t>
          </a:fld>
          <a:endParaRPr lang="pt-BR" sz="2000">
            <a:solidFill>
              <a:srgbClr val="545755"/>
            </a:solidFill>
          </a:endParaRPr>
        </a:p>
      </xdr:txBody>
    </xdr:sp>
    <xdr:clientData/>
  </xdr:twoCellAnchor>
  <xdr:twoCellAnchor>
    <xdr:from>
      <xdr:col>9</xdr:col>
      <xdr:colOff>26555</xdr:colOff>
      <xdr:row>5</xdr:row>
      <xdr:rowOff>91209</xdr:rowOff>
    </xdr:from>
    <xdr:to>
      <xdr:col>10</xdr:col>
      <xdr:colOff>134234</xdr:colOff>
      <xdr:row>7</xdr:row>
      <xdr:rowOff>65809</xdr:rowOff>
    </xdr:to>
    <xdr:sp macro="" textlink="APOIO!Q7">
      <xdr:nvSpPr>
        <xdr:cNvPr id="94" name="CaixaDeTexto 93">
          <a:extLst>
            <a:ext uri="{FF2B5EF4-FFF2-40B4-BE49-F238E27FC236}">
              <a16:creationId xmlns:a16="http://schemas.microsoft.com/office/drawing/2014/main" id="{F477CC1A-EB23-4156-AD6D-A602626EB73F}"/>
            </a:ext>
          </a:extLst>
        </xdr:cNvPr>
        <xdr:cNvSpPr txBox="1"/>
      </xdr:nvSpPr>
      <xdr:spPr>
        <a:xfrm>
          <a:off x="4962237" y="1049894"/>
          <a:ext cx="720000" cy="3580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6A372E2-25DD-4672-B043-1AB024DF4863}" type="TxLink">
            <a:rPr lang="en-US" sz="2000" b="0" i="0" u="none" strike="noStrike">
              <a:solidFill>
                <a:srgbClr val="545755"/>
              </a:solidFill>
              <a:latin typeface="Calibri"/>
              <a:cs typeface="Calibri"/>
            </a:rPr>
            <a:pPr/>
            <a:t>75%</a:t>
          </a:fld>
          <a:endParaRPr lang="pt-BR" sz="2000">
            <a:solidFill>
              <a:srgbClr val="545755"/>
            </a:solidFill>
          </a:endParaRPr>
        </a:p>
      </xdr:txBody>
    </xdr:sp>
    <xdr:clientData/>
  </xdr:twoCellAnchor>
  <xdr:twoCellAnchor>
    <xdr:from>
      <xdr:col>13</xdr:col>
      <xdr:colOff>216230</xdr:colOff>
      <xdr:row>5</xdr:row>
      <xdr:rowOff>89283</xdr:rowOff>
    </xdr:from>
    <xdr:to>
      <xdr:col>14</xdr:col>
      <xdr:colOff>156912</xdr:colOff>
      <xdr:row>7</xdr:row>
      <xdr:rowOff>65809</xdr:rowOff>
    </xdr:to>
    <xdr:sp macro="" textlink="APOIO!Q5">
      <xdr:nvSpPr>
        <xdr:cNvPr id="95" name="CaixaDeTexto 94">
          <a:extLst>
            <a:ext uri="{FF2B5EF4-FFF2-40B4-BE49-F238E27FC236}">
              <a16:creationId xmlns:a16="http://schemas.microsoft.com/office/drawing/2014/main" id="{2B001244-AE54-47F3-A6A8-5380942BCAC0}"/>
            </a:ext>
          </a:extLst>
        </xdr:cNvPr>
        <xdr:cNvSpPr txBox="1"/>
      </xdr:nvSpPr>
      <xdr:spPr>
        <a:xfrm>
          <a:off x="7650678" y="1047968"/>
          <a:ext cx="72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11742B7-2163-420E-AF73-177DB1DA92C3}" type="TxLink">
            <a:rPr lang="en-US" sz="2000" b="0" i="0" u="none" strike="noStrike">
              <a:solidFill>
                <a:srgbClr val="545755"/>
              </a:solidFill>
              <a:latin typeface="Calibri"/>
              <a:cs typeface="Calibri"/>
            </a:rPr>
            <a:pPr/>
            <a:t>5%</a:t>
          </a:fld>
          <a:endParaRPr lang="pt-BR" sz="2000">
            <a:solidFill>
              <a:srgbClr val="545755"/>
            </a:solidFill>
          </a:endParaRPr>
        </a:p>
      </xdr:txBody>
    </xdr:sp>
    <xdr:clientData/>
  </xdr:twoCellAnchor>
  <xdr:twoCellAnchor>
    <xdr:from>
      <xdr:col>11</xdr:col>
      <xdr:colOff>296637</xdr:colOff>
      <xdr:row>7</xdr:row>
      <xdr:rowOff>19894</xdr:rowOff>
    </xdr:from>
    <xdr:to>
      <xdr:col>11</xdr:col>
      <xdr:colOff>872637</xdr:colOff>
      <xdr:row>8</xdr:row>
      <xdr:rowOff>44157</xdr:rowOff>
    </xdr:to>
    <xdr:sp macro="" textlink="APOIO!P6">
      <xdr:nvSpPr>
        <xdr:cNvPr id="97" name="CaixaDeTexto 96">
          <a:extLst>
            <a:ext uri="{FF2B5EF4-FFF2-40B4-BE49-F238E27FC236}">
              <a16:creationId xmlns:a16="http://schemas.microsoft.com/office/drawing/2014/main" id="{55362D5E-2CBA-4FBC-9B9A-A5206D8BB2CB}"/>
            </a:ext>
          </a:extLst>
        </xdr:cNvPr>
        <xdr:cNvSpPr txBox="1"/>
      </xdr:nvSpPr>
      <xdr:spPr>
        <a:xfrm>
          <a:off x="6456962" y="1362053"/>
          <a:ext cx="576000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DA94EE6-EDE3-4AF0-BB68-0E14BC6D6DF3}" type="TxLink">
            <a:rPr lang="en-US" sz="1000" b="1" i="0" u="none" strike="noStrike">
              <a:solidFill>
                <a:srgbClr val="373737"/>
              </a:solidFill>
              <a:latin typeface="Calibri"/>
              <a:cs typeface="Calibri"/>
            </a:rPr>
            <a:pPr/>
            <a:t>166</a:t>
          </a:fld>
          <a:endParaRPr lang="pt-BR" sz="1000" b="1">
            <a:solidFill>
              <a:srgbClr val="373737"/>
            </a:solidFill>
          </a:endParaRPr>
        </a:p>
      </xdr:txBody>
    </xdr:sp>
    <xdr:clientData/>
  </xdr:twoCellAnchor>
  <xdr:twoCellAnchor>
    <xdr:from>
      <xdr:col>13</xdr:col>
      <xdr:colOff>354116</xdr:colOff>
      <xdr:row>7</xdr:row>
      <xdr:rowOff>19894</xdr:rowOff>
    </xdr:from>
    <xdr:to>
      <xdr:col>14</xdr:col>
      <xdr:colOff>150798</xdr:colOff>
      <xdr:row>8</xdr:row>
      <xdr:rowOff>44157</xdr:rowOff>
    </xdr:to>
    <xdr:sp macro="" textlink="APOIO!Q4">
      <xdr:nvSpPr>
        <xdr:cNvPr id="98" name="CaixaDeTexto 97">
          <a:extLst>
            <a:ext uri="{FF2B5EF4-FFF2-40B4-BE49-F238E27FC236}">
              <a16:creationId xmlns:a16="http://schemas.microsoft.com/office/drawing/2014/main" id="{1695C135-0C96-4200-B79B-E199E13FD2EB}"/>
            </a:ext>
          </a:extLst>
        </xdr:cNvPr>
        <xdr:cNvSpPr txBox="1"/>
      </xdr:nvSpPr>
      <xdr:spPr>
        <a:xfrm>
          <a:off x="7788564" y="1362053"/>
          <a:ext cx="576000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006FF1-3967-431F-A4F4-03FD18E95724}" type="TxLink">
            <a:rPr lang="en-US" sz="1100" b="1" i="0" u="none" strike="noStrike">
              <a:solidFill>
                <a:srgbClr val="373737"/>
              </a:solidFill>
              <a:latin typeface="Calibri"/>
              <a:cs typeface="Calibri"/>
            </a:rPr>
            <a:pPr/>
            <a:t>42</a:t>
          </a:fld>
          <a:endParaRPr lang="pt-BR" sz="1600" b="1">
            <a:solidFill>
              <a:srgbClr val="373737"/>
            </a:solidFill>
          </a:endParaRPr>
        </a:p>
      </xdr:txBody>
    </xdr:sp>
    <xdr:clientData/>
  </xdr:twoCellAnchor>
  <xdr:twoCellAnchor>
    <xdr:from>
      <xdr:col>9</xdr:col>
      <xdr:colOff>145390</xdr:colOff>
      <xdr:row>7</xdr:row>
      <xdr:rowOff>19894</xdr:rowOff>
    </xdr:from>
    <xdr:to>
      <xdr:col>10</xdr:col>
      <xdr:colOff>109069</xdr:colOff>
      <xdr:row>8</xdr:row>
      <xdr:rowOff>44157</xdr:rowOff>
    </xdr:to>
    <xdr:sp macro="" textlink="APOIO!P7">
      <xdr:nvSpPr>
        <xdr:cNvPr id="99" name="CaixaDeTexto 98">
          <a:extLst>
            <a:ext uri="{FF2B5EF4-FFF2-40B4-BE49-F238E27FC236}">
              <a16:creationId xmlns:a16="http://schemas.microsoft.com/office/drawing/2014/main" id="{958FAB29-5C55-41E0-9A05-F1066D9272E5}"/>
            </a:ext>
          </a:extLst>
        </xdr:cNvPr>
        <xdr:cNvSpPr txBox="1"/>
      </xdr:nvSpPr>
      <xdr:spPr>
        <a:xfrm>
          <a:off x="5081072" y="1362053"/>
          <a:ext cx="576000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E18A0CF-AFCC-4791-BCB0-9B9F6FA1845A}" type="TxLink">
            <a:rPr lang="en-US" sz="1000" b="1" i="0" u="none" strike="noStrike">
              <a:solidFill>
                <a:srgbClr val="414141"/>
              </a:solidFill>
              <a:latin typeface="Calibri"/>
              <a:cs typeface="Calibri"/>
            </a:rPr>
            <a:pPr/>
            <a:t>616</a:t>
          </a:fld>
          <a:endParaRPr lang="pt-BR" sz="1000" b="1">
            <a:solidFill>
              <a:srgbClr val="414141"/>
            </a:solidFill>
          </a:endParaRPr>
        </a:p>
      </xdr:txBody>
    </xdr:sp>
    <xdr:clientData/>
  </xdr:twoCellAnchor>
  <xdr:twoCellAnchor>
    <xdr:from>
      <xdr:col>1</xdr:col>
      <xdr:colOff>54429</xdr:colOff>
      <xdr:row>5</xdr:row>
      <xdr:rowOff>136071</xdr:rowOff>
    </xdr:from>
    <xdr:to>
      <xdr:col>7</xdr:col>
      <xdr:colOff>160500</xdr:colOff>
      <xdr:row>5</xdr:row>
      <xdr:rowOff>154627</xdr:rowOff>
    </xdr:to>
    <xdr:cxnSp macro="">
      <xdr:nvCxnSpPr>
        <xdr:cNvPr id="106" name="Conector reto 105">
          <a:extLst>
            <a:ext uri="{FF2B5EF4-FFF2-40B4-BE49-F238E27FC236}">
              <a16:creationId xmlns:a16="http://schemas.microsoft.com/office/drawing/2014/main" id="{1A5277E8-A64B-464D-8006-2E5B45A13EFD}"/>
            </a:ext>
          </a:extLst>
        </xdr:cNvPr>
        <xdr:cNvCxnSpPr/>
      </xdr:nvCxnSpPr>
      <xdr:spPr>
        <a:xfrm flipH="1" flipV="1">
          <a:off x="91539" y="1094756"/>
          <a:ext cx="3780000" cy="18556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13</xdr:row>
      <xdr:rowOff>142257</xdr:rowOff>
    </xdr:from>
    <xdr:to>
      <xdr:col>7</xdr:col>
      <xdr:colOff>153696</xdr:colOff>
      <xdr:row>13</xdr:row>
      <xdr:rowOff>149679</xdr:rowOff>
    </xdr:to>
    <xdr:cxnSp macro="">
      <xdr:nvCxnSpPr>
        <xdr:cNvPr id="109" name="Conector reto 108">
          <a:extLst>
            <a:ext uri="{FF2B5EF4-FFF2-40B4-BE49-F238E27FC236}">
              <a16:creationId xmlns:a16="http://schemas.microsoft.com/office/drawing/2014/main" id="{4DFFD50B-A867-42BE-9BB6-C01BFB3FB6C7}"/>
            </a:ext>
          </a:extLst>
        </xdr:cNvPr>
        <xdr:cNvCxnSpPr/>
      </xdr:nvCxnSpPr>
      <xdr:spPr>
        <a:xfrm flipH="1">
          <a:off x="84735" y="2634838"/>
          <a:ext cx="3780000" cy="742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593766</xdr:colOff>
      <xdr:row>13</xdr:row>
      <xdr:rowOff>149679</xdr:rowOff>
    </xdr:from>
    <xdr:to>
      <xdr:col>13</xdr:col>
      <xdr:colOff>650357</xdr:colOff>
      <xdr:row>13</xdr:row>
      <xdr:rowOff>149679</xdr:rowOff>
    </xdr:to>
    <xdr:cxnSp macro="">
      <xdr:nvCxnSpPr>
        <xdr:cNvPr id="111" name="Conector reto 110">
          <a:extLst>
            <a:ext uri="{FF2B5EF4-FFF2-40B4-BE49-F238E27FC236}">
              <a16:creationId xmlns:a16="http://schemas.microsoft.com/office/drawing/2014/main" id="{642222A4-C8C5-40FC-AB8D-CE71EF3FAC12}"/>
            </a:ext>
          </a:extLst>
        </xdr:cNvPr>
        <xdr:cNvCxnSpPr/>
      </xdr:nvCxnSpPr>
      <xdr:spPr>
        <a:xfrm flipH="1" flipV="1">
          <a:off x="4304805" y="2642260"/>
          <a:ext cx="3780000" cy="0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484290</xdr:colOff>
      <xdr:row>20</xdr:row>
      <xdr:rowOff>81643</xdr:rowOff>
    </xdr:from>
    <xdr:ext cx="1008000" cy="180000"/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A0C6E0D8-362C-4843-9B07-BC860DA44FA4}"/>
            </a:ext>
          </a:extLst>
        </xdr:cNvPr>
        <xdr:cNvSpPr/>
      </xdr:nvSpPr>
      <xdr:spPr>
        <a:xfrm>
          <a:off x="5423683" y="3891643"/>
          <a:ext cx="1008000" cy="180000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l"/>
          <a:r>
            <a:rPr lang="pt-BR" sz="800" b="1" cap="none" spc="0">
              <a:ln w="0"/>
              <a:solidFill>
                <a:srgbClr val="223337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Entregue</a:t>
          </a:r>
          <a:r>
            <a:rPr lang="pt-BR" sz="800" b="1" cap="none" spc="0" baseline="0">
              <a:ln w="0"/>
              <a:solidFill>
                <a:srgbClr val="223337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Atrasado</a:t>
          </a:r>
          <a:endParaRPr lang="pt-BR" sz="800" b="0" cap="none" spc="0">
            <a:ln w="0"/>
            <a:solidFill>
              <a:srgbClr val="223337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9</xdr:col>
      <xdr:colOff>484290</xdr:colOff>
      <xdr:row>21</xdr:row>
      <xdr:rowOff>74839</xdr:rowOff>
    </xdr:from>
    <xdr:ext cx="1060877" cy="180000"/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6CFB510E-67DF-45DE-88E5-4767FACB46A6}"/>
            </a:ext>
          </a:extLst>
        </xdr:cNvPr>
        <xdr:cNvSpPr/>
      </xdr:nvSpPr>
      <xdr:spPr>
        <a:xfrm>
          <a:off x="5389665" y="4075339"/>
          <a:ext cx="1060877" cy="180000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l"/>
          <a:r>
            <a:rPr lang="pt-BR" sz="800" b="1" cap="none" spc="0">
              <a:ln w="0"/>
              <a:solidFill>
                <a:srgbClr val="223337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Em trânsito - No prazo</a:t>
          </a:r>
          <a:endParaRPr lang="pt-BR" sz="800" b="0" cap="none" spc="0">
            <a:ln w="0"/>
            <a:solidFill>
              <a:srgbClr val="223337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9</xdr:col>
      <xdr:colOff>484290</xdr:colOff>
      <xdr:row>22</xdr:row>
      <xdr:rowOff>88445</xdr:rowOff>
    </xdr:from>
    <xdr:ext cx="1008000" cy="180000"/>
    <xdr:sp macro="" textlink="">
      <xdr:nvSpPr>
        <xdr:cNvPr id="20" name="Retângulo 19">
          <a:extLst>
            <a:ext uri="{FF2B5EF4-FFF2-40B4-BE49-F238E27FC236}">
              <a16:creationId xmlns:a16="http://schemas.microsoft.com/office/drawing/2014/main" id="{164630DD-F7B6-4FDA-9DF7-C2911B6731F3}"/>
            </a:ext>
          </a:extLst>
        </xdr:cNvPr>
        <xdr:cNvSpPr/>
      </xdr:nvSpPr>
      <xdr:spPr>
        <a:xfrm>
          <a:off x="5423683" y="4279445"/>
          <a:ext cx="1008000" cy="180000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l"/>
          <a:r>
            <a:rPr lang="pt-BR" sz="800" b="1" cap="none" spc="0">
              <a:ln w="0"/>
              <a:solidFill>
                <a:srgbClr val="223337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Em trânsito - Atrasado</a:t>
          </a:r>
          <a:endParaRPr lang="pt-BR" sz="800" b="0" cap="none" spc="0">
            <a:ln w="0"/>
            <a:solidFill>
              <a:srgbClr val="223337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9</xdr:col>
      <xdr:colOff>390232</xdr:colOff>
      <xdr:row>19</xdr:row>
      <xdr:rowOff>138471</xdr:rowOff>
    </xdr:from>
    <xdr:to>
      <xdr:col>9</xdr:col>
      <xdr:colOff>462232</xdr:colOff>
      <xdr:row>20</xdr:row>
      <xdr:rowOff>19971</xdr:rowOff>
    </xdr:to>
    <xdr:sp macro="" textlink="">
      <xdr:nvSpPr>
        <xdr:cNvPr id="23" name="Elipse 22">
          <a:extLst>
            <a:ext uri="{FF2B5EF4-FFF2-40B4-BE49-F238E27FC236}">
              <a16:creationId xmlns:a16="http://schemas.microsoft.com/office/drawing/2014/main" id="{69A9EE05-5318-DAF4-3ED7-C78EB96A9767}"/>
            </a:ext>
          </a:extLst>
        </xdr:cNvPr>
        <xdr:cNvSpPr/>
      </xdr:nvSpPr>
      <xdr:spPr>
        <a:xfrm>
          <a:off x="5329625" y="3757971"/>
          <a:ext cx="72000" cy="72000"/>
        </a:xfrm>
        <a:prstGeom prst="ellipse">
          <a:avLst/>
        </a:prstGeom>
        <a:solidFill>
          <a:srgbClr val="1B8C3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390232</xdr:colOff>
      <xdr:row>20</xdr:row>
      <xdr:rowOff>137923</xdr:rowOff>
    </xdr:from>
    <xdr:to>
      <xdr:col>9</xdr:col>
      <xdr:colOff>462232</xdr:colOff>
      <xdr:row>21</xdr:row>
      <xdr:rowOff>19423</xdr:rowOff>
    </xdr:to>
    <xdr:sp macro="" textlink="">
      <xdr:nvSpPr>
        <xdr:cNvPr id="24" name="Elipse 23">
          <a:extLst>
            <a:ext uri="{FF2B5EF4-FFF2-40B4-BE49-F238E27FC236}">
              <a16:creationId xmlns:a16="http://schemas.microsoft.com/office/drawing/2014/main" id="{E0A9C28A-606A-4D10-8621-6C387D180709}"/>
            </a:ext>
          </a:extLst>
        </xdr:cNvPr>
        <xdr:cNvSpPr/>
      </xdr:nvSpPr>
      <xdr:spPr>
        <a:xfrm>
          <a:off x="5329625" y="3947923"/>
          <a:ext cx="72000" cy="72000"/>
        </a:xfrm>
        <a:prstGeom prst="ellipse">
          <a:avLst/>
        </a:prstGeom>
        <a:solidFill>
          <a:srgbClr val="BF3825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390232</xdr:colOff>
      <xdr:row>21</xdr:row>
      <xdr:rowOff>143527</xdr:rowOff>
    </xdr:from>
    <xdr:to>
      <xdr:col>9</xdr:col>
      <xdr:colOff>462232</xdr:colOff>
      <xdr:row>22</xdr:row>
      <xdr:rowOff>25027</xdr:rowOff>
    </xdr:to>
    <xdr:sp macro="" textlink="">
      <xdr:nvSpPr>
        <xdr:cNvPr id="25" name="Elipse 24">
          <a:extLst>
            <a:ext uri="{FF2B5EF4-FFF2-40B4-BE49-F238E27FC236}">
              <a16:creationId xmlns:a16="http://schemas.microsoft.com/office/drawing/2014/main" id="{75CF643C-BCC1-4BB5-B165-03F841060A74}"/>
            </a:ext>
          </a:extLst>
        </xdr:cNvPr>
        <xdr:cNvSpPr/>
      </xdr:nvSpPr>
      <xdr:spPr>
        <a:xfrm>
          <a:off x="5329625" y="4144027"/>
          <a:ext cx="72000" cy="72000"/>
        </a:xfrm>
        <a:prstGeom prst="ellipse">
          <a:avLst/>
        </a:prstGeom>
        <a:solidFill>
          <a:srgbClr val="025E8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390232</xdr:colOff>
      <xdr:row>22</xdr:row>
      <xdr:rowOff>127918</xdr:rowOff>
    </xdr:from>
    <xdr:to>
      <xdr:col>9</xdr:col>
      <xdr:colOff>462232</xdr:colOff>
      <xdr:row>23</xdr:row>
      <xdr:rowOff>9418</xdr:rowOff>
    </xdr:to>
    <xdr:sp macro="" textlink="">
      <xdr:nvSpPr>
        <xdr:cNvPr id="26" name="Elipse 25">
          <a:extLst>
            <a:ext uri="{FF2B5EF4-FFF2-40B4-BE49-F238E27FC236}">
              <a16:creationId xmlns:a16="http://schemas.microsoft.com/office/drawing/2014/main" id="{B48D2C35-957D-47F9-957A-2F3B65D61B51}"/>
            </a:ext>
          </a:extLst>
        </xdr:cNvPr>
        <xdr:cNvSpPr/>
      </xdr:nvSpPr>
      <xdr:spPr>
        <a:xfrm>
          <a:off x="5329625" y="4318918"/>
          <a:ext cx="72000" cy="72000"/>
        </a:xfrm>
        <a:prstGeom prst="ellipse">
          <a:avLst/>
        </a:prstGeom>
        <a:solidFill>
          <a:srgbClr val="EDC02B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7</xdr:col>
      <xdr:colOff>523876</xdr:colOff>
      <xdr:row>13</xdr:row>
      <xdr:rowOff>169815</xdr:rowOff>
    </xdr:from>
    <xdr:to>
      <xdr:col>9</xdr:col>
      <xdr:colOff>357188</xdr:colOff>
      <xdr:row>22</xdr:row>
      <xdr:rowOff>17859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TOMADOR">
              <a:extLst>
                <a:ext uri="{FF2B5EF4-FFF2-40B4-BE49-F238E27FC236}">
                  <a16:creationId xmlns:a16="http://schemas.microsoft.com/office/drawing/2014/main" id="{213B3826-2AC4-44E5-8220-351A857229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OM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28730" y="2646315"/>
              <a:ext cx="922720" cy="12877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11</xdr:col>
      <xdr:colOff>44651</xdr:colOff>
      <xdr:row>13</xdr:row>
      <xdr:rowOff>170089</xdr:rowOff>
    </xdr:from>
    <xdr:to>
      <xdr:col>13</xdr:col>
      <xdr:colOff>768803</xdr:colOff>
      <xdr:row>23</xdr:row>
      <xdr:rowOff>170088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32EBCDD-A2A0-4EC3-AA24-6D3D98593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122464</xdr:colOff>
      <xdr:row>17</xdr:row>
      <xdr:rowOff>142875</xdr:rowOff>
    </xdr:from>
    <xdr:to>
      <xdr:col>11</xdr:col>
      <xdr:colOff>802822</xdr:colOff>
      <xdr:row>19</xdr:row>
      <xdr:rowOff>20411</xdr:rowOff>
    </xdr:to>
    <xdr:sp macro="" textlink="APOIO!AI35">
      <xdr:nvSpPr>
        <xdr:cNvPr id="31" name="CaixaDeTexto 30">
          <a:extLst>
            <a:ext uri="{FF2B5EF4-FFF2-40B4-BE49-F238E27FC236}">
              <a16:creationId xmlns:a16="http://schemas.microsoft.com/office/drawing/2014/main" id="{BA5F7F33-F4F0-47FE-AF6B-9A074DB70FA9}"/>
            </a:ext>
          </a:extLst>
        </xdr:cNvPr>
        <xdr:cNvSpPr txBox="1"/>
      </xdr:nvSpPr>
      <xdr:spPr>
        <a:xfrm>
          <a:off x="6286500" y="3381375"/>
          <a:ext cx="680358" cy="25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FDC7961-E8B2-4CE3-AD90-F7DD619C4288}" type="TxLink">
            <a:rPr lang="en-US" sz="1100" b="0" i="0" u="none" strike="noStrike">
              <a:solidFill>
                <a:srgbClr val="EAEAE1"/>
              </a:solidFill>
              <a:latin typeface="Calibri"/>
              <a:cs typeface="Calibri"/>
            </a:rPr>
            <a:pPr/>
            <a:t>75%</a:t>
          </a:fld>
          <a:endParaRPr lang="pt-BR" sz="1500" b="1">
            <a:solidFill>
              <a:srgbClr val="EAEAE1"/>
            </a:solidFill>
          </a:endParaRPr>
        </a:p>
      </xdr:txBody>
    </xdr:sp>
    <xdr:clientData/>
  </xdr:twoCellAnchor>
  <xdr:twoCellAnchor>
    <xdr:from>
      <xdr:col>11</xdr:col>
      <xdr:colOff>857250</xdr:colOff>
      <xdr:row>14</xdr:row>
      <xdr:rowOff>40821</xdr:rowOff>
    </xdr:from>
    <xdr:to>
      <xdr:col>13</xdr:col>
      <xdr:colOff>292553</xdr:colOff>
      <xdr:row>15</xdr:row>
      <xdr:rowOff>122464</xdr:rowOff>
    </xdr:to>
    <xdr:sp macro="" textlink="APOIO!AI32">
      <xdr:nvSpPr>
        <xdr:cNvPr id="33" name="CaixaDeTexto 32">
          <a:extLst>
            <a:ext uri="{FF2B5EF4-FFF2-40B4-BE49-F238E27FC236}">
              <a16:creationId xmlns:a16="http://schemas.microsoft.com/office/drawing/2014/main" id="{3AABD3C1-106C-4D87-AECF-5C72BD6B2167}"/>
            </a:ext>
          </a:extLst>
        </xdr:cNvPr>
        <xdr:cNvSpPr txBox="1"/>
      </xdr:nvSpPr>
      <xdr:spPr>
        <a:xfrm>
          <a:off x="7021286" y="2707821"/>
          <a:ext cx="707571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D84AD57-09C2-4F4F-B619-32BE60A7BBD3}" type="TxLink">
            <a:rPr lang="en-US" sz="1100" b="0" i="0" u="none" strike="noStrike">
              <a:solidFill>
                <a:srgbClr val="EAEAE1"/>
              </a:solidFill>
              <a:latin typeface="Calibri"/>
              <a:cs typeface="Calibri"/>
            </a:rPr>
            <a:pPr/>
            <a:t>0%</a:t>
          </a:fld>
          <a:endParaRPr lang="pt-BR" sz="1500" b="1">
            <a:solidFill>
              <a:srgbClr val="EAEAE1"/>
            </a:solidFill>
          </a:endParaRPr>
        </a:p>
      </xdr:txBody>
    </xdr:sp>
    <xdr:clientData/>
  </xdr:twoCellAnchor>
  <xdr:twoCellAnchor>
    <xdr:from>
      <xdr:col>11</xdr:col>
      <xdr:colOff>789214</xdr:colOff>
      <xdr:row>18</xdr:row>
      <xdr:rowOff>1</xdr:rowOff>
    </xdr:from>
    <xdr:to>
      <xdr:col>13</xdr:col>
      <xdr:colOff>61231</xdr:colOff>
      <xdr:row>19</xdr:row>
      <xdr:rowOff>183697</xdr:rowOff>
    </xdr:to>
    <xdr:sp macro="" textlink="APOIO!AH36">
      <xdr:nvSpPr>
        <xdr:cNvPr id="35" name="CaixaDeTexto 34">
          <a:extLst>
            <a:ext uri="{FF2B5EF4-FFF2-40B4-BE49-F238E27FC236}">
              <a16:creationId xmlns:a16="http://schemas.microsoft.com/office/drawing/2014/main" id="{E16CA9B2-4E7B-41B1-A737-B39384CC31C1}"/>
            </a:ext>
          </a:extLst>
        </xdr:cNvPr>
        <xdr:cNvSpPr txBox="1"/>
      </xdr:nvSpPr>
      <xdr:spPr>
        <a:xfrm>
          <a:off x="6953250" y="3429001"/>
          <a:ext cx="544285" cy="3741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F104E14-38A6-4F11-B931-2AC745E1A02A}" type="TxLink">
            <a:rPr lang="en-US" sz="1800" b="1" i="0" u="none" strike="noStrike">
              <a:solidFill>
                <a:srgbClr val="EAEAE1"/>
              </a:solidFill>
              <a:latin typeface="Calibri"/>
              <a:cs typeface="Calibri"/>
            </a:rPr>
            <a:pPr algn="ctr"/>
            <a:t>824</a:t>
          </a:fld>
          <a:endParaRPr lang="pt-BR" sz="1800" b="1">
            <a:solidFill>
              <a:srgbClr val="EAEAE1"/>
            </a:solidFill>
          </a:endParaRPr>
        </a:p>
      </xdr:txBody>
    </xdr:sp>
    <xdr:clientData/>
  </xdr:twoCellAnchor>
  <xdr:twoCellAnchor>
    <xdr:from>
      <xdr:col>11</xdr:col>
      <xdr:colOff>1054555</xdr:colOff>
      <xdr:row>14</xdr:row>
      <xdr:rowOff>34019</xdr:rowOff>
    </xdr:from>
    <xdr:to>
      <xdr:col>13</xdr:col>
      <xdr:colOff>374197</xdr:colOff>
      <xdr:row>15</xdr:row>
      <xdr:rowOff>136073</xdr:rowOff>
    </xdr:to>
    <xdr:sp macro="" textlink="APOIO!AI33">
      <xdr:nvSpPr>
        <xdr:cNvPr id="36" name="CaixaDeTexto 35">
          <a:extLst>
            <a:ext uri="{FF2B5EF4-FFF2-40B4-BE49-F238E27FC236}">
              <a16:creationId xmlns:a16="http://schemas.microsoft.com/office/drawing/2014/main" id="{73BB6999-4715-4843-AC08-ECC56B1BA5D2}"/>
            </a:ext>
          </a:extLst>
        </xdr:cNvPr>
        <xdr:cNvSpPr txBox="1"/>
      </xdr:nvSpPr>
      <xdr:spPr>
        <a:xfrm>
          <a:off x="7218591" y="2701019"/>
          <a:ext cx="591910" cy="2925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2795FC9-3CB8-4D08-874A-5F95A9B20B68}" type="TxLink">
            <a:rPr lang="en-US" sz="1100" b="0" i="0" u="none" strike="noStrike">
              <a:solidFill>
                <a:srgbClr val="EAEAE1"/>
              </a:solidFill>
              <a:latin typeface="Calibri"/>
              <a:cs typeface="Calibri"/>
            </a:rPr>
            <a:pPr/>
            <a:t>5%</a:t>
          </a:fld>
          <a:endParaRPr lang="pt-BR" sz="1500" b="1">
            <a:solidFill>
              <a:srgbClr val="EAEAE1"/>
            </a:solidFill>
          </a:endParaRPr>
        </a:p>
      </xdr:txBody>
    </xdr:sp>
    <xdr:clientData/>
  </xdr:twoCellAnchor>
  <xdr:twoCellAnchor>
    <xdr:from>
      <xdr:col>13</xdr:col>
      <xdr:colOff>176892</xdr:colOff>
      <xdr:row>16</xdr:row>
      <xdr:rowOff>27216</xdr:rowOff>
    </xdr:from>
    <xdr:to>
      <xdr:col>13</xdr:col>
      <xdr:colOff>687160</xdr:colOff>
      <xdr:row>17</xdr:row>
      <xdr:rowOff>108858</xdr:rowOff>
    </xdr:to>
    <xdr:sp macro="" textlink="APOIO!AI34">
      <xdr:nvSpPr>
        <xdr:cNvPr id="38" name="CaixaDeTexto 37">
          <a:extLst>
            <a:ext uri="{FF2B5EF4-FFF2-40B4-BE49-F238E27FC236}">
              <a16:creationId xmlns:a16="http://schemas.microsoft.com/office/drawing/2014/main" id="{DF8D8B6E-4EEE-4426-8696-6DEA02C57693}"/>
            </a:ext>
          </a:extLst>
        </xdr:cNvPr>
        <xdr:cNvSpPr txBox="1"/>
      </xdr:nvSpPr>
      <xdr:spPr>
        <a:xfrm>
          <a:off x="7613196" y="3075216"/>
          <a:ext cx="510268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099FBB5-661C-4665-8BDE-3E0CE6F071C9}" type="TxLink">
            <a:rPr lang="en-US" sz="1100" b="0" i="0" u="none" strike="noStrike">
              <a:solidFill>
                <a:srgbClr val="EAEAE1"/>
              </a:solidFill>
              <a:latin typeface="Calibri"/>
              <a:cs typeface="Calibri"/>
            </a:rPr>
            <a:pPr/>
            <a:t>20%</a:t>
          </a:fld>
          <a:endParaRPr lang="pt-BR" sz="1800" b="1">
            <a:solidFill>
              <a:srgbClr val="EAEAE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1</xdr:row>
      <xdr:rowOff>28574</xdr:rowOff>
    </xdr:from>
    <xdr:to>
      <xdr:col>17</xdr:col>
      <xdr:colOff>333375</xdr:colOff>
      <xdr:row>20</xdr:row>
      <xdr:rowOff>95249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1C52E49-62DC-4FF7-A196-216AFEC6E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219074"/>
          <a:ext cx="1036320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-note" refreshedDate="45149.633034375001" createdVersion="8" refreshedVersion="8" minRefreshableVersion="3" recordCount="824" xr:uid="{C88CC9AF-4017-415D-9EAE-F30F8B52ACE2}">
  <cacheSource type="worksheet">
    <worksheetSource name="Sal_23"/>
  </cacheSource>
  <cacheFields count="40">
    <cacheField name=" STATUS" numFmtId="0">
      <sharedItems containsBlank="1" count="9">
        <s v="FINALIZADO"/>
        <s v="ENTREGUE"/>
        <s v="NO CLIENTE"/>
        <s v="DOCUMENTO"/>
        <s v="PROGRAMADO"/>
        <s v="AGUARDANDO VEÍCULO"/>
        <s v="ATRASADO"/>
        <s v="SEM PROGRAMAÇÃO"/>
        <m u="1"/>
      </sharedItems>
    </cacheField>
    <cacheField name="STATUS DETALHADO" numFmtId="0">
      <sharedItems count="4">
        <s v="ENTREGUE NO PRAZO"/>
        <s v="ENTREGUE ATRASADO"/>
        <s v="Em trânsito - No prazo"/>
        <s v="Em trânsito - Atrasado"/>
      </sharedItems>
    </cacheField>
    <cacheField name="PROGRAMAÇÃO" numFmtId="22">
      <sharedItems containsSemiMixedTypes="0" containsNonDate="0" containsDate="1" containsString="0" minDate="2023-01-02T07:00:00" maxDate="2023-08-21T09:00:00"/>
    </cacheField>
    <cacheField name="CONTAINER" numFmtId="0">
      <sharedItems/>
    </cacheField>
    <cacheField name="Tipo" numFmtId="0">
      <sharedItems containsBlank="1" containsMixedTypes="1" containsNumber="1" containsInteger="1" minValue="20" maxValue="40"/>
    </cacheField>
    <cacheField name="TOMADOR" numFmtId="0">
      <sharedItems containsBlank="1" count="8">
        <s v="CIMSAL"/>
        <s v="MIAN"/>
        <s v="SOSAL"/>
        <s v="LN"/>
        <s v="DIAMANTE"/>
        <m u="1"/>
        <s v="MONSTAER" u="1"/>
        <s v="MONSTER" u="1"/>
      </sharedItems>
    </cacheField>
    <cacheField name="Cliente" numFmtId="0">
      <sharedItems/>
    </cacheField>
    <cacheField name="DESTINO" numFmtId="0">
      <sharedItems/>
    </cacheField>
    <cacheField name="CTAC" numFmtId="0">
      <sharedItems containsBlank="1" containsMixedTypes="1" containsNumber="1" containsInteger="1" minValue="6" maxValue="59746"/>
    </cacheField>
    <cacheField name="NAVIO" numFmtId="0">
      <sharedItems/>
    </cacheField>
    <cacheField name="Nota Fiscal 1" numFmtId="0">
      <sharedItems containsMixedTypes="1" containsNumber="1" containsInteger="1" minValue="1768" maxValue="185083"/>
    </cacheField>
    <cacheField name="Nota Fiscal 2" numFmtId="0">
      <sharedItems containsString="0" containsBlank="1" containsNumber="1" containsInteger="1" minValue="63142" maxValue="118186"/>
    </cacheField>
    <cacheField name="Cavalo" numFmtId="0">
      <sharedItems containsBlank="1"/>
    </cacheField>
    <cacheField name="Carreta" numFmtId="0">
      <sharedItems containsBlank="1"/>
    </cacheField>
    <cacheField name="Motorista" numFmtId="0">
      <sharedItems containsBlank="1"/>
    </cacheField>
    <cacheField name="CPF" numFmtId="0">
      <sharedItems containsBlank="1" containsMixedTypes="1" containsNumber="1" containsInteger="1" minValue="3775233580" maxValue="88265951434"/>
    </cacheField>
    <cacheField name="CNH" numFmtId="0">
      <sharedItems containsBlank="1" containsMixedTypes="1" containsNumber="1" containsInteger="1" minValue="2377424013" maxValue="4031990855"/>
    </cacheField>
    <cacheField name="CTE" numFmtId="0">
      <sharedItems containsBlank="1" containsMixedTypes="1" containsNumber="1" containsInteger="1" minValue="3190" maxValue="17096"/>
    </cacheField>
    <cacheField name="TERMINAL DE RETIRADA CHEIO" numFmtId="0">
      <sharedItems containsBlank="1"/>
    </cacheField>
    <cacheField name="AGENDAMENTO DE RETIRADA" numFmtId="0">
      <sharedItems containsDate="1" containsBlank="1" containsMixedTypes="1" minDate="2023-01-01T21:39:00" maxDate="2023-08-03T21:39:00"/>
    </cacheField>
    <cacheField name="TERMINAL DE ENTREGA VAZIO" numFmtId="0">
      <sharedItems containsDate="1" containsBlank="1" containsMixedTypes="1" minDate="2023-02-24T00:00:00" maxDate="2023-02-25T00:00:00"/>
    </cacheField>
    <cacheField name="DATA DE ENTREGA VAZIO" numFmtId="0">
      <sharedItems containsDate="1" containsBlank="1" containsMixedTypes="1" minDate="2023-01-02T18:34:00" maxDate="2032-07-26T00:00:00"/>
    </cacheField>
    <cacheField name="CHEGADA NO CLIENTE" numFmtId="0">
      <sharedItems containsDate="1" containsBlank="1" containsMixedTypes="1" minDate="2023-01-02T03:00:00" maxDate="2023-08-11T06:00:00"/>
    </cacheField>
    <cacheField name="SAÍDA DO CLIENTE" numFmtId="0">
      <sharedItems containsDate="1" containsBlank="1" containsMixedTypes="1" minDate="2023-01-02T13:00:00" maxDate="2023-08-11T10:00:00"/>
    </cacheField>
    <cacheField name="Adiantamento" numFmtId="44">
      <sharedItems containsString="0" containsBlank="1" containsNumber="1" minValue="0" maxValue="3700"/>
    </cacheField>
    <cacheField name="Saldo" numFmtId="44">
      <sharedItems containsString="0" containsBlank="1" containsNumber="1" minValue="0" maxValue="3200"/>
    </cacheField>
    <cacheField name="TOTAL" numFmtId="44">
      <sharedItems containsString="0" containsBlank="1" containsNumber="1" minValue="0" maxValue="3700"/>
    </cacheField>
    <cacheField name="Ajudante" numFmtId="44">
      <sharedItems containsString="0" containsBlank="1" containsNumber="1" minValue="0" maxValue="768.4"/>
    </cacheField>
    <cacheField name="FRETE PESO" numFmtId="44">
      <sharedItems containsString="0" containsBlank="1" containsNumber="1" minValue="1621.21" maxValue="3484.1"/>
    </cacheField>
    <cacheField name="Ajundante 2" numFmtId="44">
      <sharedItems containsString="0" containsBlank="1" containsNumber="1" minValue="768.04" maxValue="768.04"/>
    </cacheField>
    <cacheField name="PEDÁGIO" numFmtId="44">
      <sharedItems containsString="0" containsBlank="1" containsNumber="1" minValue="94.8" maxValue="706.8"/>
    </cacheField>
    <cacheField name="ICMS" numFmtId="44">
      <sharedItems containsSemiMixedTypes="0" containsString="0" containsNumber="1" minValue="0" maxValue="641.71680000000003"/>
    </cacheField>
    <cacheField name="COMPRA" numFmtId="44">
      <sharedItems containsString="0" containsBlank="1" containsNumber="1" minValue="1950" maxValue="5347.64"/>
    </cacheField>
    <cacheField name="MÊS" numFmtId="0">
      <sharedItems containsBlank="1" count="11">
        <s v="Jan"/>
        <s v="Fev"/>
        <s v="Mar"/>
        <s v="Abr"/>
        <s v="Mai"/>
        <s v="Jun"/>
        <s v="Jul"/>
        <s v="Ago"/>
        <s v="24/02/2023 08|:00" u="1"/>
        <m u="1"/>
        <s v="03/03/023 08:00" u="1"/>
      </sharedItems>
    </cacheField>
    <cacheField name="ANO" numFmtId="0">
      <sharedItems containsSemiMixedTypes="0" containsString="0" containsNumber="1" containsInteger="1" minValue="1900" maxValue="2026" count="3">
        <n v="2023"/>
        <n v="2026" u="1"/>
        <n v="1900" u="1"/>
      </sharedItems>
    </cacheField>
    <cacheField name="MOTIVO" numFmtId="0">
      <sharedItems containsBlank="1"/>
    </cacheField>
    <cacheField name="OCORRÊNCIAS" numFmtId="0">
      <sharedItems containsBlank="1" count="8">
        <m/>
        <s v="Motorista"/>
        <s v="Trânsito"/>
        <s v="Pane elétrica ou mecânica"/>
        <s v="Documental"/>
        <s v="Operacional"/>
        <s v="Causa desconhecida"/>
        <s v="Reprogramado" u="1"/>
      </sharedItems>
    </cacheField>
    <cacheField name="EIR - SISTEMA" numFmtId="0">
      <sharedItems containsBlank="1"/>
    </cacheField>
    <cacheField name="EIR - REDE" numFmtId="0">
      <sharedItems containsBlank="1"/>
    </cacheField>
    <cacheField name="FATURADO" numFmtId="0">
      <sharedItems containsBlank="1"/>
    </cacheField>
  </cacheFields>
  <extLst>
    <ext xmlns:x14="http://schemas.microsoft.com/office/spreadsheetml/2009/9/main" uri="{725AE2AE-9491-48be-B2B4-4EB974FC3084}">
      <x14:pivotCacheDefinition pivotCacheId="1073138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4">
  <r>
    <x v="0"/>
    <x v="0"/>
    <d v="2023-01-03T08:00:00"/>
    <s v="AMFU8877052"/>
    <n v="20"/>
    <x v="0"/>
    <s v="BR SPICE"/>
    <s v="JANDIRA"/>
    <n v="59214"/>
    <s v="CMA CGM FORT ST GEORGES  012S"/>
    <n v="102544"/>
    <m/>
    <s v="FZF3E97"/>
    <s v="FXU8J10"/>
    <s v="FABIO DARIO RODRIGUES"/>
    <s v="26283419801"/>
    <s v="02002046946"/>
    <n v="3193"/>
    <s v="DPW"/>
    <d v="2023-01-03T00:30:00"/>
    <s v="MEDLOG"/>
    <d v="2023-01-03T16:27:00"/>
    <d v="2023-01-03T06:00:00"/>
    <d v="2023-01-03T10:00:00"/>
    <n v="2300"/>
    <n v="0"/>
    <n v="2300"/>
    <n v="0"/>
    <m/>
    <m/>
    <m/>
    <n v="392.15039999999999"/>
    <n v="3267.92"/>
    <x v="0"/>
    <x v="0"/>
    <m/>
    <x v="0"/>
    <s v="SIM"/>
    <s v="SIM"/>
    <s v="SIM"/>
  </r>
  <r>
    <x v="0"/>
    <x v="0"/>
    <d v="2023-01-04T08:00:00"/>
    <s v="CAIU3309783"/>
    <n v="20"/>
    <x v="1"/>
    <s v="MIAN"/>
    <s v="SBC"/>
    <n v="59213"/>
    <s v="CMA CGM FORT ST GEORGES  012S"/>
    <n v="102590"/>
    <m/>
    <s v="DPC8I64"/>
    <s v="BWF7F77"/>
    <s v="ANTONIO CARLOS DA SILVA JUNIOR"/>
    <n v="12126370895"/>
    <s v="02988821539"/>
    <n v="3196"/>
    <s v="DPW"/>
    <d v="2023-01-03T22:21:00"/>
    <s v="MEDLOG"/>
    <d v="2023-01-04T15:57:00"/>
    <d v="2023-01-04T05:00:00"/>
    <d v="2023-01-04T10:00:00"/>
    <n v="1600"/>
    <n v="0"/>
    <n v="1600"/>
    <n v="0"/>
    <m/>
    <m/>
    <m/>
    <n v="311.55959999999999"/>
    <n v="2596.33"/>
    <x v="0"/>
    <x v="0"/>
    <m/>
    <x v="0"/>
    <s v="SIM"/>
    <s v="SIM"/>
    <s v="SIM"/>
  </r>
  <r>
    <x v="0"/>
    <x v="0"/>
    <d v="2023-01-04T08:00:00"/>
    <s v="CAIU2845225"/>
    <n v="20"/>
    <x v="1"/>
    <s v="MIAN"/>
    <s v="SBC"/>
    <n v="59210"/>
    <s v="CMA CGM FORT ST GEORGES  012S"/>
    <n v="111379"/>
    <n v="102586"/>
    <s v="FXG5H10"/>
    <s v="DBC3G21"/>
    <s v="ROBERTO CARLOS BEZERRA PIRES"/>
    <s v="27455658850"/>
    <s v="01286008208"/>
    <s v="3197 / 3198"/>
    <s v="DPW"/>
    <d v="2023-01-03T21:05:00"/>
    <s v="MEDLOG"/>
    <d v="2023-01-04T13:39:00"/>
    <d v="2023-01-04T05:00:00"/>
    <d v="2023-01-04T10:00:00"/>
    <n v="1600"/>
    <n v="0"/>
    <n v="1600"/>
    <n v="0"/>
    <m/>
    <m/>
    <m/>
    <n v="311.55959999999999"/>
    <n v="2596.33"/>
    <x v="0"/>
    <x v="0"/>
    <m/>
    <x v="0"/>
    <s v="SIM"/>
    <s v="SIM"/>
    <s v="SIM"/>
  </r>
  <r>
    <x v="0"/>
    <x v="0"/>
    <d v="2023-01-04T09:00:00"/>
    <s v="MRKU8880020"/>
    <n v="20"/>
    <x v="2"/>
    <s v="SOSAL"/>
    <s v="SBC"/>
    <s v="AAK43FPD"/>
    <s v="VICENTE PIZON  251S"/>
    <n v="111429"/>
    <m/>
    <s v="BYA0806"/>
    <s v="BWN2701"/>
    <s v="MIGUEL ARNOLD"/>
    <s v="10838670830"/>
    <s v="01808675938"/>
    <n v="3199"/>
    <s v="SANTOS BRASIL"/>
    <d v="2023-01-03T23:33:00"/>
    <s v="FASSINA SANTOS"/>
    <d v="2023-01-04T15:34:00"/>
    <d v="2023-01-04T05:00:00"/>
    <d v="2023-01-04T12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04T09:00:00"/>
    <s v="MSKU5214269"/>
    <n v="20"/>
    <x v="2"/>
    <s v="SOSAL"/>
    <s v="SBC"/>
    <s v="AAK43FPD / AAK43FPC"/>
    <s v="VICENTE PIZON  251S"/>
    <n v="111430"/>
    <n v="102619"/>
    <s v="KBK0D67"/>
    <s v="CPN9C57"/>
    <s v="JOSE LUIZ BARBOSA DA SILVA"/>
    <s v="29956720852"/>
    <s v="01114102381"/>
    <s v="3200 / 3201"/>
    <s v="SANTOS BRASIL"/>
    <d v="2023-01-04T02:32:00"/>
    <s v="FASSINA SANTOS"/>
    <d v="2023-01-04T15:32:00"/>
    <d v="2023-01-04T07:00:00"/>
    <d v="2023-01-04T12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02T07:00:00"/>
    <s v="CIPU5296021"/>
    <n v="40"/>
    <x v="3"/>
    <s v="N.SRA."/>
    <s v="VALINHOS"/>
    <s v="P10398048A"/>
    <s v="CMA CGM FORT ST GEORGES  012S"/>
    <n v="7109"/>
    <m/>
    <s v="DTB9J13"/>
    <s v="CPJ3G59"/>
    <s v="JOSE EDNILSON DOS SANTOS"/>
    <n v="88265951434"/>
    <s v="00920373596"/>
    <n v="3190"/>
    <s v="DPW"/>
    <d v="2023-01-02T01:30:00"/>
    <s v="LECHMAN"/>
    <d v="2023-01-02T19:09:00"/>
    <d v="2023-01-02T04:00:00"/>
    <d v="2023-01-02T16:00:00"/>
    <n v="3200"/>
    <n v="0"/>
    <n v="3200"/>
    <n v="0"/>
    <m/>
    <m/>
    <m/>
    <n v="0"/>
    <m/>
    <x v="0"/>
    <x v="0"/>
    <m/>
    <x v="0"/>
    <s v="SIM"/>
    <s v="SIM"/>
    <s v="SIM"/>
  </r>
  <r>
    <x v="0"/>
    <x v="0"/>
    <d v="2023-01-02T07:00:00"/>
    <s v="GLDU9336511"/>
    <n v="20"/>
    <x v="3"/>
    <s v="LN"/>
    <s v="ITAPEVI"/>
    <s v="P10398686A"/>
    <s v="CMA CGM FORT ST GEORGES  012S"/>
    <n v="7180"/>
    <m/>
    <s v="FXG5H10"/>
    <s v="DBC3G21"/>
    <s v="ROBERTO CARLOS BEZERRA PIRES"/>
    <s v="27455658850"/>
    <s v="01286008208"/>
    <n v="3191"/>
    <s v="DPW"/>
    <d v="2023-01-01T21:39:00"/>
    <s v="LECHMAN"/>
    <d v="2023-01-02T18:34:00"/>
    <d v="2023-01-02T03:00:00"/>
    <d v="2023-01-02T13:00:00"/>
    <n v="2400"/>
    <n v="0"/>
    <n v="2400"/>
    <n v="0"/>
    <m/>
    <m/>
    <m/>
    <n v="414"/>
    <n v="3450"/>
    <x v="0"/>
    <x v="0"/>
    <m/>
    <x v="0"/>
    <s v="SIM"/>
    <s v="SIM"/>
    <s v="SIM"/>
  </r>
  <r>
    <x v="0"/>
    <x v="0"/>
    <d v="2023-01-02T07:00:00"/>
    <s v="TEMU2916451"/>
    <n v="20"/>
    <x v="3"/>
    <s v="LN"/>
    <s v="ITAPEVI"/>
    <s v="P10398686B"/>
    <s v="CMA CGM FORT ST GEORGES  012S"/>
    <n v="7181"/>
    <m/>
    <s v="EWJ2162"/>
    <s v="ETF6391"/>
    <s v="CARLOS BUENO BALTAZAR"/>
    <n v="19279658883"/>
    <s v="01301319672"/>
    <n v="3192"/>
    <s v="DPW"/>
    <d v="2023-01-01T22:52:00"/>
    <s v="LECHMAN"/>
    <d v="2023-01-03T09:23:00"/>
    <d v="2023-01-02T03:00:00"/>
    <d v="2023-01-02T21:20:00"/>
    <n v="2400"/>
    <n v="0"/>
    <n v="2400"/>
    <n v="0"/>
    <m/>
    <m/>
    <m/>
    <n v="414"/>
    <n v="3450"/>
    <x v="0"/>
    <x v="0"/>
    <m/>
    <x v="0"/>
    <s v="SIM"/>
    <s v="SIM"/>
    <s v="SIM"/>
  </r>
  <r>
    <x v="0"/>
    <x v="1"/>
    <d v="2023-01-03T07:00:00"/>
    <s v="TCNU4030267"/>
    <n v="40"/>
    <x v="3"/>
    <s v="N.SRA."/>
    <s v="VALINHOS"/>
    <s v="P10398549A"/>
    <s v="CMA CGM FORT ST GEORGES  012S"/>
    <n v="7139"/>
    <m/>
    <s v="DTB9J13"/>
    <s v="CPJ3G59"/>
    <s v="JOSE EDNILSON DOS SANTOS"/>
    <n v="88265951434"/>
    <s v="00920373596"/>
    <n v="3194"/>
    <s v="DPW"/>
    <d v="2023-01-03T06:32:00"/>
    <s v="LECHMAN"/>
    <d v="2023-01-03T21:41:00"/>
    <d v="2023-01-03T08:40:00"/>
    <d v="2023-01-03T16:00:00"/>
    <n v="3200"/>
    <n v="0"/>
    <n v="3200"/>
    <n v="0"/>
    <m/>
    <m/>
    <m/>
    <n v="0"/>
    <m/>
    <x v="0"/>
    <x v="0"/>
    <m/>
    <x v="1"/>
    <s v="SIM"/>
    <s v="SIM"/>
    <s v="SIM"/>
  </r>
  <r>
    <x v="0"/>
    <x v="0"/>
    <d v="2023-01-03T07:00:00"/>
    <s v="MAGU5343917"/>
    <n v="40"/>
    <x v="3"/>
    <s v="N.SRA."/>
    <s v="VALINHOS"/>
    <s v="P10398549B"/>
    <s v="CMA CGM FORT ST GEORGES  012S"/>
    <n v="7146"/>
    <m/>
    <s v="LNX9650"/>
    <s v="GPC4I25"/>
    <s v="ANDREW FELIPE DE SOUZA BRUNO"/>
    <n v="36305564850"/>
    <s v="06043477724"/>
    <n v="3195"/>
    <s v="DPW"/>
    <d v="2023-01-02T22:53:00"/>
    <s v="LECHMAN"/>
    <d v="2023-01-04T07:55:00"/>
    <d v="2023-01-03T06:30:00"/>
    <d v="2023-01-03T14:00:00"/>
    <n v="3200"/>
    <n v="0"/>
    <n v="3200"/>
    <n v="0"/>
    <m/>
    <m/>
    <m/>
    <n v="0"/>
    <m/>
    <x v="0"/>
    <x v="0"/>
    <m/>
    <x v="0"/>
    <s v="SIM"/>
    <s v="SIM"/>
    <s v="SIM"/>
  </r>
  <r>
    <x v="0"/>
    <x v="0"/>
    <d v="2023-01-04T07:00:00"/>
    <s v="SEGU5372695"/>
    <n v="40"/>
    <x v="3"/>
    <s v="N.SRA."/>
    <s v="VALINHOS"/>
    <s v="P10398924A"/>
    <s v="CMA CGM FORT ST GEORGES  012S"/>
    <n v="7157"/>
    <m/>
    <s v="FZF3E97"/>
    <s v="FXU8J10"/>
    <s v="FABIO DARIO RODRIGUES"/>
    <s v="26283419801"/>
    <s v="02002046946"/>
    <n v="3202"/>
    <s v="DPW"/>
    <d v="2023-01-03T21:14:00"/>
    <s v="SANTOS BRASIL"/>
    <d v="2023-01-05T06:55:00"/>
    <d v="2023-01-04T06:00:00"/>
    <d v="2023-01-04T17:00:00"/>
    <n v="3200"/>
    <n v="0"/>
    <n v="3200"/>
    <n v="0"/>
    <m/>
    <m/>
    <m/>
    <n v="0"/>
    <m/>
    <x v="0"/>
    <x v="0"/>
    <m/>
    <x v="0"/>
    <s v="SIM"/>
    <s v="SIM"/>
    <s v="SIM"/>
  </r>
  <r>
    <x v="0"/>
    <x v="0"/>
    <d v="2023-01-05T07:00:00"/>
    <s v="SEGU5213380"/>
    <n v="40"/>
    <x v="3"/>
    <s v="N.SRA."/>
    <s v="VALINHOS"/>
    <s v="P10398924B"/>
    <s v="CMA CGM FORT ST GEORGES  012S"/>
    <n v="7173"/>
    <m/>
    <s v="LNX9650"/>
    <s v="GPC4I25"/>
    <s v="ANDREW FELIPE DE SOUZA BRUNO"/>
    <n v="36305564850"/>
    <s v="06043477724"/>
    <n v="3203"/>
    <s v="DPW"/>
    <d v="2023-01-04T22:02:00"/>
    <s v="SANTOS BRASIL"/>
    <d v="2023-01-05T21:01:00"/>
    <d v="2023-01-05T06:00:00"/>
    <d v="2023-01-05T13:00:00"/>
    <n v="3200"/>
    <n v="0"/>
    <n v="3200"/>
    <n v="0"/>
    <m/>
    <m/>
    <m/>
    <n v="0"/>
    <m/>
    <x v="0"/>
    <x v="0"/>
    <m/>
    <x v="0"/>
    <s v="SIM"/>
    <s v="SIM"/>
    <s v="SIM"/>
  </r>
  <r>
    <x v="0"/>
    <x v="0"/>
    <d v="2023-01-11T09:00:00"/>
    <s v="MSKU7685735"/>
    <n v="20"/>
    <x v="2"/>
    <s v="SOSAL"/>
    <s v="SBC"/>
    <s v="AAK47JOC"/>
    <s v="SEASPAN SANTOS  252S"/>
    <n v="102862"/>
    <m/>
    <s v="BHP9483"/>
    <s v="BSF4E26"/>
    <s v="ANACLETO RODRIGUES DE SANTANA"/>
    <s v="01817591878"/>
    <s v="00821760640"/>
    <n v="3205"/>
    <s v="SANTOS BRASIL"/>
    <d v="2023-01-10T23:36:00"/>
    <s v="TRANSTEC SANTOS"/>
    <d v="2023-01-11T11:53:00"/>
    <d v="2023-01-11T05:00:00"/>
    <d v="2023-01-11T09:3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1T09:00:00"/>
    <s v="TGHU1497218"/>
    <n v="20"/>
    <x v="2"/>
    <s v="SOSAL"/>
    <s v="SBC"/>
    <s v="AAK47JXB"/>
    <s v="SEASPAN SANTOS  252S"/>
    <n v="102895"/>
    <m/>
    <s v="KBK0D67"/>
    <s v="CPN9C57"/>
    <s v="JOSE LUIZ BARBOSA DA SILVA"/>
    <s v="29956720852"/>
    <s v="01114102381"/>
    <s v="3206C / 3209"/>
    <s v="SANTOS BRASIL"/>
    <d v="2023-01-10T23:32:00"/>
    <s v="TRANSTEC SANTOS"/>
    <d v="2023-01-11T14:10:00"/>
    <d v="2023-01-11T05:00:00"/>
    <d v="2023-01-11T15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1T11:00:00"/>
    <s v="MRKU9362051"/>
    <n v="20"/>
    <x v="2"/>
    <s v="SOSAL"/>
    <s v="SBC"/>
    <s v="AAK47JOB"/>
    <s v="SEASPAN SANTOS  252S"/>
    <n v="102861"/>
    <m/>
    <s v="CGS0A65"/>
    <s v="CPJ5G64"/>
    <s v="MARCOS PAULO NUNES"/>
    <n v="16239341843"/>
    <s v="01877235038"/>
    <n v="3207"/>
    <s v="SANTOS BRASIL"/>
    <d v="2023-01-10T23:01:00"/>
    <s v="TRANSTEC SANTOS"/>
    <d v="2023-01-11T12:53:00"/>
    <d v="2023-01-11T05:00:00"/>
    <d v="2023-01-11T10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1T11:00:00"/>
    <s v="SUDU7465082"/>
    <n v="20"/>
    <x v="2"/>
    <s v="SOSAL"/>
    <s v="SBC"/>
    <s v="AAK47JXC"/>
    <s v="SEASPAN SANTOS  252S"/>
    <n v="102896"/>
    <m/>
    <s v="FXG5H10"/>
    <s v="DBC3G21"/>
    <s v="ROBERTO CARLOS BEZERRA PIRES"/>
    <s v="27455658850"/>
    <s v="01286008208"/>
    <n v="3208"/>
    <s v="SANTOS BRASIL"/>
    <d v="2023-01-10T21:20:00"/>
    <s v="TRANSTEC SANTOS"/>
    <d v="2023-01-11T12:07:00"/>
    <d v="2023-01-11T05:00:00"/>
    <d v="2023-01-11T09:3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2T08:00:00"/>
    <s v="TCLU8287488"/>
    <n v="40"/>
    <x v="0"/>
    <s v="AJINOMOTO"/>
    <s v="LIMEIRA"/>
    <n v="59477"/>
    <s v="LOGIN ENDURANCE  036S"/>
    <n v="102681"/>
    <n v="102682"/>
    <s v="DTB9J13"/>
    <s v="CPJ3G59"/>
    <s v="JOSE EDNILSON DOS SANTOS"/>
    <n v="88265951434"/>
    <s v="00920373596"/>
    <n v="3223"/>
    <s v="DPW"/>
    <d v="2023-01-12T01:35:00"/>
    <s v="MEDLOG"/>
    <d v="2023-01-12T23:51:00"/>
    <d v="2023-01-12T07:00:00"/>
    <d v="2023-01-12T11:20:00"/>
    <n v="3400"/>
    <n v="0"/>
    <n v="3400"/>
    <n v="0"/>
    <m/>
    <m/>
    <m/>
    <n v="558.28440000000001"/>
    <n v="4652.37"/>
    <x v="0"/>
    <x v="0"/>
    <m/>
    <x v="0"/>
    <s v="SIM"/>
    <s v="SIM"/>
    <s v="SIM"/>
  </r>
  <r>
    <x v="0"/>
    <x v="0"/>
    <d v="2023-01-12T08:00:00"/>
    <s v="FCIU9216372"/>
    <n v="40"/>
    <x v="0"/>
    <s v="AJINOMOTO"/>
    <s v="LIMEIRA"/>
    <n v="59473"/>
    <s v="LOGIN ENDURANCE  036S"/>
    <n v="102679"/>
    <n v="102680"/>
    <s v="CUA7F62"/>
    <s v="BSG2J78"/>
    <s v="GUSTAVO ANTONIO CAVALCANTE"/>
    <s v="28386357860"/>
    <s v="01042201192"/>
    <n v="3224"/>
    <s v="DPW"/>
    <d v="2023-01-12T01:49:00"/>
    <s v="MEDLOG"/>
    <d v="2023-01-12T15:54:00"/>
    <d v="2023-01-12T07:00:00"/>
    <d v="2023-01-12T11:00:00"/>
    <n v="3400"/>
    <n v="0"/>
    <n v="3400"/>
    <n v="0"/>
    <m/>
    <m/>
    <m/>
    <n v="558.28440000000001"/>
    <n v="4652.37"/>
    <x v="0"/>
    <x v="0"/>
    <m/>
    <x v="0"/>
    <s v="SIM"/>
    <s v="SIM"/>
    <s v="SIM"/>
  </r>
  <r>
    <x v="0"/>
    <x v="0"/>
    <d v="2023-01-12T08:00:00"/>
    <s v="AMFU8942179"/>
    <n v="40"/>
    <x v="0"/>
    <s v="BR SPICE"/>
    <s v="JANDIRA"/>
    <n v="59672"/>
    <s v="LOGIN ENDURANCE  036S"/>
    <n v="102888"/>
    <m/>
    <s v="DTB7A34"/>
    <s v="DBP3732"/>
    <s v="JAILTON GEOVANIO TAVARES DOS SANTOS"/>
    <s v="33913917829"/>
    <s v="03312585500"/>
    <n v="3225"/>
    <s v="DPW"/>
    <d v="2023-01-12T00:30:00"/>
    <s v="MEDLOG"/>
    <d v="2023-01-12T13:57:00"/>
    <d v="2023-01-12T07:30:00"/>
    <d v="2023-01-12T10:00:00"/>
    <n v="2300"/>
    <n v="0"/>
    <n v="2300"/>
    <n v="0"/>
    <m/>
    <m/>
    <m/>
    <n v="392.15039999999999"/>
    <n v="3267.92"/>
    <x v="0"/>
    <x v="0"/>
    <m/>
    <x v="0"/>
    <s v="SIM"/>
    <s v="SIM"/>
    <s v="SIM"/>
  </r>
  <r>
    <x v="0"/>
    <x v="1"/>
    <d v="2023-01-12T08:00:00"/>
    <s v="TCLU8806984"/>
    <n v="40"/>
    <x v="0"/>
    <s v="DOREMUS"/>
    <s v="GUARULHOS"/>
    <n v="17"/>
    <s v="LOGIN ENDURANCE  036S"/>
    <n v="102791"/>
    <m/>
    <s v="FQE9I91"/>
    <s v="DPB9J85"/>
    <s v="MARCO ANTONIO LOBATO CASTILHO"/>
    <s v="05753633803"/>
    <s v="01922497849"/>
    <n v="3212"/>
    <s v="DPW"/>
    <d v="2023-01-12T06:28:00"/>
    <s v="MEDLOG"/>
    <d v="2023-01-12T15:35:00"/>
    <d v="2023-01-12T09:00:00"/>
    <d v="2023-01-12T12:30:00"/>
    <n v="2100"/>
    <n v="0"/>
    <n v="2100"/>
    <n v="0"/>
    <m/>
    <m/>
    <m/>
    <n v="370.37759999999997"/>
    <n v="3086.48"/>
    <x v="0"/>
    <x v="0"/>
    <m/>
    <x v="2"/>
    <s v="SIM"/>
    <s v="SIM"/>
    <s v="SIM"/>
  </r>
  <r>
    <x v="0"/>
    <x v="0"/>
    <d v="2023-01-12T08:00:00"/>
    <s v="CAIU3288166"/>
    <n v="20"/>
    <x v="0"/>
    <s v="KERRY"/>
    <s v="COTIA"/>
    <n v="59483"/>
    <s v="LOGIN ENDURANCE  036S"/>
    <n v="102678"/>
    <m/>
    <s v="BYA0806"/>
    <s v="BWN2701"/>
    <s v="MIGUEL ARNOLD"/>
    <s v="10838670830"/>
    <s v="01808675938"/>
    <n v="3222"/>
    <s v="DPW"/>
    <d v="2023-01-12T02:12:00"/>
    <s v="MEDLOG"/>
    <d v="2023-01-13T00:20:00"/>
    <d v="2023-01-12T06:30:00"/>
    <d v="2023-01-12T16:00:00"/>
    <n v="2200"/>
    <n v="0"/>
    <n v="2200"/>
    <n v="600"/>
    <m/>
    <m/>
    <m/>
    <n v="473.5104"/>
    <n v="3945.92"/>
    <x v="0"/>
    <x v="0"/>
    <m/>
    <x v="0"/>
    <s v="SIM"/>
    <s v="SIM"/>
    <s v="SIM"/>
  </r>
  <r>
    <x v="0"/>
    <x v="0"/>
    <d v="2023-01-12T08:00:00"/>
    <s v="CAIU3027244"/>
    <n v="20"/>
    <x v="0"/>
    <s v="MAXSOY"/>
    <s v="HORTOLANDIA"/>
    <n v="59487"/>
    <s v="LOGIN ENDURANCE  036S"/>
    <n v="102797"/>
    <m/>
    <s v="FXG5H10"/>
    <s v="DBC3G21"/>
    <s v="ROBERTO CARLOS BEZERRA PIRES"/>
    <s v="27455658850"/>
    <s v="01286008208"/>
    <n v="3226"/>
    <s v="DPW"/>
    <d v="2023-01-11T21:31:00"/>
    <s v="MEDLOG"/>
    <d v="2023-01-12T15:33:00"/>
    <d v="2023-01-12T06:00:00"/>
    <d v="2023-01-12T11:20:00"/>
    <n v="2000"/>
    <n v="0"/>
    <n v="2000"/>
    <n v="0"/>
    <m/>
    <m/>
    <m/>
    <n v="501.59999999999997"/>
    <n v="4180"/>
    <x v="0"/>
    <x v="0"/>
    <m/>
    <x v="0"/>
    <s v="SIM"/>
    <s v="SIM"/>
    <s v="SIM"/>
  </r>
  <r>
    <x v="0"/>
    <x v="1"/>
    <d v="2023-01-12T08:00:00"/>
    <s v="TCLU3042224"/>
    <n v="20"/>
    <x v="1"/>
    <s v="MIAN"/>
    <s v="SBC"/>
    <n v="59485"/>
    <s v="LOGIN ENDURANCE  036S"/>
    <n v="111639"/>
    <m/>
    <s v="DPC9A68"/>
    <s v="NGQ9F61"/>
    <s v="JOSE ROBERTO ANICIO"/>
    <s v="24622050803"/>
    <s v="01922404290"/>
    <n v="3229"/>
    <s v="DPW"/>
    <d v="2023-01-12T07:05:00"/>
    <s v="MEDLOG"/>
    <d v="2023-01-12T15:12:00"/>
    <d v="2023-01-12T09:00:00"/>
    <d v="2023-01-12T10:30:00"/>
    <n v="1600"/>
    <n v="0"/>
    <n v="1600"/>
    <n v="0"/>
    <m/>
    <m/>
    <m/>
    <n v="311.55959999999999"/>
    <n v="2596.33"/>
    <x v="0"/>
    <x v="0"/>
    <m/>
    <x v="2"/>
    <s v="SIM"/>
    <s v="SIM"/>
    <s v="SIM"/>
  </r>
  <r>
    <x v="0"/>
    <x v="0"/>
    <d v="2023-01-12T08:00:00"/>
    <s v="CAIU3417221"/>
    <n v="20"/>
    <x v="0"/>
    <s v="MOINHO ROMANIZ"/>
    <s v="ITAQUERA"/>
    <n v="59486"/>
    <s v="LOGIN ENDURANCE  036S"/>
    <n v="102753"/>
    <m/>
    <s v="EPU5990"/>
    <s v="BSG1D88"/>
    <s v="LEANDRO SOARES CAETANO"/>
    <s v="10485530864"/>
    <s v="02033192841"/>
    <n v="3230"/>
    <s v="DPW"/>
    <d v="2023-01-12T05:27:00"/>
    <s v="MEDLOG"/>
    <d v="2023-01-13T00:16:00"/>
    <d v="2023-01-12T06:20:00"/>
    <d v="2023-01-12T16:00:00"/>
    <n v="2000"/>
    <n v="0"/>
    <n v="2000"/>
    <n v="0"/>
    <m/>
    <m/>
    <m/>
    <n v="355.75439999999998"/>
    <n v="2964.62"/>
    <x v="0"/>
    <x v="0"/>
    <m/>
    <x v="0"/>
    <s v="SIM"/>
    <s v="SIM"/>
    <s v="SIM"/>
  </r>
  <r>
    <x v="0"/>
    <x v="0"/>
    <d v="2023-01-12T08:00:00"/>
    <s v="CAIU3154871"/>
    <n v="20"/>
    <x v="0"/>
    <s v="NEW MAX"/>
    <s v="AMERICANA"/>
    <n v="59491"/>
    <s v="LOGIN ENDURANCE  036S"/>
    <n v="102800"/>
    <m/>
    <s v="BED0J40"/>
    <s v="BXF6C"/>
    <s v="JOAB FELICIANO DOS VALES"/>
    <n v="16955497839"/>
    <s v="03177639496"/>
    <n v="3220"/>
    <s v="DPW"/>
    <d v="2023-01-12T01:13:00"/>
    <s v="MEDLOG"/>
    <d v="2023-01-12T15:16:00"/>
    <d v="2023-01-12T06:00:00"/>
    <d v="2023-01-12T09:40:00"/>
    <n v="3200"/>
    <n v="0"/>
    <n v="3200"/>
    <n v="0"/>
    <m/>
    <m/>
    <m/>
    <n v="571.48680000000002"/>
    <n v="4762.3900000000003"/>
    <x v="0"/>
    <x v="0"/>
    <m/>
    <x v="0"/>
    <s v="SIM"/>
    <s v="SIM"/>
    <s v="SIM"/>
  </r>
  <r>
    <x v="0"/>
    <x v="0"/>
    <d v="2023-01-12T08:00:00"/>
    <s v="CAIU3159657"/>
    <n v="20"/>
    <x v="0"/>
    <s v="NEW MAX"/>
    <s v="AMERICANA"/>
    <n v="59490"/>
    <s v="LOGIN ENDURANCE  036S"/>
    <n v="102835"/>
    <m/>
    <s v="DPC8I64"/>
    <s v="BWF7F77"/>
    <s v="ANTONIO CARLOS DA SILVA JUNIOR"/>
    <n v="12126370895"/>
    <s v="02988821539"/>
    <n v="3221"/>
    <s v="DPW"/>
    <d v="2023-01-12T00:41:00"/>
    <s v="MEDLOG"/>
    <d v="2023-01-12T15:19:00"/>
    <d v="2023-01-12T06:00:00"/>
    <d v="2023-01-12T09:30:00"/>
    <n v="3200"/>
    <n v="0"/>
    <n v="3200"/>
    <n v="0"/>
    <m/>
    <m/>
    <m/>
    <n v="571.48680000000002"/>
    <n v="4762.3900000000003"/>
    <x v="0"/>
    <x v="0"/>
    <m/>
    <x v="0"/>
    <s v="SIM"/>
    <s v="SIM"/>
    <s v="SIM"/>
  </r>
  <r>
    <x v="0"/>
    <x v="0"/>
    <d v="2023-01-12T08:00:00"/>
    <s v="CAIU3073086"/>
    <n v="20"/>
    <x v="0"/>
    <s v="PENINA"/>
    <s v="VL. INDEPENDENTE"/>
    <n v="59482"/>
    <s v="LOGIN ENDURANCE  036S"/>
    <n v="102677"/>
    <m/>
    <s v="EWJ2162"/>
    <s v="ETF6391"/>
    <s v="CARLOS BUENO BALTAZAR"/>
    <n v="19279658883"/>
    <s v="01301319672"/>
    <n v="3216"/>
    <s v="DPW"/>
    <d v="2023-01-11T23:56:00"/>
    <s v="MEDLOG"/>
    <d v="2023-01-12T15:13:00"/>
    <d v="2023-01-12T06:30:00"/>
    <d v="2023-01-12T13:00:00"/>
    <n v="1900"/>
    <n v="0"/>
    <n v="1900"/>
    <n v="700"/>
    <m/>
    <m/>
    <m/>
    <n v="447.91919999999999"/>
    <n v="3732.66"/>
    <x v="0"/>
    <x v="0"/>
    <m/>
    <x v="0"/>
    <s v="SIM"/>
    <s v="SIM"/>
    <s v="SIM"/>
  </r>
  <r>
    <x v="0"/>
    <x v="0"/>
    <d v="2023-01-12T08:00:00"/>
    <s v="TCLU3042055"/>
    <n v="20"/>
    <x v="0"/>
    <s v="SANTA RITA"/>
    <s v="EMBU"/>
    <n v="59746"/>
    <s v="LOGIN ENDURANCE  036S"/>
    <n v="102966"/>
    <m/>
    <s v="DFT0E47"/>
    <s v="FEI4012"/>
    <s v="ALMIR CARDOSO DOS SANTOS"/>
    <s v="09776430856"/>
    <s v="01258979905"/>
    <n v="3217"/>
    <s v="DPW"/>
    <d v="2023-01-11T22:37:00"/>
    <s v="MEDLOG"/>
    <d v="2023-01-12T14:35:00"/>
    <d v="2023-01-12T06:20:00"/>
    <d v="2023-01-12T10:50:00"/>
    <n v="2000"/>
    <n v="0"/>
    <n v="2000"/>
    <n v="0"/>
    <m/>
    <m/>
    <m/>
    <n v="355.79039999999998"/>
    <n v="2964.92"/>
    <x v="0"/>
    <x v="0"/>
    <m/>
    <x v="0"/>
    <s v="SIM"/>
    <s v="SIM"/>
    <s v="SIM"/>
  </r>
  <r>
    <x v="0"/>
    <x v="0"/>
    <d v="2023-01-12T09:00:00"/>
    <s v="TCLU3462736"/>
    <n v="20"/>
    <x v="2"/>
    <s v="SOSAL"/>
    <s v="SBC"/>
    <n v="59695"/>
    <s v="LOGIN ENDURANCE  036S"/>
    <n v="68024"/>
    <n v="68025"/>
    <s v="KBK0D67"/>
    <s v="CPN9C57"/>
    <s v="JOSE LUIZ BARBOSA DA SILVA"/>
    <s v="29956720852"/>
    <s v="01114102381"/>
    <n v="3214"/>
    <s v="DPW"/>
    <d v="2023-01-11T23:41:00"/>
    <s v="TRANSTEC SANTOS"/>
    <d v="2023-01-12T10:58:00"/>
    <d v="2023-01-12T06:00:00"/>
    <d v="2023-01-12T09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2T09:00:00"/>
    <s v="CAIU2913910"/>
    <n v="20"/>
    <x v="2"/>
    <s v="SOSAL"/>
    <s v="SBC"/>
    <s v="59494 / 59495"/>
    <s v="LOGIN ENDURANCE  036S"/>
    <n v="111774"/>
    <n v="102830"/>
    <s v="AQM8D39"/>
    <s v="DPF3850"/>
    <s v="REINALDO PAZOTTO"/>
    <s v="27455658850"/>
    <s v="01286008208"/>
    <s v="3210 / 3211"/>
    <s v="DPW"/>
    <d v="2023-01-11T13:22:00"/>
    <s v="TRANSTEC SANTOS"/>
    <d v="2023-01-12T12:38:00"/>
    <d v="2023-01-12T09:00:00"/>
    <d v="2023-01-12T10:00:00"/>
    <n v="1600"/>
    <n v="0"/>
    <n v="1600"/>
    <n v="0"/>
    <m/>
    <m/>
    <m/>
    <n v="288"/>
    <n v="2400"/>
    <x v="0"/>
    <x v="0"/>
    <m/>
    <x v="0"/>
    <s v="NÃO"/>
    <s v="SIM"/>
    <s v="SIM"/>
  </r>
  <r>
    <x v="0"/>
    <x v="0"/>
    <d v="2023-01-12T11:00:00"/>
    <s v="CAIU3309762"/>
    <n v="20"/>
    <x v="2"/>
    <s v="SOSAL"/>
    <s v="SBC"/>
    <n v="59451"/>
    <s v="LOGIN ENDURANCE  036S"/>
    <n v="67874"/>
    <m/>
    <s v="CGS0A65"/>
    <s v="CPJ5G64"/>
    <s v="MARCOS PAULO NUNES"/>
    <n v="16239341843"/>
    <s v="01877235038"/>
    <n v="3231"/>
    <s v="DPW"/>
    <d v="2023-01-11T23:53:00"/>
    <s v="TRANSTEC SANTOS"/>
    <d v="2023-01-12T13:22:00"/>
    <d v="2023-01-12T06:00:00"/>
    <d v="2023-01-12T09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2T11:00:00"/>
    <s v="SEGU1124010"/>
    <n v="20"/>
    <x v="2"/>
    <s v="SOSAL"/>
    <s v="SBC"/>
    <n v="59496"/>
    <s v="LOGIN ENDURANCE  036S"/>
    <n v="102831"/>
    <m/>
    <s v="BHP9483"/>
    <s v="BSF4E26"/>
    <s v="ANACLETO RODRIGUES DE SANTANA"/>
    <s v="01817591878"/>
    <s v="00821760640"/>
    <n v="3232"/>
    <s v="DPW"/>
    <d v="2023-01-11T23:59:00"/>
    <s v="TRANSTEC SANTOS"/>
    <d v="2023-01-12T15:06:00"/>
    <d v="2023-01-12T06:00:00"/>
    <d v="2023-01-12T09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2T13:00:00"/>
    <s v="GESU6802991"/>
    <n v="40"/>
    <x v="2"/>
    <s v="SOSAL"/>
    <s v="SBC"/>
    <n v="59492"/>
    <s v="LOGIN ENDURANCE  036S"/>
    <n v="102685"/>
    <m/>
    <s v="FGD8G49"/>
    <s v="FUJ0D24"/>
    <s v="GILVAN LAURENTINO DA SILVA"/>
    <s v="92693377404"/>
    <s v="02954783990"/>
    <n v="3213"/>
    <s v="DPW"/>
    <d v="2023-01-12T04:34:00"/>
    <s v="REAPROVEITAMENTO"/>
    <d v="2023-01-13T14:50:00"/>
    <d v="2023-01-12T06:00:00"/>
    <d v="2023-01-12T09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3T08:00:00"/>
    <s v="SEGU4052444"/>
    <n v="40"/>
    <x v="0"/>
    <s v="DOREMUS"/>
    <s v="GUARULHOS"/>
    <n v="6"/>
    <s v="LOGIN ENDURANCE  036S"/>
    <n v="102992"/>
    <m/>
    <s v="FRG7C59"/>
    <s v="CPJ3E5"/>
    <s v="WILSON FLAVIO ALVES DA SILVA"/>
    <s v="27455658850"/>
    <s v="01286008208"/>
    <n v="3215"/>
    <s v="DPW"/>
    <d v="2023-01-13T02:03:00"/>
    <s v="MEDLOG"/>
    <d v="2023-01-13T16:29:00"/>
    <d v="2023-01-13T07:00:00"/>
    <d v="2023-01-13T12:00:00"/>
    <n v="2100"/>
    <n v="0"/>
    <n v="2100"/>
    <n v="0"/>
    <m/>
    <m/>
    <m/>
    <n v="370.37759999999997"/>
    <n v="3086.48"/>
    <x v="0"/>
    <x v="0"/>
    <m/>
    <x v="0"/>
    <s v="SIM"/>
    <s v="SIM"/>
    <s v="SIM"/>
  </r>
  <r>
    <x v="0"/>
    <x v="0"/>
    <d v="2023-01-13T08:00:00"/>
    <s v="TCLU3459882"/>
    <n v="20"/>
    <x v="0"/>
    <s v="ADESTE"/>
    <s v="SANTO ANDRE"/>
    <n v="59488"/>
    <s v="LOGIN ENDURANCE  036S"/>
    <n v="102798"/>
    <m/>
    <s v="APV1B33"/>
    <s v="CPN9654"/>
    <s v="JOSE AFONSO FERREIRA"/>
    <s v="15818591808"/>
    <s v="02670671608"/>
    <n v="3238"/>
    <s v="DPW"/>
    <d v="2023-01-13T03:00:00"/>
    <s v="MEDLOG"/>
    <d v="2023-01-13T17:34:00"/>
    <d v="2023-01-13T06:50:00"/>
    <d v="2023-01-13T13:00:00"/>
    <n v="1600"/>
    <n v="0"/>
    <n v="1600"/>
    <n v="0"/>
    <m/>
    <m/>
    <m/>
    <n v="415.74719999999996"/>
    <n v="3464.56"/>
    <x v="0"/>
    <x v="0"/>
    <m/>
    <x v="0"/>
    <s v="SIM"/>
    <s v="SIM"/>
    <s v="SIM"/>
  </r>
  <r>
    <x v="0"/>
    <x v="0"/>
    <d v="2023-01-13T08:00:00"/>
    <s v="SEGU4123872"/>
    <n v="40"/>
    <x v="0"/>
    <s v="AJINOMOTO"/>
    <s v="LIMEIRA"/>
    <n v="59476"/>
    <s v="LOGIN ENDURANCE  036S"/>
    <n v="102709"/>
    <n v="102710"/>
    <s v="DTB7A34"/>
    <s v="ABR8E82"/>
    <s v="JAILTON GEOVANIO TAVARES DOS SANTOS"/>
    <s v="33913917829"/>
    <s v="03312585500"/>
    <n v="3245"/>
    <s v="DPW"/>
    <d v="2023-01-13T00:45:00"/>
    <s v="MEDLOG"/>
    <d v="2023-01-13T20:46:00"/>
    <d v="2023-01-13T07:30:00"/>
    <d v="2023-01-13T13:00:00"/>
    <n v="3400"/>
    <n v="0"/>
    <n v="3400"/>
    <n v="0"/>
    <m/>
    <m/>
    <m/>
    <n v="558.28440000000001"/>
    <n v="4652.37"/>
    <x v="0"/>
    <x v="0"/>
    <m/>
    <x v="0"/>
    <s v="SIM"/>
    <s v="SIM"/>
    <s v="SIM"/>
  </r>
  <r>
    <x v="0"/>
    <x v="0"/>
    <d v="2023-01-13T13:00:00"/>
    <s v="TCLU8697841"/>
    <n v="40"/>
    <x v="0"/>
    <s v="AJINOMOTO"/>
    <s v="LIMEIRA"/>
    <n v="59474"/>
    <s v="LOGIN ENDURANCE  036S"/>
    <n v="102751"/>
    <n v="102752"/>
    <s v="LNX9650"/>
    <s v="GPC4I25"/>
    <s v="ANDREW FELIPE DE SOUZA BRUNO"/>
    <n v="36305564850"/>
    <s v="06043477724"/>
    <n v="3246"/>
    <s v="DPW"/>
    <d v="2023-01-13T01:01:00"/>
    <s v="MEDLOG"/>
    <d v="2023-01-16T19:37:00"/>
    <d v="2023-01-13T13:00:00"/>
    <d v="2023-01-13T18:00:00"/>
    <n v="3400"/>
    <n v="0"/>
    <n v="3400"/>
    <n v="0"/>
    <m/>
    <m/>
    <m/>
    <n v="558.28440000000001"/>
    <n v="4652.37"/>
    <x v="0"/>
    <x v="0"/>
    <m/>
    <x v="0"/>
    <s v="SIM"/>
    <s v="SIM"/>
    <s v="SIM"/>
  </r>
  <r>
    <x v="0"/>
    <x v="0"/>
    <d v="2023-01-13T08:00:00"/>
    <s v="CAIU3072942"/>
    <n v="20"/>
    <x v="0"/>
    <s v="CHARQUE CAMPEAO"/>
    <s v="SANTANA DE PARNAIBA"/>
    <n v="59484"/>
    <s v="LOGIN ENDURANCE  036S"/>
    <n v="111640"/>
    <m/>
    <s v="FXG5H10"/>
    <s v="DBC3G21"/>
    <s v="ROBERTO CARLOS BEZERRA PIRES"/>
    <s v="27455658850"/>
    <s v="01286008208"/>
    <n v="3241"/>
    <s v="DPW"/>
    <d v="2023-01-12T22:46:00"/>
    <s v="MEDLOG"/>
    <d v="2023-01-13T15:27:00"/>
    <d v="2023-01-13T06:50:00"/>
    <d v="2023-01-13T12:00:00"/>
    <n v="2200"/>
    <n v="0"/>
    <n v="2200"/>
    <n v="0"/>
    <m/>
    <m/>
    <m/>
    <n v="399.62399999999997"/>
    <n v="3330.2"/>
    <x v="0"/>
    <x v="0"/>
    <m/>
    <x v="0"/>
    <s v="SIM"/>
    <s v="SIM"/>
    <s v="SIM"/>
  </r>
  <r>
    <x v="0"/>
    <x v="0"/>
    <d v="2023-01-13T08:00:00"/>
    <s v="TCLU3039220"/>
    <n v="20"/>
    <x v="1"/>
    <s v="MIAN"/>
    <s v="SBC"/>
    <n v="59689"/>
    <s v="LOGIN ENDURANCE  036S"/>
    <n v="111846"/>
    <m/>
    <s v="CGS0A65"/>
    <s v="CPJ5G64"/>
    <s v="MARCOS PAULO NUNES"/>
    <n v="16239341843"/>
    <s v="01877235038"/>
    <n v="3237"/>
    <s v="DPW"/>
    <d v="2023-01-13T00:07:00"/>
    <s v="MEDLOG"/>
    <d v="2023-01-13T13:44:00"/>
    <d v="2023-01-13T04:00:00"/>
    <d v="2023-01-13T09:00:00"/>
    <n v="1600"/>
    <n v="0"/>
    <n v="1600"/>
    <n v="0"/>
    <m/>
    <m/>
    <m/>
    <n v="311.55959999999999"/>
    <n v="2596.33"/>
    <x v="0"/>
    <x v="0"/>
    <m/>
    <x v="0"/>
    <s v="SIM"/>
    <s v="SIM"/>
    <s v="SIM"/>
  </r>
  <r>
    <x v="0"/>
    <x v="0"/>
    <d v="2023-01-13T08:00:00"/>
    <s v="CAIU3108644"/>
    <n v="20"/>
    <x v="0"/>
    <s v="NEW MAX"/>
    <s v="AMERICANA"/>
    <n v="59687"/>
    <s v="LOGIN ENDURANCE  036S"/>
    <n v="102865"/>
    <m/>
    <s v="EPU5990"/>
    <s v="BSG1D88"/>
    <s v="LEANDRO SOARES CAETANO"/>
    <s v="10485530864"/>
    <s v="02033192841"/>
    <n v="3240"/>
    <s v="DPW"/>
    <d v="2023-01-13T02:17:00"/>
    <s v="MEDLOG"/>
    <d v="2023-01-13T14:59:00"/>
    <d v="2023-01-13T06:45:00"/>
    <d v="2023-01-13T08:50:00"/>
    <n v="3200"/>
    <n v="0"/>
    <n v="3200"/>
    <n v="0"/>
    <m/>
    <m/>
    <m/>
    <n v="571.48680000000002"/>
    <n v="4762.3900000000003"/>
    <x v="0"/>
    <x v="0"/>
    <m/>
    <x v="0"/>
    <s v="SIM"/>
    <s v="SIM"/>
    <s v="SIM"/>
  </r>
  <r>
    <x v="0"/>
    <x v="0"/>
    <d v="2023-01-13T08:00:00"/>
    <s v="CAIU2950719"/>
    <n v="20"/>
    <x v="0"/>
    <s v="NEW MAX"/>
    <s v="AMERICANA"/>
    <n v="59686"/>
    <s v="LOGIN ENDURANCE  036S"/>
    <n v="102864"/>
    <m/>
    <s v="BED0J40"/>
    <s v="BXF6C"/>
    <s v="JOAB FELICIANO DOS VALES"/>
    <n v="16955497839"/>
    <s v="03177639496"/>
    <n v="3244"/>
    <s v="DPW"/>
    <d v="2023-01-13T01:06:00"/>
    <s v="MEDLOG"/>
    <d v="2023-01-13T15:01:00"/>
    <d v="2023-01-13T07:00:00"/>
    <d v="2023-01-13T10:00:00"/>
    <n v="3200"/>
    <n v="0"/>
    <n v="3200"/>
    <n v="0"/>
    <m/>
    <m/>
    <m/>
    <n v="571.48680000000002"/>
    <n v="4762.3900000000003"/>
    <x v="0"/>
    <x v="0"/>
    <m/>
    <x v="0"/>
    <s v="SIM"/>
    <s v="SIM"/>
    <s v="SIM"/>
  </r>
  <r>
    <x v="0"/>
    <x v="1"/>
    <d v="2023-01-13T08:00:00"/>
    <s v="CAIU2938420"/>
    <n v="20"/>
    <x v="0"/>
    <s v="VILHENA"/>
    <s v="CAJAMAR"/>
    <n v="59481"/>
    <s v="LOGIN ENDURANCE  036S"/>
    <n v="111568"/>
    <m/>
    <s v="DFT0E47"/>
    <s v="FEI4012"/>
    <s v="ALMIR CARDOSO DOS SANTOS"/>
    <s v="09776430856"/>
    <s v="01258979905"/>
    <n v="3234"/>
    <s v="DPW"/>
    <d v="2023-01-13T06:56:00"/>
    <s v="MEDLOG"/>
    <d v="2023-01-13T18:24:00"/>
    <d v="2023-01-13T09:30:00"/>
    <d v="2023-01-13T14:00:00"/>
    <n v="2350"/>
    <n v="0"/>
    <n v="2350"/>
    <n v="600"/>
    <m/>
    <m/>
    <m/>
    <n v="529.16279999999995"/>
    <n v="4409.6899999999996"/>
    <x v="0"/>
    <x v="0"/>
    <m/>
    <x v="2"/>
    <s v="SIM"/>
    <s v="SIM"/>
    <s v="SIM"/>
  </r>
  <r>
    <x v="0"/>
    <x v="0"/>
    <d v="2023-01-13T08:00:00"/>
    <s v="TCLU3055319"/>
    <n v="20"/>
    <x v="0"/>
    <s v="VILHETO"/>
    <s v="BARUERI"/>
    <n v="59480"/>
    <s v="LOGIN ENDURANCE  036S"/>
    <n v="111567"/>
    <m/>
    <s v="FEI9J41"/>
    <s v="DPC9D90"/>
    <s v="JOAO EUDES CORDEIRO DA SILVA"/>
    <s v="13990937898"/>
    <s v="01825123407"/>
    <n v="3286"/>
    <s v="DPW"/>
    <d v="2023-01-13T07:48:00"/>
    <s v="MEDLOG"/>
    <d v="2023-01-13T19:02:00"/>
    <d v="2023-01-13T07:00:00"/>
    <d v="2023-01-13T15:00:00"/>
    <n v="2300"/>
    <n v="0"/>
    <n v="2300"/>
    <n v="0"/>
    <m/>
    <m/>
    <m/>
    <n v="510.26519999999999"/>
    <n v="4252.21"/>
    <x v="0"/>
    <x v="0"/>
    <m/>
    <x v="0"/>
    <s v="SIM"/>
    <s v="SIM"/>
    <s v="SIM"/>
  </r>
  <r>
    <x v="0"/>
    <x v="0"/>
    <d v="2023-01-13T08:00:00"/>
    <s v="CAIU3410090"/>
    <n v="20"/>
    <x v="0"/>
    <s v="VILHETO"/>
    <s v="BARUERI"/>
    <n v="8"/>
    <s v="LOGIN ENDURANCE  036S"/>
    <n v="112003"/>
    <m/>
    <s v="BYA0806"/>
    <s v="BWN2701"/>
    <s v="MIGUEL ARNOLD"/>
    <s v="10838670830"/>
    <s v="01808675938"/>
    <n v="3285"/>
    <s v="DPW"/>
    <d v="2023-01-13T02:15:00"/>
    <s v="MEDLOG"/>
    <d v="2023-01-13T15:00:00"/>
    <d v="2023-01-13T08:00:00"/>
    <d v="2023-01-13T11:20:00"/>
    <n v="2200"/>
    <n v="0"/>
    <n v="2200"/>
    <n v="0"/>
    <m/>
    <m/>
    <m/>
    <n v="510.26519999999999"/>
    <n v="4252.21"/>
    <x v="0"/>
    <x v="0"/>
    <m/>
    <x v="0"/>
    <s v="SIM"/>
    <s v="SIM"/>
    <s v="SIM"/>
  </r>
  <r>
    <x v="0"/>
    <x v="0"/>
    <d v="2023-01-13T09:00:00"/>
    <s v="TCLU8704220"/>
    <n v="40"/>
    <x v="2"/>
    <s v="SOSAL"/>
    <s v="SBC"/>
    <n v="59493"/>
    <s v="LOGIN ENDURANCE  036S"/>
    <n v="102791"/>
    <m/>
    <s v="BXD2J87"/>
    <s v="ESU7272"/>
    <s v="AGEILSON ANTONIO DA SILVA"/>
    <s v="09085263425"/>
    <s v="04557705505"/>
    <n v="3242"/>
    <s v="DPW"/>
    <d v="2023-01-13T05:23:00"/>
    <s v="TRANSTEC SANTOS"/>
    <d v="2023-01-13T13:41:00"/>
    <d v="2023-01-13T09:00:00"/>
    <d v="2023-01-13T11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3T09:00:00"/>
    <s v="TCLU5992186"/>
    <n v="40"/>
    <x v="2"/>
    <s v="SOSAL"/>
    <s v="SBC"/>
    <n v="59696"/>
    <s v="LOGIN ENDURANCE  036S"/>
    <n v="102887"/>
    <m/>
    <s v="FSI0I03"/>
    <s v="DPB9G64"/>
    <s v="EMERSON PEREIRA DA SILVA"/>
    <s v="09803034863"/>
    <s v="01484565209"/>
    <n v="3235"/>
    <s v="DPW"/>
    <d v="2023-01-13T06:44:00"/>
    <s v="TRANSTEC SANTOS"/>
    <d v="2023-01-13T15:22:00"/>
    <d v="2023-01-13T08:00:00"/>
    <d v="2023-01-13T13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3T11:00:00"/>
    <s v="SEGU1063086"/>
    <n v="20"/>
    <x v="2"/>
    <s v="SOSAL"/>
    <s v="SBC"/>
    <n v="59497"/>
    <s v="LOGIN ENDURANCE  036S"/>
    <n v="102717"/>
    <m/>
    <s v="BHP9483"/>
    <s v="BSF4E26"/>
    <s v="ANACLETO RODRIGUES DE SANTANA"/>
    <s v="01817591878"/>
    <s v="00821760640"/>
    <n v="3236"/>
    <s v="DPW"/>
    <d v="2023-01-13T00:07:00"/>
    <s v="TRANSTEC SANTOS"/>
    <d v="2023-01-13T12:34:00"/>
    <d v="2023-01-13T05:00:00"/>
    <d v="2023-01-13T09:4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3T11:00:00"/>
    <s v="SEGU1118105"/>
    <n v="20"/>
    <x v="2"/>
    <s v="SOSAL"/>
    <s v="SBC"/>
    <n v="59452"/>
    <s v="LOGIN ENDURANCE  036S"/>
    <n v="67871"/>
    <m/>
    <s v="KBK0D67"/>
    <s v="CPN9C57"/>
    <s v="JOSE LUIZ BARBOSA DA SILVA"/>
    <s v="29956720852"/>
    <s v="01114102381"/>
    <n v="3243"/>
    <s v="DPW"/>
    <d v="2023-01-12T23:46:00"/>
    <s v="TRANSTEC SANTOS"/>
    <d v="2023-01-13T14:53:00"/>
    <d v="2023-01-13T05:00:00"/>
    <d v="2023-01-13T12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3T13:00:00"/>
    <s v="TCLU3466095"/>
    <n v="20"/>
    <x v="2"/>
    <s v="SOSAL"/>
    <s v="SBC"/>
    <n v="9"/>
    <s v="LOGIN ENDURANCE  036S"/>
    <n v="102994"/>
    <m/>
    <s v="AQM8D39"/>
    <s v="DPF3850"/>
    <s v="REINALDO PAZOTTO"/>
    <s v="27455658850"/>
    <s v="01286008208"/>
    <n v="3239"/>
    <s v="DPW"/>
    <d v="2023-01-12T21:10:00"/>
    <s v="TRANSTEC SANTOS"/>
    <d v="2023-01-16T07:25:00"/>
    <d v="2023-01-13T05:00:00"/>
    <d v="2023-01-13T10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4T08:00:00"/>
    <s v="SEGU4662220"/>
    <n v="40"/>
    <x v="0"/>
    <s v="AJINOMOTO"/>
    <s v="LIMEIRA"/>
    <n v="59475"/>
    <s v="LOGIN ENDURANCE  036S"/>
    <n v="102745"/>
    <n v="102746"/>
    <s v="APH6I00"/>
    <s v="GKF6G84"/>
    <s v="PAULO ROBERTO GERMANO"/>
    <s v="27455658850"/>
    <s v="01286008208"/>
    <n v="3251"/>
    <s v="DPW"/>
    <d v="2023-01-13T22:40:00"/>
    <s v="MEDLOG"/>
    <d v="2023-01-14T11:55:00"/>
    <d v="2023-01-14T05:00:00"/>
    <d v="2023-01-14T10:00:00"/>
    <n v="3400"/>
    <n v="0"/>
    <n v="3400"/>
    <n v="0"/>
    <m/>
    <m/>
    <m/>
    <n v="558.28440000000001"/>
    <n v="4652.37"/>
    <x v="0"/>
    <x v="0"/>
    <m/>
    <x v="0"/>
    <s v="SIM"/>
    <s v="SIM"/>
    <s v="SIM"/>
  </r>
  <r>
    <x v="0"/>
    <x v="0"/>
    <d v="2023-01-14T08:00:00"/>
    <s v="TCNU8696040"/>
    <n v="40"/>
    <x v="0"/>
    <s v="AJINOMOTO"/>
    <s v="LIMEIRA"/>
    <n v="59478"/>
    <s v="LOGIN ENDURANCE  036S"/>
    <n v="102795"/>
    <n v="102796"/>
    <s v="DTB9J13"/>
    <s v="CPJ3G59"/>
    <s v="JOSE EDNILSON DOS SANTOS"/>
    <n v="88265951434"/>
    <s v="00920373596"/>
    <n v="3259"/>
    <s v="DPW"/>
    <d v="2023-01-14T02:10:12"/>
    <s v="MEDLOG"/>
    <d v="2023-01-14T14:27:00"/>
    <d v="2023-01-14T08:00:00"/>
    <d v="2023-01-14T11:00:00"/>
    <n v="3400"/>
    <n v="0"/>
    <n v="3400"/>
    <n v="0"/>
    <m/>
    <m/>
    <m/>
    <n v="558.28440000000001"/>
    <n v="4652.37"/>
    <x v="0"/>
    <x v="0"/>
    <m/>
    <x v="0"/>
    <s v="SIM"/>
    <s v="SIM"/>
    <s v="SIM"/>
  </r>
  <r>
    <x v="0"/>
    <x v="0"/>
    <d v="2023-01-16T08:00:00"/>
    <s v="SEGU5029515"/>
    <n v="40"/>
    <x v="0"/>
    <s v="IRMAOS AVELINO"/>
    <s v="CARAPICUIBA"/>
    <n v="59479"/>
    <s v="LOGIN ENDURANCE  036S"/>
    <n v="102828"/>
    <n v="102829"/>
    <s v="DTB7A34"/>
    <s v="DBP3732"/>
    <s v="JAILTON GEOVANIO TAVARES DOS SANTOS"/>
    <s v="33913917829"/>
    <s v="03312585500"/>
    <s v="3267 / 3360"/>
    <s v="DPW"/>
    <d v="2023-01-16T02:10:00"/>
    <s v="MEDLOG"/>
    <d v="2023-01-16T14:39:00"/>
    <d v="2023-01-16T07:00:00"/>
    <d v="2023-01-16T10:00:00"/>
    <n v="2300"/>
    <n v="0"/>
    <n v="2300"/>
    <n v="500"/>
    <m/>
    <m/>
    <m/>
    <n v="449.87520000000001"/>
    <n v="3748.96"/>
    <x v="0"/>
    <x v="0"/>
    <m/>
    <x v="0"/>
    <s v="SIM"/>
    <s v="SIM"/>
    <s v="SIM"/>
  </r>
  <r>
    <x v="0"/>
    <x v="0"/>
    <d v="2023-01-16T08:00:00"/>
    <s v="CAIU3022448"/>
    <n v="20"/>
    <x v="0"/>
    <s v="ADESTE"/>
    <s v="SANTO ANDRE"/>
    <n v="59688"/>
    <s v="LOGIN ENDURANCE  036S"/>
    <n v="102897"/>
    <m/>
    <s v="BHP9483"/>
    <s v="BSF4E26"/>
    <s v="ANACLETO RODRIGUES DE SANTANA"/>
    <s v="01817591878"/>
    <s v="00821760640"/>
    <n v="3256"/>
    <s v="DPW"/>
    <d v="2023-01-15T23:41:00"/>
    <s v="MEDLOG"/>
    <d v="2023-01-16T15:21:00"/>
    <d v="2023-01-16T05:00:00"/>
    <d v="2023-01-16T10:00:00"/>
    <n v="1600"/>
    <n v="0"/>
    <n v="1600"/>
    <n v="0"/>
    <m/>
    <m/>
    <m/>
    <n v="415.74719999999996"/>
    <n v="3464.56"/>
    <x v="0"/>
    <x v="0"/>
    <m/>
    <x v="0"/>
    <s v="SIM"/>
    <s v="SIM"/>
    <s v="SIM"/>
  </r>
  <r>
    <x v="0"/>
    <x v="0"/>
    <d v="2023-01-16T09:00:00"/>
    <s v="TCLU8336978"/>
    <n v="40"/>
    <x v="0"/>
    <s v="AJINOMOTO"/>
    <s v="LIMEIRA"/>
    <n v="59673"/>
    <s v="LOGIN ENDURANCE  036S"/>
    <n v="102900"/>
    <n v="102991"/>
    <s v="DVT6D42"/>
    <s v="CYB6H56"/>
    <s v="ROBERTO RONALD SANTOS"/>
    <s v="27455658850"/>
    <s v="01286008208"/>
    <n v="3268"/>
    <s v="DPW"/>
    <d v="2023-01-16T05:29:00"/>
    <s v="MEDLOG"/>
    <d v="2023-01-16T16:43:00"/>
    <d v="2023-01-16T09:00:00"/>
    <d v="2023-01-16T13:00:00"/>
    <n v="3400"/>
    <n v="0"/>
    <n v="3400"/>
    <n v="0"/>
    <m/>
    <m/>
    <m/>
    <n v="558.28440000000001"/>
    <n v="4652.37"/>
    <x v="0"/>
    <x v="0"/>
    <m/>
    <x v="0"/>
    <s v="SIM"/>
    <s v="SIM"/>
    <s v="SIM"/>
  </r>
  <r>
    <x v="0"/>
    <x v="0"/>
    <d v="2023-01-16T13:00:00"/>
    <s v="TCLU8697590"/>
    <n v="40"/>
    <x v="0"/>
    <s v="AJINOMOTO"/>
    <s v="LIMEIRA"/>
    <n v="59674"/>
    <s v="LOGIN ENDURANCE  036S"/>
    <n v="102955"/>
    <n v="102956"/>
    <s v="DTB9J13"/>
    <s v="CPJ3G59"/>
    <s v="JOSE EDNILSON DOS SANTOS"/>
    <n v="88265951434"/>
    <s v="00920373596"/>
    <n v="3269"/>
    <s v="DPW"/>
    <d v="2023-01-16T08:44:00"/>
    <s v="MEDLOG"/>
    <d v="2023-01-17T18:38:00"/>
    <d v="2023-01-16T13:00:00"/>
    <d v="2023-01-16T19:00:00"/>
    <n v="3400"/>
    <n v="0"/>
    <n v="3400"/>
    <n v="0"/>
    <m/>
    <m/>
    <m/>
    <n v="558.28440000000001"/>
    <n v="4652.37"/>
    <x v="0"/>
    <x v="0"/>
    <m/>
    <x v="0"/>
    <s v="SIM"/>
    <s v="SIM"/>
    <s v="SIM"/>
  </r>
  <r>
    <x v="0"/>
    <x v="0"/>
    <d v="2023-01-16T08:00:00"/>
    <s v="TCLU3465925"/>
    <n v="20"/>
    <x v="0"/>
    <s v="CHARQUE CAMPEAO"/>
    <s v="SANTANA DE PARNAIBA"/>
    <n v="7"/>
    <s v="LOGIN ENDURANCE  036S"/>
    <n v="112002"/>
    <m/>
    <s v="EWJ2162"/>
    <s v="ETF6391"/>
    <s v="CARLOS BUENO BALTAZAR"/>
    <n v="19279658883"/>
    <s v="01301319672"/>
    <n v="3263"/>
    <s v="DPW"/>
    <d v="2023-01-16T01:05:00"/>
    <s v="MEDLOG"/>
    <d v="2023-01-16T16:18:00"/>
    <d v="2023-01-16T07:00:00"/>
    <d v="2023-01-16T11:00:00"/>
    <n v="2300"/>
    <n v="0"/>
    <n v="2300"/>
    <n v="0"/>
    <m/>
    <m/>
    <m/>
    <n v="399.62399999999997"/>
    <n v="3330.2"/>
    <x v="0"/>
    <x v="0"/>
    <m/>
    <x v="0"/>
    <s v="SIM"/>
    <s v="SIM"/>
    <s v="SIM"/>
  </r>
  <r>
    <x v="0"/>
    <x v="0"/>
    <d v="2023-01-17T08:00:00"/>
    <s v="CAIU3022480"/>
    <n v="20"/>
    <x v="0"/>
    <s v="MAXSOY"/>
    <s v="HORTOLANDIA"/>
    <n v="59692"/>
    <s v="LOGIN ENDURANCE  036S"/>
    <n v="102936"/>
    <m/>
    <s v="FXG5H10"/>
    <s v="DBC3G21"/>
    <s v="ROBERTO CARLOS BEZERRA PIRES"/>
    <s v="27455658850"/>
    <s v="01286008208"/>
    <n v="3266"/>
    <s v="DPW"/>
    <d v="2023-01-16T20:44:00"/>
    <s v="MEDLOG"/>
    <d v="2023-01-17T17:35:00"/>
    <d v="2023-01-17T07:00:00"/>
    <d v="2023-01-17T10:00:00"/>
    <n v="2000"/>
    <n v="0"/>
    <n v="2000"/>
    <n v="0"/>
    <m/>
    <m/>
    <m/>
    <n v="501.59999999999997"/>
    <n v="4180"/>
    <x v="0"/>
    <x v="0"/>
    <m/>
    <x v="0"/>
    <s v="SIM"/>
    <s v="SIM"/>
    <s v="SIM"/>
  </r>
  <r>
    <x v="0"/>
    <x v="1"/>
    <d v="2023-01-16T08:00:00"/>
    <s v="CAIU3014376"/>
    <n v="20"/>
    <x v="0"/>
    <s v="VILHENA"/>
    <s v="CAJAMAR"/>
    <n v="59684"/>
    <s v="LOGIN ENDURANCE  036S"/>
    <n v="111830"/>
    <m/>
    <s v="FRG7C59"/>
    <s v="CPJ3E5"/>
    <s v="WILSON FLAVIO ALVES DA SILVA"/>
    <s v="27455658850"/>
    <s v="01286008208"/>
    <n v="3289"/>
    <s v="DPW"/>
    <d v="2023-01-16T07:24:00"/>
    <s v="MEDLOG"/>
    <d v="2023-01-16T18:40:00"/>
    <d v="2023-01-16T09:00:00"/>
    <d v="2023-01-16T10:00:00"/>
    <n v="2350"/>
    <n v="0"/>
    <n v="2350"/>
    <n v="600"/>
    <m/>
    <m/>
    <m/>
    <n v="529.16279999999995"/>
    <n v="4409.6899999999996"/>
    <x v="0"/>
    <x v="0"/>
    <m/>
    <x v="2"/>
    <s v="SIM"/>
    <s v="SIM"/>
    <s v="SIM"/>
  </r>
  <r>
    <x v="0"/>
    <x v="1"/>
    <d v="2023-01-16T08:00:00"/>
    <s v="TCLU3467580"/>
    <n v="20"/>
    <x v="0"/>
    <s v="VILHENA"/>
    <s v="CAJAMAR"/>
    <n v="59685"/>
    <s v="LOGIN ENDURANCE  036S"/>
    <n v="111829"/>
    <m/>
    <s v="FEI9J41"/>
    <s v="DPC9D90"/>
    <s v="JOAO EUDES CORDEIRO DA SILVA"/>
    <s v="13990937898"/>
    <s v="01825123407"/>
    <n v="3287"/>
    <s v="DPW"/>
    <d v="2023-01-16T06:11:00"/>
    <s v="MEDLOG"/>
    <d v="2023-01-16T16:12:00"/>
    <d v="2023-01-16T08:30:00"/>
    <d v="2023-01-16T10:00:00"/>
    <n v="2350"/>
    <n v="0"/>
    <n v="2350"/>
    <n v="600"/>
    <m/>
    <m/>
    <m/>
    <n v="529.16279999999995"/>
    <n v="4409.6899999999996"/>
    <x v="0"/>
    <x v="0"/>
    <m/>
    <x v="2"/>
    <s v="SIM"/>
    <s v="SIM"/>
    <s v="SIM"/>
  </r>
  <r>
    <x v="0"/>
    <x v="1"/>
    <d v="2023-01-16T08:00:00"/>
    <s v="CAIU3016070"/>
    <n v="20"/>
    <x v="0"/>
    <s v="VILHETO"/>
    <s v="BARUERI"/>
    <n v="59690"/>
    <s v="LOGIN ENDURANCE  036S"/>
    <n v="111847"/>
    <m/>
    <s v="BED0J40"/>
    <s v="BXF6C"/>
    <s v="JOAB FELICIANO DOS VALES"/>
    <n v="16955497839"/>
    <s v="03177639496"/>
    <n v="3288"/>
    <s v="DPW"/>
    <d v="2023-01-16T20:56:00"/>
    <s v="MEDLOG"/>
    <d v="2023-01-17T14:56:00"/>
    <d v="2023-01-17T06:00:00"/>
    <d v="2023-01-17T10:00:00"/>
    <n v="2200"/>
    <n v="0"/>
    <n v="2200"/>
    <n v="0"/>
    <m/>
    <m/>
    <m/>
    <n v="510.26519999999999"/>
    <n v="4252.21"/>
    <x v="0"/>
    <x v="0"/>
    <m/>
    <x v="3"/>
    <s v="SIM"/>
    <s v="SIM"/>
    <s v="SIM"/>
  </r>
  <r>
    <x v="0"/>
    <x v="0"/>
    <d v="2023-01-16T08:00:00"/>
    <s v="CAIU3153216"/>
    <n v="20"/>
    <x v="1"/>
    <s v="MIAN"/>
    <s v="SBC"/>
    <n v="50198"/>
    <s v="LOGIN ENDURANCE  036S"/>
    <n v="71357"/>
    <m/>
    <s v="EPU5990"/>
    <s v="BSG1D88"/>
    <s v="LEANDRO SOARES CAETANO"/>
    <s v="10485530864"/>
    <s v="02033192841"/>
    <n v="3262"/>
    <s v="DPW"/>
    <d v="2023-01-16T06:34:00"/>
    <s v="TRANSTEC SANTOS"/>
    <d v="2023-01-16T12:46:00"/>
    <d v="2023-01-16T08:00:00"/>
    <d v="2023-01-16T10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6T09:00:00"/>
    <s v="CAIU2929054"/>
    <n v="20"/>
    <x v="2"/>
    <s v="SOSAL"/>
    <s v="SBC"/>
    <n v="10"/>
    <s v="LOGIN ENDURANCE  036S"/>
    <n v="102995"/>
    <m/>
    <s v="KBK0D67"/>
    <s v="CPN9C57"/>
    <s v="JOSE LUIZ BARBOSA DA SILVA"/>
    <s v="29956720852"/>
    <s v="01114102381"/>
    <n v="3253"/>
    <s v="DPW"/>
    <d v="2023-01-15T22:59:00"/>
    <s v="TRANSTEC SANTOS"/>
    <d v="2023-01-16T12:28:00"/>
    <d v="2023-01-16T03:00:00"/>
    <d v="2023-01-16T09:5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7T09:00:00"/>
    <s v="CAIU3310207"/>
    <n v="20"/>
    <x v="2"/>
    <s v="SOSAL"/>
    <s v="SBC"/>
    <n v="59498"/>
    <s v="LOGIN ENDURANCE  036S"/>
    <n v="102716"/>
    <m/>
    <s v="KBK0D67"/>
    <s v="CPN9C57"/>
    <s v="EVANDRO DE FREITAS ROSA"/>
    <s v="03605652476"/>
    <s v="00910837259"/>
    <n v="3273"/>
    <s v="DPW"/>
    <d v="2023-01-16T22:56:00"/>
    <s v="TRANSTEC SANTOS"/>
    <d v="2023-01-17T12:43:00"/>
    <d v="2023-01-17T05:00:00"/>
    <d v="2023-01-17T10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7T11:00:00"/>
    <s v="SEGU1122949"/>
    <n v="20"/>
    <x v="2"/>
    <s v="SOSAL"/>
    <s v="SBC"/>
    <n v="59694"/>
    <s v="LOGIN ENDURANCE  036S"/>
    <n v="68023"/>
    <m/>
    <s v="EPU5990"/>
    <s v="BSG1D88"/>
    <s v="LEANDRO SOARES CAETANO"/>
    <s v="10485530864"/>
    <s v="02033192841"/>
    <n v="3252"/>
    <s v="DPW"/>
    <d v="2023-01-16T14:38:00"/>
    <s v="TRANSTEC SANTOS"/>
    <d v="2023-01-17T16:21:00"/>
    <d v="2023-01-17T07:40:00"/>
    <d v="2023-01-17T11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6T11:00:00"/>
    <s v="TCLU3041207"/>
    <n v="20"/>
    <x v="2"/>
    <s v="SOSAL"/>
    <s v="SBC"/>
    <n v="18"/>
    <s v="LOGIN ENDURANCE  036S"/>
    <n v="102970"/>
    <m/>
    <s v="AQM8D39"/>
    <s v="DPF3850"/>
    <s v="REINALDO PAZOTTO"/>
    <s v="27455658850"/>
    <s v="01286008208"/>
    <n v="3258"/>
    <s v="DPW"/>
    <d v="2023-01-16T09:20:00"/>
    <s v="TRANSTEC SANTOS"/>
    <d v="2023-01-17T15:15:00"/>
    <d v="2023-01-16T11:00:00"/>
    <d v="2023-01-16T11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6T13:00:00"/>
    <s v="TCNU6206566"/>
    <n v="40"/>
    <x v="2"/>
    <s v="SOSAL"/>
    <s v="SBC"/>
    <s v="59697 / 59698"/>
    <s v="LOGIN ENDURANCE  036S"/>
    <n v="102890"/>
    <n v="102891"/>
    <s v="FZF3E97"/>
    <s v="FXU8J10"/>
    <s v="FABIO DARIO RODRIGUES"/>
    <s v="26283419801"/>
    <s v="02002046946"/>
    <n v="3264"/>
    <s v="DPW"/>
    <d v="2023-01-16T09:31:00"/>
    <s v="TRANSTEC SANTOS"/>
    <d v="2023-01-16T14:48:00"/>
    <d v="2023-01-16T10:00:00"/>
    <d v="2023-01-16T11:15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7T08:00:00"/>
    <s v="CAIU3104016"/>
    <n v="20"/>
    <x v="1"/>
    <s v="MIAN"/>
    <s v="SBC"/>
    <n v="59489"/>
    <s v="LOGIN ENDURANCE  036S"/>
    <n v="102799"/>
    <m/>
    <s v="FXG5H10"/>
    <s v="DBC3G21"/>
    <s v="ROBERTO CARLOS BEZERRA PIRES"/>
    <s v="27455658850"/>
    <s v="01286008208"/>
    <n v="3270"/>
    <s v="DPW"/>
    <d v="2023-01-15T21:37:00"/>
    <s v="MEDLOG"/>
    <d v="2023-01-16T17:42:00"/>
    <d v="2023-01-17T07:00:00"/>
    <d v="2023-01-17T11:00:00"/>
    <n v="1600"/>
    <n v="0"/>
    <n v="1600"/>
    <n v="0"/>
    <m/>
    <m/>
    <m/>
    <n v="311.55959999999999"/>
    <n v="2596.33"/>
    <x v="0"/>
    <x v="0"/>
    <m/>
    <x v="0"/>
    <s v="SIM"/>
    <s v="SIM"/>
    <s v="SIM"/>
  </r>
  <r>
    <x v="0"/>
    <x v="0"/>
    <d v="2023-01-17T08:00:00"/>
    <s v="SEGU1029986"/>
    <n v="20"/>
    <x v="0"/>
    <s v="NEW MAX"/>
    <s v="AMERICANA"/>
    <n v="59691"/>
    <s v="LOGIN ENDURANCE  036S"/>
    <n v="102935"/>
    <m/>
    <s v="EWJ2162"/>
    <s v="ETF6391"/>
    <s v="CARLOS BUENO BALTAZAR"/>
    <n v="19279658883"/>
    <s v="01301319672"/>
    <n v="3271"/>
    <s v="DPW"/>
    <d v="2023-01-16T22:38:00"/>
    <s v="MEDLOG"/>
    <d v="2023-01-17T17:18:00"/>
    <d v="2023-01-17T07:00:00"/>
    <d v="2023-01-17T12:00:00"/>
    <n v="3200"/>
    <n v="0"/>
    <n v="3200"/>
    <n v="0"/>
    <m/>
    <m/>
    <m/>
    <n v="571.48680000000002"/>
    <n v="4762.3900000000003"/>
    <x v="0"/>
    <x v="0"/>
    <m/>
    <x v="0"/>
    <s v="SIM"/>
    <s v="SIM"/>
    <s v="SIM"/>
  </r>
  <r>
    <x v="0"/>
    <x v="0"/>
    <d v="2023-01-17T09:00:00"/>
    <s v="CAIU3022197"/>
    <n v="20"/>
    <x v="2"/>
    <s v="SOSAL"/>
    <s v="SBC"/>
    <n v="19"/>
    <s v="LOGIN ENDURANCE  036S"/>
    <n v="102969"/>
    <m/>
    <s v="BHP9483"/>
    <s v="BSF4E26"/>
    <s v="ANACLETO RODRIGUES DE SANTANA"/>
    <s v="01817591878"/>
    <s v="00821760640"/>
    <n v="3272"/>
    <s v="DPW"/>
    <d v="2023-01-16T22:10:00"/>
    <s v="TRANSTEC SANTOS"/>
    <d v="2023-01-17T12:38:00"/>
    <d v="2023-01-17T05:00:00"/>
    <d v="2023-01-17T09:5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2T07:00:00"/>
    <s v="TRHU7430661"/>
    <n v="40"/>
    <x v="3"/>
    <s v="N.SRA."/>
    <s v="VALINHOS"/>
    <s v="P10399091A"/>
    <s v="LOGIN ENDURANCE  036S"/>
    <n v="7187"/>
    <m/>
    <s v="DVT6D42"/>
    <s v="BXE2B57"/>
    <s v="ROBERTO RONALD SANTOS"/>
    <s v="27455658850"/>
    <s v="01286008208"/>
    <n v="3227"/>
    <s v="DPW"/>
    <d v="2023-01-11T23:59:00"/>
    <s v="LECHMAN"/>
    <d v="2023-01-12T22:18:00"/>
    <d v="2023-01-12T05:00:00"/>
    <d v="2023-01-12T10:00:00"/>
    <n v="3200"/>
    <n v="0"/>
    <n v="3200"/>
    <n v="0"/>
    <m/>
    <m/>
    <m/>
    <n v="558"/>
    <n v="4650"/>
    <x v="0"/>
    <x v="0"/>
    <m/>
    <x v="0"/>
    <s v="SIM"/>
    <s v="SIM"/>
    <s v="SIM"/>
  </r>
  <r>
    <x v="0"/>
    <x v="0"/>
    <d v="2023-01-12T07:00:00"/>
    <s v="SEKU4346150"/>
    <n v="40"/>
    <x v="3"/>
    <s v="N.SRA."/>
    <s v="VALINHOS"/>
    <s v="P10399091B"/>
    <s v="LOGIN ENDURANCE  036S"/>
    <n v="7199"/>
    <m/>
    <s v="LNX9650"/>
    <s v="GPC4I25"/>
    <s v="ANDREW FELIPE DE SOUZA BRUNO"/>
    <n v="36305564850"/>
    <s v="06043477724"/>
    <n v="3228"/>
    <s v="DPW"/>
    <d v="2023-01-12T00:24:00"/>
    <s v="LECHMAN"/>
    <d v="2023-01-12T17:32:00"/>
    <d v="2023-01-12T07:00:00"/>
    <d v="2023-01-12T10:00:00"/>
    <n v="3200"/>
    <n v="0"/>
    <n v="3200"/>
    <n v="0"/>
    <m/>
    <m/>
    <m/>
    <n v="558"/>
    <n v="4650"/>
    <x v="0"/>
    <x v="0"/>
    <m/>
    <x v="0"/>
    <s v="SIM"/>
    <s v="SIM"/>
    <s v="SIM"/>
  </r>
  <r>
    <x v="0"/>
    <x v="0"/>
    <d v="2023-01-13T07:00:00"/>
    <s v="TCKU7063655"/>
    <n v="40"/>
    <x v="3"/>
    <s v="N.SRA."/>
    <s v="VALINHOS"/>
    <s v="P10399091C"/>
    <s v="LOGIN ENDURANCE  036S"/>
    <n v="7216"/>
    <m/>
    <s v="FZF3E97"/>
    <s v="FXU8J10"/>
    <s v="FABIO DARIO RODRIGUES"/>
    <s v="26283419801"/>
    <s v="02002046946"/>
    <n v="3249"/>
    <s v="DPW"/>
    <d v="2023-01-12T22:22:00"/>
    <s v="LECHMAN"/>
    <d v="2023-01-14T11:41:00"/>
    <d v="2023-01-13T06:00:00"/>
    <d v="2023-01-13T11:00:00"/>
    <n v="3200"/>
    <n v="0"/>
    <n v="3200"/>
    <n v="0"/>
    <m/>
    <m/>
    <m/>
    <n v="558"/>
    <n v="4650"/>
    <x v="0"/>
    <x v="0"/>
    <m/>
    <x v="0"/>
    <s v="SIM"/>
    <s v="SIM"/>
    <s v="SIM"/>
  </r>
  <r>
    <x v="0"/>
    <x v="0"/>
    <d v="2023-01-13T07:00:00"/>
    <s v="TCNU1175225"/>
    <n v="40"/>
    <x v="3"/>
    <s v="N.SRA."/>
    <s v="VALINHOS"/>
    <s v="P10399395A"/>
    <s v="LOGIN ENDURANCE  036S"/>
    <n v="7342"/>
    <m/>
    <s v="GFL7E87"/>
    <s v="GIK5H08"/>
    <s v="JEFFERSON BATISTA ARISTIDES"/>
    <s v="34927982840"/>
    <s v="03500129879"/>
    <n v="3248"/>
    <s v="DPW"/>
    <d v="2023-01-12T21:45:00"/>
    <s v="LECHMAN"/>
    <d v="2023-01-13T18:53:00"/>
    <d v="2023-01-13T05:00:00"/>
    <d v="2023-01-13T10:00:00"/>
    <n v="3200"/>
    <n v="0"/>
    <n v="3200"/>
    <n v="0"/>
    <m/>
    <m/>
    <m/>
    <n v="558"/>
    <n v="4650"/>
    <x v="0"/>
    <x v="0"/>
    <m/>
    <x v="0"/>
    <s v="SIM"/>
    <s v="SIM"/>
    <s v="SIM"/>
  </r>
  <r>
    <x v="0"/>
    <x v="1"/>
    <d v="2023-01-12T07:00:00"/>
    <s v="GESU6620739"/>
    <n v="40"/>
    <x v="3"/>
    <s v="APYCE"/>
    <s v="SANTA BARBARA D`OESTE"/>
    <s v="P10399668A"/>
    <s v="LOGIN ENDURANCE  036S"/>
    <n v="7346"/>
    <m/>
    <s v="FZF3E97"/>
    <s v="FXU8J10"/>
    <s v="FABIO DARIO RODRIGUES"/>
    <s v="26283419801"/>
    <s v="02002046946"/>
    <n v="3219"/>
    <s v="DPW"/>
    <d v="2023-01-12T06:03:00"/>
    <s v="LECHMAN"/>
    <d v="2023-01-12T20:37:00"/>
    <d v="2023-01-12T12:00:00"/>
    <d v="2023-01-12T16:00:00"/>
    <n v="3500"/>
    <n v="0"/>
    <n v="3500"/>
    <n v="0"/>
    <m/>
    <m/>
    <m/>
    <n v="594"/>
    <n v="4950"/>
    <x v="0"/>
    <x v="0"/>
    <m/>
    <x v="2"/>
    <s v="SIM"/>
    <s v="SIM"/>
    <s v="SIM"/>
  </r>
  <r>
    <x v="0"/>
    <x v="0"/>
    <d v="2023-01-12T07:00:00"/>
    <s v="GESU6808794"/>
    <n v="40"/>
    <x v="3"/>
    <s v="APYCE"/>
    <s v="SANTA BARBARA D`OESTE"/>
    <s v="P10399668B"/>
    <s v="LOGIN ENDURANCE  036S"/>
    <n v="7392"/>
    <m/>
    <s v="GFL7E87"/>
    <s v="GIK5H08"/>
    <s v="JEFFERSON BATISTA ARISTIDES"/>
    <s v="34927982840"/>
    <s v="03500129879"/>
    <n v="3218"/>
    <s v="DPW"/>
    <d v="2023-01-11T22:57:00"/>
    <s v="LECHMAN"/>
    <d v="2023-01-12T18:43:00"/>
    <d v="2023-01-12T06:00:00"/>
    <d v="2023-01-12T12:00:00"/>
    <n v="3500"/>
    <n v="0"/>
    <n v="3500"/>
    <n v="0"/>
    <m/>
    <m/>
    <m/>
    <n v="594"/>
    <n v="4950"/>
    <x v="0"/>
    <x v="0"/>
    <m/>
    <x v="0"/>
    <s v="SIM"/>
    <s v="SIM"/>
    <s v="SIM"/>
  </r>
  <r>
    <x v="0"/>
    <x v="1"/>
    <d v="2023-01-13T07:00:00"/>
    <s v="CMAU5770760"/>
    <n v="40"/>
    <x v="3"/>
    <s v="APYCE"/>
    <s v="SANTA BARBARA D`OESTE"/>
    <s v="P10399668C"/>
    <s v="LOGIN ENDURANCE  036S"/>
    <n v="7398"/>
    <m/>
    <s v="DDL8B54"/>
    <s v="FUR2F35"/>
    <s v="WILTON SILVA BARBOSA"/>
    <s v="27455658850"/>
    <s v="01286008208"/>
    <n v="3250"/>
    <s v="DPW"/>
    <d v="2023-01-13T08:27:00"/>
    <s v="LECHMAN"/>
    <d v="2023-01-14T08:14:00"/>
    <d v="2023-01-13T13:00:00"/>
    <d v="2023-01-13T17:00:00"/>
    <n v="3500"/>
    <n v="0"/>
    <n v="3500"/>
    <n v="0"/>
    <m/>
    <m/>
    <m/>
    <n v="594"/>
    <n v="4950"/>
    <x v="0"/>
    <x v="0"/>
    <m/>
    <x v="4"/>
    <s v="SIM"/>
    <s v="SIM"/>
    <s v="SIM"/>
  </r>
  <r>
    <x v="0"/>
    <x v="0"/>
    <d v="2023-01-19T08:00:00"/>
    <s v="GLDU7700413"/>
    <n v="40"/>
    <x v="0"/>
    <s v="DOREMUS"/>
    <s v="GUARULHOS"/>
    <n v="122"/>
    <s v="LOGIN JATOBA 236S "/>
    <n v="103075"/>
    <m/>
    <s v="GFL7E87"/>
    <s v="GIK5H08"/>
    <s v="JEFFERSON BATISTA ARISTIDES"/>
    <s v="34927982840"/>
    <s v="03500129879"/>
    <n v="3283"/>
    <s v="DPW"/>
    <d v="2023-01-19T05:00:00"/>
    <s v="MEDLOG"/>
    <d v="2023-01-19T14:54:00"/>
    <d v="2023-01-19T08:00:00"/>
    <d v="2023-01-19T11:00:00"/>
    <n v="2100"/>
    <n v="0"/>
    <n v="2100"/>
    <n v="0"/>
    <m/>
    <m/>
    <m/>
    <n v="370.37759999999997"/>
    <n v="3086.48"/>
    <x v="0"/>
    <x v="0"/>
    <m/>
    <x v="0"/>
    <s v="SIM"/>
    <s v="SIM"/>
    <s v="SIM"/>
  </r>
  <r>
    <x v="0"/>
    <x v="1"/>
    <d v="2023-01-19T08:00:00"/>
    <s v="GESU5985476"/>
    <n v="40"/>
    <x v="0"/>
    <s v="DOREMUS"/>
    <s v="GUARULHOS"/>
    <n v="120"/>
    <s v="LOGIN JATOBA 236S "/>
    <n v="103111"/>
    <m/>
    <s v="BXD2J87 "/>
    <s v="ESU7272"/>
    <s v="AGEILSON ANTONIO DA SILVA"/>
    <s v="09085263425"/>
    <s v="04557705505"/>
    <n v="3282"/>
    <s v="DPW"/>
    <d v="2023-01-19T05:00:00"/>
    <s v="MEDLOG"/>
    <d v="2023-01-19T14:29:00"/>
    <d v="2023-01-19T09:00:00"/>
    <d v="2023-01-19T11:00:00"/>
    <n v="2100"/>
    <n v="0"/>
    <n v="2100"/>
    <n v="0"/>
    <m/>
    <m/>
    <m/>
    <n v="370.37759999999997"/>
    <n v="3086.48"/>
    <x v="0"/>
    <x v="0"/>
    <m/>
    <x v="2"/>
    <s v="SIM"/>
    <s v="SIM"/>
    <s v="SIM"/>
  </r>
  <r>
    <x v="0"/>
    <x v="1"/>
    <d v="2023-01-19T08:00:00"/>
    <s v="CAIU8811808"/>
    <n v="40"/>
    <x v="0"/>
    <s v="DOREMUS"/>
    <s v="GUARULHOS"/>
    <n v="121"/>
    <s v="LOGIN JATOBA 236S "/>
    <n v="103120"/>
    <m/>
    <s v="DFT0E47"/>
    <s v="BVT0E67"/>
    <s v="ALMIR CARDOSO DOS SANTOS "/>
    <s v="09776430856"/>
    <s v="01258979905"/>
    <n v="3281"/>
    <s v="DPW"/>
    <d v="2023-01-19T05:00:00"/>
    <s v="MEDLOG"/>
    <d v="2023-01-19T15:09:00"/>
    <d v="2023-01-19T09:00:00"/>
    <d v="2023-01-19T11:00:00"/>
    <n v="2100"/>
    <n v="0"/>
    <n v="2100"/>
    <n v="0"/>
    <m/>
    <m/>
    <m/>
    <n v="370.37759999999997"/>
    <n v="3086.48"/>
    <x v="0"/>
    <x v="0"/>
    <m/>
    <x v="2"/>
    <s v="SIM"/>
    <s v="SIM"/>
    <s v="SIM"/>
  </r>
  <r>
    <x v="0"/>
    <x v="1"/>
    <d v="2023-01-19T07:00:00"/>
    <s v="TCNU7723542"/>
    <n v="40"/>
    <x v="0"/>
    <s v="BUNGE"/>
    <s v="SANTOS"/>
    <n v="124"/>
    <s v="LOGIN JATOBA 236S "/>
    <n v="103162"/>
    <m/>
    <s v="FZF3E97 "/>
    <s v="FXU8J10"/>
    <s v="FABIO DARIO RODRIGUES "/>
    <s v="26283419801"/>
    <s v="02002046946"/>
    <n v="3279"/>
    <s v="DPW"/>
    <d v="2023-01-19T06:00:00"/>
    <s v="MEDLOG"/>
    <d v="2023-01-19T15:03:00"/>
    <d v="2023-01-19T08:00:00"/>
    <d v="2023-01-19T11:00:00"/>
    <n v="0"/>
    <n v="0"/>
    <n v="0"/>
    <n v="0"/>
    <m/>
    <m/>
    <m/>
    <n v="234"/>
    <n v="1950"/>
    <x v="0"/>
    <x v="0"/>
    <m/>
    <x v="2"/>
    <s v="SIM"/>
    <s v="SIM"/>
    <s v="SIM"/>
  </r>
  <r>
    <x v="0"/>
    <x v="0"/>
    <d v="2023-01-19T11:00:00"/>
    <s v="CAIU3309865"/>
    <n v="20"/>
    <x v="2"/>
    <s v="SOSAL"/>
    <s v="SBC"/>
    <n v="158"/>
    <s v="LOGIN JATOBA 236S "/>
    <n v="103045"/>
    <m/>
    <s v="MRB4D47"/>
    <s v="CPJ5G64"/>
    <s v="JOSE EURIPEDES PEREIRA"/>
    <s v="87607395849"/>
    <s v="01842622116"/>
    <n v="3275"/>
    <s v="DPW"/>
    <d v="2023-01-18T23:00:00"/>
    <s v="TRANSTEC SANTOS"/>
    <d v="2023-01-19T13:48:00"/>
    <d v="2023-01-19T06:00:00"/>
    <d v="2023-01-19T10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9T09:00:00"/>
    <s v="CAIU3159913"/>
    <n v="20"/>
    <x v="2"/>
    <s v="SOSAL"/>
    <s v="SBC"/>
    <n v="161"/>
    <s v="LOGIN JATOBA 236S "/>
    <n v="112224"/>
    <m/>
    <s v="BHP9483"/>
    <s v="BSF4E26"/>
    <s v="ANACLETO RODRIGUES DE SANTANA"/>
    <s v="01817591878"/>
    <s v="00821760640"/>
    <n v="3276"/>
    <s v="DPW"/>
    <d v="2023-01-18T23:00:00"/>
    <s v="TRANSTEC SANTOS"/>
    <d v="2023-01-19T11:58:00"/>
    <d v="2023-01-19T06:00:00"/>
    <d v="2023-01-19T11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9T09:00:00"/>
    <s v="SEGU1179841"/>
    <n v="20"/>
    <x v="2"/>
    <s v="SOSAL"/>
    <s v="SBC"/>
    <n v="159"/>
    <s v="LOGIN JATOBA 236S "/>
    <n v="68090"/>
    <m/>
    <s v="KBK0D67"/>
    <s v="CPN9C57"/>
    <s v="EVANDRO DE FREITAS ROSA"/>
    <s v="03605652476"/>
    <s v="00910837259"/>
    <n v="3280"/>
    <s v="DPW"/>
    <d v="2023-01-18T23:00:00"/>
    <s v="TRANSTEC SANTOS"/>
    <d v="2023-01-19T13:37:00"/>
    <d v="2023-01-19T06:00:00"/>
    <d v="2023-01-19T10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19T08:00:00"/>
    <s v="TCLU3463959"/>
    <n v="20"/>
    <x v="0"/>
    <s v="ADESTE"/>
    <s v="SANTO ANDRE"/>
    <n v="135"/>
    <s v="LOGIN JATOBA 236S "/>
    <n v="103161"/>
    <m/>
    <s v="FXG5H10"/>
    <s v="DBC3G21"/>
    <s v="ROBERTO CARLOS BEZERRA PIRES"/>
    <s v="27455658850"/>
    <s v="01286008208"/>
    <n v="3274"/>
    <s v="DPW"/>
    <d v="2023-01-18T23:00:00"/>
    <s v="DEPOTCE"/>
    <d v="2023-01-19T13:37:00"/>
    <d v="2023-01-19T07:00:00"/>
    <d v="2023-01-19T11:00:00"/>
    <n v="1600"/>
    <n v="0"/>
    <n v="1600"/>
    <n v="0"/>
    <m/>
    <m/>
    <m/>
    <n v="415.74719999999996"/>
    <n v="3464.56"/>
    <x v="0"/>
    <x v="0"/>
    <m/>
    <x v="0"/>
    <s v="SIM"/>
    <s v="SIM"/>
    <s v="SIM"/>
  </r>
  <r>
    <x v="0"/>
    <x v="0"/>
    <d v="2023-01-20T08:00:00"/>
    <s v="SEGU1076571"/>
    <n v="20"/>
    <x v="0"/>
    <s v="PENINA"/>
    <s v="VL. INDEPENDENTE"/>
    <n v="133"/>
    <s v="LOGIN JATOBA 236S "/>
    <n v="103073"/>
    <m/>
    <s v="EPU5990"/>
    <s v="BSG1D88"/>
    <s v="LEANDRO SOARES CAETANO"/>
    <s v="10485530864"/>
    <s v="02033192841"/>
    <n v="3290"/>
    <s v="DPW"/>
    <d v="2023-01-20T05:00:00"/>
    <s v="MEDLOG"/>
    <d v="2023-01-20T14:53:00"/>
    <d v="2023-01-20T08:00:00"/>
    <d v="2023-01-20T11:00:00"/>
    <n v="1900"/>
    <n v="0"/>
    <n v="1900"/>
    <n v="700"/>
    <m/>
    <m/>
    <m/>
    <n v="447.91919999999999"/>
    <n v="3732.66"/>
    <x v="0"/>
    <x v="0"/>
    <m/>
    <x v="0"/>
    <s v="SIM"/>
    <s v="SIM"/>
    <s v="SIM"/>
  </r>
  <r>
    <x v="0"/>
    <x v="0"/>
    <d v="2023-01-20T08:00:00"/>
    <s v="TCLU3042184"/>
    <n v="20"/>
    <x v="0"/>
    <s v="CHARQUE CAMPEAO"/>
    <s v="SANTANA DE PARNAIBA"/>
    <n v="134"/>
    <s v="LOGIN JATOBA 236S "/>
    <n v="112225"/>
    <m/>
    <s v="EWJ2162"/>
    <s v="ETF6391"/>
    <s v="CARLOS BUENO BALTAZAR"/>
    <n v="19279658883"/>
    <s v="01301319672"/>
    <n v="3291"/>
    <s v="DPW"/>
    <d v="2023-01-19T23:00:00"/>
    <s v="MEDLOG"/>
    <d v="2023-01-20T14:53:00"/>
    <d v="2023-01-20T07:00:00"/>
    <d v="2023-01-20T09:30:00"/>
    <n v="2200"/>
    <n v="0"/>
    <n v="2200"/>
    <n v="0"/>
    <m/>
    <m/>
    <m/>
    <n v="399.62399999999997"/>
    <n v="3330.2"/>
    <x v="0"/>
    <x v="0"/>
    <m/>
    <x v="0"/>
    <s v="SIM"/>
    <s v="SIM"/>
    <s v="SIM"/>
  </r>
  <r>
    <x v="0"/>
    <x v="0"/>
    <d v="2023-01-20T09:00:00"/>
    <s v="TCLU3059269"/>
    <n v="20"/>
    <x v="2"/>
    <s v="SOSAL"/>
    <s v="SBC"/>
    <n v="157"/>
    <s v="LOGIN JATOBA 236S "/>
    <n v="103044"/>
    <m/>
    <s v="BHP9483"/>
    <s v="BSF4E26"/>
    <s v="ANACLETO RODRIGUES DE SANTANA"/>
    <s v="01817591878"/>
    <s v="00821760640"/>
    <n v="3319"/>
    <s v="DPW"/>
    <d v="2023-01-19T23:00:00"/>
    <s v="TRANSTEC SANTOS"/>
    <d v="2023-01-20T14:14:00"/>
    <d v="2023-01-20T07:00:00"/>
    <d v="2023-01-20T10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20T09:00:00"/>
    <s v="TCLU3465170"/>
    <n v="20"/>
    <x v="2"/>
    <s v="SOSAL"/>
    <s v="SBC"/>
    <n v="160"/>
    <s v="LOGIN JATOBA 236S "/>
    <n v="68091"/>
    <m/>
    <s v="KBK0D67"/>
    <s v="CPN9C57"/>
    <s v="EVANDRO DE FREITAS ROSA"/>
    <s v="03605652476"/>
    <s v="00910837259"/>
    <n v="3293"/>
    <s v="DPW"/>
    <d v="2023-01-19T23:00:00"/>
    <s v="DEPOTCE"/>
    <d v="2023-01-21T14:14:00"/>
    <d v="2023-01-20T07:00:00"/>
    <d v="2023-01-20T10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20T08:00:00"/>
    <s v="SEGU4053461"/>
    <n v="40"/>
    <x v="0"/>
    <s v="DOREMUS"/>
    <s v="GUARULHOS"/>
    <n v="123"/>
    <s v="LOGIN JATOBA 236S "/>
    <n v="103121"/>
    <m/>
    <s v="FUS3314"/>
    <s v="DTB6F84"/>
    <s v="RENATO FERREIRA "/>
    <s v="27455658850"/>
    <s v="01286008208"/>
    <n v="3294"/>
    <s v="DPW"/>
    <d v="2023-01-20T05:00:00"/>
    <s v="MEDLOG"/>
    <d v="2023-01-20T20:36:00"/>
    <d v="2023-01-20T08:00:00"/>
    <d v="2023-01-20T10:00:00"/>
    <n v="2000"/>
    <n v="0"/>
    <n v="2000"/>
    <n v="0"/>
    <m/>
    <m/>
    <m/>
    <n v="370.37759999999997"/>
    <n v="3086.48"/>
    <x v="0"/>
    <x v="0"/>
    <m/>
    <x v="0"/>
    <s v="SIM"/>
    <s v="SIM"/>
    <s v="SIM"/>
  </r>
  <r>
    <x v="0"/>
    <x v="0"/>
    <d v="2023-01-20T08:00:00"/>
    <s v="AMFU8942327"/>
    <n v="40"/>
    <x v="0"/>
    <s v="BR SPICE"/>
    <s v="JANDIRA"/>
    <n v="117"/>
    <s v="LOGIN JATOBA 236S "/>
    <n v="103043"/>
    <m/>
    <s v="FEI9J41"/>
    <s v="NKB0I82"/>
    <s v="JOAO EUDES CORDEIRO DA SILVA"/>
    <s v="13990937898"/>
    <s v="01825123407"/>
    <n v="3295"/>
    <s v="DPW"/>
    <d v="2023-01-20T05:00:00"/>
    <s v="MEDLOG"/>
    <d v="2023-01-20T13:50:00"/>
    <d v="2023-01-20T08:00:00"/>
    <d v="2023-01-20T11:00:00"/>
    <n v="1400"/>
    <n v="900"/>
    <n v="2300"/>
    <n v="0"/>
    <m/>
    <m/>
    <m/>
    <n v="392.15039999999999"/>
    <n v="3267.92"/>
    <x v="0"/>
    <x v="0"/>
    <m/>
    <x v="0"/>
    <s v="SIM"/>
    <s v="SIM"/>
    <s v="SIM"/>
  </r>
  <r>
    <x v="0"/>
    <x v="0"/>
    <d v="2023-01-23T08:00:00"/>
    <s v="TRHU2074280"/>
    <n v="20"/>
    <x v="1"/>
    <s v="MIAN"/>
    <s v="SBC"/>
    <n v="136"/>
    <s v="LOGIN JATOBA 236S "/>
    <n v="103160"/>
    <m/>
    <s v="FXG5H10"/>
    <s v="DBC3G21"/>
    <s v="ROBERTO CARLOS BEZERRA PIRES"/>
    <s v="27455658850"/>
    <s v="01286008208"/>
    <n v="3299"/>
    <s v="DPW"/>
    <d v="2023-01-22T23:00:00"/>
    <s v="DEPOTCE"/>
    <d v="2023-01-23T17:32:00"/>
    <d v="2023-01-23T06:00:00"/>
    <d v="2023-01-23T11:00:00"/>
    <n v="1600"/>
    <n v="0"/>
    <n v="1600"/>
    <n v="0"/>
    <m/>
    <m/>
    <m/>
    <n v="311.55959999999999"/>
    <n v="2596.33"/>
    <x v="0"/>
    <x v="0"/>
    <m/>
    <x v="0"/>
    <s v="NÃO"/>
    <s v="SIM"/>
    <s v="SIM"/>
  </r>
  <r>
    <x v="0"/>
    <x v="0"/>
    <d v="2023-01-23T08:00:00"/>
    <s v="CAIU3403110"/>
    <n v="20"/>
    <x v="0"/>
    <s v="MOINHO ROMANIZ"/>
    <s v="ITAQUERA"/>
    <n v="132"/>
    <s v="LOGIN JATOBA 236S "/>
    <n v="103074"/>
    <m/>
    <s v="EPU5990"/>
    <s v="BSG1D88"/>
    <s v="LEANDRO SOARES CAETANO"/>
    <s v="10485530864"/>
    <s v="02033192841"/>
    <n v="3300"/>
    <s v="DPW"/>
    <d v="2023-01-22T23:00:00"/>
    <s v="MEDLOG"/>
    <d v="2023-01-23T17:32:00"/>
    <d v="2023-01-23T08:00:00"/>
    <d v="2023-01-23T11:00:00"/>
    <n v="2000"/>
    <n v="0"/>
    <n v="2000"/>
    <n v="0"/>
    <m/>
    <m/>
    <m/>
    <n v="355.75439999999998"/>
    <n v="2964.62"/>
    <x v="0"/>
    <x v="0"/>
    <m/>
    <x v="0"/>
    <s v="SIM"/>
    <s v="SIM"/>
    <s v="SIM"/>
  </r>
  <r>
    <x v="0"/>
    <x v="0"/>
    <d v="2023-01-23T09:00:00"/>
    <s v="FCIU4501211"/>
    <n v="20"/>
    <x v="2"/>
    <s v="SOSAL"/>
    <s v="SBC"/>
    <n v="221"/>
    <s v="LOGIN JATOBA 236S "/>
    <n v="103158"/>
    <m/>
    <s v="BHP9483"/>
    <s v="BSF4E26"/>
    <s v="ANACLETO RODRIGUES DE SANTANA"/>
    <s v="01817591878"/>
    <s v="00821760640"/>
    <n v="3301"/>
    <s v="DPW"/>
    <d v="2023-01-22T23:00:00"/>
    <s v="DELTA TERMINAIS "/>
    <d v="2023-01-23T12:17:00"/>
    <d v="2023-01-23T08:30:00"/>
    <d v="2023-01-23T11:00:00"/>
    <n v="1600"/>
    <n v="0"/>
    <n v="1600"/>
    <n v="0"/>
    <m/>
    <m/>
    <m/>
    <n v="288"/>
    <n v="2400"/>
    <x v="0"/>
    <x v="0"/>
    <m/>
    <x v="0"/>
    <s v="NÃO"/>
    <s v="SIM"/>
    <s v="SIM"/>
  </r>
  <r>
    <x v="0"/>
    <x v="0"/>
    <d v="2023-01-23T09:00:00"/>
    <s v="TCNU6240468"/>
    <n v="40"/>
    <x v="2"/>
    <s v="SOSAL"/>
    <s v="SBC"/>
    <s v="219 / 220"/>
    <s v="LOGIN JATOBA 236S "/>
    <n v="103159"/>
    <n v="103167"/>
    <s v="KBK0D67"/>
    <s v="CPN9C57"/>
    <s v="EVANDRO DE FREITAS ROSA"/>
    <s v="03605652476"/>
    <s v="00910837259"/>
    <s v="3303 / 3316"/>
    <s v="DPW"/>
    <d v="2023-01-22T23:00:00"/>
    <s v="TRANSTEC SANTOS"/>
    <d v="2023-01-23T15:10:00"/>
    <d v="2023-01-23T06:00:00"/>
    <d v="2023-01-23T09:00:00"/>
    <n v="1600"/>
    <n v="0"/>
    <n v="1600"/>
    <n v="0"/>
    <m/>
    <m/>
    <m/>
    <n v="288"/>
    <n v="2400"/>
    <x v="0"/>
    <x v="0"/>
    <m/>
    <x v="0"/>
    <s v="NÃO"/>
    <s v="SIM"/>
    <s v="SIM"/>
  </r>
  <r>
    <x v="0"/>
    <x v="0"/>
    <d v="2023-01-23T08:00:00"/>
    <s v="CAIU8783347"/>
    <n v="40"/>
    <x v="0"/>
    <s v="AJINOMOTO"/>
    <s v="LIMEIRA"/>
    <n v="119"/>
    <s v="LOGIN JATOBA 236S "/>
    <n v="103068"/>
    <n v="103069"/>
    <s v="AHP6I00"/>
    <s v="GKF6G84"/>
    <s v="PAULO ROBERTO GERMANO "/>
    <s v="27455658850"/>
    <s v="01286008208"/>
    <n v="3302"/>
    <s v="DPW"/>
    <d v="2023-01-22T23:00:00"/>
    <s v="MEDLOG"/>
    <d v="2023-01-23T15:10:00"/>
    <d v="2023-01-23T07:00:00"/>
    <d v="2023-01-23T11:00:00"/>
    <n v="2500"/>
    <n v="900"/>
    <n v="3400"/>
    <n v="0"/>
    <m/>
    <m/>
    <m/>
    <n v="558.28440000000001"/>
    <n v="4652.37"/>
    <x v="0"/>
    <x v="0"/>
    <m/>
    <x v="0"/>
    <s v="NÃO"/>
    <s v="SIM"/>
    <s v="SIM"/>
  </r>
  <r>
    <x v="0"/>
    <x v="0"/>
    <d v="2023-01-24T08:00:00"/>
    <s v="TCLU8207348"/>
    <n v="40"/>
    <x v="0"/>
    <s v="FLUIDrA"/>
    <s v="VALINHOS"/>
    <n v="118"/>
    <s v="LOGIN JATOBA 236S "/>
    <n v="103034"/>
    <m/>
    <s v="DDL8B54"/>
    <s v="FEI4012"/>
    <s v="WILTON SILVA BARBOSA"/>
    <s v="27455658850"/>
    <s v="01286008208"/>
    <n v="3314"/>
    <s v="DPW"/>
    <d v="2023-01-23T15:00:00"/>
    <s v="MEDLOG"/>
    <d v="2023-01-24T14:04:00"/>
    <d v="2023-01-24T07:00:00"/>
    <d v="2023-01-24T11:00:00"/>
    <n v="476.6"/>
    <n v="0"/>
    <n v="476.6"/>
    <n v="0"/>
    <n v="3245.68"/>
    <m/>
    <n v="596.4"/>
    <n v="523.91999999999996"/>
    <n v="4366"/>
    <x v="0"/>
    <x v="0"/>
    <m/>
    <x v="0"/>
    <s v="SIM"/>
    <s v="SIM"/>
    <s v="SIM"/>
  </r>
  <r>
    <x v="0"/>
    <x v="0"/>
    <d v="2023-01-24T08:00:00"/>
    <s v="SEGU1063105"/>
    <n v="20"/>
    <x v="0"/>
    <s v="NEW MAX"/>
    <s v="AMERICANA"/>
    <n v="129"/>
    <s v="LOGIN JATOBA 236S "/>
    <n v="103076"/>
    <m/>
    <s v="EPU5990"/>
    <s v="BSG1D88"/>
    <s v="LEANDRO SOARES CAETANO"/>
    <s v="10485530864"/>
    <s v="02033192841"/>
    <n v="3306"/>
    <s v="DPW"/>
    <d v="2023-01-23T21:00:00"/>
    <s v="MEDLOG"/>
    <d v="2023-01-24T14:05:00"/>
    <d v="2023-01-24T06:00:00"/>
    <d v="2023-01-24T11:00:00"/>
    <n v="3200"/>
    <n v="0"/>
    <n v="3200"/>
    <n v="0"/>
    <m/>
    <m/>
    <m/>
    <n v="571.48680000000002"/>
    <n v="4762.3900000000003"/>
    <x v="0"/>
    <x v="0"/>
    <m/>
    <x v="0"/>
    <s v="SIM"/>
    <s v="SIM"/>
    <s v="SIM"/>
  </r>
  <r>
    <x v="0"/>
    <x v="0"/>
    <d v="2023-01-24T08:00:00"/>
    <s v="TCLU2965593"/>
    <n v="20"/>
    <x v="0"/>
    <s v="NEW MAX"/>
    <s v="AMERICANA"/>
    <n v="128"/>
    <s v="LOGIN JATOBA 236S "/>
    <n v="103077"/>
    <m/>
    <s v="EWJ2162"/>
    <s v="ETF6391"/>
    <s v="CARLOS BUENO BALTAZAR"/>
    <n v="19279658883"/>
    <s v="01301319672"/>
    <n v="3307"/>
    <s v="DPW"/>
    <d v="2023-01-23T21:00:00"/>
    <s v="MEDLOG"/>
    <d v="2023-01-24T14:11:00"/>
    <d v="2023-01-24T06:00:00"/>
    <d v="2023-01-24T11:00:00"/>
    <n v="3200"/>
    <n v="0"/>
    <n v="3200"/>
    <n v="0"/>
    <m/>
    <m/>
    <m/>
    <n v="571.48680000000002"/>
    <n v="4762.3900000000003"/>
    <x v="0"/>
    <x v="0"/>
    <m/>
    <x v="0"/>
    <s v="SIM"/>
    <s v="SIM"/>
    <s v="SIM"/>
  </r>
  <r>
    <x v="0"/>
    <x v="0"/>
    <d v="2023-01-24T08:00:00"/>
    <s v="TCLU3461848"/>
    <n v="20"/>
    <x v="1"/>
    <s v="MIAN"/>
    <s v="SBC"/>
    <n v="127"/>
    <s v="LOGIN JATOBA 236S "/>
    <n v="112039"/>
    <m/>
    <s v="CGS0A65"/>
    <s v="CPJ5G64"/>
    <s v="MARCOS PAULO NUNES"/>
    <n v="16239341843"/>
    <s v="01877235038"/>
    <n v="3308"/>
    <s v="DPW"/>
    <d v="2023-01-23T21:00:00"/>
    <s v="DEPOTCE"/>
    <d v="2023-01-24T11:55:00"/>
    <d v="2023-01-24T05:00:00"/>
    <d v="2023-01-24T09:00:00"/>
    <n v="1600"/>
    <n v="0"/>
    <n v="1600"/>
    <n v="0"/>
    <m/>
    <m/>
    <m/>
    <n v="311.55959999999999"/>
    <n v="2596.33"/>
    <x v="0"/>
    <x v="0"/>
    <m/>
    <x v="0"/>
    <s v="SIM"/>
    <s v="SIM"/>
    <s v="SIM"/>
  </r>
  <r>
    <x v="0"/>
    <x v="0"/>
    <d v="2023-01-24T08:00:00"/>
    <s v="CAIU3159220"/>
    <n v="20"/>
    <x v="1"/>
    <s v="MIAN"/>
    <s v="SBC"/>
    <n v="126"/>
    <s v="LOGIN JATOBA 236S "/>
    <n v="112038"/>
    <n v="103017"/>
    <s v="FXG5H10"/>
    <s v="DBC3G21"/>
    <s v="ROBERTO CARLOS BEZERRA PIRES"/>
    <s v="27455658850"/>
    <s v="01286008208"/>
    <s v="3309-3310"/>
    <s v="DPW"/>
    <d v="2023-01-23T21:00:00"/>
    <s v="TRANSTEC SANTOS"/>
    <d v="2023-01-24T14:22:00"/>
    <d v="2023-01-24T05:00:00"/>
    <d v="2023-01-24T10:00:00"/>
    <n v="1600"/>
    <n v="0"/>
    <n v="1600"/>
    <n v="0"/>
    <m/>
    <m/>
    <m/>
    <n v="311.55959999999999"/>
    <n v="2596.33"/>
    <x v="0"/>
    <x v="0"/>
    <m/>
    <x v="0"/>
    <s v="SIM"/>
    <s v="SIM"/>
    <s v="SIM"/>
  </r>
  <r>
    <x v="0"/>
    <x v="0"/>
    <d v="2023-01-24T08:00:00"/>
    <s v="CAIU3410525"/>
    <n v="20"/>
    <x v="0"/>
    <s v="VILHETO"/>
    <s v="BARUERI"/>
    <n v="131"/>
    <s v="LOGIN JATOBA 236S "/>
    <n v="112155"/>
    <m/>
    <s v="APV1B33"/>
    <s v="CPN9654"/>
    <s v="JOSE AFONSO FERREIRA"/>
    <s v="15818591808"/>
    <s v="02670671608"/>
    <n v="3311"/>
    <s v="DPW"/>
    <d v="2023-01-23T21:00:00"/>
    <s v="MEDLOG"/>
    <d v="2023-01-24T15:46:00"/>
    <d v="2023-01-24T06:00:00"/>
    <d v="2023-01-24T11:00:00"/>
    <n v="2200"/>
    <n v="0"/>
    <n v="2200"/>
    <n v="0"/>
    <m/>
    <m/>
    <m/>
    <n v="510.26519999999999"/>
    <n v="4252.21"/>
    <x v="0"/>
    <x v="0"/>
    <m/>
    <x v="0"/>
    <s v="SIM"/>
    <s v="SIM"/>
    <s v="SIM"/>
  </r>
  <r>
    <x v="0"/>
    <x v="0"/>
    <d v="2023-01-24T08:00:00"/>
    <s v="TCLU3040690"/>
    <n v="20"/>
    <x v="0"/>
    <s v="VILHETO"/>
    <s v="BARUERI"/>
    <n v="130"/>
    <s v="LOGIN JATOBA 236S "/>
    <n v="112156"/>
    <m/>
    <s v="BYA0806"/>
    <s v="BWN2701"/>
    <s v="MIGUEL ARNOLD"/>
    <s v="10838670830"/>
    <s v="01808675938"/>
    <n v="3317"/>
    <s v="DPW"/>
    <d v="2023-01-23T21:00:00"/>
    <s v="MEDLOG"/>
    <d v="2023-01-20T07:00:00"/>
    <d v="2023-01-24T06:00:00"/>
    <d v="2023-01-24T11:00:00"/>
    <n v="2200"/>
    <n v="0"/>
    <n v="2200"/>
    <n v="0"/>
    <m/>
    <m/>
    <m/>
    <n v="510.26519999999999"/>
    <n v="4252.21"/>
    <x v="0"/>
    <x v="0"/>
    <m/>
    <x v="0"/>
    <s v="SIM"/>
    <s v="SIM"/>
    <s v="SIM"/>
  </r>
  <r>
    <x v="0"/>
    <x v="1"/>
    <d v="2023-01-19T07:00:00"/>
    <s v="GESU1307212"/>
    <n v="20"/>
    <x v="3"/>
    <s v="LN"/>
    <s v="ITAPEVI"/>
    <s v="P10399394A"/>
    <s v="LOGIN JATOBA 236S "/>
    <n v="7212"/>
    <m/>
    <s v="BYA0806"/>
    <s v="BWN2701"/>
    <s v="MIGUEL ARNOLD"/>
    <s v="10838670830"/>
    <s v="01808675938"/>
    <n v="3284"/>
    <s v="DPW"/>
    <d v="2023-01-19T05:00:00"/>
    <s v="LECHMAN"/>
    <d v="2023-01-21T07:03:00"/>
    <d v="2023-01-19T08:00:00"/>
    <d v="2023-01-19T11:00:00"/>
    <n v="2200"/>
    <n v="200"/>
    <n v="2400"/>
    <n v="0"/>
    <m/>
    <m/>
    <m/>
    <n v="414"/>
    <n v="3450"/>
    <x v="0"/>
    <x v="0"/>
    <m/>
    <x v="2"/>
    <s v="SIM"/>
    <s v="SIM"/>
    <s v="SIM"/>
  </r>
  <r>
    <x v="0"/>
    <x v="1"/>
    <d v="2023-01-20T07:00:00"/>
    <s v="ECMU1730823"/>
    <n v="20"/>
    <x v="3"/>
    <s v="LN"/>
    <s v="ITAPEVI"/>
    <s v="P10399394B"/>
    <s v="LOGIN JATOBA 236S "/>
    <n v="7213"/>
    <m/>
    <s v="BYA0806"/>
    <s v="BWN2701"/>
    <s v="MIGUEL ARNOLD"/>
    <s v="10838670830"/>
    <s v="01808675938"/>
    <n v="3296"/>
    <s v="DPW"/>
    <d v="2023-01-20T09:00:00"/>
    <s v="LECHMAN"/>
    <d v="2023-01-21T07:26:00"/>
    <d v="2023-01-20T11:00:00"/>
    <d v="2023-01-20T15:00:00"/>
    <n v="2400"/>
    <n v="0"/>
    <n v="2400"/>
    <n v="0"/>
    <m/>
    <m/>
    <m/>
    <n v="414"/>
    <n v="3450"/>
    <x v="0"/>
    <x v="0"/>
    <m/>
    <x v="2"/>
    <s v="SIM"/>
    <s v="SIM"/>
    <s v="SIM"/>
  </r>
  <r>
    <x v="0"/>
    <x v="0"/>
    <d v="2023-01-20T07:00:00"/>
    <s v="CMAU5196014"/>
    <n v="40"/>
    <x v="3"/>
    <s v="N.SRA."/>
    <s v="VALINHOS"/>
    <s v="P10400091A"/>
    <s v="LOGIN JATOBA 236S "/>
    <n v="7531"/>
    <m/>
    <s v="DDL8B54"/>
    <s v="FUR2F35"/>
    <s v="WILTON SILVA BARBOSA"/>
    <s v="27455658850"/>
    <s v="01286008208"/>
    <s v="3297 / 3329"/>
    <s v="DPW"/>
    <d v="2023-01-20T00:00:00"/>
    <s v="DPW"/>
    <d v="2023-01-23T13:25:00"/>
    <d v="2023-01-20T06:00:00"/>
    <d v="2023-01-20T11:00:00"/>
    <n v="518.6"/>
    <n v="0"/>
    <n v="518.6"/>
    <n v="0"/>
    <m/>
    <m/>
    <m/>
    <n v="0"/>
    <m/>
    <x v="0"/>
    <x v="0"/>
    <m/>
    <x v="0"/>
    <s v="SIM"/>
    <s v="SIM"/>
    <s v="SIM"/>
  </r>
  <r>
    <x v="0"/>
    <x v="0"/>
    <d v="2023-01-23T07:00:00"/>
    <s v="TGHU8860665"/>
    <n v="40"/>
    <x v="3"/>
    <s v="APYCE"/>
    <s v="SANTA BARBARA D`OESTE"/>
    <s v="P10399921A"/>
    <s v="LOGIN JATOBA 236S "/>
    <n v="7522"/>
    <m/>
    <s v="FZF3E97"/>
    <s v="FXU8J10"/>
    <s v="FABIO DARIO RODRIGUES"/>
    <s v="26283419801"/>
    <s v="02002046946"/>
    <n v="3305"/>
    <s v="DPW"/>
    <d v="2023-01-23T00:00:00"/>
    <s v="DELTA TERMINAIS "/>
    <d v="2023-01-24T08:36:00"/>
    <d v="2023-01-23T06:00:00"/>
    <d v="2023-01-23T10:00:00"/>
    <n v="3500"/>
    <n v="0"/>
    <n v="3500"/>
    <n v="0"/>
    <m/>
    <m/>
    <m/>
    <n v="0"/>
    <m/>
    <x v="0"/>
    <x v="0"/>
    <m/>
    <x v="0"/>
    <s v="SIM"/>
    <s v="SIM"/>
    <s v="SIM"/>
  </r>
  <r>
    <x v="0"/>
    <x v="0"/>
    <d v="2023-01-20T07:00:00"/>
    <s v="TCNU8651679"/>
    <n v="40"/>
    <x v="3"/>
    <s v="N.SRA."/>
    <s v="VALINHOS"/>
    <s v="P10399921B"/>
    <s v="LOGIN JATOBA 236S "/>
    <n v="7525"/>
    <m/>
    <s v="LNX9650"/>
    <s v="GPC4I25"/>
    <s v="EVANDRO DE FREITAS ROSA"/>
    <s v="03605652476"/>
    <s v="00910837259"/>
    <s v="3298 / 3330"/>
    <s v="DPW"/>
    <d v="2023-01-19T23:00:00"/>
    <s v="LECHMAN"/>
    <d v="2023-01-25T17:16:00"/>
    <d v="2023-01-20T06:00:00"/>
    <d v="2023-01-20T10:00:00"/>
    <n v="0"/>
    <n v="3200"/>
    <n v="3200"/>
    <n v="0"/>
    <m/>
    <m/>
    <m/>
    <n v="0"/>
    <m/>
    <x v="0"/>
    <x v="0"/>
    <m/>
    <x v="0"/>
    <s v="SIM"/>
    <s v="SIM"/>
    <s v="SIM"/>
  </r>
  <r>
    <x v="0"/>
    <x v="0"/>
    <d v="2023-01-24T08:00:00"/>
    <s v="MSKU7876372"/>
    <n v="20"/>
    <x v="2"/>
    <s v="SOSAL"/>
    <s v="SBC"/>
    <s v="AAK1032B"/>
    <s v="BARTOLOMEU DIAS 301S"/>
    <n v="103223"/>
    <m/>
    <s v="BHP9483"/>
    <s v="BSF4E26"/>
    <s v="ANACLETO RODRIGUES DE SANTANA"/>
    <s v="01817591878"/>
    <s v="00821760640"/>
    <n v="3312"/>
    <s v="SANTOS BRASIL"/>
    <d v="2023-01-23T23:00:00"/>
    <s v="TRANSTEC SANTOS"/>
    <d v="2023-01-24T12:21:00"/>
    <d v="2023-01-24T05:00:00"/>
    <d v="2023-01-24T09:3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24T08:00:00"/>
    <s v="MRKU8982150"/>
    <n v="20"/>
    <x v="2"/>
    <s v="SOSAL"/>
    <s v="SBC"/>
    <s v="AAK1032B"/>
    <s v="BARTOLOMEU DIAS 301S"/>
    <n v="103224"/>
    <m/>
    <s v="BRB4D47"/>
    <s v="CPN9C57"/>
    <s v="JOSE EURIPEDES PEREIRA"/>
    <s v="87607395849"/>
    <s v="01842622116"/>
    <n v="3313"/>
    <s v="SANTOS BRASIL"/>
    <d v="2023-01-23T17:00:00"/>
    <s v="TRANSTEC SANTOS"/>
    <d v="2023-01-25T15:16:00"/>
    <d v="2023-01-24T05:00:00"/>
    <d v="2023-01-24T12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1"/>
    <d v="2023-01-26T08:00:00"/>
    <s v="CAIU8811120"/>
    <n v="40"/>
    <x v="0"/>
    <s v="DOREMUS"/>
    <s v="GUARULHOS"/>
    <n v="451"/>
    <s v="CMA CGM FORT ST GEORGES  013S"/>
    <n v="103278"/>
    <m/>
    <s v="GFL7E87"/>
    <s v="GIK5H08"/>
    <s v="JEFFERSON BATISTA ARISTIDES"/>
    <s v="34927982840"/>
    <s v="03500129879"/>
    <n v="3320"/>
    <s v="DPW"/>
    <d v="2023-01-26T05:00:00"/>
    <s v="MEDLOG"/>
    <d v="2023-01-27T08:30:00"/>
    <d v="2023-01-26T08:30:00"/>
    <d v="2023-01-26T14:00:00"/>
    <n v="2100"/>
    <n v="0"/>
    <n v="2100"/>
    <n v="0"/>
    <m/>
    <m/>
    <m/>
    <n v="370.37759999999997"/>
    <n v="3086.48"/>
    <x v="0"/>
    <x v="0"/>
    <m/>
    <x v="2"/>
    <s v="SIM"/>
    <s v="SIM"/>
    <s v="SIM"/>
  </r>
  <r>
    <x v="0"/>
    <x v="1"/>
    <d v="2023-01-26T08:00:00"/>
    <s v="TCLU5011942"/>
    <n v="40"/>
    <x v="0"/>
    <s v="DOREMUS"/>
    <s v="GUARULHOS"/>
    <n v="453"/>
    <s v="CMA CGM FORT ST GEORGES  013S"/>
    <n v="103279"/>
    <m/>
    <s v="DTB7A34"/>
    <s v="ABR8E82"/>
    <s v="JAILTON GEOVANIO TAVARES DOS SANTOS"/>
    <s v="33913917829"/>
    <s v="03312585500"/>
    <n v="3328"/>
    <s v="DPW"/>
    <d v="2023-01-26T05:00:00"/>
    <s v="MEDLOG"/>
    <d v="2023-01-27T08:20:00"/>
    <d v="2023-01-26T08:30:00"/>
    <d v="2023-01-26T14:00:00"/>
    <n v="2100"/>
    <n v="0"/>
    <n v="2100"/>
    <n v="0"/>
    <m/>
    <m/>
    <m/>
    <n v="370.37759999999997"/>
    <n v="3086.48"/>
    <x v="0"/>
    <x v="0"/>
    <m/>
    <x v="2"/>
    <s v="SIM"/>
    <s v="SIM"/>
    <s v="SIM"/>
  </r>
  <r>
    <x v="0"/>
    <x v="0"/>
    <d v="2023-01-26T09:00:00"/>
    <s v="GLDU7694630"/>
    <n v="40"/>
    <x v="2"/>
    <s v="SOSAL"/>
    <s v="SBC"/>
    <n v="460"/>
    <s v="CMA CGM FORT ST GEORGES  013S"/>
    <n v="103280"/>
    <m/>
    <s v="MRB4D47"/>
    <s v="kbl5g59"/>
    <s v="JOSE EURIPEDES PEREIRA"/>
    <s v="87607395849"/>
    <s v="01842622116"/>
    <n v="3321"/>
    <s v="DPW"/>
    <d v="2023-01-26T05:00:00"/>
    <s v="TRANSTEC SANTOS"/>
    <d v="2023-01-27T08:21:00"/>
    <d v="2023-01-26T09:00:00"/>
    <d v="2023-01-26T13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26T09:00:00"/>
    <s v="TCLU8805988"/>
    <n v="40"/>
    <x v="2"/>
    <s v="SOSAL"/>
    <s v="SBC"/>
    <s v="458 457"/>
    <s v="CMA CGM FORT ST GEORGES  013S"/>
    <n v="103319"/>
    <n v="103320"/>
    <s v="BXD2J87 "/>
    <s v="ESU7272"/>
    <s v="AGEILSON ANTONIO DA SILVA"/>
    <s v="09085263425"/>
    <s v="04557705505"/>
    <s v="3322 - 3323 "/>
    <s v="DPW"/>
    <d v="2023-01-26T06:00:00"/>
    <s v="DEPOTCE"/>
    <d v="2023-01-26T13:55:00"/>
    <d v="2023-01-26T09:00:00"/>
    <d v="2023-01-26T11:5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26T09:00:00"/>
    <s v="TCLU3461262"/>
    <n v="20"/>
    <x v="2"/>
    <s v="SOSAL"/>
    <s v="SBC"/>
    <n v="463"/>
    <s v="CMA CGM FORT ST GEORGES  013S"/>
    <n v="112442"/>
    <m/>
    <s v="BHP9483"/>
    <s v="BSF4E26"/>
    <s v="ANACLETO RODRIGUES DE SANTANA"/>
    <s v="01817591878"/>
    <s v="00821760640"/>
    <n v="3324"/>
    <s v="DPW"/>
    <d v="2023-01-26T06:00:00"/>
    <s v="DEPOTCE"/>
    <d v="2023-01-26T15:59:00"/>
    <d v="2023-01-26T09:00:00"/>
    <d v="2023-01-26T13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26T09:00:00"/>
    <s v="CAIU3288119"/>
    <n v="20"/>
    <x v="2"/>
    <s v="SOSAL"/>
    <s v="SBC"/>
    <n v="436"/>
    <s v="CMA CGM FORT ST GEORGES  013S"/>
    <n v="68246"/>
    <m/>
    <s v="CGS0A65"/>
    <s v="CPJ5G64"/>
    <s v="MARCOS PAULO NUNES"/>
    <n v="16239341843"/>
    <s v="01877235038"/>
    <n v="3325"/>
    <s v="DPW"/>
    <d v="2023-01-26T07:00:00"/>
    <s v="TRANSTEC SANTOS"/>
    <d v="2023-01-26T12:45:00"/>
    <d v="2023-01-26T09:00:00"/>
    <d v="2023-01-26T11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26T09:00:00"/>
    <s v="TCLU3461555"/>
    <n v="20"/>
    <x v="2"/>
    <s v="SOSAL"/>
    <s v="SBC"/>
    <n v="437"/>
    <s v="CMA CGM FORT ST GEORGES  013S"/>
    <n v="68245"/>
    <m/>
    <s v="FXG5H10"/>
    <s v="DBC3G21"/>
    <s v="ROBERTO CARLOS BEZERRA PIRES"/>
    <s v="27455658850"/>
    <s v="01286008208"/>
    <n v="3326"/>
    <s v="DPW"/>
    <d v="2023-01-26T07:00:00"/>
    <s v="DEPOTCE"/>
    <d v="2023-01-26T15:10:00"/>
    <d v="2023-01-26T09:00:00"/>
    <d v="2023-01-26T12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1"/>
    <d v="2023-01-26T08:00:00"/>
    <s v="TCNU7707449"/>
    <n v="40"/>
    <x v="0"/>
    <s v="BR SPICE"/>
    <s v="JANDIRA"/>
    <n v="452"/>
    <s v="CMA CGM FORT ST GEORGES  013S"/>
    <n v="103200"/>
    <m/>
    <s v="DDL8B54"/>
    <s v="FEI4012"/>
    <s v="WILTON SILVA BARBOSA"/>
    <s v="27455658850"/>
    <s v="01286008208"/>
    <n v="3327"/>
    <s v="DPW"/>
    <d v="2023-01-26T07:00:00"/>
    <s v="DEPOTCE "/>
    <d v="2023-01-26T21:23:00"/>
    <d v="2023-01-26T10:00:00"/>
    <d v="2023-01-26T13:00:00"/>
    <n v="2300"/>
    <n v="0"/>
    <n v="2300"/>
    <n v="0"/>
    <m/>
    <m/>
    <m/>
    <n v="392.15039999999999"/>
    <n v="3267.92"/>
    <x v="0"/>
    <x v="0"/>
    <m/>
    <x v="2"/>
    <s v="SIM"/>
    <s v="SIM"/>
    <s v="SIM"/>
  </r>
  <r>
    <x v="0"/>
    <x v="1"/>
    <d v="2023-01-27T08:00:00"/>
    <s v="SEGU4116132"/>
    <n v="40"/>
    <x v="0"/>
    <s v="DOREMUS"/>
    <s v="GUARULHOS"/>
    <n v="454"/>
    <s v="CMA CGM FORT ST GEORGES  013S"/>
    <n v="103323"/>
    <m/>
    <s v="FRG7C59"/>
    <s v="EWJ4J85"/>
    <s v="WILSON FLAVIO ALVES DA SILVA"/>
    <s v="27455658850"/>
    <s v="01286008208"/>
    <n v="3331"/>
    <s v="DPW"/>
    <d v="2023-01-27T05:00:00"/>
    <s v="MEDLOG"/>
    <d v="2023-01-27T14:22:00"/>
    <d v="2023-01-27T09:00:00"/>
    <d v="2023-01-27T12:00:00"/>
    <n v="2100"/>
    <n v="0"/>
    <n v="2100"/>
    <n v="0"/>
    <m/>
    <m/>
    <m/>
    <n v="370.37759999999997"/>
    <n v="3086.48"/>
    <x v="0"/>
    <x v="0"/>
    <m/>
    <x v="2"/>
    <s v="SIM"/>
    <s v="SIM"/>
    <s v="SIM"/>
  </r>
  <r>
    <x v="0"/>
    <x v="1"/>
    <d v="2023-01-27T08:00:00"/>
    <s v="TCLU8468022"/>
    <n v="40"/>
    <x v="0"/>
    <s v="DOREMUS"/>
    <s v="GUARULHOS"/>
    <n v="455"/>
    <s v="CMA CGM FORT ST GEORGES  013S"/>
    <n v="103324"/>
    <m/>
    <s v="FSI0I03"/>
    <s v="BXA0I63"/>
    <s v="EMERSON PEREIRA DA SILVA"/>
    <s v="09803034863"/>
    <s v="01484565209"/>
    <n v="3332"/>
    <s v="DPW"/>
    <d v="2023-01-27T05:00:00"/>
    <s v="MEDLOG"/>
    <d v="2023-01-27T14:24:00"/>
    <d v="2023-01-27T09:00:00"/>
    <d v="2023-01-27T12:00:00"/>
    <n v="2100"/>
    <n v="0"/>
    <n v="2100"/>
    <n v="0"/>
    <m/>
    <m/>
    <m/>
    <n v="370.37759999999997"/>
    <n v="3086.48"/>
    <x v="0"/>
    <x v="0"/>
    <m/>
    <x v="2"/>
    <s v="SIM"/>
    <s v="SIM"/>
    <s v="SIM"/>
  </r>
  <r>
    <x v="0"/>
    <x v="0"/>
    <d v="2023-01-27T08:00:00"/>
    <s v="CAIU3018129"/>
    <n v="20"/>
    <x v="0"/>
    <s v="KERRY"/>
    <s v="COTIA"/>
    <n v="488"/>
    <s v="CMA CGM FORT ST GEORGES  013S"/>
    <n v="103215"/>
    <n v="103216"/>
    <s v="EWJ2162"/>
    <s v="ETF6391"/>
    <s v="CARLOS BUENO BALTAZAR"/>
    <n v="19279658883"/>
    <s v="01301319672"/>
    <n v="3333"/>
    <s v="DPW"/>
    <d v="2023-01-27T01:00:00"/>
    <s v="MEDLOG"/>
    <d v="2023-01-27T15:02:00"/>
    <d v="2023-01-27T08:00:00"/>
    <d v="2023-01-27T12:00:00"/>
    <n v="2200"/>
    <n v="0"/>
    <n v="2200"/>
    <n v="600"/>
    <m/>
    <m/>
    <m/>
    <n v="473.5104"/>
    <n v="3945.92"/>
    <x v="0"/>
    <x v="0"/>
    <m/>
    <x v="0"/>
    <s v="SIM"/>
    <s v="SIM"/>
    <s v="SIM"/>
  </r>
  <r>
    <x v="0"/>
    <x v="0"/>
    <d v="2023-01-27T09:00:00"/>
    <s v="SEGU1119713"/>
    <n v="20"/>
    <x v="2"/>
    <s v="SOSAL"/>
    <s v="SBC"/>
    <n v="462"/>
    <s v="CMA CGM FORT ST GEORGES  013S"/>
    <n v="103318"/>
    <m/>
    <s v="BHP9483"/>
    <s v="BSF4E26"/>
    <s v="ANACLETO RODRIGUES DE SANTANA"/>
    <s v="01817591878"/>
    <s v="00821760640"/>
    <n v="3334"/>
    <s v="DPW"/>
    <d v="2023-01-26T23:00:00"/>
    <s v="TRANSTEC SANTOS"/>
    <d v="2023-01-27T14:28:00"/>
    <d v="2023-01-27T07:00:00"/>
    <d v="2023-01-27T12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27T11:00:00"/>
    <s v="CXDU1105882"/>
    <n v="40"/>
    <x v="2"/>
    <s v="SOSAL"/>
    <s v="SBC"/>
    <n v="459"/>
    <s v="CMA CGM FORT ST GEORGES  013S"/>
    <n v="103222"/>
    <m/>
    <s v="DFT0E47"/>
    <s v="BVT0E67"/>
    <s v="ALMIR CARDOSO DOS SANTOS "/>
    <s v="09776430856"/>
    <s v="01258979905"/>
    <n v="3335"/>
    <s v="DPW"/>
    <d v="2023-01-27T05:00:00"/>
    <s v="TRANSTEC SANTOS"/>
    <d v="2023-01-27T14:03:00"/>
    <d v="2023-01-27T08:30:00"/>
    <d v="2023-01-27T12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27T09:00:00"/>
    <s v="TCLU8188253"/>
    <n v="40"/>
    <x v="2"/>
    <s v="SOSAL"/>
    <s v="SBC"/>
    <n v="461"/>
    <s v="CMA CGM FORT ST GEORGES  013S"/>
    <n v="103221"/>
    <m/>
    <s v="FQE9I91 "/>
    <s v="DPB9G64"/>
    <s v="MARCO ANTONIO LOBATO CASTILHO"/>
    <s v="05753633803"/>
    <s v="01922497849"/>
    <n v="3337"/>
    <s v="DPW"/>
    <d v="2023-01-27T01:00:00"/>
    <s v="TRANSTEC SANTOS"/>
    <d v="2023-01-27T13:05:00"/>
    <d v="2023-01-27T07:00:00"/>
    <d v="2023-01-27T11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27T08:00:00"/>
    <s v="CAIU3154845"/>
    <n v="20"/>
    <x v="0"/>
    <s v="CHARQUE CAMPEAO"/>
    <s v="SANTANA DE PARNAIBA"/>
    <n v="445"/>
    <s v="CMA CGM FORT ST GEORGES  013S"/>
    <n v="112338"/>
    <m/>
    <s v="EPU5990"/>
    <s v="BSG1D88"/>
    <s v="LEANDRO SOARES CAETANO"/>
    <s v="10485530864"/>
    <s v="02033192841"/>
    <n v="3336"/>
    <s v="DPW"/>
    <d v="2023-01-27T05:00:00"/>
    <s v="MEDLOG"/>
    <d v="2023-01-27T14:42:00"/>
    <d v="2023-01-27T08:00:00"/>
    <d v="2023-01-27T12:00:00"/>
    <n v="2300"/>
    <n v="0"/>
    <n v="2300"/>
    <n v="0"/>
    <m/>
    <m/>
    <m/>
    <n v="399.62399999999997"/>
    <n v="3330.2"/>
    <x v="0"/>
    <x v="0"/>
    <m/>
    <x v="0"/>
    <s v="SIM"/>
    <s v="SIM"/>
    <s v="SIM"/>
  </r>
  <r>
    <x v="0"/>
    <x v="0"/>
    <d v="2023-01-30T08:00:00"/>
    <s v="TCLU3461426"/>
    <n v="20"/>
    <x v="1"/>
    <s v="MIAN"/>
    <s v="SBC"/>
    <n v="446"/>
    <s v="CMA CGM FORT ST GEORGES  013S"/>
    <n v="112337"/>
    <m/>
    <s v="CGS0A65"/>
    <s v="CPJ5G64"/>
    <s v="MARCOS PAULO NUNES"/>
    <n v="16239341843"/>
    <s v="01877235038"/>
    <n v="3341"/>
    <s v="DPW"/>
    <d v="2023-01-30T05:00:00"/>
    <s v="DEPOTCE"/>
    <d v="2023-01-30T12:39:00"/>
    <d v="2023-01-30T07:00:00"/>
    <d v="2023-01-30T08:30:00"/>
    <n v="1600"/>
    <n v="0"/>
    <n v="1600"/>
    <n v="0"/>
    <m/>
    <m/>
    <m/>
    <n v="311.55959999999999"/>
    <n v="2596.33"/>
    <x v="0"/>
    <x v="0"/>
    <m/>
    <x v="0"/>
    <s v="SIM"/>
    <s v="SIM"/>
    <s v="SIM"/>
  </r>
  <r>
    <x v="0"/>
    <x v="0"/>
    <d v="2023-01-30T08:00:00"/>
    <s v="TCLU3467424"/>
    <n v="20"/>
    <x v="0"/>
    <s v="NEW MAX"/>
    <s v="AMERICANA"/>
    <n v="450"/>
    <s v="CMA CGM FORT ST GEORGES  013S"/>
    <n v="103316"/>
    <m/>
    <s v="EPU5990"/>
    <s v="BSG1D88"/>
    <s v="LEANDRO SOARES CAETANO"/>
    <s v="10485530864"/>
    <s v="02033192841"/>
    <n v="3338"/>
    <s v="DPW"/>
    <d v="2023-01-30T01:00:00"/>
    <s v="LECHMAN"/>
    <d v="2023-01-30T16:41:00"/>
    <d v="2023-01-30T07:00:00"/>
    <d v="2023-01-30T11:00:00"/>
    <n v="3200"/>
    <n v="0"/>
    <n v="3200"/>
    <n v="0"/>
    <m/>
    <m/>
    <m/>
    <n v="571.48680000000002"/>
    <n v="4762.3900000000003"/>
    <x v="0"/>
    <x v="0"/>
    <m/>
    <x v="0"/>
    <s v="SIM"/>
    <s v="SIM"/>
    <s v="SIM"/>
  </r>
  <r>
    <x v="0"/>
    <x v="0"/>
    <d v="2023-01-30T08:00:00"/>
    <s v="CAIU3105223"/>
    <n v="20"/>
    <x v="0"/>
    <s v="NEW MAX"/>
    <s v="AMERICANA"/>
    <n v="444"/>
    <s v="CMA CGM FORT ST GEORGES  013S"/>
    <n v="103217"/>
    <m/>
    <s v="EWJ2162"/>
    <s v="ETF6391"/>
    <s v="CARLOS BUENO BALTAZAR"/>
    <n v="19279658883"/>
    <s v="01301319672"/>
    <n v="3339"/>
    <s v="DPW"/>
    <d v="2023-01-30T01:00:00"/>
    <s v="MEDLOG"/>
    <d v="2023-01-30T16:35:00"/>
    <d v="2023-01-30T07:00:00"/>
    <d v="2023-01-30T12:00:00"/>
    <n v="3200"/>
    <n v="0"/>
    <n v="3200"/>
    <n v="0"/>
    <m/>
    <m/>
    <m/>
    <n v="571.48680000000002"/>
    <n v="4762.3900000000003"/>
    <x v="0"/>
    <x v="0"/>
    <m/>
    <x v="0"/>
    <s v="SIM"/>
    <s v="SIM"/>
    <s v="SIM"/>
  </r>
  <r>
    <x v="0"/>
    <x v="0"/>
    <d v="2023-01-30T08:00:00"/>
    <s v="CAIU3310315"/>
    <n v="20"/>
    <x v="0"/>
    <s v="MOINHO ROMANIZ"/>
    <s v="ITAQUERA"/>
    <n v="487"/>
    <s v="CMA CGM FORT ST GEORGES  013S"/>
    <n v="103231"/>
    <m/>
    <s v="FXG5H10"/>
    <s v="DBC3G21"/>
    <s v="ROBERTO CARLOS BEZERRA PIRES"/>
    <s v="27455658850"/>
    <s v="01286008208"/>
    <n v="3340"/>
    <s v="DPW"/>
    <d v="2023-01-29T23:00:00"/>
    <s v="TRANSTEC SANTOS"/>
    <d v="2023-01-30T17:38:00"/>
    <d v="2023-01-30T07:00:00"/>
    <d v="2023-01-30T12:00:00"/>
    <n v="2000"/>
    <n v="0"/>
    <n v="2000"/>
    <n v="0"/>
    <m/>
    <m/>
    <m/>
    <n v="355.75439999999998"/>
    <n v="2964.62"/>
    <x v="0"/>
    <x v="0"/>
    <m/>
    <x v="0"/>
    <s v="SIM"/>
    <s v="SIM"/>
    <s v="SIM"/>
  </r>
  <r>
    <x v="0"/>
    <x v="0"/>
    <d v="2023-01-31T08:00:00"/>
    <s v="TCLU3459753"/>
    <n v="20"/>
    <x v="1"/>
    <s v="MIAN"/>
    <s v="SBC"/>
    <n v="447"/>
    <s v="CMA CGM FORT ST GEORGES  013S"/>
    <n v="103232"/>
    <m/>
    <s v="FXG5H10"/>
    <s v="DBC3G21"/>
    <s v="ROBERTO CARLOS BEZERRA PIRES"/>
    <s v="27455658850"/>
    <s v="01286008208"/>
    <n v="3346"/>
    <s v="DPW"/>
    <d v="2023-01-30T23:00:00"/>
    <s v="DEPOTCE"/>
    <d v="2023-01-31T12:00:00"/>
    <d v="2023-01-31T07:00:00"/>
    <d v="2023-01-31T08:30:00"/>
    <n v="1600"/>
    <n v="0"/>
    <n v="1600"/>
    <n v="0"/>
    <m/>
    <m/>
    <m/>
    <n v="311.55959999999999"/>
    <n v="2596.33"/>
    <x v="0"/>
    <x v="0"/>
    <m/>
    <x v="0"/>
    <s v="SIM"/>
    <s v="SIM"/>
    <s v="SIM"/>
  </r>
  <r>
    <x v="0"/>
    <x v="0"/>
    <d v="2023-01-31T08:00:00"/>
    <s v="CAIU3018690"/>
    <n v="20"/>
    <x v="0"/>
    <s v="NEW MAX"/>
    <s v="AMERICANA"/>
    <n v="449"/>
    <s v="CMA CGM FORT ST GEORGES  013S"/>
    <n v="103315"/>
    <m/>
    <s v="EWJ2162"/>
    <s v="ETF6391"/>
    <s v="CARLOS BUENO BALTAZAR"/>
    <n v="19279658883"/>
    <s v="01301319672"/>
    <n v="3344"/>
    <s v="DPW"/>
    <d v="2023-01-30T23:00:00"/>
    <s v="MEDLOG"/>
    <d v="2023-01-31T14:41:00"/>
    <d v="2023-01-31T07:00:00"/>
    <d v="2023-01-31T12:00:00"/>
    <n v="3200"/>
    <n v="0"/>
    <n v="3200"/>
    <n v="0"/>
    <m/>
    <m/>
    <m/>
    <n v="571.48680000000002"/>
    <n v="4762.3900000000003"/>
    <x v="0"/>
    <x v="0"/>
    <m/>
    <x v="0"/>
    <s v="SIM"/>
    <s v="SIM"/>
    <s v="SIM"/>
  </r>
  <r>
    <x v="0"/>
    <x v="1"/>
    <d v="2023-01-31T08:00:00"/>
    <s v="TCLU3460630"/>
    <n v="20"/>
    <x v="0"/>
    <s v="NEW MAX"/>
    <s v="AMERICANA"/>
    <n v="448"/>
    <s v="CMA CGM FORT ST GEORGES  013S"/>
    <n v="103349"/>
    <m/>
    <s v="EPU5990"/>
    <s v="BSG1D88"/>
    <s v="LEANDRO SOARES CAETANO"/>
    <s v="10485530864"/>
    <s v="02033192841"/>
    <n v="3345"/>
    <s v="DPW"/>
    <d v="2023-01-31T05:00:00"/>
    <s v="DEPOTCE"/>
    <d v="2023-01-31T19:45:00"/>
    <d v="2023-01-31T09:00:00"/>
    <d v="2023-01-31T10:00:00"/>
    <n v="3200"/>
    <n v="0"/>
    <n v="3200"/>
    <n v="0"/>
    <m/>
    <m/>
    <m/>
    <n v="571.48680000000002"/>
    <n v="4762.3900000000003"/>
    <x v="0"/>
    <x v="0"/>
    <m/>
    <x v="2"/>
    <s v="SIM"/>
    <s v="SIM"/>
    <s v="SIM"/>
  </r>
  <r>
    <x v="0"/>
    <x v="1"/>
    <d v="2023-01-30T07:00:00"/>
    <s v="CMAU5983724"/>
    <s v="40HC"/>
    <x v="3"/>
    <s v="N.SRA."/>
    <s v="VALINHOS"/>
    <s v="P10400922A"/>
    <s v="CMA CGM FORT ST GEORGES  013S"/>
    <n v="7543"/>
    <m/>
    <s v="EKH4C25"/>
    <s v="DAO7B51"/>
    <s v="WESLLEY RODRIGO CONSTANCIO DA SILVA"/>
    <s v="27455658850"/>
    <s v="01286008208"/>
    <n v="3342"/>
    <s v="DPW"/>
    <d v="2023-01-30T05:00:00"/>
    <s v="LECHMAN"/>
    <d v="2023-01-30T18:56:00"/>
    <d v="2023-01-30T09:30:09"/>
    <d v="2023-01-30T13:00:00"/>
    <n v="3200"/>
    <n v="0"/>
    <n v="3200"/>
    <n v="0"/>
    <m/>
    <m/>
    <m/>
    <n v="0"/>
    <m/>
    <x v="0"/>
    <x v="0"/>
    <m/>
    <x v="1"/>
    <s v="SIM"/>
    <s v="SIM"/>
    <s v="SIM"/>
  </r>
  <r>
    <x v="0"/>
    <x v="0"/>
    <d v="2023-01-31T07:00:00"/>
    <s v="TRHU5714988"/>
    <s v="40HC"/>
    <x v="3"/>
    <s v="N.SRA."/>
    <s v="VALINHOS"/>
    <s v="P10400922B"/>
    <s v="CMA CGM FORT ST GEORGES  013S"/>
    <n v="7586"/>
    <m/>
    <s v="MTA3G66"/>
    <s v="FKJ8A49"/>
    <s v="EMERSON BAIAO DE OLIVEIRA"/>
    <s v="87073730404"/>
    <s v="04414696830"/>
    <n v="3351"/>
    <s v="DPW"/>
    <d v="2023-01-31T01:00:00"/>
    <s v="LECHMAN"/>
    <d v="2023-02-01T14:53:00"/>
    <d v="2023-01-31T05:00:00"/>
    <d v="2023-01-31T12:00:00"/>
    <n v="3200"/>
    <n v="0"/>
    <n v="3200"/>
    <n v="0"/>
    <m/>
    <m/>
    <m/>
    <n v="0"/>
    <m/>
    <x v="0"/>
    <x v="0"/>
    <m/>
    <x v="0"/>
    <s v="SIM"/>
    <s v="SIM"/>
    <s v="SIM"/>
  </r>
  <r>
    <x v="0"/>
    <x v="0"/>
    <d v="2023-01-30T07:00:00"/>
    <s v="TCNU1769757"/>
    <s v="40HC"/>
    <x v="3"/>
    <s v="N.SRA."/>
    <s v="VALINHOS"/>
    <s v="P10400940A"/>
    <s v="CMA CGM FORT ST GEORGES  013S"/>
    <n v="7321"/>
    <m/>
    <s v="CUA7F62"/>
    <s v="BSG2J78"/>
    <s v="VALDECIR DA SILVA"/>
    <s v="27455658850"/>
    <s v="01286008208"/>
    <n v="3343"/>
    <s v="DPW"/>
    <d v="2023-01-29T23:00:00"/>
    <s v="LECHMAN"/>
    <d v="2023-01-31T12:07:00"/>
    <d v="2023-01-30T05:00:00"/>
    <d v="2023-01-30T10:00:00"/>
    <n v="3200"/>
    <n v="0"/>
    <n v="3200"/>
    <n v="0"/>
    <m/>
    <m/>
    <m/>
    <n v="0"/>
    <m/>
    <x v="0"/>
    <x v="0"/>
    <m/>
    <x v="0"/>
    <s v="SIM"/>
    <s v="SIM"/>
    <s v="SIM"/>
  </r>
  <r>
    <x v="0"/>
    <x v="0"/>
    <d v="2023-01-31T11:00:00"/>
    <s v="TCKU1998764"/>
    <n v="20"/>
    <x v="2"/>
    <s v="SOSAL"/>
    <s v="SBC"/>
    <s v="AAK2206B"/>
    <s v="PEDRO ALVARES CABRAL  302S"/>
    <n v="68407"/>
    <m/>
    <s v="CGS0A65"/>
    <s v="CPJ5G64"/>
    <s v="MARCOS PAULO NUNES"/>
    <n v="16239341843"/>
    <s v="01877235038"/>
    <n v="3347"/>
    <s v="SANTOS BRASIL"/>
    <d v="2023-01-30T22:00:00"/>
    <s v="TRANSTEC SANTOS"/>
    <d v="2023-01-31T13:37:00"/>
    <d v="2023-01-31T05:00:00"/>
    <d v="2023-01-31T12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31T11:00:00"/>
    <s v="MRKU7889552"/>
    <n v="20"/>
    <x v="2"/>
    <s v="SOSAL"/>
    <s v="SBC"/>
    <s v="AAK2209B"/>
    <s v="PEDRO ALVARES CABRAL  302S"/>
    <n v="68409"/>
    <m/>
    <s v="BHP9483"/>
    <s v="BSF4E26"/>
    <s v="ANACLETO RODRIGUES DE SANTANA"/>
    <s v="01817591878"/>
    <s v="00821760640"/>
    <n v="3348"/>
    <s v="SANTOS BRASIL"/>
    <d v="2023-01-30T22:00:00"/>
    <s v="TRANSTEC SANTOS"/>
    <d v="2023-01-31T14:33:00"/>
    <d v="2023-01-31T05:00:00"/>
    <d v="2023-01-31T12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31T11:00:00"/>
    <s v="PONU0365848"/>
    <n v="20"/>
    <x v="2"/>
    <s v="SOSAL"/>
    <s v="SBC"/>
    <s v="AAK2206B"/>
    <s v="PEDRO ALVARES CABRAL  302S"/>
    <n v="68450"/>
    <m/>
    <s v="KBK0D67"/>
    <s v="CPN9C57"/>
    <s v="EVANDRO DE FREITAS ROSA"/>
    <s v="03605652476"/>
    <s v="00910837259"/>
    <n v="3349"/>
    <s v="SANTOS BRASIL"/>
    <d v="2023-01-30T22:00:00"/>
    <s v="TRANSTEC SANTOS"/>
    <d v="2023-02-01T06:40:00"/>
    <d v="2023-01-31T05:00:00"/>
    <d v="2023-01-31T14:0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1-31T11:00:00"/>
    <s v="MRKU7669706"/>
    <n v="20"/>
    <x v="2"/>
    <s v="SOSAL"/>
    <s v="SBC"/>
    <s v="AAK2206B"/>
    <s v="PEDRO ALVARES CABRAL  302S"/>
    <n v="68448"/>
    <m/>
    <s v="BYA0806"/>
    <s v="JYM3480"/>
    <s v="MIGUEL ARNOLD"/>
    <s v="10838670830"/>
    <s v="01808675938"/>
    <n v="3350"/>
    <s v="SANTOS BRASIL"/>
    <d v="2023-01-30T17:00:00"/>
    <s v="TRANSTEC SANTOS"/>
    <d v="2023-01-31T11:35:00"/>
    <d v="2023-01-31T05:00:00"/>
    <d v="2023-01-31T09:30:00"/>
    <n v="1600"/>
    <n v="0"/>
    <n v="1600"/>
    <n v="0"/>
    <m/>
    <m/>
    <m/>
    <n v="288"/>
    <n v="2400"/>
    <x v="0"/>
    <x v="0"/>
    <m/>
    <x v="0"/>
    <s v="SIM"/>
    <s v="SIM"/>
    <s v="SIM"/>
  </r>
  <r>
    <x v="0"/>
    <x v="0"/>
    <d v="2023-02-02T09:00:00"/>
    <s v="TCLU3467527"/>
    <n v="20"/>
    <x v="2"/>
    <s v="SOSAL"/>
    <s v="SBC"/>
    <n v="636"/>
    <s v="LOGIN JACARANDA 149S"/>
    <n v="112679"/>
    <m/>
    <s v="BHP9483"/>
    <s v="BSF4E26"/>
    <s v="ANACLETO RODRIGUES DE SANTANA"/>
    <s v="01817591878"/>
    <s v="00821760640"/>
    <n v="3352"/>
    <s v="DPW"/>
    <d v="2023-02-02T01:11:00"/>
    <s v="DEPOTCE"/>
    <d v="2023-02-02T13:28:00"/>
    <d v="2023-02-02T07:00:00"/>
    <d v="2023-02-02T10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02T09:00:00"/>
    <s v="SEGU1084411"/>
    <n v="20"/>
    <x v="2"/>
    <s v="SOSAL"/>
    <s v="SBC"/>
    <n v="739"/>
    <s v="LOGIN JACARANDA 149S"/>
    <n v="103562"/>
    <m/>
    <s v="MRB4D47"/>
    <s v="CPN9C57"/>
    <s v="JOSE EURIPEDES PEREIRA"/>
    <s v="87607395849"/>
    <s v="01842622116"/>
    <n v="3353"/>
    <s v="DPW"/>
    <d v="2023-02-02T01:12:00"/>
    <s v="TRANSTEC SANTOS"/>
    <d v="2023-02-02T13:34:00"/>
    <d v="2023-02-02T07:00:00"/>
    <d v="2023-02-02T10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02T08:00:00"/>
    <s v="TCLU8204349"/>
    <n v="40"/>
    <x v="0"/>
    <s v="AJINOMOTO"/>
    <s v="LIMEIRA"/>
    <n v="686"/>
    <s v="LOGIN JACARANDA 149S"/>
    <n v="103482"/>
    <n v="103483"/>
    <s v="DTB7A34"/>
    <s v="ABR8E82"/>
    <s v="JAILTON GEOVANIO TAVARES DOS SANTOS"/>
    <s v="33913917829"/>
    <s v="03312585500"/>
    <n v="3358"/>
    <s v="DPW"/>
    <d v="2023-02-02T01:04:00"/>
    <s v="MEDLOG"/>
    <d v="2023-02-02T20:20:00"/>
    <d v="2023-02-02T07:00:00"/>
    <d v="2023-02-02T11:50:00"/>
    <n v="3400"/>
    <n v="0"/>
    <n v="3400"/>
    <n v="0"/>
    <m/>
    <m/>
    <m/>
    <n v="558.28440000000001"/>
    <n v="4652.37"/>
    <x v="1"/>
    <x v="0"/>
    <m/>
    <x v="0"/>
    <s v="NÃO"/>
    <s v="SIM"/>
    <s v="SIM"/>
  </r>
  <r>
    <x v="0"/>
    <x v="0"/>
    <d v="2023-02-02T08:00:00"/>
    <s v="TCNU7707217"/>
    <n v="40"/>
    <x v="0"/>
    <s v="AJINOMOTO"/>
    <s v="LIMEIRA"/>
    <n v="745"/>
    <s v="LOGIN JACARANDA 149S"/>
    <n v="103484"/>
    <n v="103485"/>
    <s v="CUA7F62"/>
    <s v="BSG2J78"/>
    <s v="VALDECIR DA SILVA"/>
    <s v="27455658850"/>
    <s v="01286008208"/>
    <s v="3356C / 3357"/>
    <s v="DPW"/>
    <d v="2023-02-01T23:26:00"/>
    <s v="DEPOTCE"/>
    <d v="2023-02-02T15:48:00"/>
    <d v="2023-02-02T07:00:00"/>
    <d v="2023-02-02T09:00:00"/>
    <n v="3400"/>
    <n v="0"/>
    <n v="3400"/>
    <n v="0"/>
    <m/>
    <m/>
    <m/>
    <n v="558.28440000000001"/>
    <n v="4652.37"/>
    <x v="1"/>
    <x v="0"/>
    <m/>
    <x v="0"/>
    <s v="SIM"/>
    <s v="SIM"/>
    <s v="SIM"/>
  </r>
  <r>
    <x v="0"/>
    <x v="0"/>
    <d v="2023-02-02T08:00:00"/>
    <s v="FCIU9210116"/>
    <n v="40"/>
    <x v="0"/>
    <s v="BR SPICE"/>
    <s v="JANDIRA"/>
    <n v="720"/>
    <s v="LOGIN JACARANDA 149S"/>
    <n v="103413"/>
    <m/>
    <s v="LNX9650"/>
    <s v="GPC4I25"/>
    <s v="ANDREW FELIPE DE SOUZA BRUNO"/>
    <n v="36305564850"/>
    <s v="06043477724"/>
    <n v="3359"/>
    <s v="DPW"/>
    <d v="2023-02-02T00:34:00"/>
    <s v="MEDLOG"/>
    <d v="2023-02-02T19:24:00"/>
    <d v="2023-02-02T08:00:00"/>
    <d v="2023-02-02T10:00:00"/>
    <n v="2300"/>
    <n v="0"/>
    <n v="2300"/>
    <n v="0"/>
    <m/>
    <m/>
    <m/>
    <n v="392.15039999999999"/>
    <n v="3267.92"/>
    <x v="1"/>
    <x v="0"/>
    <m/>
    <x v="0"/>
    <s v="SIM"/>
    <s v="SIM"/>
    <s v="SIM"/>
  </r>
  <r>
    <x v="0"/>
    <x v="0"/>
    <d v="2023-02-02T08:00:00"/>
    <s v="TCLU8701540"/>
    <n v="40"/>
    <x v="0"/>
    <s v="BUNGE"/>
    <s v="SANTOS"/>
    <n v="721"/>
    <s v="LOGIN JACARANDA 149S"/>
    <n v="103439"/>
    <m/>
    <s v="FQE9I91"/>
    <s v="DPB9G64"/>
    <s v="MARCO ANTONIO LOBATO CASTILHO"/>
    <s v="05753633803"/>
    <s v="01922497849"/>
    <n v="3354"/>
    <s v="DPW"/>
    <d v="2023-02-02T06:44:00"/>
    <s v="MEDLOG"/>
    <d v="2023-02-02T14:09:00"/>
    <d v="2023-02-02T08:00:00"/>
    <d v="2023-02-02T12:00:00"/>
    <n v="200"/>
    <n v="0"/>
    <n v="200"/>
    <n v="0"/>
    <m/>
    <m/>
    <m/>
    <n v="234"/>
    <n v="1950"/>
    <x v="1"/>
    <x v="0"/>
    <m/>
    <x v="0"/>
    <s v="SIM"/>
    <s v="SIM"/>
    <s v="SIM"/>
  </r>
  <r>
    <x v="0"/>
    <x v="1"/>
    <d v="2023-02-02T08:00:00"/>
    <s v="TCLU8187350"/>
    <n v="40"/>
    <x v="0"/>
    <s v="IBRAC"/>
    <s v="RIO CLARO"/>
    <n v="718"/>
    <s v="LOGIN JACARANDA 149S"/>
    <n v="103436"/>
    <m/>
    <s v="FZF3E97"/>
    <s v="FXU8J10"/>
    <s v="FABIO DARIO RODRIGUES"/>
    <s v="26283419801"/>
    <s v="02002046946"/>
    <n v="3355"/>
    <s v="DPW"/>
    <d v="2023-02-02T05:45:00"/>
    <s v="MEDLOG"/>
    <d v="2023-02-02T20:19:00"/>
    <d v="2023-02-02T10:20:00"/>
    <d v="2023-02-02T15:00:00"/>
    <n v="3700"/>
    <n v="0"/>
    <n v="3700"/>
    <n v="0"/>
    <m/>
    <m/>
    <m/>
    <n v="641.71680000000003"/>
    <n v="5347.64"/>
    <x v="1"/>
    <x v="0"/>
    <m/>
    <x v="2"/>
    <s v="SIM"/>
    <s v="SIM"/>
    <s v="SIM"/>
  </r>
  <r>
    <x v="0"/>
    <x v="0"/>
    <d v="2023-02-03T09:00:00"/>
    <s v="CAIU3314645"/>
    <n v="20"/>
    <x v="2"/>
    <s v="SOSAL"/>
    <s v="SBC"/>
    <n v="738"/>
    <s v="LOGIN JACARANDA 149S"/>
    <n v="103563"/>
    <m/>
    <s v="BHP9483"/>
    <s v="BSF4E26"/>
    <s v="ANACLETO RODRIGUES DE SANTANA"/>
    <s v="01817591878"/>
    <s v="00821760640"/>
    <n v="3361"/>
    <s v="DPW"/>
    <d v="2023-02-03T00:01:00"/>
    <s v="TRANSTEC SANTOS"/>
    <d v="2023-02-03T13:04:00"/>
    <d v="2023-02-03T03:50:00"/>
    <d v="2023-02-03T10:3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03T09:00:00"/>
    <s v="CAIU3014186"/>
    <n v="20"/>
    <x v="2"/>
    <s v="SOSAL"/>
    <s v="SBC"/>
    <n v="741"/>
    <s v="LOGIN JACARANDA 149S"/>
    <n v="103565"/>
    <m/>
    <s v="MRB4D47"/>
    <s v="CPN9C57"/>
    <s v="JOSE EURIPEDES PEREIRA"/>
    <s v="87607395849"/>
    <s v="01842622116"/>
    <n v="3362"/>
    <s v="DPW"/>
    <d v="2023-02-02T21:05:00"/>
    <s v="TRANSTEC SANTOS"/>
    <d v="2023-02-03T13:01:00"/>
    <d v="2023-02-03T04:00:00"/>
    <d v="2023-02-03T10:30:00"/>
    <n v="1600"/>
    <n v="0"/>
    <n v="1600"/>
    <n v="0"/>
    <m/>
    <m/>
    <m/>
    <n v="288"/>
    <n v="2400"/>
    <x v="1"/>
    <x v="0"/>
    <m/>
    <x v="0"/>
    <s v="NÃO"/>
    <s v="SIM"/>
    <s v="SIM"/>
  </r>
  <r>
    <x v="0"/>
    <x v="0"/>
    <d v="2023-02-03T08:00:00"/>
    <s v="TCLU3461175"/>
    <n v="20"/>
    <x v="0"/>
    <s v="GOTA QUIMICA"/>
    <s v="GUARULHOS"/>
    <n v="731"/>
    <s v="LOGIN JACARANDA 149S"/>
    <n v="103445"/>
    <m/>
    <s v="KBK0D67"/>
    <s v="CPJ5G64"/>
    <s v="ANACLETO RODRIGUES DE SANTANA"/>
    <s v="01817591878"/>
    <s v="00821760640"/>
    <n v="3363"/>
    <s v="DPW"/>
    <d v="2023-02-02T22:53:00"/>
    <s v="DEPOTCE"/>
    <m/>
    <d v="2023-02-03T07:00:00"/>
    <d v="2023-02-03T10:30:00"/>
    <n v="2200"/>
    <n v="0"/>
    <n v="2200"/>
    <n v="0"/>
    <m/>
    <m/>
    <m/>
    <n v="370.37759999999997"/>
    <n v="3086.48"/>
    <x v="1"/>
    <x v="0"/>
    <m/>
    <x v="0"/>
    <s v="SIM"/>
    <s v="SIM"/>
    <s v="SIM"/>
  </r>
  <r>
    <x v="0"/>
    <x v="0"/>
    <d v="2023-02-03T08:00:00"/>
    <s v="SEGU1086271"/>
    <n v="20"/>
    <x v="0"/>
    <s v="CHARQUE CAMPEAO"/>
    <s v="SANTANA DE PARNAIBA"/>
    <n v="735"/>
    <s v="LOGIN JACARANDA 149S"/>
    <n v="112717"/>
    <m/>
    <s v="FXG5H10"/>
    <s v="DBC3G21"/>
    <s v="ROBERTO CARLOS BEZERRA PIRES"/>
    <s v="27455658850"/>
    <s v="01286008208"/>
    <n v="3364"/>
    <s v="DPW"/>
    <d v="2023-02-02T22:34:00"/>
    <s v="MEDLOG"/>
    <d v="2023-02-03T14:34:00"/>
    <d v="2023-02-03T07:00:00"/>
    <d v="2023-02-03T11:00:00"/>
    <n v="2300"/>
    <n v="0"/>
    <n v="2300"/>
    <n v="0"/>
    <m/>
    <m/>
    <m/>
    <n v="399.62399999999997"/>
    <n v="3330.2"/>
    <x v="1"/>
    <x v="0"/>
    <m/>
    <x v="0"/>
    <s v="SIM"/>
    <s v="SIM"/>
    <s v="SIM"/>
  </r>
  <r>
    <x v="0"/>
    <x v="0"/>
    <d v="2023-02-03T09:00:00"/>
    <s v="SEGU4064785"/>
    <n v="40"/>
    <x v="0"/>
    <s v="AJINOMOTO"/>
    <s v="LIMEIRA"/>
    <n v="688"/>
    <s v="LOGIN JACARANDA 149S"/>
    <n v="103480"/>
    <n v="103481"/>
    <s v="BXD2J87"/>
    <s v="ESU7272"/>
    <s v="AGEILSON ANTONIO DA SILVA"/>
    <s v="09085263425"/>
    <s v="04557705505"/>
    <n v="3368"/>
    <s v="DPW"/>
    <d v="2023-02-03T05:11:00"/>
    <s v="MEDLOG"/>
    <d v="2023-02-03T15:37:00"/>
    <d v="2023-02-03T08:57:00"/>
    <d v="2023-02-03T11:23:00"/>
    <n v="3400"/>
    <n v="0"/>
    <n v="3400"/>
    <n v="0"/>
    <m/>
    <m/>
    <m/>
    <n v="558.28440000000001"/>
    <n v="4652.37"/>
    <x v="1"/>
    <x v="0"/>
    <m/>
    <x v="0"/>
    <s v="SIM"/>
    <s v="SIM"/>
    <s v="SIM"/>
  </r>
  <r>
    <x v="0"/>
    <x v="0"/>
    <d v="2023-02-03T09:00:00"/>
    <s v="TCLU8328400"/>
    <n v="40"/>
    <x v="0"/>
    <s v="AJINOMOTO"/>
    <s v="LIMEIRA"/>
    <n v="633"/>
    <s v="LOGIN JACARANDA 149S"/>
    <n v="103555"/>
    <n v="103556"/>
    <s v="FQE9I91"/>
    <s v="DPB9G64"/>
    <s v="MARCO ANTONIO LOBATO CASTILHO"/>
    <s v="05753633803"/>
    <s v="01922497849"/>
    <n v="3365"/>
    <s v="DPW"/>
    <d v="2023-02-03T04:39:00"/>
    <s v="MEDLOG"/>
    <d v="2023-02-03T15:06:00"/>
    <d v="2023-02-03T08:30:00"/>
    <d v="2023-02-03T10:00:00"/>
    <n v="3400"/>
    <n v="0"/>
    <n v="3400"/>
    <n v="0"/>
    <m/>
    <m/>
    <m/>
    <n v="558.28440000000001"/>
    <n v="4652.37"/>
    <x v="1"/>
    <x v="0"/>
    <m/>
    <x v="0"/>
    <s v="SIM"/>
    <s v="SIM"/>
    <s v="SIM"/>
  </r>
  <r>
    <x v="0"/>
    <x v="0"/>
    <d v="2023-02-06T09:00:00"/>
    <s v="CAIU3406248"/>
    <n v="20"/>
    <x v="2"/>
    <s v="SOSAL"/>
    <s v="SBC"/>
    <n v="740"/>
    <s v="LOGIN JACARANDA 149S"/>
    <n v="103564"/>
    <m/>
    <s v="KBK0D67"/>
    <s v="CPJ5G64"/>
    <s v="EVANDRO DE FREITAS ROSA"/>
    <s v="03605652476"/>
    <s v="00910837259"/>
    <n v="3371"/>
    <s v="DPW"/>
    <d v="2023-02-06T05:34:00"/>
    <s v="TRANSTEC SANTOS"/>
    <d v="2023-02-06T14:41:00"/>
    <d v="2023-02-06T08:00:00"/>
    <d v="2023-02-06T12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06T09:00:00"/>
    <s v="CAIU2914563"/>
    <n v="20"/>
    <x v="2"/>
    <s v="SOSAL"/>
    <s v="SBC"/>
    <n v="635"/>
    <s v="LOGIN JACARANDA 149S"/>
    <n v="112680"/>
    <m/>
    <s v="BHP9483"/>
    <s v="BSF4E26"/>
    <s v="ANACLETO RODRIGUES DE SANTANA"/>
    <s v="01817591878"/>
    <s v="00821760640"/>
    <n v="3370"/>
    <s v="DPW"/>
    <d v="2023-02-06T05:25:00"/>
    <s v="TRANSTEC SANTOS"/>
    <d v="2023-02-06T14:23:00"/>
    <d v="2023-02-06T08:00:00"/>
    <d v="2023-02-06T12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06T08:00:00"/>
    <s v="TCLU3467050"/>
    <n v="20"/>
    <x v="0"/>
    <s v="FUCKS"/>
    <s v="ITUPEVA"/>
    <n v="737"/>
    <s v="LOGIN JACARANDA 149S"/>
    <n v="103520"/>
    <m/>
    <s v="EWJ2162"/>
    <s v="ETF6391"/>
    <s v="CARLOS BUENO BALTAZAR"/>
    <n v="19279658883"/>
    <s v="01301319672"/>
    <n v="3369"/>
    <s v="DPW"/>
    <d v="2023-02-05T22:18:00"/>
    <s v="DEPOTCE"/>
    <d v="2023-02-06T16:24:00"/>
    <d v="2023-02-06T07:00:00"/>
    <d v="2023-02-06T13:00:00"/>
    <n v="2200"/>
    <n v="500"/>
    <n v="2700"/>
    <n v="0"/>
    <m/>
    <m/>
    <m/>
    <n v="601.46159999999998"/>
    <n v="5012.18"/>
    <x v="1"/>
    <x v="0"/>
    <m/>
    <x v="0"/>
    <s v="SIM"/>
    <s v="SIM"/>
    <s v="SIM"/>
  </r>
  <r>
    <x v="0"/>
    <x v="0"/>
    <d v="2023-02-06T08:00:00"/>
    <s v="GLDU7608729"/>
    <n v="40"/>
    <x v="0"/>
    <s v="AJINOMOTO"/>
    <s v="LIMEIRA"/>
    <n v="634"/>
    <s v="LOGIN JACARANDA 149S"/>
    <n v="103557"/>
    <m/>
    <s v="DDL8B54"/>
    <s v="FEI4012"/>
    <s v="WILTON SILVA BARBOSA"/>
    <s v="27455658850"/>
    <s v="01286008208"/>
    <n v="3372"/>
    <s v="DPW"/>
    <d v="2023-02-06T01:07:00"/>
    <s v="MEDLOG"/>
    <d v="2023-02-06T17:55:00"/>
    <d v="2023-02-06T07:00:00"/>
    <d v="2023-02-06T13:00:00"/>
    <n v="564.4"/>
    <n v="0"/>
    <n v="564.4"/>
    <n v="0"/>
    <m/>
    <m/>
    <m/>
    <n v="558.28440000000001"/>
    <n v="4652.37"/>
    <x v="1"/>
    <x v="0"/>
    <m/>
    <x v="0"/>
    <s v="SIM"/>
    <s v="SIM"/>
    <s v="SIM"/>
  </r>
  <r>
    <x v="0"/>
    <x v="0"/>
    <d v="2023-02-06T09:00:00"/>
    <s v="TEMU7721940"/>
    <n v="40"/>
    <x v="0"/>
    <s v="AJINOMOTO"/>
    <s v="LIMEIRA"/>
    <n v="722"/>
    <s v="LOGIN JACARANDA 149S"/>
    <n v="103442"/>
    <n v="103443"/>
    <s v="FGD8G49"/>
    <s v="FUJ0D24"/>
    <s v="GILVAN LAURENTINO DA SILVA"/>
    <s v="92693377404"/>
    <s v="02954783990"/>
    <n v="3373"/>
    <s v="DPW"/>
    <d v="2023-02-06T05:19:00"/>
    <s v="MEDLOG"/>
    <d v="2023-02-06T20:07:00"/>
    <d v="2023-02-06T09:00:00"/>
    <d v="2023-02-06T16:00:00"/>
    <n v="3400"/>
    <n v="0"/>
    <n v="3400"/>
    <n v="0"/>
    <m/>
    <m/>
    <m/>
    <n v="558.28440000000001"/>
    <n v="4652.37"/>
    <x v="1"/>
    <x v="0"/>
    <m/>
    <x v="0"/>
    <s v="SIM"/>
    <s v="SIM"/>
    <s v="SIM"/>
  </r>
  <r>
    <x v="0"/>
    <x v="0"/>
    <d v="2023-02-07T08:00:00"/>
    <s v="CAIU3027780"/>
    <n v="20"/>
    <x v="0"/>
    <s v="NEW MAX"/>
    <s v="AMERICANA"/>
    <n v="730"/>
    <s v="LOGIN JACARANDA 149S"/>
    <n v="103444"/>
    <m/>
    <s v="EPU5990"/>
    <s v="BSG1D88"/>
    <s v="LEANDRO SOARES CAETANO"/>
    <s v="10485530864"/>
    <s v="02033192841"/>
    <n v="3377"/>
    <s v="DPW"/>
    <d v="2023-02-06T21:33:00"/>
    <s v="MEDLOG"/>
    <d v="2023-02-07T15:25:00"/>
    <d v="2023-02-07T05:00:00"/>
    <d v="2023-02-07T08:00:00"/>
    <n v="3200"/>
    <n v="0"/>
    <n v="3200"/>
    <n v="0"/>
    <m/>
    <m/>
    <m/>
    <n v="571.48680000000002"/>
    <n v="4762.3900000000003"/>
    <x v="1"/>
    <x v="0"/>
    <m/>
    <x v="0"/>
    <s v="SIM"/>
    <s v="SIM"/>
    <s v="SIM"/>
  </r>
  <r>
    <x v="0"/>
    <x v="0"/>
    <d v="2023-02-07T08:00:00"/>
    <s v="SEGU1153847"/>
    <n v="20"/>
    <x v="0"/>
    <s v="NEW MAX"/>
    <s v="AMERICANA"/>
    <n v="732"/>
    <s v="LOGIN JACARANDA 149S"/>
    <n v="103441"/>
    <m/>
    <s v="EWJ2162"/>
    <s v="ETF6391"/>
    <s v="CARLOS BUENO BALTAZAR"/>
    <n v="19279658883"/>
    <s v="01301319672"/>
    <s v="3378c / 3387"/>
    <s v="DPW"/>
    <d v="2023-02-06T21:16:00"/>
    <s v="MEDLOG"/>
    <d v="2023-02-07T14:29:00"/>
    <d v="2023-02-07T05:00:00"/>
    <d v="2023-02-07T08:00:00"/>
    <n v="3200"/>
    <n v="0"/>
    <n v="3200"/>
    <n v="0"/>
    <m/>
    <m/>
    <m/>
    <n v="571.48680000000002"/>
    <n v="4762.3900000000003"/>
    <x v="1"/>
    <x v="0"/>
    <m/>
    <x v="0"/>
    <s v="SIM"/>
    <s v="SIM"/>
    <s v="SIM"/>
  </r>
  <r>
    <x v="0"/>
    <x v="0"/>
    <d v="2023-02-07T08:00:00"/>
    <s v="CAIU3410084"/>
    <n v="20"/>
    <x v="0"/>
    <s v="PENINA"/>
    <s v="VL. INDEPENDENTE"/>
    <n v="733"/>
    <s v="LOGIN JACARANDA 149S"/>
    <n v="103440"/>
    <m/>
    <s v="FXG5H10"/>
    <s v="DBC3G21"/>
    <s v="ROBERTO CARLOS BEZERRA PIRES"/>
    <s v="27455658850"/>
    <s v="01286008208"/>
    <n v="3379"/>
    <s v="DPW"/>
    <d v="2023-02-06T20:17:00"/>
    <s v="MEDLOG"/>
    <d v="2023-02-07T14:10:00"/>
    <d v="2023-02-07T05:00:00"/>
    <d v="2023-02-07T10:30:00"/>
    <n v="1900"/>
    <n v="0"/>
    <n v="1900"/>
    <n v="700"/>
    <m/>
    <m/>
    <m/>
    <n v="447.91919999999999"/>
    <n v="3732.66"/>
    <x v="1"/>
    <x v="0"/>
    <m/>
    <x v="0"/>
    <s v="SIM"/>
    <s v="SIM"/>
    <s v="SIM"/>
  </r>
  <r>
    <x v="0"/>
    <x v="0"/>
    <d v="2023-02-07T08:00:00"/>
    <s v="CAIU3310486"/>
    <n v="20"/>
    <x v="1"/>
    <s v="MIAN"/>
    <s v="SBC"/>
    <n v="736"/>
    <s v="LOGIN JACARANDA 149S"/>
    <n v="103519"/>
    <m/>
    <s v="KBK0D67"/>
    <s v="CPJ5G64"/>
    <s v="JOAO BATISTA DOS SANTOS"/>
    <s v="13990937898"/>
    <s v="01825123407"/>
    <n v="3380"/>
    <s v="DPW"/>
    <d v="2023-02-06T23:41:00"/>
    <s v="MEDLOG"/>
    <d v="2023-02-07T16:06:00"/>
    <d v="2023-02-07T05:00:00"/>
    <d v="2023-02-07T10:00:00"/>
    <n v="1600"/>
    <n v="0"/>
    <n v="1600"/>
    <n v="0"/>
    <m/>
    <m/>
    <m/>
    <n v="311.55959999999999"/>
    <n v="2596.33"/>
    <x v="1"/>
    <x v="0"/>
    <m/>
    <x v="0"/>
    <s v="SIM"/>
    <s v="SIM"/>
    <s v="SIM"/>
  </r>
  <r>
    <x v="0"/>
    <x v="0"/>
    <d v="2023-02-07T08:00:00"/>
    <s v="TCLU2967153"/>
    <n v="20"/>
    <x v="1"/>
    <s v="MIAN"/>
    <s v="SBC"/>
    <n v="734"/>
    <s v="LOGIN JACARANDA 149S"/>
    <n v="112716"/>
    <m/>
    <s v="BHP9483"/>
    <s v="BSF4E26"/>
    <s v="ANACLETO RODRIGUES DE SANTANA"/>
    <s v="01817591878"/>
    <s v="00821760640"/>
    <s v="3381c / 3458"/>
    <s v="DPW"/>
    <d v="2023-02-07T00:14:00"/>
    <s v="MEDLOG"/>
    <d v="2023-02-07T15:15:00"/>
    <d v="2023-02-07T05:00:00"/>
    <d v="2023-02-07T10:00:00"/>
    <n v="1600"/>
    <n v="0"/>
    <n v="1600"/>
    <n v="0"/>
    <m/>
    <m/>
    <m/>
    <n v="311.55959999999999"/>
    <n v="2596.33"/>
    <x v="1"/>
    <x v="0"/>
    <m/>
    <x v="0"/>
    <s v="SIM"/>
    <s v="SIM"/>
    <s v="SIM"/>
  </r>
  <r>
    <x v="0"/>
    <x v="1"/>
    <d v="2023-02-07T08:00:00"/>
    <s v="AMFU8788361"/>
    <n v="40"/>
    <x v="0"/>
    <s v="DOREMUS"/>
    <s v="GUARULHOS"/>
    <n v="685"/>
    <s v="LOGIN JACARANDA 149S"/>
    <n v="103415"/>
    <m/>
    <s v="GFL7E87"/>
    <s v="GIK5H08"/>
    <s v="JEFFERSON BATISTA ARISTIDES"/>
    <s v="34927982840"/>
    <s v="03500129879"/>
    <n v="3382"/>
    <s v="DPW"/>
    <d v="2023-02-06T18:32:00"/>
    <s v="DELTA TERMINAIS "/>
    <d v="2023-02-07T15:15:00"/>
    <d v="2023-02-07T09:00:00"/>
    <d v="2023-02-07T13:00:00"/>
    <n v="2100"/>
    <n v="0"/>
    <n v="2100"/>
    <n v="0"/>
    <m/>
    <m/>
    <m/>
    <n v="370.37759999999997"/>
    <n v="3086.48"/>
    <x v="1"/>
    <x v="0"/>
    <m/>
    <x v="1"/>
    <s v="SIM"/>
    <s v="SIM"/>
    <s v="SIM"/>
  </r>
  <r>
    <x v="0"/>
    <x v="1"/>
    <d v="2023-02-07T08:00:00"/>
    <s v="TCLU5012403"/>
    <n v="40"/>
    <x v="0"/>
    <s v="DOREMUS"/>
    <s v="GUARULHOS"/>
    <n v="723"/>
    <s v="LOGIN JACARANDA 149S"/>
    <n v="103521"/>
    <m/>
    <s v="FRG7C59"/>
    <s v="EWJ4J85"/>
    <s v="WILSON FLAVIO ALVES DA SILVA"/>
    <s v="27455658850"/>
    <s v="01286008208"/>
    <n v="3383"/>
    <s v="DPW"/>
    <d v="2023-02-06T20:16:00"/>
    <s v="MEDLOG"/>
    <d v="2023-02-07T15:55:00"/>
    <d v="2023-02-07T09:00:00"/>
    <d v="2023-02-07T13:00:00"/>
    <n v="2100"/>
    <n v="0"/>
    <n v="2100"/>
    <n v="0"/>
    <m/>
    <m/>
    <m/>
    <n v="370.37759999999997"/>
    <n v="3086.48"/>
    <x v="1"/>
    <x v="0"/>
    <m/>
    <x v="1"/>
    <s v="SIM"/>
    <s v="SIM"/>
    <s v="SIM"/>
  </r>
  <r>
    <x v="0"/>
    <x v="0"/>
    <d v="2023-02-07T08:00:00"/>
    <s v="TCLU8697250"/>
    <n v="40"/>
    <x v="0"/>
    <s v="FLUIDrA"/>
    <s v="VALINHOS"/>
    <n v="719"/>
    <s v="LOGIN JACARANDA 149S"/>
    <n v="103414"/>
    <m/>
    <s v="DDL8B54"/>
    <s v="FEI4012"/>
    <s v="WILTON SILVA BARBOSA"/>
    <s v="27455658850"/>
    <s v="01286008208"/>
    <n v="3384"/>
    <s v="DPW"/>
    <d v="2023-02-06T22:54:00"/>
    <s v="MEDLOG"/>
    <d v="2023-02-07T13:55:00"/>
    <d v="2023-02-07T05:00:00"/>
    <d v="2023-02-07T10:50:00"/>
    <n v="471.6"/>
    <n v="0"/>
    <n v="471.6"/>
    <n v="0"/>
    <n v="3245.68"/>
    <m/>
    <n v="596.4"/>
    <n v="523.91999999999996"/>
    <n v="4366"/>
    <x v="1"/>
    <x v="0"/>
    <m/>
    <x v="0"/>
    <s v="SIM"/>
    <s v="SIM"/>
    <s v="SIM"/>
  </r>
  <r>
    <x v="0"/>
    <x v="1"/>
    <d v="2023-02-03T07:00:00"/>
    <s v="CAIU7627376"/>
    <n v="40"/>
    <x v="3"/>
    <s v="N.SRA."/>
    <s v="VALINHOS"/>
    <s v="P10400976D"/>
    <s v="LOGIN JACARANDA 149S"/>
    <n v="7591"/>
    <m/>
    <s v="FZF3E97"/>
    <s v="FXU8J10"/>
    <s v="FABIO DARIO RODRIGUES"/>
    <s v="26283419801"/>
    <s v="02002046946"/>
    <n v="3367"/>
    <s v="DPW"/>
    <d v="2023-02-03T00:01:00"/>
    <s v="DEPOTCE"/>
    <d v="2023-02-03T16:50:00"/>
    <d v="2023-02-03T08:50:00"/>
    <d v="2023-02-03T11:40:00"/>
    <n v="3200"/>
    <n v="0"/>
    <n v="3200"/>
    <n v="0"/>
    <m/>
    <m/>
    <m/>
    <n v="531"/>
    <n v="4425"/>
    <x v="1"/>
    <x v="0"/>
    <m/>
    <x v="2"/>
    <s v="SIM"/>
    <s v="SIM"/>
    <s v="SIM"/>
  </r>
  <r>
    <x v="0"/>
    <x v="0"/>
    <d v="2023-02-03T07:00:00"/>
    <s v="BMOU6991017"/>
    <n v="40"/>
    <x v="3"/>
    <s v="N.SRA."/>
    <s v="VALINHOS"/>
    <s v="P10400976A"/>
    <s v="LOGIN JACARANDA 149S"/>
    <n v="7593"/>
    <m/>
    <s v="DFT0E47"/>
    <s v="BVT0E67"/>
    <s v="ALMIR CARDOSO DOS SANTOS"/>
    <s v="09776430856"/>
    <s v="01258979905"/>
    <n v="3366"/>
    <s v="DPW"/>
    <d v="2023-02-03T00:01:00"/>
    <s v="DEPOTCE"/>
    <d v="2023-02-03T13:20:00"/>
    <d v="2023-02-03T06:30:00"/>
    <d v="2023-02-03T09:40:00"/>
    <n v="3200"/>
    <n v="0"/>
    <n v="3200"/>
    <n v="0"/>
    <m/>
    <m/>
    <m/>
    <n v="531"/>
    <n v="4425"/>
    <x v="1"/>
    <x v="0"/>
    <m/>
    <x v="0"/>
    <s v="SIM"/>
    <s v="SIM"/>
    <s v="SIM"/>
  </r>
  <r>
    <x v="0"/>
    <x v="0"/>
    <d v="2023-02-06T07:00:00"/>
    <s v="TCLU6533453"/>
    <n v="40"/>
    <x v="3"/>
    <s v="N.SRA."/>
    <s v="VALINHOS"/>
    <s v="P10400976B"/>
    <s v="LOGIN JACARANDA 149S"/>
    <n v="7604"/>
    <m/>
    <s v="CUA7F62"/>
    <s v="BSG2J78"/>
    <s v="VALDECIR DA SILVA"/>
    <s v="27455658850"/>
    <s v="01286008208"/>
    <n v="3375"/>
    <s v="DPW"/>
    <d v="2023-02-05T07:00:00"/>
    <s v="DEPOTCE"/>
    <d v="2023-02-06T11:58:00"/>
    <d v="2023-02-06T01:00:00"/>
    <d v="2023-02-06T08:40:00"/>
    <n v="3000"/>
    <n v="0"/>
    <n v="3000"/>
    <n v="0"/>
    <m/>
    <m/>
    <m/>
    <n v="531"/>
    <n v="4425"/>
    <x v="1"/>
    <x v="0"/>
    <m/>
    <x v="0"/>
    <s v="SIM"/>
    <s v="SIM"/>
    <s v="SIM"/>
  </r>
  <r>
    <x v="0"/>
    <x v="0"/>
    <d v="2023-02-06T07:00:00"/>
    <s v="APHU7342470"/>
    <n v="40"/>
    <x v="3"/>
    <s v="N.SRA."/>
    <s v="VALINHOS"/>
    <s v="P10400976C"/>
    <s v="LOGIN JACARANDA 149S"/>
    <n v="7620"/>
    <m/>
    <s v="EFU6A89"/>
    <s v="ABR8E82"/>
    <s v="GUSTAVO ANTONIO CAVALCANTE"/>
    <s v="28386357860"/>
    <s v="01042201192"/>
    <n v="3376"/>
    <s v="DPW"/>
    <d v="2023-02-06T01:00:00"/>
    <s v="DEPOTCE"/>
    <d v="2023-02-06T18:51:00"/>
    <d v="2023-02-06T03:00:00"/>
    <d v="2023-02-06T12:00:00"/>
    <n v="3000"/>
    <n v="0"/>
    <n v="3000"/>
    <n v="0"/>
    <m/>
    <m/>
    <m/>
    <n v="531"/>
    <n v="4425"/>
    <x v="1"/>
    <x v="0"/>
    <m/>
    <x v="0"/>
    <s v="SIM"/>
    <s v="SIM"/>
    <s v="SIM"/>
  </r>
  <r>
    <x v="0"/>
    <x v="0"/>
    <d v="2023-02-06T07:00:00"/>
    <s v="SEKU6045500"/>
    <n v="40"/>
    <x v="3"/>
    <s v="N.SRA."/>
    <s v="VALINHOS"/>
    <s v="P10401660A"/>
    <s v="LOGIN JACARANDA 149S"/>
    <n v="7635"/>
    <m/>
    <s v="FRG7C59"/>
    <s v="EWJ4J85"/>
    <s v="WILSON FLAVIO ALVES DA SILVA"/>
    <s v="27455658850"/>
    <s v="01286008208"/>
    <n v="3374"/>
    <s v="DPW"/>
    <d v="2023-02-05T23:00:00"/>
    <s v="DEPOTCE"/>
    <d v="2023-02-06T16:40:00"/>
    <d v="2023-02-06T02:00:00"/>
    <d v="2023-02-06T09:20:00"/>
    <n v="3200"/>
    <n v="0"/>
    <n v="3200"/>
    <n v="0"/>
    <m/>
    <m/>
    <m/>
    <n v="531"/>
    <n v="4425"/>
    <x v="1"/>
    <x v="0"/>
    <m/>
    <x v="0"/>
    <s v="SIM"/>
    <s v="SIM"/>
    <s v="SIM"/>
  </r>
  <r>
    <x v="0"/>
    <x v="0"/>
    <d v="2023-02-07T08:00:00"/>
    <s v="BSIU8084710"/>
    <n v="40"/>
    <x v="0"/>
    <s v="BR SPICE"/>
    <s v="JANDIRA"/>
    <s v="AAK3915B"/>
    <s v="VICENTE PIZON  303S"/>
    <n v="103683"/>
    <m/>
    <s v="DTB7A34"/>
    <s v="ABR8E82"/>
    <s v="JAILTON GEOVANIO TAVARES DOS SANTOS"/>
    <s v="33913917829"/>
    <s v="03312585500"/>
    <n v="3385"/>
    <s v="SANTOS BRASIL"/>
    <d v="2023-02-06T23:45:00"/>
    <s v="FASSINA SANTOS"/>
    <d v="2023-02-07T16:29:00"/>
    <d v="2023-02-07T05:30:00"/>
    <d v="2023-02-07T10:50:00"/>
    <n v="2300"/>
    <n v="0"/>
    <n v="2300"/>
    <n v="0"/>
    <m/>
    <m/>
    <m/>
    <n v="392.15039999999999"/>
    <n v="3267.92"/>
    <x v="1"/>
    <x v="0"/>
    <m/>
    <x v="0"/>
    <s v="SIM"/>
    <s v="SIM"/>
    <s v="SIM"/>
  </r>
  <r>
    <x v="0"/>
    <x v="0"/>
    <d v="2023-02-08T08:00:00"/>
    <s v="MSKU5937020"/>
    <n v="20"/>
    <x v="0"/>
    <s v="ADESTE"/>
    <s v="SANTO ANDRE"/>
    <s v="AAK3242B"/>
    <s v="VICENTE PIZON  303S"/>
    <n v="103634"/>
    <m/>
    <s v="FXG5H10"/>
    <s v="DBC3G21"/>
    <s v="ROBERTO CARLOS BEZERRA PIRES"/>
    <s v="27455658850"/>
    <s v="01286008208"/>
    <n v="3386"/>
    <s v="SANTOS BRASIL"/>
    <d v="2023-02-07T21:00:00"/>
    <s v="TRANSTEC SANTOS"/>
    <d v="2023-02-09T12:14:00"/>
    <d v="2023-02-08T03:00:00"/>
    <d v="2023-02-08T13:00:00"/>
    <n v="1600"/>
    <n v="0"/>
    <n v="1600"/>
    <n v="600"/>
    <m/>
    <m/>
    <m/>
    <n v="415.74719999999996"/>
    <n v="3464.56"/>
    <x v="1"/>
    <x v="0"/>
    <m/>
    <x v="0"/>
    <s v="SIM"/>
    <s v="SIM"/>
    <s v="SIM"/>
  </r>
  <r>
    <x v="0"/>
    <x v="0"/>
    <d v="2023-02-09T09:00:00"/>
    <s v="GESU1442188"/>
    <n v="20"/>
    <x v="2"/>
    <s v="SOSAL"/>
    <s v="SBC"/>
    <n v="935"/>
    <s v="LOGIN ENDURANCE  037S"/>
    <n v="112987"/>
    <m/>
    <s v="BHP9483"/>
    <s v="BSF4E26"/>
    <s v="ANACLETO RODRIGUES DE SANTANA"/>
    <s v="01817591878"/>
    <s v="00821760640"/>
    <n v="15041"/>
    <s v="DPW"/>
    <d v="2023-02-09T00:30:00"/>
    <s v="TRANSTEC SANTOS"/>
    <d v="2023-02-09T13:22:00"/>
    <d v="2023-02-09T06:00:00"/>
    <d v="2023-02-09T11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09T09:00:00"/>
    <s v="SEGU1124319"/>
    <n v="20"/>
    <x v="2"/>
    <s v="SOSAL"/>
    <s v="SBC"/>
    <n v="975"/>
    <s v="LOGIN ENDURANCE  037S"/>
    <n v="103802"/>
    <m/>
    <s v="KBK0D67"/>
    <s v="CPN9C57"/>
    <s v="JOAO BATISTA DOS SANTOS"/>
    <s v="13990937898"/>
    <s v="01825123407"/>
    <n v="15043"/>
    <s v="DPW"/>
    <d v="2023-02-08T21:57:00"/>
    <s v="TRANSTEC SANTOS"/>
    <d v="2023-02-09T13:10:00"/>
    <d v="2023-02-09T06:00:00"/>
    <d v="2023-02-09T11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09T08:00:00"/>
    <s v="TCLU8168534"/>
    <n v="40"/>
    <x v="0"/>
    <s v="IBRAC"/>
    <s v="RIO CLARO"/>
    <n v="916"/>
    <s v="LOGIN ENDURANCE  037S"/>
    <n v="103799"/>
    <m/>
    <s v="DDL8B54"/>
    <s v="FEI4012"/>
    <s v="WILTON SILVA BARBOSA"/>
    <s v="27455658850"/>
    <s v="01286008208"/>
    <n v="3390"/>
    <s v="DPW"/>
    <d v="2023-02-08T23:28:00"/>
    <s v="MEDLOG"/>
    <d v="2023-02-09T16:36:00"/>
    <d v="2023-02-09T06:00:00"/>
    <d v="2023-02-09T11:00:00"/>
    <n v="635.4"/>
    <n v="0"/>
    <n v="635.4"/>
    <n v="0"/>
    <m/>
    <m/>
    <m/>
    <n v="641.71680000000003"/>
    <n v="5347.64"/>
    <x v="1"/>
    <x v="0"/>
    <m/>
    <x v="0"/>
    <s v="SIM"/>
    <s v="SIM"/>
    <s v="SIM"/>
  </r>
  <r>
    <x v="0"/>
    <x v="0"/>
    <d v="2023-02-09T12:00:00"/>
    <s v="DFSU7532354"/>
    <n v="40"/>
    <x v="0"/>
    <s v="AJINOMOTO"/>
    <s v="LIMEIRA"/>
    <n v="918"/>
    <s v="LOGIN ENDURANCE  037S"/>
    <n v="103803"/>
    <n v="103804"/>
    <s v="GFL7E87"/>
    <s v="GIK5H08"/>
    <s v="JEFFERSON BATISTA ARISTIDES"/>
    <s v="34927982840"/>
    <s v="03500129879"/>
    <n v="3388"/>
    <s v="DPW"/>
    <d v="2023-02-09T07:20:00"/>
    <s v="MEDLOG"/>
    <d v="2023-02-09T23:02:00"/>
    <d v="2023-02-09T11:50:00"/>
    <d v="2023-02-09T16:40:00"/>
    <n v="3400"/>
    <n v="0"/>
    <n v="3400"/>
    <n v="0"/>
    <m/>
    <m/>
    <m/>
    <n v="558.28440000000001"/>
    <n v="4652.37"/>
    <x v="1"/>
    <x v="0"/>
    <m/>
    <x v="0"/>
    <s v="SIM"/>
    <s v="SIM"/>
    <s v="SIM"/>
  </r>
  <r>
    <x v="0"/>
    <x v="0"/>
    <d v="2023-02-09T10:00:00"/>
    <s v="FJKU6013828"/>
    <n v="40"/>
    <x v="0"/>
    <s v="AJINOMOTO"/>
    <s v="LIMEIRA"/>
    <n v="1043"/>
    <s v="LOGIN ENDURANCE  037S"/>
    <n v="103805"/>
    <n v="103806"/>
    <s v="FSI0I03"/>
    <s v="DPB9G64"/>
    <s v="EMERSON PEREIRA DA SILVA"/>
    <s v="09803034863"/>
    <s v="01484565209"/>
    <n v="3389"/>
    <s v="DPW"/>
    <d v="2023-02-09T05:54:00"/>
    <s v="MEDLOG"/>
    <d v="2023-02-09T19:38:00"/>
    <d v="2023-02-09T09:50:00"/>
    <d v="2023-02-09T15:00:00"/>
    <n v="3400"/>
    <n v="0"/>
    <n v="3400"/>
    <n v="0"/>
    <m/>
    <m/>
    <m/>
    <n v="558.28440000000001"/>
    <n v="4652.37"/>
    <x v="1"/>
    <x v="0"/>
    <m/>
    <x v="0"/>
    <s v="SIM"/>
    <s v="SIM"/>
    <s v="SIM"/>
  </r>
  <r>
    <x v="0"/>
    <x v="1"/>
    <d v="2023-02-09T08:00:00"/>
    <s v="TCNU8698700"/>
    <n v="40"/>
    <x v="0"/>
    <s v="DOREMUS"/>
    <s v="GUARULHOS"/>
    <n v="908"/>
    <s v="LOGIN ENDURANCE  037S"/>
    <n v="103631"/>
    <m/>
    <s v="FGD8G49"/>
    <s v="FUJ0D24"/>
    <s v="GILVAN LAURENTINO DA SILVA"/>
    <s v="92693377404"/>
    <s v="02954783990"/>
    <n v="3391"/>
    <s v="DPW"/>
    <d v="2023-02-09T05:30:00"/>
    <s v="DEPOTCE"/>
    <d v="2023-02-09T16:18:00"/>
    <d v="2023-02-09T09:00:00"/>
    <d v="2023-02-09T11:00:00"/>
    <n v="2100"/>
    <n v="0"/>
    <n v="2100"/>
    <n v="0"/>
    <m/>
    <m/>
    <m/>
    <n v="370.37759999999997"/>
    <n v="3086.48"/>
    <x v="1"/>
    <x v="0"/>
    <m/>
    <x v="2"/>
    <s v="SIM"/>
    <s v="SIM"/>
    <s v="SIM"/>
  </r>
  <r>
    <x v="0"/>
    <x v="0"/>
    <d v="2023-02-09T08:00:00"/>
    <s v="TEMU7716395"/>
    <n v="40"/>
    <x v="0"/>
    <s v="AROUMAR"/>
    <s v="JAÇANA"/>
    <n v="906"/>
    <s v="LOGIN ENDURANCE  037S"/>
    <n v="103629"/>
    <n v="103630"/>
    <s v="DFT0E47"/>
    <s v="BVT0E67"/>
    <s v="ALMIR CARDOSO DOS SANTOS"/>
    <s v="09776430856"/>
    <s v="01258979905"/>
    <n v="3392"/>
    <s v="DPW"/>
    <d v="2023-02-09T00:01:00"/>
    <s v="MEDLOG"/>
    <d v="2023-02-09T16:01:00"/>
    <d v="2023-02-09T06:00:00"/>
    <d v="2023-02-09T10:30:00"/>
    <n v="0"/>
    <n v="0"/>
    <n v="0"/>
    <n v="640"/>
    <m/>
    <m/>
    <m/>
    <n v="451.75439999999998"/>
    <n v="3764.62"/>
    <x v="1"/>
    <x v="0"/>
    <m/>
    <x v="0"/>
    <s v="SIM"/>
    <s v="SIM"/>
    <s v="SIM"/>
  </r>
  <r>
    <x v="0"/>
    <x v="0"/>
    <d v="2023-02-10T09:00:00"/>
    <s v="CAIU3419190"/>
    <n v="20"/>
    <x v="2"/>
    <s v="SOSAL"/>
    <s v="SBC"/>
    <n v="936"/>
    <s v="LOGIN ENDURANCE  037S"/>
    <n v="103768"/>
    <m/>
    <s v="KBK0D67"/>
    <s v="CPN9C57"/>
    <s v="JOAO BATISTA DOS SANTOS"/>
    <s v="13990937898"/>
    <s v="01825123407"/>
    <n v="15054"/>
    <s v="DPW"/>
    <d v="2023-02-09T22:16:00"/>
    <s v="TRANSTEC SANTOS"/>
    <d v="2023-02-10T16:13:00"/>
    <d v="2023-02-10T05:00:00"/>
    <d v="2023-02-10T10:3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10T09:00:00"/>
    <s v="CAIU3108705"/>
    <n v="20"/>
    <x v="2"/>
    <s v="SOSAL"/>
    <s v="SBC"/>
    <n v="937"/>
    <s v="LOGIN ENDURANCE  037S"/>
    <n v="103767"/>
    <m/>
    <s v="BHP9483"/>
    <s v="BSF4E26"/>
    <s v="ANACLETO RODRIGUES DE SANTANA"/>
    <s v="01817591878"/>
    <s v="00821760640"/>
    <n v="15053"/>
    <s v="DPW"/>
    <d v="2023-02-09T23:11:00"/>
    <s v="TRANSTEC SANTOS"/>
    <d v="2023-02-10T16:04:00"/>
    <d v="2023-02-10T05:00:00"/>
    <d v="2023-02-10T11:3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10T08:00:00"/>
    <s v="SEGU1061020"/>
    <n v="20"/>
    <x v="0"/>
    <s v="CHARQUE CAMPEAO"/>
    <s v="SANTANA DE PARNAIBA"/>
    <n v="965"/>
    <s v="LOGIN ENDURANCE  037S"/>
    <n v="113036"/>
    <m/>
    <s v="EPU5990"/>
    <s v="BSG1D88"/>
    <s v="LEANDRO SOARES CAETANO"/>
    <s v="10485530864"/>
    <s v="02033192841"/>
    <n v="3394"/>
    <s v="DPW"/>
    <d v="2023-02-10T04:48:00"/>
    <s v="MEDLOG"/>
    <d v="2023-02-10T14:11:00"/>
    <d v="2023-02-10T08:00:00"/>
    <d v="2023-02-10T11:00:00"/>
    <n v="2300"/>
    <n v="0"/>
    <n v="2300"/>
    <n v="0"/>
    <m/>
    <m/>
    <m/>
    <n v="399.62399999999997"/>
    <n v="3330.2"/>
    <x v="1"/>
    <x v="0"/>
    <m/>
    <x v="0"/>
    <s v="SIM"/>
    <s v="SIM"/>
    <s v="SIM"/>
  </r>
  <r>
    <x v="0"/>
    <x v="0"/>
    <d v="2023-02-10T08:00:00"/>
    <s v="TCLU3055200"/>
    <n v="20"/>
    <x v="0"/>
    <s v="KERRY"/>
    <s v="COTIA"/>
    <n v="964"/>
    <s v="LOGIN ENDURANCE  037S"/>
    <n v="103635"/>
    <m/>
    <s v="FXG5H10"/>
    <s v="DBC3G21"/>
    <s v="ROBERTO CARLOS BEZERRA PIRES"/>
    <s v="27455658850"/>
    <s v="01286008208"/>
    <n v="3397"/>
    <s v="DPW"/>
    <d v="2023-02-09T22:18:00"/>
    <s v="MEDLOG"/>
    <d v="2023-02-10T14:59:00"/>
    <d v="2023-02-10T06:00:00"/>
    <d v="2023-02-10T09:20:00"/>
    <n v="2200"/>
    <n v="0"/>
    <n v="2200"/>
    <n v="600"/>
    <m/>
    <m/>
    <m/>
    <n v="473.5104"/>
    <n v="3945.92"/>
    <x v="1"/>
    <x v="0"/>
    <m/>
    <x v="0"/>
    <s v="SIM"/>
    <s v="SIM"/>
    <s v="SIM"/>
  </r>
  <r>
    <x v="0"/>
    <x v="0"/>
    <d v="2023-02-10T08:00:00"/>
    <s v="TCNU6247884"/>
    <n v="40"/>
    <x v="0"/>
    <s v="BRC"/>
    <s v="RIO CLARO"/>
    <n v="912"/>
    <s v="LOGIN ENDURANCE  037S"/>
    <n v="103771"/>
    <m/>
    <s v="DDL8B54"/>
    <s v="FEI4012"/>
    <s v="WILTON SILVA BARBOSA"/>
    <s v="27455658850"/>
    <s v="01286008208"/>
    <n v="3396"/>
    <s v="DPW"/>
    <d v="2023-02-10T02:49:00"/>
    <s v="DEPOTCE"/>
    <d v="2023-02-10T17:29:00"/>
    <d v="2023-02-10T06:50:00"/>
    <d v="2023-02-10T10:16:00"/>
    <n v="635.4"/>
    <n v="0"/>
    <n v="635.4"/>
    <n v="0"/>
    <m/>
    <m/>
    <m/>
    <n v="641.71680000000003"/>
    <n v="5347.64"/>
    <x v="1"/>
    <x v="0"/>
    <m/>
    <x v="0"/>
    <s v="SIM"/>
    <s v="SIM"/>
    <s v="SIM"/>
  </r>
  <r>
    <x v="0"/>
    <x v="1"/>
    <d v="2023-02-10T08:00:00"/>
    <s v="TEMU8499273"/>
    <n v="40"/>
    <x v="0"/>
    <s v="AJINOMOTO"/>
    <s v="LIMEIRA"/>
    <n v="910"/>
    <s v="LOGIN ENDURANCE  037S"/>
    <n v="103730"/>
    <n v="103731"/>
    <s v="EKH4C25"/>
    <s v="DAO7B51"/>
    <s v="WESLLEY RODRIGO CONSTANCIO DA SILVA"/>
    <s v="27455658850"/>
    <s v="01286008208"/>
    <n v="3399"/>
    <s v="DPW"/>
    <d v="2023-02-10T06:49:00"/>
    <s v="MEDLOG"/>
    <d v="2023-02-10T19:54:00"/>
    <d v="2023-02-10T11:00:00"/>
    <d v="2023-02-10T15:00:00"/>
    <n v="3400"/>
    <n v="0"/>
    <n v="3400"/>
    <n v="0"/>
    <m/>
    <m/>
    <m/>
    <n v="558.28440000000001"/>
    <n v="4652.37"/>
    <x v="1"/>
    <x v="0"/>
    <m/>
    <x v="2"/>
    <s v="SIM"/>
    <s v="SIM"/>
    <s v="SIM"/>
  </r>
  <r>
    <x v="0"/>
    <x v="1"/>
    <d v="2023-02-13T07:00:00"/>
    <s v="TCLU8161479"/>
    <n v="40"/>
    <x v="0"/>
    <s v="AJINOMOTO"/>
    <s v="LIMEIRA"/>
    <n v="909"/>
    <s v="LOGIN ENDURANCE  037S"/>
    <n v="103676"/>
    <n v="103677"/>
    <s v="FZF3E97"/>
    <s v="FXU8J10"/>
    <s v="FABIO DARIO RODRIGUES"/>
    <s v="26283419801"/>
    <s v="02002046946"/>
    <n v="3400"/>
    <s v="DPW"/>
    <d v="2023-02-13T02:33:00"/>
    <s v="MEDLOG"/>
    <d v="2023-02-13T22:43:00"/>
    <d v="2023-02-13T07:20:00"/>
    <d v="2023-02-13T17:30:00"/>
    <n v="3400"/>
    <n v="0"/>
    <n v="3400"/>
    <n v="0"/>
    <m/>
    <m/>
    <m/>
    <n v="558.28440000000001"/>
    <n v="4652.37"/>
    <x v="1"/>
    <x v="0"/>
    <m/>
    <x v="4"/>
    <s v="SIM"/>
    <s v="SIM"/>
    <s v="SIM"/>
  </r>
  <r>
    <x v="0"/>
    <x v="1"/>
    <d v="2023-02-10T08:00:00"/>
    <s v="TCLU8701710"/>
    <n v="40"/>
    <x v="0"/>
    <s v="MAXSOY"/>
    <s v="HORTOLANDIA"/>
    <n v="919"/>
    <s v="LOGIN ENDURANCE  037S"/>
    <n v="103808"/>
    <m/>
    <s v="FSI0I03"/>
    <s v="DPB9G64"/>
    <s v="EMERSON PEREIRA DA SILVA"/>
    <s v="09803034863"/>
    <s v="01484565209"/>
    <n v="3398"/>
    <s v="DPW"/>
    <d v="2023-02-10T06:15:00"/>
    <s v="MEDLOG"/>
    <d v="2023-02-10T20:11:00"/>
    <d v="2023-02-10T11:10:00"/>
    <d v="2023-02-10T16:30:00"/>
    <n v="2000"/>
    <n v="0"/>
    <n v="2000"/>
    <n v="0"/>
    <m/>
    <m/>
    <m/>
    <n v="501.59999999999997"/>
    <n v="4180"/>
    <x v="1"/>
    <x v="0"/>
    <m/>
    <x v="2"/>
    <s v="SIM"/>
    <s v="SIM"/>
    <s v="SIM"/>
  </r>
  <r>
    <x v="0"/>
    <x v="1"/>
    <d v="2023-02-13T08:00:00"/>
    <s v="TEMU8501513"/>
    <n v="40"/>
    <x v="0"/>
    <s v="IRMAOS AVELINO"/>
    <s v="CARAPICUIBA"/>
    <n v="911"/>
    <s v="LOGIN ENDURANCE  037S"/>
    <n v="103727"/>
    <n v="103728"/>
    <s v="FSI0I03"/>
    <s v="DPB9G64"/>
    <s v="EMERSON PEREIRA DA SILVA"/>
    <s v="09803034863"/>
    <s v="01484565209"/>
    <n v="3401"/>
    <s v="DPW"/>
    <d v="2023-02-13T07:42:00"/>
    <s v="MEDLOG"/>
    <d v="2023-02-13T19:38:00"/>
    <d v="2023-02-13T10:55:00"/>
    <d v="2023-02-13T16:28:00"/>
    <n v="2300"/>
    <n v="0"/>
    <n v="2300"/>
    <n v="500"/>
    <m/>
    <m/>
    <m/>
    <n v="449.87520000000001"/>
    <n v="3748.96"/>
    <x v="1"/>
    <x v="0"/>
    <s v="SAÍDA DA GARAGEM ÀS 6:37"/>
    <x v="1"/>
    <s v="SIM"/>
    <s v="SIM"/>
    <s v="SIM"/>
  </r>
  <r>
    <x v="0"/>
    <x v="0"/>
    <d v="2023-02-13T11:00:00"/>
    <s v="CAIU3402509"/>
    <n v="20"/>
    <x v="2"/>
    <s v="SOSAL"/>
    <s v="SBC"/>
    <n v="974"/>
    <s v="LOGIN ENDURANCE  037S"/>
    <n v="103801"/>
    <m/>
    <s v="KBK0D67"/>
    <s v="CPN9C57"/>
    <s v="JOAO BATISTA DOS SANTOS"/>
    <s v="13990937898"/>
    <s v="01825123407"/>
    <n v="15059"/>
    <s v="DPW"/>
    <d v="2023-02-13T04:29:00"/>
    <s v="TRANSTEC SANTOS"/>
    <d v="2023-02-13T15:08:00"/>
    <d v="2023-02-13T06:00:00"/>
    <d v="2023-02-13T12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13T09:00:00"/>
    <s v="CAIU3159019"/>
    <n v="20"/>
    <x v="2"/>
    <s v="SOSAL"/>
    <s v="SBC"/>
    <n v="934"/>
    <s v="LOGIN ENDURANCE  037S"/>
    <n v="103769"/>
    <m/>
    <s v="BHP9483"/>
    <s v="BSF4E26"/>
    <s v="ANACLETO RODRIGUES DE SANTANA"/>
    <s v="01817591878"/>
    <s v="00821760640"/>
    <n v="15061"/>
    <s v="DPW"/>
    <d v="2023-02-13T04:46:00"/>
    <s v="TRANSTEC SANTOS"/>
    <d v="2023-02-13T14:30:00"/>
    <d v="2023-02-13T06:00:00"/>
    <d v="2023-02-13T12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13T08:00:00"/>
    <s v="TCLU8167610"/>
    <n v="40"/>
    <x v="0"/>
    <s v="IBRAC"/>
    <s v="RIO CLARO"/>
    <n v="915"/>
    <s v="LOGIN ENDURANCE  037S"/>
    <n v="103800"/>
    <m/>
    <s v="DDL8B54"/>
    <s v="FEI4012"/>
    <s v="WILTON SILVA BARBOSA"/>
    <s v="27455658850"/>
    <s v="01286008208"/>
    <n v="3402"/>
    <s v="DPW"/>
    <d v="2023-02-13T01:51:00"/>
    <s v="MEDLOG"/>
    <d v="2023-02-13T15:28:00"/>
    <d v="2023-02-13T06:30:00"/>
    <d v="2023-02-13T11:00:00"/>
    <n v="635.4"/>
    <n v="0"/>
    <n v="635.4"/>
    <n v="0"/>
    <m/>
    <m/>
    <m/>
    <n v="641.71680000000003"/>
    <n v="5347.64"/>
    <x v="1"/>
    <x v="0"/>
    <m/>
    <x v="0"/>
    <s v="SIM"/>
    <s v="SIM"/>
    <s v="SIM"/>
  </r>
  <r>
    <x v="0"/>
    <x v="0"/>
    <d v="2023-02-14T08:00:00"/>
    <s v="SEGU1119586"/>
    <n v="20"/>
    <x v="0"/>
    <s v="ADESTE"/>
    <s v="SANTO ANDRE"/>
    <n v="966"/>
    <s v="LOGIN ENDURANCE  037S"/>
    <n v="103798"/>
    <m/>
    <s v="FXG5H10"/>
    <s v="DBC3G21"/>
    <s v="ROBERTO CARLOS BEZERRA PIRES"/>
    <s v="27455658850"/>
    <s v="01286008208"/>
    <n v="3405"/>
    <s v="DPW"/>
    <d v="2023-02-13T21:19:00"/>
    <s v="MEDLOG"/>
    <d v="2023-02-14T15:27:00"/>
    <d v="2023-02-14T06:50:00"/>
    <d v="2023-02-14T11:50:00"/>
    <n v="1600"/>
    <n v="0"/>
    <n v="1600"/>
    <n v="600"/>
    <m/>
    <m/>
    <m/>
    <n v="415.74719999999996"/>
    <n v="3464.56"/>
    <x v="1"/>
    <x v="0"/>
    <m/>
    <x v="0"/>
    <s v="SIM"/>
    <s v="SIM"/>
    <s v="SIM"/>
  </r>
  <r>
    <x v="0"/>
    <x v="0"/>
    <d v="2023-02-14T08:00:00"/>
    <s v="TCNU6247816"/>
    <n v="40"/>
    <x v="0"/>
    <s v="BRC"/>
    <s v="RIO CLARO"/>
    <n v="913"/>
    <s v="LOGIN ENDURANCE  037S"/>
    <n v="103770"/>
    <m/>
    <s v="DDL8B54"/>
    <s v="FEI4012"/>
    <s v="WILTON SILVA BARBOSA"/>
    <s v="27455658850"/>
    <s v="01286008208"/>
    <n v="3406"/>
    <s v="DPW"/>
    <d v="2023-02-13T21:15:00"/>
    <s v="DEPOTCE"/>
    <d v="2023-02-14T17:29:00"/>
    <d v="2023-02-14T06:50:00"/>
    <d v="2023-02-14T09:20:00"/>
    <n v="635.4"/>
    <n v="0"/>
    <n v="635.4"/>
    <n v="0"/>
    <m/>
    <m/>
    <m/>
    <n v="641.71680000000003"/>
    <n v="5347.64"/>
    <x v="1"/>
    <x v="0"/>
    <m/>
    <x v="0"/>
    <s v="SIM"/>
    <s v="SIM"/>
    <s v="SIM"/>
  </r>
  <r>
    <x v="0"/>
    <x v="1"/>
    <d v="2023-02-14T08:00:00"/>
    <s v="GLDU7711737"/>
    <n v="40"/>
    <x v="0"/>
    <s v="DOREMUS"/>
    <s v="GUARULHOS"/>
    <n v="907"/>
    <s v="LOGIN ENDURANCE  037S"/>
    <n v="103684"/>
    <m/>
    <s v="FQE9I91"/>
    <s v="DPB9G64"/>
    <s v="MARCO ANTONIO LOBATO CASTILHO"/>
    <s v="05753633803"/>
    <s v="01922497849"/>
    <n v="3407"/>
    <s v="DPW"/>
    <d v="2023-02-13T20:51:00"/>
    <s v="DEPOTCE"/>
    <d v="2023-02-14T16:45:00"/>
    <d v="2023-02-14T09:00:00"/>
    <d v="2023-02-14T11:00:00"/>
    <n v="2100"/>
    <n v="0"/>
    <n v="2100"/>
    <n v="0"/>
    <m/>
    <m/>
    <m/>
    <n v="370.37759999999997"/>
    <n v="3086.48"/>
    <x v="1"/>
    <x v="0"/>
    <m/>
    <x v="2"/>
    <s v="SIM"/>
    <s v="SIM"/>
    <s v="SIM"/>
  </r>
  <r>
    <x v="0"/>
    <x v="1"/>
    <d v="2023-02-14T08:00:00"/>
    <s v="TCNU7990826"/>
    <n v="40"/>
    <x v="0"/>
    <s v="DOREMUS"/>
    <s v="GUARULHOS"/>
    <n v="905"/>
    <s v="LOGIN ENDURANCE  037S"/>
    <n v="103680"/>
    <m/>
    <s v="GFL7E87"/>
    <s v="GIK5H08"/>
    <s v="JEFFERSON BATISTA ARISTIDES"/>
    <s v="34927982840"/>
    <s v="03500129879"/>
    <n v="3408"/>
    <s v="DPW"/>
    <d v="2023-02-13T21:41:00"/>
    <s v="DEPOTCE"/>
    <d v="2023-02-14T16:57:00"/>
    <d v="2023-02-14T09:13:00"/>
    <d v="2023-02-14T11:49:00"/>
    <n v="2100"/>
    <n v="0"/>
    <n v="2100"/>
    <n v="0"/>
    <m/>
    <m/>
    <m/>
    <n v="370.37759999999997"/>
    <n v="3086.48"/>
    <x v="1"/>
    <x v="0"/>
    <s v="Carregado, saida da garagem 7:14"/>
    <x v="1"/>
    <s v="SIM"/>
    <s v="SIM"/>
    <s v="SIM"/>
  </r>
  <r>
    <x v="0"/>
    <x v="1"/>
    <d v="2023-02-14T08:00:00"/>
    <s v="TEMU8497938"/>
    <n v="40"/>
    <x v="0"/>
    <s v="BR SPICE"/>
    <s v="JANDIRA"/>
    <n v="914"/>
    <s v="LOGIN ENDURANCE  037S"/>
    <n v="103763"/>
    <m/>
    <s v="FSI0I03"/>
    <s v="DPB9G64"/>
    <s v="EMERSON PEREIRA DA SILVA"/>
    <s v="09803034863"/>
    <s v="01484565209"/>
    <n v="3409"/>
    <s v="DPW"/>
    <d v="2023-02-13T21:31:00"/>
    <s v="MEDLOG"/>
    <d v="2023-02-14T16:37:00"/>
    <d v="2023-02-14T08:24:00"/>
    <d v="2023-02-14T10:17:00"/>
    <n v="2300"/>
    <n v="0"/>
    <n v="2300"/>
    <n v="0"/>
    <m/>
    <m/>
    <m/>
    <n v="392.15039999999999"/>
    <n v="3267.92"/>
    <x v="1"/>
    <x v="0"/>
    <m/>
    <x v="2"/>
    <s v="SIM"/>
    <s v="SIM"/>
    <s v="SIM"/>
  </r>
  <r>
    <x v="0"/>
    <x v="0"/>
    <d v="2023-02-09T07:00:00"/>
    <s v="BEAU4075140"/>
    <n v="40"/>
    <x v="3"/>
    <s v="N.SRA."/>
    <s v="VALINHOS"/>
    <s v="P10401730A"/>
    <s v="LOGIN ENDURANCE  037S"/>
    <n v="7646"/>
    <m/>
    <s v="FZF3E97"/>
    <s v="FXU8J10"/>
    <s v="AGEILSON ANTONIO DA SILVA"/>
    <s v="09085263425"/>
    <s v="04557705505"/>
    <n v="3393"/>
    <s v="DPW"/>
    <d v="2023-02-09T01:00:00"/>
    <s v="LECHMAN"/>
    <d v="2023-02-09T13:48:00"/>
    <d v="2023-02-09T06:00:00"/>
    <d v="2023-02-09T10:40:00"/>
    <n v="3200"/>
    <n v="0"/>
    <n v="3200"/>
    <n v="0"/>
    <m/>
    <m/>
    <m/>
    <n v="531"/>
    <n v="4425"/>
    <x v="1"/>
    <x v="0"/>
    <m/>
    <x v="0"/>
    <s v="SIM"/>
    <s v="SIM"/>
    <s v="SIM"/>
  </r>
  <r>
    <x v="0"/>
    <x v="0"/>
    <d v="2023-02-10T07:00:00"/>
    <s v="TRHU6376191"/>
    <n v="40"/>
    <x v="3"/>
    <s v="N.SRA."/>
    <s v="VALINHOS"/>
    <s v="P10401730B"/>
    <s v="LOGIN ENDURANCE  037S"/>
    <n v="7647"/>
    <m/>
    <s v="GFL7E87"/>
    <s v="GIK5H08"/>
    <s v="JEFFERSON BATISTA ARISTIDES"/>
    <s v="34927982840"/>
    <s v="03500129879"/>
    <n v="3395"/>
    <s v="DPW"/>
    <d v="2023-01-10T01:00:00"/>
    <s v="LECHMAN"/>
    <d v="2023-02-10T16:44:00"/>
    <d v="2023-02-10T06:30:00"/>
    <d v="2023-02-10T10:34:00"/>
    <n v="3200"/>
    <n v="0"/>
    <n v="3200"/>
    <n v="0"/>
    <m/>
    <m/>
    <m/>
    <n v="531"/>
    <n v="4425"/>
    <x v="1"/>
    <x v="0"/>
    <m/>
    <x v="0"/>
    <s v="SIM"/>
    <s v="SIM"/>
    <s v="SIM"/>
  </r>
  <r>
    <x v="0"/>
    <x v="1"/>
    <d v="2023-02-13T07:00:00"/>
    <s v="TCNU2830255"/>
    <n v="40"/>
    <x v="3"/>
    <s v="N.SRA."/>
    <s v="VALINHOS"/>
    <s v="P10401730C"/>
    <s v="LOGIN ENDURANCE  037S"/>
    <n v="7659"/>
    <m/>
    <s v="FGD8G49"/>
    <s v="FUJ0D24"/>
    <s v="GILVAN LAURENTINO DA SILVA"/>
    <s v="92693377404"/>
    <s v="02954783990"/>
    <n v="3403"/>
    <s v="DPW"/>
    <d v="2023-02-13T05:00:00"/>
    <s v="LECHMAN"/>
    <d v="2023-02-13T17:40:00"/>
    <d v="2023-02-13T09:00:00"/>
    <d v="2023-02-13T11:40:00"/>
    <n v="3200"/>
    <n v="0"/>
    <n v="3200"/>
    <n v="0"/>
    <m/>
    <m/>
    <m/>
    <n v="558"/>
    <n v="4650"/>
    <x v="1"/>
    <x v="0"/>
    <m/>
    <x v="2"/>
    <s v="SIM"/>
    <s v="SIM"/>
    <s v="SIM"/>
  </r>
  <r>
    <x v="0"/>
    <x v="1"/>
    <d v="2023-02-13T07:00:00"/>
    <s v="TGHU6731503"/>
    <n v="40"/>
    <x v="3"/>
    <s v="N.SRA."/>
    <s v="VALINHOS"/>
    <s v="P10401730D"/>
    <s v="LOGIN ENDURANCE  037S"/>
    <n v="7663"/>
    <m/>
    <s v="FQE9I91"/>
    <s v="DPB9G64"/>
    <s v="MARCO ANTONIO LOBATO CASTILHO"/>
    <s v="05753633803"/>
    <s v="01922497849"/>
    <n v="3404"/>
    <s v="DPW"/>
    <d v="2023-02-13T05:00:00"/>
    <s v="LECHMAN"/>
    <d v="2023-02-15T15:51:00"/>
    <d v="2023-02-13T09:00:00"/>
    <d v="2023-02-13T10:00:00"/>
    <n v="3200"/>
    <n v="0"/>
    <n v="3200"/>
    <n v="0"/>
    <m/>
    <m/>
    <m/>
    <n v="558"/>
    <n v="4650"/>
    <x v="1"/>
    <x v="0"/>
    <m/>
    <x v="2"/>
    <s v="SIM"/>
    <s v="SIM"/>
    <s v="SIM"/>
  </r>
  <r>
    <x v="0"/>
    <x v="1"/>
    <d v="2023-02-17T08:00:00"/>
    <s v="TRHU2067260"/>
    <n v="20"/>
    <x v="1"/>
    <s v="MIAN"/>
    <s v="SBC"/>
    <s v="1381 / 1384"/>
    <s v="LOGIN JATOBA  237S"/>
    <n v="103885"/>
    <n v="113185"/>
    <s v="DFT0E47"/>
    <s v="DBB7467"/>
    <s v="ALMIR CARDOSO DOS SANTOS"/>
    <s v="09776430856"/>
    <s v="01258979905"/>
    <n v="3410"/>
    <s v="DPW"/>
    <d v="2023-02-17T07:03:00"/>
    <s v="DEPOTCE"/>
    <d v="2023-02-17T15:51:00"/>
    <d v="2023-02-17T09:00:00"/>
    <d v="2023-02-17T12:30:00"/>
    <n v="1600"/>
    <n v="0"/>
    <n v="1600"/>
    <n v="0"/>
    <m/>
    <m/>
    <m/>
    <n v="311.55959999999999"/>
    <n v="2596.33"/>
    <x v="1"/>
    <x v="0"/>
    <m/>
    <x v="4"/>
    <s v="SIM"/>
    <s v="SIM"/>
    <m/>
  </r>
  <r>
    <x v="0"/>
    <x v="0"/>
    <d v="2023-02-17T08:00:00"/>
    <s v="TCLU3464493"/>
    <n v="20"/>
    <x v="0"/>
    <s v="MAXSOY"/>
    <s v="HOTOLOLÂNDIA"/>
    <n v="1375"/>
    <s v="LOGIN JATOBA  237S"/>
    <n v="103891"/>
    <m/>
    <s v="FXG5H10"/>
    <s v="DBC3G21"/>
    <s v="ROBERTO CARLOS BEZERRA PIRES"/>
    <s v="27455658850"/>
    <s v="01286008208"/>
    <n v="3411"/>
    <s v="DPW"/>
    <d v="2023-02-16T17:02:00"/>
    <s v="DEPOTCE"/>
    <d v="2023-02-17T16:06:00"/>
    <d v="2023-02-17T07:00:00"/>
    <d v="2023-02-17T10:40:00"/>
    <n v="2000"/>
    <m/>
    <m/>
    <m/>
    <m/>
    <m/>
    <m/>
    <n v="501.59999999999997"/>
    <n v="4180"/>
    <x v="1"/>
    <x v="0"/>
    <m/>
    <x v="0"/>
    <s v="SIM"/>
    <s v="SIM"/>
    <m/>
  </r>
  <r>
    <x v="0"/>
    <x v="0"/>
    <d v="2023-02-17T08:00:00"/>
    <s v="FFAU1702529"/>
    <n v="40"/>
    <x v="0"/>
    <s v="IBRAC"/>
    <s v="RIO CLARO"/>
    <n v="1376"/>
    <s v="LOGIN JATOBA  237S"/>
    <n v="103995"/>
    <m/>
    <s v="DDL8B54"/>
    <s v="FEI4012"/>
    <s v="WILTON SILVA BARBOSA"/>
    <s v="27455658850"/>
    <s v="01286008208"/>
    <n v="3412"/>
    <s v="DPW"/>
    <d v="2023-02-17T01:07:00"/>
    <s v="MEDLOG"/>
    <d v="2023-02-17T21:04:00"/>
    <d v="2023-02-17T07:30:00"/>
    <d v="2023-02-17T11:00:00"/>
    <n v="635.4"/>
    <m/>
    <m/>
    <m/>
    <m/>
    <m/>
    <m/>
    <n v="641.71680000000003"/>
    <n v="5347.64"/>
    <x v="1"/>
    <x v="0"/>
    <m/>
    <x v="0"/>
    <s v="SIM"/>
    <s v="SIM"/>
    <m/>
  </r>
  <r>
    <x v="0"/>
    <x v="0"/>
    <d v="2023-02-17T08:00:00"/>
    <s v="TCLU8227684"/>
    <n v="40"/>
    <x v="0"/>
    <s v="DOREMUS"/>
    <s v="GUARULHOS"/>
    <n v="1371"/>
    <s v="LOGIN JATOBA  237S"/>
    <n v="103889"/>
    <m/>
    <s v="FSF7F96"/>
    <s v="EFO7522"/>
    <s v="ANDERSON DE SOUZA COSTA"/>
    <s v="19294729869"/>
    <s v="01008628403"/>
    <n v="3413"/>
    <s v="DPW"/>
    <d v="2023-02-17T04:31:00"/>
    <s v="MEDLOG"/>
    <d v="2023-02-17T22:48:00"/>
    <d v="2023-02-17T07:30:00"/>
    <d v="2023-02-17T10:00:00"/>
    <n v="2100"/>
    <n v="0"/>
    <n v="2100"/>
    <n v="0"/>
    <m/>
    <m/>
    <m/>
    <n v="370.37759999999997"/>
    <n v="3086.48"/>
    <x v="1"/>
    <x v="0"/>
    <m/>
    <x v="0"/>
    <s v="SIM"/>
    <s v="SIM"/>
    <m/>
  </r>
  <r>
    <x v="0"/>
    <x v="1"/>
    <d v="2023-02-17T08:00:00"/>
    <s v="CAIU4835360"/>
    <n v="40"/>
    <x v="0"/>
    <s v="DOREMUS"/>
    <s v="GUARULHOS"/>
    <n v="1429"/>
    <s v="LOGIN JATOBA  237S"/>
    <n v="103890"/>
    <m/>
    <s v="FRG7C59"/>
    <s v="EWJ4J85"/>
    <s v="WILSON FLAVIO ALVES DA SILVA"/>
    <s v="27455658850"/>
    <s v="01286008208"/>
    <n v="3414"/>
    <s v="DPW"/>
    <d v="2023-02-17T07:50:00"/>
    <s v="MEDLOG"/>
    <d v="2023-02-17T21:07:00"/>
    <d v="2023-02-17T10:15:00"/>
    <d v="2023-02-17T13:30:00"/>
    <n v="2100"/>
    <n v="0"/>
    <n v="2100"/>
    <n v="0"/>
    <m/>
    <m/>
    <m/>
    <n v="370.37759999999997"/>
    <n v="3086.48"/>
    <x v="1"/>
    <x v="0"/>
    <m/>
    <x v="4"/>
    <s v="SIM"/>
    <s v="SIM"/>
    <m/>
  </r>
  <r>
    <x v="0"/>
    <x v="0"/>
    <d v="2023-02-17T08:00:00"/>
    <s v="SEGU1119821"/>
    <n v="20"/>
    <x v="0"/>
    <s v="CHARQUE CAMPEAO"/>
    <s v="SANTANA PARNAÍBA"/>
    <n v="1383"/>
    <s v="LOGIN JATOBA  237S"/>
    <n v="113184"/>
    <m/>
    <s v="EPU5990"/>
    <s v="BSG1D88"/>
    <s v="LEANDRO SOARES CAETANO"/>
    <s v="10485530864"/>
    <s v="02033192841"/>
    <n v="3415"/>
    <s v="DPW"/>
    <d v="2023-02-17T06:49:00"/>
    <s v="MEDLOG"/>
    <d v="2023-02-17T17:10:00"/>
    <d v="2023-02-17T08:00:00"/>
    <d v="2023-02-17T10:40:00"/>
    <n v="2300"/>
    <m/>
    <m/>
    <m/>
    <m/>
    <m/>
    <m/>
    <n v="399.62399999999997"/>
    <n v="3330.2"/>
    <x v="1"/>
    <x v="0"/>
    <m/>
    <x v="0"/>
    <s v="SIM"/>
    <s v="SIM"/>
    <m/>
  </r>
  <r>
    <x v="0"/>
    <x v="1"/>
    <d v="2023-02-20T08:00:00"/>
    <s v="CIPU5008043"/>
    <n v="40"/>
    <x v="0"/>
    <s v="BR SPICE"/>
    <s v="JANDIRA"/>
    <n v="1373"/>
    <s v="LOGIN JATOBA  237S"/>
    <n v="103994"/>
    <m/>
    <s v="FSC7F96"/>
    <s v="EFO7522"/>
    <s v="ANDERSON DE SOUZA COSTA"/>
    <s v="19294729869"/>
    <s v="01008628403"/>
    <n v="3416"/>
    <s v="DPW"/>
    <d v="2023-02-20T05:22:00"/>
    <s v="REAPROVEITAMENTO"/>
    <d v="2023-02-22T14:00:00"/>
    <d v="2023-02-21T08:00:00"/>
    <d v="2023-02-20T10:20:00"/>
    <n v="2300"/>
    <n v="0"/>
    <n v="2300"/>
    <n v="0"/>
    <m/>
    <m/>
    <m/>
    <n v="392.15039999999999"/>
    <n v="3267.92"/>
    <x v="1"/>
    <x v="0"/>
    <m/>
    <x v="0"/>
    <s v="SIM"/>
    <s v="SIM"/>
    <m/>
  </r>
  <r>
    <x v="0"/>
    <x v="0"/>
    <d v="2023-02-17T09:00:00"/>
    <s v="CAIU3369611"/>
    <n v="20"/>
    <x v="2"/>
    <s v="SOSAL"/>
    <s v="SBC"/>
    <n v="1406"/>
    <s v="LOGIN JATOBA  237S"/>
    <n v="113330"/>
    <n v="103954"/>
    <s v="CGS0A65"/>
    <s v="CPJ5G64"/>
    <s v="MARCOS PAULO NUNES"/>
    <n v="16239341843"/>
    <s v="01877235038"/>
    <s v="15107 / 15108"/>
    <s v="DPW"/>
    <d v="2023-02-17T00:53:00"/>
    <s v="TRANSTEC SANTOS"/>
    <d v="2023-02-17T12:29:00"/>
    <d v="2023-02-17T06:00:00"/>
    <d v="2023-02-17T09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17T07:00:00"/>
    <s v="TCLU3467023"/>
    <n v="20"/>
    <x v="2"/>
    <s v="SOSAL"/>
    <s v="SBC"/>
    <n v="1387"/>
    <s v="LOGIN JATOBA  237S"/>
    <n v="113331"/>
    <m/>
    <s v="BHP9483"/>
    <s v="BSF4E26"/>
    <s v="ANACLETO RODRIGUES DE SANTANA"/>
    <s v="01817591878"/>
    <s v="00821760640"/>
    <n v="15109"/>
    <s v="DPW"/>
    <d v="2023-02-16T22:37:00"/>
    <s v="DEPOTCE"/>
    <d v="2023-02-17T13:40:00"/>
    <d v="2023-02-17T06:00:00"/>
    <d v="2023-02-17T10:2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16T08:00:00"/>
    <s v="TCLU2965150"/>
    <n v="20"/>
    <x v="2"/>
    <s v="SOSAL"/>
    <s v="SBC"/>
    <n v="1153"/>
    <s v="LOGIN JATOBA  237S"/>
    <n v="68790"/>
    <m/>
    <s v="KBK0D67"/>
    <s v="CPN9C57"/>
    <s v="JOAO BATISTA DOS SANTOS"/>
    <s v="13990937898"/>
    <s v="01825123407"/>
    <n v="15110"/>
    <s v="DPW"/>
    <d v="2023-02-15T23:00:00"/>
    <s v="TRANSTEC SANTOS"/>
    <d v="2023-02-16T14:46:00"/>
    <d v="2023-02-16T06:30:00"/>
    <d v="2023-02-16T09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16T11:00:00"/>
    <s v="CAIU3154763"/>
    <n v="20"/>
    <x v="2"/>
    <s v="SOSAL"/>
    <s v="SBC"/>
    <n v="1151"/>
    <s v="LOGIN JATOBA  237S"/>
    <n v="68764"/>
    <m/>
    <s v="AQM8D39"/>
    <s v="DPF3850"/>
    <s v="REINALDO PAZOTTO"/>
    <s v="27455658850"/>
    <s v="01286008208"/>
    <n v="15111"/>
    <s v="DPW"/>
    <d v="2023-02-15T22:50:00"/>
    <s v="TRANSTEC SANTOS"/>
    <d v="2023-02-17T09:12:00"/>
    <d v="2023-02-16T06:30:00"/>
    <d v="2023-02-16T09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17T11:00:00"/>
    <s v="CAIU3374578"/>
    <n v="20"/>
    <x v="2"/>
    <s v="SOSAL"/>
    <s v="SBC"/>
    <n v="1382"/>
    <s v="LOGIN JATOBA  237S"/>
    <n v="103918"/>
    <m/>
    <s v="AIF6006"/>
    <s v="CPN9D58"/>
    <s v="KLEBER EDUARDO SILVA"/>
    <n v="24642512837"/>
    <s v="01595628251"/>
    <n v="15113"/>
    <s v="DPW"/>
    <d v="2023-02-17T01:06:00"/>
    <s v="TRANSTEC SANTOS"/>
    <d v="2023-02-18T06:48:00"/>
    <d v="2023-02-17T06:00:00"/>
    <d v="2023-02-17T11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17T07:00:00"/>
    <s v="CAIU3400872"/>
    <n v="20"/>
    <x v="2"/>
    <s v="SOSAL"/>
    <s v="SBC"/>
    <n v="1379"/>
    <s v="LOGIN JATOBA  237S"/>
    <n v="103917"/>
    <m/>
    <s v="KBK0D67"/>
    <s v="CPN9C57"/>
    <s v="JOAO BATISTA DOS SANTOS"/>
    <s v="13990937898"/>
    <s v="01825123407"/>
    <n v="15124"/>
    <s v="DPW"/>
    <d v="2023-02-16T23:11:00"/>
    <s v="TRANSTEC SANTOS"/>
    <d v="2023-02-17T14:37:00"/>
    <d v="2023-02-17T06:00:00"/>
    <d v="2023-02-17T11:3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17T09:00:00"/>
    <s v="CAIU3413150"/>
    <n v="20"/>
    <x v="2"/>
    <s v="SOSAL"/>
    <s v="SBC"/>
    <n v="1386"/>
    <s v="LOGIN JATOBA  237S"/>
    <n v="103992"/>
    <m/>
    <s v="DAJ8C31"/>
    <s v="BSG2A82"/>
    <s v="ALEX DA SILVA FERREIRA"/>
    <s v="03300368820"/>
    <s v="02281615982"/>
    <n v="15125"/>
    <s v="DPW"/>
    <d v="2023-02-17T02:29:00"/>
    <s v="TRANSTEC SANTOS"/>
    <d v="2023-02-22T10:37:00"/>
    <d v="2023-02-17T06:00:00"/>
    <d v="2023-02-17T10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22T07:00:00"/>
    <s v="CAIU3159493"/>
    <n v="20"/>
    <x v="2"/>
    <s v="SOSAL"/>
    <s v="SBC"/>
    <n v="1163"/>
    <s v="LOGIN JATOBA  237S"/>
    <n v="62433"/>
    <m/>
    <s v="BHP9483"/>
    <s v="BSF4E26"/>
    <s v="ANACLETO RODRIGUES DE SANTANA"/>
    <s v="01817591878"/>
    <s v="00821760640"/>
    <s v="1080C / 15133C / 15138"/>
    <s v="DPW"/>
    <d v="2023-02-21T22:16:00"/>
    <s v="TRANSTEC SANTOS"/>
    <d v="2023-02-22T12:28:00"/>
    <d v="2023-02-22T07:00:00"/>
    <d v="2023-02-22T09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20T11:00:00"/>
    <s v="CAIU3161016"/>
    <n v="20"/>
    <x v="2"/>
    <s v="SOSAL"/>
    <s v="SBC"/>
    <n v="1152"/>
    <s v="LOGIN JATOBA  237S"/>
    <n v="68792"/>
    <m/>
    <s v="AQM8D39"/>
    <s v="DPF3850"/>
    <s v="REINALDO PAZOTTO"/>
    <s v="27455658850"/>
    <s v="01286008208"/>
    <n v="15121"/>
    <s v="DPW"/>
    <d v="2023-02-17T11:29:00"/>
    <s v="TRANSTEC SANTOS"/>
    <d v="2023-02-20T07:37:00"/>
    <d v="2023-02-20T05:00:00"/>
    <d v="2023-02-20T10:3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22T11:00:00"/>
    <s v="CAIU3155862"/>
    <n v="20"/>
    <x v="2"/>
    <s v="SOSAL"/>
    <s v="SBC"/>
    <n v="1380"/>
    <s v="LOGIN JATOBA  237S"/>
    <n v="103993"/>
    <m/>
    <s v="CGS0A65"/>
    <s v="CPJ5G64"/>
    <s v="MARCOS PAULO NUNES"/>
    <n v="16239341843"/>
    <s v="01877235038"/>
    <n v="15132"/>
    <s v="DPW"/>
    <d v="2023-02-21T23:18:00"/>
    <s v="TRANSTEC SANTOS"/>
    <d v="2023-02-22T15:29:00"/>
    <d v="2023-02-22T05:00:00"/>
    <d v="2023-02-22T11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22T09:00:00"/>
    <s v="TCLU3459732"/>
    <n v="20"/>
    <x v="2"/>
    <s v="SOSAL"/>
    <s v="SBC"/>
    <n v="1150"/>
    <s v="LOGIN JATOBA  237S"/>
    <n v="68765"/>
    <m/>
    <s v="KBK0D67"/>
    <s v="CPN9C57"/>
    <s v="JOAO BATISTA DOS SANTOS"/>
    <s v="13990937898"/>
    <s v="01825123407"/>
    <n v="15135"/>
    <s v="DPW"/>
    <d v="2023-02-21T21:30:00"/>
    <s v="DEPOTCE"/>
    <d v="2023-02-02T16:04:00"/>
    <d v="2023-02-22T07:00:00"/>
    <d v="2023-02-22T15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22T09:00:00"/>
    <s v="CAIU3022920"/>
    <n v="20"/>
    <x v="2"/>
    <s v="SOSAL"/>
    <s v="SBC"/>
    <n v="1100"/>
    <s v="LOGIN JATOBA  237S"/>
    <n v="62270"/>
    <m/>
    <s v="AQM8D39"/>
    <s v="DPF3850"/>
    <s v="REINALDO PAZOTTO"/>
    <s v="27455658850"/>
    <s v="01286008208"/>
    <n v="15136"/>
    <s v="DPW"/>
    <d v="2023-02-20T09:01:00"/>
    <s v="TRANSTEC SANTOS"/>
    <d v="2023-02-23T08:45:00"/>
    <d v="2023-02-22T09:00:00"/>
    <d v="2023-02-22T11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22T09:00:00"/>
    <s v="TCLU3055978"/>
    <n v="20"/>
    <x v="2"/>
    <s v="SOSAL"/>
    <s v="SBC"/>
    <n v="1101"/>
    <s v="LOGIN JATOBA  237S"/>
    <n v="62271"/>
    <m/>
    <s v="EPU5990"/>
    <s v="BSG1D88"/>
    <s v="LEANDRO SOARES CAETANO"/>
    <s v="10485530864"/>
    <s v="02033192841"/>
    <n v="15137"/>
    <s v="DPW"/>
    <d v="2023-02-21T23:21:00"/>
    <s v="TRANSTEC SANTOS"/>
    <d v="2023-02-23T07:30:00"/>
    <d v="2023-02-22T07:00:00"/>
    <d v="2023-02-22T11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22T07:00:00"/>
    <s v="SEGU1093141"/>
    <n v="20"/>
    <x v="2"/>
    <s v="SOSAL"/>
    <s v="SBC"/>
    <n v="1162"/>
    <s v="LOGIN JATOBA  237S"/>
    <n v="62432"/>
    <m/>
    <s v="FXG5H10"/>
    <s v="DBC3G21"/>
    <s v="ROBERTO CARLOS BEZERRA PIRES"/>
    <s v="27455658850"/>
    <s v="01286008208"/>
    <n v="15148"/>
    <s v="DPW"/>
    <d v="2023-02-21T21:06:00"/>
    <s v="TRANSTEC SANTOS"/>
    <d v="2023-02-23T15:30:00"/>
    <d v="2023-02-22T07:00:00"/>
    <d v="2023-02-22T15:00:00"/>
    <n v="1600"/>
    <n v="0"/>
    <n v="1600"/>
    <n v="0"/>
    <m/>
    <m/>
    <m/>
    <n v="288"/>
    <n v="2400"/>
    <x v="1"/>
    <x v="0"/>
    <m/>
    <x v="0"/>
    <s v="SIM"/>
    <s v="SIM"/>
    <s v="SIM"/>
  </r>
  <r>
    <x v="0"/>
    <x v="0"/>
    <d v="2023-02-22T08:00:00"/>
    <s v="CAIU8783007"/>
    <n v="40"/>
    <x v="0"/>
    <s v="FLUIDrA"/>
    <s v="VALINHOS"/>
    <n v="1368"/>
    <s v="LOGIN JATOBA  237S"/>
    <n v="103916"/>
    <m/>
    <s v="DDL8B54"/>
    <s v="FEI4012"/>
    <s v="WILTON SILVA BARBOSA"/>
    <s v="27455658850"/>
    <s v="01286008208"/>
    <n v="3419"/>
    <s v="DPW"/>
    <d v="2023-02-21T01:00:00"/>
    <s v="MEDLOG"/>
    <d v="2023-02-22T17:44:00"/>
    <d v="2023-02-22T07:00:00"/>
    <d v="2023-02-22T11:00:00"/>
    <n v="471.6"/>
    <m/>
    <n v="471.6"/>
    <m/>
    <n v="3245.68"/>
    <m/>
    <n v="596.4"/>
    <n v="523.91999999999996"/>
    <n v="4366"/>
    <x v="1"/>
    <x v="0"/>
    <m/>
    <x v="0"/>
    <s v="SIM"/>
    <s v="SIM"/>
    <s v="SIM"/>
  </r>
  <r>
    <x v="0"/>
    <x v="0"/>
    <d v="2023-02-24T08:00:00"/>
    <s v="CAIU3417406"/>
    <n v="20"/>
    <x v="0"/>
    <s v="NEW MAX"/>
    <s v="AMERICANA"/>
    <n v="1408"/>
    <s v="LOGIN JATOBA  237S"/>
    <n v="103892"/>
    <m/>
    <s v="BED0J40"/>
    <m/>
    <s v="JOAB FELICIANO DOS VALES"/>
    <n v="16955497839"/>
    <s v="03177639496"/>
    <n v="3417"/>
    <s v="DPW"/>
    <d v="2023-02-20T11:16:00"/>
    <s v="MEDLOG"/>
    <d v="2023-02-24T14:52:00"/>
    <d v="2023-02-24T06:00:00"/>
    <d v="2023-02-24T09:20:00"/>
    <n v="3200"/>
    <n v="0"/>
    <n v="3200"/>
    <n v="0"/>
    <m/>
    <m/>
    <m/>
    <n v="571.48680000000002"/>
    <n v="4762.3900000000003"/>
    <x v="1"/>
    <x v="0"/>
    <m/>
    <x v="0"/>
    <s v="SIM"/>
    <s v="SIM"/>
    <s v="SIM"/>
  </r>
  <r>
    <x v="0"/>
    <x v="0"/>
    <d v="2023-02-24T08:00:00"/>
    <s v="CAIU3022155"/>
    <n v="20"/>
    <x v="0"/>
    <s v="NEW MAX"/>
    <s v="AMERICANA"/>
    <n v="1372"/>
    <s v="LOGIN JATOBA  237S"/>
    <n v="103955"/>
    <m/>
    <s v="FSC7F96"/>
    <s v="EFO7522"/>
    <s v="ANDERSON DE SOUZA COSTA"/>
    <s v="19294729869"/>
    <s v="01008628403"/>
    <n v="3418"/>
    <s v="DPW"/>
    <d v="2023-02-20T09:21:00"/>
    <s v="MEDLOG"/>
    <d v="2023-02-24T17:28:00"/>
    <d v="2023-02-24T06:00:00"/>
    <d v="2023-02-24T09:20:00"/>
    <n v="3200"/>
    <n v="0"/>
    <n v="3200"/>
    <n v="0"/>
    <m/>
    <m/>
    <m/>
    <n v="571.48680000000002"/>
    <n v="4762.3900000000003"/>
    <x v="1"/>
    <x v="0"/>
    <m/>
    <x v="0"/>
    <s v="SIM"/>
    <s v="SIM"/>
    <s v="SIM"/>
  </r>
  <r>
    <x v="0"/>
    <x v="1"/>
    <d v="2023-02-22T08:00:00"/>
    <s v="MRKU8598715"/>
    <n v="20"/>
    <x v="0"/>
    <s v="ADESTE"/>
    <s v="SANTO ANDRE"/>
    <s v="AAK5582B"/>
    <s v="BARTOLOMEU DIAS 306S"/>
    <n v="104104"/>
    <m/>
    <s v="FRG7C59"/>
    <s v="EWJ4J85"/>
    <s v="WILSON FLAVIO ALVES DA SILVA"/>
    <s v="27455658850"/>
    <s v="01286008208"/>
    <n v="3420"/>
    <s v="SANTOS BRASIL"/>
    <d v="2023-02-22T07:15:00"/>
    <s v="TRANSTEC SANTOS"/>
    <d v="2023-02-23T00:00:00"/>
    <d v="2023-02-22T09:15:00"/>
    <d v="2023-02-22T13:15:00"/>
    <n v="1600"/>
    <m/>
    <m/>
    <m/>
    <m/>
    <m/>
    <m/>
    <n v="415.74719999999996"/>
    <n v="3464.56"/>
    <x v="1"/>
    <x v="0"/>
    <m/>
    <x v="5"/>
    <s v="SIM"/>
    <s v="SIM"/>
    <s v="SIM"/>
  </r>
  <r>
    <x v="0"/>
    <x v="1"/>
    <d v="2023-02-22T08:00:00"/>
    <s v="TCKU6837166"/>
    <n v="40"/>
    <x v="0"/>
    <s v="DOREMUS"/>
    <s v="GUARULHOS"/>
    <s v="AAK6120B"/>
    <s v="BARTOLOMEU DIAS 306S"/>
    <n v="104063"/>
    <m/>
    <s v="FZF3E97"/>
    <s v="FXU8J10"/>
    <s v="FABIO DARIO RODRIGUES"/>
    <s v="26283419801"/>
    <s v="02002046946"/>
    <n v="3421"/>
    <s v="SANTOS BRASIL"/>
    <d v="2023-02-22T06:15:00"/>
    <s v="FASSINA SANTOS"/>
    <d v="2023-02-22T15:52:00"/>
    <d v="2023-02-22T09:12:00"/>
    <d v="2023-02-22T11:55:00"/>
    <n v="2100"/>
    <n v="0"/>
    <n v="2100"/>
    <n v="0"/>
    <m/>
    <m/>
    <m/>
    <n v="370.37759999999997"/>
    <n v="3086.48"/>
    <x v="1"/>
    <x v="0"/>
    <m/>
    <x v="5"/>
    <s v="SIM"/>
    <s v="SIM"/>
    <s v="SIM"/>
  </r>
  <r>
    <x v="0"/>
    <x v="0"/>
    <d v="2023-02-22T08:00:00"/>
    <s v="MRKU5238607"/>
    <n v="40"/>
    <x v="0"/>
    <s v="DOREMUS"/>
    <s v="GUARULHOS"/>
    <s v="AAK6120B"/>
    <s v="BARTOLOMEU DIAS 306S"/>
    <n v="104136"/>
    <m/>
    <s v="FSC7F96"/>
    <s v="EFO7522"/>
    <s v="ANDERSON DE SOUZA COSTA"/>
    <s v="19294729869"/>
    <s v="01008628403"/>
    <n v="3422"/>
    <s v="SANTOS BRASIL"/>
    <d v="2023-02-22T05:31:00"/>
    <s v="TRANSTEC SANTOS"/>
    <d v="2023-02-23T15:18:00"/>
    <d v="2023-02-22T08:00:00"/>
    <d v="2023-02-22T12:00:00"/>
    <n v="2100"/>
    <n v="0"/>
    <n v="2100"/>
    <n v="0"/>
    <m/>
    <m/>
    <m/>
    <n v="370.37759999999997"/>
    <n v="3086.48"/>
    <x v="1"/>
    <x v="0"/>
    <m/>
    <x v="0"/>
    <s v="SIM"/>
    <s v="SIM"/>
    <s v="SIM"/>
  </r>
  <r>
    <x v="0"/>
    <x v="0"/>
    <d v="2023-02-23T08:00:00"/>
    <s v="MRKU9509559"/>
    <n v="20"/>
    <x v="0"/>
    <s v="ADESTE"/>
    <s v="SANTO ANDRE"/>
    <s v="AAK5582B"/>
    <s v="BARTOLOMEU DIAS 306S"/>
    <n v="104105"/>
    <m/>
    <s v="BHP9483"/>
    <s v="BSF4E26"/>
    <s v="ANACLETO RODRIGUES DE SANTANA"/>
    <s v="01817591878"/>
    <s v="00821760640"/>
    <n v="3423"/>
    <s v="SANTOS BRASIL"/>
    <d v="2023-02-23T00:48:00"/>
    <s v="TRANSTEC SANTOS"/>
    <d v="2023-02-23T14:20:00"/>
    <d v="2023-02-23T06:00:00"/>
    <d v="2023-02-23T11:00:00"/>
    <n v="1600"/>
    <m/>
    <m/>
    <n v="600"/>
    <m/>
    <m/>
    <m/>
    <n v="415.74719999999996"/>
    <n v="3464.56"/>
    <x v="1"/>
    <x v="0"/>
    <m/>
    <x v="0"/>
    <s v="SIM"/>
    <s v="SIM"/>
    <s v="SIM"/>
  </r>
  <r>
    <x v="0"/>
    <x v="0"/>
    <d v="2023-02-24T08:00:00"/>
    <s v="MRKU9570097"/>
    <n v="20"/>
    <x v="0"/>
    <s v="NEW MAX"/>
    <s v="AMERICANA"/>
    <s v="AAK5582C"/>
    <s v="BARTOLOMEU DIAS 306S"/>
    <n v="104141"/>
    <m/>
    <s v="EPU5990"/>
    <s v="BSG1D88"/>
    <s v="LEANDRO SOARES CAETANO"/>
    <s v="10485530864"/>
    <s v="02033192841"/>
    <n v="3433"/>
    <s v="SANTOS BRASIL"/>
    <d v="2023-02-23T21:27:00"/>
    <d v="2023-02-24T00:00:00"/>
    <d v="2023-02-24T12:09:00"/>
    <d v="2023-02-24T06:29:00"/>
    <d v="2023-02-24T08:20:00"/>
    <n v="3200"/>
    <n v="0"/>
    <n v="3200"/>
    <n v="0"/>
    <m/>
    <m/>
    <m/>
    <n v="571.48680000000002"/>
    <n v="4762.3900000000003"/>
    <x v="1"/>
    <x v="0"/>
    <m/>
    <x v="0"/>
    <s v="SIM"/>
    <s v="SIM"/>
    <s v="SIM"/>
  </r>
  <r>
    <x v="0"/>
    <x v="0"/>
    <d v="2023-02-23T08:00:00"/>
    <s v="TCLU3466813"/>
    <n v="20"/>
    <x v="0"/>
    <s v="MOINHO ROMANIZ"/>
    <s v="ITAQUERA"/>
    <n v="1593"/>
    <s v="CMA CGM FORT ST GEORGES  014S"/>
    <n v="104146"/>
    <m/>
    <s v="FXG5H10"/>
    <s v="DBC3G21"/>
    <s v="ROBERTO CARLOS BEZERRA PIRES"/>
    <s v="27455658850"/>
    <s v="01286008208"/>
    <n v="3424"/>
    <s v="DPW"/>
    <d v="2023-02-22T22:30:00"/>
    <s v="DEPOTCE"/>
    <d v="2023-02-23T14:14:00"/>
    <d v="2023-02-23T06:00:00"/>
    <d v="2023-02-23T11:20:00"/>
    <n v="2000"/>
    <n v="0"/>
    <n v="2000"/>
    <n v="0"/>
    <m/>
    <m/>
    <m/>
    <n v="355.75439999999998"/>
    <n v="2964.62"/>
    <x v="1"/>
    <x v="0"/>
    <m/>
    <x v="0"/>
    <s v="SIM"/>
    <s v="SIM"/>
    <s v="SIM"/>
  </r>
  <r>
    <x v="0"/>
    <x v="1"/>
    <d v="2023-02-23T08:00:00"/>
    <s v="TCNU6205019"/>
    <n v="40"/>
    <x v="0"/>
    <s v="DOREMUS"/>
    <s v="GUARULHOS"/>
    <n v="1588"/>
    <s v="CMA CGM FORT ST GEORGES  014S"/>
    <n v="104036"/>
    <m/>
    <s v="FQE9I91"/>
    <s v="DPB9G64"/>
    <s v="MARCO ANTONIO LOBATO CASTILHO"/>
    <s v="05753633803"/>
    <s v="01922497849"/>
    <n v="3425"/>
    <s v="DPW"/>
    <d v="2023-02-22T22:45:00"/>
    <s v="DEPOTCE"/>
    <d v="2023-02-23T14:38:00"/>
    <d v="2023-02-23T09:00:00"/>
    <d v="2023-02-23T11:30:00"/>
    <n v="2100"/>
    <n v="0"/>
    <n v="2100"/>
    <n v="0"/>
    <m/>
    <m/>
    <m/>
    <n v="370.37759999999997"/>
    <n v="3086.48"/>
    <x v="1"/>
    <x v="0"/>
    <m/>
    <x v="5"/>
    <s v="SIM"/>
    <s v="SIM"/>
    <s v="SIM"/>
  </r>
  <r>
    <x v="0"/>
    <x v="0"/>
    <d v="2023-02-24T08:00:00"/>
    <s v="SEGU1119328"/>
    <n v="20"/>
    <x v="1"/>
    <s v="MIAN"/>
    <s v="SBC"/>
    <s v="1590 / 1591"/>
    <s v="CMA CGM FORT ST GEORGES  014S"/>
    <n v="113601"/>
    <n v="104142"/>
    <s v="BHP9483"/>
    <s v="CPJ5G64"/>
    <s v="ANACLETO RODRIGUES DE SANTANA"/>
    <s v="01817591878"/>
    <s v="00821760640"/>
    <s v="3428 / 3430"/>
    <s v="DPW"/>
    <d v="2023-02-23T22:47:00"/>
    <s v="MEDLOG"/>
    <d v="2023-02-24T14:02:00"/>
    <d v="2023-02-24T05:50:00"/>
    <d v="2023-02-24T09:20:00"/>
    <n v="1600"/>
    <n v="0"/>
    <n v="1600"/>
    <n v="0"/>
    <m/>
    <m/>
    <m/>
    <n v="311.55959999999999"/>
    <n v="2596.33"/>
    <x v="1"/>
    <x v="0"/>
    <m/>
    <x v="0"/>
    <s v="SIM"/>
    <s v="SIM"/>
    <s v="SIM"/>
  </r>
  <r>
    <x v="0"/>
    <x v="0"/>
    <d v="2023-02-24T08:00:00"/>
    <s v="CAIU3403845"/>
    <n v="20"/>
    <x v="0"/>
    <s v="CHARQUE CAMPEAO"/>
    <s v="SANTANA DE PARNAIBA"/>
    <n v="1592"/>
    <s v="CMA CGM FORT ST GEORGES  014S"/>
    <n v="113602"/>
    <m/>
    <s v="FXG5H10"/>
    <s v="DBC3G21"/>
    <s v="ROBERTO CARLOS BEZERRA PIRES"/>
    <s v="27455658850"/>
    <s v="01286008208"/>
    <n v="3427"/>
    <s v="DPW"/>
    <d v="2023-02-23T21:50:00"/>
    <s v="MEDLOG"/>
    <d v="2023-02-24T14:42:00"/>
    <d v="2023-02-24T07:00:00"/>
    <d v="2023-02-24T09:00:00"/>
    <n v="2300"/>
    <m/>
    <m/>
    <m/>
    <m/>
    <m/>
    <m/>
    <n v="399.62399999999997"/>
    <n v="3330.2"/>
    <x v="1"/>
    <x v="0"/>
    <m/>
    <x v="0"/>
    <s v="SIM"/>
    <s v="SIM"/>
    <s v="SIM"/>
  </r>
  <r>
    <x v="0"/>
    <x v="1"/>
    <d v="2023-02-24T08:00:00"/>
    <s v="CAIU8801939"/>
    <n v="40"/>
    <x v="0"/>
    <s v="BR SPICE"/>
    <s v="JANDIRA"/>
    <n v="1589"/>
    <s v="CMA CGM FORT ST GEORGES  014S"/>
    <n v="104143"/>
    <m/>
    <s v="FGD8G49"/>
    <s v="FUJ0D24"/>
    <s v="GILVAN LAURENTINO DA SILVA"/>
    <s v="92693377404"/>
    <s v="02954783990"/>
    <n v="3432"/>
    <s v="DPW"/>
    <d v="2023-02-24T06:13:00"/>
    <s v="MEDLOG"/>
    <d v="2023-02-24T14:10:00"/>
    <d v="2023-02-24T09:15:00"/>
    <d v="2023-02-24T10:45:00"/>
    <n v="2300"/>
    <n v="0"/>
    <n v="2300"/>
    <n v="0"/>
    <m/>
    <m/>
    <m/>
    <n v="392.15039999999999"/>
    <n v="3267.92"/>
    <x v="1"/>
    <x v="0"/>
    <m/>
    <x v="5"/>
    <s v="SIM"/>
    <s v="SIM"/>
    <s v="SIM"/>
  </r>
  <r>
    <x v="0"/>
    <x v="0"/>
    <d v="2023-02-24T08:00:00"/>
    <s v="CAAU6478866"/>
    <n v="40"/>
    <x v="0"/>
    <s v="BUNGE"/>
    <s v="SANTOS"/>
    <n v="1587"/>
    <s v="CMA CGM FORT ST GEORGES  014S"/>
    <n v="104062"/>
    <m/>
    <s v="BXD2J87"/>
    <s v="ESU7272"/>
    <s v="AGEILSON ANTONIO DA SILVA"/>
    <s v="09085263425"/>
    <s v="04557705505"/>
    <n v="3431"/>
    <s v="DPW"/>
    <d v="2023-02-24T04:25:00"/>
    <s v="MEDLOG"/>
    <d v="2023-02-24T14:42:00"/>
    <d v="2023-02-24T07:30:00"/>
    <d v="2023-02-24T12:00:00"/>
    <m/>
    <m/>
    <m/>
    <m/>
    <m/>
    <m/>
    <m/>
    <n v="234"/>
    <n v="1950"/>
    <x v="1"/>
    <x v="0"/>
    <m/>
    <x v="0"/>
    <s v="SIM"/>
    <s v="SIM"/>
    <s v="SIM"/>
  </r>
  <r>
    <x v="0"/>
    <x v="0"/>
    <d v="2023-02-27T08:00:00"/>
    <s v="SEGU1118189"/>
    <n v="20"/>
    <x v="0"/>
    <s v="MOINHO ROMANIZ"/>
    <s v="ITAQUERA"/>
    <n v="1594"/>
    <s v="CMA CGM FORT ST GEORGES  014S"/>
    <n v="104147"/>
    <m/>
    <s v="KBK0D67"/>
    <s v="CPJ5G64"/>
    <s v="JOAO BATISTA DOS SANTOS"/>
    <s v="13990937898"/>
    <s v="01825123407"/>
    <n v="3435"/>
    <s v="DPW"/>
    <d v="2023-02-26T22:55:00"/>
    <s v="MEDLOG"/>
    <d v="2023-02-27T19:24:00"/>
    <d v="2023-02-27T03:40:00"/>
    <d v="2023-02-27T11:20:00"/>
    <n v="2000"/>
    <n v="0"/>
    <n v="2000"/>
    <n v="0"/>
    <m/>
    <m/>
    <m/>
    <n v="355.75439999999998"/>
    <n v="2964.62"/>
    <x v="1"/>
    <x v="0"/>
    <m/>
    <x v="0"/>
    <s v="SIM"/>
    <s v="SIM"/>
    <s v="SIM"/>
  </r>
  <r>
    <x v="0"/>
    <x v="0"/>
    <d v="2023-02-27T08:00:00"/>
    <s v="CAIU3288783"/>
    <n v="20"/>
    <x v="0"/>
    <s v="MAXSOY"/>
    <s v="HORTOLANDIA"/>
    <n v="1624"/>
    <s v="CMA CGM FORT ST GEORGES  014S"/>
    <n v="104174"/>
    <m/>
    <s v="FXG5H10"/>
    <s v="DBC3G21"/>
    <s v="ROBERTO CARLOS BEZERRA PIRES"/>
    <s v="27455658850"/>
    <s v="01286008208"/>
    <n v="3437"/>
    <s v="DPW"/>
    <d v="2023-02-26T21:25:00"/>
    <s v="MEDLOG"/>
    <d v="2023-02-28T16:02:00"/>
    <d v="2023-02-27T02:15:00"/>
    <d v="2023-02-27T12:31:00"/>
    <n v="2800"/>
    <m/>
    <m/>
    <m/>
    <m/>
    <m/>
    <m/>
    <n v="501.59999999999997"/>
    <n v="4180"/>
    <x v="1"/>
    <x v="0"/>
    <m/>
    <x v="0"/>
    <s v="SIM"/>
    <s v="SIM"/>
    <s v="SIM"/>
  </r>
  <r>
    <x v="0"/>
    <x v="0"/>
    <d v="2023-02-27T08:00:00"/>
    <s v="CAIU3277710"/>
    <n v="20"/>
    <x v="0"/>
    <s v="SANTA RITA"/>
    <s v="EMBU"/>
    <n v="1595"/>
    <s v="CMA CGM FORT ST GEORGES  014S"/>
    <n v="104144"/>
    <m/>
    <s v="BHP9483"/>
    <s v="CPJ5G64"/>
    <s v="ANACLETO RODRIGUES DE SANTANA"/>
    <s v="01817591878"/>
    <s v="00821760640"/>
    <n v="3436"/>
    <s v="DPW"/>
    <d v="2023-02-26T23:51:00"/>
    <s v="MEDLOG"/>
    <d v="2023-02-27T16:19:00"/>
    <d v="2023-02-27T02:05:00"/>
    <d v="2023-02-27T15:30:00"/>
    <n v="2000"/>
    <n v="0"/>
    <n v="2000"/>
    <n v="0"/>
    <m/>
    <m/>
    <m/>
    <n v="355.79039999999998"/>
    <n v="2964.92"/>
    <x v="1"/>
    <x v="0"/>
    <m/>
    <x v="0"/>
    <s v="SIM"/>
    <s v="SIM"/>
    <s v="SIM"/>
  </r>
  <r>
    <x v="0"/>
    <x v="0"/>
    <d v="2023-02-27T08:00:00"/>
    <s v="CIPU5012948"/>
    <n v="40"/>
    <x v="0"/>
    <s v="IBRAC"/>
    <s v="RIO CLARO"/>
    <n v="1586"/>
    <s v="CMA CGM FORT ST GEORGES  014S"/>
    <n v="104064"/>
    <m/>
    <s v="CUA7F62"/>
    <s v="BSG2J78"/>
    <s v="VALDECIR DA SILVA"/>
    <s v="27455658850"/>
    <s v="01286008208"/>
    <n v="3434"/>
    <s v="DPW"/>
    <d v="2023-02-26T22:23:00"/>
    <s v="MEDLOG"/>
    <d v="2023-02-27T18:37:00"/>
    <d v="2023-02-27T01:50:00"/>
    <d v="2023-02-27T14:00:00"/>
    <n v="3700"/>
    <m/>
    <m/>
    <m/>
    <m/>
    <m/>
    <m/>
    <n v="641.71680000000003"/>
    <n v="5347.64"/>
    <x v="1"/>
    <x v="0"/>
    <m/>
    <x v="0"/>
    <s v="SIM"/>
    <s v="SIM"/>
    <s v="SIM"/>
  </r>
  <r>
    <x v="0"/>
    <x v="0"/>
    <d v="2023-02-28T08:00:00"/>
    <s v="CAIU3160745"/>
    <n v="20"/>
    <x v="1"/>
    <s v="MIAN"/>
    <s v="SBC"/>
    <n v="1627"/>
    <s v="CMA CGM FORT ST GEORGES  014S"/>
    <n v="104175"/>
    <m/>
    <s v="BHP9483"/>
    <s v="CPJ5G64"/>
    <s v="ANACLETO RODRIGUES DE SANTANA"/>
    <s v="01817591878"/>
    <s v="00821760640"/>
    <n v="3438"/>
    <s v="DPW"/>
    <d v="2023-02-27T22:25:00"/>
    <s v="MEDLOG"/>
    <d v="2023-02-28T14:46:00"/>
    <d v="2023-02-28T01:10:00"/>
    <d v="2023-02-28T10:00:00"/>
    <n v="1600"/>
    <n v="0"/>
    <n v="1600"/>
    <n v="0"/>
    <m/>
    <m/>
    <m/>
    <n v="311.55959999999999"/>
    <n v="2596.33"/>
    <x v="1"/>
    <x v="0"/>
    <m/>
    <x v="0"/>
    <s v="SIM"/>
    <s v="SIM"/>
    <s v="SIM"/>
  </r>
  <r>
    <x v="0"/>
    <x v="0"/>
    <d v="2023-03-01T08:00:00"/>
    <s v="MRSU5512140"/>
    <n v="40"/>
    <x v="0"/>
    <s v="BR SPICE"/>
    <s v="JANDIRA"/>
    <s v="AAK7694B"/>
    <s v="CSL MELINA  307S"/>
    <n v="104254"/>
    <m/>
    <s v="FSC7F96"/>
    <s v="EFO7522"/>
    <s v="ANDERSON DE SOUZA COSTA"/>
    <s v="19294729869"/>
    <s v="01008628403"/>
    <n v="3439"/>
    <s v="SANTOS BRASIL"/>
    <d v="2023-03-01T02:45:00"/>
    <s v="DEPOTCE"/>
    <d v="2023-03-01T14:17:00"/>
    <d v="2023-03-01T06:35:00"/>
    <d v="2023-03-01T09:50:00"/>
    <n v="2300"/>
    <n v="0"/>
    <n v="2300"/>
    <n v="0"/>
    <m/>
    <m/>
    <m/>
    <n v="392.15039999999999"/>
    <n v="3267.92"/>
    <x v="2"/>
    <x v="0"/>
    <m/>
    <x v="0"/>
    <s v="SIM"/>
    <s v="SIM"/>
    <m/>
  </r>
  <r>
    <x v="0"/>
    <x v="0"/>
    <d v="2023-03-02T08:00:00"/>
    <s v="TCLU8166090"/>
    <n v="40"/>
    <x v="0"/>
    <s v="AJINOMOTO"/>
    <s v="LIMEIRA"/>
    <n v="1848"/>
    <s v="LOGIN JACARANDA  150S"/>
    <n v="104224"/>
    <n v="104225"/>
    <s v="CUA7F62"/>
    <s v="BSG2J78"/>
    <s v="VALDECIR DA SILVA"/>
    <s v="27455658850"/>
    <s v="01286008208"/>
    <n v="3440"/>
    <s v="DPW"/>
    <d v="2023-03-02T00:26:00"/>
    <s v="MEDLOG"/>
    <d v="2023-03-02T16:35:00"/>
    <d v="2023-03-02T04:30:00"/>
    <d v="2023-03-02T12:00:00"/>
    <n v="3400"/>
    <m/>
    <n v="3400"/>
    <m/>
    <m/>
    <m/>
    <m/>
    <n v="558.28440000000001"/>
    <n v="4652.37"/>
    <x v="2"/>
    <x v="0"/>
    <m/>
    <x v="0"/>
    <s v="SIM"/>
    <s v="SIM"/>
    <s v="SIM"/>
  </r>
  <r>
    <x v="0"/>
    <x v="0"/>
    <d v="2023-03-02T08:00:00"/>
    <s v="CAIU8763377"/>
    <n v="40"/>
    <x v="0"/>
    <s v="AJINOMOTO"/>
    <s v="LIMEIRA"/>
    <n v="1851"/>
    <s v="LOGIN JACARANDA  150S"/>
    <n v="104249"/>
    <n v="104255"/>
    <s v="EFU6A89"/>
    <s v="CYB6H56"/>
    <s v="GUSTAVO ANTONIO CAVALCANTE"/>
    <s v="28386357860"/>
    <s v="01042201192"/>
    <n v="3441"/>
    <s v="DPW"/>
    <d v="2023-03-02T02:57:00"/>
    <s v="MEDLOG"/>
    <d v="2023-03-02T16:49:00"/>
    <d v="2023-03-02T08:00:00"/>
    <d v="2023-03-02T13:00:00"/>
    <n v="3400"/>
    <m/>
    <n v="3400"/>
    <m/>
    <m/>
    <m/>
    <m/>
    <n v="558.28440000000001"/>
    <n v="4652.37"/>
    <x v="2"/>
    <x v="0"/>
    <m/>
    <x v="0"/>
    <s v="SIM"/>
    <s v="SIM"/>
    <s v="SIM"/>
  </r>
  <r>
    <x v="0"/>
    <x v="0"/>
    <d v="2023-03-03T09:00:00"/>
    <s v="TCLU3054652"/>
    <n v="20"/>
    <x v="2"/>
    <s v="SOSAL"/>
    <s v="SBC"/>
    <n v="1945"/>
    <s v="LOGIN JACARANDA  150S"/>
    <n v="104359"/>
    <n v="104361"/>
    <s v="BHP9483"/>
    <s v="CPJ5G64"/>
    <s v="ANACLETO RODRIGUES DE SANTANA"/>
    <s v="01817591878"/>
    <s v="00821760640"/>
    <s v="15221 / 15224"/>
    <s v="DPW"/>
    <d v="2023-03-03T05:28:00"/>
    <s v="MEDLOG"/>
    <d v="2023-03-03T14:26:00"/>
    <d v="2023-03-03T07:50:00"/>
    <d v="2023-03-03T10:00:00"/>
    <n v="1600"/>
    <n v="0"/>
    <n v="1600"/>
    <n v="0"/>
    <m/>
    <m/>
    <m/>
    <n v="288"/>
    <n v="2400"/>
    <x v="2"/>
    <x v="0"/>
    <m/>
    <x v="0"/>
    <s v="SIM"/>
    <s v="SIM"/>
    <s v="SIM"/>
  </r>
  <r>
    <x v="0"/>
    <x v="0"/>
    <d v="2023-03-03T09:00:00"/>
    <s v="MSDU1466694"/>
    <n v="20"/>
    <x v="2"/>
    <s v="SOSAL"/>
    <s v="SBC"/>
    <s v="1947 / 1948"/>
    <s v="LOGIN JACARANDA  150S"/>
    <n v="104358"/>
    <m/>
    <s v="KBK0D67"/>
    <s v="CPJ5G64"/>
    <s v="JOAO BATISTA DOS SANTOS"/>
    <s v="13990937898"/>
    <s v="01825123407"/>
    <s v="15222 / 15223"/>
    <s v="DPW"/>
    <d v="2023-03-02T22:59:00"/>
    <s v="MEDLOG"/>
    <d v="2023-03-03T15:54:00"/>
    <d v="2023-03-03T02:00:00"/>
    <d v="2023-03-03T10:00:00"/>
    <n v="1600"/>
    <n v="0"/>
    <n v="1600"/>
    <n v="0"/>
    <m/>
    <m/>
    <m/>
    <n v="288"/>
    <n v="2400"/>
    <x v="2"/>
    <x v="0"/>
    <m/>
    <x v="0"/>
    <s v="SIM"/>
    <s v="SIM"/>
    <s v="SIM"/>
  </r>
  <r>
    <x v="0"/>
    <x v="0"/>
    <d v="2023-03-03T09:00:00"/>
    <s v="CAIU3405262"/>
    <n v="20"/>
    <x v="2"/>
    <s v="SOSAL"/>
    <s v="SBC"/>
    <n v="1844"/>
    <s v="LOGIN JACARANDA  150S"/>
    <n v="69069"/>
    <m/>
    <s v="FXG5H10"/>
    <s v="DBC3G21"/>
    <s v="ROBERTO CARLOS BEZERRA PIRES"/>
    <s v="27455658850"/>
    <s v="01286008208"/>
    <n v="15239"/>
    <s v="DPW"/>
    <d v="2023-03-02T22:35:00"/>
    <s v="MEDLOG"/>
    <d v="2023-03-03T15:27:00"/>
    <d v="2023-03-03T00:40:00"/>
    <d v="2023-03-03T13:30:00"/>
    <n v="1600"/>
    <n v="0"/>
    <n v="1600"/>
    <n v="0"/>
    <m/>
    <m/>
    <m/>
    <n v="288"/>
    <n v="2400"/>
    <x v="2"/>
    <x v="0"/>
    <m/>
    <x v="0"/>
    <s v="SIM"/>
    <s v="SIM"/>
    <s v="SIM"/>
  </r>
  <r>
    <x v="0"/>
    <x v="0"/>
    <d v="2023-03-03T09:00:00"/>
    <s v="SEGU1248114"/>
    <n v="20"/>
    <x v="2"/>
    <s v="SOSAL"/>
    <s v="SBC"/>
    <n v="1845"/>
    <s v="LOGIN JACARANDA  150S"/>
    <n v="69072"/>
    <m/>
    <s v="CGS0A65"/>
    <s v="CPJ5G64"/>
    <s v="MARCOS PAULO NUNES"/>
    <n v="16239341843"/>
    <s v="01877235038"/>
    <n v="15238"/>
    <s v="DPW"/>
    <d v="2023-03-02T23:06:00"/>
    <s v="MEDLOG"/>
    <d v="2023-03-03T14:05:00"/>
    <d v="2023-03-03T02:00:00"/>
    <d v="2023-03-03T10:00:00"/>
    <n v="1600"/>
    <n v="0"/>
    <n v="1600"/>
    <n v="0"/>
    <m/>
    <m/>
    <m/>
    <n v="288"/>
    <n v="2400"/>
    <x v="2"/>
    <x v="0"/>
    <m/>
    <x v="0"/>
    <s v="SIM"/>
    <s v="SIM"/>
    <s v="SIM"/>
  </r>
  <r>
    <x v="0"/>
    <x v="0"/>
    <d v="2023-03-04T08:00:00"/>
    <s v="CAIU2938462"/>
    <n v="20"/>
    <x v="0"/>
    <s v="CHARQUE CAMPEAO"/>
    <s v="SANTANA DE PARNAIBA"/>
    <n v="1952"/>
    <s v="LOGIN JACARANDA  150S"/>
    <n v="113872"/>
    <m/>
    <s v="BYA0806"/>
    <s v="BWN2701"/>
    <s v="MIGUEL ARNOLD"/>
    <s v="10838670830"/>
    <s v="01808675938"/>
    <s v="3442C / 3444C / 3448"/>
    <s v="DPW"/>
    <d v="2023-03-03T00:29:00"/>
    <s v="MEDLOG"/>
    <d v="2023-03-06T17:34:00"/>
    <d v="2023-03-04T04:00:00"/>
    <d v="2023-03-04T10:00:00"/>
    <n v="2300"/>
    <m/>
    <m/>
    <m/>
    <m/>
    <m/>
    <m/>
    <n v="399.62399999999997"/>
    <n v="3330.2"/>
    <x v="2"/>
    <x v="0"/>
    <m/>
    <x v="0"/>
    <s v="SIM"/>
    <s v="SIM"/>
    <s v="SIM"/>
  </r>
  <r>
    <x v="0"/>
    <x v="0"/>
    <d v="2023-03-03T08:00:00"/>
    <s v="TCNU8695872"/>
    <n v="40"/>
    <x v="0"/>
    <s v="AJINOMOTO"/>
    <s v="LIMEIRA"/>
    <n v="1850"/>
    <s v="LOGIN JACARANDA  150S"/>
    <n v="104252"/>
    <n v="104259"/>
    <s v="EFU6A89"/>
    <s v="CYB6H56"/>
    <s v="GUSTAVO ANTONIO CAVALCANTE"/>
    <s v="28386357860"/>
    <s v="01042201192"/>
    <n v="3445"/>
    <s v="DPW"/>
    <d v="2023-03-03T02:01:00"/>
    <s v="DEPOTCE"/>
    <d v="2023-03-03T16:09:00"/>
    <d v="2023-03-03T06:35:00"/>
    <d v="2023-03-03T11:30:00"/>
    <n v="3400"/>
    <m/>
    <n v="3400"/>
    <m/>
    <m/>
    <m/>
    <m/>
    <n v="558.28440000000001"/>
    <n v="4652.37"/>
    <x v="2"/>
    <x v="0"/>
    <m/>
    <x v="0"/>
    <s v="SIM"/>
    <s v="SIM"/>
    <s v="SIM"/>
  </r>
  <r>
    <x v="0"/>
    <x v="1"/>
    <d v="2023-03-03T08:00:00"/>
    <s v="TCNU7370640"/>
    <n v="40"/>
    <x v="0"/>
    <s v="AJINOMOTO"/>
    <s v="LIMEIRA"/>
    <n v="1852"/>
    <s v="LOGIN JACARANDA  150S"/>
    <n v="104291"/>
    <n v="104297"/>
    <s v="DVT6D42"/>
    <s v="BXE2B57"/>
    <s v="ROBERTO RONALD SANTOS"/>
    <s v="27455658850"/>
    <s v="01286008208"/>
    <n v="3446"/>
    <s v="DPW"/>
    <d v="2023-03-03T05:33:00"/>
    <s v="DEPOTCE"/>
    <d v="2023-03-03T19:45:00"/>
    <d v="2023-03-03T10:00:00"/>
    <d v="2023-03-03T14:00:00"/>
    <n v="3400"/>
    <m/>
    <n v="3400"/>
    <m/>
    <m/>
    <m/>
    <m/>
    <n v="558.28440000000001"/>
    <n v="4652.37"/>
    <x v="2"/>
    <x v="0"/>
    <m/>
    <x v="1"/>
    <s v="SIM"/>
    <s v="SIM"/>
    <s v="SIM"/>
  </r>
  <r>
    <x v="0"/>
    <x v="1"/>
    <d v="2023-03-03T08:00:00"/>
    <s v="CAIU8802940"/>
    <n v="40"/>
    <x v="0"/>
    <s v="IBRAC"/>
    <s v="RIO CLARO"/>
    <n v="1849"/>
    <s v="LOGIN JACARANDA  150S"/>
    <n v="104245"/>
    <m/>
    <s v="GFL7E87"/>
    <s v="GIK5H08"/>
    <s v="GILVAN LAURENTINO DA SILVA"/>
    <s v="92693377404"/>
    <s v="02954783990"/>
    <n v="3443"/>
    <s v="DPW"/>
    <d v="2023-03-03T03:00:00"/>
    <s v="MEDLOG"/>
    <d v="2023-03-03T23:28:00"/>
    <d v="2023-03-03T15:00:00"/>
    <d v="2023-03-03T17:00:00"/>
    <n v="635.4"/>
    <m/>
    <m/>
    <m/>
    <m/>
    <m/>
    <m/>
    <n v="641.71680000000003"/>
    <n v="5347.64"/>
    <x v="2"/>
    <x v="0"/>
    <s v="TROCA DE MOTORISTA"/>
    <x v="3"/>
    <s v="SIM"/>
    <s v="SIM"/>
    <s v="SIM"/>
  </r>
  <r>
    <x v="0"/>
    <x v="1"/>
    <d v="2023-03-03T08:00:00"/>
    <s v="TCLU3467018"/>
    <n v="20"/>
    <x v="1"/>
    <s v="MIAN"/>
    <s v="SBC"/>
    <n v="1861"/>
    <s v="LOGIN JACARANDA  150S"/>
    <n v="113871"/>
    <m/>
    <s v="BYA0806"/>
    <s v="BWN2701"/>
    <s v="MIGUEL ARNOLD"/>
    <s v="10838670830"/>
    <s v="01808675938"/>
    <n v="3447"/>
    <s v="DPW"/>
    <d v="2023-03-03T00:29:00"/>
    <s v="MEDLOG"/>
    <d v="2023-03-03T18:16:00"/>
    <d v="2023-03-03T10:30:00"/>
    <d v="2023-03-03T13:20:00"/>
    <n v="1600"/>
    <n v="0"/>
    <n v="1600"/>
    <n v="0"/>
    <m/>
    <m/>
    <m/>
    <n v="311.55959999999999"/>
    <n v="2596.33"/>
    <x v="2"/>
    <x v="0"/>
    <s v="DOCUMENTO ERRADO"/>
    <x v="5"/>
    <s v="SIM"/>
    <s v="SIM"/>
    <s v="SIM"/>
  </r>
  <r>
    <x v="0"/>
    <x v="0"/>
    <d v="2023-03-06T08:00:00"/>
    <s v="SEGU1118553"/>
    <n v="20"/>
    <x v="0"/>
    <s v="MOINHO ROMANIZ"/>
    <s v="ITAQUERA"/>
    <n v="1860"/>
    <s v="LOGIN JACARANDA  150S"/>
    <n v="104329"/>
    <m/>
    <s v="EPU5990"/>
    <s v="BSG1D88"/>
    <s v="LEANDRO SOARES CAETANO"/>
    <s v="10485530864"/>
    <s v="02033192841"/>
    <n v="3451"/>
    <s v="DPW"/>
    <d v="2023-03-06T05:45:00"/>
    <s v="MEDLOG"/>
    <d v="2023-03-07T14:34:00"/>
    <d v="2023-03-06T07:40:00"/>
    <d v="2023-03-07T09:20:00"/>
    <n v="2000"/>
    <n v="300"/>
    <n v="2300"/>
    <n v="0"/>
    <m/>
    <m/>
    <m/>
    <n v="355.75439999999998"/>
    <n v="2964.62"/>
    <x v="2"/>
    <x v="0"/>
    <m/>
    <x v="0"/>
    <s v="SIM"/>
    <s v="SIM"/>
    <s v="SIM"/>
  </r>
  <r>
    <x v="0"/>
    <x v="0"/>
    <d v="2023-03-06T08:00:00"/>
    <s v="MSMU1766194"/>
    <n v="20"/>
    <x v="0"/>
    <s v="ADESTE"/>
    <s v="SANTOS ANDRE"/>
    <n v="1858"/>
    <s v="LOGIN JACARANDA  150S"/>
    <n v="104333"/>
    <m/>
    <s v="BHP9483"/>
    <s v="CPJ5G64"/>
    <s v="ANACLETO RODRIGUES DE SANTANA"/>
    <s v="01817591878"/>
    <s v="00821760640"/>
    <n v="3449"/>
    <s v="DPW"/>
    <d v="2023-03-06T04:32:00"/>
    <s v="MEDLOG"/>
    <d v="2023-03-06T14:37:00"/>
    <d v="2023-03-06T07:00:00"/>
    <d v="2023-03-06T11:50:00"/>
    <n v="1600"/>
    <m/>
    <m/>
    <m/>
    <m/>
    <m/>
    <m/>
    <n v="415.74719999999996"/>
    <n v="3464.56"/>
    <x v="2"/>
    <x v="0"/>
    <m/>
    <x v="0"/>
    <s v="SIM"/>
    <s v="SIM"/>
    <s v="SIM"/>
  </r>
  <r>
    <x v="0"/>
    <x v="0"/>
    <d v="2023-03-06T08:00:00"/>
    <s v="TEMU8498148"/>
    <n v="40"/>
    <x v="0"/>
    <s v="AJINOMOTO"/>
    <s v="LIMEIRA"/>
    <n v="1853"/>
    <s v="LOGIN JACARANDA  150S"/>
    <n v="104292"/>
    <n v="104295"/>
    <s v="EFU6A89"/>
    <s v="CPJ3G59"/>
    <s v="GUSTAVO ANTONIO CAVALCANTE"/>
    <s v="28386357860"/>
    <s v="01042201192"/>
    <n v="3452"/>
    <s v="DPW"/>
    <d v="2023-03-05T23:37:00"/>
    <s v="MEDLOG"/>
    <d v="2023-03-06T17:31:00"/>
    <d v="2023-03-06T04:00:00"/>
    <d v="2023-03-06T11:30:00"/>
    <n v="3400"/>
    <m/>
    <n v="3400"/>
    <m/>
    <m/>
    <m/>
    <m/>
    <n v="558.28440000000001"/>
    <n v="4652.37"/>
    <x v="2"/>
    <x v="0"/>
    <m/>
    <x v="0"/>
    <s v="SIM"/>
    <s v="SIM"/>
    <s v="SIM"/>
  </r>
  <r>
    <x v="0"/>
    <x v="1"/>
    <d v="2023-03-06T08:00:00"/>
    <s v="TCLU8808740"/>
    <n v="40"/>
    <x v="0"/>
    <s v="AJINOMOTO"/>
    <s v="LIMEIRA"/>
    <n v="1855"/>
    <s v="LOGIN JACARANDA  150S"/>
    <n v="104293"/>
    <n v="104296"/>
    <s v="DVS9G77"/>
    <s v="DPE7C55"/>
    <s v="FABIO COSTA DA SILVA"/>
    <s v="00097734527"/>
    <s v="03148346870"/>
    <n v="3453"/>
    <s v="DPW"/>
    <d v="2023-03-06T01:08:00"/>
    <s v="DEPOTCE"/>
    <d v="2023-03-06T17:08:00"/>
    <d v="2023-03-06T12:00:00"/>
    <d v="2023-03-06T17:00:00"/>
    <n v="3400"/>
    <m/>
    <n v="3400"/>
    <m/>
    <m/>
    <m/>
    <m/>
    <n v="558.28440000000001"/>
    <n v="4652.37"/>
    <x v="2"/>
    <x v="0"/>
    <m/>
    <x v="3"/>
    <s v="SIM"/>
    <s v="SIM"/>
    <s v="SIM"/>
  </r>
  <r>
    <x v="0"/>
    <x v="0"/>
    <d v="2023-03-06T08:00:00"/>
    <s v="CAIU3288696"/>
    <n v="20"/>
    <x v="1"/>
    <s v="MIAN"/>
    <s v="SBC"/>
    <n v="1859"/>
    <s v="LOGIN JACARANDA  150S"/>
    <n v="104328"/>
    <m/>
    <s v="KBK0D67"/>
    <s v="CPJ5G64"/>
    <s v="JOSE LUIZ BARBOSA DA SILVA"/>
    <s v="29956720852"/>
    <s v="01114102381"/>
    <n v="3450"/>
    <s v="DPW"/>
    <d v="2023-03-06T04:36:00"/>
    <s v="MEDLOG"/>
    <d v="2023-03-06T11:36:00"/>
    <d v="2023-03-06T07:10:00"/>
    <d v="2023-03-06T08:20:00"/>
    <n v="1600"/>
    <n v="0"/>
    <n v="1600"/>
    <n v="0"/>
    <m/>
    <m/>
    <m/>
    <n v="311.55959999999999"/>
    <n v="2596.33"/>
    <x v="2"/>
    <x v="0"/>
    <m/>
    <x v="0"/>
    <s v="SIM"/>
    <s v="SIM"/>
    <s v="SIM"/>
  </r>
  <r>
    <x v="0"/>
    <x v="0"/>
    <d v="2023-03-07T08:00:00"/>
    <s v="CAIU2929141"/>
    <n v="20"/>
    <x v="0"/>
    <s v="NEW MAX"/>
    <s v="AMERICANA"/>
    <n v="1857"/>
    <s v="LOGIN JACARANDA  150S"/>
    <n v="104250"/>
    <m/>
    <s v="EWJ2162"/>
    <s v="ETF6391"/>
    <s v="CARLOS BUENO BALTAZAR"/>
    <n v="19279658883"/>
    <s v="01301319672"/>
    <n v="3454"/>
    <s v="DPW"/>
    <d v="2023-03-06T23:14:00"/>
    <s v="MEDLOG"/>
    <d v="2023-03-07T19:11:00"/>
    <d v="2023-03-07T03:30:00"/>
    <s v="07/032023 11:00"/>
    <n v="3200"/>
    <n v="0"/>
    <n v="3200"/>
    <n v="0"/>
    <m/>
    <m/>
    <m/>
    <n v="571.48680000000002"/>
    <n v="4762.3900000000003"/>
    <x v="2"/>
    <x v="0"/>
    <m/>
    <x v="0"/>
    <s v="SIM"/>
    <s v="SIM"/>
    <s v="SIM"/>
  </r>
  <r>
    <x v="0"/>
    <x v="0"/>
    <d v="2023-03-07T08:00:00"/>
    <s v="CAIU3158310"/>
    <n v="20"/>
    <x v="0"/>
    <s v="NEW MAX"/>
    <s v="AMERICANA"/>
    <n v="1856"/>
    <s v="LOGIN JACARANDA  150S"/>
    <n v="104251"/>
    <m/>
    <s v="EPU5990"/>
    <s v="BSG1D88"/>
    <s v="LEANDRO SOARES CAETANO"/>
    <s v="10485530864"/>
    <s v="02033192841"/>
    <n v="3455"/>
    <s v="DPW"/>
    <d v="2023-03-06T22:29:00"/>
    <s v="MEDLOG"/>
    <d v="2023-03-07T15:31:00"/>
    <d v="2023-03-07T03:20:00"/>
    <s v="07/032023 11:00"/>
    <n v="3200"/>
    <n v="0"/>
    <n v="3200"/>
    <n v="0"/>
    <m/>
    <m/>
    <m/>
    <n v="571.48680000000002"/>
    <n v="4762.3900000000003"/>
    <x v="2"/>
    <x v="0"/>
    <m/>
    <x v="0"/>
    <s v="SIM"/>
    <s v="SIM"/>
    <s v="SIM"/>
  </r>
  <r>
    <x v="0"/>
    <x v="1"/>
    <d v="2023-03-07T08:00:00"/>
    <s v="SEGU4046689"/>
    <n v="40"/>
    <x v="0"/>
    <s v="BR SPICE"/>
    <s v="JANDIRA"/>
    <n v="1949"/>
    <s v="LOGIN JACARANDA  150S"/>
    <n v="104330"/>
    <m/>
    <s v="DVS9G77"/>
    <s v="DPE7C55"/>
    <s v="FABIO COSTA DA SILVA"/>
    <s v="00097734527"/>
    <s v="03148346870"/>
    <n v="3456"/>
    <s v="DPW"/>
    <d v="2023-03-07T09:43:00"/>
    <s v="MEDLOG"/>
    <d v="2023-03-07T18:00:00"/>
    <d v="2023-03-07T12:40:00"/>
    <d v="2023-03-07T15:00:00"/>
    <n v="2300"/>
    <n v="0"/>
    <n v="2300"/>
    <n v="0"/>
    <m/>
    <m/>
    <m/>
    <n v="392.15039999999999"/>
    <n v="3267.92"/>
    <x v="2"/>
    <x v="0"/>
    <s v="SOLICITOU TROCA DE AGENDAMENTO"/>
    <x v="1"/>
    <s v="SIM"/>
    <s v="SIM"/>
    <s v="SIM"/>
  </r>
  <r>
    <x v="0"/>
    <x v="1"/>
    <d v="2023-03-07T08:00:00"/>
    <s v="FFAU1701950"/>
    <n v="40"/>
    <x v="0"/>
    <s v="IBRAC"/>
    <s v="RIOC"/>
    <n v="1854"/>
    <s v="LOGIN JACARANDA  150S"/>
    <n v="104290"/>
    <m/>
    <s v="EFU6A89"/>
    <s v="CPJ3G59"/>
    <s v="GUSTAVO ANTONIO CAVALCANTE"/>
    <s v="28386357860"/>
    <s v="01042201192"/>
    <n v="3457"/>
    <s v="DPW"/>
    <d v="2023-03-06T23:36:00"/>
    <s v="MEDLOG"/>
    <d v="2023-03-07T15:56:00"/>
    <d v="2023-03-07T08:20:00"/>
    <d v="2023-03-07T11:00:00"/>
    <n v="3700"/>
    <m/>
    <n v="3700"/>
    <m/>
    <m/>
    <m/>
    <m/>
    <n v="641.71680000000003"/>
    <n v="5347.64"/>
    <x v="2"/>
    <x v="0"/>
    <s v="SOLICITOU TROCA DE AGENDAMENTO"/>
    <x v="1"/>
    <s v="SIM"/>
    <s v="SIM"/>
    <s v="SIM"/>
  </r>
  <r>
    <x v="0"/>
    <x v="0"/>
    <d v="2023-03-09T09:00:00"/>
    <s v="MSDU1566203"/>
    <n v="20"/>
    <x v="2"/>
    <s v="SOSAL"/>
    <s v="SBC"/>
    <n v="2096"/>
    <s v="LOGIN ENDURANCE  038S"/>
    <n v="69289"/>
    <m/>
    <s v="CGS0A65"/>
    <s v="CPJ5G64"/>
    <s v="MARCOS PAULO NUNES"/>
    <n v="16239341843"/>
    <s v="01877235038"/>
    <n v="15318"/>
    <s v="DPW"/>
    <d v="2023-03-08T23:25:00"/>
    <s v="MEDLOG"/>
    <d v="2023-03-09T14:08:00"/>
    <d v="2023-03-09T02:00:00"/>
    <d v="2023-03-09T09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09T09:00:00"/>
    <s v="CAIU3288211"/>
    <n v="20"/>
    <x v="2"/>
    <s v="SOSAL"/>
    <s v="SBC"/>
    <n v="2094"/>
    <s v="LOGIN ENDURANCE  038S"/>
    <n v="69234"/>
    <m/>
    <s v="KBK0D67"/>
    <s v="CPJ5G64"/>
    <s v="JOAO BATISTA DOS SANTOS"/>
    <s v="13990937898"/>
    <s v="01825123407"/>
    <n v="15317"/>
    <s v="DPW"/>
    <d v="2023-03-08T23:13:00"/>
    <s v="MEDLOG"/>
    <d v="2023-03-09T14:56:00"/>
    <d v="2023-03-09T02:00:00"/>
    <d v="2023-03-09T10:3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09T11:00:00"/>
    <s v="SEGU1120083"/>
    <n v="20"/>
    <x v="2"/>
    <s v="SOSAL"/>
    <s v="SBC"/>
    <n v="2153"/>
    <s v="LOGIN ENDURANCE  038S"/>
    <n v="104480"/>
    <m/>
    <s v="BHP9483"/>
    <s v="CPJ5G64"/>
    <s v="ANACLETO RODRIGUES DE SANTANA"/>
    <s v="01817591878"/>
    <s v="00821760640"/>
    <n v="15315"/>
    <s v="DPW"/>
    <d v="2023-03-09T04:51:00"/>
    <s v="MEDLOG"/>
    <d v="2023-03-09T18:26:00"/>
    <d v="2023-03-09T10:15:00"/>
    <d v="2023-03-09T14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09T08:00:00"/>
    <s v="TCLU3460163"/>
    <n v="20"/>
    <x v="0"/>
    <s v="PENINA"/>
    <s v="VL. INDEPENDENTE"/>
    <n v="2126"/>
    <s v="LOGIN ENDURANCE  038S"/>
    <n v="104443"/>
    <m/>
    <s v="EPU5990"/>
    <s v="BSG1D88"/>
    <s v="LEANDRO SOARES CAETANO"/>
    <s v="10485530864"/>
    <s v="02033192841"/>
    <n v="3459"/>
    <s v="DPW"/>
    <d v="2023-03-09T05:37:00"/>
    <s v="DEPOTCE"/>
    <d v="2023-03-09T13:56:00"/>
    <d v="2023-03-09T08:00:00"/>
    <d v="2023-03-09T09:00:00"/>
    <n v="2000"/>
    <m/>
    <m/>
    <n v="700"/>
    <m/>
    <m/>
    <m/>
    <n v="447.91919999999999"/>
    <n v="3732.66"/>
    <x v="2"/>
    <x v="0"/>
    <m/>
    <x v="0"/>
    <s v="SIM"/>
    <s v="SIM"/>
    <s v="SIM"/>
  </r>
  <r>
    <x v="0"/>
    <x v="0"/>
    <d v="2023-03-09T08:00:00"/>
    <s v="SEGU1118276"/>
    <n v="20"/>
    <x v="0"/>
    <s v="MAXSOY"/>
    <s v="HORTOLANDIA"/>
    <n v="2123"/>
    <s v="LOGIN ENDURANCE  038S"/>
    <n v="104405"/>
    <m/>
    <s v="FXG5H10"/>
    <s v="DBC3G21"/>
    <s v="ROBERTO CARLOS BEZERRA PIRES"/>
    <s v="27455658850"/>
    <s v="01286008208"/>
    <n v="3461"/>
    <s v="DPW"/>
    <d v="2023-03-08T23:17:00"/>
    <s v="MEDLOG"/>
    <d v="2023-03-09T16:30:00"/>
    <d v="2023-03-09T03:45:00"/>
    <d v="2023-03-09T10:30:00"/>
    <n v="2800"/>
    <m/>
    <m/>
    <m/>
    <m/>
    <m/>
    <m/>
    <n v="501.59999999999997"/>
    <n v="4180"/>
    <x v="2"/>
    <x v="0"/>
    <m/>
    <x v="0"/>
    <s v="SIM"/>
    <s v="SIM"/>
    <s v="SIM"/>
  </r>
  <r>
    <x v="0"/>
    <x v="0"/>
    <d v="2023-03-09T08:00:00"/>
    <s v="TCLU3465099"/>
    <n v="20"/>
    <x v="0"/>
    <s v="FUCKS"/>
    <s v="ITUPEVA"/>
    <n v="2124"/>
    <s v="LOGIN ENDURANCE  038S"/>
    <n v="104406"/>
    <m/>
    <s v="EWJ2162"/>
    <s v="ETF6391"/>
    <s v="CARLOS BUENO BALTAZAR"/>
    <n v="19279658883"/>
    <s v="01301319672"/>
    <n v="3460"/>
    <s v="DPW"/>
    <d v="2023-03-08T23:48:00"/>
    <s v="DEPOTCE"/>
    <d v="2023-03-09T18:05:00"/>
    <d v="2023-03-09T04:00:00"/>
    <d v="2023-03-09T10:30:00"/>
    <n v="2700"/>
    <m/>
    <m/>
    <n v="600"/>
    <m/>
    <m/>
    <m/>
    <n v="601.46159999999998"/>
    <n v="5012.18"/>
    <x v="2"/>
    <x v="0"/>
    <m/>
    <x v="0"/>
    <s v="SIM"/>
    <s v="SIM"/>
    <s v="SIM"/>
  </r>
  <r>
    <x v="0"/>
    <x v="0"/>
    <d v="2023-03-09T08:00:00"/>
    <s v="DFSU7488375"/>
    <n v="40"/>
    <x v="0"/>
    <s v="FLUIDrA"/>
    <s v="VALINHOS"/>
    <n v="2147"/>
    <s v="LOGIN ENDURANCE  038S"/>
    <n v="104486"/>
    <m/>
    <s v="DDL8B54"/>
    <s v="FUR2F35"/>
    <s v="WILTON SILVA BARBOSA"/>
    <s v="27455658850"/>
    <s v="01286008208"/>
    <n v="3462"/>
    <s v="DPW"/>
    <d v="2023-03-09T03:02:00"/>
    <s v="MEDLOG"/>
    <d v="2023-03-09T23:51:00"/>
    <d v="2023-03-09T06:00:00"/>
    <d v="2023-03-09T14:00:00"/>
    <m/>
    <m/>
    <m/>
    <m/>
    <n v="3245.68"/>
    <m/>
    <n v="596.4"/>
    <n v="523.91999999999996"/>
    <n v="4366"/>
    <x v="2"/>
    <x v="0"/>
    <m/>
    <x v="0"/>
    <s v="SIM"/>
    <s v="SIM"/>
    <s v="SIM"/>
  </r>
  <r>
    <x v="0"/>
    <x v="0"/>
    <d v="2023-03-10T09:00:00"/>
    <s v="CAIU3309905"/>
    <n v="20"/>
    <x v="2"/>
    <s v="SOSAL"/>
    <s v="SBC"/>
    <n v="2095"/>
    <s v="LOGIN ENDURANCE  038S"/>
    <n v="69233"/>
    <m/>
    <s v="BHP9483"/>
    <s v="CPJ5G64"/>
    <s v="ANACLETO RODRIGUES DE SANTANA"/>
    <s v="01817591878"/>
    <s v="00821760640"/>
    <n v="15334"/>
    <s v="DPW"/>
    <d v="2023-03-10T01:10:00"/>
    <s v="MEDLOG"/>
    <d v="2023-03-10T14:22:00"/>
    <d v="2023-03-10T04:35:00"/>
    <d v="2023-03-10T10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0T09:00:00"/>
    <s v="MSDU1617717"/>
    <n v="20"/>
    <x v="2"/>
    <s v="SOSAL"/>
    <s v="SBC"/>
    <n v="2097"/>
    <s v="LOGIN ENDURANCE  038S"/>
    <n v="69290"/>
    <m/>
    <s v="KBK0D67"/>
    <s v="CPJ5G64"/>
    <s v="ANACLETO RODRIGUES DE SANTANA"/>
    <s v="01817591878"/>
    <s v="00821760640"/>
    <n v="15335"/>
    <s v="DPW"/>
    <d v="2023-03-10T01:06:00"/>
    <s v="MEDLOG"/>
    <d v="2023-03-10T14:22:00"/>
    <d v="2023-03-10T04:40:00"/>
    <d v="2023-03-10T10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0T08:00:00"/>
    <s v="TCLU8227874"/>
    <n v="40"/>
    <x v="0"/>
    <s v="AJINOMOTO"/>
    <s v="LIMEIRA"/>
    <n v="2128"/>
    <s v="LOGIN ENDURANCE  038S"/>
    <n v="104442"/>
    <n v="104447"/>
    <s v="CUA7F62"/>
    <s v="BSG2J78"/>
    <s v="VALDECIR DA SILVA"/>
    <s v="27455658850"/>
    <s v="01286008208"/>
    <n v="3467"/>
    <s v="DPW"/>
    <d v="2023-03-09T22:25:00"/>
    <s v="MEDLOG"/>
    <d v="2023-03-10T22:31:00"/>
    <d v="2023-03-10T03:00:00"/>
    <d v="2023-03-10T17:00:00"/>
    <n v="3400"/>
    <m/>
    <n v="3400"/>
    <m/>
    <m/>
    <m/>
    <m/>
    <n v="558.28440000000001"/>
    <n v="4652.37"/>
    <x v="2"/>
    <x v="0"/>
    <m/>
    <x v="0"/>
    <s v="SIM"/>
    <s v="SIM"/>
    <s v="SIM"/>
  </r>
  <r>
    <x v="0"/>
    <x v="0"/>
    <d v="2023-03-10T08:00:00"/>
    <s v="TCLU8703158"/>
    <n v="40"/>
    <x v="0"/>
    <s v="AJINOMOTO"/>
    <s v="LIMEIRA"/>
    <n v="2129"/>
    <s v="LOGIN ENDURANCE  038S"/>
    <n v="104428"/>
    <n v="104429"/>
    <s v="DDL8B54"/>
    <s v="FUR2F35"/>
    <s v="WILTON SILVA BARBOSA"/>
    <s v="27455658850"/>
    <s v="01286008208"/>
    <n v="3466"/>
    <s v="DPW"/>
    <d v="2023-03-10T00:47:00"/>
    <s v="MEDLOG"/>
    <d v="2023-03-10T23:03:00"/>
    <d v="2023-03-10T04:30:00"/>
    <d v="2023-03-10T17:00:00"/>
    <n v="401.4"/>
    <m/>
    <n v="401.4"/>
    <m/>
    <m/>
    <m/>
    <m/>
    <n v="558.28440000000001"/>
    <n v="4652.37"/>
    <x v="2"/>
    <x v="0"/>
    <m/>
    <x v="0"/>
    <s v="SIM"/>
    <s v="SIM"/>
    <s v="SIM"/>
  </r>
  <r>
    <x v="0"/>
    <x v="1"/>
    <d v="2023-03-10T08:00:00"/>
    <s v="AMFU8903629"/>
    <n v="40"/>
    <x v="0"/>
    <s v="BR SPICE"/>
    <s v="JANDIRA"/>
    <n v="2145"/>
    <s v="LOGIN ENDURANCE  038S"/>
    <n v="104484"/>
    <m/>
    <s v="EFU6A89"/>
    <s v="CYB6H56"/>
    <s v="GUSTAVO ANTONIO CAVALCANTE"/>
    <s v="28386357860"/>
    <s v="01042201192"/>
    <n v="3468"/>
    <s v="DPW"/>
    <d v="2023-03-10T05:35:00"/>
    <s v="DEPOTCE"/>
    <d v="2023-03-10T14:31:00"/>
    <d v="2023-03-10T08:40:00"/>
    <d v="2023-03-10T09:17:00"/>
    <n v="2300"/>
    <n v="0"/>
    <n v="2300"/>
    <n v="0"/>
    <m/>
    <m/>
    <m/>
    <n v="392.15039999999999"/>
    <n v="3267.92"/>
    <x v="2"/>
    <x v="0"/>
    <s v="SOLICITOU TROCA DE AGENDAMENTO"/>
    <x v="1"/>
    <s v="SIM"/>
    <s v="SIM"/>
    <s v="SIM"/>
  </r>
  <r>
    <x v="0"/>
    <x v="0"/>
    <d v="2023-03-10T08:00:00"/>
    <s v="TCLU3055535"/>
    <n v="20"/>
    <x v="0"/>
    <s v="KERRY"/>
    <s v="COTIA"/>
    <n v="2190"/>
    <s v="LOGIN ENDURANCE  038S"/>
    <n v="104481"/>
    <m/>
    <s v="EWJ2162"/>
    <s v="ETF6391"/>
    <s v="CARLOS BUENO BALTAZAR"/>
    <n v="19279658883"/>
    <s v="01301319672"/>
    <n v="3465"/>
    <s v="DPW"/>
    <d v="2023-03-10T01:16:00"/>
    <s v="MEDLOG"/>
    <d v="2023-03-10T18:34:00"/>
    <d v="2023-03-10T04:45:00"/>
    <d v="2023-03-10T16:00:00"/>
    <n v="2200"/>
    <m/>
    <m/>
    <n v="600"/>
    <m/>
    <m/>
    <m/>
    <n v="473.5104"/>
    <n v="3945.92"/>
    <x v="2"/>
    <x v="0"/>
    <m/>
    <x v="0"/>
    <s v="SIM"/>
    <s v="SIM"/>
    <s v="SIM"/>
  </r>
  <r>
    <x v="0"/>
    <x v="0"/>
    <d v="2023-03-10T08:00:00"/>
    <s v="CAIU3402432"/>
    <n v="20"/>
    <x v="0"/>
    <s v="CHARQUE CAMPEAO"/>
    <s v="SANTANA DE PARNAIBA"/>
    <n v="2144"/>
    <s v="LOGIN ENDURANCE  038S"/>
    <n v="114802"/>
    <m/>
    <s v="BYA0806"/>
    <s v="BWN2701"/>
    <s v="MIGUEL ARNOLD"/>
    <s v="10838670830"/>
    <s v="01808675938"/>
    <n v="3463"/>
    <s v="DPW"/>
    <d v="2023-03-09T22:55:00"/>
    <s v="MEDLOG"/>
    <d v="2023-03-10T18:13:00"/>
    <d v="2023-03-10T04:00:00"/>
    <d v="2023-03-10T11:20:00"/>
    <n v="2300"/>
    <m/>
    <m/>
    <m/>
    <m/>
    <m/>
    <m/>
    <n v="399.62399999999997"/>
    <n v="3330.2"/>
    <x v="2"/>
    <x v="0"/>
    <m/>
    <x v="0"/>
    <s v="SIM"/>
    <s v="SIM"/>
    <s v="SIM"/>
  </r>
  <r>
    <x v="0"/>
    <x v="0"/>
    <d v="2023-03-10T08:00:00"/>
    <s v="TCLU3463060"/>
    <n v="20"/>
    <x v="1"/>
    <s v="MIAN"/>
    <s v="SBC"/>
    <n v="2191"/>
    <s v="LOGIN ENDURANCE  038S"/>
    <n v="114083"/>
    <m/>
    <s v="CGS0A65"/>
    <s v="CPJ5G64"/>
    <s v="MARCOS PAULO NUNES"/>
    <n v="16239341843"/>
    <s v="01877235038"/>
    <n v="3464"/>
    <s v="DPW"/>
    <d v="2023-03-09T23:06:00"/>
    <s v="DEPOTCE"/>
    <d v="2023-03-10T11:57:00"/>
    <d v="2023-03-10T01:00:00"/>
    <d v="2023-03-10T07:40:00"/>
    <n v="1600"/>
    <m/>
    <m/>
    <m/>
    <m/>
    <m/>
    <m/>
    <n v="311.55959999999999"/>
    <n v="2596.33"/>
    <x v="2"/>
    <x v="0"/>
    <m/>
    <x v="0"/>
    <s v="SIM"/>
    <s v="SIM"/>
    <s v="SIM"/>
  </r>
  <r>
    <x v="0"/>
    <x v="0"/>
    <d v="2023-03-13T08:00:00"/>
    <s v="FCIU8728688"/>
    <n v="40"/>
    <x v="0"/>
    <s v="IBRAC"/>
    <s v="RIO CLARO"/>
    <n v="2149"/>
    <s v="LOGIN ENDURANCE  038S"/>
    <n v="104487"/>
    <m/>
    <s v="DDL8B54"/>
    <s v="FEI4012"/>
    <s v="WILTON SILVA BARBOSA"/>
    <s v="27455658850"/>
    <s v="01286008208"/>
    <n v="3472"/>
    <s v="DPW"/>
    <d v="2023-03-13T02:46:00"/>
    <s v="MEDLOG"/>
    <d v="2023-03-13T22:31:00"/>
    <d v="2023-03-13T07:00:00"/>
    <d v="2023-03-13T16:00:00"/>
    <n v="635.4"/>
    <m/>
    <m/>
    <m/>
    <m/>
    <m/>
    <m/>
    <n v="641.71680000000003"/>
    <n v="5347.64"/>
    <x v="2"/>
    <x v="0"/>
    <m/>
    <x v="0"/>
    <s v="SIM"/>
    <s v="SIM"/>
    <s v="SIM"/>
  </r>
  <r>
    <x v="0"/>
    <x v="0"/>
    <d v="2023-03-13T10:00:00"/>
    <s v="TCNU8699522"/>
    <n v="40"/>
    <x v="0"/>
    <s v="AJINOMOTO"/>
    <s v="LIMEIRA"/>
    <n v="2127"/>
    <s v="LOGIN ENDURANCE  038S"/>
    <n v="104422"/>
    <n v="104423"/>
    <m/>
    <m/>
    <s v="GUSTAVO ANTONIO CAVALCANTE"/>
    <s v="28386357860"/>
    <s v="01042201192"/>
    <n v="3470"/>
    <s v="DPW"/>
    <d v="2023-03-13T05:04:00"/>
    <s v="DEPOTCE"/>
    <d v="2023-03-13T15:00:00"/>
    <d v="2023-03-13T09:20:00"/>
    <d v="2023-03-13T14:30:00"/>
    <n v="3400"/>
    <m/>
    <n v="3400"/>
    <m/>
    <m/>
    <m/>
    <m/>
    <n v="558.28440000000001"/>
    <n v="4652.37"/>
    <x v="2"/>
    <x v="0"/>
    <m/>
    <x v="0"/>
    <s v="SIM"/>
    <s v="SIM"/>
    <s v="SIM"/>
  </r>
  <r>
    <x v="0"/>
    <x v="0"/>
    <d v="2023-03-13T08:00:00"/>
    <s v="TCLU8161099"/>
    <n v="40"/>
    <x v="0"/>
    <s v="AJINOMOTO"/>
    <s v="LIMEIRA"/>
    <n v="2148"/>
    <s v="LOGIN ENDURANCE  038S"/>
    <n v="104482"/>
    <n v="104483"/>
    <s v="CUA7F62"/>
    <s v="BSG2J78"/>
    <s v="VALDECIR DA SILVA"/>
    <s v="27455658850"/>
    <s v="01286008208"/>
    <n v="3471"/>
    <s v="DPW"/>
    <d v="2023-03-13T01:11:00"/>
    <s v="MEDLOG"/>
    <d v="2023-03-13T14:31:00"/>
    <d v="2023-03-13T05:10:00"/>
    <d v="2023-03-13T11:30:00"/>
    <n v="3400"/>
    <m/>
    <n v="3400"/>
    <m/>
    <m/>
    <m/>
    <m/>
    <n v="558.28440000000001"/>
    <n v="4652.37"/>
    <x v="2"/>
    <x v="0"/>
    <m/>
    <x v="0"/>
    <s v="SIM"/>
    <s v="SIM"/>
    <s v="SIM"/>
  </r>
  <r>
    <x v="0"/>
    <x v="0"/>
    <d v="2023-03-13T08:00:00"/>
    <s v="CAIU3159723"/>
    <n v="20"/>
    <x v="0"/>
    <s v="MOINHO ROMANIZ"/>
    <s v="ITAQUERA"/>
    <n v="2125"/>
    <s v="LOGIN ENDURANCE  038S"/>
    <n v="104444"/>
    <m/>
    <s v="EWJ2162"/>
    <s v="ETF6391"/>
    <s v="CARLOS BUENO BALTAZAR"/>
    <n v="19279658883"/>
    <s v="01301319672"/>
    <n v="3469"/>
    <s v="DPW"/>
    <d v="2023-03-13T02:11:00"/>
    <s v="MEDLOG"/>
    <d v="2023-03-13T19:43:00"/>
    <d v="2023-03-13T04:15:00"/>
    <d v="2023-03-13T14:00:00"/>
    <n v="2000"/>
    <m/>
    <m/>
    <m/>
    <m/>
    <m/>
    <m/>
    <n v="355.75439999999998"/>
    <n v="2964.62"/>
    <x v="2"/>
    <x v="0"/>
    <m/>
    <x v="0"/>
    <s v="SIM"/>
    <s v="SIM"/>
    <s v="SIM"/>
  </r>
  <r>
    <x v="0"/>
    <x v="0"/>
    <d v="2023-03-14T08:00:00"/>
    <s v="TCNU7442864"/>
    <n v="40"/>
    <x v="0"/>
    <s v="BR SPICE"/>
    <s v="JANDIRA"/>
    <n v="2146"/>
    <s v="LOGIN ENDURANCE  038S"/>
    <n v="104485"/>
    <m/>
    <s v="CUA7F62"/>
    <s v="BSG2J78"/>
    <s v="VALDECIR DA SILVA"/>
    <s v="27455658850"/>
    <s v="01286008208"/>
    <n v="3473"/>
    <s v="DPW"/>
    <d v="2023-03-13T16:22:00"/>
    <s v="DEPOTCE"/>
    <s v="14/032023 13:30"/>
    <d v="2023-03-14T03:50:00"/>
    <s v="14/032023 09:30"/>
    <n v="2300"/>
    <n v="0"/>
    <n v="2300"/>
    <n v="0"/>
    <m/>
    <m/>
    <m/>
    <n v="392.15039999999999"/>
    <n v="3267.92"/>
    <x v="2"/>
    <x v="0"/>
    <m/>
    <x v="0"/>
    <s v="SIM"/>
    <s v="SIM"/>
    <s v="SIM"/>
  </r>
  <r>
    <x v="0"/>
    <x v="0"/>
    <d v="2023-03-13T09:00:00"/>
    <s v="MRKU9102007"/>
    <n v="20"/>
    <x v="2"/>
    <s v="SOSAL"/>
    <s v="SBC"/>
    <s v="AAK007BB"/>
    <s v="SEBASTIAO CABOTO  309S"/>
    <n v="104584"/>
    <m/>
    <s v="CGS0A65"/>
    <s v="CPJ5G64"/>
    <s v="MARCOS PAULO NUNES"/>
    <n v="16239341843"/>
    <s v="01877235038"/>
    <n v="15347"/>
    <s v="SANTOS BRASIL"/>
    <d v="2023-03-13T05:47:00"/>
    <s v="DEPOTCE"/>
    <d v="2023-03-13T13:14:00"/>
    <d v="2023-03-13T07:20:00"/>
    <d v="2023-03-13T12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3T09:00:00"/>
    <s v="SUDU7369108"/>
    <n v="20"/>
    <x v="2"/>
    <s v="SOSAL"/>
    <s v="SBC"/>
    <s v="AAK007BC"/>
    <s v="SEBASTIAO CABOTO  309S"/>
    <n v="114174"/>
    <m/>
    <s v="KBK0D67"/>
    <s v="CPJ5G64"/>
    <s v="JOAO BATISTA DOS SANTOS"/>
    <s v="13990937898"/>
    <s v="01825123407"/>
    <n v="15351"/>
    <s v="SANTOS BRASIL"/>
    <d v="2023-03-13T03:34:00"/>
    <s v="DEPOTCE"/>
    <d v="2023-03-13T13:20:00"/>
    <d v="2023-03-13T05:30:00"/>
    <d v="2023-03-13T12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3T11:00:00"/>
    <s v="MRKU7537757"/>
    <n v="20"/>
    <x v="2"/>
    <s v="SOSAL"/>
    <s v="SBC"/>
    <s v="AAK007BB"/>
    <s v="SEBASTIAO CABOTO  309S"/>
    <n v="104583"/>
    <m/>
    <s v="BHP9483"/>
    <s v="BSF4E26"/>
    <s v="ANACLETO RODRIGUES DE SANTANA"/>
    <s v="01817591878"/>
    <s v="00821760640"/>
    <n v="15349"/>
    <s v="SANTOS BRASIL"/>
    <d v="2023-03-13T04:46:00"/>
    <s v="DEPOTCE"/>
    <d v="2023-03-13T16:02:00"/>
    <d v="2023-03-13T07:20:00"/>
    <d v="2023-03-13T12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3T09:00:00"/>
    <s v="MRKU7452053"/>
    <n v="20"/>
    <x v="2"/>
    <s v="SOSAL"/>
    <s v="SBC"/>
    <s v="AAK007BD"/>
    <s v="SEBASTIAO CABOTO  309S"/>
    <n v="114175"/>
    <m/>
    <s v="EPU5990"/>
    <s v="BSG1D88"/>
    <s v="LEANDRO SOARES CAETANO"/>
    <s v="10485530864"/>
    <s v="02033192841"/>
    <n v="15352"/>
    <s v="SANTOS BRASIL"/>
    <d v="2023-03-13T05:59:00"/>
    <s v="DEPOTCE"/>
    <d v="2023-03-13T17:03:00"/>
    <d v="2023-03-13T07:55:00"/>
    <d v="2023-03-13T12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4T09:00:00"/>
    <s v="PONU2049181"/>
    <n v="20"/>
    <x v="2"/>
    <s v="SOSAL"/>
    <s v="SBC"/>
    <s v="AAK007BB"/>
    <s v="SEBASTIAO CABOTO  309S"/>
    <n v="104536"/>
    <m/>
    <s v="BHP9483"/>
    <s v="BSF4E26"/>
    <s v="ANACLETO RODRIGUES DE SANTANA"/>
    <s v="01817591878"/>
    <s v="00821760640"/>
    <n v="15365"/>
    <s v="SANTOS BRASIL"/>
    <d v="2023-03-14T01:54:00"/>
    <s v="TRANSTEC SANTOS"/>
    <d v="2023-03-14T12:37:00"/>
    <d v="2023-03-14T04:30:00"/>
    <d v="2023-03-14T10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4T11:00:00"/>
    <s v="MSKU5199143"/>
    <n v="20"/>
    <x v="2"/>
    <s v="SOSAL"/>
    <s v="SBC"/>
    <s v="AAK007BB"/>
    <s v="SEBASTIAO CABOTO  309S"/>
    <n v="104535"/>
    <m/>
    <s v="CGS0A65"/>
    <s v="CPJ5G64"/>
    <s v="MARCOS PAULO NUNES"/>
    <n v="16239341843"/>
    <s v="01877235038"/>
    <n v="15366"/>
    <s v="SANTOS BRASIL"/>
    <d v="2023-03-14T00:40:00"/>
    <s v="TRANSTEC SANTOS"/>
    <d v="2023-03-14T12:27:00"/>
    <d v="2023-03-14T02:30:00"/>
    <d v="2023-03-14T12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7T08:00:00"/>
    <s v="PONU0325470"/>
    <n v="20"/>
    <x v="1"/>
    <s v="MIAN"/>
    <s v="SBC"/>
    <s v="AAK0253D"/>
    <s v="SEBASTIAO CABOTO  309S"/>
    <n v="114336"/>
    <m/>
    <s v="FXG5H10"/>
    <s v="DBC3G21"/>
    <s v="ROBERTO CARLOS BEZERRA PIRES"/>
    <s v="27455658850"/>
    <s v="01286008208"/>
    <n v="3485"/>
    <s v="SANTOS BRASIL"/>
    <d v="2023-03-16T20:27:00"/>
    <s v="DEPOTCE"/>
    <d v="2023-03-17T12:51:00"/>
    <d v="2023-03-17T02:52:00"/>
    <d v="2023-03-17T09:30:00"/>
    <n v="1600"/>
    <m/>
    <m/>
    <m/>
    <m/>
    <m/>
    <m/>
    <n v="311.55959999999999"/>
    <n v="2596.33"/>
    <x v="2"/>
    <x v="0"/>
    <m/>
    <x v="0"/>
    <s v="SIM"/>
    <s v="SIM"/>
    <s v="SIM"/>
  </r>
  <r>
    <x v="0"/>
    <x v="0"/>
    <d v="2023-03-15T08:00:00"/>
    <s v="MRKU7962798"/>
    <n v="20"/>
    <x v="1"/>
    <s v="MIAN"/>
    <s v="SBC"/>
    <s v="AA9195AS"/>
    <s v="SEBASTIAO CABOTO  309S"/>
    <n v="72520"/>
    <m/>
    <s v="FXG5H10"/>
    <s v="DBC3G21"/>
    <s v="ROBERTO CARLOS BEZERRA PIRES"/>
    <s v="27455658850"/>
    <s v="01286008208"/>
    <s v="3474 / 3475"/>
    <s v="DPW"/>
    <d v="2023-03-14T22:41:00"/>
    <s v="FASSINA SANTOS"/>
    <d v="2023-03-15T13:57:00"/>
    <d v="2023-03-15T01:25:00"/>
    <d v="2023-03-15T08:30:00"/>
    <n v="1600"/>
    <m/>
    <m/>
    <m/>
    <m/>
    <m/>
    <m/>
    <n v="288"/>
    <n v="2400"/>
    <x v="2"/>
    <x v="0"/>
    <m/>
    <x v="0"/>
    <s v="SIM"/>
    <s v="SIM"/>
    <s v="SIM"/>
  </r>
  <r>
    <x v="0"/>
    <x v="0"/>
    <d v="2023-03-16T08:00:00"/>
    <s v="CAIU3015963"/>
    <n v="20"/>
    <x v="1"/>
    <s v="MIAN"/>
    <s v="SBC"/>
    <n v="2325"/>
    <s v="LOGIN JATOBA  238S"/>
    <n v="104613"/>
    <m/>
    <s v="BYA0806"/>
    <s v="BWN2701"/>
    <s v="MIGUEL ARNOLD"/>
    <s v="10838670830"/>
    <s v="01808675938"/>
    <n v="3476"/>
    <s v="DPW"/>
    <d v="2023-03-15T22:19:00"/>
    <s v="MEDLOG"/>
    <d v="2023-03-16T14:35:00"/>
    <d v="2023-03-16T02:30:00"/>
    <d v="2023-03-16T09:20:00"/>
    <n v="1600"/>
    <m/>
    <m/>
    <m/>
    <m/>
    <m/>
    <m/>
    <n v="311.55959999999999"/>
    <n v="2596.33"/>
    <x v="2"/>
    <x v="0"/>
    <m/>
    <x v="0"/>
    <s v="SIM"/>
    <s v="SIM"/>
    <s v="SIM"/>
  </r>
  <r>
    <x v="0"/>
    <x v="0"/>
    <d v="2023-03-16T08:00:00"/>
    <s v="SEGU1061669"/>
    <n v="20"/>
    <x v="0"/>
    <s v="NEW MAX"/>
    <s v="AMERICANA"/>
    <n v="2323"/>
    <s v="LOGIN JATOBA  238S"/>
    <n v="104545"/>
    <m/>
    <s v="EPU5990"/>
    <s v="BSG1D88"/>
    <s v="LEANDRO SOARES CAETANO"/>
    <s v="10485530864"/>
    <s v="02033192841"/>
    <n v="3477"/>
    <s v="DPW"/>
    <d v="2023-03-15T18:32:00"/>
    <s v="MEDLOG"/>
    <d v="2023-03-16T15:24:00"/>
    <d v="2023-03-15T22:50:00"/>
    <d v="2023-03-16T09:00:00"/>
    <n v="3200"/>
    <m/>
    <m/>
    <m/>
    <m/>
    <m/>
    <m/>
    <n v="571.48680000000002"/>
    <n v="4762.3900000000003"/>
    <x v="2"/>
    <x v="0"/>
    <m/>
    <x v="0"/>
    <s v="SIM"/>
    <s v="SIM"/>
    <s v="SIM"/>
  </r>
  <r>
    <x v="0"/>
    <x v="0"/>
    <d v="2023-03-16T08:00:00"/>
    <s v="TCLU3038498"/>
    <n v="20"/>
    <x v="0"/>
    <s v="NEW MAX"/>
    <s v="AMERICANA"/>
    <n v="2324"/>
    <s v="LOGIN JATOBA  238S"/>
    <n v="104544"/>
    <m/>
    <s v="BED0J40"/>
    <s v="MFJ3290"/>
    <s v="JOAB FELICIANO DOS VALES"/>
    <n v="16955497839"/>
    <s v="03177639496"/>
    <n v="3481"/>
    <s v="DPW"/>
    <d v="2023-03-15T17:31:00"/>
    <s v="MEDLOG"/>
    <d v="2023-03-16T17:34:00"/>
    <d v="2023-03-16T03:40:00"/>
    <d v="2023-03-16T10:00:00"/>
    <n v="3200"/>
    <m/>
    <m/>
    <m/>
    <m/>
    <m/>
    <m/>
    <n v="571.48680000000002"/>
    <n v="4762.3900000000003"/>
    <x v="2"/>
    <x v="0"/>
    <m/>
    <x v="0"/>
    <s v="SIM"/>
    <s v="SIM"/>
    <s v="SIM"/>
  </r>
  <r>
    <x v="0"/>
    <x v="0"/>
    <d v="2023-03-16T08:00:00"/>
    <s v="TCLU3041357"/>
    <n v="20"/>
    <x v="0"/>
    <s v="MAXSOY"/>
    <s v="HORTOLANDIA"/>
    <n v="2326"/>
    <s v="LOGIN JATOBA  238S"/>
    <n v="104614"/>
    <m/>
    <s v="FXG5H10"/>
    <s v="DBC3G21"/>
    <s v="ROBERTO CARLOS BEZERRA PIRES"/>
    <s v="27455658850"/>
    <s v="01286008208"/>
    <n v="3478"/>
    <s v="DPW"/>
    <d v="2023-03-15T20:30:00"/>
    <s v="MEDLOG"/>
    <d v="2023-03-16T16:49:00"/>
    <d v="2023-03-16T02:20:00"/>
    <d v="2023-03-16T10:00:00"/>
    <n v="2800"/>
    <m/>
    <m/>
    <m/>
    <m/>
    <m/>
    <m/>
    <n v="501.59999999999997"/>
    <n v="4180"/>
    <x v="2"/>
    <x v="0"/>
    <m/>
    <x v="0"/>
    <s v="SIM"/>
    <s v="SIM"/>
    <s v="SIM"/>
  </r>
  <r>
    <x v="0"/>
    <x v="1"/>
    <d v="2023-03-16T08:00:00"/>
    <s v="TCLU3055638"/>
    <n v="20"/>
    <x v="0"/>
    <s v="PENINA"/>
    <s v="VL. INDEPENDENTE"/>
    <n v="2327"/>
    <s v="LOGIN JATOBA  238S"/>
    <n v="104576"/>
    <m/>
    <s v="EWJ2162"/>
    <s v="ETF6391"/>
    <s v="CARLOS BUENO BALTAZAR"/>
    <n v="19279658883"/>
    <s v="01301319672"/>
    <n v="3479"/>
    <s v="DPW"/>
    <d v="2023-03-16T02:08:00"/>
    <s v="MEDLOG"/>
    <d v="2023-03-16T15:26:00"/>
    <s v="16/03/2023 03&gt;45"/>
    <d v="2023-03-16T09:30:00"/>
    <n v="2000"/>
    <m/>
    <m/>
    <n v="700"/>
    <m/>
    <m/>
    <m/>
    <n v="447.91919999999999"/>
    <n v="3732.66"/>
    <x v="2"/>
    <x v="0"/>
    <m/>
    <x v="0"/>
    <s v="SIM"/>
    <s v="SIM"/>
    <s v="SIM"/>
  </r>
  <r>
    <x v="0"/>
    <x v="0"/>
    <d v="2023-03-16T08:00:00"/>
    <s v="CRSU9082006"/>
    <n v="40"/>
    <x v="0"/>
    <s v="BR SPICE"/>
    <s v="JANDIRA"/>
    <n v="2313"/>
    <s v="LOGIN JATOBA  238S"/>
    <n v="104580"/>
    <m/>
    <s v="DTB9J13"/>
    <s v="CPJ3G59"/>
    <s v="JOSE EDNILSON DOS SANTOS"/>
    <n v="88265951434"/>
    <s v="00920373596"/>
    <n v="3484"/>
    <s v="DPW"/>
    <s v="16/03/2023 04;32"/>
    <s v="MEDLOG"/>
    <d v="2023-03-16T15:15:00"/>
    <d v="2023-03-16T08:00:00"/>
    <d v="2023-03-16T09:45:00"/>
    <n v="2300"/>
    <n v="0"/>
    <n v="2300"/>
    <n v="0"/>
    <m/>
    <m/>
    <m/>
    <n v="392.15039999999999"/>
    <n v="3267.92"/>
    <x v="2"/>
    <x v="0"/>
    <m/>
    <x v="0"/>
    <s v="SIM"/>
    <s v="SIM"/>
    <s v="SIM"/>
  </r>
  <r>
    <x v="0"/>
    <x v="1"/>
    <d v="2023-03-16T08:00:00"/>
    <s v="TCLU8160472"/>
    <n v="40"/>
    <x v="0"/>
    <s v="IRMAOS AVELINO"/>
    <s v="CARAPICUIBA"/>
    <n v="2314"/>
    <s v="LOGIN JATOBA  238S"/>
    <n v="104581"/>
    <n v="104582"/>
    <s v="DVS9G77"/>
    <s v="DPE7C55"/>
    <s v="FABIO COSTA DA SILVA"/>
    <s v="00097734527"/>
    <s v="03148346870"/>
    <n v="3483"/>
    <s v="DPW"/>
    <d v="2023-03-16T16:40:00"/>
    <s v="MEDLOG"/>
    <d v="2023-03-17T13:41:00"/>
    <d v="2023-03-17T07:30:00"/>
    <d v="2023-03-17T09:50:00"/>
    <n v="2300"/>
    <m/>
    <m/>
    <n v="500"/>
    <m/>
    <m/>
    <m/>
    <n v="449.87520000000001"/>
    <n v="3748.96"/>
    <x v="2"/>
    <x v="0"/>
    <s v="INFORMOU QUE O VEÍCULO QUEBROU AS 6HR"/>
    <x v="3"/>
    <s v="SIM"/>
    <s v="SIM"/>
    <s v="SIM"/>
  </r>
  <r>
    <x v="0"/>
    <x v="0"/>
    <d v="2023-03-16T08:00:00"/>
    <s v="TEMU8333641"/>
    <n v="40"/>
    <x v="0"/>
    <s v="DOREMUS"/>
    <s v="GUARULHOS"/>
    <n v="2319"/>
    <s v="LOGIN JATOBA  238S"/>
    <n v="104617"/>
    <m/>
    <s v="DDL8B54"/>
    <s v="FEI4012"/>
    <s v="WILTON SILVA BARBOSA"/>
    <s v="27455658850"/>
    <s v="01286008208"/>
    <n v="3480"/>
    <s v="DPW"/>
    <d v="2023-03-16T02:26:00"/>
    <s v="MEDLOG"/>
    <d v="2023-03-16T15:23:00"/>
    <d v="2023-03-16T08:00:00"/>
    <d v="2023-03-16T10:30:00"/>
    <n v="241.8"/>
    <m/>
    <m/>
    <m/>
    <m/>
    <m/>
    <m/>
    <n v="370.37759999999997"/>
    <n v="3086.48"/>
    <x v="2"/>
    <x v="0"/>
    <m/>
    <x v="0"/>
    <s v="SIM"/>
    <s v="SIM"/>
    <s v="SIM"/>
  </r>
  <r>
    <x v="0"/>
    <x v="0"/>
    <d v="2023-03-16T08:00:00"/>
    <s v="TCNU7378847"/>
    <n v="40"/>
    <x v="0"/>
    <s v="DOREMUS"/>
    <s v="GUARULHOS"/>
    <n v="2320"/>
    <s v="LOGIN JATOBA  238S"/>
    <n v="104655"/>
    <m/>
    <s v="DTB7A34"/>
    <s v="ABR8E82"/>
    <s v="JAILTON GEOVANIO TAVARES DOS SANTOS"/>
    <s v="33913917829"/>
    <s v="03312585500"/>
    <n v="3482"/>
    <s v="DPW"/>
    <d v="2023-03-16T04:38:00"/>
    <s v="DEPOTCE"/>
    <d v="2023-03-16T15:00:00"/>
    <d v="2023-03-16T08:00:00"/>
    <d v="2023-03-16T11:00:00"/>
    <n v="2100"/>
    <m/>
    <m/>
    <m/>
    <m/>
    <m/>
    <m/>
    <n v="370.37759999999997"/>
    <n v="3086.48"/>
    <x v="2"/>
    <x v="0"/>
    <m/>
    <x v="0"/>
    <s v="SIM"/>
    <s v="SIM"/>
    <s v="SIM"/>
  </r>
  <r>
    <x v="0"/>
    <x v="0"/>
    <d v="2023-03-16T09:00:00"/>
    <s v="CAIU3307380"/>
    <n v="20"/>
    <x v="2"/>
    <s v="SOSAL"/>
    <s v="SBC"/>
    <n v="2309"/>
    <s v="LOGIN JATOBA  238S"/>
    <n v="104662"/>
    <m/>
    <s v="DAJ8C31"/>
    <s v="BSG2A82"/>
    <s v="ALEX DA SILVA FERREIRA"/>
    <s v="03300368820"/>
    <s v="02281615982"/>
    <n v="15392"/>
    <s v="DPW"/>
    <d v="2023-03-16T01:22:00"/>
    <s v="MEDLOG"/>
    <d v="2023-03-16T18:08:00"/>
    <d v="2023-03-16T03:30:00"/>
    <d v="2023-03-16T11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6T09:00:00"/>
    <s v="TRHU2285600"/>
    <n v="20"/>
    <x v="2"/>
    <s v="SOSAL"/>
    <s v="SBC"/>
    <n v="2310"/>
    <s v="LOGIN JATOBA  238S"/>
    <n v="104659"/>
    <m/>
    <s v="BHP9483"/>
    <s v="BSF4E26"/>
    <s v="ANACLETO RODRIGUES DE SANTANA"/>
    <s v="01817591878"/>
    <s v="00821760640"/>
    <n v="15393"/>
    <s v="DPW"/>
    <d v="2023-03-15T22:52:00"/>
    <s v="DEPOTCE"/>
    <d v="2023-03-16T14:36:00"/>
    <d v="2023-03-16T01:00:00"/>
    <d v="2023-03-16T09:3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6T11:00:00"/>
    <s v="SEGU1029970"/>
    <n v="20"/>
    <x v="2"/>
    <s v="SOSAL"/>
    <s v="SBC"/>
    <n v="2312"/>
    <s v="LOGIN JATOBA  238S"/>
    <n v="104693"/>
    <m/>
    <s v="CGS0A65"/>
    <s v="CPJ5G64"/>
    <s v="MARCOS PAULO NUNES"/>
    <n v="16239341843"/>
    <s v="01877235038"/>
    <n v="15394"/>
    <s v="DPW"/>
    <d v="2023-03-16T00:11:00"/>
    <s v="MEDLOG"/>
    <d v="2023-03-16T15:20:00"/>
    <d v="2023-03-16T01:50:00"/>
    <d v="2023-03-16T10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6T11:00:00"/>
    <s v="FCIU9176069"/>
    <n v="40"/>
    <x v="2"/>
    <s v="SOSAL"/>
    <s v="SBC"/>
    <s v="2342 / 2343"/>
    <s v="LOGIN JATOBA  238S"/>
    <n v="104657"/>
    <n v="104658"/>
    <s v="KBK0D67"/>
    <s v="BSG5I57"/>
    <s v="JOSE LUIZ BARBOSA DA SILVA"/>
    <s v="29956720852"/>
    <s v="01114102381"/>
    <s v="15395 / 15397"/>
    <s v="DPW"/>
    <d v="2023-03-15T23:48:00"/>
    <s v="MEDLOG"/>
    <d v="2023-03-16T18:58:00"/>
    <d v="2023-03-16T02:00:00"/>
    <d v="2023-03-16T10:30:00"/>
    <n v="1600"/>
    <m/>
    <m/>
    <m/>
    <m/>
    <m/>
    <m/>
    <n v="276"/>
    <n v="2300"/>
    <x v="2"/>
    <x v="0"/>
    <m/>
    <x v="0"/>
    <s v="SIM"/>
    <s v="SIM"/>
    <s v="SIM"/>
  </r>
  <r>
    <x v="0"/>
    <x v="1"/>
    <d v="2023-03-17T09:00:00"/>
    <s v="CAIU3288715"/>
    <n v="20"/>
    <x v="2"/>
    <s v="SOSAL"/>
    <s v="SBC"/>
    <n v="2311"/>
    <s v="LOGIN JATOBA  238S"/>
    <n v="104692"/>
    <m/>
    <s v="BHP9483"/>
    <s v="BSF4E26"/>
    <s v="ANACLETO RODRIGUES DE SANTANA"/>
    <s v="01817591878"/>
    <s v="00821760640"/>
    <n v="15412"/>
    <s v="DPW"/>
    <d v="2023-03-16T22:24:00"/>
    <s v="MEDLOG"/>
    <d v="2023-03-20T14:37:00"/>
    <d v="2023-03-20T05:45:00"/>
    <d v="2023-03-20T10:00:00"/>
    <n v="1600"/>
    <m/>
    <m/>
    <m/>
    <m/>
    <m/>
    <m/>
    <n v="276"/>
    <n v="2300"/>
    <x v="2"/>
    <x v="0"/>
    <s v="REPROGRAMADO"/>
    <x v="3"/>
    <s v="SIM"/>
    <s v="SIM"/>
    <s v="SIM"/>
  </r>
  <r>
    <x v="0"/>
    <x v="0"/>
    <d v="2023-03-17T09:00:00"/>
    <s v="MEDU5036190"/>
    <n v="20"/>
    <x v="2"/>
    <s v="SOSAL"/>
    <s v="SBC"/>
    <n v="2341"/>
    <s v="LOGIN JATOBA  238S"/>
    <n v="69332"/>
    <m/>
    <s v="KBK0D67"/>
    <s v="BSG5I57"/>
    <s v="JOAO BATISTA DOS SANTOS"/>
    <s v="13990937898"/>
    <s v="01825123407"/>
    <n v="15414"/>
    <s v="DPW"/>
    <d v="2023-03-16T22:46:00"/>
    <s v="MEDLOG"/>
    <d v="2023-03-17T14:56:00"/>
    <d v="2023-03-17T03:30:00"/>
    <d v="2023-03-17T12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7T09:00:00"/>
    <s v="MSDU1419985"/>
    <n v="20"/>
    <x v="2"/>
    <s v="SOSAL"/>
    <s v="SBC"/>
    <n v="2340"/>
    <s v="LOGIN JATOBA  238S"/>
    <n v="69333"/>
    <m/>
    <s v="CGS0A65"/>
    <s v="CPJ5G64"/>
    <s v="MARCOS PAULO NUNES"/>
    <n v="16239341843"/>
    <s v="01877235038"/>
    <n v="15413"/>
    <s v="DPW"/>
    <d v="2023-03-17T00:16:00"/>
    <s v="MEDLOG"/>
    <d v="2023-03-17T18:38:00"/>
    <d v="2023-03-17T03:30:00"/>
    <d v="2023-03-17T11:3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17T08:00:00"/>
    <s v="CAIU3415316"/>
    <n v="20"/>
    <x v="0"/>
    <s v="CHARQUE CAMPEAO"/>
    <s v="SANTANA DE PARNAIBA"/>
    <n v="2328"/>
    <s v="LOGIN JATOBA  238S"/>
    <n v="114205"/>
    <m/>
    <s v="EWJ2162"/>
    <s v="ETF6391"/>
    <s v="CARLOS BUENO BALTAZAR"/>
    <n v="19279658883"/>
    <s v="01301319672"/>
    <n v="3486"/>
    <s v="DPW"/>
    <d v="2023-03-17T02:01:00"/>
    <s v="MEDLOG"/>
    <d v="2023-03-17T18:44:00"/>
    <d v="2023-03-17T05:30:00"/>
    <d v="2023-03-17T09:30:00"/>
    <n v="2300"/>
    <m/>
    <m/>
    <m/>
    <m/>
    <m/>
    <m/>
    <n v="399.62399999999997"/>
    <n v="3330.2"/>
    <x v="2"/>
    <x v="0"/>
    <m/>
    <x v="0"/>
    <s v="SIM"/>
    <s v="SIM"/>
    <s v="SIM"/>
  </r>
  <r>
    <x v="0"/>
    <x v="1"/>
    <d v="2023-03-17T08:00:00"/>
    <s v="CAAU6386862"/>
    <n v="40"/>
    <x v="0"/>
    <s v="DOREMUS"/>
    <s v="GUARULHOS"/>
    <n v="2483"/>
    <s v="LOGIN JATOBA  238S"/>
    <n v="104694"/>
    <m/>
    <s v="DDL8B54"/>
    <s v="FEI4012"/>
    <s v="WILTON SILVA BARBOSA"/>
    <s v="27455658850"/>
    <s v="01286008208"/>
    <n v="3488"/>
    <s v="DPW"/>
    <d v="2023-03-17T05:53:00"/>
    <s v="MEDLOG"/>
    <d v="2023-03-17T16:13:00"/>
    <d v="2023-03-17T09:10:00"/>
    <d v="2023-03-17T14:00:00"/>
    <n v="2100"/>
    <m/>
    <m/>
    <m/>
    <m/>
    <m/>
    <m/>
    <n v="370.37759999999997"/>
    <n v="3086.48"/>
    <x v="2"/>
    <x v="0"/>
    <s v="Acidente na porta da DPW"/>
    <x v="2"/>
    <s v="SIM"/>
    <s v="SIM"/>
    <s v="SIM"/>
  </r>
  <r>
    <x v="0"/>
    <x v="0"/>
    <d v="2023-03-17T08:00:00"/>
    <s v="GESU6823356"/>
    <n v="40"/>
    <x v="0"/>
    <s v="BR SPICE"/>
    <s v="JANDIRA"/>
    <n v="2315"/>
    <s v="LOGIN JATOBA  238S"/>
    <n v="104577"/>
    <m/>
    <s v="CUA7F62"/>
    <s v="BSG2J78"/>
    <s v="VALDECIR DA SILVA"/>
    <s v="27455658850"/>
    <s v="01286008208"/>
    <n v="3487"/>
    <s v="DPW"/>
    <d v="2023-03-17T04:19:00"/>
    <s v="MEDLOG"/>
    <d v="2023-03-17T14:47:00"/>
    <d v="2023-03-17T07:00:00"/>
    <d v="2023-03-17T13:00:00"/>
    <n v="2300"/>
    <n v="0"/>
    <n v="2300"/>
    <n v="0"/>
    <m/>
    <m/>
    <m/>
    <n v="392.15039999999999"/>
    <n v="3267.92"/>
    <x v="2"/>
    <x v="0"/>
    <m/>
    <x v="0"/>
    <s v="SIM"/>
    <s v="SIM"/>
    <s v="SIM"/>
  </r>
  <r>
    <x v="0"/>
    <x v="0"/>
    <d v="2023-03-20T08:00:00"/>
    <s v="SEGU4117416"/>
    <n v="40"/>
    <x v="0"/>
    <s v="BUNGE"/>
    <s v="SANTOS"/>
    <n v="2318"/>
    <s v="LOGIN JATOBA  238S"/>
    <n v="104615"/>
    <m/>
    <s v="FGD8G49"/>
    <s v="FUJ0D24"/>
    <s v="GILVAN LAURENTINO DA SILVA"/>
    <s v="92693377404"/>
    <s v="02954783990"/>
    <n v="3489"/>
    <s v="DPW"/>
    <d v="2023-03-20T06:11:00"/>
    <s v="MEDLOG"/>
    <d v="2023-03-20T23:24:00"/>
    <d v="2023-03-20T07:50:00"/>
    <d v="2023-03-20T11:00:00"/>
    <m/>
    <m/>
    <m/>
    <m/>
    <m/>
    <m/>
    <m/>
    <n v="234"/>
    <n v="1950"/>
    <x v="2"/>
    <x v="0"/>
    <m/>
    <x v="0"/>
    <s v="SIM"/>
    <s v="SIM"/>
    <s v="SIM"/>
  </r>
  <r>
    <x v="0"/>
    <x v="1"/>
    <d v="2023-03-20T08:00:00"/>
    <s v="TCLU8158480"/>
    <n v="40"/>
    <x v="0"/>
    <s v="BR SPICE"/>
    <s v="JANDIRA"/>
    <n v="2317"/>
    <s v="LOGIN JATOBA  238S"/>
    <n v="104616"/>
    <m/>
    <s v="DTB9J13"/>
    <s v="CPJ3G59"/>
    <s v="JOSE EDNILSON DOS SANTOS"/>
    <n v="88265951434"/>
    <s v="00920373596"/>
    <n v="3491"/>
    <s v="DPW"/>
    <d v="2023-03-20T07:22:00"/>
    <s v="MEDLOG"/>
    <d v="2023-03-20T19:46:00"/>
    <d v="2023-03-20T09:10:00"/>
    <d v="2023-03-20T11:00:00"/>
    <n v="2300"/>
    <n v="0"/>
    <n v="2300"/>
    <n v="0"/>
    <m/>
    <m/>
    <m/>
    <n v="392.15039999999999"/>
    <n v="3267.92"/>
    <x v="2"/>
    <x v="0"/>
    <m/>
    <x v="1"/>
    <s v="SIM"/>
    <s v="SIM"/>
    <s v="SIM"/>
  </r>
  <r>
    <x v="0"/>
    <x v="1"/>
    <d v="2023-03-20T08:00:00"/>
    <s v="TCNU6242218"/>
    <n v="40"/>
    <x v="0"/>
    <s v="IBRAC"/>
    <s v="RIO CLARO"/>
    <n v="2316"/>
    <s v="LOGIN JATOBA  238S"/>
    <n v="104543"/>
    <m/>
    <s v="CUA7F62"/>
    <s v="BSG2J78"/>
    <s v="VALDECIR DA SILVA"/>
    <s v="27455658850"/>
    <s v="01286008208"/>
    <n v="3490"/>
    <s v="DPW"/>
    <d v="2023-03-19T06:07:00"/>
    <s v="DEPOTCE"/>
    <d v="2023-03-20T18:02:00"/>
    <d v="2023-03-20T08:10:00"/>
    <d v="2023-03-20T12:30:00"/>
    <n v="3700"/>
    <m/>
    <m/>
    <m/>
    <m/>
    <m/>
    <m/>
    <n v="641.71680000000003"/>
    <n v="5347.64"/>
    <x v="2"/>
    <x v="0"/>
    <m/>
    <x v="2"/>
    <s v="SIM"/>
    <s v="SIM"/>
    <s v="SIM"/>
  </r>
  <r>
    <x v="0"/>
    <x v="1"/>
    <d v="2023-03-21T08:00:00"/>
    <s v="TCNU6243657"/>
    <n v="40"/>
    <x v="0"/>
    <s v="FLUIDrA"/>
    <s v="VALINHOS"/>
    <n v="2322"/>
    <s v="LOGIN JATOBA  238S"/>
    <n v="104546"/>
    <m/>
    <s v="EKH4C25"/>
    <s v="DAO7B51"/>
    <s v="WESLLEY RODRIGO CONSTANCIO DA SILVA"/>
    <s v="27455658850"/>
    <s v="01286008208"/>
    <n v="3492"/>
    <s v="DPW"/>
    <d v="2023-03-20T21:55:00"/>
    <s v="DEPOTCE"/>
    <d v="2023-03-21T17:02:00"/>
    <d v="2023-03-21T08:10:00"/>
    <d v="2023-03-21T12:00:00"/>
    <n v="2800"/>
    <m/>
    <m/>
    <m/>
    <n v="3245.68"/>
    <m/>
    <n v="596.4"/>
    <n v="523.91999999999996"/>
    <n v="4366"/>
    <x v="2"/>
    <x v="0"/>
    <m/>
    <x v="1"/>
    <s v="SIM"/>
    <s v="SIM"/>
    <s v="SIM"/>
  </r>
  <r>
    <x v="0"/>
    <x v="1"/>
    <d v="2023-03-21T08:00:00"/>
    <s v="TCLU8187180"/>
    <n v="40"/>
    <x v="0"/>
    <s v="BRC"/>
    <s v="RIO CLARO"/>
    <n v="2321"/>
    <s v="LOGIN JATOBA  238S"/>
    <n v="104656"/>
    <m/>
    <s v="DTB9J13"/>
    <s v="CPJ3G59"/>
    <s v="JOSE EDNILSON DOS SANTOS"/>
    <n v="88265951434"/>
    <s v="00920373596"/>
    <n v="3494"/>
    <s v="DPW"/>
    <d v="2023-03-20T21:13:00"/>
    <s v="MEDLOG"/>
    <d v="2023-03-21T19:06:00"/>
    <d v="2023-03-21T08:30:00"/>
    <d v="2023-03-21T11:00:00"/>
    <n v="3700"/>
    <m/>
    <m/>
    <m/>
    <m/>
    <m/>
    <m/>
    <n v="641.71680000000003"/>
    <n v="5347.64"/>
    <x v="2"/>
    <x v="0"/>
    <m/>
    <x v="1"/>
    <s v="SIM"/>
    <s v="SIM"/>
    <s v="SIM"/>
  </r>
  <r>
    <x v="0"/>
    <x v="0"/>
    <d v="2023-03-21T08:00:00"/>
    <s v="SUDU3962178"/>
    <n v="20"/>
    <x v="0"/>
    <s v="ADESTE"/>
    <s v="SANTO ANDRE"/>
    <n v="3493"/>
    <s v="BARTOLOMEU DIAS  310S"/>
    <n v="104773"/>
    <m/>
    <s v="CGS0A65"/>
    <s v="CPJ5G64"/>
    <s v="MARCOS PAULO NUNES"/>
    <n v="16239341843"/>
    <s v="01877235038"/>
    <n v="3493"/>
    <s v="SANTOS BRASIL"/>
    <d v="2023-03-20T22:52:00"/>
    <s v="TRANSTEC SANTOS"/>
    <d v="2023-03-21T00:00:00"/>
    <d v="2023-03-21T01:15:00"/>
    <d v="2023-03-21T11:00:00"/>
    <m/>
    <m/>
    <m/>
    <m/>
    <m/>
    <m/>
    <m/>
    <n v="415.74719999999996"/>
    <n v="3464.56"/>
    <x v="2"/>
    <x v="0"/>
    <m/>
    <x v="0"/>
    <s v="SIM"/>
    <s v="SIM"/>
    <s v="SIM"/>
  </r>
  <r>
    <x v="0"/>
    <x v="0"/>
    <d v="2023-03-22T08:00:00"/>
    <s v="MRKU7510669"/>
    <n v="20"/>
    <x v="0"/>
    <s v="ADESTE"/>
    <s v="SANTO ANDRE"/>
    <s v="AAK042IB"/>
    <s v="BARTOLOMEU DIAS  310S"/>
    <n v="104772"/>
    <m/>
    <s v="BHP9483"/>
    <s v="BSF4E26"/>
    <s v="ANACLETO RODRIGUES DE SANTANA"/>
    <s v="01817591878"/>
    <s v="00821760640"/>
    <s v="3495C / 3496"/>
    <s v="SANTOS BRASIL"/>
    <d v="2023-03-22T01:27:00"/>
    <s v="FASSINA SANTOS"/>
    <d v="2023-03-22T14:14:00"/>
    <d v="2023-03-22T03:50:00"/>
    <d v="2023-03-22T11:00:00"/>
    <m/>
    <m/>
    <m/>
    <m/>
    <m/>
    <m/>
    <m/>
    <n v="415.74719999999996"/>
    <n v="3464.56"/>
    <x v="2"/>
    <x v="0"/>
    <m/>
    <x v="0"/>
    <s v="SIM"/>
    <s v="SIM"/>
    <s v="SIM"/>
  </r>
  <r>
    <x v="0"/>
    <x v="1"/>
    <d v="2023-03-27T09:00:00"/>
    <s v="MRKU9618143"/>
    <n v="20"/>
    <x v="0"/>
    <s v="MAXSOY"/>
    <s v="HORTOLANDIA"/>
    <s v="AAK092IB"/>
    <s v="PEDRO ALVARES CABRAL  311S"/>
    <n v="104865"/>
    <m/>
    <s v="FXG5H10"/>
    <s v="DBC3G21"/>
    <s v="ROBERTO CARLOS BEZERRA PIRES"/>
    <s v="27455658850"/>
    <s v="01286008208"/>
    <s v="3497C / 3498"/>
    <s v="SANTOS BRASIL"/>
    <d v="2023-03-26T21:53:00"/>
    <s v="TRANSTEC SANTOS"/>
    <d v="2023-03-28T16:35:00"/>
    <d v="2023-03-27T09:20:00"/>
    <d v="2023-03-27T12:00:00"/>
    <n v="2800"/>
    <m/>
    <m/>
    <m/>
    <m/>
    <m/>
    <m/>
    <n v="501.59999999999997"/>
    <n v="4180"/>
    <x v="2"/>
    <x v="0"/>
    <s v="PNEU FURADO"/>
    <x v="3"/>
    <s v="SIM"/>
    <s v="SIM"/>
    <s v="SIM"/>
  </r>
  <r>
    <x v="0"/>
    <x v="0"/>
    <d v="2023-03-28T08:00:00"/>
    <s v="TCKU6170767"/>
    <n v="40"/>
    <x v="0"/>
    <s v="BR SPICE"/>
    <s v="JANDIRA"/>
    <s v="AAK092GB"/>
    <s v="PEDRO ALVARES CABRAL  311S"/>
    <n v="104904"/>
    <m/>
    <s v="EKH4C25"/>
    <s v="DAO7B51"/>
    <s v="WESLLEY RODRIGO CONSTANCIO DA SILVA"/>
    <s v="27455658850"/>
    <s v="01286008208"/>
    <n v="3506"/>
    <s v="SANTOS BRASIL"/>
    <d v="2023-03-26T22:13:00"/>
    <s v="TRANSTEC SANTOS"/>
    <d v="2023-03-30T16:48:00"/>
    <d v="2023-03-28T07:00:00"/>
    <d v="2023-03-28T10:30:00"/>
    <n v="2300"/>
    <m/>
    <m/>
    <m/>
    <m/>
    <m/>
    <m/>
    <n v="392.15039999999999"/>
    <n v="3267.92"/>
    <x v="2"/>
    <x v="0"/>
    <m/>
    <x v="0"/>
    <s v="SIM"/>
    <s v="SIM"/>
    <s v="SIM"/>
  </r>
  <r>
    <x v="0"/>
    <x v="0"/>
    <d v="2023-03-31T08:00:00"/>
    <s v="GCXU5760713"/>
    <n v="40"/>
    <x v="0"/>
    <s v="AJINOMOTO"/>
    <s v="LIMEIRA"/>
    <s v="AAK092GC"/>
    <s v="PEDRO ALVARES CABRAL  311S"/>
    <n v="104906"/>
    <n v="104907"/>
    <s v="FRG7C59"/>
    <s v="EWJ4J85"/>
    <s v="WILSON FLAVIO ALVES DA SILVA"/>
    <s v="27455658850"/>
    <s v="01286008208"/>
    <n v="3525"/>
    <s v="SANTOS BRASIL"/>
    <d v="2023-03-30T16:16:00"/>
    <s v="TRANSTEC SANTOS"/>
    <d v="2023-03-31T14:17:00"/>
    <d v="2023-03-31T06:55:00"/>
    <d v="2023-03-31T09:15:00"/>
    <m/>
    <n v="565.20000000000005"/>
    <m/>
    <m/>
    <m/>
    <m/>
    <m/>
    <n v="558.28440000000001"/>
    <n v="4652.37"/>
    <x v="2"/>
    <x v="0"/>
    <m/>
    <x v="0"/>
    <s v="SIM"/>
    <s v="SIM"/>
    <s v="SIM"/>
  </r>
  <r>
    <x v="0"/>
    <x v="0"/>
    <d v="2023-03-28T09:00:00"/>
    <s v="SEGU1157040"/>
    <n v="20"/>
    <x v="2"/>
    <s v="SOSAL"/>
    <s v="SBC"/>
    <n v="2725"/>
    <s v="CMA CGM FORT ST GEORGES  015S"/>
    <n v="114642"/>
    <m/>
    <s v="CGS0A65"/>
    <s v="CPJ5G64"/>
    <s v="MARCOS PAULO NUNES"/>
    <n v="16239341843"/>
    <s v="01877235038"/>
    <n v="15494"/>
    <s v="DPW"/>
    <d v="2023-03-28T14:32:00"/>
    <s v="MEDLOG"/>
    <d v="2023-03-28T18:17:00"/>
    <d v="2023-03-28T08:15:00"/>
    <d v="2023-03-28T12:30:00"/>
    <m/>
    <m/>
    <m/>
    <m/>
    <m/>
    <m/>
    <m/>
    <n v="276"/>
    <n v="2300"/>
    <x v="2"/>
    <x v="0"/>
    <m/>
    <x v="0"/>
    <s v="SIM"/>
    <s v="SIM"/>
    <m/>
  </r>
  <r>
    <x v="0"/>
    <x v="0"/>
    <d v="2023-03-28T09:00:00"/>
    <s v="TCLU3055258"/>
    <n v="20"/>
    <x v="2"/>
    <s v="SOSAL"/>
    <s v="SBC"/>
    <n v="2724"/>
    <s v="CMA CGM FORT ST GEORGES  015S"/>
    <n v="114643"/>
    <m/>
    <s v="KBK0D67"/>
    <s v="BSG5I57"/>
    <s v="JOAO BATISTA DOS SANTOS"/>
    <s v="13990937898"/>
    <s v="01825123407"/>
    <n v="15495"/>
    <s v="DPW"/>
    <d v="2023-03-27T23:17:00"/>
    <s v="MEDLOG"/>
    <d v="2023-03-28T11:54:00"/>
    <d v="2023-03-28T01:45:00"/>
    <d v="2023-03-28T10:15:00"/>
    <n v="1600"/>
    <m/>
    <m/>
    <m/>
    <m/>
    <m/>
    <m/>
    <n v="276"/>
    <n v="2300"/>
    <x v="2"/>
    <x v="0"/>
    <m/>
    <x v="0"/>
    <s v="SIM"/>
    <s v="SIM"/>
    <m/>
  </r>
  <r>
    <x v="0"/>
    <x v="0"/>
    <d v="2023-03-28T11:00:00"/>
    <s v="TCLU3466367"/>
    <n v="20"/>
    <x v="2"/>
    <s v="SOSAL"/>
    <s v="SBC"/>
    <n v="2762"/>
    <s v="CMA CGM FORT ST GEORGES  015S"/>
    <n v="69508"/>
    <m/>
    <s v="BHP9483"/>
    <s v="BSF4E26"/>
    <s v="ANACLETO RODRIGUES DE SANTANA"/>
    <s v="01817591878"/>
    <s v="00821760640"/>
    <n v="15493"/>
    <s v="DPW"/>
    <d v="2023-03-27T22:55:00"/>
    <s v="DEPOTCE"/>
    <d v="2023-03-28T15:15:00"/>
    <d v="2023-03-02T01:45:00"/>
    <d v="2023-03-28T10:15:00"/>
    <n v="1600"/>
    <m/>
    <m/>
    <m/>
    <m/>
    <m/>
    <m/>
    <n v="276"/>
    <n v="2300"/>
    <x v="2"/>
    <x v="0"/>
    <m/>
    <x v="0"/>
    <s v="SIM"/>
    <s v="SIM"/>
    <m/>
  </r>
  <r>
    <x v="0"/>
    <x v="0"/>
    <d v="2023-03-29T09:00:00"/>
    <s v="CAIU3412045"/>
    <n v="20"/>
    <x v="2"/>
    <s v="SOSAL"/>
    <s v="SBC"/>
    <n v="2768"/>
    <s v="CMA CGM FORT ST GEORGES  015S"/>
    <n v="63139"/>
    <n v="63142"/>
    <s v="BHP9483"/>
    <s v="BSF4E26"/>
    <s v="ANACLETO RODRIGUES DE SANTANA"/>
    <s v="01817591878"/>
    <s v="00821760640"/>
    <n v="15523"/>
    <s v="DPW"/>
    <d v="2023-03-29T01:19:00"/>
    <s v="MEDLOG"/>
    <d v="2023-03-29T15:19:00"/>
    <d v="2023-03-29T03:40:00"/>
    <d v="2023-03-29T14:00:00"/>
    <n v="1600"/>
    <m/>
    <m/>
    <m/>
    <m/>
    <m/>
    <m/>
    <n v="276"/>
    <n v="2300"/>
    <x v="2"/>
    <x v="0"/>
    <m/>
    <x v="0"/>
    <s v="SIM"/>
    <s v="SIM"/>
    <m/>
  </r>
  <r>
    <x v="0"/>
    <x v="0"/>
    <d v="2023-03-29T09:00:00"/>
    <s v="MSMU1782261"/>
    <n v="20"/>
    <x v="2"/>
    <s v="SOSAL"/>
    <s v="SBC"/>
    <n v="2763"/>
    <s v="CMA CGM FORT ST GEORGES  015S"/>
    <n v="69507"/>
    <m/>
    <s v="FXG5H10"/>
    <s v="DBC3G21"/>
    <s v="ROBERTO CARLOS BEZERRA PIRES"/>
    <s v="27455658850"/>
    <s v="01286008208"/>
    <n v="15519"/>
    <s v="DPW"/>
    <d v="2023-03-28T20:19:00"/>
    <s v="MEDLOG"/>
    <d v="2023-03-29T17:44:00"/>
    <d v="2023-03-28T22:50:00"/>
    <d v="2023-03-29T14:00:00"/>
    <n v="1600"/>
    <m/>
    <m/>
    <m/>
    <m/>
    <m/>
    <m/>
    <n v="276"/>
    <n v="2300"/>
    <x v="2"/>
    <x v="0"/>
    <m/>
    <x v="0"/>
    <s v="SIM"/>
    <s v="SIM"/>
    <m/>
  </r>
  <r>
    <x v="0"/>
    <x v="0"/>
    <d v="2023-03-29T11:00:00"/>
    <s v="TCLU3461880"/>
    <n v="20"/>
    <x v="2"/>
    <s v="SOSAL"/>
    <s v="SBC"/>
    <n v="2769"/>
    <s v="CMA CGM FORT ST GEORGES  015S"/>
    <n v="63143"/>
    <n v="63144"/>
    <s v="CGS0A65"/>
    <s v="CPJ5G64"/>
    <s v="MARCOS PAULO NUNES"/>
    <n v="16239341843"/>
    <s v="01877235038"/>
    <n v="15525"/>
    <s v="DPW"/>
    <d v="2023-03-29T04:25:00"/>
    <s v="DEPOTCE"/>
    <d v="2023-03-29T13:28:00"/>
    <d v="2023-03-29T06:00:00"/>
    <d v="2023-03-29T09:30:00"/>
    <n v="1600"/>
    <m/>
    <m/>
    <m/>
    <m/>
    <m/>
    <m/>
    <n v="276"/>
    <n v="2300"/>
    <x v="2"/>
    <x v="0"/>
    <m/>
    <x v="0"/>
    <s v="SIM"/>
    <s v="SIM"/>
    <m/>
  </r>
  <r>
    <x v="0"/>
    <x v="0"/>
    <d v="2023-03-29T11:00:00"/>
    <s v="FCIU9177851"/>
    <n v="40"/>
    <x v="2"/>
    <s v="SOSAL"/>
    <s v="SBC"/>
    <s v="2764 / 2765"/>
    <s v="CMA CGM FORT ST GEORGES  015S"/>
    <n v="104741"/>
    <m/>
    <s v="BXD2J87"/>
    <s v="ESU7272"/>
    <s v="AGEILSON ANTONIO DA SILVA"/>
    <s v="09085263425"/>
    <s v="04557705505"/>
    <s v="15520 / 15521"/>
    <s v="DPW"/>
    <d v="2023-03-29T05:36:00"/>
    <s v="MEDLOG"/>
    <d v="2023-03-29T11:55:00"/>
    <d v="2023-03-29T07:40:00"/>
    <d v="2023-03-29T10:00:00"/>
    <n v="1600"/>
    <m/>
    <m/>
    <m/>
    <m/>
    <m/>
    <m/>
    <n v="276"/>
    <n v="2300"/>
    <x v="2"/>
    <x v="0"/>
    <m/>
    <x v="0"/>
    <s v="SIM"/>
    <s v="SIM"/>
    <m/>
  </r>
  <r>
    <x v="0"/>
    <x v="0"/>
    <d v="2023-03-29T13:00:00"/>
    <s v="TRHU7049125"/>
    <n v="40"/>
    <x v="2"/>
    <s v="SOSAL"/>
    <s v="SBC"/>
    <n v="2766"/>
    <s v="CMA CGM FORT ST GEORGES  015S"/>
    <n v="104808"/>
    <m/>
    <s v="KBK0D67"/>
    <s v="BSG5I57"/>
    <s v="JOAO BATISTA DOS SANTOS"/>
    <s v="13990937898"/>
    <s v="01825123407"/>
    <n v="15518"/>
    <s v="DPW"/>
    <d v="2023-03-29T00:03:00"/>
    <s v="MEDLOG"/>
    <d v="2023-03-29T13:50:00"/>
    <d v="2023-03-29T03:40:00"/>
    <d v="2023-03-29T09:30:00"/>
    <n v="1600"/>
    <m/>
    <m/>
    <m/>
    <m/>
    <m/>
    <m/>
    <n v="276"/>
    <n v="2300"/>
    <x v="2"/>
    <x v="0"/>
    <m/>
    <x v="0"/>
    <s v="SIM"/>
    <s v="SIM"/>
    <m/>
  </r>
  <r>
    <x v="0"/>
    <x v="0"/>
    <d v="2023-03-29T13:00:00"/>
    <s v="TCLU8703944"/>
    <n v="40"/>
    <x v="2"/>
    <s v="SOSAL"/>
    <s v="SBC"/>
    <n v="2767"/>
    <s v="CMA CGM FORT ST GEORGES  015S"/>
    <n v="104807"/>
    <m/>
    <s v="FRG7C59"/>
    <s v="EWJ4J85"/>
    <s v="WILSON FLAVIO ALVES DA SILVA"/>
    <s v="27455658850"/>
    <s v="01286008208"/>
    <n v="15522"/>
    <s v="DPW"/>
    <d v="2023-03-29T04:29:00"/>
    <s v="MEDLOG"/>
    <d v="2023-03-29T17:21:00"/>
    <d v="2023-03-29T06:15:00"/>
    <d v="2023-03-29T14:00:00"/>
    <n v="1600"/>
    <m/>
    <m/>
    <m/>
    <m/>
    <m/>
    <m/>
    <n v="276"/>
    <n v="2300"/>
    <x v="2"/>
    <x v="0"/>
    <m/>
    <x v="0"/>
    <s v="SIM"/>
    <s v="SIM"/>
    <m/>
  </r>
  <r>
    <x v="0"/>
    <x v="0"/>
    <d v="2023-03-28T08:00:00"/>
    <s v="CAIU3310300"/>
    <n v="20"/>
    <x v="0"/>
    <s v="CHARQUE CAMPEAO"/>
    <s v="SANTANA DE PARNAIBA"/>
    <n v="2651"/>
    <s v="CMA CGM FORT ST GEORGES  015S"/>
    <n v="114520"/>
    <m/>
    <s v="FXG5H10"/>
    <s v="DBC3G21"/>
    <s v="ROBERTO CARLOS BEZERRA PIRES"/>
    <s v="27455658850"/>
    <s v="01286008208"/>
    <n v="3499"/>
    <s v="DPW"/>
    <d v="2023-03-27T21:08:00"/>
    <s v="MEDLOG"/>
    <d v="2023-03-28T14:56:00"/>
    <d v="2023-03-28T01:15:00"/>
    <d v="2023-03-28T10:30:00"/>
    <n v="2300"/>
    <m/>
    <m/>
    <m/>
    <m/>
    <m/>
    <m/>
    <n v="399.62399999999997"/>
    <n v="3330.2"/>
    <x v="2"/>
    <x v="0"/>
    <m/>
    <x v="0"/>
    <s v="SIM"/>
    <s v="SIM"/>
    <s v="SIM"/>
  </r>
  <r>
    <x v="0"/>
    <x v="0"/>
    <d v="2023-03-28T08:00:00"/>
    <s v="TCLU2966178"/>
    <n v="20"/>
    <x v="0"/>
    <s v="MIAN"/>
    <s v="SBC"/>
    <n v="2652"/>
    <s v="CMA CGM FORT ST GEORGES  015S"/>
    <n v="114519"/>
    <m/>
    <s v="CGS0A65"/>
    <s v="CPJ5G64"/>
    <s v="MARCOS PAULO NUNES"/>
    <n v="16239341843"/>
    <s v="01877235038"/>
    <n v="3501"/>
    <s v="DPW"/>
    <d v="2023-03-27T23:17:00"/>
    <s v="MEDLOG"/>
    <d v="2023-03-28T11:44:00"/>
    <d v="2023-03-28T01:45:00"/>
    <d v="2023-03-28T09:00:00"/>
    <n v="1600"/>
    <m/>
    <m/>
    <m/>
    <m/>
    <m/>
    <m/>
    <n v="311.55959999999999"/>
    <n v="2596.33"/>
    <x v="2"/>
    <x v="0"/>
    <m/>
    <x v="0"/>
    <s v="SIM"/>
    <s v="SIM"/>
    <s v="SIM"/>
  </r>
  <r>
    <x v="0"/>
    <x v="0"/>
    <d v="2023-03-28T08:00:00"/>
    <s v="CAIU3405241"/>
    <n v="20"/>
    <x v="0"/>
    <s v="MIAN"/>
    <s v="SBC"/>
    <n v="2657"/>
    <s v="CMA CGM FORT ST GEORGES  015S"/>
    <n v="104861"/>
    <m/>
    <s v="AQM8D39"/>
    <s v="DPF3850"/>
    <s v="REINALDO PAZOTTO"/>
    <s v="27455658850"/>
    <s v="01286008208"/>
    <n v="3502"/>
    <s v="DPW"/>
    <d v="2023-03-28T05:50:00"/>
    <s v="MEDLOG"/>
    <d v="2023-03-29T09:15:00"/>
    <d v="2023-03-28T07:30:00"/>
    <d v="2023-03-28T10:00:00"/>
    <n v="1600"/>
    <m/>
    <m/>
    <m/>
    <m/>
    <m/>
    <m/>
    <n v="311.55959999999999"/>
    <n v="2596.33"/>
    <x v="2"/>
    <x v="0"/>
    <m/>
    <x v="0"/>
    <s v="SIM"/>
    <s v="SIM"/>
    <s v="SIM"/>
  </r>
  <r>
    <x v="0"/>
    <x v="0"/>
    <d v="2023-03-28T08:00:00"/>
    <s v="MSDU1212468"/>
    <n v="20"/>
    <x v="0"/>
    <s v="VILHENA"/>
    <s v="CAJAMAR"/>
    <n v="2655"/>
    <s v="CMA CGM FORT ST GEORGES  015S"/>
    <n v="114581"/>
    <m/>
    <s v="EVO1588"/>
    <s v="KOM3005"/>
    <s v="GILBERTO AMARAL DA SILVA"/>
    <s v="41475455801"/>
    <s v="06144560936"/>
    <n v="3503"/>
    <s v="DPW"/>
    <d v="2023-03-27T22:52:00"/>
    <s v="MEDLOG"/>
    <d v="2023-03-28T16:33:00"/>
    <d v="2023-03-28T02:00:00"/>
    <d v="2023-03-28T14:00:00"/>
    <n v="2350"/>
    <m/>
    <m/>
    <n v="600"/>
    <m/>
    <m/>
    <m/>
    <n v="529.16279999999995"/>
    <n v="4409.6899999999996"/>
    <x v="2"/>
    <x v="0"/>
    <m/>
    <x v="0"/>
    <s v="SIM"/>
    <s v="SIM"/>
    <s v="SIM"/>
  </r>
  <r>
    <x v="0"/>
    <x v="1"/>
    <d v="2023-03-28T08:00:00"/>
    <s v="MSMU1696245"/>
    <n v="20"/>
    <x v="0"/>
    <s v="VILHETO"/>
    <s v="BARUERI"/>
    <n v="2656"/>
    <s v="CMA CGM FORT ST GEORGES  015S"/>
    <n v="114580"/>
    <m/>
    <s v="DFT0E47"/>
    <s v="BXA0I63"/>
    <s v="ALMIR CARDOSO DOS SANTOS"/>
    <s v="09776430856"/>
    <s v="01258979905"/>
    <n v="3507"/>
    <s v="DPW"/>
    <d v="2023-03-28T05:27:00"/>
    <s v="MEDLOG"/>
    <d v="2023-03-28T16:36:00"/>
    <d v="2023-03-28T08:20:00"/>
    <d v="2023-03-28T10:55:00"/>
    <n v="2200"/>
    <m/>
    <m/>
    <m/>
    <m/>
    <m/>
    <m/>
    <n v="510.26519999999999"/>
    <n v="4252.21"/>
    <x v="2"/>
    <x v="0"/>
    <s v="Entrega cheio Suzano as 5hr"/>
    <x v="5"/>
    <s v="SIM"/>
    <s v="SIM"/>
    <s v="SIM"/>
  </r>
  <r>
    <x v="0"/>
    <x v="0"/>
    <d v="2023-03-28T08:00:00"/>
    <s v="CAIU2913654"/>
    <n v="20"/>
    <x v="0"/>
    <s v="NEW MAX"/>
    <s v="AMERICANA"/>
    <n v="2654"/>
    <s v="CMA CGM FORT ST GEORGES  015S"/>
    <n v="104769"/>
    <m/>
    <s v="EPU5990"/>
    <s v="BSG1D88"/>
    <s v="LEANDRO SOARES CAETANO"/>
    <s v="10485530864"/>
    <s v="02033192841"/>
    <n v="3504"/>
    <s v="DPW"/>
    <d v="2023-03-27T21:59:00"/>
    <s v="MEDLOG"/>
    <d v="2023-03-28T15:34:00"/>
    <d v="2023-03-28T02:05:00"/>
    <d v="2023-03-28T10:00:00"/>
    <n v="3200"/>
    <m/>
    <m/>
    <m/>
    <m/>
    <m/>
    <m/>
    <n v="571.48680000000002"/>
    <n v="4762.3900000000003"/>
    <x v="2"/>
    <x v="0"/>
    <m/>
    <x v="0"/>
    <s v="SIM"/>
    <s v="SIM"/>
    <s v="SIM"/>
  </r>
  <r>
    <x v="0"/>
    <x v="0"/>
    <d v="2023-03-28T08:00:00"/>
    <s v="CAIU3108346"/>
    <n v="20"/>
    <x v="0"/>
    <s v="NEW MAX"/>
    <s v="AMERICANA"/>
    <n v="2653"/>
    <s v="CMA CGM FORT ST GEORGES  015S"/>
    <n v="104768"/>
    <m/>
    <s v="DPC8I64"/>
    <s v="BWF7F77"/>
    <s v="ANTONIO CARLOS DA SILVA JUNIOR"/>
    <n v="12126370895"/>
    <s v="02988821539"/>
    <n v="3505"/>
    <s v="DPW"/>
    <d v="2023-03-27T23:04:00"/>
    <s v="MEDLOG"/>
    <d v="2023-03-28T16:59:00"/>
    <d v="2023-03-28T07:30:00"/>
    <d v="2023-03-28T10:30:00"/>
    <n v="3200"/>
    <m/>
    <m/>
    <m/>
    <m/>
    <m/>
    <m/>
    <n v="571.48680000000002"/>
    <n v="4762.3900000000003"/>
    <x v="2"/>
    <x v="0"/>
    <m/>
    <x v="0"/>
    <s v="SIM"/>
    <s v="SIM"/>
    <s v="SIM"/>
  </r>
  <r>
    <x v="0"/>
    <x v="1"/>
    <d v="2023-03-28T08:00:00"/>
    <s v="CAIU3377659"/>
    <n v="20"/>
    <x v="0"/>
    <s v="MOINHO ROMANIZ"/>
    <s v="ITAQUERA"/>
    <n v="2658"/>
    <s v="CMA CGM FORT ST GEORGES  015S"/>
    <n v="104860"/>
    <m/>
    <s v="FEI9J41"/>
    <s v="DAH4J89"/>
    <s v="JOAO EUDES CORDEIRO DA SILVA"/>
    <s v="13990937898"/>
    <s v="01825123407"/>
    <n v="3511"/>
    <s v="DPW"/>
    <d v="2023-03-28T06:41:00"/>
    <s v="MEDLOG"/>
    <d v="2023-03-28T17:37:00"/>
    <d v="2023-03-28T09:30:00"/>
    <d v="2023-03-28T14:00:00"/>
    <n v="2000"/>
    <m/>
    <m/>
    <m/>
    <m/>
    <m/>
    <m/>
    <n v="355.75439999999998"/>
    <n v="2964.62"/>
    <x v="2"/>
    <x v="0"/>
    <m/>
    <x v="0"/>
    <s v="SIM"/>
    <s v="SIM"/>
    <s v="SIM"/>
  </r>
  <r>
    <x v="0"/>
    <x v="0"/>
    <d v="2023-03-28T08:00:00"/>
    <s v="TCLU8702779"/>
    <n v="40"/>
    <x v="0"/>
    <s v="JBS"/>
    <s v="SANTANA PARNAIBA"/>
    <n v="2665"/>
    <s v="CMA CGM FORT ST GEORGES  015S"/>
    <n v="114575"/>
    <m/>
    <s v="FFI9G97"/>
    <s v="GGR0B93"/>
    <s v="SERGIO RICARDO DE OLIVEIRA VIOLA"/>
    <s v="27455658850"/>
    <s v="01286008208"/>
    <n v="3508"/>
    <s v="DPW"/>
    <d v="2023-03-27T22:35:00"/>
    <s v="MEDLOG"/>
    <d v="2023-03-28T16:05:00"/>
    <d v="2023-03-28T07:00:00"/>
    <d v="2023-03-28T14:00:00"/>
    <n v="2300"/>
    <m/>
    <m/>
    <m/>
    <m/>
    <m/>
    <m/>
    <n v="399.62399999999997"/>
    <n v="3330.2"/>
    <x v="2"/>
    <x v="0"/>
    <m/>
    <x v="0"/>
    <s v="SIM"/>
    <s v="SIM"/>
    <s v="SIM"/>
  </r>
  <r>
    <x v="0"/>
    <x v="1"/>
    <d v="2023-03-28T08:00:00"/>
    <s v="TCLU5011813"/>
    <n v="40"/>
    <x v="0"/>
    <s v="DOREMUS"/>
    <s v="GUARULHOS"/>
    <n v="2662"/>
    <s v="CMA CGM FORT ST GEORGES  015S"/>
    <n v="104743"/>
    <m/>
    <s v="FJP8E41"/>
    <s v="DKU7A83"/>
    <s v="GEDIVALDO DA SILVA MOREIRA"/>
    <s v="41475455801"/>
    <s v="06144560936"/>
    <n v="3509"/>
    <s v="DPW"/>
    <d v="2023-03-28T01:19:00"/>
    <s v="DEPOTCE"/>
    <d v="2023-03-28T14:55:00"/>
    <d v="2023-03-28T09:10:00"/>
    <d v="2023-03-28T14:00:00"/>
    <n v="2100"/>
    <m/>
    <m/>
    <m/>
    <m/>
    <m/>
    <m/>
    <n v="370.37759999999997"/>
    <n v="3086.48"/>
    <x v="2"/>
    <x v="0"/>
    <m/>
    <x v="0"/>
    <s v="SIM"/>
    <s v="SIM"/>
    <s v="SIM"/>
  </r>
  <r>
    <x v="0"/>
    <x v="1"/>
    <d v="2023-03-28T08:00:00"/>
    <s v="GLDU7712672"/>
    <n v="40"/>
    <x v="0"/>
    <s v="DOREMUS"/>
    <s v="GUARULHOS"/>
    <n v="2660"/>
    <s v="CMA CGM FORT ST GEORGES  015S"/>
    <n v="104742"/>
    <m/>
    <s v="FHE5D22"/>
    <s v="GIW3495"/>
    <s v="MARCIO OLIVEIRA FIDELIS"/>
    <s v="04027359607"/>
    <s v="01101627970"/>
    <n v="3510"/>
    <s v="DPW"/>
    <d v="2023-03-27T23:43:00"/>
    <s v="DEPOTCE"/>
    <d v="2023-03-28T14:56:00"/>
    <d v="2023-03-28T09:10:00"/>
    <d v="2023-03-28T14:00:00"/>
    <n v="2100"/>
    <m/>
    <m/>
    <m/>
    <m/>
    <m/>
    <m/>
    <n v="370.37759999999997"/>
    <n v="3086.48"/>
    <x v="2"/>
    <x v="0"/>
    <m/>
    <x v="0"/>
    <s v="SIM"/>
    <s v="SIM"/>
    <s v="SIM"/>
  </r>
  <r>
    <x v="0"/>
    <x v="1"/>
    <d v="2023-03-28T08:00:00"/>
    <s v="TCNU7748134"/>
    <n v="40"/>
    <x v="0"/>
    <s v="IBRAC"/>
    <s v="RIO CLARO"/>
    <n v="2664"/>
    <s v="CMA CGM FORT ST GEORGES  015S"/>
    <n v="104771"/>
    <m/>
    <s v="DDL8B54"/>
    <s v="FEI4012"/>
    <s v="WILTON SILVA BARBOSA"/>
    <s v="27455658850"/>
    <s v="01286008208"/>
    <n v="3500"/>
    <s v="DPW"/>
    <d v="2023-03-28T01:33:00"/>
    <s v="DEPOTCE"/>
    <d v="2023-03-28T15:54:00"/>
    <d v="2023-03-28T08:10:00"/>
    <d v="2023-03-28T14:00:00"/>
    <m/>
    <n v="635.4"/>
    <m/>
    <m/>
    <m/>
    <m/>
    <m/>
    <n v="641.71680000000003"/>
    <n v="5347.64"/>
    <x v="2"/>
    <x v="0"/>
    <m/>
    <x v="2"/>
    <s v="SIM"/>
    <s v="SIM"/>
    <s v="SIM"/>
  </r>
  <r>
    <x v="0"/>
    <x v="0"/>
    <d v="2023-03-29T08:00:00"/>
    <s v="MEDU8884174"/>
    <n v="40"/>
    <x v="0"/>
    <s v="DOREMUS"/>
    <s v="GUARULHOS"/>
    <m/>
    <s v="CMA CGM FORT ST GEORGES  015S"/>
    <n v="104770"/>
    <m/>
    <s v="EFU6A89"/>
    <s v="CYB6H56"/>
    <s v="GUSTAVO ANTONIO CAVALCANTE"/>
    <s v="28386357860"/>
    <s v="01042201192"/>
    <n v="3513"/>
    <s v="DPW"/>
    <d v="2023-03-29T01:54:00"/>
    <s v="MEDLOG"/>
    <d v="2023-03-29T14:13:00"/>
    <d v="2023-03-29T05:00:00"/>
    <d v="2023-03-29T10:30:00"/>
    <n v="2100"/>
    <m/>
    <m/>
    <m/>
    <m/>
    <m/>
    <m/>
    <n v="370.37759999999997"/>
    <n v="3086.48"/>
    <x v="2"/>
    <x v="0"/>
    <m/>
    <x v="0"/>
    <s v="SIM"/>
    <s v="SIM"/>
    <s v="SIM"/>
  </r>
  <r>
    <x v="0"/>
    <x v="0"/>
    <d v="2023-03-29T08:00:00"/>
    <s v="TCNU8696713"/>
    <n v="40"/>
    <x v="0"/>
    <s v="DOREMUS"/>
    <s v="GUARULHOS"/>
    <n v="2666"/>
    <s v="CMA CGM FORT ST GEORGES  015S"/>
    <n v="104858"/>
    <m/>
    <s v="DDL8B54"/>
    <s v="FEI4012"/>
    <s v="WILTON SILVA BARBOSA"/>
    <s v="27455658850"/>
    <s v="01286008208"/>
    <n v="3512"/>
    <s v="DPW"/>
    <d v="2023-03-29T02:50:00"/>
    <s v="DEPOTCE"/>
    <d v="2023-03-29T14:33:00"/>
    <d v="2023-03-29T05:00:00"/>
    <d v="2023-03-29T10:30:00"/>
    <n v="1858.2"/>
    <n v="241.8"/>
    <m/>
    <m/>
    <m/>
    <m/>
    <m/>
    <n v="370.37759999999997"/>
    <n v="3086.48"/>
    <x v="2"/>
    <x v="0"/>
    <m/>
    <x v="0"/>
    <s v="SIM"/>
    <s v="SIM"/>
    <s v="SIM"/>
  </r>
  <r>
    <x v="0"/>
    <x v="0"/>
    <d v="2023-03-30T08:00:00"/>
    <s v="CAIU8811428"/>
    <n v="40"/>
    <x v="0"/>
    <s v="JBS"/>
    <s v="SANTANA PARNAIBA"/>
    <n v="2659"/>
    <s v="CMA CGM FORT ST GEORGES  015S"/>
    <n v="114506"/>
    <m/>
    <s v="DVS9G77"/>
    <s v="DPE7C55"/>
    <s v="FABIO COSTA DA SILVA"/>
    <s v="00097734527"/>
    <s v="03148346870"/>
    <n v="3516"/>
    <s v="DPW"/>
    <d v="2023-03-30T00:16:00"/>
    <s v="MEDLOG"/>
    <d v="2023-03-30T14:32:00"/>
    <d v="2023-03-30T03:40:00"/>
    <d v="2023-03-30T14:00:00"/>
    <n v="2300"/>
    <m/>
    <m/>
    <m/>
    <m/>
    <m/>
    <m/>
    <n v="399.62399999999997"/>
    <n v="3330.2"/>
    <x v="2"/>
    <x v="0"/>
    <m/>
    <x v="0"/>
    <s v="SIM"/>
    <s v="SIM"/>
    <s v="SIM"/>
  </r>
  <r>
    <x v="0"/>
    <x v="0"/>
    <d v="2023-03-30T08:00:00"/>
    <s v="TEMU7892141"/>
    <n v="40"/>
    <x v="0"/>
    <s v="JBS"/>
    <s v="SANTANA PARNAIBA"/>
    <n v="2661"/>
    <s v="CMA CGM FORT ST GEORGES  015S"/>
    <n v="114521"/>
    <m/>
    <s v="DTB9J13"/>
    <s v="CPJ3G59"/>
    <s v="JOSE EDNILSON DOS SANTOS"/>
    <n v="88265951434"/>
    <s v="00920373596"/>
    <n v="3517"/>
    <s v="DPW"/>
    <d v="2023-03-30T04:30:00"/>
    <s v="MEDLOG"/>
    <d v="2023-03-30T18:52:00"/>
    <d v="2023-03-30T08:00:00"/>
    <d v="2023-03-30T14:00:00"/>
    <n v="2300"/>
    <m/>
    <m/>
    <m/>
    <m/>
    <m/>
    <m/>
    <n v="399.62399999999997"/>
    <n v="3330.2"/>
    <x v="2"/>
    <x v="0"/>
    <m/>
    <x v="0"/>
    <s v="SIM"/>
    <s v="SIM"/>
    <s v="SIM"/>
  </r>
  <r>
    <x v="0"/>
    <x v="0"/>
    <d v="2023-03-30T08:00:00"/>
    <s v="SEGU1255319"/>
    <n v="20"/>
    <x v="0"/>
    <s v="PENINA"/>
    <s v="VL INDEPENDENTE"/>
    <n v="2999"/>
    <s v="LOGIN JACARANDA  151S"/>
    <n v="104957"/>
    <m/>
    <s v="FXG5H10"/>
    <s v="DBC3G21"/>
    <s v="ROBERTO CARLOS BEZERRA PIRES"/>
    <s v="27455658850"/>
    <s v="01286008208"/>
    <n v="3514"/>
    <s v="DPW"/>
    <d v="2023-03-29T21:23:00"/>
    <s v="MEDLOG"/>
    <d v="2023-03-30T14:07:00"/>
    <d v="2023-03-30T00:15:00"/>
    <d v="2023-03-30T10:15:00"/>
    <n v="2000"/>
    <m/>
    <m/>
    <n v="700"/>
    <m/>
    <m/>
    <m/>
    <n v="447.91919999999999"/>
    <n v="3732.66"/>
    <x v="2"/>
    <x v="0"/>
    <m/>
    <x v="0"/>
    <s v="SIM"/>
    <s v="SIM"/>
    <s v="SIM"/>
  </r>
  <r>
    <x v="0"/>
    <x v="0"/>
    <d v="2023-03-30T08:00:00"/>
    <s v="SEGU1154479"/>
    <n v="20"/>
    <x v="1"/>
    <s v="MIAN"/>
    <s v="SBC"/>
    <n v="3131"/>
    <s v="LOGIN JACARANDA  151S"/>
    <n v="105110"/>
    <m/>
    <s v="CGS0A65"/>
    <s v="CPJ5G64"/>
    <s v="MARCOS PAULO NUNES"/>
    <n v="16239341843"/>
    <s v="01877235038"/>
    <n v="3515"/>
    <s v="DPW"/>
    <d v="2023-03-29T23:11:00"/>
    <s v="MEDLOG"/>
    <d v="2023-03-30T13:28:00"/>
    <d v="2023-03-30T01:00:00"/>
    <d v="2023-03-30T10:15:00"/>
    <m/>
    <m/>
    <m/>
    <m/>
    <m/>
    <m/>
    <m/>
    <n v="311.55959999999999"/>
    <n v="2596.33"/>
    <x v="2"/>
    <x v="0"/>
    <m/>
    <x v="0"/>
    <s v="SIM"/>
    <s v="SIM"/>
    <s v="SIM"/>
  </r>
  <r>
    <x v="0"/>
    <x v="1"/>
    <d v="2023-03-30T00:00:00"/>
    <s v="MSDU2071174"/>
    <n v="20"/>
    <x v="2"/>
    <s v="SOSAL"/>
    <s v="SBC"/>
    <n v="3052"/>
    <s v="LOGIN JACARANDA  151S"/>
    <n v="69705"/>
    <m/>
    <s v="BHP9483"/>
    <s v="BSF4E26"/>
    <s v="ANACLETO RODRIGUES DE SANTANA"/>
    <s v="01817591878"/>
    <s v="00821760640"/>
    <n v="15540"/>
    <s v="DPW"/>
    <d v="2023-03-30T00:11:00"/>
    <s v="MEDLOG"/>
    <d v="2023-03-30T14:14:00"/>
    <d v="2023-03-30T02:45:00"/>
    <d v="2023-03-30T09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30T11:00:00"/>
    <s v="SEGU1152563"/>
    <n v="20"/>
    <x v="2"/>
    <s v="SOSAL"/>
    <s v="SBC"/>
    <n v="3111"/>
    <s v="LOGIN JACARANDA  151S"/>
    <n v="105108"/>
    <m/>
    <s v="KBK0D67"/>
    <s v="CPN9"/>
    <s v="JOAO BATISTA DOS SANTOS"/>
    <s v="13990937898"/>
    <s v="01825123407"/>
    <n v="15541"/>
    <s v="DPW"/>
    <d v="2023-03-29T22:48:00"/>
    <s v="MEDLOG"/>
    <d v="2023-03-30T14:29:00"/>
    <d v="2023-03-30T01:00:00"/>
    <d v="2023-03-30T09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31T08:00:00"/>
    <s v="CAIU3020888"/>
    <n v="20"/>
    <x v="0"/>
    <s v="CHARQUE CAMPEAO"/>
    <s v="SANTANA PARNAÍBA"/>
    <n v="3099"/>
    <s v="LOGIN JACARANDA  151S"/>
    <n v="114951"/>
    <m/>
    <s v="FXG5H10"/>
    <s v="DBC3G21"/>
    <s v="ROBERTO CARLOS BEZERRA PIRES"/>
    <s v="27455658850"/>
    <s v="01286008208"/>
    <n v="3523"/>
    <s v="DPW"/>
    <d v="2023-03-30T22:26:00"/>
    <s v="MEDLOG"/>
    <d v="2023-03-31T15:15:00"/>
    <d v="2023-03-31T02:30:00"/>
    <d v="2023-03-31T11:20:00"/>
    <n v="2300"/>
    <m/>
    <m/>
    <m/>
    <m/>
    <m/>
    <m/>
    <n v="399.62399999999997"/>
    <n v="3330.2"/>
    <x v="2"/>
    <x v="0"/>
    <m/>
    <x v="0"/>
    <s v="SIM"/>
    <s v="SIM"/>
    <s v="SIM"/>
  </r>
  <r>
    <x v="0"/>
    <x v="1"/>
    <d v="2023-03-31T08:00:00"/>
    <s v="TCNU7446556"/>
    <n v="40"/>
    <x v="0"/>
    <s v="DOREMUS"/>
    <s v="GUARULHOS"/>
    <n v="3003"/>
    <s v="LOGIN JACARANDA  151S"/>
    <n v="104989"/>
    <m/>
    <s v="FSI0I03"/>
    <s v="DPB9G64"/>
    <s v="EMERSON PEREIRA DA SILVA"/>
    <s v="09803034863"/>
    <s v="01484565209"/>
    <n v="3524"/>
    <s v="DPW"/>
    <d v="2023-03-31T06:20:00"/>
    <s v="DEPOTCE"/>
    <d v="2023-03-31T14:47:00"/>
    <d v="2023-03-31T09:30:00"/>
    <d v="2023-03-31T13:20:00"/>
    <n v="2100"/>
    <m/>
    <m/>
    <m/>
    <m/>
    <m/>
    <m/>
    <n v="370.37759999999997"/>
    <n v="3086.48"/>
    <x v="2"/>
    <x v="0"/>
    <m/>
    <x v="0"/>
    <s v="SIM"/>
    <s v="SIM"/>
    <s v="SIM"/>
  </r>
  <r>
    <x v="0"/>
    <x v="0"/>
    <d v="2023-03-31T08:00:00"/>
    <s v="TCLU3043149"/>
    <n v="20"/>
    <x v="0"/>
    <s v="NEW MAX"/>
    <s v="AMERICANA"/>
    <n v="3001"/>
    <s v="LOGIN JACARANDA  151S"/>
    <n v="104968"/>
    <m/>
    <s v="BED0J40"/>
    <s v="MFJ3290"/>
    <s v="JOAB FELICIANO DOS VALES"/>
    <n v="16955497839"/>
    <s v="03177639496"/>
    <n v="3518"/>
    <s v="DPW"/>
    <d v="2023-03-31T01:14:00"/>
    <s v="MEDLOG"/>
    <d v="2023-03-31T13:55:00"/>
    <d v="2023-03-31T05:00:00"/>
    <d v="2023-03-31T08:30:00"/>
    <n v="3200"/>
    <m/>
    <m/>
    <m/>
    <m/>
    <m/>
    <m/>
    <n v="571.48680000000002"/>
    <n v="4762.3900000000003"/>
    <x v="2"/>
    <x v="0"/>
    <m/>
    <x v="0"/>
    <s v="SIM"/>
    <s v="SIM"/>
    <s v="SIM"/>
  </r>
  <r>
    <x v="0"/>
    <x v="0"/>
    <d v="2023-03-31T08:00:00"/>
    <s v="SEGU1062881"/>
    <n v="20"/>
    <x v="0"/>
    <s v="NEW MAX"/>
    <s v="AMERICANA"/>
    <n v="3002"/>
    <s v="LOGIN JACARANDA  151S"/>
    <n v="104967"/>
    <m/>
    <s v="EPU5990"/>
    <s v="BSG1D88"/>
    <s v="LEANDRO SOARES CAETANO"/>
    <s v="10485530864"/>
    <s v="02033192841"/>
    <n v="3519"/>
    <s v="DPW"/>
    <d v="2023-03-30T20:00:00"/>
    <s v="MEDLOG"/>
    <d v="2023-03-31T17:05:00"/>
    <d v="2023-03-31T04:00:00"/>
    <d v="2023-03-31T08:50:00"/>
    <n v="3200"/>
    <m/>
    <m/>
    <m/>
    <m/>
    <m/>
    <m/>
    <n v="571.48680000000002"/>
    <n v="4762.3900000000003"/>
    <x v="2"/>
    <x v="0"/>
    <m/>
    <x v="0"/>
    <s v="SIM"/>
    <s v="SIM"/>
    <s v="SIM"/>
  </r>
  <r>
    <x v="0"/>
    <x v="1"/>
    <d v="2023-03-31T08:00:00"/>
    <s v="SEGU1149512"/>
    <n v="20"/>
    <x v="0"/>
    <s v="NEW MAX"/>
    <s v="AMERICANA"/>
    <n v="3000"/>
    <s v="LOGIN JACARANDA  151S"/>
    <n v="104958"/>
    <m/>
    <s v="FNE1C53"/>
    <s v="BXF6124"/>
    <s v="LUCAS TEIXEIRA COSTA"/>
    <s v="10485530864"/>
    <s v="02033192841"/>
    <n v="3520"/>
    <s v="DPW"/>
    <d v="2023-03-31T01:08:00"/>
    <s v="MEDLOG"/>
    <d v="2023-03-31T17:11:00"/>
    <d v="2023-03-31T08:20:00"/>
    <d v="2023-03-31T13:00:00"/>
    <n v="3200"/>
    <m/>
    <m/>
    <m/>
    <m/>
    <m/>
    <m/>
    <n v="571.48680000000002"/>
    <n v="4762.3900000000003"/>
    <x v="2"/>
    <x v="0"/>
    <s v="PAROU PARA DORMIR"/>
    <x v="1"/>
    <s v="SIM"/>
    <s v="SIM"/>
    <s v="SIM"/>
  </r>
  <r>
    <x v="0"/>
    <x v="0"/>
    <d v="2023-03-31T08:00:00"/>
    <s v="CAIU3159791"/>
    <n v="20"/>
    <x v="0"/>
    <s v="KERRY"/>
    <s v="COTIA"/>
    <n v="3098"/>
    <s v="LOGIN JACARANDA  151S"/>
    <n v="105081"/>
    <n v="105082"/>
    <s v="BYA0806"/>
    <s v="BWN2701"/>
    <s v="MIGUEL ARNOLD"/>
    <s v="10838670830"/>
    <s v="01808675938"/>
    <n v="3521"/>
    <s v="DPW"/>
    <d v="2023-03-31T00:26:00"/>
    <s v="MEDLOG"/>
    <d v="2023-03-31T14:50:00"/>
    <d v="2023-03-31T04:00:00"/>
    <d v="2023-03-31T13:00:00"/>
    <n v="2200"/>
    <m/>
    <m/>
    <n v="600"/>
    <m/>
    <m/>
    <m/>
    <n v="473.5104"/>
    <n v="3945.92"/>
    <x v="2"/>
    <x v="0"/>
    <m/>
    <x v="0"/>
    <s v="SIM"/>
    <s v="SIM"/>
    <s v="SIM"/>
  </r>
  <r>
    <x v="0"/>
    <x v="0"/>
    <d v="2023-03-31T08:00:00"/>
    <s v="SEGU1084685"/>
    <n v="20"/>
    <x v="1"/>
    <s v="MIAN"/>
    <s v="SBC"/>
    <n v="3097"/>
    <s v="LOGIN JACARANDA  151S"/>
    <n v="185083"/>
    <m/>
    <s v="CGS0A65"/>
    <s v="CPJ5G64"/>
    <s v="MARCOS PAULO NUNES"/>
    <n v="16239341843"/>
    <s v="01877235038"/>
    <n v="3522"/>
    <s v="DPW"/>
    <d v="2023-03-31T00:48:00"/>
    <s v="MEDLOG"/>
    <d v="2023-03-31T12:10:00"/>
    <d v="2023-03-31T04:20:00"/>
    <d v="2023-03-31T09:20:00"/>
    <n v="1600"/>
    <m/>
    <m/>
    <m/>
    <m/>
    <m/>
    <m/>
    <n v="311.55959999999999"/>
    <n v="2596.33"/>
    <x v="2"/>
    <x v="0"/>
    <m/>
    <x v="0"/>
    <s v="SIM"/>
    <s v="SIM"/>
    <s v="SIM"/>
  </r>
  <r>
    <x v="0"/>
    <x v="0"/>
    <d v="2023-03-31T09:00:00"/>
    <s v="CAIU3307604"/>
    <n v="20"/>
    <x v="2"/>
    <s v="SOSAL"/>
    <s v="SBC"/>
    <n v="3057"/>
    <s v="LOGIN JACARANDA  151S"/>
    <n v="114884"/>
    <m/>
    <s v="BHP9483"/>
    <s v="BSF4E26"/>
    <s v="ANACLETO RODRIGUES DE SANTANA"/>
    <s v="01817591878"/>
    <s v="00821760640"/>
    <n v="15554"/>
    <s v="DPW"/>
    <d v="2023-03-31T01:27:00"/>
    <s v="MEDLOG"/>
    <d v="2023-03-31T14:28:00"/>
    <d v="2023-03-31T04:30:00"/>
    <d v="2023-03-31T11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3-31T09:00:00"/>
    <s v="CAIU3020548"/>
    <n v="20"/>
    <x v="2"/>
    <s v="SOSAL"/>
    <s v="SBC"/>
    <n v="3058"/>
    <s v="LOGIN JACARANDA  151S"/>
    <n v="114885"/>
    <m/>
    <s v="KBK0D67"/>
    <s v="BSG5I57"/>
    <s v="JOAO BATISTA DOS SANTOS"/>
    <s v="13990937898"/>
    <s v="01825123407"/>
    <n v="15555"/>
    <s v="DPW"/>
    <d v="2023-03-31T00:57:00"/>
    <s v="MEDLOG"/>
    <d v="2023-03-31T14:12:00"/>
    <d v="2023-03-31T04:20:00"/>
    <d v="2023-03-31T11:00:00"/>
    <n v="1600"/>
    <m/>
    <m/>
    <m/>
    <m/>
    <m/>
    <m/>
    <n v="276"/>
    <n v="2300"/>
    <x v="2"/>
    <x v="0"/>
    <m/>
    <x v="0"/>
    <s v="SIM"/>
    <s v="SIM"/>
    <s v="SIM"/>
  </r>
  <r>
    <x v="0"/>
    <x v="0"/>
    <d v="2023-04-03T08:00:00"/>
    <s v="TCLU8697287"/>
    <n v="40"/>
    <x v="0"/>
    <s v="BUNGE"/>
    <s v="SANTOS"/>
    <n v="3007"/>
    <s v="LOGIN JACARANDA  151S"/>
    <n v="105080"/>
    <m/>
    <s v="FGD8G49"/>
    <s v="FUJ0D24"/>
    <s v="GILVAN LAURENTINO DA SILVA"/>
    <s v="92693377404"/>
    <s v="02954783990"/>
    <n v="3527"/>
    <s v="DPW"/>
    <d v="2023-04-03T06:10:00"/>
    <s v="MEDLOG"/>
    <s v="03/04/023 14:09"/>
    <d v="2023-04-03T07:40:00"/>
    <d v="2023-04-03T11:30:00"/>
    <m/>
    <m/>
    <m/>
    <m/>
    <m/>
    <m/>
    <m/>
    <n v="234"/>
    <n v="1950"/>
    <x v="3"/>
    <x v="0"/>
    <m/>
    <x v="0"/>
    <s v="SIM"/>
    <s v="SIM"/>
    <s v="SIM"/>
  </r>
  <r>
    <x v="0"/>
    <x v="1"/>
    <d v="2023-04-03T08:00:00"/>
    <s v="FFAU1702133"/>
    <n v="40"/>
    <x v="0"/>
    <s v="IBRAC"/>
    <s v="RIO CLARO"/>
    <n v="3005"/>
    <s v="LOGIN JACARANDA  151S"/>
    <n v="105070"/>
    <m/>
    <s v="FQE9I91"/>
    <s v="DPB9G64"/>
    <s v="MARCO ANTONIO LOBATO CASTILHO"/>
    <s v="05753633803"/>
    <s v="01922497849"/>
    <n v="3526"/>
    <s v="DPW"/>
    <d v="2023-04-03T01:19:00"/>
    <s v="MEDLOG"/>
    <d v="2023-04-03T19:42:00"/>
    <d v="2023-04-03T08:15:00"/>
    <d v="2023-04-03T14:15:00"/>
    <m/>
    <m/>
    <m/>
    <m/>
    <m/>
    <m/>
    <m/>
    <n v="641.71680000000003"/>
    <n v="5347.64"/>
    <x v="3"/>
    <x v="0"/>
    <s v="AGENDAMENTO DE ENTREGA UNIPAR"/>
    <x v="5"/>
    <s v="SIM"/>
    <s v="SIM"/>
    <s v="SIM"/>
  </r>
  <r>
    <x v="0"/>
    <x v="0"/>
    <d v="2023-04-03T08:00:00"/>
    <s v="CAIU3154830"/>
    <n v="20"/>
    <x v="0"/>
    <s v="MOINHO ROMANIZ"/>
    <s v="ITAQUERA"/>
    <n v="3100"/>
    <s v="LOGIN JACARANDA  151S"/>
    <n v="105105"/>
    <n v="105106"/>
    <s v="CUA6D73"/>
    <s v="DAH4J89"/>
    <s v="JOSE RICARDO ARAUJO DA SILVA"/>
    <s v="04859371828"/>
    <s v="02957983561"/>
    <n v="3528"/>
    <s v="DPW"/>
    <d v="2023-04-03T03:03:00"/>
    <s v="MEDLOG"/>
    <d v="2023-04-03T16:45:00"/>
    <d v="2023-04-03T05:40:00"/>
    <s v="03/04/023 10:50"/>
    <n v="2000"/>
    <m/>
    <m/>
    <m/>
    <m/>
    <m/>
    <m/>
    <n v="355.75439999999998"/>
    <n v="2964.62"/>
    <x v="3"/>
    <x v="0"/>
    <m/>
    <x v="0"/>
    <s v="SIM"/>
    <s v="SIM"/>
    <s v="SIM"/>
  </r>
  <r>
    <x v="0"/>
    <x v="0"/>
    <d v="2023-04-03T09:00:00"/>
    <s v="TCLU3055746"/>
    <n v="20"/>
    <x v="2"/>
    <s v="SOSAL"/>
    <s v="SBC"/>
    <n v="3050"/>
    <s v="LOGIN JACARANDA  151S"/>
    <n v="69675"/>
    <m/>
    <s v="BHP9483"/>
    <s v="BSF4E26"/>
    <s v="ANACLETO RODRIGUES DE SANTANA"/>
    <s v="01817591878"/>
    <s v="00821760640"/>
    <n v="15560"/>
    <s v="DPW"/>
    <d v="2023-04-02T23:56:00"/>
    <s v="MEDLOG"/>
    <d v="2023-04-03T15:25:00"/>
    <d v="2023-04-03T02:30:00"/>
    <d v="2023-04-03T10:15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03T09:00:00"/>
    <s v="CAIU3399637"/>
    <n v="20"/>
    <x v="2"/>
    <s v="SOSAL"/>
    <s v="SBC"/>
    <n v="3110"/>
    <s v="LOGIN JACARANDA  151S"/>
    <n v="105107"/>
    <m/>
    <s v="KBK0D67"/>
    <s v="BSG5I57"/>
    <s v="JOAO BATISTA DOS SANTOS"/>
    <s v="13990937898"/>
    <s v="01825123407"/>
    <n v="15562"/>
    <s v="DPW"/>
    <d v="2023-04-02T23:18:00"/>
    <s v="MEDLOG"/>
    <d v="2023-04-03T13:51:00"/>
    <d v="2023-04-03T02:30:00"/>
    <d v="2023-04-03T11:20:00"/>
    <n v="1600"/>
    <m/>
    <m/>
    <m/>
    <m/>
    <m/>
    <m/>
    <n v="276"/>
    <n v="2300"/>
    <x v="3"/>
    <x v="0"/>
    <m/>
    <x v="0"/>
    <s v="SIM"/>
    <s v="SIM"/>
    <s v="SIM"/>
  </r>
  <r>
    <x v="0"/>
    <x v="1"/>
    <d v="2023-04-04T08:00:00"/>
    <s v="CIPU5012090"/>
    <n v="40"/>
    <x v="0"/>
    <s v="BR SPICE"/>
    <s v="JANDIRA"/>
    <n v="3004"/>
    <s v="LOGIN JACARANDA  151S"/>
    <n v="105079"/>
    <m/>
    <s v="DTB9J13"/>
    <s v="CPJ3G59"/>
    <s v="JOSE EDNILSON DOS SANTOS"/>
    <n v="88265951434"/>
    <s v="00920373596"/>
    <n v="3535"/>
    <s v="DPW"/>
    <d v="2023-04-03T21:47:00"/>
    <s v="MEDLOG"/>
    <d v="2023-04-04T14:49:00"/>
    <d v="2023-04-04T08:40:00"/>
    <d v="2023-04-04T11:00:00"/>
    <n v="2300"/>
    <m/>
    <m/>
    <m/>
    <m/>
    <m/>
    <m/>
    <n v="392.15039999999999"/>
    <n v="3267.92"/>
    <x v="3"/>
    <x v="0"/>
    <m/>
    <x v="0"/>
    <s v="SIM"/>
    <s v="SIM"/>
    <s v="SIM"/>
  </r>
  <r>
    <x v="0"/>
    <x v="0"/>
    <d v="2023-04-04T08:00:00"/>
    <s v="TCLU8806691"/>
    <n v="40"/>
    <x v="0"/>
    <s v="IBRAC"/>
    <s v="RIO CLARO"/>
    <n v="3006"/>
    <s v="LOGIN JACARANDA  151S"/>
    <n v="105039"/>
    <m/>
    <s v="DVT6D42"/>
    <s v="BXE2B57"/>
    <s v="ROBERTO RONALD SANTOS"/>
    <s v="27455658850"/>
    <s v="01286008208"/>
    <n v="3534"/>
    <s v="DPW"/>
    <d v="2023-04-04T00:01:00"/>
    <s v="DEPOTCE"/>
    <d v="2023-04-04T20:18:00"/>
    <d v="2023-04-04T07:00:00"/>
    <d v="2023-04-04T09:40:00"/>
    <m/>
    <m/>
    <m/>
    <m/>
    <m/>
    <m/>
    <m/>
    <n v="641.71680000000003"/>
    <n v="5347.64"/>
    <x v="3"/>
    <x v="0"/>
    <m/>
    <x v="0"/>
    <s v="SIM"/>
    <s v="SIM"/>
    <s v="SIM"/>
  </r>
  <r>
    <x v="0"/>
    <x v="0"/>
    <d v="2023-04-04T08:00:00"/>
    <s v="CAIU4832103"/>
    <n v="40"/>
    <x v="0"/>
    <s v="FLUIDrA"/>
    <s v="VALINHOS"/>
    <n v="3008"/>
    <s v="LOGIN JACARANDA  151S"/>
    <n v="105078"/>
    <m/>
    <s v="CUA7F62"/>
    <s v="BSG2J78"/>
    <s v="VALDECIR DA SILVA"/>
    <s v="27455658850"/>
    <s v="01286008208"/>
    <n v="3533"/>
    <s v="DPW"/>
    <d v="2023-04-03T15:56:00"/>
    <s v="MEDLOG"/>
    <d v="2023-04-04T17:59:00"/>
    <d v="2023-04-04T01:00:00"/>
    <d v="2023-04-04T01:00:00"/>
    <m/>
    <m/>
    <m/>
    <m/>
    <n v="3245.68"/>
    <m/>
    <n v="596.4"/>
    <n v="523.91999999999996"/>
    <n v="4366"/>
    <x v="3"/>
    <x v="0"/>
    <m/>
    <x v="0"/>
    <s v="SIM"/>
    <s v="SIM"/>
    <s v="SIM"/>
  </r>
  <r>
    <x v="0"/>
    <x v="0"/>
    <d v="2023-04-04T09:00:00"/>
    <s v="TCLU3463408"/>
    <n v="20"/>
    <x v="2"/>
    <s v="SOSAL"/>
    <s v="SBC"/>
    <n v="3049"/>
    <s v="LOGIN JACARANDA  151S"/>
    <n v="69676"/>
    <m/>
    <s v="BHP9483"/>
    <s v="BSF4E26"/>
    <s v="ANACLETO RODRIGUES DE SANTANA"/>
    <s v="01817591878"/>
    <s v="00821760640"/>
    <n v="15588"/>
    <s v="DPW"/>
    <d v="2023-04-03T23:44:00"/>
    <s v="DEPOTCE"/>
    <d v="2023-04-04T17:18:00"/>
    <d v="2023-04-04T02:30:00"/>
    <d v="2023-04-04T13:3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04T09:00:00"/>
    <s v="TCLU3463100"/>
    <n v="20"/>
    <x v="2"/>
    <s v="SOSAL"/>
    <s v="SBC"/>
    <n v="3051"/>
    <s v="LOGIN JACARANDA  151S"/>
    <n v="69704"/>
    <m/>
    <s v="CGS0A65"/>
    <s v="CPJ5G64"/>
    <s v="MARCOS PAULO NUNES"/>
    <n v="16239341843"/>
    <s v="01877235038"/>
    <n v="15583"/>
    <s v="DPW"/>
    <d v="2023-04-03T22:07:00"/>
    <s v="DEPOTCE"/>
    <d v="2023-04-04T13:28:00"/>
    <d v="2023-04-04T02:30:00"/>
    <d v="2023-04-04T11:0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04T11:00:00"/>
    <s v="CIPU5019140"/>
    <n v="40"/>
    <x v="2"/>
    <s v="SOSAL"/>
    <s v="SBC"/>
    <n v="3053"/>
    <s v="LOGIN JACARANDA  151S"/>
    <n v="105035"/>
    <n v="105036"/>
    <s v="IPA0J77"/>
    <s v="KBL9G59"/>
    <s v="JOSE EURIPEDES PEREIRA"/>
    <s v="87607395849"/>
    <s v="01842622116"/>
    <s v="3530 / 15589"/>
    <s v="DPW"/>
    <d v="2023-04-03T22:09:00"/>
    <s v="MEDLOG"/>
    <d v="2023-04-04T17:52:00"/>
    <d v="2023-04-04T02:30:00"/>
    <d v="2023-04-04T16:0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04T11:00:00"/>
    <s v="SEGU4056310"/>
    <n v="40"/>
    <x v="2"/>
    <s v="SOSAL"/>
    <s v="SBC"/>
    <n v="3056"/>
    <s v="LOGIN JACARANDA  151S"/>
    <n v="104997"/>
    <n v="104998"/>
    <s v="KBK0D67"/>
    <s v="BSG5I57"/>
    <s v="JOAO BATISTA DOS SANTOS"/>
    <s v="13990937898"/>
    <s v="01825123407"/>
    <s v="15590 / 3532"/>
    <s v="DPW"/>
    <d v="2023-04-03T21:24:00"/>
    <s v="MEDLOG"/>
    <d v="2023-04-04T14:55:00"/>
    <d v="2023-04-04T02:30:00"/>
    <d v="2023-04-04T11:0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04T08:00:00"/>
    <s v="MRKU2961314"/>
    <n v="40"/>
    <x v="0"/>
    <s v="DOREMUS"/>
    <s v="GUARULHOS"/>
    <s v="AAK161ZB"/>
    <s v="VICENTE PIZON  312S"/>
    <n v="105156"/>
    <m/>
    <s v="FCX0G15"/>
    <s v="FEI4C72"/>
    <s v="VINICIUS NASCIMENTO GIANGIULIO"/>
    <s v="27455658850"/>
    <s v="01286008208"/>
    <n v="3531"/>
    <s v="SANTOS BRASIL"/>
    <d v="2023-04-03T18:00:00"/>
    <s v="FASSINA SANTOS"/>
    <d v="2023-04-04T13:57:00"/>
    <d v="2023-04-04T07:50:00"/>
    <d v="2023-04-04T14:40:00"/>
    <n v="2100"/>
    <m/>
    <m/>
    <m/>
    <m/>
    <m/>
    <m/>
    <n v="370.37759999999997"/>
    <n v="3086.48"/>
    <x v="3"/>
    <x v="0"/>
    <m/>
    <x v="0"/>
    <s v="SIM"/>
    <s v="SIM"/>
    <s v="SIM"/>
  </r>
  <r>
    <x v="0"/>
    <x v="0"/>
    <d v="2023-04-05T09:00:00"/>
    <s v="CAIU6272667"/>
    <n v="20"/>
    <x v="2"/>
    <s v="SOSAL"/>
    <s v="SBC"/>
    <s v="AAK179DB"/>
    <s v="VICENTE PIZON  312S"/>
    <n v="105160"/>
    <m/>
    <s v="BHP9483"/>
    <s v="BSF4E26"/>
    <s v="ANACLETO RODRIGUES DE SANTANA"/>
    <s v="01817591878"/>
    <s v="00821760640"/>
    <n v="15599"/>
    <s v="SANTOS BRASIL"/>
    <d v="2023-04-05T00:58:00"/>
    <s v="TRANSTEC SANTOS"/>
    <d v="2023-04-05T15:26:00"/>
    <d v="2023-04-05T04:00:00"/>
    <d v="2023-04-05T13:30:00"/>
    <n v="1600"/>
    <m/>
    <m/>
    <n v="0"/>
    <m/>
    <m/>
    <m/>
    <n v="276"/>
    <n v="2300"/>
    <x v="3"/>
    <x v="0"/>
    <m/>
    <x v="0"/>
    <s v="SIM"/>
    <s v="SIM"/>
    <s v="SIM"/>
  </r>
  <r>
    <x v="0"/>
    <x v="0"/>
    <d v="2023-04-05T09:00:00"/>
    <s v="MSKU5458943"/>
    <n v="20"/>
    <x v="2"/>
    <s v="SOSAL"/>
    <s v="SBC"/>
    <s v="AAK179DB"/>
    <s v="VICENTE PIZON  312S"/>
    <n v="105300"/>
    <m/>
    <s v="KBK0D67"/>
    <s v="CPJ5G64"/>
    <s v="JOAO BATISTA DOS SANTOS"/>
    <s v="13990937898"/>
    <s v="01825123407"/>
    <n v="15600"/>
    <s v="SANTOS BRASIL"/>
    <d v="2023-04-04T23:01:00"/>
    <s v="TRANSTEC SANTOS"/>
    <d v="2023-04-05T17:05:00"/>
    <d v="2023-04-05T00:50:00"/>
    <d v="2023-04-05T14:5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05T09:00:00"/>
    <s v="MRKU8954863"/>
    <n v="20"/>
    <x v="2"/>
    <s v="SOSAL"/>
    <s v="SBC"/>
    <s v="AAK179DB"/>
    <s v="VICENTE PIZON  312S"/>
    <n v="105299"/>
    <m/>
    <s v="FXG5H10"/>
    <s v="DBC3G21"/>
    <s v="ROBERTO CARLOS BEZERRA PIRES"/>
    <s v="27455658850"/>
    <s v="01286008208"/>
    <n v="15601"/>
    <s v="SANTOS BRASIL"/>
    <d v="2023-04-04T22:00:00"/>
    <s v="FASSINA SANTOS"/>
    <d v="2023-04-05T16:55:00"/>
    <d v="2023-04-05T00:15:00"/>
    <d v="2023-04-05T15:0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05T08:00:00"/>
    <s v="MRKU5932829"/>
    <n v="40"/>
    <x v="0"/>
    <s v="DOREMUS"/>
    <s v="GUARULHOS"/>
    <s v="AAK161ZB"/>
    <s v="VICENTE PIZON  312S"/>
    <n v="105295"/>
    <m/>
    <s v="IPA0J77"/>
    <s v="KBL9G59"/>
    <s v="MARCOS PAULO NUNES"/>
    <n v="16239341843"/>
    <s v="01877235038"/>
    <n v="3536"/>
    <s v="SANTOS BRASIL"/>
    <d v="2023-04-04T02:59:00"/>
    <s v="DEPOTCE"/>
    <d v="2023-04-05T14:28:00"/>
    <d v="2023-04-05T03:00:00"/>
    <d v="2023-04-05T11:15:00"/>
    <n v="2100"/>
    <m/>
    <m/>
    <m/>
    <m/>
    <m/>
    <m/>
    <n v="370.37759999999997"/>
    <n v="3086.48"/>
    <x v="3"/>
    <x v="0"/>
    <m/>
    <x v="0"/>
    <s v="SIM"/>
    <s v="SIM"/>
    <s v="SIM"/>
  </r>
  <r>
    <x v="0"/>
    <x v="0"/>
    <d v="2023-04-06T09:00:00"/>
    <s v="MRKU8976179"/>
    <n v="20"/>
    <x v="2"/>
    <s v="SOSAL"/>
    <s v="SBC"/>
    <s v="AAK179DB"/>
    <s v="VICENTE PIZON  312S"/>
    <n v="105159"/>
    <m/>
    <s v="BHP9483"/>
    <s v="BSF4E26"/>
    <s v="ANACLETO RODRIGUES DE SANTANA"/>
    <s v="01817591878"/>
    <s v="00821760640"/>
    <n v="15616"/>
    <s v="SANTOS BRASIL"/>
    <d v="2023-04-06T01:42:00"/>
    <s v="TRANSTEC SANTOS"/>
    <d v="2023-04-08T07:30:00"/>
    <d v="2023-04-06T04:20:00"/>
    <d v="2023-04-06T15:3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06T09:00:00"/>
    <s v="SUDU1335878"/>
    <n v="20"/>
    <x v="2"/>
    <s v="SOSAL"/>
    <s v="SBC"/>
    <s v="AAK179DC"/>
    <s v="VICENTE PIZON  312S"/>
    <n v="105247"/>
    <n v="105244"/>
    <s v="MRB4D47"/>
    <s v="CPN9C57"/>
    <s v="THIAGO SILVEIRA DE SOUZA"/>
    <s v="27455658850"/>
    <s v="01286008208"/>
    <s v="3541 / 15618"/>
    <s v="SANTOS BRASIL"/>
    <d v="2023-04-05T23:57:00"/>
    <s v="TRANSTEC SANTOS"/>
    <d v="2023-04-08T07:54:00"/>
    <d v="2023-04-06T04:30:00"/>
    <d v="2023-04-06T16:0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06T09:00:00"/>
    <s v="TCKU1121245"/>
    <n v="20"/>
    <x v="2"/>
    <s v="SOSAL"/>
    <s v="SBC"/>
    <s v="AAK179DB"/>
    <s v="VICENTE PIZON  312S"/>
    <n v="105243"/>
    <m/>
    <s v="CGS0A65"/>
    <s v="CPJ5G64"/>
    <s v="MARCOS PAULO NUNES"/>
    <n v="16239341843"/>
    <s v="01877235038"/>
    <n v="15619"/>
    <s v="SANTOS BRASIL"/>
    <d v="2023-04-06T00:04:00"/>
    <s v="FASSINA SANTOS"/>
    <d v="2023-04-06T15:37:00"/>
    <d v="2023-04-06T04:20:00"/>
    <d v="2023-04-06T13:3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06T08:00:00"/>
    <s v="MRKU9054676"/>
    <n v="20"/>
    <x v="0"/>
    <s v="CHARQUE CAMPEAO"/>
    <s v="SANTANA DE PARNAIBA"/>
    <s v="AAK161YB"/>
    <s v="VICENTE PIZON  312S"/>
    <n v="115032"/>
    <m/>
    <s v="FXG5H10"/>
    <s v="DBC3G21"/>
    <s v="ROBERTO CARLOS BEZERRA PIRES"/>
    <s v="27455658850"/>
    <s v="01286008208"/>
    <n v="3542"/>
    <s v="SANTOS BRASIL"/>
    <d v="2023-04-05T23:41:00"/>
    <s v="FASSINA SANTOS"/>
    <d v="2023-04-06T13:27:00"/>
    <d v="2023-04-06T03:40:00"/>
    <d v="2023-04-06T10:00:00"/>
    <n v="2300"/>
    <m/>
    <m/>
    <m/>
    <m/>
    <m/>
    <m/>
    <n v="399.62399999999997"/>
    <n v="3330.2"/>
    <x v="3"/>
    <x v="0"/>
    <m/>
    <x v="0"/>
    <s v="SIM"/>
    <s v="SIM"/>
    <s v="SIM"/>
  </r>
  <r>
    <x v="0"/>
    <x v="0"/>
    <d v="2023-04-06T08:00:00"/>
    <s v="MSDU1714321"/>
    <n v="20"/>
    <x v="1"/>
    <s v="MIAN"/>
    <s v="SBC"/>
    <n v="3260"/>
    <s v="LOGIN ENDURENCE  039S"/>
    <n v="105186"/>
    <n v="115039"/>
    <s v="EPU5990"/>
    <s v="BSG1D88"/>
    <s v="LEANDRO SOARES CAETANO"/>
    <s v="10485530864"/>
    <s v="02033192841"/>
    <s v="3538C / 3540C / 3547 / 3546"/>
    <s v="DPW"/>
    <d v="2023-04-06T05:50:00"/>
    <s v="DEPOTCE"/>
    <d v="2023-04-06T14:15:00"/>
    <d v="2023-04-06T07:30:00"/>
    <d v="2023-04-06T10:15:00"/>
    <n v="1600"/>
    <m/>
    <m/>
    <m/>
    <m/>
    <m/>
    <m/>
    <n v="311.55959999999999"/>
    <n v="2596.33"/>
    <x v="3"/>
    <x v="0"/>
    <m/>
    <x v="0"/>
    <s v="SIM"/>
    <s v="SIM"/>
    <s v="SIM"/>
  </r>
  <r>
    <x v="0"/>
    <x v="0"/>
    <d v="2023-04-06T09:00:00"/>
    <s v="TCLU3463460"/>
    <n v="20"/>
    <x v="1"/>
    <s v="MIAN"/>
    <s v="SBC"/>
    <n v="3260"/>
    <s v="LOGIN ENDURENCE  039S"/>
    <n v="115031"/>
    <m/>
    <s v="AQM8D39"/>
    <s v="DPF3850"/>
    <s v="REINALDO PAZOTTO"/>
    <s v="27455658850"/>
    <s v="01286008208"/>
    <n v="3537"/>
    <s v="DPW"/>
    <d v="2023-04-05T17:59:00"/>
    <s v="DEPOTCE"/>
    <d v="2023-04-10T09:42:00"/>
    <d v="2023-04-06T07:30:00"/>
    <d v="2023-04-06T10:15:00"/>
    <n v="1600"/>
    <m/>
    <m/>
    <m/>
    <m/>
    <m/>
    <m/>
    <n v="311.55959999999999"/>
    <n v="2596.33"/>
    <x v="3"/>
    <x v="0"/>
    <m/>
    <x v="0"/>
    <s v="SIM"/>
    <s v="SIM"/>
    <s v="SIM"/>
  </r>
  <r>
    <x v="0"/>
    <x v="0"/>
    <d v="2023-04-06T08:00:00"/>
    <s v="CAIU2928989"/>
    <n v="20"/>
    <x v="0"/>
    <s v="FUCKS"/>
    <s v="ITUPEVA"/>
    <n v="3267"/>
    <s v="LOGIN ENDURENCE  039S"/>
    <n v="105330"/>
    <m/>
    <s v="FWF1I71"/>
    <s v="FVB4J87"/>
    <s v="LUCIANO PERERIRA DA SILVA"/>
    <s v="10485530864"/>
    <s v="02033192841"/>
    <n v="3545"/>
    <s v="DPW"/>
    <d v="2023-04-05T22:57:00"/>
    <s v="DEPOTCE"/>
    <d v="2023-04-06T16:17:00"/>
    <d v="2023-04-06T02:40:00"/>
    <d v="2023-04-06T11:00:00"/>
    <n v="2700"/>
    <m/>
    <m/>
    <m/>
    <m/>
    <m/>
    <m/>
    <n v="601.46159999999998"/>
    <n v="5012.18"/>
    <x v="3"/>
    <x v="0"/>
    <m/>
    <x v="0"/>
    <s v="SIM"/>
    <s v="SIM"/>
    <s v="SIM"/>
  </r>
  <r>
    <x v="0"/>
    <x v="0"/>
    <d v="2023-04-06T08:00:00"/>
    <s v="UESU5112948"/>
    <n v="20"/>
    <x v="0"/>
    <s v="MAXSOY"/>
    <s v="HORTOLANDIA"/>
    <n v="3254"/>
    <s v="LOGIN ENDURENCE  039S"/>
    <n v="105199"/>
    <m/>
    <s v="FGD8G49"/>
    <s v="FUJ0D24"/>
    <s v="GILVAN LAURENTINO DA SILVA"/>
    <s v="92693377404"/>
    <s v="02954783990"/>
    <n v="3544"/>
    <s v="DPW"/>
    <d v="2023-04-06T00:40:00"/>
    <s v="DEPOTCE"/>
    <d v="2023-04-06T16:43:00"/>
    <d v="2023-04-06T07:30:00"/>
    <d v="2023-04-06T16:00:00"/>
    <n v="2800"/>
    <m/>
    <m/>
    <m/>
    <m/>
    <m/>
    <m/>
    <n v="501.59999999999997"/>
    <n v="4180"/>
    <x v="3"/>
    <x v="0"/>
    <m/>
    <x v="0"/>
    <s v="SIM"/>
    <s v="SIM"/>
    <s v="SIM"/>
  </r>
  <r>
    <x v="0"/>
    <x v="1"/>
    <d v="2023-04-06T08:00:00"/>
    <s v="FCIU9171513"/>
    <n v="40"/>
    <x v="0"/>
    <s v="JBS"/>
    <s v="SANTANA DE PARNAIBA"/>
    <n v="3256"/>
    <s v="LOGIN ENDURENCE  039S"/>
    <n v="115144"/>
    <m/>
    <s v="DTB9J13"/>
    <s v="CPJ3G59"/>
    <s v="JOSE EDNILSON DOS SANTOS"/>
    <n v="88265951434"/>
    <s v="00920373596"/>
    <n v="3543"/>
    <s v="DPW"/>
    <d v="2023-04-06T05:09:00"/>
    <s v="DEPOTCE"/>
    <d v="2023-04-06T17:26:00"/>
    <d v="2023-04-06T08:20:00"/>
    <d v="2023-04-06T16:00:00"/>
    <n v="2300"/>
    <m/>
    <m/>
    <m/>
    <m/>
    <m/>
    <m/>
    <n v="399.62399999999997"/>
    <n v="3330.2"/>
    <x v="3"/>
    <x v="0"/>
    <m/>
    <x v="0"/>
    <s v="SIM"/>
    <s v="SIM"/>
    <s v="SIM"/>
  </r>
  <r>
    <x v="0"/>
    <x v="0"/>
    <d v="2023-04-10T08:00:00"/>
    <s v="TCLU3059818"/>
    <n v="20"/>
    <x v="0"/>
    <s v="NEW MAX"/>
    <s v="AMERICANA"/>
    <n v="3261"/>
    <s v="LOGIN ENDURENCE  039S"/>
    <n v="105185"/>
    <m/>
    <s v="FXG5H10"/>
    <s v="DBC3G21"/>
    <s v="ROBERTO CARLOS BEZERRA PIRES"/>
    <s v="27455658850"/>
    <s v="01286008208"/>
    <n v="3550"/>
    <s v="DPW"/>
    <d v="2023-04-09T21:35:00"/>
    <s v="DEPOTCE"/>
    <d v="2023-04-10T14:35:00"/>
    <d v="2023-04-10T02:30:00"/>
    <d v="2023-04-10T09:15:00"/>
    <n v="3200"/>
    <m/>
    <m/>
    <m/>
    <m/>
    <m/>
    <m/>
    <n v="311.55959999999999"/>
    <n v="2596.33"/>
    <x v="3"/>
    <x v="0"/>
    <m/>
    <x v="0"/>
    <s v="SIM"/>
    <s v="SIM"/>
    <s v="SIM"/>
  </r>
  <r>
    <x v="0"/>
    <x v="0"/>
    <d v="2023-04-10T08:00:00"/>
    <s v="SEGU1064668"/>
    <n v="20"/>
    <x v="0"/>
    <s v="ADESTE"/>
    <s v="SANTO ANDRE"/>
    <n v="3268"/>
    <s v="LOGIN ENDURENCE  039S"/>
    <n v="105331"/>
    <m/>
    <s v="BHP9483"/>
    <s v="BSF4E26"/>
    <s v="ANACLETO RODRIGUES DE SANTANA"/>
    <s v="01817591878"/>
    <s v="00821760640"/>
    <n v="3548"/>
    <s v="DPW"/>
    <d v="2023-04-10T00:25:00"/>
    <s v="DEPOTCE"/>
    <d v="2023-04-10T14:14:00"/>
    <d v="2023-04-10T03:00:00"/>
    <d v="2023-04-10T11:50:00"/>
    <m/>
    <m/>
    <m/>
    <m/>
    <m/>
    <m/>
    <m/>
    <n v="415.74719999999996"/>
    <n v="3464.56"/>
    <x v="3"/>
    <x v="0"/>
    <m/>
    <x v="0"/>
    <s v="SIM"/>
    <s v="SIM"/>
    <s v="SIM"/>
  </r>
  <r>
    <x v="0"/>
    <x v="0"/>
    <d v="2023-04-10T08:00:00"/>
    <s v="CAIU3402387"/>
    <n v="20"/>
    <x v="0"/>
    <s v="NEW MAX"/>
    <s v="AMERICANA"/>
    <n v="3264"/>
    <s v="LOGIN ENDURENCE  039S"/>
    <n v="105197"/>
    <m/>
    <s v="EWJ2162"/>
    <s v="ETF6391"/>
    <s v="CARLOS BUENO BALTAZAR"/>
    <n v="19279658883"/>
    <s v="01301319672"/>
    <n v="3549"/>
    <s v="DPW"/>
    <d v="2023-04-09T23:05:00"/>
    <s v="DEPOTCE"/>
    <d v="2023-04-10T15:50:00"/>
    <d v="2023-04-10T03:30:00"/>
    <d v="2023-04-10T10:50:00"/>
    <n v="3200"/>
    <m/>
    <m/>
    <m/>
    <m/>
    <m/>
    <m/>
    <n v="571.48680000000002"/>
    <n v="4762.3900000000003"/>
    <x v="3"/>
    <x v="0"/>
    <m/>
    <x v="0"/>
    <s v="SIM"/>
    <s v="SIM"/>
    <s v="SIM"/>
  </r>
  <r>
    <x v="0"/>
    <x v="1"/>
    <d v="2023-04-10T08:00:00"/>
    <s v="TCLU5011916"/>
    <n v="40"/>
    <x v="0"/>
    <s v="JBS"/>
    <s v="SANTANA DE PARNAIBA"/>
    <n v="3253"/>
    <s v="LOGIN ENDURENCE  039S"/>
    <n v="115074"/>
    <m/>
    <s v="EKH4C25"/>
    <s v="DAO7B51"/>
    <s v="WESLLEY RODRIGO CONSTANCIO DA SILVA"/>
    <s v="27455658850"/>
    <s v="01286008208"/>
    <n v="3551"/>
    <s v="DPW"/>
    <d v="2023-04-10T06:01:00"/>
    <s v="DEPOTCE"/>
    <d v="2023-04-10T16:22:00"/>
    <d v="2023-04-10T10:00:00"/>
    <d v="2023-04-10T13:13:00"/>
    <n v="2300"/>
    <m/>
    <m/>
    <m/>
    <m/>
    <m/>
    <m/>
    <n v="399.62399999999997"/>
    <n v="3330.2"/>
    <x v="3"/>
    <x v="0"/>
    <m/>
    <x v="1"/>
    <s v="SIM"/>
    <s v="SIM"/>
    <s v="SIM"/>
  </r>
  <r>
    <x v="0"/>
    <x v="1"/>
    <d v="2023-04-10T08:00:00"/>
    <s v="SEGU4047854"/>
    <n v="40"/>
    <x v="0"/>
    <s v="IRMAOS AVELINO"/>
    <s v="CARAPICUIBA"/>
    <n v="3259"/>
    <s v="LOGIN ENDURENCE  039S"/>
    <n v="105333"/>
    <n v="105334"/>
    <s v="FVG8G38"/>
    <s v="DPF0125"/>
    <s v="JOAO EUDES CORDEIRO DA SILVA"/>
    <s v="13990937898"/>
    <s v="01825123407"/>
    <n v="3553"/>
    <s v="DPW"/>
    <d v="2023-04-10T06:29:00"/>
    <s v="DEPOTCE"/>
    <d v="2023-04-10T16:42:00"/>
    <d v="2023-04-10T09:30:00"/>
    <d v="2023-04-10T12:20:00"/>
    <n v="2300"/>
    <m/>
    <m/>
    <n v="500"/>
    <m/>
    <m/>
    <m/>
    <n v="449.87520000000001"/>
    <n v="3748.96"/>
    <x v="3"/>
    <x v="0"/>
    <m/>
    <x v="0"/>
    <s v="SIM"/>
    <s v="SIM"/>
    <s v="SIM"/>
  </r>
  <r>
    <x v="0"/>
    <x v="0"/>
    <d v="2023-04-10T08:00:00"/>
    <s v="TCLU8171749"/>
    <n v="40"/>
    <x v="0"/>
    <s v="AJINOMOTO"/>
    <s v="LIMEIRA"/>
    <n v="3252"/>
    <s v="LOGIN ENDURENCE  039S"/>
    <n v="105161"/>
    <n v="105162"/>
    <s v="DDL8B54"/>
    <s v="FEI4012"/>
    <s v="WILTON SILVA BARBOSA"/>
    <s v="27455658850"/>
    <s v="01286008208"/>
    <n v="3554"/>
    <s v="DPW"/>
    <d v="2023-04-09T23:45:00"/>
    <s v="DEPOTCE"/>
    <d v="2023-04-10T17:07:00"/>
    <d v="2023-04-10T04:00:00"/>
    <d v="2023-04-10T10:50:00"/>
    <n v="3400"/>
    <m/>
    <m/>
    <m/>
    <m/>
    <m/>
    <m/>
    <n v="558.28440000000001"/>
    <n v="4652.37"/>
    <x v="3"/>
    <x v="0"/>
    <m/>
    <x v="0"/>
    <s v="SIM"/>
    <s v="SIM"/>
    <s v="SIM"/>
  </r>
  <r>
    <x v="0"/>
    <x v="1"/>
    <d v="2023-04-10T08:00:00"/>
    <s v="TCNU8697160"/>
    <n v="40"/>
    <x v="0"/>
    <s v="AJINOMOTO"/>
    <s v="LIMEIRA"/>
    <n v="3258"/>
    <s v="LOGIN ENDURENCE  039S"/>
    <n v="105336"/>
    <n v="105337"/>
    <s v="GFL7E87"/>
    <s v="GIK5H08"/>
    <s v="JEFFERSON BATISTA ARISTIDES"/>
    <s v="34927982840"/>
    <s v="03500129879"/>
    <n v="3552"/>
    <s v="DPW"/>
    <d v="2023-04-10T20:34:00"/>
    <s v="DEPOTCE"/>
    <d v="2023-04-11T16:00:00"/>
    <d v="2023-04-11T09:20:00"/>
    <d v="2023-04-11T11:00:00"/>
    <n v="3400"/>
    <m/>
    <m/>
    <m/>
    <m/>
    <m/>
    <m/>
    <n v="558.28440000000001"/>
    <n v="4652.37"/>
    <x v="3"/>
    <x v="0"/>
    <m/>
    <x v="1"/>
    <s v="SIM"/>
    <s v="SIM"/>
    <s v="SIM"/>
  </r>
  <r>
    <x v="0"/>
    <x v="0"/>
    <d v="2023-04-11T09:00:00"/>
    <s v="CAIU3400018"/>
    <n v="20"/>
    <x v="2"/>
    <s v="SOSAL"/>
    <s v="SBC"/>
    <n v="3230"/>
    <s v="LOGIN ENDURENCE  039S"/>
    <n v="69913"/>
    <m/>
    <s v="BHP9483"/>
    <s v="BSF4E26"/>
    <s v="ANACLETO RODRIGUES DE SANTANA"/>
    <s v="01817591878"/>
    <s v="00821760640"/>
    <n v="15657"/>
    <s v="DPW"/>
    <d v="2023-04-10T21:29:00"/>
    <s v="DEPOTCE"/>
    <d v="2023-04-11T14:03:00"/>
    <d v="2023-04-11T00:15:00"/>
    <d v="2023-04-11T12:1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11T09:00:00"/>
    <s v="CAIU3399051"/>
    <n v="20"/>
    <x v="2"/>
    <s v="SOSAL"/>
    <s v="SBC"/>
    <n v="3229"/>
    <s v="LOGIN ENDURENCE  039S"/>
    <n v="69911"/>
    <m/>
    <s v="KBK0D67"/>
    <s v="BWP9J59"/>
    <s v="JOAO BATISTA DOS SANTOS"/>
    <s v="13990937898"/>
    <s v="01825123407"/>
    <n v="15658"/>
    <s v="DPW"/>
    <d v="2023-04-10T20:50:00"/>
    <s v="DEPOTCE"/>
    <d v="2023-04-11T14:01:00"/>
    <d v="2023-04-11T00:15:00"/>
    <d v="2023-04-11T12:3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11T08:00:00"/>
    <s v="CAIU8809586"/>
    <n v="40"/>
    <x v="0"/>
    <s v="DOREMUS"/>
    <s v="GUARULHOS"/>
    <n v="3356"/>
    <s v="LOGIN ENDURENCE  039S"/>
    <n v="105294"/>
    <m/>
    <s v="CGS0A65"/>
    <s v="BSG5I57"/>
    <s v="MARCOS PAULO NUNES"/>
    <n v="16239341843"/>
    <s v="01877235038"/>
    <n v="3555"/>
    <s v="DPW"/>
    <d v="2023-04-10T20:58:00"/>
    <s v="DEPOTCE"/>
    <d v="2023-04-11T12:39:00"/>
    <d v="2023-04-11T00:15:00"/>
    <d v="2023-04-11T10:20:00"/>
    <n v="2100"/>
    <m/>
    <m/>
    <m/>
    <m/>
    <m/>
    <m/>
    <n v="370.37759999999997"/>
    <n v="3086.48"/>
    <x v="3"/>
    <x v="0"/>
    <m/>
    <x v="0"/>
    <s v="SIM"/>
    <s v="SIM"/>
    <s v="SIM"/>
  </r>
  <r>
    <x v="0"/>
    <x v="0"/>
    <d v="2023-04-11T08:00:00"/>
    <s v="MEDU4863213"/>
    <n v="40"/>
    <x v="0"/>
    <s v="IBRAC"/>
    <s v="RIO CLARO"/>
    <n v="3251"/>
    <s v="LOGIN ENDURENCE  039S"/>
    <n v="105188"/>
    <m/>
    <s v="CUA7F62"/>
    <s v="BSG2J78"/>
    <s v="VALDECIR DA SILVA"/>
    <s v="27455658850"/>
    <s v="01286008208"/>
    <n v="3558"/>
    <s v="DPW"/>
    <d v="2023-04-10T21:50:00"/>
    <s v="DEPOTCE"/>
    <d v="2023-04-11T14:40:00"/>
    <d v="2023-04-11T02:45:00"/>
    <d v="2023-04-11T10:00:00"/>
    <m/>
    <m/>
    <m/>
    <m/>
    <m/>
    <m/>
    <m/>
    <n v="641.71680000000003"/>
    <n v="5347.64"/>
    <x v="3"/>
    <x v="0"/>
    <m/>
    <x v="0"/>
    <s v="SIM"/>
    <s v="SIM"/>
    <s v="SIM"/>
  </r>
  <r>
    <x v="0"/>
    <x v="1"/>
    <d v="2023-04-11T08:00:00"/>
    <s v="TCLU8187724"/>
    <n v="40"/>
    <x v="0"/>
    <s v="JBS"/>
    <s v="SANTANA DE PARNAIBA"/>
    <n v="3255"/>
    <s v="LOGIN ENDURENCE  039S"/>
    <n v="115122"/>
    <m/>
    <s v="DTB9J13"/>
    <s v="CPJ3G59"/>
    <s v="JOSE EDNILSON DOS SANTOS"/>
    <n v="88265951434"/>
    <s v="00920373596"/>
    <n v="3556"/>
    <s v="DPW"/>
    <d v="2023-04-10T20:41:00"/>
    <s v="DEPOTCE"/>
    <d v="2023-04-14T00:00:00"/>
    <d v="2023-04-11T08:55:00"/>
    <d v="2023-04-11T16:10:00"/>
    <n v="2300"/>
    <m/>
    <m/>
    <m/>
    <m/>
    <m/>
    <m/>
    <n v="399.62399999999997"/>
    <n v="3330.2"/>
    <x v="3"/>
    <x v="0"/>
    <m/>
    <x v="1"/>
    <s v="SIM"/>
    <s v="SIM"/>
    <s v="SIM"/>
  </r>
  <r>
    <x v="0"/>
    <x v="0"/>
    <d v="2023-04-11T08:00:00"/>
    <s v="TCNU8694217"/>
    <n v="40"/>
    <x v="0"/>
    <s v="JBS"/>
    <s v="SANTANA DE PARNAIBA"/>
    <n v="3257"/>
    <s v="LOGIN ENDURENCE  039S"/>
    <n v="105332"/>
    <m/>
    <s v="DVT6D42"/>
    <s v="BXE2B57"/>
    <s v="ROBERTO RONALD SANTOS"/>
    <s v="27455658850"/>
    <s v="01286008208"/>
    <n v="3557"/>
    <s v="DPW"/>
    <d v="2023-04-10T20:29:00"/>
    <s v="DEPOTCE"/>
    <d v="2023-04-11T16:00:00"/>
    <d v="2023-04-11T05:15:00"/>
    <d v="2023-04-11T12:31:00"/>
    <n v="2300"/>
    <m/>
    <m/>
    <m/>
    <m/>
    <m/>
    <m/>
    <n v="399.62399999999997"/>
    <n v="3330.2"/>
    <x v="3"/>
    <x v="0"/>
    <m/>
    <x v="0"/>
    <s v="SIM"/>
    <s v="SIM"/>
    <s v="SIM"/>
  </r>
  <r>
    <x v="0"/>
    <x v="0"/>
    <d v="2023-04-12T08:00:00"/>
    <s v="TRHU7114391"/>
    <n v="40"/>
    <x v="0"/>
    <s v="JBS"/>
    <s v="SANTANA DE PARNAIBA"/>
    <s v="AAK213UB"/>
    <s v="SEBASTIAO CABOTO  313S"/>
    <n v="115330"/>
    <m/>
    <s v="FZF3E97"/>
    <s v="FXU8J10"/>
    <s v="FABIO DARIO RODRIGUES"/>
    <s v="26283419801"/>
    <s v="02002046946"/>
    <n v="3560"/>
    <s v="SANTOS BRASIL"/>
    <d v="2023-04-12T05:16:00"/>
    <s v="FASSINA SANTOS"/>
    <d v="2023-04-12T15:55:00"/>
    <d v="2023-04-12T08:00:00"/>
    <d v="2023-04-12T11:55:00"/>
    <n v="2300"/>
    <m/>
    <m/>
    <m/>
    <m/>
    <m/>
    <m/>
    <n v="399.62399999999997"/>
    <n v="3330.2"/>
    <x v="3"/>
    <x v="0"/>
    <m/>
    <x v="0"/>
    <s v="SIM"/>
    <s v="SIM"/>
    <s v="SIM"/>
  </r>
  <r>
    <x v="0"/>
    <x v="0"/>
    <d v="2023-04-14T09:00:00"/>
    <s v="MRKU7831530"/>
    <n v="40"/>
    <x v="2"/>
    <s v="SOSAL"/>
    <s v="SBC"/>
    <s v="AAK229HB"/>
    <s v="SEBASTIAO CABOTO  313S"/>
    <n v="70108"/>
    <m/>
    <s v="KBK0D67"/>
    <s v="BWP9J59"/>
    <s v="JOAO BATISTA DOS SANTOS"/>
    <s v="13990937898"/>
    <s v="01825123407"/>
    <n v="15696"/>
    <s v="SANTOS BRASIL"/>
    <d v="2023-04-13T23:15:00"/>
    <s v="TRANSTEC SANTOS"/>
    <d v="2023-04-14T15:44:00"/>
    <d v="2023-04-14T01:30:00"/>
    <d v="2023-04-14T15:3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14T09:00:00"/>
    <s v="MRKU9080211"/>
    <n v="40"/>
    <x v="2"/>
    <s v="SOSAL"/>
    <s v="SBC"/>
    <s v="AAK229HB"/>
    <s v="SEBASTIAO CABOTO  313S"/>
    <n v="70107"/>
    <m/>
    <s v="BHP9483"/>
    <s v="BSF4E26"/>
    <s v="ANACLETO RODRIGUES DE SANTANA"/>
    <s v="01817591878"/>
    <s v="00821760640"/>
    <n v="15697"/>
    <s v="SANTOS BRASIL"/>
    <d v="2023-04-13T23:00:00"/>
    <s v="TRANSTEC SANTOS"/>
    <d v="2023-04-15T00:00:00"/>
    <d v="2023-04-14T01:30:00"/>
    <d v="2023-04-14T15:3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13T09:00:00"/>
    <s v="MSKU5962912"/>
    <n v="40"/>
    <x v="2"/>
    <s v="SOSAL"/>
    <s v="SBC"/>
    <s v="AAK229HB"/>
    <s v="SEBASTIAO CABOTO  313S"/>
    <n v="70213"/>
    <m/>
    <s v="KBK0D67"/>
    <s v="BSG5I57"/>
    <s v="JOAO BATISTA DOS SANTOS"/>
    <s v="13990937898"/>
    <s v="01825123407"/>
    <n v="15668"/>
    <s v="SANTOS BRASIL"/>
    <d v="2023-04-11T22:52:00"/>
    <s v="TRANSTEC SANTOS"/>
    <d v="2023-04-12T13:16:00"/>
    <d v="2023-04-12T00:50:00"/>
    <d v="2023-04-12T11:2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13T09:00:00"/>
    <s v="MRKU9630848"/>
    <n v="40"/>
    <x v="2"/>
    <s v="SOSAL"/>
    <s v="SBC"/>
    <s v="AAK229HB"/>
    <s v="SEBASTIAO CABOTO  313S"/>
    <n v="70214"/>
    <m/>
    <s v="BHP9483"/>
    <s v="BSF4E26"/>
    <s v="FERNANDO FERREIRA DA SILVA"/>
    <s v="41475455801"/>
    <s v="06144560936"/>
    <n v="15687"/>
    <s v="SANTOS BRASIL"/>
    <d v="2023-04-13T00:57:00"/>
    <s v="TRANSTEC SANTOS"/>
    <d v="2023-04-13T14:46:00"/>
    <d v="2023-04-13T03:30:00"/>
    <d v="2023-04-13T13:30:00"/>
    <n v="1600"/>
    <m/>
    <m/>
    <m/>
    <m/>
    <m/>
    <m/>
    <n v="276"/>
    <n v="2300"/>
    <x v="3"/>
    <x v="0"/>
    <m/>
    <x v="0"/>
    <s v="SIM"/>
    <s v="SIM"/>
    <s v="SIM"/>
  </r>
  <r>
    <x v="0"/>
    <x v="0"/>
    <d v="2023-04-13T08:00:00"/>
    <s v="SEGU1030040"/>
    <n v="20"/>
    <x v="0"/>
    <s v="PENINA"/>
    <s v="VL INDEPENDENTE"/>
    <n v="3670"/>
    <s v="LOGIN JATOBA  239S"/>
    <n v="105492"/>
    <m/>
    <s v="CGS0A65"/>
    <s v="CPJ5G64"/>
    <s v="MARCOS PAULO NUNES"/>
    <n v="16239341843"/>
    <s v="01877235038"/>
    <n v="3564"/>
    <s v="DPW"/>
    <d v="2023-04-12T22:20:00"/>
    <s v="TRANSTEC SANTOS"/>
    <d v="2023-04-13T11:45:00"/>
    <d v="2023-04-13T04:00:00"/>
    <d v="2023-04-13T10:10:00"/>
    <n v="2000"/>
    <m/>
    <m/>
    <n v="700"/>
    <m/>
    <m/>
    <m/>
    <n v="447.91919999999999"/>
    <n v="3732.66"/>
    <x v="3"/>
    <x v="0"/>
    <m/>
    <x v="0"/>
    <s v="SIM"/>
    <s v="SIM"/>
    <s v="SIM"/>
  </r>
  <r>
    <x v="0"/>
    <x v="0"/>
    <d v="2023-04-13T08:00:00"/>
    <s v="CAIU3022659"/>
    <n v="20"/>
    <x v="1"/>
    <s v="MIAN"/>
    <s v="SBC"/>
    <n v="3671"/>
    <s v="LOGIN JATOBA  239S"/>
    <n v="105495"/>
    <m/>
    <s v="FXG5H10"/>
    <s v="DBC3G21"/>
    <s v="ROBERTO CARLOS BEZERRA PIRES"/>
    <s v="27455658850"/>
    <s v="01286008208"/>
    <n v="3561"/>
    <s v="DPW"/>
    <d v="2023-04-12T21:29:00"/>
    <s v="TRANSTEC SANTOS"/>
    <d v="2023-04-13T10:53:00"/>
    <d v="2023-04-13T00:05:00"/>
    <d v="2023-04-13T09:10:00"/>
    <n v="1600"/>
    <m/>
    <m/>
    <m/>
    <m/>
    <m/>
    <m/>
    <n v="311.55959999999999"/>
    <n v="2596.33"/>
    <x v="3"/>
    <x v="0"/>
    <m/>
    <x v="0"/>
    <s v="SIM"/>
    <s v="SIM"/>
    <s v="SIM"/>
  </r>
  <r>
    <x v="0"/>
    <x v="0"/>
    <d v="2023-04-13T08:00:00"/>
    <s v="CAIU3020764"/>
    <n v="20"/>
    <x v="1"/>
    <s v="MIAN"/>
    <s v="SBC"/>
    <n v="3671"/>
    <s v="LOGIN JATOBA  239S"/>
    <n v="105329"/>
    <m/>
    <s v="KBK0D67"/>
    <s v="BWP9J59"/>
    <s v="JOAO BATISTA DOS SANTOS"/>
    <s v="13990937898"/>
    <s v="01825123407"/>
    <n v="3562"/>
    <s v="DPW"/>
    <d v="2023-04-12T22:33:00"/>
    <s v="TRANSTEC SANTOS"/>
    <d v="2023-04-13T13:52:00"/>
    <d v="2023-04-13T03:30:00"/>
    <d v="2023-04-13T11:10:00"/>
    <n v="1600"/>
    <m/>
    <m/>
    <m/>
    <m/>
    <m/>
    <m/>
    <n v="311.55959999999999"/>
    <n v="2596.33"/>
    <x v="3"/>
    <x v="0"/>
    <m/>
    <x v="0"/>
    <s v="SIM"/>
    <s v="SIM"/>
    <s v="SIM"/>
  </r>
  <r>
    <x v="0"/>
    <x v="0"/>
    <d v="2023-04-13T08:00:00"/>
    <s v="TCLU8187513"/>
    <n v="40"/>
    <x v="0"/>
    <s v="DOREMUS"/>
    <s v="GUARULHOS"/>
    <n v="3673"/>
    <s v="LOGIN JATOBA  239S"/>
    <n v="105404"/>
    <m/>
    <s v="IPA0J77"/>
    <s v="KBL9G59"/>
    <s v="JOSE EURIPEDES PEREIRA"/>
    <s v="87607395849"/>
    <s v="01842622116"/>
    <n v="3563"/>
    <s v="DPW"/>
    <d v="2023-04-12T22:56:00"/>
    <s v="TRANSTEC SANTOS"/>
    <d v="2023-04-13T00:00:00"/>
    <d v="2023-04-13T06:00:00"/>
    <d v="2023-04-13T10:15:00"/>
    <n v="2100"/>
    <m/>
    <m/>
    <m/>
    <m/>
    <m/>
    <m/>
    <n v="370.37759999999997"/>
    <n v="3086.48"/>
    <x v="3"/>
    <x v="0"/>
    <m/>
    <x v="0"/>
    <s v="SIM"/>
    <s v="SIM"/>
    <s v="SIM"/>
  </r>
  <r>
    <x v="0"/>
    <x v="1"/>
    <d v="2023-04-13T09:00:00"/>
    <s v="TCLU8287657"/>
    <n v="40"/>
    <x v="0"/>
    <s v="AJINOMOTO"/>
    <s v="LIMEIRA"/>
    <n v="3696"/>
    <s v="LOGIN JATOBA  239S"/>
    <n v="105515"/>
    <n v="105516"/>
    <s v="DDL8B54"/>
    <s v="FEI4012"/>
    <s v="WILTON SILVA BARBOSA"/>
    <s v="27455658850"/>
    <s v="01286008208"/>
    <n v="3565"/>
    <s v="DPW"/>
    <d v="2023-04-13T06:40:00"/>
    <s v="TRANSTEC SANTOS"/>
    <d v="2023-04-14T10:49:00"/>
    <d v="2023-04-13T12:00:00"/>
    <d v="2023-04-13T15:15:00"/>
    <n v="3400"/>
    <n v="565.20000000000005"/>
    <m/>
    <m/>
    <m/>
    <m/>
    <m/>
    <n v="558.28440000000001"/>
    <n v="4652.37"/>
    <x v="3"/>
    <x v="0"/>
    <s v="Demora para sair da DPW 3H"/>
    <x v="4"/>
    <s v="SIM"/>
    <s v="SIM"/>
    <s v="SIM"/>
  </r>
  <r>
    <x v="0"/>
    <x v="0"/>
    <d v="2023-04-14T08:00:00"/>
    <s v="CAIU3161459"/>
    <n v="20"/>
    <x v="0"/>
    <s v="CHARQUE CAMPEAO"/>
    <s v="SANTANA DE PARNAIBA"/>
    <n v="3668"/>
    <s v="LOGIN JATOBA  239S"/>
    <n v="115284"/>
    <m/>
    <s v="FXG5H10"/>
    <s v="DBC3G21"/>
    <s v="ROBERTO CARLOS BEZERRA PIRES"/>
    <s v="27455658850"/>
    <s v="01286008208"/>
    <n v="3566"/>
    <s v="DPW"/>
    <d v="2023-04-13T20:44:00"/>
    <s v="TRANSTEC SANTOS"/>
    <d v="2023-04-14T11:03:00"/>
    <d v="2023-04-14T00:45:00"/>
    <d v="2023-04-14T07:45:00"/>
    <n v="2300"/>
    <m/>
    <m/>
    <m/>
    <m/>
    <m/>
    <m/>
    <n v="399.62399999999997"/>
    <n v="3330.2"/>
    <x v="3"/>
    <x v="0"/>
    <m/>
    <x v="0"/>
    <s v="SIM"/>
    <s v="SIM"/>
    <s v="SIM"/>
  </r>
  <r>
    <x v="0"/>
    <x v="0"/>
    <d v="2023-04-17T08:00:00"/>
    <s v="TCLU3060402"/>
    <n v="20"/>
    <x v="0"/>
    <s v="MOINHO ROMANIZ"/>
    <s v="ITAQUERA"/>
    <n v="3265"/>
    <s v="LOGIN JATOBA  239S"/>
    <n v="105328"/>
    <m/>
    <s v="FXG5H10"/>
    <s v="DBC3G21"/>
    <s v="ROBERTO CARLOS BEZERRA PIRES"/>
    <s v="27455658850"/>
    <s v="01286008208"/>
    <n v="3567"/>
    <s v="DPW"/>
    <d v="2023-04-16T21:23:00"/>
    <s v="TRANSTEC SANTOS"/>
    <d v="2023-04-18T14:30:00"/>
    <d v="2023-04-17T00:15:00"/>
    <d v="2023-04-17T15:40:00"/>
    <n v="2000"/>
    <m/>
    <m/>
    <m/>
    <m/>
    <m/>
    <m/>
    <n v="355.75439999999998"/>
    <n v="2964.62"/>
    <x v="3"/>
    <x v="0"/>
    <m/>
    <x v="0"/>
    <s v="SIM"/>
    <s v="SIM"/>
    <s v="SIM"/>
  </r>
  <r>
    <x v="0"/>
    <x v="0"/>
    <d v="2023-04-18T08:00:00"/>
    <s v="CAIU3018010"/>
    <n v="20"/>
    <x v="0"/>
    <s v="NEW MAX"/>
    <s v="AMERICANA"/>
    <n v="3669"/>
    <s v="LOGIN JATOBA  239S"/>
    <n v="105426"/>
    <m/>
    <s v="EPU5990"/>
    <s v="BSG1D88"/>
    <s v="LEANDRO SOARES CAETANO"/>
    <s v="10485530864"/>
    <s v="02033192841"/>
    <n v="3570"/>
    <s v="DPW"/>
    <d v="2023-04-17T20:56:00"/>
    <s v="TRANSTEC SANTOS"/>
    <d v="2023-04-18T14:35:00"/>
    <d v="2023-04-18T01:15:00"/>
    <d v="2023-04-18T10:50:00"/>
    <n v="3200"/>
    <m/>
    <m/>
    <m/>
    <m/>
    <m/>
    <m/>
    <n v="571.48680000000002"/>
    <n v="4762.3900000000003"/>
    <x v="3"/>
    <x v="0"/>
    <m/>
    <x v="0"/>
    <s v="SIM"/>
    <s v="SIM"/>
    <s v="SIM"/>
  </r>
  <r>
    <x v="0"/>
    <x v="0"/>
    <d v="2023-04-18T08:00:00"/>
    <s v="CAIU2929199"/>
    <n v="20"/>
    <x v="0"/>
    <s v="ADESTE"/>
    <s v="SANTO ANDRE"/>
    <n v="3672"/>
    <s v="LOGIN JATOBA  239S"/>
    <n v="105494"/>
    <m/>
    <s v="BHP9483"/>
    <s v="BSF4E26"/>
    <s v="ANACLETO RODRIGUES DE SANTANA"/>
    <s v="01817591878"/>
    <s v="00821760640"/>
    <n v="3568"/>
    <s v="DPW"/>
    <d v="2023-04-18T00:05:00"/>
    <s v="TRANSTEC SANTOS"/>
    <d v="2023-04-18T14:15:00"/>
    <d v="2023-04-18T03:00:00"/>
    <d v="2023-04-18T11:35:00"/>
    <n v="1600"/>
    <m/>
    <m/>
    <m/>
    <m/>
    <m/>
    <m/>
    <n v="415.74719999999996"/>
    <n v="3464.56"/>
    <x v="3"/>
    <x v="0"/>
    <m/>
    <x v="0"/>
    <s v="SIM"/>
    <s v="SIM"/>
    <s v="SIM"/>
  </r>
  <r>
    <x v="0"/>
    <x v="0"/>
    <d v="2023-04-18T08:00:00"/>
    <s v="CRSU9158225"/>
    <n v="40"/>
    <x v="0"/>
    <s v="DOREMUS"/>
    <s v="GUARULHOS"/>
    <n v="3674"/>
    <s v="LOGIN JATOBA  239S"/>
    <n v="105443"/>
    <m/>
    <s v="CGS0A65"/>
    <s v="BSG5I57"/>
    <s v="MARCOS PAULO NUNES"/>
    <n v="16239341843"/>
    <s v="01877235038"/>
    <n v="3569"/>
    <s v="DPW"/>
    <d v="2023-04-17T22:58:00"/>
    <s v="TRANSTEC SANTOS"/>
    <d v="2023-04-18T14:22:00"/>
    <d v="2023-04-18T02:00:00"/>
    <d v="2023-04-18T11:45:00"/>
    <n v="2100"/>
    <m/>
    <m/>
    <m/>
    <m/>
    <m/>
    <m/>
    <n v="370.37759999999997"/>
    <n v="3086.48"/>
    <x v="3"/>
    <x v="0"/>
    <m/>
    <x v="0"/>
    <s v="SIM"/>
    <s v="SIM"/>
    <s v="SIM"/>
  </r>
  <r>
    <x v="0"/>
    <x v="1"/>
    <d v="2023-04-24T08:00:00"/>
    <s v="TCLU8698956"/>
    <n v="40"/>
    <x v="0"/>
    <s v="MAXSOY"/>
    <s v="HORTOLANDIA"/>
    <n v="3850"/>
    <s v="MERCOSUL GUARANI  060S"/>
    <n v="105557"/>
    <m/>
    <s v="DFT0E47"/>
    <s v="BVT0E67"/>
    <s v="ALMIR CARDOSO DOS SANTOS"/>
    <s v="09776430856"/>
    <s v="01258979905"/>
    <n v="15770"/>
    <s v="DPW"/>
    <d v="2023-04-22T15:31:00"/>
    <s v="MEDLOG"/>
    <d v="2023-04-24T22:53:00"/>
    <d v="2023-04-24T08:15:00"/>
    <d v="2023-04-25T18:10:00"/>
    <n v="2500"/>
    <m/>
    <m/>
    <m/>
    <m/>
    <m/>
    <m/>
    <n v="501.59999999999997"/>
    <n v="4180"/>
    <x v="3"/>
    <x v="0"/>
    <s v="Falta de janela"/>
    <x v="4"/>
    <s v="SIM"/>
    <s v="SIM"/>
    <s v="SIM"/>
  </r>
  <r>
    <x v="0"/>
    <x v="0"/>
    <d v="2023-04-24T08:00:00"/>
    <s v="CAIU8802365"/>
    <n v="40"/>
    <x v="0"/>
    <s v="AJINOMOTO"/>
    <s v="LIMEIRA"/>
    <n v="3854"/>
    <s v="MERCOSUL GUARANI  060S"/>
    <n v="105654"/>
    <n v="105655"/>
    <s v="DDL8B54"/>
    <s v="FEI4012"/>
    <s v="WILTON SILVA BARBOSA"/>
    <s v="27455658850"/>
    <s v="01286008208"/>
    <n v="15757"/>
    <s v="DPW"/>
    <d v="2023-04-24T01:30:00"/>
    <s v="MEDLOG"/>
    <d v="2023-04-24T15:22:00"/>
    <d v="2023-04-24T06:20:00"/>
    <d v="2023-04-24T11:20:00"/>
    <n v="3400"/>
    <n v="565.20000000000005"/>
    <m/>
    <m/>
    <m/>
    <m/>
    <m/>
    <n v="558.28440000000001"/>
    <n v="4652.37"/>
    <x v="3"/>
    <x v="0"/>
    <m/>
    <x v="0"/>
    <s v="SIM"/>
    <s v="SIM"/>
    <s v="SIM"/>
  </r>
  <r>
    <x v="0"/>
    <x v="1"/>
    <d v="2023-04-24T08:00:00"/>
    <s v="CAAU6490250"/>
    <n v="40"/>
    <x v="0"/>
    <s v="AJINOMOTO"/>
    <s v="LIMEIRA"/>
    <n v="3853"/>
    <s v="MERCOSUL GUARANI  060S"/>
    <n v="105656"/>
    <n v="105657"/>
    <s v="FRG7C59"/>
    <s v="EWJ4J85"/>
    <s v="WILSON FLAVIO ALVES DA SILVA"/>
    <s v="27455658850"/>
    <s v="01286008208"/>
    <n v="15768"/>
    <s v="DPW"/>
    <d v="2023-04-24T04:22:00"/>
    <s v="MEDLOG"/>
    <d v="2023-04-24T22:45:00"/>
    <d v="2023-04-24T08:44:00"/>
    <d v="2023-04-24T16:30:00"/>
    <n v="3400"/>
    <m/>
    <m/>
    <m/>
    <m/>
    <m/>
    <m/>
    <n v="558.28440000000001"/>
    <n v="4652.37"/>
    <x v="3"/>
    <x v="0"/>
    <s v="Falta de janela"/>
    <x v="4"/>
    <s v="SIM"/>
    <s v="SIM"/>
    <s v="SIM"/>
  </r>
  <r>
    <x v="0"/>
    <x v="0"/>
    <d v="2023-04-24T08:00:00"/>
    <s v="TCNU8696565"/>
    <n v="40"/>
    <x v="0"/>
    <s v="DOREMUS"/>
    <s v="GUARULHOS"/>
    <n v="3851"/>
    <s v="MERCOSUL GUARANI  060S"/>
    <n v="105554"/>
    <m/>
    <s v="CGS0A65"/>
    <s v="BSG5I57"/>
    <s v="MARCOS PAULO NUNES"/>
    <n v="16239341843"/>
    <s v="01877235038"/>
    <n v="15761"/>
    <s v="DPW"/>
    <d v="2023-04-23T22:39:00"/>
    <s v="MEDLOG"/>
    <d v="2023-04-24T14:37:00"/>
    <d v="2023-04-24T01:35:00"/>
    <d v="2023-04-24T10:50:00"/>
    <n v="2100"/>
    <n v="0"/>
    <m/>
    <m/>
    <m/>
    <m/>
    <m/>
    <n v="370.37759999999997"/>
    <n v="3086.48"/>
    <x v="3"/>
    <x v="0"/>
    <m/>
    <x v="0"/>
    <s v="SIM"/>
    <s v="SIM"/>
    <s v="SIM"/>
  </r>
  <r>
    <x v="0"/>
    <x v="0"/>
    <d v="2023-04-24T08:00:00"/>
    <s v="CAIU3309844"/>
    <n v="20"/>
    <x v="0"/>
    <s v="CHARQUE CAMPEAO"/>
    <s v="SANTANA DE PARNAIBA"/>
    <n v="3859"/>
    <s v="MERCOSUL GUARANI  060S"/>
    <n v="115580"/>
    <m/>
    <s v="BYA0806"/>
    <s v="BWN2701"/>
    <s v="MIGUEL ARNOLD"/>
    <s v="10838670830"/>
    <s v="01808675938"/>
    <n v="15742"/>
    <s v="DPW"/>
    <d v="2023-04-23T08:15:00"/>
    <s v="MEDLOG"/>
    <d v="2023-04-24T18:49:00"/>
    <d v="2023-04-23T15:00:00"/>
    <d v="2023-04-24T10:10:00"/>
    <n v="2300"/>
    <n v="0"/>
    <m/>
    <m/>
    <m/>
    <m/>
    <m/>
    <n v="399.62399999999997"/>
    <n v="3330.2"/>
    <x v="3"/>
    <x v="0"/>
    <m/>
    <x v="0"/>
    <s v="SIM"/>
    <s v="SIM"/>
    <s v="SIM"/>
  </r>
  <r>
    <x v="0"/>
    <x v="0"/>
    <d v="2023-04-24T08:00:00"/>
    <s v="CAIU3156766"/>
    <n v="20"/>
    <x v="1"/>
    <s v="MIAN"/>
    <s v="SBC"/>
    <n v="3860"/>
    <s v="MERCOSUL GUARANI  060S"/>
    <n v="115579"/>
    <m/>
    <s v="BHP9483"/>
    <s v="BSF4E26"/>
    <s v="ANACLETO RODRIGUES DE SANTANA"/>
    <s v="01817591878"/>
    <s v="00821760640"/>
    <n v="15762"/>
    <s v="DPW"/>
    <d v="2023-04-23T22:33:00"/>
    <s v="MEDLOG"/>
    <d v="2023-04-25T16:18:00"/>
    <d v="2023-04-24T00:30:00"/>
    <d v="2023-04-24T11:10:00"/>
    <n v="1600"/>
    <n v="0"/>
    <m/>
    <m/>
    <m/>
    <m/>
    <m/>
    <n v="311.55959999999999"/>
    <n v="2596.33"/>
    <x v="3"/>
    <x v="0"/>
    <m/>
    <x v="0"/>
    <s v="SIM"/>
    <s v="SIM"/>
    <s v="SIM"/>
  </r>
  <r>
    <x v="0"/>
    <x v="0"/>
    <d v="2023-04-24T08:00:00"/>
    <s v="GESU1439348"/>
    <n v="20"/>
    <x v="1"/>
    <s v="MIAN"/>
    <s v="SBC"/>
    <n v="3862"/>
    <s v="MERCOSUL GUARANI  060S"/>
    <n v="105652"/>
    <m/>
    <s v="KBK0D67"/>
    <s v="BWP9J59"/>
    <s v="JOAO BATISTA DOS SANTOS"/>
    <s v="13990937898"/>
    <s v="01825123407"/>
    <n v="15763"/>
    <s v="DPW"/>
    <d v="2023-04-23T22:23:00"/>
    <s v="MEDLOG"/>
    <d v="2023-04-24T14:08:00"/>
    <d v="2023-04-24T00:30:00"/>
    <d v="2023-04-24T10:35:00"/>
    <n v="1600"/>
    <n v="0"/>
    <m/>
    <m/>
    <m/>
    <m/>
    <m/>
    <n v="311.55959999999999"/>
    <n v="2596.33"/>
    <x v="3"/>
    <x v="0"/>
    <m/>
    <x v="0"/>
    <s v="SIM"/>
    <s v="SIM"/>
    <s v="SIM"/>
  </r>
  <r>
    <x v="0"/>
    <x v="0"/>
    <d v="2023-04-24T08:00:00"/>
    <s v="CAIU3412744"/>
    <n v="20"/>
    <x v="0"/>
    <s v="VILHENA"/>
    <s v="CAJAMAR"/>
    <n v="3856"/>
    <s v="MERCOSUL GUARANI  060S"/>
    <n v="115511"/>
    <m/>
    <s v="FXG5H10"/>
    <s v="DBC3G21"/>
    <s v="ROBERTO CARLOS BEZERRA PIRES"/>
    <s v="27455658850"/>
    <s v="01286008208"/>
    <n v="15758"/>
    <s v="DPW"/>
    <d v="2023-04-23T20:43:00"/>
    <s v="MEDLOG"/>
    <d v="2023-04-24T14:47:00"/>
    <d v="2023-04-24T00:20:00"/>
    <d v="2023-04-24T10:17:00"/>
    <n v="2350"/>
    <n v="0"/>
    <m/>
    <n v="600"/>
    <m/>
    <m/>
    <m/>
    <n v="529.16279999999995"/>
    <n v="4409.6899999999996"/>
    <x v="3"/>
    <x v="0"/>
    <m/>
    <x v="0"/>
    <s v="SIM"/>
    <s v="SIM"/>
    <s v="SIM"/>
  </r>
  <r>
    <x v="0"/>
    <x v="0"/>
    <d v="2023-04-24T08:00:00"/>
    <s v="CAIU3417197"/>
    <n v="20"/>
    <x v="0"/>
    <s v="VILHETO"/>
    <s v="BARUERI"/>
    <n v="3855"/>
    <s v="MERCOSUL GUARANI  060S"/>
    <n v="115512"/>
    <m/>
    <s v="EWJ2162"/>
    <s v="ETF6391"/>
    <s v="CARLOS BUENO BALTAZAR"/>
    <n v="19279658883"/>
    <s v="01301319672"/>
    <n v="15759"/>
    <s v="DPW"/>
    <d v="2023-04-23T22:47:00"/>
    <s v="MEDLOG"/>
    <d v="2023-04-24T16:28:00"/>
    <d v="2023-04-24T02:00:00"/>
    <d v="2023-04-24T11:20:00"/>
    <n v="2200"/>
    <n v="0"/>
    <m/>
    <n v="600"/>
    <m/>
    <m/>
    <m/>
    <n v="510.26519999999999"/>
    <n v="4252.21"/>
    <x v="3"/>
    <x v="0"/>
    <m/>
    <x v="0"/>
    <s v="SIM"/>
    <s v="SIM"/>
    <s v="SIM"/>
  </r>
  <r>
    <x v="0"/>
    <x v="0"/>
    <d v="2023-04-25T08:00:00"/>
    <s v="TCLU8287493"/>
    <n v="40"/>
    <x v="0"/>
    <s v="DOREMUS"/>
    <s v="GUARULHOS"/>
    <n v="3849"/>
    <s v="MERCOSUL GUARANI  060S"/>
    <n v="105553"/>
    <m/>
    <s v="BHP9483"/>
    <s v="BSF4E26"/>
    <s v="ANACLETO RODRIGUES DE SANTANA"/>
    <s v="01817591878"/>
    <s v="00821760640"/>
    <n v="15786"/>
    <s v="DPW"/>
    <d v="2023-04-24T22:38:00"/>
    <s v="MEDLOG"/>
    <d v="2023-04-25T14:35:00"/>
    <d v="2023-04-25T02:45:00"/>
    <d v="2023-04-25T11:30:00"/>
    <n v="2100"/>
    <m/>
    <m/>
    <m/>
    <m/>
    <m/>
    <m/>
    <n v="370.37759999999997"/>
    <n v="3086.48"/>
    <x v="3"/>
    <x v="0"/>
    <m/>
    <x v="0"/>
    <s v="SIM"/>
    <s v="SIM"/>
    <s v="SIM"/>
  </r>
  <r>
    <x v="0"/>
    <x v="0"/>
    <d v="2023-04-25T08:00:00"/>
    <s v="CAIU8207418"/>
    <n v="40"/>
    <x v="0"/>
    <s v="AJINOMOTO"/>
    <s v="LIMEIRA"/>
    <n v="3848"/>
    <s v="MERCOSUL GUARANI  060S"/>
    <n v="105606"/>
    <n v="105607"/>
    <s v="DDL8B54"/>
    <s v="FEI4012"/>
    <s v="WILTON SILVA BARBOSA"/>
    <s v="27455658850"/>
    <s v="01286008208"/>
    <n v="15780"/>
    <s v="DPW"/>
    <d v="2023-04-25T02:39:00"/>
    <s v="MEDLOG"/>
    <d v="2023-04-25T18:22:00"/>
    <d v="2023-04-25T06:00:00"/>
    <d v="2023-04-25T13:00:00"/>
    <n v="3400"/>
    <m/>
    <m/>
    <m/>
    <m/>
    <m/>
    <m/>
    <n v="558.28440000000001"/>
    <n v="4652.37"/>
    <x v="3"/>
    <x v="0"/>
    <m/>
    <x v="0"/>
    <s v="SIM"/>
    <s v="SIM"/>
    <s v="SIM"/>
  </r>
  <r>
    <x v="0"/>
    <x v="1"/>
    <d v="2023-04-25T08:00:00"/>
    <s v="FCIU8831715"/>
    <n v="40"/>
    <x v="0"/>
    <s v="AJINOMOTO"/>
    <s v="LIMEIRA"/>
    <n v="3852"/>
    <s v="MERCOSUL GUARANI  060S"/>
    <n v="105658"/>
    <n v="105659"/>
    <s v="FGD8G49"/>
    <s v="FUJ0D24"/>
    <s v="GILVAN LAURENTINO DA SILVA"/>
    <s v="92693377404"/>
    <s v="02954783990"/>
    <n v="15781"/>
    <s v="DPW"/>
    <d v="2023-04-25T06:22:00"/>
    <s v="MEDLOG"/>
    <d v="2023-04-25T23:23:00"/>
    <d v="2023-04-25T11:00:00"/>
    <d v="2023-04-25T14:00:00"/>
    <n v="3400"/>
    <m/>
    <m/>
    <m/>
    <m/>
    <m/>
    <m/>
    <n v="558.28440000000001"/>
    <n v="4652.37"/>
    <x v="3"/>
    <x v="0"/>
    <s v="Falta de janela"/>
    <x v="4"/>
    <s v="SIM"/>
    <s v="SIM"/>
    <s v="SIM"/>
  </r>
  <r>
    <x v="0"/>
    <x v="1"/>
    <d v="2023-04-25T08:00:00"/>
    <s v="CAIU4703019"/>
    <n v="40"/>
    <x v="0"/>
    <s v="DOREMUS"/>
    <s v="GUARULHOS"/>
    <n v="3847"/>
    <s v="MERCOSUL GUARANI  060S"/>
    <n v="105552"/>
    <m/>
    <s v="DFT0E47"/>
    <s v="BVT0E67"/>
    <s v="ALMIR CARDOSO DOS SANTOS"/>
    <s v="09776430856"/>
    <s v="01258979905"/>
    <n v="15782"/>
    <s v="DPW"/>
    <d v="2023-04-25T07:08:00"/>
    <s v="MEDLOG"/>
    <d v="2023-04-25T16:29:00"/>
    <d v="2023-04-25T09:33:00"/>
    <d v="2023-04-25T11:20:00"/>
    <n v="2100"/>
    <m/>
    <m/>
    <m/>
    <m/>
    <m/>
    <m/>
    <n v="370.37759999999997"/>
    <n v="3086.48"/>
    <x v="3"/>
    <x v="0"/>
    <s v="Falta de janela"/>
    <x v="4"/>
    <s v="SIM"/>
    <s v="SIM"/>
    <s v="SIM"/>
  </r>
  <r>
    <x v="0"/>
    <x v="0"/>
    <d v="2023-04-25T08:00:00"/>
    <s v="CAIU3154845"/>
    <n v="20"/>
    <x v="0"/>
    <s v="NEW MAX"/>
    <s v="AMERICANA"/>
    <n v="3858"/>
    <s v="MERCOSUL GUARANI  060S"/>
    <n v="105581"/>
    <m/>
    <s v="EWJ2162"/>
    <s v="ETF6391"/>
    <s v="CARLOS BUENO BALTAZAR"/>
    <n v="19279658883"/>
    <s v="01301319672"/>
    <n v="15783"/>
    <s v="DPW"/>
    <d v="2023-04-25T00:11:00"/>
    <s v="MEDLOG"/>
    <d v="2023-04-25T18:27:00"/>
    <d v="2023-04-25T04:50:00"/>
    <d v="2023-04-25T12:10:00"/>
    <n v="3200"/>
    <m/>
    <m/>
    <m/>
    <m/>
    <m/>
    <m/>
    <n v="571.48680000000002"/>
    <n v="4762.3900000000003"/>
    <x v="3"/>
    <x v="0"/>
    <m/>
    <x v="0"/>
    <s v="SIM"/>
    <s v="SIM"/>
    <s v="SIM"/>
  </r>
  <r>
    <x v="0"/>
    <x v="0"/>
    <d v="2023-04-25T08:00:00"/>
    <s v="CAIU3155878"/>
    <n v="20"/>
    <x v="0"/>
    <s v="NEW MAX"/>
    <s v="AMERICANA"/>
    <n v="3857"/>
    <s v="MERCOSUL GUARANI  060S"/>
    <n v="105582"/>
    <m/>
    <s v="EPU5990"/>
    <s v="BSG1D88"/>
    <s v="LEANDRO SOARES CAETANO"/>
    <s v="10485530864"/>
    <s v="02033192841"/>
    <s v="15784C / 15899"/>
    <s v="DPW"/>
    <d v="2023-04-25T00:49:00"/>
    <s v="MEDLOG"/>
    <d v="2023-04-25T16:17:00"/>
    <d v="2023-04-25T07:00:00"/>
    <d v="2023-04-25T10:30:00"/>
    <n v="3200"/>
    <m/>
    <m/>
    <m/>
    <m/>
    <m/>
    <m/>
    <n v="571.48680000000002"/>
    <n v="4762.3900000000003"/>
    <x v="3"/>
    <x v="0"/>
    <m/>
    <x v="0"/>
    <s v="SIM"/>
    <s v="SIM"/>
    <s v="SIM"/>
  </r>
  <r>
    <x v="0"/>
    <x v="0"/>
    <d v="2023-04-25T08:00:00"/>
    <s v="CAIU3277644"/>
    <n v="20"/>
    <x v="0"/>
    <s v="NEW MAX"/>
    <s v="AMERICANA"/>
    <n v="3863"/>
    <s v="MERCOSUL GUARANI  060S"/>
    <n v="105661"/>
    <m/>
    <s v="FXG5H10"/>
    <s v="DBC3G21"/>
    <s v="ROBERTO CARLOS BEZERRA PIRES"/>
    <s v="27455658850"/>
    <s v="01286008208"/>
    <n v="15785"/>
    <s v="DPW"/>
    <d v="2023-04-24T20:51:00"/>
    <s v="MEDLOG"/>
    <d v="2023-04-25T16:08:00"/>
    <d v="2023-04-25T02:00:00"/>
    <d v="2023-04-25T10:30:00"/>
    <n v="3200"/>
    <m/>
    <m/>
    <m/>
    <m/>
    <m/>
    <m/>
    <n v="571.48680000000002"/>
    <n v="4762.3900000000003"/>
    <x v="3"/>
    <x v="0"/>
    <m/>
    <x v="0"/>
    <s v="SIM"/>
    <s v="SIM"/>
    <s v="SIM"/>
  </r>
  <r>
    <x v="0"/>
    <x v="0"/>
    <d v="2023-04-26T08:00:00"/>
    <s v="CAIU3309973"/>
    <n v="20"/>
    <x v="0"/>
    <s v="KERRY"/>
    <s v="COTIA"/>
    <n v="3864"/>
    <s v="MERCOSUL GUARANI  060S"/>
    <n v="105660"/>
    <m/>
    <s v="EWJ2162"/>
    <s v="ETF6391"/>
    <s v="CARLOS BUENO BALTAZAR"/>
    <n v="19279658883"/>
    <s v="01301319672"/>
    <n v="15741"/>
    <s v="DPW"/>
    <d v="2023-04-26T01:01:00"/>
    <s v="MEDLOG"/>
    <d v="2023-04-26T20:17:00"/>
    <d v="2023-04-26T04:00:00"/>
    <d v="2023-04-26T16:00:00"/>
    <n v="2200"/>
    <m/>
    <m/>
    <n v="600"/>
    <m/>
    <m/>
    <m/>
    <n v="473.5104"/>
    <n v="3945.92"/>
    <x v="3"/>
    <x v="0"/>
    <m/>
    <x v="0"/>
    <s v="SIM"/>
    <s v="SIM"/>
    <s v="SIM"/>
  </r>
  <r>
    <x v="0"/>
    <x v="0"/>
    <d v="2023-04-26T08:00:00"/>
    <s v="CAIU2938293"/>
    <n v="20"/>
    <x v="1"/>
    <s v="MIAN"/>
    <s v="SBC"/>
    <n v="3861"/>
    <s v="MERCOSUL GUARANI  060S"/>
    <n v="105651"/>
    <m/>
    <s v="KBK0D67"/>
    <s v="BWP9J59"/>
    <s v="JOAO BATISTA DOS SANTOS"/>
    <s v="13990937898"/>
    <s v="01825123407"/>
    <n v="15799"/>
    <s v="DPW"/>
    <d v="2023-04-25T22:28:00"/>
    <s v="MEDLOG"/>
    <d v="2023-04-26T14:04:00"/>
    <d v="2023-04-26T03:00:00"/>
    <d v="2023-04-26T10:40:00"/>
    <n v="1600"/>
    <m/>
    <m/>
    <m/>
    <m/>
    <m/>
    <m/>
    <n v="311.55959999999999"/>
    <n v="2596.33"/>
    <x v="3"/>
    <x v="0"/>
    <m/>
    <x v="0"/>
    <s v="SIM"/>
    <s v="SIM"/>
    <s v="SIM"/>
  </r>
  <r>
    <x v="0"/>
    <x v="0"/>
    <d v="2023-04-27T08:00:00"/>
    <s v="MSKU3137353"/>
    <n v="20"/>
    <x v="1"/>
    <s v="MIAN"/>
    <s v="SBC"/>
    <s v="AAK219BB"/>
    <s v="PEDRO ALVARES CABRAL  315S"/>
    <n v="70238"/>
    <m/>
    <s v="BXD2J87"/>
    <s v="GIK5H08"/>
    <s v="AGEILSON ANTONIO DA SILVA"/>
    <s v="09085263425"/>
    <s v="04557705505"/>
    <s v="15807C / 15937"/>
    <s v="SANTOS BRASIL"/>
    <d v="2023-04-27T05:11:00"/>
    <s v="TRANSTEC SANTOS"/>
    <d v="2023-04-27T14:15:00"/>
    <d v="2023-04-27T07:08:00"/>
    <d v="2023-04-27T12:36:00"/>
    <n v="1600"/>
    <m/>
    <m/>
    <m/>
    <m/>
    <m/>
    <m/>
    <n v="288"/>
    <n v="2400"/>
    <x v="3"/>
    <x v="0"/>
    <m/>
    <x v="0"/>
    <s v="SIM"/>
    <s v="SIM"/>
    <s v="SIM"/>
  </r>
  <r>
    <x v="0"/>
    <x v="0"/>
    <d v="2023-04-27T08:00:00"/>
    <s v="MRSU0013724"/>
    <n v="20"/>
    <x v="1"/>
    <s v="MIAN"/>
    <s v="SBC"/>
    <s v="AAK219BB"/>
    <s v="PEDRO ALVARES CABRAL  315S"/>
    <n v="70239"/>
    <m/>
    <s v="FXG5H10"/>
    <s v="BSG5I57"/>
    <s v="ROBERTO CARLOS BEZERRA PIRES"/>
    <s v="27455658850"/>
    <s v="01286008208"/>
    <s v="15806C / 15938"/>
    <s v="SANTOS BRASIL"/>
    <d v="2023-04-26T21:43:00"/>
    <s v="TRANSTEC SANTOS"/>
    <d v="2023-04-27T11:21:00"/>
    <d v="2023-04-27T00:15:00"/>
    <d v="2023-04-27T08:45:00"/>
    <n v="1600"/>
    <m/>
    <m/>
    <m/>
    <m/>
    <m/>
    <m/>
    <n v="288"/>
    <n v="2400"/>
    <x v="3"/>
    <x v="0"/>
    <m/>
    <x v="0"/>
    <s v="SIM"/>
    <s v="SIM"/>
    <s v="SIM"/>
  </r>
  <r>
    <x v="0"/>
    <x v="1"/>
    <d v="2023-04-27T08:00:00"/>
    <s v="MRKU9171564"/>
    <n v="20"/>
    <x v="0"/>
    <s v="MOINHO ROMANIZ"/>
    <s v="ITAQUERA"/>
    <s v="AAK329QB"/>
    <s v="PEDRO ALVARES CABRAL  315S"/>
    <n v="105733"/>
    <m/>
    <s v="EWJ2162"/>
    <s v="ETF6391"/>
    <s v="CARLOS BUENO BALTAZAR"/>
    <n v="19279658883"/>
    <s v="01301319672"/>
    <n v="15805"/>
    <s v="SANTOS BRASIL"/>
    <d v="2023-04-27T05:55:00"/>
    <s v="LSM"/>
    <d v="2023-04-27T18:44:00"/>
    <d v="2023-04-27T08:15:00"/>
    <d v="2023-04-27T16:45:00"/>
    <n v="2000"/>
    <m/>
    <m/>
    <m/>
    <m/>
    <m/>
    <m/>
    <n v="355.75439999999998"/>
    <n v="2964.62"/>
    <x v="3"/>
    <x v="0"/>
    <s v="Falta de janela"/>
    <x v="4"/>
    <s v="SIM"/>
    <s v="SIM"/>
    <s v="SIM"/>
  </r>
  <r>
    <x v="0"/>
    <x v="0"/>
    <d v="2023-04-28T08:00:00"/>
    <s v="MRKU9549150"/>
    <n v="20"/>
    <x v="0"/>
    <s v="NEW MAX"/>
    <s v="AMERICANA"/>
    <s v="AAK329QC"/>
    <s v="PEDRO ALVARES CABRAL  315S"/>
    <n v="105773"/>
    <m/>
    <s v="DAJ8C31"/>
    <s v="BSG2A82"/>
    <s v="ALEX DA SILVA FERREIRA"/>
    <s v="03300368820"/>
    <s v="02281615982"/>
    <n v="15814"/>
    <s v="SANTOS BRASIL"/>
    <d v="2023-04-27T22:40:00"/>
    <s v="TRANSTEC SANTOS"/>
    <d v="2023-04-28T00:00:00"/>
    <d v="2023-04-28T02:15:00"/>
    <d v="2023-04-28T11:40:00"/>
    <n v="2100"/>
    <m/>
    <m/>
    <m/>
    <m/>
    <m/>
    <m/>
    <n v="571.48680000000002"/>
    <n v="4762.3900000000003"/>
    <x v="3"/>
    <x v="0"/>
    <m/>
    <x v="0"/>
    <s v="SIM"/>
    <s v="SIM"/>
    <s v="SIM"/>
  </r>
  <r>
    <x v="0"/>
    <x v="0"/>
    <d v="2023-04-28T08:00:00"/>
    <s v="MRKU7141880"/>
    <n v="20"/>
    <x v="0"/>
    <s v="NEW MAX"/>
    <s v="AMERICANA"/>
    <s v="AAK329QC"/>
    <s v="PEDRO ALVARES CABRAL  315S"/>
    <n v="105732"/>
    <m/>
    <s v="BXA8485"/>
    <s v="AGR4C77"/>
    <s v="JOSE LITO DE SOUZA JUNIOR"/>
    <s v="87607395849"/>
    <s v="01842622116"/>
    <n v="15823"/>
    <s v="SANTOS BRASIL"/>
    <d v="2023-04-27T19:31:00"/>
    <s v="TRANSTEC SANTOS"/>
    <d v="2023-04-28T16:54:00"/>
    <d v="2023-04-28T02:10:00"/>
    <d v="2023-04-28T10:10:00"/>
    <n v="3200"/>
    <m/>
    <m/>
    <m/>
    <m/>
    <m/>
    <m/>
    <n v="571.48680000000002"/>
    <n v="4762.3900000000003"/>
    <x v="3"/>
    <x v="0"/>
    <m/>
    <x v="0"/>
    <s v="SIM"/>
    <s v="SIM"/>
    <s v="SIM"/>
  </r>
  <r>
    <x v="0"/>
    <x v="0"/>
    <d v="2023-04-28T08:00:00"/>
    <s v="CAIU2914650"/>
    <n v="20"/>
    <x v="0"/>
    <s v="FUCKS"/>
    <s v="ITUPEVA"/>
    <n v="4169"/>
    <s v="LOGIN JACARANDA  152S"/>
    <n v="105772"/>
    <m/>
    <s v="EWJ2162"/>
    <s v="ETF6391"/>
    <s v="CARLOS BUENO BALTAZAR"/>
    <n v="19279658883"/>
    <s v="01301319672"/>
    <n v="15815"/>
    <s v="DPW"/>
    <d v="2023-04-28T02:42:00"/>
    <s v="TRANSTEC SANTOS"/>
    <d v="2023-04-29T09:29:00"/>
    <d v="2023-04-28T06:10:00"/>
    <d v="2023-04-28T15:00:00"/>
    <n v="2700"/>
    <m/>
    <m/>
    <n v="600"/>
    <m/>
    <m/>
    <m/>
    <n v="601.46159999999998"/>
    <n v="5012.18"/>
    <x v="3"/>
    <x v="0"/>
    <m/>
    <x v="0"/>
    <s v="SIM"/>
    <s v="SIM"/>
    <s v="SIM"/>
  </r>
  <r>
    <x v="0"/>
    <x v="0"/>
    <d v="2023-04-28T08:00:00"/>
    <s v="SEGU1061524"/>
    <n v="20"/>
    <x v="0"/>
    <s v="CHARQUE CAMPEAO"/>
    <s v="SANTANA PARNAÍBA"/>
    <n v="4167"/>
    <s v="LOGIN JACARANDA  152S"/>
    <n v="115720"/>
    <m/>
    <s v="HWF1J26"/>
    <s v="BTR2408"/>
    <s v="DANILO TADEU AZEVEDO ALVES"/>
    <s v="92922252604"/>
    <s v="00880375606"/>
    <n v="15822"/>
    <s v="DPW"/>
    <d v="2023-04-28T04:38:00"/>
    <s v="TRANSTEC SANTOS"/>
    <d v="2023-04-28T15:12:00"/>
    <d v="2023-04-28T08:00:00"/>
    <d v="2023-04-28T11:55:00"/>
    <n v="2300"/>
    <m/>
    <m/>
    <m/>
    <m/>
    <m/>
    <m/>
    <n v="399.62399999999997"/>
    <n v="3330.2"/>
    <x v="3"/>
    <x v="0"/>
    <m/>
    <x v="0"/>
    <s v="SIM"/>
    <s v="SIM"/>
    <s v="SIM"/>
  </r>
  <r>
    <x v="0"/>
    <x v="0"/>
    <d v="2023-04-28T08:00:00"/>
    <s v="TCLU3466900"/>
    <n v="20"/>
    <x v="0"/>
    <s v="BELLA SACHE"/>
    <s v="SANTA RITA"/>
    <n v="4171"/>
    <s v="LOGIN JACARANDA  152S"/>
    <n v="105852"/>
    <m/>
    <m/>
    <m/>
    <m/>
    <s v=""/>
    <s v=""/>
    <n v="15816"/>
    <s v="DPW"/>
    <d v="2023-04-27T20:58:00"/>
    <s v="TRANSTEC SANTOS"/>
    <d v="2023-04-28T00:00:00"/>
    <d v="2023-04-28T00:05:00"/>
    <d v="2023-04-28T09:00:00"/>
    <n v="2000"/>
    <m/>
    <m/>
    <m/>
    <m/>
    <m/>
    <m/>
    <n v="0"/>
    <m/>
    <x v="3"/>
    <x v="0"/>
    <m/>
    <x v="0"/>
    <s v="SIM"/>
    <s v="SIM"/>
    <s v="SIM"/>
  </r>
  <r>
    <x v="0"/>
    <x v="0"/>
    <d v="2023-04-28T08:00:00"/>
    <s v="TEMU7707705"/>
    <n v="40"/>
    <x v="0"/>
    <s v="JBS"/>
    <s v="SANTANA PARNAIBA"/>
    <n v="4154"/>
    <s v="LOGIN JACARANDA  152S"/>
    <n v="105767"/>
    <m/>
    <s v="FSI0I03"/>
    <s v="DPB9G64"/>
    <s v="EMERSON PEREIRA DA SILVA"/>
    <s v="09803034863"/>
    <s v="01484565209"/>
    <n v="15818"/>
    <s v="DPW"/>
    <d v="2023-04-28T04:02:00"/>
    <s v="TRANSTEC SANTOS"/>
    <d v="2023-04-29T00:00:00"/>
    <d v="2023-04-28T07:55:00"/>
    <d v="2023-04-28T14:15:00"/>
    <n v="2300"/>
    <m/>
    <m/>
    <m/>
    <m/>
    <m/>
    <m/>
    <n v="399.62399999999997"/>
    <n v="3330.2"/>
    <x v="3"/>
    <x v="0"/>
    <m/>
    <x v="0"/>
    <s v="SIM"/>
    <s v="SIM"/>
    <s v="SIM"/>
  </r>
  <r>
    <x v="0"/>
    <x v="0"/>
    <d v="2023-04-28T08:00:00"/>
    <s v="CAIU8209067"/>
    <n v="40"/>
    <x v="0"/>
    <s v="JBS"/>
    <s v="SANTANA PARNAIBA"/>
    <n v="4153"/>
    <s v="LOGIN JACARANDA  152S"/>
    <n v="115769"/>
    <m/>
    <s v="BXD2J87"/>
    <s v="ESU7272"/>
    <s v="AGEILSON ANTONIO DA SILVA"/>
    <s v="09085263425"/>
    <s v="04557705505"/>
    <n v="15819"/>
    <s v="DPW"/>
    <d v="2023-04-28T03:31:00"/>
    <s v="TRANSTEC SANTOS"/>
    <d v="2023-04-28T00:00:00"/>
    <d v="2023-04-28T06:45:00"/>
    <d v="2023-04-28T13:00:00"/>
    <n v="2300"/>
    <m/>
    <m/>
    <m/>
    <m/>
    <m/>
    <m/>
    <n v="399.62399999999997"/>
    <n v="3330.2"/>
    <x v="3"/>
    <x v="0"/>
    <m/>
    <x v="0"/>
    <s v="SIM"/>
    <s v="SIM"/>
    <s v="SIM"/>
  </r>
  <r>
    <x v="0"/>
    <x v="1"/>
    <d v="2023-04-28T08:00:00"/>
    <s v="CAIU8822130"/>
    <n v="40"/>
    <x v="0"/>
    <s v="DOREMUS"/>
    <s v="GUARULHOS"/>
    <n v="4155"/>
    <s v="LOGIN JACARANDA  152S"/>
    <n v="105730"/>
    <m/>
    <s v="FZF3E97"/>
    <s v="FXU8J10"/>
    <s v="FABIO DARIO RODRIGUES"/>
    <s v="26283419801"/>
    <s v="02002046946"/>
    <n v="15817"/>
    <s v="DPW"/>
    <d v="2023-04-28T03:52:00"/>
    <s v="TRANSTEC SANTOS"/>
    <d v="2023-04-28T15:31:00"/>
    <d v="2023-04-28T09:10:00"/>
    <d v="2023-04-28T11:50:00"/>
    <n v="2100"/>
    <m/>
    <m/>
    <m/>
    <m/>
    <m/>
    <m/>
    <n v="370.37759999999997"/>
    <n v="3086.48"/>
    <x v="3"/>
    <x v="0"/>
    <m/>
    <x v="0"/>
    <s v="SIM"/>
    <s v="SIM"/>
    <s v="SIM"/>
  </r>
  <r>
    <x v="0"/>
    <x v="0"/>
    <d v="2023-04-28T15:00:00"/>
    <s v="TEMU8499910"/>
    <n v="40"/>
    <x v="0"/>
    <s v="AJINOMOTO"/>
    <s v="LIMEIRA"/>
    <n v="4157"/>
    <s v="LOGIN JACARANDA  152S"/>
    <n v="105770"/>
    <n v="105771"/>
    <s v="FGD8G49"/>
    <s v="FUJ0D24"/>
    <s v="GILVAN LAURENTINO DA SILVA"/>
    <s v="92693377404"/>
    <s v="02954783990"/>
    <n v="15820"/>
    <s v="DPW"/>
    <d v="2023-04-28T03:29:00"/>
    <s v="TRANSTEC SANTOS"/>
    <d v="2023-04-29T00:00:00"/>
    <d v="2023-04-28T15:00:00"/>
    <d v="2023-04-28T17:15:00"/>
    <n v="3400"/>
    <m/>
    <m/>
    <m/>
    <m/>
    <m/>
    <m/>
    <n v="558.28440000000001"/>
    <n v="4652.37"/>
    <x v="3"/>
    <x v="0"/>
    <m/>
    <x v="0"/>
    <s v="SIM"/>
    <s v="SIM"/>
    <s v="SIM"/>
  </r>
  <r>
    <x v="0"/>
    <x v="0"/>
    <d v="2023-04-28T08:00:00"/>
    <s v="CAIU4693610"/>
    <n v="40"/>
    <x v="0"/>
    <s v="AJINOMOTO"/>
    <s v="LIMEIRA"/>
    <n v="4161"/>
    <s v="LOGIN JACARANDA  152S"/>
    <n v="105865"/>
    <n v="105866"/>
    <s v="FQE9I91"/>
    <s v="DPB9J85"/>
    <s v="MARCO ANTONIO LOBATO CASTILHO"/>
    <s v="05753633803"/>
    <s v="01922497849"/>
    <n v="15821"/>
    <s v="DPW"/>
    <d v="2023-04-28T03:14:00"/>
    <s v="TRANSTEC SANTOS"/>
    <d v="2023-04-28T16:08:00"/>
    <d v="2023-04-28T08:00:00"/>
    <d v="2023-04-28T11:00:00"/>
    <n v="3400"/>
    <m/>
    <m/>
    <m/>
    <m/>
    <m/>
    <m/>
    <n v="558.28440000000001"/>
    <n v="4652.37"/>
    <x v="3"/>
    <x v="0"/>
    <m/>
    <x v="0"/>
    <s v="SIM"/>
    <s v="SIM"/>
    <s v="SIM"/>
  </r>
  <r>
    <x v="0"/>
    <x v="0"/>
    <d v="2023-05-02T08:00:00"/>
    <s v="SEGU1178465"/>
    <n v="20"/>
    <x v="1"/>
    <s v="MIAN"/>
    <s v="SBC"/>
    <n v="4172"/>
    <s v="LOGIN JACARANDA  152S"/>
    <n v="105815"/>
    <m/>
    <s v="GFL7E87"/>
    <s v="GIK5H08"/>
    <s v="JEFFERSON BATISTA ARISTIDES"/>
    <s v="34927982840"/>
    <s v="03500129879"/>
    <n v="15825"/>
    <s v="DPW"/>
    <d v="2023-05-02T03:39:00"/>
    <s v="TRANSTEC SANTOS"/>
    <d v="2023-05-02T12:39:00"/>
    <d v="2023-05-02T08:00:00"/>
    <d v="2023-05-02T11:05:00"/>
    <n v="1600"/>
    <m/>
    <m/>
    <m/>
    <m/>
    <m/>
    <m/>
    <n v="311.55959999999999"/>
    <n v="2596.33"/>
    <x v="4"/>
    <x v="0"/>
    <m/>
    <x v="0"/>
    <s v="SIM"/>
    <s v="SIM"/>
    <s v="SIM"/>
  </r>
  <r>
    <x v="0"/>
    <x v="0"/>
    <d v="2023-05-02T09:00:00"/>
    <s v="CAIU3014416"/>
    <n v="20"/>
    <x v="1"/>
    <s v="MIAN"/>
    <s v="SBC"/>
    <n v="4170"/>
    <s v="LOGIN JACARANDA  152S"/>
    <n v="115839"/>
    <m/>
    <s v="DFT0E47"/>
    <s v="BVT0E67"/>
    <s v="ALMIR CARDOSO DOS SANTOS"/>
    <s v="09776430856"/>
    <s v="01258979905"/>
    <n v="15827"/>
    <s v="DPW"/>
    <d v="2023-05-02T07:46:00"/>
    <s v="TRANSTEC SANTOS"/>
    <d v="2023-05-02T14:58:00"/>
    <d v="2023-05-02T09:00:00"/>
    <d v="2023-05-02T13:30:00"/>
    <n v="1600"/>
    <m/>
    <m/>
    <m/>
    <m/>
    <m/>
    <m/>
    <n v="311.55959999999999"/>
    <n v="2596.33"/>
    <x v="4"/>
    <x v="0"/>
    <m/>
    <x v="0"/>
    <s v="SIM"/>
    <s v="SIM"/>
    <s v="SIM"/>
  </r>
  <r>
    <x v="0"/>
    <x v="1"/>
    <d v="2023-05-02T08:00:00"/>
    <s v="FFAU1195086"/>
    <n v="40"/>
    <x v="0"/>
    <s v="BUNGE"/>
    <s v="SANTOS"/>
    <n v="4163"/>
    <s v="LOGIN JACARANDA  152S"/>
    <n v="105910"/>
    <m/>
    <s v="FSI0I03"/>
    <s v="DPB9G64"/>
    <s v="EMERSON PEREIRA DA SILVA"/>
    <s v="09803034863"/>
    <s v="01484565209"/>
    <n v="15836"/>
    <s v="DPW"/>
    <d v="2023-05-02T09:19:00"/>
    <s v="TRANSTEC SANTOS"/>
    <d v="2023-05-02T00:00:00"/>
    <d v="2023-05-02T11:05:00"/>
    <d v="2023-05-02T15:00:00"/>
    <m/>
    <m/>
    <m/>
    <m/>
    <m/>
    <m/>
    <m/>
    <n v="234"/>
    <n v="1950"/>
    <x v="4"/>
    <x v="0"/>
    <m/>
    <x v="0"/>
    <s v="SIM"/>
    <s v="SIM"/>
    <s v="SIM"/>
  </r>
  <r>
    <x v="0"/>
    <x v="0"/>
    <d v="2023-05-02T08:00:00"/>
    <s v="FCIU8832060"/>
    <n v="40"/>
    <x v="0"/>
    <s v="JBS"/>
    <s v="SANTANA PARNAIBA"/>
    <n v="4158"/>
    <s v="LOGIN JACARANDA  152S"/>
    <n v="115768"/>
    <m/>
    <s v="FRG7C59"/>
    <s v="EWJ4J85"/>
    <s v="WILSON FLAVIO ALVES DA SILVA"/>
    <s v="27455658850"/>
    <s v="01286008208"/>
    <n v="15828"/>
    <s v="DPW"/>
    <d v="2023-05-02T00:26:00"/>
    <s v="TRANSTEC SANTOS"/>
    <d v="2023-05-03T00:00:00"/>
    <d v="2023-05-02T03:30:00"/>
    <d v="2023-05-02T15:40:00"/>
    <n v="2300"/>
    <m/>
    <m/>
    <m/>
    <m/>
    <m/>
    <m/>
    <n v="399.62399999999997"/>
    <n v="3330.2"/>
    <x v="4"/>
    <x v="0"/>
    <m/>
    <x v="0"/>
    <s v="SIM"/>
    <s v="SIM"/>
    <s v="SIM"/>
  </r>
  <r>
    <x v="0"/>
    <x v="1"/>
    <d v="2023-05-02T08:00:00"/>
    <s v="MSMU8722691"/>
    <n v="40"/>
    <x v="0"/>
    <s v="JBS"/>
    <s v="SANTANA PARNAIBA"/>
    <n v="4160"/>
    <s v="LOGIN JACARANDA  152S"/>
    <n v="115848"/>
    <m/>
    <s v="BXD2J87"/>
    <s v="ESU7272"/>
    <s v="AGEILSON ANTONIO DA SILVA"/>
    <s v="09085263425"/>
    <s v="04557705505"/>
    <n v="15829"/>
    <s v="DPW"/>
    <d v="2023-05-02T06:13:00"/>
    <s v="TRANSTEC SANTOS"/>
    <d v="2023-05-03T09:08:00"/>
    <d v="2023-05-02T09:30:00"/>
    <d v="2023-05-02T16:55:00"/>
    <n v="2300"/>
    <m/>
    <m/>
    <m/>
    <m/>
    <m/>
    <m/>
    <n v="399.62399999999997"/>
    <n v="3330.2"/>
    <x v="4"/>
    <x v="0"/>
    <m/>
    <x v="0"/>
    <s v="SIM"/>
    <s v="SIM"/>
    <s v="SIM"/>
  </r>
  <r>
    <x v="0"/>
    <x v="1"/>
    <d v="2023-05-02T08:00:00"/>
    <s v="GESU5900458"/>
    <n v="40"/>
    <x v="0"/>
    <s v="AJINOMOTO"/>
    <s v="LIMEIRA"/>
    <n v="4162"/>
    <s v="LOGIN JACARANDA  152S"/>
    <n v="105863"/>
    <n v="105864"/>
    <s v="FQE9I91"/>
    <s v="DPB9J85"/>
    <s v="MARCO ANTONIO LOBATO CASTILHO"/>
    <s v="05753633803"/>
    <s v="01922497849"/>
    <n v="15830"/>
    <s v="DPW"/>
    <d v="2023-05-02T06:20:00"/>
    <s v="TRANSTEC SANTOS"/>
    <d v="2023-05-03T12:54:00"/>
    <d v="2023-05-02T11:15:00"/>
    <d v="2023-05-02T13:12:00"/>
    <n v="3400"/>
    <m/>
    <m/>
    <m/>
    <m/>
    <m/>
    <m/>
    <n v="558.28440000000001"/>
    <n v="4652.37"/>
    <x v="4"/>
    <x v="0"/>
    <m/>
    <x v="0"/>
    <s v="SIM"/>
    <s v="SIM"/>
    <s v="SIM"/>
  </r>
  <r>
    <x v="0"/>
    <x v="0"/>
    <d v="2023-05-02T08:00:00"/>
    <s v="TCLU8805967"/>
    <n v="40"/>
    <x v="0"/>
    <s v="AJINOMOTO"/>
    <s v="LIMEIRA"/>
    <n v="4165"/>
    <s v="LOGIN JACARANDA  152S"/>
    <n v="105908"/>
    <n v="105909"/>
    <s v="DDL8B54"/>
    <s v="FEI4012"/>
    <s v="WILTON SILVA BARBOSA"/>
    <s v="27455658850"/>
    <s v="01286008208"/>
    <n v="15831"/>
    <s v="DPW"/>
    <d v="2023-05-01T23:05:00"/>
    <s v="TRANSTEC SANTOS"/>
    <d v="2023-05-02T15:07:00"/>
    <d v="2023-05-02T05:30:00"/>
    <d v="2023-05-02T14:30:00"/>
    <n v="3400"/>
    <n v="565.20000000000005"/>
    <m/>
    <m/>
    <m/>
    <m/>
    <m/>
    <n v="558.28440000000001"/>
    <n v="4652.37"/>
    <x v="4"/>
    <x v="0"/>
    <m/>
    <x v="0"/>
    <s v="SIM"/>
    <s v="SIM"/>
    <s v="SIM"/>
  </r>
  <r>
    <x v="0"/>
    <x v="0"/>
    <d v="2023-05-03T08:00:00"/>
    <s v="CAIU3157090"/>
    <n v="20"/>
    <x v="1"/>
    <s v="MIAN"/>
    <s v="SBC"/>
    <n v="4168"/>
    <s v="LOGIN JACARANDA  152S"/>
    <n v="115719"/>
    <m/>
    <s v="GFL7E87"/>
    <s v="GIK5H08"/>
    <s v="JEFFERSON BATISTA ARISTIDES"/>
    <s v="34927982840"/>
    <s v="03500129879"/>
    <n v="15865"/>
    <s v="DPW"/>
    <d v="2023-05-02T16:32:00"/>
    <s v="TRANSTEC SANTOS"/>
    <d v="2023-05-03T12:55:00"/>
    <d v="2023-05-03T07:05:00"/>
    <d v="2023-05-03T11:10:00"/>
    <n v="1600"/>
    <m/>
    <m/>
    <m/>
    <m/>
    <m/>
    <m/>
    <n v="311.55959999999999"/>
    <n v="2596.33"/>
    <x v="4"/>
    <x v="0"/>
    <m/>
    <x v="0"/>
    <s v="SIM"/>
    <s v="SIM"/>
    <s v="SIM"/>
  </r>
  <r>
    <x v="0"/>
    <x v="0"/>
    <d v="2023-05-03T08:00:00"/>
    <s v="CIPU5013841"/>
    <n v="40"/>
    <x v="0"/>
    <s v="AJINOMOTO"/>
    <s v="LIMEIRA"/>
    <n v="4164"/>
    <s v="LOGIN JACARANDA  152S"/>
    <n v="105906"/>
    <n v="105907"/>
    <s v="DDL8B54"/>
    <s v="FEI4012"/>
    <s v="WILTON SILVA BARBOSA"/>
    <s v="27455658850"/>
    <s v="01286008208"/>
    <n v="15866"/>
    <s v="DPW"/>
    <d v="2023-05-03T00:06:00"/>
    <s v="TRANSTEC SANTOS"/>
    <d v="2023-05-05T17:39:00"/>
    <d v="2023-05-03T06:30:00"/>
    <d v="2023-05-03T10:00:00"/>
    <n v="3400"/>
    <n v="565.20000000000005"/>
    <m/>
    <m/>
    <m/>
    <m/>
    <m/>
    <n v="558.28440000000001"/>
    <n v="4652.37"/>
    <x v="4"/>
    <x v="0"/>
    <m/>
    <x v="0"/>
    <s v="SIM"/>
    <s v="SIM"/>
    <s v="SIM"/>
  </r>
  <r>
    <x v="0"/>
    <x v="0"/>
    <d v="2023-05-03T10:00:00"/>
    <s v="TEMU7890339"/>
    <n v="40"/>
    <x v="0"/>
    <s v="AJINOMOTO"/>
    <s v="LIMEIRA"/>
    <n v="4224"/>
    <s v="LOGIN JACARANDA  152S"/>
    <n v="105901"/>
    <n v="105902"/>
    <s v="FQE9I91"/>
    <s v="DPB9J85"/>
    <s v="MARCO ANTONIO LOBATO CASTILHO"/>
    <s v="05753633803"/>
    <s v="01922497849"/>
    <n v="15867"/>
    <s v="DPW"/>
    <d v="2023-05-03T00:17:00"/>
    <s v="TRANSTEC SANTOS"/>
    <d v="2023-05-03T00:00:00"/>
    <d v="2023-05-03T09:05:00"/>
    <d v="2023-05-03T10:25:00"/>
    <n v="3400"/>
    <m/>
    <m/>
    <m/>
    <m/>
    <m/>
    <m/>
    <n v="558.28440000000001"/>
    <n v="4652.37"/>
    <x v="4"/>
    <x v="0"/>
    <m/>
    <x v="0"/>
    <s v="SIM"/>
    <s v="SIM"/>
    <s v="SIM"/>
  </r>
  <r>
    <x v="0"/>
    <x v="0"/>
    <d v="2023-05-03T08:00:00"/>
    <s v="AMFU8912770"/>
    <n v="40"/>
    <x v="0"/>
    <s v="AJINOMOTO"/>
    <s v="LIMEIRA"/>
    <n v="4159"/>
    <s v="LOGIN JACARANDA  152S"/>
    <n v="105817"/>
    <n v="105818"/>
    <s v="FSI0I03"/>
    <s v="DPB9G64"/>
    <s v="EMERSON PEREIRA DA SILVA"/>
    <s v="09803034863"/>
    <s v="01484565209"/>
    <n v="15868"/>
    <s v="DPW"/>
    <s v="02/05/023 22:01"/>
    <s v="TRANSTEC SANTOS"/>
    <d v="2023-05-03T16:17:00"/>
    <d v="2023-05-03T02:30:00"/>
    <d v="2023-05-03T09:25:00"/>
    <n v="3400"/>
    <m/>
    <m/>
    <m/>
    <m/>
    <m/>
    <m/>
    <n v="558.28440000000001"/>
    <n v="4652.37"/>
    <x v="4"/>
    <x v="0"/>
    <m/>
    <x v="0"/>
    <s v="SIM"/>
    <s v="SIM"/>
    <s v="SIM"/>
  </r>
  <r>
    <x v="0"/>
    <x v="0"/>
    <d v="2023-05-03T08:00:00"/>
    <s v="TCNU8695147"/>
    <n v="40"/>
    <x v="0"/>
    <s v="DENVER"/>
    <s v="COTIA"/>
    <n v="4156"/>
    <s v="LOGIN JACARANDA  152S"/>
    <n v="105766"/>
    <m/>
    <s v="FGD8G49"/>
    <s v="FUJ0D24"/>
    <s v="GILVAN LAURENTINO DA SILVA"/>
    <s v="92693377404"/>
    <s v="02954783990"/>
    <n v="15862"/>
    <s v="DPW"/>
    <d v="2023-05-02T16:09:00"/>
    <s v="TRANSTEC SANTOS"/>
    <d v="2023-05-03T15:44:00"/>
    <d v="2023-05-03T06:10:00"/>
    <d v="2023-05-03T11:15:00"/>
    <n v="2200"/>
    <m/>
    <m/>
    <m/>
    <m/>
    <m/>
    <m/>
    <n v="381.34559999999999"/>
    <n v="3177.88"/>
    <x v="4"/>
    <x v="0"/>
    <m/>
    <x v="0"/>
    <s v="SIM"/>
    <s v="SIM"/>
    <s v="SIM"/>
  </r>
  <r>
    <x v="0"/>
    <x v="0"/>
    <d v="2023-05-02T09:00:00"/>
    <s v="FCIU4276300"/>
    <n v="20"/>
    <x v="2"/>
    <s v="SOSAL"/>
    <s v="SBC"/>
    <s v="AAK386BO"/>
    <s v="VICENTE PIZON  316S"/>
    <n v="105953"/>
    <m/>
    <s v="BHP9483"/>
    <s v="BSF4E26"/>
    <s v="ANACLETO RODRIGUES DE SANTANA"/>
    <s v="01817591878"/>
    <s v="00821760640"/>
    <n v="15833"/>
    <s v="DPW"/>
    <d v="2023-05-01T23:44:00"/>
    <s v="TRANSTEC SANTOS"/>
    <d v="2023-05-02T13:45:00"/>
    <d v="2023-05-02T02:00:00"/>
    <d v="2023-05-02T11:4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2T11:00:00"/>
    <s v="MSKU5426355"/>
    <n v="20"/>
    <x v="2"/>
    <s v="SOSAL"/>
    <s v="SBC"/>
    <s v="AAK386BO"/>
    <s v="VICENTE PIZON  316S"/>
    <n v="105954"/>
    <m/>
    <s v="CGS0A65"/>
    <s v="CPJ5G64"/>
    <s v="MARCOS PAULO NUNES"/>
    <n v="16239341843"/>
    <s v="01877235038"/>
    <n v="15834"/>
    <s v="DPW"/>
    <d v="2023-05-01T23:32:00"/>
    <s v="TRANSTEC SANTOS"/>
    <d v="2023-05-02T15:19:00"/>
    <d v="2023-05-02T02:00:00"/>
    <d v="2023-05-02T12:4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2T09:00:00"/>
    <s v="MSKU7710041"/>
    <n v="20"/>
    <x v="2"/>
    <s v="SOSAL"/>
    <s v="SBC"/>
    <s v="AAK386BO"/>
    <s v="VICENTE PIZON  316S"/>
    <n v="70608"/>
    <m/>
    <s v="FXG5H10"/>
    <s v="DBC3G21"/>
    <s v="ROBERTO CARLOS BEZERRA PIRES"/>
    <s v="27455658850"/>
    <s v="01286008208"/>
    <n v="15835"/>
    <s v="DPW"/>
    <d v="2023-05-01T21:28:00"/>
    <s v="TRANSTEC SANTOS"/>
    <d v="2023-05-02T12:47:00"/>
    <d v="2023-05-02T00:10:00"/>
    <d v="2023-05-02T10:1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3T09:00:00"/>
    <s v="HASU1489968"/>
    <n v="20"/>
    <x v="2"/>
    <s v="SOSAL"/>
    <s v="SBC"/>
    <s v="AAK386BN"/>
    <s v="VICENTE PIZON  316S"/>
    <n v="70609"/>
    <m/>
    <s v="FZF3E97"/>
    <s v="BXA0I63"/>
    <s v="FABIO DARIO RODRIGUES"/>
    <s v="26283419801"/>
    <s v="02002046946"/>
    <n v="15864"/>
    <s v="SANTOS BRASIL"/>
    <d v="2023-05-02T15:55:00"/>
    <s v="FASSINA SANTOS"/>
    <d v="2023-05-03T15:15:00"/>
    <d v="2023-05-03T06:40:00"/>
    <d v="2023-05-03T10:3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4T11:00:00"/>
    <s v="CAIU3373592"/>
    <n v="20"/>
    <x v="2"/>
    <s v="SOSAL"/>
    <s v="SBC"/>
    <n v="4383"/>
    <s v="LOGIN ENDURANCE  040S"/>
    <n v="106039"/>
    <m/>
    <s v="FXG5H10"/>
    <s v="DBC3G21"/>
    <s v="ROBERTO CARLOS BEZERRA PIRES"/>
    <s v="27455658850"/>
    <s v="01286008208"/>
    <n v="15876"/>
    <s v="DPW"/>
    <d v="2023-05-04T06:52:00"/>
    <s v="TRANSTEC SANTOS"/>
    <d v="2023-05-05T08:14:00"/>
    <d v="2023-05-04T09:00:00"/>
    <d v="2023-05-04T15:55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4T09:00:00"/>
    <s v="MEDU6934574"/>
    <n v="20"/>
    <x v="2"/>
    <s v="SOSAL"/>
    <s v="SBC"/>
    <n v="4427"/>
    <s v="LOGIN ENDURANCE  040S"/>
    <n v="106089"/>
    <m/>
    <s v="BHP9483"/>
    <s v="BSF4E26"/>
    <s v="ANACLETO RODRIGUES DE SANTANA"/>
    <s v="01817591878"/>
    <s v="00821760640"/>
    <n v="15873"/>
    <s v="DPW"/>
    <d v="2023-05-03T22:50:00"/>
    <s v="TRANSTEC SANTOS"/>
    <d v="2023-05-04T13:32:00"/>
    <d v="2023-05-04T02:00:00"/>
    <d v="2023-05-04T10:3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4T09:00:00"/>
    <s v="SEGU1119842"/>
    <n v="20"/>
    <x v="2"/>
    <s v="SOSAL"/>
    <s v="SBC"/>
    <n v="4382"/>
    <s v="LOGIN ENDURANCE  040S"/>
    <n v="106040"/>
    <m/>
    <s v="CGS0A65"/>
    <s v="CPJ5G64"/>
    <s v="MARCOS PAULO NUNES"/>
    <n v="16239341843"/>
    <s v="01877235038"/>
    <n v="15875"/>
    <s v="DPW"/>
    <d v="2023-05-04T00:41:00"/>
    <s v="TRANSTEC SANTOS"/>
    <d v="2023-05-04T13:00:00"/>
    <d v="2023-05-04T02:30:00"/>
    <d v="2023-05-04T10:55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4T12:00:00"/>
    <s v="FCIU9172736"/>
    <n v="40"/>
    <x v="2"/>
    <s v="SOSAL"/>
    <s v="SBC"/>
    <n v="4386"/>
    <s v="LOGIN ENDURANCE  040S"/>
    <n v="106045"/>
    <m/>
    <s v="BXD2J87"/>
    <s v="ESU7272"/>
    <s v="AGEILSON ANTONIO DA SILVA"/>
    <s v="09085263425"/>
    <s v="04557705505"/>
    <n v="15874"/>
    <s v="DPW"/>
    <d v="2023-05-04T05:45:00"/>
    <s v="TRANSTEC SANTOS"/>
    <d v="2023-05-04T14:52:00"/>
    <d v="2023-05-04T07:50:00"/>
    <d v="2023-05-04T12:26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4T11:00:00"/>
    <s v="CAIU3422819"/>
    <n v="20"/>
    <x v="2"/>
    <s v="SOSAL"/>
    <s v="SBC"/>
    <n v="4429"/>
    <s v="LOGIN ENDURANCE  040S"/>
    <n v="116122"/>
    <m/>
    <s v="EWJ2162"/>
    <s v="ETF6391"/>
    <s v="CARLOS BUENO BALTAZAR"/>
    <n v="19279658883"/>
    <s v="01301319672"/>
    <n v="15872"/>
    <s v="DPW"/>
    <d v="2023-05-04T00:02:00"/>
    <s v="TRANSTEC SANTOS"/>
    <d v="2023-05-04T14:50:00"/>
    <d v="2023-05-04T02:00:00"/>
    <d v="2023-05-04T13:2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4T13:00:00"/>
    <s v="GLDU7711697"/>
    <n v="40"/>
    <x v="2"/>
    <s v="SOSAL"/>
    <s v="SBC"/>
    <n v="4384"/>
    <s v="LOGIN ENDURANCE  040S"/>
    <n v="105988"/>
    <m/>
    <s v="FSI0I03"/>
    <s v="DPB9G64"/>
    <s v="EMERSON PEREIRA DA SILVA"/>
    <s v="09803034863"/>
    <s v="01484565209"/>
    <s v="15878 / 15879"/>
    <s v="DPW"/>
    <d v="2023-05-04T07:02:00"/>
    <s v="MEDLOG"/>
    <d v="2023-05-04T18:00:00"/>
    <d v="2023-05-04T09:00:00"/>
    <d v="2023-05-04T13:4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4T08:00:00"/>
    <s v="GESU1441520"/>
    <n v="20"/>
    <x v="0"/>
    <s v="PENINA"/>
    <s v="VL INDEPENDENTE"/>
    <n v="4371"/>
    <s v="LOGIN ENDURANCE  040S"/>
    <n v="105989"/>
    <m/>
    <s v="FGD8G49"/>
    <s v="BXA0I63"/>
    <s v="GILVAN LAURENTINO DA SILVA"/>
    <s v="92693377404"/>
    <s v="02954783990"/>
    <n v="15880"/>
    <s v="DPW"/>
    <d v="2023-05-04T01:25:00"/>
    <s v="TRANSTEC SANTOS"/>
    <d v="2023-05-04T13:29:00"/>
    <d v="2023-05-04T03:40:00"/>
    <d v="2023-05-04T10:20:00"/>
    <n v="2000"/>
    <m/>
    <m/>
    <n v="700"/>
    <m/>
    <m/>
    <m/>
    <n v="447.91919999999999"/>
    <n v="3732.66"/>
    <x v="4"/>
    <x v="0"/>
    <m/>
    <x v="0"/>
    <s v="SIM"/>
    <s v="SIM"/>
    <s v="SIM"/>
  </r>
  <r>
    <x v="0"/>
    <x v="0"/>
    <d v="2023-05-05T09:00:00"/>
    <s v="CAIU3413041"/>
    <n v="20"/>
    <x v="2"/>
    <s v="SOSAL"/>
    <s v="SBC"/>
    <n v="4380"/>
    <s v="LOGIN ENDURANCE  040S"/>
    <n v="70647"/>
    <m/>
    <s v="BHP9483"/>
    <s v="BSF4E26"/>
    <s v="ANACLETO RODRIGUES DE SANTANA"/>
    <s v="01817591878"/>
    <s v="00821760640"/>
    <n v="15885"/>
    <s v="DPW"/>
    <d v="2023-05-04T22:39:00"/>
    <s v="TRANSTEC SANTOS"/>
    <d v="2023-05-05T12:31:00"/>
    <d v="2023-05-05T01:15:00"/>
    <d v="2023-05-05T10:3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5T11:00:00"/>
    <s v="SEGU1119333"/>
    <n v="20"/>
    <x v="2"/>
    <s v="SOSAL"/>
    <s v="SBC"/>
    <n v="4381"/>
    <s v="LOGIN ENDURANCE  040S"/>
    <n v="70646"/>
    <m/>
    <s v="CGS0A65"/>
    <s v="CPJ5G64"/>
    <s v="MARCOS PAULO NUNES"/>
    <n v="16239341843"/>
    <s v="01877235038"/>
    <n v="15886"/>
    <s v="DPW"/>
    <d v="2023-05-04T23:42:00"/>
    <s v="TRANSTEC SANTOS"/>
    <d v="2023-05-05T18:17:00"/>
    <d v="2023-05-05T02:00:00"/>
    <d v="2023-05-05T11:5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5T09:00:00"/>
    <s v="CAAU5139615"/>
    <n v="40"/>
    <x v="2"/>
    <s v="SOSAL"/>
    <s v="SBC"/>
    <n v="4425"/>
    <s v="LOGIN ENDURANCE  040S"/>
    <n v="106090"/>
    <m/>
    <s v="KBK0D67"/>
    <s v="BSG5I57"/>
    <s v="JOAO BATISTA DOS SANTOS"/>
    <s v="13990937898"/>
    <s v="01825123407"/>
    <n v="15884"/>
    <s v="DPW"/>
    <d v="2023-05-04T23:36:00"/>
    <s v="TRANSTEC SANTOS"/>
    <d v="2023-05-05T00:00:00"/>
    <d v="2023-05-05T02:00:00"/>
    <d v="2023-05-05T13:3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05T08:00:00"/>
    <s v="SEGU1062460"/>
    <n v="20"/>
    <x v="0"/>
    <s v="CHARQUE CAMPEAO"/>
    <s v="SANTANA DE PARNAIBA"/>
    <n v="4369"/>
    <s v="LOGIN ENDURANCE  040S"/>
    <n v="115994"/>
    <m/>
    <s v="EWJ2162"/>
    <s v="ETF6391"/>
    <s v="CARLOS BUENO BALTAZAR"/>
    <n v="19279658883"/>
    <s v="01301319672"/>
    <n v="15883"/>
    <s v="DPW"/>
    <d v="2023-05-05T00:48:00"/>
    <s v="TRANSTEC SANTOS"/>
    <d v="2023-05-05T15:50:00"/>
    <d v="2023-05-05T04:30:00"/>
    <d v="2023-05-05T10:40:00"/>
    <n v="2300"/>
    <m/>
    <m/>
    <m/>
    <m/>
    <m/>
    <m/>
    <n v="399.62399999999997"/>
    <n v="3330.2"/>
    <x v="4"/>
    <x v="0"/>
    <m/>
    <x v="0"/>
    <s v="SIM"/>
    <s v="SIM"/>
    <s v="SIM"/>
  </r>
  <r>
    <x v="0"/>
    <x v="0"/>
    <d v="2023-05-05T08:00:00"/>
    <s v="MSDU1817016"/>
    <n v="20"/>
    <x v="0"/>
    <s v="VILHENA"/>
    <s v="CAJAMAR"/>
    <n v="4414"/>
    <s v="LOGIN ENDURANCE  040S"/>
    <n v="116126"/>
    <m/>
    <s v="FXG5H10"/>
    <s v="DBC3G21"/>
    <s v="ROBERTO CARLOS BEZERRA PIRES"/>
    <s v="27455658850"/>
    <s v="01286008208"/>
    <n v="15882"/>
    <s v="DPW"/>
    <d v="2023-05-04T23:09:00"/>
    <s v="TRANSTEC SANTOS"/>
    <d v="2023-05-05T11:55:00"/>
    <d v="2023-05-05T02:45:00"/>
    <d v="2023-05-05T09:40:00"/>
    <n v="2350"/>
    <m/>
    <m/>
    <n v="600"/>
    <m/>
    <m/>
    <m/>
    <n v="529.16279999999995"/>
    <n v="4409.6899999999996"/>
    <x v="4"/>
    <x v="0"/>
    <m/>
    <x v="0"/>
    <s v="SIM"/>
    <s v="SIM"/>
    <s v="SIM"/>
  </r>
  <r>
    <x v="0"/>
    <x v="0"/>
    <d v="2023-05-05T08:00:00"/>
    <s v="CAIU3311163"/>
    <n v="20"/>
    <x v="0"/>
    <s v="VILHETO"/>
    <s v="BARUERI"/>
    <n v="4415"/>
    <s v="LOGIN ENDURANCE  040S"/>
    <n v="116127"/>
    <m/>
    <s v="IPA0J77"/>
    <s v="CPN9C57"/>
    <s v="JOSE EURIPEDES PEREIRA"/>
    <s v="87607395849"/>
    <s v="01842622116"/>
    <n v="15889"/>
    <s v="DPW"/>
    <d v="2023-05-05T00:57:00"/>
    <s v="TRANSTEC SANTOS"/>
    <d v="2023-05-05T14:41:00"/>
    <d v="2023-05-05T02:00:00"/>
    <d v="2023-05-05T11:40:00"/>
    <n v="2200"/>
    <m/>
    <m/>
    <m/>
    <m/>
    <m/>
    <m/>
    <n v="510.26640000000003"/>
    <n v="4252.22"/>
    <x v="4"/>
    <x v="0"/>
    <m/>
    <x v="0"/>
    <s v="SIM"/>
    <s v="SIM"/>
    <s v="SIM"/>
  </r>
  <r>
    <x v="0"/>
    <x v="1"/>
    <d v="2023-05-05T08:00:00"/>
    <s v="CAAU6392504"/>
    <n v="40"/>
    <x v="0"/>
    <s v="AJINOMOTO"/>
    <s v="LIMEIRA"/>
    <n v="4422"/>
    <s v="LOGIN ENDURANCE  040S"/>
    <n v="106087"/>
    <n v="106088"/>
    <s v="DDL8B54"/>
    <s v="FEI4012"/>
    <s v="WILTON SILVA BARBOSA"/>
    <s v="27455658850"/>
    <s v="01286008208"/>
    <n v="15888"/>
    <s v="DPW"/>
    <d v="2023-05-05T08:20:00"/>
    <s v="TRANSTEC SANTOS"/>
    <d v="2023-05-06T06:51:00"/>
    <d v="2023-05-05T13:10:00"/>
    <d v="2023-05-05T17:40:00"/>
    <n v="3400"/>
    <n v="525.20000000000005"/>
    <m/>
    <m/>
    <m/>
    <m/>
    <m/>
    <n v="558.28440000000001"/>
    <n v="4652.37"/>
    <x v="4"/>
    <x v="0"/>
    <m/>
    <x v="0"/>
    <s v="SIM"/>
    <s v="SIM"/>
    <s v="SIM"/>
  </r>
  <r>
    <x v="0"/>
    <x v="0"/>
    <d v="2023-05-08T08:00:00"/>
    <s v="TCLU3462741"/>
    <n v="20"/>
    <x v="0"/>
    <s v="MOINHO ROMANIZ"/>
    <s v="ITAQUERA"/>
    <n v="4416"/>
    <s v="LOGIN ENDURANCE  040S"/>
    <n v="106083"/>
    <n v="106084"/>
    <s v="EWJ2162"/>
    <s v="ETF6391"/>
    <s v="CARLOS BUENO BALTAZAR"/>
    <n v="19279658883"/>
    <s v="01301319672"/>
    <n v="15896"/>
    <s v="DPW"/>
    <d v="2023-05-08T00:18:00"/>
    <s v="MEDLOG"/>
    <d v="2023-05-08T18:31:00"/>
    <d v="2023-05-08T02:30:00"/>
    <d v="2023-05-08T13:35:00"/>
    <n v="2000"/>
    <m/>
    <m/>
    <m/>
    <m/>
    <m/>
    <m/>
    <n v="355.75439999999998"/>
    <n v="2964.62"/>
    <x v="4"/>
    <x v="0"/>
    <m/>
    <x v="0"/>
    <s v="SIM"/>
    <s v="SIM"/>
    <s v="SIM"/>
  </r>
  <r>
    <x v="0"/>
    <x v="1"/>
    <d v="2023-05-08T08:00:00"/>
    <s v="CAIU8133444"/>
    <n v="20"/>
    <x v="0"/>
    <s v="JBS"/>
    <s v="SANTANA DE PARNAIBA"/>
    <n v="4375"/>
    <s v="LOGIN ENDURANCE  040S"/>
    <n v="116000"/>
    <m/>
    <s v="EKH4C25"/>
    <s v="DAO7B51"/>
    <s v="WESLLEY RODRIGO CONSTANCIO DA SILVA"/>
    <s v="27455658850"/>
    <s v="01286008208"/>
    <n v="15900"/>
    <s v="DPW"/>
    <d v="2023-05-08T06:36:00"/>
    <s v="MEDLOG"/>
    <d v="2023-05-08T19:15:00"/>
    <d v="2023-05-08T09:50:00"/>
    <d v="2023-05-08T12:35:00"/>
    <n v="2300"/>
    <m/>
    <m/>
    <m/>
    <m/>
    <m/>
    <m/>
    <n v="399.62279999999998"/>
    <n v="3330.19"/>
    <x v="4"/>
    <x v="0"/>
    <m/>
    <x v="0"/>
    <s v="SIM"/>
    <s v="SIM"/>
    <s v="SIM"/>
  </r>
  <r>
    <x v="0"/>
    <x v="0"/>
    <d v="2023-05-08T08:00:00"/>
    <s v="TCLU8704909"/>
    <n v="40"/>
    <x v="0"/>
    <s v="JBS"/>
    <s v="SANTANA DE PARNAIBA"/>
    <n v="4423"/>
    <s v="LOGIN ENDURANCE  040S"/>
    <n v="116129"/>
    <m/>
    <s v="CUA7F62"/>
    <s v="BSG5I57"/>
    <s v="VALDECIR DA SILVA"/>
    <s v="27455658850"/>
    <s v="01286008208"/>
    <n v="15902"/>
    <s v="DPW"/>
    <d v="2023-05-07T23:49:00"/>
    <s v="TRANSTEC SANTOS"/>
    <d v="2023-05-08T15:19:00"/>
    <d v="2023-05-08T07:00:00"/>
    <d v="2023-05-08T13:25:00"/>
    <n v="2300"/>
    <m/>
    <m/>
    <m/>
    <m/>
    <m/>
    <m/>
    <n v="399.62279999999998"/>
    <n v="3330.19"/>
    <x v="4"/>
    <x v="0"/>
    <m/>
    <x v="0"/>
    <s v="SIM"/>
    <s v="SIM"/>
    <s v="SIM"/>
  </r>
  <r>
    <x v="0"/>
    <x v="0"/>
    <d v="2023-05-09T08:00:00"/>
    <s v="CAIU4836428"/>
    <n v="40"/>
    <x v="0"/>
    <s v="DOREMUS"/>
    <s v="GUARULHOS"/>
    <n v="4379"/>
    <s v="LOGIN ENDURANCE  040S"/>
    <n v="106043"/>
    <m/>
    <s v="FQE9I91"/>
    <s v="DPB9J85"/>
    <s v="MARCO ANTONIO LOBATO CASTILHO"/>
    <s v="05753633803"/>
    <s v="01922497849"/>
    <s v="15877C / 15920"/>
    <s v="DPW"/>
    <d v="2023-05-08T21:50:00"/>
    <s v="TRANSTEC SANTOS"/>
    <d v="2023-05-09T18:15:00"/>
    <d v="2023-05-09T01:00:00"/>
    <d v="2023-05-09T10:20:00"/>
    <n v="2100"/>
    <m/>
    <m/>
    <m/>
    <m/>
    <m/>
    <m/>
    <n v="370.37759999999997"/>
    <n v="3086.48"/>
    <x v="4"/>
    <x v="0"/>
    <m/>
    <x v="0"/>
    <s v="SIM"/>
    <s v="SIM"/>
    <s v="SIM"/>
  </r>
  <r>
    <x v="0"/>
    <x v="0"/>
    <d v="2023-05-09T08:00:00"/>
    <s v="TCLU3466752"/>
    <n v="20"/>
    <x v="0"/>
    <s v="MIAN"/>
    <s v="SBC"/>
    <n v="4370"/>
    <s v="LOGIN ENDURANCE  040S"/>
    <n v="115995"/>
    <m/>
    <s v="CGS0A65"/>
    <s v="CPJ5G64"/>
    <s v="MARCOS PAULO NUNES"/>
    <n v="16239341843"/>
    <s v="01877235038"/>
    <s v="15921c / 15926a / 16112"/>
    <s v="DPW"/>
    <d v="2023-05-08T23:12:00"/>
    <s v="MEDLOG"/>
    <d v="2023-05-09T13:51:00"/>
    <d v="2023-05-09T01:00:00"/>
    <d v="2023-05-09T12:50:00"/>
    <n v="1600"/>
    <m/>
    <m/>
    <m/>
    <m/>
    <m/>
    <m/>
    <n v="0"/>
    <m/>
    <x v="4"/>
    <x v="0"/>
    <m/>
    <x v="0"/>
    <s v="SIM"/>
    <s v="SIM"/>
    <s v="SIM"/>
  </r>
  <r>
    <x v="0"/>
    <x v="0"/>
    <d v="2023-05-09T08:00:00"/>
    <s v="TCLU3055772"/>
    <n v="20"/>
    <x v="0"/>
    <s v="MIAN"/>
    <s v="SBC"/>
    <n v="4373"/>
    <s v="LOGIN ENDURANCE  040S"/>
    <n v="116057"/>
    <n v="106038"/>
    <s v="KBK0D67"/>
    <s v="BWP9J59"/>
    <s v="JOAO BATISTA DOS SANTOS"/>
    <s v="13990937898"/>
    <s v="01825123407"/>
    <s v="15922C / 15923C /15927 / 15929"/>
    <s v="DPW"/>
    <d v="2023-05-08T22:45:00"/>
    <s v="TRANSTEC SANTOS"/>
    <d v="2023-05-09T14:27:00"/>
    <d v="2023-05-09T01:00:00"/>
    <d v="2023-05-09T15:27:00"/>
    <n v="1600"/>
    <m/>
    <m/>
    <m/>
    <m/>
    <m/>
    <m/>
    <n v="0"/>
    <m/>
    <x v="4"/>
    <x v="0"/>
    <m/>
    <x v="0"/>
    <s v="SIM"/>
    <s v="SIM"/>
    <s v="SIM"/>
  </r>
  <r>
    <x v="0"/>
    <x v="0"/>
    <d v="2023-05-09T08:00:00"/>
    <s v="CAIU3368111"/>
    <n v="20"/>
    <x v="0"/>
    <s v="ADESTE"/>
    <s v="SANTO ANDRE"/>
    <n v="4372"/>
    <s v="LOGIN ENDURANCE  040S"/>
    <n v="105990"/>
    <m/>
    <s v="BHP9483"/>
    <s v="BSF4E26"/>
    <s v="ANACLETO RODRIGUES DE SANTANA"/>
    <s v="01817591878"/>
    <s v="00821760640"/>
    <n v="15924"/>
    <s v="DPW"/>
    <d v="2023-05-08T23:13:00"/>
    <s v="TRANSTEC SANTOS"/>
    <d v="2023-05-09T12:51:00"/>
    <d v="2023-05-09T02:00:00"/>
    <d v="2023-05-09T10:00:00"/>
    <n v="1600"/>
    <m/>
    <m/>
    <m/>
    <m/>
    <m/>
    <m/>
    <n v="415.74719999999996"/>
    <n v="3464.56"/>
    <x v="4"/>
    <x v="0"/>
    <m/>
    <x v="0"/>
    <s v="SIM"/>
    <s v="SIM"/>
    <s v="SIM"/>
  </r>
  <r>
    <x v="0"/>
    <x v="0"/>
    <d v="2023-05-09T08:00:00"/>
    <s v="TCLU8701366"/>
    <n v="40"/>
    <x v="0"/>
    <s v="JBS"/>
    <s v="SANTANA DE PARNAIBA"/>
    <n v="4378"/>
    <s v="LOGIN ENDURANCE  040S"/>
    <n v="105987"/>
    <m/>
    <s v="BHZ5C81"/>
    <s v="DBB8E65"/>
    <s v="PAULO LIMA DOS SANTOS"/>
    <s v="27455658850"/>
    <s v="01286008208"/>
    <n v="15925"/>
    <s v="DPW"/>
    <d v="2023-05-08T17:23:00"/>
    <s v="TRANSTEC SANTOS"/>
    <d v="2023-05-09T00:00:00"/>
    <d v="2023-05-09T06:50:00"/>
    <d v="2023-05-09T10:20:00"/>
    <n v="2300"/>
    <m/>
    <m/>
    <m/>
    <m/>
    <m/>
    <m/>
    <n v="399.62279999999998"/>
    <n v="3330.19"/>
    <x v="4"/>
    <x v="0"/>
    <m/>
    <x v="0"/>
    <s v="SIM"/>
    <s v="SIM"/>
    <s v="SIM"/>
  </r>
  <r>
    <x v="0"/>
    <x v="0"/>
    <d v="2023-05-09T08:00:00"/>
    <s v="GESU6258759"/>
    <n v="20"/>
    <x v="0"/>
    <s v="JBS"/>
    <s v="SANTANA DE PARNAIBA"/>
    <m/>
    <s v="LOGIN ENDURANCE  040S"/>
    <n v="115987"/>
    <m/>
    <s v="DVS9G77"/>
    <s v="DPE7C55"/>
    <s v="FABIO COSTA DA SILVA"/>
    <s v="00097734527"/>
    <s v="03148346870"/>
    <s v="15933c / 15934"/>
    <s v="DPW"/>
    <d v="2023-05-08T23:58:00"/>
    <s v="TRANSTEC SANTOS"/>
    <d v="2023-05-09T20:04:00"/>
    <d v="2023-05-09T05:30:00"/>
    <d v="2023-05-09T10:20:00"/>
    <n v="2300"/>
    <m/>
    <m/>
    <m/>
    <m/>
    <m/>
    <m/>
    <n v="399.62279999999998"/>
    <n v="3330.19"/>
    <x v="4"/>
    <x v="0"/>
    <m/>
    <x v="0"/>
    <s v="SIM"/>
    <s v="SIM"/>
    <s v="SIM"/>
  </r>
  <r>
    <x v="0"/>
    <x v="0"/>
    <d v="2023-05-09T08:00:00"/>
    <s v="TCLU8702830"/>
    <n v="40"/>
    <x v="0"/>
    <s v="MAXSOY"/>
    <s v="HORTOLANDIA"/>
    <n v="4421"/>
    <s v="LOGIN ENDURANCE  040S"/>
    <n v="106086"/>
    <m/>
    <s v="DDL8B54"/>
    <s v="FEI4012"/>
    <s v="WILTON SILVA BARBOSA"/>
    <s v="27455658850"/>
    <s v="01286008208"/>
    <n v="15932"/>
    <s v="DPW"/>
    <d v="2023-05-09T00:51:00"/>
    <s v="MEDLOG"/>
    <d v="2023-05-10T00:39:00"/>
    <d v="2023-05-09T07:30:00"/>
    <d v="2023-05-09T17:25:00"/>
    <n v="2800"/>
    <n v="471.6"/>
    <m/>
    <m/>
    <m/>
    <m/>
    <m/>
    <n v="501.59999999999997"/>
    <n v="4180"/>
    <x v="4"/>
    <x v="0"/>
    <m/>
    <x v="0"/>
    <s v="SIM"/>
    <s v="SIM"/>
    <s v="SIM"/>
  </r>
  <r>
    <x v="0"/>
    <x v="0"/>
    <d v="2023-05-09T08:00:00"/>
    <s v="TCLU8170465"/>
    <n v="40"/>
    <x v="0"/>
    <s v="DENVER"/>
    <s v="COTIA"/>
    <n v="4377"/>
    <s v="LOGIN ENDURANCE  040S"/>
    <n v="105952"/>
    <m/>
    <s v="EQU0G82"/>
    <s v="FEI3865"/>
    <s v="DOMINGOS NEVES DOS SANTOS"/>
    <s v="16951438846"/>
    <s v="01893213302"/>
    <n v="15931"/>
    <s v="DPW"/>
    <d v="2023-05-08T17:04:00"/>
    <s v="TRANSTEC SANTOS"/>
    <d v="2023-05-09T15:54:00"/>
    <d v="2023-05-09T05:50:00"/>
    <d v="2023-05-09T10:40:00"/>
    <n v="2200"/>
    <m/>
    <m/>
    <m/>
    <m/>
    <m/>
    <m/>
    <n v="381.34559999999999"/>
    <n v="3177.88"/>
    <x v="4"/>
    <x v="0"/>
    <m/>
    <x v="0"/>
    <s v="SIM"/>
    <s v="SIM"/>
    <s v="SIM"/>
  </r>
  <r>
    <x v="0"/>
    <x v="0"/>
    <d v="2023-05-09T09:00:00"/>
    <s v="MRSU3531060"/>
    <n v="40"/>
    <x v="0"/>
    <s v="DOREMUS"/>
    <s v="GUARULHOS"/>
    <s v="ABAK435H"/>
    <s v="SEBASTIAO CABOTO  317S"/>
    <n v="106182"/>
    <m/>
    <s v="BXD2J87"/>
    <s v="ESU7272"/>
    <s v="AGEILSON ANTONIO DA SILVA"/>
    <s v="09085263425"/>
    <s v="04557705505"/>
    <n v="15940"/>
    <s v="SANTOS BRASIL"/>
    <d v="2023-05-09T06:08:00"/>
    <s v="TRANSTEC SANTOS"/>
    <d v="2023-05-09T15:54:00"/>
    <d v="2023-05-09T09:00:00"/>
    <d v="2023-05-09T11:50:00"/>
    <n v="2100"/>
    <m/>
    <m/>
    <m/>
    <m/>
    <m/>
    <m/>
    <n v="370.37759999999997"/>
    <n v="3086.48"/>
    <x v="4"/>
    <x v="0"/>
    <m/>
    <x v="0"/>
    <s v="SIM"/>
    <s v="SIM"/>
    <s v="SIM"/>
  </r>
  <r>
    <x v="0"/>
    <x v="0"/>
    <d v="2023-05-10T08:00:00"/>
    <s v="TRHU6939037"/>
    <n v="40"/>
    <x v="0"/>
    <s v="DOREMUS"/>
    <s v="GUARULHOS"/>
    <s v="ABAK435H"/>
    <s v="SEBASTIAO CABOTO  317S"/>
    <n v="106149"/>
    <m/>
    <s v="FQE9I91"/>
    <s v="DPB9J85"/>
    <s v="MARCO ANTONIO LOBATO CASTILHO"/>
    <s v="05753633803"/>
    <s v="01922497849"/>
    <n v="15939"/>
    <s v="SANTOS BRASIL"/>
    <d v="2023-05-10T00:25:00"/>
    <s v="FASSINA SANTOS"/>
    <d v="2023-05-10T16:23:00"/>
    <d v="2023-05-10T01:15:00"/>
    <d v="2023-05-10T12:25:00"/>
    <n v="2100"/>
    <m/>
    <m/>
    <m/>
    <m/>
    <m/>
    <m/>
    <n v="370.37759999999997"/>
    <n v="3086.48"/>
    <x v="4"/>
    <x v="0"/>
    <m/>
    <x v="0"/>
    <s v="SIM"/>
    <s v="SIM"/>
    <m/>
  </r>
  <r>
    <x v="0"/>
    <x v="0"/>
    <d v="2023-05-10T08:00:00"/>
    <s v="TCNU9161399"/>
    <n v="40"/>
    <x v="0"/>
    <s v="DOREMUS"/>
    <s v="GUARULHOS"/>
    <m/>
    <s v="SEBASTIAO CABOTO  317S"/>
    <n v="106184"/>
    <m/>
    <s v="BHP9483"/>
    <s v="BSG5I57"/>
    <s v="ANACLETO RODRIGUES DE SANTANA"/>
    <s v="01817591878"/>
    <s v="00821760640"/>
    <n v="15949"/>
    <s v="SANTOS BRASIL"/>
    <d v="2023-05-09T21:50:00"/>
    <s v="FASSINA SANTOS"/>
    <d v="2023-05-10T17:31:00"/>
    <d v="2023-05-10T01:15:00"/>
    <d v="2023-05-10T11:45:00"/>
    <n v="2100"/>
    <m/>
    <m/>
    <m/>
    <m/>
    <m/>
    <m/>
    <n v="370.37759999999997"/>
    <n v="3086.48"/>
    <x v="4"/>
    <x v="0"/>
    <m/>
    <x v="0"/>
    <s v="SIM"/>
    <s v="SIM"/>
    <m/>
  </r>
  <r>
    <x v="0"/>
    <x v="0"/>
    <d v="2023-05-11T08:00:00"/>
    <s v="TCLU3055453"/>
    <n v="20"/>
    <x v="0"/>
    <s v="KERRY"/>
    <s v="COTIA"/>
    <n v="4661"/>
    <s v="LOGIN JATOBA  240S"/>
    <n v="106261"/>
    <m/>
    <s v="FXG5H10"/>
    <s v="DBC3G21"/>
    <s v="ROBERTO CARLOS BEZERRA PIRES"/>
    <s v="27455658850"/>
    <s v="01286008208"/>
    <n v="15960"/>
    <s v="DPW"/>
    <d v="2023-05-10T23:11:00"/>
    <s v="MEDLOG"/>
    <d v="2023-05-11T14:59:00"/>
    <d v="2023-05-11T02:30:00"/>
    <d v="2023-05-11T08:55:00"/>
    <n v="2200"/>
    <m/>
    <m/>
    <n v="600"/>
    <m/>
    <m/>
    <m/>
    <n v="473.5104"/>
    <n v="3945.92"/>
    <x v="4"/>
    <x v="0"/>
    <m/>
    <x v="0"/>
    <s v="SIM"/>
    <s v="SIM"/>
    <m/>
  </r>
  <r>
    <x v="0"/>
    <x v="0"/>
    <d v="2023-05-11T08:00:00"/>
    <s v="SEGU1063527"/>
    <n v="20"/>
    <x v="0"/>
    <s v="PENINA"/>
    <s v="VL INDEPENDENTE"/>
    <n v="4631"/>
    <s v="LOGIN JATOBA  240S"/>
    <n v="106147"/>
    <m/>
    <s v="OAJ1J52"/>
    <s v="BWY6F22"/>
    <s v="MARCONI DE OLIVEIRA CORDEIRO"/>
    <s v="05753633803"/>
    <s v="01922497849"/>
    <s v="15962C / 15965"/>
    <s v="DPW"/>
    <d v="2023-05-11T05:44:00"/>
    <s v="MEDLOG"/>
    <d v="2023-05-11T16:11:00"/>
    <d v="2023-05-11T07:25:00"/>
    <d v="2023-05-11T11:45:00"/>
    <n v="2000"/>
    <m/>
    <m/>
    <n v="700"/>
    <m/>
    <m/>
    <m/>
    <n v="447.91919999999999"/>
    <n v="3732.66"/>
    <x v="4"/>
    <x v="0"/>
    <m/>
    <x v="0"/>
    <s v="SIM"/>
    <s v="SIM"/>
    <m/>
  </r>
  <r>
    <x v="0"/>
    <x v="0"/>
    <d v="2023-05-11T09:00:00"/>
    <s v="TCLU3467430"/>
    <n v="20"/>
    <x v="2"/>
    <s v="SOSAL"/>
    <s v="SBC"/>
    <n v="4530"/>
    <s v="LOGIN JATOBA  240S"/>
    <n v="70740"/>
    <m/>
    <s v="KBK0D67"/>
    <s v="BSG5I57"/>
    <s v="JOAO BATISTA DOS SANTOS"/>
    <s v="13990937898"/>
    <s v="01825123407"/>
    <n v="15964"/>
    <s v="DPW"/>
    <d v="2023-05-11T00:52:00"/>
    <s v="DEPOTCE"/>
    <d v="2023-05-11T14:04:00"/>
    <d v="2023-05-11T02:35:00"/>
    <d v="2023-05-11T12:1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11T09:00:00"/>
    <s v="TCLU8348881"/>
    <n v="40"/>
    <x v="2"/>
    <s v="SOSAL"/>
    <s v="SBC"/>
    <n v="4518"/>
    <s v="LOGIN JATOBA  240S"/>
    <n v="106185"/>
    <n v="106186"/>
    <s v="IPA0J77"/>
    <s v="KBL9G59"/>
    <s v="JOSE EURIPEDES PEREIRA"/>
    <s v="87607395849"/>
    <s v="01842622116"/>
    <s v="15967 / 15968"/>
    <s v="DPW"/>
    <d v="2023-05-10T23:29:00"/>
    <s v="MEDLOG"/>
    <d v="2023-05-11T16:11:00"/>
    <d v="2023-05-11T02:35:00"/>
    <d v="2023-05-11T13:1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11T11:00:00"/>
    <s v="CAIU3404076"/>
    <n v="20"/>
    <x v="2"/>
    <s v="SOSAL"/>
    <s v="SBC"/>
    <n v="4667"/>
    <s v="LOGIN JATOBA  240S"/>
    <n v="166339"/>
    <m/>
    <s v="BHP9483"/>
    <s v="BSF4E26"/>
    <s v="ANACLETO RODRIGUES DE SANTANA"/>
    <s v="01817591878"/>
    <s v="00821760640"/>
    <n v="15963"/>
    <s v="DPW"/>
    <d v="2023-05-11T00:33:00"/>
    <s v="MEDLOG"/>
    <d v="2023-05-11T16:27:00"/>
    <d v="2023-05-11T03:25:00"/>
    <d v="2023-05-11T16:1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11T11:00:00"/>
    <s v="CAIU2929389"/>
    <n v="20"/>
    <x v="2"/>
    <s v="SOSAL"/>
    <s v="SBC"/>
    <n v="4677"/>
    <s v="LOGIN JATOBA  240S"/>
    <n v="106289"/>
    <m/>
    <s v="CGS0A65"/>
    <s v="CPJ5G64"/>
    <s v="MARCOS PAULO NUNES"/>
    <n v="16239341843"/>
    <s v="01877235038"/>
    <n v="15966"/>
    <s v="DPW"/>
    <d v="2023-05-11T00:30:00"/>
    <s v="MEDLOG"/>
    <d v="2023-05-11T14:40:00"/>
    <d v="2023-05-11T02:35:00"/>
    <d v="2023-05-11T12:30:00"/>
    <n v="1600"/>
    <m/>
    <m/>
    <m/>
    <m/>
    <m/>
    <m/>
    <n v="276"/>
    <n v="2300"/>
    <x v="4"/>
    <x v="0"/>
    <m/>
    <x v="0"/>
    <s v="SIM"/>
    <s v="SIM"/>
    <s v="SIM"/>
  </r>
  <r>
    <x v="0"/>
    <x v="1"/>
    <d v="2023-05-12T07:00:00"/>
    <s v="TCLU3458783"/>
    <n v="20"/>
    <x v="2"/>
    <s v="SOSAL"/>
    <s v="SBC"/>
    <n v="4675"/>
    <s v="LOGIN JATOBA  240S"/>
    <n v="106288"/>
    <m/>
    <s v="KBK0D67"/>
    <s v="BSG5I57"/>
    <s v="JOAO BATISTA DOS SANTOS"/>
    <s v="13990937898"/>
    <s v="01825123407"/>
    <n v="15977"/>
    <s v="DPW"/>
    <d v="2023-05-12T01:37:00"/>
    <s v="DEPOTCE"/>
    <d v="2023-05-12T16:48:00"/>
    <s v="12/05/2023 073:50"/>
    <d v="2023-05-12T14:25:00"/>
    <n v="1600"/>
    <m/>
    <m/>
    <m/>
    <m/>
    <m/>
    <m/>
    <n v="276"/>
    <n v="2300"/>
    <x v="4"/>
    <x v="0"/>
    <m/>
    <x v="0"/>
    <s v="SIM"/>
    <s v="SIM"/>
    <s v="SIM"/>
  </r>
  <r>
    <x v="0"/>
    <x v="1"/>
    <d v="2023-05-12T08:00:00"/>
    <s v="SEGU1255108"/>
    <n v="20"/>
    <x v="0"/>
    <s v="CHARQUE CAMPEAO"/>
    <s v="SANTANA PARNAÍBA"/>
    <n v="4588"/>
    <s v="LOGIN JATOBA  240S"/>
    <n v="116194"/>
    <m/>
    <s v="FXG5H10"/>
    <s v="DBC3G21"/>
    <s v="ROBERTO CARLOS BEZERRA PIRES"/>
    <s v="27455658850"/>
    <s v="01286008208"/>
    <n v="15980"/>
    <s v="DPW"/>
    <d v="2023-05-11T23:16:00"/>
    <s v="MEDLOG"/>
    <d v="2023-05-13T13:32:00"/>
    <d v="2023-05-12T15:05:00"/>
    <d v="2023-05-13T08:45:00"/>
    <n v="2300"/>
    <m/>
    <m/>
    <m/>
    <m/>
    <m/>
    <m/>
    <n v="399.62399999999997"/>
    <n v="3330.2"/>
    <x v="4"/>
    <x v="0"/>
    <m/>
    <x v="3"/>
    <s v="SIM"/>
    <s v="SIM"/>
    <m/>
  </r>
  <r>
    <x v="0"/>
    <x v="1"/>
    <d v="2023-05-12T08:00:00"/>
    <s v="TCNU7442571"/>
    <n v="40"/>
    <x v="0"/>
    <s v="AJINOMOTO"/>
    <s v="LIMEIRA"/>
    <n v="4656"/>
    <s v="LOGIN JATOBA  240S"/>
    <n v="106255"/>
    <n v="106256"/>
    <s v="DTB9J13"/>
    <s v="CPJ3G59"/>
    <s v="JOSE EDNILSON DOS SANTOS"/>
    <n v="88265951434"/>
    <s v="00920373596"/>
    <n v="15981"/>
    <s v="DPW"/>
    <d v="2023-05-12T07:51:00"/>
    <s v="DEPOTCE"/>
    <d v="2023-05-12T21:00:00"/>
    <d v="2023-05-12T13:20:00"/>
    <d v="2023-05-12T16:05:00"/>
    <n v="3400"/>
    <m/>
    <m/>
    <m/>
    <m/>
    <m/>
    <m/>
    <n v="558.28319999999997"/>
    <n v="4652.3599999999997"/>
    <x v="4"/>
    <x v="0"/>
    <m/>
    <x v="0"/>
    <s v="SIM"/>
    <s v="SIM"/>
    <m/>
  </r>
  <r>
    <x v="0"/>
    <x v="1"/>
    <d v="2023-05-12T08:00:00"/>
    <s v="TRHU7047694"/>
    <n v="40"/>
    <x v="0"/>
    <s v="AJINOMOTO"/>
    <s v="LIMEIRA"/>
    <n v="4654"/>
    <s v="LOGIN JATOBA  240S"/>
    <n v="106265"/>
    <n v="106266"/>
    <s v="DVT6D42"/>
    <s v="BXE2B57"/>
    <s v="ROBERTO RONALD SANTOS"/>
    <s v="27455658850"/>
    <s v="01286008208"/>
    <n v="15982"/>
    <s v="DPW"/>
    <d v="2023-05-12T06:16:00"/>
    <s v="MEDLOG"/>
    <d v="2023-05-12T22:41:00"/>
    <d v="2023-05-12T13:25:00"/>
    <d v="2023-05-12T16:55:00"/>
    <n v="3400"/>
    <m/>
    <m/>
    <m/>
    <m/>
    <m/>
    <m/>
    <n v="558.28319999999997"/>
    <n v="4652.3599999999997"/>
    <x v="4"/>
    <x v="0"/>
    <m/>
    <x v="0"/>
    <s v="SIM"/>
    <s v="SIM"/>
    <m/>
  </r>
  <r>
    <x v="0"/>
    <x v="0"/>
    <d v="2023-05-12T09:00:00"/>
    <s v="CAIU3420204"/>
    <n v="20"/>
    <x v="2"/>
    <s v="SOSAL"/>
    <s v="SBC"/>
    <n v="4666"/>
    <s v="LOGIN JATOBA  240S"/>
    <n v="106260"/>
    <m/>
    <s v="CGS0A65"/>
    <s v="CPJ5G64"/>
    <s v="MARCOS PAULO NUNES"/>
    <n v="16239341843"/>
    <s v="01877235038"/>
    <n v="15978"/>
    <s v="DPW"/>
    <d v="2023-05-12T01:48:00"/>
    <s v="MEDLOG"/>
    <d v="2023-05-12T13:47:00"/>
    <d v="2023-05-12T03:50:00"/>
    <d v="2023-05-12T12:3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12T09:00:00"/>
    <s v="TCLU3464636"/>
    <n v="20"/>
    <x v="2"/>
    <s v="SOSAL"/>
    <s v="SBC"/>
    <n v="4575"/>
    <s v="LOGIN JATOBA  240S"/>
    <n v="70741"/>
    <n v="70747"/>
    <s v="BHP9483"/>
    <s v="BSF4E26"/>
    <s v="ANACLETO RODRIGUES DE SANTANA"/>
    <s v="01817591878"/>
    <s v="00821760640"/>
    <n v="15979"/>
    <s v="DPW"/>
    <d v="2023-05-12T03:10:00"/>
    <s v="DEPOTCE"/>
    <d v="2023-05-12T15:38:00"/>
    <d v="2023-05-12T06:00:00"/>
    <d v="2023-05-12T13:1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15T08:00:00"/>
    <s v="TCLU3461196"/>
    <n v="20"/>
    <x v="0"/>
    <s v="MOINHO ROMANIZ"/>
    <s v="ITAQUERA"/>
    <n v="4577"/>
    <s v="LOGIN JATOBA  240S"/>
    <n v="106225"/>
    <m/>
    <s v="EPU5990"/>
    <s v="BSG1D88"/>
    <s v="LEANDRO SOARES CAETANO"/>
    <s v="10485530864"/>
    <s v="02033192841"/>
    <n v="15993"/>
    <s v="DPW"/>
    <d v="2023-05-15T01:48:00"/>
    <s v="DEPOTCE"/>
    <d v="2023-05-15T17:42:00"/>
    <d v="2023-05-15T04:20:00"/>
    <d v="2023-05-15T15:20:00"/>
    <n v="2000"/>
    <m/>
    <m/>
    <m/>
    <m/>
    <m/>
    <m/>
    <n v="355.75439999999998"/>
    <n v="2964.62"/>
    <x v="4"/>
    <x v="0"/>
    <m/>
    <x v="0"/>
    <s v="SIM"/>
    <s v="SIM"/>
    <m/>
  </r>
  <r>
    <x v="0"/>
    <x v="0"/>
    <d v="2023-05-15T08:00:00"/>
    <s v="TEMU8501473"/>
    <n v="40"/>
    <x v="0"/>
    <s v="MAXSOY"/>
    <s v="HOTOLOLANDIA"/>
    <n v="4511"/>
    <s v="LOGIN JATOBA  240S"/>
    <n v="106226"/>
    <m/>
    <s v="DVT6D42"/>
    <s v="BXE2B57"/>
    <s v="ROBERTO RONALD SANTOS"/>
    <s v="27455658850"/>
    <s v="01286008208"/>
    <n v="15994"/>
    <s v="DPW"/>
    <d v="2023-05-15T02:11:00"/>
    <s v="MEDLOG"/>
    <d v="2023-05-15T19:24:00"/>
    <d v="2023-05-15T07:00:00"/>
    <d v="2023-05-15T14:35:00"/>
    <n v="2800"/>
    <m/>
    <m/>
    <m/>
    <m/>
    <m/>
    <m/>
    <n v="501.59999999999997"/>
    <n v="4180"/>
    <x v="4"/>
    <x v="0"/>
    <m/>
    <x v="0"/>
    <s v="SIM"/>
    <s v="SIM"/>
    <m/>
  </r>
  <r>
    <x v="0"/>
    <x v="1"/>
    <d v="2023-05-15T08:00:00"/>
    <s v="TCLU8702742"/>
    <n v="40"/>
    <x v="0"/>
    <s v="DOREMUS"/>
    <s v="GUARULHOS"/>
    <n v="4655"/>
    <s v="LOGIN JATOBA  240S"/>
    <n v="106290"/>
    <m/>
    <s v="DVS9G77"/>
    <s v="DPE7C55"/>
    <s v="FABIO COSTA DA SILVA"/>
    <s v="00097734527"/>
    <s v="03148346870"/>
    <n v="15995"/>
    <s v="DPW"/>
    <d v="2023-05-15T03:31:00"/>
    <s v="MEDLOG"/>
    <d v="2023-05-15T15:50:00"/>
    <d v="2023-05-15T09:30:00"/>
    <d v="2023-05-15T12:10:00"/>
    <n v="2100"/>
    <m/>
    <m/>
    <m/>
    <m/>
    <m/>
    <m/>
    <n v="370.37759999999997"/>
    <n v="3086.48"/>
    <x v="4"/>
    <x v="0"/>
    <m/>
    <x v="0"/>
    <s v="SIM"/>
    <s v="SIM"/>
    <m/>
  </r>
  <r>
    <x v="0"/>
    <x v="0"/>
    <d v="2023-05-15T08:00:00"/>
    <s v="CXDU2042095"/>
    <n v="40"/>
    <x v="0"/>
    <s v="AJINOMOTO"/>
    <s v="LIMEIRA"/>
    <n v="4653"/>
    <s v="LOGIN JATOBA  240S"/>
    <n v="106263"/>
    <n v="106264"/>
    <s v="EFU6A89"/>
    <s v="CYB6H56"/>
    <s v="GUSTAVO ANTONIO CAVALCANTE"/>
    <s v="28386357860"/>
    <s v="01042201192"/>
    <n v="15998"/>
    <s v="DPW"/>
    <d v="2023-05-15T02:53:00"/>
    <s v="MEDLOG"/>
    <d v="2023-05-15T17:06:00"/>
    <d v="2023-05-15T07:20:00"/>
    <d v="2023-05-15T12:00:00"/>
    <n v="3400"/>
    <m/>
    <m/>
    <m/>
    <m/>
    <m/>
    <m/>
    <n v="558.28440000000001"/>
    <n v="4652.37"/>
    <x v="4"/>
    <x v="0"/>
    <m/>
    <x v="0"/>
    <s v="SIM"/>
    <s v="SIM"/>
    <m/>
  </r>
  <r>
    <x v="0"/>
    <x v="0"/>
    <d v="2023-05-16T08:00:00"/>
    <s v="TCNU6245623"/>
    <n v="40"/>
    <x v="0"/>
    <s v="DOREMUS"/>
    <s v="GUARULHOS"/>
    <n v="4657"/>
    <s v="LOGIN JATOBA  240S"/>
    <n v="106291"/>
    <m/>
    <s v="BHP9483"/>
    <s v="BSG5I9"/>
    <s v="ANACLETO RODRIGUES DE SANTANA"/>
    <s v="01817591878"/>
    <s v="00821760640"/>
    <n v="16009"/>
    <s v="DPW"/>
    <d v="2023-05-15T23:55:00"/>
    <s v="DEPOTCE"/>
    <d v="2023-05-16T16:00:00"/>
    <d v="2023-05-16T03:20:00"/>
    <d v="2023-05-16T09:42:00"/>
    <n v="2100"/>
    <m/>
    <m/>
    <m/>
    <m/>
    <m/>
    <m/>
    <n v="370.37759999999997"/>
    <n v="3086.48"/>
    <x v="4"/>
    <x v="0"/>
    <m/>
    <x v="0"/>
    <s v="SIM"/>
    <s v="SIM"/>
    <m/>
  </r>
  <r>
    <x v="0"/>
    <x v="0"/>
    <d v="2023-05-16T08:00:00"/>
    <s v="CAIU3368600"/>
    <n v="20"/>
    <x v="0"/>
    <s v="NEW MAX"/>
    <s v="AMERICANA"/>
    <n v="4552"/>
    <s v="LOGIN JATOBA  240S"/>
    <n v="106148"/>
    <m/>
    <s v="EPU5990"/>
    <s v="BSG1D88"/>
    <s v="LEANDRO SOARES CAETANO"/>
    <s v="10485530864"/>
    <s v="02033192841"/>
    <n v="16004"/>
    <s v="DPW"/>
    <d v="2023-05-15T22:39:00"/>
    <s v="MEDLOG"/>
    <d v="2023-05-16T16:09:00"/>
    <d v="2023-05-16T04:20:00"/>
    <d v="2023-05-16T08:30:00"/>
    <n v="3200"/>
    <m/>
    <m/>
    <m/>
    <m/>
    <m/>
    <m/>
    <n v="571.48680000000002"/>
    <n v="4762.3900000000003"/>
    <x v="4"/>
    <x v="0"/>
    <m/>
    <x v="0"/>
    <s v="SIM"/>
    <s v="SIM"/>
    <m/>
  </r>
  <r>
    <x v="0"/>
    <x v="0"/>
    <d v="2023-05-16T08:00:00"/>
    <s v="SEGU1093584"/>
    <n v="20"/>
    <x v="0"/>
    <s v="NEW MAX"/>
    <s v="AMERICANA"/>
    <n v="4633"/>
    <s v="LOGIN JATOBA  240S"/>
    <n v="106224"/>
    <m/>
    <s v="EWJ2162"/>
    <s v="ETF6391"/>
    <s v="CARLOS BUENO BALTAZAR"/>
    <n v="19279658883"/>
    <s v="01301319672"/>
    <n v="16005"/>
    <s v="DPW"/>
    <d v="2023-05-15T23:44:00"/>
    <s v="MEDLOG"/>
    <d v="2023-05-16T18:37:00"/>
    <d v="2023-05-16T04:00:00"/>
    <d v="2023-05-16T08:42:00"/>
    <n v="3200"/>
    <m/>
    <m/>
    <m/>
    <m/>
    <m/>
    <m/>
    <n v="571.48680000000002"/>
    <n v="4762.3900000000003"/>
    <x v="4"/>
    <x v="0"/>
    <m/>
    <x v="0"/>
    <s v="SIM"/>
    <s v="SIM"/>
    <m/>
  </r>
  <r>
    <x v="0"/>
    <x v="0"/>
    <d v="2023-05-16T08:00:00"/>
    <s v="SEGU1178589"/>
    <n v="20"/>
    <x v="0"/>
    <s v="VILHENA"/>
    <s v="CAJAMAR"/>
    <n v="4660"/>
    <s v="LOGIN JATOBA  240S"/>
    <n v="116374"/>
    <m/>
    <s v="OAJ1J52"/>
    <s v="BWY6F22"/>
    <s v="MARCONI DE OLIVEIRA CORDEIRO"/>
    <s v="05753633803"/>
    <s v="01922497849"/>
    <n v="16006"/>
    <s v="DPW"/>
    <d v="2023-05-15T19:13:00"/>
    <s v="MEDLOG"/>
    <d v="2023-05-17T19:50:00"/>
    <d v="2023-05-16T07:00:00"/>
    <d v="2023-05-16T11:20:00"/>
    <n v="2350"/>
    <m/>
    <m/>
    <n v="700"/>
    <m/>
    <m/>
    <m/>
    <n v="529.16279999999995"/>
    <n v="4409.6899999999996"/>
    <x v="4"/>
    <x v="0"/>
    <m/>
    <x v="0"/>
    <s v="SIM"/>
    <s v="SIM"/>
    <m/>
  </r>
  <r>
    <x v="0"/>
    <x v="0"/>
    <d v="2023-05-16T08:00:00"/>
    <s v="CAIU3159873"/>
    <n v="20"/>
    <x v="0"/>
    <s v="VILHETO"/>
    <s v="BARUERI"/>
    <n v="4659"/>
    <s v="LOGIN JATOBA  240S"/>
    <n v="116373"/>
    <m/>
    <s v="IPA0J77"/>
    <s v="KBL9G59"/>
    <s v="JOSE EURIPEDES PEREIRA"/>
    <s v="87607395849"/>
    <s v="01842622116"/>
    <n v="16007"/>
    <s v="DPW"/>
    <d v="2023-05-15T23:18:00"/>
    <s v="MEDLOG"/>
    <d v="2023-05-16T18:23:00"/>
    <d v="2023-05-16T01:00:00"/>
    <d v="2023-05-16T10:42:00"/>
    <n v="2200"/>
    <m/>
    <m/>
    <m/>
    <m/>
    <m/>
    <m/>
    <n v="510.26640000000003"/>
    <n v="4252.22"/>
    <x v="4"/>
    <x v="0"/>
    <m/>
    <x v="0"/>
    <s v="SIM"/>
    <s v="SIM"/>
    <m/>
  </r>
  <r>
    <x v="0"/>
    <x v="0"/>
    <d v="2023-05-16T08:00:00"/>
    <s v="GESU1441849"/>
    <n v="20"/>
    <x v="0"/>
    <s v="MIAN"/>
    <s v="SBC"/>
    <n v="4632"/>
    <s v="LOGIN JATOBA  240S"/>
    <n v="116193"/>
    <m/>
    <s v="KBK0D67"/>
    <s v="BSF4E26"/>
    <s v="JOAO BATISTA DOS SANTOS"/>
    <s v="13990937898"/>
    <s v="01825123407"/>
    <n v="16010"/>
    <s v="DPW"/>
    <d v="2023-05-15T22:17:00"/>
    <s v="MEDLOG"/>
    <d v="2023-05-16T17:09:00"/>
    <d v="2023-05-16T01:00:00"/>
    <d v="2023-05-16T09:50:00"/>
    <n v="1600"/>
    <m/>
    <m/>
    <m/>
    <m/>
    <m/>
    <m/>
    <n v="311.55959999999999"/>
    <n v="2596.33"/>
    <x v="4"/>
    <x v="0"/>
    <m/>
    <x v="0"/>
    <s v="SIM"/>
    <s v="SIM"/>
    <m/>
  </r>
  <r>
    <x v="0"/>
    <x v="0"/>
    <d v="2023-05-16T08:00:00"/>
    <s v="SEGU1063173"/>
    <n v="20"/>
    <x v="0"/>
    <s v="MIAN"/>
    <s v="SBC"/>
    <n v="4662"/>
    <s v="LOGIN JATOBA  240S"/>
    <n v="106262"/>
    <m/>
    <s v="CGS0A65"/>
    <s v="CPJ5G64"/>
    <s v="MARCOS PAULO NUNES"/>
    <n v="16239341843"/>
    <s v="01877235038"/>
    <n v="16011"/>
    <s v="DPW"/>
    <d v="2023-05-15T22:01:00"/>
    <s v="MEDLOG"/>
    <d v="2023-05-16T12:18:00"/>
    <d v="2023-05-16T01:00:00"/>
    <d v="2023-05-16T08:55:00"/>
    <n v="1600"/>
    <m/>
    <m/>
    <m/>
    <m/>
    <m/>
    <m/>
    <n v="311.55959999999999"/>
    <n v="2596.33"/>
    <x v="4"/>
    <x v="0"/>
    <m/>
    <x v="0"/>
    <s v="SIM"/>
    <s v="SIM"/>
    <m/>
  </r>
  <r>
    <x v="0"/>
    <x v="1"/>
    <d v="2023-05-18T09:00:00"/>
    <s v="CAIU4702748"/>
    <n v="40"/>
    <x v="2"/>
    <s v="SOSAL"/>
    <s v="SBC"/>
    <n v="4783"/>
    <s v="MERCOSUL GUARANI  061S"/>
    <n v="106408"/>
    <m/>
    <s v="CGS0A65"/>
    <s v="KBL9G59"/>
    <s v="MARCOS PAULO NUNES"/>
    <n v="16239341843"/>
    <s v="01877235038"/>
    <n v="16053"/>
    <s v="DPW"/>
    <d v="2023-05-15T00:21:00"/>
    <s v="MEDLOG"/>
    <d v="2023-05-18T16:31:00"/>
    <s v="18/05/023 02:25"/>
    <d v="2023-05-18T11:30:00"/>
    <n v="1600"/>
    <m/>
    <m/>
    <m/>
    <m/>
    <m/>
    <m/>
    <n v="276"/>
    <n v="2300"/>
    <x v="4"/>
    <x v="0"/>
    <m/>
    <x v="0"/>
    <s v="SIM"/>
    <s v="SIM"/>
    <s v="SIM"/>
  </r>
  <r>
    <x v="0"/>
    <x v="1"/>
    <d v="2023-05-18T09:00:00"/>
    <s v="CAIU4833516"/>
    <n v="40"/>
    <x v="2"/>
    <s v="SOSAL"/>
    <s v="SBC"/>
    <n v="4784"/>
    <s v="MERCOSUL GUARANI  061S"/>
    <n v="106411"/>
    <n v="106412"/>
    <s v="FRG7C59"/>
    <s v="EWJ4J85"/>
    <s v="WILSON FLAVIO ALVES DA SILVA"/>
    <s v="27455658850"/>
    <s v="01286008208"/>
    <s v="16056 / 16057"/>
    <s v="DPW"/>
    <d v="2023-05-18T09:19:00"/>
    <s v="MEDLOG"/>
    <d v="2023-05-18T17:44:00"/>
    <d v="2023-05-18T11:45:00"/>
    <d v="2023-05-18T15:25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18T11:00:00"/>
    <s v="TCLU3463100"/>
    <n v="20"/>
    <x v="2"/>
    <s v="SOSAL"/>
    <s v="SBC"/>
    <n v="4785"/>
    <s v="MERCOSUL GUARANI  061S"/>
    <n v="106440"/>
    <m/>
    <s v="BHP9483"/>
    <s v="BSG5I97"/>
    <s v="ANACLETO RODRIGUES DE SANTANA"/>
    <s v="01817591878"/>
    <s v="00821760640"/>
    <n v="16054"/>
    <s v="DPW"/>
    <d v="2023-05-17T23:45:00"/>
    <s v="DEPOTCE"/>
    <d v="2023-05-18T16:11:00"/>
    <d v="2023-05-18T02:25:00"/>
    <d v="2023-05-18T10:3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19T09:00:00"/>
    <s v="TCLU3467893"/>
    <n v="20"/>
    <x v="2"/>
    <s v="SOSAL"/>
    <s v="SBC"/>
    <n v="4764"/>
    <s v="MERCOSUL GUARANI  061S"/>
    <n v="106441"/>
    <m/>
    <s v="KBK0D67"/>
    <s v="BSF4E26"/>
    <s v="ANTONIO ISAEL PINHA"/>
    <n v="12126370895"/>
    <s v="02988821539"/>
    <n v="16061"/>
    <s v="DPW"/>
    <d v="2023-05-18T22:43:00"/>
    <s v="DEPOTCE"/>
    <d v="2023-05-19T15:27:00"/>
    <d v="2023-05-19T00:50:00"/>
    <d v="2023-05-19T13:2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19T09:00:00"/>
    <s v="MEDU5375851"/>
    <n v="20"/>
    <x v="2"/>
    <s v="SOSAL"/>
    <s v="SBC"/>
    <n v="4809"/>
    <s v="MERCOSUL GUARANI  061S"/>
    <n v="64254"/>
    <n v="64255"/>
    <s v="CGS0A65"/>
    <s v="CPJ5G64"/>
    <s v="MARCOS PAULO NUNES"/>
    <n v="16239341843"/>
    <s v="01877235038"/>
    <n v="16063"/>
    <s v="DPW"/>
    <d v="2023-05-18T22:45:00"/>
    <s v="MEDLOG"/>
    <d v="2023-05-19T13:42:00"/>
    <d v="2023-05-19T00:50:00"/>
    <d v="2023-05-19T12:2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19T11:00:00"/>
    <s v="TCLU3041779"/>
    <n v="20"/>
    <x v="2"/>
    <s v="SOSAL"/>
    <s v="SBC"/>
    <n v="4811"/>
    <s v="MERCOSUL GUARANI  061S"/>
    <n v="64252"/>
    <n v="64253"/>
    <s v="BHP9483"/>
    <s v="BSG5I97"/>
    <s v="ANACLETO RODRIGUES DE SANTANA"/>
    <s v="01817591878"/>
    <s v="00821760640"/>
    <n v="16062"/>
    <s v="DPW"/>
    <d v="2023-05-19T01:00:00"/>
    <s v="MEDLOG"/>
    <d v="2023-05-19T14:27:00"/>
    <d v="2023-05-19T03:35:00"/>
    <d v="2023-05-19T11:30:00"/>
    <n v="1600"/>
    <m/>
    <m/>
    <m/>
    <m/>
    <m/>
    <m/>
    <n v="276"/>
    <n v="2300"/>
    <x v="4"/>
    <x v="0"/>
    <m/>
    <x v="0"/>
    <s v="SIM"/>
    <s v="SIM"/>
    <s v="SIM"/>
  </r>
  <r>
    <x v="0"/>
    <x v="1"/>
    <d v="2023-05-23T08:00:00"/>
    <s v="MSKU7198362"/>
    <n v="20"/>
    <x v="1"/>
    <s v="MIAN"/>
    <s v="SBC"/>
    <s v="AAK4954B"/>
    <s v="AMERICO VESPUCIO  319S"/>
    <n v="71055"/>
    <m/>
    <s v="EPU5990"/>
    <s v="BSG1D88"/>
    <s v="LEANDRO SOARES CAETANO"/>
    <s v="10485530864"/>
    <s v="02033192841"/>
    <n v="16106"/>
    <s v="SANTOS BRASIL"/>
    <d v="2023-05-23T10:47:00"/>
    <s v="TRANSTEC SANTOS"/>
    <d v="2023-05-24T08:13:00"/>
    <d v="2023-05-23T11:30:00"/>
    <d v="2023-05-23T15:30:00"/>
    <n v="1600"/>
    <m/>
    <m/>
    <m/>
    <m/>
    <m/>
    <m/>
    <n v="288"/>
    <n v="2400"/>
    <x v="4"/>
    <x v="0"/>
    <s v="Falta de averbação CISMSAL"/>
    <x v="5"/>
    <s v="SIM"/>
    <s v="SIM"/>
    <s v="SIM"/>
  </r>
  <r>
    <x v="0"/>
    <x v="1"/>
    <d v="2023-05-23T09:00:00"/>
    <s v="HASU1453040"/>
    <n v="20"/>
    <x v="2"/>
    <s v="SOSAL"/>
    <s v="SBC"/>
    <s v="AAK530KB"/>
    <s v="AMERICO VESPUCIO  319S"/>
    <n v="106550"/>
    <m/>
    <s v="BHP9483"/>
    <s v="BSF4E26"/>
    <s v="ANACLETO RODRIGUES DE SANTANA"/>
    <s v="01817591878"/>
    <s v="00821760640"/>
    <n v="16110"/>
    <s v="SANTOS BRASIL"/>
    <s v="23/05/023 12:34"/>
    <s v="TRANSTEC SANTOS"/>
    <d v="2023-05-24T00:21:00"/>
    <d v="2023-05-23T15:00:00"/>
    <d v="2023-05-23T16:1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23T09:00:00"/>
    <s v="MSKU5239415"/>
    <n v="20"/>
    <x v="2"/>
    <s v="SOSAL"/>
    <s v="SBC"/>
    <s v="AAK530KB"/>
    <s v="AMERICO VESPUCIO  319S"/>
    <n v="106551"/>
    <m/>
    <s v="CGS0A65"/>
    <s v="CPJ5G64"/>
    <s v="MARCOS PAULO NUNES"/>
    <n v="16239341843"/>
    <s v="01877235038"/>
    <n v="16111"/>
    <s v="SANTOS BRASIL"/>
    <s v="23/05/023 06:21"/>
    <s v="TRANSTEC SANTOS"/>
    <d v="2023-05-24T07:19:00"/>
    <d v="2023-05-23T07:45:00"/>
    <d v="2023-05-23T11:40:00"/>
    <n v="1600"/>
    <m/>
    <m/>
    <m/>
    <m/>
    <m/>
    <m/>
    <n v="276"/>
    <n v="2300"/>
    <x v="4"/>
    <x v="0"/>
    <m/>
    <x v="0"/>
    <s v="SIM"/>
    <s v="SIM"/>
    <s v="SIM"/>
  </r>
  <r>
    <x v="0"/>
    <x v="1"/>
    <d v="2023-05-23T11:00:00"/>
    <s v="MRKU9117970"/>
    <n v="20"/>
    <x v="2"/>
    <s v="SOSAL"/>
    <s v="SBC"/>
    <s v="AAK530KB"/>
    <s v="AMERICO VESPUCIO  319S"/>
    <n v="106589"/>
    <m/>
    <s v="KBK0D67"/>
    <s v="BWP9J59"/>
    <s v="ANTONIO ISAEL PINHA"/>
    <n v="12126370895"/>
    <s v="02988821539"/>
    <n v="16109"/>
    <s v="SANTOS BRASIL"/>
    <d v="2023-05-23T10:11:00"/>
    <s v="TRANSTEC SANTOS"/>
    <d v="2023-05-23T17:07:00"/>
    <d v="2023-05-24T11:30:00"/>
    <d v="2023-05-23T14:00:00"/>
    <n v="1600"/>
    <m/>
    <m/>
    <m/>
    <m/>
    <m/>
    <m/>
    <n v="276"/>
    <n v="2300"/>
    <x v="4"/>
    <x v="0"/>
    <m/>
    <x v="0"/>
    <s v="SIM"/>
    <s v="SIM"/>
    <s v="SIM"/>
  </r>
  <r>
    <x v="0"/>
    <x v="1"/>
    <d v="2023-05-24T09:00:00"/>
    <s v="MSKU5918036"/>
    <n v="20"/>
    <x v="2"/>
    <s v="SOSAL"/>
    <s v="SBC"/>
    <s v="AAK530LC"/>
    <s v="AMERICO VESPUCIO  319S"/>
    <n v="116809"/>
    <n v="106638"/>
    <s v="CGS0A65"/>
    <s v="CPJ5G64"/>
    <s v="MARCOS PAULO NUNES"/>
    <n v="16239341843"/>
    <s v="01877235038"/>
    <s v="16121 / 16122"/>
    <s v="SANTOS BRASIL"/>
    <d v="2023-05-24T09:45:00"/>
    <s v="TRANSTEC SANTOS"/>
    <d v="2023-05-24T16:04:00"/>
    <d v="2023-05-24T12:00:00"/>
    <d v="2023-05-24T14:00:00"/>
    <n v="1600"/>
    <m/>
    <m/>
    <m/>
    <m/>
    <m/>
    <m/>
    <n v="276"/>
    <n v="2300"/>
    <x v="4"/>
    <x v="0"/>
    <m/>
    <x v="0"/>
    <s v="SIM"/>
    <s v="SIM"/>
    <s v="SIM"/>
  </r>
  <r>
    <x v="0"/>
    <x v="1"/>
    <d v="2023-05-24T09:00:00"/>
    <s v="MSKU3330763"/>
    <n v="20"/>
    <x v="2"/>
    <s v="SOSAL"/>
    <s v="SBC"/>
    <s v="AAK530LB"/>
    <s v="AMERICO VESPUCIO  319S"/>
    <n v="71150"/>
    <m/>
    <s v="BHP9483"/>
    <s v="BSF4E26"/>
    <s v="ANACLETO RODRIGUES DE SANTANA"/>
    <s v="01817591878"/>
    <s v="00821760640"/>
    <n v="16120"/>
    <s v="SANTOS BRASIL"/>
    <d v="2023-05-24T09:20:00"/>
    <s v="TRANSTEC SANTOS"/>
    <d v="2023-05-25T07:27:00"/>
    <d v="2023-05-24T12:30:00"/>
    <d v="2023-05-24T15:20:00"/>
    <n v="1600"/>
    <m/>
    <m/>
    <m/>
    <m/>
    <m/>
    <m/>
    <n v="276"/>
    <n v="2300"/>
    <x v="4"/>
    <x v="0"/>
    <m/>
    <x v="0"/>
    <s v="SIM"/>
    <s v="SIM"/>
    <s v="SIM"/>
  </r>
  <r>
    <x v="0"/>
    <x v="1"/>
    <d v="2023-05-24T11:00:00"/>
    <s v="TTNU1190583"/>
    <n v="20"/>
    <x v="2"/>
    <s v="SOSAL"/>
    <s v="SBC"/>
    <s v="AAK530LE"/>
    <s v="AMERICO VESPUCIO  319S"/>
    <n v="116810"/>
    <m/>
    <s v="KBK0D67"/>
    <s v="BWP9J59"/>
    <s v="ANTONIO ISAEL PINHA"/>
    <n v="12126370895"/>
    <s v="02988821539"/>
    <n v="16123"/>
    <s v="SANTOS BRASIL"/>
    <d v="2023-05-24T12:49:00"/>
    <s v="TRANSTEC SANTOS"/>
    <d v="2023-05-25T07:24:00"/>
    <d v="2023-05-24T14:25:00"/>
    <d v="2023-05-24T16:3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25T09:00:00"/>
    <s v="MSKU5904650"/>
    <n v="20"/>
    <x v="2"/>
    <s v="SOSAL"/>
    <s v="SBC"/>
    <s v="AAK530LB"/>
    <s v="AMERICO VESPUCIO  319S"/>
    <n v="71152"/>
    <m/>
    <s v="OAJ1J52"/>
    <s v="BWY6F22"/>
    <s v="MARCONI DE OLIVEIRA CORDEIRO"/>
    <s v="05753633803"/>
    <s v="01922497849"/>
    <n v="16145"/>
    <s v="SANTOS BRASIL"/>
    <d v="2023-05-25T05:04:00"/>
    <s v="FASSINA SANTOS"/>
    <d v="2023-05-25T15:05:00"/>
    <d v="2023-05-25T08:00:00"/>
    <d v="2023-05-25T10:3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25T09:00:00"/>
    <s v="MRSU0197513"/>
    <n v="20"/>
    <x v="2"/>
    <s v="SOSAL"/>
    <s v="SBC"/>
    <s v="AAK530KC"/>
    <s v="AMERICO VESPUCIO  319S"/>
    <n v="106590"/>
    <m/>
    <s v="EPU5990"/>
    <s v="BSG1D88"/>
    <s v="LEANDRO SOARES CAETANO"/>
    <s v="10485530864"/>
    <s v="02033192841"/>
    <n v="16149"/>
    <s v="SANTOS BRASIL"/>
    <d v="2023-05-25T04:57:00"/>
    <s v="FASSINA SANTOS"/>
    <d v="2023-05-25T14:19:00"/>
    <d v="2023-05-25T06:40:00"/>
    <d v="2023-05-25T11:50:00"/>
    <n v="1600"/>
    <m/>
    <m/>
    <m/>
    <m/>
    <m/>
    <m/>
    <n v="276"/>
    <n v="2300"/>
    <x v="4"/>
    <x v="0"/>
    <m/>
    <x v="0"/>
    <s v="SIM"/>
    <s v="SIM"/>
    <s v="SIM"/>
  </r>
  <r>
    <x v="0"/>
    <x v="0"/>
    <d v="2023-05-26T08:00:00"/>
    <s v="TRHU2837839"/>
    <n v="20"/>
    <x v="1"/>
    <s v="MIAN"/>
    <s v="SBC"/>
    <s v="AAK4954B"/>
    <s v="AMERICO VESPUCIO  319S"/>
    <n v="71050"/>
    <m/>
    <s v="EPU5990"/>
    <s v="BSG1D88"/>
    <s v="LEANDRO SOARES CAETANO"/>
    <s v="10485530864"/>
    <s v="02033192841"/>
    <n v="16160"/>
    <s v="SANTOS BRASIL"/>
    <d v="2023-05-26T05:58:00"/>
    <s v="TRANSTEC SANTOS"/>
    <d v="2023-05-26T00:00:00"/>
    <d v="2023-05-26T07:30:00"/>
    <d v="2023-05-26T08:00:00"/>
    <n v="1600"/>
    <m/>
    <m/>
    <m/>
    <m/>
    <m/>
    <m/>
    <n v="288"/>
    <n v="2400"/>
    <x v="4"/>
    <x v="0"/>
    <m/>
    <x v="0"/>
    <s v="SIM"/>
    <s v="SIM"/>
    <s v="SIM"/>
  </r>
  <r>
    <x v="0"/>
    <x v="1"/>
    <d v="2023-05-18T08:00:00"/>
    <s v="GCXU5689997"/>
    <n v="40"/>
    <x v="0"/>
    <s v="BR SPICE"/>
    <s v="JANDIRA"/>
    <s v="AAK498R"/>
    <s v="FERNANDO DE MAGALHAES  318S"/>
    <n v="106427"/>
    <m/>
    <s v="DTB9J13"/>
    <s v="CPJ3G59"/>
    <s v="JOSE EDNILSON DOS SANTOS"/>
    <n v="88265951434"/>
    <s v="00920373596"/>
    <n v="16055"/>
    <s v="SANTOS BRASIL"/>
    <d v="2023-05-18T07:11:00"/>
    <s v="TRANSTEC SANTOS"/>
    <s v="18/05/023 00:00"/>
    <d v="2023-05-18T13:45:00"/>
    <d v="2023-05-18T15:20:00"/>
    <n v="2300"/>
    <m/>
    <m/>
    <m/>
    <m/>
    <m/>
    <m/>
    <n v="392.15039999999999"/>
    <n v="3267.92"/>
    <x v="4"/>
    <x v="0"/>
    <s v="Chegou no limite do agendamento que era as 4h"/>
    <x v="1"/>
    <s v="SIM"/>
    <s v="SIM"/>
    <m/>
  </r>
  <r>
    <x v="0"/>
    <x v="0"/>
    <d v="2023-05-19T08:00:00"/>
    <s v="TCKU1131114"/>
    <n v="20"/>
    <x v="0"/>
    <s v="NEW MAX"/>
    <s v="AMERICANA"/>
    <s v="AAK480C"/>
    <s v="FERNANDO DE MAGALHAES  318S"/>
    <n v="106409"/>
    <m/>
    <s v="EWJ2162"/>
    <s v="ETF6391"/>
    <s v="CARLOS BUENO BALTAZAR"/>
    <n v="19279658883"/>
    <s v="01301319672"/>
    <n v="16064"/>
    <s v="SANTOS BRASIL"/>
    <d v="2023-05-18T23:04:00"/>
    <s v="FASSINA SANTOS"/>
    <d v="2023-05-19T14:52:00"/>
    <d v="2023-05-19T03:20:00"/>
    <d v="2023-05-19T10:00:00"/>
    <n v="3200"/>
    <m/>
    <m/>
    <m/>
    <m/>
    <m/>
    <m/>
    <n v="571.48680000000002"/>
    <n v="4762.3900000000003"/>
    <x v="4"/>
    <x v="0"/>
    <m/>
    <x v="0"/>
    <s v="SIM"/>
    <s v="SIM"/>
    <m/>
  </r>
  <r>
    <x v="0"/>
    <x v="0"/>
    <d v="2023-05-19T08:00:00"/>
    <s v="CAIU3022962"/>
    <n v="20"/>
    <x v="0"/>
    <s v="CHARQUE CAMPEAO"/>
    <s v="SANTANA DE PARNAIBA"/>
    <n v="4771"/>
    <s v="MERCOSUL GUARANI  061S"/>
    <n v="116476"/>
    <m/>
    <s v="EPU5990"/>
    <s v="BSG1D88"/>
    <s v="LEANDRO SOARES CAETANO"/>
    <s v="10485530864"/>
    <s v="02033192841"/>
    <n v="16065"/>
    <s v="DPW"/>
    <d v="2023-05-19T00:48:00"/>
    <s v="MEDLOG"/>
    <d v="2023-05-19T17:14:00"/>
    <d v="2023-05-19T04:00:00"/>
    <d v="2023-05-19T09:15:00"/>
    <n v="2300"/>
    <m/>
    <m/>
    <m/>
    <m/>
    <m/>
    <m/>
    <n v="399.62399999999997"/>
    <n v="3330.2"/>
    <x v="4"/>
    <x v="0"/>
    <m/>
    <x v="0"/>
    <s v="SIM"/>
    <s v="SIM"/>
    <s v="SIM"/>
  </r>
  <r>
    <x v="0"/>
    <x v="1"/>
    <d v="2023-05-19T08:00:00"/>
    <s v="CAAU6393481"/>
    <n v="40"/>
    <x v="0"/>
    <s v="IRMAOS AVELINO"/>
    <s v="CARAPICUIBA"/>
    <n v="4779"/>
    <s v="MERCOSUL GUARANI  061S"/>
    <n v="106351"/>
    <m/>
    <s v="FRG7C59"/>
    <s v="EWJ4J85"/>
    <s v="WILSON FLAVIO ALVES DA SILVA"/>
    <s v="27455658850"/>
    <s v="01286008208"/>
    <n v="16066"/>
    <s v="DPW"/>
    <d v="2023-05-19T06:47:00"/>
    <s v="MEDLOG"/>
    <d v="2023-05-19T16:41:00"/>
    <d v="2023-05-19T09:20:00"/>
    <d v="2023-05-19T13:00:00"/>
    <n v="2300"/>
    <m/>
    <m/>
    <n v="500"/>
    <m/>
    <m/>
    <m/>
    <n v="449.87399999999997"/>
    <n v="3748.95"/>
    <x v="4"/>
    <x v="0"/>
    <m/>
    <x v="0"/>
    <s v="SIM"/>
    <s v="SIM"/>
    <s v="SIM"/>
  </r>
  <r>
    <x v="0"/>
    <x v="1"/>
    <d v="2023-05-19T08:00:00"/>
    <s v="FCIU9216304"/>
    <n v="40"/>
    <x v="0"/>
    <s v="BR SPICE"/>
    <s v="JANDIRA"/>
    <n v="4772"/>
    <s v="MERCOSUL GUARANI  061S"/>
    <n v="106492"/>
    <m/>
    <s v="FQE9I91"/>
    <s v="DPB9J85"/>
    <s v="MARCO ANTONIO LOBATO CASTILHO"/>
    <s v="05753633803"/>
    <s v="01922497849"/>
    <n v="16067"/>
    <s v="DPW"/>
    <d v="2023-05-19T06:11:00"/>
    <s v="MEDLOG"/>
    <d v="2023-05-19T15:12:00"/>
    <d v="2023-05-19T09:30:00"/>
    <d v="2023-05-19T10:47:00"/>
    <n v="2300"/>
    <m/>
    <m/>
    <m/>
    <m/>
    <m/>
    <m/>
    <n v="392.15039999999999"/>
    <n v="3267.92"/>
    <x v="4"/>
    <x v="0"/>
    <m/>
    <x v="0"/>
    <s v="SIM"/>
    <s v="SIM"/>
    <s v="SIM"/>
  </r>
  <r>
    <x v="0"/>
    <x v="0"/>
    <d v="2023-05-22T08:00:00"/>
    <s v="CRSU9163026"/>
    <n v="40"/>
    <x v="0"/>
    <s v="BUNGE"/>
    <s v="SANTOS"/>
    <n v="4781"/>
    <s v="MERCOSUL GUARANI  061S"/>
    <n v="106451"/>
    <m/>
    <s v="FGD8G49"/>
    <s v="FUJ0D24"/>
    <s v="GILVAN LAURENTINO DA SILVA"/>
    <s v="92693377404"/>
    <s v="02954783990"/>
    <n v="16088"/>
    <s v="DPW"/>
    <d v="2023-05-22T05:16:00"/>
    <s v="MEDLOG"/>
    <d v="2023-05-22T14:04:00"/>
    <d v="2023-05-22T06:30:00"/>
    <d v="2023-05-22T12:35:00"/>
    <m/>
    <m/>
    <m/>
    <m/>
    <m/>
    <m/>
    <m/>
    <n v="234"/>
    <n v="1950"/>
    <x v="4"/>
    <x v="0"/>
    <m/>
    <x v="0"/>
    <s v="SIM"/>
    <s v="SIM"/>
    <s v="SIM"/>
  </r>
  <r>
    <x v="0"/>
    <x v="0"/>
    <d v="2023-05-22T08:00:00"/>
    <s v="TCLU3039030"/>
    <n v="20"/>
    <x v="0"/>
    <s v="PENINA"/>
    <s v="VL INDEPENDENTE"/>
    <n v="4782"/>
    <s v="MERCOSUL GUARANI  061S"/>
    <n v="106359"/>
    <m/>
    <s v="EPU5990"/>
    <s v="BSG1D88"/>
    <s v="LEANDRO SOARES CAETANO"/>
    <s v="10485530864"/>
    <s v="02033192841"/>
    <n v="16079"/>
    <s v="DPW"/>
    <d v="2023-05-22T05:41:00"/>
    <s v="DEPOTCE"/>
    <d v="2023-05-22T17:26:00"/>
    <d v="2023-05-22T07:30:00"/>
    <d v="2023-05-22T11:35:00"/>
    <n v="2000"/>
    <m/>
    <m/>
    <n v="700"/>
    <m/>
    <m/>
    <m/>
    <n v="447.91919999999999"/>
    <n v="3732.66"/>
    <x v="4"/>
    <x v="0"/>
    <m/>
    <x v="0"/>
    <s v="SIM"/>
    <s v="SIM"/>
    <s v="SIM"/>
  </r>
  <r>
    <x v="0"/>
    <x v="0"/>
    <d v="2023-05-22T08:00:00"/>
    <s v="MSMU6776600"/>
    <n v="40"/>
    <x v="0"/>
    <s v="DOREMUS"/>
    <s v="GUARULHOS"/>
    <n v="4768"/>
    <s v="MERCOSUL GUARANI  061S"/>
    <n v="106361"/>
    <m/>
    <s v="KBK0D67"/>
    <s v="BSG5I97"/>
    <s v="ANTONIO ISAEL PINHA"/>
    <n v="12126370895"/>
    <s v="02988821539"/>
    <n v="16082"/>
    <s v="DPW"/>
    <d v="2023-05-21T23:55:00"/>
    <s v="MEDLOG"/>
    <d v="2023-05-22T14:32:00"/>
    <d v="2023-05-22T04:00:00"/>
    <d v="2023-05-22T09:35:00"/>
    <n v="2100"/>
    <m/>
    <m/>
    <n v="700"/>
    <m/>
    <m/>
    <m/>
    <n v="447.91919999999999"/>
    <n v="3732.66"/>
    <x v="4"/>
    <x v="0"/>
    <m/>
    <x v="0"/>
    <s v="SIM"/>
    <s v="SIM"/>
    <s v="SIM"/>
  </r>
  <r>
    <x v="0"/>
    <x v="1"/>
    <d v="2023-05-22T08:00:00"/>
    <s v="AMFU8917392"/>
    <n v="40"/>
    <x v="0"/>
    <s v="AJINOMOTO"/>
    <s v="LIMEIRA"/>
    <n v="4766"/>
    <s v="MERCOSUL GUARANI  061S"/>
    <n v="106449"/>
    <n v="106450"/>
    <s v="DDL8B54"/>
    <s v="FEI4012"/>
    <s v="WILTON SILVA BARBOSA"/>
    <s v="27455658850"/>
    <s v="01286008208"/>
    <n v="16077"/>
    <s v="DPW"/>
    <d v="2023-05-22T10:29:00"/>
    <s v="DEPOTCE"/>
    <d v="2023-05-22T21:37:00"/>
    <d v="2023-05-22T14:30:00"/>
    <d v="2023-05-22T16:56:00"/>
    <n v="3400"/>
    <m/>
    <m/>
    <n v="700"/>
    <m/>
    <m/>
    <m/>
    <n v="447.91919999999999"/>
    <n v="3732.66"/>
    <x v="4"/>
    <x v="0"/>
    <m/>
    <x v="0"/>
    <s v="SIM"/>
    <s v="SIM"/>
    <s v="SIM"/>
  </r>
  <r>
    <x v="0"/>
    <x v="1"/>
    <d v="2023-05-23T08:00:00"/>
    <s v="TEMU7722248"/>
    <n v="40"/>
    <x v="0"/>
    <s v="MAXSOY"/>
    <s v="HORTOLANDIA"/>
    <n v="4780"/>
    <s v="MERCOSUL GUARANI  061S"/>
    <n v="106348"/>
    <m/>
    <s v="EKH4C25"/>
    <s v="BSG5I"/>
    <s v="WESLLEY RODRIGO CONSTANCIO DA SILVA"/>
    <s v="27455658850"/>
    <s v="01286008208"/>
    <n v="16107"/>
    <s v="DPW"/>
    <d v="2023-05-22T22:49:00"/>
    <s v="MEDLOG"/>
    <d v="2023-05-23T23:16:00"/>
    <d v="2023-05-23T13:40:00"/>
    <d v="2023-05-23T16:00:00"/>
    <n v="2800"/>
    <m/>
    <m/>
    <n v="700"/>
    <m/>
    <m/>
    <m/>
    <n v="447.91919999999999"/>
    <n v="3732.66"/>
    <x v="4"/>
    <x v="0"/>
    <m/>
    <x v="3"/>
    <s v="SIM"/>
    <s v="SIM"/>
    <s v="SIM"/>
  </r>
  <r>
    <x v="0"/>
    <x v="0"/>
    <d v="2023-05-23T08:00:00"/>
    <s v="CIPU5023557"/>
    <n v="40"/>
    <x v="0"/>
    <s v="DOREMUS"/>
    <s v="GUARULHOS"/>
    <n v="4769"/>
    <s v="MERCOSUL GUARANI  061S"/>
    <n v="106366"/>
    <m/>
    <s v="IPA0J77"/>
    <s v="KBL9G59"/>
    <s v="JOSE EURIPEDES PEREIRA"/>
    <s v="87607395849"/>
    <s v="01842622116"/>
    <n v="16108"/>
    <s v="DPW"/>
    <d v="2023-05-22T22:02:00"/>
    <s v="MEDLOG"/>
    <d v="2023-05-23T22:44:00"/>
    <d v="2023-05-23T01:00:00"/>
    <d v="2023-05-23T12:00:00"/>
    <n v="2100"/>
    <m/>
    <m/>
    <n v="700"/>
    <m/>
    <m/>
    <m/>
    <n v="447.91919999999999"/>
    <n v="3732.66"/>
    <x v="4"/>
    <x v="0"/>
    <m/>
    <x v="0"/>
    <s v="SIM"/>
    <s v="SIM"/>
    <s v="SIM"/>
  </r>
  <r>
    <x v="0"/>
    <x v="0"/>
    <d v="2023-05-25T09:00:00"/>
    <s v="AMFU8920800"/>
    <n v="40"/>
    <x v="2"/>
    <s v="SOSAL"/>
    <s v="SBC"/>
    <s v="5008 / 5009"/>
    <s v="LOGIN JACARANDA  153S"/>
    <n v="106562"/>
    <n v="106563"/>
    <s v="FZF3E97"/>
    <s v="FXU8J10"/>
    <s v="FABIO DARIO RODRIGUES"/>
    <s v="26283419801"/>
    <s v="02002046946"/>
    <s v="16151 / 16152"/>
    <s v="DPW"/>
    <d v="2023-05-25T05:17:00"/>
    <s v="TRANSTEC SANTOS"/>
    <d v="2023-05-25T14:55:00"/>
    <d v="2023-05-25T07:14:00"/>
    <d v="2023-05-25T10:55:00"/>
    <n v="1600"/>
    <m/>
    <m/>
    <n v="700"/>
    <m/>
    <m/>
    <m/>
    <n v="447.91919999999999"/>
    <n v="3732.66"/>
    <x v="4"/>
    <x v="0"/>
    <m/>
    <x v="0"/>
    <s v="SIM"/>
    <s v="SIM"/>
    <m/>
  </r>
  <r>
    <x v="0"/>
    <x v="0"/>
    <d v="2023-05-25T09:00:00"/>
    <s v="CAAU6491404"/>
    <n v="40"/>
    <x v="2"/>
    <s v="SOSAL"/>
    <s v="SBC"/>
    <n v="5007"/>
    <s v="LOGIN JACARANDA  153S"/>
    <n v="106606"/>
    <m/>
    <s v="FRG7C59"/>
    <s v="EWJ4J85"/>
    <s v="WILSON FLAVIO ALVES DA SILVA"/>
    <s v="27455658850"/>
    <s v="01286008208"/>
    <n v="16154"/>
    <s v="DPW"/>
    <d v="2023-05-25T06:33:00"/>
    <s v="TRANSTEC SANTOS"/>
    <d v="2023-05-26T14:30:00"/>
    <d v="2023-05-25T08:15:00"/>
    <d v="2023-05-25T08:07:00"/>
    <n v="1600"/>
    <m/>
    <m/>
    <n v="700"/>
    <m/>
    <m/>
    <m/>
    <n v="447.91919999999999"/>
    <n v="3732.66"/>
    <x v="4"/>
    <x v="0"/>
    <m/>
    <x v="0"/>
    <s v="SIM"/>
    <s v="SIM"/>
    <m/>
  </r>
  <r>
    <x v="0"/>
    <x v="0"/>
    <d v="2023-05-26T09:00:00"/>
    <s v="MSDU1929063"/>
    <n v="20"/>
    <x v="2"/>
    <s v="SOSAL"/>
    <s v="SBC"/>
    <n v="5112"/>
    <s v="LOGIN JACARANDA  153S"/>
    <n v="71099"/>
    <m/>
    <s v="KBK0D67"/>
    <s v="BSF4E26"/>
    <s v="JOAO BATISTA DOS SANTOS"/>
    <s v="13990937898"/>
    <s v="01825123407"/>
    <n v="16164"/>
    <s v="DPW"/>
    <d v="2023-05-26T00:55:00"/>
    <s v="TRANSTEC SANTOS"/>
    <d v="2023-05-26T00:00:00"/>
    <d v="2023-05-26T02:15:00"/>
    <d v="2023-05-26T11:10:00"/>
    <n v="1600"/>
    <m/>
    <m/>
    <n v="700"/>
    <m/>
    <m/>
    <m/>
    <n v="447.91919999999999"/>
    <n v="3732.66"/>
    <x v="4"/>
    <x v="0"/>
    <m/>
    <x v="0"/>
    <s v="SIM"/>
    <s v="SIM"/>
    <m/>
  </r>
  <r>
    <x v="0"/>
    <x v="0"/>
    <d v="2023-05-26T09:00:00"/>
    <s v="MSDU1543260"/>
    <n v="20"/>
    <x v="2"/>
    <s v="SOSAL"/>
    <s v="SBC"/>
    <n v="5111"/>
    <s v="LOGIN JACARANDA  153S"/>
    <n v="71100"/>
    <m/>
    <s v="BHP9483"/>
    <s v="BSF4E26"/>
    <s v="ANACLETO RODRIGUES DE SANTANA"/>
    <s v="01817591878"/>
    <s v="00821760640"/>
    <n v="16165"/>
    <s v="DPW"/>
    <d v="2023-05-25T23:50:00"/>
    <s v="TRANSTEC SANTOS"/>
    <d v="2023-05-26T00:00:00"/>
    <d v="2023-05-26T02:25:00"/>
    <d v="2023-05-26T11:30:00"/>
    <n v="1600"/>
    <m/>
    <m/>
    <n v="700"/>
    <m/>
    <m/>
    <m/>
    <n v="447.91919999999999"/>
    <n v="3732.66"/>
    <x v="4"/>
    <x v="0"/>
    <m/>
    <x v="0"/>
    <s v="SIM"/>
    <s v="SIM"/>
    <m/>
  </r>
  <r>
    <x v="0"/>
    <x v="0"/>
    <d v="2023-05-26T11:00:00"/>
    <s v="TCLU8207055"/>
    <n v="40"/>
    <x v="2"/>
    <s v="SOSAL"/>
    <s v="SBC"/>
    <s v="5010 / 5011"/>
    <s v="LOGIN JACARANDA  153S"/>
    <n v="106649"/>
    <m/>
    <s v="CGS0A65"/>
    <s v="BSG5I97"/>
    <s v="ANTONIO ISAEL PINHA"/>
    <n v="12126370895"/>
    <s v="02988821539"/>
    <s v="16162 / 16163"/>
    <s v="DPW"/>
    <d v="2023-05-26T00:08:00"/>
    <s v="TRANSTEC SANTOS"/>
    <d v="2023-05-26T20:13:00"/>
    <d v="2023-05-26T02:15:00"/>
    <d v="2023-05-26T12:50:00"/>
    <n v="1600"/>
    <m/>
    <m/>
    <n v="700"/>
    <m/>
    <m/>
    <m/>
    <n v="447.91919999999999"/>
    <n v="3732.66"/>
    <x v="4"/>
    <x v="0"/>
    <m/>
    <x v="0"/>
    <s v="SIM"/>
    <s v="SIM"/>
    <m/>
  </r>
  <r>
    <x v="0"/>
    <x v="0"/>
    <d v="2023-05-26T08:00:00"/>
    <s v="SEGU1084453"/>
    <n v="20"/>
    <x v="0"/>
    <s v="CHARQUE CAMPEAO"/>
    <s v="SANTANA DE PARNAIBA"/>
    <n v="5114"/>
    <s v="LOGIN JACARANDA  153S"/>
    <n v="116879"/>
    <m/>
    <s v="EWJ2162"/>
    <s v="ETF6391"/>
    <s v="CARLOS BUENO BALTAZAR"/>
    <n v="19279658883"/>
    <s v="01301319672"/>
    <n v="16161"/>
    <s v="DPW"/>
    <d v="2023-05-26T01:03:00"/>
    <s v="TRANSTEC SANTOS"/>
    <d v="2023-05-26T14:18:00"/>
    <d v="2023-05-26T04:05:00"/>
    <d v="2023-05-26T11:00:00"/>
    <n v="2300"/>
    <m/>
    <m/>
    <n v="700"/>
    <m/>
    <m/>
    <m/>
    <n v="447.91919999999999"/>
    <n v="3732.66"/>
    <x v="4"/>
    <x v="0"/>
    <m/>
    <x v="0"/>
    <s v="SIM"/>
    <s v="SIM"/>
    <m/>
  </r>
  <r>
    <x v="0"/>
    <x v="0"/>
    <d v="2023-05-26T08:00:00"/>
    <s v="SEGU4117993"/>
    <n v="40"/>
    <x v="0"/>
    <s v="AJINOMOTO"/>
    <s v="LIMEIRA"/>
    <n v="4992"/>
    <s v="LOGIN JACARANDA  153S"/>
    <n v="106564"/>
    <n v="106565"/>
    <s v="CUA7F62"/>
    <s v="BSG2J78"/>
    <s v="VALDECIR DA SILVA"/>
    <s v="27455658850"/>
    <s v="01286008208"/>
    <n v="16166"/>
    <s v="DPW"/>
    <d v="2023-05-25T15:53:00"/>
    <s v="TRANSTEC SANTOS"/>
    <d v="2023-05-26T15:56:00"/>
    <d v="2023-05-26T01:15:00"/>
    <d v="2023-05-26T09:50:00"/>
    <n v="3400"/>
    <m/>
    <m/>
    <n v="700"/>
    <m/>
    <m/>
    <m/>
    <n v="447.91919999999999"/>
    <n v="3732.66"/>
    <x v="4"/>
    <x v="0"/>
    <m/>
    <x v="0"/>
    <s v="SIM"/>
    <s v="SIM"/>
    <m/>
  </r>
  <r>
    <x v="0"/>
    <x v="0"/>
    <d v="2023-05-26T08:00:00"/>
    <s v="TCLU8208489"/>
    <n v="40"/>
    <x v="0"/>
    <s v="AJINOMOTO"/>
    <s v="LIMEIRA"/>
    <n v="4993"/>
    <s v="LOGIN JACARANDA  153S"/>
    <n v="106587"/>
    <n v="106588"/>
    <s v="DVT6D42"/>
    <s v="BXE2B57"/>
    <s v="ROBERTO RONALD SANTOS"/>
    <s v="27455658850"/>
    <s v="01286008208"/>
    <n v="16167"/>
    <s v="DPW"/>
    <d v="2023-05-26T04:51:00"/>
    <s v="TRANSTEC SANTOS"/>
    <d v="2023-05-26T16:38:00"/>
    <d v="2023-05-26T07:05:00"/>
    <d v="2023-05-26T11:00:00"/>
    <n v="3400"/>
    <m/>
    <m/>
    <n v="700"/>
    <m/>
    <m/>
    <m/>
    <n v="447.91919999999999"/>
    <n v="3732.66"/>
    <x v="4"/>
    <x v="0"/>
    <m/>
    <x v="0"/>
    <s v="SIM"/>
    <s v="SIM"/>
    <m/>
  </r>
  <r>
    <x v="0"/>
    <x v="1"/>
    <d v="2023-05-26T08:00:00"/>
    <s v="TCLU8698792"/>
    <n v="40"/>
    <x v="0"/>
    <s v="AJINOMOTO"/>
    <s v="LIMEIRA"/>
    <n v="4995"/>
    <s v="LOGIN JACARANDA  153S"/>
    <n v="106591"/>
    <n v="106592"/>
    <s v="APH6I00"/>
    <s v="JYE0660"/>
    <s v="PAULO ROBERTO GERMANO"/>
    <s v="27455658850"/>
    <s v="01286008208"/>
    <n v="16168"/>
    <s v="DPW"/>
    <d v="2023-05-26T05:16:00"/>
    <s v="TRANSTEC SANTOS"/>
    <d v="2023-05-26T00:00:00"/>
    <d v="2023-05-26T09:30:00"/>
    <d v="2023-05-26T11:02:00"/>
    <n v="3400"/>
    <n v="565.20000000000005"/>
    <m/>
    <n v="700"/>
    <m/>
    <m/>
    <m/>
    <n v="447.91919999999999"/>
    <n v="3732.66"/>
    <x v="4"/>
    <x v="0"/>
    <m/>
    <x v="0"/>
    <s v="SIM"/>
    <s v="SIM"/>
    <m/>
  </r>
  <r>
    <x v="0"/>
    <x v="0"/>
    <d v="2023-05-26T08:00:00"/>
    <s v="TCLU8808415"/>
    <n v="40"/>
    <x v="0"/>
    <s v="AJINOMOTO"/>
    <s v="LIMEIRA"/>
    <n v="5145"/>
    <s v="LOGIN JACARANDA  153S"/>
    <n v="106636"/>
    <n v="106637"/>
    <s v="DDL8B54"/>
    <s v="FEI4012"/>
    <s v="WILTON SILVA BARBOSA"/>
    <s v="27455658850"/>
    <s v="01286008208"/>
    <n v="16169"/>
    <s v="DPW"/>
    <d v="2023-05-26T02:54:00"/>
    <s v="TRANSTEC SANTOS"/>
    <d v="2023-05-30T18:08:00"/>
    <d v="2023-05-26T06:50:00"/>
    <d v="2023-05-26T13:00:00"/>
    <n v="3400"/>
    <m/>
    <m/>
    <n v="700"/>
    <m/>
    <m/>
    <m/>
    <n v="447.91919999999999"/>
    <n v="3732.66"/>
    <x v="4"/>
    <x v="0"/>
    <m/>
    <x v="0"/>
    <s v="SIM"/>
    <s v="SIM"/>
    <m/>
  </r>
  <r>
    <x v="0"/>
    <x v="1"/>
    <d v="2023-05-29T08:00:00"/>
    <s v="TRHU7051821"/>
    <n v="40"/>
    <x v="0"/>
    <s v="BUNGE"/>
    <s v="SANTOS"/>
    <n v="5000"/>
    <s v="LOGIN JACARANDA  153S"/>
    <n v="106692"/>
    <m/>
    <s v="FZF3E97"/>
    <s v="FXU8J10"/>
    <s v="FABIO DARIO RODRIGUES"/>
    <s v="26283419801"/>
    <s v="02002046946"/>
    <n v="16171"/>
    <s v="DPW"/>
    <d v="2023-05-29T07:27:00"/>
    <s v="TRANSTEC SANTOS"/>
    <d v="2023-05-29T00:00:00"/>
    <d v="2023-05-29T08:20:00"/>
    <d v="2023-05-29T14:46:00"/>
    <m/>
    <m/>
    <m/>
    <n v="700"/>
    <m/>
    <m/>
    <m/>
    <n v="447.91919999999999"/>
    <n v="3732.66"/>
    <x v="4"/>
    <x v="0"/>
    <m/>
    <x v="0"/>
    <s v="SIM"/>
    <s v="SIM"/>
    <m/>
  </r>
  <r>
    <x v="0"/>
    <x v="0"/>
    <d v="2023-05-29T08:00:00"/>
    <s v="TCLU8187719"/>
    <n v="40"/>
    <x v="0"/>
    <s v="BR SPICE"/>
    <s v="JANDIRA"/>
    <n v="4999"/>
    <s v="LOGIN JACARANDA  153S"/>
    <n v="106689"/>
    <m/>
    <s v="DVS9G77"/>
    <s v="DPE7C55"/>
    <s v="FABIO COSTA DA SILVA"/>
    <s v="00097734527"/>
    <s v="03148346870"/>
    <n v="16176"/>
    <s v="DPW"/>
    <d v="2023-05-29T01:36:00"/>
    <s v="MEDLOG"/>
    <d v="2023-05-29T23:52:00"/>
    <d v="2023-05-29T04:40:00"/>
    <d v="2023-05-29T15:30:00"/>
    <n v="2300"/>
    <m/>
    <m/>
    <n v="700"/>
    <m/>
    <m/>
    <m/>
    <n v="392.15039999999999"/>
    <n v="3267.92"/>
    <x v="4"/>
    <x v="0"/>
    <m/>
    <x v="0"/>
    <s v="SIM"/>
    <s v="SIM"/>
    <m/>
  </r>
  <r>
    <x v="0"/>
    <x v="0"/>
    <d v="2023-05-29T08:00:00"/>
    <s v="TCNU7790113"/>
    <n v="40"/>
    <x v="0"/>
    <s v="AJINOMOTO"/>
    <s v="LIMEIRA"/>
    <n v="4994"/>
    <s v="LOGIN JACARANDA  153S"/>
    <n v="106634"/>
    <m/>
    <s v="CUA7F62"/>
    <s v="BSG2J78"/>
    <s v="VALDECIR DA SILVA"/>
    <s v="27455658850"/>
    <s v="01286008208"/>
    <n v="16177"/>
    <s v="DPW"/>
    <d v="2023-05-28T05:19:00"/>
    <s v="TRANSTEC SANTOS"/>
    <d v="2023-05-30T00:00:00"/>
    <d v="2023-05-29T01:00:00"/>
    <d v="2023-05-29T13:00:00"/>
    <n v="3400"/>
    <m/>
    <m/>
    <n v="700"/>
    <m/>
    <m/>
    <m/>
    <n v="447.91919999999999"/>
    <n v="3732.66"/>
    <x v="4"/>
    <x v="0"/>
    <m/>
    <x v="0"/>
    <s v="SIM"/>
    <s v="SIM"/>
    <m/>
  </r>
  <r>
    <x v="0"/>
    <x v="1"/>
    <d v="2023-05-29T08:00:00"/>
    <s v="CAIU4839915"/>
    <n v="40"/>
    <x v="0"/>
    <s v="AJINOMOTO"/>
    <s v="LIMEIRA"/>
    <n v="4998"/>
    <s v="LOGIN JACARANDA  153S"/>
    <n v="106683"/>
    <n v="106684"/>
    <s v="EKH4C25"/>
    <s v="DAO7B51"/>
    <s v="WESLLEY RODRIGO CONSTANCIO DA SILVA"/>
    <s v="27455658850"/>
    <s v="01286008208"/>
    <n v="16178"/>
    <s v="DPW"/>
    <d v="2023-05-29T06:00:00"/>
    <s v="MEDLOG"/>
    <d v="2023-05-29T23:19:00"/>
    <d v="2023-05-29T09:20:00"/>
    <d v="2023-05-29T14:00:00"/>
    <n v="3400"/>
    <m/>
    <m/>
    <n v="700"/>
    <m/>
    <m/>
    <m/>
    <n v="447.91919999999999"/>
    <n v="3732.66"/>
    <x v="4"/>
    <x v="0"/>
    <m/>
    <x v="0"/>
    <s v="SIM"/>
    <s v="SIM"/>
    <m/>
  </r>
  <r>
    <x v="0"/>
    <x v="0"/>
    <d v="2023-05-29T08:00:00"/>
    <s v="DFSU7730600"/>
    <n v="40"/>
    <x v="0"/>
    <s v="AJINOMOTO"/>
    <s v="LIMEIRA"/>
    <n v="5001"/>
    <s v="LOGIN JACARANDA  153S"/>
    <n v="106690"/>
    <n v="106691"/>
    <s v="FGD8G49"/>
    <s v="FUJ0D24"/>
    <s v="GILVAN LAURENTINO DA SILVA"/>
    <s v="92693377404"/>
    <s v="02954783990"/>
    <n v="16179"/>
    <s v="DPW"/>
    <d v="2023-05-28T22:12:00"/>
    <s v="MEDLOG"/>
    <d v="2023-05-29T23:07:00"/>
    <d v="2023-05-29T02:35:00"/>
    <d v="2023-05-29T14:56:00"/>
    <n v="3400"/>
    <m/>
    <m/>
    <n v="700"/>
    <m/>
    <m/>
    <m/>
    <n v="447.91919999999999"/>
    <n v="3732.66"/>
    <x v="4"/>
    <x v="0"/>
    <m/>
    <x v="0"/>
    <s v="SIM"/>
    <s v="SIM"/>
    <m/>
  </r>
  <r>
    <x v="0"/>
    <x v="1"/>
    <d v="2023-05-29T08:00:00"/>
    <s v="TCLU8154335"/>
    <n v="40"/>
    <x v="0"/>
    <s v="AJINOMOTO"/>
    <s v="LIMEIRA"/>
    <n v="5002"/>
    <s v="LOGIN JACARANDA  153S"/>
    <n v="106727"/>
    <n v="106726"/>
    <s v="DDL8B54"/>
    <s v="FEI4012"/>
    <s v="WILTON SILVA BARBOSA"/>
    <s v="27455658850"/>
    <s v="01286008208"/>
    <s v="16172a / 16265a / 16272A"/>
    <s v="DPW"/>
    <d v="2023-05-29T10:35:00"/>
    <s v="MEDLOG"/>
    <d v="2023-05-29T22:49:00"/>
    <d v="2023-05-29T15:00:00"/>
    <d v="2023-05-29T17:35:00"/>
    <n v="3400"/>
    <n v="565.20000000000005"/>
    <m/>
    <n v="700"/>
    <m/>
    <m/>
    <m/>
    <n v="447.91919999999999"/>
    <n v="3732.66"/>
    <x v="4"/>
    <x v="0"/>
    <m/>
    <x v="0"/>
    <s v="SIM"/>
    <s v="SIM"/>
    <m/>
  </r>
  <r>
    <x v="0"/>
    <x v="0"/>
    <d v="2023-05-30T08:00:00"/>
    <s v="TCLU3467321"/>
    <n v="20"/>
    <x v="0"/>
    <s v="VILHETO"/>
    <s v="BARUERI"/>
    <n v="5003"/>
    <s v="LOGIN JACARANDA  153S"/>
    <n v="116732"/>
    <m/>
    <s v="FXG5H10"/>
    <s v="DBC3G21"/>
    <s v="ROBERTO CARLOS BEZERRA PIRES"/>
    <s v="27455658850"/>
    <s v="01286008208"/>
    <n v="16185"/>
    <s v="DPW"/>
    <d v="2023-05-29T21:31:00"/>
    <s v="TRANSTEC SANTOS"/>
    <d v="2023-05-30T14:25:00"/>
    <d v="2023-05-30T00:50:00"/>
    <d v="2023-05-30T11:50:00"/>
    <n v="2200"/>
    <m/>
    <m/>
    <n v="700"/>
    <m/>
    <m/>
    <m/>
    <n v="510.26640000000003"/>
    <n v="4252.22"/>
    <x v="4"/>
    <x v="0"/>
    <m/>
    <x v="0"/>
    <s v="SIM"/>
    <s v="SIM"/>
    <m/>
  </r>
  <r>
    <x v="0"/>
    <x v="1"/>
    <d v="2023-05-30T08:00:00"/>
    <s v="CAIU3020614"/>
    <n v="20"/>
    <x v="0"/>
    <s v="VILHENA"/>
    <s v="CAJAMAR"/>
    <n v="5004"/>
    <s v="LOGIN JACARANDA  153S"/>
    <n v="116733"/>
    <m/>
    <s v="FEI9J41"/>
    <s v="CUA7547"/>
    <s v="JOAO EUDES CORDEIRO DA SILVA"/>
    <s v="13990937898"/>
    <s v="01825123407"/>
    <s v="16184a / 16254C / 16267a / 16270"/>
    <s v="DPW"/>
    <d v="2023-05-29T21:32:00"/>
    <s v="TRANSTEC SANTOS"/>
    <d v="2023-05-30T13:29:00"/>
    <s v="30/05/023 00:15"/>
    <d v="2023-05-30T10:20:00"/>
    <n v="2350"/>
    <m/>
    <m/>
    <n v="700"/>
    <m/>
    <m/>
    <m/>
    <n v="529.16279999999995"/>
    <n v="4409.6899999999996"/>
    <x v="4"/>
    <x v="0"/>
    <m/>
    <x v="0"/>
    <s v="SIM"/>
    <s v="SIM"/>
    <m/>
  </r>
  <r>
    <x v="0"/>
    <x v="0"/>
    <d v="2023-05-30T08:00:00"/>
    <s v="GESU6803370"/>
    <n v="40"/>
    <x v="0"/>
    <s v="MAXSOY"/>
    <s v="HORTOLANDIA"/>
    <n v="4997"/>
    <s v="LOGIN JACARANDA  153S"/>
    <n v="106635"/>
    <m/>
    <s v="FRG7C59"/>
    <s v="EWJ4J85"/>
    <s v="WILSON FLAVIO ALVES DA SILVA"/>
    <s v="27455658850"/>
    <s v="01286008208"/>
    <n v="16188"/>
    <s v="DPW"/>
    <d v="2023-05-29T17:33:00"/>
    <s v="TRANSTEC SANTOS"/>
    <d v="2023-05-31T10:05:00"/>
    <d v="2023-05-30T07:15:00"/>
    <d v="2023-05-30T15:18:00"/>
    <n v="2800"/>
    <m/>
    <m/>
    <n v="700"/>
    <m/>
    <m/>
    <m/>
    <n v="447.91919999999999"/>
    <n v="3732.66"/>
    <x v="4"/>
    <x v="0"/>
    <m/>
    <x v="0"/>
    <s v="SIM"/>
    <s v="SIM"/>
    <m/>
  </r>
  <r>
    <x v="0"/>
    <x v="0"/>
    <d v="2023-05-31T08:00:00"/>
    <s v="TCLU3463394"/>
    <n v="20"/>
    <x v="1"/>
    <s v="MIAN"/>
    <s v="SBC"/>
    <n v="5005"/>
    <s v="LOGIN JACARANDA  153S"/>
    <n v="106693"/>
    <m/>
    <s v="EPU5990"/>
    <s v="BSG1D88"/>
    <s v="LEANDRO SOARES CAETANO"/>
    <s v="10485530864"/>
    <s v="02033192841"/>
    <n v="16186"/>
    <s v="DPW"/>
    <d v="2023-05-29T21:32:00"/>
    <s v="TRANSTEC SANTOS"/>
    <d v="2023-05-30T11:44:00"/>
    <d v="2023-05-30T00:01:00"/>
    <d v="2023-05-30T11:00:00"/>
    <n v="1600"/>
    <m/>
    <m/>
    <n v="700"/>
    <m/>
    <m/>
    <m/>
    <n v="447.91919999999999"/>
    <n v="3732.66"/>
    <x v="4"/>
    <x v="0"/>
    <m/>
    <x v="0"/>
    <s v="SIM"/>
    <s v="SIM"/>
    <m/>
  </r>
  <r>
    <x v="0"/>
    <x v="0"/>
    <d v="2023-06-01T08:00:00"/>
    <s v="TCLU3041700"/>
    <n v="20"/>
    <x v="0"/>
    <s v="NEW MAX"/>
    <s v="AMERICANA"/>
    <n v="5338"/>
    <s v="LOGIN ENDURANCE  041S"/>
    <n v="106905"/>
    <m/>
    <s v="FGD8G49"/>
    <s v="BXA0I63"/>
    <s v="AGEILSON ANTONIO DA SILVA"/>
    <s v="09085263425"/>
    <s v="04557705505"/>
    <n v="16212"/>
    <s v="DPW"/>
    <d v="2023-06-01T02:19:00"/>
    <s v="TRANSTEC SANTOS"/>
    <d v="2023-06-01T15:13:00"/>
    <d v="2023-06-01T06:30:00"/>
    <d v="2023-06-01T11:20:00"/>
    <n v="3200"/>
    <m/>
    <m/>
    <n v="700"/>
    <m/>
    <m/>
    <m/>
    <n v="447.91919999999999"/>
    <n v="3732.66"/>
    <x v="5"/>
    <x v="0"/>
    <m/>
    <x v="0"/>
    <s v="SIM"/>
    <s v="SIM"/>
    <s v="SIM"/>
  </r>
  <r>
    <x v="0"/>
    <x v="0"/>
    <d v="2023-06-01T08:00:00"/>
    <s v="TCLU2990050"/>
    <n v="20"/>
    <x v="0"/>
    <s v="NEW MAX"/>
    <s v="AMERICANA"/>
    <n v="5292"/>
    <s v="LOGIN ENDURANCE  041S"/>
    <n v="106906"/>
    <m/>
    <s v="EWJ2162"/>
    <s v="ETF6391"/>
    <s v="CARLOS BUENO BALTAZAR"/>
    <n v="19279658883"/>
    <s v="01301319672"/>
    <n v="16213"/>
    <s v="DPW"/>
    <d v="2023-06-01T00:01:00"/>
    <s v="TRANSTEC SANTOS"/>
    <d v="2023-06-01T12:56:00"/>
    <d v="2023-06-01T04:45:00"/>
    <d v="2023-06-01T09:44:00"/>
    <n v="3200"/>
    <m/>
    <m/>
    <n v="700"/>
    <m/>
    <m/>
    <m/>
    <n v="447.91919999999999"/>
    <n v="3732.66"/>
    <x v="5"/>
    <x v="0"/>
    <m/>
    <x v="0"/>
    <s v="SIM"/>
    <s v="SIM"/>
    <s v="SIM"/>
  </r>
  <r>
    <x v="0"/>
    <x v="0"/>
    <d v="2023-06-01T08:00:00"/>
    <s v="CAIU4835123"/>
    <n v="40"/>
    <x v="0"/>
    <s v="AJINOMOTO"/>
    <s v="LIMEIRA"/>
    <n v="5351"/>
    <s v="LOGIN ENDURANCE  041S"/>
    <n v="106792"/>
    <n v="106793"/>
    <s v="DFT0E47"/>
    <s v="BVT0E67"/>
    <s v="ALMIR CARDOSO DOS SANTOS"/>
    <s v="09776430856"/>
    <s v="01258979905"/>
    <n v="16214"/>
    <s v="DPW"/>
    <d v="2023-06-01T00:56:00"/>
    <s v="TRANSTEC SANTOS"/>
    <d v="2023-06-01T16:29:00"/>
    <d v="2023-06-01T04:40:00"/>
    <d v="2023-06-01T10:44:00"/>
    <n v="3400"/>
    <m/>
    <m/>
    <n v="700"/>
    <m/>
    <m/>
    <m/>
    <n v="447.91919999999999"/>
    <n v="3732.66"/>
    <x v="5"/>
    <x v="0"/>
    <m/>
    <x v="0"/>
    <s v="SIM"/>
    <s v="SIM"/>
    <s v="SIM"/>
  </r>
  <r>
    <x v="0"/>
    <x v="0"/>
    <d v="2023-06-01T08:00:00"/>
    <s v="TRHU7051077"/>
    <n v="40"/>
    <x v="0"/>
    <s v="AJINOMOTO"/>
    <s v="LIMEIRA"/>
    <n v="5321"/>
    <s v="LOGIN ENDURANCE  041S"/>
    <n v="106828"/>
    <n v="106829"/>
    <s v="BXD2J87"/>
    <s v="ESU7272"/>
    <s v="WILSON FLAVIO ALVES DA SILVA"/>
    <s v="27455658850"/>
    <s v="01286008208"/>
    <n v="16215"/>
    <s v="DPW"/>
    <d v="2023-05-31T21:07:00"/>
    <s v="MEDLOG"/>
    <d v="2023-06-01T20:00:00"/>
    <d v="2023-06-01T06:30:00"/>
    <d v="2023-06-04T12:30:00"/>
    <n v="3400"/>
    <m/>
    <m/>
    <n v="700"/>
    <m/>
    <m/>
    <m/>
    <n v="447.91919999999999"/>
    <n v="3732.66"/>
    <x v="5"/>
    <x v="0"/>
    <m/>
    <x v="0"/>
    <s v="SIM"/>
    <s v="SIM"/>
    <s v="SIM"/>
  </r>
  <r>
    <x v="0"/>
    <x v="1"/>
    <d v="2023-06-01T08:00:00"/>
    <s v="TEMU8499801"/>
    <n v="40"/>
    <x v="0"/>
    <s v="AJINOMOTO"/>
    <s v="LIMEIRA"/>
    <n v="5311"/>
    <s v="LOGIN ENDURANCE  041S"/>
    <n v="106872"/>
    <n v="106873"/>
    <s v="GFL7E87"/>
    <s v="GIK5H08"/>
    <s v="JEFFERSON BATISTA ARISTIDES"/>
    <s v="34927982840"/>
    <s v="03500129879"/>
    <n v="16210"/>
    <s v="DPW"/>
    <d v="2023-06-01T04:39:00"/>
    <s v="TRANSTEC SANTOS"/>
    <d v="2023-06-01T00:00:00"/>
    <d v="2023-06-01T09:40:00"/>
    <d v="2023-06-01T16:20:00"/>
    <n v="3400"/>
    <m/>
    <m/>
    <n v="700"/>
    <m/>
    <m/>
    <m/>
    <n v="447.91919999999999"/>
    <n v="3732.66"/>
    <x v="5"/>
    <x v="0"/>
    <m/>
    <x v="0"/>
    <s v="SIM"/>
    <s v="SIM"/>
    <s v="SIM"/>
  </r>
  <r>
    <x v="0"/>
    <x v="1"/>
    <d v="2023-06-01T08:00:00"/>
    <s v="TEMU8333678"/>
    <n v="40"/>
    <x v="0"/>
    <s v="AJINOMOTO"/>
    <s v="LIMEIRA"/>
    <n v="5283"/>
    <s v="LOGIN ENDURANCE  041S"/>
    <n v="106903"/>
    <n v="106904"/>
    <s v="DDL8B54"/>
    <s v="FEI4012"/>
    <s v="WILTON SILVA BARBOSA"/>
    <s v="27455658850"/>
    <s v="01286008208"/>
    <n v="16211"/>
    <s v="DPW"/>
    <d v="2023-06-01T03:24:00"/>
    <s v="MEDLOG"/>
    <d v="2023-06-01T20:34:00"/>
    <d v="2023-06-01T08:30:00"/>
    <d v="2023-06-01T13:30:00"/>
    <n v="3400"/>
    <m/>
    <m/>
    <n v="700"/>
    <m/>
    <m/>
    <m/>
    <n v="447.91919999999999"/>
    <n v="3732.66"/>
    <x v="5"/>
    <x v="0"/>
    <m/>
    <x v="0"/>
    <s v="SIM"/>
    <s v="SIM"/>
    <s v="SIM"/>
  </r>
  <r>
    <x v="0"/>
    <x v="0"/>
    <d v="2023-06-01T08:00:00"/>
    <s v="FCIU9168607"/>
    <n v="40"/>
    <x v="0"/>
    <s v="LIBERO QUIMICO"/>
    <s v="GUARULHOS"/>
    <n v="5366"/>
    <s v="LOGIN ENDURANCE  041S"/>
    <n v="106833"/>
    <m/>
    <s v="FZF3E97"/>
    <s v="FXU8J10"/>
    <s v="FABIO DARIO RODRIGUES"/>
    <s v="26283419801"/>
    <s v="02002046946"/>
    <n v="16209"/>
    <s v="DPW"/>
    <d v="2023-06-01T02:35:00"/>
    <s v="TRANSTEC SANTOS"/>
    <d v="2023-06-01T16:06:00"/>
    <d v="2023-06-01T05:00:00"/>
    <d v="2023-06-01T12:30:00"/>
    <m/>
    <m/>
    <m/>
    <n v="700"/>
    <m/>
    <m/>
    <m/>
    <n v="447.91919999999999"/>
    <n v="3732.66"/>
    <x v="5"/>
    <x v="0"/>
    <m/>
    <x v="0"/>
    <s v="SIM"/>
    <s v="SIM"/>
    <s v="SIM"/>
  </r>
  <r>
    <x v="0"/>
    <x v="0"/>
    <d v="2023-06-01T09:00:00"/>
    <s v="SEGU1084411"/>
    <n v="20"/>
    <x v="2"/>
    <s v="SOSAL"/>
    <s v="SBC"/>
    <n v="5399"/>
    <s v="LOGIN ENDURANCE  041S"/>
    <n v="106796"/>
    <m/>
    <s v="BHP9483"/>
    <s v="BSF4E26"/>
    <s v="ANACLETO RODRIGUES DE SANTANA"/>
    <s v="01817591878"/>
    <s v="00821760640"/>
    <n v="16208"/>
    <s v="DPW"/>
    <d v="2023-06-01T01:08:00"/>
    <s v="TRANSTEC SANTOS"/>
    <d v="2023-06-01T13:03:00"/>
    <d v="2023-06-01T03:15:00"/>
    <d v="2023-06-01T12:00:00"/>
    <n v="1600"/>
    <m/>
    <m/>
    <n v="700"/>
    <m/>
    <m/>
    <m/>
    <n v="447.91919999999999"/>
    <n v="3732.66"/>
    <x v="5"/>
    <x v="0"/>
    <m/>
    <x v="0"/>
    <s v="SIM"/>
    <s v="SIM"/>
    <s v="SIM"/>
  </r>
  <r>
    <x v="0"/>
    <x v="0"/>
    <d v="2023-06-01T09:00:00"/>
    <s v="TCLU3055200"/>
    <n v="20"/>
    <x v="2"/>
    <s v="SOSAL"/>
    <s v="SBC"/>
    <n v="5385"/>
    <s v="LOGIN ENDURANCE  041S"/>
    <n v="106949"/>
    <m/>
    <s v="OAJ1J52"/>
    <s v="BWY6F22"/>
    <s v="MARCONI DE OLIVEIRA CORDEIRO"/>
    <s v="05753633803"/>
    <s v="01922497849"/>
    <s v="16205c / 16207"/>
    <s v="DPW"/>
    <d v="2023-06-01T05:22:00"/>
    <s v="TRANSTEC SANTOS"/>
    <d v="2023-06-01T13:20:00"/>
    <d v="2023-06-01T07:45:00"/>
    <d v="2023-06-01T11:50:00"/>
    <n v="1600"/>
    <m/>
    <m/>
    <n v="700"/>
    <m/>
    <m/>
    <m/>
    <n v="447.91919999999999"/>
    <n v="3732.66"/>
    <x v="5"/>
    <x v="0"/>
    <m/>
    <x v="0"/>
    <s v="SIM"/>
    <s v="SIM"/>
    <s v="SIM"/>
  </r>
  <r>
    <x v="0"/>
    <x v="0"/>
    <d v="2023-06-01T11:00:00"/>
    <s v="CAIU3424154"/>
    <n v="20"/>
    <x v="2"/>
    <s v="SOSAL"/>
    <s v="SBC"/>
    <n v="5300"/>
    <s v="LOGIN ENDURANCE  041S"/>
    <n v="117239"/>
    <m/>
    <s v="KBK0D67"/>
    <s v="BWP9J59"/>
    <s v="JOAO BATISTA DOS SANTOS"/>
    <s v="13990937898"/>
    <s v="01825123407"/>
    <n v="16206"/>
    <s v="DPW"/>
    <d v="2023-06-01T00:15:00"/>
    <s v="TRANSTEC SANTOS"/>
    <d v="2023-06-01T16:10:00"/>
    <d v="2023-06-01T03:15:00"/>
    <d v="2023-06-01T12:50:00"/>
    <n v="1600"/>
    <m/>
    <m/>
    <n v="700"/>
    <m/>
    <m/>
    <m/>
    <n v="447.91919999999999"/>
    <n v="3732.66"/>
    <x v="5"/>
    <x v="0"/>
    <m/>
    <x v="0"/>
    <s v="SIM"/>
    <s v="SIM"/>
    <s v="SIM"/>
  </r>
  <r>
    <x v="0"/>
    <x v="0"/>
    <d v="2023-06-02T08:00:00"/>
    <s v="TCLU3466578"/>
    <n v="20"/>
    <x v="0"/>
    <s v="CHARQUE CAMPEAO"/>
    <s v="SANTANA DE PARNAIBA"/>
    <n v="5248"/>
    <s v="LOGIN ENDURANCE  041S"/>
    <n v="117218"/>
    <m/>
    <s v="EWJ2162"/>
    <s v="ETF6391"/>
    <s v="CARLOS BUENO BALTAZAR"/>
    <n v="19279658883"/>
    <s v="01301319672"/>
    <n v="16227"/>
    <s v="DPW"/>
    <d v="2023-06-02T02:42:00"/>
    <s v="TRANSTEC SANTOS"/>
    <d v="2023-06-02T11:08:00"/>
    <d v="2023-06-02T05:50:00"/>
    <d v="2023-06-02T08:50:00"/>
    <n v="2300"/>
    <m/>
    <m/>
    <n v="700"/>
    <m/>
    <m/>
    <m/>
    <n v="447.91919999999999"/>
    <n v="3732.66"/>
    <x v="5"/>
    <x v="0"/>
    <m/>
    <x v="0"/>
    <s v="SIM"/>
    <s v="SIM"/>
    <s v="SIM"/>
  </r>
  <r>
    <x v="0"/>
    <x v="1"/>
    <d v="2023-06-02T08:00:00"/>
    <s v="CAIU3021056"/>
    <n v="20"/>
    <x v="0"/>
    <s v="PENINA"/>
    <s v="VL INDEPENDENTE"/>
    <n v="5296"/>
    <s v="LOGIN ENDURANCE  041S"/>
    <n v="106913"/>
    <m/>
    <s v="EPU5990"/>
    <s v="BSG1D88"/>
    <s v="LEANDRO SOARES CAETANO"/>
    <s v="10485530864"/>
    <s v="02033192841"/>
    <n v="16228"/>
    <s v="DPW"/>
    <d v="2023-06-02T06:06:00"/>
    <s v="TRANSTEC SANTOS"/>
    <d v="2023-06-02T12:53:00"/>
    <d v="2023-06-02T08:40:00"/>
    <d v="2023-06-02T10:50:00"/>
    <n v="2000"/>
    <m/>
    <m/>
    <n v="700"/>
    <m/>
    <m/>
    <m/>
    <n v="447.91919999999999"/>
    <n v="3732.66"/>
    <x v="5"/>
    <x v="0"/>
    <m/>
    <x v="0"/>
    <s v="SIM"/>
    <s v="SIM"/>
    <s v="SIM"/>
  </r>
  <r>
    <x v="0"/>
    <x v="1"/>
    <d v="2023-06-02T08:00:00"/>
    <s v="TCLU3464148"/>
    <n v="20"/>
    <x v="0"/>
    <s v="MOINHO ROMANIZ"/>
    <s v="ITAQUERA"/>
    <n v="5354"/>
    <s v="LOGIN ENDURANCE  041S"/>
    <n v="106912"/>
    <m/>
    <s v="BHZ5C81"/>
    <s v="EFW8I41"/>
    <s v="PAULO LIMA DOS SANTOS"/>
    <s v="27455658850"/>
    <s v="01286008208"/>
    <s v="16229C / 16230"/>
    <s v="DPW"/>
    <d v="2023-06-02T06:43:00"/>
    <s v="TRANSTEC SANTOS"/>
    <d v="2023-06-03T08:23:00"/>
    <d v="2023-06-02T08:40:00"/>
    <d v="2023-06-02T08:50:00"/>
    <n v="2000"/>
    <m/>
    <m/>
    <m/>
    <m/>
    <m/>
    <m/>
    <n v="355.75439999999998"/>
    <n v="2964.62"/>
    <x v="5"/>
    <x v="0"/>
    <m/>
    <x v="0"/>
    <s v="SIM"/>
    <s v="SIM"/>
    <s v="SIM"/>
  </r>
  <r>
    <x v="0"/>
    <x v="0"/>
    <d v="2023-06-02T08:00:00"/>
    <s v="SEGU1251381"/>
    <n v="20"/>
    <x v="0"/>
    <s v="KERRY"/>
    <s v="COTIA"/>
    <n v="5390"/>
    <s v="LOGIN ENDURANCE  041S"/>
    <n v="106976"/>
    <m/>
    <s v="MFH2H05"/>
    <s v="CPJ2G60"/>
    <s v="JONAS ALVARES IGNEZ"/>
    <s v="03044141400"/>
    <s v="00916251144"/>
    <n v="16235"/>
    <s v="DPW"/>
    <d v="2023-06-01T20:49:00"/>
    <s v="TRANSTEC SANTOS"/>
    <d v="2023-06-03T08:12:00"/>
    <d v="2023-06-02T08:00:00"/>
    <d v="2023-06-02T16:34:00"/>
    <n v="2200"/>
    <m/>
    <m/>
    <n v="600"/>
    <m/>
    <m/>
    <m/>
    <n v="473.5104"/>
    <n v="3945.92"/>
    <x v="5"/>
    <x v="0"/>
    <m/>
    <x v="0"/>
    <s v="SIM"/>
    <s v="SIM"/>
    <s v="SIM"/>
  </r>
  <r>
    <x v="0"/>
    <x v="1"/>
    <d v="2023-06-02T08:00:00"/>
    <s v="FFAU1701815"/>
    <n v="40"/>
    <x v="0"/>
    <s v="DOREMUS"/>
    <s v="GUARULHOS"/>
    <n v="5269"/>
    <s v="LOGIN ENDURANCE  041S"/>
    <n v="106791"/>
    <m/>
    <s v="DFT0E47"/>
    <s v="BVT0E67"/>
    <s v="ALMIR CARDOSO DOS SANTOS"/>
    <s v="09776430856"/>
    <s v="01258979905"/>
    <n v="16234"/>
    <s v="DPW"/>
    <d v="2023-06-01T20:35:00"/>
    <s v="TRANSTEC SANTOS"/>
    <d v="2023-06-03T00:00:00"/>
    <d v="2023-06-02T09:13:00"/>
    <d v="2023-06-02T11:14:00"/>
    <n v="2100"/>
    <m/>
    <m/>
    <m/>
    <m/>
    <m/>
    <m/>
    <n v="370.37759999999997"/>
    <n v="3086.48"/>
    <x v="5"/>
    <x v="0"/>
    <m/>
    <x v="0"/>
    <s v="SIM"/>
    <s v="SIM"/>
    <s v="SIM"/>
  </r>
  <r>
    <x v="0"/>
    <x v="0"/>
    <d v="2023-06-02T08:00:00"/>
    <s v="TRHU5064270"/>
    <n v="40"/>
    <x v="0"/>
    <s v="AJINOMOTO"/>
    <s v="LIMEIRA"/>
    <n v="5370"/>
    <s v="LOGIN ENDURANCE  041S"/>
    <n v="106910"/>
    <n v="106911"/>
    <s v="DTB9J13"/>
    <s v="CPJ3G59"/>
    <s v="JOSE EDNILSON DOS SANTOS"/>
    <n v="88265951434"/>
    <s v="00920373596"/>
    <n v="16232"/>
    <s v="DPW"/>
    <d v="2023-06-02T02:01:00"/>
    <s v="TRANSTEC SANTOS"/>
    <d v="2023-06-02T16:57:00"/>
    <d v="2023-06-02T07:15:00"/>
    <d v="2023-06-02T11:11:00"/>
    <n v="3400"/>
    <m/>
    <m/>
    <m/>
    <m/>
    <m/>
    <m/>
    <n v="558.28440000000001"/>
    <n v="4652.37"/>
    <x v="5"/>
    <x v="0"/>
    <m/>
    <x v="0"/>
    <s v="SIM"/>
    <s v="SIM"/>
    <s v="SIM"/>
  </r>
  <r>
    <x v="0"/>
    <x v="1"/>
    <d v="2023-06-02T08:00:00"/>
    <s v="DFSU7532349"/>
    <n v="40"/>
    <x v="0"/>
    <s v="AJINOMOTO"/>
    <s v="LIMEIRA"/>
    <n v="5388"/>
    <s v="LOGIN ENDURANCE  041S"/>
    <n v="106953"/>
    <n v="106954"/>
    <s v="DDL8B54"/>
    <s v="FEI4012"/>
    <s v="WILSON FLAVIO ALVES DA SILVA"/>
    <s v="27455658850"/>
    <s v="01286008208"/>
    <n v="16233"/>
    <s v="DPW"/>
    <d v="2023-06-02T07:05:00"/>
    <s v="MEDLOG"/>
    <d v="2023-06-02T20:27:00"/>
    <d v="2023-06-02T12:30:00"/>
    <s v="02/062023 16:24"/>
    <n v="3400"/>
    <m/>
    <m/>
    <m/>
    <m/>
    <m/>
    <m/>
    <n v="558.28440000000001"/>
    <n v="4652.37"/>
    <x v="5"/>
    <x v="0"/>
    <m/>
    <x v="0"/>
    <s v="SIM"/>
    <s v="SIM"/>
    <s v="SIM"/>
  </r>
  <r>
    <x v="0"/>
    <x v="0"/>
    <d v="2023-06-02T09:00:00"/>
    <s v="MEDU5344589"/>
    <n v="20"/>
    <x v="2"/>
    <s v="SOSAL"/>
    <s v="SBC"/>
    <n v="5255"/>
    <s v="LOGIN ENDURANCE  041S"/>
    <n v="117240"/>
    <m/>
    <s v="KBK0D67"/>
    <s v="BWP9J59"/>
    <s v="JOAO BATISTA DOS SANTOS"/>
    <s v="13990937898"/>
    <s v="01825123407"/>
    <n v="16225"/>
    <s v="DPW"/>
    <d v="2023-06-02T00:51:00"/>
    <s v="TRANSTEC SANTOS"/>
    <d v="2023-06-02T14:28:00"/>
    <d v="2023-06-02T03:50:00"/>
    <d v="2023-06-02T10:50:00"/>
    <n v="1600"/>
    <m/>
    <m/>
    <m/>
    <m/>
    <m/>
    <m/>
    <n v="276"/>
    <n v="2300"/>
    <x v="5"/>
    <x v="0"/>
    <m/>
    <x v="0"/>
    <s v="SIM"/>
    <s v="SIM"/>
    <s v="SIM"/>
  </r>
  <r>
    <x v="0"/>
    <x v="0"/>
    <d v="2023-06-02T09:00:00"/>
    <s v="CAIU3404950"/>
    <n v="20"/>
    <x v="2"/>
    <s v="SOSAL"/>
    <s v="SBC"/>
    <n v="5391"/>
    <s v="LOGIN ENDURANCE  041S"/>
    <n v="106950"/>
    <m/>
    <s v="CGS0A65"/>
    <s v="CPJ5G64"/>
    <s v="ANTONIO ISAEL PINHA"/>
    <n v="12126370895"/>
    <s v="02988821539"/>
    <n v="16226"/>
    <s v="DPW"/>
    <d v="2023-06-02T02:15:00"/>
    <s v="TRANSTEC SANTOS"/>
    <d v="2023-06-02T14:37:00"/>
    <d v="2023-06-02T05:00:00"/>
    <d v="2023-06-02T10:50:00"/>
    <n v="1600"/>
    <m/>
    <m/>
    <m/>
    <m/>
    <m/>
    <m/>
    <n v="276"/>
    <n v="2300"/>
    <x v="5"/>
    <x v="0"/>
    <m/>
    <x v="0"/>
    <s v="SIM"/>
    <s v="SIM"/>
    <s v="SIM"/>
  </r>
  <r>
    <x v="0"/>
    <x v="0"/>
    <d v="2023-06-02T11:00:00"/>
    <s v="CAIU3398306"/>
    <n v="20"/>
    <x v="2"/>
    <s v="SOSAL"/>
    <s v="SBC"/>
    <n v="5400"/>
    <s v="LOGIN ENDURANCE  041S"/>
    <n v="106795"/>
    <m/>
    <s v="BHP9483"/>
    <s v="BSF4E26"/>
    <s v="ANACLETO RODRIGUES DE SANTANA"/>
    <s v="01817591878"/>
    <s v="00821760640"/>
    <n v="16224"/>
    <s v="DPW"/>
    <d v="2023-06-02T01:17:00"/>
    <s v="TRANSTEC SANTOS"/>
    <d v="2023-06-03T06:50:00"/>
    <d v="2023-06-02T03:50:00"/>
    <d v="2023-06-02T15:50:00"/>
    <n v="1600"/>
    <m/>
    <m/>
    <m/>
    <m/>
    <m/>
    <m/>
    <n v="276"/>
    <n v="2300"/>
    <x v="5"/>
    <x v="0"/>
    <m/>
    <x v="0"/>
    <s v="SIM"/>
    <s v="SIM"/>
    <s v="SIM"/>
  </r>
  <r>
    <x v="0"/>
    <x v="1"/>
    <d v="2023-06-02T11:00:00"/>
    <s v="MSDU5821210"/>
    <n v="40"/>
    <x v="2"/>
    <s v="SOSAL"/>
    <s v="SBC"/>
    <n v="5315"/>
    <s v="LOGIN ENDURANCE  041S"/>
    <n v="106922"/>
    <m/>
    <s v="FRG7C59"/>
    <s v="ESU7272"/>
    <s v="WILSON FLAVIO ALVES DA SILVA"/>
    <s v="27455658850"/>
    <s v="01286008208"/>
    <n v="16231"/>
    <s v="DPW"/>
    <d v="2023-06-02T10:06:00"/>
    <s v="MEDLOG"/>
    <d v="2023-06-02T19:21:00"/>
    <d v="2023-06-02T11:56:00"/>
    <d v="2023-06-02T14:26:00"/>
    <n v="1600"/>
    <m/>
    <m/>
    <m/>
    <m/>
    <m/>
    <m/>
    <n v="276"/>
    <n v="2300"/>
    <x v="5"/>
    <x v="0"/>
    <m/>
    <x v="0"/>
    <s v="SIM"/>
    <s v="SIM"/>
    <s v="SIM"/>
  </r>
  <r>
    <x v="0"/>
    <x v="0"/>
    <d v="2023-06-05T08:00:00"/>
    <s v="CAIU3154450"/>
    <n v="20"/>
    <x v="0"/>
    <s v="FUCKS"/>
    <s v="ITUPEVA"/>
    <n v="3252"/>
    <s v="LOGIN ENDURANCE  041S"/>
    <n v="106907"/>
    <m/>
    <s v="DFT0E47"/>
    <s v="BVT0E67"/>
    <s v="ALMIR CARDOSO DOS SANTOS"/>
    <s v="09776430856"/>
    <s v="01258979905"/>
    <n v="16248"/>
    <s v="DPW"/>
    <d v="2023-06-03T10:34:00"/>
    <s v="DEPOTCE"/>
    <d v="2023-06-05T13:50:00"/>
    <d v="2023-06-05T07:14:00"/>
    <d v="2023-06-05T11:59:00"/>
    <n v="2700"/>
    <m/>
    <m/>
    <m/>
    <m/>
    <m/>
    <m/>
    <n v="601.46159999999998"/>
    <n v="5012.18"/>
    <x v="5"/>
    <x v="0"/>
    <m/>
    <x v="0"/>
    <s v="SIM"/>
    <s v="SIM"/>
    <s v="SIM"/>
  </r>
  <r>
    <x v="0"/>
    <x v="1"/>
    <d v="2023-06-05T08:00:00"/>
    <s v="CAIU4833331"/>
    <n v="40"/>
    <x v="0"/>
    <s v="DOREMUS"/>
    <s v="GUARULHOS"/>
    <n v="5389"/>
    <s v="LOGIN ENDURANCE  041S"/>
    <n v="106909"/>
    <m/>
    <s v="GFL7E87"/>
    <s v="GIK5H08"/>
    <s v="JEFFERSON BATISTA ARISTIDES"/>
    <s v="34927982840"/>
    <s v="03500129879"/>
    <n v="16251"/>
    <s v="DPW"/>
    <d v="2023-06-05T08:25:00"/>
    <s v="MEDLOG"/>
    <d v="2023-06-06T14:10:00"/>
    <d v="2023-06-05T10:43:00"/>
    <d v="2023-06-05T15:36:00"/>
    <n v="2100"/>
    <m/>
    <m/>
    <m/>
    <m/>
    <m/>
    <m/>
    <n v="370.37759999999997"/>
    <n v="3086.48"/>
    <x v="5"/>
    <x v="0"/>
    <s v="INTERNO DPW"/>
    <x v="6"/>
    <s v="SIM"/>
    <s v="SIM"/>
    <s v="SIM"/>
  </r>
  <r>
    <x v="0"/>
    <x v="0"/>
    <d v="2023-06-05T09:00:00"/>
    <s v="CAIU3399112"/>
    <n v="20"/>
    <x v="2"/>
    <s v="SOSAL"/>
    <s v="SBC"/>
    <n v="5342"/>
    <s v="LOGIN ENDURANCE  041S"/>
    <n v="64567"/>
    <n v="64568"/>
    <s v="BHP9483"/>
    <s v="BSF4E26"/>
    <s v="ANACLETO RODRIGUES DE SANTANA"/>
    <s v="01817591878"/>
    <s v="00821760640"/>
    <n v="16241"/>
    <s v="DPW"/>
    <d v="2023-06-04T22:09:00"/>
    <s v="DEPOTCE"/>
    <d v="2023-06-07T14:57:00"/>
    <d v="2023-06-05T00:05:00"/>
    <d v="2023-06-05T15:00:00"/>
    <n v="1600"/>
    <m/>
    <m/>
    <m/>
    <m/>
    <m/>
    <m/>
    <n v="276"/>
    <n v="2300"/>
    <x v="5"/>
    <x v="0"/>
    <m/>
    <x v="0"/>
    <s v="SIM"/>
    <s v="SIM"/>
    <s v="SIM"/>
  </r>
  <r>
    <x v="0"/>
    <x v="0"/>
    <d v="2023-06-05T09:00:00"/>
    <s v="CAIU3022221"/>
    <n v="20"/>
    <x v="2"/>
    <s v="SOSAL"/>
    <s v="SBC"/>
    <n v="5275"/>
    <s v="LOGIN ENDURANCE  041S"/>
    <n v="64565"/>
    <n v="64566"/>
    <s v="KBK0D67"/>
    <s v="BWP9J59"/>
    <s v="JOAO BATISTA DOS SANTOS"/>
    <s v="13990937898"/>
    <s v="01825123407"/>
    <n v="16243"/>
    <s v="DPW"/>
    <d v="2023-06-04T22:06:00"/>
    <s v="TRANSTEC SANTOS"/>
    <d v="2023-06-05T14:24:00"/>
    <d v="2023-06-05T00:05:00"/>
    <d v="2023-06-05T11:00:00"/>
    <n v="1600"/>
    <m/>
    <m/>
    <m/>
    <m/>
    <m/>
    <m/>
    <n v="276"/>
    <n v="2300"/>
    <x v="5"/>
    <x v="0"/>
    <m/>
    <x v="0"/>
    <s v="SIM"/>
    <s v="SIM"/>
    <s v="SIM"/>
  </r>
  <r>
    <x v="0"/>
    <x v="0"/>
    <d v="2023-06-05T11:00:00"/>
    <s v="TRHU7048957"/>
    <n v="40"/>
    <x v="2"/>
    <s v="SOSAL"/>
    <s v="SBC"/>
    <n v="5271"/>
    <s v="LOGIN ENDURANCE  041S"/>
    <n v="106832"/>
    <m/>
    <s v="FQE9I91"/>
    <s v="DPB9J85"/>
    <s v="VINICIUS THADEU MENDES"/>
    <s v="27455658850"/>
    <s v="01286008208"/>
    <s v="16247 / 16246"/>
    <s v="DPW"/>
    <d v="2023-06-05T06:16:00"/>
    <s v="TRANSTEC SANTOS"/>
    <d v="2023-06-05T17:16:00"/>
    <d v="2023-06-05T09:20:00"/>
    <d v="2023-06-05T12:34:00"/>
    <n v="1600"/>
    <m/>
    <m/>
    <m/>
    <m/>
    <m/>
    <m/>
    <n v="276"/>
    <n v="2300"/>
    <x v="5"/>
    <x v="0"/>
    <m/>
    <x v="0"/>
    <s v="SIM"/>
    <s v="SIM"/>
    <s v="SIM"/>
  </r>
  <r>
    <x v="0"/>
    <x v="0"/>
    <d v="2023-06-05T11:00:00"/>
    <s v="TEMU8501806"/>
    <n v="40"/>
    <x v="2"/>
    <s v="SOSAL"/>
    <s v="SBC"/>
    <n v="5386"/>
    <s v="LOGIN ENDURANCE  041S"/>
    <n v="106952"/>
    <m/>
    <s v="BXD2J87"/>
    <s v="ESU7272"/>
    <s v="WILSON FLAVIO ALVES DA SILVA"/>
    <s v="27455658850"/>
    <s v="01286008208"/>
    <n v="16244"/>
    <s v="DPW"/>
    <d v="2023-06-05T05:45:00"/>
    <s v="TRANSTEC SANTOS"/>
    <d v="2023-06-05T00:00:00"/>
    <d v="2023-06-05T07:45:00"/>
    <d v="2023-06-05T11:34:00"/>
    <n v="1600"/>
    <m/>
    <m/>
    <m/>
    <m/>
    <m/>
    <m/>
    <n v="276"/>
    <n v="2300"/>
    <x v="5"/>
    <x v="0"/>
    <m/>
    <x v="0"/>
    <s v="SIM"/>
    <s v="SIM"/>
    <s v="SIM"/>
  </r>
  <r>
    <x v="0"/>
    <x v="1"/>
    <d v="2023-06-06T08:00:00"/>
    <s v="CAIU2929080"/>
    <n v="20"/>
    <x v="0"/>
    <s v="VILHETO"/>
    <s v="BARUERI"/>
    <n v="5330"/>
    <s v="LOGIN ENDURANCE  041S"/>
    <n v="117068"/>
    <m/>
    <s v="OAJ1J52"/>
    <s v="BWY6F22"/>
    <s v="MARCONI DE OLIVEIRA CORDEIRO"/>
    <s v="05753633803"/>
    <s v="01922497849"/>
    <n v="16256"/>
    <s v="DPW"/>
    <d v="2023-06-06T04:19:00"/>
    <s v="DEPOTCE"/>
    <d v="2023-06-06T16:50:00"/>
    <d v="2023-06-06T08:19:00"/>
    <d v="2023-06-06T14:40:00"/>
    <n v="2200"/>
    <m/>
    <m/>
    <n v="700"/>
    <m/>
    <m/>
    <m/>
    <n v="529.16279999999995"/>
    <n v="4409.6899999999996"/>
    <x v="5"/>
    <x v="0"/>
    <m/>
    <x v="0"/>
    <s v="SIM"/>
    <s v="SIM"/>
    <s v="SIM"/>
  </r>
  <r>
    <x v="0"/>
    <x v="0"/>
    <d v="2023-06-06T08:00:00"/>
    <s v="GESU1443034"/>
    <n v="20"/>
    <x v="0"/>
    <s v="VILHETO"/>
    <s v="BARUERI"/>
    <n v="5286"/>
    <s v="LOGIN ENDURANCE  041S"/>
    <n v="117069"/>
    <m/>
    <s v="BXA8485"/>
    <s v="AGR4C77"/>
    <s v="JOSE LITO DE SOUZA JUNIOR"/>
    <s v="87607395849"/>
    <s v="01842622116"/>
    <n v="16255"/>
    <s v="DPW"/>
    <d v="2023-06-06T00:49:00"/>
    <s v="MEDLOG"/>
    <d v="2023-06-06T18:00:00"/>
    <d v="2023-06-06T04:19:00"/>
    <d v="2023-06-06T13:07:00"/>
    <n v="2200"/>
    <m/>
    <m/>
    <m/>
    <m/>
    <m/>
    <m/>
    <n v="510.26640000000003"/>
    <n v="4252.22"/>
    <x v="5"/>
    <x v="0"/>
    <m/>
    <x v="0"/>
    <s v="SIM"/>
    <s v="SIM"/>
    <s v="SIM"/>
  </r>
  <r>
    <x v="0"/>
    <x v="1"/>
    <d v="2023-06-06T08:00:00"/>
    <s v="TCLU8168160"/>
    <n v="40"/>
    <x v="0"/>
    <s v="DOREMUS"/>
    <s v="GUARULHOS"/>
    <n v="5393"/>
    <s v="LOGIN ENDURANCE  041S"/>
    <n v="106951"/>
    <m/>
    <s v="CUA6D73"/>
    <s v="DTB6F84"/>
    <s v="CLAUDIO APARECIDO DA GAMA"/>
    <s v="20074409549"/>
    <s v="01098533717"/>
    <n v="16257"/>
    <s v="DPW"/>
    <d v="2023-06-06T06:02:00"/>
    <s v="MEDLOG"/>
    <d v="2023-06-06T16:47:00"/>
    <d v="2023-06-06T09:40:00"/>
    <d v="2023-06-06T11:50:00"/>
    <n v="2100"/>
    <m/>
    <m/>
    <m/>
    <m/>
    <m/>
    <m/>
    <n v="370.37759999999997"/>
    <n v="3086.48"/>
    <x v="5"/>
    <x v="0"/>
    <m/>
    <x v="0"/>
    <s v="SIM"/>
    <s v="SIM"/>
    <s v="SIM"/>
  </r>
  <r>
    <x v="0"/>
    <x v="1"/>
    <d v="2023-06-02T08:00:00"/>
    <s v="MRKU7936253"/>
    <n v="20"/>
    <x v="0"/>
    <s v="ADESTE"/>
    <s v="SANTO ANDRE"/>
    <s v="3AIBAK571T"/>
    <s v="VICENTE PINZON"/>
    <n v="106871"/>
    <m/>
    <s v="CUA6D73"/>
    <s v="CUA7547"/>
    <s v="CLAUDIO APARECIDO DA GAMA"/>
    <s v="20074409549"/>
    <s v="01098533717"/>
    <n v="16238"/>
    <s v="SANTOS BRASIL"/>
    <d v="2023-06-02T06:54:00"/>
    <s v="TRANSTEC SANTOS"/>
    <d v="2023-06-02T00:00:00"/>
    <d v="2023-06-02T08:25:00"/>
    <d v="2023-06-02T12:49:00"/>
    <n v="1600"/>
    <m/>
    <m/>
    <m/>
    <m/>
    <m/>
    <m/>
    <n v="415.74719999999996"/>
    <n v="3464.56"/>
    <x v="5"/>
    <x v="0"/>
    <m/>
    <x v="0"/>
    <s v="SIM"/>
    <s v="SIM"/>
    <m/>
  </r>
  <r>
    <x v="0"/>
    <x v="0"/>
    <d v="2023-06-07T09:00:00"/>
    <s v="SUDU1798039"/>
    <n v="20"/>
    <x v="2"/>
    <s v="SOSAL"/>
    <s v="SBC"/>
    <s v="AAK628QD"/>
    <s v="SEBASTIAO CABOTO  321S"/>
    <n v="107046"/>
    <m/>
    <s v="OAJ1J52"/>
    <s v="BWY6F22"/>
    <s v="MARCONI DE OLIVEIRA CORDEIRO"/>
    <s v="05753633803"/>
    <s v="01922497849"/>
    <n v="16269"/>
    <s v="SANTOS BRASIL"/>
    <d v="2023-06-07T04:03:00"/>
    <s v="TRANSTEC SANTOS"/>
    <d v="2023-06-07T14:06:00"/>
    <d v="2023-06-07T07:15:00"/>
    <d v="2023-06-07T12:24:00"/>
    <n v="1600"/>
    <m/>
    <m/>
    <m/>
    <m/>
    <m/>
    <m/>
    <n v="276"/>
    <n v="2300"/>
    <x v="5"/>
    <x v="0"/>
    <m/>
    <x v="0"/>
    <s v="SIM"/>
    <s v="SIM"/>
    <m/>
  </r>
  <r>
    <x v="0"/>
    <x v="0"/>
    <d v="2023-06-09T09:00:00"/>
    <s v="TTNU1286242"/>
    <n v="20"/>
    <x v="2"/>
    <s v="SOSAL"/>
    <s v="SBC"/>
    <s v="AAK628KB"/>
    <s v="SEBASTIAO CABOTO  321S"/>
    <n v="107151"/>
    <m/>
    <s v="BHP9483"/>
    <s v="BSF4E26"/>
    <s v="ANACLETO RODRIGUES DE SANTANA"/>
    <s v="01817591878"/>
    <s v="00821760640"/>
    <n v="16260"/>
    <s v="SANTOS BRASIL"/>
    <d v="2023-06-08T23:30:00"/>
    <s v="TRANSTEC SANTOS"/>
    <d v="2023-06-09T15:30:00"/>
    <d v="2023-06-09T01:20:00"/>
    <d v="2023-06-09T13:40:00"/>
    <n v="1600"/>
    <m/>
    <m/>
    <m/>
    <m/>
    <m/>
    <m/>
    <n v="276"/>
    <n v="2300"/>
    <x v="5"/>
    <x v="0"/>
    <m/>
    <x v="0"/>
    <s v="SIM"/>
    <s v="SIM"/>
    <m/>
  </r>
  <r>
    <x v="0"/>
    <x v="0"/>
    <d v="2023-06-09T09:00:00"/>
    <s v="MRKU9435142"/>
    <n v="20"/>
    <x v="2"/>
    <s v="SOSAL"/>
    <s v="SBC"/>
    <s v="AAK628KB"/>
    <s v="SEBASTIAO CABOTO  321S"/>
    <n v="117583"/>
    <n v="107150"/>
    <s v="KBK0D67"/>
    <s v="BWP9J59"/>
    <s v="JOAO BATISTA DOS SANTOS"/>
    <s v="13990937898"/>
    <s v="01825123407"/>
    <s v="16278 / 1620"/>
    <s v="SANTOS BRASIL"/>
    <d v="2023-06-08T23:39:00"/>
    <s v="TRANSTEC SANTOS"/>
    <d v="2023-06-09T16:46:00"/>
    <d v="2023-06-09T01:20:00"/>
    <d v="2023-06-09T16:00:00"/>
    <n v="1600"/>
    <m/>
    <m/>
    <m/>
    <m/>
    <m/>
    <m/>
    <n v="276"/>
    <n v="2300"/>
    <x v="5"/>
    <x v="0"/>
    <m/>
    <x v="0"/>
    <s v="SIM"/>
    <s v="SIM"/>
    <m/>
  </r>
  <r>
    <x v="0"/>
    <x v="0"/>
    <d v="2023-06-09T11:00:00"/>
    <s v="PONU0530691"/>
    <n v="20"/>
    <x v="2"/>
    <s v="SOSAL"/>
    <s v="SBC"/>
    <s v="AAK628KB"/>
    <s v="SEBASTIAO CABOTO  321S"/>
    <n v="107085"/>
    <m/>
    <s v="CGS0A65"/>
    <s v="CPJ5G64"/>
    <s v="ANTONIO ISAEL PINHA"/>
    <n v="12126370895"/>
    <s v="02988821539"/>
    <n v="16282"/>
    <s v="SANTOS BRASIL"/>
    <d v="2023-06-09T00:27:00"/>
    <s v="TRANSTEC SANTOS"/>
    <s v="09/06/023 13:03"/>
    <d v="2023-06-09T02:10:00"/>
    <d v="2023-06-09T10:50:00"/>
    <n v="1600"/>
    <m/>
    <m/>
    <m/>
    <m/>
    <m/>
    <m/>
    <n v="276"/>
    <n v="2300"/>
    <x v="5"/>
    <x v="0"/>
    <m/>
    <x v="0"/>
    <s v="SIM"/>
    <s v="SIM"/>
    <m/>
  </r>
  <r>
    <x v="0"/>
    <x v="0"/>
    <d v="2023-06-07T09:00:00"/>
    <s v="SUDU7601661"/>
    <n v="20"/>
    <x v="2"/>
    <s v="SOSAL"/>
    <s v="SBC"/>
    <s v="AAK628QC"/>
    <s v="SEBASTIAO CABOTO  321S"/>
    <n v="107045"/>
    <m/>
    <s v="EWJ2162"/>
    <s v="ETF6391"/>
    <s v="CARLOS BUENO BALTAZAR"/>
    <n v="19279658883"/>
    <s v="01301319672"/>
    <n v="16268"/>
    <s v="SANTOS BRASIL"/>
    <d v="2023-06-06T23:16:00"/>
    <s v="TRANSTEC SANTOS"/>
    <d v="2023-06-07T14:27:00"/>
    <d v="2023-06-07T01:12:00"/>
    <d v="2023-06-07T12:24:00"/>
    <n v="1600"/>
    <m/>
    <m/>
    <m/>
    <m/>
    <m/>
    <m/>
    <n v="276"/>
    <n v="2300"/>
    <x v="5"/>
    <x v="0"/>
    <m/>
    <x v="0"/>
    <s v="SIM"/>
    <s v="SIM"/>
    <m/>
  </r>
  <r>
    <x v="0"/>
    <x v="0"/>
    <d v="2023-06-09T11:00:00"/>
    <s v="TCLU2535587"/>
    <n v="20"/>
    <x v="2"/>
    <s v="SOSAL"/>
    <s v="SBC"/>
    <s v="AAK628KB"/>
    <s v="SEBASTIAO CABOTO  321S"/>
    <n v="107086"/>
    <m/>
    <s v="OAJ1J52"/>
    <s v="BWY6F22"/>
    <s v="MARCONI DE OLIVEIRA CORDEIRO"/>
    <s v="05753633803"/>
    <s v="01922497849"/>
    <n v="16283"/>
    <s v="SANTOS BRASIL"/>
    <d v="2023-06-08T23:15:00"/>
    <s v="TRANSTEC SANTOS"/>
    <d v="2023-06-09T13:08:00"/>
    <d v="2023-06-09T01:52:00"/>
    <d v="2023-06-09T11:10:00"/>
    <n v="1600"/>
    <m/>
    <m/>
    <m/>
    <m/>
    <m/>
    <m/>
    <n v="276"/>
    <n v="2300"/>
    <x v="5"/>
    <x v="0"/>
    <m/>
    <x v="0"/>
    <s v="SIM"/>
    <s v="SIM"/>
    <m/>
  </r>
  <r>
    <x v="0"/>
    <x v="0"/>
    <d v="2023-06-06T09:00:00"/>
    <s v="SUDU7615475"/>
    <n v="20"/>
    <x v="2"/>
    <s v="SOSAL"/>
    <s v="SBC"/>
    <s v="AAK628QB"/>
    <s v="SEBASTIAO CABOTO  321S"/>
    <n v="71456"/>
    <m/>
    <s v="CGS0A65"/>
    <s v="CPJ5G64"/>
    <s v="MARCOS PAULO NUNES"/>
    <n v="16239341843"/>
    <s v="01877235038"/>
    <n v="16258"/>
    <s v="SANTOS BRASIL"/>
    <d v="2023-06-05T22:42:00"/>
    <s v="FASSINA SANTOS"/>
    <d v="2023-06-06T15:17:00"/>
    <d v="2023-06-06T01:10:00"/>
    <d v="2023-06-06T12:40:00"/>
    <n v="1600"/>
    <m/>
    <m/>
    <m/>
    <m/>
    <m/>
    <m/>
    <n v="276"/>
    <n v="2300"/>
    <x v="5"/>
    <x v="0"/>
    <m/>
    <x v="0"/>
    <s v="SIM"/>
    <s v="SIM"/>
    <m/>
  </r>
  <r>
    <x v="0"/>
    <x v="0"/>
    <d v="2023-06-06T09:00:00"/>
    <s v="MRKU6924730"/>
    <n v="20"/>
    <x v="2"/>
    <s v="SOSAL"/>
    <s v="SBC"/>
    <s v="AAK628QB"/>
    <s v="SEBASTIAO CABOTO  321S"/>
    <n v="71458"/>
    <m/>
    <s v="BHP9483"/>
    <s v="BSF4E26"/>
    <s v="ANACLETO RODRIGUES DE SANTANA"/>
    <s v="01817591878"/>
    <s v="00821760640"/>
    <n v="16262"/>
    <s v="SANTOS BRASIL"/>
    <d v="2023-06-05T23:49:00"/>
    <s v="FASSINA SANTOS"/>
    <d v="2023-06-06T15:52:00"/>
    <d v="2023-06-06T01:10:00"/>
    <d v="2023-06-06T12:10:00"/>
    <n v="1600"/>
    <m/>
    <m/>
    <m/>
    <m/>
    <m/>
    <m/>
    <n v="276"/>
    <n v="2300"/>
    <x v="5"/>
    <x v="0"/>
    <m/>
    <x v="0"/>
    <s v="SIM"/>
    <s v="SIM"/>
    <m/>
  </r>
  <r>
    <x v="0"/>
    <x v="0"/>
    <d v="2023-06-06T11:00:00"/>
    <s v="MSKU4489174"/>
    <n v="20"/>
    <x v="2"/>
    <s v="SOSAL"/>
    <s v="SBC"/>
    <s v="AAK628PB"/>
    <s v="SEBASTIAO CABOTO  321S"/>
    <n v="71484"/>
    <m/>
    <s v="KBK0D67"/>
    <s v="BWP9J59"/>
    <s v="JOAO BATISTA DOS SANTOS"/>
    <s v="13990937898"/>
    <s v="01825123407"/>
    <n v="16259"/>
    <s v="SANTOS BRASIL"/>
    <d v="2023-06-05T23:00:00"/>
    <s v="TRANSTEC SANTOS"/>
    <d v="2023-06-07T06:45:00"/>
    <d v="2023-06-06T01:10:00"/>
    <d v="2023-06-06T16:12:00"/>
    <n v="1600"/>
    <m/>
    <m/>
    <m/>
    <m/>
    <m/>
    <m/>
    <n v="276"/>
    <n v="2300"/>
    <x v="5"/>
    <x v="0"/>
    <m/>
    <x v="0"/>
    <s v="SIM"/>
    <s v="SIM"/>
    <m/>
  </r>
  <r>
    <x v="0"/>
    <x v="0"/>
    <d v="2023-06-07T11:00:00"/>
    <s v="HASU1189180"/>
    <n v="40"/>
    <x v="2"/>
    <s v="SOSAL"/>
    <s v="SBC"/>
    <s v="AAK628PB"/>
    <s v="SEBASTIAO CABOTO  321S"/>
    <n v="71485"/>
    <m/>
    <s v="FRG7C59"/>
    <s v="BXA0I63"/>
    <s v="GUSTAVO ANTONIO CAVALCANTE"/>
    <s v="28386357860"/>
    <s v="01042201192"/>
    <n v="16271"/>
    <s v="SANTOS BRASIL"/>
    <d v="2023-06-07T05:14:00"/>
    <s v="TRANSTEC SANTOS"/>
    <d v="2023-06-07T16:30:00"/>
    <d v="2023-06-07T07:04:00"/>
    <d v="2023-06-07T11:24:00"/>
    <n v="1600"/>
    <m/>
    <m/>
    <m/>
    <m/>
    <m/>
    <m/>
    <n v="276"/>
    <n v="2300"/>
    <x v="5"/>
    <x v="0"/>
    <m/>
    <x v="0"/>
    <s v="SIM"/>
    <s v="SIM"/>
    <m/>
  </r>
  <r>
    <x v="0"/>
    <x v="0"/>
    <d v="2023-06-12T08:00:00"/>
    <s v="CAIU3020722"/>
    <n v="20"/>
    <x v="0"/>
    <s v="NEW MAX"/>
    <s v="AMERICANA"/>
    <n v="5543"/>
    <s v="LOGIN JATOBA  241S"/>
    <n v="107003"/>
    <m/>
    <s v="EWJ2162"/>
    <s v="ETF6391"/>
    <s v="CARLOS BUENO BALTAZAR"/>
    <n v="19279658883"/>
    <s v="01301319672"/>
    <n v="16292"/>
    <s v="DPW"/>
    <d v="2023-06-11T23:36:00"/>
    <s v="DEPOTCE"/>
    <d v="2023-06-12T11:32:00"/>
    <d v="2023-06-12T03:52:00"/>
    <d v="2023-06-12T08:53:00"/>
    <n v="3200"/>
    <m/>
    <m/>
    <m/>
    <m/>
    <m/>
    <m/>
    <n v="571.48680000000002"/>
    <n v="4762.3900000000003"/>
    <x v="5"/>
    <x v="0"/>
    <m/>
    <x v="0"/>
    <s v="SIM"/>
    <s v="SIM"/>
    <m/>
  </r>
  <r>
    <x v="0"/>
    <x v="0"/>
    <d v="2023-06-12T08:00:00"/>
    <s v="SEGU1086585"/>
    <n v="20"/>
    <x v="0"/>
    <s v="NEW MAX"/>
    <s v="AMERICANA"/>
    <n v="5536"/>
    <s v="LOGIN JATOBA  241S"/>
    <n v="107004"/>
    <m/>
    <s v="EPU5990"/>
    <s v="BSG1D88"/>
    <s v="LEANDRO SOARES CAETANO"/>
    <s v="10485530864"/>
    <s v="02033192841"/>
    <n v="16293"/>
    <s v="DPW"/>
    <d v="2023-06-12T01:12:00"/>
    <s v="MEDLOG"/>
    <d v="2023-06-12T16:11:00"/>
    <d v="2023-06-12T04:58:00"/>
    <d v="2023-06-12T11:13:00"/>
    <n v="3200"/>
    <m/>
    <m/>
    <m/>
    <m/>
    <m/>
    <m/>
    <n v="571.48680000000002"/>
    <n v="4762.3900000000003"/>
    <x v="5"/>
    <x v="0"/>
    <m/>
    <x v="0"/>
    <s v="SIM"/>
    <s v="SIM"/>
    <m/>
  </r>
  <r>
    <x v="0"/>
    <x v="0"/>
    <d v="2023-06-09T08:00:00"/>
    <s v="CAIU3072768"/>
    <n v="20"/>
    <x v="0"/>
    <s v="CHARQUE CAMPEAO"/>
    <s v="SANTANA PARNAIBA"/>
    <n v="5573"/>
    <s v="LOGIN JATOBA  241S"/>
    <n v="117515"/>
    <m/>
    <s v="EWJ2162"/>
    <s v="ETF6391"/>
    <s v="CARLOS BUENO BALTAZAR"/>
    <n v="19279658883"/>
    <s v="01301319672"/>
    <n v="16286"/>
    <s v="DPW"/>
    <d v="2023-06-09T00:12:00"/>
    <s v="DEPOTCE"/>
    <d v="2023-06-09T14:03:00"/>
    <d v="2023-06-09T03:33:00"/>
    <d v="2023-06-09T10:40:00"/>
    <n v="2300"/>
    <m/>
    <m/>
    <m/>
    <m/>
    <m/>
    <m/>
    <n v="399.62399999999997"/>
    <n v="3330.2"/>
    <x v="5"/>
    <x v="0"/>
    <m/>
    <x v="0"/>
    <s v="SIM"/>
    <s v="SIM"/>
    <m/>
  </r>
  <r>
    <x v="0"/>
    <x v="1"/>
    <d v="2023-06-13T08:00:00"/>
    <s v="TCLU3059377"/>
    <n v="20"/>
    <x v="0"/>
    <s v="VILHENA"/>
    <s v="CAJAMAR"/>
    <n v="5574"/>
    <s v="LOGIN JATOBA  241S"/>
    <n v="117591"/>
    <m/>
    <s v="FEI9J41"/>
    <s v="CUA7547"/>
    <s v="VINICIUS NASCIMENTO GIANGIULIO"/>
    <s v="27455658850"/>
    <s v="01286008208"/>
    <n v="16316"/>
    <s v="DPW"/>
    <d v="2023-06-13T06:59:00"/>
    <s v="MEDLOG"/>
    <d v="2023-06-13T16:48:00"/>
    <d v="2023-06-13T10:33:00"/>
    <d v="2023-06-13T13:40:00"/>
    <n v="2350"/>
    <m/>
    <m/>
    <m/>
    <m/>
    <m/>
    <m/>
    <n v="529.16279999999995"/>
    <n v="4409.6899999999996"/>
    <x v="5"/>
    <x v="0"/>
    <m/>
    <x v="0"/>
    <s v="SIM"/>
    <s v="SIM"/>
    <m/>
  </r>
  <r>
    <x v="0"/>
    <x v="0"/>
    <d v="2023-06-13T08:00:00"/>
    <s v="CAIU3160658"/>
    <n v="20"/>
    <x v="0"/>
    <s v="VILHETO"/>
    <s v="BARUERI"/>
    <n v="5575"/>
    <s v="LOGIN JATOBA  241S"/>
    <n v="117592"/>
    <m/>
    <s v="EPU5990"/>
    <s v="BSG1D88"/>
    <s v="LEANDRO SOARES CAETANO"/>
    <s v="10485530864"/>
    <s v="02033192841"/>
    <n v="16317"/>
    <s v="DPW"/>
    <d v="2023-06-12T17:07:00"/>
    <s v="DEPOTCE"/>
    <d v="2023-06-13T15:06:00"/>
    <d v="2023-06-13T05:00:00"/>
    <d v="2023-06-13T11:10:00"/>
    <n v="2200"/>
    <m/>
    <m/>
    <m/>
    <m/>
    <m/>
    <m/>
    <n v="510.26640000000003"/>
    <n v="4252.22"/>
    <x v="5"/>
    <x v="0"/>
    <m/>
    <x v="0"/>
    <s v="SIM"/>
    <s v="SIM"/>
    <m/>
  </r>
  <r>
    <x v="0"/>
    <x v="0"/>
    <d v="2023-06-12T08:00:00"/>
    <s v="TCLU2967467"/>
    <n v="20"/>
    <x v="0"/>
    <s v="MOINHO ROMANIZ"/>
    <s v="ITAQUERA"/>
    <n v="5576"/>
    <s v="LOGIN JATOBA  241S"/>
    <n v="107175"/>
    <m/>
    <s v="CGS0A65"/>
    <s v="CPJ5G64"/>
    <s v="ANTONIO ISAEL PINHA"/>
    <n v="12126370895"/>
    <s v="02988821539"/>
    <n v="16294"/>
    <s v="DPW"/>
    <d v="2023-06-12T00:13:00"/>
    <s v="MEDLOG"/>
    <d v="2023-06-12T20:09:00"/>
    <d v="2023-06-12T01:40:00"/>
    <d v="2023-06-12T15:40:00"/>
    <n v="2000"/>
    <m/>
    <m/>
    <m/>
    <m/>
    <m/>
    <m/>
    <n v="355.75439999999998"/>
    <n v="2964.62"/>
    <x v="5"/>
    <x v="0"/>
    <m/>
    <x v="0"/>
    <s v="SIM"/>
    <s v="SIM"/>
    <m/>
  </r>
  <r>
    <x v="0"/>
    <x v="0"/>
    <d v="2023-06-12T08:00:00"/>
    <s v="CAIU3027244"/>
    <n v="20"/>
    <x v="0"/>
    <s v="MIAN"/>
    <s v="SBC"/>
    <s v="5578 / 5577"/>
    <s v="LOGIN JATOBA  241S"/>
    <n v="107174"/>
    <n v="117620"/>
    <s v="BHP9483"/>
    <s v="BSF4E26"/>
    <s v="ANACLETO RODRIGUES DE SANTANA"/>
    <s v="01817591878"/>
    <s v="00821760640"/>
    <s v="16301 / 16300"/>
    <s v="DPW"/>
    <d v="2023-06-12T00:15:00"/>
    <s v="DEPOTCE"/>
    <d v="2023-06-12T17:25:00"/>
    <d v="2023-06-12T02:40:00"/>
    <d v="2023-06-12T12:00:00"/>
    <n v="1600"/>
    <m/>
    <m/>
    <m/>
    <m/>
    <m/>
    <m/>
    <n v="311.55959999999999"/>
    <n v="2596.33"/>
    <x v="5"/>
    <x v="0"/>
    <m/>
    <x v="0"/>
    <s v="SIM"/>
    <s v="SIM"/>
    <m/>
  </r>
  <r>
    <x v="0"/>
    <x v="0"/>
    <d v="2023-06-12T08:00:00"/>
    <s v="CAIU3310510"/>
    <n v="20"/>
    <x v="0"/>
    <s v="MIAN"/>
    <s v="SBC"/>
    <n v="5549"/>
    <s v="LOGIN JATOBA  241S"/>
    <n v="107051"/>
    <m/>
    <s v="KBK0D67"/>
    <s v="BWP9J59"/>
    <s v="JOAO BATISTA DOS SANTOS"/>
    <s v="13990937898"/>
    <s v="01825123407"/>
    <n v="16302"/>
    <s v="DPW"/>
    <d v="2023-06-12T00:28:00"/>
    <s v="DEPOTCE"/>
    <d v="2023-06-12T13:12:00"/>
    <d v="2023-06-12T02:40:00"/>
    <d v="2023-06-12T10:55:00"/>
    <n v="1600"/>
    <m/>
    <m/>
    <m/>
    <m/>
    <m/>
    <m/>
    <n v="311.55959999999999"/>
    <n v="2596.33"/>
    <x v="5"/>
    <x v="0"/>
    <m/>
    <x v="0"/>
    <s v="SIM"/>
    <s v="SIM"/>
    <m/>
  </r>
  <r>
    <x v="0"/>
    <x v="1"/>
    <d v="2023-06-12T08:00:00"/>
    <s v="TGHU9563804"/>
    <n v="40"/>
    <x v="0"/>
    <s v="DOREMUS"/>
    <s v="GUARULHOS"/>
    <n v="5563"/>
    <s v="LOGIN JATOBA  241S"/>
    <n v="107053"/>
    <m/>
    <s v="BHZ5C81"/>
    <s v="NKB0I82"/>
    <s v="PAULO LIMA DOS SANTOS"/>
    <s v="27455658850"/>
    <s v="01286008208"/>
    <n v="16296"/>
    <s v="DPW"/>
    <d v="2023-06-12T06:07:00"/>
    <s v="DEPOTCE"/>
    <d v="2023-06-12T15:01:00"/>
    <d v="2023-06-12T08:24:00"/>
    <d v="2023-06-12T10:55:00"/>
    <n v="2100"/>
    <m/>
    <m/>
    <m/>
    <m/>
    <m/>
    <m/>
    <n v="370.37759999999997"/>
    <n v="3086.48"/>
    <x v="5"/>
    <x v="0"/>
    <m/>
    <x v="0"/>
    <s v="SIM"/>
    <s v="SIM"/>
    <m/>
  </r>
  <r>
    <x v="0"/>
    <x v="0"/>
    <d v="2023-06-13T08:00:00"/>
    <s v="TRHU7044289"/>
    <n v="40"/>
    <x v="0"/>
    <s v="DOREMUS"/>
    <s v="GUARULHOS"/>
    <n v="5548"/>
    <s v="LOGIN JATOBA  241S"/>
    <n v="107052"/>
    <m/>
    <s v="DVS9G77"/>
    <s v="DPE7C55"/>
    <s v="FABIO COSTA DA SILVA"/>
    <s v="00097734527"/>
    <s v="03148346870"/>
    <n v="16315"/>
    <s v="DPW"/>
    <d v="2023-06-12T16:24:00"/>
    <s v="MEDLOG"/>
    <d v="2023-06-13T17:19:00"/>
    <d v="2023-06-13T07:33:00"/>
    <d v="2023-06-13T09:23:00"/>
    <n v="2100"/>
    <m/>
    <m/>
    <m/>
    <m/>
    <m/>
    <m/>
    <n v="370.37759999999997"/>
    <n v="3086.48"/>
    <x v="5"/>
    <x v="0"/>
    <m/>
    <x v="0"/>
    <s v="SIM"/>
    <s v="SIM"/>
    <m/>
  </r>
  <r>
    <x v="0"/>
    <x v="0"/>
    <d v="2023-06-09T08:00:00"/>
    <s v="SEGU4050950"/>
    <n v="40"/>
    <x v="0"/>
    <s v="AJINOMOTO"/>
    <s v="LIMEIRA"/>
    <n v="5568"/>
    <s v="LOGIN JATOBA  241S"/>
    <n v="107133"/>
    <n v="107134"/>
    <s v="CUA7F62"/>
    <s v="BSG2J78"/>
    <s v="VALDECIR DA SILVA"/>
    <s v="27455658850"/>
    <s v="01286008208"/>
    <n v="16287"/>
    <s v="DPW"/>
    <d v="2023-06-08T22:22:00"/>
    <s v="MEDLOG"/>
    <d v="2023-06-09T15:44:00"/>
    <d v="2023-06-09T02:30:00"/>
    <d v="2023-06-09T09:30:00"/>
    <n v="3400"/>
    <m/>
    <m/>
    <m/>
    <m/>
    <m/>
    <m/>
    <n v="558.28319999999997"/>
    <n v="4652.3599999999997"/>
    <x v="5"/>
    <x v="0"/>
    <m/>
    <x v="0"/>
    <s v="SIM"/>
    <s v="SIM"/>
    <m/>
  </r>
  <r>
    <x v="0"/>
    <x v="0"/>
    <d v="2023-06-09T09:00:00"/>
    <s v="TEMU8167495"/>
    <n v="40"/>
    <x v="0"/>
    <s v="AJINOMOTO"/>
    <s v="LIMEIRA"/>
    <n v="5571"/>
    <s v="LOGIN JATOBA  241S"/>
    <n v="107171"/>
    <n v="107172"/>
    <s v="DVT6D42"/>
    <s v="BXE2B57"/>
    <s v="ROBERTO RONALD SANTOS"/>
    <s v="27455658850"/>
    <s v="01286008208"/>
    <n v="16288"/>
    <s v="DPW"/>
    <d v="2023-06-09T04:15:00"/>
    <s v="MEDLOG"/>
    <d v="2023-06-09T15:53:00"/>
    <d v="2023-06-09T08:15:00"/>
    <d v="2023-06-09T09:30:00"/>
    <n v="3400"/>
    <m/>
    <m/>
    <m/>
    <m/>
    <m/>
    <m/>
    <n v="558.28319999999997"/>
    <n v="4652.3599999999997"/>
    <x v="5"/>
    <x v="0"/>
    <m/>
    <x v="0"/>
    <s v="SIM"/>
    <s v="SIM"/>
    <m/>
  </r>
  <r>
    <x v="0"/>
    <x v="0"/>
    <d v="2023-06-08T08:00:00"/>
    <s v="MSDU8821316"/>
    <n v="40"/>
    <x v="0"/>
    <s v="JBS"/>
    <s v="SANTANA PARNAIBA"/>
    <n v="5564"/>
    <s v="LOGIN JATOBA  241S"/>
    <n v="117459"/>
    <m/>
    <s v="FRG7C59"/>
    <s v="EWJ4J85"/>
    <s v="GUSTAVO ANTONIO CAVALCANTE"/>
    <s v="28386357860"/>
    <s v="01042201192"/>
    <n v="16284"/>
    <s v="DPW"/>
    <d v="2023-06-08T01:50:00"/>
    <s v="MEDLOG"/>
    <d v="2023-06-09T09:51:00"/>
    <d v="2023-06-08T05:30:00"/>
    <d v="2023-06-08T09:39:00"/>
    <n v="2300"/>
    <m/>
    <m/>
    <m/>
    <m/>
    <m/>
    <m/>
    <n v="399.62279999999998"/>
    <n v="3330.19"/>
    <x v="5"/>
    <x v="0"/>
    <m/>
    <x v="0"/>
    <s v="SIM"/>
    <s v="SIM"/>
    <m/>
  </r>
  <r>
    <x v="0"/>
    <x v="0"/>
    <d v="2023-06-09T09:00:00"/>
    <s v="CAAU6389408"/>
    <n v="40"/>
    <x v="0"/>
    <s v="JBS"/>
    <s v="SANTANA PARNAIBA"/>
    <n v="5565"/>
    <s v="LOGIN JATOBA  241S"/>
    <n v="117531"/>
    <m/>
    <s v="DTB9J13"/>
    <s v="CPJ3G59"/>
    <s v="JOSE EDNILSON DOS SANTOS"/>
    <n v="88265951434"/>
    <s v="00920373596"/>
    <n v="16289"/>
    <s v="DPW"/>
    <d v="2023-06-09T05:35:00"/>
    <s v="MEDLOG"/>
    <d v="2023-06-09T23:38:00"/>
    <d v="2023-06-09T08:30:00"/>
    <d v="2023-06-09T17:00:00"/>
    <n v="2300"/>
    <m/>
    <m/>
    <m/>
    <m/>
    <m/>
    <m/>
    <n v="399.62279999999998"/>
    <n v="3330.19"/>
    <x v="5"/>
    <x v="0"/>
    <m/>
    <x v="0"/>
    <s v="SIM"/>
    <s v="SIM"/>
    <m/>
  </r>
  <r>
    <x v="0"/>
    <x v="1"/>
    <d v="2023-06-12T08:00:00"/>
    <s v="MSMU5529755"/>
    <n v="40"/>
    <x v="0"/>
    <s v="JBS"/>
    <s v="SANTANA PARNAIBA"/>
    <n v="5567"/>
    <s v="LOGIN JATOBA  241S"/>
    <n v="117533"/>
    <m/>
    <s v="DTB9J13"/>
    <s v="CPJ3G59"/>
    <s v="JOSE EDNILSON DOS SANTOS"/>
    <n v="88265951434"/>
    <s v="00920373596"/>
    <n v="16303"/>
    <s v="DPW"/>
    <d v="2023-06-12T05:37:00"/>
    <s v="MEDLOG"/>
    <d v="2023-06-12T18:27:00"/>
    <d v="2023-06-12T09:20:00"/>
    <d v="2023-06-12T14:19:00"/>
    <n v="2300"/>
    <m/>
    <m/>
    <m/>
    <m/>
    <m/>
    <m/>
    <n v="399.62279999999998"/>
    <n v="3330.19"/>
    <x v="5"/>
    <x v="0"/>
    <m/>
    <x v="0"/>
    <s v="SIM"/>
    <s v="SIM"/>
    <m/>
  </r>
  <r>
    <x v="0"/>
    <x v="1"/>
    <d v="2023-06-13T08:00:00"/>
    <s v="AMFU8904667"/>
    <n v="40"/>
    <x v="0"/>
    <s v="JBS"/>
    <s v="SANTANA PARNAIBA"/>
    <n v="5569"/>
    <s v="LOGIN JATOBA  241S"/>
    <n v="117612"/>
    <m/>
    <s v="CUA7F62"/>
    <s v="BSG2J78"/>
    <s v="VALDECIR DA SILVA"/>
    <s v="27455658850"/>
    <s v="01286008208"/>
    <n v="16314"/>
    <s v="DPW"/>
    <d v="2023-06-12T16:27:00"/>
    <s v="MEDLOG"/>
    <d v="2023-06-09T23:38:00"/>
    <s v="13/06/2023 0100"/>
    <d v="2023-06-13T14:23:00"/>
    <n v="2300"/>
    <m/>
    <m/>
    <m/>
    <m/>
    <m/>
    <m/>
    <n v="399.62279999999998"/>
    <n v="3330.19"/>
    <x v="5"/>
    <x v="0"/>
    <m/>
    <x v="0"/>
    <s v="SIM"/>
    <s v="SIM"/>
    <m/>
  </r>
  <r>
    <x v="0"/>
    <x v="1"/>
    <d v="2023-06-08T08:00:00"/>
    <s v="CAAU6376925"/>
    <n v="40"/>
    <x v="0"/>
    <s v="JBS"/>
    <s v="SANTANA PARNAIBA"/>
    <n v="5570"/>
    <s v="LOGIN JATOBA  241S"/>
    <n v="107173"/>
    <m/>
    <s v="CUA6951"/>
    <s v="DTB6F84"/>
    <s v="MARCELO BELARMINO DE OLIVEIRA"/>
    <s v="16235741880"/>
    <s v="03876277087"/>
    <n v="16285"/>
    <s v="DPW"/>
    <d v="2023-06-08T05:11:00"/>
    <s v="MEDLOG"/>
    <d v="2023-06-09T10:57:00"/>
    <d v="2023-06-08T13:33:00"/>
    <d v="2023-06-08T16:00:00"/>
    <n v="2300"/>
    <m/>
    <m/>
    <m/>
    <m/>
    <m/>
    <m/>
    <n v="399.62279999999998"/>
    <n v="3330.19"/>
    <x v="5"/>
    <x v="0"/>
    <m/>
    <x v="0"/>
    <s v="SIM"/>
    <s v="SIM"/>
    <m/>
  </r>
  <r>
    <x v="0"/>
    <x v="0"/>
    <d v="2023-06-14T10:00:00"/>
    <s v="MSKU3947098"/>
    <n v="20"/>
    <x v="2"/>
    <s v="SOSAL"/>
    <s v="SBC"/>
    <s v="AAK670FD"/>
    <s v="FERNANDO DE MAGALHAES  322S"/>
    <n v="107268"/>
    <m/>
    <s v="KBK0D67"/>
    <s v="BWP9J59"/>
    <s v="JOAO BATISTA DOS SANTOS"/>
    <s v="13990937898"/>
    <s v="01825123407"/>
    <n v="16342"/>
    <s v="SANTOS BRASIL"/>
    <d v="2023-06-14T00:29:00"/>
    <s v="TRANSTEC SANTOS"/>
    <d v="2023-06-14T15:44:00"/>
    <d v="2023-06-14T02:40:00"/>
    <d v="2023-06-14T12:00:00"/>
    <n v="1600"/>
    <m/>
    <m/>
    <m/>
    <m/>
    <m/>
    <m/>
    <n v="276"/>
    <n v="2300"/>
    <x v="5"/>
    <x v="0"/>
    <m/>
    <x v="0"/>
    <s v="SIM"/>
    <s v="SIM"/>
    <m/>
  </r>
  <r>
    <x v="0"/>
    <x v="0"/>
    <d v="2023-06-14T10:00:00"/>
    <s v="MRKU9527763"/>
    <n v="20"/>
    <x v="2"/>
    <s v="SOSAL"/>
    <s v="SBC"/>
    <s v="AAK670FF"/>
    <s v="FERNANDO DE MAGALHAES  322S"/>
    <n v="117827"/>
    <m/>
    <s v="BHP9483"/>
    <s v="BSF4E26"/>
    <s v="ANACLETO RODRIGUES DE SANTANA"/>
    <s v="01817591878"/>
    <s v="00821760640"/>
    <n v="16343"/>
    <s v="SANTOS BRASIL"/>
    <d v="2023-06-14T00:39:00"/>
    <s v="TRANSTEC SANTOS"/>
    <d v="2023-06-14T14:34:00"/>
    <d v="2023-06-14T02:40:00"/>
    <d v="2023-06-14T12:00:00"/>
    <n v="1600"/>
    <m/>
    <m/>
    <m/>
    <m/>
    <m/>
    <m/>
    <n v="276"/>
    <n v="2300"/>
    <x v="5"/>
    <x v="0"/>
    <m/>
    <x v="0"/>
    <s v="SIM"/>
    <s v="SIM"/>
    <m/>
  </r>
  <r>
    <x v="0"/>
    <x v="0"/>
    <d v="2023-06-15T10:00:00"/>
    <s v="MSKU7262754"/>
    <n v="20"/>
    <x v="2"/>
    <s v="SOSAL"/>
    <s v="SBC"/>
    <s v="AAK670FD"/>
    <s v="FERNANDO DE MAGALHAES  322S"/>
    <n v="107267"/>
    <m/>
    <s v="KBK0D67"/>
    <s v="BWP9J59"/>
    <s v="JOAO BATISTA DOS SANTOS"/>
    <s v="13990937898"/>
    <s v="01825123407"/>
    <n v="16355"/>
    <s v="SANTOS BRASIL"/>
    <d v="2023-06-14T23:47:00"/>
    <s v="TRANSTEC SANTOS"/>
    <d v="2023-06-16T16:01:00"/>
    <d v="2023-06-15T01:55:00"/>
    <d v="2023-06-15T14:20:00"/>
    <n v="1600"/>
    <m/>
    <m/>
    <m/>
    <m/>
    <m/>
    <m/>
    <n v="276"/>
    <n v="2300"/>
    <x v="5"/>
    <x v="0"/>
    <m/>
    <x v="0"/>
    <s v="SIM"/>
    <s v="SIM"/>
    <m/>
  </r>
  <r>
    <x v="0"/>
    <x v="0"/>
    <d v="2023-06-15T10:00:00"/>
    <s v="TEXU1557767"/>
    <n v="20"/>
    <x v="2"/>
    <s v="SOSAL"/>
    <s v="SBC"/>
    <s v="AAK670FE"/>
    <s v="FERNANDO DE MAGALHAES  322S"/>
    <n v="107311"/>
    <m/>
    <s v="BHP9483"/>
    <s v="BSF4E26"/>
    <s v="ANACLETO RODRIGUES DE SANTANA"/>
    <s v="01817591878"/>
    <s v="00821760640"/>
    <n v="16356"/>
    <s v="SANTOS BRASIL"/>
    <d v="2023-06-14T23:49:00"/>
    <s v="TRANSTEC SANTOS"/>
    <d v="2023-06-15T14:50:00"/>
    <d v="2023-06-15T01:55:00"/>
    <d v="2023-06-15T14:20:00"/>
    <n v="1600"/>
    <m/>
    <m/>
    <m/>
    <m/>
    <m/>
    <m/>
    <n v="276"/>
    <n v="2300"/>
    <x v="5"/>
    <x v="0"/>
    <m/>
    <x v="0"/>
    <s v="SIM"/>
    <s v="SIM"/>
    <m/>
  </r>
  <r>
    <x v="0"/>
    <x v="1"/>
    <d v="2023-06-16T10:00:00"/>
    <s v="MRKU6519511"/>
    <n v="20"/>
    <x v="2"/>
    <s v="SOSAL"/>
    <s v="SBC"/>
    <s v="AAK670FB"/>
    <s v="FERNANDO DE MAGALHAES  322S"/>
    <n v="71603"/>
    <m/>
    <s v="KBK0D67"/>
    <s v="BWP9J59"/>
    <s v="JOAO BATISTA DOS SANTOS"/>
    <s v="13990937898"/>
    <s v="01825123407"/>
    <n v="16369"/>
    <s v="SANTOS BRASIL"/>
    <d v="2023-06-15T23:55:00"/>
    <s v="TRANSTEC SANTOS"/>
    <d v="2023-06-16T14:19:00"/>
    <d v="2023-06-16T11:20:00"/>
    <d v="2023-06-16T11:20:00"/>
    <n v="1600"/>
    <m/>
    <m/>
    <m/>
    <m/>
    <m/>
    <m/>
    <n v="276"/>
    <n v="2300"/>
    <x v="5"/>
    <x v="0"/>
    <m/>
    <x v="0"/>
    <s v="SIM"/>
    <s v="SIM"/>
    <m/>
  </r>
  <r>
    <x v="0"/>
    <x v="0"/>
    <d v="2023-06-16T10:00:00"/>
    <s v="MRKU7817212"/>
    <n v="20"/>
    <x v="2"/>
    <s v="SOSAL"/>
    <s v="SBC"/>
    <s v="AAK670FC"/>
    <s v="FERNANDO DE MAGALHAES  322S"/>
    <n v="71606"/>
    <m/>
    <s v="BHP9483"/>
    <s v="BSF4E26"/>
    <s v="ANACLETO RODRIGUES DE SANTANA"/>
    <s v="01817591878"/>
    <s v="00821760640"/>
    <n v="16371"/>
    <s v="SANTOS BRASIL"/>
    <d v="2023-06-15T23:36:00"/>
    <s v="TRANSTEC SANTOS"/>
    <d v="2023-06-16T16:28:00"/>
    <d v="2023-06-16T01:44:00"/>
    <d v="2023-06-16T11:20:00"/>
    <n v="1600"/>
    <m/>
    <m/>
    <m/>
    <m/>
    <m/>
    <m/>
    <n v="276"/>
    <n v="2300"/>
    <x v="5"/>
    <x v="0"/>
    <m/>
    <x v="0"/>
    <s v="SIM"/>
    <s v="SIM"/>
    <m/>
  </r>
  <r>
    <x v="0"/>
    <x v="0"/>
    <d v="2023-06-16T12:00:00"/>
    <s v="SUDU8951520"/>
    <n v="40"/>
    <x v="2"/>
    <s v="SOSAL"/>
    <s v="SBC"/>
    <s v="AAK680FB"/>
    <s v="FERNANDO DE MAGALHAES  322S"/>
    <n v="107307"/>
    <n v="107306"/>
    <s v="BXD2J87"/>
    <s v="ESU7272"/>
    <s v="WILSON FLAVIO ALVES DA SILVA"/>
    <s v="27455658850"/>
    <s v="01286008208"/>
    <s v="16375 / 16432 / 16433"/>
    <s v="SANTOS BRASIL"/>
    <d v="2023-06-16T04:39:00"/>
    <s v="TRANSTEC SANTOS"/>
    <d v="2023-06-16T15:19:00"/>
    <d v="2023-06-16T06:20:00"/>
    <d v="2023-06-16T12:20:00"/>
    <n v="1600"/>
    <m/>
    <m/>
    <m/>
    <m/>
    <m/>
    <m/>
    <n v="276"/>
    <n v="2300"/>
    <x v="5"/>
    <x v="0"/>
    <m/>
    <x v="0"/>
    <s v="SIM"/>
    <s v="SIM"/>
    <m/>
  </r>
  <r>
    <x v="0"/>
    <x v="1"/>
    <d v="2023-06-15T08:00:00"/>
    <s v="FFAU1199760"/>
    <n v="40"/>
    <x v="0"/>
    <s v="LIBERO QUIMICO"/>
    <s v="GUARULHOS"/>
    <n v="5905"/>
    <s v="MERCOSUL SUAPE  330S"/>
    <n v="107389"/>
    <m/>
    <s v="BUS5619"/>
    <s v="DVT5836"/>
    <s v="GELSON LEMOS RIBEIRO"/>
    <s v="41475455801"/>
    <s v="06144560936"/>
    <n v="16361"/>
    <s v="DPW"/>
    <d v="2023-06-15T07:49:00"/>
    <s v="MEDLOG"/>
    <d v="2023-06-15T16:39:00"/>
    <d v="2023-06-15T08:30:00"/>
    <d v="2023-06-15T14:00:00"/>
    <m/>
    <m/>
    <m/>
    <m/>
    <m/>
    <m/>
    <m/>
    <n v="370.37759999999997"/>
    <n v="3086.48"/>
    <x v="5"/>
    <x v="0"/>
    <m/>
    <x v="0"/>
    <s v="SIM"/>
    <s v="SIM"/>
    <s v="SIM"/>
  </r>
  <r>
    <x v="0"/>
    <x v="0"/>
    <d v="2023-06-16T08:00:00"/>
    <s v="TCLU3463590"/>
    <n v="20"/>
    <x v="0"/>
    <s v="CHARQUE CAMPEAO"/>
    <s v="SANTANA DE PARNAIBA"/>
    <n v="5807"/>
    <s v="MERCOSUL SUAPE  330S"/>
    <n v="117817"/>
    <m/>
    <s v="EWJ2162"/>
    <s v="ETF6391"/>
    <s v="CARLOS BUENO BALTAZAR"/>
    <n v="19279658883"/>
    <s v="01301319672"/>
    <n v="16373"/>
    <s v="DPW"/>
    <d v="2023-06-16T01:35:00"/>
    <s v="DEPOTCE"/>
    <d v="2023-06-16T12:31:00"/>
    <d v="2023-06-16T05:00:00"/>
    <d v="2023-06-16T08:00:00"/>
    <n v="2300"/>
    <m/>
    <m/>
    <m/>
    <m/>
    <m/>
    <m/>
    <n v="399.62399999999997"/>
    <n v="3330.2"/>
    <x v="5"/>
    <x v="0"/>
    <m/>
    <x v="0"/>
    <s v="SIM"/>
    <s v="SIM"/>
    <s v="SIM"/>
  </r>
  <r>
    <x v="0"/>
    <x v="1"/>
    <d v="2023-06-16T08:00:00"/>
    <s v="CAIU4832227"/>
    <n v="40"/>
    <x v="0"/>
    <s v="AJINOMOTO"/>
    <s v="LIMEIRA"/>
    <n v="5809"/>
    <s v="MERCOSUL SUAPE  330S"/>
    <n v="107358"/>
    <n v="107359"/>
    <s v="DDL8B54"/>
    <s v="FEI4012"/>
    <s v="WILTON SILVA BARBOSA"/>
    <s v="27455658850"/>
    <s v="01286008208"/>
    <n v="16374"/>
    <s v="DPW"/>
    <d v="2023-06-16T07:03:00"/>
    <s v="MEDLOG"/>
    <d v="2023-06-16T20:57:00"/>
    <d v="2023-06-16T13:00:00"/>
    <d v="2023-06-16T15:40:00"/>
    <n v="3400"/>
    <n v="565.20000000000005"/>
    <m/>
    <m/>
    <m/>
    <m/>
    <m/>
    <n v="558.28319999999997"/>
    <n v="4652.3599999999997"/>
    <x v="5"/>
    <x v="0"/>
    <m/>
    <x v="0"/>
    <s v="SIM"/>
    <s v="SIM"/>
    <s v="SIM"/>
  </r>
  <r>
    <x v="0"/>
    <x v="1"/>
    <d v="2023-06-16T08:00:00"/>
    <s v="TEMU8333174"/>
    <n v="40"/>
    <x v="0"/>
    <s v="AJINOMOTO"/>
    <s v="LIMEIRA"/>
    <n v="5904"/>
    <s v="MERCOSUL SUAPE  330S"/>
    <n v="107356"/>
    <n v="107357"/>
    <s v="BXD2J87"/>
    <s v="ESU7272"/>
    <s v="WILSON FLAVIO ALVES DA SILVA"/>
    <s v="27455658850"/>
    <s v="01286008208"/>
    <n v="16378"/>
    <s v="DPW"/>
    <d v="2023-06-16T07:32:00"/>
    <s v="MEDLOG"/>
    <d v="2023-06-16T20:52:00"/>
    <d v="2023-06-16T13:00:00"/>
    <d v="2023-06-16T15:00:00"/>
    <n v="3400"/>
    <m/>
    <m/>
    <m/>
    <m/>
    <m/>
    <m/>
    <n v="558.28319999999997"/>
    <n v="4652.3599999999997"/>
    <x v="5"/>
    <x v="0"/>
    <m/>
    <x v="0"/>
    <s v="SIM"/>
    <s v="SIM"/>
    <s v="SIM"/>
  </r>
  <r>
    <x v="0"/>
    <x v="1"/>
    <d v="2023-06-16T08:00:00"/>
    <s v="CAIU4834024"/>
    <n v="40"/>
    <x v="0"/>
    <s v="AJINOMOTO"/>
    <s v="LIMEIRA"/>
    <n v="5902"/>
    <s v="MERCOSUL SUAPE  330S"/>
    <n v="107384"/>
    <n v="107385"/>
    <s v="FGD8G49"/>
    <s v="FUJ0D24"/>
    <s v="AGEILSON ANTONIO DA SILVA"/>
    <s v="09085263425"/>
    <s v="04557705505"/>
    <n v="16379"/>
    <s v="DPW"/>
    <d v="2023-06-16T05:56:00"/>
    <s v="MEDLOG"/>
    <s v="1606/2023 19:52"/>
    <d v="2023-06-16T11:00:00"/>
    <d v="2023-06-16T11:40:00"/>
    <n v="3400"/>
    <m/>
    <m/>
    <m/>
    <m/>
    <m/>
    <m/>
    <n v="558.28319999999997"/>
    <n v="4652.3599999999997"/>
    <x v="5"/>
    <x v="0"/>
    <m/>
    <x v="0"/>
    <s v="SIM"/>
    <s v="SIM"/>
    <s v="SIM"/>
  </r>
  <r>
    <x v="0"/>
    <x v="0"/>
    <d v="2023-06-15T08:00:00"/>
    <s v="CAIU3417160"/>
    <n v="20"/>
    <x v="0"/>
    <s v="MIAN"/>
    <s v="SBC"/>
    <n v="5812"/>
    <s v="MERCOSUL SUAPE  330S"/>
    <n v="107305"/>
    <m/>
    <s v="EWJ2162"/>
    <s v="ETF6391"/>
    <s v="CARLOS BUENO BALTAZAR"/>
    <n v="19279658883"/>
    <s v="01301319672"/>
    <n v="16353"/>
    <s v="DPW"/>
    <d v="2023-06-15T00:29:00"/>
    <s v="DEPOTCE"/>
    <d v="2023-06-15T14:49:00"/>
    <d v="2023-06-15T02:21:00"/>
    <d v="2023-06-15T09:55:00"/>
    <n v="1600"/>
    <m/>
    <m/>
    <m/>
    <m/>
    <m/>
    <m/>
    <n v="311.55959999999999"/>
    <n v="2596.33"/>
    <x v="5"/>
    <x v="0"/>
    <m/>
    <x v="0"/>
    <s v="SIM"/>
    <s v="SIM"/>
    <s v="SIM"/>
  </r>
  <r>
    <x v="0"/>
    <x v="1"/>
    <d v="2023-06-15T08:00:00"/>
    <s v="TCLU3038522"/>
    <n v="20"/>
    <x v="0"/>
    <s v="PENINA"/>
    <s v="VL INDEPENDENTE"/>
    <n v="5806"/>
    <s v="MERCOSUL SUAPE  330S"/>
    <n v="107304"/>
    <m/>
    <s v="EPU5990"/>
    <s v="BSG1D88"/>
    <s v="LEANDRO SOARES CAETANO"/>
    <s v="10485530864"/>
    <s v="02033192841"/>
    <n v="16354"/>
    <s v="DPW"/>
    <d v="2023-06-15T06:47:00"/>
    <s v="MEDLOG"/>
    <d v="2023-06-15T15:58:00"/>
    <d v="2023-06-15T09:20:00"/>
    <d v="2023-06-15T12:30:00"/>
    <n v="2000"/>
    <m/>
    <m/>
    <m/>
    <m/>
    <m/>
    <m/>
    <n v="447.91919999999999"/>
    <n v="3732.66"/>
    <x v="5"/>
    <x v="0"/>
    <m/>
    <x v="0"/>
    <s v="SIM"/>
    <s v="SIM"/>
    <s v="SIM"/>
  </r>
  <r>
    <x v="0"/>
    <x v="1"/>
    <d v="2023-06-19T08:00:00"/>
    <s v="TCLU8702383"/>
    <n v="40"/>
    <x v="0"/>
    <s v="MAXSOY"/>
    <s v="HORTOLANDIA"/>
    <n v="5804"/>
    <s v="MERCOSUL SUAPE  330S"/>
    <n v="107309"/>
    <m/>
    <s v="CUA7F62"/>
    <s v="BSG2J78"/>
    <s v="VALDECIR DA SILVA"/>
    <s v="27455658850"/>
    <s v="01286008208"/>
    <n v="16435"/>
    <s v="DPW"/>
    <d v="2023-06-19T04:15:00"/>
    <s v="MEDLOG"/>
    <d v="2023-06-19T14:30:00"/>
    <d v="2023-06-19T08:40:00"/>
    <d v="2023-06-19T10:31:00"/>
    <m/>
    <m/>
    <m/>
    <m/>
    <m/>
    <m/>
    <m/>
    <n v="501.59999999999997"/>
    <n v="4180"/>
    <x v="5"/>
    <x v="0"/>
    <m/>
    <x v="0"/>
    <s v="SIM"/>
    <s v="SIM"/>
    <s v="SIM"/>
  </r>
  <r>
    <x v="0"/>
    <x v="1"/>
    <d v="2023-06-15T08:00:00"/>
    <s v="TCNU6205132"/>
    <n v="40"/>
    <x v="0"/>
    <s v="BUNGE"/>
    <s v="SANTOS"/>
    <n v="5803"/>
    <s v="MERCOSUL SUAPE  330S"/>
    <n v="107275"/>
    <m/>
    <s v="FSI0I03"/>
    <s v="FEI4012"/>
    <s v="EMERSON PEREIRA DA SILVA"/>
    <s v="09803034863"/>
    <s v="01484565209"/>
    <n v="16367"/>
    <s v="DPW"/>
    <d v="2023-06-15T08:04:00"/>
    <s v="DEPOTCE"/>
    <d v="2023-06-15T17:15:00"/>
    <d v="2023-06-15T09:30:00"/>
    <d v="2023-06-15T15:10:00"/>
    <m/>
    <m/>
    <m/>
    <m/>
    <m/>
    <m/>
    <m/>
    <n v="234"/>
    <n v="1950"/>
    <x v="5"/>
    <x v="0"/>
    <m/>
    <x v="0"/>
    <s v="SIM"/>
    <s v="SIM"/>
    <s v="SIM"/>
  </r>
  <r>
    <x v="0"/>
    <x v="0"/>
    <d v="2023-06-19T08:00:00"/>
    <s v="GESU5954900"/>
    <n v="40"/>
    <x v="0"/>
    <s v="DOREMUS"/>
    <s v="GUARULHOS"/>
    <n v="5808"/>
    <s v="MERCOSUL SUAPE  330S"/>
    <n v="107235"/>
    <m/>
    <s v="BHP9483"/>
    <s v="BSF4E26"/>
    <s v="ANACLETO RODRIGUES DE SANTANA"/>
    <s v="01817591878"/>
    <s v="00821760640"/>
    <n v="16434"/>
    <s v="DPW"/>
    <d v="2023-06-18T17:09:00"/>
    <s v="MEDLOG"/>
    <d v="2023-06-19T14:07:00"/>
    <d v="2023-06-15T21:00:00"/>
    <d v="2023-06-19T10:10:00"/>
    <n v="2100"/>
    <m/>
    <m/>
    <m/>
    <m/>
    <m/>
    <m/>
    <n v="370.37759999999997"/>
    <n v="3086.48"/>
    <x v="5"/>
    <x v="0"/>
    <m/>
    <x v="0"/>
    <s v="SIM"/>
    <s v="SIM"/>
    <s v="SIM"/>
  </r>
  <r>
    <x v="0"/>
    <x v="1"/>
    <d v="2023-06-19T08:00:00"/>
    <s v="MSDU7851635"/>
    <n v="40"/>
    <x v="0"/>
    <s v="LIBERO QUIMICO"/>
    <s v="GUARULHOS"/>
    <n v="5805"/>
    <s v="MERCOSUL SUAPE  330S"/>
    <n v="107303"/>
    <m/>
    <s v="DPB4F69"/>
    <s v="KOE9A82"/>
    <s v="DOMINGOS NEVES DOS SANTOS"/>
    <s v="16951438846"/>
    <s v="01893213302"/>
    <n v="16436"/>
    <s v="DPW"/>
    <d v="2023-06-19T05:46:00"/>
    <s v="MEDLOG"/>
    <d v="2023-06-19T16:55:00"/>
    <d v="2023-06-19T08:30:00"/>
    <d v="2023-06-19T12:40:00"/>
    <m/>
    <m/>
    <m/>
    <m/>
    <m/>
    <m/>
    <m/>
    <n v="0"/>
    <m/>
    <x v="5"/>
    <x v="0"/>
    <m/>
    <x v="0"/>
    <s v="SIM"/>
    <s v="SIM"/>
    <s v="SIM"/>
  </r>
  <r>
    <x v="0"/>
    <x v="0"/>
    <d v="2023-06-20T08:00:00"/>
    <s v="CAIU3307570"/>
    <n v="20"/>
    <x v="0"/>
    <s v="NEW MAX"/>
    <s v="AMERICANA"/>
    <n v="5809"/>
    <s v="MERCOSUL SUAPE  330S"/>
    <n v="107233"/>
    <m/>
    <s v="FXG5H10"/>
    <s v="DBC3G21"/>
    <s v="ROBERTO CARLOS BEZERRA PIRES"/>
    <s v="27455658850"/>
    <s v="01286008208"/>
    <n v="16452"/>
    <s v="DPW"/>
    <d v="2023-06-19T22:21:00"/>
    <s v="DEPOTCE"/>
    <d v="2023-06-20T15:30:00"/>
    <d v="2023-06-20T03:02:00"/>
    <d v="2023-06-20T11:29:00"/>
    <n v="3200"/>
    <m/>
    <m/>
    <m/>
    <m/>
    <m/>
    <m/>
    <n v="571.48680000000002"/>
    <n v="4762.3900000000003"/>
    <x v="5"/>
    <x v="0"/>
    <m/>
    <x v="0"/>
    <s v="SIM"/>
    <s v="SIM"/>
    <s v="SIM"/>
  </r>
  <r>
    <x v="0"/>
    <x v="0"/>
    <d v="2023-06-20T08:00:00"/>
    <s v="TCLU2968988"/>
    <n v="20"/>
    <x v="0"/>
    <s v="NEW MAX"/>
    <s v="AMERICANA"/>
    <n v="5809"/>
    <s v="MERCOSUL SUAPE  330S"/>
    <n v="107234"/>
    <m/>
    <s v="EPU5990"/>
    <s v="BSG1D88"/>
    <s v="LEANDRO SOARES CAETANO"/>
    <s v="10485530864"/>
    <s v="02033192841"/>
    <n v="16453"/>
    <s v="DPW"/>
    <d v="2023-06-19T22:40:00"/>
    <s v="MEDLOG"/>
    <d v="2023-06-20T16:22:00"/>
    <d v="2023-06-20T02:30:00"/>
    <d v="2023-06-20T10:10:00"/>
    <n v="3200"/>
    <m/>
    <m/>
    <m/>
    <m/>
    <m/>
    <m/>
    <n v="571.48680000000002"/>
    <n v="4762.3900000000003"/>
    <x v="5"/>
    <x v="0"/>
    <m/>
    <x v="0"/>
    <s v="SIM"/>
    <s v="SIM"/>
    <s v="SIM"/>
  </r>
  <r>
    <x v="0"/>
    <x v="0"/>
    <d v="2023-06-20T08:00:00"/>
    <s v="CAIU4831447"/>
    <n v="40"/>
    <x v="0"/>
    <s v="FLUIDrA"/>
    <s v="VALINHOS"/>
    <n v="5802"/>
    <s v="MERCOSUL SUAPE  330S"/>
    <n v="107310"/>
    <m/>
    <s v="EFU6A89"/>
    <s v="CYB6H56"/>
    <s v="GABRIEL HENRIQUE CORREA GOMES"/>
    <s v="41475455801"/>
    <s v="06144560936"/>
    <n v="16455"/>
    <s v="DPW"/>
    <d v="2023-06-19T23:37:00"/>
    <s v="MEDLOG"/>
    <d v="2023-06-20T17:39:00"/>
    <d v="2023-06-20T03:10:00"/>
    <d v="2023-06-20T12:10:00"/>
    <n v="3000"/>
    <m/>
    <m/>
    <m/>
    <n v="3245.68"/>
    <m/>
    <n v="596.4"/>
    <n v="523.91999999999996"/>
    <n v="4366"/>
    <x v="5"/>
    <x v="0"/>
    <m/>
    <x v="0"/>
    <s v="SIM"/>
    <s v="SIM"/>
    <s v="SIM"/>
  </r>
  <r>
    <x v="0"/>
    <x v="0"/>
    <d v="2023-06-20T08:00:00"/>
    <s v="TCLU8808230"/>
    <n v="40"/>
    <x v="0"/>
    <s v="DOREMUS"/>
    <s v="GUARULHOS"/>
    <n v="5815"/>
    <s v="MERCOSUL SUAPE  330S"/>
    <n v="107236"/>
    <m/>
    <s v="CGS0A65"/>
    <s v="BSG5I97"/>
    <s v="ANTONIO ISAEL PINHA"/>
    <n v="12126370895"/>
    <s v="02988821539"/>
    <n v="16454"/>
    <s v="DPW"/>
    <d v="2023-06-19T23:25:00"/>
    <s v="DEPOTCE"/>
    <d v="2023-06-20T14:34:00"/>
    <d v="2023-06-20T02:20:00"/>
    <d v="2023-06-20T10:25:00"/>
    <n v="2100"/>
    <m/>
    <m/>
    <m/>
    <m/>
    <m/>
    <m/>
    <n v="370.37759999999997"/>
    <n v="3086.48"/>
    <x v="5"/>
    <x v="0"/>
    <m/>
    <x v="0"/>
    <s v="SIM"/>
    <s v="SIM"/>
    <s v="SIM"/>
  </r>
  <r>
    <x v="0"/>
    <x v="0"/>
    <d v="2023-06-22T08:00:00"/>
    <s v="SEGU1061118"/>
    <n v="20"/>
    <x v="0"/>
    <s v="ADESTE"/>
    <s v="SANTO ANDRE"/>
    <n v="6052"/>
    <s v="LOGIN JACARANDA  154S"/>
    <n v="107426"/>
    <m/>
    <s v="BHP9483"/>
    <s v="BSF4E26"/>
    <s v="ANACLETO RODRIGUES DE SANTANA"/>
    <s v="01817591878"/>
    <s v="00821760640"/>
    <n v="16492"/>
    <s v="DPW"/>
    <d v="2023-06-21T23:51:00"/>
    <s v="MEDLOG"/>
    <d v="2023-06-22T18:12:00"/>
    <d v="2023-06-22T02:10:00"/>
    <d v="2023-06-22T12:00:00"/>
    <n v="1600"/>
    <m/>
    <m/>
    <m/>
    <m/>
    <m/>
    <m/>
    <n v="415.74719999999996"/>
    <n v="3464.56"/>
    <x v="5"/>
    <x v="0"/>
    <m/>
    <x v="0"/>
    <s v="SIM"/>
    <s v="SIM"/>
    <s v="SIM"/>
  </r>
  <r>
    <x v="0"/>
    <x v="0"/>
    <d v="2023-06-23T08:00:00"/>
    <s v="TRHU1990381"/>
    <n v="20"/>
    <x v="0"/>
    <s v="NEW MAX"/>
    <s v="AMERICANA"/>
    <n v="6051"/>
    <s v="LOGIN JACARANDA  154S"/>
    <n v="107422"/>
    <m/>
    <s v="BYA0806"/>
    <s v="JYM3480"/>
    <s v="MIGUEL ARNOLD"/>
    <s v="10838670830"/>
    <s v="01808675938"/>
    <s v="16507c / 16509"/>
    <s v="DPW"/>
    <d v="2023-06-22T22:10:00"/>
    <s v="DEPOTCE"/>
    <d v="2023-06-23T15:44:00"/>
    <d v="2023-06-23T04:00:00"/>
    <d v="2023-06-23T10:00:00"/>
    <n v="3200"/>
    <m/>
    <m/>
    <m/>
    <m/>
    <m/>
    <m/>
    <n v="571.48680000000002"/>
    <n v="4762.3900000000003"/>
    <x v="5"/>
    <x v="0"/>
    <m/>
    <x v="0"/>
    <s v="SIM"/>
    <s v="SIM"/>
    <s v="SIM"/>
  </r>
  <r>
    <x v="0"/>
    <x v="0"/>
    <d v="2023-06-26T08:00:00"/>
    <s v="MEDU6688742"/>
    <n v="20"/>
    <x v="0"/>
    <s v="NEW MAX"/>
    <s v="AMERICANA"/>
    <n v="6053"/>
    <s v="LOGIN JACARANDA  154S"/>
    <n v="107476"/>
    <m/>
    <s v="EWJ2162"/>
    <s v="ETF6391"/>
    <s v="CARLOS BUENO BALTAZAR"/>
    <n v="19279658883"/>
    <s v="01301319672"/>
    <n v="16508"/>
    <s v="DPW"/>
    <d v="2023-06-23T02:23:00"/>
    <s v="MEDLOG"/>
    <d v="2023-06-26T22:58:00"/>
    <d v="2023-06-26T01:50:00"/>
    <d v="2023-06-26T10:59:00"/>
    <n v="3200"/>
    <m/>
    <m/>
    <m/>
    <m/>
    <m/>
    <m/>
    <n v="571.48680000000002"/>
    <n v="4762.3900000000003"/>
    <x v="5"/>
    <x v="0"/>
    <m/>
    <x v="0"/>
    <s v="SIM"/>
    <s v="SIM"/>
    <s v="SIM"/>
  </r>
  <r>
    <x v="0"/>
    <x v="0"/>
    <d v="2023-06-23T08:00:00"/>
    <s v="TCLU2964730"/>
    <n v="20"/>
    <x v="0"/>
    <s v="CHARQUE CAMPEAO"/>
    <s v="SANTANA PARNAÍBA"/>
    <n v="6054"/>
    <s v="LOGIN JACARANDA  154S"/>
    <n v="118093"/>
    <m/>
    <s v="OAJ1J52"/>
    <s v="BWY6F22"/>
    <s v="MARCONI DE OLIVEIRA CORDEIRO"/>
    <s v="05753633803"/>
    <s v="01922497849"/>
    <n v="16506"/>
    <s v="DPW"/>
    <d v="2023-06-23T00:24:00"/>
    <s v="MEDLOG"/>
    <d v="2023-06-23T15:09:00"/>
    <d v="2023-06-23T07:30:00"/>
    <d v="2023-06-23T10:15:00"/>
    <n v="2300"/>
    <m/>
    <m/>
    <m/>
    <m/>
    <m/>
    <m/>
    <n v="399.62399999999997"/>
    <n v="3330.2"/>
    <x v="5"/>
    <x v="0"/>
    <m/>
    <x v="0"/>
    <s v="SIM"/>
    <s v="SIM"/>
    <s v="SIM"/>
  </r>
  <r>
    <x v="0"/>
    <x v="0"/>
    <d v="2023-06-26T08:00:00"/>
    <s v="TCLU3460965"/>
    <n v="20"/>
    <x v="0"/>
    <s v="MOINHO ROMANIZ"/>
    <s v="ITAQUERA"/>
    <n v="6050"/>
    <s v="LOGIN JACARANDA  154S"/>
    <n v="107423"/>
    <m/>
    <s v="BHP9483"/>
    <s v="BSF4E26"/>
    <s v="ANACLETO RODRIGUES DE SANTANA"/>
    <s v="01817591878"/>
    <s v="00821760640"/>
    <n v="16525"/>
    <s v="DPW"/>
    <d v="2023-06-25T23:00:00"/>
    <s v="DEPOTCE"/>
    <d v="2023-06-26T20:40:00"/>
    <d v="2023-06-26T02:45:00"/>
    <d v="2023-06-26T16:40:00"/>
    <n v="2000"/>
    <m/>
    <m/>
    <m/>
    <m/>
    <m/>
    <m/>
    <n v="355.75319999999999"/>
    <n v="2964.61"/>
    <x v="5"/>
    <x v="0"/>
    <m/>
    <x v="0"/>
    <s v="SIM"/>
    <s v="SIM"/>
    <s v="SIM"/>
  </r>
  <r>
    <x v="0"/>
    <x v="0"/>
    <d v="2023-06-22T08:00:00"/>
    <s v="CAIU3159847"/>
    <n v="20"/>
    <x v="0"/>
    <s v="MIAN"/>
    <s v="SBC"/>
    <s v="6165 / 6166"/>
    <s v="LOGIN JACARANDA  154S"/>
    <n v="107594"/>
    <n v="118186"/>
    <s v="KBK0D67"/>
    <s v="BWP9J59"/>
    <s v="JOAO BATISTA DOS SANTOS"/>
    <s v="13990937898"/>
    <s v="01825123407"/>
    <n v="16493"/>
    <s v="DPW"/>
    <d v="2023-06-22T00:03:00"/>
    <s v="DEPOTCE"/>
    <d v="2023-06-22T13:46:00"/>
    <d v="2023-06-22T03:25:00"/>
    <d v="2023-06-22T09:30:00"/>
    <n v="1600"/>
    <m/>
    <m/>
    <m/>
    <m/>
    <m/>
    <m/>
    <n v="311.55959999999999"/>
    <n v="2596.33"/>
    <x v="5"/>
    <x v="0"/>
    <m/>
    <x v="0"/>
    <s v="SIM"/>
    <s v="SIM"/>
    <s v="SIM"/>
  </r>
  <r>
    <x v="0"/>
    <x v="1"/>
    <d v="2023-06-26T08:00:00"/>
    <s v="CAAU6494276"/>
    <n v="40"/>
    <x v="0"/>
    <s v="MAXSOY"/>
    <s v="HOTOLOLÂNDIA"/>
    <n v="6045"/>
    <s v="LOGIN JACARANDA  154S"/>
    <n v="107472"/>
    <m/>
    <s v="BXD2J87"/>
    <s v="ESU7272"/>
    <s v="WILSON FLAVIO ALVES DA SILVA"/>
    <s v="27455658850"/>
    <s v="01286008208"/>
    <n v="16534"/>
    <s v="DPW"/>
    <d v="2023-06-26T06:46:00"/>
    <s v="MEDLOG"/>
    <d v="2023-06-26T19:07:00"/>
    <d v="2023-06-26T10:40:00"/>
    <d v="2023-06-26T13:00:00"/>
    <m/>
    <m/>
    <m/>
    <m/>
    <m/>
    <m/>
    <m/>
    <n v="501.59999999999997"/>
    <n v="4180"/>
    <x v="5"/>
    <x v="0"/>
    <m/>
    <x v="0"/>
    <s v="SIM"/>
    <s v="SIM"/>
    <s v="SIM"/>
  </r>
  <r>
    <x v="0"/>
    <x v="1"/>
    <d v="2023-06-23T08:00:00"/>
    <s v="CAIU4834410"/>
    <n v="40"/>
    <x v="0"/>
    <s v="DOREMUS"/>
    <s v="GUARULHOS"/>
    <n v="6046"/>
    <s v="LOGIN JACARANDA  154S"/>
    <n v="107473"/>
    <m/>
    <s v="FWF1I71"/>
    <s v="FEI4472"/>
    <s v="LUCIANO PEREIRA DA SILVA"/>
    <s v="10485530864"/>
    <s v="02033192841"/>
    <n v="16511"/>
    <s v="DPW"/>
    <d v="2023-06-23T07:05:00"/>
    <s v="MEDLOG"/>
    <d v="2023-06-23T18:17:00"/>
    <d v="2023-06-23T10:00:00"/>
    <d v="2023-06-23T11:15:00"/>
    <n v="2100"/>
    <m/>
    <m/>
    <m/>
    <m/>
    <m/>
    <m/>
    <n v="370.37759999999997"/>
    <n v="3086.48"/>
    <x v="5"/>
    <x v="0"/>
    <m/>
    <x v="0"/>
    <s v="SIM"/>
    <s v="SIM"/>
    <s v="SIM"/>
  </r>
  <r>
    <x v="0"/>
    <x v="0"/>
    <d v="2023-06-26T08:00:00"/>
    <s v="TCLU8227719"/>
    <n v="40"/>
    <x v="0"/>
    <s v="DOREMUS"/>
    <s v="GUARULHOS"/>
    <n v="6047"/>
    <s v="LOGIN JACARANDA  154S"/>
    <n v="107474"/>
    <m/>
    <s v="CGS0A65"/>
    <s v="BSG5I97"/>
    <s v="ANTONIO ISAEL PINHA"/>
    <n v="12126370895"/>
    <s v="02988821539"/>
    <n v="16526"/>
    <s v="DPW"/>
    <d v="2023-06-25T23:33:00"/>
    <s v="MEDLOG"/>
    <d v="2023-06-26T14:52:00"/>
    <d v="2023-06-26T02:20:00"/>
    <d v="2023-06-26T11:20:00"/>
    <n v="2100"/>
    <m/>
    <m/>
    <m/>
    <m/>
    <m/>
    <m/>
    <n v="370.37759999999997"/>
    <n v="3086.48"/>
    <x v="5"/>
    <x v="0"/>
    <m/>
    <x v="0"/>
    <s v="SIM"/>
    <s v="SIM"/>
    <s v="SIM"/>
  </r>
  <r>
    <x v="0"/>
    <x v="1"/>
    <d v="2023-06-23T08:00:00"/>
    <s v="TEMU8333770"/>
    <n v="40"/>
    <x v="0"/>
    <s v="AJINOMOTO"/>
    <s v="LIMEIRA"/>
    <n v="6077"/>
    <s v="LOGIN JACARANDA  154S"/>
    <n v="107574"/>
    <n v="107575"/>
    <s v="DVS9G77"/>
    <s v="DPE7C55"/>
    <s v="FABIO COSTA DA SILVA"/>
    <s v="00097734527"/>
    <s v="03148346870"/>
    <n v="16512"/>
    <s v="DPW"/>
    <d v="2023-06-29T00:43:00"/>
    <s v="REAPROVEITAMENTO"/>
    <d v="2023-06-26T11:26:00"/>
    <d v="2023-06-24T08:00:00"/>
    <d v="2023-06-24T01:00:00"/>
    <n v="3400"/>
    <m/>
    <m/>
    <m/>
    <m/>
    <m/>
    <m/>
    <n v="558.28319999999997"/>
    <n v="4652.3599999999997"/>
    <x v="5"/>
    <x v="0"/>
    <m/>
    <x v="0"/>
    <s v="SIM"/>
    <s v="SIM"/>
    <s v="SIM"/>
  </r>
  <r>
    <x v="0"/>
    <x v="0"/>
    <d v="2023-06-23T08:00:00"/>
    <s v="MSCU5271017"/>
    <n v="40"/>
    <x v="0"/>
    <s v="AJINOMOTO"/>
    <s v="LIMEIRA"/>
    <n v="6048"/>
    <s v="LOGIN JACARANDA  154S"/>
    <n v="107519"/>
    <n v="107529"/>
    <s v="DVT6D42"/>
    <s v="BXE2B57"/>
    <s v="ROBERTO RONALD SANTOS"/>
    <s v="27455658850"/>
    <s v="01286008208"/>
    <n v="16515"/>
    <s v="DPW"/>
    <d v="2023-06-23T02:13:00"/>
    <s v="MEDLOG"/>
    <d v="2023-06-23T17:47:00"/>
    <d v="2023-06-23T04:30:00"/>
    <d v="2023-06-23T10:00:00"/>
    <n v="3400"/>
    <m/>
    <m/>
    <m/>
    <m/>
    <m/>
    <m/>
    <n v="558.28319999999997"/>
    <n v="4652.3599999999997"/>
    <x v="5"/>
    <x v="0"/>
    <m/>
    <x v="0"/>
    <s v="SIM"/>
    <s v="SIM"/>
    <s v="SIM"/>
  </r>
  <r>
    <x v="0"/>
    <x v="0"/>
    <d v="2023-06-26T08:00:00"/>
    <s v="MSMU4431208"/>
    <n v="40"/>
    <x v="0"/>
    <s v="AJINOMOTO"/>
    <s v="LIMEIRA"/>
    <n v="6049"/>
    <s v="LOGIN JACARANDA  154S"/>
    <n v="107521"/>
    <n v="107520"/>
    <s v="CUA7F62"/>
    <s v="BSG2J78"/>
    <s v="VALDECIR DA SILVA"/>
    <s v="27455658850"/>
    <s v="01286008208"/>
    <n v="16530"/>
    <s v="DPW"/>
    <d v="2023-06-25T05:23:00"/>
    <s v="MEDLOG"/>
    <d v="2023-06-26T14:16:00"/>
    <d v="2023-06-26T02:20:00"/>
    <d v="2023-06-26T08:40:00"/>
    <n v="3400"/>
    <m/>
    <m/>
    <m/>
    <m/>
    <m/>
    <m/>
    <n v="558.28319999999997"/>
    <n v="4652.3599999999997"/>
    <x v="5"/>
    <x v="0"/>
    <m/>
    <x v="0"/>
    <s v="SIM"/>
    <s v="SIM"/>
    <s v="SIM"/>
  </r>
  <r>
    <x v="0"/>
    <x v="1"/>
    <d v="2023-06-26T08:00:00"/>
    <s v="TEMU8500245"/>
    <n v="40"/>
    <x v="0"/>
    <s v="AJINOMOTO"/>
    <s v="LIMEIRA"/>
    <n v="6076"/>
    <s v="LOGIN JACARANDA  154S"/>
    <n v="107596"/>
    <n v="107597"/>
    <s v="DVT6D42"/>
    <s v="BXE2B57"/>
    <s v="ROBERTO RONALD SANTOS"/>
    <s v="27455658850"/>
    <s v="01286008208"/>
    <n v="16532"/>
    <s v="DPW"/>
    <d v="2023-06-26T06:40:00"/>
    <s v="MEDLOG"/>
    <d v="2023-06-26T18:48:00"/>
    <d v="2023-06-26T10:46:00"/>
    <d v="2023-06-26T12:00:00"/>
    <n v="3400"/>
    <m/>
    <m/>
    <m/>
    <m/>
    <m/>
    <m/>
    <n v="558.28319999999997"/>
    <n v="4652.3599999999997"/>
    <x v="5"/>
    <x v="0"/>
    <m/>
    <x v="0"/>
    <s v="SIM"/>
    <s v="SIM"/>
    <s v="SIM"/>
  </r>
  <r>
    <x v="0"/>
    <x v="0"/>
    <d v="2023-06-27T09:00:00"/>
    <s v="SUDU7822370"/>
    <n v="20"/>
    <x v="2"/>
    <s v="SOSAL"/>
    <s v="SBC"/>
    <s v="AAK779IB"/>
    <s v="VICENTE PIZON  324S"/>
    <n v="71947"/>
    <m/>
    <s v="KBK0D67"/>
    <s v="BWP9J59"/>
    <s v="JOÃO BATISTAS DOS SANTOS"/>
    <s v="13990937898"/>
    <s v="01825123407"/>
    <n v="16555"/>
    <s v="SANTOS BRASIL"/>
    <d v="2023-06-26T23:42:00"/>
    <s v="TRANSTEC SANTOS"/>
    <d v="2023-06-27T13:30:00"/>
    <d v="2023-06-27T03:35:00"/>
    <d v="2023-06-27T11:10:00"/>
    <n v="1600"/>
    <m/>
    <m/>
    <m/>
    <m/>
    <m/>
    <m/>
    <n v="276"/>
    <n v="2300"/>
    <x v="5"/>
    <x v="0"/>
    <m/>
    <x v="0"/>
    <s v="SIM"/>
    <s v="SIM"/>
    <s v="SIM"/>
  </r>
  <r>
    <x v="0"/>
    <x v="0"/>
    <d v="2023-06-27T09:00:00"/>
    <s v="MRKU9653761"/>
    <n v="20"/>
    <x v="2"/>
    <s v="SOSAL"/>
    <s v="SBC"/>
    <s v="AAK779IB"/>
    <s v="VICENTE PIZON  324S"/>
    <n v="71946"/>
    <m/>
    <s v="BHP9483"/>
    <s v="BSF4E26"/>
    <s v="ANACLETO RODRIGUES DE SANTANA"/>
    <s v="01817591878"/>
    <s v="00821760640"/>
    <n v="16556"/>
    <s v="SANTOS BRASIL"/>
    <d v="2023-06-27T00:58:00"/>
    <s v="TRANSTEC SANTOS"/>
    <d v="2023-06-27T12:55:00"/>
    <d v="2023-06-27T03:35:00"/>
    <d v="2023-06-27T11:10:00"/>
    <n v="1600"/>
    <m/>
    <m/>
    <m/>
    <m/>
    <m/>
    <m/>
    <n v="276"/>
    <n v="2300"/>
    <x v="5"/>
    <x v="0"/>
    <m/>
    <x v="0"/>
    <s v="SIM"/>
    <s v="SIM"/>
    <s v="SIM"/>
  </r>
  <r>
    <x v="0"/>
    <x v="0"/>
    <d v="2023-06-28T09:00:00"/>
    <s v="MRKU7953796"/>
    <n v="20"/>
    <x v="2"/>
    <s v="SOSAL"/>
    <s v="SBC"/>
    <s v="AAK779LB"/>
    <s v="VICENTE PIZON  324S"/>
    <n v="107761"/>
    <m/>
    <s v="BYA0806"/>
    <s v="JYM3480"/>
    <s v="MIGUEL ARNOLD"/>
    <s v="10838670830"/>
    <s v="01808675938"/>
    <n v="16559"/>
    <s v="SANTOS BRASIL"/>
    <d v="2023-06-27T22:18:00"/>
    <s v="FASSINA SANTOS"/>
    <d v="2023-06-28T15:08:00"/>
    <d v="2023-06-28T02:00:00"/>
    <d v="2023-06-28T12:00:00"/>
    <n v="1600"/>
    <m/>
    <m/>
    <m/>
    <m/>
    <m/>
    <m/>
    <n v="276"/>
    <n v="2300"/>
    <x v="5"/>
    <x v="0"/>
    <m/>
    <x v="0"/>
    <s v="SIM"/>
    <s v="SIM"/>
    <s v="SIM"/>
  </r>
  <r>
    <x v="0"/>
    <x v="0"/>
    <d v="2023-06-28T09:00:00"/>
    <s v="CAIU2448418"/>
    <n v="20"/>
    <x v="2"/>
    <s v="SOSAL"/>
    <s v="SBC"/>
    <s v="AAK779LC"/>
    <s v="VICENTE PIZON  324S"/>
    <n v="118445"/>
    <m/>
    <s v="OAJ1J50"/>
    <s v="BWY6f22"/>
    <s v="MARCONI DE OLIVEIRA CORDEIRO "/>
    <s v="05753633803"/>
    <s v="01922497849"/>
    <n v="16560"/>
    <s v="SANTOS BRASIL"/>
    <d v="2023-06-28T00:01:00"/>
    <s v="FASSINA SANTOS"/>
    <d v="2023-06-30T16:00:00"/>
    <d v="2023-06-28T08:00:00"/>
    <d v="2023-06-28T12:00:00"/>
    <n v="1600"/>
    <m/>
    <m/>
    <m/>
    <m/>
    <m/>
    <m/>
    <n v="276"/>
    <n v="2300"/>
    <x v="5"/>
    <x v="0"/>
    <m/>
    <x v="0"/>
    <s v="SIM"/>
    <s v="SIM"/>
    <s v="SIM"/>
  </r>
  <r>
    <x v="0"/>
    <x v="1"/>
    <d v="2023-06-26T08:00:00"/>
    <s v="SUDU1491931"/>
    <n v="20"/>
    <x v="1"/>
    <s v="MIAN"/>
    <s v="SBC"/>
    <s v="AAK719TQ"/>
    <s v="MONTE SARMIENTO  02528 2023"/>
    <n v="74033"/>
    <m/>
    <s v="FXG5H10"/>
    <s v="DBC3G21"/>
    <s v="MARCONI DE OLIVEIRA CORDEIRO "/>
    <s v="05753633803"/>
    <s v="01922497849"/>
    <n v="16528"/>
    <s v="SANTOS BRASIL"/>
    <d v="2023-06-26T05:05:00"/>
    <s v="TRANSTEC SANTOS"/>
    <d v="2023-06-26T13:21:00"/>
    <d v="2023-06-26T08:38:00"/>
    <d v="2023-06-26T13:10:00"/>
    <n v="1600"/>
    <m/>
    <m/>
    <m/>
    <m/>
    <m/>
    <m/>
    <n v="311.55959999999999"/>
    <n v="2596.33"/>
    <x v="5"/>
    <x v="0"/>
    <m/>
    <x v="0"/>
    <s v="SIM"/>
    <s v="SIM"/>
    <s v="SIM"/>
  </r>
  <r>
    <x v="0"/>
    <x v="0"/>
    <d v="2023-06-29T08:00:00"/>
    <s v="TCLU3042440"/>
    <n v="20"/>
    <x v="0"/>
    <s v="ADESTE"/>
    <s v="SANTO ANDRE"/>
    <n v="6329"/>
    <s v="LOGIN ENDURANCE  042S"/>
    <n v="107762"/>
    <m/>
    <s v="BHP9483"/>
    <s v="BSF4E26"/>
    <s v="ANACLETO RODRIGUES DE SANTANA"/>
    <s v="01817591878"/>
    <s v="00821760640"/>
    <n v="16573"/>
    <s v="DPW"/>
    <d v="2023-06-28T23:20:00"/>
    <s v="TRANSTEC SANTOS"/>
    <d v="2023-06-29T16:32:00"/>
    <d v="2023-06-29T01:35:00"/>
    <d v="2023-06-29T11:40:00"/>
    <n v="1600"/>
    <m/>
    <m/>
    <m/>
    <m/>
    <m/>
    <m/>
    <n v="415.74719999999996"/>
    <n v="3464.56"/>
    <x v="5"/>
    <x v="0"/>
    <m/>
    <x v="0"/>
    <s v="SIM"/>
    <s v="SIM"/>
    <s v="SIM"/>
  </r>
  <r>
    <x v="0"/>
    <x v="0"/>
    <d v="2023-06-29T08:00:00"/>
    <s v="TRHU1537800"/>
    <n v="20"/>
    <x v="0"/>
    <s v="PENINA"/>
    <s v="VL INDEPENDENTE"/>
    <n v="6247"/>
    <s v="LOGIN ENDURANCE  042S"/>
    <n v="107714"/>
    <m/>
    <s v="KBK0D67"/>
    <s v="BWP9J59"/>
    <s v="JOÃO BATISTAS DOS SANTOS"/>
    <s v="13990937898"/>
    <s v="01825123407"/>
    <n v="16575"/>
    <s v="DPW"/>
    <d v="2023-06-28T23:23:00"/>
    <s v="DEPOTCE"/>
    <d v="2023-06-30T14:25:00"/>
    <d v="2023-06-29T01:50:00"/>
    <d v="2023-06-29T10:40:00"/>
    <m/>
    <m/>
    <m/>
    <m/>
    <m/>
    <m/>
    <m/>
    <n v="447.91919999999999"/>
    <n v="3732.66"/>
    <x v="5"/>
    <x v="0"/>
    <m/>
    <x v="0"/>
    <s v="SIM"/>
    <s v="SIM"/>
    <s v="SIM"/>
  </r>
  <r>
    <x v="0"/>
    <x v="1"/>
    <d v="2023-06-29T08:00:00"/>
    <s v="TRHU7049892"/>
    <n v="40"/>
    <x v="0"/>
    <s v="BUNGE"/>
    <s v="SANTOS"/>
    <n v="6246"/>
    <s v="LOGIN ENDURANCE  042S"/>
    <n v="107674"/>
    <m/>
    <s v="FRG7C59"/>
    <s v="ESU7272"/>
    <s v="GUSTAVO ANTONIO CAVALCANTE"/>
    <s v="28386357860"/>
    <s v="01042201192"/>
    <n v="16585"/>
    <s v="DPW"/>
    <d v="2023-06-29T08:57:00"/>
    <s v="TRANSTEC SANTOS"/>
    <d v="2023-06-30T14:06:00"/>
    <d v="2023-06-29T10:30:00"/>
    <d v="2023-06-29T16:30:00"/>
    <m/>
    <m/>
    <m/>
    <m/>
    <m/>
    <m/>
    <m/>
    <n v="234"/>
    <n v="1950"/>
    <x v="5"/>
    <x v="0"/>
    <m/>
    <x v="0"/>
    <s v="SIM"/>
    <s v="SIM"/>
    <s v="SIM"/>
  </r>
  <r>
    <x v="0"/>
    <x v="1"/>
    <d v="2023-06-29T08:00:00"/>
    <s v="MSDU5533580"/>
    <n v="40"/>
    <x v="0"/>
    <s v="AJINOMOTO"/>
    <s v="LIMEIRA"/>
    <n v="6244"/>
    <s v="LOGIN ENDURANCE  042S"/>
    <n v="107638"/>
    <n v="107639"/>
    <s v="FGD8G49"/>
    <s v="FUJ0D24"/>
    <s v="AGEILSON ANTONIO DA SILVA"/>
    <s v="09085263425"/>
    <s v="04557705505"/>
    <n v="16581"/>
    <s v="DPW"/>
    <d v="2023-06-29T08:04:00"/>
    <s v="TRANSTEC SANTOS"/>
    <d v="2023-07-05T10:51:00"/>
    <d v="2023-06-29T12:30:00"/>
    <d v="2023-06-29T15:57:00"/>
    <n v="3400"/>
    <m/>
    <m/>
    <m/>
    <m/>
    <m/>
    <m/>
    <n v="558.28319999999997"/>
    <n v="4652.3599999999997"/>
    <x v="5"/>
    <x v="0"/>
    <m/>
    <x v="0"/>
    <s v="SIM"/>
    <s v="SIM"/>
    <s v="SIM"/>
  </r>
  <r>
    <x v="0"/>
    <x v="1"/>
    <d v="2023-06-29T08:00:00"/>
    <s v="SEGU4110026"/>
    <n v="40"/>
    <x v="0"/>
    <s v="AJINOMOTO"/>
    <s v="LIMEIRA"/>
    <n v="6265"/>
    <s v="LOGIN ENDURANCE  042S"/>
    <n v="107682"/>
    <n v="107683"/>
    <s v="DFT0E47"/>
    <s v="BVT0E67"/>
    <s v="ALMIR CARDOSO DOS SANTOS "/>
    <s v="09776430856"/>
    <s v="01258979905"/>
    <n v="16584"/>
    <s v="DPW"/>
    <d v="2023-06-29T08:08:00"/>
    <s v="TRANSTEC SANTOS"/>
    <d v="2023-06-30T10:52:00"/>
    <d v="2023-06-29T12:30:00"/>
    <d v="2023-06-29T18:27:00"/>
    <n v="3400"/>
    <m/>
    <m/>
    <m/>
    <m/>
    <m/>
    <m/>
    <n v="558.28319999999997"/>
    <n v="4652.3599999999997"/>
    <x v="5"/>
    <x v="0"/>
    <m/>
    <x v="0"/>
    <s v="SIM"/>
    <s v="SIM"/>
    <s v="SIM"/>
  </r>
  <r>
    <x v="0"/>
    <x v="2"/>
    <d v="2023-06-30T08:00:00"/>
    <s v="TCLU3464030"/>
    <n v="20"/>
    <x v="0"/>
    <s v="KERRY"/>
    <s v="COTIA"/>
    <n v="6345"/>
    <s v="LOGIN ENDURANCE  042S"/>
    <n v="107805"/>
    <n v="107806"/>
    <s v="FXG5H10"/>
    <s v="DBC3G21"/>
    <s v="ROBERTO CARLOS BEZERRA PIRES"/>
    <s v="27455658850"/>
    <s v="01286008208"/>
    <n v="16591"/>
    <s v="DPW"/>
    <d v="2023-06-29T21:50:00"/>
    <s v="DEPOTCE"/>
    <d v="2023-06-30T18:42:00"/>
    <d v="2023-06-30T01:20:00"/>
    <d v="2023-06-30T13:40:00"/>
    <n v="2200"/>
    <m/>
    <m/>
    <n v="600"/>
    <m/>
    <m/>
    <m/>
    <n v="473.5104"/>
    <n v="3945.92"/>
    <x v="5"/>
    <x v="0"/>
    <m/>
    <x v="0"/>
    <s v="SIM"/>
    <s v="SIM"/>
    <s v="SIM"/>
  </r>
  <r>
    <x v="0"/>
    <x v="2"/>
    <d v="2023-06-30T08:00:00"/>
    <s v="MSDU2696665"/>
    <n v="20"/>
    <x v="0"/>
    <s v="CHARQUE CAMPEAO"/>
    <s v="SANTANA PARNAÍBA"/>
    <n v="6317"/>
    <s v="LOGIN ENDURANCE  042S"/>
    <n v="118424"/>
    <m/>
    <s v="BYA0806"/>
    <s v="JYM3480"/>
    <s v="MIGUEL ARNOLD"/>
    <s v="10838670830"/>
    <s v="01808675938"/>
    <n v="16576"/>
    <s v="DPW"/>
    <d v="2023-06-30T00:02:00"/>
    <s v="TRANSTEC SANTOS"/>
    <d v="2023-06-30T13:10:00"/>
    <d v="2023-06-30T03:00:00"/>
    <d v="2023-06-30T13:40:00"/>
    <n v="2300"/>
    <m/>
    <m/>
    <m/>
    <m/>
    <m/>
    <m/>
    <n v="399.62399999999997"/>
    <n v="3330.2"/>
    <x v="5"/>
    <x v="0"/>
    <m/>
    <x v="0"/>
    <s v="SIM"/>
    <s v="SIM"/>
    <s v="SIM"/>
  </r>
  <r>
    <x v="0"/>
    <x v="2"/>
    <d v="2023-06-30T08:00:00"/>
    <s v="SEGU4057894"/>
    <n v="40"/>
    <x v="0"/>
    <s v="MAXSOY"/>
    <s v="HOTOLOLÂNDIA"/>
    <n v="6253"/>
    <s v="LOGIN ENDURANCE  042S"/>
    <n v="107637"/>
    <m/>
    <s v="FGD8G49"/>
    <s v="FUJ0D24"/>
    <s v="AGEILSON ANTONIO DA SILVA"/>
    <s v="09085263425"/>
    <s v="04557705505"/>
    <n v="16592"/>
    <s v="DPW"/>
    <d v="2023-06-30T05:57:00"/>
    <s v="TRANSTEC SANTOS"/>
    <d v="2023-07-03T00:00:00"/>
    <d v="2023-06-30T09:20:00"/>
    <d v="2023-06-30T17:19:00"/>
    <m/>
    <m/>
    <m/>
    <m/>
    <m/>
    <m/>
    <m/>
    <n v="501.59999999999997"/>
    <n v="4180"/>
    <x v="5"/>
    <x v="0"/>
    <m/>
    <x v="0"/>
    <s v="SIM"/>
    <s v="SIM"/>
    <s v="SIM"/>
  </r>
  <r>
    <x v="0"/>
    <x v="2"/>
    <d v="2023-06-30T08:00:00"/>
    <s v="TEMU8333636"/>
    <n v="40"/>
    <x v="0"/>
    <s v="AJINOMOTO"/>
    <s v="LIMEIRA"/>
    <n v="62"/>
    <s v="LOGIN ENDURANCE  042S"/>
    <n v="107719"/>
    <m/>
    <s v="BXD2J87"/>
    <s v="EWJ4J85"/>
    <s v="WILSON FLAVIO ALVES DA SILVA"/>
    <s v="27455658850"/>
    <s v="01286008208"/>
    <n v="16594"/>
    <s v="DPW"/>
    <d v="2023-06-30T07:35:00"/>
    <s v="TRANSTEC SANTOS"/>
    <d v="2023-07-01T09:39:00"/>
    <d v="2023-06-30T12:15:00"/>
    <d v="2023-06-30T15:12:00"/>
    <n v="3400"/>
    <m/>
    <m/>
    <m/>
    <m/>
    <m/>
    <m/>
    <n v="558.28319999999997"/>
    <n v="4652.3599999999997"/>
    <x v="5"/>
    <x v="0"/>
    <m/>
    <x v="0"/>
    <s v="SIM"/>
    <s v="SIM"/>
    <s v="SIM"/>
  </r>
  <r>
    <x v="0"/>
    <x v="2"/>
    <d v="2023-06-30T08:00:00"/>
    <s v="AMFU8819945"/>
    <n v="40"/>
    <x v="0"/>
    <s v="AJINOMOTO"/>
    <s v="LIMEIRA"/>
    <n v="6256"/>
    <s v="LOGIN ENDURANCE  042S"/>
    <n v="107717"/>
    <n v="107718"/>
    <s v="FZF3E97"/>
    <s v="FXU8J10"/>
    <s v="FABIO DARIO RODRIGUES"/>
    <s v="26283419801"/>
    <s v="02002046946"/>
    <n v="16595"/>
    <s v="DPW"/>
    <d v="2023-06-30T05:28:00"/>
    <s v="DEPOTCE"/>
    <d v="2023-06-30T17:11:00"/>
    <d v="2023-06-30T10:20:00"/>
    <d v="2023-06-30T12:02:00"/>
    <n v="3400"/>
    <m/>
    <m/>
    <m/>
    <m/>
    <m/>
    <m/>
    <n v="558.28319999999997"/>
    <n v="4652.3599999999997"/>
    <x v="5"/>
    <x v="0"/>
    <m/>
    <x v="0"/>
    <s v="SIM"/>
    <s v="SIM"/>
    <s v="SIM"/>
  </r>
  <r>
    <x v="0"/>
    <x v="2"/>
    <d v="2023-07-03T08:00:00"/>
    <s v="CAIU2913654"/>
    <n v="20"/>
    <x v="0"/>
    <s v="NEW MAX"/>
    <s v="AMERICANA"/>
    <n v="6254"/>
    <s v="LOGIN ENDURANCE  042S"/>
    <n v="107712"/>
    <m/>
    <s v="EPU5990"/>
    <s v="BSG1D88"/>
    <s v="LEANDRO SOARES CAETANO"/>
    <s v="10485530864"/>
    <s v="02033192841"/>
    <n v="16599"/>
    <s v="DPW"/>
    <d v="2023-06-30T05:28:00"/>
    <s v="DEPOTCE"/>
    <d v="2023-07-03T18:09:00"/>
    <d v="2023-07-03T06:00:00"/>
    <d v="2023-07-03T12:15:00"/>
    <n v="3200"/>
    <m/>
    <m/>
    <m/>
    <m/>
    <m/>
    <m/>
    <n v="571.48680000000002"/>
    <n v="4762.3900000000003"/>
    <x v="6"/>
    <x v="0"/>
    <m/>
    <x v="0"/>
    <s v="SIM"/>
    <s v="SIM"/>
    <s v="SIM"/>
  </r>
  <r>
    <x v="0"/>
    <x v="2"/>
    <d v="2023-07-03T08:00:00"/>
    <s v="MEDU5808592"/>
    <n v="20"/>
    <x v="0"/>
    <s v="NEW MAX"/>
    <s v="AMERICANA"/>
    <n v="6264"/>
    <s v="LOGIN ENDURANCE  042S"/>
    <n v="107711"/>
    <m/>
    <s v="EWJ2162"/>
    <s v="ETF6391"/>
    <s v="CARLOS  BUENO BALTAZAR "/>
    <n v="19279658883"/>
    <s v="01301319672"/>
    <n v="16600"/>
    <s v="DPW"/>
    <d v="2023-07-03T00:27:00"/>
    <s v="TRANSTEC SANTOS"/>
    <d v="2023-07-03T15:19:00"/>
    <d v="2023-07-03T04:30:00"/>
    <d v="2023-07-03T09:55:00"/>
    <n v="3200"/>
    <m/>
    <m/>
    <m/>
    <m/>
    <m/>
    <m/>
    <n v="571.48680000000002"/>
    <n v="4762.3900000000003"/>
    <x v="6"/>
    <x v="0"/>
    <m/>
    <x v="0"/>
    <s v="SIM"/>
    <s v="SIM"/>
    <s v="SIM"/>
  </r>
  <r>
    <x v="0"/>
    <x v="2"/>
    <d v="2023-07-03T08:00:00"/>
    <s v="TRHU7048659"/>
    <n v="40"/>
    <x v="0"/>
    <s v="DOREMUS"/>
    <s v="GUARULHOS"/>
    <n v="6262"/>
    <s v="LOGIN ENDURANCE  042S"/>
    <n v="107636"/>
    <m/>
    <s v="BHP9483"/>
    <s v="BSF4E26"/>
    <s v="ANACLETO RODRIGUES DE SANTANA"/>
    <s v="01817591878"/>
    <s v="00821760640"/>
    <n v="16607"/>
    <s v="DPW"/>
    <d v="2023-07-02T23:50:00"/>
    <s v="TRANSTEC SANTOS"/>
    <d v="2023-07-03T00:00:01"/>
    <d v="2023-07-03T03:00:00"/>
    <d v="2023-07-03T09:40:00"/>
    <n v="2100"/>
    <m/>
    <m/>
    <m/>
    <m/>
    <m/>
    <m/>
    <n v="370.37759999999997"/>
    <n v="3086.48"/>
    <x v="6"/>
    <x v="0"/>
    <m/>
    <x v="0"/>
    <s v="SIM"/>
    <s v="SIM"/>
    <s v="SIM"/>
  </r>
  <r>
    <x v="0"/>
    <x v="2"/>
    <d v="2023-07-03T08:00:00"/>
    <s v="FFAU1198444"/>
    <n v="40"/>
    <x v="0"/>
    <s v="BR SPICE"/>
    <s v="JANDIRA"/>
    <n v="6248"/>
    <s v="LOGIN ENDURANCE  042S"/>
    <n v="107713"/>
    <m/>
    <s v="BXD2J87"/>
    <s v="EWJ4J85"/>
    <s v="WILSON FLAVIO ALVES DA SILVA"/>
    <s v="27455658850"/>
    <s v="01286008208"/>
    <n v="16604"/>
    <s v="DPW"/>
    <d v="2023-07-03T06:41:00"/>
    <s v="TRANSTEC SANTOS"/>
    <d v="2023-07-03T00:01:00"/>
    <d v="2023-07-03T09:20:00"/>
    <d v="2023-07-03T10:46:00"/>
    <n v="2300"/>
    <m/>
    <m/>
    <n v="700"/>
    <m/>
    <m/>
    <m/>
    <n v="392.15039999999999"/>
    <n v="3267.92"/>
    <x v="6"/>
    <x v="0"/>
    <m/>
    <x v="0"/>
    <s v="SIM"/>
    <s v="SIM"/>
    <s v="SIM"/>
  </r>
  <r>
    <x v="0"/>
    <x v="2"/>
    <d v="2023-07-03T08:00:00"/>
    <s v="MEDU8951159"/>
    <n v="40"/>
    <x v="0"/>
    <s v="DENVER"/>
    <s v="COTIA"/>
    <n v="6349"/>
    <s v="LOGIN ENDURANCE  042S"/>
    <n v="107813"/>
    <m/>
    <s v="FGD8G49"/>
    <s v="FUJ0D24"/>
    <s v="AGEILSON ANTONIO DA SILVA"/>
    <s v="09085263425"/>
    <s v="04557705505"/>
    <n v="16605"/>
    <s v="DPW"/>
    <d v="2023-07-03T06:29:00"/>
    <s v="TRANSTEC SANTOS"/>
    <d v="2023-07-03T00:01:00"/>
    <d v="2023-07-03T09:07:00"/>
    <d v="2023-07-03T12:45:00"/>
    <m/>
    <m/>
    <m/>
    <m/>
    <m/>
    <m/>
    <m/>
    <n v="381.34559999999999"/>
    <n v="3177.88"/>
    <x v="6"/>
    <x v="0"/>
    <m/>
    <x v="0"/>
    <s v="SIM"/>
    <s v="SIM"/>
    <s v="SIM"/>
  </r>
  <r>
    <x v="0"/>
    <x v="2"/>
    <d v="2023-07-03T08:00:00"/>
    <s v="GESU5719666"/>
    <n v="40"/>
    <x v="0"/>
    <s v="AJINOMOTO"/>
    <s v="LIMEIRA"/>
    <n v="6321"/>
    <s v="LOGIN ENDURANCE  042S"/>
    <n v="107759"/>
    <n v="107760"/>
    <s v="DDL8B54"/>
    <s v="FEI4012"/>
    <s v="WILTON SILVA BARBOSA"/>
    <s v="27455658850"/>
    <s v="01286008208"/>
    <n v="16602"/>
    <s v="DPW"/>
    <d v="2023-07-03T06:51:00"/>
    <s v="DEPOTCE"/>
    <d v="2023-07-04T13:04:00"/>
    <d v="2023-07-03T12:25:00"/>
    <d v="2023-07-03T14:00:00"/>
    <n v="3400"/>
    <m/>
    <m/>
    <m/>
    <m/>
    <m/>
    <m/>
    <n v="558.28319999999997"/>
    <n v="4652.3599999999997"/>
    <x v="6"/>
    <x v="0"/>
    <m/>
    <x v="0"/>
    <s v="SIM"/>
    <s v="SIM"/>
    <s v="SIM"/>
  </r>
  <r>
    <x v="0"/>
    <x v="2"/>
    <d v="2023-07-03T08:00:00"/>
    <s v="TCNU7441913"/>
    <n v="40"/>
    <x v="0"/>
    <s v="AJINOMOTO"/>
    <s v="LIMEIRA"/>
    <n v="6328"/>
    <s v="LOGIN ENDURANCE  042S"/>
    <n v="107764"/>
    <n v="107767"/>
    <s v="DVS9G77"/>
    <s v="DPE7C55"/>
    <s v="FABIO COSTA DA SILVA"/>
    <s v="00097734527"/>
    <s v="03148346870"/>
    <n v="16608"/>
    <s v="DPW"/>
    <d v="2023-07-03T07:55:00"/>
    <s v="DEPOTCE"/>
    <d v="2023-07-03T21:04:00"/>
    <d v="2023-07-03T07:11:00"/>
    <d v="2023-07-03T14:00:00"/>
    <n v="3400"/>
    <m/>
    <m/>
    <m/>
    <m/>
    <m/>
    <m/>
    <n v="558.28319999999997"/>
    <n v="4652.3599999999997"/>
    <x v="6"/>
    <x v="0"/>
    <m/>
    <x v="0"/>
    <s v="SIM"/>
    <s v="SIM"/>
    <s v="SIM"/>
  </r>
  <r>
    <x v="0"/>
    <x v="2"/>
    <d v="2023-07-03T08:00:00"/>
    <s v="TCLU8350472"/>
    <n v="40"/>
    <x v="0"/>
    <s v="AJINOMOTO"/>
    <s v="LIMEIRA"/>
    <n v="6341"/>
    <s v="LOGIN ENDURANCE  042S"/>
    <n v="107765"/>
    <n v="107768"/>
    <s v="DVT6D42"/>
    <s v="BXE2B57"/>
    <s v="ROBERTO RONALD SANTOS"/>
    <s v="27455658850"/>
    <s v="01286008208"/>
    <n v="16609"/>
    <s v="DPW"/>
    <d v="2023-07-03T06:24:00"/>
    <s v="TRANSTEC SANTOS"/>
    <d v="2023-07-04T15:50:00"/>
    <d v="2023-07-03T09:47:00"/>
    <d v="2023-07-03T14:21:00"/>
    <n v="3400"/>
    <m/>
    <m/>
    <m/>
    <m/>
    <m/>
    <m/>
    <n v="558.28319999999997"/>
    <n v="4652.3599999999997"/>
    <x v="6"/>
    <x v="0"/>
    <m/>
    <x v="0"/>
    <s v="SIM"/>
    <s v="SIM"/>
    <s v="SIM"/>
  </r>
  <r>
    <x v="0"/>
    <x v="2"/>
    <d v="2023-07-03T08:00:00"/>
    <s v="CAIU8781046"/>
    <n v="40"/>
    <x v="0"/>
    <s v="AJINOMOTO"/>
    <s v="LIMEIRA"/>
    <n v="6347"/>
    <s v="LOGIN ENDURANCE  042S"/>
    <n v="107809"/>
    <n v="107810"/>
    <s v="FQE9I91"/>
    <s v="DPB9J85"/>
    <s v="VINICIUS THADEU MENDES"/>
    <s v="27455658850"/>
    <s v="01286008208"/>
    <n v="16603"/>
    <s v="DPW"/>
    <d v="2023-07-03T06:24:00"/>
    <s v="DEPOTCE"/>
    <d v="2023-07-03T17:23:00"/>
    <d v="2023-07-03T04:47:00"/>
    <d v="2023-07-03T10:03:00"/>
    <n v="3400"/>
    <m/>
    <m/>
    <m/>
    <m/>
    <m/>
    <m/>
    <n v="558.28319999999997"/>
    <n v="4652.3599999999997"/>
    <x v="6"/>
    <x v="0"/>
    <m/>
    <x v="0"/>
    <s v="SIM"/>
    <s v="SIM"/>
    <s v="SIM"/>
  </r>
  <r>
    <x v="0"/>
    <x v="2"/>
    <d v="2023-07-04T08:00:00"/>
    <s v="TCLU3467487"/>
    <n v="20"/>
    <x v="0"/>
    <s v="MOINHO ROMANIZ"/>
    <s v="ITAQUERA"/>
    <n v="6343"/>
    <s v="LOGIN ENDURANCE  042S"/>
    <n v="107763"/>
    <m/>
    <s v="BYA0806"/>
    <s v="JYM3480"/>
    <s v="MIGUEL ARNOLD"/>
    <s v="10838670830"/>
    <s v="01808675938"/>
    <n v="16628"/>
    <s v="DPW"/>
    <d v="2023-07-03T21:18:00"/>
    <s v="DEPOTCE"/>
    <d v="2023-07-13T04:30:00"/>
    <d v="2023-07-04T05:40:00"/>
    <d v="2023-07-04T16:05:00"/>
    <n v="2000"/>
    <m/>
    <m/>
    <m/>
    <m/>
    <m/>
    <m/>
    <n v="355.75319999999999"/>
    <n v="2964.61"/>
    <x v="6"/>
    <x v="0"/>
    <m/>
    <x v="0"/>
    <s v="SIM"/>
    <s v="SIM"/>
    <s v="SIM"/>
  </r>
  <r>
    <x v="0"/>
    <x v="2"/>
    <d v="2023-07-04T08:00:00"/>
    <s v="TCLU2965084"/>
    <n v="20"/>
    <x v="1"/>
    <s v="MIAN"/>
    <s v="SBC"/>
    <n v="6346"/>
    <s v="LOGIN ENDURANCE  042S"/>
    <n v="107804"/>
    <m/>
    <s v="OAJ1J50"/>
    <s v="BWY6F22"/>
    <s v="MARCONI DE OLIVEIRA CORDEIRO"/>
    <s v="05753633803"/>
    <s v="01922497849"/>
    <n v="16627"/>
    <s v="DPW"/>
    <d v="2023-07-03T21:14:00"/>
    <s v="TRANSTEC SANTOS"/>
    <d v="2023-07-04T00:01:00"/>
    <d v="2023-07-04T01:00:00"/>
    <d v="2023-07-04T10:30:00"/>
    <n v="1600"/>
    <m/>
    <m/>
    <m/>
    <m/>
    <m/>
    <m/>
    <n v="311.55959999999999"/>
    <n v="2596.33"/>
    <x v="6"/>
    <x v="0"/>
    <m/>
    <x v="0"/>
    <s v="SIM"/>
    <s v="SIM"/>
    <s v="SIM"/>
  </r>
  <r>
    <x v="0"/>
    <x v="2"/>
    <d v="2023-07-04T08:00:00"/>
    <s v="MEDU4911395"/>
    <n v="40"/>
    <x v="0"/>
    <s v="IRMAOS AVELINO"/>
    <s v="CARAPICUÍBA"/>
    <n v="6348"/>
    <s v="LOGIN ENDURANCE  042S"/>
    <n v="107807"/>
    <n v="107808"/>
    <s v="BUS5619"/>
    <s v="DVT5836"/>
    <s v="GELSON LEMOS RIBEIRO"/>
    <s v="41475455801"/>
    <s v="06144560936"/>
    <s v="16635C - 16636"/>
    <s v="DPW"/>
    <d v="2023-07-03T20:50:00"/>
    <s v="TRANSTEC SANTOS"/>
    <d v="2023-07-04T14:16:00"/>
    <d v="2023-07-04T07:40:00"/>
    <d v="2023-07-04T13:05:00"/>
    <m/>
    <m/>
    <m/>
    <n v="500"/>
    <m/>
    <m/>
    <m/>
    <n v="449.87399999999997"/>
    <n v="3748.95"/>
    <x v="6"/>
    <x v="0"/>
    <m/>
    <x v="0"/>
    <s v="SIM"/>
    <s v="SIM"/>
    <s v="SIM"/>
  </r>
  <r>
    <x v="0"/>
    <x v="2"/>
    <d v="2023-07-04T08:00:00"/>
    <s v="CAAU5136730"/>
    <n v="40"/>
    <x v="0"/>
    <s v="DOREMUS"/>
    <s v="GUARULHOS"/>
    <n v="6255"/>
    <s v="LOGIN ENDURANCE  042S"/>
    <n v="107677"/>
    <m/>
    <s v="BHP9483"/>
    <s v="BSG5I97"/>
    <s v="ANACLETO RODRIGUES DE SANTANA"/>
    <s v="01817591878"/>
    <s v="00821760640"/>
    <n v="16630"/>
    <s v="DPW"/>
    <d v="2023-07-03T20:34:00"/>
    <s v="TRANSTEC SANTOS"/>
    <d v="2023-07-04T12:58:00"/>
    <d v="2023-07-04T00:01:00"/>
    <d v="2023-07-04T10:05:00"/>
    <n v="2100"/>
    <m/>
    <m/>
    <m/>
    <m/>
    <m/>
    <m/>
    <n v="370.37759999999997"/>
    <n v="3086.48"/>
    <x v="6"/>
    <x v="0"/>
    <m/>
    <x v="0"/>
    <s v="SIM"/>
    <s v="SIM"/>
    <s v="SIM"/>
  </r>
  <r>
    <x v="0"/>
    <x v="0"/>
    <d v="2023-07-03T09:00:00"/>
    <s v="MRKU7235422"/>
    <n v="20"/>
    <x v="2"/>
    <s v="SOSAL"/>
    <s v="SBC"/>
    <s v="AAK823CB"/>
    <s v="SEBASTIAO CABOTO  325S"/>
    <n v="72145"/>
    <m/>
    <s v="KBK0D67"/>
    <s v="BWP9J59"/>
    <s v="JOÃO BATISTAS DOS SANTOS"/>
    <s v="13990937898"/>
    <s v="01825123407"/>
    <n v="16621"/>
    <s v="SANTOS BRASIL"/>
    <d v="2023-07-02T22:31:00"/>
    <s v="TRANSTEC SANTOS"/>
    <d v="2023-07-03T14:10:00"/>
    <d v="2023-07-03T01:00:00"/>
    <d v="2023-07-03T11:00:00"/>
    <n v="1600"/>
    <m/>
    <m/>
    <m/>
    <m/>
    <m/>
    <m/>
    <n v="276"/>
    <n v="2300"/>
    <x v="6"/>
    <x v="0"/>
    <m/>
    <x v="0"/>
    <s v="SIM"/>
    <s v="SIM"/>
    <s v="SIM"/>
  </r>
  <r>
    <x v="0"/>
    <x v="0"/>
    <d v="2023-07-03T09:00:00"/>
    <s v="MRKU8394964"/>
    <n v="20"/>
    <x v="2"/>
    <s v="SOSAL"/>
    <s v="SBC"/>
    <s v="AAK823CB"/>
    <s v="SEBASTIAO CABOTO  325S"/>
    <n v="72105"/>
    <m/>
    <s v="FXG5H10"/>
    <s v="DBC3G21"/>
    <s v="ROBERTO CARLOS BEZERRA PIRES"/>
    <s v="27455658850"/>
    <s v="01286008208"/>
    <n v="16620"/>
    <s v="SANTOS BRASIL"/>
    <d v="2023-07-02T21:33:00"/>
    <s v="TRANSTEC SANTOS"/>
    <d v="2023-07-03T14:24:00"/>
    <d v="2023-07-03T00:01:00"/>
    <d v="2023-07-03T12:00:00"/>
    <n v="1600"/>
    <m/>
    <m/>
    <m/>
    <m/>
    <m/>
    <m/>
    <n v="276"/>
    <n v="2300"/>
    <x v="6"/>
    <x v="0"/>
    <m/>
    <x v="0"/>
    <s v="SIM"/>
    <s v="SIM"/>
    <s v="SIM"/>
  </r>
  <r>
    <x v="0"/>
    <x v="0"/>
    <d v="2023-07-04T11:00:00"/>
    <s v="MSKU5087056"/>
    <n v="20"/>
    <x v="2"/>
    <s v="SOSAL"/>
    <s v="SBC"/>
    <s v="AAK823CB"/>
    <s v="SEBASTIAO CABOTO  325S"/>
    <n v="72103"/>
    <m/>
    <s v="EPU5990"/>
    <s v="BSG1D88"/>
    <s v="LEANDRO SOARES CAETANO"/>
    <s v="10485530864"/>
    <s v="02033192841"/>
    <n v="16631"/>
    <s v="SANTOS BRASIL"/>
    <d v="2023-07-04T04:31:00"/>
    <s v="FASSINA SANTOS"/>
    <d v="2023-07-04T15:28:00"/>
    <d v="2023-07-04T06:40:00"/>
    <d v="2023-07-04T13:15:00"/>
    <n v="1600"/>
    <m/>
    <m/>
    <m/>
    <m/>
    <m/>
    <m/>
    <n v="276"/>
    <n v="2300"/>
    <x v="6"/>
    <x v="0"/>
    <m/>
    <x v="0"/>
    <s v="SIM"/>
    <s v="SIM"/>
    <s v="SIM"/>
  </r>
  <r>
    <x v="0"/>
    <x v="0"/>
    <d v="2023-07-04T11:00:00"/>
    <s v="TLLU2138150"/>
    <n v="20"/>
    <x v="2"/>
    <s v="SOSAL"/>
    <s v="SBC"/>
    <s v="AAK823CB"/>
    <s v="SEBASTIAO CABOTO  325S"/>
    <n v="72144"/>
    <m/>
    <s v="EWJ2162"/>
    <s v="ETF6391"/>
    <s v="CARLOS BUENO BALTAZAR"/>
    <n v="19279658883"/>
    <s v="01301319672"/>
    <n v="16632"/>
    <s v="SANTOS BRASIL"/>
    <d v="2023-07-04T04:17:00"/>
    <s v="FASSINA SANTOS"/>
    <d v="2023-07-04T15:40:00"/>
    <d v="2023-07-04T06:10:00"/>
    <d v="2023-07-04T13:15:00"/>
    <n v="1600"/>
    <m/>
    <m/>
    <m/>
    <m/>
    <m/>
    <m/>
    <n v="276"/>
    <n v="2300"/>
    <x v="6"/>
    <x v="0"/>
    <m/>
    <x v="0"/>
    <s v="SIM"/>
    <s v="SIM"/>
    <s v="SIM"/>
  </r>
  <r>
    <x v="0"/>
    <x v="0"/>
    <d v="2023-07-04T09:00:00"/>
    <s v="AXIU2227896"/>
    <n v="20"/>
    <x v="2"/>
    <s v="SOSAL"/>
    <s v="SBC"/>
    <s v="AAK823AB"/>
    <s v="SEBASTIAO CABOTO  325S"/>
    <n v="107981"/>
    <m/>
    <s v="KBK0D67"/>
    <s v="BWP9J59"/>
    <s v="JOAO BATISTA DOS SANTOS"/>
    <s v="13990937898"/>
    <s v="01825123407"/>
    <n v="16633"/>
    <s v="SANTOS BRASIL"/>
    <d v="2023-07-03T23:42:00"/>
    <s v="FASSINA SANTOS"/>
    <d v="2023-07-04T15:18:00"/>
    <d v="2023-07-04T02:30:00"/>
    <d v="2023-07-04T10:15:00"/>
    <n v="1600"/>
    <m/>
    <m/>
    <m/>
    <m/>
    <m/>
    <m/>
    <n v="276"/>
    <n v="2300"/>
    <x v="6"/>
    <x v="0"/>
    <m/>
    <x v="0"/>
    <s v="SIM"/>
    <s v="SIM"/>
    <s v="SIM"/>
  </r>
  <r>
    <x v="0"/>
    <x v="0"/>
    <d v="2023-07-04T09:00:00"/>
    <s v="TLLU2386542"/>
    <n v="20"/>
    <x v="2"/>
    <s v="SOSAL"/>
    <s v="SBC"/>
    <s v="AAK822YB"/>
    <s v="SEBASTIAO CABOTO  325S"/>
    <n v="118788"/>
    <m/>
    <s v="CGS0A65"/>
    <s v="CPJ5G64"/>
    <s v="ANTONIO ISAEL PINHA"/>
    <n v="12126370895"/>
    <s v="02988821539"/>
    <n v="16634"/>
    <s v="SANTOS BRASIL"/>
    <d v="2023-07-04T00:39:00"/>
    <s v="FASSINA SANTOS"/>
    <d v="2023-07-04T14:12:00"/>
    <d v="2023-07-04T02:00:00"/>
    <d v="2023-07-04T10:55:00"/>
    <n v="1600"/>
    <m/>
    <m/>
    <m/>
    <m/>
    <m/>
    <m/>
    <n v="276"/>
    <n v="2300"/>
    <x v="6"/>
    <x v="0"/>
    <m/>
    <x v="0"/>
    <s v="SIM"/>
    <s v="SIM"/>
    <s v="SIM"/>
  </r>
  <r>
    <x v="0"/>
    <x v="0"/>
    <d v="2023-07-05T09:00:00"/>
    <s v="SUDU1380619"/>
    <n v="20"/>
    <x v="2"/>
    <s v="SOSAL"/>
    <s v="SBC"/>
    <s v="AAK823DD"/>
    <s v="SEBASTIAO CABOTO  325S"/>
    <n v="65403"/>
    <n v="65404"/>
    <s v="KBK0D67"/>
    <s v="BWP9J59"/>
    <s v="JOAO BATISTA DOS SANTOS"/>
    <s v="13990937898"/>
    <s v="01825123407"/>
    <n v="16639"/>
    <s v="SANTOS BRASIL"/>
    <d v="2023-07-04T23:39:00"/>
    <s v="TRANSTEC SANTOS"/>
    <d v="2023-07-05T13:07:00"/>
    <d v="2023-07-05T02:25:00"/>
    <d v="2023-07-05T11:40:00"/>
    <n v="1600"/>
    <m/>
    <m/>
    <m/>
    <m/>
    <m/>
    <m/>
    <n v="276"/>
    <n v="2300"/>
    <x v="6"/>
    <x v="0"/>
    <m/>
    <x v="0"/>
    <s v="SIM"/>
    <s v="SIM"/>
    <s v="SIM"/>
  </r>
  <r>
    <x v="0"/>
    <x v="0"/>
    <d v="2023-07-05T11:00:00"/>
    <s v="MRKU7676686"/>
    <n v="20"/>
    <x v="2"/>
    <s v="SOSAL"/>
    <s v="SBC"/>
    <s v="AAK823DD"/>
    <s v="SEBASTIAO CABOTO  325S"/>
    <n v="65405"/>
    <n v="65406"/>
    <s v="BHP9483"/>
    <s v="BSG5I97"/>
    <s v="ANACLETO RODRIGUES DE SANTANA"/>
    <s v="01817591878"/>
    <s v="00821760640"/>
    <n v="16640"/>
    <s v="SANTOS BRASIL"/>
    <d v="2023-07-05T00:05:00"/>
    <s v="TRANSTEC SANTOS"/>
    <d v="2023-07-05T15:02:00"/>
    <d v="2023-07-05T02:25:00"/>
    <d v="2023-07-05T13:40:00"/>
    <n v="1600"/>
    <m/>
    <m/>
    <m/>
    <m/>
    <m/>
    <m/>
    <n v="276"/>
    <n v="2300"/>
    <x v="6"/>
    <x v="0"/>
    <m/>
    <x v="0"/>
    <s v="SIM"/>
    <s v="SIM"/>
    <s v="SIM"/>
  </r>
  <r>
    <x v="0"/>
    <x v="0"/>
    <d v="2023-07-05T09:00:00"/>
    <s v="CAAU6547099"/>
    <n v="40"/>
    <x v="2"/>
    <s v="SOSAL"/>
    <s v="SBC"/>
    <s v="AAK823BC"/>
    <s v="SEBASTIAO CABOTO  325S"/>
    <n v="107895"/>
    <n v="107896"/>
    <s v="GFL7E87"/>
    <s v="GIK5H08"/>
    <s v="JEFFERSON BATISTA ARISTIDES"/>
    <s v="34927982840"/>
    <s v="03500129879"/>
    <s v="16641 / 16643"/>
    <s v="SANTOS BRASIL"/>
    <d v="2023-07-05T02:36:00"/>
    <s v="FASSINA SANTOS"/>
    <d v="2023-07-05T13:13:00"/>
    <d v="2023-07-05T04:00:00"/>
    <d v="2023-07-05T10:30:00"/>
    <n v="1600"/>
    <m/>
    <m/>
    <m/>
    <m/>
    <m/>
    <m/>
    <n v="276"/>
    <n v="2300"/>
    <x v="6"/>
    <x v="0"/>
    <m/>
    <x v="0"/>
    <s v="SIM"/>
    <s v="SIM"/>
    <s v="SIM"/>
  </r>
  <r>
    <x v="0"/>
    <x v="0"/>
    <d v="2023-07-05T11:00:00"/>
    <s v="TCNU7723650"/>
    <n v="40"/>
    <x v="2"/>
    <s v="SOSAL"/>
    <s v="SBC"/>
    <s v="AAK823BB"/>
    <s v="SEBASTIAO CABOTO  325S"/>
    <n v="107950"/>
    <m/>
    <s v="FGD8G49"/>
    <s v="FUJ0D24"/>
    <s v="AGEILSON ANTONIO DA SILVA"/>
    <s v="09085263425"/>
    <s v="04557705505"/>
    <n v="16644"/>
    <s v="SANTOS BRASIL"/>
    <d v="2023-07-05T04:25:00"/>
    <s v="FASSINA SANTOS"/>
    <d v="2023-07-05T15:19:00"/>
    <d v="2023-07-05T06:05:00"/>
    <d v="2023-07-05T13:08:00"/>
    <n v="1600"/>
    <m/>
    <m/>
    <m/>
    <m/>
    <m/>
    <m/>
    <n v="276"/>
    <n v="2300"/>
    <x v="6"/>
    <x v="0"/>
    <m/>
    <x v="0"/>
    <s v="SIM"/>
    <s v="SIM"/>
    <s v="SIM"/>
  </r>
  <r>
    <x v="0"/>
    <x v="0"/>
    <d v="2023-07-06T08:00:00"/>
    <s v="CAIU3155190"/>
    <n v="20"/>
    <x v="0"/>
    <s v="ADESTE"/>
    <s v="SANTO ANDRE"/>
    <n v="6729"/>
    <s v="MSC BELMONTE  001S"/>
    <n v="107992"/>
    <m/>
    <s v="BYA0806"/>
    <s v="JYM3480"/>
    <s v="MIGUEL ARNOLD"/>
    <s v="10838670830"/>
    <s v="01808675938"/>
    <n v="16654"/>
    <s v="DPW"/>
    <d v="2023-07-05T21:51:00"/>
    <s v="MEDLOG"/>
    <d v="2023-07-06T16:38:00"/>
    <d v="2023-07-06T06:30:00"/>
    <d v="2023-07-06T13:12:00"/>
    <n v="1600"/>
    <m/>
    <m/>
    <m/>
    <m/>
    <m/>
    <m/>
    <n v="415.74719999999996"/>
    <n v="3464.56"/>
    <x v="6"/>
    <x v="0"/>
    <m/>
    <x v="0"/>
    <s v="SIM"/>
    <s v="SIM"/>
    <s v="SIM"/>
  </r>
  <r>
    <x v="0"/>
    <x v="0"/>
    <d v="2023-07-06T08:00:00"/>
    <s v="TCLU3465632"/>
    <n v="20"/>
    <x v="0"/>
    <s v="PENINA"/>
    <s v="VL INDEPENDENTE"/>
    <n v="6569"/>
    <s v="MSC BELMONTE  001S"/>
    <n v="107860"/>
    <m/>
    <s v="EWJ2162"/>
    <s v="ETF6391"/>
    <s v="CARLOS BUENO BALTAZAR"/>
    <n v="19279658883"/>
    <s v="01301319672"/>
    <n v="16651"/>
    <s v="DPW"/>
    <d v="2023-07-06T01:19:00"/>
    <s v="MEDLOG"/>
    <d v="2023-07-06T15:09:00"/>
    <d v="2023-07-06T03:30:00"/>
    <d v="2023-07-06T11:42:00"/>
    <n v="2000"/>
    <m/>
    <m/>
    <m/>
    <m/>
    <m/>
    <m/>
    <n v="447.91919999999999"/>
    <n v="3732.66"/>
    <x v="6"/>
    <x v="0"/>
    <m/>
    <x v="0"/>
    <s v="SIM"/>
    <s v="SIM"/>
    <s v="SIM"/>
  </r>
  <r>
    <x v="0"/>
    <x v="1"/>
    <d v="2023-07-06T08:00:00"/>
    <s v="MSDU8505597"/>
    <n v="40"/>
    <x v="0"/>
    <s v="MAXSOY"/>
    <s v="HOTOLOLÂNDIA"/>
    <n v="6728"/>
    <s v="MSC BELMONTE  001S"/>
    <n v="107982"/>
    <m/>
    <s v="FZF3E97"/>
    <s v="FXU8J10"/>
    <s v="FABIO DARIO RODRIGUES"/>
    <s v="26283419801"/>
    <s v="02002046946"/>
    <n v="16655"/>
    <s v="DPW"/>
    <d v="2023-07-06T05:09:00"/>
    <s v="MEDLOG"/>
    <d v="2023-07-06T16:05:00"/>
    <d v="2023-07-06T10:20:00"/>
    <d v="2023-07-06T12:02:00"/>
    <m/>
    <m/>
    <m/>
    <m/>
    <m/>
    <m/>
    <m/>
    <n v="501.59999999999997"/>
    <n v="4180"/>
    <x v="6"/>
    <x v="0"/>
    <m/>
    <x v="0"/>
    <s v="SIM"/>
    <s v="SIM"/>
    <s v="SIM"/>
  </r>
  <r>
    <x v="0"/>
    <x v="0"/>
    <d v="2023-07-06T08:00:00"/>
    <s v="TCLU3059079"/>
    <n v="20"/>
    <x v="1"/>
    <s v="MIAN"/>
    <s v="SBC"/>
    <n v="6574"/>
    <s v="MSC BELMONTE  001S"/>
    <n v="118660"/>
    <m/>
    <s v="KBK0D67"/>
    <s v="BWP9J59"/>
    <s v="JOAO BATISTA DOS SANTOS"/>
    <s v="13990937898"/>
    <s v="01825123407"/>
    <n v="16652"/>
    <s v="DPW"/>
    <d v="2023-07-05T23:47:00"/>
    <s v="MEDLOG"/>
    <d v="2023-07-06T14:35:00"/>
    <d v="2023-07-06T02:30:00"/>
    <d v="2023-07-06T11:40:00"/>
    <n v="1600"/>
    <m/>
    <m/>
    <m/>
    <m/>
    <m/>
    <m/>
    <n v="311.55959999999999"/>
    <n v="2596.33"/>
    <x v="6"/>
    <x v="0"/>
    <m/>
    <x v="0"/>
    <s v="SIM"/>
    <s v="SIM"/>
    <s v="SIM"/>
  </r>
  <r>
    <x v="0"/>
    <x v="0"/>
    <d v="2023-07-07T08:00:00"/>
    <s v="TTNU1211161"/>
    <n v="20"/>
    <x v="1"/>
    <s v="MIAN"/>
    <s v="SBC"/>
    <n v="6599"/>
    <s v="MSC BELMONTE  001S"/>
    <n v="107995"/>
    <m/>
    <s v="EWJ2162"/>
    <s v="ETF6391"/>
    <s v="CARLOS BUENO BALTAZAR"/>
    <n v="19279658883"/>
    <s v="01301319672"/>
    <n v="16657"/>
    <s v="DPW"/>
    <d v="2023-07-06T23:35:00"/>
    <s v="MEDLOG"/>
    <d v="2023-07-07T14:01:00"/>
    <d v="2023-07-07T02:00:00"/>
    <d v="2023-07-07T12:01:00"/>
    <n v="1600"/>
    <m/>
    <m/>
    <m/>
    <m/>
    <m/>
    <m/>
    <n v="0"/>
    <m/>
    <x v="6"/>
    <x v="0"/>
    <m/>
    <x v="0"/>
    <s v="SIM"/>
    <s v="SIM"/>
    <s v="SIM"/>
  </r>
  <r>
    <x v="0"/>
    <x v="0"/>
    <d v="2023-07-07T08:00:00"/>
    <s v="CAIU3162007"/>
    <n v="20"/>
    <x v="0"/>
    <s v="CHARQUE CAMPEAO"/>
    <s v="SANTANA DE PARNAIBA"/>
    <n v="6591"/>
    <s v="MSC BELMONTE  001S"/>
    <n v="118661"/>
    <m/>
    <s v="FXG5H10"/>
    <s v="DBC3G21"/>
    <s v="ROBERTO CARLOS BEZERRA PIRES"/>
    <s v="27455658850"/>
    <s v="01286008208"/>
    <n v="16660"/>
    <s v="DPW"/>
    <d v="2023-07-06T22:52:00"/>
    <s v="MEDLOG"/>
    <d v="2023-07-07T16:22:00"/>
    <d v="2023-07-07T02:30:00"/>
    <d v="2023-07-07T13:06:00"/>
    <n v="2300"/>
    <m/>
    <m/>
    <m/>
    <m/>
    <m/>
    <m/>
    <n v="399.62399999999997"/>
    <n v="3330.2"/>
    <x v="6"/>
    <x v="0"/>
    <m/>
    <x v="0"/>
    <s v="SIM"/>
    <s v="SIM"/>
    <s v="SIM"/>
  </r>
  <r>
    <x v="0"/>
    <x v="0"/>
    <d v="2023-07-07T08:00:00"/>
    <s v="TCLU3464702"/>
    <n v="20"/>
    <x v="0"/>
    <s v="NEW MAX"/>
    <s v="AMERICANA"/>
    <n v="6596"/>
    <s v="MSC BELMONTE  001S"/>
    <n v="107949"/>
    <m/>
    <s v="EWJ2162"/>
    <s v="ETF6391"/>
    <s v="CARLOS BUENO BALTAZAR"/>
    <n v="19279658883"/>
    <s v="01301319672"/>
    <n v="16658"/>
    <s v="DPW"/>
    <d v="2023-07-06T23:27:00"/>
    <s v="MEDLOG"/>
    <d v="2023-07-07T15:04:00"/>
    <d v="2023-07-07T03:50:00"/>
    <d v="2023-07-07T09:25:00"/>
    <n v="3200"/>
    <m/>
    <m/>
    <m/>
    <m/>
    <m/>
    <m/>
    <n v="571.48680000000002"/>
    <n v="4762.3900000000003"/>
    <x v="6"/>
    <x v="0"/>
    <m/>
    <x v="0"/>
    <s v="SIM"/>
    <s v="SIM"/>
    <s v="SIM"/>
  </r>
  <r>
    <x v="0"/>
    <x v="0"/>
    <d v="2023-07-07T08:00:00"/>
    <s v="MEDU6912560"/>
    <n v="20"/>
    <x v="0"/>
    <s v="NEW MAX"/>
    <s v="AMERICANA"/>
    <n v="6597"/>
    <s v="MSC BELMONTE  001S"/>
    <n v="107948"/>
    <m/>
    <s v="EPU5990"/>
    <s v="BSG1D88"/>
    <s v="LEANDRO SOARES CAETANO"/>
    <s v="10485530864"/>
    <s v="02033192841"/>
    <n v="16659"/>
    <s v="DPW"/>
    <d v="2023-07-06T22:31:00"/>
    <s v="MEDLOG"/>
    <d v="2023-07-07T14:13:00"/>
    <d v="2023-07-07T02:30:00"/>
    <d v="2023-07-07T09:25:00"/>
    <n v="3200"/>
    <m/>
    <m/>
    <m/>
    <m/>
    <m/>
    <m/>
    <n v="571.48680000000002"/>
    <n v="4762.3900000000003"/>
    <x v="6"/>
    <x v="0"/>
    <m/>
    <x v="0"/>
    <s v="SIM"/>
    <s v="SIM"/>
    <s v="SIM"/>
  </r>
  <r>
    <x v="0"/>
    <x v="0"/>
    <d v="2023-07-07T08:00:00"/>
    <s v="CAIU4833178"/>
    <n v="40"/>
    <x v="0"/>
    <s v="BR SPICE"/>
    <s v="JANDIRA"/>
    <n v="6602"/>
    <s v="MSC BELMONTE  001S"/>
    <n v="107944"/>
    <m/>
    <s v="GFL7E87"/>
    <s v="GIK5H08"/>
    <s v="JEFFERSON BATISTA ARISTIDES"/>
    <s v="34927982840"/>
    <s v="03500129879"/>
    <n v="16666"/>
    <s v="DPW"/>
    <d v="2023-07-07T05:19:00"/>
    <s v="MEDLOG"/>
    <d v="2023-07-07T17:43:00"/>
    <d v="2023-07-07T07:50:00"/>
    <d v="2023-07-07T11:25:00"/>
    <n v="2300"/>
    <m/>
    <m/>
    <m/>
    <m/>
    <m/>
    <m/>
    <n v="392.15039999999999"/>
    <n v="3267.92"/>
    <x v="6"/>
    <x v="0"/>
    <m/>
    <x v="0"/>
    <s v="SIM"/>
    <s v="SIM"/>
    <s v="SIM"/>
  </r>
  <r>
    <x v="0"/>
    <x v="1"/>
    <d v="2023-07-07T08:00:00"/>
    <s v="TCLU8166260"/>
    <n v="40"/>
    <x v="0"/>
    <s v="AJINOMOTO"/>
    <s v="LIMEIRA"/>
    <n v="6600"/>
    <s v="MSC BELMONTE  001S"/>
    <n v="107862"/>
    <n v="107863"/>
    <s v="DFT0E47"/>
    <s v="BVT0E67"/>
    <s v="ALMIR CARDOSO DOS SANTOS"/>
    <s v="09776430856"/>
    <s v="01258979905"/>
    <n v="16664"/>
    <s v="DPW"/>
    <d v="2023-07-07T05:14:00"/>
    <s v="MEDLOG"/>
    <d v="2023-07-07T19:05:00"/>
    <d v="2023-07-07T10:15:00"/>
    <d v="2023-07-07T14:56:00"/>
    <n v="3400"/>
    <m/>
    <m/>
    <m/>
    <m/>
    <m/>
    <m/>
    <n v="558.28319999999997"/>
    <n v="4652.3599999999997"/>
    <x v="6"/>
    <x v="0"/>
    <m/>
    <x v="0"/>
    <s v="SIM"/>
    <s v="SIM"/>
    <s v="SIM"/>
  </r>
  <r>
    <x v="0"/>
    <x v="1"/>
    <d v="2023-07-07T08:00:00"/>
    <s v="MSMU6101099"/>
    <n v="40"/>
    <x v="0"/>
    <s v="AJINOMOTO"/>
    <s v="LIMEIRA"/>
    <n v="6603"/>
    <s v="MSC BELMONTE  001S"/>
    <n v="107946"/>
    <n v="107947"/>
    <s v="FGD8G49"/>
    <s v="FUJ0D24"/>
    <s v="AGEILSON ANTONIO DA SILVA"/>
    <s v="09085263425"/>
    <s v="04557705505"/>
    <n v="16665"/>
    <s v="DPW"/>
    <d v="2023-07-07T05:39:00"/>
    <s v="MEDLOG"/>
    <d v="2023-07-07T19:14:00"/>
    <d v="2023-07-07T10:15:00"/>
    <d v="2023-07-07T14:56:00"/>
    <n v="3400"/>
    <m/>
    <m/>
    <m/>
    <m/>
    <m/>
    <m/>
    <n v="558.28319999999997"/>
    <n v="4652.3599999999997"/>
    <x v="6"/>
    <x v="0"/>
    <m/>
    <x v="0"/>
    <s v="SIM"/>
    <s v="SIM"/>
    <s v="SIM"/>
  </r>
  <r>
    <x v="0"/>
    <x v="0"/>
    <d v="2023-07-10T08:00:00"/>
    <s v="CAIU2928931"/>
    <n v="20"/>
    <x v="0"/>
    <s v="NEW MAX"/>
    <s v="AMERICANA"/>
    <n v="6455"/>
    <s v="MSC BELMONTE  001S"/>
    <n v="107994"/>
    <m/>
    <s v="EPU5990"/>
    <s v="BSG1D88"/>
    <s v="LEANDRO SOARES CAETANO"/>
    <s v="10485530864"/>
    <s v="02033192841"/>
    <n v="16674"/>
    <s v="DPW"/>
    <d v="2023-07-09T22:27:00"/>
    <s v="MEDLOG"/>
    <d v="2023-07-10T15:07:00"/>
    <d v="2023-07-10T02:10:00"/>
    <d v="2023-07-10T08:30:00"/>
    <n v="3200"/>
    <m/>
    <m/>
    <m/>
    <m/>
    <m/>
    <m/>
    <n v="571.48680000000002"/>
    <n v="4762.3900000000003"/>
    <x v="6"/>
    <x v="0"/>
    <m/>
    <x v="0"/>
    <s v="SIM"/>
    <s v="SIM"/>
    <s v="SIM"/>
  </r>
  <r>
    <x v="0"/>
    <x v="0"/>
    <d v="2023-07-10T08:00:00"/>
    <s v="MEDU5043440"/>
    <n v="20"/>
    <x v="0"/>
    <s v="NEW MAX"/>
    <s v="AMERICANA"/>
    <n v="6370"/>
    <s v="MSC BELMONTE  001S"/>
    <n v="108018"/>
    <m/>
    <s v="EWJ2162"/>
    <s v="ETF6391"/>
    <s v="CARLOS BUENO BALTAZAR"/>
    <n v="19279658883"/>
    <s v="01301319672"/>
    <n v="16676"/>
    <s v="DPW"/>
    <d v="2023-07-09T22:52:00"/>
    <s v="MEDLOG"/>
    <d v="2023-07-10T15:01:00"/>
    <d v="2023-07-10T03:20:00"/>
    <d v="2023-07-10T08:30:00"/>
    <n v="3200"/>
    <m/>
    <m/>
    <m/>
    <m/>
    <m/>
    <m/>
    <n v="571.48680000000002"/>
    <n v="4762.3900000000003"/>
    <x v="6"/>
    <x v="0"/>
    <m/>
    <x v="0"/>
    <s v="SIM"/>
    <s v="SIM"/>
    <s v="SIM"/>
  </r>
  <r>
    <x v="0"/>
    <x v="0"/>
    <d v="2023-07-10T08:00:00"/>
    <s v="TCLU8187149"/>
    <n v="40"/>
    <x v="0"/>
    <s v="DENVER"/>
    <s v="COTIA"/>
    <n v="6605"/>
    <s v="MSC BELMONTE  001S"/>
    <n v="107984"/>
    <m/>
    <s v="CUA7F62"/>
    <s v="BSG2J78"/>
    <s v="VALDECIR DA SILVA"/>
    <s v="27455658850"/>
    <s v="01286008208"/>
    <n v="16678"/>
    <s v="DPW"/>
    <d v="2023-07-08T05:13:00"/>
    <s v="MEDLOG"/>
    <d v="2023-07-10T15:05:00"/>
    <d v="2023-07-10T03:45:00"/>
    <d v="2023-07-10T10:40:00"/>
    <m/>
    <m/>
    <m/>
    <m/>
    <m/>
    <m/>
    <m/>
    <n v="381.34559999999999"/>
    <n v="3177.88"/>
    <x v="6"/>
    <x v="0"/>
    <m/>
    <x v="0"/>
    <s v="SIM"/>
    <s v="SIM"/>
    <s v="SIM"/>
  </r>
  <r>
    <x v="0"/>
    <x v="0"/>
    <d v="2023-07-10T08:00:00"/>
    <s v="CAIU4834678"/>
    <n v="40"/>
    <x v="0"/>
    <s v="DOREMUS"/>
    <s v="GUARULHOS"/>
    <n v="6562"/>
    <s v="MSC BELMONTE  001S"/>
    <n v="107894"/>
    <m/>
    <s v="BHP9483"/>
    <s v="BSG5I97"/>
    <s v="ANACLETO RODRIGUES DE SANTANA"/>
    <s v="01817591878"/>
    <s v="00821760640"/>
    <n v="16677"/>
    <s v="DPW"/>
    <d v="2023-07-09T20:40:00"/>
    <s v="MEDLOG"/>
    <d v="2023-07-10T16:48:00"/>
    <d v="2023-07-10T00:20:00"/>
    <d v="2023-07-10T09:30:00"/>
    <n v="2100"/>
    <m/>
    <m/>
    <m/>
    <m/>
    <m/>
    <m/>
    <n v="370.37759999999997"/>
    <n v="3086.48"/>
    <x v="6"/>
    <x v="0"/>
    <m/>
    <x v="0"/>
    <s v="SIM"/>
    <s v="SIM"/>
    <s v="SIM"/>
  </r>
  <r>
    <x v="0"/>
    <x v="0"/>
    <d v="2023-07-10T08:00:00"/>
    <s v="TRHU7045602"/>
    <n v="40"/>
    <x v="0"/>
    <s v="AJINOMOTO"/>
    <s v="LIMEIRA"/>
    <n v="6604"/>
    <s v="MSC BELMONTE  001S"/>
    <n v="107985"/>
    <n v="107986"/>
    <s v="AHP6I00"/>
    <s v="JYE0660"/>
    <s v="PAULO ROBEERTO GERMANO"/>
    <s v="27455658850"/>
    <s v="01286008208"/>
    <n v="16671"/>
    <s v="DPW"/>
    <d v="2023-07-09T23:35:00"/>
    <s v="MEDLOG"/>
    <d v="2023-07-10T13:02:00"/>
    <d v="2023-07-10T03:50:00"/>
    <d v="2023-07-10T11:10:00"/>
    <n v="3300"/>
    <m/>
    <m/>
    <m/>
    <m/>
    <m/>
    <m/>
    <n v="558.28319999999997"/>
    <n v="4652.3599999999997"/>
    <x v="6"/>
    <x v="0"/>
    <m/>
    <x v="0"/>
    <s v="SIM"/>
    <s v="SIM"/>
    <s v="SIM"/>
  </r>
  <r>
    <x v="0"/>
    <x v="0"/>
    <d v="2023-07-10T08:00:00"/>
    <s v="TRHU7048725"/>
    <n v="40"/>
    <x v="0"/>
    <s v="AJINOMOTO"/>
    <s v="LIMEIRA"/>
    <n v="6724"/>
    <s v="MSC BELMONTE  001S"/>
    <n v="108045"/>
    <n v="108044"/>
    <s v="DAJ8C31"/>
    <s v="CUE2461"/>
    <s v="NELSON LOPES AMANCIO"/>
    <n v="31147992568"/>
    <s v="03359999478"/>
    <n v="16673"/>
    <s v="DPW"/>
    <d v="2023-07-09T22:21:00"/>
    <s v="MEDLOG"/>
    <d v="2023-07-10T17:04:00"/>
    <d v="2023-07-10T03:50:00"/>
    <d v="2023-07-10T11:30:00"/>
    <n v="3300"/>
    <m/>
    <m/>
    <m/>
    <m/>
    <m/>
    <m/>
    <n v="558.28319999999997"/>
    <n v="4652.3599999999997"/>
    <x v="6"/>
    <x v="0"/>
    <m/>
    <x v="0"/>
    <s v="SIM"/>
    <s v="SIM"/>
    <s v="SIM"/>
  </r>
  <r>
    <x v="0"/>
    <x v="0"/>
    <d v="2023-07-11T08:00:00"/>
    <s v="SEGU1124772"/>
    <n v="20"/>
    <x v="1"/>
    <s v="MIAN"/>
    <s v="SBC"/>
    <n v="6725"/>
    <s v="MSC BELMONTE  001S"/>
    <n v="107993"/>
    <m/>
    <s v="EPU5990"/>
    <s v="BSG1D88"/>
    <s v="LEANDRO SOARES CAETANO"/>
    <s v="10485530864"/>
    <s v="02033192841"/>
    <n v="16683"/>
    <s v="DPW"/>
    <d v="2023-07-10T22:08:00"/>
    <s v="MEDLOG"/>
    <s v="11/07/023 14:03"/>
    <d v="2023-07-11T06:00:00"/>
    <d v="2023-07-11T10:40:00"/>
    <n v="1600"/>
    <m/>
    <m/>
    <m/>
    <m/>
    <m/>
    <m/>
    <n v="311.55959999999999"/>
    <n v="2596.33"/>
    <x v="6"/>
    <x v="0"/>
    <m/>
    <x v="0"/>
    <s v="SIM"/>
    <s v="SIM"/>
    <s v="SIM"/>
  </r>
  <r>
    <x v="0"/>
    <x v="0"/>
    <d v="2023-07-11T08:00:00"/>
    <s v="CIPU5019135"/>
    <n v="40"/>
    <x v="0"/>
    <s v="DOREMUS"/>
    <s v="GUARULHOS"/>
    <n v="6578"/>
    <s v="MSC BELMONTE  001S"/>
    <n v="107861"/>
    <m/>
    <s v="BHP9483"/>
    <s v="BSG5I97"/>
    <s v="ANACLETO RODRIGUES DE SANTANA"/>
    <s v="01817591878"/>
    <s v="00821760640"/>
    <n v="16684"/>
    <s v="DPW"/>
    <d v="2023-07-10T21:43:00"/>
    <s v="MEDLOG"/>
    <d v="2023-07-11T14:45:00"/>
    <d v="2023-07-11T01:00:00"/>
    <d v="2023-07-11T11:50:00"/>
    <n v="2100"/>
    <m/>
    <m/>
    <m/>
    <m/>
    <m/>
    <m/>
    <n v="370.37759999999997"/>
    <n v="3086.48"/>
    <x v="6"/>
    <x v="0"/>
    <m/>
    <x v="0"/>
    <s v="SIM"/>
    <s v="SIM"/>
    <s v="SIM"/>
  </r>
  <r>
    <x v="0"/>
    <x v="0"/>
    <d v="2023-07-11T08:00:00"/>
    <s v="DFSU7530053"/>
    <n v="40"/>
    <x v="0"/>
    <s v="BUNGE"/>
    <s v="SANTOS"/>
    <n v="5678"/>
    <s v="MSC BELMONTE  001S"/>
    <n v="107945"/>
    <m/>
    <s v="HQR4G29"/>
    <s v="CUE2577"/>
    <s v="MARCOS CARLOS DE OLIVEIRA"/>
    <s v="0746293899"/>
    <s v="01355777261"/>
    <n v="16682"/>
    <s v="DPW"/>
    <d v="2023-07-10T21:21:00"/>
    <s v="MEDLOG"/>
    <d v="2023-07-11T14:15:00"/>
    <d v="2023-07-11T07:00:00"/>
    <d v="2023-07-11T12:50:00"/>
    <m/>
    <m/>
    <m/>
    <m/>
    <m/>
    <m/>
    <m/>
    <n v="234"/>
    <n v="1950"/>
    <x v="6"/>
    <x v="0"/>
    <m/>
    <x v="0"/>
    <s v="SIM"/>
    <s v="SIM"/>
    <s v="SIM"/>
  </r>
  <r>
    <x v="0"/>
    <x v="0"/>
    <d v="2023-07-17T09:00:00"/>
    <s v="MSKU7269888"/>
    <n v="20"/>
    <x v="2"/>
    <s v="SOSAL"/>
    <s v="SBC"/>
    <s v="AAK865TC"/>
    <s v="AMERICO VESPUCIO  327S"/>
    <n v="108143"/>
    <m/>
    <s v="KBK0D67"/>
    <s v="BWP9J59"/>
    <s v="JOAO BATISTA DOS SANTOS"/>
    <s v="13990937898"/>
    <s v="01825123407"/>
    <n v="16740"/>
    <s v="SANTOS BRASIL"/>
    <d v="2023-07-17T00:01:00"/>
    <s v="DEPOTCE"/>
    <d v="2023-07-17T14:41:00"/>
    <d v="2023-07-17T03:05:00"/>
    <d v="2023-07-17T12:00:00"/>
    <n v="1600"/>
    <m/>
    <m/>
    <m/>
    <n v="1757.6"/>
    <m/>
    <n v="266.39999999999998"/>
    <n v="276"/>
    <n v="2300"/>
    <x v="6"/>
    <x v="0"/>
    <m/>
    <x v="0"/>
    <s v="SIM"/>
    <s v="SIM"/>
    <s v="SIM"/>
  </r>
  <r>
    <x v="0"/>
    <x v="1"/>
    <d v="2023-07-17T11:00:00"/>
    <s v="MRKU6697241"/>
    <n v="20"/>
    <x v="2"/>
    <s v="SOSAL"/>
    <s v="SBC"/>
    <s v="AAK865TC"/>
    <s v="AMERICO VESPUCIO  327S"/>
    <n v="108144"/>
    <m/>
    <s v="ABV8D21"/>
    <s v="BXF6C67"/>
    <s v="ATENIZIO PEREIRA DOS SANTOS JUNIOR"/>
    <n v="12126370895"/>
    <s v="02988821539"/>
    <n v="16741"/>
    <s v="SANTOS BRASIL"/>
    <d v="2023-07-17T06:00:00"/>
    <s v="FASSINA SANTOS"/>
    <d v="2023-07-18T14:45:00"/>
    <d v="2023-07-17T12:30:00"/>
    <d v="2023-07-17T14:00:00"/>
    <n v="1600"/>
    <m/>
    <m/>
    <m/>
    <n v="1757.6"/>
    <m/>
    <n v="266.39999999999998"/>
    <n v="276"/>
    <n v="2300"/>
    <x v="6"/>
    <x v="0"/>
    <s v="Troca de cavalo mecânico"/>
    <x v="3"/>
    <s v="SIM"/>
    <s v="SIM"/>
    <s v="SIM"/>
  </r>
  <r>
    <x v="0"/>
    <x v="0"/>
    <d v="2023-07-17T09:00:00"/>
    <s v="TRHU7599517"/>
    <n v="40"/>
    <x v="2"/>
    <s v="SOSAL"/>
    <s v="SBC"/>
    <s v="AAK916RB"/>
    <s v="AMERICO VESPUCIO  327S"/>
    <n v="108455"/>
    <m/>
    <s v="BHP9483"/>
    <s v="BSG5I97"/>
    <s v="ANACLETO RODRIGUES DE SANTANA"/>
    <s v="01817591878"/>
    <s v="00821760640"/>
    <n v="16739"/>
    <s v="SANTOS BRASIL"/>
    <d v="2023-07-17T00:01:00"/>
    <s v="DEPOTCE"/>
    <d v="2023-07-17T11:46:00"/>
    <d v="2023-07-17T03:05:00"/>
    <d v="2023-07-17T12:30:00"/>
    <n v="1600"/>
    <m/>
    <m/>
    <m/>
    <n v="1757.6"/>
    <m/>
    <n v="266.39999999999998"/>
    <n v="276"/>
    <n v="2300"/>
    <x v="6"/>
    <x v="0"/>
    <m/>
    <x v="0"/>
    <s v="SIM"/>
    <s v="SIM"/>
    <s v="SIM"/>
  </r>
  <r>
    <x v="0"/>
    <x v="0"/>
    <d v="2023-07-18T11:00:00"/>
    <s v="MSKU5927470"/>
    <n v="20"/>
    <x v="2"/>
    <s v="SOSAL"/>
    <s v="SBC"/>
    <s v="AAK916PB"/>
    <s v="AMERICO VESPUCIO  327S"/>
    <n v="108445"/>
    <m/>
    <s v="GFL7E87"/>
    <s v="BXA0I63"/>
    <s v="JEFFERSON BATISTA ARISTIDES"/>
    <s v="34927982840"/>
    <s v="03500129879"/>
    <n v="16752"/>
    <s v="SANTOS BRASIL"/>
    <d v="2023-07-18T06:03:00"/>
    <s v="TRANSTEC SANTOS"/>
    <d v="2023-07-19T11:58:00"/>
    <d v="2023-07-18T07:45:00"/>
    <d v="2023-07-18T13:00:00"/>
    <n v="1600"/>
    <m/>
    <m/>
    <m/>
    <n v="1757.6"/>
    <m/>
    <n v="266.39999999999998"/>
    <n v="276"/>
    <n v="2300"/>
    <x v="6"/>
    <x v="0"/>
    <m/>
    <x v="0"/>
    <s v="SIM"/>
    <s v="SIM"/>
    <s v="SIM"/>
  </r>
  <r>
    <x v="0"/>
    <x v="0"/>
    <d v="2023-07-18T09:00:00"/>
    <s v="MRKU7478926"/>
    <n v="20"/>
    <x v="2"/>
    <s v="SOSAL"/>
    <s v="SBC"/>
    <s v="AAK916QD"/>
    <s v="AMERICO VESPUCIO  327S"/>
    <n v="119323"/>
    <m/>
    <s v="KBK0D67"/>
    <s v="BSF4E26"/>
    <s v="ANTONIO ISAEL PINHA"/>
    <n v="12126370895"/>
    <s v="02988821539"/>
    <n v="16749"/>
    <s v="SANTOS BRASIL"/>
    <d v="2023-07-18T00:07:00"/>
    <s v="DEPOTCE"/>
    <d v="2023-07-18T14:30:00"/>
    <d v="2023-07-18T02:15:00"/>
    <d v="2023-07-18T12:10:00"/>
    <n v="1600"/>
    <m/>
    <m/>
    <m/>
    <n v="1757.6"/>
    <m/>
    <n v="266.39999999999998"/>
    <n v="276"/>
    <n v="2300"/>
    <x v="6"/>
    <x v="0"/>
    <m/>
    <x v="0"/>
    <s v="SIM"/>
    <s v="SIM"/>
    <s v="SIM"/>
  </r>
  <r>
    <x v="0"/>
    <x v="0"/>
    <d v="2023-07-18T09:00:00"/>
    <s v="TCLU6999396"/>
    <n v="20"/>
    <x v="2"/>
    <s v="SOSAL"/>
    <s v="SBC"/>
    <s v="AAK916QC"/>
    <s v="AMERICO VESPUCIO  327S"/>
    <n v="108446"/>
    <m/>
    <s v="KBK0D67"/>
    <s v="BWP9J59"/>
    <s v="JOÃO BATISTAS DOS SANTOS"/>
    <s v="13990937898"/>
    <s v="01825123407"/>
    <n v="16750"/>
    <s v="SANTOS BRASIL"/>
    <d v="2023-07-17T23:40:00"/>
    <s v="DEPOTCE"/>
    <d v="2023-07-18T14:13:00"/>
    <d v="2023-07-18T02:15:00"/>
    <d v="2023-07-18T12:10:00"/>
    <n v="1600"/>
    <m/>
    <m/>
    <m/>
    <n v="1757.6"/>
    <m/>
    <n v="266.39999999999998"/>
    <n v="276"/>
    <n v="2300"/>
    <x v="6"/>
    <x v="0"/>
    <m/>
    <x v="0"/>
    <s v="SIM"/>
    <s v="SIM"/>
    <s v="SIM"/>
  </r>
  <r>
    <x v="0"/>
    <x v="1"/>
    <d v="2023-07-18T11:00:00"/>
    <s v="MRKU6131207"/>
    <n v="40"/>
    <x v="2"/>
    <s v="SOSAL"/>
    <s v="SBC"/>
    <s v="AAK916RB / AAK916RC"/>
    <s v="AMERICO VESPUCIO  327S"/>
    <n v="108395"/>
    <n v="108394"/>
    <s v="CGS0A65"/>
    <s v="CPJ5G64"/>
    <s v="ANTONIO ISAEL PINHA"/>
    <n v="12126370895"/>
    <s v="02988821539"/>
    <s v="16762 / 16763"/>
    <s v="SANTOS BRASIL"/>
    <d v="2023-07-18T23:38:00"/>
    <s v="TRANSTEC SANTOS"/>
    <s v="20/072023 11:22"/>
    <d v="2023-07-19T02:15:00"/>
    <d v="2023-07-19T12:20:00"/>
    <n v="1600"/>
    <m/>
    <m/>
    <m/>
    <n v="1757.6"/>
    <m/>
    <n v="266.39999999999998"/>
    <n v="276"/>
    <n v="2300"/>
    <x v="6"/>
    <x v="0"/>
    <m/>
    <x v="0"/>
    <s v="SIM"/>
    <s v="SIM"/>
    <s v="SIM"/>
  </r>
  <r>
    <x v="0"/>
    <x v="0"/>
    <d v="2023-07-19T11:00:00"/>
    <s v="MRSU0083130"/>
    <n v="20"/>
    <x v="2"/>
    <s v="SOSAL"/>
    <s v="SBC"/>
    <s v="AAK916QB"/>
    <s v="AMERICO VESPUCIO  327S"/>
    <n v="108359"/>
    <m/>
    <s v="OAJ1J50"/>
    <s v="BWY6f22"/>
    <s v="WILLIAMS DIONIZIO TEIXEIRA DOS SANTOS"/>
    <s v="27455658850"/>
    <s v="01286008208"/>
    <n v="16760"/>
    <s v="SANTOS BRASIL"/>
    <d v="2023-07-19T04:29:00"/>
    <s v="TRANSTEC SANTOS"/>
    <d v="2023-07-19T16:15:00"/>
    <d v="2023-07-19T07:00:00"/>
    <d v="2023-07-19T13:58:00"/>
    <n v="1600"/>
    <m/>
    <m/>
    <m/>
    <n v="1757.6"/>
    <m/>
    <n v="266.39999999999998"/>
    <n v="276"/>
    <n v="2300"/>
    <x v="6"/>
    <x v="0"/>
    <m/>
    <x v="0"/>
    <s v="SIM"/>
    <s v="SIM"/>
    <s v="SIM"/>
  </r>
  <r>
    <x v="0"/>
    <x v="0"/>
    <d v="2023-07-19T09:00:00"/>
    <s v="MRKU7581209"/>
    <n v="20"/>
    <x v="2"/>
    <s v="SOSAL"/>
    <s v="SBC"/>
    <s v="AAK916SB"/>
    <s v="AMERICO VESPUCIO  327S"/>
    <n v="72441"/>
    <m/>
    <s v="BHP9483"/>
    <s v="BSF4E26"/>
    <s v="ANACLETO RODRIGUES DE SANTANA"/>
    <s v="01817591878"/>
    <s v="00821760640"/>
    <n v="16759"/>
    <s v="SANTOS BRASIL"/>
    <d v="2023-07-19T00:10:00"/>
    <s v="TRANSTEC SANTOS"/>
    <d v="2023-07-19T13:04:00"/>
    <d v="2023-07-19T02:15:00"/>
    <d v="2023-07-19T11:20:00"/>
    <n v="1600"/>
    <m/>
    <m/>
    <m/>
    <n v="1757.6"/>
    <m/>
    <n v="266.39999999999998"/>
    <n v="276"/>
    <n v="2300"/>
    <x v="6"/>
    <x v="0"/>
    <m/>
    <x v="0"/>
    <s v="SIM"/>
    <s v="SIM"/>
    <s v="SIM"/>
  </r>
  <r>
    <x v="0"/>
    <x v="0"/>
    <d v="2023-07-19T09:00:00"/>
    <s v="MRKU8710450"/>
    <n v="20"/>
    <x v="2"/>
    <s v="SOSAL"/>
    <s v="SBC"/>
    <s v="AAK916SB"/>
    <s v="AMERICO VESPUCIO  327S"/>
    <n v="72442"/>
    <m/>
    <s v="KBK0D67"/>
    <s v="BWP9J59"/>
    <s v="JOAO BATISTA DOS SANTOS"/>
    <s v="13990937898"/>
    <s v="01825123407"/>
    <n v="16758"/>
    <s v="SANTOS BRASIL"/>
    <d v="2023-07-18T23:55:00"/>
    <s v="TRANSTEC SANTOS"/>
    <d v="2023-07-19T00:00:00"/>
    <d v="2023-07-19T02:15:00"/>
    <d v="2023-07-19T11:20:00"/>
    <n v="1600"/>
    <m/>
    <m/>
    <m/>
    <n v="1757.6"/>
    <m/>
    <n v="266.39999999999998"/>
    <n v="276"/>
    <n v="2300"/>
    <x v="6"/>
    <x v="0"/>
    <m/>
    <x v="0"/>
    <s v="SIM"/>
    <s v="SIM"/>
    <s v="SIM"/>
  </r>
  <r>
    <x v="0"/>
    <x v="0"/>
    <d v="2023-07-19T11:00:00"/>
    <s v="MRSU3912596"/>
    <n v="40"/>
    <x v="2"/>
    <s v="SOSAL"/>
    <s v="SBC"/>
    <s v="AAK916RB"/>
    <s v="AMERICO VESPUCIO  327S"/>
    <n v="108386"/>
    <m/>
    <s v="BSF3577"/>
    <s v="DPC0999"/>
    <s v="TIAGO DA SILVA FARIAS"/>
    <s v="27455658850"/>
    <s v="01286008208"/>
    <n v="16761"/>
    <s v="SANTOS BRASIL"/>
    <d v="2023-07-19T00:03:00"/>
    <s v="FASSINA SANTOS"/>
    <d v="2023-07-20T14:08:00"/>
    <d v="2023-07-19T02:10:00"/>
    <d v="2023-07-19T16:00:00"/>
    <n v="1600"/>
    <m/>
    <m/>
    <m/>
    <n v="1757.6"/>
    <m/>
    <n v="266.39999999999998"/>
    <n v="276"/>
    <n v="2300"/>
    <x v="6"/>
    <x v="0"/>
    <m/>
    <x v="0"/>
    <s v="SIM"/>
    <s v="SIM"/>
    <s v="SIM"/>
  </r>
  <r>
    <x v="0"/>
    <x v="0"/>
    <d v="2023-07-13T08:00:00"/>
    <s v="TCLU3460749"/>
    <n v="20"/>
    <x v="0"/>
    <s v="PENINA"/>
    <s v="VL INDEPENDENTE"/>
    <n v="6957"/>
    <s v="MERCOSUL SUAPE  331S"/>
    <n v="108110"/>
    <m/>
    <s v="KBK0D67"/>
    <s v="BWP9J59"/>
    <s v="JOAO BATISTA DOS SANTOS"/>
    <s v="13990937898"/>
    <s v="01825123407"/>
    <n v="16715"/>
    <s v="DPW"/>
    <d v="2023-07-13T00:00:00"/>
    <s v="TRANSTEC SANTOS"/>
    <d v="2023-07-13T17:07:00"/>
    <d v="2023-07-13T02:30:00"/>
    <d v="2023-07-13T14:00:00"/>
    <m/>
    <m/>
    <m/>
    <m/>
    <m/>
    <m/>
    <m/>
    <n v="447.91919999999999"/>
    <n v="3732.66"/>
    <x v="6"/>
    <x v="0"/>
    <m/>
    <x v="0"/>
    <s v="SIM"/>
    <s v="SIM"/>
    <s v="SIM"/>
  </r>
  <r>
    <x v="0"/>
    <x v="1"/>
    <d v="2023-07-14T08:00:00"/>
    <s v="SEGU6133930"/>
    <n v="40"/>
    <x v="0"/>
    <s v="BR SPICE"/>
    <s v="JANDIRA"/>
    <n v="6961"/>
    <s v="MERCOSUL SUAPE  331S"/>
    <n v="108256"/>
    <m/>
    <s v="FRG7C59"/>
    <s v="ESU7272"/>
    <s v="GILVAN LAURENTINO DA SILVA"/>
    <s v="92693377404"/>
    <s v="02954783990"/>
    <n v="16725"/>
    <s v="DPW"/>
    <d v="2023-07-14T07:00:00"/>
    <s v="TRANSTEC SANTOS"/>
    <d v="2023-07-14T14:17:00"/>
    <d v="2023-07-14T09:50:00"/>
    <d v="2023-07-14T10:40:00"/>
    <n v="2300"/>
    <m/>
    <m/>
    <m/>
    <m/>
    <m/>
    <m/>
    <n v="0"/>
    <m/>
    <x v="6"/>
    <x v="0"/>
    <m/>
    <x v="0"/>
    <s v="SIM"/>
    <s v="SIM"/>
    <s v="SIM"/>
  </r>
  <r>
    <x v="0"/>
    <x v="1"/>
    <d v="2023-07-14T08:00:00"/>
    <s v="AMFU8921860"/>
    <n v="40"/>
    <x v="0"/>
    <s v="AJINOMOTO"/>
    <s v="LIMEIRA"/>
    <n v="7006"/>
    <s v="MERCOSUL SUAPE  331S"/>
    <n v="108255"/>
    <n v="108254"/>
    <s v="GFL7E87"/>
    <s v="GIK5H08"/>
    <s v="JEFFERSON BATISTA ARISTIDES"/>
    <s v="34927982840"/>
    <s v="03500129879"/>
    <n v="16724"/>
    <s v="DPW"/>
    <d v="2023-07-14T07:00:00"/>
    <s v="TRANSTEC SANTOS"/>
    <d v="2023-07-15T09:41:00"/>
    <d v="2023-07-14T14:20:00"/>
    <d v="2023-07-14T17:00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14T08:00:00"/>
    <s v="DFSU7494758"/>
    <n v="40"/>
    <x v="0"/>
    <s v="AJINOMOTO"/>
    <s v="LIMEIRA"/>
    <n v="6955"/>
    <s v="MERCOSUL SUAPE  331S"/>
    <n v="108209"/>
    <n v="108210"/>
    <s v="CUA7F62"/>
    <s v="BSG2J78"/>
    <s v="VALDECIR DA SILVA"/>
    <s v="27455658850"/>
    <s v="01286008208"/>
    <n v="16726"/>
    <s v="DPW"/>
    <d v="2023-07-13T23:00:00"/>
    <s v="TRANSTEC SANTOS"/>
    <d v="2023-07-14T14:18:00"/>
    <d v="2023-07-14T03:45:00"/>
    <d v="2023-07-14T09:50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1"/>
    <d v="2023-07-14T08:00:00"/>
    <s v="FFAU1701414"/>
    <n v="40"/>
    <x v="0"/>
    <s v="AJINOMOTO"/>
    <s v="LIMEIRA"/>
    <n v="6948"/>
    <s v="MERCOSUL SUAPE  331S"/>
    <n v="108208"/>
    <n v="108213"/>
    <s v="DVT6D42"/>
    <s v="BXE2B57"/>
    <s v="ROBERTO RONALD SANTOS"/>
    <s v="27455658850"/>
    <s v="01286008208"/>
    <n v="16727"/>
    <s v="DPW"/>
    <d v="2023-07-14T07:00:00"/>
    <s v="TRANSTEC SANTOS"/>
    <s v="15/07/023 08:31"/>
    <d v="2023-07-14T12:00:00"/>
    <d v="2023-07-14T15:00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14T08:00:00"/>
    <s v="CAIU3159852"/>
    <n v="20"/>
    <x v="0"/>
    <s v="CHARQUE CAMPEAO"/>
    <s v="SANTANA DE PARNAIBA"/>
    <n v="6951"/>
    <s v="MERCOSUL SUAPE  331S"/>
    <n v="119218"/>
    <m/>
    <s v="EWJ2162"/>
    <s v="ETF6391"/>
    <s v="CARLOS BUENO BALTAZAR"/>
    <n v="19279658883"/>
    <s v="01301319672"/>
    <n v="16723"/>
    <s v="DPW"/>
    <d v="2023-07-13T23:00:00"/>
    <s v="TRANSTEC SANTOS"/>
    <d v="2023-07-14T11:31:00"/>
    <d v="2023-07-14T04:30:00"/>
    <d v="2023-07-14T07:40:00"/>
    <n v="2300"/>
    <m/>
    <m/>
    <m/>
    <m/>
    <m/>
    <m/>
    <n v="0"/>
    <m/>
    <x v="6"/>
    <x v="0"/>
    <m/>
    <x v="0"/>
    <s v="SIM"/>
    <s v="SIM"/>
    <s v="SIM"/>
  </r>
  <r>
    <x v="0"/>
    <x v="1"/>
    <d v="2023-07-17T08:00:00"/>
    <s v="MSMU8449289"/>
    <n v="40"/>
    <x v="0"/>
    <s v="AJINOMOTO"/>
    <s v="LIMEIRA"/>
    <n v="6812"/>
    <s v="MERCOSUL SUAPE  331S"/>
    <n v="108166"/>
    <n v="108167"/>
    <s v="DFT0E47"/>
    <s v="BVT0E67"/>
    <s v="ALMIR CARDOSO DOS SANTOS "/>
    <s v="09776430856"/>
    <s v="01258979905"/>
    <n v="16734"/>
    <s v="DPW"/>
    <d v="2023-07-17T05:00:00"/>
    <s v="TRANSTEC SANTOS"/>
    <d v="2023-07-19T13:06:00"/>
    <d v="2023-07-17T10:50:00"/>
    <d v="2023-07-17T15:25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1"/>
    <d v="2023-07-17T08:00:00"/>
    <s v="SEGU4047540"/>
    <n v="40"/>
    <x v="0"/>
    <s v="AJINOMOTO"/>
    <s v="LIMEIRA"/>
    <n v="7024"/>
    <s v="MERCOSUL SUAPE  331S"/>
    <n v="108168"/>
    <n v="108169"/>
    <s v="FGD8G49"/>
    <s v="FUJ0D24"/>
    <s v="AGEILSON ANTONIO DA SILVA"/>
    <s v="09085263425"/>
    <s v="04557705505"/>
    <n v="16733"/>
    <s v="DPW"/>
    <d v="2023-07-17T05:00:00"/>
    <s v="TRANSTEC SANTOS"/>
    <d v="2023-07-18T11:50:00"/>
    <d v="2023-07-17T09:30:00"/>
    <d v="2023-07-17T12:25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17T08:00:00"/>
    <s v="MSMU6069612"/>
    <n v="40"/>
    <x v="0"/>
    <s v="AJINOMOTO"/>
    <s v="LIMEIRA"/>
    <n v="6808"/>
    <s v="MERCOSUL SUAPE  331S"/>
    <n v="108070"/>
    <n v="108071"/>
    <s v="DDL8B54"/>
    <s v="FEI4012"/>
    <s v="WILTON SILVA BARBOSA"/>
    <s v="27455658850"/>
    <s v="01286008208"/>
    <n v="16737"/>
    <s v="DPW"/>
    <d v="2023-07-16T23:00:00"/>
    <s v="TRANSTEC SANTOS"/>
    <d v="2023-07-19T15:29:00"/>
    <d v="2023-07-17T05:50:00"/>
    <d v="2023-07-17T13:25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17T08:00:00"/>
    <s v="FFAU1702452"/>
    <n v="40"/>
    <x v="0"/>
    <s v="AJINOMOTO"/>
    <s v="LIMEIRA"/>
    <n v="6810"/>
    <s v="MERCOSUL SUAPE  331S"/>
    <n v="108112"/>
    <n v="108113"/>
    <s v="BXD2J87"/>
    <s v="EWJ4J85"/>
    <s v="GUSTAVO ANTONIO CAVALCANTE"/>
    <s v="28386357860"/>
    <s v="01042201192"/>
    <n v="16738"/>
    <s v="DPW"/>
    <d v="2023-07-16T23:00:00"/>
    <s v="TRANSTEC SANTOS"/>
    <d v="2023-07-18T10:04:00"/>
    <d v="2023-07-17T03:35:00"/>
    <d v="2023-07-17T13:25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17T08:00:00"/>
    <s v="TCLU2964806"/>
    <n v="20"/>
    <x v="0"/>
    <s v="MIAN"/>
    <s v="SBC"/>
    <n v="6813"/>
    <s v="MERCOSUL SUAPE  331S"/>
    <n v="119048"/>
    <m/>
    <s v="EWJ2162"/>
    <s v="ETF6391"/>
    <s v="CARLOS BUENO BALTAZAR"/>
    <n v="19279658883"/>
    <s v="01301319672"/>
    <n v="16736"/>
    <s v="DPW"/>
    <d v="2023-07-17T04:00:00"/>
    <s v="TRANSTEC SANTOS"/>
    <d v="2023-07-17T11:28:00"/>
    <d v="2023-07-17T06:30:00"/>
    <d v="2023-07-17T09:50:00"/>
    <m/>
    <m/>
    <m/>
    <m/>
    <m/>
    <m/>
    <m/>
    <n v="0"/>
    <m/>
    <x v="6"/>
    <x v="0"/>
    <m/>
    <x v="0"/>
    <s v="SIM"/>
    <s v="SIM"/>
    <s v="SIM"/>
  </r>
  <r>
    <x v="0"/>
    <x v="0"/>
    <d v="2023-07-18T08:00:00"/>
    <s v="TCLU3059422"/>
    <n v="20"/>
    <x v="0"/>
    <s v="ADESTE"/>
    <s v="SANTO ANDRÉ"/>
    <n v="6936"/>
    <s v="MERCOSUL SUAPE  331S"/>
    <n v="108214"/>
    <m/>
    <s v="BHP9483"/>
    <s v="BSG5I97"/>
    <s v="ANACLETO RODRIGUES DE SANTANA"/>
    <s v="01817591878"/>
    <s v="00821760640"/>
    <n v="16744"/>
    <s v="DPW"/>
    <d v="2023-07-17T22:09:00"/>
    <s v="TRANSTEC SANTOS"/>
    <d v="2023-07-18T15:04:00"/>
    <d v="2023-07-18T00:30:00"/>
    <d v="2023-07-18T11:55:00"/>
    <m/>
    <m/>
    <m/>
    <m/>
    <n v="2014.37"/>
    <m/>
    <n v="266.39999999999998"/>
    <n v="415.74719999999996"/>
    <n v="3464.56"/>
    <x v="6"/>
    <x v="0"/>
    <m/>
    <x v="0"/>
    <s v="SIM"/>
    <s v="SIM"/>
    <s v="SIM"/>
  </r>
  <r>
    <x v="0"/>
    <x v="0"/>
    <d v="2023-07-18T08:00:00"/>
    <s v="SEGU1118785"/>
    <n v="20"/>
    <x v="0"/>
    <s v="FUCKS"/>
    <s v="ITUPEVA"/>
    <n v="6937"/>
    <s v="MERCOSUL SUAPE  331S"/>
    <n v="108215"/>
    <m/>
    <s v="BYA0806"/>
    <s v="JYM3480"/>
    <s v="MIGUEL ARNOLD"/>
    <s v="10838670830"/>
    <s v="01808675938"/>
    <n v="16746"/>
    <s v="DPW"/>
    <d v="2023-07-17T23:02:00"/>
    <s v="TRANSTEC SANTOS"/>
    <d v="2023-07-18T14:51:00"/>
    <d v="2023-07-18T05:00:00"/>
    <d v="2023-07-18T11:30:00"/>
    <m/>
    <m/>
    <m/>
    <n v="768.4"/>
    <n v="3173.48"/>
    <m/>
    <n v="469.2"/>
    <n v="601.46159999999998"/>
    <n v="5012.18"/>
    <x v="6"/>
    <x v="0"/>
    <m/>
    <x v="0"/>
    <s v="SIM"/>
    <s v="SIM"/>
    <s v="SIM"/>
  </r>
  <r>
    <x v="0"/>
    <x v="0"/>
    <d v="2023-07-18T08:00:00"/>
    <s v="GLDU3722815"/>
    <n v="20"/>
    <x v="0"/>
    <s v="MIAN"/>
    <s v="SBC"/>
    <s v="6956 / 6962"/>
    <s v="MERCOSUL SUAPE  331S"/>
    <n v="118219"/>
    <n v="108257"/>
    <s v="OAJ1J50"/>
    <s v="BWY6F22"/>
    <s v="WILLIAMS DIONIZIO TEIXEIRA DOS SANTOS"/>
    <s v="27455658850"/>
    <s v="01286008208"/>
    <s v="16742 / 16743"/>
    <s v="DPW"/>
    <d v="2023-07-17T23:32:00"/>
    <s v="TRANSTEC SANTOS"/>
    <d v="2023-07-18T11:41:00"/>
    <d v="2023-07-18T01:25:00"/>
    <d v="2023-07-18T10:20:00"/>
    <n v="1600"/>
    <m/>
    <m/>
    <m/>
    <n v="2018.37"/>
    <m/>
    <n v="266.39999999999998"/>
    <n v="311.55959999999999"/>
    <n v="2596.33"/>
    <x v="6"/>
    <x v="0"/>
    <m/>
    <x v="0"/>
    <s v="SIM"/>
    <s v="SIM"/>
    <s v="SIM"/>
  </r>
  <r>
    <x v="0"/>
    <x v="0"/>
    <d v="2023-07-18T08:00:00"/>
    <s v="GESU1439414"/>
    <n v="20"/>
    <x v="0"/>
    <s v="MOINHO ROMANIZ"/>
    <s v="ITAQUERA"/>
    <n v="6957"/>
    <s v="MERCOSUL SUAPE  331S"/>
    <n v="108288"/>
    <m/>
    <s v="EWJ2162"/>
    <s v="ETF6391"/>
    <s v="CARLOS BUENO BALTAZAR"/>
    <n v="19279658883"/>
    <s v="01301319672"/>
    <n v="16747"/>
    <s v="DPW"/>
    <d v="2023-07-17T23:00:00"/>
    <s v="TRANSTEC SANTOS"/>
    <d v="2023-07-19T12:24:00"/>
    <d v="2023-07-18T01:15:00"/>
    <d v="2023-07-18T17:10:00"/>
    <m/>
    <m/>
    <m/>
    <m/>
    <n v="2386.86"/>
    <m/>
    <n v="222"/>
    <n v="355.75319999999999"/>
    <n v="2964.61"/>
    <x v="6"/>
    <x v="0"/>
    <m/>
    <x v="0"/>
    <s v="SIM"/>
    <s v="SIM"/>
    <s v="SIM"/>
  </r>
  <r>
    <x v="0"/>
    <x v="0"/>
    <d v="2023-07-18T08:00:00"/>
    <s v="TCLU8698534"/>
    <n v="40"/>
    <x v="0"/>
    <s v="MAXSOY"/>
    <s v="HORTOLANDIA"/>
    <n v="6811"/>
    <s v="MERCOSUL SUAPE  331S"/>
    <n v="108165"/>
    <m/>
    <s v="FZF3E97"/>
    <s v="FXU8J10"/>
    <s v="FABIO DARIO RODRIGUES"/>
    <s v="26283419801"/>
    <s v="02002046946"/>
    <n v="16748"/>
    <s v="DPW"/>
    <d v="2023-07-17T22:22:00"/>
    <s v="TRANSTEC SANTOS"/>
    <d v="2023-07-20T12:08:00"/>
    <d v="2023-07-18T07:35:00"/>
    <d v="2023-07-18T18:30:00"/>
    <m/>
    <m/>
    <m/>
    <m/>
    <n v="3428.2"/>
    <m/>
    <n v="250.2"/>
    <n v="501.59999999999997"/>
    <n v="4180"/>
    <x v="6"/>
    <x v="0"/>
    <m/>
    <x v="0"/>
    <s v="SIM"/>
    <s v="SIM"/>
    <s v="SIM"/>
  </r>
  <r>
    <x v="0"/>
    <x v="0"/>
    <d v="2023-07-18T08:00:00"/>
    <s v="TGBU7860669"/>
    <n v="40"/>
    <x v="0"/>
    <s v="AJINOMOTO"/>
    <s v="LIMEIRA"/>
    <n v="6809"/>
    <s v="MERCOSUL SUAPE  331S"/>
    <n v="108117"/>
    <n v="108118"/>
    <s v="CUA7F62"/>
    <s v="BSG2J78"/>
    <s v="VALDECIR DA SILVA"/>
    <s v="27455658850"/>
    <s v="01286008208"/>
    <n v="16751"/>
    <s v="DPW"/>
    <d v="2023-07-17T22:38:00"/>
    <s v="TRANSTEC SANTOS"/>
    <d v="2023-07-18T16:30:00"/>
    <d v="2023-07-18T03:00:00"/>
    <d v="2023-07-18T10:30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18T08:00:00"/>
    <s v="MSMU8978301"/>
    <n v="40"/>
    <x v="0"/>
    <s v="AJINOMOTO"/>
    <s v="LIMEIRA"/>
    <n v="6807"/>
    <s v="MERCOSUL SUAPE  331S"/>
    <n v="108126"/>
    <n v="108127"/>
    <s v="EFU6A89"/>
    <s v="CYB6H56"/>
    <s v="GABRIEL HENRIQUE CORREA GOMES"/>
    <s v="41475455801"/>
    <s v="06144560936"/>
    <n v="16753"/>
    <s v="DPW"/>
    <d v="2023-07-17T22:40:00"/>
    <s v="TRANSTEC SANTOS"/>
    <d v="2023-07-20T11:36:00"/>
    <d v="2023-07-18T08:00:00"/>
    <d v="2023-07-18T15:20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18T08:00:00"/>
    <s v="GESU6787264"/>
    <n v="40"/>
    <x v="0"/>
    <s v="AJINOMOTO"/>
    <s v="LIMEIRA"/>
    <n v="6889"/>
    <s v="MERCOSUL SUAPE  331S"/>
    <n v="108207"/>
    <n v="108217"/>
    <s v="EKH4C25"/>
    <s v="DAO7B51"/>
    <s v="WESLLEY RODRIGO CONSTANCIO DA SILVA"/>
    <s v="27455658850"/>
    <s v="01286008208"/>
    <n v="16754"/>
    <s v="DPW"/>
    <d v="2023-07-17T23:15:00"/>
    <s v="TRANSTEC SANTOS"/>
    <d v="2023-07-18T00:00:00"/>
    <d v="2023-07-18T08:00:00"/>
    <d v="2023-07-18T16:20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21T08:00:00"/>
    <s v="SEGU1119164"/>
    <n v="20"/>
    <x v="0"/>
    <s v="PENINA"/>
    <s v="VL INDEPENDENTE"/>
    <n v="7224"/>
    <s v="LOGIN JACARANDA  155S"/>
    <n v="108350"/>
    <m/>
    <s v="KBK0D67"/>
    <s v="BWP9J59"/>
    <s v="JOAO BATISTA DOS SANTOS"/>
    <s v="13990937898"/>
    <s v="01825123407"/>
    <n v="16781"/>
    <s v="DPW"/>
    <d v="2023-07-20T23:45:00"/>
    <s v="TRANSTEC SANTOS"/>
    <d v="2023-07-21T13:01:00"/>
    <d v="2023-07-21T02:15:00"/>
    <d v="2023-07-21T10:30:00"/>
    <n v="2000"/>
    <m/>
    <m/>
    <m/>
    <n v="2294.6999999999998"/>
    <m/>
    <n v="222"/>
    <n v="447.91919999999999"/>
    <n v="3732.66"/>
    <x v="6"/>
    <x v="0"/>
    <m/>
    <x v="0"/>
    <s v="SIM"/>
    <s v="SIM"/>
    <s v="SIM"/>
  </r>
  <r>
    <x v="0"/>
    <x v="0"/>
    <d v="2023-07-21T08:00:00"/>
    <s v="TCLU3459970"/>
    <n v="20"/>
    <x v="0"/>
    <s v="CHARQUE CAMPEAO"/>
    <s v="SANTANA PARNAÍBA"/>
    <n v="7264"/>
    <s v="LOGIN JACARANDA  155S"/>
    <n v="119389"/>
    <m/>
    <s v="BYA0806"/>
    <s v="JYM3480"/>
    <s v="MIGUEL ARNOLD"/>
    <s v="10838670830"/>
    <s v="01808675938"/>
    <n v="16782"/>
    <s v="DPW"/>
    <d v="2023-07-20T21:19:00"/>
    <s v="TRANSTEC SANTOS"/>
    <d v="2023-07-21T14:19:00"/>
    <d v="2023-07-21T03:30:00"/>
    <d v="2023-07-21T11:02:00"/>
    <n v="2300"/>
    <m/>
    <m/>
    <m/>
    <n v="2557.98"/>
    <m/>
    <n v="372.6"/>
    <n v="399.62399999999997"/>
    <n v="3330.2"/>
    <x v="6"/>
    <x v="0"/>
    <m/>
    <x v="0"/>
    <s v="SIM"/>
    <s v="SIM"/>
    <s v="SIM"/>
  </r>
  <r>
    <x v="0"/>
    <x v="0"/>
    <d v="2023-07-21T08:00:00"/>
    <s v="TCLU8206022"/>
    <n v="40"/>
    <x v="0"/>
    <s v="BUNGE"/>
    <s v="SANTOS"/>
    <n v="7219"/>
    <s v="LOGIN JACARANDA  155S"/>
    <n v="108349"/>
    <m/>
    <s v="BHP9483"/>
    <s v="BSF4E26"/>
    <s v="ANACLETO RODRIGUES DE SANTANA"/>
    <s v="01817591878"/>
    <s v="00821760640"/>
    <n v="16783"/>
    <s v="DPW"/>
    <d v="2023-07-21T06:38:00"/>
    <s v="DELTA TERMINAIS "/>
    <d v="2023-07-21T16:43:00"/>
    <d v="2023-07-21T07:30:00"/>
    <d v="2023-07-21T12:30:00"/>
    <n v="800"/>
    <m/>
    <m/>
    <m/>
    <n v="1621.21"/>
    <m/>
    <n v="94.8"/>
    <n v="234"/>
    <n v="1950"/>
    <x v="6"/>
    <x v="0"/>
    <m/>
    <x v="0"/>
    <s v="SIM"/>
    <s v="SIM"/>
    <s v="SIM"/>
  </r>
  <r>
    <x v="0"/>
    <x v="0"/>
    <d v="2023-07-21T08:00:00"/>
    <s v="TCLU8703625"/>
    <n v="40"/>
    <x v="0"/>
    <s v="AJINOMOTO"/>
    <s v="LIMEIRA"/>
    <n v="7268"/>
    <s v="LOGIN JACARANDA  155S"/>
    <n v="108347"/>
    <n v="108348"/>
    <s v="CUA7F62"/>
    <s v="BSG2J78"/>
    <s v="VALDECIR DA SILVA"/>
    <s v="27455658850"/>
    <s v="01286008208"/>
    <n v="16788"/>
    <s v="DPW"/>
    <d v="2023-07-21T00:41:00"/>
    <s v="TRANSTEC SANTOS"/>
    <d v="2023-07-21T15:49:00"/>
    <d v="2023-07-21T04:50:00"/>
    <d v="2023-07-21T11:02:00"/>
    <m/>
    <m/>
    <m/>
    <m/>
    <n v="3472.48"/>
    <m/>
    <n v="621.6"/>
    <n v="558.31919999999991"/>
    <n v="4652.66"/>
    <x v="6"/>
    <x v="0"/>
    <m/>
    <x v="0"/>
    <s v="SIM"/>
    <s v="SIM"/>
    <s v="SIM"/>
  </r>
  <r>
    <x v="0"/>
    <x v="1"/>
    <d v="2023-07-21T08:00:00"/>
    <s v="TRHU7050105"/>
    <n v="40"/>
    <x v="0"/>
    <s v="AJINOMOTO"/>
    <s v="LIMEIRA"/>
    <n v="7235"/>
    <s v="LOGIN JACARANDA  155S"/>
    <n v="108398"/>
    <n v="108399"/>
    <s v="EFU6A89"/>
    <s v="CYB6H56"/>
    <s v="GABRIEL HENRIQUE CORREA GOMES"/>
    <s v="41475455801"/>
    <s v="06144560936"/>
    <n v="16787"/>
    <s v="DPW"/>
    <d v="2023-07-21T06:07:00"/>
    <s v="TRANSTEC SANTOS"/>
    <d v="2023-07-22T09:52:00"/>
    <d v="2023-07-21T10:30:00"/>
    <s v="21/072023 16:00"/>
    <m/>
    <m/>
    <m/>
    <m/>
    <m/>
    <m/>
    <m/>
    <n v="558.31919999999991"/>
    <n v="4652.66"/>
    <x v="6"/>
    <x v="0"/>
    <m/>
    <x v="0"/>
    <s v="SIM"/>
    <s v="SIM"/>
    <s v="SIM"/>
  </r>
  <r>
    <x v="0"/>
    <x v="1"/>
    <d v="2023-07-21T08:00:00"/>
    <s v="MSMU7666968"/>
    <n v="40"/>
    <x v="0"/>
    <s v="DOREMUS"/>
    <s v="GUARULHOS"/>
    <n v="7302"/>
    <s v="LOGIN JACARANDA  155S"/>
    <n v="108449"/>
    <m/>
    <s v="EXD0J35"/>
    <s v="CEX0C37"/>
    <s v="EVANDRO JOSE DOS SANTOS BRITO"/>
    <s v="03605652476"/>
    <s v="00910837259"/>
    <n v="16784"/>
    <s v="DPW"/>
    <d v="2023-07-21T05:16:00"/>
    <s v="TRANSTEC SANTOS"/>
    <d v="2023-07-21T00:00:00"/>
    <d v="2023-07-21T08:30:00"/>
    <d v="2023-07-21T11:35:00"/>
    <n v="2100"/>
    <m/>
    <m/>
    <m/>
    <n v="2449.6999999999998"/>
    <m/>
    <n v="266.39999999999998"/>
    <n v="370.37759999999997"/>
    <n v="3086.48"/>
    <x v="6"/>
    <x v="0"/>
    <m/>
    <x v="0"/>
    <s v="SIM"/>
    <s v="SIM"/>
    <s v="SIM"/>
  </r>
  <r>
    <x v="0"/>
    <x v="0"/>
    <d v="2023-07-24T08:00:00"/>
    <s v="TCLU3465000"/>
    <n v="20"/>
    <x v="0"/>
    <s v="NEW MAX"/>
    <s v="AMERICANA"/>
    <n v="7287"/>
    <s v="LOGIN JACARANDA  155S"/>
    <n v="108315"/>
    <m/>
    <s v="EPU5990"/>
    <s v="BSG1D88"/>
    <s v="LEANDRO SOARES CAETANO"/>
    <s v="10485530864"/>
    <s v="02033192841"/>
    <n v="16798"/>
    <s v="DPW"/>
    <d v="2023-07-24T05:01:00"/>
    <s v="TRANSTEC SANTOS"/>
    <d v="2023-07-24T15:57:00"/>
    <d v="2023-07-24T05:05:00"/>
    <d v="2023-07-24T12:00:00"/>
    <n v="3200"/>
    <m/>
    <m/>
    <m/>
    <n v="3484.1"/>
    <m/>
    <n v="706.8"/>
    <n v="571.48680000000002"/>
    <n v="4762.3900000000003"/>
    <x v="6"/>
    <x v="0"/>
    <m/>
    <x v="0"/>
    <s v="SIM"/>
    <s v="SIM"/>
    <s v="SIM"/>
  </r>
  <r>
    <x v="0"/>
    <x v="0"/>
    <d v="2023-07-24T08:00:00"/>
    <s v="SEGU1092470"/>
    <n v="20"/>
    <x v="0"/>
    <s v="NEW MAX"/>
    <s v="AMERICANA"/>
    <n v="7287"/>
    <s v="LOGIN JACARANDA  155S"/>
    <n v="108316"/>
    <m/>
    <s v="EWJ2162"/>
    <s v="ETF6391"/>
    <s v="CARLOS BUENO BALTAZAR"/>
    <n v="19279658883"/>
    <s v="01301319672"/>
    <n v="16799"/>
    <s v="DPW"/>
    <d v="2023-07-24T00:08:00"/>
    <s v="TRANSTEC SANTOS"/>
    <d v="2023-07-24T14:31:00"/>
    <d v="2023-07-24T04:00:00"/>
    <d v="2023-07-24T10:08:00"/>
    <n v="3200"/>
    <m/>
    <m/>
    <m/>
    <n v="3484.1"/>
    <m/>
    <n v="706.8"/>
    <n v="571.48680000000002"/>
    <n v="4762.3900000000003"/>
    <x v="6"/>
    <x v="0"/>
    <m/>
    <x v="0"/>
    <s v="SIM"/>
    <s v="SIM"/>
    <s v="SIM"/>
  </r>
  <r>
    <x v="0"/>
    <x v="1"/>
    <d v="2023-07-24T08:00:00"/>
    <s v="TEMU8500076"/>
    <n v="40"/>
    <x v="0"/>
    <s v="MAXSOY"/>
    <s v="HOTOLOLÂNDIA"/>
    <n v="7307"/>
    <s v="LOGIN JACARANDA  155S"/>
    <n v="108484"/>
    <m/>
    <s v="DVT6D42"/>
    <s v="BXE2B57"/>
    <s v="ROBERTO RONALD SANTOS"/>
    <s v="27455658850"/>
    <s v="01286008208"/>
    <n v="16803"/>
    <s v="DPW"/>
    <d v="2023-07-24T07:01:00"/>
    <s v="TRANSTEC SANTOS"/>
    <d v="2023-07-25T00:00:00"/>
    <d v="2023-07-24T11:00:00"/>
    <d v="2023-07-25T11:30:00"/>
    <m/>
    <m/>
    <m/>
    <m/>
    <n v="3428.2"/>
    <m/>
    <n v="250.2"/>
    <n v="501.59999999999997"/>
    <n v="4180"/>
    <x v="6"/>
    <x v="0"/>
    <m/>
    <x v="0"/>
    <s v="SIM"/>
    <s v="SIM"/>
    <s v="SIM"/>
  </r>
  <r>
    <x v="0"/>
    <x v="0"/>
    <d v="2023-07-24T08:00:00"/>
    <s v="MSMU6806453"/>
    <n v="40"/>
    <x v="0"/>
    <s v="AJINOMOTO"/>
    <s v="LIMEIRA"/>
    <n v="7239"/>
    <s v="LOGIN JACARANDA  155S"/>
    <n v="108494"/>
    <n v="108493"/>
    <s v="CUA7F62"/>
    <s v="BSG2J78"/>
    <s v="VALDECIR DA SILVA"/>
    <s v="27455658850"/>
    <s v="01286008208"/>
    <n v="16802"/>
    <s v="DPW"/>
    <d v="2023-07-23T06:06:00"/>
    <s v="TRANSTEC SANTOS"/>
    <d v="2023-07-24T14:08:00"/>
    <d v="2023-07-24T00:30:00"/>
    <s v="24/072023 09:4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1"/>
    <d v="2023-07-24T08:00:00"/>
    <s v="MSMU6961589"/>
    <n v="40"/>
    <x v="0"/>
    <s v="AJINOMOTO"/>
    <s v="LIMEIRA"/>
    <n v="7275"/>
    <s v="LOGIN JACARANDA  155S"/>
    <n v="108482"/>
    <n v="108481"/>
    <s v="DDL8B54"/>
    <s v="FEI4012"/>
    <s v="WILTON SILVA BARBOSA"/>
    <s v="27455658850"/>
    <s v="01286008208"/>
    <n v="16800"/>
    <s v="DPW"/>
    <d v="2023-07-24T05:51:00"/>
    <s v="TRANSTEC SANTOS"/>
    <d v="2023-07-25T15:41:00"/>
    <d v="2023-07-24T08:50:00"/>
    <d v="2023-07-24T12:40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1"/>
    <d v="2023-07-24T08:00:00"/>
    <s v="TEMU7702004"/>
    <n v="40"/>
    <x v="0"/>
    <s v="DOREMUS"/>
    <s v="GUARULHOS"/>
    <n v="7280"/>
    <s v="LOGIN JACARANDA  155S"/>
    <n v="108483"/>
    <m/>
    <s v="EXD0J35"/>
    <s v="EXN6D67"/>
    <s v="EVANDRO JOSE DOS SANTOS BRITO"/>
    <s v="03605652476"/>
    <s v="00910837259"/>
    <n v="16804"/>
    <s v="DPW"/>
    <d v="2023-07-24T05:44:00"/>
    <s v="TRANSTEC SANTOS"/>
    <d v="2023-07-24T14:19:00"/>
    <d v="2023-07-24T08:25:00"/>
    <d v="2023-07-24T11:40:00"/>
    <n v="2100"/>
    <m/>
    <m/>
    <m/>
    <n v="2449.6999999999998"/>
    <m/>
    <n v="266.39999999999998"/>
    <n v="370.37759999999997"/>
    <n v="3086.48"/>
    <x v="6"/>
    <x v="0"/>
    <m/>
    <x v="0"/>
    <s v="SIM"/>
    <s v="SIM"/>
    <s v="SIM"/>
  </r>
  <r>
    <x v="0"/>
    <x v="0"/>
    <d v="2023-07-24T08:00:00"/>
    <s v="MSCU6042252"/>
    <n v="20"/>
    <x v="1"/>
    <s v="MIAN"/>
    <s v="SBC"/>
    <n v="7217"/>
    <s v="LOGIN JACARANDA  155S"/>
    <n v="119388"/>
    <m/>
    <s v="AIF6006"/>
    <s v="CPN9D58"/>
    <s v="KLEBER EDUARDO DA SILVA"/>
    <n v="24642512837"/>
    <s v="01595628251"/>
    <n v="16801"/>
    <s v="DPW"/>
    <d v="2023-07-22T08:54:00"/>
    <s v="TRANSTEC SANTOS"/>
    <d v="2023-07-24T13:12:00"/>
    <d v="2023-07-24T06:00:00"/>
    <d v="2023-07-24T10:00:00"/>
    <n v="1600"/>
    <m/>
    <m/>
    <m/>
    <n v="2018.37"/>
    <m/>
    <n v="266.39999999999998"/>
    <n v="311.55959999999999"/>
    <n v="2596.33"/>
    <x v="6"/>
    <x v="0"/>
    <m/>
    <x v="0"/>
    <s v="SIM"/>
    <s v="SIM"/>
    <s v="SIM"/>
  </r>
  <r>
    <x v="0"/>
    <x v="0"/>
    <d v="2023-07-25T08:00:00"/>
    <s v="CAIU3154383"/>
    <n v="20"/>
    <x v="0"/>
    <s v="MOINHO ROMANIZ"/>
    <s v="ITAQUERA"/>
    <n v="7283"/>
    <s v="LOGIN JACARANDA  155S"/>
    <n v="108346"/>
    <m/>
    <s v="EPU5990"/>
    <s v="BSG1D88"/>
    <s v="LEANDRO SOARES CAETANO"/>
    <s v="10485530864"/>
    <s v="02033192841"/>
    <n v="16828"/>
    <s v="DPW"/>
    <d v="2023-07-25T04:34:00"/>
    <s v="TRANSTEC SANTOS"/>
    <d v="2023-07-25T11:43:00"/>
    <d v="2023-07-25T06:30:00"/>
    <d v="2023-07-25T09:55:00"/>
    <m/>
    <m/>
    <m/>
    <m/>
    <n v="2386.86"/>
    <m/>
    <n v="222"/>
    <n v="355.75319999999999"/>
    <n v="2964.61"/>
    <x v="6"/>
    <x v="0"/>
    <m/>
    <x v="0"/>
    <s v="SIM"/>
    <s v="SIM"/>
    <s v="SIM"/>
  </r>
  <r>
    <x v="0"/>
    <x v="0"/>
    <d v="2023-07-25T08:00:00"/>
    <s v="TTNU3646250"/>
    <n v="20"/>
    <x v="0"/>
    <s v="KERRY"/>
    <s v="COTIA"/>
    <n v="7301"/>
    <s v="LOGIN JACARANDA  155S"/>
    <n v="108471"/>
    <m/>
    <s v="EWJ2162"/>
    <s v="ETF6391"/>
    <s v="CARLOS BUENO BALTAZAR"/>
    <n v="19279658883"/>
    <s v="01301319672"/>
    <n v="16830"/>
    <s v="DPW"/>
    <d v="2023-07-25T04:55:00"/>
    <s v="TRANSTEC SANTOS"/>
    <d v="2023-07-25T15:25:00"/>
    <d v="2023-07-25T07:30:00"/>
    <d v="2023-07-25T13:55:00"/>
    <m/>
    <m/>
    <m/>
    <n v="600"/>
    <n v="2361.17"/>
    <m/>
    <n v="343.2"/>
    <n v="473.5104"/>
    <n v="3945.92"/>
    <x v="6"/>
    <x v="0"/>
    <m/>
    <x v="0"/>
    <s v="SIM"/>
    <s v="SIM"/>
    <s v="SIM"/>
  </r>
  <r>
    <x v="0"/>
    <x v="1"/>
    <d v="2023-07-24T08:00:00"/>
    <s v="CMAU0773561"/>
    <n v="20"/>
    <x v="0"/>
    <s v="VILHENA"/>
    <s v="CAJAMAR"/>
    <s v="P10416467A"/>
    <s v="LOGIN JACARANDA  155S"/>
    <n v="1768"/>
    <m/>
    <s v="CUA6D73"/>
    <s v="DPC9D90"/>
    <s v="CLAUDIO APARECIDO DA GAMA"/>
    <s v="20074409549"/>
    <s v="01098533717"/>
    <n v="16807"/>
    <s v="DPW"/>
    <d v="2023-07-24T07:49:00"/>
    <s v="TRANSTEC SANTOS"/>
    <d v="2032-07-25T00:00:00"/>
    <d v="2023-07-24T11:06:00"/>
    <d v="2023-07-24T17:00:00"/>
    <n v="2350"/>
    <m/>
    <m/>
    <m/>
    <n v="2791.33"/>
    <m/>
    <n v="385.2"/>
    <n v="433.1628"/>
    <n v="3609.69"/>
    <x v="6"/>
    <x v="0"/>
    <m/>
    <x v="0"/>
    <s v="SIM"/>
    <s v="SIM"/>
    <s v="SIM"/>
  </r>
  <r>
    <x v="0"/>
    <x v="1"/>
    <d v="2023-07-24T08:00:00"/>
    <s v="TRHU3681268"/>
    <n v="20"/>
    <x v="0"/>
    <s v="VILHETO"/>
    <s v="BARUERI"/>
    <s v="P10416467B"/>
    <s v="LOGIN JACARANDA  155S"/>
    <n v="1769"/>
    <m/>
    <s v="CUA6J51"/>
    <s v="CUA7547"/>
    <s v="CELSO OLIVANDO BERTO"/>
    <n v="19279658883"/>
    <s v="01301319672"/>
    <n v="16808"/>
    <s v="DPW"/>
    <d v="2023-07-24T07:31:00"/>
    <s v="TRANSTEC SANTOS"/>
    <d v="2023-07-25T00:00:00"/>
    <d v="2023-07-24T14:35:00"/>
    <d v="2023-07-24T17:28:00"/>
    <n v="2200"/>
    <m/>
    <m/>
    <m/>
    <n v="2771.55"/>
    <m/>
    <n v="266.39999999999998"/>
    <n v="414.26639999999998"/>
    <n v="3452.22"/>
    <x v="6"/>
    <x v="0"/>
    <m/>
    <x v="0"/>
    <s v="SIM"/>
    <s v="SIM"/>
    <s v="SIM"/>
  </r>
  <r>
    <x v="0"/>
    <x v="0"/>
    <d v="2023-07-27T08:00:00"/>
    <s v="AMFU3240230"/>
    <n v="20"/>
    <x v="0"/>
    <s v="PENINA"/>
    <s v="VL INDEPENDENTE"/>
    <n v="7431"/>
    <s v="LOGIN ENDURANCE  043S"/>
    <n v="108556"/>
    <m/>
    <s v="MRB4D47"/>
    <s v="CPJ5G64"/>
    <s v="JOSE EURIPEDES PEREIRA"/>
    <s v="87607395849"/>
    <s v="01842622116"/>
    <n v="16876"/>
    <s v="DPW"/>
    <d v="2023-07-26T23:01:00"/>
    <s v="TRANSTEC SANTOS"/>
    <d v="2023-07-27T14:25:00"/>
    <d v="2023-07-27T03:00:00"/>
    <d v="2023-07-27T12:00:00"/>
    <m/>
    <m/>
    <m/>
    <m/>
    <n v="2294.6999999999998"/>
    <m/>
    <n v="222"/>
    <n v="447.91919999999999"/>
    <n v="3732.66"/>
    <x v="6"/>
    <x v="0"/>
    <m/>
    <x v="0"/>
    <s v="SIM"/>
    <s v="SIM"/>
    <s v="SIM"/>
  </r>
  <r>
    <x v="0"/>
    <x v="0"/>
    <d v="2023-07-27T08:00:00"/>
    <s v="MSMU2035851"/>
    <n v="20"/>
    <x v="1"/>
    <s v="MIAN"/>
    <s v="SBC"/>
    <n v="7440"/>
    <s v="LOGIN ENDURANCE  043S"/>
    <n v="108591"/>
    <m/>
    <s v="BHP9483"/>
    <s v="BSF4E26"/>
    <s v="ANACLETO RODRIGUES DE SANTANA"/>
    <s v="01817591878"/>
    <s v="00821760640"/>
    <n v="16874"/>
    <s v="DPW"/>
    <d v="2023-07-27T00:19:00"/>
    <s v="TRANSTEC SANTOS"/>
    <d v="2023-07-27T00:00:00"/>
    <d v="2023-07-27T02:30:00"/>
    <d v="2023-07-27T10:10:00"/>
    <m/>
    <m/>
    <m/>
    <m/>
    <n v="2018.37"/>
    <m/>
    <n v="266.39999999999998"/>
    <n v="311.55959999999999"/>
    <n v="2596.33"/>
    <x v="6"/>
    <x v="0"/>
    <m/>
    <x v="0"/>
    <s v="SIM"/>
    <s v="SIM"/>
    <s v="SIM"/>
  </r>
  <r>
    <x v="0"/>
    <x v="0"/>
    <d v="2023-07-27T08:00:00"/>
    <s v="MSMU7773420"/>
    <n v="40"/>
    <x v="0"/>
    <s v="SANTA RITA"/>
    <s v="SÃO PAULO"/>
    <n v="7459"/>
    <s v="LOGIN ENDURANCE  043S"/>
    <n v="108622"/>
    <m/>
    <s v="CGS0A65"/>
    <s v="BSG5I97"/>
    <s v="MARCOS PAULO NUNES"/>
    <n v="16239341843"/>
    <s v="01877235038"/>
    <n v="16875"/>
    <s v="DPW"/>
    <d v="2023-07-26T20:49:00"/>
    <s v="TRANSTEC SANTOS"/>
    <d v="2023-07-27T15:28:00"/>
    <d v="2023-07-27T05:30:00"/>
    <d v="2023-07-27T11:00:00"/>
    <m/>
    <m/>
    <m/>
    <m/>
    <n v="2295.9299999999998"/>
    <m/>
    <n v="313.2"/>
    <n v="355.79039999999998"/>
    <n v="2964.92"/>
    <x v="6"/>
    <x v="0"/>
    <m/>
    <x v="0"/>
    <s v="SIM"/>
    <s v="SIM"/>
    <s v="SIM"/>
  </r>
  <r>
    <x v="0"/>
    <x v="0"/>
    <d v="2023-07-28T08:00:00"/>
    <s v="CAIU3020830"/>
    <n v="20"/>
    <x v="0"/>
    <s v="CHARQUE CAMPEAO"/>
    <s v="SANTANA DE PARNAIBA"/>
    <n v="5895"/>
    <s v="LOGIN ENDURANCE  043S"/>
    <n v="119807"/>
    <m/>
    <s v="EWJ2162"/>
    <s v="ETF6391"/>
    <s v="CARLOS BUENO BALTAZAR"/>
    <n v="19279658883"/>
    <s v="01301319672"/>
    <n v="16884"/>
    <s v="DPW"/>
    <d v="2023-07-27T21:29:00"/>
    <s v="TRANSTEC SANTOS"/>
    <d v="2023-07-28T14:32:00"/>
    <d v="2023-07-28T00:00:00"/>
    <d v="2023-07-28T11:15:00"/>
    <m/>
    <m/>
    <m/>
    <m/>
    <n v="2557.98"/>
    <m/>
    <n v="372.6"/>
    <n v="399.62399999999997"/>
    <n v="3330.2"/>
    <x v="6"/>
    <x v="0"/>
    <m/>
    <x v="0"/>
    <s v="SIM"/>
    <s v="SIM"/>
    <s v="SIM"/>
  </r>
  <r>
    <x v="0"/>
    <x v="0"/>
    <d v="2023-07-28T08:00:00"/>
    <s v="CAAU6385172"/>
    <n v="40"/>
    <x v="0"/>
    <s v="AJINOMOTO"/>
    <s v="LIMEIRA"/>
    <n v="7556"/>
    <s v="LOGIN ENDURANCE  043S"/>
    <n v="108686"/>
    <n v="108687"/>
    <s v="DDL8B54"/>
    <s v="FEI4012"/>
    <s v="WILTON SILVA BARBOSA"/>
    <s v="27455658850"/>
    <s v="01286008208"/>
    <n v="16885"/>
    <s v="DPW"/>
    <d v="2023-07-28T01:56:00"/>
    <s v="TRANSTEC SANTOS"/>
    <d v="2023-07-28T16:50:00"/>
    <d v="2023-07-28T05:45:00"/>
    <d v="2023-07-28T12:16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28T08:00:00"/>
    <s v="TCLU8171836"/>
    <n v="40"/>
    <x v="0"/>
    <s v="AJINOMOTO"/>
    <s v="LIMEIRA"/>
    <n v="7491"/>
    <s v="LOGIN ENDURANCE  043S"/>
    <n v="108620"/>
    <n v="108621"/>
    <s v="FZF3E97"/>
    <s v="FXU8J10"/>
    <s v="FABIO DARIO RODRIGUES"/>
    <s v="26283419801"/>
    <s v="02002046946"/>
    <n v="16886"/>
    <s v="DPW"/>
    <d v="2023-07-27T21:39:00"/>
    <s v="TRANSTEC SANTOS"/>
    <d v="2023-07-28T17:21:00"/>
    <d v="2023-07-28T01:45:00"/>
    <d v="2023-07-28T10:15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28T08:00:00"/>
    <s v="TCNU7994312"/>
    <n v="40"/>
    <x v="0"/>
    <s v="AJINOMOTO"/>
    <s v="LIMEIRA"/>
    <n v="7445"/>
    <s v="LOGIN ENDURANCE  043S"/>
    <n v="108580"/>
    <n v="108582"/>
    <s v="CUA7F62"/>
    <s v="BSG2J78"/>
    <s v="VALDECIR DA SILVA"/>
    <s v="27455658850"/>
    <s v="01286008208"/>
    <n v="16892"/>
    <s v="DPW"/>
    <d v="2023-07-27T22:35:00"/>
    <s v="TRANSTEC SANTOS"/>
    <d v="2023-07-28T15:10:00"/>
    <d v="2023-07-28T02:50:00"/>
    <d v="2023-07-28T09:50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1"/>
    <d v="2023-07-28T08:00:00"/>
    <s v="TEMU8501200"/>
    <n v="40"/>
    <x v="0"/>
    <s v="BR SPICE"/>
    <s v="JANDIRA"/>
    <n v="7551"/>
    <s v="LOGIN ENDURANCE  043S"/>
    <n v="108688"/>
    <m/>
    <s v="DFT0E47"/>
    <s v="BVT0E67"/>
    <s v="ALMIR CARDOSO DOS SANTOS"/>
    <s v="09776430856"/>
    <s v="01258979905"/>
    <n v="16891"/>
    <s v="DPW"/>
    <d v="2023-07-28T06:12:00"/>
    <s v="TRANSTEC SANTOS"/>
    <d v="2023-07-28T00:00:00"/>
    <d v="2023-07-28T08:50:00"/>
    <d v="2023-07-28T10:12:00"/>
    <m/>
    <m/>
    <m/>
    <m/>
    <n v="2504.37"/>
    <m/>
    <n v="371.4"/>
    <n v="392.15039999999999"/>
    <n v="3267.92"/>
    <x v="6"/>
    <x v="0"/>
    <m/>
    <x v="0"/>
    <s v="SIM"/>
    <s v="SIM"/>
    <s v="SIM"/>
  </r>
  <r>
    <x v="0"/>
    <x v="0"/>
    <d v="2023-07-31T08:00:00"/>
    <s v="SEGU1123694"/>
    <n v="20"/>
    <x v="0"/>
    <s v="NEW MAX"/>
    <s v="AMERICANA"/>
    <n v="7466"/>
    <s v="LOGIN ENDURANCE  043S"/>
    <n v="108626"/>
    <m/>
    <s v="EWJ2162"/>
    <s v="ETF6391"/>
    <s v="CARLOS BUENO BALTAZAR"/>
    <n v="19279658883"/>
    <s v="01301319672"/>
    <n v="16898"/>
    <s v="DPW"/>
    <d v="2023-07-31T00:46:00"/>
    <s v="TRANSTEC SANTOS"/>
    <d v="2023-07-31T00:00:00"/>
    <d v="2023-07-31T05:10:00"/>
    <d v="2023-07-31T08:00:00"/>
    <m/>
    <m/>
    <m/>
    <m/>
    <n v="3484.1"/>
    <m/>
    <n v="706.8"/>
    <n v="571.48680000000002"/>
    <n v="4762.3900000000003"/>
    <x v="6"/>
    <x v="0"/>
    <m/>
    <x v="0"/>
    <s v="SIM"/>
    <s v="SIM"/>
    <s v="SIM"/>
  </r>
  <r>
    <x v="0"/>
    <x v="0"/>
    <d v="2023-07-31T08:00:00"/>
    <s v="SEGU1086203"/>
    <n v="20"/>
    <x v="0"/>
    <s v="NEW MAX"/>
    <s v="AMERICANA"/>
    <n v="7489"/>
    <s v="LOGIN ENDURANCE  043S"/>
    <n v="108625"/>
    <m/>
    <s v="ABV8D21"/>
    <s v="BXF6C67"/>
    <s v="LUCAS TEIXEIRA COSTA"/>
    <s v="10485530864"/>
    <s v="02033192841"/>
    <n v="16899"/>
    <s v="DPW"/>
    <d v="2023-07-30T23:46:00"/>
    <s v="TRANSTEC SANTOS"/>
    <d v="2023-07-31T14:00:00"/>
    <d v="2023-07-31T05:50:00"/>
    <d v="2023-07-31T08:30:00"/>
    <m/>
    <m/>
    <m/>
    <m/>
    <n v="3484.1"/>
    <m/>
    <n v="706.8"/>
    <n v="571.48680000000002"/>
    <n v="4762.3900000000003"/>
    <x v="6"/>
    <x v="0"/>
    <m/>
    <x v="0"/>
    <s v="SIM"/>
    <s v="SIM"/>
    <s v="SIM"/>
  </r>
  <r>
    <x v="0"/>
    <x v="1"/>
    <d v="2023-07-31T08:00:00"/>
    <s v="CIPU5013991"/>
    <n v="40"/>
    <x v="0"/>
    <s v="AJINOMOTO"/>
    <s v="LIMEIRA"/>
    <n v="7434"/>
    <s v="LOGIN ENDURANCE  043S"/>
    <n v="108534"/>
    <n v="108535"/>
    <s v="FZF3E97"/>
    <s v="FXU8J10"/>
    <s v="FABIO DARIO RODRIGUES"/>
    <s v="26283419801"/>
    <s v="02002046946"/>
    <n v="16902"/>
    <s v="DPW"/>
    <d v="2023-07-31T06:12:00"/>
    <s v="TRANSTEC SANTOS"/>
    <d v="2023-08-01T11:08:00"/>
    <d v="2023-07-31T10:10:00"/>
    <d v="2023-07-31T15:10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1"/>
    <d v="2023-07-31T08:00:00"/>
    <s v="FFAU1701482"/>
    <n v="40"/>
    <x v="0"/>
    <s v="AJINOMOTO"/>
    <s v="LIMEIRA"/>
    <n v="7444"/>
    <s v="LOGIN ENDURANCE  043S"/>
    <n v="108532"/>
    <n v="108537"/>
    <s v="DFT0E47"/>
    <s v="BVT0E67"/>
    <s v="ALMIR CARDOSO DOS SANTOS"/>
    <s v="09776430856"/>
    <s v="01258979905"/>
    <n v="16903"/>
    <s v="DPW"/>
    <d v="2023-07-31T05:07:00"/>
    <s v="TRANSTEC SANTOS"/>
    <d v="2023-08-01T15:08:00"/>
    <d v="2023-07-31T10:10:00"/>
    <d v="2023-07-31T11:40:00"/>
    <m/>
    <m/>
    <m/>
    <m/>
    <n v="3472.48"/>
    <m/>
    <n v="621.6"/>
    <n v="558.28319999999997"/>
    <n v="4652.3599999999997"/>
    <x v="6"/>
    <x v="0"/>
    <m/>
    <x v="0"/>
    <s v="SIM"/>
    <s v="SIM"/>
    <s v="SIM"/>
  </r>
  <r>
    <x v="0"/>
    <x v="0"/>
    <d v="2023-07-31T08:00:00"/>
    <s v="TCLU8337681"/>
    <n v="40"/>
    <x v="0"/>
    <s v="BR SPICE"/>
    <s v="JANDIRA"/>
    <n v="7439"/>
    <s v="LOGIN ENDURANCE  043S"/>
    <n v="108529"/>
    <m/>
    <s v="FGD8G49"/>
    <s v="FUJ0D24"/>
    <s v="AGEILSON ANTONIO DA SILVA"/>
    <s v="09085263425"/>
    <s v="04557705505"/>
    <n v="16904"/>
    <s v="DPW"/>
    <d v="2023-07-31T04:22:00"/>
    <s v="TRANSTEC SANTOS"/>
    <d v="2023-07-31T00:00:00"/>
    <d v="2023-07-31T07:10:00"/>
    <d v="2023-07-31T11:35:00"/>
    <m/>
    <m/>
    <m/>
    <m/>
    <n v="2504.37"/>
    <m/>
    <n v="371.4"/>
    <n v="392.15039999999999"/>
    <n v="3267.92"/>
    <x v="6"/>
    <x v="0"/>
    <m/>
    <x v="0"/>
    <s v="SIM"/>
    <s v="SIM"/>
    <s v="SIM"/>
  </r>
  <r>
    <x v="0"/>
    <x v="0"/>
    <d v="2023-07-31T08:00:00"/>
    <s v="MSDU5106947"/>
    <n v="40"/>
    <x v="0"/>
    <s v="LIBERO QUIMICO"/>
    <s v="GUARULHOS"/>
    <n v="7481"/>
    <s v="LOGIN ENDURANCE  043S"/>
    <n v="108652"/>
    <m/>
    <s v="FQE9I91"/>
    <s v="DPB9J85"/>
    <s v="VINICIUS THADEU MENDES"/>
    <s v="27455658850"/>
    <s v="01286008208"/>
    <n v="16905"/>
    <s v="DPW"/>
    <d v="2023-07-31T05:11:00"/>
    <s v="TRANSTEC SANTOS"/>
    <d v="2023-07-31T17:03:00"/>
    <d v="2023-07-31T07:49:00"/>
    <d v="2023-07-31T13:09:00"/>
    <m/>
    <m/>
    <m/>
    <m/>
    <n v="2449.6999999999998"/>
    <m/>
    <n v="266.39999999999998"/>
    <n v="370.37759999999997"/>
    <n v="3086.48"/>
    <x v="6"/>
    <x v="0"/>
    <m/>
    <x v="0"/>
    <s v="SIM"/>
    <s v="SIM"/>
    <s v="SIM"/>
  </r>
  <r>
    <x v="0"/>
    <x v="0"/>
    <d v="2023-07-31T08:00:00"/>
    <s v="GESU5887490"/>
    <n v="40"/>
    <x v="0"/>
    <s v="LIBERO QUIMICO"/>
    <s v="GUARULHOS"/>
    <n v="7460"/>
    <s v="LOGIN ENDURANCE  043S"/>
    <n v="108624"/>
    <m/>
    <s v="BXD2J87"/>
    <s v="EWJ4J85"/>
    <s v="GUSTAVO ANTONIO CAVALCANTE"/>
    <s v="28386357860"/>
    <s v="01042201192"/>
    <n v="16906"/>
    <s v="DPW"/>
    <d v="2023-07-31T04:50:00"/>
    <s v="TRANSTEC SANTOS"/>
    <d v="2023-07-31T00:00:00"/>
    <d v="2023-07-31T07:29:00"/>
    <d v="2023-07-31T13:10:00"/>
    <m/>
    <m/>
    <m/>
    <m/>
    <n v="2449.6999999999998"/>
    <m/>
    <n v="266.39999999999998"/>
    <n v="370.37759999999997"/>
    <n v="3086.48"/>
    <x v="6"/>
    <x v="0"/>
    <m/>
    <x v="0"/>
    <s v="SIM"/>
    <s v="SIM"/>
    <s v="SIM"/>
  </r>
  <r>
    <x v="0"/>
    <x v="0"/>
    <d v="2023-08-01T08:00:00"/>
    <s v="TCLU2968587"/>
    <n v="20"/>
    <x v="0"/>
    <s v="MOINHO ROMANIZ"/>
    <s v="ITAQUERA"/>
    <n v="7435"/>
    <s v="LOGIN ENDURANCE  043S"/>
    <n v="108557"/>
    <m/>
    <s v="BYA0806"/>
    <s v="JYM3480"/>
    <s v="MIGUEL ARNOLD"/>
    <s v="10838670830"/>
    <s v="01808675938"/>
    <n v="16918"/>
    <s v="DPW"/>
    <d v="2023-07-31T21:18:00"/>
    <s v="TRANSTEC SANTOS"/>
    <d v="2023-08-01T16:10:00"/>
    <d v="2023-08-01T07:30:00"/>
    <d v="2023-08-01T13:39:00"/>
    <m/>
    <m/>
    <m/>
    <m/>
    <n v="2386.86"/>
    <m/>
    <n v="222"/>
    <n v="355.75319999999999"/>
    <n v="2964.61"/>
    <x v="7"/>
    <x v="0"/>
    <m/>
    <x v="0"/>
    <s v="SIM"/>
    <s v="SIM"/>
    <s v="SIM"/>
  </r>
  <r>
    <x v="0"/>
    <x v="1"/>
    <d v="2023-08-01T08:00:00"/>
    <s v="SEGU1061503"/>
    <n v="20"/>
    <x v="1"/>
    <s v="MIAN"/>
    <s v="SBC"/>
    <n v="7468"/>
    <s v="LOGIN ENDURANCE  043S"/>
    <n v="119808"/>
    <m/>
    <s v="OAJ1J50"/>
    <s v="BWY6F22"/>
    <s v="WILLIAMS DIONIZIO TEIXEIRA DOS SANTOS"/>
    <s v="27455658850"/>
    <s v="01286008208"/>
    <n v="16919"/>
    <s v="DPW"/>
    <d v="2023-08-01T06:39:00"/>
    <s v="TRANSTEC SANTOS"/>
    <d v="2023-08-01T12:13:00"/>
    <d v="2023-08-01T08:20:00"/>
    <d v="2023-08-01T10:50:00"/>
    <m/>
    <m/>
    <m/>
    <m/>
    <n v="2018.37"/>
    <m/>
    <n v="266.39999999999998"/>
    <n v="311.55959999999999"/>
    <n v="2596.33"/>
    <x v="7"/>
    <x v="0"/>
    <m/>
    <x v="0"/>
    <s v="SIM"/>
    <s v="SIM"/>
    <s v="SIM"/>
  </r>
  <r>
    <x v="0"/>
    <x v="1"/>
    <d v="2023-08-01T08:00:00"/>
    <s v="MEDU7105665"/>
    <n v="40"/>
    <x v="0"/>
    <s v="BUNGE"/>
    <s v="SANTOS"/>
    <n v="5937"/>
    <s v="LOGIN ENDURANCE  043S"/>
    <n v="108651"/>
    <m/>
    <s v="FRG7C59"/>
    <s v="ESU7272"/>
    <s v="GILVAN LAURENTINO DA SILVA"/>
    <s v="92693377404"/>
    <s v="02954783990"/>
    <n v="16924"/>
    <s v="DPW"/>
    <d v="2023-07-31T22:24:00"/>
    <s v="TRANSTEC SANTOS"/>
    <d v="2023-08-03T14:50:00"/>
    <d v="2023-08-01T09:30:00"/>
    <d v="2023-08-01T15:39:00"/>
    <m/>
    <m/>
    <m/>
    <m/>
    <n v="1855.2"/>
    <m/>
    <n v="94.8"/>
    <n v="234"/>
    <n v="1950"/>
    <x v="7"/>
    <x v="0"/>
    <m/>
    <x v="0"/>
    <s v="SIM"/>
    <s v="SIM"/>
    <s v="SIM"/>
  </r>
  <r>
    <x v="0"/>
    <x v="0"/>
    <d v="2023-07-31T09:00:00"/>
    <s v="MSKU7016004"/>
    <n v="20"/>
    <x v="2"/>
    <s v="SOSAL"/>
    <s v="SBC"/>
    <s v="3AIBAK01CV"/>
    <s v="SEBASTIAO CABOTO  329S"/>
    <n v="108833"/>
    <m/>
    <s v="BHP9483"/>
    <s v="BSF4E26"/>
    <s v="ANACLETO RODRIGUES DE SANTANA"/>
    <s v="01817591878"/>
    <s v="00821760640"/>
    <n v="16907"/>
    <s v="SANTOS BRASIL"/>
    <d v="2023-07-31T00:29:00"/>
    <s v="TRANSTEC SANTOS"/>
    <d v="2023-07-31T14:14:00"/>
    <d v="2023-07-31T02:15:00"/>
    <d v="2023-07-31T12:00:00"/>
    <m/>
    <m/>
    <m/>
    <m/>
    <n v="1757.6"/>
    <m/>
    <n v="266.39999999999998"/>
    <n v="276"/>
    <n v="2300"/>
    <x v="6"/>
    <x v="0"/>
    <m/>
    <x v="0"/>
    <s v="SIM"/>
    <s v="SIM"/>
    <s v="SIM"/>
  </r>
  <r>
    <x v="0"/>
    <x v="0"/>
    <d v="2023-07-31T09:00:00"/>
    <s v="TEMU2887610"/>
    <n v="20"/>
    <x v="2"/>
    <s v="SOSAL"/>
    <s v="SBC"/>
    <s v="3AIBAK01CX"/>
    <s v="SEBASTIAO CABOTO  329S"/>
    <n v="108882"/>
    <m/>
    <s v="KBK0D67"/>
    <s v="BWP9J59"/>
    <s v="JOAO BATISTA DOS SANTOS "/>
    <s v="13990937898"/>
    <s v="01825123407"/>
    <n v="16908"/>
    <s v="SANTOS BRASIL"/>
    <d v="2023-07-31T00:31:00"/>
    <s v="TRANSTEC SANTOS"/>
    <d v="2023-07-31T15:12:00"/>
    <d v="2023-07-31T02:15:00"/>
    <d v="2023-07-31T12:00:00"/>
    <m/>
    <m/>
    <m/>
    <m/>
    <n v="1757.6"/>
    <m/>
    <n v="266.39999999999998"/>
    <n v="276"/>
    <n v="2300"/>
    <x v="6"/>
    <x v="0"/>
    <m/>
    <x v="0"/>
    <s v="SIM"/>
    <s v="SIM"/>
    <s v="SIM"/>
  </r>
  <r>
    <x v="0"/>
    <x v="0"/>
    <d v="2023-08-01T11:00:00"/>
    <s v="MRKU5967701"/>
    <n v="40"/>
    <x v="2"/>
    <s v="SOSAL"/>
    <s v="SBC"/>
    <s v="3AIBAK01CY"/>
    <s v="SEBASTIAO CABOTO  329S"/>
    <n v="108752"/>
    <n v="108753"/>
    <s v="MRB4D47"/>
    <s v="BSG5I97"/>
    <s v="JOSE EURIPEDES PEREIRA"/>
    <s v="87607395849"/>
    <s v="01842622116"/>
    <s v="16922 / 16923"/>
    <s v="SANTOS BRASIL"/>
    <d v="2023-08-01T00:26:00"/>
    <s v="TRANSTEC SANTOS"/>
    <d v="2023-08-01T15:46:00"/>
    <d v="2023-08-01T02:35:00"/>
    <d v="2023-08-01T13:10:00"/>
    <m/>
    <m/>
    <m/>
    <m/>
    <n v="1757.6"/>
    <m/>
    <n v="266.39999999999998"/>
    <n v="276"/>
    <n v="2300"/>
    <x v="7"/>
    <x v="0"/>
    <m/>
    <x v="0"/>
    <s v="SIM"/>
    <s v="SIM"/>
    <s v="SIM"/>
  </r>
  <r>
    <x v="0"/>
    <x v="0"/>
    <d v="2023-08-01T09:00:00"/>
    <s v="MRKU8274824"/>
    <n v="20"/>
    <x v="2"/>
    <s v="SOSAL"/>
    <s v="SBC"/>
    <s v="3AIBAK01DB"/>
    <s v="SEBASTIAO CABOTO  329S"/>
    <n v="66065"/>
    <n v="66066"/>
    <s v="KBK0D67"/>
    <s v="BWP9J59"/>
    <s v="JOAO BATISTA DOS SANTOS"/>
    <s v="13990937898"/>
    <s v="01825123407"/>
    <n v="16925"/>
    <s v="SANTOS BRASIL"/>
    <d v="2023-07-31T23:14:00"/>
    <s v="FASSINA SANTOS"/>
    <d v="2023-08-01T15:21:00"/>
    <d v="2023-08-01T01:50:00"/>
    <d v="2023-08-01T12:10:00"/>
    <m/>
    <m/>
    <m/>
    <m/>
    <n v="1757.6"/>
    <m/>
    <n v="266.39999999999998"/>
    <n v="276"/>
    <n v="2300"/>
    <x v="7"/>
    <x v="0"/>
    <m/>
    <x v="0"/>
    <s v="SIM"/>
    <s v="SIM"/>
    <s v="SIM"/>
  </r>
  <r>
    <x v="0"/>
    <x v="0"/>
    <d v="2023-08-01T09:00:00"/>
    <s v="MRKU8502312"/>
    <n v="20"/>
    <x v="2"/>
    <s v="SOSAL"/>
    <s v="SBC"/>
    <s v="3AIBAK01CV"/>
    <s v="SEBASTIAO CABOTO  329S"/>
    <n v="108834"/>
    <m/>
    <s v="CGS0A65"/>
    <s v="CPJ5G64"/>
    <s v="MARCOS PAULO NUNES"/>
    <n v="16239341843"/>
    <s v="01877235038"/>
    <n v="16920"/>
    <s v="SANTOS BRASIL"/>
    <d v="2023-07-31T23:55:00"/>
    <s v="TRANSTEC SANTOS"/>
    <d v="2023-08-03T15:28:00"/>
    <d v="2023-08-01T01:50:00"/>
    <d v="2023-08-01T14:30:00"/>
    <m/>
    <m/>
    <m/>
    <m/>
    <n v="1757.6"/>
    <m/>
    <n v="266.39999999999998"/>
    <n v="276"/>
    <n v="2300"/>
    <x v="7"/>
    <x v="0"/>
    <m/>
    <x v="0"/>
    <s v="SIM"/>
    <s v="SIM"/>
    <s v="SIM"/>
  </r>
  <r>
    <x v="0"/>
    <x v="0"/>
    <d v="2023-08-02T11:00:00"/>
    <s v="TCNU6951893"/>
    <n v="40"/>
    <x v="2"/>
    <s v="SOSAL"/>
    <s v="SBC"/>
    <s v="3AIBAK01CY"/>
    <s v="SEBASTIAO CABOTO  329S"/>
    <n v="108832"/>
    <m/>
    <s v="BHP9483"/>
    <s v="BSG5I97"/>
    <s v="ANACLETO RODRIGUES DE SANTANA"/>
    <s v="01817591878"/>
    <s v="00821760640"/>
    <n v="16930"/>
    <s v="SANTOS BRASIL"/>
    <d v="2023-08-01T22:58:00"/>
    <s v="FASSINA SANTOS"/>
    <d v="2023-08-02T14:34:00"/>
    <d v="2023-08-02T01:15:00"/>
    <d v="2023-08-02T11:15:00"/>
    <m/>
    <m/>
    <m/>
    <m/>
    <n v="1757.6"/>
    <m/>
    <n v="266.39999999999998"/>
    <n v="276"/>
    <n v="2300"/>
    <x v="7"/>
    <x v="0"/>
    <m/>
    <x v="0"/>
    <s v="SIM"/>
    <s v="SIM"/>
    <s v="SIM"/>
  </r>
  <r>
    <x v="0"/>
    <x v="0"/>
    <d v="2023-08-02T09:00:00"/>
    <s v="MSKU5908510"/>
    <n v="20"/>
    <x v="2"/>
    <s v="SOSAL"/>
    <s v="SBC"/>
    <s v="3AIBAK01CZ"/>
    <s v="SEBASTIAO CABOTO  329S"/>
    <n v="72775"/>
    <m/>
    <s v="KBK0D67"/>
    <s v="BWP9J59"/>
    <s v="JOAO BATISTA DOS SANTOS"/>
    <s v="13990937898"/>
    <s v="01825123407"/>
    <n v="16931"/>
    <s v="SANTOS BRASIL"/>
    <d v="2023-08-01T22:43:00"/>
    <s v="TRANSTEC SANTOS"/>
    <d v="2023-08-02T14:09:00"/>
    <d v="2023-08-02T00:30:00"/>
    <d v="2023-08-02T12:15:00"/>
    <m/>
    <m/>
    <m/>
    <m/>
    <n v="1757.6"/>
    <m/>
    <n v="266.39999999999998"/>
    <n v="276"/>
    <n v="2300"/>
    <x v="7"/>
    <x v="0"/>
    <m/>
    <x v="0"/>
    <s v="SIM"/>
    <s v="SIM"/>
    <s v="SIM"/>
  </r>
  <r>
    <x v="0"/>
    <x v="0"/>
    <d v="2023-08-02T09:00:00"/>
    <s v="MSKU7600110"/>
    <n v="20"/>
    <x v="2"/>
    <s v="SOSAL"/>
    <s v="SBC"/>
    <s v="3AIBAK01CZ"/>
    <s v="SEBASTIAO CABOTO  329S"/>
    <n v="72778"/>
    <n v="72781"/>
    <s v="CGS0A65"/>
    <s v="CPJ5G64"/>
    <s v="MARCOS PAULO NUNES"/>
    <n v="16239341843"/>
    <s v="01877235038"/>
    <n v="16932"/>
    <s v="SANTOS BRASIL"/>
    <d v="2023-08-01T22:25:00"/>
    <s v="TRANSTEC SANTOS"/>
    <d v="2023-08-02T15:17:00"/>
    <d v="2023-08-02T00:30:00"/>
    <d v="2023-08-02T14:15:00"/>
    <m/>
    <m/>
    <m/>
    <m/>
    <n v="1757.6"/>
    <m/>
    <n v="266.39999999999998"/>
    <n v="276"/>
    <n v="2300"/>
    <x v="7"/>
    <x v="0"/>
    <m/>
    <x v="0"/>
    <s v="SIM"/>
    <s v="SIM"/>
    <s v="SIM"/>
  </r>
  <r>
    <x v="0"/>
    <x v="0"/>
    <d v="2023-08-03T11:00:00"/>
    <s v="SEKU4630927"/>
    <n v="40"/>
    <x v="2"/>
    <s v="SOSAL"/>
    <s v="SBC"/>
    <s v="3AIBAK01CY"/>
    <s v="SEBASTIAO CABOTO  329S"/>
    <n v="108884"/>
    <m/>
    <s v="BHP9483"/>
    <s v="BSG5I97"/>
    <s v="ANACLETO RODRIGUES DE SANTANA"/>
    <s v="01817591878"/>
    <s v="00821760640"/>
    <n v="16951"/>
    <s v="SANTOS BRASIL"/>
    <d v="2023-08-02T22:00:00"/>
    <s v="TRANSTEC SANTOS"/>
    <d v="2023-08-04T13:36:00"/>
    <d v="2023-08-03T02:00:00"/>
    <d v="2023-08-03T13:00:00"/>
    <m/>
    <m/>
    <m/>
    <m/>
    <n v="1757.6"/>
    <m/>
    <n v="266.39999999999998"/>
    <n v="276"/>
    <n v="2300"/>
    <x v="7"/>
    <x v="0"/>
    <m/>
    <x v="0"/>
    <s v="SIM"/>
    <s v="SIM"/>
    <s v="SIM"/>
  </r>
  <r>
    <x v="0"/>
    <x v="0"/>
    <d v="2023-08-03T09:00:00"/>
    <s v="MRKU7529710"/>
    <n v="20"/>
    <x v="2"/>
    <s v="SOSAL"/>
    <s v="SBC"/>
    <s v="3AIBAK01CZ"/>
    <s v="SEBASTIAO CABOTO  329S"/>
    <n v="72809"/>
    <n v="72810"/>
    <s v="KBK0D67"/>
    <s v="BWP9J59"/>
    <s v="JOAO BATISTA DOS SANTOS "/>
    <s v="13990937898"/>
    <s v="01825123407"/>
    <n v="16952"/>
    <s v="SANTOS BRASIL"/>
    <d v="2023-08-02T22:00:00"/>
    <s v="TRANSTEC SANTOS"/>
    <d v="2023-08-04T09:54:00"/>
    <d v="2023-08-03T02:00:00"/>
    <d v="2023-08-03T15:40:00"/>
    <m/>
    <m/>
    <m/>
    <m/>
    <n v="1757.6"/>
    <m/>
    <n v="266.39999999999998"/>
    <n v="276"/>
    <n v="2300"/>
    <x v="7"/>
    <x v="0"/>
    <m/>
    <x v="0"/>
    <s v="SIM"/>
    <s v="SIM"/>
    <s v="SIM"/>
  </r>
  <r>
    <x v="0"/>
    <x v="0"/>
    <d v="2023-08-03T09:00:00"/>
    <s v="MSKU4411900"/>
    <n v="20"/>
    <x v="2"/>
    <s v="SOSAL"/>
    <s v="SBC"/>
    <s v="3AIBAK01CZ"/>
    <s v="SEBASTIAO CABOTO  329S"/>
    <n v="72808"/>
    <m/>
    <s v="CGS0A65"/>
    <s v="CPJ5G64"/>
    <s v="MARCOS PAULO NUNES"/>
    <n v="16239341843"/>
    <s v="01877235038"/>
    <n v="16953"/>
    <s v="SANTOS BRASIL"/>
    <d v="2023-08-02T22:00:00"/>
    <s v="TRANSTEC SANTOS"/>
    <d v="2023-08-03T14:46:00"/>
    <d v="2023-08-03T02:00:00"/>
    <d v="2023-08-03T12:00:00"/>
    <m/>
    <m/>
    <m/>
    <m/>
    <n v="1757.6"/>
    <m/>
    <n v="266.39999999999998"/>
    <n v="276"/>
    <n v="2300"/>
    <x v="7"/>
    <x v="0"/>
    <m/>
    <x v="0"/>
    <s v="SIM"/>
    <s v="SIM"/>
    <s v="SIM"/>
  </r>
  <r>
    <x v="0"/>
    <x v="0"/>
    <d v="2023-08-04T09:00:00"/>
    <s v="HASU1265490"/>
    <n v="20"/>
    <x v="2"/>
    <s v="SOSAL"/>
    <s v="SBC"/>
    <s v="3AIBAK01DB"/>
    <s v="SEBASTIAO CABOTO  329S"/>
    <n v="66063"/>
    <n v="66064"/>
    <s v="BHP9483"/>
    <s v="BSG5I97"/>
    <s v="ANACLETO RODRIGUES DE SANTANA"/>
    <s v="01817591878"/>
    <s v="00821760640"/>
    <n v="16970"/>
    <s v="SANTOS BRASIL"/>
    <d v="2023-08-03T21:39:00"/>
    <s v="TRANSTEC SANTOS"/>
    <d v="2023-08-04T13:23:00"/>
    <d v="2023-08-04T00:10:00"/>
    <d v="2023-08-04T12:00:00"/>
    <m/>
    <m/>
    <m/>
    <m/>
    <n v="1757.6"/>
    <m/>
    <n v="266.39999999999998"/>
    <n v="276"/>
    <n v="2300"/>
    <x v="7"/>
    <x v="0"/>
    <m/>
    <x v="0"/>
    <s v="SIM"/>
    <s v="SIM"/>
    <s v="SIM"/>
  </r>
  <r>
    <x v="0"/>
    <x v="0"/>
    <d v="2023-08-04T09:00:00"/>
    <s v="HASU1331519"/>
    <n v="20"/>
    <x v="2"/>
    <s v="SOSAL"/>
    <s v="SBC"/>
    <s v="3AIBAK01CV"/>
    <s v="SEBASTIAO CABOTO  329S"/>
    <n v="108883"/>
    <m/>
    <s v="KBK0D67"/>
    <s v="BWP9J59"/>
    <s v="JOAO BATISTA DOS SANTOS "/>
    <s v="13990937898"/>
    <s v="01825123407"/>
    <n v="16921"/>
    <s v="SANTOS BRASIL"/>
    <d v="2023-08-03T21:29:00"/>
    <s v="TRANSTEC SANTOS"/>
    <d v="2023-08-04T00:00:00"/>
    <d v="2023-08-04T00:10:00"/>
    <d v="2023-08-04T11:00:00"/>
    <m/>
    <m/>
    <m/>
    <m/>
    <n v="1757.6"/>
    <m/>
    <n v="266.39999999999998"/>
    <n v="276"/>
    <n v="2300"/>
    <x v="7"/>
    <x v="0"/>
    <m/>
    <x v="0"/>
    <s v="SIM"/>
    <s v="SIM"/>
    <s v="SIM"/>
  </r>
  <r>
    <x v="1"/>
    <x v="0"/>
    <d v="2023-08-11T08:00:00"/>
    <s v="MSKU5253877"/>
    <n v="20"/>
    <x v="1"/>
    <s v="MIAN"/>
    <s v="SBC"/>
    <s v="AAK02KJC"/>
    <s v="FERNAO DE MAGALHAES"/>
    <n v="74769"/>
    <m/>
    <s v="BXA8485"/>
    <s v="AGR4C77"/>
    <s v="JOSE LITO DE SOUZA JUNIOR"/>
    <n v="15284965825"/>
    <s v="01681109819"/>
    <n v="17078"/>
    <s v="SANTOS BRASIL"/>
    <m/>
    <s v="TRANSTEC SANTOS"/>
    <m/>
    <d v="2023-08-11T00:40:00"/>
    <d v="2023-08-11T10:00:00"/>
    <m/>
    <m/>
    <m/>
    <m/>
    <n v="1845.6"/>
    <m/>
    <n v="266.39999999999998"/>
    <n v="288"/>
    <n v="2400"/>
    <x v="7"/>
    <x v="0"/>
    <m/>
    <x v="0"/>
    <m/>
    <m/>
    <m/>
  </r>
  <r>
    <x v="1"/>
    <x v="0"/>
    <d v="2023-08-10T08:00:00"/>
    <s v="CAIU3017539"/>
    <n v="20"/>
    <x v="0"/>
    <s v="MIAN"/>
    <s v="SBC"/>
    <n v="8033"/>
    <s v="MERCOSUL SUAPE  332S"/>
    <n v="109179"/>
    <m/>
    <s v="KBK0D67"/>
    <s v="BWP9J59"/>
    <s v="JOAO BATISTA DOS SANTOS "/>
    <s v="13990937898"/>
    <s v="01825123407"/>
    <n v="17028"/>
    <s v="DPW"/>
    <m/>
    <s v="MEDLOG"/>
    <m/>
    <d v="2023-08-09T23:00:00"/>
    <d v="2023-08-10T09:30:00"/>
    <m/>
    <m/>
    <m/>
    <m/>
    <m/>
    <m/>
    <m/>
    <n v="0"/>
    <m/>
    <x v="7"/>
    <x v="0"/>
    <m/>
    <x v="0"/>
    <m/>
    <m/>
    <m/>
  </r>
  <r>
    <x v="1"/>
    <x v="0"/>
    <d v="2023-08-10T08:00:00"/>
    <s v="CAIU3108201"/>
    <n v="20"/>
    <x v="0"/>
    <s v="MIAN"/>
    <s v="SBC"/>
    <m/>
    <s v="MERCOSUL SUAPE  332S"/>
    <n v="108990"/>
    <m/>
    <s v="CGS0A65"/>
    <s v="CPJ5G64"/>
    <s v="MARCOS PAULO NUNES"/>
    <m/>
    <m/>
    <n v="17029"/>
    <s v="DPW"/>
    <m/>
    <s v="MEDLOG"/>
    <m/>
    <d v="2023-08-09T23:00:00"/>
    <d v="2023-08-10T11:40:00"/>
    <m/>
    <m/>
    <m/>
    <m/>
    <m/>
    <m/>
    <m/>
    <n v="0"/>
    <m/>
    <x v="7"/>
    <x v="0"/>
    <m/>
    <x v="0"/>
    <m/>
    <m/>
    <m/>
  </r>
  <r>
    <x v="1"/>
    <x v="1"/>
    <d v="2023-08-10T08:00:00"/>
    <s v="AMFU8918531"/>
    <n v="40"/>
    <x v="0"/>
    <s v="DOREMUS"/>
    <s v="GUARULHOS"/>
    <n v="7893"/>
    <s v="MERCOSUL SUAPE  332S"/>
    <n v="108797"/>
    <m/>
    <s v="BHZ5C81"/>
    <s v="DBB8B01"/>
    <s v="MARLO DA SILVA ANDRE"/>
    <n v="3775233580"/>
    <n v="4031990855"/>
    <n v="17044"/>
    <s v="DPW"/>
    <m/>
    <s v="MEDLOG"/>
    <m/>
    <d v="2023-08-10T09:10:00"/>
    <d v="2023-08-10T13:15:00"/>
    <n v="2100"/>
    <m/>
    <m/>
    <m/>
    <m/>
    <m/>
    <m/>
    <n v="0"/>
    <m/>
    <x v="7"/>
    <x v="0"/>
    <m/>
    <x v="0"/>
    <m/>
    <m/>
    <m/>
  </r>
  <r>
    <x v="1"/>
    <x v="1"/>
    <d v="2023-08-10T08:00:00"/>
    <s v="DFSU7488307"/>
    <n v="40"/>
    <x v="0"/>
    <s v="DOREMUS"/>
    <s v="GUARULHOS"/>
    <n v="7891"/>
    <s v="MERCOSUL SUAPE  332S"/>
    <n v="108829"/>
    <m/>
    <s v="EXD0J35"/>
    <s v="MDX4I98"/>
    <s v="CLAUDIO SANTANA SANTOS"/>
    <n v="6216995863"/>
    <n v="2377424013"/>
    <n v="17067"/>
    <s v="DPW"/>
    <m/>
    <s v="MEDLOG"/>
    <m/>
    <d v="2023-08-10T09:10:00"/>
    <d v="2023-08-10T13:15:00"/>
    <n v="2100"/>
    <m/>
    <m/>
    <m/>
    <m/>
    <m/>
    <m/>
    <n v="0"/>
    <m/>
    <x v="7"/>
    <x v="0"/>
    <m/>
    <x v="0"/>
    <m/>
    <m/>
    <m/>
  </r>
  <r>
    <x v="1"/>
    <x v="0"/>
    <d v="2023-08-10T08:00:00"/>
    <s v="TCLU8269381"/>
    <n v="40"/>
    <x v="0"/>
    <s v="AJINOMOTO"/>
    <s v="LIMEIRA"/>
    <m/>
    <s v="MERCOSUL SUAPE  332S"/>
    <n v="108923"/>
    <n v="108924"/>
    <s v="AHP6I00"/>
    <m/>
    <s v="PAULO ROBERTO GERMANO"/>
    <m/>
    <m/>
    <n v="17025"/>
    <s v="DPW"/>
    <m/>
    <s v="MEDLOG"/>
    <m/>
    <d v="2023-08-10T04:10:00"/>
    <d v="2023-08-10T10:55:00"/>
    <m/>
    <m/>
    <m/>
    <m/>
    <n v="3472.48"/>
    <m/>
    <n v="621.6"/>
    <n v="558.28319999999997"/>
    <n v="4652.3599999999997"/>
    <x v="7"/>
    <x v="0"/>
    <m/>
    <x v="0"/>
    <m/>
    <m/>
    <m/>
  </r>
  <r>
    <x v="2"/>
    <x v="0"/>
    <d v="2023-08-11T08:00:00"/>
    <s v="AMFU8951822"/>
    <n v="40"/>
    <x v="0"/>
    <s v="AJINOMOTO"/>
    <s v="LIMEIRA"/>
    <n v="7999"/>
    <s v="MERCOSUL SUAPE  332S"/>
    <n v="108885"/>
    <n v="108886"/>
    <s v="AHP6I00"/>
    <s v="JYE0660"/>
    <s v="PAULO ROBERTO GERMANO"/>
    <n v="3965340824"/>
    <s v="01420704735"/>
    <n v="17062"/>
    <s v="DPW"/>
    <m/>
    <s v="MEDLOG"/>
    <m/>
    <d v="2023-08-11T02:50:00"/>
    <m/>
    <m/>
    <m/>
    <m/>
    <m/>
    <n v="3472.48"/>
    <m/>
    <n v="621.6"/>
    <n v="558.28319999999997"/>
    <n v="4652.3599999999997"/>
    <x v="7"/>
    <x v="0"/>
    <m/>
    <x v="0"/>
    <m/>
    <m/>
    <m/>
  </r>
  <r>
    <x v="2"/>
    <x v="0"/>
    <d v="2023-08-11T08:00:00"/>
    <s v="TRHU5408273"/>
    <n v="40"/>
    <x v="0"/>
    <s v="AJINOMOTO"/>
    <s v="LIMEIRA"/>
    <n v="7894"/>
    <s v="MERCOSUL SUAPE  332S"/>
    <n v="108830"/>
    <n v="108831"/>
    <s v="DAJ8C31"/>
    <s v="CUE2461"/>
    <s v="NELSON LOPES AMANCIO"/>
    <n v="31147992568"/>
    <s v="03359999478"/>
    <n v="17064"/>
    <s v="DPW"/>
    <m/>
    <s v="MEDLOG"/>
    <m/>
    <d v="2023-08-11T02:50:00"/>
    <m/>
    <m/>
    <m/>
    <m/>
    <m/>
    <n v="3472.48"/>
    <m/>
    <n v="621.6"/>
    <n v="558.28319999999997"/>
    <n v="4652.3599999999997"/>
    <x v="7"/>
    <x v="0"/>
    <m/>
    <x v="0"/>
    <m/>
    <m/>
    <m/>
  </r>
  <r>
    <x v="3"/>
    <x v="2"/>
    <d v="2023-08-14T08:00:00"/>
    <s v="MSDU7100188"/>
    <n v="40"/>
    <x v="0"/>
    <s v="AJINOMOTO"/>
    <s v="LIMEIRA"/>
    <n v="7892"/>
    <s v="MERCOSUL SUAPE  332S"/>
    <n v="108795"/>
    <n v="108796"/>
    <s v="AHP6I00"/>
    <s v="JYE0660"/>
    <s v="PAULO ROBERTO GERMANO"/>
    <s v="03965340824"/>
    <s v="01420704735"/>
    <n v="17086"/>
    <s v="DPW"/>
    <m/>
    <s v="MEDLOG"/>
    <m/>
    <m/>
    <m/>
    <m/>
    <m/>
    <m/>
    <m/>
    <n v="3472.48"/>
    <m/>
    <n v="621.6"/>
    <n v="558.28319999999997"/>
    <n v="4652.3599999999997"/>
    <x v="7"/>
    <x v="0"/>
    <m/>
    <x v="0"/>
    <m/>
    <m/>
    <m/>
  </r>
  <r>
    <x v="1"/>
    <x v="0"/>
    <d v="2023-08-10T08:00:00"/>
    <s v="CAIU3021170"/>
    <n v="20"/>
    <x v="0"/>
    <s v="ADESTE"/>
    <s v="SANTO ANDRE"/>
    <m/>
    <s v="MERCOSUL SUAPE  332S"/>
    <n v="109178"/>
    <m/>
    <m/>
    <m/>
    <m/>
    <m/>
    <m/>
    <m/>
    <s v="DPW"/>
    <m/>
    <s v="MEDLOG"/>
    <m/>
    <d v="2023-08-10T00:25:00"/>
    <d v="2023-08-10T12:50:00"/>
    <m/>
    <m/>
    <m/>
    <m/>
    <m/>
    <m/>
    <m/>
    <n v="0"/>
    <m/>
    <x v="7"/>
    <x v="0"/>
    <m/>
    <x v="0"/>
    <m/>
    <m/>
    <m/>
  </r>
  <r>
    <x v="1"/>
    <x v="1"/>
    <d v="2023-08-10T08:00:00"/>
    <s v="SEGU1121480"/>
    <n v="20"/>
    <x v="0"/>
    <s v="NEW MAX"/>
    <s v="AMERICANA"/>
    <n v="8039"/>
    <s v="MERCOSUL SUAPE  332S"/>
    <n v="108991"/>
    <m/>
    <s v="ABV8D21"/>
    <s v="BXF6C67"/>
    <s v="LUCAS TEIXEIRA COSTA"/>
    <s v="05826127805"/>
    <s v="0239620357"/>
    <n v="17038"/>
    <s v="DPW"/>
    <m/>
    <s v="MEDLOG"/>
    <m/>
    <d v="2023-08-10T08:20:00"/>
    <d v="2023-08-10T12:03:00"/>
    <m/>
    <m/>
    <m/>
    <m/>
    <m/>
    <m/>
    <m/>
    <n v="0"/>
    <m/>
    <x v="7"/>
    <x v="0"/>
    <m/>
    <x v="0"/>
    <m/>
    <m/>
    <m/>
  </r>
  <r>
    <x v="1"/>
    <x v="0"/>
    <d v="2023-08-10T08:00:00"/>
    <s v="TEMU7706334"/>
    <n v="40"/>
    <x v="0"/>
    <s v="JBS"/>
    <s v="SANTANA PARNAIBA"/>
    <n v="8017"/>
    <s v="MERCOSUL SUAPE  332S"/>
    <n v="108995"/>
    <m/>
    <s v="DVS9G77"/>
    <s v="DPE7C55"/>
    <s v="FABIO COSTA DA SILVA"/>
    <s v="00097734527"/>
    <s v="03148346870"/>
    <n v="17039"/>
    <s v="DPW"/>
    <m/>
    <s v="MEDLOG"/>
    <m/>
    <d v="2023-08-10T04:54:00"/>
    <d v="2023-08-10T11:12:00"/>
    <m/>
    <m/>
    <m/>
    <m/>
    <n v="2557.9699999999998"/>
    <m/>
    <m/>
    <n v="372.6"/>
    <n v="3330.19"/>
    <x v="7"/>
    <x v="0"/>
    <m/>
    <x v="0"/>
    <m/>
    <m/>
    <m/>
  </r>
  <r>
    <x v="4"/>
    <x v="3"/>
    <d v="2023-08-10T08:00:00"/>
    <s v="TCLU8204307"/>
    <n v="40"/>
    <x v="0"/>
    <s v="JBS"/>
    <s v="SANTANA PARNAIBA"/>
    <n v="8018"/>
    <s v="MERCOSUL SUAPE  332S"/>
    <n v="109035"/>
    <m/>
    <s v="BUS5619"/>
    <s v="DVT5836"/>
    <s v="GELSON LEMOS RIBEIRO"/>
    <s v="73350419887"/>
    <s v="01449022605"/>
    <n v="17040"/>
    <s v="DPW"/>
    <m/>
    <s v="MEDLOG"/>
    <m/>
    <m/>
    <m/>
    <m/>
    <m/>
    <m/>
    <m/>
    <m/>
    <m/>
    <m/>
    <n v="0"/>
    <m/>
    <x v="7"/>
    <x v="0"/>
    <m/>
    <x v="0"/>
    <m/>
    <m/>
    <m/>
  </r>
  <r>
    <x v="2"/>
    <x v="0"/>
    <d v="2023-08-11T08:00:00"/>
    <s v="MEDU2973090"/>
    <n v="20"/>
    <x v="0"/>
    <s v="PENINA"/>
    <s v="VL INDEPENDENTE"/>
    <n v="7886"/>
    <s v="MERCOSUL SUAPE  332S"/>
    <n v="108794"/>
    <m/>
    <s v="KBK0D67"/>
    <s v="BWP9J59"/>
    <s v="JOAO BATISTA DOS SANTOS"/>
    <n v="13990937898"/>
    <s v="01825123407"/>
    <n v="17061"/>
    <s v="DPW"/>
    <m/>
    <s v="MEDLOG"/>
    <m/>
    <d v="2023-08-11T00:01:00"/>
    <m/>
    <m/>
    <m/>
    <m/>
    <m/>
    <n v="2294.6999999999998"/>
    <n v="768.04"/>
    <n v="222"/>
    <n v="447.91919999999999"/>
    <n v="3732.66"/>
    <x v="7"/>
    <x v="0"/>
    <m/>
    <x v="0"/>
    <m/>
    <m/>
    <m/>
  </r>
  <r>
    <x v="1"/>
    <x v="0"/>
    <d v="2023-08-11T08:00:00"/>
    <s v="DFSU7494742"/>
    <n v="40"/>
    <x v="0"/>
    <s v="AJINOMOTO"/>
    <s v="LIMEIRA"/>
    <m/>
    <s v="MERCOSUL SUAPE  332S"/>
    <n v="108925"/>
    <n v="108926"/>
    <s v="DAJ5055"/>
    <m/>
    <s v="NELSON LOPES AMANCIO"/>
    <m/>
    <m/>
    <m/>
    <s v="DPW"/>
    <m/>
    <s v="MEDLOG"/>
    <m/>
    <d v="2023-08-10T04:10:00"/>
    <d v="2023-08-10T10:40:00"/>
    <m/>
    <m/>
    <m/>
    <m/>
    <n v="3472.48"/>
    <m/>
    <n v="621.6"/>
    <n v="558.28319999999997"/>
    <n v="4652.3599999999997"/>
    <x v="7"/>
    <x v="0"/>
    <m/>
    <x v="0"/>
    <m/>
    <m/>
    <m/>
  </r>
  <r>
    <x v="5"/>
    <x v="2"/>
    <d v="2023-08-11T08:00:00"/>
    <s v="TCNU1248949"/>
    <n v="40"/>
    <x v="0"/>
    <s v="AJINOMOTO"/>
    <s v="LIMEIRA"/>
    <m/>
    <s v="MERCOSUL SUAPE  332S"/>
    <n v="108750"/>
    <n v="108751"/>
    <m/>
    <m/>
    <m/>
    <m/>
    <m/>
    <m/>
    <s v="DPW"/>
    <m/>
    <s v="MEDLOG"/>
    <m/>
    <m/>
    <m/>
    <m/>
    <m/>
    <m/>
    <m/>
    <n v="3472.48"/>
    <m/>
    <n v="621.6"/>
    <n v="558.28319999999997"/>
    <n v="4652.3599999999997"/>
    <x v="7"/>
    <x v="0"/>
    <m/>
    <x v="0"/>
    <m/>
    <m/>
    <m/>
  </r>
  <r>
    <x v="5"/>
    <x v="2"/>
    <d v="2023-08-11T08:00:00"/>
    <s v="MSMU4154802"/>
    <n v="40"/>
    <x v="0"/>
    <s v="AJINOMOTO"/>
    <s v="LIMEIRA"/>
    <m/>
    <s v="MERCOSUL SUAPE  332S"/>
    <n v="108748"/>
    <n v="108749"/>
    <m/>
    <m/>
    <m/>
    <m/>
    <m/>
    <m/>
    <s v="DPW"/>
    <m/>
    <s v="MEDLOG"/>
    <m/>
    <m/>
    <m/>
    <m/>
    <m/>
    <m/>
    <m/>
    <n v="3472.48"/>
    <m/>
    <n v="621.6"/>
    <n v="558.28319999999997"/>
    <n v="4652.3599999999997"/>
    <x v="7"/>
    <x v="0"/>
    <m/>
    <x v="0"/>
    <m/>
    <m/>
    <m/>
  </r>
  <r>
    <x v="2"/>
    <x v="0"/>
    <d v="2023-08-11T08:00:00"/>
    <s v="SEGU1118086"/>
    <n v="20"/>
    <x v="0"/>
    <s v="CHARQUE CAMPEAO"/>
    <s v="SANTANA DE PARNAIBA"/>
    <n v="7993"/>
    <s v="MERCOSUL SUAPE  332S"/>
    <n v="120328"/>
    <m/>
    <s v="BYA0806"/>
    <s v="ETF6391"/>
    <s v="MIGUEL ARNOLD"/>
    <m/>
    <m/>
    <n v="17068"/>
    <s v="DPW"/>
    <m/>
    <s v="MEDLOG"/>
    <m/>
    <d v="2023-08-11T03:20:00"/>
    <m/>
    <m/>
    <m/>
    <m/>
    <m/>
    <n v="2557.98"/>
    <m/>
    <n v="372.6"/>
    <n v="399.62399999999997"/>
    <n v="3330.2"/>
    <x v="7"/>
    <x v="0"/>
    <m/>
    <x v="0"/>
    <m/>
    <m/>
    <m/>
  </r>
  <r>
    <x v="2"/>
    <x v="0"/>
    <d v="2023-08-11T08:00:00"/>
    <s v="MEDU6196228"/>
    <n v="20"/>
    <x v="0"/>
    <s v="NEW MAX"/>
    <s v="AMERICANA"/>
    <n v="8016"/>
    <s v="MERCOSUL SUAPE  332S"/>
    <n v="109128"/>
    <m/>
    <s v="ABV8D21"/>
    <s v="BXF6C67"/>
    <s v="LUCAS TEIXEIRA COSTA"/>
    <s v="05826127805"/>
    <s v="02397620357"/>
    <n v="17069"/>
    <s v="DPW"/>
    <m/>
    <s v="MEDLOG"/>
    <m/>
    <d v="2023-08-11T06:00:00"/>
    <m/>
    <m/>
    <m/>
    <m/>
    <m/>
    <m/>
    <m/>
    <m/>
    <n v="0"/>
    <m/>
    <x v="7"/>
    <x v="0"/>
    <m/>
    <x v="0"/>
    <m/>
    <m/>
    <m/>
  </r>
  <r>
    <x v="6"/>
    <x v="2"/>
    <d v="2023-08-11T08:00:00"/>
    <s v="CIPU5018782"/>
    <n v="40"/>
    <x v="0"/>
    <s v="JBS"/>
    <s v="SANTANA PARNAIBA"/>
    <n v="8020"/>
    <s v="MERCOSUL SUAPE  332S"/>
    <n v="120457"/>
    <m/>
    <s v="EFU6A89"/>
    <s v="CYB6H56"/>
    <s v="GABRIEL HENRIQUE CORREA GOMES"/>
    <m/>
    <m/>
    <n v="17076"/>
    <s v="DPW"/>
    <m/>
    <s v="MEDLOG"/>
    <m/>
    <m/>
    <m/>
    <m/>
    <m/>
    <m/>
    <m/>
    <n v="2557.9699999999998"/>
    <m/>
    <n v="372.6"/>
    <n v="399.62279999999998"/>
    <n v="3330.19"/>
    <x v="7"/>
    <x v="0"/>
    <m/>
    <x v="0"/>
    <m/>
    <m/>
    <m/>
  </r>
  <r>
    <x v="2"/>
    <x v="0"/>
    <d v="2023-08-11T08:00:00"/>
    <s v="CIPU5015989"/>
    <n v="40"/>
    <x v="0"/>
    <s v="JBS"/>
    <s v="SANTANA PARNAIBA"/>
    <n v="8021"/>
    <s v="MERCOSUL SUAPE  332S"/>
    <n v="120461"/>
    <m/>
    <s v="DVT6D42"/>
    <s v="BXE2B57"/>
    <s v="ROBERTO RONALD SANTOS"/>
    <m/>
    <m/>
    <n v="17077"/>
    <s v="DPW"/>
    <m/>
    <s v="MEDLOG"/>
    <m/>
    <d v="2023-08-11T03:30:00"/>
    <m/>
    <m/>
    <m/>
    <m/>
    <m/>
    <n v="2557.9699999999998"/>
    <m/>
    <n v="372.6"/>
    <n v="399.62279999999998"/>
    <n v="3330.19"/>
    <x v="7"/>
    <x v="0"/>
    <m/>
    <x v="0"/>
    <m/>
    <m/>
    <m/>
  </r>
  <r>
    <x v="4"/>
    <x v="2"/>
    <d v="2023-08-11T08:00:00"/>
    <s v="CIPU5019177"/>
    <n v="40"/>
    <x v="0"/>
    <s v="AJINOMOTO"/>
    <s v="LIMEIRA"/>
    <n v="8001"/>
    <s v="MERCOSUL SUAPE  332S"/>
    <n v="108996"/>
    <n v="108997"/>
    <s v="DTB9J13"/>
    <s v="CPJ3G59"/>
    <s v="JOSE EDNILSON DOS SANTOS"/>
    <n v="88265951434"/>
    <s v="0092033596"/>
    <n v="17036"/>
    <s v="DPW"/>
    <m/>
    <s v="MEDLOG"/>
    <m/>
    <m/>
    <m/>
    <m/>
    <m/>
    <m/>
    <m/>
    <n v="3472.48"/>
    <m/>
    <n v="621.6"/>
    <n v="558.28319999999997"/>
    <n v="4652.3599999999997"/>
    <x v="7"/>
    <x v="0"/>
    <m/>
    <x v="0"/>
    <m/>
    <m/>
    <m/>
  </r>
  <r>
    <x v="3"/>
    <x v="2"/>
    <d v="2023-08-14T08:00:00"/>
    <s v="CAIU3398899"/>
    <n v="20"/>
    <x v="0"/>
    <s v="MIAN"/>
    <s v="SBC"/>
    <n v="7994"/>
    <s v="MERCOSUL SUAPE  332S"/>
    <n v="120329"/>
    <m/>
    <s v="KBK0D67"/>
    <s v="BWP9J59"/>
    <s v="JOAO BATISTA DOS SANTOS"/>
    <s v="13990937898"/>
    <s v="01825123407"/>
    <n v="17085"/>
    <s v="DPW"/>
    <m/>
    <s v="MEDLOG"/>
    <m/>
    <m/>
    <m/>
    <m/>
    <m/>
    <m/>
    <m/>
    <n v="2018.37"/>
    <m/>
    <n v="266.39999999999998"/>
    <n v="311.55959999999999"/>
    <n v="2596.33"/>
    <x v="7"/>
    <x v="0"/>
    <m/>
    <x v="0"/>
    <m/>
    <m/>
    <m/>
  </r>
  <r>
    <x v="3"/>
    <x v="2"/>
    <d v="2023-08-14T08:00:00"/>
    <s v=" MEDU3655560 "/>
    <n v="20"/>
    <x v="0"/>
    <s v="CHARQUE CAMPEAO"/>
    <s v="SANTANA DE PARNAIBA"/>
    <n v="8011"/>
    <s v="MERCOSUL SUAPE  332S"/>
    <s v=" 120136. "/>
    <m/>
    <s v="EWJ2162"/>
    <s v="ETF6391"/>
    <s v="CARLOS BUENO BALTAZAR"/>
    <s v="19279658883"/>
    <s v="01301319672"/>
    <n v="17089"/>
    <s v="DPW"/>
    <m/>
    <s v="MEDLOG"/>
    <m/>
    <m/>
    <m/>
    <m/>
    <m/>
    <m/>
    <m/>
    <n v="2557.98"/>
    <m/>
    <n v="372.6"/>
    <n v="399.62399999999997"/>
    <n v="3330.2"/>
    <x v="7"/>
    <x v="0"/>
    <m/>
    <x v="0"/>
    <m/>
    <m/>
    <m/>
  </r>
  <r>
    <x v="3"/>
    <x v="2"/>
    <d v="2023-08-14T08:00:00"/>
    <s v="TEMU7925944"/>
    <n v="40"/>
    <x v="0"/>
    <s v="JBS"/>
    <s v="SANTANA PARNAIBA"/>
    <n v="8024"/>
    <s v="MERCOSUL SUAPE  332S"/>
    <n v="120541"/>
    <m/>
    <s v="NFG7H71"/>
    <s v="CUA6F64"/>
    <s v="JONAS ALVARES IGNEZ"/>
    <s v="27098242802"/>
    <s v="03025741371"/>
    <n v="17091"/>
    <s v="DPW"/>
    <m/>
    <s v="MEDLOG"/>
    <m/>
    <m/>
    <m/>
    <m/>
    <m/>
    <m/>
    <m/>
    <n v="2557.9699999999998"/>
    <m/>
    <n v="372.6"/>
    <n v="399.62279999999998"/>
    <n v="3330.19"/>
    <x v="7"/>
    <x v="0"/>
    <m/>
    <x v="0"/>
    <m/>
    <m/>
    <m/>
  </r>
  <r>
    <x v="3"/>
    <x v="2"/>
    <d v="2023-08-14T08:00:00"/>
    <s v="CAIU4835083"/>
    <n v="40"/>
    <x v="0"/>
    <s v="JBS"/>
    <s v="SANTANA PARNAIBA"/>
    <n v="8025"/>
    <s v="MERCOSUL SUAPE  332S"/>
    <n v="120552"/>
    <m/>
    <s v="EKH4C25"/>
    <s v="DAO7B51"/>
    <s v="WESLLEY RODRIGO CONSTANCIO DA SILVA"/>
    <s v="38329597857"/>
    <s v="04956762510"/>
    <n v="17095"/>
    <s v="DPW"/>
    <m/>
    <s v="MEDLOG"/>
    <m/>
    <m/>
    <m/>
    <m/>
    <m/>
    <m/>
    <m/>
    <n v="2557.9699999999998"/>
    <m/>
    <n v="372.6"/>
    <n v="399.62279999999998"/>
    <n v="3330.19"/>
    <x v="7"/>
    <x v="0"/>
    <m/>
    <x v="0"/>
    <m/>
    <m/>
    <m/>
  </r>
  <r>
    <x v="3"/>
    <x v="2"/>
    <d v="2023-08-14T08:00:00"/>
    <s v="SEGU4111399"/>
    <n v="40"/>
    <x v="0"/>
    <s v="FLUIDrA"/>
    <s v="VALINHOS"/>
    <n v="8002"/>
    <s v="MERCOSUL SUAPE  332S"/>
    <n v="108999"/>
    <m/>
    <s v="EFU6A89"/>
    <s v="CYB6H56"/>
    <s v="GABRIEL HENRIQUE CORREA GOMES"/>
    <s v="43345159830"/>
    <s v="05585211593"/>
    <n v="17096"/>
    <s v="DPW"/>
    <m/>
    <s v="MEDLOG"/>
    <m/>
    <m/>
    <m/>
    <m/>
    <m/>
    <m/>
    <m/>
    <n v="3245.68"/>
    <m/>
    <n v="596.4"/>
    <n v="523.91999999999996"/>
    <n v="4366"/>
    <x v="7"/>
    <x v="0"/>
    <m/>
    <x v="0"/>
    <m/>
    <m/>
    <m/>
  </r>
  <r>
    <x v="2"/>
    <x v="0"/>
    <d v="2023-08-14T08:00:00"/>
    <s v="CAAU6490809"/>
    <n v="40"/>
    <x v="0"/>
    <s v="AJINOMOTO"/>
    <s v="LIMEIRA"/>
    <n v="8000"/>
    <s v="MERCOSUL SUAPE  332S"/>
    <n v="109037"/>
    <n v="109038"/>
    <s v="EFU6A89"/>
    <s v="CYB6H56"/>
    <s v="GABRIEL HENRIQUE CORREA GOMES"/>
    <n v="43345159830"/>
    <s v="05585211593"/>
    <n v="17037"/>
    <s v="DPW"/>
    <m/>
    <s v="MEDLOG"/>
    <m/>
    <d v="2023-08-10T11:57:00"/>
    <m/>
    <m/>
    <m/>
    <m/>
    <m/>
    <n v="3472.48"/>
    <m/>
    <n v="621.6"/>
    <n v="558.28319999999997"/>
    <n v="4652.3599999999997"/>
    <x v="7"/>
    <x v="0"/>
    <m/>
    <x v="0"/>
    <m/>
    <m/>
    <m/>
  </r>
  <r>
    <x v="4"/>
    <x v="2"/>
    <d v="2023-08-14T08:00:00"/>
    <s v="TRHU7051966"/>
    <n v="40"/>
    <x v="0"/>
    <s v="AJINOMOTO"/>
    <s v="LIMEIRA"/>
    <n v="8019"/>
    <s v="MERCOSUL SUAPE  332S"/>
    <n v="109086"/>
    <n v="109087"/>
    <s v="DDL8B54"/>
    <s v="FEI4012"/>
    <s v="WILTON SILVA BARBOSA"/>
    <s v="38029906846"/>
    <s v="04946846842"/>
    <n v="17070"/>
    <s v="DPW"/>
    <m/>
    <s v="MEDLOG"/>
    <m/>
    <m/>
    <m/>
    <m/>
    <m/>
    <m/>
    <m/>
    <n v="3472.48"/>
    <m/>
    <n v="621.6"/>
    <n v="558.28319999999997"/>
    <n v="4652.3599999999997"/>
    <x v="7"/>
    <x v="0"/>
    <m/>
    <x v="0"/>
    <m/>
    <m/>
    <m/>
  </r>
  <r>
    <x v="5"/>
    <x v="2"/>
    <d v="2023-08-15T08:00:00"/>
    <s v="TRHU7044036"/>
    <n v="40"/>
    <x v="0"/>
    <s v="JBS"/>
    <s v="SANTANA PARNAIBA"/>
    <m/>
    <s v="MERCOSUL SUAPE  332S"/>
    <n v="120518"/>
    <m/>
    <m/>
    <m/>
    <m/>
    <m/>
    <m/>
    <m/>
    <s v="DPW"/>
    <m/>
    <s v="MEDLOG"/>
    <m/>
    <m/>
    <m/>
    <m/>
    <m/>
    <m/>
    <m/>
    <n v="2557.9699999999998"/>
    <m/>
    <n v="372.6"/>
    <n v="399.62279999999998"/>
    <n v="3330.19"/>
    <x v="7"/>
    <x v="0"/>
    <m/>
    <x v="0"/>
    <m/>
    <m/>
    <m/>
  </r>
  <r>
    <x v="5"/>
    <x v="2"/>
    <d v="2023-08-15T08:00:00"/>
    <s v="AMFU8916668"/>
    <n v="40"/>
    <x v="0"/>
    <s v="JBS"/>
    <s v="SANTANA PARNAIBA"/>
    <m/>
    <s v="MERCOSUL SUAPE  332S"/>
    <n v="120564"/>
    <m/>
    <m/>
    <m/>
    <m/>
    <m/>
    <m/>
    <m/>
    <s v="DPW"/>
    <m/>
    <s v="MEDLOG"/>
    <m/>
    <m/>
    <m/>
    <m/>
    <m/>
    <m/>
    <m/>
    <n v="2557.9699999999998"/>
    <m/>
    <n v="372.6"/>
    <n v="399.62279999999998"/>
    <n v="3330.19"/>
    <x v="7"/>
    <x v="0"/>
    <m/>
    <x v="0"/>
    <m/>
    <m/>
    <m/>
  </r>
  <r>
    <x v="4"/>
    <x v="2"/>
    <d v="2023-08-15T08:00:00"/>
    <s v="MSDU7257963"/>
    <n v="40"/>
    <x v="0"/>
    <s v="AJINOMOTO"/>
    <s v="LIMEIRA"/>
    <m/>
    <s v="MERCOSUL SUAPE  332S"/>
    <n v="109088"/>
    <n v="109089"/>
    <s v="DTB9J13"/>
    <s v=" CPJ3G59"/>
    <s v="JOSE EDNILSON DOS SANTOS"/>
    <m/>
    <m/>
    <n v="17075"/>
    <s v="DPW"/>
    <m/>
    <s v="MEDLOG"/>
    <m/>
    <m/>
    <m/>
    <m/>
    <m/>
    <m/>
    <m/>
    <n v="3472.48"/>
    <m/>
    <n v="621.6"/>
    <n v="558.28319999999997"/>
    <n v="4652.3599999999997"/>
    <x v="7"/>
    <x v="0"/>
    <m/>
    <x v="0"/>
    <m/>
    <m/>
    <m/>
  </r>
  <r>
    <x v="3"/>
    <x v="2"/>
    <d v="2023-08-14T08:00:00"/>
    <s v="DFSU7488400"/>
    <n v="40"/>
    <x v="0"/>
    <s v="AJINOMOTO"/>
    <s v="LIMEIRA"/>
    <n v="8036"/>
    <s v="MERCOSUL SUAPE  332S"/>
    <n v="109188"/>
    <n v="109189"/>
    <s v="DAJ5055"/>
    <s v="CUE2461"/>
    <s v="NELSON LOPES AMANCIO"/>
    <s v="31147992568"/>
    <s v="03359999478"/>
    <n v="17088"/>
    <s v="DPW"/>
    <m/>
    <s v="MEDLOG"/>
    <m/>
    <m/>
    <m/>
    <m/>
    <m/>
    <m/>
    <m/>
    <n v="3472.48"/>
    <m/>
    <n v="621.6"/>
    <n v="558.28319999999997"/>
    <n v="4652.3599999999997"/>
    <x v="7"/>
    <x v="0"/>
    <m/>
    <x v="0"/>
    <m/>
    <m/>
    <m/>
  </r>
  <r>
    <x v="5"/>
    <x v="2"/>
    <d v="2023-08-18T09:00:00"/>
    <s v="SEGU1258067"/>
    <m/>
    <x v="2"/>
    <s v="SOSAL"/>
    <s v="SBC"/>
    <m/>
    <s v="LOGIN JACARANDA  156S"/>
    <n v="109343"/>
    <m/>
    <m/>
    <m/>
    <m/>
    <m/>
    <m/>
    <m/>
    <m/>
    <m/>
    <m/>
    <m/>
    <m/>
    <m/>
    <m/>
    <m/>
    <m/>
    <m/>
    <m/>
    <m/>
    <m/>
    <n v="0"/>
    <m/>
    <x v="7"/>
    <x v="0"/>
    <m/>
    <x v="0"/>
    <m/>
    <m/>
    <m/>
  </r>
  <r>
    <x v="5"/>
    <x v="2"/>
    <d v="2023-08-17T09:00:00"/>
    <s v="TCLU3043386"/>
    <m/>
    <x v="2"/>
    <s v="SOSAL"/>
    <s v="SBC"/>
    <m/>
    <s v="LOGIN JACARANDA  156S"/>
    <n v="109395"/>
    <m/>
    <m/>
    <m/>
    <m/>
    <m/>
    <m/>
    <m/>
    <m/>
    <m/>
    <m/>
    <m/>
    <m/>
    <m/>
    <m/>
    <m/>
    <m/>
    <m/>
    <m/>
    <m/>
    <m/>
    <n v="0"/>
    <m/>
    <x v="7"/>
    <x v="0"/>
    <m/>
    <x v="0"/>
    <m/>
    <m/>
    <m/>
  </r>
  <r>
    <x v="5"/>
    <x v="2"/>
    <d v="2023-08-17T09:00:00"/>
    <s v="GESU1439667"/>
    <m/>
    <x v="2"/>
    <s v="SOSAL"/>
    <s v="SBC"/>
    <m/>
    <s v="LOGIN JACARANDA  156S"/>
    <n v="109396"/>
    <m/>
    <m/>
    <m/>
    <m/>
    <m/>
    <m/>
    <m/>
    <m/>
    <m/>
    <m/>
    <m/>
    <m/>
    <m/>
    <m/>
    <m/>
    <m/>
    <m/>
    <m/>
    <m/>
    <m/>
    <n v="0"/>
    <m/>
    <x v="7"/>
    <x v="0"/>
    <m/>
    <x v="0"/>
    <m/>
    <m/>
    <m/>
  </r>
  <r>
    <x v="5"/>
    <x v="2"/>
    <d v="2023-08-18T09:00:00"/>
    <s v="CAIU3412750"/>
    <m/>
    <x v="2"/>
    <s v="SOSAL"/>
    <s v="SBC"/>
    <m/>
    <s v="LOGIN JACARANDA  156S"/>
    <n v="120920"/>
    <m/>
    <m/>
    <m/>
    <m/>
    <m/>
    <m/>
    <m/>
    <m/>
    <m/>
    <m/>
    <m/>
    <m/>
    <m/>
    <m/>
    <m/>
    <m/>
    <m/>
    <m/>
    <m/>
    <m/>
    <n v="0"/>
    <m/>
    <x v="7"/>
    <x v="0"/>
    <m/>
    <x v="0"/>
    <m/>
    <m/>
    <m/>
  </r>
  <r>
    <x v="5"/>
    <x v="2"/>
    <d v="2023-08-21T09:00:00"/>
    <s v="MSDU2867027"/>
    <m/>
    <x v="2"/>
    <s v="SOSAL"/>
    <s v="SBC"/>
    <m/>
    <s v="LOGIN JACARANDA  156S"/>
    <n v="73157"/>
    <m/>
    <m/>
    <m/>
    <m/>
    <m/>
    <m/>
    <m/>
    <m/>
    <m/>
    <m/>
    <m/>
    <m/>
    <m/>
    <m/>
    <m/>
    <m/>
    <m/>
    <m/>
    <m/>
    <m/>
    <n v="0"/>
    <m/>
    <x v="7"/>
    <x v="0"/>
    <m/>
    <x v="0"/>
    <m/>
    <m/>
    <m/>
  </r>
  <r>
    <x v="5"/>
    <x v="2"/>
    <d v="2023-08-21T09:00:00"/>
    <s v="MEDU2137079"/>
    <m/>
    <x v="2"/>
    <s v="SOSAL"/>
    <s v="SBC"/>
    <m/>
    <s v="LOGIN JACARANDA  156S"/>
    <n v="73161"/>
    <n v="73163"/>
    <m/>
    <m/>
    <m/>
    <m/>
    <m/>
    <m/>
    <m/>
    <m/>
    <m/>
    <m/>
    <m/>
    <m/>
    <m/>
    <m/>
    <m/>
    <m/>
    <m/>
    <m/>
    <m/>
    <n v="0"/>
    <m/>
    <x v="7"/>
    <x v="0"/>
    <m/>
    <x v="0"/>
    <m/>
    <m/>
    <m/>
  </r>
  <r>
    <x v="7"/>
    <x v="2"/>
    <d v="2023-08-14T08:00:00"/>
    <s v="BEAU2795433"/>
    <m/>
    <x v="4"/>
    <s v="VILHETO"/>
    <s v="BARUERI"/>
    <m/>
    <s v="MERCOSUL SUAPE  332S"/>
    <n v="1812"/>
    <m/>
    <m/>
    <m/>
    <m/>
    <m/>
    <m/>
    <m/>
    <m/>
    <m/>
    <m/>
    <m/>
    <m/>
    <m/>
    <m/>
    <m/>
    <m/>
    <m/>
    <m/>
    <m/>
    <m/>
    <n v="0"/>
    <m/>
    <x v="7"/>
    <x v="0"/>
    <m/>
    <x v="0"/>
    <m/>
    <m/>
    <m/>
  </r>
  <r>
    <x v="7"/>
    <x v="2"/>
    <d v="2023-08-14T08:00:00"/>
    <s v="IPXU3812543"/>
    <m/>
    <x v="4"/>
    <s v="VILHENA"/>
    <s v="CAJAMAR"/>
    <m/>
    <s v="MERCOSUL SUAPE  332S"/>
    <n v="1813"/>
    <m/>
    <m/>
    <m/>
    <m/>
    <m/>
    <m/>
    <m/>
    <m/>
    <m/>
    <m/>
    <m/>
    <m/>
    <m/>
    <m/>
    <m/>
    <m/>
    <m/>
    <m/>
    <m/>
    <m/>
    <n v="0"/>
    <m/>
    <x v="7"/>
    <x v="0"/>
    <m/>
    <x v="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0F3E0-FF36-4BBC-9CE6-599F7525B1F7}" name="Tabela dinâmica1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26:B34" firstHeaderRow="1" firstDataRow="1" firstDataCol="1"/>
  <pivotFields count="40">
    <pivotField showAll="0"/>
    <pivotField showAll="0"/>
    <pivotField showAll="0"/>
    <pivotField dataField="1" showAll="0"/>
    <pivotField showAll="0"/>
    <pivotField showAll="0">
      <items count="9">
        <item x="0"/>
        <item x="4"/>
        <item x="3"/>
        <item x="1"/>
        <item m="1" x="6"/>
        <item m="1" x="7"/>
        <item x="2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showAll="0"/>
    <pivotField showAll="0"/>
    <pivotField numFmtId="44"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m="1" x="10"/>
        <item m="1" x="8"/>
        <item m="1" x="9"/>
        <item t="default"/>
      </items>
    </pivotField>
    <pivotField showAll="0">
      <items count="4">
        <item m="1" x="2"/>
        <item x="0"/>
        <item m="1" x="1"/>
        <item t="default"/>
      </items>
    </pivotField>
    <pivotField showAll="0"/>
    <pivotField axis="axisRow" showAll="0" sortType="descending">
      <items count="9">
        <item x="4"/>
        <item x="1"/>
        <item x="5"/>
        <item x="3"/>
        <item m="1" x="7"/>
        <item x="2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36"/>
  </rowFields>
  <rowItems count="8">
    <i>
      <x v="6"/>
    </i>
    <i>
      <x v="5"/>
    </i>
    <i>
      <x v="1"/>
    </i>
    <i>
      <x/>
    </i>
    <i>
      <x v="3"/>
    </i>
    <i>
      <x v="2"/>
    </i>
    <i>
      <x v="7"/>
    </i>
    <i t="grand">
      <x/>
    </i>
  </rowItems>
  <colItems count="1">
    <i/>
  </colItems>
  <dataFields count="1">
    <dataField name="Contagem de CONTAINER" fld="3" subtotal="count" baseField="0" baseItem="0"/>
  </dataField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30B31F-CB17-4767-B298-CCFAFACA0B9D}" name="Tabela dinâ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I46:I47" firstHeaderRow="1" firstDataRow="1" firstDataCol="0"/>
  <pivotFields count="40">
    <pivotField showAll="0"/>
    <pivotField showAll="0"/>
    <pivotField showAll="0"/>
    <pivotField dataField="1" showAll="0"/>
    <pivotField showAll="0"/>
    <pivotField showAll="0">
      <items count="9">
        <item x="0"/>
        <item x="4"/>
        <item x="3"/>
        <item x="1"/>
        <item m="1" x="6"/>
        <item m="1" x="7"/>
        <item x="2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showAll="0"/>
    <pivotField showAll="0"/>
    <pivotField numFmtId="44" showAll="0"/>
    <pivotField showAll="0"/>
    <pivotField showAll="0"/>
    <pivotField showAll="0">
      <items count="4">
        <item m="1" x="2"/>
        <item x="0"/>
        <item m="1" x="1"/>
        <item t="default"/>
      </items>
    </pivotField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ntagem de CONTAIN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D8670-5505-48DB-9E54-CD4EE2BFF81A}" name="Tabela dinâmica2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 chartFormat="11">
  <location ref="X5:AB11" firstHeaderRow="1" firstDataRow="2" firstDataCol="1"/>
  <pivotFields count="40">
    <pivotField showAll="0" sortType="descending"/>
    <pivotField axis="axisCol" showAll="0">
      <items count="5">
        <item x="3"/>
        <item x="2"/>
        <item x="1"/>
        <item x="0"/>
        <item t="default"/>
      </items>
    </pivotField>
    <pivotField showAll="0"/>
    <pivotField dataField="1" showAll="0"/>
    <pivotField showAll="0"/>
    <pivotField axis="axisRow" showAll="0">
      <items count="9">
        <item x="0"/>
        <item x="3"/>
        <item x="1"/>
        <item x="2"/>
        <item m="1" x="5"/>
        <item m="1" x="6"/>
        <item m="1" x="7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showAll="0"/>
    <pivotField showAll="0"/>
    <pivotField numFmtId="44"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m="1" x="10"/>
        <item m="1" x="8"/>
        <item m="1" x="9"/>
        <item t="default"/>
      </items>
    </pivotField>
    <pivotField showAll="0">
      <items count="4">
        <item m="1" x="2"/>
        <item x="0"/>
        <item m="1" x="1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>
      <x v="7"/>
    </i>
  </rowItems>
  <colFields count="1">
    <field x="1"/>
  </colFields>
  <colItems count="4">
    <i>
      <x/>
    </i>
    <i>
      <x v="1"/>
    </i>
    <i>
      <x v="2"/>
    </i>
    <i>
      <x v="3"/>
    </i>
  </colItems>
  <dataFields count="1">
    <dataField name="Contagem de CONTAINER" fld="3" subtotal="count" showDataAs="percentOfTotal" baseField="5" baseItem="0" numFmtId="10"/>
  </dataFields>
  <formats count="8">
    <format dxfId="2555">
      <pivotArea type="all" dataOnly="0" outline="0" fieldPosition="0"/>
    </format>
    <format dxfId="2554">
      <pivotArea outline="0" collapsedLevelsAreSubtotals="1" fieldPosition="0"/>
    </format>
    <format dxfId="2553">
      <pivotArea field="5" type="button" dataOnly="0" labelOnly="1" outline="0" axis="axisRow" fieldPosition="0"/>
    </format>
    <format dxfId="2552">
      <pivotArea dataOnly="0" labelOnly="1" grandRow="1" outline="0" fieldPosition="0"/>
    </format>
    <format dxfId="2551">
      <pivotArea collapsedLevelsAreSubtotals="1" fieldPosition="0">
        <references count="2">
          <reference field="1" count="0"/>
          <reference field="5" count="1" selected="0">
            <x v="0"/>
          </reference>
        </references>
      </pivotArea>
    </format>
    <format dxfId="2550">
      <pivotArea collapsedLevelsAreSubtotals="1" fieldPosition="0">
        <references count="2">
          <reference field="1" count="0"/>
          <reference field="5" count="3" selected="0">
            <x v="1"/>
            <x v="2"/>
            <x v="3"/>
          </reference>
        </references>
      </pivotArea>
    </format>
    <format dxfId="2549">
      <pivotArea outline="0" collapsedLevelsAreSubtotals="1" fieldPosition="0"/>
    </format>
    <format dxfId="2548">
      <pivotArea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6D551-457B-4BBF-AEFB-5DC8B6AC98A6}" name="Tabela dinâmica1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I5:J10" firstHeaderRow="1" firstDataRow="1" firstDataCol="1"/>
  <pivotFields count="40">
    <pivotField showAll="0"/>
    <pivotField axis="axisRow" showAll="0">
      <items count="5"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showAll="0"/>
    <pivotField showAll="0"/>
    <pivotField numFmtId="44"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m="1" x="10"/>
        <item m="1" x="8"/>
        <item m="1" x="9"/>
        <item t="default"/>
      </items>
    </pivotField>
    <pivotField showAll="0">
      <items count="4">
        <item m="1" x="2"/>
        <item x="0"/>
        <item m="1" x="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agem de CONTAIN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51497-8B46-40CC-9EF7-D0F67E4CD8CB}" name="Tabela dinâ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>
  <location ref="I26:J35" firstHeaderRow="1" firstDataRow="1" firstDataCol="1"/>
  <pivotFields count="40">
    <pivotField axis="axisRow" showAll="0" sortType="descending">
      <items count="10">
        <item x="5"/>
        <item x="3"/>
        <item x="1"/>
        <item x="0"/>
        <item x="4"/>
        <item m="1" x="8"/>
        <item x="2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>
      <items count="9">
        <item x="0"/>
        <item x="4"/>
        <item x="3"/>
        <item x="1"/>
        <item m="1" x="6"/>
        <item m="1" x="7"/>
        <item x="2"/>
        <item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showAll="0"/>
    <pivotField showAll="0"/>
    <pivotField numFmtId="44"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m="1" x="10"/>
        <item m="1" x="8"/>
        <item m="1" x="9"/>
        <item t="default"/>
      </items>
    </pivotField>
    <pivotField showAll="0">
      <items count="4">
        <item m="1" x="2"/>
        <item x="0"/>
        <item m="1" x="1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9">
    <i>
      <x v="3"/>
    </i>
    <i>
      <x/>
    </i>
    <i>
      <x v="2"/>
    </i>
    <i>
      <x v="1"/>
    </i>
    <i>
      <x v="6"/>
    </i>
    <i>
      <x v="4"/>
    </i>
    <i>
      <x v="7"/>
    </i>
    <i>
      <x v="8"/>
    </i>
    <i t="grand">
      <x/>
    </i>
  </rowItems>
  <colItems count="1">
    <i/>
  </colItems>
  <dataFields count="1">
    <dataField name="Contagem de CONTAINER" fld="3" subtotal="count" baseField="0" baseItem="0"/>
  </dataFields>
  <chartFormats count="3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F4C11-D620-4879-B4CD-4FCB66F93731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G5:AH10" firstHeaderRow="1" firstDataRow="1" firstDataCol="1"/>
  <pivotFields count="40">
    <pivotField showAll="0" sortType="descending"/>
    <pivotField axis="axisRow" showAll="0">
      <items count="5"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>
      <items count="9">
        <item x="0"/>
        <item x="3"/>
        <item x="1"/>
        <item x="2"/>
        <item m="1" x="5"/>
        <item m="1" x="6"/>
        <item m="1" x="7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showAll="0"/>
    <pivotField showAll="0"/>
    <pivotField numFmtId="44"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m="1" x="10"/>
        <item m="1" x="8"/>
        <item m="1" x="9"/>
        <item t="default"/>
      </items>
    </pivotField>
    <pivotField showAll="0">
      <items count="4">
        <item m="1" x="2"/>
        <item x="0"/>
        <item m="1" x="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agem de CONTAINER" fld="3" subtotal="count" baseField="1" baseItem="0"/>
  </dataFields>
  <formats count="5">
    <format dxfId="2560">
      <pivotArea type="all" dataOnly="0" outline="0" fieldPosition="0"/>
    </format>
    <format dxfId="2559">
      <pivotArea outline="0" collapsedLevelsAreSubtotals="1" fieldPosition="0"/>
    </format>
    <format dxfId="2558">
      <pivotArea field="5" type="button" dataOnly="0" labelOnly="1" outline="0"/>
    </format>
    <format dxfId="2557">
      <pivotArea dataOnly="0" labelOnly="1" grandRow="1" outline="0" fieldPosition="0"/>
    </format>
    <format dxfId="2556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EE2BE-E81C-4C82-A936-EF5A7BFEE66F}" name="Tabela dinâ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2" firstHeaderRow="1" firstDataRow="1" firstDataCol="1"/>
  <pivotFields count="40">
    <pivotField axis="axisRow" showAll="0" sortType="descending">
      <items count="10">
        <item m="1" x="8"/>
        <item x="7"/>
        <item x="4"/>
        <item x="2"/>
        <item x="0"/>
        <item x="1"/>
        <item x="3"/>
        <item x="6"/>
        <item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  <pivotField showAll="0"/>
    <pivotField showAll="0"/>
    <pivotField numFmtId="44"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m="1" x="10"/>
        <item m="1" x="8"/>
        <item m="1" x="9"/>
        <item t="default"/>
      </items>
    </pivotField>
    <pivotField showAll="0">
      <items count="4">
        <item m="1" x="2"/>
        <item x="0"/>
        <item m="1" x="1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ntagem de CONTAIN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12E86501-19BC-4D69-ABA0-880634153926}" sourceName="ANO">
  <pivotTables>
    <pivotTable tabId="15" name="Tabela dinâmica11"/>
    <pivotTable tabId="15" name="Tabela dinâmica12"/>
    <pivotTable tabId="15" name="Tabela dinâmica13"/>
    <pivotTable tabId="15" name="Tabela dinâmica14"/>
    <pivotTable tabId="15" name="Tabela dinâmica16"/>
    <pivotTable tabId="15" name="Tabela dinâmica2"/>
    <pivotTable tabId="15" name="Tabela dinâmica5"/>
  </pivotTables>
  <data>
    <tabular pivotCacheId="107313849">
      <items count="3">
        <i x="0" s="1"/>
        <i x="2" s="1" nd="1"/>
        <i x="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ÊS" xr10:uid="{6255C3F3-B98D-4F32-9090-3725C7313874}" sourceName="MÊS">
  <pivotTables>
    <pivotTable tabId="15" name="Tabela dinâmica11"/>
    <pivotTable tabId="15" name="Tabela dinâmica12"/>
    <pivotTable tabId="15" name="Tabela dinâmica13"/>
    <pivotTable tabId="15" name="Tabela dinâmica14"/>
    <pivotTable tabId="15" name="Tabela dinâmica2"/>
    <pivotTable tabId="15" name="Tabela dinâmica5"/>
  </pivotTables>
  <data>
    <tabular pivotCacheId="107313849">
      <items count="11">
        <i x="0" s="1"/>
        <i x="1" s="1"/>
        <i x="2" s="1"/>
        <i x="3" s="1"/>
        <i x="4" s="1"/>
        <i x="5" s="1"/>
        <i x="6" s="1"/>
        <i x="7" s="1"/>
        <i x="10" s="1" nd="1"/>
        <i x="8" s="1" nd="1"/>
        <i x="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TOMADOR" xr10:uid="{D04CDE12-2E4D-4DF1-954A-F50FFB8AD25C}" sourceName="TOMADOR">
  <pivotTables>
    <pivotTable tabId="15" name="Tabela dinâmica2"/>
    <pivotTable tabId="15" name="Tabela dinâmica13"/>
    <pivotTable tabId="15" name="Tabela dinâmica14"/>
    <pivotTable tabId="15" name="Tabela dinâmica16"/>
    <pivotTable tabId="15" name="Tabela dinâmica5"/>
  </pivotTables>
  <data>
    <tabular pivotCacheId="107313849">
      <items count="8">
        <i x="0" s="1"/>
        <i x="4" s="1"/>
        <i x="3" s="1"/>
        <i x="1" s="1"/>
        <i x="2" s="1"/>
        <i x="6" s="1" nd="1"/>
        <i x="7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" xr10:uid="{8CA3D363-B8CA-4DB3-A4FE-5C0E474C3ACD}" cache="SegmentaçãodeDados_ANO" caption="ANO" showCaption="0" style="SlicerStyleDark5 2" rowHeight="180000"/>
  <slicer name="MÊS" xr10:uid="{98832939-DD39-4796-9F8A-293041974C09}" cache="SegmentaçãodeDados_MÊS" caption="MÊS" columnCount="4" showCaption="0" style="SlicerStyleDark5 2" rowHeight="180000"/>
  <slicer name="TOMADOR" xr10:uid="{5B8D9756-AE1A-4E18-A86C-25103611BDE0}" cache="SegmentaçãodeDados_TOMADOR" caption="TOMADOR" showCaption="0" style="SlicerStyleDark5 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DBD70C-3047-4F85-A807-0A027005754C}" name="Tabela4" displayName="Tabela4" ref="F2:AD3" insertRow="1" totalsRowShown="0" headerRowDxfId="2826">
  <autoFilter ref="F2:AD3" xr:uid="{67DBD70C-3047-4F85-A807-0A027005754C}"/>
  <tableColumns count="25">
    <tableColumn id="1" xr3:uid="{9274D7D0-49A9-49FB-8CD6-DC88CEA0C641}" name="Cliente"/>
    <tableColumn id="2" xr3:uid="{6FFF9509-9CB4-482D-B40B-E3F0EB87CE70}" name="DESTINO"/>
    <tableColumn id="3" xr3:uid="{56C5468A-1DA1-4F6A-A235-70EDEF976A6A}" name="CTAC"/>
    <tableColumn id="4" xr3:uid="{756EDBE4-2CC2-4E1A-BD17-887A46099319}" name="NAVIO"/>
    <tableColumn id="5" xr3:uid="{DD9CE1A7-42DA-4C99-861E-7AB9E9C6F96D}" name="Nota Fiscal 1"/>
    <tableColumn id="6" xr3:uid="{43532224-3D77-4CAF-81A3-19302C58D558}" name="Nota Fiscal 2"/>
    <tableColumn id="7" xr3:uid="{5E4F861E-5DE0-44A7-BF8C-375EC7896D90}" name="Cavalo"/>
    <tableColumn id="8" xr3:uid="{CBB98916-DF73-44C9-B75C-CFEEAA969DE2}" name="Carreta"/>
    <tableColumn id="9" xr3:uid="{E22F43CA-B24B-4DC3-9A1B-4DEC8F5F325D}" name="Motorista"/>
    <tableColumn id="10" xr3:uid="{A0ADDBBE-FE55-4E0B-BB36-A4A8D9CDF173}" name="CPF"/>
    <tableColumn id="11" xr3:uid="{D3802078-A7AF-4837-87D4-E2F39968AF7A}" name="CNH"/>
    <tableColumn id="12" xr3:uid="{F67096F8-935E-45AD-B392-DB279001598E}" name="CTE"/>
    <tableColumn id="13" xr3:uid="{3DCEE7F8-7838-4A3A-AC64-CD2F70A462CD}" name="TERMINAL DE RETIRADA CHEIO"/>
    <tableColumn id="14" xr3:uid="{471A69B8-5442-4D7C-83F3-6B2D8B9801D5}" name="AGENDAMENTO DE RETIRADA"/>
    <tableColumn id="15" xr3:uid="{DF2047E0-2260-432C-8852-684735928EF4}" name="TERMINAL DE ENTREGA VAZIO"/>
    <tableColumn id="16" xr3:uid="{06CBE738-DEDB-4974-A848-140A01902630}" name="DATA DE ENTREGA VAZIO"/>
    <tableColumn id="17" xr3:uid="{793F9697-A181-4769-9CAF-57A4410C00C1}" name="Adiantamento"/>
    <tableColumn id="18" xr3:uid="{D75A68F2-4EEF-481F-82FB-7D52363E842F}" name="Saldo"/>
    <tableColumn id="19" xr3:uid="{BE55BF3E-FC50-4144-BF37-B7AF73AF540F}" name="TOTAL"/>
    <tableColumn id="20" xr3:uid="{55D7790A-E12E-4F27-A223-D71787EE879A}" name="Ajudante"/>
    <tableColumn id="21" xr3:uid="{8830FA0E-3EB4-4AC5-B7C4-A5EB3191FC20}" name="COMPRA"/>
    <tableColumn id="22" xr3:uid="{7F1D3D4C-9AF3-4C9E-A692-C267576A6C96}" name="EIR - SISTEMA"/>
    <tableColumn id="23" xr3:uid="{BCC795B3-23B0-4D38-90AD-0ECB22C2DE9A}" name="EIR - REDE"/>
    <tableColumn id="24" xr3:uid="{16A8DA65-1C5A-496A-A4F0-2D10B11948CF}" name="REPROGRAMADO"/>
    <tableColumn id="25" xr3:uid="{E65D89C2-35B3-4B21-AE8C-878A993E0F23}" name="FATURADO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C31B85-9E9B-4021-9EB3-B51FBB2A8644}" name="Prog_22" displayName="Prog_22" ref="A4:BM668" totalsRowShown="0" dataDxfId="2825">
  <autoFilter ref="A4:BM668" xr:uid="{E5C31B85-9E9B-4021-9EB3-B51FBB2A8644}"/>
  <tableColumns count="65">
    <tableColumn id="1" xr3:uid="{BF41E5D7-FD7B-44CA-A98A-D44927040091}" name="STATUS" dataDxfId="2824"/>
    <tableColumn id="2" xr3:uid="{CC2C4C78-754C-48B2-BCE7-0B2D1F8F8FD9}" name="PROGRAMAÇÃO CLIENTE" dataDxfId="2823"/>
    <tableColumn id="3" xr3:uid="{70BB438F-9F6F-4A71-817C-42C69E059FC1}" name="CLIENTE" dataDxfId="2822"/>
    <tableColumn id="4" xr3:uid="{9B769191-3C2E-4442-86AA-753977BF0FFF}" name="CIDADE" dataDxfId="2821"/>
    <tableColumn id="5" xr3:uid="{8FF39F7C-60F5-4C1B-A393-31D0B4CAB9EF}" name="REFERÊNCIA" dataDxfId="2820"/>
    <tableColumn id="6" xr3:uid="{00ED762E-60CD-4154-BE0A-B3B1B223D7DC}" name="DI / BOOKING" dataDxfId="2819"/>
    <tableColumn id="7" xr3:uid="{0E15D565-348C-494B-9F9D-EF17B95B5DC2}" name="CONTEINER" dataDxfId="2818"/>
    <tableColumn id="8" xr3:uid="{4020FD3C-7932-451E-99C8-12425E891EFC}" name="TIPO" dataDxfId="2817"/>
    <tableColumn id="9" xr3:uid="{73C102A2-BDB0-4C4A-B329-CBA08E749097}" name="TARA" dataDxfId="2816"/>
    <tableColumn id="10" xr3:uid="{6DAB19F9-61CC-4284-936C-4D17F0649550}" name="LACRE" dataDxfId="2815"/>
    <tableColumn id="11" xr3:uid="{EA2C2F54-44A5-40DE-837D-EA0FB068CA05}" name="PESO" dataDxfId="2814"/>
    <tableColumn id="12" xr3:uid="{2E0897AB-A2D6-458B-BC26-6DBE4CBA26A4}" name="VGM" dataDxfId="2813"/>
    <tableColumn id="13" xr3:uid="{817EADBE-09EA-433E-B25D-6E1450B9F87B}" name="NOTA FISCAL" dataDxfId="2812"/>
    <tableColumn id="14" xr3:uid="{FFD4340B-3829-4588-B0B3-856709D44DAE}" name="NAVIO" dataDxfId="2811"/>
    <tableColumn id="15" xr3:uid="{45E88578-E978-4FBF-B8CF-52761EC9785A}" name="PLACA CAVALO" dataDxfId="2810"/>
    <tableColumn id="16" xr3:uid="{2A828BF6-6FEE-40B4-BC46-9A9244AE7235}" name="PLACA CARRETA" dataDxfId="2809"/>
    <tableColumn id="17" xr3:uid="{47FCCD7E-677B-4C5E-9CC2-E899529B334B}" name="MOTORISTA" dataDxfId="2808"/>
    <tableColumn id="18" xr3:uid="{59CF265F-D44E-4CA9-AA51-C8D30DBC09E1}" name="CPF" dataDxfId="2807"/>
    <tableColumn id="19" xr3:uid="{4C2F5C74-3039-4A7B-96AD-9219409D45F6}" name="CNH" dataDxfId="2806"/>
    <tableColumn id="20" xr3:uid="{93901B5A-8458-4520-B56F-F29AF0D18E19}" name="RETIRADA VAZIO / CHEIO" dataDxfId="2805"/>
    <tableColumn id="21" xr3:uid="{81A92E21-6E49-4746-9EB1-2B80D73D2FBE}" name="DATA DE RETIRADA" dataDxfId="2804"/>
    <tableColumn id="22" xr3:uid="{960238ED-E21A-4792-BBF8-A1AF5F952BEA}" name="CHEGADA NO CLIENTE" dataDxfId="2803"/>
    <tableColumn id="23" xr3:uid="{84DACE7D-4180-4CDF-8996-E8AB99F007C1}" name="SAÍDA DO CLIENTE" dataDxfId="2802"/>
    <tableColumn id="24" xr3:uid="{D56590C0-7017-4D72-8C8A-B013C7D07F0F}" name="ENTREGA VAZIO / CHEIO" dataDxfId="2801"/>
    <tableColumn id="25" xr3:uid="{C01283DC-E603-44F1-B62B-0FFAEB4B0D2D}" name="DATA DE ENTREGA" dataDxfId="2800"/>
    <tableColumn id="26" xr3:uid="{0C770831-AF92-4B18-A42C-ED428C25714D}" name="OPENING" dataDxfId="2799"/>
    <tableColumn id="27" xr3:uid="{208D13E8-EA03-4129-96C9-86D4C8B17ED3}" name="DRAFT" dataDxfId="2798"/>
    <tableColumn id="28" xr3:uid="{70D3CFD4-F216-4978-81DB-08CB8584CB94}" name="DEAD LINE" dataDxfId="2797"/>
    <tableColumn id="29" xr3:uid="{F5BF86DE-5BF5-4A5C-BE43-4590B9099CA4}" name="POD" dataDxfId="2796"/>
    <tableColumn id="30" xr3:uid="{592C60B0-EC80-4D05-A344-0CD611FCED1B}" name="CTe" dataDxfId="2795"/>
    <tableColumn id="31" xr3:uid="{A75F9462-7688-4D2A-BB2A-EBC47FF3926E}" name="OC" dataDxfId="2794"/>
    <tableColumn id="32" xr3:uid="{55444D3E-3828-4ACD-AD31-341C3489048E}" name="OS" dataDxfId="2793"/>
    <tableColumn id="33" xr3:uid="{DE63A92E-6B10-4761-8F2A-260B1BC24918}" name="OCORRÊNCIAS" dataDxfId="2792"/>
    <tableColumn id="34" xr3:uid="{2ACD1FCA-3B10-4FDA-96CB-F0278D524D6F}" name="TERM. PRE STACKING" dataDxfId="2791"/>
    <tableColumn id="35" xr3:uid="{03D3B7AE-5DC2-4D36-B22B-2E371B0AAF54}" name="DATA DE ARMAZ." dataDxfId="2790"/>
    <tableColumn id="36" xr3:uid="{DED5D90C-5FFC-4E0A-A751-990D0CFE7F51}" name="PERÍODO" dataDxfId="2789"/>
    <tableColumn id="37" xr3:uid="{FD8DA058-CFA0-4047-BAC5-9C5B0FB4AB6B}" name="VLR PRE STACKING" dataDxfId="2788" dataCellStyle="Moeda"/>
    <tableColumn id="38" xr3:uid="{59230B3D-43CF-46B0-9EFB-BE4F57512616}" name="TERM. ARMAZ. VAZIOS" dataDxfId="2787"/>
    <tableColumn id="39" xr3:uid="{7D98BAA5-EEF1-432F-BF0C-4A549E4BE041}" name="VLR ARMAZ. VAZIO" dataDxfId="2786" dataCellStyle="Moeda"/>
    <tableColumn id="40" xr3:uid="{561F17A2-AA8D-4C9D-AE7A-0DA3E221644C}" name="ADIANTAMENTO" dataDxfId="2785" dataCellStyle="Moeda"/>
    <tableColumn id="41" xr3:uid="{72E5C090-AA0D-4F5D-857C-B12396A4C549}" name="SALDO" dataDxfId="2784" dataCellStyle="Moeda"/>
    <tableColumn id="42" xr3:uid="{65E8F3CD-DACB-433A-821C-CD2BDCA5EA5E}" name="MARGEM" dataDxfId="2783" dataCellStyle="Moeda"/>
    <tableColumn id="43" xr3:uid="{5028E5A9-5BCF-4A2B-A48E-EED326FCE322}" name="TOTAL" dataDxfId="2782" dataCellStyle="Moeda"/>
    <tableColumn id="44" xr3:uid="{B905427D-39D9-46DF-9363-A8FB57AC9E12}" name="IMP. FEDERAIS" dataDxfId="2781" dataCellStyle="Moeda"/>
    <tableColumn id="45" xr3:uid="{0D6F6234-8059-4365-8D3A-1B26F8849567}" name="ESTADIA" dataDxfId="2780" dataCellStyle="Moeda"/>
    <tableColumn id="46" xr3:uid="{09D43753-36AC-42FE-A457-1A941AC421D9}" name="Total CTe" dataDxfId="2779" dataCellStyle="Moeda"/>
    <tableColumn id="47" xr3:uid="{D80F8577-79CE-4FDF-8101-3815AC663ACC}" name="FRETE PESO" dataDxfId="2778" dataCellStyle="Moeda"/>
    <tableColumn id="48" xr3:uid="{57B6149D-DB89-4D32-A955-6837848335B2}" name="VLR NF" dataDxfId="2777" dataCellStyle="Moeda"/>
    <tableColumn id="49" xr3:uid="{2C1988F2-2675-43FB-984D-E7E64A382174}" name="Ad-valoem" dataDxfId="2776" dataCellStyle="Moeda"/>
    <tableColumn id="50" xr3:uid="{DCF4211B-29BD-4FBD-83C1-2CCD7A41A896}" name="GRIS" dataDxfId="2775" dataCellStyle="Moeda"/>
    <tableColumn id="51" xr3:uid="{2333FF1D-C387-4196-A106-AE487AE85CC4}" name="Pedágio" dataDxfId="2774" dataCellStyle="Moeda"/>
    <tableColumn id="52" xr3:uid="{AC06C0A6-97EB-4ABE-B4FF-D471FD1E158C}" name="TAXA DTA" dataDxfId="2773" dataCellStyle="Moeda"/>
    <tableColumn id="53" xr3:uid="{85FA4E4C-CA41-4F83-9467-BE8D035C79A0}" name="Taxa LS" dataDxfId="2772" dataCellStyle="Moeda"/>
    <tableColumn id="54" xr3:uid="{477ED408-E876-4BD9-9B2E-2B99E1382BA8}" name="Taxa IMO" dataDxfId="2771" dataCellStyle="Moeda"/>
    <tableColumn id="55" xr3:uid="{8DC0DAA1-75C5-46BB-93DC-73D9CF239051}" name="Seguro" dataDxfId="2770" dataCellStyle="Moeda"/>
    <tableColumn id="56" xr3:uid="{1FB27D77-8793-4E71-BD3A-DE7363F0F568}" name="ICMS" dataDxfId="2769" dataCellStyle="Moeda"/>
    <tableColumn id="57" xr3:uid="{CC6FC6EF-6267-427C-81D4-C47A4D80A9A0}" name="Outros" dataDxfId="2768" dataCellStyle="Moeda"/>
    <tableColumn id="58" xr3:uid="{A0D55932-99CB-4A79-8CC6-D4C5CC5E61C6}" name="Retirada" dataDxfId="2767" dataCellStyle="Moeda"/>
    <tableColumn id="59" xr3:uid="{2DA53F92-7D92-4F49-95F4-A06DA42142A0}" name="Entrega" dataDxfId="2766" dataCellStyle="Moeda"/>
    <tableColumn id="60" xr3:uid="{F41DB284-12A3-462A-9A17-26746F86ECC2}" name="Vlr. Estadia" dataDxfId="2765" dataCellStyle="Moeda"/>
    <tableColumn id="61" xr3:uid="{EDD024CF-938B-4827-9469-B2CD96EE9535}" name="MÊS" dataDxfId="2764"/>
    <tableColumn id="62" xr3:uid="{5925BC15-D15B-4F4C-BE39-C8B8ABB93A70}" name="ANO" dataDxfId="2763"/>
    <tableColumn id="63" xr3:uid="{95153436-DA7C-4F1E-A4C7-FB8066E68297}" name="FATURADO" dataDxfId="2762"/>
    <tableColumn id="64" xr3:uid="{7E79848D-4381-4BDB-B084-36E4274F724C}" name="REDE" dataDxfId="2761"/>
    <tableColumn id="65" xr3:uid="{C593FBFF-6E14-44AA-93D3-AD7559AB0346}" name="SISTEMA" dataDxfId="2760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026AD0-1551-4F7A-A01B-0FB126D3BA6F}" name="Prog_236" displayName="Prog_236" ref="B2:BP1580" totalsRowShown="0" dataDxfId="2759">
  <autoFilter ref="B2:BP1580" xr:uid="{EFED99E0-3497-45DD-9C21-FA0BBC5B2644}"/>
  <sortState xmlns:xlrd2="http://schemas.microsoft.com/office/spreadsheetml/2017/richdata2" ref="B3:BP1580">
    <sortCondition ref="F2:F1580"/>
  </sortState>
  <tableColumns count="67">
    <tableColumn id="1" xr3:uid="{CC899703-8A59-4D3B-B641-8D55D271B577}" name="STATUS" dataDxfId="2758"/>
    <tableColumn id="2" xr3:uid="{D5267948-CD51-4670-9856-002302CE02DE}" name="STATUS DETALHADO" dataDxfId="2757">
      <calculatedColumnFormula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calculatedColumnFormula>
    </tableColumn>
    <tableColumn id="65" xr3:uid="{8E758589-D86D-42C7-94F2-4F39B0A96B21}" name="PROGRAMAÇÃO CLIENTE" dataDxfId="2756"/>
    <tableColumn id="3" xr3:uid="{E6B0E0D5-49DF-4F2F-921A-78497B94D3BD}" name="CLIENTE" dataDxfId="2755"/>
    <tableColumn id="4" xr3:uid="{CCB92165-095F-4297-98CF-A7A7DEF4A13A}" name="CIDADE" dataDxfId="2754"/>
    <tableColumn id="5" xr3:uid="{878EF42F-1AD1-4894-9A2C-95B593008271}" name="REFERÊNCIA" dataDxfId="2753"/>
    <tableColumn id="6" xr3:uid="{C6856C14-7B9E-42D0-BF0D-E2DB8C00DC8E}" name="DI / BOOKING" dataDxfId="2752"/>
    <tableColumn id="7" xr3:uid="{48EEAF3D-A447-4BB0-98FA-31C4A15601B6}" name="CONTEINER" dataDxfId="2751"/>
    <tableColumn id="8" xr3:uid="{0893B424-B764-4ECF-917E-F426ED8379CD}" name="TIPO" dataDxfId="2750"/>
    <tableColumn id="9" xr3:uid="{9C8C3489-3E13-4BD0-8212-38477A2B422E}" name="TARA" dataDxfId="2749"/>
    <tableColumn id="10" xr3:uid="{3573F406-71C6-4C36-88CA-5A74D0C356D5}" name="LACRE" dataDxfId="2748"/>
    <tableColumn id="11" xr3:uid="{CD81CEDE-B390-4BB4-8ABB-A863C87257C6}" name="PESO" dataDxfId="2747"/>
    <tableColumn id="12" xr3:uid="{DB83B7F2-F307-44E9-90B4-3EF04B202B40}" name="VGM" dataDxfId="2746">
      <calculatedColumnFormula>SUM(Prog_236[[#This Row],[TARA]]+Prog_236[[#This Row],[PESO]])</calculatedColumnFormula>
    </tableColumn>
    <tableColumn id="13" xr3:uid="{1642CA9D-DA03-4F04-97D4-75DC3AE5B37F}" name="NOTA FISCAL" dataDxfId="2745"/>
    <tableColumn id="14" xr3:uid="{98A64CBF-DC1C-48D3-AB74-103879645A89}" name="NAVIO" dataDxfId="2744"/>
    <tableColumn id="15" xr3:uid="{C0084941-0F1E-447F-A47D-73FDA041AA0D}" name="PLACA CAVALO" dataDxfId="2743"/>
    <tableColumn id="16" xr3:uid="{2910DBAD-0862-46FB-A18C-DF3AB98074A7}" name="PLACA CARRETA" dataDxfId="2742"/>
    <tableColumn id="17" xr3:uid="{FB1A34B5-1C3C-4690-836C-43B1462FDD9C}" name="MOTORISTA" dataDxfId="2741"/>
    <tableColumn id="18" xr3:uid="{6B4516E8-3199-4D6F-BDE8-3E58B3D36499}" name="CPF" dataDxfId="2740"/>
    <tableColumn id="19" xr3:uid="{316C485D-E8F1-4FA9-9BB7-599427D571A5}" name="CNH" dataDxfId="2739"/>
    <tableColumn id="20" xr3:uid="{DFED7F24-A665-4DBA-BFF4-289B470A57D1}" name="RETIRADA VAZIO / CHEIO" dataDxfId="2738"/>
    <tableColumn id="21" xr3:uid="{61D732CF-CC31-497F-AA61-7925ECC43F7D}" name="DATA DE RETIRADA" dataDxfId="2737"/>
    <tableColumn id="22" xr3:uid="{8AD2AC69-39C9-4F6F-AC92-DA119E259EA9}" name="CHEGADA NO CLIENTE" dataDxfId="2736"/>
    <tableColumn id="23" xr3:uid="{B343A65A-1847-4AE3-9859-D5E1EF95EA82}" name="SAÍDA DO CLIENTE" dataDxfId="2735"/>
    <tableColumn id="24" xr3:uid="{FC981D04-610A-4E12-BD64-5A19907A678A}" name="ENTREGA VAZIO / CHEIO" dataDxfId="2734"/>
    <tableColumn id="25" xr3:uid="{E91D512C-6442-42F1-B8B2-8D4648A49E5A}" name="DATA DE ENTREGA" dataDxfId="2733"/>
    <tableColumn id="26" xr3:uid="{7A15FE60-2BE4-4AF3-AC93-96DE04C534BC}" name="OPENING" dataDxfId="2732"/>
    <tableColumn id="27" xr3:uid="{2A204F91-15D0-4258-ADB8-37105DCB3DB8}" name="DRAFT" dataDxfId="2731"/>
    <tableColumn id="28" xr3:uid="{74E64849-8893-4E13-97B1-8E800D6076AB}" name="DEAD LINE" dataDxfId="2730"/>
    <tableColumn id="29" xr3:uid="{69DCF824-3E89-46FF-B90B-C1CCB9838D9F}" name="POD" dataDxfId="2729"/>
    <tableColumn id="30" xr3:uid="{04A8EF52-715A-4FCF-9377-95D74485A20C}" name="CTe" dataDxfId="2728"/>
    <tableColumn id="64" xr3:uid="{8F6A0F3E-9F1B-478A-B456-C5B237A0BA80}" name="HORA EM ESTADIA" dataDxfId="2727">
      <calculatedColumnFormula>Prog_236[[#This Row],[SAÍDA DO CLIENTE]]-Prog_236[[#This Row],[PROGRAMAÇÃO CLIENTE]]</calculatedColumnFormula>
    </tableColumn>
    <tableColumn id="32" xr3:uid="{10DA243D-C989-4036-BDAE-02F597A19122}" name="OBSERVAÇÕES" dataDxfId="2726"/>
    <tableColumn id="31" xr3:uid="{248F2549-02CE-40EA-B576-3C8AE491E49D}" name="Motivo da ocorrência" dataDxfId="2725"/>
    <tableColumn id="33" xr3:uid="{0C1F02A5-869F-48D4-9A74-CC862438E69C}" name="OCORRÊNCIAS" dataDxfId="2724"/>
    <tableColumn id="34" xr3:uid="{810C6D4D-497F-4067-9C1F-F28CF787D5A9}" name="TERM. PRE STACKING" dataDxfId="2723"/>
    <tableColumn id="35" xr3:uid="{A3F5ADA1-DAE3-49DA-BBB6-0C350D71DBD1}" name="DATA DE ARMAZ." dataDxfId="2722"/>
    <tableColumn id="36" xr3:uid="{3D0D74C1-271E-4171-9A21-AE180F942511}" name="PERÍODO" dataDxfId="2721"/>
    <tableColumn id="37" xr3:uid="{5B2A47B6-0005-4015-B028-CF0BC9633587}" name="VLR PRE STACKING" dataDxfId="2720" dataCellStyle="Moeda"/>
    <tableColumn id="38" xr3:uid="{F4415692-DE8A-441D-A938-B34B893EB036}" name="TERM. ARMAZ. VAZIOS" dataDxfId="2719"/>
    <tableColumn id="39" xr3:uid="{B8924FA5-B21D-44BF-8999-01C7845270AE}" name="RETIRADA DO VAZIO" dataDxfId="2718"/>
    <tableColumn id="40" xr3:uid="{3F6CCFF9-60F3-44A9-AA06-918B7488616A}" name="VLR ARMAZ. VAZIO" dataDxfId="2717"/>
    <tableColumn id="41" xr3:uid="{CC3B58E4-6FCF-4C94-BBE9-939C997DA05C}" name="ADIANTAMENTO" dataDxfId="2716" dataCellStyle="Moeda"/>
    <tableColumn id="42" xr3:uid="{0B85AFAD-29B5-4830-A85A-2BB44B8783CE}" name="SALDO" dataDxfId="2715" dataCellStyle="Moeda"/>
    <tableColumn id="43" xr3:uid="{764AD16D-E4D5-4BE6-9118-DDF04E920784}" name="MARGEM" dataDxfId="2714" dataCellStyle="Moeda"/>
    <tableColumn id="44" xr3:uid="{A90D3F42-CBEE-4C2D-9CFF-5BA56753EB8C}" name="ESTADIA 1" dataDxfId="2713" dataCellStyle="Moeda"/>
    <tableColumn id="45" xr3:uid="{42D8D88C-2095-41A6-BDFB-993D7D5E5C84}" name="TOTAL" dataDxfId="2712" dataCellStyle="Moeda">
      <calculatedColumnFormula>SUM(Prog_236[[#This Row],[ADIANTAMENTO]]+Prog_236[[#This Row],[SALDO]]+Prog_236[[#This Row],[MARGEM]]+Prog_236[[#This Row],[ESTADIA 1]])</calculatedColumnFormula>
    </tableColumn>
    <tableColumn id="46" xr3:uid="{D75CA5DC-7EA4-41C8-BFE1-A980242AF4A2}" name="Total CTe" dataDxfId="2711" dataCellStyle="Moeda">
      <calculatedColumnFormula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calculatedColumnFormula>
    </tableColumn>
    <tableColumn id="47" xr3:uid="{C6D1DFFE-DBB9-45AA-995A-9CCDA1F7A024}" name="FRETE PESO" dataDxfId="2710" dataCellStyle="Moeda"/>
    <tableColumn id="48" xr3:uid="{B1A1498A-E06D-4EEA-9911-0648508F093C}" name="VLR NF" dataDxfId="2709" dataCellStyle="Moeda"/>
    <tableColumn id="49" xr3:uid="{FADF032F-59EB-42D3-951D-E9606E469D96}" name="Ad-valorem" dataDxfId="2708" dataCellStyle="Moeda">
      <calculatedColumnFormula>Prog_236[[#This Row],[VLR NF]]*0.1%</calculatedColumnFormula>
    </tableColumn>
    <tableColumn id="50" xr3:uid="{7C26F6CA-307E-427E-8486-A61E1192D996}" name="Gris" dataDxfId="2707" dataCellStyle="Moeda">
      <calculatedColumnFormula>Prog_236[[#This Row],[VLR NF]]*0.05%</calculatedColumnFormula>
    </tableColumn>
    <tableColumn id="51" xr3:uid="{9B5E6664-0AA3-473A-A063-A3D3F695BCB8}" name="Pedágio" dataDxfId="2706" dataCellStyle="Moeda"/>
    <tableColumn id="52" xr3:uid="{6B21B6DD-E614-4778-ACBC-84F86C6BEB44}" name="Taxa DTA" dataDxfId="2705" dataCellStyle="Moeda"/>
    <tableColumn id="53" xr3:uid="{AA569AEE-19DD-4A02-B264-A32DC9E97BD7}" name="Taxa LS" dataDxfId="2704" dataCellStyle="Moeda"/>
    <tableColumn id="54" xr3:uid="{E9B18755-6FD4-4507-B190-3C24A51E9BF2}" name="Taxa IMO" dataDxfId="2703" dataCellStyle="Moeda"/>
    <tableColumn id="55" xr3:uid="{D90862D3-B2CD-431C-A9AA-FB8FF3659884}" name="Seguro" dataDxfId="2702" dataCellStyle="Moeda"/>
    <tableColumn id="56" xr3:uid="{7F41365B-1CD3-49F9-99FC-1200B1F2DC60}" name="ICMS" dataDxfId="2701" dataCellStyle="Moeda"/>
    <tableColumn id="57" xr3:uid="{81F1D589-3A56-48B0-8D18-4E33EC0F5C47}" name="Outros" dataDxfId="2700" dataCellStyle="Moeda"/>
    <tableColumn id="58" xr3:uid="{C78C4CBF-A26E-4604-A318-22F53531DBA2}" name="Retirada" dataDxfId="2699" dataCellStyle="Moeda"/>
    <tableColumn id="59" xr3:uid="{567A2645-817F-4C73-971B-B996C3452E81}" name="Entrega" dataDxfId="2698" dataCellStyle="Moeda"/>
    <tableColumn id="60" xr3:uid="{DA8B4011-218F-45FB-B7E6-B532610A04A6}" name="Estadia" dataDxfId="2697" dataCellStyle="Moeda">
      <calculatedColumnFormula>85*9</calculatedColumnFormula>
    </tableColumn>
    <tableColumn id="61" xr3:uid="{D693BE43-FE43-4921-AC82-E66A256C8811}" name="FATURADO" dataDxfId="2696"/>
    <tableColumn id="62" xr3:uid="{AB939903-16C3-4BC8-AC98-2545B2F87F7E}" name="REDE" dataDxfId="2695"/>
    <tableColumn id="66" xr3:uid="{102B5200-4AA3-4BDB-AD3E-E2A13BDF50E3}" name="SISTEMA" dataDxfId="2694"/>
    <tableColumn id="67" xr3:uid="{2AA225D0-B95B-4E10-A1FB-F5EDE776C180}" name="MÊS" dataDxfId="2693">
      <calculatedColumnFormula>PROPER(TEXT(Prog_236[[#This Row],[PROGRAMAÇÃO CLIENTE]],"mmm"))</calculatedColumnFormula>
    </tableColumn>
    <tableColumn id="63" xr3:uid="{17F61582-0707-4407-8163-485B5B3C008C}" name="ANO" dataDxfId="2692">
      <calculatedColumnFormula>YEAR(Prog_236[[#This Row],[PROGRAMAÇÃO CLIENTE]])</calculatedColumnFormula>
    </tableColumn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88EFE4D-461B-47F2-B7ED-ECC239B54771}" name="Sal_23" displayName="Sal_23" ref="B2:AO899" totalsRowShown="0" headerRowDxfId="2691" dataDxfId="2690">
  <autoFilter ref="B2:AO899" xr:uid="{988EFE4D-461B-47F2-B7ED-ECC239B54771}"/>
  <tableColumns count="40">
    <tableColumn id="1" xr3:uid="{132BC0CF-A7E1-40ED-9149-1F5EE8927520}" name=" STATUS" dataDxfId="2689"/>
    <tableColumn id="2" xr3:uid="{295AFFA6-E5BD-4FFD-A9A1-9616097893BC}" name="STATUS DETALHADO" dataDxfId="2688">
      <calculatedColumnFormula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calculatedColumnFormula>
    </tableColumn>
    <tableColumn id="32" xr3:uid="{BB9B79F9-F417-477C-AF1E-33CC1CFF9250}" name="PROGRAMAÇÃO" dataDxfId="2687"/>
    <tableColumn id="3" xr3:uid="{6AA9E92D-7CEB-4756-A156-61A556033311}" name="CONTAINER" dataDxfId="2686"/>
    <tableColumn id="4" xr3:uid="{CCF3213C-B81A-454F-B8E7-C41AB4C80F60}" name="Tipo" dataDxfId="2685"/>
    <tableColumn id="5" xr3:uid="{08FF6258-E7BC-44BD-A0DF-F0AA66948BB4}" name="TOMADOR" dataDxfId="2684"/>
    <tableColumn id="6" xr3:uid="{5DEF53BD-CE69-40E8-95D8-C825E1756360}" name="Cliente" dataDxfId="2683"/>
    <tableColumn id="7" xr3:uid="{FDA5040D-CAEA-4198-9553-35E27D74BD25}" name="DESTINO" dataDxfId="2682"/>
    <tableColumn id="8" xr3:uid="{79F9221C-AEA6-43A8-99FD-23088EF8F428}" name="CTAC" dataDxfId="2681"/>
    <tableColumn id="9" xr3:uid="{77CFBE38-C347-4860-9D36-02EFF27EC063}" name="NAVIO" dataDxfId="2680"/>
    <tableColumn id="10" xr3:uid="{5F324C1C-4D4C-46BE-B7B9-D96CFA2FCDC0}" name="Nota Fiscal 1" dataDxfId="2679"/>
    <tableColumn id="11" xr3:uid="{1D6DAC21-E035-434E-83B4-890CFA834A93}" name="Nota Fiscal 2" dataDxfId="2678"/>
    <tableColumn id="12" xr3:uid="{15607EF8-02EB-4EC8-950B-69E9096DB58D}" name="Cavalo" dataDxfId="2677"/>
    <tableColumn id="13" xr3:uid="{D005C7E1-6EA9-45A0-8C86-FEA864C5BEDB}" name="Carreta" dataDxfId="2676"/>
    <tableColumn id="14" xr3:uid="{9EC72410-C042-4F04-BB3A-1D9F2947FB48}" name="Motorista" dataDxfId="2675"/>
    <tableColumn id="15" xr3:uid="{3EBC3919-DDE7-40AE-A217-1CD88374FFFA}" name="CPF" dataDxfId="2674"/>
    <tableColumn id="16" xr3:uid="{0D977ED5-1475-467A-9C4E-DB887E16B03D}" name="CNH" dataDxfId="2673"/>
    <tableColumn id="17" xr3:uid="{E66CBB35-589E-4842-9CB0-CC982A1974E9}" name="CTE" dataDxfId="2672"/>
    <tableColumn id="18" xr3:uid="{FE5F52ED-D578-4242-BC82-75A462E0AA3C}" name="TERMINAL DE RETIRADA CHEIO" dataDxfId="2671"/>
    <tableColumn id="19" xr3:uid="{AAC37305-623A-4A47-9B22-5FA63849F6BB}" name="AGENDAMENTO DE RETIRADA" dataDxfId="2670"/>
    <tableColumn id="20" xr3:uid="{6ACF8988-88D3-4B32-A1EC-533937CCD05F}" name="TERMINAL DE ENTREGA VAZIO" dataDxfId="2669"/>
    <tableColumn id="21" xr3:uid="{89392FD2-F258-4D92-B7C7-84DCC734554C}" name="DATA DE ENTREGA VAZIO" dataDxfId="2668"/>
    <tableColumn id="31" xr3:uid="{A4BC1472-276E-4EE5-B7D8-DE6308F1D4A1}" name="CHEGADA NO CLIENTE" dataDxfId="2667"/>
    <tableColumn id="22" xr3:uid="{7E1BE80B-5621-4853-ACC0-3E02D169AA01}" name="SAÍDA DO CLIENTE" dataDxfId="2666" dataCellStyle="Moeda"/>
    <tableColumn id="23" xr3:uid="{5D3B60F4-DC9B-4603-9E84-7D724B7F054C}" name="Adiantamento" dataDxfId="2665" dataCellStyle="Moeda"/>
    <tableColumn id="35" xr3:uid="{20CD0C93-BACD-4F00-9D3A-C1D84F607262}" name="Saldo" dataDxfId="2664" dataCellStyle="Moeda"/>
    <tableColumn id="24" xr3:uid="{4526A1E5-B88E-487C-8648-139761A336BC}" name="TOTAL" dataDxfId="2663" dataCellStyle="Moeda"/>
    <tableColumn id="25" xr3:uid="{97FFC03C-820B-4F60-9C8D-77B3184DE0D2}" name="Ajudante" dataDxfId="2662" dataCellStyle="Moeda"/>
    <tableColumn id="37" xr3:uid="{79FFB11B-B1EB-43F1-B871-5F71375C6C1F}" name="FRETE PESO" dataDxfId="2661" dataCellStyle="Moeda"/>
    <tableColumn id="40" xr3:uid="{B6A1CE26-C5F4-4E69-913F-43FA7081F282}" name="Ajundante 2" dataDxfId="2660" dataCellStyle="Moeda"/>
    <tableColumn id="36" xr3:uid="{3110342F-4E2E-4C85-B9D7-D852CBC1BFB9}" name="PEDÁGIO" dataDxfId="2659" dataCellStyle="Moeda"/>
    <tableColumn id="39" xr3:uid="{87D04B74-CFEC-4B76-B471-9A0B317D3F23}" name="ICMS" dataDxfId="2658" dataCellStyle="Moeda">
      <calculatedColumnFormula>Sal_23[[#This Row],[COMPRA]]*12%</calculatedColumnFormula>
    </tableColumn>
    <tableColumn id="26" xr3:uid="{00C365FF-23B2-490A-BEDB-B33B3A048B31}" name="COMPRA" dataDxfId="2657" dataCellStyle="Moeda"/>
    <tableColumn id="33" xr3:uid="{D04180B1-E03A-40A1-9237-17AF0CAC6544}" name="MÊS" dataDxfId="2656">
      <calculatedColumnFormula>PROPER(TEXT(Sal_23[[#This Row],[PROGRAMAÇÃO]],"mmm"))</calculatedColumnFormula>
    </tableColumn>
    <tableColumn id="34" xr3:uid="{1F9250D6-4FB3-42E0-8F92-E480CB2EA4CB}" name="ANO" dataDxfId="2655">
      <calculatedColumnFormula>YEAR(Sal_23[[#This Row],[PROGRAMAÇÃO]])</calculatedColumnFormula>
    </tableColumn>
    <tableColumn id="38" xr3:uid="{9B404EA4-F518-4B21-BA93-7342971845E9}" name="MOTIVO" dataDxfId="2654"/>
    <tableColumn id="29" xr3:uid="{C0745120-EF96-40AC-B1FD-AFCCDE920331}" name="OCORRÊNCIAS" dataDxfId="2653"/>
    <tableColumn id="27" xr3:uid="{25A707F0-08F2-4455-A546-52AE25DFB9C4}" name="EIR - SISTEMA" dataDxfId="2652"/>
    <tableColumn id="28" xr3:uid="{A71C34DB-2AF5-4F42-A4CA-2CDD3CB8D2B0}" name="EIR - REDE" dataDxfId="2651"/>
    <tableColumn id="30" xr3:uid="{DA195933-8D59-4106-A01E-28E3301BCDBC}" name="FATURADO" dataDxfId="2650"/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ED99E0-3497-45DD-9C21-FA0BBC5B2644}" name="Prog_23" displayName="Prog_23" ref="B2:BR1946" totalsRowShown="0" dataDxfId="2649">
  <autoFilter ref="B2:BR1946" xr:uid="{EFED99E0-3497-45DD-9C21-FA0BBC5B2644}"/>
  <tableColumns count="69">
    <tableColumn id="1" xr3:uid="{34F4DFE5-07A6-409F-84D2-905FD959F0C1}" name="STATUS" dataDxfId="2648"/>
    <tableColumn id="2" xr3:uid="{79F98592-8CCA-423D-92B1-5FD14DA9608D}" name="STATUS DETALHADO" dataDxfId="2647">
      <calculatedColumnFormula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calculatedColumnFormula>
    </tableColumn>
    <tableColumn id="65" xr3:uid="{1921AA55-98B8-4639-9AD0-78430A2C89AE}" name="PROGRAMAÇÃO CLIENTE" dataDxfId="2646"/>
    <tableColumn id="3" xr3:uid="{0179D6D8-B42B-4EEE-B856-B7F1A768D33A}" name="CLIENTE" dataDxfId="2645"/>
    <tableColumn id="4" xr3:uid="{23ECD243-C39C-424B-B8AB-2A77FDC8864D}" name="CIDADE" dataDxfId="2644"/>
    <tableColumn id="5" xr3:uid="{3AF071DF-BC9C-45FF-BC01-18F9AAACF1E0}" name="REFERÊNCIA" dataDxfId="2643"/>
    <tableColumn id="6" xr3:uid="{972CFAE5-93D5-4AFD-866F-7F605B0F2C88}" name="DI / BOOKING" dataDxfId="2642"/>
    <tableColumn id="7" xr3:uid="{2B2081FA-F387-47CE-B1E0-AD8278F8706E}" name="CONTEINER" dataDxfId="2641"/>
    <tableColumn id="8" xr3:uid="{D895276E-112D-44B6-ADDB-770984F12591}" name="TIPO" dataDxfId="2640"/>
    <tableColumn id="9" xr3:uid="{2D1FC6B9-02AA-4BF7-AD3D-F8A5C66D9935}" name="TARA" dataDxfId="2639"/>
    <tableColumn id="10" xr3:uid="{9A2923D5-61CC-4E0F-BAD8-4BDAA018A03B}" name="LACRE" dataDxfId="2638"/>
    <tableColumn id="11" xr3:uid="{8BE0A979-0E43-4AE5-8087-1B80981B4AE1}" name="PESO" dataDxfId="2637"/>
    <tableColumn id="12" xr3:uid="{49A8223A-B549-4DBF-BB59-23701BB5C69E}" name="VGM" dataDxfId="2636">
      <calculatedColumnFormula>SUM(Prog_23[[#This Row],[TARA]]+Prog_23[[#This Row],[PESO]])</calculatedColumnFormula>
    </tableColumn>
    <tableColumn id="13" xr3:uid="{D578B480-6E8F-4FDC-AEFA-E5E4E126F6CE}" name="NOTA FISCAL" dataDxfId="2635"/>
    <tableColumn id="14" xr3:uid="{FAE5E5BE-E467-4848-B739-7C1A06B05974}" name="NAVIO" dataDxfId="2634"/>
    <tableColumn id="15" xr3:uid="{A0BB96C9-C446-4B57-92E3-30CDBB604BAF}" name="PLACA CAVALO" dataDxfId="2633"/>
    <tableColumn id="16" xr3:uid="{7DF1271A-4215-4847-9AD9-FA6F98CFD7C7}" name="PLACA CARRETA" dataDxfId="2632"/>
    <tableColumn id="17" xr3:uid="{D3470280-C72B-4107-AE49-936B2CB045F0}" name="MOTORISTA" dataDxfId="2631"/>
    <tableColumn id="18" xr3:uid="{0DA9AE60-E871-422B-A4F5-367D6A5412DB}" name="CPF" dataDxfId="2630"/>
    <tableColumn id="19" xr3:uid="{5B725AE6-667F-446D-9812-91A147821FCB}" name="CNH" dataDxfId="2629"/>
    <tableColumn id="20" xr3:uid="{D439E829-BBB9-43F4-B6FC-8C5F8D554E9D}" name="RETIRADA VAZIO / CHEIO" dataDxfId="2628"/>
    <tableColumn id="21" xr3:uid="{240D4D09-E435-4F65-B5C5-A2E0761A45D5}" name="DATA DE RETIRADA" dataDxfId="2627"/>
    <tableColumn id="22" xr3:uid="{645868CF-BBA4-46F4-8280-4870AFB98251}" name="CHEGADA NO CLIENTE" dataDxfId="2626"/>
    <tableColumn id="23" xr3:uid="{E80B580E-E9B0-4E98-9072-48BCA1D760D0}" name="SAÍDA DO CLIENTE" dataDxfId="2625"/>
    <tableColumn id="24" xr3:uid="{1D528CB3-C3C2-4E97-80E2-9280E005823E}" name="ENTREGA VAZIO / CHEIO" dataDxfId="2624"/>
    <tableColumn id="25" xr3:uid="{19C8DF69-7D0B-4735-8538-3FE27F7560BD}" name="DATA DE ENTREGA" dataDxfId="2623"/>
    <tableColumn id="26" xr3:uid="{71054ABE-FC06-4818-ABE1-1E6561435E17}" name="OPENING" dataDxfId="2622"/>
    <tableColumn id="27" xr3:uid="{35297AA9-A9BC-4E65-B6ED-5B469B7D295C}" name="DRAFT / VENC. ARMAZ." dataDxfId="2621"/>
    <tableColumn id="28" xr3:uid="{460C1C1A-7398-406C-8356-FD3695685174}" name="DEAD LINE / DEMURRAGE" dataDxfId="2620"/>
    <tableColumn id="29" xr3:uid="{5EDDFB56-9281-463C-9A3A-199883D1593F}" name="POD" dataDxfId="2619"/>
    <tableColumn id="30" xr3:uid="{58268DC6-5C00-41D4-9852-C144F6466F7F}" name="CTe" dataDxfId="2618"/>
    <tableColumn id="64" xr3:uid="{410D7A36-CDBB-44CB-BE17-574148E67EEF}" name="HORA EM ESTADIA" dataDxfId="2617">
      <calculatedColumnFormula>Prog_23[[#This Row],[SAÍDA DO CLIENTE]]-Prog_23[[#This Row],[PROGRAMAÇÃO CLIENTE]]</calculatedColumnFormula>
    </tableColumn>
    <tableColumn id="32" xr3:uid="{93D2051A-02EA-49B9-9FF4-0C6B22A9247F}" name="OBSERVAÇÕES" dataDxfId="2616"/>
    <tableColumn id="31" xr3:uid="{17E026F2-A7CC-4BC2-8635-1DBC213458EB}" name="Motivo da ocorrência" dataDxfId="2615"/>
    <tableColumn id="33" xr3:uid="{F755C5CE-C6D3-4DED-B5A3-F5498AA1716F}" name="OCORRÊNCIAS" dataDxfId="2614"/>
    <tableColumn id="34" xr3:uid="{0462DA6A-2013-427D-95E5-A253F8A55BF8}" name="TERM. PRE STACKING" dataDxfId="2613"/>
    <tableColumn id="35" xr3:uid="{4C1D6454-0417-498E-8F88-8C289A964179}" name="DATA DE ARMAZ." dataDxfId="2612"/>
    <tableColumn id="36" xr3:uid="{733902A6-F579-44FF-BE70-098D581FE327}" name="PERÍODO" dataDxfId="2611"/>
    <tableColumn id="37" xr3:uid="{C2FC1B60-2BE6-4B0F-AD51-462182F3BD3B}" name="VLR PRE STACKING" dataDxfId="2610" dataCellStyle="Moeda"/>
    <tableColumn id="70" xr3:uid="{D9D666AA-99B7-448F-AE2E-68C8970CCCA1}" name="VISTORIA" dataDxfId="2609" dataCellStyle="Moeda"/>
    <tableColumn id="69" xr3:uid="{0150523A-ADD3-4B70-9A8D-EA6C20658E72}" name="VIRADA TERMINAL" dataDxfId="2608" dataCellStyle="Moeda"/>
    <tableColumn id="38" xr3:uid="{51C9A56C-3B34-47E2-AD9A-344F1E9C6EAA}" name="TERM. ARMAZ. VAZIOS" dataDxfId="2607"/>
    <tableColumn id="39" xr3:uid="{94BFCF2E-FB71-49E1-AEAC-467BDCA8C77A}" name="RETIRADA DO VAZIO" dataDxfId="2606"/>
    <tableColumn id="40" xr3:uid="{CCFB1796-E183-4E72-BD0A-DABFC86B63ED}" name="VLR ARMAZ. VAZIO" dataDxfId="2605"/>
    <tableColumn id="41" xr3:uid="{7CD497BC-BBEF-4581-A043-97FDD0D1B308}" name="ADIANTAMENTO" dataDxfId="2604" dataCellStyle="Moeda"/>
    <tableColumn id="42" xr3:uid="{C68108AD-CE86-46FE-B7E3-40482F09F470}" name="SALDO" dataDxfId="2603" dataCellStyle="Moeda"/>
    <tableColumn id="43" xr3:uid="{DA7329BC-7091-46BC-9DF6-FD4D9037D0C3}" name="MARGEM" dataDxfId="2602" dataCellStyle="Moeda"/>
    <tableColumn id="44" xr3:uid="{74DD1D85-066F-4309-BD56-54F880E91285}" name="ESTADIA 1" dataDxfId="2601" dataCellStyle="Moeda"/>
    <tableColumn id="45" xr3:uid="{5AD91C33-6B33-4B79-830F-F4169B82E718}" name="TOTAL" dataDxfId="2600" dataCellStyle="Moeda">
      <calculatedColumnFormula>SUM(Prog_23[[#This Row],[ADIANTAMENTO]]+Prog_23[[#This Row],[SALDO]]+Prog_23[[#This Row],[MARGEM]]+Prog_23[[#This Row],[ESTADIA 1]])</calculatedColumnFormula>
    </tableColumn>
    <tableColumn id="46" xr3:uid="{38C6573B-D37F-4DD1-B06E-4B89737DC955}" name="Total CTe" dataDxfId="2599" dataCellStyle="Moeda">
      <calculatedColumnFormula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calculatedColumnFormula>
    </tableColumn>
    <tableColumn id="47" xr3:uid="{3D17F737-0496-4018-BF01-45E91A51A3FE}" name="FRETE PESO" dataDxfId="2598" dataCellStyle="Moeda"/>
    <tableColumn id="48" xr3:uid="{5ADB3A31-3792-4DA9-A288-9DE217C5E56D}" name="VLR NF" dataDxfId="2597" dataCellStyle="Moeda"/>
    <tableColumn id="49" xr3:uid="{7074180B-CD22-49D2-AF56-E4553A6C519D}" name="Ad Valorem" dataDxfId="2596" dataCellStyle="Moeda">
      <calculatedColumnFormula>Prog_23[[#This Row],[VLR NF]]*0.1%</calculatedColumnFormula>
    </tableColumn>
    <tableColumn id="50" xr3:uid="{AA2AF586-4EBB-456C-9C02-5A80470C3EE4}" name="Gris" dataDxfId="2595" dataCellStyle="Moeda">
      <calculatedColumnFormula>Prog_23[[#This Row],[VLR NF]]*0.05%</calculatedColumnFormula>
    </tableColumn>
    <tableColumn id="51" xr3:uid="{DF43380C-4801-4F7A-B738-A54C2A2E7433}" name="Pedágio" dataDxfId="2594" dataCellStyle="Moeda"/>
    <tableColumn id="52" xr3:uid="{1F788610-A3FA-4A84-BDA7-F77EE2145521}" name="Taxa DTA" dataDxfId="2593" dataCellStyle="Moeda"/>
    <tableColumn id="53" xr3:uid="{1248DA33-EF73-477E-B0AD-548535419AD0}" name="Taxa LS" dataDxfId="2592" dataCellStyle="Moeda"/>
    <tableColumn id="54" xr3:uid="{E47D65E6-06D0-4C29-B958-0E2B88864A7C}" name="Taxa IMO" dataDxfId="2591" dataCellStyle="Moeda"/>
    <tableColumn id="55" xr3:uid="{D0EA27F4-CDEA-4C99-BCC8-BDC02DAF5D16}" name="Seguro" dataDxfId="2590" dataCellStyle="Moeda"/>
    <tableColumn id="56" xr3:uid="{1DE6A70D-7429-46EC-A21A-B564BE87248A}" name="ICMS" dataDxfId="2589" dataCellStyle="Moeda"/>
    <tableColumn id="57" xr3:uid="{6B5FF07E-5AF3-4CBB-A866-1A07D232F877}" name="Outros" dataDxfId="2588" dataCellStyle="Moeda"/>
    <tableColumn id="58" xr3:uid="{AADD80FF-C5D3-40E2-82D4-79E1337198ED}" name="Retirada" dataDxfId="2587" dataCellStyle="Moeda"/>
    <tableColumn id="59" xr3:uid="{19A70294-D3B6-4513-8D7A-72F9041517D4}" name="Entrega" dataDxfId="2586" dataCellStyle="Moeda"/>
    <tableColumn id="60" xr3:uid="{A8E722D8-5773-4D7F-BA2A-BF4149AA15E5}" name="Estadia" dataDxfId="2585" dataCellStyle="Moeda">
      <calculatedColumnFormula>85*9</calculatedColumnFormula>
    </tableColumn>
    <tableColumn id="61" xr3:uid="{E236F87F-BE9A-4C9D-8919-81A2B73007DB}" name="FATURADO" dataDxfId="2584"/>
    <tableColumn id="62" xr3:uid="{E10AD9A8-A057-4569-99E0-8ADDB7080C5D}" name="REDE" dataDxfId="2583"/>
    <tableColumn id="66" xr3:uid="{E689BFDF-257F-4700-BB9B-E375F893699A}" name="SISTEMA" dataDxfId="2582"/>
    <tableColumn id="67" xr3:uid="{6BE430D6-CD5D-4402-B835-838CDA730C48}" name="MÊS" dataDxfId="2581">
      <calculatedColumnFormula>UPPER(Prog_23[[#This Row],[PROGRAMAÇÃO CLIENTE]])</calculatedColumnFormula>
    </tableColumn>
    <tableColumn id="63" xr3:uid="{4A309D89-C2EA-42BD-9D98-C5AFF1401945}" name="ANO" dataDxfId="2580">
      <calculatedColumnFormula>YEAR(Prog_23[[#This Row],[PROGRAMAÇÃO CLIENTE]])</calculatedColumnFormula>
    </tableColumn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B57E70-63D4-41C4-9BB6-F362D558A64F}" name="Tabela1" displayName="Tabela1" ref="A2:F916" totalsRowShown="0" headerRowDxfId="2579" dataDxfId="2578">
  <autoFilter ref="A2:F916" xr:uid="{6EB57E70-63D4-41C4-9BB6-F362D558A64F}"/>
  <sortState xmlns:xlrd2="http://schemas.microsoft.com/office/spreadsheetml/2017/richdata2" ref="A3:F90">
    <sortCondition ref="D2:D90"/>
  </sortState>
  <tableColumns count="6">
    <tableColumn id="1" xr3:uid="{F5B40825-4E20-45C9-83EA-29D62DEA6B83}" name="ID" dataDxfId="2577"/>
    <tableColumn id="2" xr3:uid="{1EB06E27-AA0A-4955-803F-6D4E8F02C125}" name="PLACA CAVALO" dataDxfId="2576"/>
    <tableColumn id="3" xr3:uid="{098A9F79-2E68-4C9D-A30E-B879E93A8163}" name="PLACA CARRETA" dataDxfId="2547"/>
    <tableColumn id="4" xr3:uid="{148E5A7E-60D7-48F7-A09D-46FDB99E778C}" name="MOTORISTA" dataDxfId="2546"/>
    <tableColumn id="5" xr3:uid="{212B3277-B320-453C-AA67-576BCA555C7D}" name="CPF" dataDxfId="2545"/>
    <tableColumn id="6" xr3:uid="{5C19AD6B-006F-4BF3-ADAD-D3CE19E1460A}" name="CNH" dataDxfId="2544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3DDE85-CC7B-468C-BE3E-86D9D187A9D4}" name="Tabela6" displayName="Tabela6" ref="M169:R186" totalsRowCount="1" headerRowDxfId="2575" dataDxfId="2574" tableBorderDxfId="2573">
  <autoFilter ref="M169:R185" xr:uid="{573DDE85-CC7B-468C-BE3E-86D9D187A9D4}"/>
  <tableColumns count="6">
    <tableColumn id="1" xr3:uid="{EC0E3F52-6E1C-4384-8086-044AA6D2680C}" name="CLIENTE" dataDxfId="2572" totalsRowDxfId="2571"/>
    <tableColumn id="2" xr3:uid="{29964EF2-811D-424B-8674-ECDA0D8371DE}" name="REFERÊNCIA" dataDxfId="2570" totalsRowDxfId="2569"/>
    <tableColumn id="3" xr3:uid="{75489E1B-720B-4E43-BAF5-7F5195C53870}" name="DI" dataDxfId="2568" totalsRowDxfId="2567"/>
    <tableColumn id="4" xr3:uid="{F74E620E-A4E3-4FF4-B74D-0E4E2B5DF6B5}" name="CONTEINER" dataDxfId="2566" totalsRowDxfId="2565"/>
    <tableColumn id="5" xr3:uid="{8226F498-4AD1-452B-9EDC-521E7A451380}" name="CTe" dataDxfId="2564" totalsRowDxfId="2563"/>
    <tableColumn id="6" xr3:uid="{67379287-7E5B-48EA-A527-24A76052AE12}" name="VALOR" totalsRowFunction="custom" dataDxfId="2562" totalsRowDxfId="2561" dataCellStyle="Moeda" totalsRowCellStyle="Moeda">
      <totalsRowFormula>SUM(R170:R185)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COMPLEX MULTIMODAL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25E8B"/>
      </a:accent1>
      <a:accent2>
        <a:srgbClr val="D26558"/>
      </a:accent2>
      <a:accent3>
        <a:srgbClr val="17A649"/>
      </a:accent3>
      <a:accent4>
        <a:srgbClr val="EDC02B"/>
      </a:accent4>
      <a:accent5>
        <a:srgbClr val="0681B9"/>
      </a:accent5>
      <a:accent6>
        <a:srgbClr val="70AD47"/>
      </a:accent6>
      <a:hlink>
        <a:srgbClr val="0563C1"/>
      </a:hlink>
      <a:folHlink>
        <a:srgbClr val="54575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2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EF845-C2E2-48A6-9CA3-E6C08AFD5939}">
  <sheetPr codeName="Planilha1">
    <tabColor theme="2" tint="-9.9978637043366805E-2"/>
  </sheetPr>
  <dimension ref="A1:AD2"/>
  <sheetViews>
    <sheetView topLeftCell="F4" workbookViewId="0">
      <selection activeCell="J17" sqref="J17"/>
    </sheetView>
  </sheetViews>
  <sheetFormatPr defaultRowHeight="15" x14ac:dyDescent="0.25"/>
  <cols>
    <col min="1" max="1" width="9" bestFit="1" customWidth="1"/>
    <col min="2" max="3" width="8.5703125" bestFit="1" customWidth="1"/>
    <col min="4" max="4" width="3.85546875" bestFit="1" customWidth="1"/>
    <col min="5" max="5" width="8" bestFit="1" customWidth="1"/>
    <col min="6" max="6" width="8" customWidth="1"/>
    <col min="7" max="7" width="8.7109375" customWidth="1"/>
    <col min="8" max="8" width="6.7109375" customWidth="1"/>
    <col min="9" max="9" width="7.5703125" customWidth="1"/>
    <col min="10" max="10" width="11.28515625" customWidth="1"/>
    <col min="11" max="11" width="11.7109375" customWidth="1"/>
    <col min="12" max="12" width="7.42578125" customWidth="1"/>
    <col min="13" max="13" width="8" customWidth="1"/>
    <col min="14" max="14" width="9.7109375" customWidth="1"/>
    <col min="15" max="15" width="5.5703125" customWidth="1"/>
    <col min="16" max="16" width="6" customWidth="1"/>
    <col min="17" max="17" width="5.42578125" customWidth="1"/>
    <col min="18" max="18" width="23.140625" customWidth="1"/>
    <col min="19" max="19" width="22.5703125" customWidth="1"/>
    <col min="20" max="20" width="22.7109375" customWidth="1"/>
    <col min="21" max="21" width="19.5703125" customWidth="1"/>
    <col min="22" max="22" width="12.7109375" customWidth="1"/>
    <col min="23" max="23" width="6.7109375" customWidth="1"/>
    <col min="24" max="24" width="7.28515625" customWidth="1"/>
    <col min="25" max="25" width="9.28515625" customWidth="1"/>
    <col min="26" max="26" width="9.140625" customWidth="1"/>
    <col min="27" max="27" width="11.85546875" customWidth="1"/>
    <col min="28" max="28" width="9.42578125" customWidth="1"/>
    <col min="29" max="29" width="14.7109375" customWidth="1"/>
    <col min="30" max="30" width="10.42578125" customWidth="1"/>
  </cols>
  <sheetData>
    <row r="1" spans="1:30" x14ac:dyDescent="0.25">
      <c r="A1" s="44"/>
      <c r="B1" s="45"/>
      <c r="C1" s="46"/>
      <c r="D1" s="47"/>
      <c r="E1" s="44"/>
      <c r="F1" s="46"/>
      <c r="G1" s="48"/>
      <c r="H1" s="49"/>
      <c r="I1" s="46"/>
      <c r="J1" s="50"/>
      <c r="K1" s="46"/>
      <c r="L1" s="46"/>
      <c r="M1" s="46"/>
      <c r="N1" s="51"/>
      <c r="O1" s="44"/>
      <c r="P1" s="44"/>
      <c r="Q1" s="44"/>
      <c r="R1" s="52"/>
      <c r="S1" s="47"/>
      <c r="T1" s="28"/>
      <c r="U1" s="44"/>
      <c r="V1" s="72" t="s">
        <v>2772</v>
      </c>
      <c r="W1" s="72"/>
      <c r="X1" s="72"/>
      <c r="Y1" s="72"/>
      <c r="Z1" s="72"/>
      <c r="AA1" s="73" t="s">
        <v>275</v>
      </c>
      <c r="AB1" s="73"/>
      <c r="AC1" s="73"/>
      <c r="AD1" s="73"/>
    </row>
    <row r="2" spans="1:30" ht="22.5" x14ac:dyDescent="0.25">
      <c r="A2" s="53" t="s">
        <v>2773</v>
      </c>
      <c r="B2" s="54" t="s">
        <v>2774</v>
      </c>
      <c r="C2" s="55" t="s">
        <v>2775</v>
      </c>
      <c r="D2" s="55" t="s">
        <v>2776</v>
      </c>
      <c r="E2" s="55" t="s">
        <v>2777</v>
      </c>
      <c r="F2" s="56" t="s">
        <v>2778</v>
      </c>
      <c r="G2" s="56" t="s">
        <v>2779</v>
      </c>
      <c r="H2" s="57" t="s">
        <v>2780</v>
      </c>
      <c r="I2" s="58" t="s">
        <v>229</v>
      </c>
      <c r="J2" s="58" t="s">
        <v>2781</v>
      </c>
      <c r="K2" s="54" t="s">
        <v>2782</v>
      </c>
      <c r="L2" s="59" t="s">
        <v>2783</v>
      </c>
      <c r="M2" s="59" t="s">
        <v>2784</v>
      </c>
      <c r="N2" s="58" t="s">
        <v>2785</v>
      </c>
      <c r="O2" s="54" t="s">
        <v>4</v>
      </c>
      <c r="P2" s="54" t="s">
        <v>5</v>
      </c>
      <c r="Q2" s="60" t="s">
        <v>2786</v>
      </c>
      <c r="R2" s="55" t="s">
        <v>2787</v>
      </c>
      <c r="S2" s="55" t="s">
        <v>2788</v>
      </c>
      <c r="T2" s="55" t="s">
        <v>2789</v>
      </c>
      <c r="U2" s="61" t="s">
        <v>2790</v>
      </c>
      <c r="V2" s="62" t="s">
        <v>2791</v>
      </c>
      <c r="W2" s="62" t="s">
        <v>2792</v>
      </c>
      <c r="X2" s="62" t="s">
        <v>253</v>
      </c>
      <c r="Y2" s="63" t="s">
        <v>2793</v>
      </c>
      <c r="Z2" s="64" t="s">
        <v>2794</v>
      </c>
      <c r="AA2" s="65" t="s">
        <v>2795</v>
      </c>
      <c r="AB2" s="65" t="s">
        <v>2796</v>
      </c>
      <c r="AC2" s="65" t="s">
        <v>2797</v>
      </c>
      <c r="AD2" s="65" t="s">
        <v>266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D8DF-E10F-4153-A90A-59A0357781A9}">
  <sheetPr codeName="Planilha2">
    <tabColor theme="2" tint="-9.9978637043366805E-2"/>
  </sheetPr>
  <dimension ref="A3:BM673"/>
  <sheetViews>
    <sheetView topLeftCell="A112" workbookViewId="0">
      <selection activeCell="AI350" sqref="AI350"/>
    </sheetView>
  </sheetViews>
  <sheetFormatPr defaultRowHeight="15" x14ac:dyDescent="0.25"/>
  <cols>
    <col min="1" max="1" width="16.28515625" style="32" customWidth="1"/>
    <col min="2" max="2" width="24.42578125" style="32" customWidth="1"/>
    <col min="3" max="3" width="14" style="32" customWidth="1"/>
    <col min="4" max="4" width="8.85546875" style="32" customWidth="1"/>
    <col min="5" max="5" width="12.42578125" style="32" customWidth="1"/>
    <col min="6" max="6" width="13.85546875" style="32" customWidth="1"/>
    <col min="7" max="7" width="15.140625" style="32" customWidth="1"/>
    <col min="8" max="8" width="6.7109375" style="32" customWidth="1"/>
    <col min="9" max="9" width="7.28515625" style="32" customWidth="1"/>
    <col min="10" max="10" width="8" style="32" customWidth="1"/>
    <col min="11" max="11" width="7.140625" style="32" customWidth="1"/>
    <col min="12" max="12" width="7" style="32" customWidth="1"/>
    <col min="13" max="13" width="13.28515625" style="32" customWidth="1"/>
    <col min="14" max="14" width="8.42578125" style="32" customWidth="1"/>
    <col min="15" max="15" width="15.28515625" style="32" customWidth="1"/>
    <col min="16" max="16" width="15.7109375" style="32" customWidth="1"/>
    <col min="17" max="17" width="12.42578125" style="32" customWidth="1"/>
    <col min="18" max="18" width="9" style="32" customWidth="1"/>
    <col min="19" max="19" width="6.5703125" style="32" customWidth="1"/>
    <col min="20" max="20" width="22.42578125" style="32" customWidth="1"/>
    <col min="21" max="21" width="17.85546875" style="32" customWidth="1"/>
    <col min="22" max="22" width="20.28515625" style="32" customWidth="1"/>
    <col min="23" max="23" width="17.28515625" style="32" customWidth="1"/>
    <col min="24" max="24" width="22" style="32" customWidth="1"/>
    <col min="25" max="25" width="17.42578125" style="32" customWidth="1"/>
    <col min="26" max="26" width="15.85546875" style="32" bestFit="1" customWidth="1"/>
    <col min="27" max="27" width="16.85546875" style="32" bestFit="1" customWidth="1"/>
    <col min="28" max="28" width="15.85546875" style="32" bestFit="1" customWidth="1"/>
    <col min="29" max="29" width="13.140625" style="32" customWidth="1"/>
    <col min="30" max="30" width="16.5703125" style="32" customWidth="1"/>
    <col min="31" max="31" width="5.42578125" style="32" customWidth="1"/>
    <col min="32" max="32" width="5.28515625" style="32" customWidth="1"/>
    <col min="33" max="33" width="33" style="32" bestFit="1" customWidth="1"/>
    <col min="34" max="34" width="19.28515625" style="32" customWidth="1"/>
    <col min="35" max="35" width="16.42578125" style="32" customWidth="1"/>
    <col min="36" max="36" width="10.140625" style="32" customWidth="1"/>
    <col min="37" max="37" width="17.5703125" style="32" customWidth="1"/>
    <col min="38" max="38" width="23" style="32" bestFit="1" customWidth="1"/>
    <col min="39" max="39" width="18" style="32" customWidth="1"/>
    <col min="40" max="40" width="16.140625" style="32" customWidth="1"/>
    <col min="41" max="41" width="12.140625" style="32" bestFit="1" customWidth="1"/>
    <col min="42" max="42" width="10.5703125" style="32" bestFit="1" customWidth="1"/>
    <col min="43" max="43" width="13.28515625" style="32" bestFit="1" customWidth="1"/>
    <col min="44" max="44" width="14.140625" style="32" customWidth="1"/>
    <col min="45" max="45" width="12.140625" style="32" bestFit="1" customWidth="1"/>
    <col min="46" max="46" width="20" style="32" bestFit="1" customWidth="1"/>
    <col min="47" max="47" width="13.28515625" style="32" bestFit="1" customWidth="1"/>
    <col min="48" max="48" width="14.28515625" style="32" bestFit="1" customWidth="1"/>
    <col min="49" max="50" width="12.140625" style="32" bestFit="1" customWidth="1"/>
    <col min="51" max="51" width="10.5703125" style="32" bestFit="1" customWidth="1"/>
    <col min="52" max="52" width="10.85546875" style="32" customWidth="1"/>
    <col min="53" max="53" width="8.7109375" style="32" customWidth="1"/>
    <col min="54" max="54" width="10.28515625" style="32" customWidth="1"/>
    <col min="55" max="55" width="9.5703125" style="32" bestFit="1" customWidth="1"/>
    <col min="56" max="56" width="10.5703125" style="32" bestFit="1" customWidth="1"/>
    <col min="57" max="60" width="12.140625" style="32" bestFit="1" customWidth="1"/>
    <col min="61" max="61" width="6.42578125" style="32" customWidth="1"/>
    <col min="62" max="62" width="6.85546875" style="32" customWidth="1"/>
    <col min="63" max="63" width="11.7109375" style="32" customWidth="1"/>
    <col min="64" max="64" width="7" style="32" customWidth="1"/>
    <col min="65" max="65" width="9.7109375" style="32" customWidth="1"/>
    <col min="66" max="16384" width="9.140625" style="32"/>
  </cols>
  <sheetData>
    <row r="3" spans="1:65" ht="15.75" thickBot="1" x14ac:dyDescent="0.3">
      <c r="A3" s="33" t="s">
        <v>275</v>
      </c>
      <c r="B3" s="28"/>
      <c r="C3" s="28"/>
      <c r="D3" s="28"/>
      <c r="E3" s="28"/>
      <c r="F3" s="28"/>
      <c r="G3" s="28"/>
      <c r="H3" s="29"/>
      <c r="I3" s="29"/>
      <c r="J3" s="29"/>
      <c r="K3" s="29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29"/>
      <c r="AE3" s="30"/>
      <c r="AF3" s="30"/>
      <c r="AG3" s="30"/>
      <c r="AH3" s="30"/>
      <c r="AI3" s="30"/>
      <c r="AJ3" s="30"/>
      <c r="AK3" s="31"/>
      <c r="AL3" s="31"/>
      <c r="AM3" s="31"/>
      <c r="AN3" s="74" t="s">
        <v>215</v>
      </c>
      <c r="AO3" s="75"/>
      <c r="AP3" s="75"/>
      <c r="AQ3" s="75"/>
      <c r="AR3" s="75"/>
      <c r="AS3" s="76"/>
      <c r="AT3" s="21" t="s">
        <v>216</v>
      </c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22"/>
      <c r="BI3" s="23"/>
      <c r="BJ3" s="23"/>
      <c r="BK3" s="77" t="s">
        <v>275</v>
      </c>
      <c r="BL3" s="77"/>
      <c r="BM3" s="77"/>
    </row>
    <row r="4" spans="1:65" ht="15.75" thickBot="1" x14ac:dyDescent="0.3">
      <c r="A4" s="27" t="s">
        <v>273</v>
      </c>
      <c r="B4" s="5" t="s">
        <v>217</v>
      </c>
      <c r="C4" s="6" t="s">
        <v>218</v>
      </c>
      <c r="D4" s="6" t="s">
        <v>219</v>
      </c>
      <c r="E4" s="6" t="s">
        <v>220</v>
      </c>
      <c r="F4" s="6" t="s">
        <v>221</v>
      </c>
      <c r="G4" s="6" t="s">
        <v>222</v>
      </c>
      <c r="H4" s="6" t="s">
        <v>223</v>
      </c>
      <c r="I4" s="6" t="s">
        <v>224</v>
      </c>
      <c r="J4" s="6" t="s">
        <v>225</v>
      </c>
      <c r="K4" s="6" t="s">
        <v>226</v>
      </c>
      <c r="L4" s="6" t="s">
        <v>227</v>
      </c>
      <c r="M4" s="6" t="s">
        <v>228</v>
      </c>
      <c r="N4" s="6" t="s">
        <v>229</v>
      </c>
      <c r="O4" s="7" t="s">
        <v>1</v>
      </c>
      <c r="P4" s="7" t="s">
        <v>2</v>
      </c>
      <c r="Q4" s="8" t="s">
        <v>3</v>
      </c>
      <c r="R4" s="8" t="s">
        <v>4</v>
      </c>
      <c r="S4" s="8" t="s">
        <v>5</v>
      </c>
      <c r="T4" s="7" t="s">
        <v>230</v>
      </c>
      <c r="U4" s="7" t="s">
        <v>231</v>
      </c>
      <c r="V4" s="24" t="s">
        <v>232</v>
      </c>
      <c r="W4" s="9" t="s">
        <v>233</v>
      </c>
      <c r="X4" s="9" t="s">
        <v>234</v>
      </c>
      <c r="Y4" s="24" t="s">
        <v>235</v>
      </c>
      <c r="Z4" s="10" t="s">
        <v>236</v>
      </c>
      <c r="AA4" s="11" t="s">
        <v>237</v>
      </c>
      <c r="AB4" s="12" t="s">
        <v>238</v>
      </c>
      <c r="AC4" s="7" t="s">
        <v>239</v>
      </c>
      <c r="AD4" s="8" t="s">
        <v>240</v>
      </c>
      <c r="AE4" s="8" t="s">
        <v>241</v>
      </c>
      <c r="AF4" s="8" t="s">
        <v>242</v>
      </c>
      <c r="AG4" s="13" t="s">
        <v>243</v>
      </c>
      <c r="AH4" s="14" t="s">
        <v>244</v>
      </c>
      <c r="AI4" s="14" t="s">
        <v>245</v>
      </c>
      <c r="AJ4" s="15" t="s">
        <v>246</v>
      </c>
      <c r="AK4" s="14" t="s">
        <v>247</v>
      </c>
      <c r="AL4" s="16" t="s">
        <v>248</v>
      </c>
      <c r="AM4" s="16" t="s">
        <v>249</v>
      </c>
      <c r="AN4" s="17" t="s">
        <v>250</v>
      </c>
      <c r="AO4" s="17" t="s">
        <v>251</v>
      </c>
      <c r="AP4" s="17" t="s">
        <v>252</v>
      </c>
      <c r="AQ4" s="17" t="s">
        <v>253</v>
      </c>
      <c r="AR4" s="25" t="s">
        <v>276</v>
      </c>
      <c r="AS4" s="17" t="s">
        <v>254</v>
      </c>
      <c r="AT4" s="18" t="s">
        <v>255</v>
      </c>
      <c r="AU4" s="4" t="s">
        <v>256</v>
      </c>
      <c r="AV4" s="4" t="s">
        <v>257</v>
      </c>
      <c r="AW4" s="18" t="s">
        <v>277</v>
      </c>
      <c r="AX4" s="18" t="s">
        <v>278</v>
      </c>
      <c r="AY4" s="18" t="s">
        <v>258</v>
      </c>
      <c r="AZ4" s="18" t="s">
        <v>279</v>
      </c>
      <c r="BA4" s="18" t="s">
        <v>259</v>
      </c>
      <c r="BB4" s="18" t="s">
        <v>260</v>
      </c>
      <c r="BC4" s="18" t="s">
        <v>261</v>
      </c>
      <c r="BD4" s="18" t="s">
        <v>262</v>
      </c>
      <c r="BE4" s="18" t="s">
        <v>263</v>
      </c>
      <c r="BF4" s="18" t="s">
        <v>264</v>
      </c>
      <c r="BG4" s="18" t="s">
        <v>265</v>
      </c>
      <c r="BH4" s="18" t="s">
        <v>280</v>
      </c>
      <c r="BI4" s="26" t="s">
        <v>281</v>
      </c>
      <c r="BJ4" s="26" t="s">
        <v>282</v>
      </c>
      <c r="BK4" s="19" t="s">
        <v>266</v>
      </c>
      <c r="BL4" s="20" t="s">
        <v>267</v>
      </c>
      <c r="BM4" s="20" t="s">
        <v>268</v>
      </c>
    </row>
    <row r="5" spans="1:65" x14ac:dyDescent="0.25">
      <c r="A5" s="40" t="s">
        <v>2771</v>
      </c>
      <c r="B5" s="41">
        <v>44596.416666666664</v>
      </c>
      <c r="C5" s="40" t="s">
        <v>283</v>
      </c>
      <c r="D5" s="40" t="s">
        <v>284</v>
      </c>
      <c r="E5" s="40" t="s">
        <v>285</v>
      </c>
      <c r="F5" s="40" t="s">
        <v>286</v>
      </c>
      <c r="G5" s="40" t="s">
        <v>287</v>
      </c>
      <c r="H5" s="40" t="s">
        <v>288</v>
      </c>
      <c r="I5" s="40">
        <v>2200</v>
      </c>
      <c r="J5" s="40">
        <v>1300987</v>
      </c>
      <c r="K5" s="40">
        <v>3300</v>
      </c>
      <c r="L5" s="40">
        <v>5500</v>
      </c>
      <c r="M5" s="40">
        <v>28847</v>
      </c>
      <c r="N5" s="40" t="s">
        <v>289</v>
      </c>
      <c r="O5" s="40" t="s">
        <v>290</v>
      </c>
      <c r="P5" s="40" t="s">
        <v>125</v>
      </c>
      <c r="Q5" s="40" t="s">
        <v>291</v>
      </c>
      <c r="R5" s="42">
        <v>28540113848</v>
      </c>
      <c r="S5" s="42" t="s">
        <v>2767</v>
      </c>
      <c r="T5" s="40" t="s">
        <v>292</v>
      </c>
      <c r="U5" s="41">
        <v>44595.644444444442</v>
      </c>
      <c r="V5" s="41">
        <v>44231.229166666664</v>
      </c>
      <c r="W5" s="41">
        <v>44596.649305555555</v>
      </c>
      <c r="X5" s="40" t="s">
        <v>293</v>
      </c>
      <c r="Y5" s="41">
        <v>44597.386805555558</v>
      </c>
      <c r="Z5" s="41">
        <v>44596.291666666664</v>
      </c>
      <c r="AA5" s="41">
        <v>44596.291666666664</v>
      </c>
      <c r="AB5" s="41">
        <v>44600.75</v>
      </c>
      <c r="AC5" s="40" t="s">
        <v>294</v>
      </c>
      <c r="AD5" s="40"/>
      <c r="AE5" s="40">
        <v>5193</v>
      </c>
      <c r="AF5" s="40"/>
      <c r="AG5" s="40"/>
      <c r="AH5" s="40" t="s">
        <v>295</v>
      </c>
      <c r="AI5" s="41"/>
      <c r="AJ5" s="40"/>
      <c r="AK5" s="43">
        <v>0</v>
      </c>
      <c r="AL5" s="40"/>
      <c r="AM5" s="43">
        <v>0</v>
      </c>
      <c r="AN5" s="43">
        <v>3150</v>
      </c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0" t="s">
        <v>296</v>
      </c>
      <c r="BJ5" s="40">
        <v>2021</v>
      </c>
      <c r="BK5" s="40" t="s">
        <v>125</v>
      </c>
      <c r="BL5" s="40"/>
      <c r="BM5" s="40" t="s">
        <v>125</v>
      </c>
    </row>
    <row r="6" spans="1:65" x14ac:dyDescent="0.25">
      <c r="A6" s="40" t="s">
        <v>2771</v>
      </c>
      <c r="B6" s="41">
        <v>44596.333333333336</v>
      </c>
      <c r="C6" s="40" t="s">
        <v>297</v>
      </c>
      <c r="D6" s="40" t="s">
        <v>298</v>
      </c>
      <c r="E6" s="40" t="s">
        <v>299</v>
      </c>
      <c r="F6" s="40">
        <v>215787323</v>
      </c>
      <c r="G6" s="40" t="s">
        <v>300</v>
      </c>
      <c r="H6" s="40" t="s">
        <v>301</v>
      </c>
      <c r="I6" s="40">
        <v>3880</v>
      </c>
      <c r="J6" s="40" t="s">
        <v>302</v>
      </c>
      <c r="K6" s="40">
        <v>25468</v>
      </c>
      <c r="L6" s="40">
        <v>29348</v>
      </c>
      <c r="M6" s="40">
        <v>705356</v>
      </c>
      <c r="N6" s="40" t="s">
        <v>303</v>
      </c>
      <c r="O6" s="40" t="s">
        <v>106</v>
      </c>
      <c r="P6" s="40" t="s">
        <v>304</v>
      </c>
      <c r="Q6" s="40" t="s">
        <v>108</v>
      </c>
      <c r="R6" s="42">
        <v>34927982840</v>
      </c>
      <c r="S6" s="42" t="s">
        <v>110</v>
      </c>
      <c r="T6" s="40" t="s">
        <v>305</v>
      </c>
      <c r="U6" s="41">
        <v>44596.5625</v>
      </c>
      <c r="V6" s="41">
        <v>44596.697916666664</v>
      </c>
      <c r="W6" s="41">
        <v>44596.875</v>
      </c>
      <c r="X6" s="40" t="s">
        <v>306</v>
      </c>
      <c r="Y6" s="41">
        <v>44599.81527777778</v>
      </c>
      <c r="Z6" s="41">
        <v>44599.791666666664</v>
      </c>
      <c r="AA6" s="41" t="s">
        <v>307</v>
      </c>
      <c r="AB6" s="41">
        <v>44602.75</v>
      </c>
      <c r="AC6" s="40" t="s">
        <v>308</v>
      </c>
      <c r="AD6" s="40">
        <v>11462</v>
      </c>
      <c r="AE6" s="40">
        <v>5194</v>
      </c>
      <c r="AF6" s="40">
        <v>1192</v>
      </c>
      <c r="AG6" s="40"/>
      <c r="AH6" s="40" t="s">
        <v>309</v>
      </c>
      <c r="AI6" s="41">
        <v>44597.083333333336</v>
      </c>
      <c r="AJ6" s="40"/>
      <c r="AK6" s="43">
        <v>950</v>
      </c>
      <c r="AL6" s="40"/>
      <c r="AM6" s="43">
        <v>0</v>
      </c>
      <c r="AN6" s="43">
        <v>0</v>
      </c>
      <c r="AO6" s="43">
        <v>0</v>
      </c>
      <c r="AP6" s="43">
        <v>0</v>
      </c>
      <c r="AQ6" s="43">
        <v>0</v>
      </c>
      <c r="AR6" s="43">
        <v>218.72499999999999</v>
      </c>
      <c r="AS6" s="43">
        <v>0</v>
      </c>
      <c r="AT6" s="43" t="e">
        <v>#REF!</v>
      </c>
      <c r="AU6" s="43">
        <v>3250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 t="e">
        <v>#REF!</v>
      </c>
      <c r="BI6" s="40" t="s">
        <v>296</v>
      </c>
      <c r="BJ6" s="40">
        <v>2022</v>
      </c>
      <c r="BK6" s="40" t="s">
        <v>2768</v>
      </c>
      <c r="BL6" s="40" t="s">
        <v>2768</v>
      </c>
      <c r="BM6" s="40" t="s">
        <v>125</v>
      </c>
    </row>
    <row r="7" spans="1:65" x14ac:dyDescent="0.25">
      <c r="A7" s="40" t="s">
        <v>2771</v>
      </c>
      <c r="B7" s="41">
        <v>44596.416666666664</v>
      </c>
      <c r="C7" s="40" t="s">
        <v>297</v>
      </c>
      <c r="D7" s="40" t="s">
        <v>298</v>
      </c>
      <c r="E7" s="40" t="s">
        <v>299</v>
      </c>
      <c r="F7" s="40">
        <v>215787323</v>
      </c>
      <c r="G7" s="40" t="s">
        <v>310</v>
      </c>
      <c r="H7" s="40" t="s">
        <v>301</v>
      </c>
      <c r="I7" s="40">
        <v>3900</v>
      </c>
      <c r="J7" s="40" t="s">
        <v>311</v>
      </c>
      <c r="K7" s="40">
        <v>19734</v>
      </c>
      <c r="L7" s="40">
        <v>23634</v>
      </c>
      <c r="M7" s="40">
        <v>705359</v>
      </c>
      <c r="N7" s="40" t="s">
        <v>303</v>
      </c>
      <c r="O7" s="40" t="s">
        <v>72</v>
      </c>
      <c r="P7" s="40" t="s">
        <v>312</v>
      </c>
      <c r="Q7" s="40" t="s">
        <v>313</v>
      </c>
      <c r="R7" s="42">
        <v>28724326801</v>
      </c>
      <c r="S7" s="42" t="s">
        <v>314</v>
      </c>
      <c r="T7" s="40" t="s">
        <v>305</v>
      </c>
      <c r="U7" s="41">
        <v>44596.611111111109</v>
      </c>
      <c r="V7" s="41">
        <v>44596.760416666664</v>
      </c>
      <c r="W7" s="41">
        <v>44596.875</v>
      </c>
      <c r="X7" s="40" t="s">
        <v>306</v>
      </c>
      <c r="Y7" s="41">
        <v>44599.767361111109</v>
      </c>
      <c r="Z7" s="41">
        <v>44599.791666666664</v>
      </c>
      <c r="AA7" s="41" t="s">
        <v>307</v>
      </c>
      <c r="AB7" s="41">
        <v>44602.75</v>
      </c>
      <c r="AC7" s="40" t="s">
        <v>308</v>
      </c>
      <c r="AD7" s="40">
        <v>11463</v>
      </c>
      <c r="AE7" s="40">
        <v>5195</v>
      </c>
      <c r="AF7" s="40">
        <v>1193</v>
      </c>
      <c r="AG7" s="40"/>
      <c r="AH7" s="40" t="s">
        <v>309</v>
      </c>
      <c r="AI7" s="41">
        <v>44597.083333333336</v>
      </c>
      <c r="AJ7" s="40"/>
      <c r="AK7" s="43">
        <v>950</v>
      </c>
      <c r="AL7" s="40"/>
      <c r="AM7" s="43">
        <v>0</v>
      </c>
      <c r="AN7" s="43">
        <v>0</v>
      </c>
      <c r="AO7" s="43">
        <v>0</v>
      </c>
      <c r="AP7" s="43">
        <v>0</v>
      </c>
      <c r="AQ7" s="43">
        <v>0</v>
      </c>
      <c r="AR7" s="43">
        <v>218.72499999999999</v>
      </c>
      <c r="AS7" s="43">
        <v>0</v>
      </c>
      <c r="AT7" s="43">
        <v>3250</v>
      </c>
      <c r="AU7" s="43">
        <v>3250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0" t="s">
        <v>296</v>
      </c>
      <c r="BJ7" s="40">
        <v>2022</v>
      </c>
      <c r="BK7" s="40" t="s">
        <v>2768</v>
      </c>
      <c r="BL7" s="40" t="s">
        <v>2768</v>
      </c>
      <c r="BM7" s="40" t="s">
        <v>125</v>
      </c>
    </row>
    <row r="8" spans="1:65" x14ac:dyDescent="0.25">
      <c r="A8" s="40" t="s">
        <v>2771</v>
      </c>
      <c r="B8" s="41">
        <v>44596.458333333336</v>
      </c>
      <c r="C8" s="40" t="s">
        <v>297</v>
      </c>
      <c r="D8" s="40" t="s">
        <v>298</v>
      </c>
      <c r="E8" s="40" t="s">
        <v>299</v>
      </c>
      <c r="F8" s="40">
        <v>215787323</v>
      </c>
      <c r="G8" s="40" t="s">
        <v>315</v>
      </c>
      <c r="H8" s="40" t="s">
        <v>301</v>
      </c>
      <c r="I8" s="40">
        <v>3860</v>
      </c>
      <c r="J8" s="40" t="s">
        <v>316</v>
      </c>
      <c r="K8" s="40">
        <v>19734</v>
      </c>
      <c r="L8" s="40">
        <v>23594</v>
      </c>
      <c r="M8" s="40">
        <v>705362</v>
      </c>
      <c r="N8" s="40" t="s">
        <v>303</v>
      </c>
      <c r="O8" s="40" t="s">
        <v>92</v>
      </c>
      <c r="P8" s="40" t="s">
        <v>93</v>
      </c>
      <c r="Q8" s="40" t="s">
        <v>94</v>
      </c>
      <c r="R8" s="42">
        <v>26283419801</v>
      </c>
      <c r="S8" s="42" t="s">
        <v>96</v>
      </c>
      <c r="T8" s="40" t="s">
        <v>305</v>
      </c>
      <c r="U8" s="41">
        <v>44596.555555555555</v>
      </c>
      <c r="V8" s="41">
        <v>44596.697916666664</v>
      </c>
      <c r="W8" s="41">
        <v>44596.875</v>
      </c>
      <c r="X8" s="40" t="s">
        <v>306</v>
      </c>
      <c r="Y8" s="41">
        <v>44599.868750000001</v>
      </c>
      <c r="Z8" s="41">
        <v>44599.791666666664</v>
      </c>
      <c r="AA8" s="41" t="s">
        <v>307</v>
      </c>
      <c r="AB8" s="41">
        <v>44602.75</v>
      </c>
      <c r="AC8" s="40" t="s">
        <v>308</v>
      </c>
      <c r="AD8" s="40" t="s">
        <v>317</v>
      </c>
      <c r="AE8" s="40">
        <v>5196</v>
      </c>
      <c r="AF8" s="40">
        <v>1194</v>
      </c>
      <c r="AG8" s="40"/>
      <c r="AH8" s="40" t="s">
        <v>309</v>
      </c>
      <c r="AI8" s="41">
        <v>44597.083333333336</v>
      </c>
      <c r="AJ8" s="40"/>
      <c r="AK8" s="43">
        <v>950</v>
      </c>
      <c r="AL8" s="40"/>
      <c r="AM8" s="43">
        <v>0</v>
      </c>
      <c r="AN8" s="43">
        <v>0</v>
      </c>
      <c r="AO8" s="43">
        <v>0</v>
      </c>
      <c r="AP8" s="43">
        <v>0</v>
      </c>
      <c r="AQ8" s="43">
        <v>0</v>
      </c>
      <c r="AR8" s="43">
        <v>218.72499999999999</v>
      </c>
      <c r="AS8" s="43">
        <v>0</v>
      </c>
      <c r="AT8" s="43">
        <v>3250</v>
      </c>
      <c r="AU8" s="43">
        <v>3250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0" t="s">
        <v>296</v>
      </c>
      <c r="BJ8" s="40">
        <v>2022</v>
      </c>
      <c r="BK8" s="40" t="s">
        <v>2768</v>
      </c>
      <c r="BL8" s="40" t="s">
        <v>2768</v>
      </c>
      <c r="BM8" s="40" t="s">
        <v>125</v>
      </c>
    </row>
    <row r="9" spans="1:65" x14ac:dyDescent="0.25">
      <c r="A9" s="40" t="s">
        <v>2771</v>
      </c>
      <c r="B9" s="41">
        <v>44600.291666666664</v>
      </c>
      <c r="C9" s="40" t="s">
        <v>297</v>
      </c>
      <c r="D9" s="40" t="s">
        <v>298</v>
      </c>
      <c r="E9" s="40" t="s">
        <v>299</v>
      </c>
      <c r="F9" s="40">
        <v>215787323</v>
      </c>
      <c r="G9" s="40" t="s">
        <v>318</v>
      </c>
      <c r="H9" s="40" t="s">
        <v>301</v>
      </c>
      <c r="I9" s="40">
        <v>3810</v>
      </c>
      <c r="J9" s="40" t="s">
        <v>319</v>
      </c>
      <c r="K9" s="40"/>
      <c r="L9" s="40">
        <v>3810</v>
      </c>
      <c r="M9" s="40"/>
      <c r="N9" s="40" t="s">
        <v>303</v>
      </c>
      <c r="O9" s="40" t="s">
        <v>164</v>
      </c>
      <c r="P9" s="40" t="s">
        <v>165</v>
      </c>
      <c r="Q9" s="40" t="s">
        <v>166</v>
      </c>
      <c r="R9" s="42" t="s">
        <v>320</v>
      </c>
      <c r="S9" s="42" t="s">
        <v>168</v>
      </c>
      <c r="T9" s="40" t="s">
        <v>292</v>
      </c>
      <c r="U9" s="41">
        <v>44599.875</v>
      </c>
      <c r="V9" s="41">
        <v>44600.625</v>
      </c>
      <c r="W9" s="41">
        <v>44601.958333333336</v>
      </c>
      <c r="X9" s="40" t="s">
        <v>306</v>
      </c>
      <c r="Y9" s="41">
        <v>44602.092361111114</v>
      </c>
      <c r="Z9" s="41">
        <v>44599.791666666664</v>
      </c>
      <c r="AA9" s="41" t="s">
        <v>307</v>
      </c>
      <c r="AB9" s="41">
        <v>44602.75</v>
      </c>
      <c r="AC9" s="40" t="s">
        <v>308</v>
      </c>
      <c r="AD9" s="40">
        <v>11550</v>
      </c>
      <c r="AE9" s="40">
        <v>5197</v>
      </c>
      <c r="AF9" s="40">
        <v>1195</v>
      </c>
      <c r="AG9" s="40"/>
      <c r="AH9" s="40" t="s">
        <v>295</v>
      </c>
      <c r="AI9" s="41"/>
      <c r="AJ9" s="40"/>
      <c r="AK9" s="43">
        <v>0</v>
      </c>
      <c r="AL9" s="40"/>
      <c r="AM9" s="43">
        <v>0</v>
      </c>
      <c r="AN9" s="43">
        <v>2800</v>
      </c>
      <c r="AO9" s="43">
        <v>0</v>
      </c>
      <c r="AP9" s="43">
        <v>0</v>
      </c>
      <c r="AQ9" s="43">
        <v>3400</v>
      </c>
      <c r="AR9" s="43">
        <v>218.72499999999999</v>
      </c>
      <c r="AS9" s="43">
        <v>600</v>
      </c>
      <c r="AT9" s="43">
        <v>5460</v>
      </c>
      <c r="AU9" s="43">
        <v>3250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2210</v>
      </c>
      <c r="BI9" s="40" t="s">
        <v>296</v>
      </c>
      <c r="BJ9" s="40">
        <v>2022</v>
      </c>
      <c r="BK9" s="40" t="s">
        <v>2768</v>
      </c>
      <c r="BL9" s="40" t="s">
        <v>2768</v>
      </c>
      <c r="BM9" s="40" t="s">
        <v>125</v>
      </c>
    </row>
    <row r="10" spans="1:65" x14ac:dyDescent="0.25">
      <c r="A10" s="40" t="s">
        <v>2771</v>
      </c>
      <c r="B10" s="41">
        <v>44600.291666666664</v>
      </c>
      <c r="C10" s="40" t="s">
        <v>297</v>
      </c>
      <c r="D10" s="40" t="s">
        <v>298</v>
      </c>
      <c r="E10" s="40" t="s">
        <v>299</v>
      </c>
      <c r="F10" s="40">
        <v>215787323</v>
      </c>
      <c r="G10" s="40" t="s">
        <v>321</v>
      </c>
      <c r="H10" s="40" t="s">
        <v>301</v>
      </c>
      <c r="I10" s="40">
        <v>3860</v>
      </c>
      <c r="J10" s="40" t="s">
        <v>322</v>
      </c>
      <c r="K10" s="40"/>
      <c r="L10" s="40">
        <v>3860</v>
      </c>
      <c r="M10" s="40"/>
      <c r="N10" s="40" t="s">
        <v>303</v>
      </c>
      <c r="O10" s="40" t="s">
        <v>323</v>
      </c>
      <c r="P10" s="40" t="s">
        <v>324</v>
      </c>
      <c r="Q10" s="40" t="s">
        <v>325</v>
      </c>
      <c r="R10" s="42">
        <v>40205406831</v>
      </c>
      <c r="S10" s="42" t="s">
        <v>326</v>
      </c>
      <c r="T10" s="40" t="s">
        <v>292</v>
      </c>
      <c r="U10" s="41">
        <v>44599.875</v>
      </c>
      <c r="V10" s="41">
        <v>44600.375</v>
      </c>
      <c r="W10" s="41">
        <v>44600.958333333336</v>
      </c>
      <c r="X10" s="40" t="s">
        <v>306</v>
      </c>
      <c r="Y10" s="41">
        <v>44601.557638888888</v>
      </c>
      <c r="Z10" s="41">
        <v>44599.791666666664</v>
      </c>
      <c r="AA10" s="41" t="s">
        <v>307</v>
      </c>
      <c r="AB10" s="41">
        <v>44602.75</v>
      </c>
      <c r="AC10" s="40" t="s">
        <v>308</v>
      </c>
      <c r="AD10" s="40">
        <v>11522</v>
      </c>
      <c r="AE10" s="40">
        <v>5198</v>
      </c>
      <c r="AF10" s="40">
        <v>1196</v>
      </c>
      <c r="AG10" s="40"/>
      <c r="AH10" s="40" t="s">
        <v>295</v>
      </c>
      <c r="AI10" s="41"/>
      <c r="AJ10" s="40"/>
      <c r="AK10" s="43"/>
      <c r="AL10" s="40"/>
      <c r="AM10" s="43">
        <v>0</v>
      </c>
      <c r="AN10" s="43">
        <v>2800</v>
      </c>
      <c r="AO10" s="43">
        <v>0</v>
      </c>
      <c r="AP10" s="43">
        <v>0</v>
      </c>
      <c r="AQ10" s="43">
        <v>2800</v>
      </c>
      <c r="AR10" s="43">
        <v>218.72499999999999</v>
      </c>
      <c r="AS10" s="43">
        <v>0</v>
      </c>
      <c r="AT10" s="43">
        <v>3250</v>
      </c>
      <c r="AU10" s="43">
        <v>3250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0" t="s">
        <v>296</v>
      </c>
      <c r="BJ10" s="40">
        <v>2022</v>
      </c>
      <c r="BK10" s="40" t="s">
        <v>2768</v>
      </c>
      <c r="BL10" s="40" t="s">
        <v>2768</v>
      </c>
      <c r="BM10" s="40" t="s">
        <v>125</v>
      </c>
    </row>
    <row r="11" spans="1:65" x14ac:dyDescent="0.25">
      <c r="A11" s="40" t="s">
        <v>2771</v>
      </c>
      <c r="B11" s="41">
        <v>44600.416666666664</v>
      </c>
      <c r="C11" s="40" t="s">
        <v>297</v>
      </c>
      <c r="D11" s="40" t="s">
        <v>298</v>
      </c>
      <c r="E11" s="40" t="s">
        <v>299</v>
      </c>
      <c r="F11" s="40">
        <v>215787323</v>
      </c>
      <c r="G11" s="40" t="s">
        <v>327</v>
      </c>
      <c r="H11" s="40" t="s">
        <v>301</v>
      </c>
      <c r="I11" s="40">
        <v>3900</v>
      </c>
      <c r="J11" s="40" t="s">
        <v>328</v>
      </c>
      <c r="K11" s="40">
        <v>19734</v>
      </c>
      <c r="L11" s="40">
        <v>23634</v>
      </c>
      <c r="M11" s="40">
        <v>706279</v>
      </c>
      <c r="N11" s="40" t="s">
        <v>303</v>
      </c>
      <c r="O11" s="40" t="s">
        <v>140</v>
      </c>
      <c r="P11" s="40" t="s">
        <v>141</v>
      </c>
      <c r="Q11" s="40" t="s">
        <v>329</v>
      </c>
      <c r="R11" s="42">
        <v>26893292805</v>
      </c>
      <c r="S11" s="42" t="s">
        <v>330</v>
      </c>
      <c r="T11" s="40" t="s">
        <v>292</v>
      </c>
      <c r="U11" s="41">
        <v>44599.875</v>
      </c>
      <c r="V11" s="41">
        <v>44594.333333333336</v>
      </c>
      <c r="W11" s="41">
        <v>44595.333333333336</v>
      </c>
      <c r="X11" s="40" t="s">
        <v>306</v>
      </c>
      <c r="Y11" s="41">
        <v>44601.092361111114</v>
      </c>
      <c r="Z11" s="41">
        <v>44599.791666666664</v>
      </c>
      <c r="AA11" s="41" t="s">
        <v>307</v>
      </c>
      <c r="AB11" s="41">
        <v>44602.75</v>
      </c>
      <c r="AC11" s="40" t="s">
        <v>308</v>
      </c>
      <c r="AD11" s="40">
        <v>11513</v>
      </c>
      <c r="AE11" s="40">
        <v>5199</v>
      </c>
      <c r="AF11" s="40">
        <v>1197</v>
      </c>
      <c r="AG11" s="40"/>
      <c r="AH11" s="40" t="s">
        <v>295</v>
      </c>
      <c r="AI11" s="41"/>
      <c r="AJ11" s="40"/>
      <c r="AK11" s="43"/>
      <c r="AL11" s="40"/>
      <c r="AM11" s="43">
        <v>0</v>
      </c>
      <c r="AN11" s="43">
        <v>2800</v>
      </c>
      <c r="AO11" s="43">
        <v>0</v>
      </c>
      <c r="AP11" s="43">
        <v>0</v>
      </c>
      <c r="AQ11" s="43">
        <v>2800</v>
      </c>
      <c r="AR11" s="43">
        <v>218.72499999999999</v>
      </c>
      <c r="AS11" s="43">
        <v>0</v>
      </c>
      <c r="AT11" s="43">
        <v>3250</v>
      </c>
      <c r="AU11" s="43">
        <v>3250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0" t="s">
        <v>296</v>
      </c>
      <c r="BJ11" s="40">
        <v>2022</v>
      </c>
      <c r="BK11" s="40" t="s">
        <v>2768</v>
      </c>
      <c r="BL11" s="40" t="s">
        <v>2768</v>
      </c>
      <c r="BM11" s="40" t="s">
        <v>125</v>
      </c>
    </row>
    <row r="12" spans="1:65" x14ac:dyDescent="0.25">
      <c r="A12" s="40" t="s">
        <v>2771</v>
      </c>
      <c r="B12" s="41">
        <v>44600.458333333336</v>
      </c>
      <c r="C12" s="40" t="s">
        <v>297</v>
      </c>
      <c r="D12" s="40" t="s">
        <v>298</v>
      </c>
      <c r="E12" s="40" t="s">
        <v>299</v>
      </c>
      <c r="F12" s="40">
        <v>215787323</v>
      </c>
      <c r="G12" s="40" t="s">
        <v>331</v>
      </c>
      <c r="H12" s="40" t="s">
        <v>301</v>
      </c>
      <c r="I12" s="40">
        <v>3880</v>
      </c>
      <c r="J12" s="40" t="s">
        <v>332</v>
      </c>
      <c r="K12" s="40"/>
      <c r="L12" s="40">
        <v>3880</v>
      </c>
      <c r="M12" s="40"/>
      <c r="N12" s="40" t="s">
        <v>303</v>
      </c>
      <c r="O12" s="40" t="s">
        <v>111</v>
      </c>
      <c r="P12" s="40" t="s">
        <v>112</v>
      </c>
      <c r="Q12" s="40" t="s">
        <v>113</v>
      </c>
      <c r="R12" s="42">
        <v>88265951434</v>
      </c>
      <c r="S12" s="42" t="s">
        <v>333</v>
      </c>
      <c r="T12" s="40" t="s">
        <v>292</v>
      </c>
      <c r="U12" s="41">
        <v>44599.875</v>
      </c>
      <c r="V12" s="41">
        <v>44600.25</v>
      </c>
      <c r="W12" s="41">
        <v>44600.6875</v>
      </c>
      <c r="X12" s="40" t="s">
        <v>306</v>
      </c>
      <c r="Y12" s="41">
        <v>44600.956250000003</v>
      </c>
      <c r="Z12" s="41">
        <v>44599.791666666664</v>
      </c>
      <c r="AA12" s="41" t="s">
        <v>307</v>
      </c>
      <c r="AB12" s="41">
        <v>44602.75</v>
      </c>
      <c r="AC12" s="40" t="s">
        <v>308</v>
      </c>
      <c r="AD12" s="40">
        <v>11512</v>
      </c>
      <c r="AE12" s="40">
        <v>5200</v>
      </c>
      <c r="AF12" s="40">
        <v>1198</v>
      </c>
      <c r="AG12" s="40"/>
      <c r="AH12" s="40" t="s">
        <v>295</v>
      </c>
      <c r="AI12" s="41"/>
      <c r="AJ12" s="40"/>
      <c r="AK12" s="43"/>
      <c r="AL12" s="40"/>
      <c r="AM12" s="43">
        <v>0</v>
      </c>
      <c r="AN12" s="43">
        <v>2800</v>
      </c>
      <c r="AO12" s="43">
        <v>0</v>
      </c>
      <c r="AP12" s="43">
        <v>0</v>
      </c>
      <c r="AQ12" s="43">
        <v>2800</v>
      </c>
      <c r="AR12" s="43">
        <v>218.72499999999999</v>
      </c>
      <c r="AS12" s="43">
        <v>0</v>
      </c>
      <c r="AT12" s="43">
        <v>3250</v>
      </c>
      <c r="AU12" s="43">
        <v>3250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0" t="s">
        <v>296</v>
      </c>
      <c r="BJ12" s="40">
        <v>2022</v>
      </c>
      <c r="BK12" s="40" t="s">
        <v>2768</v>
      </c>
      <c r="BL12" s="40" t="s">
        <v>2768</v>
      </c>
      <c r="BM12" s="40" t="s">
        <v>125</v>
      </c>
    </row>
    <row r="13" spans="1:65" x14ac:dyDescent="0.25">
      <c r="A13" s="40" t="s">
        <v>2771</v>
      </c>
      <c r="B13" s="41">
        <v>44600.458333333336</v>
      </c>
      <c r="C13" s="40" t="s">
        <v>297</v>
      </c>
      <c r="D13" s="40" t="s">
        <v>298</v>
      </c>
      <c r="E13" s="40" t="s">
        <v>299</v>
      </c>
      <c r="F13" s="40">
        <v>215787323</v>
      </c>
      <c r="G13" s="40" t="s">
        <v>334</v>
      </c>
      <c r="H13" s="40" t="s">
        <v>301</v>
      </c>
      <c r="I13" s="40">
        <v>3810</v>
      </c>
      <c r="J13" s="40" t="s">
        <v>335</v>
      </c>
      <c r="K13" s="40">
        <v>25468</v>
      </c>
      <c r="L13" s="40">
        <v>29278</v>
      </c>
      <c r="M13" s="40">
        <v>706418</v>
      </c>
      <c r="N13" s="40" t="s">
        <v>303</v>
      </c>
      <c r="O13" s="40" t="s">
        <v>178</v>
      </c>
      <c r="P13" s="40" t="s">
        <v>179</v>
      </c>
      <c r="Q13" s="40" t="s">
        <v>180</v>
      </c>
      <c r="R13" s="42">
        <v>18990500869</v>
      </c>
      <c r="S13" s="42" t="s">
        <v>181</v>
      </c>
      <c r="T13" s="40" t="s">
        <v>292</v>
      </c>
      <c r="U13" s="41">
        <v>44599.875</v>
      </c>
      <c r="V13" s="41">
        <v>44600.25</v>
      </c>
      <c r="W13" s="41">
        <v>44601.666666666664</v>
      </c>
      <c r="X13" s="40" t="s">
        <v>306</v>
      </c>
      <c r="Y13" s="41">
        <v>44601.926388888889</v>
      </c>
      <c r="Z13" s="41">
        <v>44599.791666666664</v>
      </c>
      <c r="AA13" s="41" t="s">
        <v>307</v>
      </c>
      <c r="AB13" s="41">
        <v>44602.75</v>
      </c>
      <c r="AC13" s="40" t="s">
        <v>308</v>
      </c>
      <c r="AD13" s="40" t="s">
        <v>336</v>
      </c>
      <c r="AE13" s="40">
        <v>5201</v>
      </c>
      <c r="AF13" s="40">
        <v>1199</v>
      </c>
      <c r="AG13" s="40"/>
      <c r="AH13" s="40" t="s">
        <v>295</v>
      </c>
      <c r="AI13" s="41"/>
      <c r="AJ13" s="40"/>
      <c r="AK13" s="43"/>
      <c r="AL13" s="40"/>
      <c r="AM13" s="43">
        <v>0</v>
      </c>
      <c r="AN13" s="43">
        <v>2800</v>
      </c>
      <c r="AO13" s="43">
        <v>1500</v>
      </c>
      <c r="AP13" s="43">
        <v>0</v>
      </c>
      <c r="AQ13" s="43">
        <v>4900</v>
      </c>
      <c r="AR13" s="43">
        <v>218.72499999999999</v>
      </c>
      <c r="AS13" s="43">
        <v>600</v>
      </c>
      <c r="AT13" s="43">
        <v>5460</v>
      </c>
      <c r="AU13" s="43">
        <v>3250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2210</v>
      </c>
      <c r="BI13" s="40" t="s">
        <v>296</v>
      </c>
      <c r="BJ13" s="40">
        <v>2022</v>
      </c>
      <c r="BK13" s="40" t="s">
        <v>2768</v>
      </c>
      <c r="BL13" s="40" t="s">
        <v>2768</v>
      </c>
      <c r="BM13" s="40" t="s">
        <v>125</v>
      </c>
    </row>
    <row r="14" spans="1:65" x14ac:dyDescent="0.25">
      <c r="A14" s="40" t="s">
        <v>2771</v>
      </c>
      <c r="B14" s="41">
        <v>44600.541666666664</v>
      </c>
      <c r="C14" s="40" t="s">
        <v>297</v>
      </c>
      <c r="D14" s="40" t="s">
        <v>298</v>
      </c>
      <c r="E14" s="40" t="s">
        <v>299</v>
      </c>
      <c r="F14" s="40">
        <v>215787323</v>
      </c>
      <c r="G14" s="40" t="s">
        <v>337</v>
      </c>
      <c r="H14" s="40" t="s">
        <v>301</v>
      </c>
      <c r="I14" s="40">
        <v>3700</v>
      </c>
      <c r="J14" s="40" t="s">
        <v>338</v>
      </c>
      <c r="K14" s="40">
        <v>19734</v>
      </c>
      <c r="L14" s="40">
        <v>23434</v>
      </c>
      <c r="M14" s="40">
        <v>706116</v>
      </c>
      <c r="N14" s="40" t="s">
        <v>303</v>
      </c>
      <c r="O14" s="40" t="s">
        <v>339</v>
      </c>
      <c r="P14" s="40" t="s">
        <v>340</v>
      </c>
      <c r="Q14" s="40" t="s">
        <v>341</v>
      </c>
      <c r="R14" s="42">
        <v>31723988898</v>
      </c>
      <c r="S14" s="42" t="s">
        <v>342</v>
      </c>
      <c r="T14" s="40" t="s">
        <v>292</v>
      </c>
      <c r="U14" s="41">
        <v>44599.875</v>
      </c>
      <c r="V14" s="41">
        <v>44600.25</v>
      </c>
      <c r="W14" s="41">
        <v>44600.708333333336</v>
      </c>
      <c r="X14" s="40" t="s">
        <v>306</v>
      </c>
      <c r="Y14" s="41">
        <v>44600.886111111111</v>
      </c>
      <c r="Z14" s="41">
        <v>44599.791666666664</v>
      </c>
      <c r="AA14" s="41" t="s">
        <v>307</v>
      </c>
      <c r="AB14" s="41">
        <v>44602.75</v>
      </c>
      <c r="AC14" s="40" t="s">
        <v>308</v>
      </c>
      <c r="AD14" s="40">
        <v>11505</v>
      </c>
      <c r="AE14" s="40">
        <v>5202</v>
      </c>
      <c r="AF14" s="40">
        <v>1200</v>
      </c>
      <c r="AG14" s="40"/>
      <c r="AH14" s="40" t="s">
        <v>295</v>
      </c>
      <c r="AI14" s="41"/>
      <c r="AJ14" s="40"/>
      <c r="AK14" s="43"/>
      <c r="AL14" s="40"/>
      <c r="AM14" s="43">
        <v>0</v>
      </c>
      <c r="AN14" s="43">
        <v>2800</v>
      </c>
      <c r="AO14" s="43">
        <v>0</v>
      </c>
      <c r="AP14" s="43">
        <v>0</v>
      </c>
      <c r="AQ14" s="43">
        <v>2800</v>
      </c>
      <c r="AR14" s="43">
        <v>218.72499999999999</v>
      </c>
      <c r="AS14" s="43">
        <v>0</v>
      </c>
      <c r="AT14" s="43">
        <v>3250</v>
      </c>
      <c r="AU14" s="43">
        <v>3250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0" t="s">
        <v>296</v>
      </c>
      <c r="BJ14" s="40">
        <v>2022</v>
      </c>
      <c r="BK14" s="40" t="s">
        <v>2768</v>
      </c>
      <c r="BL14" s="40" t="s">
        <v>2768</v>
      </c>
      <c r="BM14" s="40" t="s">
        <v>125</v>
      </c>
    </row>
    <row r="15" spans="1:65" x14ac:dyDescent="0.25">
      <c r="A15" s="40" t="s">
        <v>2771</v>
      </c>
      <c r="B15" s="41">
        <v>44600.583333333336</v>
      </c>
      <c r="C15" s="40" t="s">
        <v>297</v>
      </c>
      <c r="D15" s="40" t="s">
        <v>298</v>
      </c>
      <c r="E15" s="40" t="s">
        <v>299</v>
      </c>
      <c r="F15" s="40">
        <v>215787323</v>
      </c>
      <c r="G15" s="40" t="s">
        <v>343</v>
      </c>
      <c r="H15" s="40" t="s">
        <v>301</v>
      </c>
      <c r="I15" s="40">
        <v>3700</v>
      </c>
      <c r="J15" s="40" t="s">
        <v>344</v>
      </c>
      <c r="K15" s="40">
        <v>25468</v>
      </c>
      <c r="L15" s="40">
        <v>29168</v>
      </c>
      <c r="M15" s="40">
        <v>706419</v>
      </c>
      <c r="N15" s="40" t="s">
        <v>303</v>
      </c>
      <c r="O15" s="40" t="s">
        <v>345</v>
      </c>
      <c r="P15" s="40" t="s">
        <v>346</v>
      </c>
      <c r="Q15" s="40" t="s">
        <v>347</v>
      </c>
      <c r="R15" s="42">
        <v>35610524873</v>
      </c>
      <c r="S15" s="42" t="s">
        <v>348</v>
      </c>
      <c r="T15" s="40" t="s">
        <v>292</v>
      </c>
      <c r="U15" s="41">
        <v>44599.875</v>
      </c>
      <c r="V15" s="41">
        <v>44600.291666666664</v>
      </c>
      <c r="W15" s="41">
        <v>44601.708333333336</v>
      </c>
      <c r="X15" s="40" t="s">
        <v>306</v>
      </c>
      <c r="Y15" s="41">
        <v>44601.995138888888</v>
      </c>
      <c r="Z15" s="41">
        <v>44599.791666666664</v>
      </c>
      <c r="AA15" s="41" t="s">
        <v>307</v>
      </c>
      <c r="AB15" s="41">
        <v>44602.75</v>
      </c>
      <c r="AC15" s="40" t="s">
        <v>308</v>
      </c>
      <c r="AD15" s="40" t="s">
        <v>349</v>
      </c>
      <c r="AE15" s="40">
        <v>5203</v>
      </c>
      <c r="AF15" s="40">
        <v>1201</v>
      </c>
      <c r="AG15" s="40"/>
      <c r="AH15" s="40" t="s">
        <v>295</v>
      </c>
      <c r="AI15" s="41"/>
      <c r="AJ15" s="40"/>
      <c r="AK15" s="43"/>
      <c r="AL15" s="40"/>
      <c r="AM15" s="43">
        <v>0</v>
      </c>
      <c r="AN15" s="43">
        <v>2800</v>
      </c>
      <c r="AO15" s="43">
        <v>1500</v>
      </c>
      <c r="AP15" s="43"/>
      <c r="AQ15" s="43">
        <v>4900</v>
      </c>
      <c r="AR15" s="43">
        <v>218.72499999999999</v>
      </c>
      <c r="AS15" s="43">
        <v>600</v>
      </c>
      <c r="AT15" s="43">
        <v>5545</v>
      </c>
      <c r="AU15" s="43">
        <v>3250</v>
      </c>
      <c r="AV15" s="43">
        <v>115141.51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2295</v>
      </c>
      <c r="BI15" s="40" t="s">
        <v>296</v>
      </c>
      <c r="BJ15" s="40">
        <v>2022</v>
      </c>
      <c r="BK15" s="40" t="s">
        <v>2768</v>
      </c>
      <c r="BL15" s="40" t="s">
        <v>2768</v>
      </c>
      <c r="BM15" s="40" t="s">
        <v>125</v>
      </c>
    </row>
    <row r="16" spans="1:65" x14ac:dyDescent="0.25">
      <c r="A16" s="40" t="s">
        <v>2771</v>
      </c>
      <c r="B16" s="41">
        <v>44599.458333333336</v>
      </c>
      <c r="C16" s="40" t="s">
        <v>297</v>
      </c>
      <c r="D16" s="40" t="s">
        <v>298</v>
      </c>
      <c r="E16" s="40">
        <v>7387672</v>
      </c>
      <c r="F16" s="40">
        <v>216061464</v>
      </c>
      <c r="G16" s="40" t="s">
        <v>350</v>
      </c>
      <c r="H16" s="40" t="s">
        <v>301</v>
      </c>
      <c r="I16" s="40">
        <v>3720</v>
      </c>
      <c r="J16" s="40" t="s">
        <v>351</v>
      </c>
      <c r="K16" s="40">
        <v>26069</v>
      </c>
      <c r="L16" s="40">
        <v>29789</v>
      </c>
      <c r="M16" s="40">
        <v>591005</v>
      </c>
      <c r="N16" s="40" t="s">
        <v>303</v>
      </c>
      <c r="O16" s="40" t="s">
        <v>106</v>
      </c>
      <c r="P16" s="40" t="s">
        <v>304</v>
      </c>
      <c r="Q16" s="40" t="s">
        <v>108</v>
      </c>
      <c r="R16" s="42">
        <v>34927982840</v>
      </c>
      <c r="S16" s="42" t="s">
        <v>110</v>
      </c>
      <c r="T16" s="40" t="s">
        <v>292</v>
      </c>
      <c r="U16" s="41">
        <v>44597.46875</v>
      </c>
      <c r="V16" s="41">
        <v>44599.380555555559</v>
      </c>
      <c r="W16" s="41">
        <v>44599.456944444442</v>
      </c>
      <c r="X16" s="40" t="s">
        <v>306</v>
      </c>
      <c r="Y16" s="41">
        <v>44599.743055555555</v>
      </c>
      <c r="Z16" s="41">
        <v>44599.791666666664</v>
      </c>
      <c r="AA16" s="41">
        <v>44599.5</v>
      </c>
      <c r="AB16" s="41">
        <v>44602.75</v>
      </c>
      <c r="AC16" s="40" t="s">
        <v>352</v>
      </c>
      <c r="AD16" s="40">
        <v>11472</v>
      </c>
      <c r="AE16" s="40">
        <v>5225</v>
      </c>
      <c r="AF16" s="40">
        <v>1202</v>
      </c>
      <c r="AG16" s="40"/>
      <c r="AH16" s="40" t="s">
        <v>295</v>
      </c>
      <c r="AI16" s="41"/>
      <c r="AJ16" s="40"/>
      <c r="AK16" s="43"/>
      <c r="AL16" s="40"/>
      <c r="AM16" s="43">
        <v>0</v>
      </c>
      <c r="AN16" s="43">
        <v>0</v>
      </c>
      <c r="AO16" s="43">
        <v>0</v>
      </c>
      <c r="AP16" s="43">
        <v>0</v>
      </c>
      <c r="AQ16" s="43">
        <v>0</v>
      </c>
      <c r="AR16" s="43">
        <v>230.30115589799999</v>
      </c>
      <c r="AS16" s="43"/>
      <c r="AT16" s="43">
        <v>3422.0082600000001</v>
      </c>
      <c r="AU16" s="43">
        <v>3350</v>
      </c>
      <c r="AV16" s="43">
        <v>72008.259999999995</v>
      </c>
      <c r="AW16" s="43">
        <v>72.008259999999993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0" t="s">
        <v>296</v>
      </c>
      <c r="BJ16" s="40">
        <v>2022</v>
      </c>
      <c r="BK16" s="40" t="s">
        <v>2768</v>
      </c>
      <c r="BL16" s="40" t="s">
        <v>2768</v>
      </c>
      <c r="BM16" s="40" t="s">
        <v>125</v>
      </c>
    </row>
    <row r="17" spans="1:65" x14ac:dyDescent="0.25">
      <c r="A17" s="40" t="s">
        <v>2771</v>
      </c>
      <c r="B17" s="41">
        <v>44599.458333333336</v>
      </c>
      <c r="C17" s="40" t="s">
        <v>353</v>
      </c>
      <c r="D17" s="40" t="s">
        <v>354</v>
      </c>
      <c r="E17" s="40">
        <v>7387672</v>
      </c>
      <c r="F17" s="40">
        <v>216061464</v>
      </c>
      <c r="G17" s="40" t="s">
        <v>355</v>
      </c>
      <c r="H17" s="40" t="s">
        <v>301</v>
      </c>
      <c r="I17" s="40">
        <v>3880</v>
      </c>
      <c r="J17" s="40" t="s">
        <v>356</v>
      </c>
      <c r="K17" s="40">
        <v>26069</v>
      </c>
      <c r="L17" s="40">
        <v>29949</v>
      </c>
      <c r="M17" s="40">
        <v>591009</v>
      </c>
      <c r="N17" s="40" t="s">
        <v>303</v>
      </c>
      <c r="O17" s="40" t="s">
        <v>155</v>
      </c>
      <c r="P17" s="40" t="s">
        <v>107</v>
      </c>
      <c r="Q17" s="40" t="s">
        <v>74</v>
      </c>
      <c r="R17" s="42" t="s">
        <v>75</v>
      </c>
      <c r="S17" s="42" t="s">
        <v>386</v>
      </c>
      <c r="T17" s="40" t="s">
        <v>292</v>
      </c>
      <c r="U17" s="41">
        <v>44597.430555555555</v>
      </c>
      <c r="V17" s="41">
        <v>44599.404166666667</v>
      </c>
      <c r="W17" s="41">
        <v>44599.497916666667</v>
      </c>
      <c r="X17" s="40" t="s">
        <v>306</v>
      </c>
      <c r="Y17" s="41">
        <v>44599.743055555555</v>
      </c>
      <c r="Z17" s="41">
        <v>44599.791666666664</v>
      </c>
      <c r="AA17" s="41">
        <v>44599.5</v>
      </c>
      <c r="AB17" s="41">
        <v>44602.75</v>
      </c>
      <c r="AC17" s="40" t="s">
        <v>352</v>
      </c>
      <c r="AD17" s="40">
        <v>11474</v>
      </c>
      <c r="AE17" s="40">
        <v>5226</v>
      </c>
      <c r="AF17" s="40">
        <v>1203</v>
      </c>
      <c r="AG17" s="40"/>
      <c r="AH17" s="40" t="s">
        <v>295</v>
      </c>
      <c r="AI17" s="41"/>
      <c r="AJ17" s="40"/>
      <c r="AK17" s="43"/>
      <c r="AL17" s="40"/>
      <c r="AM17" s="43">
        <v>0</v>
      </c>
      <c r="AN17" s="43">
        <v>0</v>
      </c>
      <c r="AO17" s="43">
        <v>0</v>
      </c>
      <c r="AP17" s="43">
        <v>0</v>
      </c>
      <c r="AQ17" s="43">
        <v>0</v>
      </c>
      <c r="AR17" s="43">
        <v>230.30115589799999</v>
      </c>
      <c r="AS17" s="43"/>
      <c r="AT17" s="43">
        <v>3422.0082600000001</v>
      </c>
      <c r="AU17" s="43">
        <v>3350</v>
      </c>
      <c r="AV17" s="43">
        <v>72008.259999999995</v>
      </c>
      <c r="AW17" s="43">
        <v>72.008259999999993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0" t="s">
        <v>296</v>
      </c>
      <c r="BJ17" s="40">
        <v>2022</v>
      </c>
      <c r="BK17" s="40" t="s">
        <v>2768</v>
      </c>
      <c r="BL17" s="40" t="s">
        <v>2768</v>
      </c>
      <c r="BM17" s="40" t="s">
        <v>125</v>
      </c>
    </row>
    <row r="18" spans="1:65" x14ac:dyDescent="0.25">
      <c r="A18" s="40" t="s">
        <v>2771</v>
      </c>
      <c r="B18" s="41">
        <v>44599.458333333336</v>
      </c>
      <c r="C18" s="40" t="s">
        <v>353</v>
      </c>
      <c r="D18" s="40" t="s">
        <v>354</v>
      </c>
      <c r="E18" s="40">
        <v>7387672</v>
      </c>
      <c r="F18" s="40">
        <v>216061464</v>
      </c>
      <c r="G18" s="40" t="s">
        <v>357</v>
      </c>
      <c r="H18" s="40" t="s">
        <v>301</v>
      </c>
      <c r="I18" s="40">
        <v>3860</v>
      </c>
      <c r="J18" s="40" t="s">
        <v>358</v>
      </c>
      <c r="K18" s="40">
        <v>26069</v>
      </c>
      <c r="L18" s="40">
        <v>29929</v>
      </c>
      <c r="M18" s="40">
        <v>591008</v>
      </c>
      <c r="N18" s="40" t="s">
        <v>303</v>
      </c>
      <c r="O18" s="40" t="s">
        <v>92</v>
      </c>
      <c r="P18" s="40" t="s">
        <v>93</v>
      </c>
      <c r="Q18" s="40" t="s">
        <v>94</v>
      </c>
      <c r="R18" s="42">
        <v>26283419801</v>
      </c>
      <c r="S18" s="42" t="s">
        <v>96</v>
      </c>
      <c r="T18" s="40" t="s">
        <v>292</v>
      </c>
      <c r="U18" s="41">
        <v>44597.434027777781</v>
      </c>
      <c r="V18" s="41">
        <v>44599.406944444447</v>
      </c>
      <c r="W18" s="41">
        <v>44599.498611111114</v>
      </c>
      <c r="X18" s="40" t="s">
        <v>306</v>
      </c>
      <c r="Y18" s="41">
        <v>44599.773611111108</v>
      </c>
      <c r="Z18" s="41">
        <v>44599.791666666664</v>
      </c>
      <c r="AA18" s="41">
        <v>44599.5</v>
      </c>
      <c r="AB18" s="41">
        <v>44602.75</v>
      </c>
      <c r="AC18" s="40" t="s">
        <v>352</v>
      </c>
      <c r="AD18" s="40">
        <v>11473</v>
      </c>
      <c r="AE18" s="40">
        <v>5227</v>
      </c>
      <c r="AF18" s="40">
        <v>1204</v>
      </c>
      <c r="AG18" s="40"/>
      <c r="AH18" s="40" t="s">
        <v>295</v>
      </c>
      <c r="AI18" s="41"/>
      <c r="AJ18" s="40"/>
      <c r="AK18" s="43"/>
      <c r="AL18" s="40"/>
      <c r="AM18" s="43">
        <v>0</v>
      </c>
      <c r="AN18" s="43">
        <v>0</v>
      </c>
      <c r="AO18" s="43">
        <v>0</v>
      </c>
      <c r="AP18" s="43">
        <v>0</v>
      </c>
      <c r="AQ18" s="43">
        <v>0</v>
      </c>
      <c r="AR18" s="43">
        <v>230.30115589799999</v>
      </c>
      <c r="AS18" s="43"/>
      <c r="AT18" s="43">
        <v>3422.0082600000001</v>
      </c>
      <c r="AU18" s="43">
        <v>3350</v>
      </c>
      <c r="AV18" s="43">
        <v>72008.259999999995</v>
      </c>
      <c r="AW18" s="43">
        <v>72.008259999999993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0" t="s">
        <v>296</v>
      </c>
      <c r="BJ18" s="40">
        <v>2022</v>
      </c>
      <c r="BK18" s="40" t="s">
        <v>2768</v>
      </c>
      <c r="BL18" s="40" t="s">
        <v>2768</v>
      </c>
      <c r="BM18" s="40" t="s">
        <v>125</v>
      </c>
    </row>
    <row r="19" spans="1:65" x14ac:dyDescent="0.25">
      <c r="A19" s="40" t="s">
        <v>2771</v>
      </c>
      <c r="B19" s="41">
        <v>44599.458333333336</v>
      </c>
      <c r="C19" s="40" t="s">
        <v>353</v>
      </c>
      <c r="D19" s="40" t="s">
        <v>354</v>
      </c>
      <c r="E19" s="40">
        <v>7387672</v>
      </c>
      <c r="F19" s="40">
        <v>216061464</v>
      </c>
      <c r="G19" s="40" t="s">
        <v>359</v>
      </c>
      <c r="H19" s="40" t="s">
        <v>301</v>
      </c>
      <c r="I19" s="40">
        <v>3810</v>
      </c>
      <c r="J19" s="40" t="s">
        <v>360</v>
      </c>
      <c r="K19" s="40">
        <v>26069</v>
      </c>
      <c r="L19" s="40">
        <v>29879</v>
      </c>
      <c r="M19" s="40">
        <v>590995</v>
      </c>
      <c r="N19" s="40" t="s">
        <v>303</v>
      </c>
      <c r="O19" s="40" t="s">
        <v>68</v>
      </c>
      <c r="P19" s="40" t="s">
        <v>32</v>
      </c>
      <c r="Q19" s="40" t="s">
        <v>203</v>
      </c>
      <c r="R19" s="42">
        <v>10395859816</v>
      </c>
      <c r="S19" s="42" t="s">
        <v>205</v>
      </c>
      <c r="T19" s="40" t="s">
        <v>292</v>
      </c>
      <c r="U19" s="41">
        <v>44597.416666666664</v>
      </c>
      <c r="V19" s="41">
        <v>44599.208333333336</v>
      </c>
      <c r="W19" s="41">
        <v>44599.347222222219</v>
      </c>
      <c r="X19" s="40" t="s">
        <v>306</v>
      </c>
      <c r="Y19" s="41">
        <v>44599.729861111111</v>
      </c>
      <c r="Z19" s="41">
        <v>44599.791666666664</v>
      </c>
      <c r="AA19" s="41">
        <v>44599.5</v>
      </c>
      <c r="AB19" s="41">
        <v>44602.75</v>
      </c>
      <c r="AC19" s="40" t="s">
        <v>352</v>
      </c>
      <c r="AD19" s="40">
        <v>11470</v>
      </c>
      <c r="AE19" s="40">
        <v>5228</v>
      </c>
      <c r="AF19" s="40">
        <v>1205</v>
      </c>
      <c r="AG19" s="40"/>
      <c r="AH19" s="40" t="s">
        <v>295</v>
      </c>
      <c r="AI19" s="41"/>
      <c r="AJ19" s="40"/>
      <c r="AK19" s="43"/>
      <c r="AL19" s="40"/>
      <c r="AM19" s="43">
        <v>0</v>
      </c>
      <c r="AN19" s="43">
        <v>0</v>
      </c>
      <c r="AO19" s="43">
        <v>0</v>
      </c>
      <c r="AP19" s="43">
        <v>0</v>
      </c>
      <c r="AQ19" s="43">
        <v>0</v>
      </c>
      <c r="AR19" s="43">
        <v>230.30115589799999</v>
      </c>
      <c r="AS19" s="43"/>
      <c r="AT19" s="43">
        <v>3422.0082600000001</v>
      </c>
      <c r="AU19" s="43">
        <v>3350</v>
      </c>
      <c r="AV19" s="43">
        <v>72008.259999999995</v>
      </c>
      <c r="AW19" s="43">
        <v>72.008259999999993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0" t="s">
        <v>296</v>
      </c>
      <c r="BJ19" s="40">
        <v>2022</v>
      </c>
      <c r="BK19" s="40" t="s">
        <v>2768</v>
      </c>
      <c r="BL19" s="40" t="s">
        <v>2768</v>
      </c>
      <c r="BM19" s="40" t="s">
        <v>125</v>
      </c>
    </row>
    <row r="20" spans="1:65" x14ac:dyDescent="0.25">
      <c r="A20" s="40" t="s">
        <v>2771</v>
      </c>
      <c r="B20" s="41">
        <v>44600.5</v>
      </c>
      <c r="C20" s="40" t="s">
        <v>353</v>
      </c>
      <c r="D20" s="40" t="s">
        <v>354</v>
      </c>
      <c r="E20" s="40">
        <v>7273624</v>
      </c>
      <c r="F20" s="40">
        <v>63785236</v>
      </c>
      <c r="G20" s="40" t="s">
        <v>361</v>
      </c>
      <c r="H20" s="40" t="s">
        <v>301</v>
      </c>
      <c r="I20" s="40">
        <v>3950</v>
      </c>
      <c r="J20" s="40" t="s">
        <v>362</v>
      </c>
      <c r="K20" s="40">
        <v>25197</v>
      </c>
      <c r="L20" s="40">
        <v>29147</v>
      </c>
      <c r="M20" s="40">
        <v>591233</v>
      </c>
      <c r="N20" s="40" t="s">
        <v>363</v>
      </c>
      <c r="O20" s="40" t="s">
        <v>68</v>
      </c>
      <c r="P20" s="40" t="s">
        <v>32</v>
      </c>
      <c r="Q20" s="40" t="s">
        <v>203</v>
      </c>
      <c r="R20" s="42">
        <v>10395859816</v>
      </c>
      <c r="S20" s="42" t="s">
        <v>205</v>
      </c>
      <c r="T20" s="40" t="s">
        <v>292</v>
      </c>
      <c r="U20" s="41">
        <v>44599.864583333336</v>
      </c>
      <c r="V20" s="41">
        <v>44600.404861111114</v>
      </c>
      <c r="W20" s="41">
        <v>44600.5625</v>
      </c>
      <c r="X20" s="40" t="s">
        <v>306</v>
      </c>
      <c r="Y20" s="41">
        <v>44607.912499999999</v>
      </c>
      <c r="Z20" s="41"/>
      <c r="AA20" s="41">
        <v>44600.75</v>
      </c>
      <c r="AB20" s="41">
        <v>44608.5</v>
      </c>
      <c r="AC20" s="40" t="s">
        <v>364</v>
      </c>
      <c r="AD20" s="40">
        <v>11508</v>
      </c>
      <c r="AE20" s="40">
        <v>5236</v>
      </c>
      <c r="AF20" s="40">
        <v>1206</v>
      </c>
      <c r="AG20" s="40"/>
      <c r="AH20" s="40" t="s">
        <v>309</v>
      </c>
      <c r="AI20" s="41">
        <v>44600.75</v>
      </c>
      <c r="AJ20" s="40"/>
      <c r="AK20" s="43">
        <v>950</v>
      </c>
      <c r="AL20" s="40"/>
      <c r="AM20" s="43">
        <v>0</v>
      </c>
      <c r="AN20" s="43">
        <v>0</v>
      </c>
      <c r="AO20" s="43">
        <v>0</v>
      </c>
      <c r="AP20" s="43">
        <v>0</v>
      </c>
      <c r="AQ20" s="43">
        <v>0</v>
      </c>
      <c r="AR20" s="43">
        <v>225.45499999999998</v>
      </c>
      <c r="AS20" s="43"/>
      <c r="AT20" s="43">
        <v>3350</v>
      </c>
      <c r="AU20" s="43">
        <v>3350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0" t="s">
        <v>296</v>
      </c>
      <c r="BJ20" s="40">
        <v>2022</v>
      </c>
      <c r="BK20" s="40" t="s">
        <v>2768</v>
      </c>
      <c r="BL20" s="40" t="s">
        <v>2768</v>
      </c>
      <c r="BM20" s="40" t="s">
        <v>125</v>
      </c>
    </row>
    <row r="21" spans="1:65" x14ac:dyDescent="0.25">
      <c r="A21" s="40" t="s">
        <v>2771</v>
      </c>
      <c r="B21" s="41">
        <v>44607.291666666664</v>
      </c>
      <c r="C21" s="40" t="s">
        <v>353</v>
      </c>
      <c r="D21" s="40" t="s">
        <v>354</v>
      </c>
      <c r="E21" s="40">
        <v>7273624</v>
      </c>
      <c r="F21" s="40">
        <v>63785236</v>
      </c>
      <c r="G21" s="40" t="s">
        <v>365</v>
      </c>
      <c r="H21" s="40" t="s">
        <v>301</v>
      </c>
      <c r="I21" s="40">
        <v>3830</v>
      </c>
      <c r="J21" s="40" t="s">
        <v>366</v>
      </c>
      <c r="K21" s="40">
        <v>25197</v>
      </c>
      <c r="L21" s="40">
        <v>29027</v>
      </c>
      <c r="M21" s="40">
        <v>592255</v>
      </c>
      <c r="N21" s="40" t="s">
        <v>363</v>
      </c>
      <c r="O21" s="40" t="s">
        <v>367</v>
      </c>
      <c r="P21" s="40" t="s">
        <v>368</v>
      </c>
      <c r="Q21" s="40" t="s">
        <v>369</v>
      </c>
      <c r="R21" s="42" t="s">
        <v>370</v>
      </c>
      <c r="S21" s="42" t="s">
        <v>371</v>
      </c>
      <c r="T21" s="40" t="s">
        <v>292</v>
      </c>
      <c r="U21" s="41">
        <v>44606.416666666664</v>
      </c>
      <c r="V21" s="41">
        <v>44606.916666666664</v>
      </c>
      <c r="W21" s="41">
        <v>44607.541666666664</v>
      </c>
      <c r="X21" s="40" t="s">
        <v>306</v>
      </c>
      <c r="Y21" s="41">
        <v>44607.758333333331</v>
      </c>
      <c r="Z21" s="41"/>
      <c r="AA21" s="41">
        <v>44600.75</v>
      </c>
      <c r="AB21" s="41">
        <v>44608.5</v>
      </c>
      <c r="AC21" s="40" t="s">
        <v>364</v>
      </c>
      <c r="AD21" s="40" t="s">
        <v>372</v>
      </c>
      <c r="AE21" s="40">
        <v>5239</v>
      </c>
      <c r="AF21" s="40">
        <v>1207</v>
      </c>
      <c r="AG21" s="40"/>
      <c r="AH21" s="40" t="s">
        <v>295</v>
      </c>
      <c r="AI21" s="41"/>
      <c r="AJ21" s="40"/>
      <c r="AK21" s="43"/>
      <c r="AL21" s="40"/>
      <c r="AM21" s="43">
        <v>0</v>
      </c>
      <c r="AN21" s="43">
        <v>0</v>
      </c>
      <c r="AO21" s="43">
        <v>0</v>
      </c>
      <c r="AP21" s="43">
        <v>0</v>
      </c>
      <c r="AQ21" s="43">
        <v>0</v>
      </c>
      <c r="AR21" s="43">
        <v>225.45499999999998</v>
      </c>
      <c r="AS21" s="43"/>
      <c r="AT21" s="43">
        <v>3350</v>
      </c>
      <c r="AU21" s="43">
        <v>3350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0" t="s">
        <v>296</v>
      </c>
      <c r="BJ21" s="40">
        <v>2022</v>
      </c>
      <c r="BK21" s="40" t="s">
        <v>2768</v>
      </c>
      <c r="BL21" s="40" t="s">
        <v>2768</v>
      </c>
      <c r="BM21" s="40" t="s">
        <v>125</v>
      </c>
    </row>
    <row r="22" spans="1:65" x14ac:dyDescent="0.25">
      <c r="A22" s="40" t="s">
        <v>2771</v>
      </c>
      <c r="B22" s="41">
        <v>44606.5</v>
      </c>
      <c r="C22" s="40" t="s">
        <v>353</v>
      </c>
      <c r="D22" s="40" t="s">
        <v>354</v>
      </c>
      <c r="E22" s="40">
        <v>7273624</v>
      </c>
      <c r="F22" s="40">
        <v>63785236</v>
      </c>
      <c r="G22" s="40" t="s">
        <v>373</v>
      </c>
      <c r="H22" s="40" t="s">
        <v>301</v>
      </c>
      <c r="I22" s="40">
        <v>3810</v>
      </c>
      <c r="J22" s="40" t="s">
        <v>374</v>
      </c>
      <c r="K22" s="40">
        <v>25198</v>
      </c>
      <c r="L22" s="40">
        <v>29008</v>
      </c>
      <c r="M22" s="40">
        <v>592088</v>
      </c>
      <c r="N22" s="40" t="s">
        <v>363</v>
      </c>
      <c r="O22" s="40" t="s">
        <v>375</v>
      </c>
      <c r="P22" s="40" t="s">
        <v>376</v>
      </c>
      <c r="Q22" s="40" t="s">
        <v>377</v>
      </c>
      <c r="R22" s="42" t="s">
        <v>378</v>
      </c>
      <c r="S22" s="42" t="s">
        <v>379</v>
      </c>
      <c r="T22" s="40" t="s">
        <v>292</v>
      </c>
      <c r="U22" s="41">
        <v>44606.416666666664</v>
      </c>
      <c r="V22" s="41">
        <v>44606.5</v>
      </c>
      <c r="W22" s="41">
        <v>44606.625</v>
      </c>
      <c r="X22" s="40" t="s">
        <v>306</v>
      </c>
      <c r="Y22" s="41">
        <v>44606.92083333333</v>
      </c>
      <c r="Z22" s="41"/>
      <c r="AA22" s="41">
        <v>44600.75</v>
      </c>
      <c r="AB22" s="41">
        <v>44608.5</v>
      </c>
      <c r="AC22" s="40" t="s">
        <v>364</v>
      </c>
      <c r="AD22" s="40">
        <v>11588</v>
      </c>
      <c r="AE22" s="40">
        <v>5241</v>
      </c>
      <c r="AF22" s="40">
        <v>1208</v>
      </c>
      <c r="AG22" s="40"/>
      <c r="AH22" s="40" t="s">
        <v>295</v>
      </c>
      <c r="AI22" s="41"/>
      <c r="AJ22" s="40"/>
      <c r="AK22" s="43"/>
      <c r="AL22" s="40"/>
      <c r="AM22" s="43">
        <v>0</v>
      </c>
      <c r="AN22" s="43">
        <v>0</v>
      </c>
      <c r="AO22" s="43">
        <v>0</v>
      </c>
      <c r="AP22" s="43">
        <v>0</v>
      </c>
      <c r="AQ22" s="43">
        <v>0</v>
      </c>
      <c r="AR22" s="43">
        <v>231.23134015600002</v>
      </c>
      <c r="AS22" s="43"/>
      <c r="AT22" s="43">
        <v>3435.8297200000002</v>
      </c>
      <c r="AU22" s="43">
        <v>3350</v>
      </c>
      <c r="AV22" s="43">
        <v>85829.72</v>
      </c>
      <c r="AW22" s="43">
        <v>85.829720000000009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0" t="s">
        <v>296</v>
      </c>
      <c r="BJ22" s="40">
        <v>2022</v>
      </c>
      <c r="BK22" s="40" t="s">
        <v>2768</v>
      </c>
      <c r="BL22" s="40" t="s">
        <v>2768</v>
      </c>
      <c r="BM22" s="40" t="s">
        <v>125</v>
      </c>
    </row>
    <row r="23" spans="1:65" x14ac:dyDescent="0.25">
      <c r="A23" s="40" t="s">
        <v>2771</v>
      </c>
      <c r="B23" s="41">
        <v>44607.291666666664</v>
      </c>
      <c r="C23" s="40" t="s">
        <v>353</v>
      </c>
      <c r="D23" s="40" t="s">
        <v>354</v>
      </c>
      <c r="E23" s="40">
        <v>7273624</v>
      </c>
      <c r="F23" s="40">
        <v>63785236</v>
      </c>
      <c r="G23" s="40" t="s">
        <v>380</v>
      </c>
      <c r="H23" s="40" t="s">
        <v>301</v>
      </c>
      <c r="I23" s="40">
        <v>3900</v>
      </c>
      <c r="J23" s="40" t="s">
        <v>381</v>
      </c>
      <c r="K23" s="40">
        <v>25198</v>
      </c>
      <c r="L23" s="40">
        <v>29098</v>
      </c>
      <c r="M23" s="40">
        <v>592239</v>
      </c>
      <c r="N23" s="40" t="s">
        <v>363</v>
      </c>
      <c r="O23" s="40" t="s">
        <v>42</v>
      </c>
      <c r="P23" s="40" t="s">
        <v>43</v>
      </c>
      <c r="Q23" s="40" t="s">
        <v>44</v>
      </c>
      <c r="R23" s="42" t="s">
        <v>45</v>
      </c>
      <c r="S23" s="42" t="s">
        <v>46</v>
      </c>
      <c r="T23" s="40" t="s">
        <v>292</v>
      </c>
      <c r="U23" s="41">
        <v>44606.513888888891</v>
      </c>
      <c r="V23" s="41">
        <v>44606.916666666664</v>
      </c>
      <c r="W23" s="41">
        <v>44607.395833333336</v>
      </c>
      <c r="X23" s="40" t="s">
        <v>306</v>
      </c>
      <c r="Y23" s="41">
        <v>44607.613194444442</v>
      </c>
      <c r="Z23" s="41"/>
      <c r="AA23" s="41">
        <v>44600.75</v>
      </c>
      <c r="AB23" s="41">
        <v>44608.5</v>
      </c>
      <c r="AC23" s="40" t="s">
        <v>364</v>
      </c>
      <c r="AD23" s="40">
        <v>11596</v>
      </c>
      <c r="AE23" s="40">
        <v>5242</v>
      </c>
      <c r="AF23" s="40">
        <v>1209</v>
      </c>
      <c r="AG23" s="40"/>
      <c r="AH23" s="40" t="s">
        <v>295</v>
      </c>
      <c r="AI23" s="41"/>
      <c r="AJ23" s="40"/>
      <c r="AK23" s="43"/>
      <c r="AL23" s="40"/>
      <c r="AM23" s="43">
        <v>0</v>
      </c>
      <c r="AN23" s="43">
        <v>0</v>
      </c>
      <c r="AO23" s="43">
        <v>0</v>
      </c>
      <c r="AP23" s="43">
        <v>0</v>
      </c>
      <c r="AQ23" s="43">
        <v>0</v>
      </c>
      <c r="AR23" s="43">
        <v>225.45499999999998</v>
      </c>
      <c r="AS23" s="43"/>
      <c r="AT23" s="43">
        <v>3350</v>
      </c>
      <c r="AU23" s="43">
        <v>3350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0" t="s">
        <v>296</v>
      </c>
      <c r="BJ23" s="40">
        <v>2022</v>
      </c>
      <c r="BK23" s="40" t="s">
        <v>2768</v>
      </c>
      <c r="BL23" s="40" t="s">
        <v>2768</v>
      </c>
      <c r="BM23" s="40" t="s">
        <v>125</v>
      </c>
    </row>
    <row r="24" spans="1:65" x14ac:dyDescent="0.25">
      <c r="A24" s="40" t="s">
        <v>2771</v>
      </c>
      <c r="B24" s="41">
        <v>44600.5</v>
      </c>
      <c r="C24" s="40" t="s">
        <v>353</v>
      </c>
      <c r="D24" s="40" t="s">
        <v>354</v>
      </c>
      <c r="E24" s="40">
        <v>7098447</v>
      </c>
      <c r="F24" s="40">
        <v>69111855</v>
      </c>
      <c r="G24" s="40" t="s">
        <v>382</v>
      </c>
      <c r="H24" s="40" t="s">
        <v>301</v>
      </c>
      <c r="I24" s="40">
        <v>3900</v>
      </c>
      <c r="J24" s="40" t="s">
        <v>383</v>
      </c>
      <c r="K24" s="40">
        <v>24725</v>
      </c>
      <c r="L24" s="40">
        <v>28625</v>
      </c>
      <c r="M24" s="40">
        <v>591207</v>
      </c>
      <c r="N24" s="40" t="s">
        <v>363</v>
      </c>
      <c r="O24" s="40" t="s">
        <v>106</v>
      </c>
      <c r="P24" s="40" t="s">
        <v>304</v>
      </c>
      <c r="Q24" s="40" t="s">
        <v>108</v>
      </c>
      <c r="R24" s="42">
        <v>34927982840</v>
      </c>
      <c r="S24" s="42" t="s">
        <v>110</v>
      </c>
      <c r="T24" s="40" t="s">
        <v>292</v>
      </c>
      <c r="U24" s="41">
        <v>44599.875</v>
      </c>
      <c r="V24" s="41">
        <v>44600.333333333336</v>
      </c>
      <c r="W24" s="41">
        <v>44600.458333333336</v>
      </c>
      <c r="X24" s="40" t="s">
        <v>306</v>
      </c>
      <c r="Y24" s="41">
        <v>44608.027083333334</v>
      </c>
      <c r="Z24" s="41"/>
      <c r="AA24" s="41">
        <v>44600.5</v>
      </c>
      <c r="AB24" s="41">
        <v>44608.5</v>
      </c>
      <c r="AC24" s="40" t="s">
        <v>364</v>
      </c>
      <c r="AD24" s="40">
        <v>11500</v>
      </c>
      <c r="AE24" s="40">
        <v>5233</v>
      </c>
      <c r="AF24" s="40">
        <v>1210</v>
      </c>
      <c r="AG24" s="40"/>
      <c r="AH24" s="40" t="s">
        <v>309</v>
      </c>
      <c r="AI24" s="41">
        <v>44600.666666666664</v>
      </c>
      <c r="AJ24" s="40"/>
      <c r="AK24" s="43">
        <v>950</v>
      </c>
      <c r="AL24" s="40"/>
      <c r="AM24" s="43">
        <v>0</v>
      </c>
      <c r="AN24" s="43">
        <v>0</v>
      </c>
      <c r="AO24" s="43">
        <v>0</v>
      </c>
      <c r="AP24" s="43">
        <v>0</v>
      </c>
      <c r="AQ24" s="43">
        <v>0</v>
      </c>
      <c r="AR24" s="43">
        <v>225.45499999999998</v>
      </c>
      <c r="AS24" s="43"/>
      <c r="AT24" s="43">
        <v>3350</v>
      </c>
      <c r="AU24" s="43">
        <v>3350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0" t="s">
        <v>296</v>
      </c>
      <c r="BJ24" s="40">
        <v>2022</v>
      </c>
      <c r="BK24" s="40" t="s">
        <v>2768</v>
      </c>
      <c r="BL24" s="40" t="s">
        <v>2768</v>
      </c>
      <c r="BM24" s="40" t="s">
        <v>125</v>
      </c>
    </row>
    <row r="25" spans="1:65" x14ac:dyDescent="0.25">
      <c r="A25" s="40" t="s">
        <v>2771</v>
      </c>
      <c r="B25" s="41">
        <v>44600.5</v>
      </c>
      <c r="C25" s="40" t="s">
        <v>353</v>
      </c>
      <c r="D25" s="40" t="s">
        <v>354</v>
      </c>
      <c r="E25" s="40">
        <v>7098447</v>
      </c>
      <c r="F25" s="40">
        <v>69111855</v>
      </c>
      <c r="G25" s="40" t="s">
        <v>384</v>
      </c>
      <c r="H25" s="40" t="s">
        <v>301</v>
      </c>
      <c r="I25" s="40">
        <v>3900</v>
      </c>
      <c r="J25" s="40" t="s">
        <v>385</v>
      </c>
      <c r="K25" s="40">
        <v>24725</v>
      </c>
      <c r="L25" s="40">
        <v>28625</v>
      </c>
      <c r="M25" s="40">
        <v>591219</v>
      </c>
      <c r="N25" s="40" t="s">
        <v>363</v>
      </c>
      <c r="O25" s="40" t="s">
        <v>155</v>
      </c>
      <c r="P25" s="40" t="s">
        <v>107</v>
      </c>
      <c r="Q25" s="40" t="s">
        <v>74</v>
      </c>
      <c r="R25" s="42" t="s">
        <v>75</v>
      </c>
      <c r="S25" s="42" t="s">
        <v>386</v>
      </c>
      <c r="T25" s="40" t="s">
        <v>292</v>
      </c>
      <c r="U25" s="41">
        <v>44599.875</v>
      </c>
      <c r="V25" s="41">
        <v>44600.404861111114</v>
      </c>
      <c r="W25" s="41">
        <v>44600.513194444444</v>
      </c>
      <c r="X25" s="40" t="s">
        <v>306</v>
      </c>
      <c r="Y25" s="41">
        <v>44607.696527777778</v>
      </c>
      <c r="Z25" s="41"/>
      <c r="AA25" s="41">
        <v>44600.5</v>
      </c>
      <c r="AB25" s="41">
        <v>44608.5</v>
      </c>
      <c r="AC25" s="40" t="s">
        <v>364</v>
      </c>
      <c r="AD25" s="40">
        <v>11507</v>
      </c>
      <c r="AE25" s="40">
        <v>5235</v>
      </c>
      <c r="AF25" s="40">
        <v>1211</v>
      </c>
      <c r="AG25" s="40"/>
      <c r="AH25" s="40" t="s">
        <v>309</v>
      </c>
      <c r="AI25" s="41">
        <v>44600.708333333336</v>
      </c>
      <c r="AJ25" s="40"/>
      <c r="AK25" s="43">
        <v>950</v>
      </c>
      <c r="AL25" s="40"/>
      <c r="AM25" s="43">
        <v>0</v>
      </c>
      <c r="AN25" s="43">
        <v>0</v>
      </c>
      <c r="AO25" s="43">
        <v>0</v>
      </c>
      <c r="AP25" s="43">
        <v>0</v>
      </c>
      <c r="AQ25" s="43">
        <v>0</v>
      </c>
      <c r="AR25" s="43">
        <v>225.45499999999998</v>
      </c>
      <c r="AS25" s="43"/>
      <c r="AT25" s="43">
        <v>3350</v>
      </c>
      <c r="AU25" s="43">
        <v>3350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0" t="s">
        <v>296</v>
      </c>
      <c r="BJ25" s="40">
        <v>2022</v>
      </c>
      <c r="BK25" s="40" t="s">
        <v>2768</v>
      </c>
      <c r="BL25" s="40" t="s">
        <v>2768</v>
      </c>
      <c r="BM25" s="40" t="s">
        <v>125</v>
      </c>
    </row>
    <row r="26" spans="1:65" x14ac:dyDescent="0.25">
      <c r="A26" s="40" t="s">
        <v>2771</v>
      </c>
      <c r="B26" s="41">
        <v>44600.5</v>
      </c>
      <c r="C26" s="40" t="s">
        <v>353</v>
      </c>
      <c r="D26" s="40" t="s">
        <v>354</v>
      </c>
      <c r="E26" s="40">
        <v>7098447</v>
      </c>
      <c r="F26" s="40">
        <v>69111855</v>
      </c>
      <c r="G26" s="40" t="s">
        <v>387</v>
      </c>
      <c r="H26" s="40" t="s">
        <v>301</v>
      </c>
      <c r="I26" s="40">
        <v>3900</v>
      </c>
      <c r="J26" s="40" t="s">
        <v>388</v>
      </c>
      <c r="K26" s="40">
        <v>24725</v>
      </c>
      <c r="L26" s="40">
        <v>28625</v>
      </c>
      <c r="M26" s="40">
        <v>591203</v>
      </c>
      <c r="N26" s="40" t="s">
        <v>363</v>
      </c>
      <c r="O26" s="40" t="s">
        <v>92</v>
      </c>
      <c r="P26" s="40" t="s">
        <v>93</v>
      </c>
      <c r="Q26" s="40" t="s">
        <v>94</v>
      </c>
      <c r="R26" s="42">
        <v>26283419801</v>
      </c>
      <c r="S26" s="42" t="s">
        <v>96</v>
      </c>
      <c r="T26" s="40" t="s">
        <v>292</v>
      </c>
      <c r="U26" s="41">
        <v>44599.875</v>
      </c>
      <c r="V26" s="41">
        <v>44600.083333333336</v>
      </c>
      <c r="W26" s="41">
        <v>44600.458333333336</v>
      </c>
      <c r="X26" s="40" t="s">
        <v>306</v>
      </c>
      <c r="Y26" s="41">
        <v>44607.618750000001</v>
      </c>
      <c r="Z26" s="41"/>
      <c r="AA26" s="41">
        <v>44600.5</v>
      </c>
      <c r="AB26" s="41">
        <v>44608.5</v>
      </c>
      <c r="AC26" s="40" t="s">
        <v>364</v>
      </c>
      <c r="AD26" s="40">
        <v>11496</v>
      </c>
      <c r="AE26" s="40">
        <v>5234</v>
      </c>
      <c r="AF26" s="40">
        <v>1212</v>
      </c>
      <c r="AG26" s="40"/>
      <c r="AH26" s="40" t="s">
        <v>309</v>
      </c>
      <c r="AI26" s="41">
        <v>44600.666666666664</v>
      </c>
      <c r="AJ26" s="40"/>
      <c r="AK26" s="43">
        <v>950</v>
      </c>
      <c r="AL26" s="40"/>
      <c r="AM26" s="43">
        <v>0</v>
      </c>
      <c r="AN26" s="43">
        <v>0</v>
      </c>
      <c r="AO26" s="43">
        <v>0</v>
      </c>
      <c r="AP26" s="43">
        <v>0</v>
      </c>
      <c r="AQ26" s="43">
        <v>0</v>
      </c>
      <c r="AR26" s="43">
        <v>225.45499999999998</v>
      </c>
      <c r="AS26" s="43"/>
      <c r="AT26" s="43">
        <v>3350</v>
      </c>
      <c r="AU26" s="43">
        <v>3350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0" t="s">
        <v>296</v>
      </c>
      <c r="BJ26" s="40">
        <v>2022</v>
      </c>
      <c r="BK26" s="40" t="s">
        <v>2768</v>
      </c>
      <c r="BL26" s="40" t="s">
        <v>2768</v>
      </c>
      <c r="BM26" s="40" t="s">
        <v>125</v>
      </c>
    </row>
    <row r="27" spans="1:65" x14ac:dyDescent="0.25">
      <c r="A27" s="40" t="s">
        <v>2771</v>
      </c>
      <c r="B27" s="41">
        <v>44601.333333333336</v>
      </c>
      <c r="C27" s="40" t="s">
        <v>353</v>
      </c>
      <c r="D27" s="40" t="s">
        <v>354</v>
      </c>
      <c r="E27" s="40">
        <v>7272735</v>
      </c>
      <c r="F27" s="40" t="s">
        <v>389</v>
      </c>
      <c r="G27" s="40" t="s">
        <v>390</v>
      </c>
      <c r="H27" s="40" t="s">
        <v>301</v>
      </c>
      <c r="I27" s="40">
        <v>3770</v>
      </c>
      <c r="J27" s="40" t="s">
        <v>391</v>
      </c>
      <c r="K27" s="40">
        <v>24725</v>
      </c>
      <c r="L27" s="40">
        <v>28495</v>
      </c>
      <c r="M27" s="40">
        <v>591476</v>
      </c>
      <c r="N27" s="40" t="s">
        <v>392</v>
      </c>
      <c r="O27" s="40" t="s">
        <v>106</v>
      </c>
      <c r="P27" s="40" t="s">
        <v>304</v>
      </c>
      <c r="Q27" s="40" t="s">
        <v>108</v>
      </c>
      <c r="R27" s="42">
        <v>34927982840</v>
      </c>
      <c r="S27" s="42" t="s">
        <v>110</v>
      </c>
      <c r="T27" s="40" t="s">
        <v>292</v>
      </c>
      <c r="U27" s="41">
        <v>44601.348611111112</v>
      </c>
      <c r="V27" s="41">
        <v>44601.479166666664</v>
      </c>
      <c r="W27" s="41">
        <v>44601.5625</v>
      </c>
      <c r="X27" s="40" t="s">
        <v>293</v>
      </c>
      <c r="Y27" s="41">
        <v>44606.982638888891</v>
      </c>
      <c r="Z27" s="41">
        <v>44603.791666666664</v>
      </c>
      <c r="AA27" s="41">
        <v>44601.416666666664</v>
      </c>
      <c r="AB27" s="41">
        <v>44607.75</v>
      </c>
      <c r="AC27" s="40" t="s">
        <v>364</v>
      </c>
      <c r="AD27" s="40">
        <v>11537</v>
      </c>
      <c r="AE27" s="40">
        <v>5250</v>
      </c>
      <c r="AF27" s="40">
        <v>1213</v>
      </c>
      <c r="AG27" s="40"/>
      <c r="AH27" s="40" t="s">
        <v>393</v>
      </c>
      <c r="AI27" s="41">
        <v>44601.75</v>
      </c>
      <c r="AJ27" s="40"/>
      <c r="AK27" s="43">
        <v>950</v>
      </c>
      <c r="AL27" s="40"/>
      <c r="AM27" s="43">
        <v>0</v>
      </c>
      <c r="AN27" s="43">
        <v>0</v>
      </c>
      <c r="AO27" s="43">
        <v>0</v>
      </c>
      <c r="AP27" s="43">
        <v>0</v>
      </c>
      <c r="AQ27" s="43">
        <v>0</v>
      </c>
      <c r="AR27" s="43">
        <v>225.45499999999998</v>
      </c>
      <c r="AS27" s="43"/>
      <c r="AT27" s="43">
        <v>3350</v>
      </c>
      <c r="AU27" s="43">
        <v>3350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0" t="s">
        <v>296</v>
      </c>
      <c r="BJ27" s="40">
        <v>2022</v>
      </c>
      <c r="BK27" s="40" t="s">
        <v>2768</v>
      </c>
      <c r="BL27" s="40" t="s">
        <v>2768</v>
      </c>
      <c r="BM27" s="40" t="s">
        <v>125</v>
      </c>
    </row>
    <row r="28" spans="1:65" x14ac:dyDescent="0.25">
      <c r="A28" s="40" t="s">
        <v>2771</v>
      </c>
      <c r="B28" s="41">
        <v>44601.333333333336</v>
      </c>
      <c r="C28" s="40" t="s">
        <v>353</v>
      </c>
      <c r="D28" s="40" t="s">
        <v>354</v>
      </c>
      <c r="E28" s="40">
        <v>7272735</v>
      </c>
      <c r="F28" s="40" t="s">
        <v>389</v>
      </c>
      <c r="G28" s="40" t="s">
        <v>394</v>
      </c>
      <c r="H28" s="40" t="s">
        <v>301</v>
      </c>
      <c r="I28" s="40">
        <v>3700</v>
      </c>
      <c r="J28" s="40" t="s">
        <v>395</v>
      </c>
      <c r="K28" s="40">
        <v>24725</v>
      </c>
      <c r="L28" s="40">
        <v>28425</v>
      </c>
      <c r="M28" s="40">
        <v>591502</v>
      </c>
      <c r="N28" s="40" t="s">
        <v>392</v>
      </c>
      <c r="O28" s="40" t="s">
        <v>155</v>
      </c>
      <c r="P28" s="40" t="s">
        <v>107</v>
      </c>
      <c r="Q28" s="40" t="s">
        <v>74</v>
      </c>
      <c r="R28" s="42" t="s">
        <v>75</v>
      </c>
      <c r="S28" s="42" t="s">
        <v>386</v>
      </c>
      <c r="T28" s="40" t="s">
        <v>292</v>
      </c>
      <c r="U28" s="41">
        <v>44601.348611111112</v>
      </c>
      <c r="V28" s="41">
        <v>44601.5</v>
      </c>
      <c r="W28" s="41">
        <v>44601.666666666664</v>
      </c>
      <c r="X28" s="40" t="s">
        <v>293</v>
      </c>
      <c r="Y28" s="41">
        <v>44606.989583333336</v>
      </c>
      <c r="Z28" s="41">
        <v>44603.791666666664</v>
      </c>
      <c r="AA28" s="41">
        <v>44601.416666666664</v>
      </c>
      <c r="AB28" s="41">
        <v>44607.75</v>
      </c>
      <c r="AC28" s="40" t="s">
        <v>364</v>
      </c>
      <c r="AD28" s="40">
        <v>11544</v>
      </c>
      <c r="AE28" s="40">
        <v>5252</v>
      </c>
      <c r="AF28" s="40">
        <v>1214</v>
      </c>
      <c r="AG28" s="40"/>
      <c r="AH28" s="40" t="s">
        <v>393</v>
      </c>
      <c r="AI28" s="41">
        <v>44601.75</v>
      </c>
      <c r="AJ28" s="40"/>
      <c r="AK28" s="43">
        <v>950</v>
      </c>
      <c r="AL28" s="40"/>
      <c r="AM28" s="43">
        <v>0</v>
      </c>
      <c r="AN28" s="43">
        <v>0</v>
      </c>
      <c r="AO28" s="43">
        <v>0</v>
      </c>
      <c r="AP28" s="43">
        <v>0</v>
      </c>
      <c r="AQ28" s="43">
        <v>0</v>
      </c>
      <c r="AR28" s="43">
        <v>225.45499999999998</v>
      </c>
      <c r="AS28" s="43"/>
      <c r="AT28" s="43">
        <v>3350</v>
      </c>
      <c r="AU28" s="43">
        <v>3350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0" t="s">
        <v>296</v>
      </c>
      <c r="BJ28" s="40">
        <v>2022</v>
      </c>
      <c r="BK28" s="40" t="s">
        <v>2768</v>
      </c>
      <c r="BL28" s="40" t="s">
        <v>2768</v>
      </c>
      <c r="BM28" s="40" t="s">
        <v>125</v>
      </c>
    </row>
    <row r="29" spans="1:65" x14ac:dyDescent="0.25">
      <c r="A29" s="40" t="s">
        <v>2771</v>
      </c>
      <c r="B29" s="41">
        <v>44601.333333333336</v>
      </c>
      <c r="C29" s="40" t="s">
        <v>353</v>
      </c>
      <c r="D29" s="40" t="s">
        <v>354</v>
      </c>
      <c r="E29" s="40">
        <v>7272735</v>
      </c>
      <c r="F29" s="40" t="s">
        <v>389</v>
      </c>
      <c r="G29" s="40" t="s">
        <v>396</v>
      </c>
      <c r="H29" s="40" t="s">
        <v>301</v>
      </c>
      <c r="I29" s="40">
        <v>3700</v>
      </c>
      <c r="J29" s="40" t="s">
        <v>397</v>
      </c>
      <c r="K29" s="40">
        <v>24725</v>
      </c>
      <c r="L29" s="40">
        <v>28425</v>
      </c>
      <c r="M29" s="40">
        <v>591485</v>
      </c>
      <c r="N29" s="40" t="s">
        <v>392</v>
      </c>
      <c r="O29" s="40" t="s">
        <v>92</v>
      </c>
      <c r="P29" s="40" t="s">
        <v>93</v>
      </c>
      <c r="Q29" s="40" t="s">
        <v>94</v>
      </c>
      <c r="R29" s="42">
        <v>26283419801</v>
      </c>
      <c r="S29" s="42" t="s">
        <v>96</v>
      </c>
      <c r="T29" s="40" t="s">
        <v>292</v>
      </c>
      <c r="U29" s="41">
        <v>44601.348611111112</v>
      </c>
      <c r="V29" s="41">
        <v>44601.479166666664</v>
      </c>
      <c r="W29" s="41">
        <v>44601.583333333336</v>
      </c>
      <c r="X29" s="40" t="s">
        <v>293</v>
      </c>
      <c r="Y29" s="41">
        <v>44606.974305555559</v>
      </c>
      <c r="Z29" s="41">
        <v>44603.791666666664</v>
      </c>
      <c r="AA29" s="41">
        <v>44601.416666666664</v>
      </c>
      <c r="AB29" s="41">
        <v>44607.75</v>
      </c>
      <c r="AC29" s="40" t="s">
        <v>364</v>
      </c>
      <c r="AD29" s="40">
        <v>11539</v>
      </c>
      <c r="AE29" s="40">
        <v>5253</v>
      </c>
      <c r="AF29" s="40">
        <v>1215</v>
      </c>
      <c r="AG29" s="40"/>
      <c r="AH29" s="40" t="s">
        <v>393</v>
      </c>
      <c r="AI29" s="41">
        <v>44601.75</v>
      </c>
      <c r="AJ29" s="40"/>
      <c r="AK29" s="43">
        <v>950</v>
      </c>
      <c r="AL29" s="40"/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225.45499999999998</v>
      </c>
      <c r="AS29" s="43"/>
      <c r="AT29" s="43">
        <v>3350</v>
      </c>
      <c r="AU29" s="43">
        <v>3350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0" t="s">
        <v>296</v>
      </c>
      <c r="BJ29" s="40">
        <v>2022</v>
      </c>
      <c r="BK29" s="40" t="s">
        <v>2768</v>
      </c>
      <c r="BL29" s="40" t="s">
        <v>2768</v>
      </c>
      <c r="BM29" s="40" t="s">
        <v>125</v>
      </c>
    </row>
    <row r="30" spans="1:65" x14ac:dyDescent="0.25">
      <c r="A30" s="40" t="s">
        <v>2771</v>
      </c>
      <c r="B30" s="41">
        <v>44601.333333333336</v>
      </c>
      <c r="C30" s="40" t="s">
        <v>353</v>
      </c>
      <c r="D30" s="40" t="s">
        <v>354</v>
      </c>
      <c r="E30" s="40">
        <v>7272735</v>
      </c>
      <c r="F30" s="40" t="s">
        <v>389</v>
      </c>
      <c r="G30" s="40" t="s">
        <v>398</v>
      </c>
      <c r="H30" s="40" t="s">
        <v>301</v>
      </c>
      <c r="I30" s="40">
        <v>3860</v>
      </c>
      <c r="J30" s="40" t="s">
        <v>399</v>
      </c>
      <c r="K30" s="40">
        <v>24725</v>
      </c>
      <c r="L30" s="40">
        <v>28585</v>
      </c>
      <c r="M30" s="40">
        <v>591477</v>
      </c>
      <c r="N30" s="40" t="s">
        <v>392</v>
      </c>
      <c r="O30" s="40" t="s">
        <v>31</v>
      </c>
      <c r="P30" s="40" t="s">
        <v>36</v>
      </c>
      <c r="Q30" s="40" t="s">
        <v>33</v>
      </c>
      <c r="R30" s="42" t="s">
        <v>34</v>
      </c>
      <c r="S30" s="42" t="s">
        <v>35</v>
      </c>
      <c r="T30" s="40" t="s">
        <v>292</v>
      </c>
      <c r="U30" s="41">
        <v>44601.348611111112</v>
      </c>
      <c r="V30" s="41">
        <v>44601.479166666664</v>
      </c>
      <c r="W30" s="41">
        <v>44601.583333333336</v>
      </c>
      <c r="X30" s="40" t="s">
        <v>293</v>
      </c>
      <c r="Y30" s="41">
        <v>44606.981249999997</v>
      </c>
      <c r="Z30" s="41">
        <v>44603.791666666664</v>
      </c>
      <c r="AA30" s="41">
        <v>44601.416666666664</v>
      </c>
      <c r="AB30" s="41">
        <v>44607.75</v>
      </c>
      <c r="AC30" s="40" t="s">
        <v>364</v>
      </c>
      <c r="AD30" s="40">
        <v>11538</v>
      </c>
      <c r="AE30" s="40">
        <v>5254</v>
      </c>
      <c r="AF30" s="40">
        <v>1216</v>
      </c>
      <c r="AG30" s="40"/>
      <c r="AH30" s="40" t="s">
        <v>393</v>
      </c>
      <c r="AI30" s="41">
        <v>44601.75</v>
      </c>
      <c r="AJ30" s="40"/>
      <c r="AK30" s="43">
        <v>950</v>
      </c>
      <c r="AL30" s="40"/>
      <c r="AM30" s="43">
        <v>0</v>
      </c>
      <c r="AN30" s="43">
        <v>0</v>
      </c>
      <c r="AO30" s="43">
        <v>0</v>
      </c>
      <c r="AP30" s="43">
        <v>0</v>
      </c>
      <c r="AQ30" s="43">
        <v>0</v>
      </c>
      <c r="AR30" s="43">
        <v>225.45499999999998</v>
      </c>
      <c r="AS30" s="43"/>
      <c r="AT30" s="43">
        <v>3350</v>
      </c>
      <c r="AU30" s="43">
        <v>3350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0" t="s">
        <v>296</v>
      </c>
      <c r="BJ30" s="40">
        <v>2022</v>
      </c>
      <c r="BK30" s="40" t="s">
        <v>2768</v>
      </c>
      <c r="BL30" s="40" t="s">
        <v>2768</v>
      </c>
      <c r="BM30" s="40" t="s">
        <v>125</v>
      </c>
    </row>
    <row r="31" spans="1:65" x14ac:dyDescent="0.25">
      <c r="A31" s="40" t="s">
        <v>2771</v>
      </c>
      <c r="B31" s="41">
        <v>44601.333333333336</v>
      </c>
      <c r="C31" s="40" t="s">
        <v>353</v>
      </c>
      <c r="D31" s="40" t="s">
        <v>400</v>
      </c>
      <c r="E31" s="40">
        <v>7323106</v>
      </c>
      <c r="F31" s="40" t="s">
        <v>401</v>
      </c>
      <c r="G31" s="40" t="s">
        <v>402</v>
      </c>
      <c r="H31" s="40" t="s">
        <v>288</v>
      </c>
      <c r="I31" s="40">
        <v>2200</v>
      </c>
      <c r="J31" s="40" t="s">
        <v>403</v>
      </c>
      <c r="K31" s="40">
        <v>10300</v>
      </c>
      <c r="L31" s="40">
        <v>12500</v>
      </c>
      <c r="M31" s="40" t="s">
        <v>404</v>
      </c>
      <c r="N31" s="40" t="s">
        <v>405</v>
      </c>
      <c r="O31" s="40" t="s">
        <v>406</v>
      </c>
      <c r="P31" s="40" t="s">
        <v>125</v>
      </c>
      <c r="Q31" s="40" t="s">
        <v>407</v>
      </c>
      <c r="R31" s="42">
        <v>30683574892</v>
      </c>
      <c r="S31" s="42" t="s">
        <v>408</v>
      </c>
      <c r="T31" s="40" t="s">
        <v>409</v>
      </c>
      <c r="U31" s="41">
        <v>44600.708333333336</v>
      </c>
      <c r="V31" s="41">
        <v>44601.291666666664</v>
      </c>
      <c r="W31" s="41">
        <v>44601.458333333336</v>
      </c>
      <c r="X31" s="40" t="s">
        <v>410</v>
      </c>
      <c r="Y31" s="41">
        <v>44606.350694444445</v>
      </c>
      <c r="Z31" s="41">
        <v>44604.75</v>
      </c>
      <c r="AA31" s="41">
        <v>44601.5</v>
      </c>
      <c r="AB31" s="41">
        <v>44607.708333333336</v>
      </c>
      <c r="AC31" s="40" t="s">
        <v>411</v>
      </c>
      <c r="AD31" s="40">
        <v>11536</v>
      </c>
      <c r="AE31" s="40">
        <v>5263</v>
      </c>
      <c r="AF31" s="40">
        <v>1218</v>
      </c>
      <c r="AG31" s="40"/>
      <c r="AH31" s="40" t="s">
        <v>393</v>
      </c>
      <c r="AI31" s="41">
        <v>44601.6875</v>
      </c>
      <c r="AJ31" s="40"/>
      <c r="AK31" s="43">
        <v>950</v>
      </c>
      <c r="AL31" s="40"/>
      <c r="AM31" s="43">
        <v>0</v>
      </c>
      <c r="AN31" s="43">
        <v>1600</v>
      </c>
      <c r="AO31" s="43">
        <v>0</v>
      </c>
      <c r="AP31" s="43">
        <v>0</v>
      </c>
      <c r="AQ31" s="43">
        <v>1600</v>
      </c>
      <c r="AR31" s="43">
        <v>209.45516597300002</v>
      </c>
      <c r="AS31" s="43"/>
      <c r="AT31" s="43">
        <v>3112.2610100000002</v>
      </c>
      <c r="AU31" s="43">
        <v>2250</v>
      </c>
      <c r="AV31" s="43">
        <v>605461.01</v>
      </c>
      <c r="AW31" s="43">
        <v>605.46100999999999</v>
      </c>
      <c r="AX31" s="43"/>
      <c r="AY31" s="43">
        <v>256.8</v>
      </c>
      <c r="AZ31" s="43"/>
      <c r="BA31" s="43"/>
      <c r="BB31" s="43"/>
      <c r="BC31" s="43"/>
      <c r="BD31" s="43"/>
      <c r="BE31" s="43"/>
      <c r="BF31" s="43"/>
      <c r="BG31" s="43"/>
      <c r="BH31" s="43"/>
      <c r="BI31" s="40" t="s">
        <v>296</v>
      </c>
      <c r="BJ31" s="40">
        <v>2022</v>
      </c>
      <c r="BK31" s="40" t="s">
        <v>2768</v>
      </c>
      <c r="BL31" s="40" t="s">
        <v>2768</v>
      </c>
      <c r="BM31" s="40" t="s">
        <v>125</v>
      </c>
    </row>
    <row r="32" spans="1:65" x14ac:dyDescent="0.25">
      <c r="A32" s="40" t="s">
        <v>2771</v>
      </c>
      <c r="B32" s="41">
        <v>44601.333333333336</v>
      </c>
      <c r="C32" s="40" t="s">
        <v>353</v>
      </c>
      <c r="D32" s="40" t="s">
        <v>354</v>
      </c>
      <c r="E32" s="40">
        <v>7213274</v>
      </c>
      <c r="F32" s="40">
        <v>67445034</v>
      </c>
      <c r="G32" s="40" t="s">
        <v>412</v>
      </c>
      <c r="H32" s="40" t="s">
        <v>301</v>
      </c>
      <c r="I32" s="40">
        <v>3850</v>
      </c>
      <c r="J32" s="40" t="s">
        <v>413</v>
      </c>
      <c r="K32" s="40">
        <v>25677</v>
      </c>
      <c r="L32" s="40">
        <v>29527</v>
      </c>
      <c r="M32" s="40">
        <v>591636</v>
      </c>
      <c r="N32" s="40" t="s">
        <v>392</v>
      </c>
      <c r="O32" s="40" t="s">
        <v>414</v>
      </c>
      <c r="P32" s="40" t="s">
        <v>415</v>
      </c>
      <c r="Q32" s="40" t="s">
        <v>416</v>
      </c>
      <c r="R32" s="42">
        <v>32292167840</v>
      </c>
      <c r="S32" s="42" t="s">
        <v>417</v>
      </c>
      <c r="T32" s="40" t="s">
        <v>292</v>
      </c>
      <c r="U32" s="41">
        <v>44601.75</v>
      </c>
      <c r="V32" s="41">
        <v>44602.291666666664</v>
      </c>
      <c r="W32" s="41">
        <v>44602.5</v>
      </c>
      <c r="X32" s="40" t="s">
        <v>293</v>
      </c>
      <c r="Y32" s="41">
        <v>44607.448611111111</v>
      </c>
      <c r="Z32" s="41">
        <v>44603.791666666664</v>
      </c>
      <c r="AA32" s="41">
        <v>44602.75</v>
      </c>
      <c r="AB32" s="41">
        <v>44607.75</v>
      </c>
      <c r="AC32" s="40" t="s">
        <v>418</v>
      </c>
      <c r="AD32" s="40">
        <v>11554</v>
      </c>
      <c r="AE32" s="40">
        <v>5270</v>
      </c>
      <c r="AF32" s="40">
        <v>1219</v>
      </c>
      <c r="AG32" s="40"/>
      <c r="AH32" s="40" t="s">
        <v>419</v>
      </c>
      <c r="AI32" s="41">
        <v>44602.833333333336</v>
      </c>
      <c r="AJ32" s="40"/>
      <c r="AK32" s="43">
        <v>950</v>
      </c>
      <c r="AL32" s="40"/>
      <c r="AM32" s="43">
        <v>0</v>
      </c>
      <c r="AN32" s="43">
        <v>2240</v>
      </c>
      <c r="AO32" s="43">
        <v>619.20000000000005</v>
      </c>
      <c r="AP32" s="43">
        <v>0</v>
      </c>
      <c r="AQ32" s="43">
        <v>2859.2</v>
      </c>
      <c r="AR32" s="43">
        <v>227.79882008499999</v>
      </c>
      <c r="AS32" s="43"/>
      <c r="AT32" s="43">
        <v>3384.82645</v>
      </c>
      <c r="AU32" s="43">
        <v>3350</v>
      </c>
      <c r="AV32" s="43">
        <v>34826.449999999997</v>
      </c>
      <c r="AW32" s="43">
        <v>34.826450000000001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0" t="s">
        <v>296</v>
      </c>
      <c r="BJ32" s="40">
        <v>2022</v>
      </c>
      <c r="BK32" s="40" t="s">
        <v>2768</v>
      </c>
      <c r="BL32" s="40" t="s">
        <v>2768</v>
      </c>
      <c r="BM32" s="40" t="s">
        <v>125</v>
      </c>
    </row>
    <row r="33" spans="1:65" x14ac:dyDescent="0.25">
      <c r="A33" s="40" t="s">
        <v>2771</v>
      </c>
      <c r="B33" s="41">
        <v>44601.333333333336</v>
      </c>
      <c r="C33" s="40" t="s">
        <v>353</v>
      </c>
      <c r="D33" s="40" t="s">
        <v>354</v>
      </c>
      <c r="E33" s="40">
        <v>7213274</v>
      </c>
      <c r="F33" s="40">
        <v>67445034</v>
      </c>
      <c r="G33" s="40" t="s">
        <v>420</v>
      </c>
      <c r="H33" s="40" t="s">
        <v>301</v>
      </c>
      <c r="I33" s="40">
        <v>3900</v>
      </c>
      <c r="J33" s="40" t="s">
        <v>421</v>
      </c>
      <c r="K33" s="40">
        <v>25677</v>
      </c>
      <c r="L33" s="40">
        <v>29577</v>
      </c>
      <c r="M33" s="40">
        <v>591633</v>
      </c>
      <c r="N33" s="40" t="s">
        <v>392</v>
      </c>
      <c r="O33" s="40" t="s">
        <v>422</v>
      </c>
      <c r="P33" s="40" t="s">
        <v>423</v>
      </c>
      <c r="Q33" s="40" t="s">
        <v>424</v>
      </c>
      <c r="R33" s="42">
        <v>14055837895</v>
      </c>
      <c r="S33" s="42" t="s">
        <v>425</v>
      </c>
      <c r="T33" s="40" t="s">
        <v>292</v>
      </c>
      <c r="U33" s="41">
        <v>44601.708333333336</v>
      </c>
      <c r="V33" s="41">
        <v>44602.291666666664</v>
      </c>
      <c r="W33" s="41">
        <v>44602.4375</v>
      </c>
      <c r="X33" s="40" t="s">
        <v>293</v>
      </c>
      <c r="Y33" s="41">
        <v>44607.627083333333</v>
      </c>
      <c r="Z33" s="41">
        <v>44603.791666666664</v>
      </c>
      <c r="AA33" s="41">
        <v>44602.75</v>
      </c>
      <c r="AB33" s="41">
        <v>44607.75</v>
      </c>
      <c r="AC33" s="40" t="s">
        <v>418</v>
      </c>
      <c r="AD33" s="40">
        <v>11553</v>
      </c>
      <c r="AE33" s="40">
        <v>5271</v>
      </c>
      <c r="AF33" s="40">
        <v>1220</v>
      </c>
      <c r="AG33" s="40"/>
      <c r="AH33" s="40" t="s">
        <v>419</v>
      </c>
      <c r="AI33" s="41">
        <v>44602.694444444445</v>
      </c>
      <c r="AJ33" s="40"/>
      <c r="AK33" s="43">
        <v>950</v>
      </c>
      <c r="AL33" s="40"/>
      <c r="AM33" s="43">
        <v>0</v>
      </c>
      <c r="AN33" s="43">
        <v>2240</v>
      </c>
      <c r="AO33" s="43">
        <v>619.20000000000005</v>
      </c>
      <c r="AP33" s="43">
        <v>0</v>
      </c>
      <c r="AQ33" s="43">
        <v>2859.2</v>
      </c>
      <c r="AR33" s="43">
        <v>227.79882008499999</v>
      </c>
      <c r="AS33" s="43"/>
      <c r="AT33" s="43">
        <v>3384.82645</v>
      </c>
      <c r="AU33" s="43">
        <v>3350</v>
      </c>
      <c r="AV33" s="43">
        <v>34826.449999999997</v>
      </c>
      <c r="AW33" s="43">
        <v>34.826450000000001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0" t="s">
        <v>296</v>
      </c>
      <c r="BJ33" s="40">
        <v>2022</v>
      </c>
      <c r="BK33" s="40" t="s">
        <v>2768</v>
      </c>
      <c r="BL33" s="40" t="s">
        <v>2768</v>
      </c>
      <c r="BM33" s="40" t="s">
        <v>125</v>
      </c>
    </row>
    <row r="34" spans="1:65" x14ac:dyDescent="0.25">
      <c r="A34" s="40" t="s">
        <v>2771</v>
      </c>
      <c r="B34" s="41">
        <v>44602.333333333336</v>
      </c>
      <c r="C34" s="40" t="s">
        <v>353</v>
      </c>
      <c r="D34" s="40" t="s">
        <v>354</v>
      </c>
      <c r="E34" s="40">
        <v>7213274</v>
      </c>
      <c r="F34" s="40">
        <v>67445034</v>
      </c>
      <c r="G34" s="40" t="s">
        <v>426</v>
      </c>
      <c r="H34" s="40" t="s">
        <v>301</v>
      </c>
      <c r="I34" s="40">
        <v>3840</v>
      </c>
      <c r="J34" s="40" t="s">
        <v>427</v>
      </c>
      <c r="K34" s="40">
        <v>25677</v>
      </c>
      <c r="L34" s="40">
        <v>29517</v>
      </c>
      <c r="M34" s="40">
        <v>591638</v>
      </c>
      <c r="N34" s="40" t="s">
        <v>392</v>
      </c>
      <c r="O34" s="40" t="s">
        <v>428</v>
      </c>
      <c r="P34" s="40" t="s">
        <v>429</v>
      </c>
      <c r="Q34" s="40" t="s">
        <v>430</v>
      </c>
      <c r="R34" s="42">
        <v>34824440807</v>
      </c>
      <c r="S34" s="42" t="s">
        <v>431</v>
      </c>
      <c r="T34" s="40" t="s">
        <v>292</v>
      </c>
      <c r="U34" s="41">
        <v>44601.649305555555</v>
      </c>
      <c r="V34" s="41">
        <v>44602.291666666664</v>
      </c>
      <c r="W34" s="41">
        <v>44602.5</v>
      </c>
      <c r="X34" s="40" t="s">
        <v>293</v>
      </c>
      <c r="Y34" s="41">
        <v>44607.54583333333</v>
      </c>
      <c r="Z34" s="41">
        <v>44603.791666666664</v>
      </c>
      <c r="AA34" s="41">
        <v>44602.75</v>
      </c>
      <c r="AB34" s="41">
        <v>44607.75</v>
      </c>
      <c r="AC34" s="40" t="s">
        <v>418</v>
      </c>
      <c r="AD34" s="40">
        <v>11555</v>
      </c>
      <c r="AE34" s="40">
        <v>5272</v>
      </c>
      <c r="AF34" s="40">
        <v>1221</v>
      </c>
      <c r="AG34" s="40"/>
      <c r="AH34" s="40" t="s">
        <v>419</v>
      </c>
      <c r="AI34" s="41">
        <v>44602.833333333336</v>
      </c>
      <c r="AJ34" s="40"/>
      <c r="AK34" s="43">
        <v>950</v>
      </c>
      <c r="AL34" s="40"/>
      <c r="AM34" s="43">
        <v>0</v>
      </c>
      <c r="AN34" s="43">
        <v>2240</v>
      </c>
      <c r="AO34" s="43">
        <v>550.79999999999995</v>
      </c>
      <c r="AP34" s="43">
        <v>0</v>
      </c>
      <c r="AQ34" s="43">
        <v>2790.8</v>
      </c>
      <c r="AR34" s="43">
        <v>227.79882008499999</v>
      </c>
      <c r="AS34" s="43"/>
      <c r="AT34" s="43">
        <v>3384.82645</v>
      </c>
      <c r="AU34" s="43">
        <v>3350</v>
      </c>
      <c r="AV34" s="43">
        <v>34826.449999999997</v>
      </c>
      <c r="AW34" s="43">
        <v>34.826450000000001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0" t="s">
        <v>296</v>
      </c>
      <c r="BJ34" s="40">
        <v>2022</v>
      </c>
      <c r="BK34" s="40" t="s">
        <v>2768</v>
      </c>
      <c r="BL34" s="40" t="s">
        <v>2768</v>
      </c>
      <c r="BM34" s="40" t="s">
        <v>125</v>
      </c>
    </row>
    <row r="35" spans="1:65" x14ac:dyDescent="0.25">
      <c r="A35" s="40" t="s">
        <v>2771</v>
      </c>
      <c r="B35" s="41">
        <v>44602.333333333336</v>
      </c>
      <c r="C35" s="40" t="s">
        <v>353</v>
      </c>
      <c r="D35" s="40" t="s">
        <v>354</v>
      </c>
      <c r="E35" s="40">
        <v>7213274</v>
      </c>
      <c r="F35" s="40">
        <v>67445034</v>
      </c>
      <c r="G35" s="40" t="s">
        <v>432</v>
      </c>
      <c r="H35" s="40" t="s">
        <v>301</v>
      </c>
      <c r="I35" s="40">
        <v>3900</v>
      </c>
      <c r="J35" s="40" t="s">
        <v>433</v>
      </c>
      <c r="K35" s="40">
        <v>25677</v>
      </c>
      <c r="L35" s="40">
        <v>29577</v>
      </c>
      <c r="M35" s="40">
        <v>591514</v>
      </c>
      <c r="N35" s="40" t="s">
        <v>392</v>
      </c>
      <c r="O35" s="40" t="s">
        <v>140</v>
      </c>
      <c r="P35" s="40" t="s">
        <v>141</v>
      </c>
      <c r="Q35" s="40" t="s">
        <v>329</v>
      </c>
      <c r="R35" s="42">
        <v>26893292805</v>
      </c>
      <c r="S35" s="42" t="s">
        <v>330</v>
      </c>
      <c r="T35" s="40" t="s">
        <v>292</v>
      </c>
      <c r="U35" s="41">
        <v>44601.356249999997</v>
      </c>
      <c r="V35" s="41">
        <v>44601.458333333336</v>
      </c>
      <c r="W35" s="41">
        <v>44601.666666666664</v>
      </c>
      <c r="X35" s="40" t="s">
        <v>293</v>
      </c>
      <c r="Y35" s="41">
        <v>44607.107638888891</v>
      </c>
      <c r="Z35" s="41">
        <v>44603.791666666664</v>
      </c>
      <c r="AA35" s="41">
        <v>44602.75</v>
      </c>
      <c r="AB35" s="41">
        <v>44607.75</v>
      </c>
      <c r="AC35" s="40" t="s">
        <v>418</v>
      </c>
      <c r="AD35" s="40">
        <v>11602</v>
      </c>
      <c r="AE35" s="40">
        <v>5273</v>
      </c>
      <c r="AF35" s="40">
        <v>1222</v>
      </c>
      <c r="AG35" s="40"/>
      <c r="AH35" s="40" t="s">
        <v>393</v>
      </c>
      <c r="AI35" s="41">
        <v>44602.041666666664</v>
      </c>
      <c r="AJ35" s="40"/>
      <c r="AK35" s="43">
        <v>950</v>
      </c>
      <c r="AL35" s="40"/>
      <c r="AM35" s="43">
        <v>0</v>
      </c>
      <c r="AN35" s="43">
        <v>2170</v>
      </c>
      <c r="AO35" s="43">
        <v>589</v>
      </c>
      <c r="AP35" s="43">
        <v>0</v>
      </c>
      <c r="AQ35" s="43">
        <v>2759</v>
      </c>
      <c r="AR35" s="43">
        <v>227.79882008499999</v>
      </c>
      <c r="AS35" s="43"/>
      <c r="AT35" s="43">
        <v>3384.82645</v>
      </c>
      <c r="AU35" s="43">
        <v>3350</v>
      </c>
      <c r="AV35" s="43">
        <v>34826.449999999997</v>
      </c>
      <c r="AW35" s="43">
        <v>34.826450000000001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0" t="s">
        <v>296</v>
      </c>
      <c r="BJ35" s="40">
        <v>2022</v>
      </c>
      <c r="BK35" s="40" t="s">
        <v>2768</v>
      </c>
      <c r="BL35" s="40" t="s">
        <v>2768</v>
      </c>
      <c r="BM35" s="40" t="s">
        <v>125</v>
      </c>
    </row>
    <row r="36" spans="1:65" x14ac:dyDescent="0.25">
      <c r="A36" s="40" t="s">
        <v>2771</v>
      </c>
      <c r="B36" s="41">
        <v>44602.333333333336</v>
      </c>
      <c r="C36" s="40" t="s">
        <v>353</v>
      </c>
      <c r="D36" s="40" t="s">
        <v>354</v>
      </c>
      <c r="E36" s="40">
        <v>7213274</v>
      </c>
      <c r="F36" s="40">
        <v>67445034</v>
      </c>
      <c r="G36" s="40" t="s">
        <v>434</v>
      </c>
      <c r="H36" s="40" t="s">
        <v>301</v>
      </c>
      <c r="I36" s="40">
        <v>3900</v>
      </c>
      <c r="J36" s="40" t="s">
        <v>435</v>
      </c>
      <c r="K36" s="40">
        <v>25677</v>
      </c>
      <c r="L36" s="40">
        <v>29577</v>
      </c>
      <c r="M36" s="40">
        <v>591606</v>
      </c>
      <c r="N36" s="40" t="s">
        <v>392</v>
      </c>
      <c r="O36" s="40" t="s">
        <v>111</v>
      </c>
      <c r="P36" s="40" t="s">
        <v>112</v>
      </c>
      <c r="Q36" s="40" t="s">
        <v>113</v>
      </c>
      <c r="R36" s="42">
        <v>88265951434</v>
      </c>
      <c r="S36" s="42" t="s">
        <v>333</v>
      </c>
      <c r="T36" s="40" t="s">
        <v>292</v>
      </c>
      <c r="U36" s="41">
        <v>44601.583333333336</v>
      </c>
      <c r="V36" s="41">
        <v>44601.458333333336</v>
      </c>
      <c r="W36" s="41">
        <v>44601.875</v>
      </c>
      <c r="X36" s="40" t="s">
        <v>293</v>
      </c>
      <c r="Y36" s="41">
        <v>44607.053472222222</v>
      </c>
      <c r="Z36" s="41">
        <v>44603.791666666664</v>
      </c>
      <c r="AA36" s="41">
        <v>44602.75</v>
      </c>
      <c r="AB36" s="41">
        <v>44607.75</v>
      </c>
      <c r="AC36" s="40" t="s">
        <v>418</v>
      </c>
      <c r="AD36" s="40">
        <v>11551</v>
      </c>
      <c r="AE36" s="40">
        <v>5274</v>
      </c>
      <c r="AF36" s="40">
        <v>1223</v>
      </c>
      <c r="AG36" s="40"/>
      <c r="AH36" s="40" t="s">
        <v>393</v>
      </c>
      <c r="AI36" s="41">
        <v>44602.041666666664</v>
      </c>
      <c r="AJ36" s="40"/>
      <c r="AK36" s="43">
        <v>950</v>
      </c>
      <c r="AL36" s="40"/>
      <c r="AM36" s="43">
        <v>0</v>
      </c>
      <c r="AN36" s="43">
        <v>2170</v>
      </c>
      <c r="AO36" s="43">
        <v>520.79999999999995</v>
      </c>
      <c r="AP36" s="43">
        <v>0</v>
      </c>
      <c r="AQ36" s="43">
        <v>2690.8</v>
      </c>
      <c r="AR36" s="43">
        <v>227.79882008499999</v>
      </c>
      <c r="AS36" s="43"/>
      <c r="AT36" s="43">
        <v>3384.82645</v>
      </c>
      <c r="AU36" s="43">
        <v>3350</v>
      </c>
      <c r="AV36" s="43">
        <v>34826.449999999997</v>
      </c>
      <c r="AW36" s="43">
        <v>34.826450000000001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0" t="s">
        <v>296</v>
      </c>
      <c r="BJ36" s="40">
        <v>2022</v>
      </c>
      <c r="BK36" s="40" t="s">
        <v>2768</v>
      </c>
      <c r="BL36" s="40" t="s">
        <v>2768</v>
      </c>
      <c r="BM36" s="40" t="s">
        <v>125</v>
      </c>
    </row>
    <row r="37" spans="1:65" x14ac:dyDescent="0.25">
      <c r="A37" s="40" t="s">
        <v>2771</v>
      </c>
      <c r="B37" s="41">
        <v>44602.333333333336</v>
      </c>
      <c r="C37" s="40" t="s">
        <v>353</v>
      </c>
      <c r="D37" s="40" t="s">
        <v>354</v>
      </c>
      <c r="E37" s="40">
        <v>7213274</v>
      </c>
      <c r="F37" s="40">
        <v>67445034</v>
      </c>
      <c r="G37" s="40" t="s">
        <v>436</v>
      </c>
      <c r="H37" s="40" t="s">
        <v>301</v>
      </c>
      <c r="I37" s="40">
        <v>3900</v>
      </c>
      <c r="J37" s="40" t="s">
        <v>437</v>
      </c>
      <c r="K37" s="40">
        <v>25677</v>
      </c>
      <c r="L37" s="40">
        <v>29577</v>
      </c>
      <c r="M37" s="40">
        <v>591649</v>
      </c>
      <c r="N37" s="40" t="s">
        <v>392</v>
      </c>
      <c r="O37" s="40" t="s">
        <v>106</v>
      </c>
      <c r="P37" s="40" t="s">
        <v>304</v>
      </c>
      <c r="Q37" s="40" t="s">
        <v>108</v>
      </c>
      <c r="R37" s="42">
        <v>34927982840</v>
      </c>
      <c r="S37" s="42">
        <v>3500129879</v>
      </c>
      <c r="T37" s="40" t="s">
        <v>292</v>
      </c>
      <c r="U37" s="41">
        <v>44601.916666666664</v>
      </c>
      <c r="V37" s="41">
        <v>44602.385416666664</v>
      </c>
      <c r="W37" s="41">
        <v>44602.5</v>
      </c>
      <c r="X37" s="40" t="s">
        <v>293</v>
      </c>
      <c r="Y37" s="41">
        <v>44607.447916666664</v>
      </c>
      <c r="Z37" s="41">
        <v>44603.791666666664</v>
      </c>
      <c r="AA37" s="41">
        <v>44602.75</v>
      </c>
      <c r="AB37" s="41">
        <v>44607.75</v>
      </c>
      <c r="AC37" s="40" t="s">
        <v>418</v>
      </c>
      <c r="AD37" s="40">
        <v>11556</v>
      </c>
      <c r="AE37" s="40">
        <v>5275</v>
      </c>
      <c r="AF37" s="40">
        <v>1224</v>
      </c>
      <c r="AG37" s="40"/>
      <c r="AH37" s="40" t="s">
        <v>419</v>
      </c>
      <c r="AI37" s="41">
        <v>44602.833333333336</v>
      </c>
      <c r="AJ37" s="40"/>
      <c r="AK37" s="43">
        <v>950</v>
      </c>
      <c r="AL37" s="40"/>
      <c r="AM37" s="43">
        <v>0</v>
      </c>
      <c r="AN37" s="43" t="s">
        <v>438</v>
      </c>
      <c r="AO37" s="43">
        <v>0</v>
      </c>
      <c r="AP37" s="43">
        <v>0</v>
      </c>
      <c r="AQ37" s="43"/>
      <c r="AR37" s="43">
        <v>227.79882008499999</v>
      </c>
      <c r="AS37" s="43"/>
      <c r="AT37" s="43">
        <v>3384.82645</v>
      </c>
      <c r="AU37" s="43">
        <v>3350</v>
      </c>
      <c r="AV37" s="43">
        <v>34826.449999999997</v>
      </c>
      <c r="AW37" s="43">
        <v>34.826450000000001</v>
      </c>
      <c r="AX37" s="43">
        <v>0</v>
      </c>
      <c r="AY37" s="43">
        <v>0</v>
      </c>
      <c r="AZ37" s="43">
        <v>0</v>
      </c>
      <c r="BA37" s="43">
        <v>0</v>
      </c>
      <c r="BB37" s="43">
        <v>0</v>
      </c>
      <c r="BC37" s="43">
        <v>0</v>
      </c>
      <c r="BD37" s="43">
        <v>0</v>
      </c>
      <c r="BE37" s="43">
        <v>0</v>
      </c>
      <c r="BF37" s="43">
        <v>0</v>
      </c>
      <c r="BG37" s="43">
        <v>0</v>
      </c>
      <c r="BH37" s="43">
        <v>0</v>
      </c>
      <c r="BI37" s="40" t="s">
        <v>296</v>
      </c>
      <c r="BJ37" s="40">
        <v>2022</v>
      </c>
      <c r="BK37" s="40" t="s">
        <v>2768</v>
      </c>
      <c r="BL37" s="40" t="s">
        <v>2768</v>
      </c>
      <c r="BM37" s="40" t="s">
        <v>125</v>
      </c>
    </row>
    <row r="38" spans="1:65" x14ac:dyDescent="0.25">
      <c r="A38" s="40" t="s">
        <v>2771</v>
      </c>
      <c r="B38" s="41">
        <v>44602.333333333336</v>
      </c>
      <c r="C38" s="40" t="s">
        <v>353</v>
      </c>
      <c r="D38" s="40" t="s">
        <v>354</v>
      </c>
      <c r="E38" s="40">
        <v>7213274</v>
      </c>
      <c r="F38" s="40">
        <v>67445034</v>
      </c>
      <c r="G38" s="40" t="s">
        <v>439</v>
      </c>
      <c r="H38" s="40" t="s">
        <v>301</v>
      </c>
      <c r="I38" s="40">
        <v>3950</v>
      </c>
      <c r="J38" s="40" t="s">
        <v>440</v>
      </c>
      <c r="K38" s="40">
        <v>25677</v>
      </c>
      <c r="L38" s="40">
        <v>29627</v>
      </c>
      <c r="M38" s="40">
        <v>591655</v>
      </c>
      <c r="N38" s="40" t="s">
        <v>392</v>
      </c>
      <c r="O38" s="40" t="s">
        <v>31</v>
      </c>
      <c r="P38" s="40" t="s">
        <v>36</v>
      </c>
      <c r="Q38" s="40" t="s">
        <v>33</v>
      </c>
      <c r="R38" s="42" t="s">
        <v>34</v>
      </c>
      <c r="S38" s="42" t="s">
        <v>35</v>
      </c>
      <c r="T38" s="40" t="s">
        <v>292</v>
      </c>
      <c r="U38" s="41">
        <v>44601.930555555555</v>
      </c>
      <c r="V38" s="41">
        <v>44602.375</v>
      </c>
      <c r="W38" s="41">
        <v>44602.541666666664</v>
      </c>
      <c r="X38" s="40" t="s">
        <v>293</v>
      </c>
      <c r="Y38" s="41">
        <v>44607.572916666664</v>
      </c>
      <c r="Z38" s="41">
        <v>44603.791666666664</v>
      </c>
      <c r="AA38" s="41">
        <v>44602.75</v>
      </c>
      <c r="AB38" s="41">
        <v>44607.75</v>
      </c>
      <c r="AC38" s="40" t="s">
        <v>418</v>
      </c>
      <c r="AD38" s="40">
        <v>11557</v>
      </c>
      <c r="AE38" s="40">
        <v>5276</v>
      </c>
      <c r="AF38" s="40">
        <v>1225</v>
      </c>
      <c r="AG38" s="40"/>
      <c r="AH38" s="40" t="s">
        <v>419</v>
      </c>
      <c r="AI38" s="41">
        <v>44602.833333333336</v>
      </c>
      <c r="AJ38" s="40"/>
      <c r="AK38" s="43">
        <v>950</v>
      </c>
      <c r="AL38" s="40"/>
      <c r="AM38" s="43">
        <v>0</v>
      </c>
      <c r="AN38" s="43" t="s">
        <v>438</v>
      </c>
      <c r="AO38" s="43">
        <v>0</v>
      </c>
      <c r="AP38" s="43">
        <v>0</v>
      </c>
      <c r="AQ38" s="43"/>
      <c r="AR38" s="43">
        <v>227.79882008499999</v>
      </c>
      <c r="AS38" s="43"/>
      <c r="AT38" s="43">
        <v>3384.82645</v>
      </c>
      <c r="AU38" s="43">
        <v>3350</v>
      </c>
      <c r="AV38" s="43">
        <v>34826.449999999997</v>
      </c>
      <c r="AW38" s="43">
        <v>34.826450000000001</v>
      </c>
      <c r="AX38" s="43">
        <v>0</v>
      </c>
      <c r="AY38" s="43">
        <v>0</v>
      </c>
      <c r="AZ38" s="43">
        <v>0</v>
      </c>
      <c r="BA38" s="43">
        <v>0</v>
      </c>
      <c r="BB38" s="43">
        <v>0</v>
      </c>
      <c r="BC38" s="43">
        <v>0</v>
      </c>
      <c r="BD38" s="43">
        <v>0</v>
      </c>
      <c r="BE38" s="43">
        <v>0</v>
      </c>
      <c r="BF38" s="43">
        <v>0</v>
      </c>
      <c r="BG38" s="43">
        <v>0</v>
      </c>
      <c r="BH38" s="43">
        <v>0</v>
      </c>
      <c r="BI38" s="40" t="s">
        <v>296</v>
      </c>
      <c r="BJ38" s="40">
        <v>2022</v>
      </c>
      <c r="BK38" s="40" t="s">
        <v>2768</v>
      </c>
      <c r="BL38" s="40" t="s">
        <v>2768</v>
      </c>
      <c r="BM38" s="40" t="s">
        <v>125</v>
      </c>
    </row>
    <row r="39" spans="1:65" x14ac:dyDescent="0.25">
      <c r="A39" s="40" t="s">
        <v>2771</v>
      </c>
      <c r="B39" s="41">
        <v>44602.333333333336</v>
      </c>
      <c r="C39" s="40" t="s">
        <v>353</v>
      </c>
      <c r="D39" s="40" t="s">
        <v>354</v>
      </c>
      <c r="E39" s="40">
        <v>7213274</v>
      </c>
      <c r="F39" s="40">
        <v>67445034</v>
      </c>
      <c r="G39" s="40" t="s">
        <v>441</v>
      </c>
      <c r="H39" s="40" t="s">
        <v>301</v>
      </c>
      <c r="I39" s="40">
        <v>3840</v>
      </c>
      <c r="J39" s="40" t="s">
        <v>442</v>
      </c>
      <c r="K39" s="40">
        <v>25677</v>
      </c>
      <c r="L39" s="40">
        <v>29517</v>
      </c>
      <c r="M39" s="40">
        <v>591661</v>
      </c>
      <c r="N39" s="40" t="s">
        <v>392</v>
      </c>
      <c r="O39" s="40" t="s">
        <v>155</v>
      </c>
      <c r="P39" s="40" t="s">
        <v>107</v>
      </c>
      <c r="Q39" s="40" t="s">
        <v>74</v>
      </c>
      <c r="R39" s="42" t="s">
        <v>75</v>
      </c>
      <c r="S39" s="42">
        <v>3595479067</v>
      </c>
      <c r="T39" s="40" t="s">
        <v>292</v>
      </c>
      <c r="U39" s="41">
        <v>44602.333333333336</v>
      </c>
      <c r="V39" s="41">
        <v>44602.541666666664</v>
      </c>
      <c r="W39" s="41">
        <v>44602.6875</v>
      </c>
      <c r="X39" s="40" t="s">
        <v>293</v>
      </c>
      <c r="Y39" s="41">
        <v>44607.47152777778</v>
      </c>
      <c r="Z39" s="41">
        <v>44603.791666666664</v>
      </c>
      <c r="AA39" s="41">
        <v>44602.75</v>
      </c>
      <c r="AB39" s="41">
        <v>44607.75</v>
      </c>
      <c r="AC39" s="40" t="s">
        <v>418</v>
      </c>
      <c r="AD39" s="40">
        <v>11558</v>
      </c>
      <c r="AE39" s="40">
        <v>5277</v>
      </c>
      <c r="AF39" s="40">
        <v>1226</v>
      </c>
      <c r="AG39" s="40"/>
      <c r="AH39" s="40" t="s">
        <v>419</v>
      </c>
      <c r="AI39" s="41">
        <v>44602.833333333336</v>
      </c>
      <c r="AJ39" s="40"/>
      <c r="AK39" s="43">
        <v>950</v>
      </c>
      <c r="AL39" s="40"/>
      <c r="AM39" s="43">
        <v>0</v>
      </c>
      <c r="AN39" s="43" t="s">
        <v>438</v>
      </c>
      <c r="AO39" s="43">
        <v>0</v>
      </c>
      <c r="AP39" s="43">
        <v>0</v>
      </c>
      <c r="AQ39" s="43"/>
      <c r="AR39" s="43">
        <v>227.79882008499999</v>
      </c>
      <c r="AS39" s="43"/>
      <c r="AT39" s="43">
        <v>3384.82645</v>
      </c>
      <c r="AU39" s="43">
        <v>3350</v>
      </c>
      <c r="AV39" s="43">
        <v>34826.449999999997</v>
      </c>
      <c r="AW39" s="43">
        <v>34.826450000000001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0" t="s">
        <v>296</v>
      </c>
      <c r="BJ39" s="40">
        <v>2022</v>
      </c>
      <c r="BK39" s="40" t="s">
        <v>2768</v>
      </c>
      <c r="BL39" s="40" t="s">
        <v>2768</v>
      </c>
      <c r="BM39" s="40" t="s">
        <v>125</v>
      </c>
    </row>
    <row r="40" spans="1:65" x14ac:dyDescent="0.25">
      <c r="A40" s="40" t="s">
        <v>2771</v>
      </c>
      <c r="B40" s="41">
        <v>44602.333333333336</v>
      </c>
      <c r="C40" s="40" t="s">
        <v>353</v>
      </c>
      <c r="D40" s="40" t="s">
        <v>354</v>
      </c>
      <c r="E40" s="40">
        <v>7213274</v>
      </c>
      <c r="F40" s="40">
        <v>67445034</v>
      </c>
      <c r="G40" s="40" t="s">
        <v>443</v>
      </c>
      <c r="H40" s="40" t="s">
        <v>301</v>
      </c>
      <c r="I40" s="40">
        <v>3840</v>
      </c>
      <c r="J40" s="40" t="s">
        <v>444</v>
      </c>
      <c r="K40" s="40">
        <v>25677</v>
      </c>
      <c r="L40" s="40">
        <v>29517</v>
      </c>
      <c r="M40" s="40">
        <v>591677</v>
      </c>
      <c r="N40" s="40" t="s">
        <v>392</v>
      </c>
      <c r="O40" s="40" t="s">
        <v>72</v>
      </c>
      <c r="P40" s="40" t="s">
        <v>312</v>
      </c>
      <c r="Q40" s="40" t="s">
        <v>445</v>
      </c>
      <c r="R40" s="42">
        <v>30092217893</v>
      </c>
      <c r="S40" s="42" t="s">
        <v>446</v>
      </c>
      <c r="T40" s="40" t="s">
        <v>292</v>
      </c>
      <c r="U40" s="41">
        <v>44602.34375</v>
      </c>
      <c r="V40" s="41">
        <v>44602.541666666664</v>
      </c>
      <c r="W40" s="41">
        <v>44602.666666666664</v>
      </c>
      <c r="X40" s="40" t="s">
        <v>293</v>
      </c>
      <c r="Y40" s="41">
        <v>44607.418749999997</v>
      </c>
      <c r="Z40" s="41">
        <v>44603.791666666664</v>
      </c>
      <c r="AA40" s="41">
        <v>44602.75</v>
      </c>
      <c r="AB40" s="41">
        <v>44607.75</v>
      </c>
      <c r="AC40" s="40" t="s">
        <v>418</v>
      </c>
      <c r="AD40" s="40">
        <v>11559</v>
      </c>
      <c r="AE40" s="40">
        <v>5278</v>
      </c>
      <c r="AF40" s="40">
        <v>1227</v>
      </c>
      <c r="AG40" s="40"/>
      <c r="AH40" s="40" t="s">
        <v>419</v>
      </c>
      <c r="AI40" s="41">
        <v>44602.833333333336</v>
      </c>
      <c r="AJ40" s="40"/>
      <c r="AK40" s="43">
        <v>950</v>
      </c>
      <c r="AL40" s="40"/>
      <c r="AM40" s="43">
        <v>0</v>
      </c>
      <c r="AN40" s="43" t="s">
        <v>438</v>
      </c>
      <c r="AO40" s="43">
        <v>0</v>
      </c>
      <c r="AP40" s="43">
        <v>0</v>
      </c>
      <c r="AQ40" s="43"/>
      <c r="AR40" s="43">
        <v>227.79882008499999</v>
      </c>
      <c r="AS40" s="43"/>
      <c r="AT40" s="43">
        <v>3384.82645</v>
      </c>
      <c r="AU40" s="43">
        <v>3350</v>
      </c>
      <c r="AV40" s="43">
        <v>34826.449999999997</v>
      </c>
      <c r="AW40" s="43">
        <v>34.826450000000001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0" t="s">
        <v>296</v>
      </c>
      <c r="BJ40" s="40">
        <v>2022</v>
      </c>
      <c r="BK40" s="40" t="s">
        <v>2768</v>
      </c>
      <c r="BL40" s="40" t="s">
        <v>2768</v>
      </c>
      <c r="BM40" s="40" t="s">
        <v>125</v>
      </c>
    </row>
    <row r="41" spans="1:65" x14ac:dyDescent="0.25">
      <c r="A41" s="40" t="s">
        <v>2771</v>
      </c>
      <c r="B41" s="41">
        <v>44602.333333333336</v>
      </c>
      <c r="C41" s="40" t="s">
        <v>353</v>
      </c>
      <c r="D41" s="40" t="s">
        <v>354</v>
      </c>
      <c r="E41" s="40">
        <v>7213274</v>
      </c>
      <c r="F41" s="40">
        <v>67445034</v>
      </c>
      <c r="G41" s="40" t="s">
        <v>447</v>
      </c>
      <c r="H41" s="40" t="s">
        <v>301</v>
      </c>
      <c r="I41" s="40">
        <v>3700</v>
      </c>
      <c r="J41" s="40" t="s">
        <v>448</v>
      </c>
      <c r="K41" s="40">
        <v>25677</v>
      </c>
      <c r="L41" s="40">
        <v>29377</v>
      </c>
      <c r="M41" s="40">
        <v>591691</v>
      </c>
      <c r="N41" s="40" t="s">
        <v>392</v>
      </c>
      <c r="O41" s="40" t="s">
        <v>150</v>
      </c>
      <c r="P41" s="40" t="s">
        <v>151</v>
      </c>
      <c r="Q41" s="40" t="s">
        <v>103</v>
      </c>
      <c r="R41" s="42">
        <v>11456571842</v>
      </c>
      <c r="S41" s="42" t="s">
        <v>105</v>
      </c>
      <c r="T41" s="40" t="s">
        <v>292</v>
      </c>
      <c r="U41" s="41">
        <v>44602.416666666664</v>
      </c>
      <c r="V41" s="41">
        <v>44602.606944444444</v>
      </c>
      <c r="W41" s="41"/>
      <c r="X41" s="40" t="s">
        <v>293</v>
      </c>
      <c r="Y41" s="41">
        <v>44607.412499999999</v>
      </c>
      <c r="Z41" s="41">
        <v>44603.791666666664</v>
      </c>
      <c r="AA41" s="41">
        <v>44602.75</v>
      </c>
      <c r="AB41" s="41">
        <v>44607.75</v>
      </c>
      <c r="AC41" s="40" t="s">
        <v>418</v>
      </c>
      <c r="AD41" s="40">
        <v>11562</v>
      </c>
      <c r="AE41" s="40">
        <v>5279</v>
      </c>
      <c r="AF41" s="40">
        <v>1228</v>
      </c>
      <c r="AG41" s="40"/>
      <c r="AH41" s="40" t="s">
        <v>419</v>
      </c>
      <c r="AI41" s="41">
        <v>44602.833333333336</v>
      </c>
      <c r="AJ41" s="40"/>
      <c r="AK41" s="43">
        <v>950</v>
      </c>
      <c r="AL41" s="40"/>
      <c r="AM41" s="43">
        <v>0</v>
      </c>
      <c r="AN41" s="43" t="s">
        <v>438</v>
      </c>
      <c r="AO41" s="43">
        <v>0</v>
      </c>
      <c r="AP41" s="43">
        <v>0</v>
      </c>
      <c r="AQ41" s="43"/>
      <c r="AR41" s="43">
        <v>227.79882008499999</v>
      </c>
      <c r="AS41" s="43"/>
      <c r="AT41" s="43">
        <v>3384.82645</v>
      </c>
      <c r="AU41" s="43">
        <v>3350</v>
      </c>
      <c r="AV41" s="43">
        <v>34826.449999999997</v>
      </c>
      <c r="AW41" s="43">
        <v>34.826450000000001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0" t="s">
        <v>296</v>
      </c>
      <c r="BJ41" s="40">
        <v>2022</v>
      </c>
      <c r="BK41" s="40" t="s">
        <v>2768</v>
      </c>
      <c r="BL41" s="40" t="s">
        <v>2768</v>
      </c>
      <c r="BM41" s="40" t="s">
        <v>125</v>
      </c>
    </row>
    <row r="42" spans="1:65" x14ac:dyDescent="0.25">
      <c r="A42" s="36" t="s">
        <v>836</v>
      </c>
      <c r="B42" s="37">
        <v>44603.333333333336</v>
      </c>
      <c r="C42" s="36" t="s">
        <v>449</v>
      </c>
      <c r="D42" s="36" t="s">
        <v>450</v>
      </c>
      <c r="E42" s="36" t="s">
        <v>125</v>
      </c>
      <c r="F42" s="36">
        <v>216308183</v>
      </c>
      <c r="G42" s="36"/>
      <c r="H42" s="36" t="s">
        <v>288</v>
      </c>
      <c r="I42" s="36"/>
      <c r="J42" s="36"/>
      <c r="K42" s="36"/>
      <c r="L42" s="36">
        <v>0</v>
      </c>
      <c r="M42" s="36"/>
      <c r="N42" s="36" t="s">
        <v>363</v>
      </c>
      <c r="O42" s="36"/>
      <c r="P42" s="36"/>
      <c r="Q42" s="36"/>
      <c r="R42" s="38"/>
      <c r="S42" s="38"/>
      <c r="T42" s="36"/>
      <c r="U42" s="37">
        <v>44600.5</v>
      </c>
      <c r="V42" s="37"/>
      <c r="W42" s="37"/>
      <c r="X42" s="36" t="s">
        <v>306</v>
      </c>
      <c r="Y42" s="37"/>
      <c r="Z42" s="37"/>
      <c r="AA42" s="37" t="s">
        <v>451</v>
      </c>
      <c r="AB42" s="37">
        <v>44606.5</v>
      </c>
      <c r="AC42" s="36" t="s">
        <v>452</v>
      </c>
      <c r="AD42" s="36" t="s">
        <v>125</v>
      </c>
      <c r="AE42" s="36" t="s">
        <v>125</v>
      </c>
      <c r="AF42" s="36" t="s">
        <v>125</v>
      </c>
      <c r="AG42" s="36"/>
      <c r="AH42" s="36"/>
      <c r="AI42" s="37"/>
      <c r="AJ42" s="36"/>
      <c r="AK42" s="39"/>
      <c r="AL42" s="36"/>
      <c r="AM42" s="39">
        <v>0</v>
      </c>
      <c r="AN42" s="39"/>
      <c r="AO42" s="39"/>
      <c r="AP42" s="39"/>
      <c r="AQ42" s="39">
        <v>0</v>
      </c>
      <c r="AR42" s="39">
        <v>0</v>
      </c>
      <c r="AS42" s="39"/>
      <c r="AT42" s="39">
        <v>0</v>
      </c>
      <c r="AU42" s="39">
        <v>0</v>
      </c>
      <c r="AV42" s="39">
        <v>0</v>
      </c>
      <c r="AW42" s="39">
        <v>0</v>
      </c>
      <c r="AX42" s="39">
        <v>0</v>
      </c>
      <c r="AY42" s="39">
        <v>0</v>
      </c>
      <c r="AZ42" s="39">
        <v>0</v>
      </c>
      <c r="BA42" s="39">
        <v>0</v>
      </c>
      <c r="BB42" s="39">
        <v>0</v>
      </c>
      <c r="BC42" s="39">
        <v>0</v>
      </c>
      <c r="BD42" s="39">
        <v>0</v>
      </c>
      <c r="BE42" s="39">
        <v>0</v>
      </c>
      <c r="BF42" s="39">
        <v>0</v>
      </c>
      <c r="BG42" s="39">
        <v>0</v>
      </c>
      <c r="BH42" s="39">
        <v>0</v>
      </c>
      <c r="BI42" s="36" t="s">
        <v>453</v>
      </c>
      <c r="BJ42" s="36">
        <v>1900</v>
      </c>
      <c r="BK42" s="36" t="s">
        <v>125</v>
      </c>
      <c r="BL42" s="36" t="s">
        <v>125</v>
      </c>
      <c r="BM42" s="36" t="s">
        <v>125</v>
      </c>
    </row>
    <row r="43" spans="1:65" x14ac:dyDescent="0.25">
      <c r="A43" s="36" t="s">
        <v>836</v>
      </c>
      <c r="B43" s="37">
        <v>44608.333333333336</v>
      </c>
      <c r="C43" s="36" t="s">
        <v>449</v>
      </c>
      <c r="D43" s="36" t="s">
        <v>450</v>
      </c>
      <c r="E43" s="36" t="s">
        <v>125</v>
      </c>
      <c r="F43" s="36">
        <v>216308272</v>
      </c>
      <c r="G43" s="36"/>
      <c r="H43" s="36" t="s">
        <v>288</v>
      </c>
      <c r="I43" s="36"/>
      <c r="J43" s="36"/>
      <c r="K43" s="36"/>
      <c r="L43" s="36">
        <v>0</v>
      </c>
      <c r="M43" s="36"/>
      <c r="N43" s="36" t="s">
        <v>454</v>
      </c>
      <c r="O43" s="36"/>
      <c r="P43" s="36"/>
      <c r="Q43" s="36"/>
      <c r="R43" s="38"/>
      <c r="S43" s="38"/>
      <c r="T43" s="36"/>
      <c r="U43" s="37">
        <v>44604.5</v>
      </c>
      <c r="V43" s="37"/>
      <c r="W43" s="37"/>
      <c r="X43" s="36" t="s">
        <v>306</v>
      </c>
      <c r="Y43" s="37"/>
      <c r="Z43" s="37"/>
      <c r="AA43" s="37" t="s">
        <v>455</v>
      </c>
      <c r="AB43" s="37">
        <v>44609.75</v>
      </c>
      <c r="AC43" s="36" t="s">
        <v>452</v>
      </c>
      <c r="AD43" s="36" t="s">
        <v>125</v>
      </c>
      <c r="AE43" s="36" t="s">
        <v>125</v>
      </c>
      <c r="AF43" s="36" t="s">
        <v>125</v>
      </c>
      <c r="AG43" s="36"/>
      <c r="AH43" s="36"/>
      <c r="AI43" s="37"/>
      <c r="AJ43" s="36"/>
      <c r="AK43" s="39"/>
      <c r="AL43" s="36"/>
      <c r="AM43" s="39">
        <v>0</v>
      </c>
      <c r="AN43" s="39"/>
      <c r="AO43" s="39"/>
      <c r="AP43" s="39"/>
      <c r="AQ43" s="39">
        <v>0</v>
      </c>
      <c r="AR43" s="39">
        <v>0</v>
      </c>
      <c r="AS43" s="39"/>
      <c r="AT43" s="39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9">
        <v>0</v>
      </c>
      <c r="BA43" s="39">
        <v>0</v>
      </c>
      <c r="BB43" s="39">
        <v>0</v>
      </c>
      <c r="BC43" s="39">
        <v>0</v>
      </c>
      <c r="BD43" s="39">
        <v>0</v>
      </c>
      <c r="BE43" s="39">
        <v>0</v>
      </c>
      <c r="BF43" s="39">
        <v>0</v>
      </c>
      <c r="BG43" s="39">
        <v>0</v>
      </c>
      <c r="BH43" s="39">
        <v>0</v>
      </c>
      <c r="BI43" s="36" t="s">
        <v>453</v>
      </c>
      <c r="BJ43" s="36">
        <v>1900</v>
      </c>
      <c r="BK43" s="36" t="s">
        <v>125</v>
      </c>
      <c r="BL43" s="36" t="s">
        <v>125</v>
      </c>
      <c r="BM43" s="36" t="s">
        <v>125</v>
      </c>
    </row>
    <row r="44" spans="1:65" x14ac:dyDescent="0.25">
      <c r="A44" s="40" t="s">
        <v>2771</v>
      </c>
      <c r="B44" s="41">
        <v>44607.333333333336</v>
      </c>
      <c r="C44" s="40" t="s">
        <v>456</v>
      </c>
      <c r="D44" s="40" t="s">
        <v>457</v>
      </c>
      <c r="E44" s="40"/>
      <c r="F44" s="40">
        <v>61123778</v>
      </c>
      <c r="G44" s="40" t="s">
        <v>458</v>
      </c>
      <c r="H44" s="40" t="s">
        <v>459</v>
      </c>
      <c r="I44" s="40">
        <v>4800</v>
      </c>
      <c r="J44" s="40" t="s">
        <v>460</v>
      </c>
      <c r="K44" s="40">
        <v>17721</v>
      </c>
      <c r="L44" s="40">
        <v>22521</v>
      </c>
      <c r="M44" s="40">
        <v>151218</v>
      </c>
      <c r="N44" s="40" t="s">
        <v>363</v>
      </c>
      <c r="O44" s="40" t="s">
        <v>76</v>
      </c>
      <c r="P44" s="40" t="s">
        <v>81</v>
      </c>
      <c r="Q44" s="40" t="s">
        <v>78</v>
      </c>
      <c r="R44" s="42" t="s">
        <v>79</v>
      </c>
      <c r="S44" s="42" t="s">
        <v>80</v>
      </c>
      <c r="T44" s="40" t="s">
        <v>292</v>
      </c>
      <c r="U44" s="41">
        <v>44606.65625</v>
      </c>
      <c r="V44" s="41">
        <v>44607.375</v>
      </c>
      <c r="W44" s="41">
        <v>44607.791666666664</v>
      </c>
      <c r="X44" s="40" t="s">
        <v>306</v>
      </c>
      <c r="Y44" s="41">
        <v>44608.011111111111</v>
      </c>
      <c r="Z44" s="41"/>
      <c r="AA44" s="41">
        <v>44606.75</v>
      </c>
      <c r="AB44" s="41">
        <v>44608.5</v>
      </c>
      <c r="AC44" s="40" t="s">
        <v>452</v>
      </c>
      <c r="AD44" s="40">
        <v>11604</v>
      </c>
      <c r="AE44" s="40">
        <v>5309</v>
      </c>
      <c r="AF44" s="40">
        <v>1230</v>
      </c>
      <c r="AG44" s="40"/>
      <c r="AH44" s="40" t="s">
        <v>295</v>
      </c>
      <c r="AI44" s="41"/>
      <c r="AJ44" s="40"/>
      <c r="AK44" s="43"/>
      <c r="AL44" s="40"/>
      <c r="AM44" s="43">
        <v>0</v>
      </c>
      <c r="AN44" s="43">
        <v>2940</v>
      </c>
      <c r="AO44" s="43">
        <v>1260</v>
      </c>
      <c r="AP44" s="43">
        <v>200</v>
      </c>
      <c r="AQ44" s="43">
        <v>4400</v>
      </c>
      <c r="AR44" s="43">
        <v>423.99</v>
      </c>
      <c r="AS44" s="43"/>
      <c r="AT44" s="43">
        <v>6300</v>
      </c>
      <c r="AU44" s="43">
        <v>6300</v>
      </c>
      <c r="AV44" s="43">
        <v>270831.68</v>
      </c>
      <c r="AW44" s="43"/>
      <c r="AX44" s="43">
        <v>0</v>
      </c>
      <c r="AY44" s="43">
        <v>0</v>
      </c>
      <c r="AZ44" s="43">
        <v>0</v>
      </c>
      <c r="BA44" s="43">
        <v>0</v>
      </c>
      <c r="BB44" s="43">
        <v>0</v>
      </c>
      <c r="BC44" s="43">
        <v>0</v>
      </c>
      <c r="BD44" s="43">
        <v>0</v>
      </c>
      <c r="BE44" s="43">
        <v>0</v>
      </c>
      <c r="BF44" s="43">
        <v>0</v>
      </c>
      <c r="BG44" s="43">
        <v>0</v>
      </c>
      <c r="BH44" s="43">
        <v>0</v>
      </c>
      <c r="BI44" s="40" t="s">
        <v>296</v>
      </c>
      <c r="BJ44" s="40">
        <v>2022</v>
      </c>
      <c r="BK44" s="40" t="s">
        <v>2768</v>
      </c>
      <c r="BL44" s="40" t="s">
        <v>2768</v>
      </c>
      <c r="BM44" s="40" t="s">
        <v>125</v>
      </c>
    </row>
    <row r="45" spans="1:65" x14ac:dyDescent="0.25">
      <c r="A45" s="40" t="s">
        <v>2771</v>
      </c>
      <c r="B45" s="41">
        <v>44608.333333333336</v>
      </c>
      <c r="C45" s="40" t="s">
        <v>353</v>
      </c>
      <c r="D45" s="40" t="s">
        <v>354</v>
      </c>
      <c r="E45" s="40">
        <v>7213033</v>
      </c>
      <c r="F45" s="40" t="s">
        <v>461</v>
      </c>
      <c r="G45" s="40" t="s">
        <v>462</v>
      </c>
      <c r="H45" s="40" t="s">
        <v>301</v>
      </c>
      <c r="I45" s="40">
        <v>3840</v>
      </c>
      <c r="J45" s="40" t="s">
        <v>463</v>
      </c>
      <c r="K45" s="40">
        <v>26197</v>
      </c>
      <c r="L45" s="40">
        <v>30037</v>
      </c>
      <c r="M45" s="40">
        <v>592403</v>
      </c>
      <c r="N45" s="40" t="s">
        <v>464</v>
      </c>
      <c r="O45" s="40" t="s">
        <v>465</v>
      </c>
      <c r="P45" s="40" t="s">
        <v>466</v>
      </c>
      <c r="Q45" s="40" t="s">
        <v>467</v>
      </c>
      <c r="R45" s="42">
        <v>30081786859</v>
      </c>
      <c r="S45" s="42" t="s">
        <v>468</v>
      </c>
      <c r="T45" s="40" t="s">
        <v>469</v>
      </c>
      <c r="U45" s="41">
        <v>44607.541666666664</v>
      </c>
      <c r="V45" s="41">
        <v>44607.625</v>
      </c>
      <c r="W45" s="41">
        <v>44607.75</v>
      </c>
      <c r="X45" s="40" t="s">
        <v>293</v>
      </c>
      <c r="Y45" s="41">
        <v>44611.769444444442</v>
      </c>
      <c r="Z45" s="41"/>
      <c r="AA45" s="41">
        <v>44607</v>
      </c>
      <c r="AB45" s="41">
        <v>44611.5</v>
      </c>
      <c r="AC45" s="40" t="s">
        <v>418</v>
      </c>
      <c r="AD45" s="40">
        <v>11620</v>
      </c>
      <c r="AE45" s="40">
        <v>5347</v>
      </c>
      <c r="AF45" s="40">
        <v>1231</v>
      </c>
      <c r="AG45" s="40"/>
      <c r="AH45" s="40" t="s">
        <v>393</v>
      </c>
      <c r="AI45" s="41">
        <v>44608.416666666664</v>
      </c>
      <c r="AJ45" s="40"/>
      <c r="AK45" s="43">
        <v>950</v>
      </c>
      <c r="AL45" s="40"/>
      <c r="AM45" s="43">
        <v>0</v>
      </c>
      <c r="AN45" s="43" t="s">
        <v>470</v>
      </c>
      <c r="AO45" s="43"/>
      <c r="AP45" s="43"/>
      <c r="AQ45" s="43"/>
      <c r="AR45" s="43">
        <v>0</v>
      </c>
      <c r="AS45" s="43"/>
      <c r="AT45" s="43">
        <v>0</v>
      </c>
      <c r="AU45" s="43"/>
      <c r="AV45" s="43"/>
      <c r="AW45" s="43"/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0" t="s">
        <v>296</v>
      </c>
      <c r="BJ45" s="40">
        <v>2022</v>
      </c>
      <c r="BK45" s="40" t="s">
        <v>2768</v>
      </c>
      <c r="BL45" s="40" t="s">
        <v>2768</v>
      </c>
      <c r="BM45" s="40" t="s">
        <v>125</v>
      </c>
    </row>
    <row r="46" spans="1:65" x14ac:dyDescent="0.25">
      <c r="A46" s="40" t="s">
        <v>2771</v>
      </c>
      <c r="B46" s="41">
        <v>44608.333333333336</v>
      </c>
      <c r="C46" s="40" t="s">
        <v>353</v>
      </c>
      <c r="D46" s="40" t="s">
        <v>354</v>
      </c>
      <c r="E46" s="40">
        <v>7213033</v>
      </c>
      <c r="F46" s="40" t="s">
        <v>461</v>
      </c>
      <c r="G46" s="40" t="s">
        <v>471</v>
      </c>
      <c r="H46" s="40" t="s">
        <v>301</v>
      </c>
      <c r="I46" s="40">
        <v>3800</v>
      </c>
      <c r="J46" s="40" t="s">
        <v>472</v>
      </c>
      <c r="K46" s="40">
        <v>26197</v>
      </c>
      <c r="L46" s="40">
        <v>29997</v>
      </c>
      <c r="M46" s="40">
        <v>592368</v>
      </c>
      <c r="N46" s="40" t="s">
        <v>464</v>
      </c>
      <c r="O46" s="40" t="s">
        <v>473</v>
      </c>
      <c r="P46" s="40" t="s">
        <v>474</v>
      </c>
      <c r="Q46" s="40" t="s">
        <v>475</v>
      </c>
      <c r="R46" s="42" t="s">
        <v>476</v>
      </c>
      <c r="S46" s="42">
        <v>1396847610</v>
      </c>
      <c r="T46" s="40" t="s">
        <v>469</v>
      </c>
      <c r="U46" s="41">
        <v>44607.541666666664</v>
      </c>
      <c r="V46" s="41">
        <v>44607.625</v>
      </c>
      <c r="W46" s="41">
        <v>44607.833333333336</v>
      </c>
      <c r="X46" s="40" t="s">
        <v>293</v>
      </c>
      <c r="Y46" s="41">
        <v>44611.692361111112</v>
      </c>
      <c r="Z46" s="41"/>
      <c r="AA46" s="41">
        <v>44607</v>
      </c>
      <c r="AB46" s="41">
        <v>44611.5</v>
      </c>
      <c r="AC46" s="40" t="s">
        <v>418</v>
      </c>
      <c r="AD46" s="40">
        <v>11605</v>
      </c>
      <c r="AE46" s="40">
        <v>5311</v>
      </c>
      <c r="AF46" s="40">
        <v>1232</v>
      </c>
      <c r="AG46" s="40"/>
      <c r="AH46" s="40" t="s">
        <v>393</v>
      </c>
      <c r="AI46" s="41">
        <v>44608.416666666664</v>
      </c>
      <c r="AJ46" s="40"/>
      <c r="AK46" s="43">
        <v>950</v>
      </c>
      <c r="AL46" s="40"/>
      <c r="AM46" s="43">
        <v>0</v>
      </c>
      <c r="AN46" s="43" t="s">
        <v>470</v>
      </c>
      <c r="AO46" s="43"/>
      <c r="AP46" s="43"/>
      <c r="AQ46" s="43"/>
      <c r="AR46" s="43">
        <v>0</v>
      </c>
      <c r="AS46" s="43"/>
      <c r="AT46" s="43">
        <v>0</v>
      </c>
      <c r="AU46" s="43"/>
      <c r="AV46" s="43"/>
      <c r="AW46" s="43"/>
      <c r="AX46" s="43">
        <v>0</v>
      </c>
      <c r="AY46" s="43">
        <v>0</v>
      </c>
      <c r="AZ46" s="43">
        <v>0</v>
      </c>
      <c r="BA46" s="43">
        <v>0</v>
      </c>
      <c r="BB46" s="43">
        <v>0</v>
      </c>
      <c r="BC46" s="43">
        <v>0</v>
      </c>
      <c r="BD46" s="43">
        <v>0</v>
      </c>
      <c r="BE46" s="43">
        <v>0</v>
      </c>
      <c r="BF46" s="43">
        <v>0</v>
      </c>
      <c r="BG46" s="43">
        <v>0</v>
      </c>
      <c r="BH46" s="43">
        <v>0</v>
      </c>
      <c r="BI46" s="40" t="s">
        <v>296</v>
      </c>
      <c r="BJ46" s="40">
        <v>2022</v>
      </c>
      <c r="BK46" s="40" t="s">
        <v>2768</v>
      </c>
      <c r="BL46" s="40" t="s">
        <v>2768</v>
      </c>
      <c r="BM46" s="40" t="s">
        <v>125</v>
      </c>
    </row>
    <row r="47" spans="1:65" x14ac:dyDescent="0.25">
      <c r="A47" s="40" t="s">
        <v>2771</v>
      </c>
      <c r="B47" s="41">
        <v>44608.333333333336</v>
      </c>
      <c r="C47" s="40" t="s">
        <v>353</v>
      </c>
      <c r="D47" s="40" t="s">
        <v>354</v>
      </c>
      <c r="E47" s="40">
        <v>7213033</v>
      </c>
      <c r="F47" s="40" t="s">
        <v>461</v>
      </c>
      <c r="G47" s="40" t="s">
        <v>477</v>
      </c>
      <c r="H47" s="40" t="s">
        <v>301</v>
      </c>
      <c r="I47" s="40">
        <v>3700</v>
      </c>
      <c r="J47" s="40" t="s">
        <v>478</v>
      </c>
      <c r="K47" s="40">
        <v>26197</v>
      </c>
      <c r="L47" s="40">
        <v>29897</v>
      </c>
      <c r="M47" s="40">
        <v>592363</v>
      </c>
      <c r="N47" s="40" t="s">
        <v>464</v>
      </c>
      <c r="O47" s="40" t="s">
        <v>375</v>
      </c>
      <c r="P47" s="40" t="s">
        <v>479</v>
      </c>
      <c r="Q47" s="40" t="s">
        <v>377</v>
      </c>
      <c r="R47" s="42" t="s">
        <v>378</v>
      </c>
      <c r="S47" s="42" t="s">
        <v>379</v>
      </c>
      <c r="T47" s="40" t="s">
        <v>469</v>
      </c>
      <c r="U47" s="41">
        <v>44607.541666666664</v>
      </c>
      <c r="V47" s="41">
        <v>44608.291666666664</v>
      </c>
      <c r="W47" s="41">
        <v>44608.5</v>
      </c>
      <c r="X47" s="40" t="s">
        <v>293</v>
      </c>
      <c r="Y47" s="41">
        <v>44611.685416666667</v>
      </c>
      <c r="Z47" s="41"/>
      <c r="AA47" s="41">
        <v>44607</v>
      </c>
      <c r="AB47" s="41">
        <v>44611.5</v>
      </c>
      <c r="AC47" s="40" t="s">
        <v>418</v>
      </c>
      <c r="AD47" s="40">
        <v>11603</v>
      </c>
      <c r="AE47" s="40">
        <v>5312</v>
      </c>
      <c r="AF47" s="40">
        <v>1233</v>
      </c>
      <c r="AG47" s="40"/>
      <c r="AH47" s="40" t="s">
        <v>393</v>
      </c>
      <c r="AI47" s="41">
        <v>44608.416666666664</v>
      </c>
      <c r="AJ47" s="40"/>
      <c r="AK47" s="43">
        <v>950</v>
      </c>
      <c r="AL47" s="40"/>
      <c r="AM47" s="43">
        <v>0</v>
      </c>
      <c r="AN47" s="43" t="s">
        <v>470</v>
      </c>
      <c r="AO47" s="43"/>
      <c r="AP47" s="43"/>
      <c r="AQ47" s="43"/>
      <c r="AR47" s="43">
        <v>0</v>
      </c>
      <c r="AS47" s="43"/>
      <c r="AT47" s="43">
        <v>0</v>
      </c>
      <c r="AU47" s="43"/>
      <c r="AV47" s="43"/>
      <c r="AW47" s="43"/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0" t="s">
        <v>296</v>
      </c>
      <c r="BJ47" s="40">
        <v>2022</v>
      </c>
      <c r="BK47" s="40" t="s">
        <v>2768</v>
      </c>
      <c r="BL47" s="40" t="s">
        <v>2768</v>
      </c>
      <c r="BM47" s="40" t="s">
        <v>125</v>
      </c>
    </row>
    <row r="48" spans="1:65" x14ac:dyDescent="0.25">
      <c r="A48" s="40" t="s">
        <v>2771</v>
      </c>
      <c r="B48" s="41">
        <v>44608.333333333336</v>
      </c>
      <c r="C48" s="40" t="s">
        <v>353</v>
      </c>
      <c r="D48" s="40" t="s">
        <v>354</v>
      </c>
      <c r="E48" s="40">
        <v>7213033</v>
      </c>
      <c r="F48" s="40" t="s">
        <v>461</v>
      </c>
      <c r="G48" s="40" t="s">
        <v>480</v>
      </c>
      <c r="H48" s="40" t="s">
        <v>301</v>
      </c>
      <c r="I48" s="40">
        <v>3840</v>
      </c>
      <c r="J48" s="40" t="s">
        <v>481</v>
      </c>
      <c r="K48" s="40">
        <v>26197</v>
      </c>
      <c r="L48" s="40">
        <v>30037</v>
      </c>
      <c r="M48" s="40">
        <v>592382</v>
      </c>
      <c r="N48" s="40" t="s">
        <v>464</v>
      </c>
      <c r="O48" s="40" t="s">
        <v>482</v>
      </c>
      <c r="P48" s="40" t="s">
        <v>483</v>
      </c>
      <c r="Q48" s="40" t="s">
        <v>484</v>
      </c>
      <c r="R48" s="42" t="s">
        <v>485</v>
      </c>
      <c r="S48" s="42" t="s">
        <v>486</v>
      </c>
      <c r="T48" s="40" t="s">
        <v>469</v>
      </c>
      <c r="U48" s="41">
        <v>44607.541666666664</v>
      </c>
      <c r="V48" s="41">
        <v>44608.291666666664</v>
      </c>
      <c r="W48" s="41">
        <v>44608.5</v>
      </c>
      <c r="X48" s="40" t="s">
        <v>293</v>
      </c>
      <c r="Y48" s="41" t="s">
        <v>487</v>
      </c>
      <c r="Z48" s="41"/>
      <c r="AA48" s="41">
        <v>44607</v>
      </c>
      <c r="AB48" s="41">
        <v>44611.5</v>
      </c>
      <c r="AC48" s="40" t="s">
        <v>418</v>
      </c>
      <c r="AD48" s="40">
        <v>11619</v>
      </c>
      <c r="AE48" s="40">
        <v>5313</v>
      </c>
      <c r="AF48" s="40">
        <v>1234</v>
      </c>
      <c r="AG48" s="40"/>
      <c r="AH48" s="40" t="s">
        <v>393</v>
      </c>
      <c r="AI48" s="41">
        <v>44608.75</v>
      </c>
      <c r="AJ48" s="40"/>
      <c r="AK48" s="43">
        <v>950</v>
      </c>
      <c r="AL48" s="40"/>
      <c r="AM48" s="43">
        <v>0</v>
      </c>
      <c r="AN48" s="43" t="s">
        <v>470</v>
      </c>
      <c r="AO48" s="43"/>
      <c r="AP48" s="43"/>
      <c r="AQ48" s="43"/>
      <c r="AR48" s="43">
        <v>0</v>
      </c>
      <c r="AS48" s="43"/>
      <c r="AT48" s="43">
        <v>0</v>
      </c>
      <c r="AU48" s="43"/>
      <c r="AV48" s="43"/>
      <c r="AW48" s="43"/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0" t="s">
        <v>296</v>
      </c>
      <c r="BJ48" s="40">
        <v>2022</v>
      </c>
      <c r="BK48" s="40" t="s">
        <v>2768</v>
      </c>
      <c r="BL48" s="40" t="s">
        <v>2768</v>
      </c>
      <c r="BM48" s="40" t="s">
        <v>125</v>
      </c>
    </row>
    <row r="49" spans="1:65" x14ac:dyDescent="0.25">
      <c r="A49" s="40" t="s">
        <v>2771</v>
      </c>
      <c r="B49" s="41">
        <v>44608.333333333336</v>
      </c>
      <c r="C49" s="40" t="s">
        <v>353</v>
      </c>
      <c r="D49" s="40" t="s">
        <v>354</v>
      </c>
      <c r="E49" s="40">
        <v>7213033</v>
      </c>
      <c r="F49" s="40" t="s">
        <v>461</v>
      </c>
      <c r="G49" s="40" t="s">
        <v>488</v>
      </c>
      <c r="H49" s="40" t="s">
        <v>301</v>
      </c>
      <c r="I49" s="40">
        <v>3840</v>
      </c>
      <c r="J49" s="40" t="s">
        <v>489</v>
      </c>
      <c r="K49" s="40">
        <v>26197</v>
      </c>
      <c r="L49" s="40">
        <v>30037</v>
      </c>
      <c r="M49" s="40">
        <v>592389</v>
      </c>
      <c r="N49" s="40" t="s">
        <v>464</v>
      </c>
      <c r="O49" s="40" t="s">
        <v>367</v>
      </c>
      <c r="P49" s="40" t="s">
        <v>368</v>
      </c>
      <c r="Q49" s="40" t="s">
        <v>369</v>
      </c>
      <c r="R49" s="42" t="s">
        <v>370</v>
      </c>
      <c r="S49" s="42" t="s">
        <v>371</v>
      </c>
      <c r="T49" s="40" t="s">
        <v>469</v>
      </c>
      <c r="U49" s="41">
        <v>44607.541666666664</v>
      </c>
      <c r="V49" s="41">
        <v>44608.291666666664</v>
      </c>
      <c r="W49" s="41">
        <v>44608.5</v>
      </c>
      <c r="X49" s="40" t="s">
        <v>293</v>
      </c>
      <c r="Y49" s="41">
        <v>44611.77847222222</v>
      </c>
      <c r="Z49" s="41"/>
      <c r="AA49" s="41">
        <v>44607</v>
      </c>
      <c r="AB49" s="41">
        <v>44611.5</v>
      </c>
      <c r="AC49" s="40" t="s">
        <v>418</v>
      </c>
      <c r="AD49" s="40">
        <v>11613</v>
      </c>
      <c r="AE49" s="40">
        <v>5314</v>
      </c>
      <c r="AF49" s="40">
        <v>1235</v>
      </c>
      <c r="AG49" s="40"/>
      <c r="AH49" s="40" t="s">
        <v>393</v>
      </c>
      <c r="AI49" s="41">
        <v>44608.75</v>
      </c>
      <c r="AJ49" s="40"/>
      <c r="AK49" s="43">
        <v>950</v>
      </c>
      <c r="AL49" s="40"/>
      <c r="AM49" s="43">
        <v>0</v>
      </c>
      <c r="AN49" s="43" t="s">
        <v>470</v>
      </c>
      <c r="AO49" s="43"/>
      <c r="AP49" s="43"/>
      <c r="AQ49" s="43"/>
      <c r="AR49" s="43">
        <v>0</v>
      </c>
      <c r="AS49" s="43"/>
      <c r="AT49" s="43">
        <v>0</v>
      </c>
      <c r="AU49" s="43"/>
      <c r="AV49" s="43"/>
      <c r="AW49" s="43"/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0" t="s">
        <v>296</v>
      </c>
      <c r="BJ49" s="40">
        <v>2022</v>
      </c>
      <c r="BK49" s="40" t="s">
        <v>2768</v>
      </c>
      <c r="BL49" s="40" t="s">
        <v>2768</v>
      </c>
      <c r="BM49" s="40" t="s">
        <v>125</v>
      </c>
    </row>
    <row r="50" spans="1:65" x14ac:dyDescent="0.25">
      <c r="A50" s="40" t="s">
        <v>2771</v>
      </c>
      <c r="B50" s="41">
        <v>44608.333333333336</v>
      </c>
      <c r="C50" s="40" t="s">
        <v>353</v>
      </c>
      <c r="D50" s="40" t="s">
        <v>354</v>
      </c>
      <c r="E50" s="40">
        <v>7213033</v>
      </c>
      <c r="F50" s="40" t="s">
        <v>461</v>
      </c>
      <c r="G50" s="40" t="s">
        <v>490</v>
      </c>
      <c r="H50" s="40" t="s">
        <v>301</v>
      </c>
      <c r="I50" s="40">
        <v>3840</v>
      </c>
      <c r="J50" s="40" t="s">
        <v>491</v>
      </c>
      <c r="K50" s="40">
        <v>26197</v>
      </c>
      <c r="L50" s="40">
        <v>30037</v>
      </c>
      <c r="M50" s="40">
        <v>592390</v>
      </c>
      <c r="N50" s="40" t="s">
        <v>464</v>
      </c>
      <c r="O50" s="40" t="s">
        <v>42</v>
      </c>
      <c r="P50" s="40" t="s">
        <v>43</v>
      </c>
      <c r="Q50" s="40" t="s">
        <v>44</v>
      </c>
      <c r="R50" s="42" t="s">
        <v>45</v>
      </c>
      <c r="S50" s="42" t="s">
        <v>46</v>
      </c>
      <c r="T50" s="40" t="s">
        <v>469</v>
      </c>
      <c r="U50" s="41">
        <v>44607.541666666664</v>
      </c>
      <c r="V50" s="41">
        <v>44608.291666666664</v>
      </c>
      <c r="W50" s="41">
        <v>44608.5</v>
      </c>
      <c r="X50" s="40" t="s">
        <v>293</v>
      </c>
      <c r="Y50" s="41">
        <v>44611.776388888888</v>
      </c>
      <c r="Z50" s="41"/>
      <c r="AA50" s="41">
        <v>44607</v>
      </c>
      <c r="AB50" s="41">
        <v>44611.5</v>
      </c>
      <c r="AC50" s="40" t="s">
        <v>418</v>
      </c>
      <c r="AD50" s="40">
        <v>11617</v>
      </c>
      <c r="AE50" s="40">
        <v>5315</v>
      </c>
      <c r="AF50" s="40">
        <v>1236</v>
      </c>
      <c r="AG50" s="40"/>
      <c r="AH50" s="40" t="s">
        <v>393</v>
      </c>
      <c r="AI50" s="41">
        <v>44608.75</v>
      </c>
      <c r="AJ50" s="40"/>
      <c r="AK50" s="43">
        <v>950</v>
      </c>
      <c r="AL50" s="40"/>
      <c r="AM50" s="43">
        <v>0</v>
      </c>
      <c r="AN50" s="43" t="s">
        <v>470</v>
      </c>
      <c r="AO50" s="43"/>
      <c r="AP50" s="43"/>
      <c r="AQ50" s="43"/>
      <c r="AR50" s="43">
        <v>0</v>
      </c>
      <c r="AS50" s="43"/>
      <c r="AT50" s="43">
        <v>0</v>
      </c>
      <c r="AU50" s="43"/>
      <c r="AV50" s="43"/>
      <c r="AW50" s="43"/>
      <c r="AX50" s="43">
        <v>0</v>
      </c>
      <c r="AY50" s="43">
        <v>0</v>
      </c>
      <c r="AZ50" s="43">
        <v>0</v>
      </c>
      <c r="BA50" s="43">
        <v>0</v>
      </c>
      <c r="BB50" s="43">
        <v>0</v>
      </c>
      <c r="BC50" s="43">
        <v>0</v>
      </c>
      <c r="BD50" s="43">
        <v>0</v>
      </c>
      <c r="BE50" s="43">
        <v>0</v>
      </c>
      <c r="BF50" s="43">
        <v>0</v>
      </c>
      <c r="BG50" s="43">
        <v>0</v>
      </c>
      <c r="BH50" s="43">
        <v>0</v>
      </c>
      <c r="BI50" s="40" t="s">
        <v>296</v>
      </c>
      <c r="BJ50" s="40">
        <v>2022</v>
      </c>
      <c r="BK50" s="40" t="s">
        <v>2768</v>
      </c>
      <c r="BL50" s="40" t="s">
        <v>2768</v>
      </c>
      <c r="BM50" s="40" t="s">
        <v>125</v>
      </c>
    </row>
    <row r="51" spans="1:65" x14ac:dyDescent="0.25">
      <c r="A51" s="40" t="s">
        <v>2771</v>
      </c>
      <c r="B51" s="41">
        <v>44608.333333333336</v>
      </c>
      <c r="C51" s="40" t="s">
        <v>353</v>
      </c>
      <c r="D51" s="40" t="s">
        <v>354</v>
      </c>
      <c r="E51" s="40">
        <v>7213033</v>
      </c>
      <c r="F51" s="40" t="s">
        <v>461</v>
      </c>
      <c r="G51" s="40" t="s">
        <v>492</v>
      </c>
      <c r="H51" s="40" t="s">
        <v>301</v>
      </c>
      <c r="I51" s="40">
        <v>3840</v>
      </c>
      <c r="J51" s="40" t="s">
        <v>493</v>
      </c>
      <c r="K51" s="40">
        <v>26197</v>
      </c>
      <c r="L51" s="40">
        <v>30037</v>
      </c>
      <c r="M51" s="40">
        <v>592416</v>
      </c>
      <c r="N51" s="40" t="s">
        <v>464</v>
      </c>
      <c r="O51" s="40" t="s">
        <v>375</v>
      </c>
      <c r="P51" s="40" t="s">
        <v>479</v>
      </c>
      <c r="Q51" s="40" t="s">
        <v>377</v>
      </c>
      <c r="R51" s="42" t="s">
        <v>378</v>
      </c>
      <c r="S51" s="42" t="s">
        <v>379</v>
      </c>
      <c r="T51" s="40" t="s">
        <v>469</v>
      </c>
      <c r="U51" s="41">
        <v>44607.541666666664</v>
      </c>
      <c r="V51" s="41">
        <v>44608.291666666664</v>
      </c>
      <c r="W51" s="41">
        <v>44608.5</v>
      </c>
      <c r="X51" s="40" t="s">
        <v>293</v>
      </c>
      <c r="Y51" s="41">
        <v>44611.712500000001</v>
      </c>
      <c r="Z51" s="41"/>
      <c r="AA51" s="41">
        <v>44607</v>
      </c>
      <c r="AB51" s="41">
        <v>44611.5</v>
      </c>
      <c r="AC51" s="40" t="s">
        <v>418</v>
      </c>
      <c r="AD51" s="40">
        <v>11630</v>
      </c>
      <c r="AE51" s="40">
        <v>5316</v>
      </c>
      <c r="AF51" s="40">
        <v>1237</v>
      </c>
      <c r="AG51" s="40"/>
      <c r="AH51" s="40" t="s">
        <v>393</v>
      </c>
      <c r="AI51" s="41">
        <v>44608.791666666664</v>
      </c>
      <c r="AJ51" s="40"/>
      <c r="AK51" s="43">
        <v>950</v>
      </c>
      <c r="AL51" s="40"/>
      <c r="AM51" s="43">
        <v>0</v>
      </c>
      <c r="AN51" s="43" t="s">
        <v>470</v>
      </c>
      <c r="AO51" s="43"/>
      <c r="AP51" s="43"/>
      <c r="AQ51" s="43"/>
      <c r="AR51" s="43">
        <v>0</v>
      </c>
      <c r="AS51" s="43"/>
      <c r="AT51" s="43">
        <v>0</v>
      </c>
      <c r="AU51" s="43"/>
      <c r="AV51" s="43"/>
      <c r="AW51" s="43"/>
      <c r="AX51" s="43">
        <v>0</v>
      </c>
      <c r="AY51" s="43">
        <v>0</v>
      </c>
      <c r="AZ51" s="43">
        <v>0</v>
      </c>
      <c r="BA51" s="43">
        <v>0</v>
      </c>
      <c r="BB51" s="43">
        <v>0</v>
      </c>
      <c r="BC51" s="43">
        <v>0</v>
      </c>
      <c r="BD51" s="43">
        <v>0</v>
      </c>
      <c r="BE51" s="43">
        <v>0</v>
      </c>
      <c r="BF51" s="43">
        <v>0</v>
      </c>
      <c r="BG51" s="43">
        <v>0</v>
      </c>
      <c r="BH51" s="43">
        <v>0</v>
      </c>
      <c r="BI51" s="40" t="s">
        <v>296</v>
      </c>
      <c r="BJ51" s="40">
        <v>2022</v>
      </c>
      <c r="BK51" s="40" t="s">
        <v>2768</v>
      </c>
      <c r="BL51" s="40" t="s">
        <v>2768</v>
      </c>
      <c r="BM51" s="40" t="s">
        <v>125</v>
      </c>
    </row>
    <row r="52" spans="1:65" x14ac:dyDescent="0.25">
      <c r="A52" s="40" t="s">
        <v>2771</v>
      </c>
      <c r="B52" s="41">
        <v>44608.333333333336</v>
      </c>
      <c r="C52" s="40" t="s">
        <v>353</v>
      </c>
      <c r="D52" s="40" t="s">
        <v>354</v>
      </c>
      <c r="E52" s="40">
        <v>7213033</v>
      </c>
      <c r="F52" s="40" t="s">
        <v>461</v>
      </c>
      <c r="G52" s="40" t="s">
        <v>494</v>
      </c>
      <c r="H52" s="40" t="s">
        <v>301</v>
      </c>
      <c r="I52" s="40">
        <v>3840</v>
      </c>
      <c r="J52" s="40" t="s">
        <v>495</v>
      </c>
      <c r="K52" s="40">
        <v>26197</v>
      </c>
      <c r="L52" s="40">
        <v>30037</v>
      </c>
      <c r="M52" s="40">
        <v>592381</v>
      </c>
      <c r="N52" s="40" t="s">
        <v>464</v>
      </c>
      <c r="O52" s="40" t="s">
        <v>496</v>
      </c>
      <c r="P52" s="40" t="s">
        <v>497</v>
      </c>
      <c r="Q52" s="40" t="s">
        <v>498</v>
      </c>
      <c r="R52" s="42" t="s">
        <v>499</v>
      </c>
      <c r="S52" s="42" t="s">
        <v>500</v>
      </c>
      <c r="T52" s="40" t="s">
        <v>469</v>
      </c>
      <c r="U52" s="41">
        <v>44607.541666666664</v>
      </c>
      <c r="V52" s="41">
        <v>44608.291666666664</v>
      </c>
      <c r="W52" s="41">
        <v>44608.5</v>
      </c>
      <c r="X52" s="40" t="s">
        <v>293</v>
      </c>
      <c r="Y52" s="41">
        <v>44611.784722222219</v>
      </c>
      <c r="Z52" s="41"/>
      <c r="AA52" s="41">
        <v>44607</v>
      </c>
      <c r="AB52" s="41">
        <v>44611.5</v>
      </c>
      <c r="AC52" s="40" t="s">
        <v>418</v>
      </c>
      <c r="AD52" s="40">
        <v>11616</v>
      </c>
      <c r="AE52" s="40">
        <v>5317</v>
      </c>
      <c r="AF52" s="40">
        <v>1238</v>
      </c>
      <c r="AG52" s="40"/>
      <c r="AH52" s="40" t="s">
        <v>393</v>
      </c>
      <c r="AI52" s="41">
        <v>44608.75</v>
      </c>
      <c r="AJ52" s="40"/>
      <c r="AK52" s="43">
        <v>950</v>
      </c>
      <c r="AL52" s="40"/>
      <c r="AM52" s="43">
        <v>0</v>
      </c>
      <c r="AN52" s="43" t="s">
        <v>470</v>
      </c>
      <c r="AO52" s="43"/>
      <c r="AP52" s="43"/>
      <c r="AQ52" s="43"/>
      <c r="AR52" s="43">
        <v>0</v>
      </c>
      <c r="AS52" s="43"/>
      <c r="AT52" s="43">
        <v>0</v>
      </c>
      <c r="AU52" s="43"/>
      <c r="AV52" s="43"/>
      <c r="AW52" s="43"/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0" t="s">
        <v>296</v>
      </c>
      <c r="BJ52" s="40">
        <v>2022</v>
      </c>
      <c r="BK52" s="40" t="s">
        <v>2768</v>
      </c>
      <c r="BL52" s="40" t="s">
        <v>2768</v>
      </c>
      <c r="BM52" s="40" t="s">
        <v>125</v>
      </c>
    </row>
    <row r="53" spans="1:65" x14ac:dyDescent="0.25">
      <c r="A53" s="40" t="s">
        <v>2771</v>
      </c>
      <c r="B53" s="41">
        <v>44608.333333333336</v>
      </c>
      <c r="C53" s="40" t="s">
        <v>353</v>
      </c>
      <c r="D53" s="40" t="s">
        <v>354</v>
      </c>
      <c r="E53" s="40">
        <v>7213033</v>
      </c>
      <c r="F53" s="40" t="s">
        <v>461</v>
      </c>
      <c r="G53" s="40" t="s">
        <v>501</v>
      </c>
      <c r="H53" s="40" t="s">
        <v>301</v>
      </c>
      <c r="I53" s="40">
        <v>3750</v>
      </c>
      <c r="J53" s="40" t="s">
        <v>502</v>
      </c>
      <c r="K53" s="40">
        <v>26197</v>
      </c>
      <c r="L53" s="40">
        <v>29947</v>
      </c>
      <c r="M53" s="40">
        <v>592400</v>
      </c>
      <c r="N53" s="40" t="s">
        <v>464</v>
      </c>
      <c r="O53" s="40" t="s">
        <v>503</v>
      </c>
      <c r="P53" s="40" t="s">
        <v>504</v>
      </c>
      <c r="Q53" s="40" t="s">
        <v>505</v>
      </c>
      <c r="R53" s="42" t="s">
        <v>506</v>
      </c>
      <c r="S53" s="42" t="s">
        <v>507</v>
      </c>
      <c r="T53" s="40" t="s">
        <v>469</v>
      </c>
      <c r="U53" s="41">
        <v>44607.666666666664</v>
      </c>
      <c r="V53" s="41">
        <v>44608.291666666664</v>
      </c>
      <c r="W53" s="41">
        <v>44608.5</v>
      </c>
      <c r="X53" s="40" t="s">
        <v>293</v>
      </c>
      <c r="Y53" s="41">
        <v>44611.804861111108</v>
      </c>
      <c r="Z53" s="41"/>
      <c r="AA53" s="41">
        <v>44607</v>
      </c>
      <c r="AB53" s="41">
        <v>44611.5</v>
      </c>
      <c r="AC53" s="40" t="s">
        <v>418</v>
      </c>
      <c r="AD53" s="40">
        <v>11618</v>
      </c>
      <c r="AE53" s="40">
        <v>5318</v>
      </c>
      <c r="AF53" s="40">
        <v>1239</v>
      </c>
      <c r="AG53" s="40"/>
      <c r="AH53" s="40" t="s">
        <v>393</v>
      </c>
      <c r="AI53" s="41">
        <v>44608.75</v>
      </c>
      <c r="AJ53" s="40"/>
      <c r="AK53" s="43">
        <v>950</v>
      </c>
      <c r="AL53" s="40"/>
      <c r="AM53" s="43">
        <v>0</v>
      </c>
      <c r="AN53" s="43" t="s">
        <v>470</v>
      </c>
      <c r="AO53" s="43"/>
      <c r="AP53" s="43"/>
      <c r="AQ53" s="43"/>
      <c r="AR53" s="43">
        <v>0</v>
      </c>
      <c r="AS53" s="43"/>
      <c r="AT53" s="43">
        <v>0</v>
      </c>
      <c r="AU53" s="43"/>
      <c r="AV53" s="43"/>
      <c r="AW53" s="43"/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0" t="s">
        <v>296</v>
      </c>
      <c r="BJ53" s="40">
        <v>2022</v>
      </c>
      <c r="BK53" s="40" t="s">
        <v>2768</v>
      </c>
      <c r="BL53" s="40" t="s">
        <v>2768</v>
      </c>
      <c r="BM53" s="40" t="s">
        <v>125</v>
      </c>
    </row>
    <row r="54" spans="1:65" x14ac:dyDescent="0.25">
      <c r="A54" s="40" t="s">
        <v>2771</v>
      </c>
      <c r="B54" s="41">
        <v>44608.333333333336</v>
      </c>
      <c r="C54" s="40" t="s">
        <v>353</v>
      </c>
      <c r="D54" s="40" t="s">
        <v>354</v>
      </c>
      <c r="E54" s="40">
        <v>7213033</v>
      </c>
      <c r="F54" s="40" t="s">
        <v>461</v>
      </c>
      <c r="G54" s="40" t="s">
        <v>508</v>
      </c>
      <c r="H54" s="40" t="s">
        <v>301</v>
      </c>
      <c r="I54" s="40">
        <v>3700</v>
      </c>
      <c r="J54" s="40" t="s">
        <v>509</v>
      </c>
      <c r="K54" s="40">
        <v>26197</v>
      </c>
      <c r="L54" s="40">
        <v>29897</v>
      </c>
      <c r="M54" s="40">
        <v>592415</v>
      </c>
      <c r="N54" s="40" t="s">
        <v>464</v>
      </c>
      <c r="O54" s="40" t="s">
        <v>510</v>
      </c>
      <c r="P54" s="40" t="s">
        <v>511</v>
      </c>
      <c r="Q54" s="40" t="s">
        <v>512</v>
      </c>
      <c r="R54" s="42" t="s">
        <v>513</v>
      </c>
      <c r="S54" s="42" t="s">
        <v>514</v>
      </c>
      <c r="T54" s="40" t="s">
        <v>469</v>
      </c>
      <c r="U54" s="41">
        <v>44607.645833333336</v>
      </c>
      <c r="V54" s="41">
        <v>44608.291666666664</v>
      </c>
      <c r="W54" s="41">
        <v>44608.5</v>
      </c>
      <c r="X54" s="40" t="s">
        <v>293</v>
      </c>
      <c r="Y54" s="41">
        <v>44611.690972222219</v>
      </c>
      <c r="Z54" s="41"/>
      <c r="AA54" s="41">
        <v>44607</v>
      </c>
      <c r="AB54" s="41">
        <v>44611.5</v>
      </c>
      <c r="AC54" s="40" t="s">
        <v>418</v>
      </c>
      <c r="AD54" s="40">
        <v>11621</v>
      </c>
      <c r="AE54" s="40">
        <v>5319</v>
      </c>
      <c r="AF54" s="40">
        <v>1240</v>
      </c>
      <c r="AG54" s="40"/>
      <c r="AH54" s="40" t="s">
        <v>393</v>
      </c>
      <c r="AI54" s="41">
        <v>44608.75</v>
      </c>
      <c r="AJ54" s="40"/>
      <c r="AK54" s="43">
        <v>950</v>
      </c>
      <c r="AL54" s="40"/>
      <c r="AM54" s="43">
        <v>0</v>
      </c>
      <c r="AN54" s="43" t="s">
        <v>470</v>
      </c>
      <c r="AO54" s="43"/>
      <c r="AP54" s="43"/>
      <c r="AQ54" s="43"/>
      <c r="AR54" s="43">
        <v>0</v>
      </c>
      <c r="AS54" s="43"/>
      <c r="AT54" s="43">
        <v>0</v>
      </c>
      <c r="AU54" s="43"/>
      <c r="AV54" s="43"/>
      <c r="AW54" s="43"/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0" t="s">
        <v>296</v>
      </c>
      <c r="BJ54" s="40">
        <v>2022</v>
      </c>
      <c r="BK54" s="40" t="s">
        <v>2768</v>
      </c>
      <c r="BL54" s="40" t="s">
        <v>2768</v>
      </c>
      <c r="BM54" s="40" t="s">
        <v>125</v>
      </c>
    </row>
    <row r="55" spans="1:65" x14ac:dyDescent="0.25">
      <c r="A55" s="40" t="s">
        <v>2771</v>
      </c>
      <c r="B55" s="41">
        <v>44609.291666666664</v>
      </c>
      <c r="C55" s="40" t="s">
        <v>515</v>
      </c>
      <c r="D55" s="40" t="s">
        <v>516</v>
      </c>
      <c r="E55" s="40" t="s">
        <v>517</v>
      </c>
      <c r="F55" s="40" t="s">
        <v>518</v>
      </c>
      <c r="G55" s="40" t="s">
        <v>519</v>
      </c>
      <c r="H55" s="40" t="s">
        <v>459</v>
      </c>
      <c r="I55" s="40">
        <v>4850</v>
      </c>
      <c r="J55" s="40">
        <v>147258</v>
      </c>
      <c r="K55" s="40">
        <v>24200</v>
      </c>
      <c r="L55" s="40">
        <v>29050</v>
      </c>
      <c r="M55" s="40">
        <v>2210</v>
      </c>
      <c r="N55" s="40" t="s">
        <v>520</v>
      </c>
      <c r="O55" s="40" t="s">
        <v>16</v>
      </c>
      <c r="P55" s="40" t="s">
        <v>17</v>
      </c>
      <c r="Q55" s="40" t="s">
        <v>18</v>
      </c>
      <c r="R55" s="42" t="s">
        <v>19</v>
      </c>
      <c r="S55" s="42" t="s">
        <v>20</v>
      </c>
      <c r="T55" s="40" t="s">
        <v>521</v>
      </c>
      <c r="U55" s="41">
        <v>44608.583333333336</v>
      </c>
      <c r="V55" s="41">
        <v>44609.0625</v>
      </c>
      <c r="W55" s="41">
        <v>44609.458333333336</v>
      </c>
      <c r="X55" s="40" t="s">
        <v>293</v>
      </c>
      <c r="Y55" s="41">
        <v>44613.748611111114</v>
      </c>
      <c r="Z55" s="41"/>
      <c r="AA55" s="41">
        <v>44610.5</v>
      </c>
      <c r="AB55" s="41">
        <v>44616.5</v>
      </c>
      <c r="AC55" s="40" t="s">
        <v>522</v>
      </c>
      <c r="AD55" s="40">
        <v>11636</v>
      </c>
      <c r="AE55" s="40">
        <v>5351</v>
      </c>
      <c r="AF55" s="40">
        <v>1245</v>
      </c>
      <c r="AG55" s="40"/>
      <c r="AH55" s="40" t="s">
        <v>523</v>
      </c>
      <c r="AI55" s="41">
        <v>44610.4375</v>
      </c>
      <c r="AJ55" s="40"/>
      <c r="AK55" s="43">
        <v>1530</v>
      </c>
      <c r="AL55" s="40"/>
      <c r="AM55" s="43">
        <v>0</v>
      </c>
      <c r="AN55" s="43">
        <v>5460</v>
      </c>
      <c r="AO55" s="43">
        <v>2340</v>
      </c>
      <c r="AP55" s="43">
        <v>400</v>
      </c>
      <c r="AQ55" s="43">
        <v>8200</v>
      </c>
      <c r="AR55" s="43">
        <v>773.94999999999993</v>
      </c>
      <c r="AS55" s="43"/>
      <c r="AT55" s="43">
        <v>11500</v>
      </c>
      <c r="AU55" s="43">
        <v>11500</v>
      </c>
      <c r="AV55" s="43">
        <v>364540</v>
      </c>
      <c r="AW55" s="43"/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0" t="s">
        <v>296</v>
      </c>
      <c r="BJ55" s="40">
        <v>2022</v>
      </c>
      <c r="BK55" s="40" t="s">
        <v>2768</v>
      </c>
      <c r="BL55" s="40" t="s">
        <v>2768</v>
      </c>
      <c r="BM55" s="40" t="s">
        <v>125</v>
      </c>
    </row>
    <row r="56" spans="1:65" x14ac:dyDescent="0.25">
      <c r="A56" s="36" t="s">
        <v>836</v>
      </c>
      <c r="B56" s="37">
        <v>44610.708333333336</v>
      </c>
      <c r="C56" s="36" t="s">
        <v>524</v>
      </c>
      <c r="D56" s="36" t="s">
        <v>525</v>
      </c>
      <c r="E56" s="36"/>
      <c r="F56" s="36">
        <v>216436439</v>
      </c>
      <c r="G56" s="36"/>
      <c r="H56" s="36" t="s">
        <v>301</v>
      </c>
      <c r="I56" s="36"/>
      <c r="J56" s="36"/>
      <c r="K56" s="36"/>
      <c r="L56" s="36">
        <v>0</v>
      </c>
      <c r="M56" s="36"/>
      <c r="N56" s="36" t="s">
        <v>454</v>
      </c>
      <c r="O56" s="36" t="s">
        <v>82</v>
      </c>
      <c r="P56" s="36" t="s">
        <v>83</v>
      </c>
      <c r="Q56" s="36" t="s">
        <v>84</v>
      </c>
      <c r="R56" s="38" t="s">
        <v>85</v>
      </c>
      <c r="S56" s="38" t="s">
        <v>86</v>
      </c>
      <c r="T56" s="36" t="s">
        <v>526</v>
      </c>
      <c r="U56" s="37"/>
      <c r="V56" s="37"/>
      <c r="W56" s="37"/>
      <c r="X56" s="36" t="s">
        <v>306</v>
      </c>
      <c r="Y56" s="37"/>
      <c r="Z56" s="37"/>
      <c r="AA56" s="37"/>
      <c r="AB56" s="37"/>
      <c r="AC56" s="36" t="s">
        <v>527</v>
      </c>
      <c r="AD56" s="36" t="s">
        <v>125</v>
      </c>
      <c r="AE56" s="36" t="s">
        <v>125</v>
      </c>
      <c r="AF56" s="36" t="s">
        <v>125</v>
      </c>
      <c r="AG56" s="36"/>
      <c r="AH56" s="36"/>
      <c r="AI56" s="37"/>
      <c r="AJ56" s="36"/>
      <c r="AK56" s="39"/>
      <c r="AL56" s="36"/>
      <c r="AM56" s="39">
        <v>0</v>
      </c>
      <c r="AN56" s="39"/>
      <c r="AO56" s="39"/>
      <c r="AP56" s="39"/>
      <c r="AQ56" s="39">
        <v>0</v>
      </c>
      <c r="AR56" s="39">
        <v>0</v>
      </c>
      <c r="AS56" s="39"/>
      <c r="AT56" s="39">
        <v>0</v>
      </c>
      <c r="AU56" s="39"/>
      <c r="AV56" s="39"/>
      <c r="AW56" s="39"/>
      <c r="AX56" s="39">
        <v>0</v>
      </c>
      <c r="AY56" s="39">
        <v>0</v>
      </c>
      <c r="AZ56" s="39">
        <v>0</v>
      </c>
      <c r="BA56" s="39">
        <v>0</v>
      </c>
      <c r="BB56" s="39">
        <v>0</v>
      </c>
      <c r="BC56" s="39">
        <v>0</v>
      </c>
      <c r="BD56" s="39">
        <v>0</v>
      </c>
      <c r="BE56" s="39">
        <v>0</v>
      </c>
      <c r="BF56" s="39">
        <v>0</v>
      </c>
      <c r="BG56" s="39">
        <v>0</v>
      </c>
      <c r="BH56" s="39">
        <v>0</v>
      </c>
      <c r="BI56" s="36" t="s">
        <v>453</v>
      </c>
      <c r="BJ56" s="36">
        <v>1900</v>
      </c>
      <c r="BK56" s="36"/>
      <c r="BL56" s="36"/>
      <c r="BM56" s="36" t="s">
        <v>125</v>
      </c>
    </row>
    <row r="57" spans="1:65" x14ac:dyDescent="0.25">
      <c r="A57" s="40" t="s">
        <v>2771</v>
      </c>
      <c r="B57" s="41">
        <v>44610.708333333336</v>
      </c>
      <c r="C57" s="40" t="s">
        <v>528</v>
      </c>
      <c r="D57" s="40" t="s">
        <v>529</v>
      </c>
      <c r="E57" s="40" t="s">
        <v>530</v>
      </c>
      <c r="F57" s="40" t="s">
        <v>531</v>
      </c>
      <c r="G57" s="40" t="s">
        <v>532</v>
      </c>
      <c r="H57" s="40" t="s">
        <v>288</v>
      </c>
      <c r="I57" s="40">
        <v>2180</v>
      </c>
      <c r="J57" s="40" t="s">
        <v>125</v>
      </c>
      <c r="K57" s="40">
        <v>3871</v>
      </c>
      <c r="L57" s="40">
        <v>6051</v>
      </c>
      <c r="M57" s="40">
        <v>36178</v>
      </c>
      <c r="N57" s="40" t="s">
        <v>533</v>
      </c>
      <c r="O57" s="40" t="s">
        <v>290</v>
      </c>
      <c r="P57" s="40" t="s">
        <v>125</v>
      </c>
      <c r="Q57" s="40" t="s">
        <v>291</v>
      </c>
      <c r="R57" s="42" t="s">
        <v>534</v>
      </c>
      <c r="S57" s="42" t="s">
        <v>535</v>
      </c>
      <c r="T57" s="40" t="s">
        <v>536</v>
      </c>
      <c r="U57" s="41">
        <v>44610.493055555555</v>
      </c>
      <c r="V57" s="41">
        <v>44610.59375</v>
      </c>
      <c r="W57" s="41">
        <v>44610.666666666664</v>
      </c>
      <c r="X57" s="40" t="s">
        <v>537</v>
      </c>
      <c r="Y57" s="41">
        <v>44611.369444444441</v>
      </c>
      <c r="Z57" s="41"/>
      <c r="AA57" s="41"/>
      <c r="AB57" s="41"/>
      <c r="AC57" s="40"/>
      <c r="AD57" s="40">
        <v>11615</v>
      </c>
      <c r="AE57" s="40" t="s">
        <v>125</v>
      </c>
      <c r="AF57" s="40" t="s">
        <v>125</v>
      </c>
      <c r="AG57" s="40"/>
      <c r="AH57" s="40" t="s">
        <v>295</v>
      </c>
      <c r="AI57" s="41"/>
      <c r="AJ57" s="40"/>
      <c r="AK57" s="43"/>
      <c r="AL57" s="40"/>
      <c r="AM57" s="43">
        <v>0</v>
      </c>
      <c r="AN57" s="43">
        <v>1250</v>
      </c>
      <c r="AO57" s="43"/>
      <c r="AP57" s="43">
        <v>300</v>
      </c>
      <c r="AQ57" s="43">
        <v>1550</v>
      </c>
      <c r="AR57" s="43">
        <v>315.92167899999998</v>
      </c>
      <c r="AS57" s="43"/>
      <c r="AT57" s="43">
        <v>4694.2299999999996</v>
      </c>
      <c r="AU57" s="43">
        <v>1900</v>
      </c>
      <c r="AV57" s="43">
        <v>201665.88</v>
      </c>
      <c r="AW57" s="43">
        <v>120</v>
      </c>
      <c r="AX57" s="43">
        <v>60</v>
      </c>
      <c r="AY57" s="43">
        <v>215</v>
      </c>
      <c r="AZ57" s="43">
        <v>0</v>
      </c>
      <c r="BA57" s="43">
        <v>0</v>
      </c>
      <c r="BB57" s="43">
        <v>0</v>
      </c>
      <c r="BC57" s="43">
        <v>25</v>
      </c>
      <c r="BD57" s="43">
        <v>0</v>
      </c>
      <c r="BE57" s="43">
        <v>2074.23</v>
      </c>
      <c r="BF57" s="43">
        <v>300</v>
      </c>
      <c r="BG57" s="43">
        <v>0</v>
      </c>
      <c r="BH57" s="43">
        <v>0</v>
      </c>
      <c r="BI57" s="40" t="s">
        <v>296</v>
      </c>
      <c r="BJ57" s="40">
        <v>2022</v>
      </c>
      <c r="BK57" s="40" t="s">
        <v>2768</v>
      </c>
      <c r="BL57" s="40" t="s">
        <v>2768</v>
      </c>
      <c r="BM57" s="40" t="s">
        <v>125</v>
      </c>
    </row>
    <row r="58" spans="1:65" x14ac:dyDescent="0.25">
      <c r="A58" s="40" t="s">
        <v>2771</v>
      </c>
      <c r="B58" s="41">
        <v>44614.291666666664</v>
      </c>
      <c r="C58" s="40" t="s">
        <v>353</v>
      </c>
      <c r="D58" s="40" t="s">
        <v>354</v>
      </c>
      <c r="E58" s="40">
        <v>7313099</v>
      </c>
      <c r="F58" s="40">
        <v>216255324</v>
      </c>
      <c r="G58" s="40" t="s">
        <v>538</v>
      </c>
      <c r="H58" s="40" t="s">
        <v>301</v>
      </c>
      <c r="I58" s="40">
        <v>3910</v>
      </c>
      <c r="J58" s="40" t="s">
        <v>539</v>
      </c>
      <c r="K58" s="40">
        <v>25642</v>
      </c>
      <c r="L58" s="40">
        <v>29552</v>
      </c>
      <c r="M58" s="40">
        <v>593474</v>
      </c>
      <c r="N58" s="40" t="s">
        <v>540</v>
      </c>
      <c r="O58" s="40" t="s">
        <v>178</v>
      </c>
      <c r="P58" s="40" t="s">
        <v>179</v>
      </c>
      <c r="Q58" s="40" t="s">
        <v>180</v>
      </c>
      <c r="R58" s="42">
        <v>18990500869</v>
      </c>
      <c r="S58" s="42" t="s">
        <v>181</v>
      </c>
      <c r="T58" s="40" t="s">
        <v>526</v>
      </c>
      <c r="U58" s="41">
        <v>44613.833333333336</v>
      </c>
      <c r="V58" s="41">
        <v>44614.291666666664</v>
      </c>
      <c r="W58" s="41">
        <v>44614.5</v>
      </c>
      <c r="X58" s="40" t="s">
        <v>306</v>
      </c>
      <c r="Y58" s="41">
        <v>44615.205555555556</v>
      </c>
      <c r="Z58" s="41">
        <v>44614.791666666664</v>
      </c>
      <c r="AA58" s="41">
        <v>44610.5</v>
      </c>
      <c r="AB58" s="41">
        <v>44615.5</v>
      </c>
      <c r="AC58" s="40" t="s">
        <v>541</v>
      </c>
      <c r="AD58" s="40">
        <v>11709</v>
      </c>
      <c r="AE58" s="40">
        <v>5336</v>
      </c>
      <c r="AF58" s="40" t="s">
        <v>125</v>
      </c>
      <c r="AG58" s="40"/>
      <c r="AH58" s="40" t="s">
        <v>295</v>
      </c>
      <c r="AI58" s="41"/>
      <c r="AJ58" s="40"/>
      <c r="AK58" s="43"/>
      <c r="AL58" s="40"/>
      <c r="AM58" s="43">
        <v>0</v>
      </c>
      <c r="AN58" s="43">
        <v>2170</v>
      </c>
      <c r="AO58" s="43">
        <v>789</v>
      </c>
      <c r="AP58" s="43">
        <v>341</v>
      </c>
      <c r="AQ58" s="43">
        <v>3300</v>
      </c>
      <c r="AR58" s="43">
        <v>0</v>
      </c>
      <c r="AS58" s="43"/>
      <c r="AT58" s="43">
        <v>0</v>
      </c>
      <c r="AU58" s="43"/>
      <c r="AV58" s="43"/>
      <c r="AW58" s="43"/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0" t="s">
        <v>296</v>
      </c>
      <c r="BJ58" s="40">
        <v>2022</v>
      </c>
      <c r="BK58" s="40" t="s">
        <v>2768</v>
      </c>
      <c r="BL58" s="40" t="s">
        <v>2768</v>
      </c>
      <c r="BM58" s="40" t="s">
        <v>125</v>
      </c>
    </row>
    <row r="59" spans="1:65" x14ac:dyDescent="0.25">
      <c r="A59" s="40" t="s">
        <v>2771</v>
      </c>
      <c r="B59" s="41">
        <v>44614.291666666664</v>
      </c>
      <c r="C59" s="40" t="s">
        <v>353</v>
      </c>
      <c r="D59" s="40" t="s">
        <v>354</v>
      </c>
      <c r="E59" s="40">
        <v>7313099</v>
      </c>
      <c r="F59" s="40">
        <v>216255324</v>
      </c>
      <c r="G59" s="40" t="s">
        <v>542</v>
      </c>
      <c r="H59" s="40" t="s">
        <v>301</v>
      </c>
      <c r="I59" s="40">
        <v>3860</v>
      </c>
      <c r="J59" s="40" t="s">
        <v>543</v>
      </c>
      <c r="K59" s="40">
        <v>25642</v>
      </c>
      <c r="L59" s="40">
        <v>29502</v>
      </c>
      <c r="M59" s="40">
        <v>593519</v>
      </c>
      <c r="N59" s="40" t="s">
        <v>540</v>
      </c>
      <c r="O59" s="40" t="s">
        <v>140</v>
      </c>
      <c r="P59" s="40" t="s">
        <v>141</v>
      </c>
      <c r="Q59" s="40" t="s">
        <v>329</v>
      </c>
      <c r="R59" s="42" t="s">
        <v>544</v>
      </c>
      <c r="S59" s="42" t="s">
        <v>330</v>
      </c>
      <c r="T59" s="40" t="s">
        <v>526</v>
      </c>
      <c r="U59" s="41">
        <v>44613.833333333336</v>
      </c>
      <c r="V59" s="41">
        <v>44614.291666666664</v>
      </c>
      <c r="W59" s="41">
        <v>44614.5</v>
      </c>
      <c r="X59" s="40" t="s">
        <v>306</v>
      </c>
      <c r="Y59" s="41">
        <v>44614.935416666667</v>
      </c>
      <c r="Z59" s="41">
        <v>44614.791666666664</v>
      </c>
      <c r="AA59" s="41">
        <v>44610.5</v>
      </c>
      <c r="AB59" s="41">
        <v>44615.5</v>
      </c>
      <c r="AC59" s="40" t="s">
        <v>541</v>
      </c>
      <c r="AD59" s="40">
        <v>11714</v>
      </c>
      <c r="AE59" s="40">
        <v>5337</v>
      </c>
      <c r="AF59" s="40" t="s">
        <v>125</v>
      </c>
      <c r="AG59" s="40"/>
      <c r="AH59" s="40" t="s">
        <v>295</v>
      </c>
      <c r="AI59" s="41"/>
      <c r="AJ59" s="40"/>
      <c r="AK59" s="43"/>
      <c r="AL59" s="40"/>
      <c r="AM59" s="43">
        <v>0</v>
      </c>
      <c r="AN59" s="43">
        <v>2170</v>
      </c>
      <c r="AO59" s="43">
        <v>489</v>
      </c>
      <c r="AP59" s="43">
        <v>341</v>
      </c>
      <c r="AQ59" s="43">
        <v>3000</v>
      </c>
      <c r="AR59" s="43">
        <v>0</v>
      </c>
      <c r="AS59" s="43"/>
      <c r="AT59" s="43">
        <v>0</v>
      </c>
      <c r="AU59" s="43"/>
      <c r="AV59" s="43"/>
      <c r="AW59" s="43"/>
      <c r="AX59" s="43">
        <v>0</v>
      </c>
      <c r="AY59" s="43">
        <v>0</v>
      </c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0" t="s">
        <v>296</v>
      </c>
      <c r="BJ59" s="40">
        <v>2022</v>
      </c>
      <c r="BK59" s="40" t="s">
        <v>2768</v>
      </c>
      <c r="BL59" s="40" t="s">
        <v>2768</v>
      </c>
      <c r="BM59" s="40" t="s">
        <v>125</v>
      </c>
    </row>
    <row r="60" spans="1:65" x14ac:dyDescent="0.25">
      <c r="A60" s="40" t="s">
        <v>2771</v>
      </c>
      <c r="B60" s="41">
        <v>44614.291666666664</v>
      </c>
      <c r="C60" s="40" t="s">
        <v>353</v>
      </c>
      <c r="D60" s="40" t="s">
        <v>354</v>
      </c>
      <c r="E60" s="40">
        <v>7313099</v>
      </c>
      <c r="F60" s="40">
        <v>216255324</v>
      </c>
      <c r="G60" s="40" t="s">
        <v>545</v>
      </c>
      <c r="H60" s="40" t="s">
        <v>301</v>
      </c>
      <c r="I60" s="40">
        <v>3810</v>
      </c>
      <c r="J60" s="40" t="s">
        <v>546</v>
      </c>
      <c r="K60" s="40">
        <v>25598</v>
      </c>
      <c r="L60" s="40">
        <v>29408</v>
      </c>
      <c r="M60" s="40">
        <v>593460</v>
      </c>
      <c r="N60" s="40" t="s">
        <v>540</v>
      </c>
      <c r="O60" s="40" t="s">
        <v>547</v>
      </c>
      <c r="P60" s="40" t="s">
        <v>548</v>
      </c>
      <c r="Q60" s="40" t="s">
        <v>549</v>
      </c>
      <c r="R60" s="42" t="s">
        <v>550</v>
      </c>
      <c r="S60" s="42" t="s">
        <v>551</v>
      </c>
      <c r="T60" s="40" t="s">
        <v>526</v>
      </c>
      <c r="U60" s="41">
        <v>44613.833333333336</v>
      </c>
      <c r="V60" s="41">
        <v>44614.291666666664</v>
      </c>
      <c r="W60" s="41">
        <v>44614.375</v>
      </c>
      <c r="X60" s="40" t="s">
        <v>306</v>
      </c>
      <c r="Y60" s="41">
        <v>44614.820833333331</v>
      </c>
      <c r="Z60" s="41">
        <v>44614.791666666664</v>
      </c>
      <c r="AA60" s="41">
        <v>44610.5</v>
      </c>
      <c r="AB60" s="41">
        <v>44615.5</v>
      </c>
      <c r="AC60" s="40" t="s">
        <v>541</v>
      </c>
      <c r="AD60" s="40">
        <v>11706</v>
      </c>
      <c r="AE60" s="40">
        <v>5338</v>
      </c>
      <c r="AF60" s="40" t="s">
        <v>125</v>
      </c>
      <c r="AG60" s="40"/>
      <c r="AH60" s="40" t="s">
        <v>295</v>
      </c>
      <c r="AI60" s="41"/>
      <c r="AJ60" s="40"/>
      <c r="AK60" s="43"/>
      <c r="AL60" s="40"/>
      <c r="AM60" s="43">
        <v>0</v>
      </c>
      <c r="AN60" s="43">
        <v>2240</v>
      </c>
      <c r="AO60" s="43">
        <v>750.8</v>
      </c>
      <c r="AP60" s="43">
        <v>409.2</v>
      </c>
      <c r="AQ60" s="43">
        <v>3400</v>
      </c>
      <c r="AR60" s="43">
        <v>0</v>
      </c>
      <c r="AS60" s="43"/>
      <c r="AT60" s="43">
        <v>0</v>
      </c>
      <c r="AU60" s="43"/>
      <c r="AV60" s="43"/>
      <c r="AW60" s="43"/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0" t="s">
        <v>296</v>
      </c>
      <c r="BJ60" s="40">
        <v>2022</v>
      </c>
      <c r="BK60" s="40" t="s">
        <v>2768</v>
      </c>
      <c r="BL60" s="40" t="s">
        <v>2768</v>
      </c>
      <c r="BM60" s="40" t="s">
        <v>125</v>
      </c>
    </row>
    <row r="61" spans="1:65" x14ac:dyDescent="0.25">
      <c r="A61" s="40" t="s">
        <v>2771</v>
      </c>
      <c r="B61" s="41">
        <v>44614.291666666664</v>
      </c>
      <c r="C61" s="40" t="s">
        <v>353</v>
      </c>
      <c r="D61" s="40" t="s">
        <v>354</v>
      </c>
      <c r="E61" s="40">
        <v>7313099</v>
      </c>
      <c r="F61" s="40">
        <v>216255324</v>
      </c>
      <c r="G61" s="40" t="s">
        <v>552</v>
      </c>
      <c r="H61" s="40" t="s">
        <v>301</v>
      </c>
      <c r="I61" s="40">
        <v>3810</v>
      </c>
      <c r="J61" s="40" t="s">
        <v>553</v>
      </c>
      <c r="K61" s="40">
        <v>26222</v>
      </c>
      <c r="L61" s="40">
        <v>30032</v>
      </c>
      <c r="M61" s="40">
        <v>593685</v>
      </c>
      <c r="N61" s="40" t="s">
        <v>540</v>
      </c>
      <c r="O61" s="40" t="s">
        <v>26</v>
      </c>
      <c r="P61" s="40" t="s">
        <v>27</v>
      </c>
      <c r="Q61" s="40" t="s">
        <v>28</v>
      </c>
      <c r="R61" s="42" t="s">
        <v>29</v>
      </c>
      <c r="S61" s="42" t="s">
        <v>30</v>
      </c>
      <c r="T61" s="40" t="s">
        <v>526</v>
      </c>
      <c r="U61" s="41">
        <v>44613.833333333336</v>
      </c>
      <c r="V61" s="41">
        <v>44614.833333333336</v>
      </c>
      <c r="W61" s="41">
        <v>44614.958333333336</v>
      </c>
      <c r="X61" s="40" t="s">
        <v>306</v>
      </c>
      <c r="Y61" s="41">
        <v>44615.530555555553</v>
      </c>
      <c r="Z61" s="41">
        <v>44614.791666666664</v>
      </c>
      <c r="AA61" s="41">
        <v>44610.5</v>
      </c>
      <c r="AB61" s="41">
        <v>44615.5</v>
      </c>
      <c r="AC61" s="40" t="s">
        <v>541</v>
      </c>
      <c r="AD61" s="40">
        <v>11728</v>
      </c>
      <c r="AE61" s="40">
        <v>5339</v>
      </c>
      <c r="AF61" s="40" t="s">
        <v>125</v>
      </c>
      <c r="AG61" s="40"/>
      <c r="AH61" s="40" t="s">
        <v>295</v>
      </c>
      <c r="AI61" s="41"/>
      <c r="AJ61" s="40"/>
      <c r="AK61" s="43"/>
      <c r="AL61" s="40"/>
      <c r="AM61" s="43">
        <v>0</v>
      </c>
      <c r="AN61" s="43">
        <v>2240</v>
      </c>
      <c r="AO61" s="43">
        <v>750.8</v>
      </c>
      <c r="AP61" s="43">
        <v>409.2</v>
      </c>
      <c r="AQ61" s="43">
        <v>3400</v>
      </c>
      <c r="AR61" s="43">
        <v>0</v>
      </c>
      <c r="AS61" s="43"/>
      <c r="AT61" s="43">
        <v>0</v>
      </c>
      <c r="AU61" s="43"/>
      <c r="AV61" s="43"/>
      <c r="AW61" s="43"/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0" t="s">
        <v>296</v>
      </c>
      <c r="BJ61" s="40">
        <v>2022</v>
      </c>
      <c r="BK61" s="40" t="s">
        <v>2768</v>
      </c>
      <c r="BL61" s="40" t="s">
        <v>2768</v>
      </c>
      <c r="BM61" s="40" t="s">
        <v>125</v>
      </c>
    </row>
    <row r="62" spans="1:65" x14ac:dyDescent="0.25">
      <c r="A62" s="40" t="s">
        <v>2771</v>
      </c>
      <c r="B62" s="41">
        <v>44614.291666666664</v>
      </c>
      <c r="C62" s="40" t="s">
        <v>353</v>
      </c>
      <c r="D62" s="40" t="s">
        <v>354</v>
      </c>
      <c r="E62" s="40">
        <v>7313160</v>
      </c>
      <c r="F62" s="40">
        <v>216255331</v>
      </c>
      <c r="G62" s="40" t="s">
        <v>554</v>
      </c>
      <c r="H62" s="40" t="s">
        <v>301</v>
      </c>
      <c r="I62" s="40">
        <v>3880</v>
      </c>
      <c r="J62" s="40" t="s">
        <v>555</v>
      </c>
      <c r="K62" s="40">
        <v>25303</v>
      </c>
      <c r="L62" s="40">
        <v>29183</v>
      </c>
      <c r="M62" s="40">
        <v>593450</v>
      </c>
      <c r="N62" s="40" t="s">
        <v>540</v>
      </c>
      <c r="O62" s="40" t="s">
        <v>473</v>
      </c>
      <c r="P62" s="40" t="s">
        <v>474</v>
      </c>
      <c r="Q62" s="40" t="s">
        <v>475</v>
      </c>
      <c r="R62" s="42" t="s">
        <v>476</v>
      </c>
      <c r="S62" s="42" t="s">
        <v>556</v>
      </c>
      <c r="T62" s="40" t="s">
        <v>526</v>
      </c>
      <c r="U62" s="41">
        <v>44613.833333333336</v>
      </c>
      <c r="V62" s="41">
        <v>44614.25</v>
      </c>
      <c r="W62" s="41">
        <v>44614.354166666664</v>
      </c>
      <c r="X62" s="40" t="s">
        <v>306</v>
      </c>
      <c r="Y62" s="41">
        <v>44614.959722222222</v>
      </c>
      <c r="Z62" s="41">
        <v>44614.791666666664</v>
      </c>
      <c r="AA62" s="41">
        <v>44610.5</v>
      </c>
      <c r="AB62" s="41">
        <v>44615.5</v>
      </c>
      <c r="AC62" s="40" t="s">
        <v>541</v>
      </c>
      <c r="AD62" s="40">
        <v>11705</v>
      </c>
      <c r="AE62" s="40">
        <v>5340</v>
      </c>
      <c r="AF62" s="40" t="s">
        <v>125</v>
      </c>
      <c r="AG62" s="40"/>
      <c r="AH62" s="40" t="s">
        <v>295</v>
      </c>
      <c r="AI62" s="41"/>
      <c r="AJ62" s="40"/>
      <c r="AK62" s="43"/>
      <c r="AL62" s="40"/>
      <c r="AM62" s="43">
        <v>0</v>
      </c>
      <c r="AN62" s="43" t="s">
        <v>470</v>
      </c>
      <c r="AO62" s="43"/>
      <c r="AP62" s="43"/>
      <c r="AQ62" s="43"/>
      <c r="AR62" s="43">
        <v>0</v>
      </c>
      <c r="AS62" s="43"/>
      <c r="AT62" s="43">
        <v>0</v>
      </c>
      <c r="AU62" s="43"/>
      <c r="AV62" s="43"/>
      <c r="AW62" s="43"/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0" t="s">
        <v>296</v>
      </c>
      <c r="BJ62" s="40">
        <v>2022</v>
      </c>
      <c r="BK62" s="40" t="s">
        <v>2768</v>
      </c>
      <c r="BL62" s="40" t="s">
        <v>2768</v>
      </c>
      <c r="BM62" s="40" t="s">
        <v>125</v>
      </c>
    </row>
    <row r="63" spans="1:65" x14ac:dyDescent="0.25">
      <c r="A63" s="40" t="s">
        <v>2771</v>
      </c>
      <c r="B63" s="41">
        <v>44614.291666666664</v>
      </c>
      <c r="C63" s="40" t="s">
        <v>353</v>
      </c>
      <c r="D63" s="40" t="s">
        <v>354</v>
      </c>
      <c r="E63" s="40">
        <v>7313160</v>
      </c>
      <c r="F63" s="40">
        <v>216255331</v>
      </c>
      <c r="G63" s="40" t="s">
        <v>557</v>
      </c>
      <c r="H63" s="40" t="s">
        <v>301</v>
      </c>
      <c r="I63" s="40">
        <v>3830</v>
      </c>
      <c r="J63" s="40" t="s">
        <v>558</v>
      </c>
      <c r="K63" s="40">
        <v>25508</v>
      </c>
      <c r="L63" s="40">
        <v>29338</v>
      </c>
      <c r="M63" s="40">
        <v>593466</v>
      </c>
      <c r="N63" s="40" t="s">
        <v>540</v>
      </c>
      <c r="O63" s="40" t="s">
        <v>559</v>
      </c>
      <c r="P63" s="40" t="s">
        <v>560</v>
      </c>
      <c r="Q63" s="40" t="s">
        <v>561</v>
      </c>
      <c r="R63" s="42" t="s">
        <v>562</v>
      </c>
      <c r="S63" s="42" t="s">
        <v>563</v>
      </c>
      <c r="T63" s="40" t="s">
        <v>526</v>
      </c>
      <c r="U63" s="41">
        <v>44613.833333333336</v>
      </c>
      <c r="V63" s="41">
        <v>44614.25</v>
      </c>
      <c r="W63" s="41">
        <v>44614.5</v>
      </c>
      <c r="X63" s="40" t="s">
        <v>306</v>
      </c>
      <c r="Y63" s="41">
        <v>44614.990277777775</v>
      </c>
      <c r="Z63" s="41">
        <v>44614.791666666664</v>
      </c>
      <c r="AA63" s="41">
        <v>44610.5</v>
      </c>
      <c r="AB63" s="41">
        <v>44615.5</v>
      </c>
      <c r="AC63" s="40" t="s">
        <v>541</v>
      </c>
      <c r="AD63" s="40">
        <v>11710</v>
      </c>
      <c r="AE63" s="40">
        <v>5341</v>
      </c>
      <c r="AF63" s="40" t="s">
        <v>125</v>
      </c>
      <c r="AG63" s="40"/>
      <c r="AH63" s="40" t="s">
        <v>295</v>
      </c>
      <c r="AI63" s="41"/>
      <c r="AJ63" s="40"/>
      <c r="AK63" s="43"/>
      <c r="AL63" s="40"/>
      <c r="AM63" s="43">
        <v>0</v>
      </c>
      <c r="AN63" s="43" t="s">
        <v>470</v>
      </c>
      <c r="AO63" s="43"/>
      <c r="AP63" s="43"/>
      <c r="AQ63" s="43"/>
      <c r="AR63" s="43">
        <v>0</v>
      </c>
      <c r="AS63" s="43"/>
      <c r="AT63" s="43">
        <v>0</v>
      </c>
      <c r="AU63" s="43"/>
      <c r="AV63" s="43"/>
      <c r="AW63" s="43"/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0" t="s">
        <v>296</v>
      </c>
      <c r="BJ63" s="40">
        <v>2022</v>
      </c>
      <c r="BK63" s="40" t="s">
        <v>2768</v>
      </c>
      <c r="BL63" s="40" t="s">
        <v>2768</v>
      </c>
      <c r="BM63" s="40" t="s">
        <v>125</v>
      </c>
    </row>
    <row r="64" spans="1:65" x14ac:dyDescent="0.25">
      <c r="A64" s="40" t="s">
        <v>2771</v>
      </c>
      <c r="B64" s="41">
        <v>44614.291666666664</v>
      </c>
      <c r="C64" s="40" t="s">
        <v>353</v>
      </c>
      <c r="D64" s="40" t="s">
        <v>354</v>
      </c>
      <c r="E64" s="40">
        <v>7313160</v>
      </c>
      <c r="F64" s="40">
        <v>216255331</v>
      </c>
      <c r="G64" s="40" t="s">
        <v>564</v>
      </c>
      <c r="H64" s="40" t="s">
        <v>301</v>
      </c>
      <c r="I64" s="40">
        <v>3880</v>
      </c>
      <c r="J64" s="40" t="s">
        <v>565</v>
      </c>
      <c r="K64" s="40">
        <v>25508</v>
      </c>
      <c r="L64" s="40">
        <v>29388</v>
      </c>
      <c r="M64" s="40">
        <v>593734</v>
      </c>
      <c r="N64" s="40" t="s">
        <v>540</v>
      </c>
      <c r="O64" s="40" t="s">
        <v>375</v>
      </c>
      <c r="P64" s="40" t="s">
        <v>479</v>
      </c>
      <c r="Q64" s="40" t="s">
        <v>377</v>
      </c>
      <c r="R64" s="42" t="s">
        <v>378</v>
      </c>
      <c r="S64" s="42" t="s">
        <v>379</v>
      </c>
      <c r="T64" s="40" t="s">
        <v>526</v>
      </c>
      <c r="U64" s="41">
        <v>44613.833333333336</v>
      </c>
      <c r="V64" s="41">
        <v>44614.25</v>
      </c>
      <c r="W64" s="41">
        <v>44615.444444444445</v>
      </c>
      <c r="X64" s="40" t="s">
        <v>306</v>
      </c>
      <c r="Y64" s="41">
        <v>44615.6875</v>
      </c>
      <c r="Z64" s="41">
        <v>44614.791666666664</v>
      </c>
      <c r="AA64" s="41">
        <v>44610.5</v>
      </c>
      <c r="AB64" s="41">
        <v>44615.5</v>
      </c>
      <c r="AC64" s="40" t="s">
        <v>541</v>
      </c>
      <c r="AD64" s="40">
        <v>11730</v>
      </c>
      <c r="AE64" s="40">
        <v>5342</v>
      </c>
      <c r="AF64" s="40" t="s">
        <v>125</v>
      </c>
      <c r="AG64" s="40"/>
      <c r="AH64" s="40" t="s">
        <v>295</v>
      </c>
      <c r="AI64" s="41"/>
      <c r="AJ64" s="40"/>
      <c r="AK64" s="43"/>
      <c r="AL64" s="40"/>
      <c r="AM64" s="43">
        <v>0</v>
      </c>
      <c r="AN64" s="43" t="s">
        <v>470</v>
      </c>
      <c r="AO64" s="43"/>
      <c r="AP64" s="43"/>
      <c r="AQ64" s="43"/>
      <c r="AR64" s="43">
        <v>0</v>
      </c>
      <c r="AS64" s="43"/>
      <c r="AT64" s="43">
        <v>0</v>
      </c>
      <c r="AU64" s="43"/>
      <c r="AV64" s="43"/>
      <c r="AW64" s="43"/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0" t="s">
        <v>296</v>
      </c>
      <c r="BJ64" s="40">
        <v>2022</v>
      </c>
      <c r="BK64" s="40" t="s">
        <v>2768</v>
      </c>
      <c r="BL64" s="40" t="s">
        <v>2768</v>
      </c>
      <c r="BM64" s="40" t="s">
        <v>125</v>
      </c>
    </row>
    <row r="65" spans="1:65" x14ac:dyDescent="0.25">
      <c r="A65" s="40" t="s">
        <v>2771</v>
      </c>
      <c r="B65" s="41">
        <v>44614.291666666664</v>
      </c>
      <c r="C65" s="40" t="s">
        <v>353</v>
      </c>
      <c r="D65" s="40" t="s">
        <v>354</v>
      </c>
      <c r="E65" s="40">
        <v>7313160</v>
      </c>
      <c r="F65" s="40">
        <v>216255331</v>
      </c>
      <c r="G65" s="40" t="s">
        <v>566</v>
      </c>
      <c r="H65" s="40" t="s">
        <v>301</v>
      </c>
      <c r="I65" s="40">
        <v>3700</v>
      </c>
      <c r="J65" s="40" t="s">
        <v>567</v>
      </c>
      <c r="K65" s="40">
        <v>25938</v>
      </c>
      <c r="L65" s="40">
        <v>29638</v>
      </c>
      <c r="M65" s="40">
        <v>593733</v>
      </c>
      <c r="N65" s="40" t="s">
        <v>540</v>
      </c>
      <c r="O65" s="40" t="s">
        <v>367</v>
      </c>
      <c r="P65" s="40" t="s">
        <v>368</v>
      </c>
      <c r="Q65" s="40" t="s">
        <v>369</v>
      </c>
      <c r="R65" s="42" t="s">
        <v>370</v>
      </c>
      <c r="S65" s="42" t="s">
        <v>371</v>
      </c>
      <c r="T65" s="40" t="s">
        <v>526</v>
      </c>
      <c r="U65" s="41">
        <v>44613.833333333336</v>
      </c>
      <c r="V65" s="41">
        <v>44614.25</v>
      </c>
      <c r="W65" s="41" t="s">
        <v>568</v>
      </c>
      <c r="X65" s="40" t="s">
        <v>306</v>
      </c>
      <c r="Y65" s="41">
        <v>44615.71875</v>
      </c>
      <c r="Z65" s="41">
        <v>44614.791666666664</v>
      </c>
      <c r="AA65" s="41">
        <v>44610.5</v>
      </c>
      <c r="AB65" s="41">
        <v>44615.5</v>
      </c>
      <c r="AC65" s="40" t="s">
        <v>541</v>
      </c>
      <c r="AD65" s="40">
        <v>11731</v>
      </c>
      <c r="AE65" s="40">
        <v>5343</v>
      </c>
      <c r="AF65" s="40" t="s">
        <v>125</v>
      </c>
      <c r="AG65" s="40"/>
      <c r="AH65" s="40" t="s">
        <v>295</v>
      </c>
      <c r="AI65" s="41"/>
      <c r="AJ65" s="40"/>
      <c r="AK65" s="43"/>
      <c r="AL65" s="40"/>
      <c r="AM65" s="43">
        <v>0</v>
      </c>
      <c r="AN65" s="43" t="s">
        <v>470</v>
      </c>
      <c r="AO65" s="43"/>
      <c r="AP65" s="43"/>
      <c r="AQ65" s="43"/>
      <c r="AR65" s="43">
        <v>0</v>
      </c>
      <c r="AS65" s="43"/>
      <c r="AT65" s="43">
        <v>0</v>
      </c>
      <c r="AU65" s="43"/>
      <c r="AV65" s="43"/>
      <c r="AW65" s="43"/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0" t="s">
        <v>296</v>
      </c>
      <c r="BJ65" s="40">
        <v>2022</v>
      </c>
      <c r="BK65" s="40" t="s">
        <v>2768</v>
      </c>
      <c r="BL65" s="40" t="s">
        <v>2768</v>
      </c>
      <c r="BM65" s="40" t="s">
        <v>125</v>
      </c>
    </row>
    <row r="66" spans="1:65" x14ac:dyDescent="0.25">
      <c r="A66" s="40" t="s">
        <v>2771</v>
      </c>
      <c r="B66" s="41">
        <v>44614.291666666664</v>
      </c>
      <c r="C66" s="40" t="s">
        <v>353</v>
      </c>
      <c r="D66" s="40" t="s">
        <v>354</v>
      </c>
      <c r="E66" s="40">
        <v>7313160</v>
      </c>
      <c r="F66" s="40">
        <v>216255331</v>
      </c>
      <c r="G66" s="40" t="s">
        <v>569</v>
      </c>
      <c r="H66" s="40" t="s">
        <v>301</v>
      </c>
      <c r="I66" s="40">
        <v>3880</v>
      </c>
      <c r="J66" s="40" t="s">
        <v>570</v>
      </c>
      <c r="K66" s="40">
        <v>25508</v>
      </c>
      <c r="L66" s="40">
        <v>29388</v>
      </c>
      <c r="M66" s="40">
        <v>593471</v>
      </c>
      <c r="N66" s="40" t="s">
        <v>540</v>
      </c>
      <c r="O66" s="40" t="s">
        <v>571</v>
      </c>
      <c r="P66" s="40" t="s">
        <v>572</v>
      </c>
      <c r="Q66" s="40" t="s">
        <v>573</v>
      </c>
      <c r="R66" s="42" t="s">
        <v>574</v>
      </c>
      <c r="S66" s="42" t="s">
        <v>575</v>
      </c>
      <c r="T66" s="40" t="s">
        <v>526</v>
      </c>
      <c r="U66" s="41">
        <v>44613.833333333336</v>
      </c>
      <c r="V66" s="41">
        <v>44614.25</v>
      </c>
      <c r="W66" s="41" t="s">
        <v>568</v>
      </c>
      <c r="X66" s="40" t="s">
        <v>306</v>
      </c>
      <c r="Y66" s="41">
        <v>44615.018750000003</v>
      </c>
      <c r="Z66" s="41">
        <v>44614.791666666664</v>
      </c>
      <c r="AA66" s="41">
        <v>44610.5</v>
      </c>
      <c r="AB66" s="41">
        <v>44615.5</v>
      </c>
      <c r="AC66" s="40" t="s">
        <v>541</v>
      </c>
      <c r="AD66" s="40">
        <v>11711</v>
      </c>
      <c r="AE66" s="40">
        <v>5344</v>
      </c>
      <c r="AF66" s="40" t="s">
        <v>125</v>
      </c>
      <c r="AG66" s="40"/>
      <c r="AH66" s="40" t="s">
        <v>295</v>
      </c>
      <c r="AI66" s="41"/>
      <c r="AJ66" s="40"/>
      <c r="AK66" s="43"/>
      <c r="AL66" s="40"/>
      <c r="AM66" s="43">
        <v>0</v>
      </c>
      <c r="AN66" s="43" t="s">
        <v>470</v>
      </c>
      <c r="AO66" s="43"/>
      <c r="AP66" s="43"/>
      <c r="AQ66" s="43"/>
      <c r="AR66" s="43">
        <v>0</v>
      </c>
      <c r="AS66" s="43"/>
      <c r="AT66" s="43">
        <v>0</v>
      </c>
      <c r="AU66" s="43"/>
      <c r="AV66" s="43"/>
      <c r="AW66" s="43"/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0" t="s">
        <v>296</v>
      </c>
      <c r="BJ66" s="40">
        <v>2022</v>
      </c>
      <c r="BK66" s="40" t="s">
        <v>2768</v>
      </c>
      <c r="BL66" s="40" t="s">
        <v>2768</v>
      </c>
      <c r="BM66" s="40" t="s">
        <v>125</v>
      </c>
    </row>
    <row r="67" spans="1:65" x14ac:dyDescent="0.25">
      <c r="A67" s="40" t="s">
        <v>2771</v>
      </c>
      <c r="B67" s="41">
        <v>44614.291666666664</v>
      </c>
      <c r="C67" s="40" t="s">
        <v>353</v>
      </c>
      <c r="D67" s="40" t="s">
        <v>354</v>
      </c>
      <c r="E67" s="40">
        <v>7313160</v>
      </c>
      <c r="F67" s="40">
        <v>216255331</v>
      </c>
      <c r="G67" s="40" t="s">
        <v>576</v>
      </c>
      <c r="H67" s="40" t="s">
        <v>301</v>
      </c>
      <c r="I67" s="40">
        <v>3880</v>
      </c>
      <c r="J67" s="40" t="s">
        <v>577</v>
      </c>
      <c r="K67" s="40">
        <v>25508</v>
      </c>
      <c r="L67" s="40">
        <v>29388</v>
      </c>
      <c r="M67" s="40">
        <v>593461</v>
      </c>
      <c r="N67" s="40" t="s">
        <v>540</v>
      </c>
      <c r="O67" s="40" t="s">
        <v>578</v>
      </c>
      <c r="P67" s="40" t="s">
        <v>579</v>
      </c>
      <c r="Q67" s="40" t="s">
        <v>580</v>
      </c>
      <c r="R67" s="42" t="s">
        <v>581</v>
      </c>
      <c r="S67" s="42" t="s">
        <v>582</v>
      </c>
      <c r="T67" s="40" t="s">
        <v>526</v>
      </c>
      <c r="U67" s="41">
        <v>44613.833333333336</v>
      </c>
      <c r="V67" s="41">
        <v>44614.25</v>
      </c>
      <c r="W67" s="41">
        <v>44614.5</v>
      </c>
      <c r="X67" s="40" t="s">
        <v>306</v>
      </c>
      <c r="Y67" s="41">
        <v>44615.006944444445</v>
      </c>
      <c r="Z67" s="41">
        <v>44614.791666666664</v>
      </c>
      <c r="AA67" s="41">
        <v>44610.5</v>
      </c>
      <c r="AB67" s="41">
        <v>44615.5</v>
      </c>
      <c r="AC67" s="40" t="s">
        <v>541</v>
      </c>
      <c r="AD67" s="40">
        <v>11712</v>
      </c>
      <c r="AE67" s="40">
        <v>5345</v>
      </c>
      <c r="AF67" s="40" t="s">
        <v>125</v>
      </c>
      <c r="AG67" s="40"/>
      <c r="AH67" s="40" t="s">
        <v>295</v>
      </c>
      <c r="AI67" s="41"/>
      <c r="AJ67" s="40"/>
      <c r="AK67" s="43"/>
      <c r="AL67" s="40"/>
      <c r="AM67" s="43">
        <v>0</v>
      </c>
      <c r="AN67" s="43" t="s">
        <v>470</v>
      </c>
      <c r="AO67" s="43"/>
      <c r="AP67" s="43"/>
      <c r="AQ67" s="43"/>
      <c r="AR67" s="43">
        <v>0</v>
      </c>
      <c r="AS67" s="43"/>
      <c r="AT67" s="43">
        <v>0</v>
      </c>
      <c r="AU67" s="43"/>
      <c r="AV67" s="43"/>
      <c r="AW67" s="43"/>
      <c r="AX67" s="43">
        <v>0</v>
      </c>
      <c r="AY67" s="43">
        <v>0</v>
      </c>
      <c r="AZ67" s="43">
        <v>0</v>
      </c>
      <c r="BA67" s="43">
        <v>0</v>
      </c>
      <c r="BB67" s="43">
        <v>0</v>
      </c>
      <c r="BC67" s="43">
        <v>0</v>
      </c>
      <c r="BD67" s="43">
        <v>0</v>
      </c>
      <c r="BE67" s="43">
        <v>0</v>
      </c>
      <c r="BF67" s="43">
        <v>0</v>
      </c>
      <c r="BG67" s="43">
        <v>0</v>
      </c>
      <c r="BH67" s="43">
        <v>0</v>
      </c>
      <c r="BI67" s="40" t="s">
        <v>296</v>
      </c>
      <c r="BJ67" s="40">
        <v>2022</v>
      </c>
      <c r="BK67" s="40" t="s">
        <v>2768</v>
      </c>
      <c r="BL67" s="40" t="s">
        <v>2768</v>
      </c>
      <c r="BM67" s="40" t="s">
        <v>125</v>
      </c>
    </row>
    <row r="68" spans="1:65" x14ac:dyDescent="0.25">
      <c r="A68" s="40" t="s">
        <v>2771</v>
      </c>
      <c r="B68" s="41">
        <v>44614.333333333336</v>
      </c>
      <c r="C68" s="40" t="s">
        <v>353</v>
      </c>
      <c r="D68" s="40" t="s">
        <v>400</v>
      </c>
      <c r="E68" s="40">
        <v>7337321</v>
      </c>
      <c r="F68" s="40">
        <v>66456972</v>
      </c>
      <c r="G68" s="40" t="s">
        <v>583</v>
      </c>
      <c r="H68" s="40" t="s">
        <v>288</v>
      </c>
      <c r="I68" s="40">
        <v>2390</v>
      </c>
      <c r="J68" s="40" t="s">
        <v>584</v>
      </c>
      <c r="K68" s="40">
        <v>4975</v>
      </c>
      <c r="L68" s="40">
        <v>7365</v>
      </c>
      <c r="M68" s="40">
        <v>1550039</v>
      </c>
      <c r="N68" s="40" t="s">
        <v>585</v>
      </c>
      <c r="O68" s="40" t="s">
        <v>188</v>
      </c>
      <c r="P68" s="40" t="s">
        <v>125</v>
      </c>
      <c r="Q68" s="40" t="s">
        <v>189</v>
      </c>
      <c r="R68" s="42" t="s">
        <v>190</v>
      </c>
      <c r="S68" s="42" t="s">
        <v>191</v>
      </c>
      <c r="T68" s="40" t="s">
        <v>293</v>
      </c>
      <c r="U68" s="41">
        <v>44614.263888888891</v>
      </c>
      <c r="V68" s="41">
        <v>44614.416666666664</v>
      </c>
      <c r="W68" s="41">
        <v>44614.572916666664</v>
      </c>
      <c r="X68" s="40" t="s">
        <v>306</v>
      </c>
      <c r="Y68" s="41">
        <v>44619.884027777778</v>
      </c>
      <c r="Z68" s="41">
        <v>44617.791666666664</v>
      </c>
      <c r="AA68" s="41">
        <v>44617</v>
      </c>
      <c r="AB68" s="41">
        <v>44620.5</v>
      </c>
      <c r="AC68" s="40" t="s">
        <v>586</v>
      </c>
      <c r="AD68" s="40" t="s">
        <v>587</v>
      </c>
      <c r="AE68" s="40">
        <v>5406</v>
      </c>
      <c r="AF68" s="40">
        <v>1251</v>
      </c>
      <c r="AG68" s="40"/>
      <c r="AH68" s="40" t="s">
        <v>309</v>
      </c>
      <c r="AI68" s="41">
        <v>44614.791666666664</v>
      </c>
      <c r="AJ68" s="40"/>
      <c r="AK68" s="43">
        <v>950</v>
      </c>
      <c r="AL68" s="40"/>
      <c r="AM68" s="43">
        <v>0</v>
      </c>
      <c r="AN68" s="43">
        <v>1750</v>
      </c>
      <c r="AO68" s="43"/>
      <c r="AP68" s="43"/>
      <c r="AQ68" s="43">
        <v>1750</v>
      </c>
      <c r="AR68" s="43">
        <v>0</v>
      </c>
      <c r="AS68" s="43"/>
      <c r="AT68" s="43">
        <v>0</v>
      </c>
      <c r="AU68" s="43"/>
      <c r="AV68" s="43">
        <v>32629.14</v>
      </c>
      <c r="AW68" s="43"/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0" t="s">
        <v>296</v>
      </c>
      <c r="BJ68" s="40">
        <v>2022</v>
      </c>
      <c r="BK68" s="40" t="s">
        <v>2768</v>
      </c>
      <c r="BL68" s="40" t="s">
        <v>2768</v>
      </c>
      <c r="BM68" s="40" t="s">
        <v>125</v>
      </c>
    </row>
    <row r="69" spans="1:65" x14ac:dyDescent="0.25">
      <c r="A69" s="40" t="s">
        <v>2771</v>
      </c>
      <c r="B69" s="41">
        <v>44614.291666666664</v>
      </c>
      <c r="C69" s="40" t="s">
        <v>353</v>
      </c>
      <c r="D69" s="40" t="s">
        <v>354</v>
      </c>
      <c r="E69" s="40">
        <v>7315466</v>
      </c>
      <c r="F69" s="40">
        <v>216255213</v>
      </c>
      <c r="G69" s="40" t="s">
        <v>588</v>
      </c>
      <c r="H69" s="40" t="s">
        <v>301</v>
      </c>
      <c r="I69" s="40">
        <v>3700</v>
      </c>
      <c r="J69" s="40" t="s">
        <v>589</v>
      </c>
      <c r="K69" s="40">
        <v>25303</v>
      </c>
      <c r="L69" s="40">
        <v>29003</v>
      </c>
      <c r="M69" s="40">
        <v>593686</v>
      </c>
      <c r="N69" s="40" t="s">
        <v>540</v>
      </c>
      <c r="O69" s="40" t="s">
        <v>119</v>
      </c>
      <c r="P69" s="40" t="s">
        <v>120</v>
      </c>
      <c r="Q69" s="40" t="s">
        <v>121</v>
      </c>
      <c r="R69" s="42" t="s">
        <v>122</v>
      </c>
      <c r="S69" s="42" t="s">
        <v>123</v>
      </c>
      <c r="T69" s="40" t="s">
        <v>526</v>
      </c>
      <c r="U69" s="41">
        <v>44613.833333333336</v>
      </c>
      <c r="V69" s="41">
        <v>44614.833333333336</v>
      </c>
      <c r="W69" s="41">
        <v>44615.5</v>
      </c>
      <c r="X69" s="40" t="s">
        <v>306</v>
      </c>
      <c r="Y69" s="41">
        <v>44615.524305555555</v>
      </c>
      <c r="Z69" s="41">
        <v>44614.791666666664</v>
      </c>
      <c r="AA69" s="41">
        <v>44610.5</v>
      </c>
      <c r="AB69" s="41">
        <v>44615.5</v>
      </c>
      <c r="AC69" s="40" t="s">
        <v>590</v>
      </c>
      <c r="AD69" s="40">
        <v>11729</v>
      </c>
      <c r="AE69" s="40">
        <v>5389</v>
      </c>
      <c r="AF69" s="40" t="s">
        <v>125</v>
      </c>
      <c r="AG69" s="40"/>
      <c r="AH69" s="40" t="s">
        <v>295</v>
      </c>
      <c r="AI69" s="41"/>
      <c r="AJ69" s="40"/>
      <c r="AK69" s="43"/>
      <c r="AL69" s="40"/>
      <c r="AM69" s="43">
        <v>0</v>
      </c>
      <c r="AN69" s="43">
        <v>2790.8</v>
      </c>
      <c r="AO69" s="43"/>
      <c r="AP69" s="43">
        <v>409.2</v>
      </c>
      <c r="AQ69" s="43">
        <v>3200</v>
      </c>
      <c r="AR69" s="43">
        <v>0</v>
      </c>
      <c r="AS69" s="43"/>
      <c r="AT69" s="43">
        <v>0</v>
      </c>
      <c r="AU69" s="43"/>
      <c r="AV69" s="43"/>
      <c r="AW69" s="43"/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0" t="s">
        <v>296</v>
      </c>
      <c r="BJ69" s="40">
        <v>2022</v>
      </c>
      <c r="BK69" s="40" t="s">
        <v>2768</v>
      </c>
      <c r="BL69" s="40" t="s">
        <v>2768</v>
      </c>
      <c r="BM69" s="40" t="s">
        <v>125</v>
      </c>
    </row>
    <row r="70" spans="1:65" x14ac:dyDescent="0.25">
      <c r="A70" s="40" t="s">
        <v>2771</v>
      </c>
      <c r="B70" s="41">
        <v>44614.291666666664</v>
      </c>
      <c r="C70" s="40" t="s">
        <v>353</v>
      </c>
      <c r="D70" s="40" t="s">
        <v>354</v>
      </c>
      <c r="E70" s="40">
        <v>7315466</v>
      </c>
      <c r="F70" s="40">
        <v>216255213</v>
      </c>
      <c r="G70" s="40" t="s">
        <v>591</v>
      </c>
      <c r="H70" s="40" t="s">
        <v>301</v>
      </c>
      <c r="I70" s="40">
        <v>3860</v>
      </c>
      <c r="J70" s="40" t="s">
        <v>592</v>
      </c>
      <c r="K70" s="40">
        <v>25507</v>
      </c>
      <c r="L70" s="40">
        <v>29367</v>
      </c>
      <c r="M70" s="40">
        <v>593544</v>
      </c>
      <c r="N70" s="40" t="s">
        <v>540</v>
      </c>
      <c r="O70" s="40" t="s">
        <v>593</v>
      </c>
      <c r="P70" s="40" t="s">
        <v>594</v>
      </c>
      <c r="Q70" s="40" t="s">
        <v>595</v>
      </c>
      <c r="R70" s="42" t="s">
        <v>596</v>
      </c>
      <c r="S70" s="42" t="s">
        <v>597</v>
      </c>
      <c r="T70" s="40" t="s">
        <v>526</v>
      </c>
      <c r="U70" s="41">
        <v>44613.833333333336</v>
      </c>
      <c r="V70" s="41">
        <v>44614.833333333336</v>
      </c>
      <c r="W70" s="41">
        <v>44615.5</v>
      </c>
      <c r="X70" s="40" t="s">
        <v>306</v>
      </c>
      <c r="Y70" s="41">
        <v>44615.086805555555</v>
      </c>
      <c r="Z70" s="41">
        <v>44614.791666666664</v>
      </c>
      <c r="AA70" s="41">
        <v>44610.5</v>
      </c>
      <c r="AB70" s="41">
        <v>44615.5</v>
      </c>
      <c r="AC70" s="40" t="s">
        <v>590</v>
      </c>
      <c r="AD70" s="40">
        <v>11717</v>
      </c>
      <c r="AE70" s="40">
        <v>5390</v>
      </c>
      <c r="AF70" s="40" t="s">
        <v>125</v>
      </c>
      <c r="AG70" s="40"/>
      <c r="AH70" s="40" t="s">
        <v>295</v>
      </c>
      <c r="AI70" s="41"/>
      <c r="AJ70" s="40"/>
      <c r="AK70" s="43"/>
      <c r="AL70" s="40"/>
      <c r="AM70" s="43">
        <v>0</v>
      </c>
      <c r="AN70" s="43" t="s">
        <v>470</v>
      </c>
      <c r="AO70" s="43"/>
      <c r="AP70" s="43"/>
      <c r="AQ70" s="43"/>
      <c r="AR70" s="43">
        <v>0</v>
      </c>
      <c r="AS70" s="43"/>
      <c r="AT70" s="43">
        <v>0</v>
      </c>
      <c r="AU70" s="43"/>
      <c r="AV70" s="43"/>
      <c r="AW70" s="43"/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0" t="s">
        <v>296</v>
      </c>
      <c r="BJ70" s="40">
        <v>2022</v>
      </c>
      <c r="BK70" s="40" t="s">
        <v>2768</v>
      </c>
      <c r="BL70" s="40" t="s">
        <v>2768</v>
      </c>
      <c r="BM70" s="40" t="s">
        <v>125</v>
      </c>
    </row>
    <row r="71" spans="1:65" x14ac:dyDescent="0.25">
      <c r="A71" s="40" t="s">
        <v>2771</v>
      </c>
      <c r="B71" s="41">
        <v>44614.291666666664</v>
      </c>
      <c r="C71" s="40" t="s">
        <v>353</v>
      </c>
      <c r="D71" s="40" t="s">
        <v>354</v>
      </c>
      <c r="E71" s="40">
        <v>7315466</v>
      </c>
      <c r="F71" s="40">
        <v>216255213</v>
      </c>
      <c r="G71" s="40" t="s">
        <v>598</v>
      </c>
      <c r="H71" s="40" t="s">
        <v>301</v>
      </c>
      <c r="I71" s="40">
        <v>3940</v>
      </c>
      <c r="J71" s="40" t="s">
        <v>599</v>
      </c>
      <c r="K71" s="40">
        <v>25302</v>
      </c>
      <c r="L71" s="40">
        <v>29242</v>
      </c>
      <c r="M71" s="40">
        <v>593531</v>
      </c>
      <c r="N71" s="40" t="s">
        <v>540</v>
      </c>
      <c r="O71" s="40" t="s">
        <v>111</v>
      </c>
      <c r="P71" s="40" t="s">
        <v>88</v>
      </c>
      <c r="Q71" s="40" t="s">
        <v>113</v>
      </c>
      <c r="R71" s="42">
        <v>88265951434</v>
      </c>
      <c r="S71" s="42">
        <v>920373596</v>
      </c>
      <c r="T71" s="40" t="s">
        <v>526</v>
      </c>
      <c r="U71" s="41">
        <v>44613.833333333336</v>
      </c>
      <c r="V71" s="41">
        <v>44614.291666666664</v>
      </c>
      <c r="W71" s="41">
        <v>44614.5</v>
      </c>
      <c r="X71" s="40" t="s">
        <v>306</v>
      </c>
      <c r="Y71" s="41">
        <v>44615.030555555553</v>
      </c>
      <c r="Z71" s="41">
        <v>44614.791666666664</v>
      </c>
      <c r="AA71" s="41">
        <v>44610.5</v>
      </c>
      <c r="AB71" s="41">
        <v>44615.5</v>
      </c>
      <c r="AC71" s="40" t="s">
        <v>590</v>
      </c>
      <c r="AD71" s="40">
        <v>11713</v>
      </c>
      <c r="AE71" s="40">
        <v>5391</v>
      </c>
      <c r="AF71" s="40" t="s">
        <v>125</v>
      </c>
      <c r="AG71" s="40"/>
      <c r="AH71" s="40" t="s">
        <v>295</v>
      </c>
      <c r="AI71" s="41"/>
      <c r="AJ71" s="40"/>
      <c r="AK71" s="43"/>
      <c r="AL71" s="40"/>
      <c r="AM71" s="43">
        <v>0</v>
      </c>
      <c r="AN71" s="43">
        <v>2690.8</v>
      </c>
      <c r="AO71" s="43">
        <v>200</v>
      </c>
      <c r="AP71" s="43">
        <v>409.2</v>
      </c>
      <c r="AQ71" s="43">
        <v>3300</v>
      </c>
      <c r="AR71" s="43">
        <v>0</v>
      </c>
      <c r="AS71" s="43"/>
      <c r="AT71" s="43">
        <v>0</v>
      </c>
      <c r="AU71" s="43"/>
      <c r="AV71" s="43"/>
      <c r="AW71" s="43"/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0" t="s">
        <v>296</v>
      </c>
      <c r="BJ71" s="40">
        <v>2022</v>
      </c>
      <c r="BK71" s="40" t="s">
        <v>2768</v>
      </c>
      <c r="BL71" s="40" t="s">
        <v>2768</v>
      </c>
      <c r="BM71" s="40" t="s">
        <v>125</v>
      </c>
    </row>
    <row r="72" spans="1:65" x14ac:dyDescent="0.25">
      <c r="A72" s="40" t="s">
        <v>2771</v>
      </c>
      <c r="B72" s="41">
        <v>44614.291666666664</v>
      </c>
      <c r="C72" s="40" t="s">
        <v>353</v>
      </c>
      <c r="D72" s="40" t="s">
        <v>354</v>
      </c>
      <c r="E72" s="40">
        <v>7315466</v>
      </c>
      <c r="F72" s="40">
        <v>216255213</v>
      </c>
      <c r="G72" s="40" t="s">
        <v>600</v>
      </c>
      <c r="H72" s="40" t="s">
        <v>301</v>
      </c>
      <c r="I72" s="40">
        <v>3810</v>
      </c>
      <c r="J72" s="40" t="s">
        <v>601</v>
      </c>
      <c r="K72" s="40">
        <v>25302</v>
      </c>
      <c r="L72" s="40">
        <v>29112</v>
      </c>
      <c r="M72" s="40">
        <v>593451</v>
      </c>
      <c r="N72" s="40" t="s">
        <v>540</v>
      </c>
      <c r="O72" s="40" t="s">
        <v>63</v>
      </c>
      <c r="P72" s="40" t="s">
        <v>64</v>
      </c>
      <c r="Q72" s="40" t="s">
        <v>65</v>
      </c>
      <c r="R72" s="42" t="s">
        <v>66</v>
      </c>
      <c r="S72" s="42" t="s">
        <v>67</v>
      </c>
      <c r="T72" s="40" t="s">
        <v>526</v>
      </c>
      <c r="U72" s="41">
        <v>44613.833333333336</v>
      </c>
      <c r="V72" s="41">
        <v>44614.291666666664</v>
      </c>
      <c r="W72" s="41">
        <v>44614.402777777781</v>
      </c>
      <c r="X72" s="40" t="s">
        <v>306</v>
      </c>
      <c r="Y72" s="41">
        <v>44614.820833333331</v>
      </c>
      <c r="Z72" s="41">
        <v>44614.791666666664</v>
      </c>
      <c r="AA72" s="41">
        <v>44610.5</v>
      </c>
      <c r="AB72" s="41">
        <v>44615.5</v>
      </c>
      <c r="AC72" s="40" t="s">
        <v>590</v>
      </c>
      <c r="AD72" s="40">
        <v>11707</v>
      </c>
      <c r="AE72" s="40">
        <v>5392</v>
      </c>
      <c r="AF72" s="40" t="s">
        <v>125</v>
      </c>
      <c r="AG72" s="40"/>
      <c r="AH72" s="40" t="s">
        <v>295</v>
      </c>
      <c r="AI72" s="41"/>
      <c r="AJ72" s="40"/>
      <c r="AK72" s="43"/>
      <c r="AL72" s="40"/>
      <c r="AM72" s="43">
        <v>0</v>
      </c>
      <c r="AN72" s="43">
        <v>2240</v>
      </c>
      <c r="AO72" s="43">
        <v>750.8</v>
      </c>
      <c r="AP72" s="43">
        <v>409.2</v>
      </c>
      <c r="AQ72" s="43">
        <v>3400</v>
      </c>
      <c r="AR72" s="43">
        <v>0</v>
      </c>
      <c r="AS72" s="43"/>
      <c r="AT72" s="43">
        <v>0</v>
      </c>
      <c r="AU72" s="43"/>
      <c r="AV72" s="43"/>
      <c r="AW72" s="43"/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0" t="s">
        <v>296</v>
      </c>
      <c r="BJ72" s="40">
        <v>2022</v>
      </c>
      <c r="BK72" s="40" t="s">
        <v>2768</v>
      </c>
      <c r="BL72" s="40" t="s">
        <v>2768</v>
      </c>
      <c r="BM72" s="40" t="s">
        <v>125</v>
      </c>
    </row>
    <row r="73" spans="1:65" x14ac:dyDescent="0.25">
      <c r="A73" s="36" t="s">
        <v>836</v>
      </c>
      <c r="B73" s="37">
        <v>44614.291666666664</v>
      </c>
      <c r="C73" s="36" t="s">
        <v>602</v>
      </c>
      <c r="D73" s="36" t="s">
        <v>603</v>
      </c>
      <c r="E73" s="36"/>
      <c r="F73" s="36">
        <v>61452818</v>
      </c>
      <c r="G73" s="36"/>
      <c r="H73" s="36" t="s">
        <v>459</v>
      </c>
      <c r="I73" s="36"/>
      <c r="J73" s="36"/>
      <c r="K73" s="36"/>
      <c r="L73" s="36">
        <v>0</v>
      </c>
      <c r="M73" s="36"/>
      <c r="N73" s="36" t="s">
        <v>604</v>
      </c>
      <c r="O73" s="36"/>
      <c r="P73" s="36"/>
      <c r="Q73" s="36"/>
      <c r="R73" s="38"/>
      <c r="S73" s="38"/>
      <c r="T73" s="36"/>
      <c r="U73" s="37"/>
      <c r="V73" s="37"/>
      <c r="W73" s="37"/>
      <c r="X73" s="36" t="s">
        <v>306</v>
      </c>
      <c r="Y73" s="37"/>
      <c r="Z73" s="37"/>
      <c r="AA73" s="37">
        <v>44614.75</v>
      </c>
      <c r="AB73" s="37"/>
      <c r="AC73" s="36" t="s">
        <v>605</v>
      </c>
      <c r="AD73" s="36" t="s">
        <v>125</v>
      </c>
      <c r="AE73" s="36"/>
      <c r="AF73" s="36"/>
      <c r="AG73" s="36"/>
      <c r="AH73" s="36"/>
      <c r="AI73" s="37"/>
      <c r="AJ73" s="36"/>
      <c r="AK73" s="39"/>
      <c r="AL73" s="36"/>
      <c r="AM73" s="39">
        <v>0</v>
      </c>
      <c r="AN73" s="39"/>
      <c r="AO73" s="39"/>
      <c r="AP73" s="39"/>
      <c r="AQ73" s="39">
        <v>0</v>
      </c>
      <c r="AR73" s="39">
        <v>750.39499999999998</v>
      </c>
      <c r="AS73" s="39"/>
      <c r="AT73" s="39">
        <v>11150</v>
      </c>
      <c r="AU73" s="39">
        <v>10850</v>
      </c>
      <c r="AV73" s="39"/>
      <c r="AW73" s="39">
        <v>0</v>
      </c>
      <c r="AX73" s="39"/>
      <c r="AY73" s="39"/>
      <c r="AZ73" s="39"/>
      <c r="BA73" s="39"/>
      <c r="BB73" s="39"/>
      <c r="BC73" s="39"/>
      <c r="BD73" s="39"/>
      <c r="BE73" s="39"/>
      <c r="BF73" s="39"/>
      <c r="BG73" s="39">
        <v>300</v>
      </c>
      <c r="BH73" s="39"/>
      <c r="BI73" s="36" t="s">
        <v>453</v>
      </c>
      <c r="BJ73" s="36">
        <v>1900</v>
      </c>
      <c r="BK73" s="36"/>
      <c r="BL73" s="36"/>
      <c r="BM73" s="36" t="s">
        <v>125</v>
      </c>
    </row>
    <row r="74" spans="1:65" x14ac:dyDescent="0.25">
      <c r="A74" s="40" t="s">
        <v>2771</v>
      </c>
      <c r="B74" s="41">
        <v>44615.291666666664</v>
      </c>
      <c r="C74" s="40" t="s">
        <v>449</v>
      </c>
      <c r="D74" s="40" t="s">
        <v>450</v>
      </c>
      <c r="E74" s="40" t="s">
        <v>606</v>
      </c>
      <c r="F74" s="40">
        <v>216382028</v>
      </c>
      <c r="G74" s="40" t="s">
        <v>607</v>
      </c>
      <c r="H74" s="40" t="s">
        <v>288</v>
      </c>
      <c r="I74" s="40">
        <v>2230</v>
      </c>
      <c r="J74" s="40" t="s">
        <v>608</v>
      </c>
      <c r="K74" s="40">
        <v>26998</v>
      </c>
      <c r="L74" s="40">
        <v>29228</v>
      </c>
      <c r="M74" s="40">
        <v>33404</v>
      </c>
      <c r="N74" s="40" t="s">
        <v>604</v>
      </c>
      <c r="O74" s="40" t="s">
        <v>129</v>
      </c>
      <c r="P74" s="40" t="s">
        <v>130</v>
      </c>
      <c r="Q74" s="40" t="s">
        <v>131</v>
      </c>
      <c r="R74" s="42" t="s">
        <v>132</v>
      </c>
      <c r="S74" s="42" t="s">
        <v>133</v>
      </c>
      <c r="T74" s="40" t="s">
        <v>292</v>
      </c>
      <c r="U74" s="41">
        <v>44613.458333333336</v>
      </c>
      <c r="V74" s="41">
        <v>44615.291666666664</v>
      </c>
      <c r="W74" s="41">
        <v>44615.625</v>
      </c>
      <c r="X74" s="40" t="s">
        <v>306</v>
      </c>
      <c r="Y74" s="41">
        <v>44620.486805555556</v>
      </c>
      <c r="Z74" s="41">
        <v>44618.541666666664</v>
      </c>
      <c r="AA74" s="41">
        <v>44613.5</v>
      </c>
      <c r="AB74" s="41">
        <v>44621.75</v>
      </c>
      <c r="AC74" s="40" t="s">
        <v>452</v>
      </c>
      <c r="AD74" s="40">
        <v>11726</v>
      </c>
      <c r="AE74" s="40">
        <v>5402</v>
      </c>
      <c r="AF74" s="40">
        <v>1253</v>
      </c>
      <c r="AG74" s="40" t="s">
        <v>609</v>
      </c>
      <c r="AH74" s="40" t="s">
        <v>309</v>
      </c>
      <c r="AI74" s="41">
        <v>44616.152777777781</v>
      </c>
      <c r="AJ74" s="40"/>
      <c r="AK74" s="43">
        <v>950</v>
      </c>
      <c r="AL74" s="40" t="s">
        <v>610</v>
      </c>
      <c r="AM74" s="43">
        <v>300</v>
      </c>
      <c r="AN74" s="43">
        <v>3200</v>
      </c>
      <c r="AO74" s="43"/>
      <c r="AP74" s="43"/>
      <c r="AQ74" s="43">
        <v>3200</v>
      </c>
      <c r="AR74" s="43">
        <v>0</v>
      </c>
      <c r="AS74" s="43"/>
      <c r="AT74" s="43">
        <v>0</v>
      </c>
      <c r="AU74" s="43">
        <v>0</v>
      </c>
      <c r="AV74" s="43"/>
      <c r="AW74" s="43"/>
      <c r="AX74" s="43">
        <v>0</v>
      </c>
      <c r="AY74" s="43">
        <v>0</v>
      </c>
      <c r="AZ74" s="43">
        <v>0</v>
      </c>
      <c r="BA74" s="43">
        <v>0</v>
      </c>
      <c r="BB74" s="43">
        <v>0</v>
      </c>
      <c r="BC74" s="43">
        <v>0</v>
      </c>
      <c r="BD74" s="43">
        <v>0</v>
      </c>
      <c r="BE74" s="43">
        <v>0</v>
      </c>
      <c r="BF74" s="43">
        <v>0</v>
      </c>
      <c r="BG74" s="43">
        <v>0</v>
      </c>
      <c r="BH74" s="43">
        <v>0</v>
      </c>
      <c r="BI74" s="40" t="s">
        <v>296</v>
      </c>
      <c r="BJ74" s="40">
        <v>2022</v>
      </c>
      <c r="BK74" s="40" t="s">
        <v>2768</v>
      </c>
      <c r="BL74" s="40" t="s">
        <v>2768</v>
      </c>
      <c r="BM74" s="40" t="s">
        <v>125</v>
      </c>
    </row>
    <row r="75" spans="1:65" x14ac:dyDescent="0.25">
      <c r="A75" s="40" t="s">
        <v>2771</v>
      </c>
      <c r="B75" s="41">
        <v>44615.291666666664</v>
      </c>
      <c r="C75" s="40" t="s">
        <v>449</v>
      </c>
      <c r="D75" s="40" t="s">
        <v>450</v>
      </c>
      <c r="E75" s="40" t="s">
        <v>611</v>
      </c>
      <c r="F75" s="40">
        <v>216382041</v>
      </c>
      <c r="G75" s="40" t="s">
        <v>612</v>
      </c>
      <c r="H75" s="40" t="s">
        <v>288</v>
      </c>
      <c r="I75" s="40">
        <v>2200</v>
      </c>
      <c r="J75" s="40" t="s">
        <v>613</v>
      </c>
      <c r="K75" s="40">
        <v>26715</v>
      </c>
      <c r="L75" s="40">
        <v>28915</v>
      </c>
      <c r="M75" s="40">
        <v>33400</v>
      </c>
      <c r="N75" s="40" t="s">
        <v>604</v>
      </c>
      <c r="O75" s="40" t="s">
        <v>129</v>
      </c>
      <c r="P75" s="40" t="s">
        <v>134</v>
      </c>
      <c r="Q75" s="40" t="s">
        <v>131</v>
      </c>
      <c r="R75" s="42" t="s">
        <v>132</v>
      </c>
      <c r="S75" s="42" t="s">
        <v>133</v>
      </c>
      <c r="T75" s="40" t="s">
        <v>292</v>
      </c>
      <c r="U75" s="41">
        <v>44613.458333333336</v>
      </c>
      <c r="V75" s="41">
        <v>44615.291666666664</v>
      </c>
      <c r="W75" s="41">
        <v>44615.625</v>
      </c>
      <c r="X75" s="40" t="s">
        <v>306</v>
      </c>
      <c r="Y75" s="41">
        <v>44620.686805555553</v>
      </c>
      <c r="Z75" s="41">
        <v>44618.541666666664</v>
      </c>
      <c r="AA75" s="41">
        <v>44613.5</v>
      </c>
      <c r="AB75" s="41">
        <v>44621.75</v>
      </c>
      <c r="AC75" s="40" t="s">
        <v>452</v>
      </c>
      <c r="AD75" s="40">
        <v>11727</v>
      </c>
      <c r="AE75" s="40">
        <v>5403</v>
      </c>
      <c r="AF75" s="40">
        <v>1252</v>
      </c>
      <c r="AG75" s="40" t="s">
        <v>609</v>
      </c>
      <c r="AH75" s="40" t="s">
        <v>309</v>
      </c>
      <c r="AI75" s="41">
        <v>44616.152777777781</v>
      </c>
      <c r="AJ75" s="40"/>
      <c r="AK75" s="43">
        <v>950</v>
      </c>
      <c r="AL75" s="40" t="s">
        <v>610</v>
      </c>
      <c r="AM75" s="43">
        <v>300</v>
      </c>
      <c r="AN75" s="43">
        <v>3200</v>
      </c>
      <c r="AO75" s="43"/>
      <c r="AP75" s="43"/>
      <c r="AQ75" s="43">
        <v>3200</v>
      </c>
      <c r="AR75" s="43">
        <v>0</v>
      </c>
      <c r="AS75" s="43"/>
      <c r="AT75" s="43">
        <v>0</v>
      </c>
      <c r="AU75" s="43">
        <v>0</v>
      </c>
      <c r="AV75" s="43"/>
      <c r="AW75" s="43"/>
      <c r="AX75" s="43">
        <v>0</v>
      </c>
      <c r="AY75" s="43">
        <v>0</v>
      </c>
      <c r="AZ75" s="43">
        <v>0</v>
      </c>
      <c r="BA75" s="43">
        <v>0</v>
      </c>
      <c r="BB75" s="43">
        <v>0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0" t="s">
        <v>296</v>
      </c>
      <c r="BJ75" s="40">
        <v>2022</v>
      </c>
      <c r="BK75" s="40" t="s">
        <v>2768</v>
      </c>
      <c r="BL75" s="40" t="s">
        <v>2768</v>
      </c>
      <c r="BM75" s="40" t="s">
        <v>125</v>
      </c>
    </row>
    <row r="76" spans="1:65" x14ac:dyDescent="0.25">
      <c r="A76" s="40" t="s">
        <v>2771</v>
      </c>
      <c r="B76" s="41">
        <v>44616.291666666664</v>
      </c>
      <c r="C76" s="40" t="s">
        <v>353</v>
      </c>
      <c r="D76" s="40" t="s">
        <v>354</v>
      </c>
      <c r="E76" s="40">
        <v>7397987</v>
      </c>
      <c r="F76" s="40">
        <v>6326730190</v>
      </c>
      <c r="G76" s="40" t="s">
        <v>614</v>
      </c>
      <c r="H76" s="40" t="s">
        <v>301</v>
      </c>
      <c r="I76" s="40">
        <v>3800</v>
      </c>
      <c r="J76" s="40">
        <v>452537</v>
      </c>
      <c r="K76" s="40">
        <v>25873</v>
      </c>
      <c r="L76" s="40">
        <v>29673</v>
      </c>
      <c r="M76" s="40">
        <v>594018</v>
      </c>
      <c r="N76" s="40" t="s">
        <v>615</v>
      </c>
      <c r="O76" s="40" t="s">
        <v>106</v>
      </c>
      <c r="P76" s="40" t="s">
        <v>107</v>
      </c>
      <c r="Q76" s="40" t="s">
        <v>108</v>
      </c>
      <c r="R76" s="42" t="s">
        <v>109</v>
      </c>
      <c r="S76" s="42" t="s">
        <v>110</v>
      </c>
      <c r="T76" s="40" t="s">
        <v>537</v>
      </c>
      <c r="U76" s="41">
        <v>44615.770833333336</v>
      </c>
      <c r="V76" s="41">
        <v>44616.291666666664</v>
      </c>
      <c r="W76" s="41">
        <v>44616.458333333336</v>
      </c>
      <c r="X76" s="40" t="s">
        <v>293</v>
      </c>
      <c r="Y76" s="41">
        <v>44628.647222222222</v>
      </c>
      <c r="Z76" s="41">
        <v>44625.041666666664</v>
      </c>
      <c r="AA76" s="41">
        <v>44616.5</v>
      </c>
      <c r="AB76" s="41">
        <v>44629.75</v>
      </c>
      <c r="AC76" s="40" t="s">
        <v>616</v>
      </c>
      <c r="AD76" s="40">
        <v>11753</v>
      </c>
      <c r="AE76" s="40">
        <v>5426</v>
      </c>
      <c r="AF76" s="40">
        <v>1288</v>
      </c>
      <c r="AG76" s="40"/>
      <c r="AH76" s="40" t="s">
        <v>309</v>
      </c>
      <c r="AI76" s="41">
        <v>44616.666666666664</v>
      </c>
      <c r="AJ76" s="40">
        <v>2</v>
      </c>
      <c r="AK76" s="43">
        <v>1900</v>
      </c>
      <c r="AL76" s="40"/>
      <c r="AM76" s="43">
        <v>0</v>
      </c>
      <c r="AN76" s="43"/>
      <c r="AO76" s="43"/>
      <c r="AP76" s="43"/>
      <c r="AQ76" s="43">
        <v>0</v>
      </c>
      <c r="AR76" s="43">
        <v>0</v>
      </c>
      <c r="AS76" s="43"/>
      <c r="AT76" s="43">
        <v>0</v>
      </c>
      <c r="AU76" s="43"/>
      <c r="AV76" s="43"/>
      <c r="AW76" s="43"/>
      <c r="AX76" s="43">
        <v>0</v>
      </c>
      <c r="AY76" s="43">
        <v>0</v>
      </c>
      <c r="AZ76" s="43">
        <v>0</v>
      </c>
      <c r="BA76" s="43">
        <v>0</v>
      </c>
      <c r="BB76" s="43">
        <v>0</v>
      </c>
      <c r="BC76" s="43">
        <v>0</v>
      </c>
      <c r="BD76" s="43">
        <v>0</v>
      </c>
      <c r="BE76" s="43">
        <v>0</v>
      </c>
      <c r="BF76" s="43">
        <v>0</v>
      </c>
      <c r="BG76" s="43">
        <v>0</v>
      </c>
      <c r="BH76" s="43">
        <v>0</v>
      </c>
      <c r="BI76" s="40" t="s">
        <v>296</v>
      </c>
      <c r="BJ76" s="40">
        <v>2022</v>
      </c>
      <c r="BK76" s="40" t="s">
        <v>2768</v>
      </c>
      <c r="BL76" s="40" t="s">
        <v>2768</v>
      </c>
      <c r="BM76" s="40" t="s">
        <v>125</v>
      </c>
    </row>
    <row r="77" spans="1:65" x14ac:dyDescent="0.25">
      <c r="A77" s="40" t="s">
        <v>2771</v>
      </c>
      <c r="B77" s="41">
        <v>44616.291666666664</v>
      </c>
      <c r="C77" s="40" t="s">
        <v>353</v>
      </c>
      <c r="D77" s="40" t="s">
        <v>354</v>
      </c>
      <c r="E77" s="40">
        <v>7397987</v>
      </c>
      <c r="F77" s="40">
        <v>6326730190</v>
      </c>
      <c r="G77" s="40" t="s">
        <v>617</v>
      </c>
      <c r="H77" s="40" t="s">
        <v>301</v>
      </c>
      <c r="I77" s="40">
        <v>3910</v>
      </c>
      <c r="J77" s="40">
        <v>452536</v>
      </c>
      <c r="K77" s="40">
        <v>25873</v>
      </c>
      <c r="L77" s="40">
        <v>29783</v>
      </c>
      <c r="M77" s="40">
        <v>594052</v>
      </c>
      <c r="N77" s="40" t="s">
        <v>615</v>
      </c>
      <c r="O77" s="40" t="s">
        <v>155</v>
      </c>
      <c r="P77" s="40" t="s">
        <v>312</v>
      </c>
      <c r="Q77" s="40" t="s">
        <v>445</v>
      </c>
      <c r="R77" s="42" t="s">
        <v>618</v>
      </c>
      <c r="S77" s="42" t="s">
        <v>446</v>
      </c>
      <c r="T77" s="40" t="s">
        <v>537</v>
      </c>
      <c r="U77" s="41">
        <v>44615.770833333336</v>
      </c>
      <c r="V77" s="41">
        <v>44616.291666666664</v>
      </c>
      <c r="W77" s="41">
        <v>44616.5</v>
      </c>
      <c r="X77" s="40" t="s">
        <v>293</v>
      </c>
      <c r="Y77" s="41">
        <v>44628.99722222222</v>
      </c>
      <c r="Z77" s="41">
        <v>44625.041666666664</v>
      </c>
      <c r="AA77" s="41">
        <v>44616.5</v>
      </c>
      <c r="AB77" s="41">
        <v>44629.75</v>
      </c>
      <c r="AC77" s="40" t="s">
        <v>616</v>
      </c>
      <c r="AD77" s="40">
        <v>11754</v>
      </c>
      <c r="AE77" s="40">
        <v>5427</v>
      </c>
      <c r="AF77" s="40">
        <v>1288</v>
      </c>
      <c r="AG77" s="40"/>
      <c r="AH77" s="40" t="s">
        <v>309</v>
      </c>
      <c r="AI77" s="41">
        <v>44616.666666666664</v>
      </c>
      <c r="AJ77" s="40">
        <v>2</v>
      </c>
      <c r="AK77" s="43">
        <v>1900</v>
      </c>
      <c r="AL77" s="40"/>
      <c r="AM77" s="43">
        <v>0</v>
      </c>
      <c r="AN77" s="43"/>
      <c r="AO77" s="43"/>
      <c r="AP77" s="43"/>
      <c r="AQ77" s="43">
        <v>0</v>
      </c>
      <c r="AR77" s="43">
        <v>0</v>
      </c>
      <c r="AS77" s="43"/>
      <c r="AT77" s="43">
        <v>0</v>
      </c>
      <c r="AU77" s="43"/>
      <c r="AV77" s="43"/>
      <c r="AW77" s="43"/>
      <c r="AX77" s="43">
        <v>0</v>
      </c>
      <c r="AY77" s="43">
        <v>0</v>
      </c>
      <c r="AZ77" s="43">
        <v>0</v>
      </c>
      <c r="BA77" s="43">
        <v>0</v>
      </c>
      <c r="BB77" s="43">
        <v>0</v>
      </c>
      <c r="BC77" s="43">
        <v>0</v>
      </c>
      <c r="BD77" s="43">
        <v>0</v>
      </c>
      <c r="BE77" s="43">
        <v>0</v>
      </c>
      <c r="BF77" s="43">
        <v>0</v>
      </c>
      <c r="BG77" s="43">
        <v>0</v>
      </c>
      <c r="BH77" s="43">
        <v>0</v>
      </c>
      <c r="BI77" s="40" t="s">
        <v>296</v>
      </c>
      <c r="BJ77" s="40">
        <v>2022</v>
      </c>
      <c r="BK77" s="40" t="s">
        <v>2768</v>
      </c>
      <c r="BL77" s="40" t="s">
        <v>2768</v>
      </c>
      <c r="BM77" s="40" t="s">
        <v>125</v>
      </c>
    </row>
    <row r="78" spans="1:65" x14ac:dyDescent="0.25">
      <c r="A78" s="40" t="s">
        <v>2771</v>
      </c>
      <c r="B78" s="41">
        <v>44616.291666666664</v>
      </c>
      <c r="C78" s="40" t="s">
        <v>353</v>
      </c>
      <c r="D78" s="40" t="s">
        <v>354</v>
      </c>
      <c r="E78" s="40">
        <v>7397987</v>
      </c>
      <c r="F78" s="40">
        <v>6326730190</v>
      </c>
      <c r="G78" s="40" t="s">
        <v>619</v>
      </c>
      <c r="H78" s="40" t="s">
        <v>301</v>
      </c>
      <c r="I78" s="40">
        <v>3890</v>
      </c>
      <c r="J78" s="40">
        <v>452533</v>
      </c>
      <c r="K78" s="40">
        <v>26632</v>
      </c>
      <c r="L78" s="40">
        <v>30522</v>
      </c>
      <c r="M78" s="40">
        <v>594011</v>
      </c>
      <c r="N78" s="40" t="s">
        <v>615</v>
      </c>
      <c r="O78" s="40" t="s">
        <v>11</v>
      </c>
      <c r="P78" s="40" t="s">
        <v>12</v>
      </c>
      <c r="Q78" s="40" t="s">
        <v>13</v>
      </c>
      <c r="R78" s="42" t="s">
        <v>14</v>
      </c>
      <c r="S78" s="42" t="s">
        <v>15</v>
      </c>
      <c r="T78" s="40" t="s">
        <v>537</v>
      </c>
      <c r="U78" s="41">
        <v>44615.8125</v>
      </c>
      <c r="V78" s="41">
        <v>44616.291666666664</v>
      </c>
      <c r="W78" s="41">
        <v>44616.416666666664</v>
      </c>
      <c r="X78" s="40" t="s">
        <v>293</v>
      </c>
      <c r="Y78" s="41">
        <v>44628.57708333333</v>
      </c>
      <c r="Z78" s="41">
        <v>44625.041666666664</v>
      </c>
      <c r="AA78" s="41">
        <v>44616.5</v>
      </c>
      <c r="AB78" s="41">
        <v>44629.75</v>
      </c>
      <c r="AC78" s="40" t="s">
        <v>616</v>
      </c>
      <c r="AD78" s="40">
        <v>11752</v>
      </c>
      <c r="AE78" s="40">
        <v>5428</v>
      </c>
      <c r="AF78" s="40">
        <v>1288</v>
      </c>
      <c r="AG78" s="40"/>
      <c r="AH78" s="40" t="s">
        <v>309</v>
      </c>
      <c r="AI78" s="41">
        <v>44616.666666666664</v>
      </c>
      <c r="AJ78" s="40">
        <v>2</v>
      </c>
      <c r="AK78" s="43">
        <v>1900</v>
      </c>
      <c r="AL78" s="40"/>
      <c r="AM78" s="43">
        <v>0</v>
      </c>
      <c r="AN78" s="43"/>
      <c r="AO78" s="43"/>
      <c r="AP78" s="43"/>
      <c r="AQ78" s="43">
        <v>0</v>
      </c>
      <c r="AR78" s="43">
        <v>0</v>
      </c>
      <c r="AS78" s="43"/>
      <c r="AT78" s="43">
        <v>0</v>
      </c>
      <c r="AU78" s="43"/>
      <c r="AV78" s="43"/>
      <c r="AW78" s="43"/>
      <c r="AX78" s="43">
        <v>0</v>
      </c>
      <c r="AY78" s="43">
        <v>0</v>
      </c>
      <c r="AZ78" s="43">
        <v>0</v>
      </c>
      <c r="BA78" s="43">
        <v>0</v>
      </c>
      <c r="BB78" s="43">
        <v>0</v>
      </c>
      <c r="BC78" s="43">
        <v>0</v>
      </c>
      <c r="BD78" s="43">
        <v>0</v>
      </c>
      <c r="BE78" s="43">
        <v>0</v>
      </c>
      <c r="BF78" s="43">
        <v>0</v>
      </c>
      <c r="BG78" s="43">
        <v>0</v>
      </c>
      <c r="BH78" s="43">
        <v>0</v>
      </c>
      <c r="BI78" s="40" t="s">
        <v>296</v>
      </c>
      <c r="BJ78" s="40">
        <v>2022</v>
      </c>
      <c r="BK78" s="40" t="s">
        <v>2768</v>
      </c>
      <c r="BL78" s="40" t="s">
        <v>2768</v>
      </c>
      <c r="BM78" s="40" t="s">
        <v>125</v>
      </c>
    </row>
    <row r="79" spans="1:65" x14ac:dyDescent="0.25">
      <c r="A79" s="40" t="s">
        <v>2771</v>
      </c>
      <c r="B79" s="41">
        <v>44617.333333333336</v>
      </c>
      <c r="C79" s="40" t="s">
        <v>353</v>
      </c>
      <c r="D79" s="40" t="s">
        <v>400</v>
      </c>
      <c r="E79" s="40">
        <v>7626866</v>
      </c>
      <c r="F79" s="40" t="s">
        <v>620</v>
      </c>
      <c r="G79" s="40" t="s">
        <v>621</v>
      </c>
      <c r="H79" s="40" t="s">
        <v>288</v>
      </c>
      <c r="I79" s="40">
        <v>2300</v>
      </c>
      <c r="J79" s="40" t="s">
        <v>622</v>
      </c>
      <c r="K79" s="40">
        <v>4656</v>
      </c>
      <c r="L79" s="40">
        <v>6956</v>
      </c>
      <c r="M79" s="40">
        <v>1552091</v>
      </c>
      <c r="N79" s="40" t="s">
        <v>623</v>
      </c>
      <c r="O79" s="40" t="s">
        <v>124</v>
      </c>
      <c r="P79" s="40" t="s">
        <v>125</v>
      </c>
      <c r="Q79" s="40" t="s">
        <v>126</v>
      </c>
      <c r="R79" s="42" t="s">
        <v>127</v>
      </c>
      <c r="S79" s="42" t="s">
        <v>128</v>
      </c>
      <c r="T79" s="40" t="s">
        <v>526</v>
      </c>
      <c r="U79" s="41">
        <v>44616.833333333336</v>
      </c>
      <c r="V79" s="41">
        <v>44617.420138888891</v>
      </c>
      <c r="W79" s="41">
        <v>44617.958333333336</v>
      </c>
      <c r="X79" s="40" t="s">
        <v>293</v>
      </c>
      <c r="Y79" s="41">
        <v>44618.620833333334</v>
      </c>
      <c r="Z79" s="41">
        <v>44616.541666666664</v>
      </c>
      <c r="AA79" s="41">
        <v>44617.5</v>
      </c>
      <c r="AB79" s="41">
        <v>44620.5</v>
      </c>
      <c r="AC79" s="40" t="s">
        <v>624</v>
      </c>
      <c r="AD79" s="40" t="s">
        <v>625</v>
      </c>
      <c r="AE79" s="40">
        <v>5480</v>
      </c>
      <c r="AF79" s="40"/>
      <c r="AG79" s="40"/>
      <c r="AH79" s="40" t="s">
        <v>295</v>
      </c>
      <c r="AI79" s="41"/>
      <c r="AJ79" s="40"/>
      <c r="AK79" s="43"/>
      <c r="AL79" s="40"/>
      <c r="AM79" s="43">
        <v>0</v>
      </c>
      <c r="AN79" s="43">
        <v>1700</v>
      </c>
      <c r="AO79" s="43"/>
      <c r="AP79" s="43"/>
      <c r="AQ79" s="43">
        <v>1700</v>
      </c>
      <c r="AR79" s="43">
        <v>0</v>
      </c>
      <c r="AS79" s="43"/>
      <c r="AT79" s="43">
        <v>0</v>
      </c>
      <c r="AU79" s="43"/>
      <c r="AV79" s="43">
        <v>71433.759999999995</v>
      </c>
      <c r="AW79" s="43"/>
      <c r="AX79" s="43">
        <v>0</v>
      </c>
      <c r="AY79" s="43">
        <v>0</v>
      </c>
      <c r="AZ79" s="43">
        <v>0</v>
      </c>
      <c r="BA79" s="43">
        <v>0</v>
      </c>
      <c r="BB79" s="43">
        <v>0</v>
      </c>
      <c r="BC79" s="43">
        <v>0</v>
      </c>
      <c r="BD79" s="43">
        <v>0</v>
      </c>
      <c r="BE79" s="43">
        <v>0</v>
      </c>
      <c r="BF79" s="43">
        <v>0</v>
      </c>
      <c r="BG79" s="43">
        <v>0</v>
      </c>
      <c r="BH79" s="43">
        <v>0</v>
      </c>
      <c r="BI79" s="40" t="s">
        <v>296</v>
      </c>
      <c r="BJ79" s="40">
        <v>2022</v>
      </c>
      <c r="BK79" s="40" t="s">
        <v>2768</v>
      </c>
      <c r="BL79" s="40" t="s">
        <v>2768</v>
      </c>
      <c r="BM79" s="40" t="s">
        <v>125</v>
      </c>
    </row>
    <row r="80" spans="1:65" x14ac:dyDescent="0.25">
      <c r="A80" s="40" t="s">
        <v>2771</v>
      </c>
      <c r="B80" s="41">
        <v>44617.291666666664</v>
      </c>
      <c r="C80" s="40" t="s">
        <v>353</v>
      </c>
      <c r="D80" s="40" t="s">
        <v>354</v>
      </c>
      <c r="E80" s="40">
        <v>7387689</v>
      </c>
      <c r="F80" s="40">
        <v>66457985</v>
      </c>
      <c r="G80" s="40" t="s">
        <v>626</v>
      </c>
      <c r="H80" s="40" t="s">
        <v>301</v>
      </c>
      <c r="I80" s="40">
        <v>3810</v>
      </c>
      <c r="J80" s="40" t="s">
        <v>627</v>
      </c>
      <c r="K80" s="40">
        <v>26069</v>
      </c>
      <c r="L80" s="40">
        <v>29879</v>
      </c>
      <c r="M80" s="40">
        <v>594308</v>
      </c>
      <c r="N80" s="40" t="s">
        <v>628</v>
      </c>
      <c r="O80" s="40" t="s">
        <v>31</v>
      </c>
      <c r="P80" s="40" t="s">
        <v>36</v>
      </c>
      <c r="Q80" s="40" t="s">
        <v>33</v>
      </c>
      <c r="R80" s="42" t="s">
        <v>34</v>
      </c>
      <c r="S80" s="42" t="s">
        <v>35</v>
      </c>
      <c r="T80" s="40" t="s">
        <v>292</v>
      </c>
      <c r="U80" s="41">
        <v>44617.833333333336</v>
      </c>
      <c r="V80" s="41">
        <v>44618.083333333336</v>
      </c>
      <c r="W80" s="41">
        <v>44617.4375</v>
      </c>
      <c r="X80" s="40" t="s">
        <v>410</v>
      </c>
      <c r="Y80" s="41">
        <v>44624.363194444442</v>
      </c>
      <c r="Z80" s="41">
        <v>44622.5</v>
      </c>
      <c r="AA80" s="41">
        <v>44617.75</v>
      </c>
      <c r="AB80" s="41">
        <v>44624.75</v>
      </c>
      <c r="AC80" s="40" t="s">
        <v>352</v>
      </c>
      <c r="AD80" s="40">
        <v>11781</v>
      </c>
      <c r="AE80" s="40">
        <v>5422</v>
      </c>
      <c r="AF80" s="40">
        <v>1271</v>
      </c>
      <c r="AG80" s="40"/>
      <c r="AH80" s="40" t="s">
        <v>419</v>
      </c>
      <c r="AI80" s="41">
        <v>44617.791666666664</v>
      </c>
      <c r="AJ80" s="40"/>
      <c r="AK80" s="43">
        <v>950</v>
      </c>
      <c r="AL80" s="40"/>
      <c r="AM80" s="43">
        <v>0</v>
      </c>
      <c r="AN80" s="43"/>
      <c r="AO80" s="43"/>
      <c r="AP80" s="43"/>
      <c r="AQ80" s="43">
        <v>0</v>
      </c>
      <c r="AR80" s="43">
        <v>0</v>
      </c>
      <c r="AS80" s="43"/>
      <c r="AT80" s="43">
        <v>0</v>
      </c>
      <c r="AU80" s="43"/>
      <c r="AV80" s="43"/>
      <c r="AW80" s="43"/>
      <c r="AX80" s="43">
        <v>0</v>
      </c>
      <c r="AY80" s="43">
        <v>0</v>
      </c>
      <c r="AZ80" s="43">
        <v>0</v>
      </c>
      <c r="BA80" s="43">
        <v>0</v>
      </c>
      <c r="BB80" s="43">
        <v>0</v>
      </c>
      <c r="BC80" s="43">
        <v>0</v>
      </c>
      <c r="BD80" s="43">
        <v>0</v>
      </c>
      <c r="BE80" s="43">
        <v>0</v>
      </c>
      <c r="BF80" s="43">
        <v>0</v>
      </c>
      <c r="BG80" s="43">
        <v>0</v>
      </c>
      <c r="BH80" s="43">
        <v>0</v>
      </c>
      <c r="BI80" s="40" t="s">
        <v>296</v>
      </c>
      <c r="BJ80" s="40">
        <v>2022</v>
      </c>
      <c r="BK80" s="40" t="s">
        <v>2768</v>
      </c>
      <c r="BL80" s="40" t="s">
        <v>2768</v>
      </c>
      <c r="BM80" s="40" t="s">
        <v>125</v>
      </c>
    </row>
    <row r="81" spans="1:65" x14ac:dyDescent="0.25">
      <c r="A81" s="40" t="s">
        <v>2771</v>
      </c>
      <c r="B81" s="41">
        <v>44617.291666666664</v>
      </c>
      <c r="C81" s="40" t="s">
        <v>353</v>
      </c>
      <c r="D81" s="40" t="s">
        <v>354</v>
      </c>
      <c r="E81" s="40">
        <v>7387689</v>
      </c>
      <c r="F81" s="40">
        <v>66457985</v>
      </c>
      <c r="G81" s="40" t="s">
        <v>629</v>
      </c>
      <c r="H81" s="40" t="s">
        <v>301</v>
      </c>
      <c r="I81" s="40">
        <v>3840</v>
      </c>
      <c r="J81" s="40" t="s">
        <v>630</v>
      </c>
      <c r="K81" s="40">
        <v>26069</v>
      </c>
      <c r="L81" s="40">
        <v>29909</v>
      </c>
      <c r="M81" s="40">
        <v>594317</v>
      </c>
      <c r="N81" s="40" t="s">
        <v>628</v>
      </c>
      <c r="O81" s="40" t="s">
        <v>26</v>
      </c>
      <c r="P81" s="40" t="s">
        <v>27</v>
      </c>
      <c r="Q81" s="40" t="s">
        <v>28</v>
      </c>
      <c r="R81" s="42" t="s">
        <v>29</v>
      </c>
      <c r="S81" s="42" t="s">
        <v>30</v>
      </c>
      <c r="T81" s="40" t="s">
        <v>292</v>
      </c>
      <c r="U81" s="41">
        <v>44617.833333333336</v>
      </c>
      <c r="V81" s="41">
        <v>44618.291666666664</v>
      </c>
      <c r="W81" s="41">
        <v>44618.5</v>
      </c>
      <c r="X81" s="40" t="s">
        <v>410</v>
      </c>
      <c r="Y81" s="41">
        <v>44624.352083333331</v>
      </c>
      <c r="Z81" s="41">
        <v>44622.5</v>
      </c>
      <c r="AA81" s="41">
        <v>44617.75</v>
      </c>
      <c r="AB81" s="41">
        <v>44624.75</v>
      </c>
      <c r="AC81" s="40" t="s">
        <v>352</v>
      </c>
      <c r="AD81" s="40">
        <v>11782</v>
      </c>
      <c r="AE81" s="40">
        <v>5423</v>
      </c>
      <c r="AF81" s="40">
        <v>1271</v>
      </c>
      <c r="AG81" s="40"/>
      <c r="AH81" s="40" t="s">
        <v>419</v>
      </c>
      <c r="AI81" s="41">
        <v>44617.791666666664</v>
      </c>
      <c r="AJ81" s="40"/>
      <c r="AK81" s="43">
        <v>950</v>
      </c>
      <c r="AL81" s="40"/>
      <c r="AM81" s="43">
        <v>0</v>
      </c>
      <c r="AN81" s="43">
        <v>2790.8</v>
      </c>
      <c r="AO81" s="43"/>
      <c r="AP81" s="43">
        <v>409.2</v>
      </c>
      <c r="AQ81" s="43">
        <v>3200</v>
      </c>
      <c r="AR81" s="43">
        <v>0</v>
      </c>
      <c r="AS81" s="43"/>
      <c r="AT81" s="43">
        <v>0</v>
      </c>
      <c r="AU81" s="43"/>
      <c r="AV81" s="43"/>
      <c r="AW81" s="43"/>
      <c r="AX81" s="43">
        <v>0</v>
      </c>
      <c r="AY81" s="43">
        <v>0</v>
      </c>
      <c r="AZ81" s="43">
        <v>0</v>
      </c>
      <c r="BA81" s="43">
        <v>0</v>
      </c>
      <c r="BB81" s="43">
        <v>0</v>
      </c>
      <c r="BC81" s="43">
        <v>0</v>
      </c>
      <c r="BD81" s="43">
        <v>0</v>
      </c>
      <c r="BE81" s="43">
        <v>0</v>
      </c>
      <c r="BF81" s="43">
        <v>0</v>
      </c>
      <c r="BG81" s="43">
        <v>0</v>
      </c>
      <c r="BH81" s="43">
        <v>0</v>
      </c>
      <c r="BI81" s="40" t="s">
        <v>296</v>
      </c>
      <c r="BJ81" s="40">
        <v>2022</v>
      </c>
      <c r="BK81" s="40" t="s">
        <v>2768</v>
      </c>
      <c r="BL81" s="40" t="s">
        <v>2768</v>
      </c>
      <c r="BM81" s="40" t="s">
        <v>125</v>
      </c>
    </row>
    <row r="82" spans="1:65" x14ac:dyDescent="0.25">
      <c r="A82" s="40" t="s">
        <v>2771</v>
      </c>
      <c r="B82" s="41">
        <v>44617.291666666664</v>
      </c>
      <c r="C82" s="40" t="s">
        <v>353</v>
      </c>
      <c r="D82" s="40" t="s">
        <v>354</v>
      </c>
      <c r="E82" s="40">
        <v>7387689</v>
      </c>
      <c r="F82" s="40">
        <v>66457985</v>
      </c>
      <c r="G82" s="40" t="s">
        <v>631</v>
      </c>
      <c r="H82" s="40" t="s">
        <v>301</v>
      </c>
      <c r="I82" s="40">
        <v>3900</v>
      </c>
      <c r="J82" s="40" t="s">
        <v>632</v>
      </c>
      <c r="K82" s="40">
        <v>26069</v>
      </c>
      <c r="L82" s="40">
        <v>29969</v>
      </c>
      <c r="M82" s="40">
        <v>594325</v>
      </c>
      <c r="N82" s="40" t="s">
        <v>628</v>
      </c>
      <c r="O82" s="40" t="s">
        <v>192</v>
      </c>
      <c r="P82" s="40" t="s">
        <v>193</v>
      </c>
      <c r="Q82" s="40" t="s">
        <v>194</v>
      </c>
      <c r="R82" s="42" t="s">
        <v>195</v>
      </c>
      <c r="S82" s="42" t="s">
        <v>196</v>
      </c>
      <c r="T82" s="40" t="s">
        <v>292</v>
      </c>
      <c r="U82" s="41">
        <v>44617.833333333336</v>
      </c>
      <c r="V82" s="41">
        <v>44618.291666666664</v>
      </c>
      <c r="W82" s="41">
        <v>44618.5</v>
      </c>
      <c r="X82" s="40" t="s">
        <v>410</v>
      </c>
      <c r="Y82" s="41">
        <v>44624.356249999997</v>
      </c>
      <c r="Z82" s="41">
        <v>44622.5</v>
      </c>
      <c r="AA82" s="41">
        <v>44617.75</v>
      </c>
      <c r="AB82" s="41">
        <v>44624.75</v>
      </c>
      <c r="AC82" s="40" t="s">
        <v>352</v>
      </c>
      <c r="AD82" s="40">
        <v>11784</v>
      </c>
      <c r="AE82" s="40">
        <v>5424</v>
      </c>
      <c r="AF82" s="40">
        <v>1271</v>
      </c>
      <c r="AG82" s="40"/>
      <c r="AH82" s="40" t="s">
        <v>419</v>
      </c>
      <c r="AI82" s="41">
        <v>44617.791666666664</v>
      </c>
      <c r="AJ82" s="40"/>
      <c r="AK82" s="43">
        <v>950</v>
      </c>
      <c r="AL82" s="40"/>
      <c r="AM82" s="43">
        <v>0</v>
      </c>
      <c r="AN82" s="43">
        <v>2790.8</v>
      </c>
      <c r="AO82" s="43">
        <v>68.2</v>
      </c>
      <c r="AP82" s="43">
        <v>341</v>
      </c>
      <c r="AQ82" s="43">
        <v>3200</v>
      </c>
      <c r="AR82" s="43">
        <v>0</v>
      </c>
      <c r="AS82" s="43"/>
      <c r="AT82" s="43">
        <v>0</v>
      </c>
      <c r="AU82" s="43"/>
      <c r="AV82" s="43"/>
      <c r="AW82" s="43"/>
      <c r="AX82" s="43">
        <v>0</v>
      </c>
      <c r="AY82" s="43">
        <v>0</v>
      </c>
      <c r="AZ82" s="43">
        <v>0</v>
      </c>
      <c r="BA82" s="43">
        <v>0</v>
      </c>
      <c r="BB82" s="43">
        <v>0</v>
      </c>
      <c r="BC82" s="43">
        <v>0</v>
      </c>
      <c r="BD82" s="43">
        <v>0</v>
      </c>
      <c r="BE82" s="43">
        <v>0</v>
      </c>
      <c r="BF82" s="43">
        <v>0</v>
      </c>
      <c r="BG82" s="43">
        <v>0</v>
      </c>
      <c r="BH82" s="43">
        <v>0</v>
      </c>
      <c r="BI82" s="40" t="s">
        <v>296</v>
      </c>
      <c r="BJ82" s="40">
        <v>2022</v>
      </c>
      <c r="BK82" s="40" t="s">
        <v>2768</v>
      </c>
      <c r="BL82" s="40" t="s">
        <v>2768</v>
      </c>
      <c r="BM82" s="40" t="s">
        <v>125</v>
      </c>
    </row>
    <row r="83" spans="1:65" x14ac:dyDescent="0.25">
      <c r="A83" s="40" t="s">
        <v>2771</v>
      </c>
      <c r="B83" s="41">
        <v>44617.291666666664</v>
      </c>
      <c r="C83" s="40" t="s">
        <v>353</v>
      </c>
      <c r="D83" s="40" t="s">
        <v>354</v>
      </c>
      <c r="E83" s="40">
        <v>7387689</v>
      </c>
      <c r="F83" s="40">
        <v>66457985</v>
      </c>
      <c r="G83" s="40" t="s">
        <v>633</v>
      </c>
      <c r="H83" s="40" t="s">
        <v>301</v>
      </c>
      <c r="I83" s="40">
        <v>3900</v>
      </c>
      <c r="J83" s="40" t="s">
        <v>634</v>
      </c>
      <c r="K83" s="40">
        <v>26069</v>
      </c>
      <c r="L83" s="40">
        <v>29969</v>
      </c>
      <c r="M83" s="40">
        <v>594313</v>
      </c>
      <c r="N83" s="40" t="s">
        <v>628</v>
      </c>
      <c r="O83" s="40" t="s">
        <v>119</v>
      </c>
      <c r="P83" s="40" t="s">
        <v>120</v>
      </c>
      <c r="Q83" s="40" t="s">
        <v>121</v>
      </c>
      <c r="R83" s="42" t="s">
        <v>122</v>
      </c>
      <c r="S83" s="42" t="s">
        <v>123</v>
      </c>
      <c r="T83" s="40" t="s">
        <v>292</v>
      </c>
      <c r="U83" s="41">
        <v>44617.833333333336</v>
      </c>
      <c r="V83" s="41">
        <v>44618.291666666664</v>
      </c>
      <c r="W83" s="41">
        <v>44618.5</v>
      </c>
      <c r="X83" s="40" t="s">
        <v>410</v>
      </c>
      <c r="Y83" s="41">
        <v>44624.355555555558</v>
      </c>
      <c r="Z83" s="41">
        <v>44622.5</v>
      </c>
      <c r="AA83" s="41">
        <v>44617.75</v>
      </c>
      <c r="AB83" s="41">
        <v>44624.75</v>
      </c>
      <c r="AC83" s="40" t="s">
        <v>352</v>
      </c>
      <c r="AD83" s="40">
        <v>11783</v>
      </c>
      <c r="AE83" s="40">
        <v>5425</v>
      </c>
      <c r="AF83" s="40">
        <v>1271</v>
      </c>
      <c r="AG83" s="40"/>
      <c r="AH83" s="40" t="s">
        <v>419</v>
      </c>
      <c r="AI83" s="41">
        <v>44617.791666666664</v>
      </c>
      <c r="AJ83" s="40"/>
      <c r="AK83" s="43">
        <v>950</v>
      </c>
      <c r="AL83" s="40"/>
      <c r="AM83" s="43">
        <v>0</v>
      </c>
      <c r="AN83" s="43">
        <v>2790.8</v>
      </c>
      <c r="AO83" s="43"/>
      <c r="AP83" s="43">
        <v>409.2</v>
      </c>
      <c r="AQ83" s="43">
        <v>3200</v>
      </c>
      <c r="AR83" s="43">
        <v>0</v>
      </c>
      <c r="AS83" s="43"/>
      <c r="AT83" s="43">
        <v>0</v>
      </c>
      <c r="AU83" s="43"/>
      <c r="AV83" s="43"/>
      <c r="AW83" s="43"/>
      <c r="AX83" s="43">
        <v>0</v>
      </c>
      <c r="AY83" s="43">
        <v>0</v>
      </c>
      <c r="AZ83" s="43">
        <v>0</v>
      </c>
      <c r="BA83" s="43">
        <v>0</v>
      </c>
      <c r="BB83" s="43">
        <v>0</v>
      </c>
      <c r="BC83" s="43">
        <v>0</v>
      </c>
      <c r="BD83" s="43">
        <v>0</v>
      </c>
      <c r="BE83" s="43">
        <v>0</v>
      </c>
      <c r="BF83" s="43">
        <v>0</v>
      </c>
      <c r="BG83" s="43">
        <v>0</v>
      </c>
      <c r="BH83" s="43">
        <v>0</v>
      </c>
      <c r="BI83" s="40" t="s">
        <v>296</v>
      </c>
      <c r="BJ83" s="40">
        <v>2022</v>
      </c>
      <c r="BK83" s="40" t="s">
        <v>2768</v>
      </c>
      <c r="BL83" s="40" t="s">
        <v>2768</v>
      </c>
      <c r="BM83" s="40" t="s">
        <v>125</v>
      </c>
    </row>
    <row r="84" spans="1:65" x14ac:dyDescent="0.25">
      <c r="A84" s="40" t="s">
        <v>2771</v>
      </c>
      <c r="B84" s="41">
        <v>44617.291666666664</v>
      </c>
      <c r="C84" s="40" t="s">
        <v>353</v>
      </c>
      <c r="D84" s="40" t="s">
        <v>354</v>
      </c>
      <c r="E84" s="40">
        <v>7547612</v>
      </c>
      <c r="F84" s="40" t="s">
        <v>635</v>
      </c>
      <c r="G84" s="40" t="s">
        <v>636</v>
      </c>
      <c r="H84" s="40" t="s">
        <v>301</v>
      </c>
      <c r="I84" s="40">
        <v>3890</v>
      </c>
      <c r="J84" s="40" t="s">
        <v>637</v>
      </c>
      <c r="K84" s="40"/>
      <c r="L84" s="40">
        <v>3890</v>
      </c>
      <c r="M84" s="40">
        <v>594432</v>
      </c>
      <c r="N84" s="40" t="s">
        <v>638</v>
      </c>
      <c r="O84" s="40" t="s">
        <v>72</v>
      </c>
      <c r="P84" s="40" t="s">
        <v>73</v>
      </c>
      <c r="Q84" s="40" t="s">
        <v>74</v>
      </c>
      <c r="R84" s="42" t="s">
        <v>75</v>
      </c>
      <c r="S84" s="42">
        <v>3595479067</v>
      </c>
      <c r="T84" s="40" t="s">
        <v>639</v>
      </c>
      <c r="U84" s="41">
        <v>44617.402777777781</v>
      </c>
      <c r="V84" s="41">
        <v>44617.541666666664</v>
      </c>
      <c r="W84" s="41">
        <v>44617.875</v>
      </c>
      <c r="X84" s="40" t="s">
        <v>410</v>
      </c>
      <c r="Y84" s="41">
        <v>44623.464583333334</v>
      </c>
      <c r="Z84" s="41">
        <v>44623.464583333334</v>
      </c>
      <c r="AA84" s="41" t="s">
        <v>640</v>
      </c>
      <c r="AB84" s="41">
        <v>44623.5</v>
      </c>
      <c r="AC84" s="40" t="s">
        <v>418</v>
      </c>
      <c r="AD84" s="40">
        <v>11793</v>
      </c>
      <c r="AE84" s="40">
        <v>5463</v>
      </c>
      <c r="AF84" s="40">
        <v>1272</v>
      </c>
      <c r="AG84" s="40" t="s">
        <v>641</v>
      </c>
      <c r="AH84" s="40" t="s">
        <v>419</v>
      </c>
      <c r="AI84" s="41"/>
      <c r="AJ84" s="40"/>
      <c r="AK84" s="43">
        <v>950</v>
      </c>
      <c r="AL84" s="40"/>
      <c r="AM84" s="43">
        <v>0</v>
      </c>
      <c r="AN84" s="43"/>
      <c r="AO84" s="43"/>
      <c r="AP84" s="43"/>
      <c r="AQ84" s="43">
        <v>0</v>
      </c>
      <c r="AR84" s="43">
        <v>0</v>
      </c>
      <c r="AS84" s="43"/>
      <c r="AT84" s="43">
        <v>0</v>
      </c>
      <c r="AU84" s="43"/>
      <c r="AV84" s="43"/>
      <c r="AW84" s="43"/>
      <c r="AX84" s="43">
        <v>0</v>
      </c>
      <c r="AY84" s="43">
        <v>0</v>
      </c>
      <c r="AZ84" s="43">
        <v>0</v>
      </c>
      <c r="BA84" s="43">
        <v>0</v>
      </c>
      <c r="BB84" s="43">
        <v>0</v>
      </c>
      <c r="BC84" s="43">
        <v>0</v>
      </c>
      <c r="BD84" s="43">
        <v>0</v>
      </c>
      <c r="BE84" s="43">
        <v>0</v>
      </c>
      <c r="BF84" s="43">
        <v>0</v>
      </c>
      <c r="BG84" s="43">
        <v>0</v>
      </c>
      <c r="BH84" s="43">
        <v>0</v>
      </c>
      <c r="BI84" s="40" t="s">
        <v>296</v>
      </c>
      <c r="BJ84" s="40">
        <v>2022</v>
      </c>
      <c r="BK84" s="40" t="s">
        <v>2768</v>
      </c>
      <c r="BL84" s="40" t="s">
        <v>2768</v>
      </c>
      <c r="BM84" s="40" t="s">
        <v>125</v>
      </c>
    </row>
    <row r="85" spans="1:65" x14ac:dyDescent="0.25">
      <c r="A85" s="40" t="s">
        <v>2771</v>
      </c>
      <c r="B85" s="41">
        <v>44617.291666666664</v>
      </c>
      <c r="C85" s="40" t="s">
        <v>353</v>
      </c>
      <c r="D85" s="40" t="s">
        <v>354</v>
      </c>
      <c r="E85" s="40">
        <v>7547612</v>
      </c>
      <c r="F85" s="40" t="s">
        <v>635</v>
      </c>
      <c r="G85" s="40" t="s">
        <v>642</v>
      </c>
      <c r="H85" s="40" t="s">
        <v>301</v>
      </c>
      <c r="I85" s="40">
        <v>3830</v>
      </c>
      <c r="J85" s="40" t="s">
        <v>643</v>
      </c>
      <c r="K85" s="40"/>
      <c r="L85" s="40">
        <v>3830</v>
      </c>
      <c r="M85" s="40">
        <v>594286</v>
      </c>
      <c r="N85" s="40" t="s">
        <v>638</v>
      </c>
      <c r="O85" s="40" t="s">
        <v>135</v>
      </c>
      <c r="P85" s="40" t="s">
        <v>136</v>
      </c>
      <c r="Q85" s="40" t="s">
        <v>137</v>
      </c>
      <c r="R85" s="42" t="s">
        <v>138</v>
      </c>
      <c r="S85" s="42" t="s">
        <v>139</v>
      </c>
      <c r="T85" s="40" t="s">
        <v>639</v>
      </c>
      <c r="U85" s="41">
        <v>44616.729166666664</v>
      </c>
      <c r="V85" s="41">
        <v>44618.291666666664</v>
      </c>
      <c r="W85" s="41">
        <v>44617.375</v>
      </c>
      <c r="X85" s="40" t="s">
        <v>410</v>
      </c>
      <c r="Y85" s="41">
        <v>44623.470833333333</v>
      </c>
      <c r="Z85" s="41">
        <v>44623.470833333333</v>
      </c>
      <c r="AA85" s="41" t="s">
        <v>640</v>
      </c>
      <c r="AB85" s="41">
        <v>44623.5</v>
      </c>
      <c r="AC85" s="40" t="s">
        <v>418</v>
      </c>
      <c r="AD85" s="40">
        <v>11778</v>
      </c>
      <c r="AE85" s="40">
        <v>5464</v>
      </c>
      <c r="AF85" s="40">
        <v>1272</v>
      </c>
      <c r="AG85" s="40"/>
      <c r="AH85" s="40" t="s">
        <v>419</v>
      </c>
      <c r="AI85" s="41">
        <v>44617.791666666664</v>
      </c>
      <c r="AJ85" s="40"/>
      <c r="AK85" s="43">
        <v>950</v>
      </c>
      <c r="AL85" s="40"/>
      <c r="AM85" s="43">
        <v>0</v>
      </c>
      <c r="AN85" s="43"/>
      <c r="AO85" s="43"/>
      <c r="AP85" s="43"/>
      <c r="AQ85" s="43">
        <v>0</v>
      </c>
      <c r="AR85" s="43">
        <v>0</v>
      </c>
      <c r="AS85" s="43"/>
      <c r="AT85" s="43">
        <v>0</v>
      </c>
      <c r="AU85" s="43"/>
      <c r="AV85" s="43"/>
      <c r="AW85" s="43"/>
      <c r="AX85" s="43">
        <v>0</v>
      </c>
      <c r="AY85" s="43">
        <v>0</v>
      </c>
      <c r="AZ85" s="43">
        <v>0</v>
      </c>
      <c r="BA85" s="43">
        <v>0</v>
      </c>
      <c r="BB85" s="43">
        <v>0</v>
      </c>
      <c r="BC85" s="43">
        <v>0</v>
      </c>
      <c r="BD85" s="43">
        <v>0</v>
      </c>
      <c r="BE85" s="43">
        <v>0</v>
      </c>
      <c r="BF85" s="43">
        <v>0</v>
      </c>
      <c r="BG85" s="43">
        <v>0</v>
      </c>
      <c r="BH85" s="43">
        <v>0</v>
      </c>
      <c r="BI85" s="40" t="s">
        <v>296</v>
      </c>
      <c r="BJ85" s="40">
        <v>2022</v>
      </c>
      <c r="BK85" s="40" t="s">
        <v>2768</v>
      </c>
      <c r="BL85" s="40" t="s">
        <v>2768</v>
      </c>
      <c r="BM85" s="40" t="s">
        <v>125</v>
      </c>
    </row>
    <row r="86" spans="1:65" x14ac:dyDescent="0.25">
      <c r="A86" s="40" t="s">
        <v>2771</v>
      </c>
      <c r="B86" s="41">
        <v>44617.291666666664</v>
      </c>
      <c r="C86" s="40" t="s">
        <v>353</v>
      </c>
      <c r="D86" s="40" t="s">
        <v>354</v>
      </c>
      <c r="E86" s="40">
        <v>7547612</v>
      </c>
      <c r="F86" s="40" t="s">
        <v>635</v>
      </c>
      <c r="G86" s="40" t="s">
        <v>644</v>
      </c>
      <c r="H86" s="40" t="s">
        <v>301</v>
      </c>
      <c r="I86" s="40">
        <v>3770</v>
      </c>
      <c r="J86" s="40" t="s">
        <v>645</v>
      </c>
      <c r="K86" s="40"/>
      <c r="L86" s="40">
        <v>3770</v>
      </c>
      <c r="M86" s="40">
        <v>594299</v>
      </c>
      <c r="N86" s="40" t="s">
        <v>638</v>
      </c>
      <c r="O86" s="40" t="s">
        <v>21</v>
      </c>
      <c r="P86" s="40" t="s">
        <v>22</v>
      </c>
      <c r="Q86" s="40" t="s">
        <v>23</v>
      </c>
      <c r="R86" s="42" t="s">
        <v>24</v>
      </c>
      <c r="S86" s="42" t="s">
        <v>25</v>
      </c>
      <c r="T86" s="40" t="s">
        <v>639</v>
      </c>
      <c r="U86" s="41">
        <v>44616.729166666664</v>
      </c>
      <c r="V86" s="41">
        <v>44618.291666666664</v>
      </c>
      <c r="W86" s="41">
        <v>44617.375</v>
      </c>
      <c r="X86" s="40" t="s">
        <v>410</v>
      </c>
      <c r="Y86" s="41">
        <v>44623.470833333333</v>
      </c>
      <c r="Z86" s="41">
        <v>44623.470833333333</v>
      </c>
      <c r="AA86" s="41" t="s">
        <v>640</v>
      </c>
      <c r="AB86" s="41">
        <v>44623.5</v>
      </c>
      <c r="AC86" s="40" t="s">
        <v>418</v>
      </c>
      <c r="AD86" s="40">
        <v>11779</v>
      </c>
      <c r="AE86" s="40">
        <v>5465</v>
      </c>
      <c r="AF86" s="40">
        <v>1272</v>
      </c>
      <c r="AG86" s="40"/>
      <c r="AH86" s="40" t="s">
        <v>419</v>
      </c>
      <c r="AI86" s="41">
        <v>44617.791666666664</v>
      </c>
      <c r="AJ86" s="40"/>
      <c r="AK86" s="43">
        <v>950</v>
      </c>
      <c r="AL86" s="40"/>
      <c r="AM86" s="43">
        <v>0</v>
      </c>
      <c r="AN86" s="43"/>
      <c r="AO86" s="43"/>
      <c r="AP86" s="43"/>
      <c r="AQ86" s="43">
        <v>0</v>
      </c>
      <c r="AR86" s="43">
        <v>0</v>
      </c>
      <c r="AS86" s="43"/>
      <c r="AT86" s="43">
        <v>0</v>
      </c>
      <c r="AU86" s="43"/>
      <c r="AV86" s="43"/>
      <c r="AW86" s="43"/>
      <c r="AX86" s="43">
        <v>0</v>
      </c>
      <c r="AY86" s="43">
        <v>0</v>
      </c>
      <c r="AZ86" s="43">
        <v>0</v>
      </c>
      <c r="BA86" s="43">
        <v>0</v>
      </c>
      <c r="BB86" s="43">
        <v>0</v>
      </c>
      <c r="BC86" s="43">
        <v>0</v>
      </c>
      <c r="BD86" s="43">
        <v>0</v>
      </c>
      <c r="BE86" s="43">
        <v>0</v>
      </c>
      <c r="BF86" s="43">
        <v>0</v>
      </c>
      <c r="BG86" s="43">
        <v>0</v>
      </c>
      <c r="BH86" s="43">
        <v>0</v>
      </c>
      <c r="BI86" s="40" t="s">
        <v>296</v>
      </c>
      <c r="BJ86" s="40">
        <v>2022</v>
      </c>
      <c r="BK86" s="40" t="s">
        <v>2768</v>
      </c>
      <c r="BL86" s="40" t="s">
        <v>2768</v>
      </c>
      <c r="BM86" s="40" t="s">
        <v>125</v>
      </c>
    </row>
    <row r="87" spans="1:65" x14ac:dyDescent="0.25">
      <c r="A87" s="40" t="s">
        <v>2771</v>
      </c>
      <c r="B87" s="41">
        <v>44617.291666666664</v>
      </c>
      <c r="C87" s="40" t="s">
        <v>353</v>
      </c>
      <c r="D87" s="40" t="s">
        <v>354</v>
      </c>
      <c r="E87" s="40">
        <v>7547612</v>
      </c>
      <c r="F87" s="40" t="s">
        <v>635</v>
      </c>
      <c r="G87" s="40" t="s">
        <v>646</v>
      </c>
      <c r="H87" s="40" t="s">
        <v>301</v>
      </c>
      <c r="I87" s="40">
        <v>3890</v>
      </c>
      <c r="J87" s="40" t="s">
        <v>647</v>
      </c>
      <c r="K87" s="40"/>
      <c r="L87" s="40">
        <v>3890</v>
      </c>
      <c r="M87" s="40">
        <v>594333</v>
      </c>
      <c r="N87" s="40" t="s">
        <v>638</v>
      </c>
      <c r="O87" s="40" t="s">
        <v>11</v>
      </c>
      <c r="P87" s="40" t="s">
        <v>12</v>
      </c>
      <c r="Q87" s="40" t="s">
        <v>13</v>
      </c>
      <c r="R87" s="42" t="s">
        <v>14</v>
      </c>
      <c r="S87" s="42" t="s">
        <v>15</v>
      </c>
      <c r="T87" s="40" t="s">
        <v>639</v>
      </c>
      <c r="U87" s="41">
        <v>44616.729166666664</v>
      </c>
      <c r="V87" s="41">
        <v>44618.291666666664</v>
      </c>
      <c r="W87" s="41">
        <v>44617.375</v>
      </c>
      <c r="X87" s="40" t="s">
        <v>410</v>
      </c>
      <c r="Y87" s="41">
        <v>44623.461805555555</v>
      </c>
      <c r="Z87" s="41">
        <v>44623.461805555555</v>
      </c>
      <c r="AA87" s="41" t="s">
        <v>640</v>
      </c>
      <c r="AB87" s="41">
        <v>44623.5</v>
      </c>
      <c r="AC87" s="40" t="s">
        <v>418</v>
      </c>
      <c r="AD87" s="40">
        <v>11785</v>
      </c>
      <c r="AE87" s="40">
        <v>5466</v>
      </c>
      <c r="AF87" s="40">
        <v>1272</v>
      </c>
      <c r="AG87" s="40"/>
      <c r="AH87" s="40" t="s">
        <v>419</v>
      </c>
      <c r="AI87" s="41">
        <v>44617.791666666664</v>
      </c>
      <c r="AJ87" s="40"/>
      <c r="AK87" s="43">
        <v>950</v>
      </c>
      <c r="AL87" s="40"/>
      <c r="AM87" s="43">
        <v>0</v>
      </c>
      <c r="AN87" s="43"/>
      <c r="AO87" s="43"/>
      <c r="AP87" s="43"/>
      <c r="AQ87" s="43">
        <v>0</v>
      </c>
      <c r="AR87" s="43">
        <v>0</v>
      </c>
      <c r="AS87" s="43"/>
      <c r="AT87" s="43">
        <v>0</v>
      </c>
      <c r="AU87" s="43"/>
      <c r="AV87" s="43"/>
      <c r="AW87" s="43"/>
      <c r="AX87" s="43">
        <v>0</v>
      </c>
      <c r="AY87" s="43">
        <v>0</v>
      </c>
      <c r="AZ87" s="43">
        <v>0</v>
      </c>
      <c r="BA87" s="43">
        <v>0</v>
      </c>
      <c r="BB87" s="43">
        <v>0</v>
      </c>
      <c r="BC87" s="43">
        <v>0</v>
      </c>
      <c r="BD87" s="43">
        <v>0</v>
      </c>
      <c r="BE87" s="43">
        <v>0</v>
      </c>
      <c r="BF87" s="43">
        <v>0</v>
      </c>
      <c r="BG87" s="43">
        <v>0</v>
      </c>
      <c r="BH87" s="43">
        <v>0</v>
      </c>
      <c r="BI87" s="40" t="s">
        <v>296</v>
      </c>
      <c r="BJ87" s="40">
        <v>2022</v>
      </c>
      <c r="BK87" s="40" t="s">
        <v>2768</v>
      </c>
      <c r="BL87" s="40" t="s">
        <v>2768</v>
      </c>
      <c r="BM87" s="40" t="s">
        <v>125</v>
      </c>
    </row>
    <row r="88" spans="1:65" x14ac:dyDescent="0.25">
      <c r="A88" s="40" t="s">
        <v>2771</v>
      </c>
      <c r="B88" s="41">
        <v>44617.291666666664</v>
      </c>
      <c r="C88" s="40" t="s">
        <v>353</v>
      </c>
      <c r="D88" s="40" t="s">
        <v>354</v>
      </c>
      <c r="E88" s="40">
        <v>7547612</v>
      </c>
      <c r="F88" s="40" t="s">
        <v>635</v>
      </c>
      <c r="G88" s="40" t="s">
        <v>648</v>
      </c>
      <c r="H88" s="40" t="s">
        <v>301</v>
      </c>
      <c r="I88" s="40">
        <v>3700</v>
      </c>
      <c r="J88" s="40" t="s">
        <v>649</v>
      </c>
      <c r="K88" s="40">
        <v>26198</v>
      </c>
      <c r="L88" s="40">
        <v>29898</v>
      </c>
      <c r="M88" s="40">
        <v>594289</v>
      </c>
      <c r="N88" s="40" t="s">
        <v>638</v>
      </c>
      <c r="O88" s="40" t="s">
        <v>6</v>
      </c>
      <c r="P88" s="40" t="s">
        <v>7</v>
      </c>
      <c r="Q88" s="40" t="s">
        <v>8</v>
      </c>
      <c r="R88" s="42" t="s">
        <v>9</v>
      </c>
      <c r="S88" s="42" t="s">
        <v>10</v>
      </c>
      <c r="T88" s="40" t="s">
        <v>639</v>
      </c>
      <c r="U88" s="41">
        <v>44616.729166666664</v>
      </c>
      <c r="V88" s="41">
        <v>44618.291666666664</v>
      </c>
      <c r="W88" s="41">
        <v>44617.375</v>
      </c>
      <c r="X88" s="40" t="s">
        <v>410</v>
      </c>
      <c r="Y88" s="41">
        <v>44623.462500000001</v>
      </c>
      <c r="Z88" s="41">
        <v>44623.462500000001</v>
      </c>
      <c r="AA88" s="41" t="s">
        <v>640</v>
      </c>
      <c r="AB88" s="41">
        <v>44623.5</v>
      </c>
      <c r="AC88" s="40" t="s">
        <v>418</v>
      </c>
      <c r="AD88" s="40">
        <v>11780</v>
      </c>
      <c r="AE88" s="40">
        <v>5467</v>
      </c>
      <c r="AF88" s="40">
        <v>1272</v>
      </c>
      <c r="AG88" s="40"/>
      <c r="AH88" s="40" t="s">
        <v>419</v>
      </c>
      <c r="AI88" s="41">
        <v>44617.791666666664</v>
      </c>
      <c r="AJ88" s="40"/>
      <c r="AK88" s="43">
        <v>950</v>
      </c>
      <c r="AL88" s="40"/>
      <c r="AM88" s="43">
        <v>0</v>
      </c>
      <c r="AN88" s="43"/>
      <c r="AO88" s="43"/>
      <c r="AP88" s="43"/>
      <c r="AQ88" s="43">
        <v>0</v>
      </c>
      <c r="AR88" s="43">
        <v>0</v>
      </c>
      <c r="AS88" s="43"/>
      <c r="AT88" s="43">
        <v>0</v>
      </c>
      <c r="AU88" s="43"/>
      <c r="AV88" s="43"/>
      <c r="AW88" s="43"/>
      <c r="AX88" s="43">
        <v>0</v>
      </c>
      <c r="AY88" s="43">
        <v>0</v>
      </c>
      <c r="AZ88" s="43">
        <v>0</v>
      </c>
      <c r="BA88" s="43">
        <v>0</v>
      </c>
      <c r="BB88" s="43">
        <v>0</v>
      </c>
      <c r="BC88" s="43">
        <v>0</v>
      </c>
      <c r="BD88" s="43">
        <v>0</v>
      </c>
      <c r="BE88" s="43">
        <v>0</v>
      </c>
      <c r="BF88" s="43">
        <v>0</v>
      </c>
      <c r="BG88" s="43">
        <v>0</v>
      </c>
      <c r="BH88" s="43">
        <v>0</v>
      </c>
      <c r="BI88" s="40" t="s">
        <v>296</v>
      </c>
      <c r="BJ88" s="40">
        <v>2022</v>
      </c>
      <c r="BK88" s="40" t="s">
        <v>2768</v>
      </c>
      <c r="BL88" s="40" t="s">
        <v>2768</v>
      </c>
      <c r="BM88" s="40" t="s">
        <v>125</v>
      </c>
    </row>
    <row r="89" spans="1:65" x14ac:dyDescent="0.25">
      <c r="A89" s="40" t="s">
        <v>2771</v>
      </c>
      <c r="B89" s="41">
        <v>44620.333333333336</v>
      </c>
      <c r="C89" s="40" t="s">
        <v>353</v>
      </c>
      <c r="D89" s="40" t="s">
        <v>354</v>
      </c>
      <c r="E89" s="40">
        <v>6901038</v>
      </c>
      <c r="F89" s="40">
        <v>6326730170</v>
      </c>
      <c r="G89" s="40" t="s">
        <v>650</v>
      </c>
      <c r="H89" s="40" t="s">
        <v>301</v>
      </c>
      <c r="I89" s="40">
        <v>3890</v>
      </c>
      <c r="J89" s="40">
        <v>452431</v>
      </c>
      <c r="K89" s="40">
        <v>26197</v>
      </c>
      <c r="L89" s="40">
        <v>30087</v>
      </c>
      <c r="M89" s="40">
        <v>594702</v>
      </c>
      <c r="N89" s="40" t="s">
        <v>651</v>
      </c>
      <c r="O89" s="40" t="s">
        <v>68</v>
      </c>
      <c r="P89" s="40" t="s">
        <v>36</v>
      </c>
      <c r="Q89" s="40" t="s">
        <v>203</v>
      </c>
      <c r="R89" s="42">
        <v>10395859816</v>
      </c>
      <c r="S89" s="42" t="s">
        <v>205</v>
      </c>
      <c r="T89" s="40" t="s">
        <v>537</v>
      </c>
      <c r="U89" s="41">
        <v>44616.652083333334</v>
      </c>
      <c r="V89" s="41">
        <v>44596.854166666664</v>
      </c>
      <c r="W89" s="41">
        <v>44596.958333333336</v>
      </c>
      <c r="X89" s="40" t="s">
        <v>293</v>
      </c>
      <c r="Y89" s="41">
        <v>44627.953472222223</v>
      </c>
      <c r="Z89" s="41">
        <v>44625.041666666664</v>
      </c>
      <c r="AA89" s="41">
        <v>44620.5</v>
      </c>
      <c r="AB89" s="41">
        <v>44629.75</v>
      </c>
      <c r="AC89" s="40" t="s">
        <v>652</v>
      </c>
      <c r="AD89" s="40" t="s">
        <v>653</v>
      </c>
      <c r="AE89" s="40">
        <v>5468</v>
      </c>
      <c r="AF89" s="40">
        <v>1283</v>
      </c>
      <c r="AG89" s="40"/>
      <c r="AH89" s="40" t="s">
        <v>309</v>
      </c>
      <c r="AI89" s="41">
        <v>44648.625</v>
      </c>
      <c r="AJ89" s="40"/>
      <c r="AK89" s="43">
        <v>950</v>
      </c>
      <c r="AL89" s="40"/>
      <c r="AM89" s="43">
        <v>0</v>
      </c>
      <c r="AN89" s="43"/>
      <c r="AO89" s="43"/>
      <c r="AP89" s="43"/>
      <c r="AQ89" s="43">
        <v>0</v>
      </c>
      <c r="AR89" s="43">
        <v>0</v>
      </c>
      <c r="AS89" s="43"/>
      <c r="AT89" s="43">
        <v>0</v>
      </c>
      <c r="AU89" s="43"/>
      <c r="AV89" s="43"/>
      <c r="AW89" s="43"/>
      <c r="AX89" s="43">
        <v>0</v>
      </c>
      <c r="AY89" s="43">
        <v>0</v>
      </c>
      <c r="AZ89" s="43">
        <v>0</v>
      </c>
      <c r="BA89" s="43">
        <v>0</v>
      </c>
      <c r="BB89" s="43">
        <v>0</v>
      </c>
      <c r="BC89" s="43">
        <v>0</v>
      </c>
      <c r="BD89" s="43">
        <v>0</v>
      </c>
      <c r="BE89" s="43">
        <v>0</v>
      </c>
      <c r="BF89" s="43">
        <v>0</v>
      </c>
      <c r="BG89" s="43">
        <v>0</v>
      </c>
      <c r="BH89" s="43">
        <v>0</v>
      </c>
      <c r="BI89" s="40" t="s">
        <v>296</v>
      </c>
      <c r="BJ89" s="40">
        <v>2022</v>
      </c>
      <c r="BK89" s="40" t="s">
        <v>2768</v>
      </c>
      <c r="BL89" s="40" t="s">
        <v>2768</v>
      </c>
      <c r="BM89" s="40" t="s">
        <v>125</v>
      </c>
    </row>
    <row r="90" spans="1:65" x14ac:dyDescent="0.25">
      <c r="A90" s="40" t="s">
        <v>2771</v>
      </c>
      <c r="B90" s="41">
        <v>44620.291666666664</v>
      </c>
      <c r="C90" s="40" t="s">
        <v>353</v>
      </c>
      <c r="D90" s="40" t="s">
        <v>354</v>
      </c>
      <c r="E90" s="40">
        <v>7533331</v>
      </c>
      <c r="F90" s="40">
        <v>65794243</v>
      </c>
      <c r="G90" s="40" t="s">
        <v>654</v>
      </c>
      <c r="H90" s="40" t="s">
        <v>301</v>
      </c>
      <c r="I90" s="40">
        <v>3800</v>
      </c>
      <c r="J90" s="40" t="s">
        <v>655</v>
      </c>
      <c r="K90" s="40">
        <v>26545</v>
      </c>
      <c r="L90" s="40">
        <v>30345</v>
      </c>
      <c r="M90" s="40">
        <v>594715</v>
      </c>
      <c r="N90" s="40" t="s">
        <v>656</v>
      </c>
      <c r="O90" s="40" t="s">
        <v>155</v>
      </c>
      <c r="P90" s="40" t="s">
        <v>312</v>
      </c>
      <c r="Q90" s="40" t="s">
        <v>445</v>
      </c>
      <c r="R90" s="42" t="s">
        <v>618</v>
      </c>
      <c r="S90" s="42" t="s">
        <v>446</v>
      </c>
      <c r="T90" s="40" t="s">
        <v>537</v>
      </c>
      <c r="U90" s="41">
        <v>44618.34375</v>
      </c>
      <c r="V90" s="41"/>
      <c r="W90" s="41"/>
      <c r="X90" s="40" t="s">
        <v>293</v>
      </c>
      <c r="Y90" s="41">
        <v>44627.842361111114</v>
      </c>
      <c r="Z90" s="41">
        <v>44625.25</v>
      </c>
      <c r="AA90" s="41">
        <v>44621.75</v>
      </c>
      <c r="AB90" s="41">
        <v>44629.5</v>
      </c>
      <c r="AC90" s="40" t="s">
        <v>657</v>
      </c>
      <c r="AD90" s="40">
        <v>11797</v>
      </c>
      <c r="AE90" s="40">
        <v>5497</v>
      </c>
      <c r="AF90" s="40">
        <v>1282</v>
      </c>
      <c r="AG90" s="40"/>
      <c r="AH90" s="40" t="s">
        <v>309</v>
      </c>
      <c r="AI90" s="41">
        <v>44648.625</v>
      </c>
      <c r="AJ90" s="40"/>
      <c r="AK90" s="43">
        <v>950</v>
      </c>
      <c r="AL90" s="40"/>
      <c r="AM90" s="43">
        <v>0</v>
      </c>
      <c r="AN90" s="43"/>
      <c r="AO90" s="43"/>
      <c r="AP90" s="43"/>
      <c r="AQ90" s="43">
        <v>0</v>
      </c>
      <c r="AR90" s="43">
        <v>0</v>
      </c>
      <c r="AS90" s="43"/>
      <c r="AT90" s="43">
        <v>0</v>
      </c>
      <c r="AU90" s="43"/>
      <c r="AV90" s="43"/>
      <c r="AW90" s="43"/>
      <c r="AX90" s="43">
        <v>0</v>
      </c>
      <c r="AY90" s="43">
        <v>0</v>
      </c>
      <c r="AZ90" s="43">
        <v>0</v>
      </c>
      <c r="BA90" s="43">
        <v>0</v>
      </c>
      <c r="BB90" s="43">
        <v>0</v>
      </c>
      <c r="BC90" s="43">
        <v>0</v>
      </c>
      <c r="BD90" s="43">
        <v>0</v>
      </c>
      <c r="BE90" s="43">
        <v>0</v>
      </c>
      <c r="BF90" s="43">
        <v>0</v>
      </c>
      <c r="BG90" s="43">
        <v>0</v>
      </c>
      <c r="BH90" s="43">
        <v>0</v>
      </c>
      <c r="BI90" s="40" t="s">
        <v>453</v>
      </c>
      <c r="BJ90" s="40">
        <v>1900</v>
      </c>
      <c r="BK90" s="40" t="s">
        <v>2768</v>
      </c>
      <c r="BL90" s="40" t="s">
        <v>2768</v>
      </c>
      <c r="BM90" s="40" t="s">
        <v>125</v>
      </c>
    </row>
    <row r="91" spans="1:65" x14ac:dyDescent="0.25">
      <c r="A91" s="40" t="s">
        <v>2771</v>
      </c>
      <c r="B91" s="41">
        <v>44620.291666666664</v>
      </c>
      <c r="C91" s="40" t="s">
        <v>353</v>
      </c>
      <c r="D91" s="40" t="s">
        <v>400</v>
      </c>
      <c r="E91" s="40" t="s">
        <v>658</v>
      </c>
      <c r="F91" s="40" t="s">
        <v>659</v>
      </c>
      <c r="G91" s="40" t="s">
        <v>660</v>
      </c>
      <c r="H91" s="40" t="s">
        <v>301</v>
      </c>
      <c r="I91" s="40">
        <v>3700</v>
      </c>
      <c r="J91" s="40" t="s">
        <v>661</v>
      </c>
      <c r="K91" s="40">
        <v>13036</v>
      </c>
      <c r="L91" s="40">
        <v>16736</v>
      </c>
      <c r="M91" s="40" t="s">
        <v>662</v>
      </c>
      <c r="N91" s="40" t="s">
        <v>663</v>
      </c>
      <c r="O91" s="40" t="s">
        <v>164</v>
      </c>
      <c r="P91" s="40" t="s">
        <v>165</v>
      </c>
      <c r="Q91" s="40" t="s">
        <v>166</v>
      </c>
      <c r="R91" s="42" t="s">
        <v>167</v>
      </c>
      <c r="S91" s="42" t="s">
        <v>168</v>
      </c>
      <c r="T91" s="40" t="s">
        <v>537</v>
      </c>
      <c r="U91" s="41">
        <v>44618.020833333336</v>
      </c>
      <c r="V91" s="41">
        <v>44620.291666666664</v>
      </c>
      <c r="W91" s="41">
        <v>44621.104166666664</v>
      </c>
      <c r="X91" s="40" t="s">
        <v>293</v>
      </c>
      <c r="Y91" s="41">
        <v>44628.854166666664</v>
      </c>
      <c r="Z91" s="41"/>
      <c r="AA91" s="41">
        <v>44623.5</v>
      </c>
      <c r="AB91" s="41"/>
      <c r="AC91" s="40" t="s">
        <v>664</v>
      </c>
      <c r="AD91" s="40" t="s">
        <v>665</v>
      </c>
      <c r="AE91" s="40">
        <v>5485</v>
      </c>
      <c r="AF91" s="40">
        <v>1289</v>
      </c>
      <c r="AG91" s="40" t="s">
        <v>666</v>
      </c>
      <c r="AH91" s="40" t="s">
        <v>309</v>
      </c>
      <c r="AI91" s="41">
        <v>44622.645833333336</v>
      </c>
      <c r="AJ91" s="40">
        <v>1</v>
      </c>
      <c r="AK91" s="43">
        <v>950</v>
      </c>
      <c r="AL91" s="40"/>
      <c r="AM91" s="43">
        <v>0</v>
      </c>
      <c r="AN91" s="43">
        <v>2200</v>
      </c>
      <c r="AO91" s="43">
        <v>400</v>
      </c>
      <c r="AP91" s="43"/>
      <c r="AQ91" s="43">
        <v>2600</v>
      </c>
      <c r="AR91" s="43">
        <v>290.12626200000005</v>
      </c>
      <c r="AS91" s="43"/>
      <c r="AT91" s="43">
        <v>4310.9400000000005</v>
      </c>
      <c r="AU91" s="43">
        <v>2250</v>
      </c>
      <c r="AV91" s="43">
        <v>288944.7</v>
      </c>
      <c r="AW91" s="43">
        <v>288.94</v>
      </c>
      <c r="AX91" s="43"/>
      <c r="AY91" s="43">
        <v>392</v>
      </c>
      <c r="AZ91" s="43">
        <v>0</v>
      </c>
      <c r="BA91" s="43">
        <v>0</v>
      </c>
      <c r="BB91" s="43">
        <v>0</v>
      </c>
      <c r="BC91" s="43">
        <v>0</v>
      </c>
      <c r="BD91" s="43">
        <v>0</v>
      </c>
      <c r="BE91" s="43">
        <v>0</v>
      </c>
      <c r="BF91" s="43">
        <v>300</v>
      </c>
      <c r="BG91" s="43">
        <v>300</v>
      </c>
      <c r="BH91" s="43">
        <v>780</v>
      </c>
      <c r="BI91" s="40" t="s">
        <v>296</v>
      </c>
      <c r="BJ91" s="40">
        <v>2022</v>
      </c>
      <c r="BK91" s="40" t="s">
        <v>2768</v>
      </c>
      <c r="BL91" s="40" t="s">
        <v>2768</v>
      </c>
      <c r="BM91" s="40" t="s">
        <v>125</v>
      </c>
    </row>
    <row r="92" spans="1:65" x14ac:dyDescent="0.25">
      <c r="A92" s="40" t="s">
        <v>2771</v>
      </c>
      <c r="B92" s="41">
        <v>44621.625</v>
      </c>
      <c r="C92" s="40" t="s">
        <v>353</v>
      </c>
      <c r="D92" s="40" t="s">
        <v>354</v>
      </c>
      <c r="E92" s="40">
        <v>7444640</v>
      </c>
      <c r="F92" s="40">
        <v>60794341</v>
      </c>
      <c r="G92" s="40" t="s">
        <v>667</v>
      </c>
      <c r="H92" s="40" t="s">
        <v>301</v>
      </c>
      <c r="I92" s="40">
        <v>3900</v>
      </c>
      <c r="J92" s="40" t="s">
        <v>668</v>
      </c>
      <c r="K92" s="40">
        <v>25504</v>
      </c>
      <c r="L92" s="40">
        <v>29404</v>
      </c>
      <c r="M92" s="40">
        <v>595170</v>
      </c>
      <c r="N92" s="40" t="s">
        <v>628</v>
      </c>
      <c r="O92" s="40" t="s">
        <v>106</v>
      </c>
      <c r="P92" s="40" t="s">
        <v>107</v>
      </c>
      <c r="Q92" s="40" t="s">
        <v>108</v>
      </c>
      <c r="R92" s="42" t="s">
        <v>109</v>
      </c>
      <c r="S92" s="42" t="s">
        <v>110</v>
      </c>
      <c r="T92" s="40" t="s">
        <v>537</v>
      </c>
      <c r="U92" s="41">
        <v>44621.375</v>
      </c>
      <c r="V92" s="41">
        <v>44621.583333333336</v>
      </c>
      <c r="W92" s="41">
        <v>44621.708333333336</v>
      </c>
      <c r="X92" s="40" t="s">
        <v>410</v>
      </c>
      <c r="Y92" s="41">
        <v>44625.117361111108</v>
      </c>
      <c r="Z92" s="41">
        <v>44618.791666666664</v>
      </c>
      <c r="AA92" s="41">
        <v>44620.5</v>
      </c>
      <c r="AB92" s="41">
        <v>44622.416666666664</v>
      </c>
      <c r="AC92" s="40" t="s">
        <v>352</v>
      </c>
      <c r="AD92" s="40">
        <v>11803</v>
      </c>
      <c r="AE92" s="40">
        <v>5486</v>
      </c>
      <c r="AF92" s="40">
        <v>1273</v>
      </c>
      <c r="AG92" s="40"/>
      <c r="AH92" s="40" t="s">
        <v>393</v>
      </c>
      <c r="AI92" s="41">
        <v>44622.5625</v>
      </c>
      <c r="AJ92" s="40">
        <v>1</v>
      </c>
      <c r="AK92" s="43">
        <v>950</v>
      </c>
      <c r="AL92" s="40"/>
      <c r="AM92" s="43">
        <v>0</v>
      </c>
      <c r="AN92" s="43"/>
      <c r="AO92" s="43"/>
      <c r="AP92" s="43"/>
      <c r="AQ92" s="43">
        <v>0</v>
      </c>
      <c r="AR92" s="43">
        <v>0</v>
      </c>
      <c r="AS92" s="43"/>
      <c r="AT92" s="43">
        <v>0</v>
      </c>
      <c r="AU92" s="43"/>
      <c r="AV92" s="43"/>
      <c r="AW92" s="43"/>
      <c r="AX92" s="43">
        <v>0</v>
      </c>
      <c r="AY92" s="43">
        <v>0</v>
      </c>
      <c r="AZ92" s="43">
        <v>0</v>
      </c>
      <c r="BA92" s="43">
        <v>0</v>
      </c>
      <c r="BB92" s="43">
        <v>0</v>
      </c>
      <c r="BC92" s="43">
        <v>0</v>
      </c>
      <c r="BD92" s="43">
        <v>0</v>
      </c>
      <c r="BE92" s="43">
        <v>0</v>
      </c>
      <c r="BF92" s="43">
        <v>0</v>
      </c>
      <c r="BG92" s="43">
        <v>0</v>
      </c>
      <c r="BH92" s="43">
        <v>0</v>
      </c>
      <c r="BI92" s="40" t="s">
        <v>669</v>
      </c>
      <c r="BJ92" s="40">
        <v>2022</v>
      </c>
      <c r="BK92" s="40" t="s">
        <v>2768</v>
      </c>
      <c r="BL92" s="40" t="s">
        <v>2768</v>
      </c>
      <c r="BM92" s="40" t="s">
        <v>125</v>
      </c>
    </row>
    <row r="93" spans="1:65" x14ac:dyDescent="0.25">
      <c r="A93" s="40" t="s">
        <v>2771</v>
      </c>
      <c r="B93" s="41">
        <v>44621.625</v>
      </c>
      <c r="C93" s="40" t="s">
        <v>353</v>
      </c>
      <c r="D93" s="40" t="s">
        <v>354</v>
      </c>
      <c r="E93" s="40">
        <v>7444640</v>
      </c>
      <c r="F93" s="40">
        <v>60794341</v>
      </c>
      <c r="G93" s="40" t="s">
        <v>670</v>
      </c>
      <c r="H93" s="40" t="s">
        <v>301</v>
      </c>
      <c r="I93" s="40">
        <v>3850</v>
      </c>
      <c r="J93" s="40" t="s">
        <v>671</v>
      </c>
      <c r="K93" s="40">
        <v>25504</v>
      </c>
      <c r="L93" s="40">
        <v>29354</v>
      </c>
      <c r="M93" s="40">
        <v>595187</v>
      </c>
      <c r="N93" s="40" t="s">
        <v>672</v>
      </c>
      <c r="O93" s="40" t="s">
        <v>72</v>
      </c>
      <c r="P93" s="40" t="s">
        <v>73</v>
      </c>
      <c r="Q93" s="40" t="s">
        <v>74</v>
      </c>
      <c r="R93" s="42" t="s">
        <v>75</v>
      </c>
      <c r="S93" s="42">
        <v>3595479067</v>
      </c>
      <c r="T93" s="40" t="s">
        <v>537</v>
      </c>
      <c r="U93" s="41">
        <v>44621.375</v>
      </c>
      <c r="V93" s="41">
        <v>44621.541666666664</v>
      </c>
      <c r="W93" s="41">
        <v>44621.708333333336</v>
      </c>
      <c r="X93" s="40" t="s">
        <v>410</v>
      </c>
      <c r="Y93" s="41">
        <v>44622.038888888892</v>
      </c>
      <c r="Z93" s="41">
        <v>44618.791666666664</v>
      </c>
      <c r="AA93" s="41">
        <v>44620.5</v>
      </c>
      <c r="AB93" s="41">
        <v>44622.416666666664</v>
      </c>
      <c r="AC93" s="40" t="s">
        <v>352</v>
      </c>
      <c r="AD93" s="40">
        <v>11807</v>
      </c>
      <c r="AE93" s="40">
        <v>5487</v>
      </c>
      <c r="AF93" s="40" t="s">
        <v>125</v>
      </c>
      <c r="AG93" s="40"/>
      <c r="AH93" s="40" t="s">
        <v>295</v>
      </c>
      <c r="AI93" s="41"/>
      <c r="AJ93" s="40"/>
      <c r="AK93" s="43"/>
      <c r="AL93" s="40"/>
      <c r="AM93" s="43">
        <v>0</v>
      </c>
      <c r="AN93" s="43"/>
      <c r="AO93" s="43"/>
      <c r="AP93" s="43"/>
      <c r="AQ93" s="43">
        <v>0</v>
      </c>
      <c r="AR93" s="43">
        <v>0</v>
      </c>
      <c r="AS93" s="43"/>
      <c r="AT93" s="43">
        <v>0</v>
      </c>
      <c r="AU93" s="43"/>
      <c r="AV93" s="43"/>
      <c r="AW93" s="43"/>
      <c r="AX93" s="43">
        <v>0</v>
      </c>
      <c r="AY93" s="43">
        <v>0</v>
      </c>
      <c r="AZ93" s="43">
        <v>0</v>
      </c>
      <c r="BA93" s="43">
        <v>0</v>
      </c>
      <c r="BB93" s="43">
        <v>0</v>
      </c>
      <c r="BC93" s="43">
        <v>0</v>
      </c>
      <c r="BD93" s="43">
        <v>0</v>
      </c>
      <c r="BE93" s="43">
        <v>0</v>
      </c>
      <c r="BF93" s="43">
        <v>0</v>
      </c>
      <c r="BG93" s="43">
        <v>0</v>
      </c>
      <c r="BH93" s="43">
        <v>0</v>
      </c>
      <c r="BI93" s="40" t="s">
        <v>669</v>
      </c>
      <c r="BJ93" s="40">
        <v>2022</v>
      </c>
      <c r="BK93" s="40" t="s">
        <v>2768</v>
      </c>
      <c r="BL93" s="40" t="s">
        <v>2768</v>
      </c>
      <c r="BM93" s="40" t="s">
        <v>125</v>
      </c>
    </row>
    <row r="94" spans="1:65" x14ac:dyDescent="0.25">
      <c r="A94" s="40" t="s">
        <v>2771</v>
      </c>
      <c r="B94" s="41">
        <v>44621.625</v>
      </c>
      <c r="C94" s="40" t="s">
        <v>353</v>
      </c>
      <c r="D94" s="40" t="s">
        <v>354</v>
      </c>
      <c r="E94" s="40">
        <v>7444640</v>
      </c>
      <c r="F94" s="40">
        <v>60794341</v>
      </c>
      <c r="G94" s="40" t="s">
        <v>673</v>
      </c>
      <c r="H94" s="40" t="s">
        <v>301</v>
      </c>
      <c r="I94" s="40">
        <v>3700</v>
      </c>
      <c r="J94" s="40" t="s">
        <v>674</v>
      </c>
      <c r="K94" s="40">
        <v>25504</v>
      </c>
      <c r="L94" s="40">
        <v>29204</v>
      </c>
      <c r="M94" s="40">
        <v>595182</v>
      </c>
      <c r="N94" s="40" t="s">
        <v>628</v>
      </c>
      <c r="O94" s="40" t="s">
        <v>31</v>
      </c>
      <c r="P94" s="40" t="s">
        <v>36</v>
      </c>
      <c r="Q94" s="40" t="s">
        <v>33</v>
      </c>
      <c r="R94" s="42" t="s">
        <v>34</v>
      </c>
      <c r="S94" s="42" t="s">
        <v>35</v>
      </c>
      <c r="T94" s="40" t="s">
        <v>537</v>
      </c>
      <c r="U94" s="41">
        <v>44621.375</v>
      </c>
      <c r="V94" s="41">
        <v>44621.75</v>
      </c>
      <c r="W94" s="41">
        <v>44621.958333333336</v>
      </c>
      <c r="X94" s="40" t="s">
        <v>410</v>
      </c>
      <c r="Y94" s="41">
        <v>44625.066666666666</v>
      </c>
      <c r="Z94" s="41">
        <v>44618.791666666664</v>
      </c>
      <c r="AA94" s="41">
        <v>44620.5</v>
      </c>
      <c r="AB94" s="41">
        <v>44622.416666666664</v>
      </c>
      <c r="AC94" s="40" t="s">
        <v>352</v>
      </c>
      <c r="AD94" s="40">
        <v>11805</v>
      </c>
      <c r="AE94" s="40">
        <v>5488</v>
      </c>
      <c r="AF94" s="40">
        <v>1273</v>
      </c>
      <c r="AG94" s="40"/>
      <c r="AH94" s="40" t="s">
        <v>393</v>
      </c>
      <c r="AI94" s="41">
        <v>44622.5625</v>
      </c>
      <c r="AJ94" s="40"/>
      <c r="AK94" s="43">
        <v>950</v>
      </c>
      <c r="AL94" s="40"/>
      <c r="AM94" s="43">
        <v>0</v>
      </c>
      <c r="AN94" s="43"/>
      <c r="AO94" s="43"/>
      <c r="AP94" s="43"/>
      <c r="AQ94" s="43">
        <v>0</v>
      </c>
      <c r="AR94" s="43">
        <v>0</v>
      </c>
      <c r="AS94" s="43"/>
      <c r="AT94" s="43">
        <v>0</v>
      </c>
      <c r="AU94" s="43"/>
      <c r="AV94" s="43"/>
      <c r="AW94" s="43"/>
      <c r="AX94" s="43">
        <v>0</v>
      </c>
      <c r="AY94" s="43">
        <v>0</v>
      </c>
      <c r="AZ94" s="43">
        <v>0</v>
      </c>
      <c r="BA94" s="43">
        <v>0</v>
      </c>
      <c r="BB94" s="43">
        <v>0</v>
      </c>
      <c r="BC94" s="43">
        <v>0</v>
      </c>
      <c r="BD94" s="43">
        <v>0</v>
      </c>
      <c r="BE94" s="43">
        <v>0</v>
      </c>
      <c r="BF94" s="43">
        <v>0</v>
      </c>
      <c r="BG94" s="43">
        <v>0</v>
      </c>
      <c r="BH94" s="43">
        <v>0</v>
      </c>
      <c r="BI94" s="40" t="s">
        <v>669</v>
      </c>
      <c r="BJ94" s="40">
        <v>2022</v>
      </c>
      <c r="BK94" s="40" t="s">
        <v>2768</v>
      </c>
      <c r="BL94" s="40" t="s">
        <v>2768</v>
      </c>
      <c r="BM94" s="40" t="s">
        <v>125</v>
      </c>
    </row>
    <row r="95" spans="1:65" x14ac:dyDescent="0.25">
      <c r="A95" s="40" t="s">
        <v>2771</v>
      </c>
      <c r="B95" s="41">
        <v>44621.625</v>
      </c>
      <c r="C95" s="40" t="s">
        <v>353</v>
      </c>
      <c r="D95" s="40" t="s">
        <v>354</v>
      </c>
      <c r="E95" s="40">
        <v>7444640</v>
      </c>
      <c r="F95" s="40">
        <v>60794341</v>
      </c>
      <c r="G95" s="40" t="s">
        <v>675</v>
      </c>
      <c r="H95" s="40" t="s">
        <v>301</v>
      </c>
      <c r="I95" s="40">
        <v>3870</v>
      </c>
      <c r="J95" s="40" t="s">
        <v>676</v>
      </c>
      <c r="K95" s="40">
        <v>25504</v>
      </c>
      <c r="L95" s="40">
        <v>29374</v>
      </c>
      <c r="M95" s="40">
        <v>595178</v>
      </c>
      <c r="N95" s="40" t="s">
        <v>628</v>
      </c>
      <c r="O95" s="40" t="s">
        <v>102</v>
      </c>
      <c r="P95" s="40" t="s">
        <v>677</v>
      </c>
      <c r="Q95" s="40" t="s">
        <v>103</v>
      </c>
      <c r="R95" s="42" t="s">
        <v>104</v>
      </c>
      <c r="S95" s="42" t="s">
        <v>105</v>
      </c>
      <c r="T95" s="40" t="s">
        <v>537</v>
      </c>
      <c r="U95" s="41">
        <v>44621.375</v>
      </c>
      <c r="V95" s="41">
        <v>44621.604166666664</v>
      </c>
      <c r="W95" s="41">
        <v>44621.708333333336</v>
      </c>
      <c r="X95" s="40" t="s">
        <v>410</v>
      </c>
      <c r="Y95" s="41">
        <v>44625.077777777777</v>
      </c>
      <c r="Z95" s="41">
        <v>44618.791666666664</v>
      </c>
      <c r="AA95" s="41">
        <v>44620.5</v>
      </c>
      <c r="AB95" s="41">
        <v>44622.416666666664</v>
      </c>
      <c r="AC95" s="40" t="s">
        <v>352</v>
      </c>
      <c r="AD95" s="40">
        <v>11804</v>
      </c>
      <c r="AE95" s="40">
        <v>5489</v>
      </c>
      <c r="AF95" s="40">
        <v>1273</v>
      </c>
      <c r="AG95" s="40"/>
      <c r="AH95" s="40" t="s">
        <v>393</v>
      </c>
      <c r="AI95" s="41">
        <v>44622.5625</v>
      </c>
      <c r="AJ95" s="40"/>
      <c r="AK95" s="43">
        <v>950</v>
      </c>
      <c r="AL95" s="40"/>
      <c r="AM95" s="43">
        <v>0</v>
      </c>
      <c r="AN95" s="43"/>
      <c r="AO95" s="43"/>
      <c r="AP95" s="43"/>
      <c r="AQ95" s="43">
        <v>0</v>
      </c>
      <c r="AR95" s="43">
        <v>0</v>
      </c>
      <c r="AS95" s="43"/>
      <c r="AT95" s="43">
        <v>0</v>
      </c>
      <c r="AU95" s="43"/>
      <c r="AV95" s="43"/>
      <c r="AW95" s="43"/>
      <c r="AX95" s="43">
        <v>0</v>
      </c>
      <c r="AY95" s="43">
        <v>0</v>
      </c>
      <c r="AZ95" s="43">
        <v>0</v>
      </c>
      <c r="BA95" s="43">
        <v>0</v>
      </c>
      <c r="BB95" s="43">
        <v>0</v>
      </c>
      <c r="BC95" s="43">
        <v>0</v>
      </c>
      <c r="BD95" s="43">
        <v>0</v>
      </c>
      <c r="BE95" s="43">
        <v>0</v>
      </c>
      <c r="BF95" s="43">
        <v>0</v>
      </c>
      <c r="BG95" s="43">
        <v>0</v>
      </c>
      <c r="BH95" s="43">
        <v>0</v>
      </c>
      <c r="BI95" s="40" t="s">
        <v>669</v>
      </c>
      <c r="BJ95" s="40">
        <v>2022</v>
      </c>
      <c r="BK95" s="40" t="s">
        <v>2768</v>
      </c>
      <c r="BL95" s="40" t="s">
        <v>2768</v>
      </c>
      <c r="BM95" s="40" t="s">
        <v>125</v>
      </c>
    </row>
    <row r="96" spans="1:65" x14ac:dyDescent="0.25">
      <c r="A96" s="40" t="s">
        <v>2771</v>
      </c>
      <c r="B96" s="41">
        <v>44621.625</v>
      </c>
      <c r="C96" s="40" t="s">
        <v>353</v>
      </c>
      <c r="D96" s="40" t="s">
        <v>354</v>
      </c>
      <c r="E96" s="40">
        <v>7444640</v>
      </c>
      <c r="F96" s="40">
        <v>60794341</v>
      </c>
      <c r="G96" s="40" t="s">
        <v>678</v>
      </c>
      <c r="H96" s="40" t="s">
        <v>301</v>
      </c>
      <c r="I96" s="40">
        <v>3840</v>
      </c>
      <c r="J96" s="40" t="s">
        <v>679</v>
      </c>
      <c r="K96" s="40">
        <v>25504</v>
      </c>
      <c r="L96" s="40">
        <v>29344</v>
      </c>
      <c r="M96" s="40">
        <v>595181</v>
      </c>
      <c r="N96" s="40" t="s">
        <v>672</v>
      </c>
      <c r="O96" s="40" t="s">
        <v>150</v>
      </c>
      <c r="P96" s="40" t="s">
        <v>151</v>
      </c>
      <c r="Q96" s="40" t="s">
        <v>680</v>
      </c>
      <c r="R96" s="42" t="s">
        <v>681</v>
      </c>
      <c r="S96" s="42" t="s">
        <v>682</v>
      </c>
      <c r="T96" s="40" t="s">
        <v>537</v>
      </c>
      <c r="U96" s="41">
        <v>44621.375</v>
      </c>
      <c r="V96" s="41">
        <v>44621.375</v>
      </c>
      <c r="W96" s="41">
        <v>44621.708333333336</v>
      </c>
      <c r="X96" s="40" t="s">
        <v>410</v>
      </c>
      <c r="Y96" s="41">
        <v>44622.055555555555</v>
      </c>
      <c r="Z96" s="41">
        <v>44618.791666666664</v>
      </c>
      <c r="AA96" s="41">
        <v>44620.5</v>
      </c>
      <c r="AB96" s="41">
        <v>44622.416666666664</v>
      </c>
      <c r="AC96" s="40" t="s">
        <v>352</v>
      </c>
      <c r="AD96" s="40">
        <v>11806</v>
      </c>
      <c r="AE96" s="40">
        <v>5490</v>
      </c>
      <c r="AF96" s="40" t="s">
        <v>125</v>
      </c>
      <c r="AG96" s="40"/>
      <c r="AH96" s="40" t="s">
        <v>295</v>
      </c>
      <c r="AI96" s="41"/>
      <c r="AJ96" s="40"/>
      <c r="AK96" s="43"/>
      <c r="AL96" s="40"/>
      <c r="AM96" s="43">
        <v>0</v>
      </c>
      <c r="AN96" s="43"/>
      <c r="AO96" s="43"/>
      <c r="AP96" s="43"/>
      <c r="AQ96" s="43">
        <v>0</v>
      </c>
      <c r="AR96" s="43">
        <v>0</v>
      </c>
      <c r="AS96" s="43"/>
      <c r="AT96" s="43">
        <v>0</v>
      </c>
      <c r="AU96" s="43"/>
      <c r="AV96" s="43"/>
      <c r="AW96" s="43"/>
      <c r="AX96" s="43">
        <v>0</v>
      </c>
      <c r="AY96" s="43">
        <v>0</v>
      </c>
      <c r="AZ96" s="43">
        <v>0</v>
      </c>
      <c r="BA96" s="43">
        <v>0</v>
      </c>
      <c r="BB96" s="43">
        <v>0</v>
      </c>
      <c r="BC96" s="43">
        <v>0</v>
      </c>
      <c r="BD96" s="43">
        <v>0</v>
      </c>
      <c r="BE96" s="43">
        <v>0</v>
      </c>
      <c r="BF96" s="43">
        <v>0</v>
      </c>
      <c r="BG96" s="43">
        <v>0</v>
      </c>
      <c r="BH96" s="43">
        <v>0</v>
      </c>
      <c r="BI96" s="40" t="s">
        <v>669</v>
      </c>
      <c r="BJ96" s="40">
        <v>2022</v>
      </c>
      <c r="BK96" s="40" t="s">
        <v>2768</v>
      </c>
      <c r="BL96" s="40" t="s">
        <v>2768</v>
      </c>
      <c r="BM96" s="40" t="s">
        <v>125</v>
      </c>
    </row>
    <row r="97" spans="1:65" x14ac:dyDescent="0.25">
      <c r="A97" s="40" t="s">
        <v>2771</v>
      </c>
      <c r="B97" s="41">
        <v>44621.625</v>
      </c>
      <c r="C97" s="40" t="s">
        <v>353</v>
      </c>
      <c r="D97" s="40" t="s">
        <v>354</v>
      </c>
      <c r="E97" s="40">
        <v>7444640</v>
      </c>
      <c r="F97" s="40">
        <v>60794341</v>
      </c>
      <c r="G97" s="40" t="s">
        <v>683</v>
      </c>
      <c r="H97" s="40" t="s">
        <v>301</v>
      </c>
      <c r="I97" s="40">
        <v>3810</v>
      </c>
      <c r="J97" s="40" t="s">
        <v>684</v>
      </c>
      <c r="K97" s="40">
        <v>25504</v>
      </c>
      <c r="L97" s="40">
        <v>29314</v>
      </c>
      <c r="M97" s="40">
        <v>595196</v>
      </c>
      <c r="N97" s="40" t="s">
        <v>628</v>
      </c>
      <c r="O97" s="40" t="s">
        <v>92</v>
      </c>
      <c r="P97" s="40" t="s">
        <v>93</v>
      </c>
      <c r="Q97" s="40" t="s">
        <v>94</v>
      </c>
      <c r="R97" s="42" t="s">
        <v>95</v>
      </c>
      <c r="S97" s="42" t="s">
        <v>96</v>
      </c>
      <c r="T97" s="40" t="s">
        <v>537</v>
      </c>
      <c r="U97" s="41">
        <v>44621.375</v>
      </c>
      <c r="V97" s="41">
        <v>44621.375</v>
      </c>
      <c r="W97" s="41">
        <v>44621.708333333336</v>
      </c>
      <c r="X97" s="40" t="s">
        <v>410</v>
      </c>
      <c r="Y97" s="41">
        <v>44625.068055555559</v>
      </c>
      <c r="Z97" s="41">
        <v>44618.791666666664</v>
      </c>
      <c r="AA97" s="41">
        <v>44620.5</v>
      </c>
      <c r="AB97" s="41">
        <v>44622.416666666664</v>
      </c>
      <c r="AC97" s="40" t="s">
        <v>352</v>
      </c>
      <c r="AD97" s="40">
        <v>11808</v>
      </c>
      <c r="AE97" s="40">
        <v>5491</v>
      </c>
      <c r="AF97" s="40">
        <v>1273</v>
      </c>
      <c r="AG97" s="40"/>
      <c r="AH97" s="40" t="s">
        <v>393</v>
      </c>
      <c r="AI97" s="41">
        <v>44622.5625</v>
      </c>
      <c r="AJ97" s="40"/>
      <c r="AK97" s="43">
        <v>950</v>
      </c>
      <c r="AL97" s="40"/>
      <c r="AM97" s="43">
        <v>0</v>
      </c>
      <c r="AN97" s="43"/>
      <c r="AO97" s="43"/>
      <c r="AP97" s="43"/>
      <c r="AQ97" s="43">
        <v>0</v>
      </c>
      <c r="AR97" s="43">
        <v>0</v>
      </c>
      <c r="AS97" s="43"/>
      <c r="AT97" s="43">
        <v>0</v>
      </c>
      <c r="AU97" s="43"/>
      <c r="AV97" s="43"/>
      <c r="AW97" s="43"/>
      <c r="AX97" s="43">
        <v>0</v>
      </c>
      <c r="AY97" s="43">
        <v>0</v>
      </c>
      <c r="AZ97" s="43">
        <v>0</v>
      </c>
      <c r="BA97" s="43">
        <v>0</v>
      </c>
      <c r="BB97" s="43">
        <v>0</v>
      </c>
      <c r="BC97" s="43">
        <v>0</v>
      </c>
      <c r="BD97" s="43">
        <v>0</v>
      </c>
      <c r="BE97" s="43">
        <v>0</v>
      </c>
      <c r="BF97" s="43">
        <v>0</v>
      </c>
      <c r="BG97" s="43">
        <v>0</v>
      </c>
      <c r="BH97" s="43">
        <v>0</v>
      </c>
      <c r="BI97" s="40" t="s">
        <v>669</v>
      </c>
      <c r="BJ97" s="40">
        <v>2022</v>
      </c>
      <c r="BK97" s="40" t="s">
        <v>2768</v>
      </c>
      <c r="BL97" s="40" t="s">
        <v>2768</v>
      </c>
      <c r="BM97" s="40" t="s">
        <v>125</v>
      </c>
    </row>
    <row r="98" spans="1:65" x14ac:dyDescent="0.25">
      <c r="A98" s="40" t="s">
        <v>2771</v>
      </c>
      <c r="B98" s="41">
        <v>44622.291666666664</v>
      </c>
      <c r="C98" s="40" t="s">
        <v>353</v>
      </c>
      <c r="D98" s="40" t="s">
        <v>354</v>
      </c>
      <c r="E98" s="40">
        <v>7444896</v>
      </c>
      <c r="F98" s="40">
        <v>69794337</v>
      </c>
      <c r="G98" s="40" t="s">
        <v>685</v>
      </c>
      <c r="H98" s="40" t="s">
        <v>301</v>
      </c>
      <c r="I98" s="40">
        <v>3950</v>
      </c>
      <c r="J98" s="40" t="s">
        <v>686</v>
      </c>
      <c r="K98" s="40">
        <v>25504</v>
      </c>
      <c r="L98" s="40">
        <v>29454</v>
      </c>
      <c r="M98" s="40">
        <v>595228</v>
      </c>
      <c r="N98" s="40" t="s">
        <v>628</v>
      </c>
      <c r="O98" s="40" t="s">
        <v>178</v>
      </c>
      <c r="P98" s="40" t="s">
        <v>179</v>
      </c>
      <c r="Q98" s="40" t="s">
        <v>180</v>
      </c>
      <c r="R98" s="42">
        <v>18990500869</v>
      </c>
      <c r="S98" s="42" t="s">
        <v>181</v>
      </c>
      <c r="T98" s="40" t="s">
        <v>537</v>
      </c>
      <c r="U98" s="41">
        <v>44621.6875</v>
      </c>
      <c r="V98" s="41">
        <v>44622.208333333336</v>
      </c>
      <c r="W98" s="41">
        <v>44622.375</v>
      </c>
      <c r="X98" s="40" t="s">
        <v>410</v>
      </c>
      <c r="Y98" s="41" t="s">
        <v>687</v>
      </c>
      <c r="Z98" s="41">
        <v>44623.041666666664</v>
      </c>
      <c r="AA98" s="41">
        <v>44620.5</v>
      </c>
      <c r="AB98" s="41">
        <v>44625.5</v>
      </c>
      <c r="AC98" s="40" t="s">
        <v>352</v>
      </c>
      <c r="AD98" s="40">
        <v>11813</v>
      </c>
      <c r="AE98" s="40">
        <v>5492</v>
      </c>
      <c r="AF98" s="40">
        <v>1274</v>
      </c>
      <c r="AG98" s="40"/>
      <c r="AH98" s="40" t="s">
        <v>393</v>
      </c>
      <c r="AI98" s="41">
        <v>44622.666666666664</v>
      </c>
      <c r="AJ98" s="40"/>
      <c r="AK98" s="43">
        <v>950</v>
      </c>
      <c r="AL98" s="40"/>
      <c r="AM98" s="43">
        <v>0</v>
      </c>
      <c r="AN98" s="43"/>
      <c r="AO98" s="43"/>
      <c r="AP98" s="43"/>
      <c r="AQ98" s="43">
        <v>0</v>
      </c>
      <c r="AR98" s="43">
        <v>0</v>
      </c>
      <c r="AS98" s="43"/>
      <c r="AT98" s="43">
        <v>0</v>
      </c>
      <c r="AU98" s="43"/>
      <c r="AV98" s="43"/>
      <c r="AW98" s="43"/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0" t="s">
        <v>669</v>
      </c>
      <c r="BJ98" s="40">
        <v>2022</v>
      </c>
      <c r="BK98" s="40" t="s">
        <v>2768</v>
      </c>
      <c r="BL98" s="40" t="s">
        <v>2768</v>
      </c>
      <c r="BM98" s="40" t="s">
        <v>125</v>
      </c>
    </row>
    <row r="99" spans="1:65" x14ac:dyDescent="0.25">
      <c r="A99" s="40" t="s">
        <v>2771</v>
      </c>
      <c r="B99" s="41">
        <v>44622.291666666664</v>
      </c>
      <c r="C99" s="40" t="s">
        <v>353</v>
      </c>
      <c r="D99" s="40" t="s">
        <v>354</v>
      </c>
      <c r="E99" s="40">
        <v>7444896</v>
      </c>
      <c r="F99" s="40">
        <v>69794337</v>
      </c>
      <c r="G99" s="40" t="s">
        <v>688</v>
      </c>
      <c r="H99" s="40" t="s">
        <v>301</v>
      </c>
      <c r="I99" s="40">
        <v>3890</v>
      </c>
      <c r="J99" s="40" t="s">
        <v>689</v>
      </c>
      <c r="K99" s="40">
        <v>25504</v>
      </c>
      <c r="L99" s="40">
        <v>29394</v>
      </c>
      <c r="M99" s="40">
        <v>595223</v>
      </c>
      <c r="N99" s="40" t="s">
        <v>628</v>
      </c>
      <c r="O99" s="40" t="s">
        <v>68</v>
      </c>
      <c r="P99" s="40" t="s">
        <v>36</v>
      </c>
      <c r="Q99" s="40" t="s">
        <v>203</v>
      </c>
      <c r="R99" s="42" t="s">
        <v>204</v>
      </c>
      <c r="S99" s="42" t="s">
        <v>205</v>
      </c>
      <c r="T99" s="40" t="s">
        <v>537</v>
      </c>
      <c r="U99" s="41">
        <v>44621.701388888891</v>
      </c>
      <c r="V99" s="41">
        <v>44621.833333333336</v>
      </c>
      <c r="W99" s="41">
        <v>44621.958333333336</v>
      </c>
      <c r="X99" s="40" t="s">
        <v>410</v>
      </c>
      <c r="Y99" s="41">
        <v>44623.879166666666</v>
      </c>
      <c r="Z99" s="41">
        <v>44623.041666666664</v>
      </c>
      <c r="AA99" s="41">
        <v>44620.5</v>
      </c>
      <c r="AB99" s="41">
        <v>44625.5</v>
      </c>
      <c r="AC99" s="40" t="s">
        <v>352</v>
      </c>
      <c r="AD99" s="40">
        <v>11810</v>
      </c>
      <c r="AE99" s="40">
        <v>5493</v>
      </c>
      <c r="AF99" s="40">
        <v>1274</v>
      </c>
      <c r="AG99" s="40"/>
      <c r="AH99" s="40" t="s">
        <v>393</v>
      </c>
      <c r="AI99" s="41">
        <v>44622.125</v>
      </c>
      <c r="AJ99" s="40"/>
      <c r="AK99" s="43">
        <v>950</v>
      </c>
      <c r="AL99" s="40"/>
      <c r="AM99" s="43">
        <v>0</v>
      </c>
      <c r="AN99" s="43"/>
      <c r="AO99" s="43"/>
      <c r="AP99" s="43"/>
      <c r="AQ99" s="43">
        <v>0</v>
      </c>
      <c r="AR99" s="43">
        <v>0</v>
      </c>
      <c r="AS99" s="43"/>
      <c r="AT99" s="43">
        <v>0</v>
      </c>
      <c r="AU99" s="43"/>
      <c r="AV99" s="43"/>
      <c r="AW99" s="43"/>
      <c r="AX99" s="43">
        <v>0</v>
      </c>
      <c r="AY99" s="43">
        <v>0</v>
      </c>
      <c r="AZ99" s="43">
        <v>0</v>
      </c>
      <c r="BA99" s="43">
        <v>0</v>
      </c>
      <c r="BB99" s="43">
        <v>0</v>
      </c>
      <c r="BC99" s="43">
        <v>0</v>
      </c>
      <c r="BD99" s="43">
        <v>0</v>
      </c>
      <c r="BE99" s="43">
        <v>0</v>
      </c>
      <c r="BF99" s="43">
        <v>0</v>
      </c>
      <c r="BG99" s="43">
        <v>0</v>
      </c>
      <c r="BH99" s="43">
        <v>0</v>
      </c>
      <c r="BI99" s="40" t="s">
        <v>669</v>
      </c>
      <c r="BJ99" s="40">
        <v>2022</v>
      </c>
      <c r="BK99" s="40" t="s">
        <v>2768</v>
      </c>
      <c r="BL99" s="40" t="s">
        <v>2768</v>
      </c>
      <c r="BM99" s="40" t="s">
        <v>125</v>
      </c>
    </row>
    <row r="100" spans="1:65" x14ac:dyDescent="0.25">
      <c r="A100" s="40" t="s">
        <v>2771</v>
      </c>
      <c r="B100" s="41">
        <v>44622.291666666664</v>
      </c>
      <c r="C100" s="40" t="s">
        <v>353</v>
      </c>
      <c r="D100" s="40" t="s">
        <v>354</v>
      </c>
      <c r="E100" s="40">
        <v>7444896</v>
      </c>
      <c r="F100" s="40">
        <v>69794337</v>
      </c>
      <c r="G100" s="40" t="s">
        <v>690</v>
      </c>
      <c r="H100" s="40" t="s">
        <v>301</v>
      </c>
      <c r="I100" s="40">
        <v>3900</v>
      </c>
      <c r="J100" s="40" t="s">
        <v>691</v>
      </c>
      <c r="K100" s="40">
        <v>25504</v>
      </c>
      <c r="L100" s="40">
        <v>29404</v>
      </c>
      <c r="M100" s="40">
        <v>595222</v>
      </c>
      <c r="N100" s="40" t="s">
        <v>628</v>
      </c>
      <c r="O100" s="40" t="s">
        <v>155</v>
      </c>
      <c r="P100" s="40" t="s">
        <v>312</v>
      </c>
      <c r="Q100" s="40" t="s">
        <v>445</v>
      </c>
      <c r="R100" s="42" t="s">
        <v>618</v>
      </c>
      <c r="S100" s="42" t="s">
        <v>446</v>
      </c>
      <c r="T100" s="40" t="s">
        <v>537</v>
      </c>
      <c r="U100" s="41">
        <v>44621.65625</v>
      </c>
      <c r="V100" s="41">
        <v>44621.833333333336</v>
      </c>
      <c r="W100" s="41">
        <v>44621.958333333336</v>
      </c>
      <c r="X100" s="40" t="s">
        <v>410</v>
      </c>
      <c r="Y100" s="41">
        <v>44624.134722222225</v>
      </c>
      <c r="Z100" s="41">
        <v>44623.041666666664</v>
      </c>
      <c r="AA100" s="41">
        <v>44620.5</v>
      </c>
      <c r="AB100" s="41">
        <v>44625.5</v>
      </c>
      <c r="AC100" s="40" t="s">
        <v>352</v>
      </c>
      <c r="AD100" s="40">
        <v>11809</v>
      </c>
      <c r="AE100" s="40">
        <v>5494</v>
      </c>
      <c r="AF100" s="40">
        <v>1274</v>
      </c>
      <c r="AG100" s="40"/>
      <c r="AH100" s="40" t="s">
        <v>393</v>
      </c>
      <c r="AI100" s="41">
        <v>44622.125</v>
      </c>
      <c r="AJ100" s="40"/>
      <c r="AK100" s="43">
        <v>950</v>
      </c>
      <c r="AL100" s="40"/>
      <c r="AM100" s="43">
        <v>0</v>
      </c>
      <c r="AN100" s="43"/>
      <c r="AO100" s="43"/>
      <c r="AP100" s="43"/>
      <c r="AQ100" s="43">
        <v>0</v>
      </c>
      <c r="AR100" s="43">
        <v>0</v>
      </c>
      <c r="AS100" s="43"/>
      <c r="AT100" s="43">
        <v>0</v>
      </c>
      <c r="AU100" s="43"/>
      <c r="AV100" s="43"/>
      <c r="AW100" s="43"/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0" t="s">
        <v>669</v>
      </c>
      <c r="BJ100" s="40">
        <v>2022</v>
      </c>
      <c r="BK100" s="40" t="s">
        <v>2768</v>
      </c>
      <c r="BL100" s="40" t="s">
        <v>2768</v>
      </c>
      <c r="BM100" s="40" t="s">
        <v>125</v>
      </c>
    </row>
    <row r="101" spans="1:65" x14ac:dyDescent="0.25">
      <c r="A101" s="40" t="s">
        <v>2771</v>
      </c>
      <c r="B101" s="41">
        <v>44622.291666666664</v>
      </c>
      <c r="C101" s="40" t="s">
        <v>353</v>
      </c>
      <c r="D101" s="40" t="s">
        <v>354</v>
      </c>
      <c r="E101" s="40">
        <v>7444896</v>
      </c>
      <c r="F101" s="40">
        <v>69794337</v>
      </c>
      <c r="G101" s="40" t="s">
        <v>692</v>
      </c>
      <c r="H101" s="40" t="s">
        <v>301</v>
      </c>
      <c r="I101" s="40">
        <v>3810</v>
      </c>
      <c r="J101" s="40" t="s">
        <v>693</v>
      </c>
      <c r="K101" s="40">
        <v>25504</v>
      </c>
      <c r="L101" s="40">
        <v>29314</v>
      </c>
      <c r="M101" s="40">
        <v>595229</v>
      </c>
      <c r="N101" s="40" t="s">
        <v>628</v>
      </c>
      <c r="O101" s="40" t="s">
        <v>87</v>
      </c>
      <c r="P101" s="40" t="s">
        <v>88</v>
      </c>
      <c r="Q101" s="40" t="s">
        <v>89</v>
      </c>
      <c r="R101" s="42" t="s">
        <v>90</v>
      </c>
      <c r="S101" s="42" t="s">
        <v>91</v>
      </c>
      <c r="T101" s="40" t="s">
        <v>537</v>
      </c>
      <c r="U101" s="41">
        <v>44621.729166666664</v>
      </c>
      <c r="V101" s="41">
        <v>44622.208333333336</v>
      </c>
      <c r="W101" s="41">
        <v>44622.375</v>
      </c>
      <c r="X101" s="40" t="s">
        <v>410</v>
      </c>
      <c r="Y101" s="41">
        <v>44624.998611111114</v>
      </c>
      <c r="Z101" s="41">
        <v>44623.041666666664</v>
      </c>
      <c r="AA101" s="41">
        <v>44620.5</v>
      </c>
      <c r="AB101" s="41">
        <v>44625.5</v>
      </c>
      <c r="AC101" s="40" t="s">
        <v>352</v>
      </c>
      <c r="AD101" s="40">
        <v>11814</v>
      </c>
      <c r="AE101" s="40">
        <v>5495</v>
      </c>
      <c r="AF101" s="40">
        <v>1274</v>
      </c>
      <c r="AG101" s="40"/>
      <c r="AH101" s="40" t="s">
        <v>393</v>
      </c>
      <c r="AI101" s="41">
        <v>44622.666666666664</v>
      </c>
      <c r="AJ101" s="40"/>
      <c r="AK101" s="43">
        <v>950</v>
      </c>
      <c r="AL101" s="40"/>
      <c r="AM101" s="43">
        <v>0</v>
      </c>
      <c r="AN101" s="43"/>
      <c r="AO101" s="43"/>
      <c r="AP101" s="43"/>
      <c r="AQ101" s="43">
        <v>0</v>
      </c>
      <c r="AR101" s="43">
        <v>0</v>
      </c>
      <c r="AS101" s="43"/>
      <c r="AT101" s="43">
        <v>0</v>
      </c>
      <c r="AU101" s="43"/>
      <c r="AV101" s="43"/>
      <c r="AW101" s="43"/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0" t="s">
        <v>669</v>
      </c>
      <c r="BJ101" s="40">
        <v>2022</v>
      </c>
      <c r="BK101" s="40" t="s">
        <v>2768</v>
      </c>
      <c r="BL101" s="40" t="s">
        <v>2768</v>
      </c>
      <c r="BM101" s="40" t="s">
        <v>125</v>
      </c>
    </row>
    <row r="102" spans="1:65" x14ac:dyDescent="0.25">
      <c r="A102" s="40" t="s">
        <v>2771</v>
      </c>
      <c r="B102" s="41">
        <v>44622.291666666664</v>
      </c>
      <c r="C102" s="40" t="s">
        <v>353</v>
      </c>
      <c r="D102" s="40" t="s">
        <v>354</v>
      </c>
      <c r="E102" s="40">
        <v>7444896</v>
      </c>
      <c r="F102" s="40">
        <v>69794337</v>
      </c>
      <c r="G102" s="40" t="s">
        <v>694</v>
      </c>
      <c r="H102" s="40" t="s">
        <v>301</v>
      </c>
      <c r="I102" s="40">
        <v>3900</v>
      </c>
      <c r="J102" s="40" t="s">
        <v>695</v>
      </c>
      <c r="K102" s="40">
        <v>25504</v>
      </c>
      <c r="L102" s="40">
        <v>29404</v>
      </c>
      <c r="M102" s="40">
        <v>595227</v>
      </c>
      <c r="N102" s="40" t="s">
        <v>628</v>
      </c>
      <c r="O102" s="40" t="s">
        <v>140</v>
      </c>
      <c r="P102" s="40" t="s">
        <v>141</v>
      </c>
      <c r="Q102" s="40" t="s">
        <v>142</v>
      </c>
      <c r="R102" s="42" t="s">
        <v>143</v>
      </c>
      <c r="S102" s="42" t="s">
        <v>144</v>
      </c>
      <c r="T102" s="40" t="s">
        <v>537</v>
      </c>
      <c r="U102" s="41">
        <v>44621.729166666664</v>
      </c>
      <c r="V102" s="41">
        <v>44622.208333333336</v>
      </c>
      <c r="W102" s="41">
        <v>44622.375</v>
      </c>
      <c r="X102" s="40" t="s">
        <v>410</v>
      </c>
      <c r="Y102" s="41">
        <v>44625.021527777775</v>
      </c>
      <c r="Z102" s="41">
        <v>44623.041666666664</v>
      </c>
      <c r="AA102" s="41">
        <v>44620.5</v>
      </c>
      <c r="AB102" s="41">
        <v>44625.5</v>
      </c>
      <c r="AC102" s="40" t="s">
        <v>352</v>
      </c>
      <c r="AD102" s="40">
        <v>11812</v>
      </c>
      <c r="AE102" s="40">
        <v>5496</v>
      </c>
      <c r="AF102" s="40">
        <v>1274</v>
      </c>
      <c r="AG102" s="40"/>
      <c r="AH102" s="40" t="s">
        <v>393</v>
      </c>
      <c r="AI102" s="41">
        <v>44622.666666666664</v>
      </c>
      <c r="AJ102" s="40"/>
      <c r="AK102" s="43">
        <v>950</v>
      </c>
      <c r="AL102" s="40"/>
      <c r="AM102" s="43">
        <v>0</v>
      </c>
      <c r="AN102" s="43"/>
      <c r="AO102" s="43"/>
      <c r="AP102" s="43"/>
      <c r="AQ102" s="43">
        <v>0</v>
      </c>
      <c r="AR102" s="43">
        <v>0</v>
      </c>
      <c r="AS102" s="43"/>
      <c r="AT102" s="43">
        <v>0</v>
      </c>
      <c r="AU102" s="43"/>
      <c r="AV102" s="43"/>
      <c r="AW102" s="43"/>
      <c r="AX102" s="43">
        <v>0</v>
      </c>
      <c r="AY102" s="43">
        <v>0</v>
      </c>
      <c r="AZ102" s="43">
        <v>0</v>
      </c>
      <c r="BA102" s="43">
        <v>0</v>
      </c>
      <c r="BB102" s="43">
        <v>0</v>
      </c>
      <c r="BC102" s="43">
        <v>0</v>
      </c>
      <c r="BD102" s="43">
        <v>0</v>
      </c>
      <c r="BE102" s="43">
        <v>0</v>
      </c>
      <c r="BF102" s="43">
        <v>0</v>
      </c>
      <c r="BG102" s="43">
        <v>0</v>
      </c>
      <c r="BH102" s="43">
        <v>0</v>
      </c>
      <c r="BI102" s="40" t="s">
        <v>669</v>
      </c>
      <c r="BJ102" s="40">
        <v>2022</v>
      </c>
      <c r="BK102" s="40" t="s">
        <v>2768</v>
      </c>
      <c r="BL102" s="40" t="s">
        <v>2768</v>
      </c>
      <c r="BM102" s="40" t="s">
        <v>125</v>
      </c>
    </row>
    <row r="103" spans="1:65" x14ac:dyDescent="0.25">
      <c r="A103" s="40" t="s">
        <v>2771</v>
      </c>
      <c r="B103" s="41">
        <v>44622.333333333336</v>
      </c>
      <c r="C103" s="40" t="s">
        <v>696</v>
      </c>
      <c r="D103" s="40" t="s">
        <v>697</v>
      </c>
      <c r="E103" s="40" t="s">
        <v>698</v>
      </c>
      <c r="F103" s="40" t="s">
        <v>699</v>
      </c>
      <c r="G103" s="40" t="s">
        <v>700</v>
      </c>
      <c r="H103" s="40" t="s">
        <v>301</v>
      </c>
      <c r="I103" s="40">
        <v>3700</v>
      </c>
      <c r="J103" s="40"/>
      <c r="K103" s="40"/>
      <c r="L103" s="40">
        <v>3700</v>
      </c>
      <c r="M103" s="40" t="s">
        <v>701</v>
      </c>
      <c r="N103" s="40" t="s">
        <v>702</v>
      </c>
      <c r="O103" s="40" t="s">
        <v>703</v>
      </c>
      <c r="P103" s="40" t="s">
        <v>704</v>
      </c>
      <c r="Q103" s="40" t="s">
        <v>705</v>
      </c>
      <c r="R103" s="42" t="s">
        <v>706</v>
      </c>
      <c r="S103" s="42" t="s">
        <v>707</v>
      </c>
      <c r="T103" s="40" t="s">
        <v>293</v>
      </c>
      <c r="U103" s="41">
        <v>44622.041666666664</v>
      </c>
      <c r="V103" s="41">
        <v>44622.291666666664</v>
      </c>
      <c r="W103" s="41">
        <v>44622.458333333336</v>
      </c>
      <c r="X103" s="40" t="s">
        <v>292</v>
      </c>
      <c r="Y103" s="41">
        <v>44622.645833333336</v>
      </c>
      <c r="Z103" s="41">
        <v>44623.999305555553</v>
      </c>
      <c r="AA103" s="41">
        <v>44623.999305555553</v>
      </c>
      <c r="AB103" s="41">
        <v>44623.999305555553</v>
      </c>
      <c r="AC103" s="40" t="s">
        <v>708</v>
      </c>
      <c r="AD103" s="40" t="s">
        <v>709</v>
      </c>
      <c r="AE103" s="40">
        <v>5506</v>
      </c>
      <c r="AF103" s="40" t="s">
        <v>125</v>
      </c>
      <c r="AG103" s="40"/>
      <c r="AH103" s="40" t="s">
        <v>295</v>
      </c>
      <c r="AI103" s="41"/>
      <c r="AJ103" s="40"/>
      <c r="AK103" s="43"/>
      <c r="AL103" s="40"/>
      <c r="AM103" s="43">
        <v>0</v>
      </c>
      <c r="AN103" s="43">
        <v>1600</v>
      </c>
      <c r="AO103" s="43"/>
      <c r="AP103" s="43"/>
      <c r="AQ103" s="43">
        <v>1600</v>
      </c>
      <c r="AR103" s="43">
        <v>0</v>
      </c>
      <c r="AS103" s="43"/>
      <c r="AT103" s="43">
        <v>0</v>
      </c>
      <c r="AU103" s="43"/>
      <c r="AV103" s="43"/>
      <c r="AW103" s="43"/>
      <c r="AX103" s="43">
        <v>0</v>
      </c>
      <c r="AY103" s="43">
        <v>0</v>
      </c>
      <c r="AZ103" s="43">
        <v>0</v>
      </c>
      <c r="BA103" s="43">
        <v>0</v>
      </c>
      <c r="BB103" s="43">
        <v>0</v>
      </c>
      <c r="BC103" s="43">
        <v>0</v>
      </c>
      <c r="BD103" s="43">
        <v>0</v>
      </c>
      <c r="BE103" s="43">
        <v>0</v>
      </c>
      <c r="BF103" s="43">
        <v>0</v>
      </c>
      <c r="BG103" s="43">
        <v>0</v>
      </c>
      <c r="BH103" s="43">
        <v>0</v>
      </c>
      <c r="BI103" s="40" t="s">
        <v>669</v>
      </c>
      <c r="BJ103" s="40">
        <v>2022</v>
      </c>
      <c r="BK103" s="40" t="s">
        <v>125</v>
      </c>
      <c r="BL103" s="40" t="s">
        <v>125</v>
      </c>
      <c r="BM103" s="40" t="s">
        <v>125</v>
      </c>
    </row>
    <row r="104" spans="1:65" x14ac:dyDescent="0.25">
      <c r="A104" s="40" t="s">
        <v>2771</v>
      </c>
      <c r="B104" s="41">
        <v>44622.583333333336</v>
      </c>
      <c r="C104" s="40" t="s">
        <v>353</v>
      </c>
      <c r="D104" s="40" t="s">
        <v>354</v>
      </c>
      <c r="E104" s="40">
        <v>7402242</v>
      </c>
      <c r="F104" s="40">
        <v>216702078</v>
      </c>
      <c r="G104" s="40" t="s">
        <v>710</v>
      </c>
      <c r="H104" s="40" t="s">
        <v>301</v>
      </c>
      <c r="I104" s="40">
        <v>3830</v>
      </c>
      <c r="J104" s="40" t="s">
        <v>711</v>
      </c>
      <c r="K104" s="40">
        <v>24969</v>
      </c>
      <c r="L104" s="40">
        <v>28799</v>
      </c>
      <c r="M104" s="40">
        <v>595391</v>
      </c>
      <c r="N104" s="40" t="s">
        <v>712</v>
      </c>
      <c r="O104" s="40" t="s">
        <v>192</v>
      </c>
      <c r="P104" s="40" t="s">
        <v>193</v>
      </c>
      <c r="Q104" s="40" t="s">
        <v>194</v>
      </c>
      <c r="R104" s="42" t="s">
        <v>195</v>
      </c>
      <c r="S104" s="42" t="s">
        <v>196</v>
      </c>
      <c r="T104" s="40" t="s">
        <v>292</v>
      </c>
      <c r="U104" s="41">
        <v>44622.5</v>
      </c>
      <c r="V104" s="41">
        <v>44622.583333333336</v>
      </c>
      <c r="W104" s="41">
        <v>44622.791666666664</v>
      </c>
      <c r="X104" s="40" t="s">
        <v>410</v>
      </c>
      <c r="Y104" s="41">
        <v>44624.518055555556</v>
      </c>
      <c r="Z104" s="41">
        <v>44623.416666666664</v>
      </c>
      <c r="AA104" s="41">
        <v>44622.5</v>
      </c>
      <c r="AB104" s="41">
        <v>44625.5</v>
      </c>
      <c r="AC104" s="40"/>
      <c r="AD104" s="40">
        <v>11901</v>
      </c>
      <c r="AE104" s="40">
        <v>5513</v>
      </c>
      <c r="AF104" s="40">
        <v>1284</v>
      </c>
      <c r="AG104" s="40"/>
      <c r="AH104" s="40" t="s">
        <v>393</v>
      </c>
      <c r="AI104" s="41">
        <v>44623.291666666664</v>
      </c>
      <c r="AJ104" s="40"/>
      <c r="AK104" s="43">
        <v>950</v>
      </c>
      <c r="AL104" s="40"/>
      <c r="AM104" s="43">
        <v>0</v>
      </c>
      <c r="AN104" s="43">
        <v>2790.8</v>
      </c>
      <c r="AO104" s="43">
        <v>68.2</v>
      </c>
      <c r="AP104" s="43">
        <v>341</v>
      </c>
      <c r="AQ104" s="43">
        <v>3200</v>
      </c>
      <c r="AR104" s="43">
        <v>0</v>
      </c>
      <c r="AS104" s="43"/>
      <c r="AT104" s="43">
        <v>0</v>
      </c>
      <c r="AU104" s="43"/>
      <c r="AV104" s="43"/>
      <c r="AW104" s="43"/>
      <c r="AX104" s="43">
        <v>0</v>
      </c>
      <c r="AY104" s="43">
        <v>0</v>
      </c>
      <c r="AZ104" s="43">
        <v>0</v>
      </c>
      <c r="BA104" s="43">
        <v>0</v>
      </c>
      <c r="BB104" s="43">
        <v>0</v>
      </c>
      <c r="BC104" s="43">
        <v>0</v>
      </c>
      <c r="BD104" s="43">
        <v>0</v>
      </c>
      <c r="BE104" s="43">
        <v>0</v>
      </c>
      <c r="BF104" s="43">
        <v>0</v>
      </c>
      <c r="BG104" s="43">
        <v>0</v>
      </c>
      <c r="BH104" s="43">
        <v>0</v>
      </c>
      <c r="BI104" s="40" t="s">
        <v>669</v>
      </c>
      <c r="BJ104" s="40">
        <v>2022</v>
      </c>
      <c r="BK104" s="40" t="s">
        <v>2768</v>
      </c>
      <c r="BL104" s="40" t="s">
        <v>2768</v>
      </c>
      <c r="BM104" s="40" t="s">
        <v>125</v>
      </c>
    </row>
    <row r="105" spans="1:65" x14ac:dyDescent="0.25">
      <c r="A105" s="40" t="s">
        <v>2771</v>
      </c>
      <c r="B105" s="41">
        <v>44623.291666666664</v>
      </c>
      <c r="C105" s="40" t="s">
        <v>353</v>
      </c>
      <c r="D105" s="40" t="s">
        <v>354</v>
      </c>
      <c r="E105" s="40">
        <v>7501131</v>
      </c>
      <c r="F105" s="40">
        <v>66127939</v>
      </c>
      <c r="G105" s="40" t="s">
        <v>713</v>
      </c>
      <c r="H105" s="40" t="s">
        <v>301</v>
      </c>
      <c r="I105" s="40">
        <v>3800</v>
      </c>
      <c r="J105" s="40" t="s">
        <v>714</v>
      </c>
      <c r="K105" s="40">
        <v>25380</v>
      </c>
      <c r="L105" s="40">
        <v>29180</v>
      </c>
      <c r="M105" s="40">
        <v>595258</v>
      </c>
      <c r="N105" s="40" t="s">
        <v>715</v>
      </c>
      <c r="O105" s="40" t="s">
        <v>119</v>
      </c>
      <c r="P105" s="40" t="s">
        <v>120</v>
      </c>
      <c r="Q105" s="40" t="s">
        <v>121</v>
      </c>
      <c r="R105" s="42" t="s">
        <v>122</v>
      </c>
      <c r="S105" s="42" t="s">
        <v>123</v>
      </c>
      <c r="T105" s="40" t="s">
        <v>292</v>
      </c>
      <c r="U105" s="41">
        <v>44622.708333333336</v>
      </c>
      <c r="V105" s="41">
        <v>44622.291666666664</v>
      </c>
      <c r="W105" s="41">
        <v>44622.541666666664</v>
      </c>
      <c r="X105" s="40" t="s">
        <v>306</v>
      </c>
      <c r="Y105" s="41">
        <v>44622.950694444444</v>
      </c>
      <c r="Z105" s="41">
        <v>44621.958333333336</v>
      </c>
      <c r="AA105" s="41">
        <v>44624.666666666664</v>
      </c>
      <c r="AB105" s="41">
        <v>44624.75</v>
      </c>
      <c r="AC105" s="40" t="s">
        <v>716</v>
      </c>
      <c r="AD105" s="40">
        <v>11816</v>
      </c>
      <c r="AE105" s="40">
        <v>5498</v>
      </c>
      <c r="AF105" s="40" t="s">
        <v>125</v>
      </c>
      <c r="AG105" s="40"/>
      <c r="AH105" s="40" t="s">
        <v>295</v>
      </c>
      <c r="AI105" s="41"/>
      <c r="AJ105" s="40"/>
      <c r="AK105" s="43"/>
      <c r="AL105" s="40"/>
      <c r="AM105" s="43">
        <v>0</v>
      </c>
      <c r="AN105" s="43"/>
      <c r="AO105" s="43"/>
      <c r="AP105" s="43"/>
      <c r="AQ105" s="43">
        <v>0</v>
      </c>
      <c r="AR105" s="43">
        <v>0</v>
      </c>
      <c r="AS105" s="43"/>
      <c r="AT105" s="43">
        <v>0</v>
      </c>
      <c r="AU105" s="43"/>
      <c r="AV105" s="43"/>
      <c r="AW105" s="43"/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0</v>
      </c>
      <c r="BH105" s="43">
        <v>0</v>
      </c>
      <c r="BI105" s="40" t="s">
        <v>669</v>
      </c>
      <c r="BJ105" s="40">
        <v>2022</v>
      </c>
      <c r="BK105" s="40" t="s">
        <v>2768</v>
      </c>
      <c r="BL105" s="40" t="s">
        <v>2768</v>
      </c>
      <c r="BM105" s="40" t="s">
        <v>125</v>
      </c>
    </row>
    <row r="106" spans="1:65" x14ac:dyDescent="0.25">
      <c r="A106" s="40" t="s">
        <v>2771</v>
      </c>
      <c r="B106" s="41">
        <v>44623.291666666664</v>
      </c>
      <c r="C106" s="40" t="s">
        <v>353</v>
      </c>
      <c r="D106" s="40" t="s">
        <v>354</v>
      </c>
      <c r="E106" s="40">
        <v>7501131</v>
      </c>
      <c r="F106" s="40">
        <v>66127939</v>
      </c>
      <c r="G106" s="40" t="s">
        <v>717</v>
      </c>
      <c r="H106" s="40" t="s">
        <v>301</v>
      </c>
      <c r="I106" s="40">
        <v>3900</v>
      </c>
      <c r="J106" s="40" t="s">
        <v>718</v>
      </c>
      <c r="K106" s="40">
        <v>25380</v>
      </c>
      <c r="L106" s="40">
        <v>29280</v>
      </c>
      <c r="M106" s="40">
        <v>595516</v>
      </c>
      <c r="N106" s="40" t="s">
        <v>715</v>
      </c>
      <c r="O106" s="40" t="s">
        <v>111</v>
      </c>
      <c r="P106" s="40" t="s">
        <v>112</v>
      </c>
      <c r="Q106" s="40" t="s">
        <v>113</v>
      </c>
      <c r="R106" s="42">
        <v>88265951434</v>
      </c>
      <c r="S106" s="42">
        <v>920373596</v>
      </c>
      <c r="T106" s="40" t="s">
        <v>292</v>
      </c>
      <c r="U106" s="41">
        <v>44622.708333333336</v>
      </c>
      <c r="V106" s="41">
        <v>44623.291666666664</v>
      </c>
      <c r="W106" s="41">
        <v>44623.645833333336</v>
      </c>
      <c r="X106" s="40" t="s">
        <v>306</v>
      </c>
      <c r="Y106" s="41">
        <v>44623.945833333331</v>
      </c>
      <c r="Z106" s="41">
        <v>44621.958333333336</v>
      </c>
      <c r="AA106" s="41">
        <v>44624.666666666664</v>
      </c>
      <c r="AB106" s="41">
        <v>44624.75</v>
      </c>
      <c r="AC106" s="40" t="s">
        <v>716</v>
      </c>
      <c r="AD106" s="40">
        <v>11843</v>
      </c>
      <c r="AE106" s="40">
        <v>5499</v>
      </c>
      <c r="AF106" s="40" t="s">
        <v>125</v>
      </c>
      <c r="AG106" s="40"/>
      <c r="AH106" s="40" t="s">
        <v>295</v>
      </c>
      <c r="AI106" s="41"/>
      <c r="AJ106" s="40"/>
      <c r="AK106" s="43"/>
      <c r="AL106" s="40"/>
      <c r="AM106" s="43">
        <v>0</v>
      </c>
      <c r="AN106" s="43"/>
      <c r="AO106" s="43"/>
      <c r="AP106" s="43"/>
      <c r="AQ106" s="43">
        <v>0</v>
      </c>
      <c r="AR106" s="43">
        <v>0</v>
      </c>
      <c r="AS106" s="43"/>
      <c r="AT106" s="43">
        <v>0</v>
      </c>
      <c r="AU106" s="43"/>
      <c r="AV106" s="43"/>
      <c r="AW106" s="43"/>
      <c r="AX106" s="43">
        <v>0</v>
      </c>
      <c r="AY106" s="43">
        <v>0</v>
      </c>
      <c r="AZ106" s="43">
        <v>0</v>
      </c>
      <c r="BA106" s="43">
        <v>0</v>
      </c>
      <c r="BB106" s="43">
        <v>0</v>
      </c>
      <c r="BC106" s="43">
        <v>0</v>
      </c>
      <c r="BD106" s="43">
        <v>0</v>
      </c>
      <c r="BE106" s="43">
        <v>0</v>
      </c>
      <c r="BF106" s="43">
        <v>0</v>
      </c>
      <c r="BG106" s="43">
        <v>0</v>
      </c>
      <c r="BH106" s="43">
        <v>0</v>
      </c>
      <c r="BI106" s="40" t="s">
        <v>669</v>
      </c>
      <c r="BJ106" s="40">
        <v>2022</v>
      </c>
      <c r="BK106" s="40" t="s">
        <v>2768</v>
      </c>
      <c r="BL106" s="40" t="s">
        <v>2768</v>
      </c>
      <c r="BM106" s="40" t="s">
        <v>125</v>
      </c>
    </row>
    <row r="107" spans="1:65" x14ac:dyDescent="0.25">
      <c r="A107" s="40" t="s">
        <v>2771</v>
      </c>
      <c r="B107" s="41">
        <v>44623.291666666664</v>
      </c>
      <c r="C107" s="40" t="s">
        <v>353</v>
      </c>
      <c r="D107" s="40" t="s">
        <v>354</v>
      </c>
      <c r="E107" s="40">
        <v>7501131</v>
      </c>
      <c r="F107" s="40">
        <v>66127939</v>
      </c>
      <c r="G107" s="40" t="s">
        <v>719</v>
      </c>
      <c r="H107" s="40" t="s">
        <v>301</v>
      </c>
      <c r="I107" s="40">
        <v>3700</v>
      </c>
      <c r="J107" s="40" t="s">
        <v>720</v>
      </c>
      <c r="K107" s="40">
        <v>25380</v>
      </c>
      <c r="L107" s="40">
        <v>29080</v>
      </c>
      <c r="M107" s="40">
        <v>595493</v>
      </c>
      <c r="N107" s="40" t="s">
        <v>715</v>
      </c>
      <c r="O107" s="40" t="s">
        <v>87</v>
      </c>
      <c r="P107" s="40" t="s">
        <v>88</v>
      </c>
      <c r="Q107" s="40" t="s">
        <v>89</v>
      </c>
      <c r="R107" s="42" t="s">
        <v>90</v>
      </c>
      <c r="S107" s="42" t="s">
        <v>91</v>
      </c>
      <c r="T107" s="40" t="s">
        <v>292</v>
      </c>
      <c r="U107" s="41">
        <v>44622.854166666664</v>
      </c>
      <c r="V107" s="41">
        <v>44623.291666666664</v>
      </c>
      <c r="W107" s="41">
        <v>44623.46875</v>
      </c>
      <c r="X107" s="40" t="s">
        <v>306</v>
      </c>
      <c r="Y107" s="41">
        <v>44623.71597222222</v>
      </c>
      <c r="Z107" s="41">
        <v>44621.958333333336</v>
      </c>
      <c r="AA107" s="41">
        <v>44624.666666666664</v>
      </c>
      <c r="AB107" s="41">
        <v>44624.75</v>
      </c>
      <c r="AC107" s="40" t="s">
        <v>716</v>
      </c>
      <c r="AD107" s="40">
        <v>11835</v>
      </c>
      <c r="AE107" s="40">
        <v>5500</v>
      </c>
      <c r="AF107" s="40" t="s">
        <v>125</v>
      </c>
      <c r="AG107" s="40"/>
      <c r="AH107" s="40" t="s">
        <v>295</v>
      </c>
      <c r="AI107" s="41"/>
      <c r="AJ107" s="40"/>
      <c r="AK107" s="43"/>
      <c r="AL107" s="40"/>
      <c r="AM107" s="43">
        <v>0</v>
      </c>
      <c r="AN107" s="43"/>
      <c r="AO107" s="43"/>
      <c r="AP107" s="43"/>
      <c r="AQ107" s="43">
        <v>0</v>
      </c>
      <c r="AR107" s="43">
        <v>0</v>
      </c>
      <c r="AS107" s="43"/>
      <c r="AT107" s="43">
        <v>0</v>
      </c>
      <c r="AU107" s="43"/>
      <c r="AV107" s="43"/>
      <c r="AW107" s="43"/>
      <c r="AX107" s="43">
        <v>0</v>
      </c>
      <c r="AY107" s="43">
        <v>0</v>
      </c>
      <c r="AZ107" s="43">
        <v>0</v>
      </c>
      <c r="BA107" s="43">
        <v>0</v>
      </c>
      <c r="BB107" s="43">
        <v>0</v>
      </c>
      <c r="BC107" s="43">
        <v>0</v>
      </c>
      <c r="BD107" s="43">
        <v>0</v>
      </c>
      <c r="BE107" s="43">
        <v>0</v>
      </c>
      <c r="BF107" s="43">
        <v>0</v>
      </c>
      <c r="BG107" s="43">
        <v>0</v>
      </c>
      <c r="BH107" s="43">
        <v>0</v>
      </c>
      <c r="BI107" s="40" t="s">
        <v>669</v>
      </c>
      <c r="BJ107" s="40">
        <v>2022</v>
      </c>
      <c r="BK107" s="40" t="s">
        <v>2768</v>
      </c>
      <c r="BL107" s="40" t="s">
        <v>2768</v>
      </c>
      <c r="BM107" s="40" t="s">
        <v>125</v>
      </c>
    </row>
    <row r="108" spans="1:65" x14ac:dyDescent="0.25">
      <c r="A108" s="40" t="s">
        <v>2771</v>
      </c>
      <c r="B108" s="41">
        <v>44623.291666666664</v>
      </c>
      <c r="C108" s="40" t="s">
        <v>353</v>
      </c>
      <c r="D108" s="40" t="s">
        <v>354</v>
      </c>
      <c r="E108" s="40">
        <v>7501131</v>
      </c>
      <c r="F108" s="40">
        <v>66127939</v>
      </c>
      <c r="G108" s="40" t="s">
        <v>721</v>
      </c>
      <c r="H108" s="40" t="s">
        <v>301</v>
      </c>
      <c r="I108" s="40">
        <v>3950</v>
      </c>
      <c r="J108" s="40" t="s">
        <v>722</v>
      </c>
      <c r="K108" s="40">
        <v>25380</v>
      </c>
      <c r="L108" s="40">
        <v>29330</v>
      </c>
      <c r="M108" s="40">
        <v>595487</v>
      </c>
      <c r="N108" s="40" t="s">
        <v>715</v>
      </c>
      <c r="O108" s="40" t="s">
        <v>140</v>
      </c>
      <c r="P108" s="40" t="s">
        <v>141</v>
      </c>
      <c r="Q108" s="40" t="s">
        <v>142</v>
      </c>
      <c r="R108" s="42" t="s">
        <v>143</v>
      </c>
      <c r="S108" s="42" t="s">
        <v>144</v>
      </c>
      <c r="T108" s="40" t="s">
        <v>292</v>
      </c>
      <c r="U108" s="41">
        <v>44622.854166666664</v>
      </c>
      <c r="V108" s="41">
        <v>44623.291666666664</v>
      </c>
      <c r="W108" s="41">
        <v>44623.458333333336</v>
      </c>
      <c r="X108" s="40" t="s">
        <v>306</v>
      </c>
      <c r="Y108" s="41">
        <v>44623.681944444441</v>
      </c>
      <c r="Z108" s="41">
        <v>44621.958333333336</v>
      </c>
      <c r="AA108" s="41">
        <v>44624.666666666664</v>
      </c>
      <c r="AB108" s="41">
        <v>44624.75</v>
      </c>
      <c r="AC108" s="40" t="s">
        <v>716</v>
      </c>
      <c r="AD108" s="40">
        <v>11830</v>
      </c>
      <c r="AE108" s="40">
        <v>5501</v>
      </c>
      <c r="AF108" s="40" t="s">
        <v>125</v>
      </c>
      <c r="AG108" s="40"/>
      <c r="AH108" s="40" t="s">
        <v>295</v>
      </c>
      <c r="AI108" s="41"/>
      <c r="AJ108" s="40"/>
      <c r="AK108" s="43"/>
      <c r="AL108" s="40"/>
      <c r="AM108" s="43">
        <v>0</v>
      </c>
      <c r="AN108" s="43"/>
      <c r="AO108" s="43"/>
      <c r="AP108" s="43"/>
      <c r="AQ108" s="43">
        <v>0</v>
      </c>
      <c r="AR108" s="43">
        <v>0</v>
      </c>
      <c r="AS108" s="43"/>
      <c r="AT108" s="43">
        <v>0</v>
      </c>
      <c r="AU108" s="43"/>
      <c r="AV108" s="43"/>
      <c r="AW108" s="43"/>
      <c r="AX108" s="43">
        <v>0</v>
      </c>
      <c r="AY108" s="43">
        <v>0</v>
      </c>
      <c r="AZ108" s="43">
        <v>0</v>
      </c>
      <c r="BA108" s="43">
        <v>0</v>
      </c>
      <c r="BB108" s="43">
        <v>0</v>
      </c>
      <c r="BC108" s="43">
        <v>0</v>
      </c>
      <c r="BD108" s="43">
        <v>0</v>
      </c>
      <c r="BE108" s="43">
        <v>0</v>
      </c>
      <c r="BF108" s="43">
        <v>0</v>
      </c>
      <c r="BG108" s="43">
        <v>0</v>
      </c>
      <c r="BH108" s="43">
        <v>0</v>
      </c>
      <c r="BI108" s="40" t="s">
        <v>669</v>
      </c>
      <c r="BJ108" s="40">
        <v>2022</v>
      </c>
      <c r="BK108" s="40" t="s">
        <v>2768</v>
      </c>
      <c r="BL108" s="40" t="s">
        <v>2768</v>
      </c>
      <c r="BM108" s="40" t="s">
        <v>125</v>
      </c>
    </row>
    <row r="109" spans="1:65" x14ac:dyDescent="0.25">
      <c r="A109" s="40" t="s">
        <v>2771</v>
      </c>
      <c r="B109" s="41">
        <v>44623.291666666664</v>
      </c>
      <c r="C109" s="40" t="s">
        <v>353</v>
      </c>
      <c r="D109" s="40" t="s">
        <v>354</v>
      </c>
      <c r="E109" s="40">
        <v>7501131</v>
      </c>
      <c r="F109" s="40">
        <v>66127939</v>
      </c>
      <c r="G109" s="40" t="s">
        <v>723</v>
      </c>
      <c r="H109" s="40" t="s">
        <v>301</v>
      </c>
      <c r="I109" s="40">
        <v>3900</v>
      </c>
      <c r="J109" s="40" t="s">
        <v>724</v>
      </c>
      <c r="K109" s="40">
        <v>25380</v>
      </c>
      <c r="L109" s="40">
        <v>29280</v>
      </c>
      <c r="M109" s="40">
        <v>595488</v>
      </c>
      <c r="N109" s="40" t="s">
        <v>715</v>
      </c>
      <c r="O109" s="40" t="s">
        <v>178</v>
      </c>
      <c r="P109" s="40" t="s">
        <v>179</v>
      </c>
      <c r="Q109" s="40" t="s">
        <v>180</v>
      </c>
      <c r="R109" s="42">
        <v>18990500869</v>
      </c>
      <c r="S109" s="42" t="s">
        <v>181</v>
      </c>
      <c r="T109" s="40" t="s">
        <v>292</v>
      </c>
      <c r="U109" s="41">
        <v>44622.791666666664</v>
      </c>
      <c r="V109" s="41">
        <v>44623.291666666664</v>
      </c>
      <c r="W109" s="41">
        <v>44623.479166666664</v>
      </c>
      <c r="X109" s="40" t="s">
        <v>306</v>
      </c>
      <c r="Y109" s="41">
        <v>44623.719444444447</v>
      </c>
      <c r="Z109" s="41">
        <v>44621.958333333336</v>
      </c>
      <c r="AA109" s="41">
        <v>44624.666666666664</v>
      </c>
      <c r="AB109" s="41">
        <v>44624.75</v>
      </c>
      <c r="AC109" s="40" t="s">
        <v>716</v>
      </c>
      <c r="AD109" s="40">
        <v>11831</v>
      </c>
      <c r="AE109" s="40">
        <v>5502</v>
      </c>
      <c r="AF109" s="40" t="s">
        <v>125</v>
      </c>
      <c r="AG109" s="40"/>
      <c r="AH109" s="40" t="s">
        <v>295</v>
      </c>
      <c r="AI109" s="41"/>
      <c r="AJ109" s="40"/>
      <c r="AK109" s="43"/>
      <c r="AL109" s="40"/>
      <c r="AM109" s="43">
        <v>0</v>
      </c>
      <c r="AN109" s="43"/>
      <c r="AO109" s="43"/>
      <c r="AP109" s="43"/>
      <c r="AQ109" s="43">
        <v>0</v>
      </c>
      <c r="AR109" s="43">
        <v>0</v>
      </c>
      <c r="AS109" s="43"/>
      <c r="AT109" s="43">
        <v>0</v>
      </c>
      <c r="AU109" s="43"/>
      <c r="AV109" s="43"/>
      <c r="AW109" s="43"/>
      <c r="AX109" s="43">
        <v>0</v>
      </c>
      <c r="AY109" s="43">
        <v>0</v>
      </c>
      <c r="AZ109" s="43">
        <v>0</v>
      </c>
      <c r="BA109" s="43">
        <v>0</v>
      </c>
      <c r="BB109" s="43">
        <v>0</v>
      </c>
      <c r="BC109" s="43">
        <v>0</v>
      </c>
      <c r="BD109" s="43">
        <v>0</v>
      </c>
      <c r="BE109" s="43">
        <v>0</v>
      </c>
      <c r="BF109" s="43">
        <v>0</v>
      </c>
      <c r="BG109" s="43">
        <v>0</v>
      </c>
      <c r="BH109" s="43">
        <v>0</v>
      </c>
      <c r="BI109" s="40" t="s">
        <v>669</v>
      </c>
      <c r="BJ109" s="40">
        <v>2022</v>
      </c>
      <c r="BK109" s="40" t="s">
        <v>2768</v>
      </c>
      <c r="BL109" s="40" t="s">
        <v>2768</v>
      </c>
      <c r="BM109" s="40" t="s">
        <v>125</v>
      </c>
    </row>
    <row r="110" spans="1:65" x14ac:dyDescent="0.25">
      <c r="A110" s="40" t="s">
        <v>2771</v>
      </c>
      <c r="B110" s="41">
        <v>44624.291666666664</v>
      </c>
      <c r="C110" s="40" t="s">
        <v>353</v>
      </c>
      <c r="D110" s="40" t="s">
        <v>354</v>
      </c>
      <c r="E110" s="40">
        <v>7501131</v>
      </c>
      <c r="F110" s="40">
        <v>66127939</v>
      </c>
      <c r="G110" s="40" t="s">
        <v>725</v>
      </c>
      <c r="H110" s="40" t="s">
        <v>301</v>
      </c>
      <c r="I110" s="40">
        <v>3700</v>
      </c>
      <c r="J110" s="40" t="s">
        <v>726</v>
      </c>
      <c r="K110" s="40">
        <v>25380</v>
      </c>
      <c r="L110" s="40">
        <v>29080</v>
      </c>
      <c r="M110" s="40">
        <v>595490</v>
      </c>
      <c r="N110" s="40" t="s">
        <v>715</v>
      </c>
      <c r="O110" s="40" t="s">
        <v>169</v>
      </c>
      <c r="P110" s="40" t="s">
        <v>170</v>
      </c>
      <c r="Q110" s="40" t="s">
        <v>171</v>
      </c>
      <c r="R110" s="42" t="s">
        <v>172</v>
      </c>
      <c r="S110" s="42" t="s">
        <v>173</v>
      </c>
      <c r="T110" s="40" t="s">
        <v>292</v>
      </c>
      <c r="U110" s="41">
        <v>44622.708333333336</v>
      </c>
      <c r="V110" s="41">
        <v>44623.291666666664</v>
      </c>
      <c r="W110" s="41">
        <v>44623.541666666664</v>
      </c>
      <c r="X110" s="40" t="s">
        <v>306</v>
      </c>
      <c r="Y110" s="41">
        <v>44623.780555555553</v>
      </c>
      <c r="Z110" s="41">
        <v>44621.958333333336</v>
      </c>
      <c r="AA110" s="41">
        <v>44624.666666666664</v>
      </c>
      <c r="AB110" s="41">
        <v>44624.75</v>
      </c>
      <c r="AC110" s="40" t="s">
        <v>716</v>
      </c>
      <c r="AD110" s="40">
        <v>11842</v>
      </c>
      <c r="AE110" s="40">
        <v>5503</v>
      </c>
      <c r="AF110" s="40" t="s">
        <v>125</v>
      </c>
      <c r="AG110" s="40"/>
      <c r="AH110" s="40" t="s">
        <v>295</v>
      </c>
      <c r="AI110" s="41"/>
      <c r="AJ110" s="40"/>
      <c r="AK110" s="43"/>
      <c r="AL110" s="40"/>
      <c r="AM110" s="43">
        <v>0</v>
      </c>
      <c r="AN110" s="43"/>
      <c r="AO110" s="43"/>
      <c r="AP110" s="43"/>
      <c r="AQ110" s="43">
        <v>0</v>
      </c>
      <c r="AR110" s="43">
        <v>0</v>
      </c>
      <c r="AS110" s="43"/>
      <c r="AT110" s="43">
        <v>0</v>
      </c>
      <c r="AU110" s="43"/>
      <c r="AV110" s="43"/>
      <c r="AW110" s="43"/>
      <c r="AX110" s="43">
        <v>0</v>
      </c>
      <c r="AY110" s="43">
        <v>0</v>
      </c>
      <c r="AZ110" s="43">
        <v>0</v>
      </c>
      <c r="BA110" s="43">
        <v>0</v>
      </c>
      <c r="BB110" s="43">
        <v>0</v>
      </c>
      <c r="BC110" s="43">
        <v>0</v>
      </c>
      <c r="BD110" s="43">
        <v>0</v>
      </c>
      <c r="BE110" s="43">
        <v>0</v>
      </c>
      <c r="BF110" s="43">
        <v>0</v>
      </c>
      <c r="BG110" s="43">
        <v>0</v>
      </c>
      <c r="BH110" s="43">
        <v>0</v>
      </c>
      <c r="BI110" s="40" t="s">
        <v>669</v>
      </c>
      <c r="BJ110" s="40">
        <v>2022</v>
      </c>
      <c r="BK110" s="40" t="s">
        <v>2768</v>
      </c>
      <c r="BL110" s="40" t="s">
        <v>2768</v>
      </c>
      <c r="BM110" s="40" t="s">
        <v>125</v>
      </c>
    </row>
    <row r="111" spans="1:65" x14ac:dyDescent="0.25">
      <c r="A111" s="40" t="s">
        <v>2771</v>
      </c>
      <c r="B111" s="41">
        <v>44624.291666666664</v>
      </c>
      <c r="C111" s="40" t="s">
        <v>353</v>
      </c>
      <c r="D111" s="40" t="s">
        <v>354</v>
      </c>
      <c r="E111" s="40">
        <v>7501131</v>
      </c>
      <c r="F111" s="40">
        <v>66127939</v>
      </c>
      <c r="G111" s="40" t="s">
        <v>727</v>
      </c>
      <c r="H111" s="40" t="s">
        <v>301</v>
      </c>
      <c r="I111" s="40">
        <v>3700</v>
      </c>
      <c r="J111" s="40" t="s">
        <v>728</v>
      </c>
      <c r="K111" s="40">
        <v>25380</v>
      </c>
      <c r="L111" s="40">
        <v>29080</v>
      </c>
      <c r="M111" s="40">
        <v>595480</v>
      </c>
      <c r="N111" s="40" t="s">
        <v>715</v>
      </c>
      <c r="O111" s="40" t="s">
        <v>159</v>
      </c>
      <c r="P111" s="40" t="s">
        <v>160</v>
      </c>
      <c r="Q111" s="40" t="s">
        <v>161</v>
      </c>
      <c r="R111" s="42" t="s">
        <v>162</v>
      </c>
      <c r="S111" s="42" t="s">
        <v>163</v>
      </c>
      <c r="T111" s="40" t="s">
        <v>292</v>
      </c>
      <c r="U111" s="41">
        <v>44622.708333333336</v>
      </c>
      <c r="V111" s="41">
        <v>44623.291666666664</v>
      </c>
      <c r="W111" s="41">
        <v>44623.375</v>
      </c>
      <c r="X111" s="40" t="s">
        <v>306</v>
      </c>
      <c r="Y111" s="41">
        <v>44623.710416666669</v>
      </c>
      <c r="Z111" s="41">
        <v>44621.958333333336</v>
      </c>
      <c r="AA111" s="41">
        <v>44624.666666666664</v>
      </c>
      <c r="AB111" s="41">
        <v>44624.75</v>
      </c>
      <c r="AC111" s="40" t="s">
        <v>716</v>
      </c>
      <c r="AD111" s="40">
        <v>11832</v>
      </c>
      <c r="AE111" s="40">
        <v>5507</v>
      </c>
      <c r="AF111" s="40" t="s">
        <v>125</v>
      </c>
      <c r="AG111" s="40"/>
      <c r="AH111" s="40" t="s">
        <v>295</v>
      </c>
      <c r="AI111" s="41"/>
      <c r="AJ111" s="40"/>
      <c r="AK111" s="43"/>
      <c r="AL111" s="40"/>
      <c r="AM111" s="43">
        <v>0</v>
      </c>
      <c r="AN111" s="43"/>
      <c r="AO111" s="43"/>
      <c r="AP111" s="43"/>
      <c r="AQ111" s="43">
        <v>0</v>
      </c>
      <c r="AR111" s="43">
        <v>0</v>
      </c>
      <c r="AS111" s="43"/>
      <c r="AT111" s="43">
        <v>0</v>
      </c>
      <c r="AU111" s="43"/>
      <c r="AV111" s="43"/>
      <c r="AW111" s="43"/>
      <c r="AX111" s="43">
        <v>0</v>
      </c>
      <c r="AY111" s="43">
        <v>0</v>
      </c>
      <c r="AZ111" s="43">
        <v>0</v>
      </c>
      <c r="BA111" s="43">
        <v>0</v>
      </c>
      <c r="BB111" s="43">
        <v>0</v>
      </c>
      <c r="BC111" s="43">
        <v>0</v>
      </c>
      <c r="BD111" s="43">
        <v>0</v>
      </c>
      <c r="BE111" s="43">
        <v>0</v>
      </c>
      <c r="BF111" s="43">
        <v>0</v>
      </c>
      <c r="BG111" s="43">
        <v>0</v>
      </c>
      <c r="BH111" s="43">
        <v>0</v>
      </c>
      <c r="BI111" s="40" t="s">
        <v>669</v>
      </c>
      <c r="BJ111" s="40">
        <v>2022</v>
      </c>
      <c r="BK111" s="40" t="s">
        <v>2768</v>
      </c>
      <c r="BL111" s="40" t="s">
        <v>2768</v>
      </c>
      <c r="BM111" s="40" t="s">
        <v>125</v>
      </c>
    </row>
    <row r="112" spans="1:65" x14ac:dyDescent="0.25">
      <c r="A112" s="40" t="s">
        <v>2771</v>
      </c>
      <c r="B112" s="41">
        <v>44624.291666666664</v>
      </c>
      <c r="C112" s="40" t="s">
        <v>353</v>
      </c>
      <c r="D112" s="40" t="s">
        <v>354</v>
      </c>
      <c r="E112" s="40">
        <v>7501131</v>
      </c>
      <c r="F112" s="40">
        <v>66127939</v>
      </c>
      <c r="G112" s="40" t="s">
        <v>729</v>
      </c>
      <c r="H112" s="40" t="s">
        <v>301</v>
      </c>
      <c r="I112" s="40">
        <v>3830</v>
      </c>
      <c r="J112" s="40" t="s">
        <v>730</v>
      </c>
      <c r="K112" s="40">
        <v>25380</v>
      </c>
      <c r="L112" s="40">
        <v>29210</v>
      </c>
      <c r="M112" s="40">
        <v>595481</v>
      </c>
      <c r="N112" s="40" t="s">
        <v>715</v>
      </c>
      <c r="O112" s="40" t="s">
        <v>97</v>
      </c>
      <c r="P112" s="40" t="s">
        <v>98</v>
      </c>
      <c r="Q112" s="40" t="s">
        <v>99</v>
      </c>
      <c r="R112" s="42" t="s">
        <v>100</v>
      </c>
      <c r="S112" s="42" t="s">
        <v>101</v>
      </c>
      <c r="T112" s="40" t="s">
        <v>292</v>
      </c>
      <c r="U112" s="41">
        <v>44622.777777777781</v>
      </c>
      <c r="V112" s="41">
        <v>44623.291666666664</v>
      </c>
      <c r="W112" s="41">
        <v>44623.354166666664</v>
      </c>
      <c r="X112" s="40" t="s">
        <v>306</v>
      </c>
      <c r="Y112" s="41">
        <v>44623.710416666669</v>
      </c>
      <c r="Z112" s="41">
        <v>44621.958333333336</v>
      </c>
      <c r="AA112" s="41">
        <v>44624.666666666664</v>
      </c>
      <c r="AB112" s="41">
        <v>44624.75</v>
      </c>
      <c r="AC112" s="40" t="s">
        <v>716</v>
      </c>
      <c r="AD112" s="40">
        <v>11833</v>
      </c>
      <c r="AE112" s="40">
        <v>5508</v>
      </c>
      <c r="AF112" s="40" t="s">
        <v>125</v>
      </c>
      <c r="AG112" s="40"/>
      <c r="AH112" s="40" t="s">
        <v>295</v>
      </c>
      <c r="AI112" s="41"/>
      <c r="AJ112" s="40"/>
      <c r="AK112" s="43"/>
      <c r="AL112" s="40"/>
      <c r="AM112" s="43">
        <v>0</v>
      </c>
      <c r="AN112" s="43"/>
      <c r="AO112" s="43"/>
      <c r="AP112" s="43"/>
      <c r="AQ112" s="43">
        <v>0</v>
      </c>
      <c r="AR112" s="43">
        <v>0</v>
      </c>
      <c r="AS112" s="43"/>
      <c r="AT112" s="43">
        <v>0</v>
      </c>
      <c r="AU112" s="43"/>
      <c r="AV112" s="43"/>
      <c r="AW112" s="43"/>
      <c r="AX112" s="43">
        <v>0</v>
      </c>
      <c r="AY112" s="43">
        <v>0</v>
      </c>
      <c r="AZ112" s="43">
        <v>0</v>
      </c>
      <c r="BA112" s="43">
        <v>0</v>
      </c>
      <c r="BB112" s="43">
        <v>0</v>
      </c>
      <c r="BC112" s="43">
        <v>0</v>
      </c>
      <c r="BD112" s="43">
        <v>0</v>
      </c>
      <c r="BE112" s="43">
        <v>0</v>
      </c>
      <c r="BF112" s="43">
        <v>0</v>
      </c>
      <c r="BG112" s="43">
        <v>0</v>
      </c>
      <c r="BH112" s="43">
        <v>0</v>
      </c>
      <c r="BI112" s="40" t="s">
        <v>669</v>
      </c>
      <c r="BJ112" s="40">
        <v>2022</v>
      </c>
      <c r="BK112" s="40" t="s">
        <v>2768</v>
      </c>
      <c r="BL112" s="40" t="s">
        <v>2768</v>
      </c>
      <c r="BM112" s="40" t="s">
        <v>125</v>
      </c>
    </row>
    <row r="113" spans="1:65" x14ac:dyDescent="0.25">
      <c r="A113" s="40" t="s">
        <v>2771</v>
      </c>
      <c r="B113" s="41">
        <v>44624.291666666664</v>
      </c>
      <c r="C113" s="40" t="s">
        <v>353</v>
      </c>
      <c r="D113" s="40" t="s">
        <v>354</v>
      </c>
      <c r="E113" s="40">
        <v>7501131</v>
      </c>
      <c r="F113" s="40">
        <v>66127939</v>
      </c>
      <c r="G113" s="40" t="s">
        <v>731</v>
      </c>
      <c r="H113" s="40" t="s">
        <v>301</v>
      </c>
      <c r="I113" s="40">
        <v>3890</v>
      </c>
      <c r="J113" s="40" t="s">
        <v>732</v>
      </c>
      <c r="K113" s="40">
        <v>25380</v>
      </c>
      <c r="L113" s="40">
        <v>29270</v>
      </c>
      <c r="M113" s="40">
        <v>595482</v>
      </c>
      <c r="N113" s="40" t="s">
        <v>715</v>
      </c>
      <c r="O113" s="40" t="s">
        <v>63</v>
      </c>
      <c r="P113" s="40" t="s">
        <v>64</v>
      </c>
      <c r="Q113" s="40" t="s">
        <v>65</v>
      </c>
      <c r="R113" s="42" t="s">
        <v>66</v>
      </c>
      <c r="S113" s="42" t="s">
        <v>67</v>
      </c>
      <c r="T113" s="40" t="s">
        <v>292</v>
      </c>
      <c r="U113" s="41">
        <v>44622.791666666664</v>
      </c>
      <c r="V113" s="41">
        <v>44623.291666666664</v>
      </c>
      <c r="W113" s="41">
        <v>44623.375</v>
      </c>
      <c r="X113" s="40" t="s">
        <v>306</v>
      </c>
      <c r="Y113" s="41">
        <v>44623.711805555555</v>
      </c>
      <c r="Z113" s="41">
        <v>44621.958333333336</v>
      </c>
      <c r="AA113" s="41">
        <v>44624.666666666664</v>
      </c>
      <c r="AB113" s="41">
        <v>44624.75</v>
      </c>
      <c r="AC113" s="40" t="s">
        <v>716</v>
      </c>
      <c r="AD113" s="40">
        <v>11834</v>
      </c>
      <c r="AE113" s="40">
        <v>5509</v>
      </c>
      <c r="AF113" s="40" t="s">
        <v>125</v>
      </c>
      <c r="AG113" s="40"/>
      <c r="AH113" s="40" t="s">
        <v>295</v>
      </c>
      <c r="AI113" s="41"/>
      <c r="AJ113" s="40"/>
      <c r="AK113" s="43"/>
      <c r="AL113" s="40"/>
      <c r="AM113" s="43">
        <v>0</v>
      </c>
      <c r="AN113" s="43"/>
      <c r="AO113" s="43"/>
      <c r="AP113" s="43"/>
      <c r="AQ113" s="43">
        <v>0</v>
      </c>
      <c r="AR113" s="43">
        <v>0</v>
      </c>
      <c r="AS113" s="43"/>
      <c r="AT113" s="43">
        <v>0</v>
      </c>
      <c r="AU113" s="43"/>
      <c r="AV113" s="43"/>
      <c r="AW113" s="43"/>
      <c r="AX113" s="43">
        <v>0</v>
      </c>
      <c r="AY113" s="43">
        <v>0</v>
      </c>
      <c r="AZ113" s="43">
        <v>0</v>
      </c>
      <c r="BA113" s="43">
        <v>0</v>
      </c>
      <c r="BB113" s="43">
        <v>0</v>
      </c>
      <c r="BC113" s="43">
        <v>0</v>
      </c>
      <c r="BD113" s="43">
        <v>0</v>
      </c>
      <c r="BE113" s="43">
        <v>0</v>
      </c>
      <c r="BF113" s="43">
        <v>0</v>
      </c>
      <c r="BG113" s="43">
        <v>0</v>
      </c>
      <c r="BH113" s="43">
        <v>0</v>
      </c>
      <c r="BI113" s="40" t="s">
        <v>669</v>
      </c>
      <c r="BJ113" s="40">
        <v>2022</v>
      </c>
      <c r="BK113" s="40" t="s">
        <v>2768</v>
      </c>
      <c r="BL113" s="40" t="s">
        <v>2768</v>
      </c>
      <c r="BM113" s="40" t="s">
        <v>125</v>
      </c>
    </row>
    <row r="114" spans="1:65" x14ac:dyDescent="0.25">
      <c r="A114" s="40" t="s">
        <v>2771</v>
      </c>
      <c r="B114" s="41">
        <v>44624.291666666664</v>
      </c>
      <c r="C114" s="40" t="s">
        <v>353</v>
      </c>
      <c r="D114" s="40" t="s">
        <v>354</v>
      </c>
      <c r="E114" s="40">
        <v>7501131</v>
      </c>
      <c r="F114" s="40">
        <v>66127939</v>
      </c>
      <c r="G114" s="40" t="s">
        <v>733</v>
      </c>
      <c r="H114" s="40" t="s">
        <v>301</v>
      </c>
      <c r="I114" s="40">
        <v>3700</v>
      </c>
      <c r="J114" s="40" t="s">
        <v>734</v>
      </c>
      <c r="K114" s="40">
        <v>25380</v>
      </c>
      <c r="L114" s="40">
        <v>29080</v>
      </c>
      <c r="M114" s="40">
        <v>595544</v>
      </c>
      <c r="N114" s="40" t="s">
        <v>715</v>
      </c>
      <c r="O114" s="40" t="s">
        <v>192</v>
      </c>
      <c r="P114" s="40" t="s">
        <v>193</v>
      </c>
      <c r="Q114" s="40" t="s">
        <v>194</v>
      </c>
      <c r="R114" s="42" t="s">
        <v>195</v>
      </c>
      <c r="S114" s="42" t="s">
        <v>196</v>
      </c>
      <c r="T114" s="40" t="s">
        <v>292</v>
      </c>
      <c r="U114" s="41">
        <v>44623.333333333336</v>
      </c>
      <c r="V114" s="41">
        <v>44623.5</v>
      </c>
      <c r="W114" s="41">
        <v>44623.625</v>
      </c>
      <c r="X114" s="40" t="s">
        <v>306</v>
      </c>
      <c r="Y114" s="41">
        <v>44624.09097222222</v>
      </c>
      <c r="Z114" s="41">
        <v>44621.958333333336</v>
      </c>
      <c r="AA114" s="41">
        <v>44624.666666666664</v>
      </c>
      <c r="AB114" s="41">
        <v>44624.75</v>
      </c>
      <c r="AC114" s="40" t="s">
        <v>716</v>
      </c>
      <c r="AD114" s="40">
        <v>11844</v>
      </c>
      <c r="AE114" s="40">
        <v>5510</v>
      </c>
      <c r="AF114" s="40" t="s">
        <v>125</v>
      </c>
      <c r="AG114" s="40"/>
      <c r="AH114" s="40" t="s">
        <v>295</v>
      </c>
      <c r="AI114" s="41"/>
      <c r="AJ114" s="40"/>
      <c r="AK114" s="43"/>
      <c r="AL114" s="40"/>
      <c r="AM114" s="43">
        <v>0</v>
      </c>
      <c r="AN114" s="43">
        <v>2990.8</v>
      </c>
      <c r="AO114" s="43">
        <v>68.2</v>
      </c>
      <c r="AP114" s="43">
        <v>341</v>
      </c>
      <c r="AQ114" s="43">
        <v>3400</v>
      </c>
      <c r="AR114" s="43">
        <v>0</v>
      </c>
      <c r="AS114" s="43"/>
      <c r="AT114" s="43">
        <v>0</v>
      </c>
      <c r="AU114" s="43"/>
      <c r="AV114" s="43"/>
      <c r="AW114" s="43"/>
      <c r="AX114" s="43">
        <v>0</v>
      </c>
      <c r="AY114" s="43">
        <v>0</v>
      </c>
      <c r="AZ114" s="43">
        <v>0</v>
      </c>
      <c r="BA114" s="43">
        <v>0</v>
      </c>
      <c r="BB114" s="43">
        <v>0</v>
      </c>
      <c r="BC114" s="43">
        <v>0</v>
      </c>
      <c r="BD114" s="43">
        <v>0</v>
      </c>
      <c r="BE114" s="43">
        <v>0</v>
      </c>
      <c r="BF114" s="43">
        <v>0</v>
      </c>
      <c r="BG114" s="43">
        <v>0</v>
      </c>
      <c r="BH114" s="43">
        <v>0</v>
      </c>
      <c r="BI114" s="40" t="s">
        <v>669</v>
      </c>
      <c r="BJ114" s="40">
        <v>2022</v>
      </c>
      <c r="BK114" s="40" t="s">
        <v>2768</v>
      </c>
      <c r="BL114" s="40" t="s">
        <v>2768</v>
      </c>
      <c r="BM114" s="40" t="s">
        <v>125</v>
      </c>
    </row>
    <row r="115" spans="1:65" x14ac:dyDescent="0.25">
      <c r="A115" s="36" t="s">
        <v>836</v>
      </c>
      <c r="B115" s="37">
        <v>44621.333333333336</v>
      </c>
      <c r="C115" s="36" t="s">
        <v>449</v>
      </c>
      <c r="D115" s="36" t="s">
        <v>450</v>
      </c>
      <c r="E115" s="36" t="s">
        <v>125</v>
      </c>
      <c r="F115" s="36">
        <v>216308697</v>
      </c>
      <c r="G115" s="36"/>
      <c r="H115" s="36" t="s">
        <v>288</v>
      </c>
      <c r="I115" s="36"/>
      <c r="J115" s="36"/>
      <c r="K115" s="36"/>
      <c r="L115" s="36">
        <v>0</v>
      </c>
      <c r="M115" s="36"/>
      <c r="N115" s="36" t="s">
        <v>735</v>
      </c>
      <c r="O115" s="36"/>
      <c r="P115" s="36"/>
      <c r="Q115" s="36"/>
      <c r="R115" s="38"/>
      <c r="S115" s="38"/>
      <c r="T115" s="36"/>
      <c r="U115" s="37"/>
      <c r="V115" s="37"/>
      <c r="W115" s="37"/>
      <c r="X115" s="36" t="s">
        <v>306</v>
      </c>
      <c r="Y115" s="37"/>
      <c r="Z115" s="37"/>
      <c r="AA115" s="37" t="s">
        <v>736</v>
      </c>
      <c r="AB115" s="37">
        <v>44623.75</v>
      </c>
      <c r="AC115" s="36" t="s">
        <v>452</v>
      </c>
      <c r="AD115" s="36"/>
      <c r="AE115" s="36"/>
      <c r="AF115" s="36" t="s">
        <v>125</v>
      </c>
      <c r="AG115" s="36"/>
      <c r="AH115" s="36"/>
      <c r="AI115" s="37"/>
      <c r="AJ115" s="36"/>
      <c r="AK115" s="39"/>
      <c r="AL115" s="36"/>
      <c r="AM115" s="39">
        <v>0</v>
      </c>
      <c r="AN115" s="39"/>
      <c r="AO115" s="39"/>
      <c r="AP115" s="39"/>
      <c r="AQ115" s="39">
        <v>0</v>
      </c>
      <c r="AR115" s="39">
        <v>0</v>
      </c>
      <c r="AS115" s="39"/>
      <c r="AT115" s="39">
        <v>0</v>
      </c>
      <c r="AU115" s="39">
        <v>0</v>
      </c>
      <c r="AV115" s="39">
        <v>0</v>
      </c>
      <c r="AW115" s="39">
        <v>0</v>
      </c>
      <c r="AX115" s="39">
        <v>0</v>
      </c>
      <c r="AY115" s="39">
        <v>0</v>
      </c>
      <c r="AZ115" s="39">
        <v>0</v>
      </c>
      <c r="BA115" s="39">
        <v>0</v>
      </c>
      <c r="BB115" s="39">
        <v>0</v>
      </c>
      <c r="BC115" s="39">
        <v>0</v>
      </c>
      <c r="BD115" s="39">
        <v>0</v>
      </c>
      <c r="BE115" s="39">
        <v>0</v>
      </c>
      <c r="BF115" s="39">
        <v>0</v>
      </c>
      <c r="BG115" s="39">
        <v>0</v>
      </c>
      <c r="BH115" s="39">
        <v>0</v>
      </c>
      <c r="BI115" s="36" t="s">
        <v>453</v>
      </c>
      <c r="BJ115" s="36">
        <v>1900</v>
      </c>
      <c r="BK115" s="36"/>
      <c r="BL115" s="36"/>
      <c r="BM115" s="36" t="s">
        <v>125</v>
      </c>
    </row>
    <row r="116" spans="1:65" x14ac:dyDescent="0.25">
      <c r="A116" s="36" t="s">
        <v>836</v>
      </c>
      <c r="B116" s="37">
        <v>44621.333333333336</v>
      </c>
      <c r="C116" s="36" t="s">
        <v>449</v>
      </c>
      <c r="D116" s="36" t="s">
        <v>450</v>
      </c>
      <c r="E116" s="36" t="s">
        <v>125</v>
      </c>
      <c r="F116" s="36">
        <v>216308739</v>
      </c>
      <c r="G116" s="36"/>
      <c r="H116" s="36" t="s">
        <v>288</v>
      </c>
      <c r="I116" s="36"/>
      <c r="J116" s="36"/>
      <c r="K116" s="36"/>
      <c r="L116" s="36">
        <v>0</v>
      </c>
      <c r="M116" s="36"/>
      <c r="N116" s="36" t="s">
        <v>735</v>
      </c>
      <c r="O116" s="36"/>
      <c r="P116" s="36"/>
      <c r="Q116" s="36"/>
      <c r="R116" s="38"/>
      <c r="S116" s="38"/>
      <c r="T116" s="36"/>
      <c r="U116" s="37"/>
      <c r="V116" s="37"/>
      <c r="W116" s="37"/>
      <c r="X116" s="36" t="s">
        <v>306</v>
      </c>
      <c r="Y116" s="37"/>
      <c r="Z116" s="37"/>
      <c r="AA116" s="37" t="s">
        <v>736</v>
      </c>
      <c r="AB116" s="37">
        <v>44623.75</v>
      </c>
      <c r="AC116" s="36" t="s">
        <v>452</v>
      </c>
      <c r="AD116" s="36"/>
      <c r="AE116" s="36"/>
      <c r="AF116" s="36" t="s">
        <v>125</v>
      </c>
      <c r="AG116" s="36"/>
      <c r="AH116" s="36"/>
      <c r="AI116" s="37"/>
      <c r="AJ116" s="36"/>
      <c r="AK116" s="39"/>
      <c r="AL116" s="36"/>
      <c r="AM116" s="39">
        <v>0</v>
      </c>
      <c r="AN116" s="39"/>
      <c r="AO116" s="39"/>
      <c r="AP116" s="39"/>
      <c r="AQ116" s="39">
        <v>0</v>
      </c>
      <c r="AR116" s="39">
        <v>0</v>
      </c>
      <c r="AS116" s="39"/>
      <c r="AT116" s="39">
        <v>0</v>
      </c>
      <c r="AU116" s="39">
        <v>0</v>
      </c>
      <c r="AV116" s="39">
        <v>0</v>
      </c>
      <c r="AW116" s="39">
        <v>0</v>
      </c>
      <c r="AX116" s="39">
        <v>0</v>
      </c>
      <c r="AY116" s="39">
        <v>0</v>
      </c>
      <c r="AZ116" s="39">
        <v>0</v>
      </c>
      <c r="BA116" s="39">
        <v>0</v>
      </c>
      <c r="BB116" s="39">
        <v>0</v>
      </c>
      <c r="BC116" s="39">
        <v>0</v>
      </c>
      <c r="BD116" s="39">
        <v>0</v>
      </c>
      <c r="BE116" s="39">
        <v>0</v>
      </c>
      <c r="BF116" s="39">
        <v>0</v>
      </c>
      <c r="BG116" s="39">
        <v>0</v>
      </c>
      <c r="BH116" s="39">
        <v>0</v>
      </c>
      <c r="BI116" s="36" t="s">
        <v>453</v>
      </c>
      <c r="BJ116" s="36">
        <v>1900</v>
      </c>
      <c r="BK116" s="36"/>
      <c r="BL116" s="36"/>
      <c r="BM116" s="36" t="s">
        <v>125</v>
      </c>
    </row>
    <row r="117" spans="1:65" x14ac:dyDescent="0.25">
      <c r="A117" s="40" t="s">
        <v>2771</v>
      </c>
      <c r="B117" s="41">
        <v>44623.291666666664</v>
      </c>
      <c r="C117" s="40" t="s">
        <v>737</v>
      </c>
      <c r="D117" s="40" t="s">
        <v>450</v>
      </c>
      <c r="E117" s="40" t="s">
        <v>738</v>
      </c>
      <c r="F117" s="40">
        <v>6324451260</v>
      </c>
      <c r="G117" s="40" t="s">
        <v>739</v>
      </c>
      <c r="H117" s="40" t="s">
        <v>288</v>
      </c>
      <c r="I117" s="40">
        <v>2180</v>
      </c>
      <c r="J117" s="40">
        <v>439741</v>
      </c>
      <c r="K117" s="40">
        <v>26870</v>
      </c>
      <c r="L117" s="40">
        <v>29050</v>
      </c>
      <c r="M117" s="40">
        <v>10225</v>
      </c>
      <c r="N117" s="40" t="s">
        <v>740</v>
      </c>
      <c r="O117" s="40" t="s">
        <v>182</v>
      </c>
      <c r="P117" s="40" t="s">
        <v>183</v>
      </c>
      <c r="Q117" s="40" t="s">
        <v>184</v>
      </c>
      <c r="R117" s="42" t="s">
        <v>185</v>
      </c>
      <c r="S117" s="42" t="s">
        <v>186</v>
      </c>
      <c r="T117" s="40" t="s">
        <v>741</v>
      </c>
      <c r="U117" s="41">
        <v>44622.395833333336</v>
      </c>
      <c r="V117" s="41">
        <v>44623.25</v>
      </c>
      <c r="W117" s="41">
        <v>44623.416666666664</v>
      </c>
      <c r="X117" s="40" t="s">
        <v>306</v>
      </c>
      <c r="Y117" s="41">
        <v>44627.855555555558</v>
      </c>
      <c r="Z117" s="41">
        <v>44627.541666666664</v>
      </c>
      <c r="AA117" s="41">
        <v>44623.5</v>
      </c>
      <c r="AB117" s="41">
        <v>44628.75</v>
      </c>
      <c r="AC117" s="40" t="s">
        <v>742</v>
      </c>
      <c r="AD117" s="40">
        <v>11825</v>
      </c>
      <c r="AE117" s="40"/>
      <c r="AF117" s="40">
        <v>1254</v>
      </c>
      <c r="AG117" s="40"/>
      <c r="AH117" s="40" t="s">
        <v>309</v>
      </c>
      <c r="AI117" s="41">
        <v>44623.916666666664</v>
      </c>
      <c r="AJ117" s="40"/>
      <c r="AK117" s="43">
        <v>950</v>
      </c>
      <c r="AL117" s="40"/>
      <c r="AM117" s="43">
        <v>0</v>
      </c>
      <c r="AN117" s="43">
        <v>3200</v>
      </c>
      <c r="AO117" s="43"/>
      <c r="AP117" s="43"/>
      <c r="AQ117" s="43">
        <v>3200</v>
      </c>
      <c r="AR117" s="43">
        <v>0</v>
      </c>
      <c r="AS117" s="43"/>
      <c r="AT117" s="43">
        <v>0</v>
      </c>
      <c r="AU117" s="43"/>
      <c r="AV117" s="43"/>
      <c r="AW117" s="43"/>
      <c r="AX117" s="43">
        <v>0</v>
      </c>
      <c r="AY117" s="43">
        <v>0</v>
      </c>
      <c r="AZ117" s="43">
        <v>0</v>
      </c>
      <c r="BA117" s="43">
        <v>0</v>
      </c>
      <c r="BB117" s="43">
        <v>0</v>
      </c>
      <c r="BC117" s="43">
        <v>0</v>
      </c>
      <c r="BD117" s="43">
        <v>0</v>
      </c>
      <c r="BE117" s="43">
        <v>0</v>
      </c>
      <c r="BF117" s="43">
        <v>0</v>
      </c>
      <c r="BG117" s="43">
        <v>0</v>
      </c>
      <c r="BH117" s="43">
        <v>0</v>
      </c>
      <c r="BI117" s="40" t="s">
        <v>669</v>
      </c>
      <c r="BJ117" s="40">
        <v>2022</v>
      </c>
      <c r="BK117" s="40" t="s">
        <v>2768</v>
      </c>
      <c r="BL117" s="40" t="s">
        <v>2768</v>
      </c>
      <c r="BM117" s="40" t="s">
        <v>125</v>
      </c>
    </row>
    <row r="118" spans="1:65" x14ac:dyDescent="0.25">
      <c r="A118" s="40" t="s">
        <v>2771</v>
      </c>
      <c r="B118" s="41">
        <v>44623.291666666664</v>
      </c>
      <c r="C118" s="40" t="s">
        <v>737</v>
      </c>
      <c r="D118" s="40" t="s">
        <v>450</v>
      </c>
      <c r="E118" s="40" t="s">
        <v>738</v>
      </c>
      <c r="F118" s="40">
        <v>6324451260</v>
      </c>
      <c r="G118" s="40" t="s">
        <v>743</v>
      </c>
      <c r="H118" s="40" t="s">
        <v>288</v>
      </c>
      <c r="I118" s="40">
        <v>2180</v>
      </c>
      <c r="J118" s="40">
        <v>439742</v>
      </c>
      <c r="K118" s="40">
        <v>17440</v>
      </c>
      <c r="L118" s="40">
        <v>19620</v>
      </c>
      <c r="M118" s="40">
        <v>10226</v>
      </c>
      <c r="N118" s="40" t="s">
        <v>740</v>
      </c>
      <c r="O118" s="40" t="s">
        <v>182</v>
      </c>
      <c r="P118" s="40" t="s">
        <v>744</v>
      </c>
      <c r="Q118" s="40" t="s">
        <v>184</v>
      </c>
      <c r="R118" s="42" t="s">
        <v>185</v>
      </c>
      <c r="S118" s="42" t="s">
        <v>186</v>
      </c>
      <c r="T118" s="40" t="s">
        <v>741</v>
      </c>
      <c r="U118" s="41">
        <v>44622.395833333336</v>
      </c>
      <c r="V118" s="41">
        <v>44623.25</v>
      </c>
      <c r="W118" s="41">
        <v>44623.416666666664</v>
      </c>
      <c r="X118" s="40" t="s">
        <v>306</v>
      </c>
      <c r="Y118" s="41">
        <v>44627.827777777777</v>
      </c>
      <c r="Z118" s="41">
        <v>44627.541666666664</v>
      </c>
      <c r="AA118" s="41">
        <v>44623.5</v>
      </c>
      <c r="AB118" s="41">
        <v>44628.75</v>
      </c>
      <c r="AC118" s="40" t="s">
        <v>742</v>
      </c>
      <c r="AD118" s="40">
        <v>11826</v>
      </c>
      <c r="AE118" s="40"/>
      <c r="AF118" s="40">
        <v>1255</v>
      </c>
      <c r="AG118" s="40"/>
      <c r="AH118" s="40" t="s">
        <v>309</v>
      </c>
      <c r="AI118" s="41">
        <v>44623.916666666664</v>
      </c>
      <c r="AJ118" s="40"/>
      <c r="AK118" s="43">
        <v>950</v>
      </c>
      <c r="AL118" s="40"/>
      <c r="AM118" s="43">
        <v>0</v>
      </c>
      <c r="AN118" s="43">
        <v>3200</v>
      </c>
      <c r="AO118" s="43"/>
      <c r="AP118" s="43"/>
      <c r="AQ118" s="43">
        <v>3200</v>
      </c>
      <c r="AR118" s="43">
        <v>0</v>
      </c>
      <c r="AS118" s="43"/>
      <c r="AT118" s="43">
        <v>0</v>
      </c>
      <c r="AU118" s="43"/>
      <c r="AV118" s="43"/>
      <c r="AW118" s="43"/>
      <c r="AX118" s="43">
        <v>0</v>
      </c>
      <c r="AY118" s="43">
        <v>0</v>
      </c>
      <c r="AZ118" s="43">
        <v>0</v>
      </c>
      <c r="BA118" s="43">
        <v>0</v>
      </c>
      <c r="BB118" s="43">
        <v>0</v>
      </c>
      <c r="BC118" s="43">
        <v>0</v>
      </c>
      <c r="BD118" s="43">
        <v>0</v>
      </c>
      <c r="BE118" s="43">
        <v>0</v>
      </c>
      <c r="BF118" s="43">
        <v>0</v>
      </c>
      <c r="BG118" s="43">
        <v>0</v>
      </c>
      <c r="BH118" s="43">
        <v>0</v>
      </c>
      <c r="BI118" s="40" t="s">
        <v>669</v>
      </c>
      <c r="BJ118" s="40">
        <v>2022</v>
      </c>
      <c r="BK118" s="40" t="s">
        <v>2768</v>
      </c>
      <c r="BL118" s="40" t="s">
        <v>2768</v>
      </c>
      <c r="BM118" s="40" t="s">
        <v>125</v>
      </c>
    </row>
    <row r="119" spans="1:65" x14ac:dyDescent="0.25">
      <c r="A119" s="40" t="s">
        <v>2771</v>
      </c>
      <c r="B119" s="41">
        <v>44623.291666666664</v>
      </c>
      <c r="C119" s="40" t="s">
        <v>737</v>
      </c>
      <c r="D119" s="40" t="s">
        <v>450</v>
      </c>
      <c r="E119" s="40" t="s">
        <v>738</v>
      </c>
      <c r="F119" s="40">
        <v>6324451260</v>
      </c>
      <c r="G119" s="40" t="s">
        <v>745</v>
      </c>
      <c r="H119" s="40" t="s">
        <v>288</v>
      </c>
      <c r="I119" s="40">
        <v>2185</v>
      </c>
      <c r="J119" s="40">
        <v>439698</v>
      </c>
      <c r="K119" s="40">
        <v>26230</v>
      </c>
      <c r="L119" s="40">
        <v>28415</v>
      </c>
      <c r="M119" s="40">
        <v>10221</v>
      </c>
      <c r="N119" s="40" t="s">
        <v>740</v>
      </c>
      <c r="O119" s="40" t="s">
        <v>76</v>
      </c>
      <c r="P119" s="40" t="s">
        <v>77</v>
      </c>
      <c r="Q119" s="40" t="s">
        <v>78</v>
      </c>
      <c r="R119" s="42" t="s">
        <v>79</v>
      </c>
      <c r="S119" s="42" t="s">
        <v>80</v>
      </c>
      <c r="T119" s="40" t="s">
        <v>741</v>
      </c>
      <c r="U119" s="41">
        <v>44622.395833333336</v>
      </c>
      <c r="V119" s="41">
        <v>44623.25</v>
      </c>
      <c r="W119" s="41">
        <v>44623.416666666664</v>
      </c>
      <c r="X119" s="40" t="s">
        <v>306</v>
      </c>
      <c r="Y119" s="41">
        <v>44628.490972222222</v>
      </c>
      <c r="Z119" s="41">
        <v>44627.541666666664</v>
      </c>
      <c r="AA119" s="41">
        <v>44623.5</v>
      </c>
      <c r="AB119" s="41">
        <v>44628.75</v>
      </c>
      <c r="AC119" s="40" t="s">
        <v>742</v>
      </c>
      <c r="AD119" s="40">
        <v>11821</v>
      </c>
      <c r="AE119" s="40"/>
      <c r="AF119" s="40">
        <v>1256</v>
      </c>
      <c r="AG119" s="40"/>
      <c r="AH119" s="40" t="s">
        <v>309</v>
      </c>
      <c r="AI119" s="41">
        <v>44623.693749999999</v>
      </c>
      <c r="AJ119" s="40"/>
      <c r="AK119" s="43">
        <v>950</v>
      </c>
      <c r="AL119" s="40"/>
      <c r="AM119" s="43">
        <v>0</v>
      </c>
      <c r="AN119" s="43">
        <v>3400</v>
      </c>
      <c r="AO119" s="43"/>
      <c r="AP119" s="43"/>
      <c r="AQ119" s="43">
        <v>3400</v>
      </c>
      <c r="AR119" s="43">
        <v>0</v>
      </c>
      <c r="AS119" s="43"/>
      <c r="AT119" s="43">
        <v>0</v>
      </c>
      <c r="AU119" s="43"/>
      <c r="AV119" s="43"/>
      <c r="AW119" s="43"/>
      <c r="AX119" s="43">
        <v>0</v>
      </c>
      <c r="AY119" s="43">
        <v>0</v>
      </c>
      <c r="AZ119" s="43">
        <v>0</v>
      </c>
      <c r="BA119" s="43">
        <v>0</v>
      </c>
      <c r="BB119" s="43">
        <v>0</v>
      </c>
      <c r="BC119" s="43">
        <v>0</v>
      </c>
      <c r="BD119" s="43">
        <v>0</v>
      </c>
      <c r="BE119" s="43">
        <v>0</v>
      </c>
      <c r="BF119" s="43">
        <v>0</v>
      </c>
      <c r="BG119" s="43">
        <v>0</v>
      </c>
      <c r="BH119" s="43">
        <v>0</v>
      </c>
      <c r="BI119" s="40" t="s">
        <v>669</v>
      </c>
      <c r="BJ119" s="40">
        <v>2022</v>
      </c>
      <c r="BK119" s="40" t="s">
        <v>2768</v>
      </c>
      <c r="BL119" s="40" t="s">
        <v>2768</v>
      </c>
      <c r="BM119" s="40" t="s">
        <v>125</v>
      </c>
    </row>
    <row r="120" spans="1:65" x14ac:dyDescent="0.25">
      <c r="A120" s="40" t="s">
        <v>2771</v>
      </c>
      <c r="B120" s="41">
        <v>44623.291666666664</v>
      </c>
      <c r="C120" s="40" t="s">
        <v>737</v>
      </c>
      <c r="D120" s="40" t="s">
        <v>450</v>
      </c>
      <c r="E120" s="40" t="s">
        <v>738</v>
      </c>
      <c r="F120" s="40">
        <v>6324451260</v>
      </c>
      <c r="G120" s="40" t="s">
        <v>746</v>
      </c>
      <c r="H120" s="40" t="s">
        <v>288</v>
      </c>
      <c r="I120" s="40">
        <v>2150</v>
      </c>
      <c r="J120" s="40">
        <v>439699</v>
      </c>
      <c r="K120" s="40">
        <v>19100</v>
      </c>
      <c r="L120" s="40">
        <v>21250</v>
      </c>
      <c r="M120" s="40">
        <v>10224</v>
      </c>
      <c r="N120" s="40" t="s">
        <v>740</v>
      </c>
      <c r="O120" s="40" t="s">
        <v>129</v>
      </c>
      <c r="P120" s="40" t="s">
        <v>130</v>
      </c>
      <c r="Q120" s="40" t="s">
        <v>131</v>
      </c>
      <c r="R120" s="42" t="s">
        <v>132</v>
      </c>
      <c r="S120" s="42" t="s">
        <v>133</v>
      </c>
      <c r="T120" s="40" t="s">
        <v>741</v>
      </c>
      <c r="U120" s="41">
        <v>44622.395833333336</v>
      </c>
      <c r="V120" s="41">
        <v>44623.25</v>
      </c>
      <c r="W120" s="41">
        <v>44623.416666666664</v>
      </c>
      <c r="X120" s="40" t="s">
        <v>306</v>
      </c>
      <c r="Y120" s="41">
        <v>44627.892361111109</v>
      </c>
      <c r="Z120" s="41">
        <v>44627.541666666664</v>
      </c>
      <c r="AA120" s="41">
        <v>44623.5</v>
      </c>
      <c r="AB120" s="41">
        <v>44628.75</v>
      </c>
      <c r="AC120" s="40" t="s">
        <v>742</v>
      </c>
      <c r="AD120" s="40">
        <v>11824</v>
      </c>
      <c r="AE120" s="40"/>
      <c r="AF120" s="40">
        <v>1257</v>
      </c>
      <c r="AG120" s="40"/>
      <c r="AH120" s="40" t="s">
        <v>309</v>
      </c>
      <c r="AI120" s="41">
        <v>44623.916666666664</v>
      </c>
      <c r="AJ120" s="40"/>
      <c r="AK120" s="43">
        <v>950</v>
      </c>
      <c r="AL120" s="40"/>
      <c r="AM120" s="43">
        <v>0</v>
      </c>
      <c r="AN120" s="43">
        <v>3200</v>
      </c>
      <c r="AO120" s="43"/>
      <c r="AP120" s="43"/>
      <c r="AQ120" s="43">
        <v>3200</v>
      </c>
      <c r="AR120" s="43">
        <v>0</v>
      </c>
      <c r="AS120" s="43"/>
      <c r="AT120" s="43">
        <v>0</v>
      </c>
      <c r="AU120" s="43"/>
      <c r="AV120" s="43"/>
      <c r="AW120" s="43"/>
      <c r="AX120" s="43">
        <v>0</v>
      </c>
      <c r="AY120" s="43">
        <v>0</v>
      </c>
      <c r="AZ120" s="43">
        <v>0</v>
      </c>
      <c r="BA120" s="43">
        <v>0</v>
      </c>
      <c r="BB120" s="43">
        <v>0</v>
      </c>
      <c r="BC120" s="43">
        <v>0</v>
      </c>
      <c r="BD120" s="43">
        <v>0</v>
      </c>
      <c r="BE120" s="43">
        <v>0</v>
      </c>
      <c r="BF120" s="43">
        <v>0</v>
      </c>
      <c r="BG120" s="43">
        <v>0</v>
      </c>
      <c r="BH120" s="43">
        <v>0</v>
      </c>
      <c r="BI120" s="40" t="s">
        <v>669</v>
      </c>
      <c r="BJ120" s="40">
        <v>2022</v>
      </c>
      <c r="BK120" s="40" t="s">
        <v>2768</v>
      </c>
      <c r="BL120" s="40" t="s">
        <v>2768</v>
      </c>
      <c r="BM120" s="40" t="s">
        <v>125</v>
      </c>
    </row>
    <row r="121" spans="1:65" x14ac:dyDescent="0.25">
      <c r="A121" s="40" t="s">
        <v>2771</v>
      </c>
      <c r="B121" s="41">
        <v>44623.291666666664</v>
      </c>
      <c r="C121" s="40" t="s">
        <v>737</v>
      </c>
      <c r="D121" s="40" t="s">
        <v>450</v>
      </c>
      <c r="E121" s="40" t="s">
        <v>738</v>
      </c>
      <c r="F121" s="40">
        <v>6324451260</v>
      </c>
      <c r="G121" s="40" t="s">
        <v>747</v>
      </c>
      <c r="H121" s="40" t="s">
        <v>288</v>
      </c>
      <c r="I121" s="40">
        <v>2280</v>
      </c>
      <c r="J121" s="40">
        <v>439700</v>
      </c>
      <c r="K121" s="40">
        <v>25840</v>
      </c>
      <c r="L121" s="40">
        <v>28120</v>
      </c>
      <c r="M121" s="40">
        <v>10223</v>
      </c>
      <c r="N121" s="40" t="s">
        <v>740</v>
      </c>
      <c r="O121" s="40" t="s">
        <v>129</v>
      </c>
      <c r="P121" s="40" t="s">
        <v>134</v>
      </c>
      <c r="Q121" s="40" t="s">
        <v>131</v>
      </c>
      <c r="R121" s="42" t="s">
        <v>132</v>
      </c>
      <c r="S121" s="42" t="s">
        <v>133</v>
      </c>
      <c r="T121" s="40" t="s">
        <v>741</v>
      </c>
      <c r="U121" s="41">
        <v>44622.395833333336</v>
      </c>
      <c r="V121" s="41">
        <v>44623.25</v>
      </c>
      <c r="W121" s="41">
        <v>44623.416666666664</v>
      </c>
      <c r="X121" s="40" t="s">
        <v>306</v>
      </c>
      <c r="Y121" s="41">
        <v>44627.863194444442</v>
      </c>
      <c r="Z121" s="41">
        <v>44627.541666666664</v>
      </c>
      <c r="AA121" s="41">
        <v>44623.5</v>
      </c>
      <c r="AB121" s="41">
        <v>44628.75</v>
      </c>
      <c r="AC121" s="40" t="s">
        <v>742</v>
      </c>
      <c r="AD121" s="40">
        <v>11823</v>
      </c>
      <c r="AE121" s="40"/>
      <c r="AF121" s="40">
        <v>1258</v>
      </c>
      <c r="AG121" s="40"/>
      <c r="AH121" s="40" t="s">
        <v>309</v>
      </c>
      <c r="AI121" s="41">
        <v>44623.916666666664</v>
      </c>
      <c r="AJ121" s="40"/>
      <c r="AK121" s="43">
        <v>950</v>
      </c>
      <c r="AL121" s="40"/>
      <c r="AM121" s="43">
        <v>0</v>
      </c>
      <c r="AN121" s="43">
        <v>3200</v>
      </c>
      <c r="AO121" s="43"/>
      <c r="AP121" s="43"/>
      <c r="AQ121" s="43">
        <v>3200</v>
      </c>
      <c r="AR121" s="43">
        <v>0</v>
      </c>
      <c r="AS121" s="43"/>
      <c r="AT121" s="43">
        <v>0</v>
      </c>
      <c r="AU121" s="43"/>
      <c r="AV121" s="43"/>
      <c r="AW121" s="43"/>
      <c r="AX121" s="43">
        <v>0</v>
      </c>
      <c r="AY121" s="43">
        <v>0</v>
      </c>
      <c r="AZ121" s="43">
        <v>0</v>
      </c>
      <c r="BA121" s="43">
        <v>0</v>
      </c>
      <c r="BB121" s="43">
        <v>0</v>
      </c>
      <c r="BC121" s="43">
        <v>0</v>
      </c>
      <c r="BD121" s="43">
        <v>0</v>
      </c>
      <c r="BE121" s="43">
        <v>0</v>
      </c>
      <c r="BF121" s="43">
        <v>0</v>
      </c>
      <c r="BG121" s="43">
        <v>0</v>
      </c>
      <c r="BH121" s="43">
        <v>0</v>
      </c>
      <c r="BI121" s="40" t="s">
        <v>669</v>
      </c>
      <c r="BJ121" s="40">
        <v>2022</v>
      </c>
      <c r="BK121" s="40" t="s">
        <v>2768</v>
      </c>
      <c r="BL121" s="40" t="s">
        <v>2768</v>
      </c>
      <c r="BM121" s="40" t="s">
        <v>125</v>
      </c>
    </row>
    <row r="122" spans="1:65" x14ac:dyDescent="0.25">
      <c r="A122" s="40" t="s">
        <v>2771</v>
      </c>
      <c r="B122" s="41">
        <v>44623.291666666664</v>
      </c>
      <c r="C122" s="40" t="s">
        <v>737</v>
      </c>
      <c r="D122" s="40" t="s">
        <v>450</v>
      </c>
      <c r="E122" s="40" t="s">
        <v>738</v>
      </c>
      <c r="F122" s="40">
        <v>6324451260</v>
      </c>
      <c r="G122" s="40" t="s">
        <v>748</v>
      </c>
      <c r="H122" s="40" t="s">
        <v>288</v>
      </c>
      <c r="I122" s="40">
        <v>2185</v>
      </c>
      <c r="J122" s="40">
        <v>439744</v>
      </c>
      <c r="K122" s="40">
        <v>26400</v>
      </c>
      <c r="L122" s="40">
        <v>28585</v>
      </c>
      <c r="M122" s="40">
        <v>10228</v>
      </c>
      <c r="N122" s="40" t="s">
        <v>740</v>
      </c>
      <c r="O122" s="40" t="s">
        <v>145</v>
      </c>
      <c r="P122" s="40" t="s">
        <v>146</v>
      </c>
      <c r="Q122" s="40" t="s">
        <v>147</v>
      </c>
      <c r="R122" s="42" t="s">
        <v>148</v>
      </c>
      <c r="S122" s="42"/>
      <c r="T122" s="40" t="s">
        <v>741</v>
      </c>
      <c r="U122" s="41">
        <v>44622.395833333336</v>
      </c>
      <c r="V122" s="41">
        <v>44623.25</v>
      </c>
      <c r="W122" s="41">
        <v>44623.416666666664</v>
      </c>
      <c r="X122" s="40" t="s">
        <v>306</v>
      </c>
      <c r="Y122" s="41">
        <v>44627.776388888888</v>
      </c>
      <c r="Z122" s="41">
        <v>44627.541666666664</v>
      </c>
      <c r="AA122" s="41">
        <v>44623.5</v>
      </c>
      <c r="AB122" s="41">
        <v>44628.75</v>
      </c>
      <c r="AC122" s="40" t="s">
        <v>742</v>
      </c>
      <c r="AD122" s="40">
        <v>11828</v>
      </c>
      <c r="AE122" s="40"/>
      <c r="AF122" s="40">
        <v>1259</v>
      </c>
      <c r="AG122" s="40"/>
      <c r="AH122" s="40" t="s">
        <v>309</v>
      </c>
      <c r="AI122" s="41">
        <v>44623.916666666664</v>
      </c>
      <c r="AJ122" s="40"/>
      <c r="AK122" s="43">
        <v>950</v>
      </c>
      <c r="AL122" s="40"/>
      <c r="AM122" s="43">
        <v>0</v>
      </c>
      <c r="AN122" s="43">
        <v>3200</v>
      </c>
      <c r="AO122" s="43"/>
      <c r="AP122" s="43"/>
      <c r="AQ122" s="43">
        <v>3200</v>
      </c>
      <c r="AR122" s="43">
        <v>0</v>
      </c>
      <c r="AS122" s="43"/>
      <c r="AT122" s="43">
        <v>0</v>
      </c>
      <c r="AU122" s="43"/>
      <c r="AV122" s="43"/>
      <c r="AW122" s="43"/>
      <c r="AX122" s="43">
        <v>0</v>
      </c>
      <c r="AY122" s="43">
        <v>0</v>
      </c>
      <c r="AZ122" s="43">
        <v>0</v>
      </c>
      <c r="BA122" s="43">
        <v>0</v>
      </c>
      <c r="BB122" s="43">
        <v>0</v>
      </c>
      <c r="BC122" s="43">
        <v>0</v>
      </c>
      <c r="BD122" s="43">
        <v>0</v>
      </c>
      <c r="BE122" s="43">
        <v>0</v>
      </c>
      <c r="BF122" s="43">
        <v>0</v>
      </c>
      <c r="BG122" s="43">
        <v>0</v>
      </c>
      <c r="BH122" s="43">
        <v>0</v>
      </c>
      <c r="BI122" s="40" t="s">
        <v>669</v>
      </c>
      <c r="BJ122" s="40">
        <v>2022</v>
      </c>
      <c r="BK122" s="40" t="s">
        <v>2768</v>
      </c>
      <c r="BL122" s="40" t="s">
        <v>2768</v>
      </c>
      <c r="BM122" s="40" t="s">
        <v>125</v>
      </c>
    </row>
    <row r="123" spans="1:65" x14ac:dyDescent="0.25">
      <c r="A123" s="40" t="s">
        <v>2771</v>
      </c>
      <c r="B123" s="41">
        <v>44623.291666666664</v>
      </c>
      <c r="C123" s="40" t="s">
        <v>737</v>
      </c>
      <c r="D123" s="40" t="s">
        <v>450</v>
      </c>
      <c r="E123" s="40" t="s">
        <v>738</v>
      </c>
      <c r="F123" s="40">
        <v>6324451260</v>
      </c>
      <c r="G123" s="40" t="s">
        <v>749</v>
      </c>
      <c r="H123" s="40" t="s">
        <v>288</v>
      </c>
      <c r="I123" s="40">
        <v>2280</v>
      </c>
      <c r="J123" s="40">
        <v>439743</v>
      </c>
      <c r="K123" s="40">
        <v>18440</v>
      </c>
      <c r="L123" s="40">
        <v>20720</v>
      </c>
      <c r="M123" s="40">
        <v>10227</v>
      </c>
      <c r="N123" s="40" t="s">
        <v>740</v>
      </c>
      <c r="O123" s="40" t="s">
        <v>145</v>
      </c>
      <c r="P123" s="40" t="s">
        <v>149</v>
      </c>
      <c r="Q123" s="40" t="s">
        <v>147</v>
      </c>
      <c r="R123" s="42" t="s">
        <v>148</v>
      </c>
      <c r="S123" s="42"/>
      <c r="T123" s="40" t="s">
        <v>741</v>
      </c>
      <c r="U123" s="41">
        <v>44622.395833333336</v>
      </c>
      <c r="V123" s="41">
        <v>44623.25</v>
      </c>
      <c r="W123" s="41">
        <v>44623.416666666664</v>
      </c>
      <c r="X123" s="40" t="s">
        <v>306</v>
      </c>
      <c r="Y123" s="41">
        <v>44627.815972222219</v>
      </c>
      <c r="Z123" s="41">
        <v>44627.541666666664</v>
      </c>
      <c r="AA123" s="41">
        <v>44623.5</v>
      </c>
      <c r="AB123" s="41">
        <v>44628.75</v>
      </c>
      <c r="AC123" s="40" t="s">
        <v>742</v>
      </c>
      <c r="AD123" s="40">
        <v>11827</v>
      </c>
      <c r="AE123" s="40"/>
      <c r="AF123" s="40">
        <v>1260</v>
      </c>
      <c r="AG123" s="40"/>
      <c r="AH123" s="40" t="s">
        <v>309</v>
      </c>
      <c r="AI123" s="41">
        <v>44623.916666666664</v>
      </c>
      <c r="AJ123" s="40"/>
      <c r="AK123" s="43">
        <v>950</v>
      </c>
      <c r="AL123" s="40"/>
      <c r="AM123" s="43">
        <v>0</v>
      </c>
      <c r="AN123" s="43">
        <v>3200</v>
      </c>
      <c r="AO123" s="43"/>
      <c r="AP123" s="43"/>
      <c r="AQ123" s="43">
        <v>3200</v>
      </c>
      <c r="AR123" s="43">
        <v>0</v>
      </c>
      <c r="AS123" s="43"/>
      <c r="AT123" s="43">
        <v>0</v>
      </c>
      <c r="AU123" s="43"/>
      <c r="AV123" s="43"/>
      <c r="AW123" s="43"/>
      <c r="AX123" s="43">
        <v>0</v>
      </c>
      <c r="AY123" s="43">
        <v>0</v>
      </c>
      <c r="AZ123" s="43">
        <v>0</v>
      </c>
      <c r="BA123" s="43">
        <v>0</v>
      </c>
      <c r="BB123" s="43">
        <v>0</v>
      </c>
      <c r="BC123" s="43">
        <v>0</v>
      </c>
      <c r="BD123" s="43">
        <v>0</v>
      </c>
      <c r="BE123" s="43">
        <v>0</v>
      </c>
      <c r="BF123" s="43">
        <v>0</v>
      </c>
      <c r="BG123" s="43">
        <v>0</v>
      </c>
      <c r="BH123" s="43">
        <v>0</v>
      </c>
      <c r="BI123" s="40" t="s">
        <v>669</v>
      </c>
      <c r="BJ123" s="40">
        <v>2022</v>
      </c>
      <c r="BK123" s="40" t="s">
        <v>2768</v>
      </c>
      <c r="BL123" s="40" t="s">
        <v>2768</v>
      </c>
      <c r="BM123" s="40" t="s">
        <v>125</v>
      </c>
    </row>
    <row r="124" spans="1:65" x14ac:dyDescent="0.25">
      <c r="A124" s="40" t="s">
        <v>2771</v>
      </c>
      <c r="B124" s="41">
        <v>44623.291666666664</v>
      </c>
      <c r="C124" s="40" t="s">
        <v>737</v>
      </c>
      <c r="D124" s="40" t="s">
        <v>450</v>
      </c>
      <c r="E124" s="40" t="s">
        <v>738</v>
      </c>
      <c r="F124" s="40">
        <v>6324451260</v>
      </c>
      <c r="G124" s="40" t="s">
        <v>750</v>
      </c>
      <c r="H124" s="40" t="s">
        <v>288</v>
      </c>
      <c r="I124" s="40">
        <v>2100</v>
      </c>
      <c r="J124" s="40">
        <v>439691</v>
      </c>
      <c r="K124" s="40">
        <v>23880</v>
      </c>
      <c r="L124" s="40">
        <v>25980</v>
      </c>
      <c r="M124" s="40">
        <v>10222</v>
      </c>
      <c r="N124" s="40" t="s">
        <v>740</v>
      </c>
      <c r="O124" s="40" t="s">
        <v>37</v>
      </c>
      <c r="P124" s="40" t="s">
        <v>38</v>
      </c>
      <c r="Q124" s="40" t="s">
        <v>39</v>
      </c>
      <c r="R124" s="42" t="s">
        <v>40</v>
      </c>
      <c r="S124" s="42" t="s">
        <v>41</v>
      </c>
      <c r="T124" s="40" t="s">
        <v>741</v>
      </c>
      <c r="U124" s="41">
        <v>44622.395833333336</v>
      </c>
      <c r="V124" s="41">
        <v>44623.25</v>
      </c>
      <c r="W124" s="41">
        <v>44623.416666666664</v>
      </c>
      <c r="X124" s="40" t="s">
        <v>306</v>
      </c>
      <c r="Y124" s="41">
        <v>44627.95416666667</v>
      </c>
      <c r="Z124" s="41">
        <v>44627.541666666664</v>
      </c>
      <c r="AA124" s="41">
        <v>44623.5</v>
      </c>
      <c r="AB124" s="41">
        <v>44628.75</v>
      </c>
      <c r="AC124" s="40" t="s">
        <v>742</v>
      </c>
      <c r="AD124" s="40">
        <v>11822</v>
      </c>
      <c r="AE124" s="40"/>
      <c r="AF124" s="40">
        <v>1261</v>
      </c>
      <c r="AG124" s="40"/>
      <c r="AH124" s="40" t="s">
        <v>309</v>
      </c>
      <c r="AI124" s="41">
        <v>44623.916666666664</v>
      </c>
      <c r="AJ124" s="40"/>
      <c r="AK124" s="43">
        <v>950</v>
      </c>
      <c r="AL124" s="40"/>
      <c r="AM124" s="43">
        <v>0</v>
      </c>
      <c r="AN124" s="43">
        <v>3400</v>
      </c>
      <c r="AO124" s="43"/>
      <c r="AP124" s="43"/>
      <c r="AQ124" s="43">
        <v>3400</v>
      </c>
      <c r="AR124" s="43">
        <v>0</v>
      </c>
      <c r="AS124" s="43"/>
      <c r="AT124" s="43">
        <v>0</v>
      </c>
      <c r="AU124" s="43"/>
      <c r="AV124" s="43"/>
      <c r="AW124" s="43"/>
      <c r="AX124" s="43">
        <v>0</v>
      </c>
      <c r="AY124" s="43">
        <v>0</v>
      </c>
      <c r="AZ124" s="43">
        <v>0</v>
      </c>
      <c r="BA124" s="43">
        <v>0</v>
      </c>
      <c r="BB124" s="43">
        <v>0</v>
      </c>
      <c r="BC124" s="43">
        <v>0</v>
      </c>
      <c r="BD124" s="43">
        <v>0</v>
      </c>
      <c r="BE124" s="43">
        <v>0</v>
      </c>
      <c r="BF124" s="43">
        <v>0</v>
      </c>
      <c r="BG124" s="43">
        <v>0</v>
      </c>
      <c r="BH124" s="43">
        <v>0</v>
      </c>
      <c r="BI124" s="40" t="s">
        <v>669</v>
      </c>
      <c r="BJ124" s="40">
        <v>2022</v>
      </c>
      <c r="BK124" s="40" t="s">
        <v>2768</v>
      </c>
      <c r="BL124" s="40" t="s">
        <v>2768</v>
      </c>
      <c r="BM124" s="40" t="s">
        <v>125</v>
      </c>
    </row>
    <row r="125" spans="1:65" x14ac:dyDescent="0.25">
      <c r="A125" s="40" t="s">
        <v>2771</v>
      </c>
      <c r="B125" s="41">
        <v>44623.291666666664</v>
      </c>
      <c r="C125" s="40" t="s">
        <v>737</v>
      </c>
      <c r="D125" s="40" t="s">
        <v>450</v>
      </c>
      <c r="E125" s="40" t="s">
        <v>738</v>
      </c>
      <c r="F125" s="40">
        <v>6324451260</v>
      </c>
      <c r="G125" s="40" t="s">
        <v>751</v>
      </c>
      <c r="H125" s="40" t="s">
        <v>288</v>
      </c>
      <c r="I125" s="40">
        <v>2100</v>
      </c>
      <c r="J125" s="40">
        <v>439697</v>
      </c>
      <c r="K125" s="40">
        <v>21240</v>
      </c>
      <c r="L125" s="40">
        <v>23340</v>
      </c>
      <c r="M125" s="40">
        <v>10234</v>
      </c>
      <c r="N125" s="40" t="s">
        <v>740</v>
      </c>
      <c r="O125" s="40" t="s">
        <v>145</v>
      </c>
      <c r="P125" s="40" t="s">
        <v>146</v>
      </c>
      <c r="Q125" s="40" t="s">
        <v>147</v>
      </c>
      <c r="R125" s="42" t="s">
        <v>148</v>
      </c>
      <c r="S125" s="42"/>
      <c r="T125" s="40" t="s">
        <v>741</v>
      </c>
      <c r="U125" s="41">
        <v>44622.395833333336</v>
      </c>
      <c r="V125" s="41">
        <v>44624.25</v>
      </c>
      <c r="W125" s="41">
        <v>44624.5</v>
      </c>
      <c r="X125" s="40" t="s">
        <v>306</v>
      </c>
      <c r="Y125" s="41">
        <v>44627.591666666667</v>
      </c>
      <c r="Z125" s="41">
        <v>44627.541666666664</v>
      </c>
      <c r="AA125" s="41">
        <v>44623.5</v>
      </c>
      <c r="AB125" s="41">
        <v>44628.75</v>
      </c>
      <c r="AC125" s="40" t="s">
        <v>742</v>
      </c>
      <c r="AD125" s="40">
        <v>11851</v>
      </c>
      <c r="AE125" s="40"/>
      <c r="AF125" s="40">
        <v>1262</v>
      </c>
      <c r="AG125" s="40"/>
      <c r="AH125" s="40" t="s">
        <v>309</v>
      </c>
      <c r="AI125" s="41">
        <v>44624.958333333336</v>
      </c>
      <c r="AJ125" s="40"/>
      <c r="AK125" s="43">
        <v>950</v>
      </c>
      <c r="AL125" s="40"/>
      <c r="AM125" s="43">
        <v>0</v>
      </c>
      <c r="AN125" s="43">
        <v>3200</v>
      </c>
      <c r="AO125" s="43"/>
      <c r="AP125" s="43"/>
      <c r="AQ125" s="43">
        <v>3200</v>
      </c>
      <c r="AR125" s="43">
        <v>0</v>
      </c>
      <c r="AS125" s="43"/>
      <c r="AT125" s="43">
        <v>0</v>
      </c>
      <c r="AU125" s="43"/>
      <c r="AV125" s="43"/>
      <c r="AW125" s="43"/>
      <c r="AX125" s="43">
        <v>0</v>
      </c>
      <c r="AY125" s="43">
        <v>0</v>
      </c>
      <c r="AZ125" s="43">
        <v>0</v>
      </c>
      <c r="BA125" s="43">
        <v>0</v>
      </c>
      <c r="BB125" s="43">
        <v>0</v>
      </c>
      <c r="BC125" s="43">
        <v>0</v>
      </c>
      <c r="BD125" s="43">
        <v>0</v>
      </c>
      <c r="BE125" s="43">
        <v>0</v>
      </c>
      <c r="BF125" s="43">
        <v>0</v>
      </c>
      <c r="BG125" s="43">
        <v>0</v>
      </c>
      <c r="BH125" s="43">
        <v>0</v>
      </c>
      <c r="BI125" s="40" t="s">
        <v>669</v>
      </c>
      <c r="BJ125" s="40">
        <v>2022</v>
      </c>
      <c r="BK125" s="40" t="s">
        <v>2768</v>
      </c>
      <c r="BL125" s="40" t="s">
        <v>2768</v>
      </c>
      <c r="BM125" s="40" t="s">
        <v>125</v>
      </c>
    </row>
    <row r="126" spans="1:65" x14ac:dyDescent="0.25">
      <c r="A126" s="40" t="s">
        <v>2771</v>
      </c>
      <c r="B126" s="41">
        <v>44623.291666666664</v>
      </c>
      <c r="C126" s="40" t="s">
        <v>737</v>
      </c>
      <c r="D126" s="40" t="s">
        <v>450</v>
      </c>
      <c r="E126" s="40" t="s">
        <v>738</v>
      </c>
      <c r="F126" s="40">
        <v>6324451260</v>
      </c>
      <c r="G126" s="40" t="s">
        <v>752</v>
      </c>
      <c r="H126" s="40" t="s">
        <v>288</v>
      </c>
      <c r="I126" s="40">
        <v>2185</v>
      </c>
      <c r="J126" s="40">
        <v>439696</v>
      </c>
      <c r="K126" s="40">
        <v>19140</v>
      </c>
      <c r="L126" s="40">
        <v>21325</v>
      </c>
      <c r="M126" s="40">
        <v>10235</v>
      </c>
      <c r="N126" s="40" t="s">
        <v>740</v>
      </c>
      <c r="O126" s="40" t="s">
        <v>145</v>
      </c>
      <c r="P126" s="40" t="s">
        <v>149</v>
      </c>
      <c r="Q126" s="40" t="s">
        <v>147</v>
      </c>
      <c r="R126" s="42" t="s">
        <v>148</v>
      </c>
      <c r="S126" s="42"/>
      <c r="T126" s="40" t="s">
        <v>741</v>
      </c>
      <c r="U126" s="41">
        <v>44622.395833333336</v>
      </c>
      <c r="V126" s="41">
        <v>44624.25</v>
      </c>
      <c r="W126" s="41">
        <v>44624.5</v>
      </c>
      <c r="X126" s="40" t="s">
        <v>306</v>
      </c>
      <c r="Y126" s="41">
        <v>44627.605555555558</v>
      </c>
      <c r="Z126" s="41">
        <v>44627.541666666664</v>
      </c>
      <c r="AA126" s="41">
        <v>44623.5</v>
      </c>
      <c r="AB126" s="41">
        <v>44628.75</v>
      </c>
      <c r="AC126" s="40" t="s">
        <v>742</v>
      </c>
      <c r="AD126" s="40">
        <v>11850</v>
      </c>
      <c r="AE126" s="40"/>
      <c r="AF126" s="40">
        <v>1263</v>
      </c>
      <c r="AG126" s="40"/>
      <c r="AH126" s="40" t="s">
        <v>309</v>
      </c>
      <c r="AI126" s="41">
        <v>44624.958333333336</v>
      </c>
      <c r="AJ126" s="40"/>
      <c r="AK126" s="43">
        <v>950</v>
      </c>
      <c r="AL126" s="40"/>
      <c r="AM126" s="43">
        <v>0</v>
      </c>
      <c r="AN126" s="43">
        <v>3200</v>
      </c>
      <c r="AO126" s="43"/>
      <c r="AP126" s="43"/>
      <c r="AQ126" s="43">
        <v>3200</v>
      </c>
      <c r="AR126" s="43">
        <v>0</v>
      </c>
      <c r="AS126" s="43"/>
      <c r="AT126" s="43">
        <v>0</v>
      </c>
      <c r="AU126" s="43"/>
      <c r="AV126" s="43"/>
      <c r="AW126" s="43"/>
      <c r="AX126" s="43">
        <v>0</v>
      </c>
      <c r="AY126" s="43">
        <v>0</v>
      </c>
      <c r="AZ126" s="43">
        <v>0</v>
      </c>
      <c r="BA126" s="43">
        <v>0</v>
      </c>
      <c r="BB126" s="43">
        <v>0</v>
      </c>
      <c r="BC126" s="43">
        <v>0</v>
      </c>
      <c r="BD126" s="43">
        <v>0</v>
      </c>
      <c r="BE126" s="43">
        <v>0</v>
      </c>
      <c r="BF126" s="43">
        <v>0</v>
      </c>
      <c r="BG126" s="43">
        <v>0</v>
      </c>
      <c r="BH126" s="43">
        <v>0</v>
      </c>
      <c r="BI126" s="40" t="s">
        <v>669</v>
      </c>
      <c r="BJ126" s="40">
        <v>2022</v>
      </c>
      <c r="BK126" s="40" t="s">
        <v>2768</v>
      </c>
      <c r="BL126" s="40" t="s">
        <v>2768</v>
      </c>
      <c r="BM126" s="40" t="s">
        <v>125</v>
      </c>
    </row>
    <row r="127" spans="1:65" x14ac:dyDescent="0.25">
      <c r="A127" s="40" t="s">
        <v>2771</v>
      </c>
      <c r="B127" s="41">
        <v>44623.291666666664</v>
      </c>
      <c r="C127" s="40" t="s">
        <v>737</v>
      </c>
      <c r="D127" s="40" t="s">
        <v>450</v>
      </c>
      <c r="E127" s="40" t="s">
        <v>738</v>
      </c>
      <c r="F127" s="40">
        <v>6324451260</v>
      </c>
      <c r="G127" s="40" t="s">
        <v>753</v>
      </c>
      <c r="H127" s="40" t="s">
        <v>288</v>
      </c>
      <c r="I127" s="40">
        <v>2230</v>
      </c>
      <c r="J127" s="40">
        <v>439692</v>
      </c>
      <c r="K127" s="40">
        <v>23900</v>
      </c>
      <c r="L127" s="40">
        <v>26130</v>
      </c>
      <c r="M127" s="40">
        <v>10232</v>
      </c>
      <c r="N127" s="40" t="s">
        <v>740</v>
      </c>
      <c r="O127" s="40" t="s">
        <v>182</v>
      </c>
      <c r="P127" s="40" t="s">
        <v>183</v>
      </c>
      <c r="Q127" s="40" t="s">
        <v>184</v>
      </c>
      <c r="R127" s="42" t="s">
        <v>185</v>
      </c>
      <c r="S127" s="42" t="s">
        <v>186</v>
      </c>
      <c r="T127" s="40" t="s">
        <v>741</v>
      </c>
      <c r="U127" s="41">
        <v>44622.395833333336</v>
      </c>
      <c r="V127" s="41">
        <v>44624.25</v>
      </c>
      <c r="W127" s="41">
        <v>44624.5</v>
      </c>
      <c r="X127" s="40" t="s">
        <v>306</v>
      </c>
      <c r="Y127" s="41">
        <v>44628.370138888888</v>
      </c>
      <c r="Z127" s="41">
        <v>44627.541666666664</v>
      </c>
      <c r="AA127" s="41">
        <v>44623.5</v>
      </c>
      <c r="AB127" s="41">
        <v>44628.75</v>
      </c>
      <c r="AC127" s="40" t="s">
        <v>742</v>
      </c>
      <c r="AD127" s="40">
        <v>11849</v>
      </c>
      <c r="AE127" s="40"/>
      <c r="AF127" s="40">
        <v>1264</v>
      </c>
      <c r="AG127" s="40"/>
      <c r="AH127" s="40" t="s">
        <v>309</v>
      </c>
      <c r="AI127" s="41">
        <v>44624.958333333336</v>
      </c>
      <c r="AJ127" s="40"/>
      <c r="AK127" s="43">
        <v>950</v>
      </c>
      <c r="AL127" s="40"/>
      <c r="AM127" s="43">
        <v>0</v>
      </c>
      <c r="AN127" s="43">
        <v>3200</v>
      </c>
      <c r="AO127" s="43"/>
      <c r="AP127" s="43"/>
      <c r="AQ127" s="43">
        <v>3200</v>
      </c>
      <c r="AR127" s="43">
        <v>0</v>
      </c>
      <c r="AS127" s="43"/>
      <c r="AT127" s="43">
        <v>0</v>
      </c>
      <c r="AU127" s="43"/>
      <c r="AV127" s="43"/>
      <c r="AW127" s="43"/>
      <c r="AX127" s="43">
        <v>0</v>
      </c>
      <c r="AY127" s="43">
        <v>0</v>
      </c>
      <c r="AZ127" s="43">
        <v>0</v>
      </c>
      <c r="BA127" s="43">
        <v>0</v>
      </c>
      <c r="BB127" s="43">
        <v>0</v>
      </c>
      <c r="BC127" s="43">
        <v>0</v>
      </c>
      <c r="BD127" s="43">
        <v>0</v>
      </c>
      <c r="BE127" s="43">
        <v>0</v>
      </c>
      <c r="BF127" s="43">
        <v>0</v>
      </c>
      <c r="BG127" s="43">
        <v>0</v>
      </c>
      <c r="BH127" s="43">
        <v>0</v>
      </c>
      <c r="BI127" s="40" t="s">
        <v>669</v>
      </c>
      <c r="BJ127" s="40">
        <v>2022</v>
      </c>
      <c r="BK127" s="40" t="s">
        <v>2768</v>
      </c>
      <c r="BL127" s="40" t="s">
        <v>2768</v>
      </c>
      <c r="BM127" s="40" t="s">
        <v>125</v>
      </c>
    </row>
    <row r="128" spans="1:65" x14ac:dyDescent="0.25">
      <c r="A128" s="40" t="s">
        <v>2771</v>
      </c>
      <c r="B128" s="41">
        <v>44623.291666666664</v>
      </c>
      <c r="C128" s="40" t="s">
        <v>737</v>
      </c>
      <c r="D128" s="40" t="s">
        <v>450</v>
      </c>
      <c r="E128" s="40" t="s">
        <v>738</v>
      </c>
      <c r="F128" s="40">
        <v>6324451260</v>
      </c>
      <c r="G128" s="40" t="s">
        <v>754</v>
      </c>
      <c r="H128" s="40" t="s">
        <v>288</v>
      </c>
      <c r="I128" s="40">
        <v>2200</v>
      </c>
      <c r="J128" s="40">
        <v>439693</v>
      </c>
      <c r="K128" s="40">
        <v>17040</v>
      </c>
      <c r="L128" s="40">
        <v>19240</v>
      </c>
      <c r="M128" s="40">
        <v>10233</v>
      </c>
      <c r="N128" s="40" t="s">
        <v>740</v>
      </c>
      <c r="O128" s="40" t="s">
        <v>182</v>
      </c>
      <c r="P128" s="40" t="s">
        <v>744</v>
      </c>
      <c r="Q128" s="40" t="s">
        <v>184</v>
      </c>
      <c r="R128" s="42" t="s">
        <v>185</v>
      </c>
      <c r="S128" s="42" t="s">
        <v>186</v>
      </c>
      <c r="T128" s="40" t="s">
        <v>741</v>
      </c>
      <c r="U128" s="41">
        <v>44622.395833333336</v>
      </c>
      <c r="V128" s="41">
        <v>44624.25</v>
      </c>
      <c r="W128" s="41">
        <v>44624.5</v>
      </c>
      <c r="X128" s="40" t="s">
        <v>306</v>
      </c>
      <c r="Y128" s="41">
        <v>44627.824999999997</v>
      </c>
      <c r="Z128" s="41">
        <v>44627.541666666664</v>
      </c>
      <c r="AA128" s="41">
        <v>44623.5</v>
      </c>
      <c r="AB128" s="41">
        <v>44628.75</v>
      </c>
      <c r="AC128" s="40" t="s">
        <v>742</v>
      </c>
      <c r="AD128" s="40">
        <v>11848</v>
      </c>
      <c r="AE128" s="40"/>
      <c r="AF128" s="40">
        <v>1265</v>
      </c>
      <c r="AG128" s="40"/>
      <c r="AH128" s="40" t="s">
        <v>309</v>
      </c>
      <c r="AI128" s="41">
        <v>44624.958333333336</v>
      </c>
      <c r="AJ128" s="40"/>
      <c r="AK128" s="43">
        <v>950</v>
      </c>
      <c r="AL128" s="40"/>
      <c r="AM128" s="43">
        <v>0</v>
      </c>
      <c r="AN128" s="43">
        <v>3200</v>
      </c>
      <c r="AO128" s="43"/>
      <c r="AP128" s="43"/>
      <c r="AQ128" s="43">
        <v>3200</v>
      </c>
      <c r="AR128" s="43">
        <v>0</v>
      </c>
      <c r="AS128" s="43"/>
      <c r="AT128" s="43">
        <v>0</v>
      </c>
      <c r="AU128" s="43"/>
      <c r="AV128" s="43"/>
      <c r="AW128" s="43"/>
      <c r="AX128" s="43">
        <v>0</v>
      </c>
      <c r="AY128" s="43">
        <v>0</v>
      </c>
      <c r="AZ128" s="43">
        <v>0</v>
      </c>
      <c r="BA128" s="43">
        <v>0</v>
      </c>
      <c r="BB128" s="43">
        <v>0</v>
      </c>
      <c r="BC128" s="43">
        <v>0</v>
      </c>
      <c r="BD128" s="43">
        <v>0</v>
      </c>
      <c r="BE128" s="43">
        <v>0</v>
      </c>
      <c r="BF128" s="43">
        <v>0</v>
      </c>
      <c r="BG128" s="43">
        <v>0</v>
      </c>
      <c r="BH128" s="43">
        <v>0</v>
      </c>
      <c r="BI128" s="40" t="s">
        <v>669</v>
      </c>
      <c r="BJ128" s="40">
        <v>2022</v>
      </c>
      <c r="BK128" s="40" t="s">
        <v>2768</v>
      </c>
      <c r="BL128" s="40" t="s">
        <v>2768</v>
      </c>
      <c r="BM128" s="40" t="s">
        <v>125</v>
      </c>
    </row>
    <row r="129" spans="1:65" x14ac:dyDescent="0.25">
      <c r="A129" s="40" t="s">
        <v>2771</v>
      </c>
      <c r="B129" s="41">
        <v>44623.291666666664</v>
      </c>
      <c r="C129" s="40" t="s">
        <v>737</v>
      </c>
      <c r="D129" s="40" t="s">
        <v>450</v>
      </c>
      <c r="E129" s="40" t="s">
        <v>738</v>
      </c>
      <c r="F129" s="40">
        <v>6324451260</v>
      </c>
      <c r="G129" s="40" t="s">
        <v>755</v>
      </c>
      <c r="H129" s="40" t="s">
        <v>288</v>
      </c>
      <c r="I129" s="40">
        <v>2185</v>
      </c>
      <c r="J129" s="40">
        <v>439694</v>
      </c>
      <c r="K129" s="40">
        <v>19460</v>
      </c>
      <c r="L129" s="40">
        <v>21645</v>
      </c>
      <c r="M129" s="40">
        <v>10231</v>
      </c>
      <c r="N129" s="40" t="s">
        <v>740</v>
      </c>
      <c r="O129" s="40" t="s">
        <v>129</v>
      </c>
      <c r="P129" s="40" t="s">
        <v>130</v>
      </c>
      <c r="Q129" s="40" t="s">
        <v>131</v>
      </c>
      <c r="R129" s="42" t="s">
        <v>132</v>
      </c>
      <c r="S129" s="42" t="s">
        <v>133</v>
      </c>
      <c r="T129" s="40" t="s">
        <v>741</v>
      </c>
      <c r="U129" s="41">
        <v>44622.395833333336</v>
      </c>
      <c r="V129" s="41">
        <v>44624.25</v>
      </c>
      <c r="W129" s="41">
        <v>44624.5</v>
      </c>
      <c r="X129" s="40" t="s">
        <v>306</v>
      </c>
      <c r="Y129" s="41">
        <v>44627.768750000003</v>
      </c>
      <c r="Z129" s="41">
        <v>44627.541666666664</v>
      </c>
      <c r="AA129" s="41">
        <v>44623.5</v>
      </c>
      <c r="AB129" s="41">
        <v>44628.75</v>
      </c>
      <c r="AC129" s="40" t="s">
        <v>742</v>
      </c>
      <c r="AD129" s="40">
        <v>11846</v>
      </c>
      <c r="AE129" s="40"/>
      <c r="AF129" s="40">
        <v>1266</v>
      </c>
      <c r="AG129" s="40"/>
      <c r="AH129" s="40" t="s">
        <v>309</v>
      </c>
      <c r="AI129" s="41">
        <v>44624.958333333336</v>
      </c>
      <c r="AJ129" s="40"/>
      <c r="AK129" s="43">
        <v>950</v>
      </c>
      <c r="AL129" s="40"/>
      <c r="AM129" s="43">
        <v>0</v>
      </c>
      <c r="AN129" s="43">
        <v>3200</v>
      </c>
      <c r="AO129" s="43"/>
      <c r="AP129" s="43"/>
      <c r="AQ129" s="43">
        <v>3200</v>
      </c>
      <c r="AR129" s="43">
        <v>0</v>
      </c>
      <c r="AS129" s="43"/>
      <c r="AT129" s="43">
        <v>0</v>
      </c>
      <c r="AU129" s="43"/>
      <c r="AV129" s="43"/>
      <c r="AW129" s="43"/>
      <c r="AX129" s="43">
        <v>0</v>
      </c>
      <c r="AY129" s="43">
        <v>0</v>
      </c>
      <c r="AZ129" s="43">
        <v>0</v>
      </c>
      <c r="BA129" s="43">
        <v>0</v>
      </c>
      <c r="BB129" s="43">
        <v>0</v>
      </c>
      <c r="BC129" s="43">
        <v>0</v>
      </c>
      <c r="BD129" s="43">
        <v>0</v>
      </c>
      <c r="BE129" s="43">
        <v>0</v>
      </c>
      <c r="BF129" s="43">
        <v>0</v>
      </c>
      <c r="BG129" s="43">
        <v>0</v>
      </c>
      <c r="BH129" s="43">
        <v>0</v>
      </c>
      <c r="BI129" s="40" t="s">
        <v>669</v>
      </c>
      <c r="BJ129" s="40">
        <v>2022</v>
      </c>
      <c r="BK129" s="40" t="s">
        <v>2768</v>
      </c>
      <c r="BL129" s="40" t="s">
        <v>2768</v>
      </c>
      <c r="BM129" s="40" t="s">
        <v>125</v>
      </c>
    </row>
    <row r="130" spans="1:65" x14ac:dyDescent="0.25">
      <c r="A130" s="40" t="s">
        <v>2771</v>
      </c>
      <c r="B130" s="41">
        <v>44623.291666666664</v>
      </c>
      <c r="C130" s="40" t="s">
        <v>737</v>
      </c>
      <c r="D130" s="40" t="s">
        <v>450</v>
      </c>
      <c r="E130" s="40" t="s">
        <v>738</v>
      </c>
      <c r="F130" s="40">
        <v>6324451260</v>
      </c>
      <c r="G130" s="40" t="s">
        <v>756</v>
      </c>
      <c r="H130" s="40" t="s">
        <v>288</v>
      </c>
      <c r="I130" s="40">
        <v>2185</v>
      </c>
      <c r="J130" s="40">
        <v>439695</v>
      </c>
      <c r="K130" s="40">
        <v>20640</v>
      </c>
      <c r="L130" s="40">
        <v>22825</v>
      </c>
      <c r="M130" s="40">
        <v>10230</v>
      </c>
      <c r="N130" s="40" t="s">
        <v>740</v>
      </c>
      <c r="O130" s="40" t="s">
        <v>129</v>
      </c>
      <c r="P130" s="40" t="s">
        <v>134</v>
      </c>
      <c r="Q130" s="40" t="s">
        <v>131</v>
      </c>
      <c r="R130" s="42" t="s">
        <v>132</v>
      </c>
      <c r="S130" s="42" t="s">
        <v>133</v>
      </c>
      <c r="T130" s="40" t="s">
        <v>741</v>
      </c>
      <c r="U130" s="41">
        <v>44622.395833333336</v>
      </c>
      <c r="V130" s="41">
        <v>44624.25</v>
      </c>
      <c r="W130" s="41">
        <v>44624.5</v>
      </c>
      <c r="X130" s="40" t="s">
        <v>306</v>
      </c>
      <c r="Y130" s="41">
        <v>44627.751388888886</v>
      </c>
      <c r="Z130" s="41">
        <v>44627.541666666664</v>
      </c>
      <c r="AA130" s="41">
        <v>44623.5</v>
      </c>
      <c r="AB130" s="41">
        <v>44628.75</v>
      </c>
      <c r="AC130" s="40" t="s">
        <v>742</v>
      </c>
      <c r="AD130" s="40">
        <v>11847</v>
      </c>
      <c r="AE130" s="40"/>
      <c r="AF130" s="40">
        <v>1267</v>
      </c>
      <c r="AG130" s="40"/>
      <c r="AH130" s="40" t="s">
        <v>309</v>
      </c>
      <c r="AI130" s="41">
        <v>44624.958333333336</v>
      </c>
      <c r="AJ130" s="40"/>
      <c r="AK130" s="43">
        <v>950</v>
      </c>
      <c r="AL130" s="40"/>
      <c r="AM130" s="43">
        <v>0</v>
      </c>
      <c r="AN130" s="43">
        <v>3200</v>
      </c>
      <c r="AO130" s="43"/>
      <c r="AP130" s="43"/>
      <c r="AQ130" s="43">
        <v>3200</v>
      </c>
      <c r="AR130" s="43">
        <v>0</v>
      </c>
      <c r="AS130" s="43"/>
      <c r="AT130" s="43">
        <v>0</v>
      </c>
      <c r="AU130" s="43"/>
      <c r="AV130" s="43"/>
      <c r="AW130" s="43"/>
      <c r="AX130" s="43">
        <v>0</v>
      </c>
      <c r="AY130" s="43">
        <v>0</v>
      </c>
      <c r="AZ130" s="43">
        <v>0</v>
      </c>
      <c r="BA130" s="43">
        <v>0</v>
      </c>
      <c r="BB130" s="43">
        <v>0</v>
      </c>
      <c r="BC130" s="43">
        <v>0</v>
      </c>
      <c r="BD130" s="43">
        <v>0</v>
      </c>
      <c r="BE130" s="43">
        <v>0</v>
      </c>
      <c r="BF130" s="43">
        <v>0</v>
      </c>
      <c r="BG130" s="43">
        <v>0</v>
      </c>
      <c r="BH130" s="43">
        <v>0</v>
      </c>
      <c r="BI130" s="40" t="s">
        <v>669</v>
      </c>
      <c r="BJ130" s="40">
        <v>2022</v>
      </c>
      <c r="BK130" s="40" t="s">
        <v>2768</v>
      </c>
      <c r="BL130" s="40" t="s">
        <v>2768</v>
      </c>
      <c r="BM130" s="40" t="s">
        <v>125</v>
      </c>
    </row>
    <row r="131" spans="1:65" x14ac:dyDescent="0.25">
      <c r="A131" s="40" t="s">
        <v>2771</v>
      </c>
      <c r="B131" s="41">
        <v>44624.458333333336</v>
      </c>
      <c r="C131" s="40" t="s">
        <v>297</v>
      </c>
      <c r="D131" s="40" t="s">
        <v>298</v>
      </c>
      <c r="E131" s="40" t="s">
        <v>757</v>
      </c>
      <c r="F131" s="40">
        <v>68787811</v>
      </c>
      <c r="G131" s="40" t="s">
        <v>758</v>
      </c>
      <c r="H131" s="40" t="s">
        <v>301</v>
      </c>
      <c r="I131" s="40">
        <v>3840</v>
      </c>
      <c r="J131" s="40" t="s">
        <v>759</v>
      </c>
      <c r="K131" s="40">
        <v>25468</v>
      </c>
      <c r="L131" s="40">
        <v>29308</v>
      </c>
      <c r="M131" s="40">
        <v>714160</v>
      </c>
      <c r="N131" s="40" t="s">
        <v>760</v>
      </c>
      <c r="O131" s="40" t="s">
        <v>68</v>
      </c>
      <c r="P131" s="40" t="s">
        <v>36</v>
      </c>
      <c r="Q131" s="40" t="s">
        <v>203</v>
      </c>
      <c r="R131" s="42" t="s">
        <v>204</v>
      </c>
      <c r="S131" s="42" t="s">
        <v>205</v>
      </c>
      <c r="T131" s="40" t="s">
        <v>292</v>
      </c>
      <c r="U131" s="41">
        <v>44623.75</v>
      </c>
      <c r="V131" s="41">
        <v>44624.291666666664</v>
      </c>
      <c r="W131" s="41">
        <v>44624.75</v>
      </c>
      <c r="X131" s="40" t="s">
        <v>293</v>
      </c>
      <c r="Y131" s="41">
        <v>44630.618055555555</v>
      </c>
      <c r="Z131" s="41">
        <v>44628.5</v>
      </c>
      <c r="AA131" s="41">
        <v>44624.75</v>
      </c>
      <c r="AB131" s="41">
        <v>44629.5</v>
      </c>
      <c r="AC131" s="40" t="s">
        <v>308</v>
      </c>
      <c r="AD131" s="40">
        <v>11864</v>
      </c>
      <c r="AE131" s="40">
        <v>5514</v>
      </c>
      <c r="AF131" s="40">
        <v>1320</v>
      </c>
      <c r="AG131" s="40"/>
      <c r="AH131" s="40" t="s">
        <v>761</v>
      </c>
      <c r="AI131" s="41">
        <v>44625.006944444445</v>
      </c>
      <c r="AJ131" s="40"/>
      <c r="AK131" s="43">
        <v>950</v>
      </c>
      <c r="AL131" s="40"/>
      <c r="AM131" s="43">
        <v>0</v>
      </c>
      <c r="AN131" s="43"/>
      <c r="AO131" s="43"/>
      <c r="AP131" s="43"/>
      <c r="AQ131" s="43">
        <v>0</v>
      </c>
      <c r="AR131" s="43">
        <v>0</v>
      </c>
      <c r="AS131" s="43"/>
      <c r="AT131" s="43">
        <v>0</v>
      </c>
      <c r="AU131" s="43"/>
      <c r="AV131" s="43"/>
      <c r="AW131" s="43"/>
      <c r="AX131" s="43">
        <v>0</v>
      </c>
      <c r="AY131" s="43">
        <v>0</v>
      </c>
      <c r="AZ131" s="43">
        <v>0</v>
      </c>
      <c r="BA131" s="43">
        <v>0</v>
      </c>
      <c r="BB131" s="43">
        <v>0</v>
      </c>
      <c r="BC131" s="43">
        <v>0</v>
      </c>
      <c r="BD131" s="43">
        <v>0</v>
      </c>
      <c r="BE131" s="43">
        <v>0</v>
      </c>
      <c r="BF131" s="43">
        <v>0</v>
      </c>
      <c r="BG131" s="43">
        <v>0</v>
      </c>
      <c r="BH131" s="43">
        <v>0</v>
      </c>
      <c r="BI131" s="40" t="s">
        <v>669</v>
      </c>
      <c r="BJ131" s="40">
        <v>2022</v>
      </c>
      <c r="BK131" s="40" t="s">
        <v>2768</v>
      </c>
      <c r="BL131" s="40" t="s">
        <v>2768</v>
      </c>
      <c r="BM131" s="40" t="s">
        <v>125</v>
      </c>
    </row>
    <row r="132" spans="1:65" x14ac:dyDescent="0.25">
      <c r="A132" s="40" t="s">
        <v>2771</v>
      </c>
      <c r="B132" s="41">
        <v>44624.5</v>
      </c>
      <c r="C132" s="40" t="s">
        <v>297</v>
      </c>
      <c r="D132" s="40" t="s">
        <v>298</v>
      </c>
      <c r="E132" s="40" t="s">
        <v>757</v>
      </c>
      <c r="F132" s="40">
        <v>68787811</v>
      </c>
      <c r="G132" s="40" t="s">
        <v>762</v>
      </c>
      <c r="H132" s="40" t="s">
        <v>301</v>
      </c>
      <c r="I132" s="40">
        <v>3850</v>
      </c>
      <c r="J132" s="40" t="s">
        <v>763</v>
      </c>
      <c r="K132" s="40">
        <v>25468</v>
      </c>
      <c r="L132" s="40">
        <v>29318</v>
      </c>
      <c r="M132" s="40">
        <v>714162</v>
      </c>
      <c r="N132" s="40" t="s">
        <v>760</v>
      </c>
      <c r="O132" s="40" t="s">
        <v>31</v>
      </c>
      <c r="P132" s="40" t="s">
        <v>36</v>
      </c>
      <c r="Q132" s="40" t="s">
        <v>33</v>
      </c>
      <c r="R132" s="42" t="s">
        <v>34</v>
      </c>
      <c r="S132" s="42" t="s">
        <v>35</v>
      </c>
      <c r="T132" s="40" t="s">
        <v>292</v>
      </c>
      <c r="U132" s="41">
        <v>44623.75</v>
      </c>
      <c r="V132" s="41">
        <v>44624.291666666664</v>
      </c>
      <c r="W132" s="41">
        <v>44624.75</v>
      </c>
      <c r="X132" s="40" t="s">
        <v>293</v>
      </c>
      <c r="Y132" s="41">
        <v>44630.620138888888</v>
      </c>
      <c r="Z132" s="41">
        <v>44628.5</v>
      </c>
      <c r="AA132" s="41">
        <v>44624.75</v>
      </c>
      <c r="AB132" s="41">
        <v>44629.5</v>
      </c>
      <c r="AC132" s="40" t="s">
        <v>308</v>
      </c>
      <c r="AD132" s="40">
        <v>11866</v>
      </c>
      <c r="AE132" s="40">
        <v>5515</v>
      </c>
      <c r="AF132" s="40">
        <v>1320</v>
      </c>
      <c r="AG132" s="40"/>
      <c r="AH132" s="40" t="s">
        <v>761</v>
      </c>
      <c r="AI132" s="41">
        <v>44624.979166666664</v>
      </c>
      <c r="AJ132" s="40"/>
      <c r="AK132" s="43">
        <v>950</v>
      </c>
      <c r="AL132" s="40"/>
      <c r="AM132" s="43">
        <v>0</v>
      </c>
      <c r="AN132" s="43"/>
      <c r="AO132" s="43"/>
      <c r="AP132" s="43"/>
      <c r="AQ132" s="43">
        <v>0</v>
      </c>
      <c r="AR132" s="43">
        <v>0</v>
      </c>
      <c r="AS132" s="43"/>
      <c r="AT132" s="43">
        <v>0</v>
      </c>
      <c r="AU132" s="43"/>
      <c r="AV132" s="43"/>
      <c r="AW132" s="43"/>
      <c r="AX132" s="43">
        <v>0</v>
      </c>
      <c r="AY132" s="43">
        <v>0</v>
      </c>
      <c r="AZ132" s="43">
        <v>0</v>
      </c>
      <c r="BA132" s="43">
        <v>0</v>
      </c>
      <c r="BB132" s="43">
        <v>0</v>
      </c>
      <c r="BC132" s="43">
        <v>0</v>
      </c>
      <c r="BD132" s="43">
        <v>0</v>
      </c>
      <c r="BE132" s="43">
        <v>0</v>
      </c>
      <c r="BF132" s="43">
        <v>0</v>
      </c>
      <c r="BG132" s="43">
        <v>0</v>
      </c>
      <c r="BH132" s="43">
        <v>0</v>
      </c>
      <c r="BI132" s="40" t="s">
        <v>669</v>
      </c>
      <c r="BJ132" s="40">
        <v>2022</v>
      </c>
      <c r="BK132" s="40" t="s">
        <v>2768</v>
      </c>
      <c r="BL132" s="40" t="s">
        <v>2768</v>
      </c>
      <c r="BM132" s="40" t="s">
        <v>125</v>
      </c>
    </row>
    <row r="133" spans="1:65" x14ac:dyDescent="0.25">
      <c r="A133" s="40" t="s">
        <v>2771</v>
      </c>
      <c r="B133" s="41">
        <v>44624.583333333336</v>
      </c>
      <c r="C133" s="40" t="s">
        <v>297</v>
      </c>
      <c r="D133" s="40" t="s">
        <v>298</v>
      </c>
      <c r="E133" s="40" t="s">
        <v>757</v>
      </c>
      <c r="F133" s="40">
        <v>68787811</v>
      </c>
      <c r="G133" s="40" t="s">
        <v>764</v>
      </c>
      <c r="H133" s="40" t="s">
        <v>301</v>
      </c>
      <c r="I133" s="40">
        <v>3880</v>
      </c>
      <c r="J133" s="40" t="s">
        <v>765</v>
      </c>
      <c r="K133" s="40">
        <v>25468</v>
      </c>
      <c r="L133" s="40">
        <v>29348</v>
      </c>
      <c r="M133" s="40">
        <v>714161</v>
      </c>
      <c r="N133" s="40" t="s">
        <v>760</v>
      </c>
      <c r="O133" s="40" t="s">
        <v>92</v>
      </c>
      <c r="P133" s="40" t="s">
        <v>93</v>
      </c>
      <c r="Q133" s="40" t="s">
        <v>94</v>
      </c>
      <c r="R133" s="42" t="s">
        <v>95</v>
      </c>
      <c r="S133" s="42" t="s">
        <v>96</v>
      </c>
      <c r="T133" s="40" t="s">
        <v>292</v>
      </c>
      <c r="U133" s="41">
        <v>44623.75</v>
      </c>
      <c r="V133" s="41">
        <v>44624.291666666664</v>
      </c>
      <c r="W133" s="41">
        <v>44624.75</v>
      </c>
      <c r="X133" s="40" t="s">
        <v>293</v>
      </c>
      <c r="Y133" s="41" t="s">
        <v>766</v>
      </c>
      <c r="Z133" s="41">
        <v>44628.5</v>
      </c>
      <c r="AA133" s="41">
        <v>44624.75</v>
      </c>
      <c r="AB133" s="41">
        <v>44629.5</v>
      </c>
      <c r="AC133" s="40" t="s">
        <v>308</v>
      </c>
      <c r="AD133" s="40">
        <v>11865</v>
      </c>
      <c r="AE133" s="40">
        <v>5516</v>
      </c>
      <c r="AF133" s="40">
        <v>1320</v>
      </c>
      <c r="AG133" s="40"/>
      <c r="AH133" s="40" t="s">
        <v>761</v>
      </c>
      <c r="AI133" s="41">
        <v>44625.010416666664</v>
      </c>
      <c r="AJ133" s="40"/>
      <c r="AK133" s="43">
        <v>950</v>
      </c>
      <c r="AL133" s="40"/>
      <c r="AM133" s="43">
        <v>0</v>
      </c>
      <c r="AN133" s="43"/>
      <c r="AO133" s="43"/>
      <c r="AP133" s="43"/>
      <c r="AQ133" s="43">
        <v>0</v>
      </c>
      <c r="AR133" s="43">
        <v>0</v>
      </c>
      <c r="AS133" s="43"/>
      <c r="AT133" s="43">
        <v>0</v>
      </c>
      <c r="AU133" s="43"/>
      <c r="AV133" s="43"/>
      <c r="AW133" s="43"/>
      <c r="AX133" s="43">
        <v>0</v>
      </c>
      <c r="AY133" s="43">
        <v>0</v>
      </c>
      <c r="AZ133" s="43">
        <v>0</v>
      </c>
      <c r="BA133" s="43">
        <v>0</v>
      </c>
      <c r="BB133" s="43">
        <v>0</v>
      </c>
      <c r="BC133" s="43">
        <v>0</v>
      </c>
      <c r="BD133" s="43">
        <v>0</v>
      </c>
      <c r="BE133" s="43">
        <v>0</v>
      </c>
      <c r="BF133" s="43">
        <v>0</v>
      </c>
      <c r="BG133" s="43">
        <v>0</v>
      </c>
      <c r="BH133" s="43">
        <v>0</v>
      </c>
      <c r="BI133" s="40" t="s">
        <v>669</v>
      </c>
      <c r="BJ133" s="40">
        <v>2022</v>
      </c>
      <c r="BK133" s="40" t="s">
        <v>2768</v>
      </c>
      <c r="BL133" s="40" t="s">
        <v>2768</v>
      </c>
      <c r="BM133" s="40" t="s">
        <v>125</v>
      </c>
    </row>
    <row r="134" spans="1:65" x14ac:dyDescent="0.25">
      <c r="A134" s="40" t="s">
        <v>2771</v>
      </c>
      <c r="B134" s="41">
        <v>44624.333333333336</v>
      </c>
      <c r="C134" s="40" t="s">
        <v>524</v>
      </c>
      <c r="D134" s="40" t="s">
        <v>525</v>
      </c>
      <c r="E134" s="40" t="s">
        <v>767</v>
      </c>
      <c r="F134" s="40" t="s">
        <v>768</v>
      </c>
      <c r="G134" s="40" t="s">
        <v>769</v>
      </c>
      <c r="H134" s="40" t="s">
        <v>125</v>
      </c>
      <c r="I134" s="40">
        <v>0</v>
      </c>
      <c r="J134" s="40">
        <v>0</v>
      </c>
      <c r="K134" s="40">
        <v>762</v>
      </c>
      <c r="L134" s="40">
        <v>762</v>
      </c>
      <c r="M134" s="40" t="s">
        <v>770</v>
      </c>
      <c r="N134" s="40" t="s">
        <v>771</v>
      </c>
      <c r="O134" s="40" t="s">
        <v>174</v>
      </c>
      <c r="P134" s="40" t="s">
        <v>125</v>
      </c>
      <c r="Q134" s="40" t="s">
        <v>175</v>
      </c>
      <c r="R134" s="42" t="s">
        <v>176</v>
      </c>
      <c r="S134" s="42" t="s">
        <v>177</v>
      </c>
      <c r="T134" s="40" t="s">
        <v>125</v>
      </c>
      <c r="U134" s="41" t="s">
        <v>125</v>
      </c>
      <c r="V134" s="41">
        <v>44624.291666666664</v>
      </c>
      <c r="W134" s="41">
        <v>44624.4375</v>
      </c>
      <c r="X134" s="40" t="s">
        <v>772</v>
      </c>
      <c r="Y134" s="41">
        <v>44624.715277777781</v>
      </c>
      <c r="Z134" s="41">
        <v>44623.708333333336</v>
      </c>
      <c r="AA134" s="41">
        <v>44623.708333333336</v>
      </c>
      <c r="AB134" s="41">
        <v>44624.458333333336</v>
      </c>
      <c r="AC134" s="40" t="s">
        <v>657</v>
      </c>
      <c r="AD134" s="40">
        <v>11854</v>
      </c>
      <c r="AE134" s="40">
        <v>5528</v>
      </c>
      <c r="AF134" s="40" t="s">
        <v>125</v>
      </c>
      <c r="AG134" s="40"/>
      <c r="AH134" s="40" t="s">
        <v>295</v>
      </c>
      <c r="AI134" s="41" t="s">
        <v>125</v>
      </c>
      <c r="AJ134" s="40" t="s">
        <v>125</v>
      </c>
      <c r="AK134" s="43" t="s">
        <v>125</v>
      </c>
      <c r="AL134" s="40"/>
      <c r="AM134" s="43">
        <v>0</v>
      </c>
      <c r="AN134" s="43">
        <v>900</v>
      </c>
      <c r="AO134" s="43"/>
      <c r="AP134" s="43"/>
      <c r="AQ134" s="43">
        <v>900</v>
      </c>
      <c r="AR134" s="43">
        <v>0</v>
      </c>
      <c r="AS134" s="43"/>
      <c r="AT134" s="43">
        <v>0</v>
      </c>
      <c r="AU134" s="43"/>
      <c r="AV134" s="43"/>
      <c r="AW134" s="43"/>
      <c r="AX134" s="43">
        <v>0</v>
      </c>
      <c r="AY134" s="43">
        <v>0</v>
      </c>
      <c r="AZ134" s="43">
        <v>0</v>
      </c>
      <c r="BA134" s="43">
        <v>0</v>
      </c>
      <c r="BB134" s="43">
        <v>0</v>
      </c>
      <c r="BC134" s="43">
        <v>0</v>
      </c>
      <c r="BD134" s="43">
        <v>0</v>
      </c>
      <c r="BE134" s="43">
        <v>0</v>
      </c>
      <c r="BF134" s="43">
        <v>0</v>
      </c>
      <c r="BG134" s="43">
        <v>0</v>
      </c>
      <c r="BH134" s="43">
        <v>0</v>
      </c>
      <c r="BI134" s="40" t="s">
        <v>669</v>
      </c>
      <c r="BJ134" s="40">
        <v>2022</v>
      </c>
      <c r="BK134" s="40" t="s">
        <v>2768</v>
      </c>
      <c r="BL134" s="40" t="s">
        <v>2768</v>
      </c>
      <c r="BM134" s="40" t="s">
        <v>125</v>
      </c>
    </row>
    <row r="135" spans="1:65" x14ac:dyDescent="0.25">
      <c r="A135" s="40" t="s">
        <v>2771</v>
      </c>
      <c r="B135" s="41">
        <v>44625.333333333336</v>
      </c>
      <c r="C135" s="40" t="s">
        <v>353</v>
      </c>
      <c r="D135" s="40" t="s">
        <v>773</v>
      </c>
      <c r="E135" s="40">
        <v>7129971</v>
      </c>
      <c r="F135" s="40">
        <v>6329335620</v>
      </c>
      <c r="G135" s="40" t="s">
        <v>774</v>
      </c>
      <c r="H135" s="40" t="s">
        <v>301</v>
      </c>
      <c r="I135" s="40">
        <v>3800</v>
      </c>
      <c r="J135" s="40">
        <v>453199</v>
      </c>
      <c r="K135" s="40">
        <v>24751</v>
      </c>
      <c r="L135" s="40">
        <v>28551</v>
      </c>
      <c r="M135" s="40" t="s">
        <v>775</v>
      </c>
      <c r="N135" s="40" t="s">
        <v>776</v>
      </c>
      <c r="O135" s="40" t="s">
        <v>72</v>
      </c>
      <c r="P135" s="40" t="s">
        <v>73</v>
      </c>
      <c r="Q135" s="40" t="s">
        <v>74</v>
      </c>
      <c r="R135" s="42" t="s">
        <v>75</v>
      </c>
      <c r="S135" s="42">
        <v>3595479067</v>
      </c>
      <c r="T135" s="40" t="s">
        <v>537</v>
      </c>
      <c r="U135" s="41">
        <v>44624.645833333336</v>
      </c>
      <c r="V135" s="41">
        <v>44625.041666666664</v>
      </c>
      <c r="W135" s="41">
        <v>44625.375</v>
      </c>
      <c r="X135" s="40" t="s">
        <v>293</v>
      </c>
      <c r="Y135" s="41">
        <v>44641.727083333331</v>
      </c>
      <c r="Z135" s="41">
        <v>44640.791666666664</v>
      </c>
      <c r="AA135" s="41">
        <v>44624.75</v>
      </c>
      <c r="AB135" s="41">
        <v>44642.75</v>
      </c>
      <c r="AC135" s="40" t="s">
        <v>777</v>
      </c>
      <c r="AD135" s="40">
        <v>11867</v>
      </c>
      <c r="AE135" s="40">
        <v>5545</v>
      </c>
      <c r="AF135" s="40">
        <v>1336</v>
      </c>
      <c r="AG135" s="40"/>
      <c r="AH135" s="40" t="s">
        <v>309</v>
      </c>
      <c r="AI135" s="41">
        <v>44627.625</v>
      </c>
      <c r="AJ135" s="40">
        <v>2</v>
      </c>
      <c r="AK135" s="43">
        <v>1900</v>
      </c>
      <c r="AL135" s="40"/>
      <c r="AM135" s="43">
        <v>0</v>
      </c>
      <c r="AN135" s="43"/>
      <c r="AO135" s="43"/>
      <c r="AP135" s="43"/>
      <c r="AQ135" s="43">
        <v>0</v>
      </c>
      <c r="AR135" s="43">
        <v>0</v>
      </c>
      <c r="AS135" s="43"/>
      <c r="AT135" s="43">
        <v>0</v>
      </c>
      <c r="AU135" s="43"/>
      <c r="AV135" s="43"/>
      <c r="AW135" s="43"/>
      <c r="AX135" s="43">
        <v>0</v>
      </c>
      <c r="AY135" s="43">
        <v>0</v>
      </c>
      <c r="AZ135" s="43">
        <v>0</v>
      </c>
      <c r="BA135" s="43">
        <v>0</v>
      </c>
      <c r="BB135" s="43">
        <v>0</v>
      </c>
      <c r="BC135" s="43">
        <v>0</v>
      </c>
      <c r="BD135" s="43">
        <v>0</v>
      </c>
      <c r="BE135" s="43">
        <v>0</v>
      </c>
      <c r="BF135" s="43">
        <v>0</v>
      </c>
      <c r="BG135" s="43">
        <v>0</v>
      </c>
      <c r="BH135" s="43">
        <v>0</v>
      </c>
      <c r="BI135" s="40" t="s">
        <v>669</v>
      </c>
      <c r="BJ135" s="40">
        <v>2022</v>
      </c>
      <c r="BK135" s="40" t="s">
        <v>2768</v>
      </c>
      <c r="BL135" s="40" t="s">
        <v>2768</v>
      </c>
      <c r="BM135" s="40" t="s">
        <v>125</v>
      </c>
    </row>
    <row r="136" spans="1:65" x14ac:dyDescent="0.25">
      <c r="A136" s="40" t="s">
        <v>2771</v>
      </c>
      <c r="B136" s="41">
        <v>44625.333333333336</v>
      </c>
      <c r="C136" s="40" t="s">
        <v>297</v>
      </c>
      <c r="D136" s="40" t="s">
        <v>298</v>
      </c>
      <c r="E136" s="40" t="s">
        <v>757</v>
      </c>
      <c r="F136" s="40">
        <v>216943851</v>
      </c>
      <c r="G136" s="40" t="s">
        <v>778</v>
      </c>
      <c r="H136" s="40" t="s">
        <v>301</v>
      </c>
      <c r="I136" s="40">
        <v>3840</v>
      </c>
      <c r="J136" s="40" t="s">
        <v>779</v>
      </c>
      <c r="K136" s="40">
        <v>14233</v>
      </c>
      <c r="L136" s="40">
        <v>18073</v>
      </c>
      <c r="M136" s="40">
        <v>714346</v>
      </c>
      <c r="N136" s="40" t="s">
        <v>780</v>
      </c>
      <c r="O136" s="40" t="s">
        <v>76</v>
      </c>
      <c r="P136" s="40" t="s">
        <v>81</v>
      </c>
      <c r="Q136" s="40" t="s">
        <v>78</v>
      </c>
      <c r="R136" s="42" t="s">
        <v>79</v>
      </c>
      <c r="S136" s="42" t="s">
        <v>80</v>
      </c>
      <c r="T136" s="40" t="s">
        <v>305</v>
      </c>
      <c r="U136" s="41">
        <v>44624.597222222219</v>
      </c>
      <c r="V136" s="41">
        <v>44625.291666666664</v>
      </c>
      <c r="W136" s="41"/>
      <c r="X136" s="40" t="s">
        <v>306</v>
      </c>
      <c r="Y136" s="41">
        <v>44634.911111111112</v>
      </c>
      <c r="Z136" s="41">
        <v>44633.041666666664</v>
      </c>
      <c r="AA136" s="41">
        <v>44627.458333333336</v>
      </c>
      <c r="AB136" s="41">
        <v>44629.75</v>
      </c>
      <c r="AC136" s="40" t="s">
        <v>308</v>
      </c>
      <c r="AD136" s="40">
        <v>11873</v>
      </c>
      <c r="AE136" s="40">
        <v>5517</v>
      </c>
      <c r="AF136" s="40">
        <v>1321</v>
      </c>
      <c r="AG136" s="40"/>
      <c r="AH136" s="40" t="s">
        <v>393</v>
      </c>
      <c r="AI136" s="41">
        <v>44627.333333333336</v>
      </c>
      <c r="AJ136" s="40"/>
      <c r="AK136" s="43">
        <v>950</v>
      </c>
      <c r="AL136" s="40"/>
      <c r="AM136" s="43">
        <v>0</v>
      </c>
      <c r="AN136" s="43"/>
      <c r="AO136" s="43"/>
      <c r="AP136" s="43"/>
      <c r="AQ136" s="43">
        <v>0</v>
      </c>
      <c r="AR136" s="43">
        <v>0</v>
      </c>
      <c r="AS136" s="43"/>
      <c r="AT136" s="43">
        <v>0</v>
      </c>
      <c r="AU136" s="43"/>
      <c r="AV136" s="43"/>
      <c r="AW136" s="43"/>
      <c r="AX136" s="43">
        <v>0</v>
      </c>
      <c r="AY136" s="43">
        <v>0</v>
      </c>
      <c r="AZ136" s="43">
        <v>0</v>
      </c>
      <c r="BA136" s="43">
        <v>0</v>
      </c>
      <c r="BB136" s="43">
        <v>0</v>
      </c>
      <c r="BC136" s="43">
        <v>0</v>
      </c>
      <c r="BD136" s="43">
        <v>0</v>
      </c>
      <c r="BE136" s="43">
        <v>0</v>
      </c>
      <c r="BF136" s="43">
        <v>0</v>
      </c>
      <c r="BG136" s="43">
        <v>0</v>
      </c>
      <c r="BH136" s="43">
        <v>0</v>
      </c>
      <c r="BI136" s="40" t="s">
        <v>669</v>
      </c>
      <c r="BJ136" s="40">
        <v>2022</v>
      </c>
      <c r="BK136" s="40" t="s">
        <v>2768</v>
      </c>
      <c r="BL136" s="40" t="s">
        <v>2768</v>
      </c>
      <c r="BM136" s="40" t="s">
        <v>125</v>
      </c>
    </row>
    <row r="137" spans="1:65" x14ac:dyDescent="0.25">
      <c r="A137" s="40" t="s">
        <v>2771</v>
      </c>
      <c r="B137" s="41">
        <v>44625.416666666664</v>
      </c>
      <c r="C137" s="40" t="s">
        <v>297</v>
      </c>
      <c r="D137" s="40" t="s">
        <v>298</v>
      </c>
      <c r="E137" s="40" t="s">
        <v>757</v>
      </c>
      <c r="F137" s="40">
        <v>216943851</v>
      </c>
      <c r="G137" s="40" t="s">
        <v>781</v>
      </c>
      <c r="H137" s="40" t="s">
        <v>301</v>
      </c>
      <c r="I137" s="40">
        <v>3810</v>
      </c>
      <c r="J137" s="40" t="s">
        <v>782</v>
      </c>
      <c r="K137" s="40">
        <v>18525</v>
      </c>
      <c r="L137" s="40">
        <v>22335</v>
      </c>
      <c r="M137" s="40">
        <v>714309</v>
      </c>
      <c r="N137" s="40" t="s">
        <v>780</v>
      </c>
      <c r="O137" s="40" t="s">
        <v>58</v>
      </c>
      <c r="P137" s="40" t="s">
        <v>59</v>
      </c>
      <c r="Q137" s="40" t="s">
        <v>60</v>
      </c>
      <c r="R137" s="42" t="s">
        <v>61</v>
      </c>
      <c r="S137" s="42" t="s">
        <v>62</v>
      </c>
      <c r="T137" s="40" t="s">
        <v>305</v>
      </c>
      <c r="U137" s="41">
        <v>44624.597222222219</v>
      </c>
      <c r="V137" s="41">
        <v>44625.291666666664</v>
      </c>
      <c r="W137" s="41"/>
      <c r="X137" s="40" t="s">
        <v>306</v>
      </c>
      <c r="Y137" s="41">
        <v>44634.898611111108</v>
      </c>
      <c r="Z137" s="41">
        <v>44633.041666666664</v>
      </c>
      <c r="AA137" s="41">
        <v>44627.458333333336</v>
      </c>
      <c r="AB137" s="41">
        <v>44629.75</v>
      </c>
      <c r="AC137" s="40" t="s">
        <v>308</v>
      </c>
      <c r="AD137" s="40">
        <v>11871</v>
      </c>
      <c r="AE137" s="40">
        <v>5529</v>
      </c>
      <c r="AF137" s="40">
        <v>1321</v>
      </c>
      <c r="AG137" s="40"/>
      <c r="AH137" s="40" t="s">
        <v>393</v>
      </c>
      <c r="AI137" s="41">
        <v>44627.333333333336</v>
      </c>
      <c r="AJ137" s="40"/>
      <c r="AK137" s="43">
        <v>950</v>
      </c>
      <c r="AL137" s="40"/>
      <c r="AM137" s="43">
        <v>0</v>
      </c>
      <c r="AN137" s="43"/>
      <c r="AO137" s="43"/>
      <c r="AP137" s="43"/>
      <c r="AQ137" s="43">
        <v>0</v>
      </c>
      <c r="AR137" s="43">
        <v>0</v>
      </c>
      <c r="AS137" s="43"/>
      <c r="AT137" s="43">
        <v>0</v>
      </c>
      <c r="AU137" s="43"/>
      <c r="AV137" s="43"/>
      <c r="AW137" s="43"/>
      <c r="AX137" s="43">
        <v>0</v>
      </c>
      <c r="AY137" s="43">
        <v>0</v>
      </c>
      <c r="AZ137" s="43">
        <v>0</v>
      </c>
      <c r="BA137" s="43">
        <v>0</v>
      </c>
      <c r="BB137" s="43">
        <v>0</v>
      </c>
      <c r="BC137" s="43">
        <v>0</v>
      </c>
      <c r="BD137" s="43">
        <v>0</v>
      </c>
      <c r="BE137" s="43">
        <v>0</v>
      </c>
      <c r="BF137" s="43">
        <v>0</v>
      </c>
      <c r="BG137" s="43">
        <v>0</v>
      </c>
      <c r="BH137" s="43">
        <v>0</v>
      </c>
      <c r="BI137" s="40" t="s">
        <v>669</v>
      </c>
      <c r="BJ137" s="40">
        <v>2022</v>
      </c>
      <c r="BK137" s="40" t="s">
        <v>2768</v>
      </c>
      <c r="BL137" s="40" t="s">
        <v>2768</v>
      </c>
      <c r="BM137" s="40" t="s">
        <v>125</v>
      </c>
    </row>
    <row r="138" spans="1:65" x14ac:dyDescent="0.25">
      <c r="A138" s="40" t="s">
        <v>2771</v>
      </c>
      <c r="B138" s="41">
        <v>44625.458333333336</v>
      </c>
      <c r="C138" s="40" t="s">
        <v>297</v>
      </c>
      <c r="D138" s="40" t="s">
        <v>298</v>
      </c>
      <c r="E138" s="40" t="s">
        <v>757</v>
      </c>
      <c r="F138" s="40">
        <v>216943851</v>
      </c>
      <c r="G138" s="40" t="s">
        <v>783</v>
      </c>
      <c r="H138" s="40" t="s">
        <v>301</v>
      </c>
      <c r="I138" s="40">
        <v>3880</v>
      </c>
      <c r="J138" s="40" t="s">
        <v>784</v>
      </c>
      <c r="K138" s="40">
        <v>14231</v>
      </c>
      <c r="L138" s="40">
        <v>18111</v>
      </c>
      <c r="M138" s="40">
        <v>714256</v>
      </c>
      <c r="N138" s="40" t="s">
        <v>780</v>
      </c>
      <c r="O138" s="40" t="s">
        <v>114</v>
      </c>
      <c r="P138" s="40" t="s">
        <v>115</v>
      </c>
      <c r="Q138" s="40" t="s">
        <v>116</v>
      </c>
      <c r="R138" s="42" t="s">
        <v>117</v>
      </c>
      <c r="S138" s="42" t="s">
        <v>118</v>
      </c>
      <c r="T138" s="40" t="s">
        <v>305</v>
      </c>
      <c r="U138" s="41">
        <v>44624.597222222219</v>
      </c>
      <c r="V138" s="41">
        <v>44625.291666666664</v>
      </c>
      <c r="W138" s="41">
        <v>44625.472222222219</v>
      </c>
      <c r="X138" s="40" t="s">
        <v>306</v>
      </c>
      <c r="Y138" s="41">
        <v>44634.974305555559</v>
      </c>
      <c r="Z138" s="41">
        <v>44633.041666666664</v>
      </c>
      <c r="AA138" s="41">
        <v>44627.458333333336</v>
      </c>
      <c r="AB138" s="41">
        <v>44629.75</v>
      </c>
      <c r="AC138" s="40" t="s">
        <v>308</v>
      </c>
      <c r="AD138" s="40">
        <v>11870</v>
      </c>
      <c r="AE138" s="40">
        <v>5530</v>
      </c>
      <c r="AF138" s="40">
        <v>1321</v>
      </c>
      <c r="AG138" s="40"/>
      <c r="AH138" s="40" t="s">
        <v>393</v>
      </c>
      <c r="AI138" s="41">
        <v>44627.333333333336</v>
      </c>
      <c r="AJ138" s="40"/>
      <c r="AK138" s="43">
        <v>950</v>
      </c>
      <c r="AL138" s="40"/>
      <c r="AM138" s="43">
        <v>0</v>
      </c>
      <c r="AN138" s="43"/>
      <c r="AO138" s="43"/>
      <c r="AP138" s="43"/>
      <c r="AQ138" s="43">
        <v>0</v>
      </c>
      <c r="AR138" s="43">
        <v>0</v>
      </c>
      <c r="AS138" s="43"/>
      <c r="AT138" s="43">
        <v>0</v>
      </c>
      <c r="AU138" s="43"/>
      <c r="AV138" s="43"/>
      <c r="AW138" s="43"/>
      <c r="AX138" s="43">
        <v>0</v>
      </c>
      <c r="AY138" s="43">
        <v>0</v>
      </c>
      <c r="AZ138" s="43">
        <v>0</v>
      </c>
      <c r="BA138" s="43">
        <v>0</v>
      </c>
      <c r="BB138" s="43">
        <v>0</v>
      </c>
      <c r="BC138" s="43">
        <v>0</v>
      </c>
      <c r="BD138" s="43">
        <v>0</v>
      </c>
      <c r="BE138" s="43">
        <v>0</v>
      </c>
      <c r="BF138" s="43">
        <v>0</v>
      </c>
      <c r="BG138" s="43">
        <v>0</v>
      </c>
      <c r="BH138" s="43">
        <v>0</v>
      </c>
      <c r="BI138" s="40" t="s">
        <v>669</v>
      </c>
      <c r="BJ138" s="40">
        <v>2022</v>
      </c>
      <c r="BK138" s="40" t="s">
        <v>2768</v>
      </c>
      <c r="BL138" s="40" t="s">
        <v>2768</v>
      </c>
      <c r="BM138" s="40" t="s">
        <v>125</v>
      </c>
    </row>
    <row r="139" spans="1:65" x14ac:dyDescent="0.25">
      <c r="A139" s="40" t="s">
        <v>2771</v>
      </c>
      <c r="B139" s="41">
        <v>44627.333333333336</v>
      </c>
      <c r="C139" s="40" t="s">
        <v>297</v>
      </c>
      <c r="D139" s="40" t="s">
        <v>298</v>
      </c>
      <c r="E139" s="40" t="s">
        <v>757</v>
      </c>
      <c r="F139" s="40">
        <v>216943851</v>
      </c>
      <c r="G139" s="40" t="s">
        <v>785</v>
      </c>
      <c r="H139" s="40" t="s">
        <v>301</v>
      </c>
      <c r="I139" s="40">
        <v>3880</v>
      </c>
      <c r="J139" s="40" t="s">
        <v>786</v>
      </c>
      <c r="K139" s="40">
        <v>19734</v>
      </c>
      <c r="L139" s="40">
        <v>23614</v>
      </c>
      <c r="M139" s="40">
        <v>714589</v>
      </c>
      <c r="N139" s="40" t="s">
        <v>780</v>
      </c>
      <c r="O139" s="40" t="s">
        <v>111</v>
      </c>
      <c r="P139" s="40" t="s">
        <v>112</v>
      </c>
      <c r="Q139" s="40" t="s">
        <v>113</v>
      </c>
      <c r="R139" s="42">
        <v>88265951434</v>
      </c>
      <c r="S139" s="42">
        <v>920373596</v>
      </c>
      <c r="T139" s="40" t="s">
        <v>292</v>
      </c>
      <c r="U139" s="41">
        <v>44625.75</v>
      </c>
      <c r="V139" s="41">
        <v>44627.291666666664</v>
      </c>
      <c r="W139" s="41">
        <v>44627.875</v>
      </c>
      <c r="X139" s="40" t="s">
        <v>306</v>
      </c>
      <c r="Y139" s="41">
        <v>44634.427083333336</v>
      </c>
      <c r="Z139" s="41">
        <v>44633.041666666664</v>
      </c>
      <c r="AA139" s="41">
        <v>44627.458333333336</v>
      </c>
      <c r="AB139" s="41">
        <v>44629.75</v>
      </c>
      <c r="AC139" s="40" t="s">
        <v>308</v>
      </c>
      <c r="AD139" s="40">
        <v>12002</v>
      </c>
      <c r="AE139" s="40">
        <v>5531</v>
      </c>
      <c r="AF139" s="40">
        <v>1321</v>
      </c>
      <c r="AG139" s="40"/>
      <c r="AH139" s="40" t="s">
        <v>309</v>
      </c>
      <c r="AI139" s="41">
        <v>44628.083333333336</v>
      </c>
      <c r="AJ139" s="40"/>
      <c r="AK139" s="43">
        <v>950</v>
      </c>
      <c r="AL139" s="40"/>
      <c r="AM139" s="43">
        <v>0</v>
      </c>
      <c r="AN139" s="43"/>
      <c r="AO139" s="43"/>
      <c r="AP139" s="43"/>
      <c r="AQ139" s="43">
        <v>0</v>
      </c>
      <c r="AR139" s="43">
        <v>0</v>
      </c>
      <c r="AS139" s="43"/>
      <c r="AT139" s="43">
        <v>0</v>
      </c>
      <c r="AU139" s="43"/>
      <c r="AV139" s="43"/>
      <c r="AW139" s="43"/>
      <c r="AX139" s="43">
        <v>0</v>
      </c>
      <c r="AY139" s="43">
        <v>0</v>
      </c>
      <c r="AZ139" s="43">
        <v>0</v>
      </c>
      <c r="BA139" s="43">
        <v>0</v>
      </c>
      <c r="BB139" s="43">
        <v>0</v>
      </c>
      <c r="BC139" s="43">
        <v>0</v>
      </c>
      <c r="BD139" s="43">
        <v>0</v>
      </c>
      <c r="BE139" s="43">
        <v>0</v>
      </c>
      <c r="BF139" s="43">
        <v>0</v>
      </c>
      <c r="BG139" s="43">
        <v>0</v>
      </c>
      <c r="BH139" s="43">
        <v>0</v>
      </c>
      <c r="BI139" s="40" t="s">
        <v>669</v>
      </c>
      <c r="BJ139" s="40">
        <v>2022</v>
      </c>
      <c r="BK139" s="40" t="s">
        <v>2768</v>
      </c>
      <c r="BL139" s="40" t="s">
        <v>2768</v>
      </c>
      <c r="BM139" s="40" t="s">
        <v>125</v>
      </c>
    </row>
    <row r="140" spans="1:65" x14ac:dyDescent="0.25">
      <c r="A140" s="40" t="s">
        <v>2771</v>
      </c>
      <c r="B140" s="41">
        <v>44627.416666666664</v>
      </c>
      <c r="C140" s="40" t="s">
        <v>297</v>
      </c>
      <c r="D140" s="40" t="s">
        <v>298</v>
      </c>
      <c r="E140" s="40" t="s">
        <v>757</v>
      </c>
      <c r="F140" s="40">
        <v>216943851</v>
      </c>
      <c r="G140" s="40" t="s">
        <v>787</v>
      </c>
      <c r="H140" s="40" t="s">
        <v>301</v>
      </c>
      <c r="I140" s="40">
        <v>3880</v>
      </c>
      <c r="J140" s="40" t="s">
        <v>788</v>
      </c>
      <c r="K140" s="40">
        <v>19734</v>
      </c>
      <c r="L140" s="40">
        <v>23614</v>
      </c>
      <c r="M140" s="40">
        <v>714587</v>
      </c>
      <c r="N140" s="40" t="s">
        <v>780</v>
      </c>
      <c r="O140" s="40" t="s">
        <v>140</v>
      </c>
      <c r="P140" s="40" t="s">
        <v>141</v>
      </c>
      <c r="Q140" s="40" t="s">
        <v>142</v>
      </c>
      <c r="R140" s="42" t="s">
        <v>143</v>
      </c>
      <c r="S140" s="42" t="s">
        <v>144</v>
      </c>
      <c r="T140" s="40" t="s">
        <v>292</v>
      </c>
      <c r="U140" s="41">
        <v>44625.75</v>
      </c>
      <c r="V140" s="41">
        <v>44627.291666666664</v>
      </c>
      <c r="W140" s="41">
        <v>44627.666666666664</v>
      </c>
      <c r="X140" s="40" t="s">
        <v>306</v>
      </c>
      <c r="Y140" s="41">
        <v>44634.70416666667</v>
      </c>
      <c r="Z140" s="41">
        <v>44633.041666666664</v>
      </c>
      <c r="AA140" s="41">
        <v>44627.458333333336</v>
      </c>
      <c r="AB140" s="41">
        <v>44629.75</v>
      </c>
      <c r="AC140" s="40" t="s">
        <v>308</v>
      </c>
      <c r="AD140" s="40">
        <v>11879</v>
      </c>
      <c r="AE140" s="40">
        <v>5532</v>
      </c>
      <c r="AF140" s="40">
        <v>1321</v>
      </c>
      <c r="AG140" s="40"/>
      <c r="AH140" s="40" t="s">
        <v>309</v>
      </c>
      <c r="AI140" s="41">
        <v>44627.791666666664</v>
      </c>
      <c r="AJ140" s="40"/>
      <c r="AK140" s="43">
        <v>950</v>
      </c>
      <c r="AL140" s="40"/>
      <c r="AM140" s="43">
        <v>0</v>
      </c>
      <c r="AN140" s="43"/>
      <c r="AO140" s="43"/>
      <c r="AP140" s="43"/>
      <c r="AQ140" s="43">
        <v>0</v>
      </c>
      <c r="AR140" s="43">
        <v>0</v>
      </c>
      <c r="AS140" s="43"/>
      <c r="AT140" s="43">
        <v>0</v>
      </c>
      <c r="AU140" s="43"/>
      <c r="AV140" s="43"/>
      <c r="AW140" s="43"/>
      <c r="AX140" s="43">
        <v>0</v>
      </c>
      <c r="AY140" s="43">
        <v>0</v>
      </c>
      <c r="AZ140" s="43">
        <v>0</v>
      </c>
      <c r="BA140" s="43">
        <v>0</v>
      </c>
      <c r="BB140" s="43">
        <v>0</v>
      </c>
      <c r="BC140" s="43">
        <v>0</v>
      </c>
      <c r="BD140" s="43">
        <v>0</v>
      </c>
      <c r="BE140" s="43">
        <v>0</v>
      </c>
      <c r="BF140" s="43">
        <v>0</v>
      </c>
      <c r="BG140" s="43">
        <v>0</v>
      </c>
      <c r="BH140" s="43">
        <v>0</v>
      </c>
      <c r="BI140" s="40" t="s">
        <v>669</v>
      </c>
      <c r="BJ140" s="40">
        <v>2022</v>
      </c>
      <c r="BK140" s="40" t="s">
        <v>2768</v>
      </c>
      <c r="BL140" s="40" t="s">
        <v>2768</v>
      </c>
      <c r="BM140" s="40" t="s">
        <v>125</v>
      </c>
    </row>
    <row r="141" spans="1:65" x14ac:dyDescent="0.25">
      <c r="A141" s="40" t="s">
        <v>2771</v>
      </c>
      <c r="B141" s="41">
        <v>44627.458333333336</v>
      </c>
      <c r="C141" s="40" t="s">
        <v>297</v>
      </c>
      <c r="D141" s="40" t="s">
        <v>298</v>
      </c>
      <c r="E141" s="40" t="s">
        <v>757</v>
      </c>
      <c r="F141" s="40">
        <v>216943851</v>
      </c>
      <c r="G141" s="40" t="s">
        <v>789</v>
      </c>
      <c r="H141" s="40" t="s">
        <v>301</v>
      </c>
      <c r="I141" s="40">
        <v>3700</v>
      </c>
      <c r="J141" s="40" t="s">
        <v>790</v>
      </c>
      <c r="K141" s="40">
        <v>19734</v>
      </c>
      <c r="L141" s="40">
        <v>23434</v>
      </c>
      <c r="M141" s="40">
        <v>714588</v>
      </c>
      <c r="N141" s="40" t="s">
        <v>780</v>
      </c>
      <c r="O141" s="40" t="s">
        <v>178</v>
      </c>
      <c r="P141" s="40" t="s">
        <v>179</v>
      </c>
      <c r="Q141" s="40" t="s">
        <v>180</v>
      </c>
      <c r="R141" s="42">
        <v>18990500869</v>
      </c>
      <c r="S141" s="42" t="s">
        <v>181</v>
      </c>
      <c r="T141" s="40" t="s">
        <v>292</v>
      </c>
      <c r="U141" s="41">
        <v>44625.75</v>
      </c>
      <c r="V141" s="41">
        <v>44627.291666666664</v>
      </c>
      <c r="W141" s="41">
        <v>44627.666666666664</v>
      </c>
      <c r="X141" s="40" t="s">
        <v>306</v>
      </c>
      <c r="Y141" s="41">
        <v>44634.563194444447</v>
      </c>
      <c r="Z141" s="41">
        <v>44633.041666666664</v>
      </c>
      <c r="AA141" s="41">
        <v>44627.458333333336</v>
      </c>
      <c r="AB141" s="41">
        <v>44629.75</v>
      </c>
      <c r="AC141" s="40" t="s">
        <v>308</v>
      </c>
      <c r="AD141" s="40">
        <v>11880</v>
      </c>
      <c r="AE141" s="40">
        <v>5533</v>
      </c>
      <c r="AF141" s="40">
        <v>1321</v>
      </c>
      <c r="AG141" s="40"/>
      <c r="AH141" s="40" t="s">
        <v>309</v>
      </c>
      <c r="AI141" s="41">
        <v>44627.791666666664</v>
      </c>
      <c r="AJ141" s="40"/>
      <c r="AK141" s="43">
        <v>950</v>
      </c>
      <c r="AL141" s="40"/>
      <c r="AM141" s="43">
        <v>0</v>
      </c>
      <c r="AN141" s="43"/>
      <c r="AO141" s="43"/>
      <c r="AP141" s="43"/>
      <c r="AQ141" s="43">
        <v>0</v>
      </c>
      <c r="AR141" s="43">
        <v>0</v>
      </c>
      <c r="AS141" s="43"/>
      <c r="AT141" s="43">
        <v>0</v>
      </c>
      <c r="AU141" s="43"/>
      <c r="AV141" s="43"/>
      <c r="AW141" s="43"/>
      <c r="AX141" s="43">
        <v>0</v>
      </c>
      <c r="AY141" s="43">
        <v>0</v>
      </c>
      <c r="AZ141" s="43">
        <v>0</v>
      </c>
      <c r="BA141" s="43">
        <v>0</v>
      </c>
      <c r="BB141" s="43">
        <v>0</v>
      </c>
      <c r="BC141" s="43">
        <v>0</v>
      </c>
      <c r="BD141" s="43">
        <v>0</v>
      </c>
      <c r="BE141" s="43">
        <v>0</v>
      </c>
      <c r="BF141" s="43">
        <v>0</v>
      </c>
      <c r="BG141" s="43">
        <v>0</v>
      </c>
      <c r="BH141" s="43">
        <v>0</v>
      </c>
      <c r="BI141" s="40" t="s">
        <v>669</v>
      </c>
      <c r="BJ141" s="40">
        <v>2022</v>
      </c>
      <c r="BK141" s="40" t="s">
        <v>2768</v>
      </c>
      <c r="BL141" s="40" t="s">
        <v>2768</v>
      </c>
      <c r="BM141" s="40" t="s">
        <v>125</v>
      </c>
    </row>
    <row r="142" spans="1:65" x14ac:dyDescent="0.25">
      <c r="A142" s="40" t="s">
        <v>2771</v>
      </c>
      <c r="B142" s="41">
        <v>44627.541666666664</v>
      </c>
      <c r="C142" s="40" t="s">
        <v>297</v>
      </c>
      <c r="D142" s="40" t="s">
        <v>298</v>
      </c>
      <c r="E142" s="40" t="s">
        <v>757</v>
      </c>
      <c r="F142" s="40">
        <v>216943851</v>
      </c>
      <c r="G142" s="40" t="s">
        <v>791</v>
      </c>
      <c r="H142" s="40" t="s">
        <v>301</v>
      </c>
      <c r="I142" s="40">
        <v>3700</v>
      </c>
      <c r="J142" s="40" t="s">
        <v>792</v>
      </c>
      <c r="K142" s="40">
        <v>19734</v>
      </c>
      <c r="L142" s="40">
        <v>23434</v>
      </c>
      <c r="M142" s="40">
        <v>714665</v>
      </c>
      <c r="N142" s="40" t="s">
        <v>780</v>
      </c>
      <c r="O142" s="40" t="s">
        <v>793</v>
      </c>
      <c r="P142" s="40" t="s">
        <v>794</v>
      </c>
      <c r="Q142" s="40" t="s">
        <v>795</v>
      </c>
      <c r="R142" s="42" t="s">
        <v>796</v>
      </c>
      <c r="S142" s="42"/>
      <c r="T142" s="40" t="s">
        <v>292</v>
      </c>
      <c r="U142" s="41">
        <v>44625.75</v>
      </c>
      <c r="V142" s="41">
        <v>44627.625</v>
      </c>
      <c r="W142" s="41">
        <v>44627.958333333336</v>
      </c>
      <c r="X142" s="40" t="s">
        <v>306</v>
      </c>
      <c r="Y142" s="41">
        <v>44634.96875</v>
      </c>
      <c r="Z142" s="41">
        <v>44633.041666666664</v>
      </c>
      <c r="AA142" s="41">
        <v>44627.458333333336</v>
      </c>
      <c r="AB142" s="41">
        <v>44629.75</v>
      </c>
      <c r="AC142" s="40" t="s">
        <v>308</v>
      </c>
      <c r="AD142" s="40">
        <v>11894</v>
      </c>
      <c r="AE142" s="40">
        <v>5534</v>
      </c>
      <c r="AF142" s="40">
        <v>1321</v>
      </c>
      <c r="AG142" s="40"/>
      <c r="AH142" s="40" t="s">
        <v>309</v>
      </c>
      <c r="AI142" s="41">
        <v>44628.333333333336</v>
      </c>
      <c r="AJ142" s="40"/>
      <c r="AK142" s="43">
        <v>950</v>
      </c>
      <c r="AL142" s="40"/>
      <c r="AM142" s="43">
        <v>0</v>
      </c>
      <c r="AN142" s="43"/>
      <c r="AO142" s="43"/>
      <c r="AP142" s="43"/>
      <c r="AQ142" s="43">
        <v>0</v>
      </c>
      <c r="AR142" s="43">
        <v>0</v>
      </c>
      <c r="AS142" s="43"/>
      <c r="AT142" s="43">
        <v>0</v>
      </c>
      <c r="AU142" s="43"/>
      <c r="AV142" s="43"/>
      <c r="AW142" s="43"/>
      <c r="AX142" s="43">
        <v>0</v>
      </c>
      <c r="AY142" s="43">
        <v>0</v>
      </c>
      <c r="AZ142" s="43">
        <v>0</v>
      </c>
      <c r="BA142" s="43">
        <v>0</v>
      </c>
      <c r="BB142" s="43">
        <v>0</v>
      </c>
      <c r="BC142" s="43">
        <v>0</v>
      </c>
      <c r="BD142" s="43">
        <v>0</v>
      </c>
      <c r="BE142" s="43">
        <v>0</v>
      </c>
      <c r="BF142" s="43">
        <v>0</v>
      </c>
      <c r="BG142" s="43">
        <v>0</v>
      </c>
      <c r="BH142" s="43">
        <v>0</v>
      </c>
      <c r="BI142" s="40" t="s">
        <v>669</v>
      </c>
      <c r="BJ142" s="40">
        <v>2022</v>
      </c>
      <c r="BK142" s="40" t="s">
        <v>2768</v>
      </c>
      <c r="BL142" s="40" t="s">
        <v>2768</v>
      </c>
      <c r="BM142" s="40" t="s">
        <v>125</v>
      </c>
    </row>
    <row r="143" spans="1:65" x14ac:dyDescent="0.25">
      <c r="A143" s="40" t="s">
        <v>2771</v>
      </c>
      <c r="B143" s="41">
        <v>44627.583333333336</v>
      </c>
      <c r="C143" s="40" t="s">
        <v>297</v>
      </c>
      <c r="D143" s="40" t="s">
        <v>298</v>
      </c>
      <c r="E143" s="40" t="s">
        <v>757</v>
      </c>
      <c r="F143" s="40">
        <v>216943851</v>
      </c>
      <c r="G143" s="40" t="s">
        <v>797</v>
      </c>
      <c r="H143" s="40" t="s">
        <v>301</v>
      </c>
      <c r="I143" s="40">
        <v>3790</v>
      </c>
      <c r="J143" s="40" t="s">
        <v>798</v>
      </c>
      <c r="K143" s="40">
        <v>19734</v>
      </c>
      <c r="L143" s="40">
        <v>23524</v>
      </c>
      <c r="M143" s="40">
        <v>714590</v>
      </c>
      <c r="N143" s="40" t="s">
        <v>780</v>
      </c>
      <c r="O143" s="40" t="s">
        <v>47</v>
      </c>
      <c r="P143" s="40" t="s">
        <v>48</v>
      </c>
      <c r="Q143" s="40" t="s">
        <v>49</v>
      </c>
      <c r="R143" s="42" t="s">
        <v>50</v>
      </c>
      <c r="S143" s="42" t="s">
        <v>51</v>
      </c>
      <c r="T143" s="40" t="s">
        <v>292</v>
      </c>
      <c r="U143" s="41">
        <v>44625.75</v>
      </c>
      <c r="V143" s="41">
        <v>44627.291666666664</v>
      </c>
      <c r="W143" s="41">
        <v>44627.791666666664</v>
      </c>
      <c r="X143" s="40" t="s">
        <v>306</v>
      </c>
      <c r="Y143" s="41">
        <v>44636.645833333336</v>
      </c>
      <c r="Z143" s="41">
        <v>44633.041666666664</v>
      </c>
      <c r="AA143" s="41">
        <v>44627.458333333336</v>
      </c>
      <c r="AB143" s="41">
        <v>44629.75</v>
      </c>
      <c r="AC143" s="40" t="s">
        <v>308</v>
      </c>
      <c r="AD143" s="40">
        <v>11884</v>
      </c>
      <c r="AE143" s="40">
        <v>5535</v>
      </c>
      <c r="AF143" s="40">
        <v>1321</v>
      </c>
      <c r="AG143" s="40"/>
      <c r="AH143" s="40" t="s">
        <v>309</v>
      </c>
      <c r="AI143" s="41">
        <v>44628.083333333336</v>
      </c>
      <c r="AJ143" s="40"/>
      <c r="AK143" s="43">
        <v>950</v>
      </c>
      <c r="AL143" s="40"/>
      <c r="AM143" s="43">
        <v>0</v>
      </c>
      <c r="AN143" s="43"/>
      <c r="AO143" s="43"/>
      <c r="AP143" s="43"/>
      <c r="AQ143" s="43">
        <v>0</v>
      </c>
      <c r="AR143" s="43">
        <v>0</v>
      </c>
      <c r="AS143" s="43"/>
      <c r="AT143" s="43">
        <v>0</v>
      </c>
      <c r="AU143" s="43"/>
      <c r="AV143" s="43"/>
      <c r="AW143" s="43"/>
      <c r="AX143" s="43">
        <v>0</v>
      </c>
      <c r="AY143" s="43">
        <v>0</v>
      </c>
      <c r="AZ143" s="43">
        <v>0</v>
      </c>
      <c r="BA143" s="43">
        <v>0</v>
      </c>
      <c r="BB143" s="43">
        <v>0</v>
      </c>
      <c r="BC143" s="43">
        <v>0</v>
      </c>
      <c r="BD143" s="43">
        <v>0</v>
      </c>
      <c r="BE143" s="43">
        <v>0</v>
      </c>
      <c r="BF143" s="43">
        <v>0</v>
      </c>
      <c r="BG143" s="43">
        <v>0</v>
      </c>
      <c r="BH143" s="43">
        <v>0</v>
      </c>
      <c r="BI143" s="40" t="s">
        <v>669</v>
      </c>
      <c r="BJ143" s="40">
        <v>2022</v>
      </c>
      <c r="BK143" s="40" t="s">
        <v>2768</v>
      </c>
      <c r="BL143" s="40" t="s">
        <v>2768</v>
      </c>
      <c r="BM143" s="40" t="s">
        <v>125</v>
      </c>
    </row>
    <row r="144" spans="1:65" x14ac:dyDescent="0.25">
      <c r="A144" s="40" t="s">
        <v>2771</v>
      </c>
      <c r="B144" s="41">
        <v>44627.333333333336</v>
      </c>
      <c r="C144" s="40" t="s">
        <v>297</v>
      </c>
      <c r="D144" s="40" t="s">
        <v>298</v>
      </c>
      <c r="E144" s="40" t="s">
        <v>799</v>
      </c>
      <c r="F144" s="40">
        <v>62460856</v>
      </c>
      <c r="G144" s="40" t="s">
        <v>800</v>
      </c>
      <c r="H144" s="40" t="s">
        <v>301</v>
      </c>
      <c r="I144" s="40">
        <v>3960</v>
      </c>
      <c r="J144" s="40" t="s">
        <v>801</v>
      </c>
      <c r="K144" s="40">
        <v>19734</v>
      </c>
      <c r="L144" s="40">
        <v>23694</v>
      </c>
      <c r="M144" s="40">
        <v>714664</v>
      </c>
      <c r="N144" s="40" t="s">
        <v>760</v>
      </c>
      <c r="O144" s="40" t="s">
        <v>164</v>
      </c>
      <c r="P144" s="40" t="s">
        <v>165</v>
      </c>
      <c r="Q144" s="40" t="s">
        <v>166</v>
      </c>
      <c r="R144" s="42" t="s">
        <v>320</v>
      </c>
      <c r="S144" s="42" t="s">
        <v>168</v>
      </c>
      <c r="T144" s="40" t="s">
        <v>293</v>
      </c>
      <c r="U144" s="41">
        <v>44624.652777777781</v>
      </c>
      <c r="V144" s="41">
        <v>44627.291666666664</v>
      </c>
      <c r="W144" s="41">
        <v>44627.854166666664</v>
      </c>
      <c r="X144" s="40" t="s">
        <v>293</v>
      </c>
      <c r="Y144" s="41">
        <v>44629.991666666669</v>
      </c>
      <c r="Z144" s="41"/>
      <c r="AA144" s="41">
        <v>44624.708333333336</v>
      </c>
      <c r="AB144" s="41">
        <v>44629.75</v>
      </c>
      <c r="AC144" s="40" t="s">
        <v>308</v>
      </c>
      <c r="AD144" s="40">
        <v>11892</v>
      </c>
      <c r="AE144" s="40">
        <v>5544</v>
      </c>
      <c r="AF144" s="40">
        <v>1296</v>
      </c>
      <c r="AG144" s="40"/>
      <c r="AH144" s="40" t="s">
        <v>393</v>
      </c>
      <c r="AI144" s="41">
        <v>44628.083333333336</v>
      </c>
      <c r="AJ144" s="40"/>
      <c r="AK144" s="43">
        <v>950</v>
      </c>
      <c r="AL144" s="40"/>
      <c r="AM144" s="43">
        <v>0</v>
      </c>
      <c r="AN144" s="43"/>
      <c r="AO144" s="43"/>
      <c r="AP144" s="43"/>
      <c r="AQ144" s="43">
        <v>0</v>
      </c>
      <c r="AR144" s="43">
        <v>0</v>
      </c>
      <c r="AS144" s="43"/>
      <c r="AT144" s="43">
        <v>0</v>
      </c>
      <c r="AU144" s="43"/>
      <c r="AV144" s="43"/>
      <c r="AW144" s="43"/>
      <c r="AX144" s="43">
        <v>0</v>
      </c>
      <c r="AY144" s="43">
        <v>0</v>
      </c>
      <c r="AZ144" s="43">
        <v>0</v>
      </c>
      <c r="BA144" s="43">
        <v>0</v>
      </c>
      <c r="BB144" s="43">
        <v>0</v>
      </c>
      <c r="BC144" s="43">
        <v>0</v>
      </c>
      <c r="BD144" s="43">
        <v>0</v>
      </c>
      <c r="BE144" s="43">
        <v>0</v>
      </c>
      <c r="BF144" s="43">
        <v>0</v>
      </c>
      <c r="BG144" s="43">
        <v>0</v>
      </c>
      <c r="BH144" s="43">
        <v>0</v>
      </c>
      <c r="BI144" s="40" t="s">
        <v>669</v>
      </c>
      <c r="BJ144" s="40">
        <v>2022</v>
      </c>
      <c r="BK144" s="40" t="s">
        <v>2768</v>
      </c>
      <c r="BL144" s="40" t="s">
        <v>2768</v>
      </c>
      <c r="BM144" s="40" t="s">
        <v>125</v>
      </c>
    </row>
    <row r="145" spans="1:65" x14ac:dyDescent="0.25">
      <c r="A145" s="40" t="s">
        <v>2771</v>
      </c>
      <c r="B145" s="41">
        <v>44627.333333333336</v>
      </c>
      <c r="C145" s="40" t="s">
        <v>297</v>
      </c>
      <c r="D145" s="40" t="s">
        <v>298</v>
      </c>
      <c r="E145" s="40" t="s">
        <v>799</v>
      </c>
      <c r="F145" s="40">
        <v>62460856</v>
      </c>
      <c r="G145" s="40" t="s">
        <v>802</v>
      </c>
      <c r="H145" s="40" t="s">
        <v>301</v>
      </c>
      <c r="I145" s="40">
        <v>3700</v>
      </c>
      <c r="J145" s="40" t="s">
        <v>803</v>
      </c>
      <c r="K145" s="40">
        <v>18742</v>
      </c>
      <c r="L145" s="40">
        <v>22442</v>
      </c>
      <c r="M145" s="40">
        <v>714681</v>
      </c>
      <c r="N145" s="40" t="s">
        <v>760</v>
      </c>
      <c r="O145" s="40" t="s">
        <v>82</v>
      </c>
      <c r="P145" s="40" t="s">
        <v>83</v>
      </c>
      <c r="Q145" s="40" t="s">
        <v>84</v>
      </c>
      <c r="R145" s="42" t="s">
        <v>85</v>
      </c>
      <c r="S145" s="42" t="s">
        <v>86</v>
      </c>
      <c r="T145" s="40" t="s">
        <v>293</v>
      </c>
      <c r="U145" s="41">
        <v>44624.625</v>
      </c>
      <c r="V145" s="41">
        <v>44627.291666666664</v>
      </c>
      <c r="W145" s="41">
        <v>44628.8125</v>
      </c>
      <c r="X145" s="40" t="s">
        <v>293</v>
      </c>
      <c r="Y145" s="41">
        <v>44629.885416666664</v>
      </c>
      <c r="Z145" s="41"/>
      <c r="AA145" s="41">
        <v>44624.708333333336</v>
      </c>
      <c r="AB145" s="41">
        <v>44629.75</v>
      </c>
      <c r="AC145" s="40" t="s">
        <v>308</v>
      </c>
      <c r="AD145" s="40">
        <v>11914</v>
      </c>
      <c r="AE145" s="40">
        <v>5511</v>
      </c>
      <c r="AF145" s="40">
        <v>1296</v>
      </c>
      <c r="AG145" s="40"/>
      <c r="AH145" s="40" t="s">
        <v>393</v>
      </c>
      <c r="AI145" s="41">
        <v>44629.020833333336</v>
      </c>
      <c r="AJ145" s="40"/>
      <c r="AK145" s="43">
        <v>950</v>
      </c>
      <c r="AL145" s="40"/>
      <c r="AM145" s="43">
        <v>0</v>
      </c>
      <c r="AN145" s="43"/>
      <c r="AO145" s="43"/>
      <c r="AP145" s="43"/>
      <c r="AQ145" s="43">
        <v>0</v>
      </c>
      <c r="AR145" s="43">
        <v>165.89449999999999</v>
      </c>
      <c r="AS145" s="43"/>
      <c r="AT145" s="43">
        <v>2465</v>
      </c>
      <c r="AU145" s="43"/>
      <c r="AV145" s="43"/>
      <c r="AW145" s="43"/>
      <c r="AX145" s="43">
        <v>0</v>
      </c>
      <c r="AY145" s="43">
        <v>0</v>
      </c>
      <c r="AZ145" s="43">
        <v>0</v>
      </c>
      <c r="BA145" s="43">
        <v>0</v>
      </c>
      <c r="BB145" s="43">
        <v>0</v>
      </c>
      <c r="BC145" s="43">
        <v>0</v>
      </c>
      <c r="BD145" s="43">
        <v>0</v>
      </c>
      <c r="BE145" s="43">
        <v>0</v>
      </c>
      <c r="BF145" s="43">
        <v>0</v>
      </c>
      <c r="BG145" s="43">
        <v>0</v>
      </c>
      <c r="BH145" s="43">
        <v>2465</v>
      </c>
      <c r="BI145" s="40" t="s">
        <v>669</v>
      </c>
      <c r="BJ145" s="40">
        <v>2022</v>
      </c>
      <c r="BK145" s="40" t="s">
        <v>2768</v>
      </c>
      <c r="BL145" s="40" t="s">
        <v>2768</v>
      </c>
      <c r="BM145" s="40" t="s">
        <v>125</v>
      </c>
    </row>
    <row r="146" spans="1:65" x14ac:dyDescent="0.25">
      <c r="A146" s="40" t="s">
        <v>2771</v>
      </c>
      <c r="B146" s="41">
        <v>44627.333333333336</v>
      </c>
      <c r="C146" s="40" t="s">
        <v>297</v>
      </c>
      <c r="D146" s="40" t="s">
        <v>298</v>
      </c>
      <c r="E146" s="40" t="s">
        <v>799</v>
      </c>
      <c r="F146" s="40">
        <v>62460856</v>
      </c>
      <c r="G146" s="40" t="s">
        <v>804</v>
      </c>
      <c r="H146" s="40" t="s">
        <v>301</v>
      </c>
      <c r="I146" s="40">
        <v>3890</v>
      </c>
      <c r="J146" s="40" t="s">
        <v>805</v>
      </c>
      <c r="K146" s="40">
        <v>19734</v>
      </c>
      <c r="L146" s="40">
        <v>23624</v>
      </c>
      <c r="M146" s="40">
        <v>714763</v>
      </c>
      <c r="N146" s="40" t="s">
        <v>760</v>
      </c>
      <c r="O146" s="40" t="s">
        <v>58</v>
      </c>
      <c r="P146" s="40" t="s">
        <v>59</v>
      </c>
      <c r="Q146" s="40" t="s">
        <v>60</v>
      </c>
      <c r="R146" s="42" t="s">
        <v>61</v>
      </c>
      <c r="S146" s="42" t="s">
        <v>62</v>
      </c>
      <c r="T146" s="40" t="s">
        <v>293</v>
      </c>
      <c r="U146" s="41">
        <v>44627.385416666664</v>
      </c>
      <c r="V146" s="41">
        <v>44627.583333333336</v>
      </c>
      <c r="W146" s="41">
        <v>44627.875</v>
      </c>
      <c r="X146" s="40" t="s">
        <v>293</v>
      </c>
      <c r="Y146" s="41">
        <v>44629.990277777775</v>
      </c>
      <c r="Z146" s="41"/>
      <c r="AA146" s="41">
        <v>44624.708333333336</v>
      </c>
      <c r="AB146" s="41">
        <v>44629.75</v>
      </c>
      <c r="AC146" s="40" t="s">
        <v>308</v>
      </c>
      <c r="AD146" s="40">
        <v>11893</v>
      </c>
      <c r="AE146" s="40">
        <v>5512</v>
      </c>
      <c r="AF146" s="40">
        <v>1296</v>
      </c>
      <c r="AG146" s="40"/>
      <c r="AH146" s="40" t="s">
        <v>393</v>
      </c>
      <c r="AI146" s="41">
        <v>44628.125</v>
      </c>
      <c r="AJ146" s="40"/>
      <c r="AK146" s="43">
        <v>950</v>
      </c>
      <c r="AL146" s="40"/>
      <c r="AM146" s="43">
        <v>0</v>
      </c>
      <c r="AN146" s="43"/>
      <c r="AO146" s="43"/>
      <c r="AP146" s="43"/>
      <c r="AQ146" s="43">
        <v>0</v>
      </c>
      <c r="AR146" s="43">
        <v>0</v>
      </c>
      <c r="AS146" s="43"/>
      <c r="AT146" s="43">
        <v>0</v>
      </c>
      <c r="AU146" s="43"/>
      <c r="AV146" s="43"/>
      <c r="AW146" s="43"/>
      <c r="AX146" s="43">
        <v>0</v>
      </c>
      <c r="AY146" s="43">
        <v>0</v>
      </c>
      <c r="AZ146" s="43">
        <v>0</v>
      </c>
      <c r="BA146" s="43">
        <v>0</v>
      </c>
      <c r="BB146" s="43">
        <v>0</v>
      </c>
      <c r="BC146" s="43">
        <v>0</v>
      </c>
      <c r="BD146" s="43">
        <v>0</v>
      </c>
      <c r="BE146" s="43">
        <v>0</v>
      </c>
      <c r="BF146" s="43">
        <v>0</v>
      </c>
      <c r="BG146" s="43">
        <v>0</v>
      </c>
      <c r="BH146" s="43">
        <v>0</v>
      </c>
      <c r="BI146" s="40" t="s">
        <v>669</v>
      </c>
      <c r="BJ146" s="40">
        <v>2022</v>
      </c>
      <c r="BK146" s="40" t="s">
        <v>2768</v>
      </c>
      <c r="BL146" s="40" t="s">
        <v>2768</v>
      </c>
      <c r="BM146" s="40" t="s">
        <v>125</v>
      </c>
    </row>
    <row r="147" spans="1:65" x14ac:dyDescent="0.25">
      <c r="A147" s="40" t="s">
        <v>2771</v>
      </c>
      <c r="B147" s="41">
        <v>44628.333333333336</v>
      </c>
      <c r="C147" s="40" t="s">
        <v>353</v>
      </c>
      <c r="D147" s="40" t="s">
        <v>354</v>
      </c>
      <c r="E147" s="40">
        <v>6827854</v>
      </c>
      <c r="F147" s="40" t="s">
        <v>806</v>
      </c>
      <c r="G147" s="40" t="s">
        <v>807</v>
      </c>
      <c r="H147" s="40" t="s">
        <v>301</v>
      </c>
      <c r="I147" s="40">
        <v>3700</v>
      </c>
      <c r="J147" s="40" t="s">
        <v>808</v>
      </c>
      <c r="K147" s="40">
        <v>25915</v>
      </c>
      <c r="L147" s="40">
        <v>29615</v>
      </c>
      <c r="M147" s="40">
        <v>596149</v>
      </c>
      <c r="N147" s="40" t="s">
        <v>809</v>
      </c>
      <c r="O147" s="40" t="s">
        <v>414</v>
      </c>
      <c r="P147" s="40" t="s">
        <v>415</v>
      </c>
      <c r="Q147" s="40" t="s">
        <v>416</v>
      </c>
      <c r="R147" s="42" t="s">
        <v>810</v>
      </c>
      <c r="S147" s="42" t="s">
        <v>417</v>
      </c>
      <c r="T147" s="40" t="s">
        <v>469</v>
      </c>
      <c r="U147" s="41">
        <v>44627.635416666664</v>
      </c>
      <c r="V147" s="41">
        <v>44628.25</v>
      </c>
      <c r="W147" s="41">
        <v>44628.388888888891</v>
      </c>
      <c r="X147" s="40" t="s">
        <v>410</v>
      </c>
      <c r="Y147" s="41">
        <v>44634.944444444445</v>
      </c>
      <c r="Z147" s="41">
        <v>44633.5</v>
      </c>
      <c r="AA147" s="41"/>
      <c r="AB147" s="41">
        <v>44636.5</v>
      </c>
      <c r="AC147" s="40" t="s">
        <v>811</v>
      </c>
      <c r="AD147" s="40">
        <v>11898</v>
      </c>
      <c r="AE147" s="40">
        <v>5566</v>
      </c>
      <c r="AF147" s="40">
        <v>1277</v>
      </c>
      <c r="AG147" s="40"/>
      <c r="AH147" s="40" t="s">
        <v>393</v>
      </c>
      <c r="AI147" s="41">
        <v>44628.645833333336</v>
      </c>
      <c r="AJ147" s="40"/>
      <c r="AK147" s="43">
        <v>950</v>
      </c>
      <c r="AL147" s="40"/>
      <c r="AM147" s="43">
        <v>0</v>
      </c>
      <c r="AN147" s="43">
        <v>2240</v>
      </c>
      <c r="AO147" s="43">
        <v>550.79999999999995</v>
      </c>
      <c r="AP147" s="43"/>
      <c r="AQ147" s="43">
        <v>2790.8</v>
      </c>
      <c r="AR147" s="43">
        <v>0</v>
      </c>
      <c r="AS147" s="43"/>
      <c r="AT147" s="43">
        <v>0</v>
      </c>
      <c r="AU147" s="43"/>
      <c r="AV147" s="43"/>
      <c r="AW147" s="43"/>
      <c r="AX147" s="43">
        <v>0</v>
      </c>
      <c r="AY147" s="43">
        <v>0</v>
      </c>
      <c r="AZ147" s="43">
        <v>0</v>
      </c>
      <c r="BA147" s="43">
        <v>0</v>
      </c>
      <c r="BB147" s="43">
        <v>0</v>
      </c>
      <c r="BC147" s="43">
        <v>0</v>
      </c>
      <c r="BD147" s="43">
        <v>0</v>
      </c>
      <c r="BE147" s="43">
        <v>0</v>
      </c>
      <c r="BF147" s="43">
        <v>0</v>
      </c>
      <c r="BG147" s="43">
        <v>0</v>
      </c>
      <c r="BH147" s="43">
        <v>0</v>
      </c>
      <c r="BI147" s="40" t="s">
        <v>669</v>
      </c>
      <c r="BJ147" s="40">
        <v>2022</v>
      </c>
      <c r="BK147" s="40" t="s">
        <v>2768</v>
      </c>
      <c r="BL147" s="40" t="s">
        <v>2768</v>
      </c>
      <c r="BM147" s="40" t="s">
        <v>125</v>
      </c>
    </row>
    <row r="148" spans="1:65" x14ac:dyDescent="0.25">
      <c r="A148" s="40" t="s">
        <v>2771</v>
      </c>
      <c r="B148" s="41">
        <v>44628.333333333336</v>
      </c>
      <c r="C148" s="40" t="s">
        <v>353</v>
      </c>
      <c r="D148" s="40" t="s">
        <v>354</v>
      </c>
      <c r="E148" s="40">
        <v>6828072</v>
      </c>
      <c r="F148" s="40" t="s">
        <v>812</v>
      </c>
      <c r="G148" s="40" t="s">
        <v>813</v>
      </c>
      <c r="H148" s="40" t="s">
        <v>301</v>
      </c>
      <c r="I148" s="40">
        <v>3870</v>
      </c>
      <c r="J148" s="40" t="s">
        <v>814</v>
      </c>
      <c r="K148" s="40">
        <v>25915</v>
      </c>
      <c r="L148" s="40">
        <v>29785</v>
      </c>
      <c r="M148" s="40">
        <v>596151</v>
      </c>
      <c r="N148" s="40" t="s">
        <v>809</v>
      </c>
      <c r="O148" s="40" t="s">
        <v>815</v>
      </c>
      <c r="P148" s="40" t="s">
        <v>429</v>
      </c>
      <c r="Q148" s="40" t="s">
        <v>424</v>
      </c>
      <c r="R148" s="42" t="s">
        <v>816</v>
      </c>
      <c r="S148" s="42" t="s">
        <v>425</v>
      </c>
      <c r="T148" s="40" t="s">
        <v>469</v>
      </c>
      <c r="U148" s="41">
        <v>44627.652777777781</v>
      </c>
      <c r="V148" s="41">
        <v>44628.25</v>
      </c>
      <c r="W148" s="41">
        <v>44628.402083333334</v>
      </c>
      <c r="X148" s="40" t="s">
        <v>410</v>
      </c>
      <c r="Y148" s="41">
        <v>44634.902777777781</v>
      </c>
      <c r="Z148" s="41">
        <v>44633.5</v>
      </c>
      <c r="AA148" s="41"/>
      <c r="AB148" s="41">
        <v>44636.5</v>
      </c>
      <c r="AC148" s="40" t="s">
        <v>811</v>
      </c>
      <c r="AD148" s="40">
        <v>11899</v>
      </c>
      <c r="AE148" s="40">
        <v>5567</v>
      </c>
      <c r="AF148" s="40">
        <v>1278</v>
      </c>
      <c r="AG148" s="40"/>
      <c r="AH148" s="40" t="s">
        <v>393</v>
      </c>
      <c r="AI148" s="41">
        <v>44628.645833333336</v>
      </c>
      <c r="AJ148" s="40"/>
      <c r="AK148" s="43">
        <v>950</v>
      </c>
      <c r="AL148" s="40"/>
      <c r="AM148" s="43">
        <v>0</v>
      </c>
      <c r="AN148" s="43"/>
      <c r="AO148" s="43"/>
      <c r="AP148" s="43"/>
      <c r="AQ148" s="43">
        <v>0</v>
      </c>
      <c r="AR148" s="43">
        <v>0</v>
      </c>
      <c r="AS148" s="43"/>
      <c r="AT148" s="43">
        <v>0</v>
      </c>
      <c r="AU148" s="43"/>
      <c r="AV148" s="43"/>
      <c r="AW148" s="43"/>
      <c r="AX148" s="43">
        <v>0</v>
      </c>
      <c r="AY148" s="43">
        <v>0</v>
      </c>
      <c r="AZ148" s="43">
        <v>0</v>
      </c>
      <c r="BA148" s="43">
        <v>0</v>
      </c>
      <c r="BB148" s="43">
        <v>0</v>
      </c>
      <c r="BC148" s="43">
        <v>0</v>
      </c>
      <c r="BD148" s="43">
        <v>0</v>
      </c>
      <c r="BE148" s="43">
        <v>0</v>
      </c>
      <c r="BF148" s="43">
        <v>0</v>
      </c>
      <c r="BG148" s="43">
        <v>0</v>
      </c>
      <c r="BH148" s="43">
        <v>0</v>
      </c>
      <c r="BI148" s="40" t="s">
        <v>669</v>
      </c>
      <c r="BJ148" s="40">
        <v>2022</v>
      </c>
      <c r="BK148" s="40" t="s">
        <v>2768</v>
      </c>
      <c r="BL148" s="40" t="s">
        <v>2768</v>
      </c>
      <c r="BM148" s="40" t="s">
        <v>125</v>
      </c>
    </row>
    <row r="149" spans="1:65" x14ac:dyDescent="0.25">
      <c r="A149" s="40" t="s">
        <v>2771</v>
      </c>
      <c r="B149" s="41">
        <v>44628.333333333336</v>
      </c>
      <c r="C149" s="40" t="s">
        <v>353</v>
      </c>
      <c r="D149" s="40" t="s">
        <v>354</v>
      </c>
      <c r="E149" s="40">
        <v>6829360</v>
      </c>
      <c r="F149" s="40" t="s">
        <v>817</v>
      </c>
      <c r="G149" s="40" t="s">
        <v>818</v>
      </c>
      <c r="H149" s="40" t="s">
        <v>301</v>
      </c>
      <c r="I149" s="40">
        <v>3700</v>
      </c>
      <c r="J149" s="40" t="s">
        <v>819</v>
      </c>
      <c r="K149" s="40">
        <v>25197</v>
      </c>
      <c r="L149" s="40">
        <v>28897</v>
      </c>
      <c r="M149" s="40">
        <v>596109</v>
      </c>
      <c r="N149" s="40" t="s">
        <v>809</v>
      </c>
      <c r="O149" s="40" t="s">
        <v>119</v>
      </c>
      <c r="P149" s="40" t="s">
        <v>120</v>
      </c>
      <c r="Q149" s="40" t="s">
        <v>121</v>
      </c>
      <c r="R149" s="42" t="s">
        <v>122</v>
      </c>
      <c r="S149" s="42" t="s">
        <v>123</v>
      </c>
      <c r="T149" s="40" t="s">
        <v>469</v>
      </c>
      <c r="U149" s="41">
        <v>44627.583333333336</v>
      </c>
      <c r="V149" s="41">
        <v>44627.75</v>
      </c>
      <c r="W149" s="41">
        <v>44627.875</v>
      </c>
      <c r="X149" s="40" t="s">
        <v>410</v>
      </c>
      <c r="Y149" s="41">
        <v>44634.175694444442</v>
      </c>
      <c r="Z149" s="41">
        <v>44633.5</v>
      </c>
      <c r="AA149" s="41"/>
      <c r="AB149" s="41">
        <v>44636.5</v>
      </c>
      <c r="AC149" s="40" t="s">
        <v>811</v>
      </c>
      <c r="AD149" s="40">
        <v>11895</v>
      </c>
      <c r="AE149" s="40">
        <v>5564</v>
      </c>
      <c r="AF149" s="40">
        <v>1275</v>
      </c>
      <c r="AG149" s="40"/>
      <c r="AH149" s="40" t="s">
        <v>393</v>
      </c>
      <c r="AI149" s="41">
        <v>44628.291666666664</v>
      </c>
      <c r="AJ149" s="40"/>
      <c r="AK149" s="43">
        <v>950</v>
      </c>
      <c r="AL149" s="40"/>
      <c r="AM149" s="43">
        <v>0</v>
      </c>
      <c r="AN149" s="43"/>
      <c r="AO149" s="43"/>
      <c r="AP149" s="43"/>
      <c r="AQ149" s="43">
        <v>0</v>
      </c>
      <c r="AR149" s="43">
        <v>0</v>
      </c>
      <c r="AS149" s="43"/>
      <c r="AT149" s="43">
        <v>0</v>
      </c>
      <c r="AU149" s="43"/>
      <c r="AV149" s="43"/>
      <c r="AW149" s="43"/>
      <c r="AX149" s="43">
        <v>0</v>
      </c>
      <c r="AY149" s="43">
        <v>0</v>
      </c>
      <c r="AZ149" s="43">
        <v>0</v>
      </c>
      <c r="BA149" s="43">
        <v>0</v>
      </c>
      <c r="BB149" s="43">
        <v>0</v>
      </c>
      <c r="BC149" s="43">
        <v>0</v>
      </c>
      <c r="BD149" s="43">
        <v>0</v>
      </c>
      <c r="BE149" s="43">
        <v>0</v>
      </c>
      <c r="BF149" s="43">
        <v>0</v>
      </c>
      <c r="BG149" s="43">
        <v>0</v>
      </c>
      <c r="BH149" s="43">
        <v>0</v>
      </c>
      <c r="BI149" s="40" t="s">
        <v>669</v>
      </c>
      <c r="BJ149" s="40">
        <v>2022</v>
      </c>
      <c r="BK149" s="40" t="s">
        <v>2768</v>
      </c>
      <c r="BL149" s="40" t="s">
        <v>2768</v>
      </c>
      <c r="BM149" s="40" t="s">
        <v>125</v>
      </c>
    </row>
    <row r="150" spans="1:65" x14ac:dyDescent="0.25">
      <c r="A150" s="40" t="s">
        <v>2771</v>
      </c>
      <c r="B150" s="41">
        <v>44628.333333333336</v>
      </c>
      <c r="C150" s="40" t="s">
        <v>353</v>
      </c>
      <c r="D150" s="40" t="s">
        <v>354</v>
      </c>
      <c r="E150" s="40">
        <v>6829357</v>
      </c>
      <c r="F150" s="40" t="s">
        <v>820</v>
      </c>
      <c r="G150" s="40" t="s">
        <v>821</v>
      </c>
      <c r="H150" s="40" t="s">
        <v>301</v>
      </c>
      <c r="I150" s="40">
        <v>3620</v>
      </c>
      <c r="J150" s="40" t="s">
        <v>822</v>
      </c>
      <c r="K150" s="40">
        <v>25197</v>
      </c>
      <c r="L150" s="40">
        <v>28817</v>
      </c>
      <c r="M150" s="40">
        <v>596080</v>
      </c>
      <c r="N150" s="40" t="s">
        <v>809</v>
      </c>
      <c r="O150" s="40" t="s">
        <v>102</v>
      </c>
      <c r="P150" s="40" t="s">
        <v>823</v>
      </c>
      <c r="Q150" s="40" t="s">
        <v>103</v>
      </c>
      <c r="R150" s="42" t="s">
        <v>104</v>
      </c>
      <c r="S150" s="42" t="s">
        <v>105</v>
      </c>
      <c r="T150" s="40" t="s">
        <v>469</v>
      </c>
      <c r="U150" s="41">
        <v>44627.583333333336</v>
      </c>
      <c r="V150" s="41">
        <v>44627.75</v>
      </c>
      <c r="W150" s="41">
        <v>44627.875</v>
      </c>
      <c r="X150" s="40" t="s">
        <v>410</v>
      </c>
      <c r="Y150" s="41">
        <v>44634.866666666669</v>
      </c>
      <c r="Z150" s="41">
        <v>44633.5</v>
      </c>
      <c r="AA150" s="41"/>
      <c r="AB150" s="41">
        <v>44636.5</v>
      </c>
      <c r="AC150" s="40" t="s">
        <v>811</v>
      </c>
      <c r="AD150" s="40">
        <v>11896</v>
      </c>
      <c r="AE150" s="40">
        <v>5563</v>
      </c>
      <c r="AF150" s="40">
        <v>1276</v>
      </c>
      <c r="AG150" s="40"/>
      <c r="AH150" s="40" t="s">
        <v>393</v>
      </c>
      <c r="AI150" s="41">
        <v>44628.291666666664</v>
      </c>
      <c r="AJ150" s="40"/>
      <c r="AK150" s="43">
        <v>950</v>
      </c>
      <c r="AL150" s="40"/>
      <c r="AM150" s="43">
        <v>0</v>
      </c>
      <c r="AN150" s="43"/>
      <c r="AO150" s="43"/>
      <c r="AP150" s="43"/>
      <c r="AQ150" s="43">
        <v>0</v>
      </c>
      <c r="AR150" s="43">
        <v>0</v>
      </c>
      <c r="AS150" s="43"/>
      <c r="AT150" s="43">
        <v>0</v>
      </c>
      <c r="AU150" s="43"/>
      <c r="AV150" s="43"/>
      <c r="AW150" s="43"/>
      <c r="AX150" s="43">
        <v>0</v>
      </c>
      <c r="AY150" s="43">
        <v>0</v>
      </c>
      <c r="AZ150" s="43">
        <v>0</v>
      </c>
      <c r="BA150" s="43">
        <v>0</v>
      </c>
      <c r="BB150" s="43">
        <v>0</v>
      </c>
      <c r="BC150" s="43">
        <v>0</v>
      </c>
      <c r="BD150" s="43">
        <v>0</v>
      </c>
      <c r="BE150" s="43">
        <v>0</v>
      </c>
      <c r="BF150" s="43">
        <v>0</v>
      </c>
      <c r="BG150" s="43">
        <v>0</v>
      </c>
      <c r="BH150" s="43">
        <v>0</v>
      </c>
      <c r="BI150" s="40" t="s">
        <v>669</v>
      </c>
      <c r="BJ150" s="40">
        <v>2022</v>
      </c>
      <c r="BK150" s="40" t="s">
        <v>2768</v>
      </c>
      <c r="BL150" s="40" t="s">
        <v>2768</v>
      </c>
      <c r="BM150" s="40" t="s">
        <v>125</v>
      </c>
    </row>
    <row r="151" spans="1:65" x14ac:dyDescent="0.25">
      <c r="A151" s="40" t="s">
        <v>2771</v>
      </c>
      <c r="B151" s="41">
        <v>44628.333333333336</v>
      </c>
      <c r="C151" s="40" t="s">
        <v>353</v>
      </c>
      <c r="D151" s="40" t="s">
        <v>354</v>
      </c>
      <c r="E151" s="40">
        <v>6829326</v>
      </c>
      <c r="F151" s="40" t="s">
        <v>824</v>
      </c>
      <c r="G151" s="40" t="s">
        <v>825</v>
      </c>
      <c r="H151" s="40" t="s">
        <v>301</v>
      </c>
      <c r="I151" s="40">
        <v>3700</v>
      </c>
      <c r="J151" s="40" t="s">
        <v>826</v>
      </c>
      <c r="K151" s="40">
        <v>25111</v>
      </c>
      <c r="L151" s="40">
        <v>28811</v>
      </c>
      <c r="M151" s="40">
        <v>596174</v>
      </c>
      <c r="N151" s="40" t="s">
        <v>809</v>
      </c>
      <c r="O151" s="40" t="s">
        <v>827</v>
      </c>
      <c r="P151" s="40" t="s">
        <v>81</v>
      </c>
      <c r="Q151" s="40" t="s">
        <v>828</v>
      </c>
      <c r="R151" s="42" t="s">
        <v>829</v>
      </c>
      <c r="S151" s="42" t="s">
        <v>830</v>
      </c>
      <c r="T151" s="40" t="s">
        <v>469</v>
      </c>
      <c r="U151" s="41">
        <v>44627.763888888891</v>
      </c>
      <c r="V151" s="41">
        <v>44628.25</v>
      </c>
      <c r="W151" s="41">
        <v>44628.541666666664</v>
      </c>
      <c r="X151" s="40" t="s">
        <v>410</v>
      </c>
      <c r="Y151" s="41">
        <v>44634.339583333334</v>
      </c>
      <c r="Z151" s="41">
        <v>44633.5</v>
      </c>
      <c r="AA151" s="41"/>
      <c r="AB151" s="41">
        <v>44636.5</v>
      </c>
      <c r="AC151" s="40" t="s">
        <v>811</v>
      </c>
      <c r="AD151" s="40">
        <v>11902</v>
      </c>
      <c r="AE151" s="40">
        <v>5565</v>
      </c>
      <c r="AF151" s="40">
        <v>1279</v>
      </c>
      <c r="AG151" s="40"/>
      <c r="AH151" s="40" t="s">
        <v>393</v>
      </c>
      <c r="AI151" s="41">
        <v>44628.888888888891</v>
      </c>
      <c r="AJ151" s="40"/>
      <c r="AK151" s="43">
        <v>950</v>
      </c>
      <c r="AL151" s="40"/>
      <c r="AM151" s="43">
        <v>0</v>
      </c>
      <c r="AN151" s="43"/>
      <c r="AO151" s="43"/>
      <c r="AP151" s="43"/>
      <c r="AQ151" s="43">
        <v>0</v>
      </c>
      <c r="AR151" s="43">
        <v>0</v>
      </c>
      <c r="AS151" s="43"/>
      <c r="AT151" s="43">
        <v>0</v>
      </c>
      <c r="AU151" s="43"/>
      <c r="AV151" s="43"/>
      <c r="AW151" s="43"/>
      <c r="AX151" s="43">
        <v>0</v>
      </c>
      <c r="AY151" s="43">
        <v>0</v>
      </c>
      <c r="AZ151" s="43">
        <v>0</v>
      </c>
      <c r="BA151" s="43">
        <v>0</v>
      </c>
      <c r="BB151" s="43">
        <v>0</v>
      </c>
      <c r="BC151" s="43">
        <v>0</v>
      </c>
      <c r="BD151" s="43">
        <v>0</v>
      </c>
      <c r="BE151" s="43">
        <v>0</v>
      </c>
      <c r="BF151" s="43">
        <v>0</v>
      </c>
      <c r="BG151" s="43">
        <v>0</v>
      </c>
      <c r="BH151" s="43">
        <v>0</v>
      </c>
      <c r="BI151" s="40" t="s">
        <v>669</v>
      </c>
      <c r="BJ151" s="40">
        <v>2022</v>
      </c>
      <c r="BK151" s="40" t="s">
        <v>2768</v>
      </c>
      <c r="BL151" s="40" t="s">
        <v>2768</v>
      </c>
      <c r="BM151" s="40" t="s">
        <v>125</v>
      </c>
    </row>
    <row r="152" spans="1:65" x14ac:dyDescent="0.25">
      <c r="A152" s="40" t="s">
        <v>2771</v>
      </c>
      <c r="B152" s="41">
        <v>44628.333333333336</v>
      </c>
      <c r="C152" s="40" t="s">
        <v>353</v>
      </c>
      <c r="D152" s="40" t="s">
        <v>354</v>
      </c>
      <c r="E152" s="40">
        <v>7282258</v>
      </c>
      <c r="F152" s="40" t="s">
        <v>831</v>
      </c>
      <c r="G152" s="40" t="s">
        <v>832</v>
      </c>
      <c r="H152" s="40" t="s">
        <v>301</v>
      </c>
      <c r="I152" s="40">
        <v>3700</v>
      </c>
      <c r="J152" s="40" t="s">
        <v>833</v>
      </c>
      <c r="K152" s="40">
        <v>25705</v>
      </c>
      <c r="L152" s="40">
        <v>29405</v>
      </c>
      <c r="M152" s="40">
        <v>596205</v>
      </c>
      <c r="N152" s="40" t="s">
        <v>809</v>
      </c>
      <c r="O152" s="40" t="s">
        <v>192</v>
      </c>
      <c r="P152" s="40" t="s">
        <v>193</v>
      </c>
      <c r="Q152" s="40" t="s">
        <v>194</v>
      </c>
      <c r="R152" s="42" t="s">
        <v>195</v>
      </c>
      <c r="S152" s="42" t="s">
        <v>196</v>
      </c>
      <c r="T152" s="40" t="s">
        <v>469</v>
      </c>
      <c r="U152" s="41">
        <v>44627.958333333336</v>
      </c>
      <c r="V152" s="41">
        <v>44628.25</v>
      </c>
      <c r="W152" s="41">
        <v>44628.736111111109</v>
      </c>
      <c r="X152" s="40" t="s">
        <v>410</v>
      </c>
      <c r="Y152" s="41">
        <v>44634.378472222219</v>
      </c>
      <c r="Z152" s="41">
        <v>44633.5</v>
      </c>
      <c r="AA152" s="41"/>
      <c r="AB152" s="41">
        <v>44636.5</v>
      </c>
      <c r="AC152" s="40" t="s">
        <v>811</v>
      </c>
      <c r="AD152" s="40">
        <v>11911</v>
      </c>
      <c r="AE152" s="40">
        <v>5562</v>
      </c>
      <c r="AF152" s="40">
        <v>1280</v>
      </c>
      <c r="AG152" s="40"/>
      <c r="AH152" s="40" t="s">
        <v>393</v>
      </c>
      <c r="AI152" s="41">
        <v>44628.979166666664</v>
      </c>
      <c r="AJ152" s="40"/>
      <c r="AK152" s="43">
        <v>950</v>
      </c>
      <c r="AL152" s="40"/>
      <c r="AM152" s="43">
        <v>0</v>
      </c>
      <c r="AN152" s="43">
        <v>2240</v>
      </c>
      <c r="AO152" s="43">
        <v>5508</v>
      </c>
      <c r="AP152" s="43">
        <v>409.2</v>
      </c>
      <c r="AQ152" s="43">
        <v>8157.2</v>
      </c>
      <c r="AR152" s="43">
        <v>0</v>
      </c>
      <c r="AS152" s="43"/>
      <c r="AT152" s="43">
        <v>0</v>
      </c>
      <c r="AU152" s="43"/>
      <c r="AV152" s="43"/>
      <c r="AW152" s="43"/>
      <c r="AX152" s="43">
        <v>0</v>
      </c>
      <c r="AY152" s="43">
        <v>0</v>
      </c>
      <c r="AZ152" s="43">
        <v>0</v>
      </c>
      <c r="BA152" s="43">
        <v>0</v>
      </c>
      <c r="BB152" s="43">
        <v>0</v>
      </c>
      <c r="BC152" s="43">
        <v>0</v>
      </c>
      <c r="BD152" s="43">
        <v>0</v>
      </c>
      <c r="BE152" s="43">
        <v>0</v>
      </c>
      <c r="BF152" s="43">
        <v>0</v>
      </c>
      <c r="BG152" s="43">
        <v>0</v>
      </c>
      <c r="BH152" s="43">
        <v>0</v>
      </c>
      <c r="BI152" s="40" t="s">
        <v>669</v>
      </c>
      <c r="BJ152" s="40">
        <v>2022</v>
      </c>
      <c r="BK152" s="40" t="s">
        <v>2768</v>
      </c>
      <c r="BL152" s="40" t="s">
        <v>2768</v>
      </c>
      <c r="BM152" s="40" t="s">
        <v>125</v>
      </c>
    </row>
    <row r="153" spans="1:65" x14ac:dyDescent="0.25">
      <c r="A153" s="36" t="s">
        <v>836</v>
      </c>
      <c r="B153" s="37"/>
      <c r="C153" s="36" t="s">
        <v>353</v>
      </c>
      <c r="D153" s="36" t="s">
        <v>354</v>
      </c>
      <c r="E153" s="36">
        <v>7447914</v>
      </c>
      <c r="F153" s="36">
        <v>64129918</v>
      </c>
      <c r="G153" s="36"/>
      <c r="H153" s="36" t="s">
        <v>301</v>
      </c>
      <c r="I153" s="36"/>
      <c r="J153" s="36"/>
      <c r="K153" s="36"/>
      <c r="L153" s="36">
        <v>0</v>
      </c>
      <c r="M153" s="36"/>
      <c r="N153" s="36" t="s">
        <v>834</v>
      </c>
      <c r="O153" s="36"/>
      <c r="P153" s="36"/>
      <c r="Q153" s="36"/>
      <c r="R153" s="38"/>
      <c r="S153" s="38"/>
      <c r="T153" s="36"/>
      <c r="U153" s="37"/>
      <c r="V153" s="37"/>
      <c r="W153" s="37"/>
      <c r="X153" s="36" t="s">
        <v>410</v>
      </c>
      <c r="Y153" s="37"/>
      <c r="Z153" s="37"/>
      <c r="AA153" s="37"/>
      <c r="AB153" s="37">
        <v>44631.75</v>
      </c>
      <c r="AC153" s="36" t="s">
        <v>835</v>
      </c>
      <c r="AD153" s="36"/>
      <c r="AE153" s="36"/>
      <c r="AF153" s="36"/>
      <c r="AG153" s="36"/>
      <c r="AH153" s="36"/>
      <c r="AI153" s="37"/>
      <c r="AJ153" s="36"/>
      <c r="AK153" s="39"/>
      <c r="AL153" s="36"/>
      <c r="AM153" s="39">
        <v>0</v>
      </c>
      <c r="AN153" s="39"/>
      <c r="AO153" s="39"/>
      <c r="AP153" s="39"/>
      <c r="AQ153" s="39">
        <v>0</v>
      </c>
      <c r="AR153" s="39">
        <v>0</v>
      </c>
      <c r="AS153" s="39"/>
      <c r="AT153" s="39">
        <v>0</v>
      </c>
      <c r="AU153" s="39"/>
      <c r="AV153" s="39"/>
      <c r="AW153" s="39"/>
      <c r="AX153" s="39">
        <v>0</v>
      </c>
      <c r="AY153" s="39">
        <v>0</v>
      </c>
      <c r="AZ153" s="39">
        <v>0</v>
      </c>
      <c r="BA153" s="39">
        <v>0</v>
      </c>
      <c r="BB153" s="39">
        <v>0</v>
      </c>
      <c r="BC153" s="39">
        <v>0</v>
      </c>
      <c r="BD153" s="39">
        <v>0</v>
      </c>
      <c r="BE153" s="39">
        <v>0</v>
      </c>
      <c r="BF153" s="39">
        <v>0</v>
      </c>
      <c r="BG153" s="39">
        <v>0</v>
      </c>
      <c r="BH153" s="39">
        <v>0</v>
      </c>
      <c r="BI153" s="36" t="s">
        <v>453</v>
      </c>
      <c r="BJ153" s="36">
        <v>1900</v>
      </c>
      <c r="BK153" s="36"/>
      <c r="BL153" s="36"/>
      <c r="BM153" s="36"/>
    </row>
    <row r="154" spans="1:65" x14ac:dyDescent="0.25">
      <c r="A154" s="36" t="s">
        <v>836</v>
      </c>
      <c r="B154" s="37"/>
      <c r="C154" s="36" t="s">
        <v>353</v>
      </c>
      <c r="D154" s="36" t="s">
        <v>354</v>
      </c>
      <c r="E154" s="36">
        <v>7447911</v>
      </c>
      <c r="F154" s="36">
        <v>66129928</v>
      </c>
      <c r="G154" s="36"/>
      <c r="H154" s="36" t="s">
        <v>301</v>
      </c>
      <c r="I154" s="36"/>
      <c r="J154" s="36"/>
      <c r="K154" s="36"/>
      <c r="L154" s="36">
        <v>0</v>
      </c>
      <c r="M154" s="36"/>
      <c r="N154" s="36" t="s">
        <v>834</v>
      </c>
      <c r="O154" s="36"/>
      <c r="P154" s="36"/>
      <c r="Q154" s="36"/>
      <c r="R154" s="38"/>
      <c r="S154" s="38"/>
      <c r="T154" s="36"/>
      <c r="U154" s="37"/>
      <c r="V154" s="37"/>
      <c r="W154" s="37"/>
      <c r="X154" s="36" t="s">
        <v>410</v>
      </c>
      <c r="Y154" s="37"/>
      <c r="Z154" s="37"/>
      <c r="AA154" s="37"/>
      <c r="AB154" s="37">
        <v>44631.75</v>
      </c>
      <c r="AC154" s="36" t="s">
        <v>835</v>
      </c>
      <c r="AD154" s="36"/>
      <c r="AE154" s="36"/>
      <c r="AF154" s="36"/>
      <c r="AG154" s="36"/>
      <c r="AH154" s="36"/>
      <c r="AI154" s="37"/>
      <c r="AJ154" s="36"/>
      <c r="AK154" s="39"/>
      <c r="AL154" s="36"/>
      <c r="AM154" s="39">
        <v>0</v>
      </c>
      <c r="AN154" s="39"/>
      <c r="AO154" s="39"/>
      <c r="AP154" s="39"/>
      <c r="AQ154" s="39">
        <v>0</v>
      </c>
      <c r="AR154" s="39">
        <v>0</v>
      </c>
      <c r="AS154" s="39"/>
      <c r="AT154" s="39">
        <v>0</v>
      </c>
      <c r="AU154" s="39"/>
      <c r="AV154" s="39"/>
      <c r="AW154" s="39"/>
      <c r="AX154" s="39">
        <v>0</v>
      </c>
      <c r="AY154" s="39">
        <v>0</v>
      </c>
      <c r="AZ154" s="39">
        <v>0</v>
      </c>
      <c r="BA154" s="39">
        <v>0</v>
      </c>
      <c r="BB154" s="39">
        <v>0</v>
      </c>
      <c r="BC154" s="39">
        <v>0</v>
      </c>
      <c r="BD154" s="39">
        <v>0</v>
      </c>
      <c r="BE154" s="39">
        <v>0</v>
      </c>
      <c r="BF154" s="39">
        <v>0</v>
      </c>
      <c r="BG154" s="39">
        <v>0</v>
      </c>
      <c r="BH154" s="39">
        <v>0</v>
      </c>
      <c r="BI154" s="36" t="s">
        <v>453</v>
      </c>
      <c r="BJ154" s="36">
        <v>1900</v>
      </c>
      <c r="BK154" s="36"/>
      <c r="BL154" s="36"/>
      <c r="BM154" s="36"/>
    </row>
    <row r="155" spans="1:65" x14ac:dyDescent="0.25">
      <c r="A155" s="36" t="s">
        <v>836</v>
      </c>
      <c r="B155" s="37"/>
      <c r="C155" s="36" t="s">
        <v>353</v>
      </c>
      <c r="D155" s="36" t="s">
        <v>354</v>
      </c>
      <c r="E155" s="36">
        <v>7447911</v>
      </c>
      <c r="F155" s="36">
        <v>66129928</v>
      </c>
      <c r="G155" s="36"/>
      <c r="H155" s="36" t="s">
        <v>301</v>
      </c>
      <c r="I155" s="36"/>
      <c r="J155" s="36"/>
      <c r="K155" s="36"/>
      <c r="L155" s="36">
        <v>0</v>
      </c>
      <c r="M155" s="36"/>
      <c r="N155" s="36" t="s">
        <v>834</v>
      </c>
      <c r="O155" s="36"/>
      <c r="P155" s="36"/>
      <c r="Q155" s="36"/>
      <c r="R155" s="38"/>
      <c r="S155" s="38"/>
      <c r="T155" s="36"/>
      <c r="U155" s="37"/>
      <c r="V155" s="37"/>
      <c r="W155" s="37"/>
      <c r="X155" s="36" t="s">
        <v>410</v>
      </c>
      <c r="Y155" s="37"/>
      <c r="Z155" s="37"/>
      <c r="AA155" s="37"/>
      <c r="AB155" s="37">
        <v>44631.75</v>
      </c>
      <c r="AC155" s="36" t="s">
        <v>835</v>
      </c>
      <c r="AD155" s="36"/>
      <c r="AE155" s="36"/>
      <c r="AF155" s="36"/>
      <c r="AG155" s="36"/>
      <c r="AH155" s="36"/>
      <c r="AI155" s="37"/>
      <c r="AJ155" s="36"/>
      <c r="AK155" s="39"/>
      <c r="AL155" s="36"/>
      <c r="AM155" s="39">
        <v>0</v>
      </c>
      <c r="AN155" s="39"/>
      <c r="AO155" s="39"/>
      <c r="AP155" s="39"/>
      <c r="AQ155" s="39">
        <v>0</v>
      </c>
      <c r="AR155" s="39">
        <v>0</v>
      </c>
      <c r="AS155" s="39"/>
      <c r="AT155" s="39">
        <v>0</v>
      </c>
      <c r="AU155" s="39"/>
      <c r="AV155" s="39"/>
      <c r="AW155" s="39"/>
      <c r="AX155" s="39">
        <v>0</v>
      </c>
      <c r="AY155" s="39">
        <v>0</v>
      </c>
      <c r="AZ155" s="39">
        <v>0</v>
      </c>
      <c r="BA155" s="39">
        <v>0</v>
      </c>
      <c r="BB155" s="39">
        <v>0</v>
      </c>
      <c r="BC155" s="39">
        <v>0</v>
      </c>
      <c r="BD155" s="39">
        <v>0</v>
      </c>
      <c r="BE155" s="39">
        <v>0</v>
      </c>
      <c r="BF155" s="39">
        <v>0</v>
      </c>
      <c r="BG155" s="39">
        <v>0</v>
      </c>
      <c r="BH155" s="39">
        <v>0</v>
      </c>
      <c r="BI155" s="36" t="s">
        <v>453</v>
      </c>
      <c r="BJ155" s="36">
        <v>1900</v>
      </c>
      <c r="BK155" s="36"/>
      <c r="BL155" s="36"/>
      <c r="BM155" s="36"/>
    </row>
    <row r="156" spans="1:65" x14ac:dyDescent="0.25">
      <c r="A156" s="36" t="s">
        <v>836</v>
      </c>
      <c r="B156" s="37" t="s">
        <v>836</v>
      </c>
      <c r="C156" s="36" t="s">
        <v>449</v>
      </c>
      <c r="D156" s="36" t="s">
        <v>450</v>
      </c>
      <c r="E156" s="36" t="s">
        <v>837</v>
      </c>
      <c r="F156" s="36">
        <v>216382004</v>
      </c>
      <c r="G156" s="36"/>
      <c r="H156" s="36" t="s">
        <v>288</v>
      </c>
      <c r="I156" s="36"/>
      <c r="J156" s="36"/>
      <c r="K156" s="36"/>
      <c r="L156" s="36">
        <v>0</v>
      </c>
      <c r="M156" s="36"/>
      <c r="N156" s="36" t="s">
        <v>838</v>
      </c>
      <c r="O156" s="36"/>
      <c r="P156" s="36"/>
      <c r="Q156" s="36"/>
      <c r="R156" s="38"/>
      <c r="S156" s="38"/>
      <c r="T156" s="36"/>
      <c r="U156" s="37"/>
      <c r="V156" s="37"/>
      <c r="W156" s="37"/>
      <c r="X156" s="36" t="s">
        <v>306</v>
      </c>
      <c r="Y156" s="37"/>
      <c r="Z156" s="37"/>
      <c r="AA156" s="37">
        <v>44627.5</v>
      </c>
      <c r="AB156" s="37">
        <v>44631.75</v>
      </c>
      <c r="AC156" s="36" t="s">
        <v>452</v>
      </c>
      <c r="AD156" s="36"/>
      <c r="AE156" s="36">
        <v>5404</v>
      </c>
      <c r="AF156" s="36" t="s">
        <v>125</v>
      </c>
      <c r="AG156" s="36"/>
      <c r="AH156" s="36"/>
      <c r="AI156" s="37"/>
      <c r="AJ156" s="36"/>
      <c r="AK156" s="39"/>
      <c r="AL156" s="36"/>
      <c r="AM156" s="39">
        <v>0</v>
      </c>
      <c r="AN156" s="39"/>
      <c r="AO156" s="39"/>
      <c r="AP156" s="39"/>
      <c r="AQ156" s="39">
        <v>0</v>
      </c>
      <c r="AR156" s="39">
        <v>0</v>
      </c>
      <c r="AS156" s="39"/>
      <c r="AT156" s="39">
        <v>0</v>
      </c>
      <c r="AU156" s="39">
        <v>0</v>
      </c>
      <c r="AV156" s="39"/>
      <c r="AW156" s="39"/>
      <c r="AX156" s="39">
        <v>0</v>
      </c>
      <c r="AY156" s="39">
        <v>0</v>
      </c>
      <c r="AZ156" s="39">
        <v>0</v>
      </c>
      <c r="BA156" s="39">
        <v>0</v>
      </c>
      <c r="BB156" s="39">
        <v>0</v>
      </c>
      <c r="BC156" s="39">
        <v>0</v>
      </c>
      <c r="BD156" s="39">
        <v>0</v>
      </c>
      <c r="BE156" s="39">
        <v>0</v>
      </c>
      <c r="BF156" s="39">
        <v>0</v>
      </c>
      <c r="BG156" s="39">
        <v>0</v>
      </c>
      <c r="BH156" s="39">
        <v>0</v>
      </c>
      <c r="BI156" s="36" t="s">
        <v>453</v>
      </c>
      <c r="BJ156" s="36">
        <v>1900</v>
      </c>
      <c r="BK156" s="36"/>
      <c r="BL156" s="36"/>
      <c r="BM156" s="36" t="s">
        <v>125</v>
      </c>
    </row>
    <row r="157" spans="1:65" x14ac:dyDescent="0.25">
      <c r="A157" s="36" t="s">
        <v>836</v>
      </c>
      <c r="B157" s="37" t="s">
        <v>836</v>
      </c>
      <c r="C157" s="36" t="s">
        <v>449</v>
      </c>
      <c r="D157" s="36" t="s">
        <v>450</v>
      </c>
      <c r="E157" s="36" t="s">
        <v>839</v>
      </c>
      <c r="F157" s="36">
        <v>216381986</v>
      </c>
      <c r="G157" s="36"/>
      <c r="H157" s="36" t="s">
        <v>288</v>
      </c>
      <c r="I157" s="36"/>
      <c r="J157" s="36"/>
      <c r="K157" s="36"/>
      <c r="L157" s="36">
        <v>0</v>
      </c>
      <c r="M157" s="36"/>
      <c r="N157" s="36" t="s">
        <v>838</v>
      </c>
      <c r="O157" s="36"/>
      <c r="P157" s="36"/>
      <c r="Q157" s="36"/>
      <c r="R157" s="38"/>
      <c r="S157" s="38"/>
      <c r="T157" s="36"/>
      <c r="U157" s="37"/>
      <c r="V157" s="37"/>
      <c r="W157" s="37"/>
      <c r="X157" s="36" t="s">
        <v>306</v>
      </c>
      <c r="Y157" s="37"/>
      <c r="Z157" s="37"/>
      <c r="AA157" s="37">
        <v>44627.5</v>
      </c>
      <c r="AB157" s="37">
        <v>44631.75</v>
      </c>
      <c r="AC157" s="36" t="s">
        <v>452</v>
      </c>
      <c r="AD157" s="36"/>
      <c r="AE157" s="36">
        <v>5405</v>
      </c>
      <c r="AF157" s="36" t="s">
        <v>125</v>
      </c>
      <c r="AG157" s="36"/>
      <c r="AH157" s="36"/>
      <c r="AI157" s="37"/>
      <c r="AJ157" s="36"/>
      <c r="AK157" s="39"/>
      <c r="AL157" s="36"/>
      <c r="AM157" s="39">
        <v>0</v>
      </c>
      <c r="AN157" s="39"/>
      <c r="AO157" s="39"/>
      <c r="AP157" s="39"/>
      <c r="AQ157" s="39">
        <v>0</v>
      </c>
      <c r="AR157" s="39">
        <v>0</v>
      </c>
      <c r="AS157" s="39"/>
      <c r="AT157" s="39">
        <v>0</v>
      </c>
      <c r="AU157" s="39">
        <v>0</v>
      </c>
      <c r="AV157" s="39"/>
      <c r="AW157" s="39"/>
      <c r="AX157" s="39">
        <v>0</v>
      </c>
      <c r="AY157" s="39">
        <v>0</v>
      </c>
      <c r="AZ157" s="39">
        <v>0</v>
      </c>
      <c r="BA157" s="39">
        <v>0</v>
      </c>
      <c r="BB157" s="39">
        <v>0</v>
      </c>
      <c r="BC157" s="39">
        <v>0</v>
      </c>
      <c r="BD157" s="39">
        <v>0</v>
      </c>
      <c r="BE157" s="39">
        <v>0</v>
      </c>
      <c r="BF157" s="39">
        <v>0</v>
      </c>
      <c r="BG157" s="39">
        <v>0</v>
      </c>
      <c r="BH157" s="39">
        <v>0</v>
      </c>
      <c r="BI157" s="36" t="s">
        <v>453</v>
      </c>
      <c r="BJ157" s="36">
        <v>1900</v>
      </c>
      <c r="BK157" s="36"/>
      <c r="BL157" s="36"/>
      <c r="BM157" s="36" t="s">
        <v>125</v>
      </c>
    </row>
    <row r="158" spans="1:65" x14ac:dyDescent="0.25">
      <c r="A158" s="40" t="s">
        <v>2771</v>
      </c>
      <c r="B158" s="41">
        <v>44631.291666666664</v>
      </c>
      <c r="C158" s="40" t="s">
        <v>283</v>
      </c>
      <c r="D158" s="40" t="s">
        <v>284</v>
      </c>
      <c r="E158" s="40" t="s">
        <v>840</v>
      </c>
      <c r="F158" s="40" t="s">
        <v>841</v>
      </c>
      <c r="G158" s="40" t="s">
        <v>842</v>
      </c>
      <c r="H158" s="40" t="s">
        <v>288</v>
      </c>
      <c r="I158" s="40">
        <v>2200</v>
      </c>
      <c r="J158" s="40">
        <v>1301078</v>
      </c>
      <c r="K158" s="40">
        <v>6180</v>
      </c>
      <c r="L158" s="40">
        <v>8380</v>
      </c>
      <c r="M158" s="40" t="s">
        <v>843</v>
      </c>
      <c r="N158" s="40" t="s">
        <v>844</v>
      </c>
      <c r="O158" s="40" t="s">
        <v>845</v>
      </c>
      <c r="P158" s="40" t="s">
        <v>846</v>
      </c>
      <c r="Q158" s="40" t="s">
        <v>847</v>
      </c>
      <c r="R158" s="42" t="s">
        <v>848</v>
      </c>
      <c r="S158" s="42" t="s">
        <v>849</v>
      </c>
      <c r="T158" s="40" t="s">
        <v>292</v>
      </c>
      <c r="U158" s="41">
        <v>44630.583333333336</v>
      </c>
      <c r="V158" s="41">
        <v>44631.34375</v>
      </c>
      <c r="W158" s="41">
        <v>44632.083333333336</v>
      </c>
      <c r="X158" s="40" t="s">
        <v>293</v>
      </c>
      <c r="Y158" s="41">
        <v>44632.580555555556</v>
      </c>
      <c r="Z158" s="41"/>
      <c r="AA158" s="41"/>
      <c r="AB158" s="41"/>
      <c r="AC158" s="40"/>
      <c r="AD158" s="40"/>
      <c r="AE158" s="40">
        <v>5591</v>
      </c>
      <c r="AF158" s="40"/>
      <c r="AG158" s="40"/>
      <c r="AH158" s="40" t="s">
        <v>295</v>
      </c>
      <c r="AI158" s="41"/>
      <c r="AJ158" s="40"/>
      <c r="AK158" s="43"/>
      <c r="AL158" s="40"/>
      <c r="AM158" s="43">
        <v>0</v>
      </c>
      <c r="AN158" s="43">
        <v>3150</v>
      </c>
      <c r="AO158" s="43"/>
      <c r="AP158" s="43"/>
      <c r="AQ158" s="43">
        <v>3150</v>
      </c>
      <c r="AR158" s="43">
        <v>0</v>
      </c>
      <c r="AS158" s="43"/>
      <c r="AT158" s="43">
        <v>0</v>
      </c>
      <c r="AU158" s="43"/>
      <c r="AV158" s="43"/>
      <c r="AW158" s="43"/>
      <c r="AX158" s="43">
        <v>0</v>
      </c>
      <c r="AY158" s="43">
        <v>0</v>
      </c>
      <c r="AZ158" s="43">
        <v>0</v>
      </c>
      <c r="BA158" s="43">
        <v>0</v>
      </c>
      <c r="BB158" s="43">
        <v>0</v>
      </c>
      <c r="BC158" s="43">
        <v>0</v>
      </c>
      <c r="BD158" s="43">
        <v>0</v>
      </c>
      <c r="BE158" s="43">
        <v>0</v>
      </c>
      <c r="BF158" s="43">
        <v>0</v>
      </c>
      <c r="BG158" s="43">
        <v>0</v>
      </c>
      <c r="BH158" s="43">
        <v>0</v>
      </c>
      <c r="BI158" s="40" t="s">
        <v>669</v>
      </c>
      <c r="BJ158" s="40">
        <v>2022</v>
      </c>
      <c r="BK158" s="40" t="s">
        <v>2768</v>
      </c>
      <c r="BL158" s="40" t="s">
        <v>2768</v>
      </c>
      <c r="BM158" s="40" t="s">
        <v>125</v>
      </c>
    </row>
    <row r="159" spans="1:65" x14ac:dyDescent="0.25">
      <c r="A159" s="40" t="s">
        <v>2771</v>
      </c>
      <c r="B159" s="41">
        <v>44631.291666666664</v>
      </c>
      <c r="C159" s="40" t="s">
        <v>283</v>
      </c>
      <c r="D159" s="40" t="s">
        <v>284</v>
      </c>
      <c r="E159" s="40" t="s">
        <v>850</v>
      </c>
      <c r="F159" s="40" t="s">
        <v>851</v>
      </c>
      <c r="G159" s="40" t="s">
        <v>852</v>
      </c>
      <c r="H159" s="40" t="s">
        <v>301</v>
      </c>
      <c r="I159" s="40">
        <v>3810</v>
      </c>
      <c r="J159" s="40">
        <v>1302426</v>
      </c>
      <c r="K159" s="40">
        <v>9420</v>
      </c>
      <c r="L159" s="40">
        <v>13230</v>
      </c>
      <c r="M159" s="40" t="s">
        <v>853</v>
      </c>
      <c r="N159" s="40" t="s">
        <v>844</v>
      </c>
      <c r="O159" s="40" t="s">
        <v>102</v>
      </c>
      <c r="P159" s="40" t="s">
        <v>823</v>
      </c>
      <c r="Q159" s="40" t="s">
        <v>103</v>
      </c>
      <c r="R159" s="42" t="s">
        <v>104</v>
      </c>
      <c r="S159" s="42" t="s">
        <v>105</v>
      </c>
      <c r="T159" s="40" t="s">
        <v>292</v>
      </c>
      <c r="U159" s="41">
        <v>44630.75</v>
      </c>
      <c r="V159" s="41">
        <v>44631.554166666669</v>
      </c>
      <c r="W159" s="41">
        <v>44631.75</v>
      </c>
      <c r="X159" s="40" t="s">
        <v>293</v>
      </c>
      <c r="Y159" s="41">
        <v>44632.572916666664</v>
      </c>
      <c r="Z159" s="41"/>
      <c r="AA159" s="41"/>
      <c r="AB159" s="41"/>
      <c r="AC159" s="40"/>
      <c r="AD159" s="40"/>
      <c r="AE159" s="40">
        <v>5588</v>
      </c>
      <c r="AF159" s="40"/>
      <c r="AG159" s="40"/>
      <c r="AH159" s="40" t="s">
        <v>295</v>
      </c>
      <c r="AI159" s="41"/>
      <c r="AJ159" s="40"/>
      <c r="AK159" s="43"/>
      <c r="AL159" s="40"/>
      <c r="AM159" s="43">
        <v>0</v>
      </c>
      <c r="AN159" s="43">
        <v>3500</v>
      </c>
      <c r="AO159" s="43"/>
      <c r="AP159" s="43"/>
      <c r="AQ159" s="43">
        <v>3500</v>
      </c>
      <c r="AR159" s="43">
        <v>0</v>
      </c>
      <c r="AS159" s="43"/>
      <c r="AT159" s="43">
        <v>0</v>
      </c>
      <c r="AU159" s="43"/>
      <c r="AV159" s="43"/>
      <c r="AW159" s="43"/>
      <c r="AX159" s="43">
        <v>0</v>
      </c>
      <c r="AY159" s="43">
        <v>0</v>
      </c>
      <c r="AZ159" s="43">
        <v>0</v>
      </c>
      <c r="BA159" s="43">
        <v>0</v>
      </c>
      <c r="BB159" s="43">
        <v>0</v>
      </c>
      <c r="BC159" s="43">
        <v>0</v>
      </c>
      <c r="BD159" s="43">
        <v>0</v>
      </c>
      <c r="BE159" s="43">
        <v>0</v>
      </c>
      <c r="BF159" s="43">
        <v>0</v>
      </c>
      <c r="BG159" s="43">
        <v>0</v>
      </c>
      <c r="BH159" s="43">
        <v>0</v>
      </c>
      <c r="BI159" s="40" t="s">
        <v>669</v>
      </c>
      <c r="BJ159" s="40">
        <v>2022</v>
      </c>
      <c r="BK159" s="40" t="s">
        <v>2768</v>
      </c>
      <c r="BL159" s="40" t="s">
        <v>2768</v>
      </c>
      <c r="BM159" s="40" t="s">
        <v>125</v>
      </c>
    </row>
    <row r="160" spans="1:65" x14ac:dyDescent="0.25">
      <c r="A160" s="40" t="s">
        <v>2771</v>
      </c>
      <c r="B160" s="41">
        <v>44631.291666666664</v>
      </c>
      <c r="C160" s="40" t="s">
        <v>283</v>
      </c>
      <c r="D160" s="40" t="s">
        <v>284</v>
      </c>
      <c r="E160" s="40" t="s">
        <v>850</v>
      </c>
      <c r="F160" s="40" t="s">
        <v>851</v>
      </c>
      <c r="G160" s="40" t="s">
        <v>854</v>
      </c>
      <c r="H160" s="40" t="s">
        <v>301</v>
      </c>
      <c r="I160" s="40">
        <v>3800</v>
      </c>
      <c r="J160" s="40">
        <v>1302469</v>
      </c>
      <c r="K160" s="40"/>
      <c r="L160" s="40">
        <v>3800</v>
      </c>
      <c r="M160" s="40">
        <v>29519</v>
      </c>
      <c r="N160" s="40" t="s">
        <v>844</v>
      </c>
      <c r="O160" s="40" t="s">
        <v>72</v>
      </c>
      <c r="P160" s="40" t="s">
        <v>73</v>
      </c>
      <c r="Q160" s="40" t="s">
        <v>74</v>
      </c>
      <c r="R160" s="42" t="s">
        <v>75</v>
      </c>
      <c r="S160" s="42">
        <v>3595479067</v>
      </c>
      <c r="T160" s="40" t="s">
        <v>292</v>
      </c>
      <c r="U160" s="41">
        <v>44630.75</v>
      </c>
      <c r="V160" s="41">
        <v>44631.458333333336</v>
      </c>
      <c r="W160" s="41">
        <v>44631.638888888891</v>
      </c>
      <c r="X160" s="40" t="s">
        <v>293</v>
      </c>
      <c r="Y160" s="41">
        <v>44634.54791666667</v>
      </c>
      <c r="Z160" s="41"/>
      <c r="AA160" s="41"/>
      <c r="AB160" s="41"/>
      <c r="AC160" s="40"/>
      <c r="AD160" s="40"/>
      <c r="AE160" s="40">
        <v>5589</v>
      </c>
      <c r="AF160" s="40"/>
      <c r="AG160" s="40"/>
      <c r="AH160" s="40" t="s">
        <v>295</v>
      </c>
      <c r="AI160" s="41"/>
      <c r="AJ160" s="40"/>
      <c r="AK160" s="43"/>
      <c r="AL160" s="40"/>
      <c r="AM160" s="43">
        <v>0</v>
      </c>
      <c r="AN160" s="43">
        <v>3500</v>
      </c>
      <c r="AO160" s="43"/>
      <c r="AP160" s="43"/>
      <c r="AQ160" s="43">
        <v>3500</v>
      </c>
      <c r="AR160" s="43">
        <v>0</v>
      </c>
      <c r="AS160" s="43"/>
      <c r="AT160" s="43">
        <v>0</v>
      </c>
      <c r="AU160" s="43"/>
      <c r="AV160" s="43"/>
      <c r="AW160" s="43"/>
      <c r="AX160" s="43">
        <v>0</v>
      </c>
      <c r="AY160" s="43">
        <v>0</v>
      </c>
      <c r="AZ160" s="43">
        <v>0</v>
      </c>
      <c r="BA160" s="43">
        <v>0</v>
      </c>
      <c r="BB160" s="43">
        <v>0</v>
      </c>
      <c r="BC160" s="43">
        <v>0</v>
      </c>
      <c r="BD160" s="43">
        <v>0</v>
      </c>
      <c r="BE160" s="43">
        <v>0</v>
      </c>
      <c r="BF160" s="43">
        <v>0</v>
      </c>
      <c r="BG160" s="43">
        <v>0</v>
      </c>
      <c r="BH160" s="43">
        <v>0</v>
      </c>
      <c r="BI160" s="40" t="s">
        <v>669</v>
      </c>
      <c r="BJ160" s="40">
        <v>2022</v>
      </c>
      <c r="BK160" s="40" t="s">
        <v>2768</v>
      </c>
      <c r="BL160" s="40" t="s">
        <v>2768</v>
      </c>
      <c r="BM160" s="40" t="s">
        <v>125</v>
      </c>
    </row>
    <row r="161" spans="1:65" x14ac:dyDescent="0.25">
      <c r="A161" s="40" t="s">
        <v>2771</v>
      </c>
      <c r="B161" s="41">
        <v>44631.291666666664</v>
      </c>
      <c r="C161" s="40" t="s">
        <v>283</v>
      </c>
      <c r="D161" s="40" t="s">
        <v>284</v>
      </c>
      <c r="E161" s="40" t="s">
        <v>850</v>
      </c>
      <c r="F161" s="40" t="s">
        <v>851</v>
      </c>
      <c r="G161" s="40" t="s">
        <v>855</v>
      </c>
      <c r="H161" s="40" t="s">
        <v>301</v>
      </c>
      <c r="I161" s="40">
        <v>3700</v>
      </c>
      <c r="J161" s="40">
        <v>1302471</v>
      </c>
      <c r="K161" s="40">
        <v>9140</v>
      </c>
      <c r="L161" s="40">
        <v>12840</v>
      </c>
      <c r="M161" s="40">
        <v>29529</v>
      </c>
      <c r="N161" s="40" t="s">
        <v>844</v>
      </c>
      <c r="O161" s="40" t="s">
        <v>155</v>
      </c>
      <c r="P161" s="40" t="s">
        <v>312</v>
      </c>
      <c r="Q161" s="40" t="s">
        <v>445</v>
      </c>
      <c r="R161" s="42" t="s">
        <v>618</v>
      </c>
      <c r="S161" s="42" t="s">
        <v>446</v>
      </c>
      <c r="T161" s="40" t="s">
        <v>292</v>
      </c>
      <c r="U161" s="41">
        <v>44630.75</v>
      </c>
      <c r="V161" s="41">
        <v>44631.25</v>
      </c>
      <c r="W161" s="41">
        <v>44631.434027777781</v>
      </c>
      <c r="X161" s="40" t="s">
        <v>293</v>
      </c>
      <c r="Y161" s="41">
        <v>44634.234722222223</v>
      </c>
      <c r="Z161" s="41"/>
      <c r="AA161" s="41"/>
      <c r="AB161" s="41"/>
      <c r="AC161" s="40"/>
      <c r="AD161" s="40"/>
      <c r="AE161" s="40">
        <v>5587</v>
      </c>
      <c r="AF161" s="40"/>
      <c r="AG161" s="40"/>
      <c r="AH161" s="40" t="s">
        <v>295</v>
      </c>
      <c r="AI161" s="41"/>
      <c r="AJ161" s="40"/>
      <c r="AK161" s="43"/>
      <c r="AL161" s="40"/>
      <c r="AM161" s="43">
        <v>0</v>
      </c>
      <c r="AN161" s="43">
        <v>3500</v>
      </c>
      <c r="AO161" s="43"/>
      <c r="AP161" s="43"/>
      <c r="AQ161" s="43">
        <v>3500</v>
      </c>
      <c r="AR161" s="43">
        <v>0</v>
      </c>
      <c r="AS161" s="43"/>
      <c r="AT161" s="43">
        <v>0</v>
      </c>
      <c r="AU161" s="43"/>
      <c r="AV161" s="43"/>
      <c r="AW161" s="43"/>
      <c r="AX161" s="43">
        <v>0</v>
      </c>
      <c r="AY161" s="43">
        <v>0</v>
      </c>
      <c r="AZ161" s="43">
        <v>0</v>
      </c>
      <c r="BA161" s="43">
        <v>0</v>
      </c>
      <c r="BB161" s="43">
        <v>0</v>
      </c>
      <c r="BC161" s="43">
        <v>0</v>
      </c>
      <c r="BD161" s="43">
        <v>0</v>
      </c>
      <c r="BE161" s="43">
        <v>0</v>
      </c>
      <c r="BF161" s="43">
        <v>0</v>
      </c>
      <c r="BG161" s="43">
        <v>0</v>
      </c>
      <c r="BH161" s="43">
        <v>0</v>
      </c>
      <c r="BI161" s="40" t="s">
        <v>669</v>
      </c>
      <c r="BJ161" s="40">
        <v>2022</v>
      </c>
      <c r="BK161" s="40" t="s">
        <v>2768</v>
      </c>
      <c r="BL161" s="40" t="s">
        <v>2768</v>
      </c>
      <c r="BM161" s="40" t="s">
        <v>125</v>
      </c>
    </row>
    <row r="162" spans="1:65" x14ac:dyDescent="0.25">
      <c r="A162" s="40" t="s">
        <v>2771</v>
      </c>
      <c r="B162" s="41">
        <v>44631.291666666664</v>
      </c>
      <c r="C162" s="40" t="s">
        <v>283</v>
      </c>
      <c r="D162" s="40" t="s">
        <v>284</v>
      </c>
      <c r="E162" s="40" t="s">
        <v>850</v>
      </c>
      <c r="F162" s="40" t="s">
        <v>851</v>
      </c>
      <c r="G162" s="40" t="s">
        <v>856</v>
      </c>
      <c r="H162" s="40" t="s">
        <v>301</v>
      </c>
      <c r="I162" s="40">
        <v>3700</v>
      </c>
      <c r="J162" s="40">
        <v>1268435</v>
      </c>
      <c r="K162" s="40">
        <v>8490</v>
      </c>
      <c r="L162" s="40">
        <v>12190</v>
      </c>
      <c r="M162" s="40">
        <v>29568</v>
      </c>
      <c r="N162" s="40" t="s">
        <v>844</v>
      </c>
      <c r="O162" s="40" t="s">
        <v>92</v>
      </c>
      <c r="P162" s="40" t="s">
        <v>93</v>
      </c>
      <c r="Q162" s="40" t="s">
        <v>94</v>
      </c>
      <c r="R162" s="42" t="s">
        <v>95</v>
      </c>
      <c r="S162" s="42" t="s">
        <v>96</v>
      </c>
      <c r="T162" s="40" t="s">
        <v>857</v>
      </c>
      <c r="U162" s="41">
        <v>44631.729166666664</v>
      </c>
      <c r="V162" s="41">
        <v>44631.602777777778</v>
      </c>
      <c r="W162" s="41">
        <v>44631.947916666664</v>
      </c>
      <c r="X162" s="40" t="s">
        <v>293</v>
      </c>
      <c r="Y162" s="41">
        <v>44632.28125</v>
      </c>
      <c r="Z162" s="41"/>
      <c r="AA162" s="41"/>
      <c r="AB162" s="41"/>
      <c r="AC162" s="40"/>
      <c r="AD162" s="40"/>
      <c r="AE162" s="40">
        <v>5590</v>
      </c>
      <c r="AF162" s="40"/>
      <c r="AG162" s="40"/>
      <c r="AH162" s="40" t="s">
        <v>295</v>
      </c>
      <c r="AI162" s="41"/>
      <c r="AJ162" s="40"/>
      <c r="AK162" s="43"/>
      <c r="AL162" s="40"/>
      <c r="AM162" s="43">
        <v>0</v>
      </c>
      <c r="AN162" s="43"/>
      <c r="AO162" s="43"/>
      <c r="AP162" s="43"/>
      <c r="AQ162" s="43">
        <v>0</v>
      </c>
      <c r="AR162" s="43">
        <v>0</v>
      </c>
      <c r="AS162" s="43"/>
      <c r="AT162" s="43">
        <v>0</v>
      </c>
      <c r="AU162" s="43"/>
      <c r="AV162" s="43"/>
      <c r="AW162" s="43"/>
      <c r="AX162" s="43">
        <v>0</v>
      </c>
      <c r="AY162" s="43">
        <v>0</v>
      </c>
      <c r="AZ162" s="43">
        <v>0</v>
      </c>
      <c r="BA162" s="43">
        <v>0</v>
      </c>
      <c r="BB162" s="43">
        <v>0</v>
      </c>
      <c r="BC162" s="43">
        <v>0</v>
      </c>
      <c r="BD162" s="43">
        <v>0</v>
      </c>
      <c r="BE162" s="43">
        <v>0</v>
      </c>
      <c r="BF162" s="43">
        <v>0</v>
      </c>
      <c r="BG162" s="43">
        <v>0</v>
      </c>
      <c r="BH162" s="43">
        <v>0</v>
      </c>
      <c r="BI162" s="40" t="s">
        <v>669</v>
      </c>
      <c r="BJ162" s="40">
        <v>2022</v>
      </c>
      <c r="BK162" s="40" t="s">
        <v>2768</v>
      </c>
      <c r="BL162" s="40" t="s">
        <v>2768</v>
      </c>
      <c r="BM162" s="40" t="s">
        <v>125</v>
      </c>
    </row>
    <row r="163" spans="1:65" x14ac:dyDescent="0.25">
      <c r="A163" s="40" t="s">
        <v>2771</v>
      </c>
      <c r="B163" s="41">
        <v>44631.333333333336</v>
      </c>
      <c r="C163" s="40" t="s">
        <v>353</v>
      </c>
      <c r="D163" s="40" t="s">
        <v>400</v>
      </c>
      <c r="E163" s="40">
        <v>7390502</v>
      </c>
      <c r="F163" s="40" t="s">
        <v>858</v>
      </c>
      <c r="G163" s="40" t="s">
        <v>859</v>
      </c>
      <c r="H163" s="40" t="s">
        <v>288</v>
      </c>
      <c r="I163" s="40">
        <v>2200</v>
      </c>
      <c r="J163" s="40" t="s">
        <v>860</v>
      </c>
      <c r="K163" s="40"/>
      <c r="L163" s="40">
        <v>2200</v>
      </c>
      <c r="M163" s="40"/>
      <c r="N163" s="40" t="s">
        <v>861</v>
      </c>
      <c r="O163" s="40" t="s">
        <v>188</v>
      </c>
      <c r="P163" s="40" t="s">
        <v>846</v>
      </c>
      <c r="Q163" s="40" t="s">
        <v>189</v>
      </c>
      <c r="R163" s="42" t="s">
        <v>190</v>
      </c>
      <c r="S163" s="42" t="s">
        <v>191</v>
      </c>
      <c r="T163" s="40" t="s">
        <v>469</v>
      </c>
      <c r="U163" s="41">
        <v>44630.5</v>
      </c>
      <c r="V163" s="41"/>
      <c r="W163" s="41"/>
      <c r="X163" s="40" t="s">
        <v>469</v>
      </c>
      <c r="Y163" s="41">
        <v>44631.334722222222</v>
      </c>
      <c r="Z163" s="41">
        <v>44632.75</v>
      </c>
      <c r="AA163" s="41">
        <v>44631.75</v>
      </c>
      <c r="AB163" s="41">
        <v>44635.5</v>
      </c>
      <c r="AC163" s="40" t="s">
        <v>411</v>
      </c>
      <c r="AD163" s="40">
        <v>12065</v>
      </c>
      <c r="AE163" s="40" t="s">
        <v>846</v>
      </c>
      <c r="AF163" s="40">
        <v>1290</v>
      </c>
      <c r="AG163" s="40"/>
      <c r="AH163" s="40" t="s">
        <v>295</v>
      </c>
      <c r="AI163" s="41"/>
      <c r="AJ163" s="40"/>
      <c r="AK163" s="43"/>
      <c r="AL163" s="40"/>
      <c r="AM163" s="43">
        <v>0</v>
      </c>
      <c r="AN163" s="43">
        <v>400</v>
      </c>
      <c r="AO163" s="43"/>
      <c r="AP163" s="43"/>
      <c r="AQ163" s="43">
        <v>400</v>
      </c>
      <c r="AR163" s="43">
        <v>0</v>
      </c>
      <c r="AS163" s="43"/>
      <c r="AT163" s="43">
        <v>0</v>
      </c>
      <c r="AU163" s="43"/>
      <c r="AV163" s="43"/>
      <c r="AW163" s="43"/>
      <c r="AX163" s="43">
        <v>0</v>
      </c>
      <c r="AY163" s="43">
        <v>0</v>
      </c>
      <c r="AZ163" s="43">
        <v>0</v>
      </c>
      <c r="BA163" s="43">
        <v>0</v>
      </c>
      <c r="BB163" s="43">
        <v>0</v>
      </c>
      <c r="BC163" s="43">
        <v>0</v>
      </c>
      <c r="BD163" s="43">
        <v>0</v>
      </c>
      <c r="BE163" s="43">
        <v>0</v>
      </c>
      <c r="BF163" s="43">
        <v>0</v>
      </c>
      <c r="BG163" s="43">
        <v>0</v>
      </c>
      <c r="BH163" s="43">
        <v>0</v>
      </c>
      <c r="BI163" s="40" t="s">
        <v>453</v>
      </c>
      <c r="BJ163" s="40">
        <v>1900</v>
      </c>
      <c r="BK163" s="40" t="s">
        <v>2768</v>
      </c>
      <c r="BL163" s="40"/>
      <c r="BM163" s="40" t="s">
        <v>125</v>
      </c>
    </row>
    <row r="164" spans="1:65" x14ac:dyDescent="0.25">
      <c r="A164" s="36" t="s">
        <v>836</v>
      </c>
      <c r="B164" s="37">
        <v>44634.291666666664</v>
      </c>
      <c r="C164" s="36" t="s">
        <v>353</v>
      </c>
      <c r="D164" s="36" t="s">
        <v>862</v>
      </c>
      <c r="E164" s="36" t="s">
        <v>863</v>
      </c>
      <c r="F164" s="36" t="s">
        <v>864</v>
      </c>
      <c r="G164" s="36" t="s">
        <v>865</v>
      </c>
      <c r="H164" s="36" t="s">
        <v>301</v>
      </c>
      <c r="I164" s="36">
        <v>3880</v>
      </c>
      <c r="J164" s="36" t="s">
        <v>866</v>
      </c>
      <c r="K164" s="36">
        <v>13384</v>
      </c>
      <c r="L164" s="36">
        <v>17264</v>
      </c>
      <c r="M164" s="36">
        <v>566</v>
      </c>
      <c r="N164" s="36" t="s">
        <v>867</v>
      </c>
      <c r="O164" s="36"/>
      <c r="P164" s="36"/>
      <c r="Q164" s="36"/>
      <c r="R164" s="38"/>
      <c r="S164" s="38"/>
      <c r="T164" s="36" t="s">
        <v>868</v>
      </c>
      <c r="U164" s="37"/>
      <c r="V164" s="37"/>
      <c r="W164" s="37"/>
      <c r="X164" s="36"/>
      <c r="Y164" s="37"/>
      <c r="Z164" s="37"/>
      <c r="AA164" s="37"/>
      <c r="AB164" s="37"/>
      <c r="AC164" s="36"/>
      <c r="AD164" s="36"/>
      <c r="AE164" s="36"/>
      <c r="AF164" s="36"/>
      <c r="AG164" s="36"/>
      <c r="AH164" s="36"/>
      <c r="AI164" s="37"/>
      <c r="AJ164" s="36"/>
      <c r="AK164" s="39"/>
      <c r="AL164" s="36"/>
      <c r="AM164" s="39">
        <v>0</v>
      </c>
      <c r="AN164" s="39"/>
      <c r="AO164" s="39"/>
      <c r="AP164" s="39"/>
      <c r="AQ164" s="39">
        <v>0</v>
      </c>
      <c r="AR164" s="39">
        <v>0</v>
      </c>
      <c r="AS164" s="39"/>
      <c r="AT164" s="39">
        <v>0</v>
      </c>
      <c r="AU164" s="39"/>
      <c r="AV164" s="39"/>
      <c r="AW164" s="39"/>
      <c r="AX164" s="39">
        <v>0</v>
      </c>
      <c r="AY164" s="39">
        <v>0</v>
      </c>
      <c r="AZ164" s="39">
        <v>0</v>
      </c>
      <c r="BA164" s="39">
        <v>0</v>
      </c>
      <c r="BB164" s="39">
        <v>0</v>
      </c>
      <c r="BC164" s="39">
        <v>0</v>
      </c>
      <c r="BD164" s="39">
        <v>0</v>
      </c>
      <c r="BE164" s="39">
        <v>0</v>
      </c>
      <c r="BF164" s="39">
        <v>0</v>
      </c>
      <c r="BG164" s="39">
        <v>0</v>
      </c>
      <c r="BH164" s="39">
        <v>0</v>
      </c>
      <c r="BI164" s="36" t="s">
        <v>453</v>
      </c>
      <c r="BJ164" s="36">
        <v>1900</v>
      </c>
      <c r="BK164" s="36"/>
      <c r="BL164" s="36"/>
      <c r="BM164" s="36"/>
    </row>
    <row r="165" spans="1:65" x14ac:dyDescent="0.25">
      <c r="A165" s="36" t="s">
        <v>836</v>
      </c>
      <c r="B165" s="37">
        <v>44634.291666666664</v>
      </c>
      <c r="C165" s="36" t="s">
        <v>353</v>
      </c>
      <c r="D165" s="36" t="s">
        <v>354</v>
      </c>
      <c r="E165" s="36">
        <v>7213044</v>
      </c>
      <c r="F165" s="36" t="s">
        <v>869</v>
      </c>
      <c r="G165" s="36"/>
      <c r="H165" s="36" t="s">
        <v>301</v>
      </c>
      <c r="I165" s="36"/>
      <c r="J165" s="36"/>
      <c r="K165" s="36"/>
      <c r="L165" s="36">
        <v>0</v>
      </c>
      <c r="M165" s="36"/>
      <c r="N165" s="36" t="s">
        <v>870</v>
      </c>
      <c r="O165" s="36"/>
      <c r="P165" s="36"/>
      <c r="Q165" s="36"/>
      <c r="R165" s="38"/>
      <c r="S165" s="38"/>
      <c r="T165" s="36"/>
      <c r="U165" s="37"/>
      <c r="V165" s="37"/>
      <c r="W165" s="37"/>
      <c r="X165" s="36" t="s">
        <v>293</v>
      </c>
      <c r="Y165" s="37"/>
      <c r="Z165" s="37"/>
      <c r="AA165" s="37">
        <v>44635.75</v>
      </c>
      <c r="AB165" s="37"/>
      <c r="AC165" s="36" t="s">
        <v>418</v>
      </c>
      <c r="AD165" s="36"/>
      <c r="AE165" s="36"/>
      <c r="AF165" s="36"/>
      <c r="AG165" s="36"/>
      <c r="AH165" s="36"/>
      <c r="AI165" s="37"/>
      <c r="AJ165" s="36"/>
      <c r="AK165" s="39"/>
      <c r="AL165" s="36"/>
      <c r="AM165" s="39">
        <v>0</v>
      </c>
      <c r="AN165" s="39"/>
      <c r="AO165" s="39"/>
      <c r="AP165" s="39"/>
      <c r="AQ165" s="39">
        <v>0</v>
      </c>
      <c r="AR165" s="39">
        <v>0</v>
      </c>
      <c r="AS165" s="39"/>
      <c r="AT165" s="39">
        <v>0</v>
      </c>
      <c r="AU165" s="39"/>
      <c r="AV165" s="39"/>
      <c r="AW165" s="39"/>
      <c r="AX165" s="39">
        <v>0</v>
      </c>
      <c r="AY165" s="39">
        <v>0</v>
      </c>
      <c r="AZ165" s="39">
        <v>0</v>
      </c>
      <c r="BA165" s="39">
        <v>0</v>
      </c>
      <c r="BB165" s="39">
        <v>0</v>
      </c>
      <c r="BC165" s="39">
        <v>0</v>
      </c>
      <c r="BD165" s="39">
        <v>0</v>
      </c>
      <c r="BE165" s="39">
        <v>0</v>
      </c>
      <c r="BF165" s="39">
        <v>0</v>
      </c>
      <c r="BG165" s="39">
        <v>0</v>
      </c>
      <c r="BH165" s="39">
        <v>0</v>
      </c>
      <c r="BI165" s="36" t="s">
        <v>453</v>
      </c>
      <c r="BJ165" s="36">
        <v>1900</v>
      </c>
      <c r="BK165" s="36"/>
      <c r="BL165" s="36"/>
      <c r="BM165" s="36"/>
    </row>
    <row r="166" spans="1:65" x14ac:dyDescent="0.25">
      <c r="A166" s="36" t="s">
        <v>836</v>
      </c>
      <c r="B166" s="37">
        <v>44634.291666666664</v>
      </c>
      <c r="C166" s="36" t="s">
        <v>353</v>
      </c>
      <c r="D166" s="36" t="s">
        <v>354</v>
      </c>
      <c r="E166" s="36">
        <v>7213044</v>
      </c>
      <c r="F166" s="36" t="s">
        <v>869</v>
      </c>
      <c r="G166" s="36"/>
      <c r="H166" s="36" t="s">
        <v>301</v>
      </c>
      <c r="I166" s="36"/>
      <c r="J166" s="36"/>
      <c r="K166" s="36"/>
      <c r="L166" s="36">
        <v>0</v>
      </c>
      <c r="M166" s="36"/>
      <c r="N166" s="36" t="s">
        <v>870</v>
      </c>
      <c r="O166" s="36"/>
      <c r="P166" s="36"/>
      <c r="Q166" s="36"/>
      <c r="R166" s="38"/>
      <c r="S166" s="38"/>
      <c r="T166" s="36"/>
      <c r="U166" s="37"/>
      <c r="V166" s="37"/>
      <c r="W166" s="37"/>
      <c r="X166" s="36" t="s">
        <v>293</v>
      </c>
      <c r="Y166" s="37"/>
      <c r="Z166" s="37"/>
      <c r="AA166" s="37">
        <v>44635.75</v>
      </c>
      <c r="AB166" s="37"/>
      <c r="AC166" s="36" t="s">
        <v>418</v>
      </c>
      <c r="AD166" s="36"/>
      <c r="AE166" s="36"/>
      <c r="AF166" s="36"/>
      <c r="AG166" s="36"/>
      <c r="AH166" s="36"/>
      <c r="AI166" s="37"/>
      <c r="AJ166" s="36"/>
      <c r="AK166" s="39"/>
      <c r="AL166" s="36"/>
      <c r="AM166" s="39">
        <v>0</v>
      </c>
      <c r="AN166" s="39"/>
      <c r="AO166" s="39"/>
      <c r="AP166" s="39"/>
      <c r="AQ166" s="39">
        <v>0</v>
      </c>
      <c r="AR166" s="39">
        <v>0</v>
      </c>
      <c r="AS166" s="39"/>
      <c r="AT166" s="39">
        <v>0</v>
      </c>
      <c r="AU166" s="39"/>
      <c r="AV166" s="39"/>
      <c r="AW166" s="39"/>
      <c r="AX166" s="39">
        <v>0</v>
      </c>
      <c r="AY166" s="39">
        <v>0</v>
      </c>
      <c r="AZ166" s="39">
        <v>0</v>
      </c>
      <c r="BA166" s="39">
        <v>0</v>
      </c>
      <c r="BB166" s="39">
        <v>0</v>
      </c>
      <c r="BC166" s="39">
        <v>0</v>
      </c>
      <c r="BD166" s="39">
        <v>0</v>
      </c>
      <c r="BE166" s="39">
        <v>0</v>
      </c>
      <c r="BF166" s="39">
        <v>0</v>
      </c>
      <c r="BG166" s="39">
        <v>0</v>
      </c>
      <c r="BH166" s="39">
        <v>0</v>
      </c>
      <c r="BI166" s="36" t="s">
        <v>453</v>
      </c>
      <c r="BJ166" s="36">
        <v>1900</v>
      </c>
      <c r="BK166" s="36"/>
      <c r="BL166" s="36"/>
      <c r="BM166" s="36"/>
    </row>
    <row r="167" spans="1:65" x14ac:dyDescent="0.25">
      <c r="A167" s="36" t="s">
        <v>836</v>
      </c>
      <c r="B167" s="37">
        <v>44634.291666666664</v>
      </c>
      <c r="C167" s="36" t="s">
        <v>353</v>
      </c>
      <c r="D167" s="36" t="s">
        <v>354</v>
      </c>
      <c r="E167" s="36">
        <v>7213044</v>
      </c>
      <c r="F167" s="36" t="s">
        <v>869</v>
      </c>
      <c r="G167" s="36"/>
      <c r="H167" s="36" t="s">
        <v>301</v>
      </c>
      <c r="I167" s="36"/>
      <c r="J167" s="36"/>
      <c r="K167" s="36"/>
      <c r="L167" s="36">
        <v>0</v>
      </c>
      <c r="M167" s="36"/>
      <c r="N167" s="36" t="s">
        <v>870</v>
      </c>
      <c r="O167" s="36"/>
      <c r="P167" s="36"/>
      <c r="Q167" s="36"/>
      <c r="R167" s="38"/>
      <c r="S167" s="38"/>
      <c r="T167" s="36"/>
      <c r="U167" s="37"/>
      <c r="V167" s="37"/>
      <c r="W167" s="37"/>
      <c r="X167" s="36" t="s">
        <v>293</v>
      </c>
      <c r="Y167" s="37"/>
      <c r="Z167" s="37"/>
      <c r="AA167" s="37">
        <v>44635.75</v>
      </c>
      <c r="AB167" s="37"/>
      <c r="AC167" s="36" t="s">
        <v>418</v>
      </c>
      <c r="AD167" s="36"/>
      <c r="AE167" s="36"/>
      <c r="AF167" s="36"/>
      <c r="AG167" s="36"/>
      <c r="AH167" s="36"/>
      <c r="AI167" s="37"/>
      <c r="AJ167" s="36"/>
      <c r="AK167" s="39"/>
      <c r="AL167" s="36"/>
      <c r="AM167" s="39">
        <v>0</v>
      </c>
      <c r="AN167" s="39"/>
      <c r="AO167" s="39"/>
      <c r="AP167" s="39"/>
      <c r="AQ167" s="39">
        <v>0</v>
      </c>
      <c r="AR167" s="39">
        <v>0</v>
      </c>
      <c r="AS167" s="39"/>
      <c r="AT167" s="39">
        <v>0</v>
      </c>
      <c r="AU167" s="39"/>
      <c r="AV167" s="39"/>
      <c r="AW167" s="39"/>
      <c r="AX167" s="39">
        <v>0</v>
      </c>
      <c r="AY167" s="39">
        <v>0</v>
      </c>
      <c r="AZ167" s="39">
        <v>0</v>
      </c>
      <c r="BA167" s="39">
        <v>0</v>
      </c>
      <c r="BB167" s="39">
        <v>0</v>
      </c>
      <c r="BC167" s="39">
        <v>0</v>
      </c>
      <c r="BD167" s="39">
        <v>0</v>
      </c>
      <c r="BE167" s="39">
        <v>0</v>
      </c>
      <c r="BF167" s="39">
        <v>0</v>
      </c>
      <c r="BG167" s="39">
        <v>0</v>
      </c>
      <c r="BH167" s="39">
        <v>0</v>
      </c>
      <c r="BI167" s="36" t="s">
        <v>453</v>
      </c>
      <c r="BJ167" s="36">
        <v>1900</v>
      </c>
      <c r="BK167" s="36"/>
      <c r="BL167" s="36"/>
      <c r="BM167" s="36"/>
    </row>
    <row r="168" spans="1:65" x14ac:dyDescent="0.25">
      <c r="A168" s="36" t="s">
        <v>836</v>
      </c>
      <c r="B168" s="37">
        <v>44634.291666666664</v>
      </c>
      <c r="C168" s="36" t="s">
        <v>353</v>
      </c>
      <c r="D168" s="36" t="s">
        <v>354</v>
      </c>
      <c r="E168" s="36">
        <v>7213044</v>
      </c>
      <c r="F168" s="36" t="s">
        <v>869</v>
      </c>
      <c r="G168" s="36"/>
      <c r="H168" s="36" t="s">
        <v>301</v>
      </c>
      <c r="I168" s="36"/>
      <c r="J168" s="36"/>
      <c r="K168" s="36"/>
      <c r="L168" s="36">
        <v>0</v>
      </c>
      <c r="M168" s="36"/>
      <c r="N168" s="36" t="s">
        <v>870</v>
      </c>
      <c r="O168" s="36"/>
      <c r="P168" s="36"/>
      <c r="Q168" s="36"/>
      <c r="R168" s="38"/>
      <c r="S168" s="38"/>
      <c r="T168" s="36"/>
      <c r="U168" s="37"/>
      <c r="V168" s="37"/>
      <c r="W168" s="37"/>
      <c r="X168" s="36" t="s">
        <v>293</v>
      </c>
      <c r="Y168" s="37"/>
      <c r="Z168" s="37"/>
      <c r="AA168" s="37">
        <v>44635.75</v>
      </c>
      <c r="AB168" s="37"/>
      <c r="AC168" s="36" t="s">
        <v>418</v>
      </c>
      <c r="AD168" s="36"/>
      <c r="AE168" s="36"/>
      <c r="AF168" s="36"/>
      <c r="AG168" s="36"/>
      <c r="AH168" s="36"/>
      <c r="AI168" s="37"/>
      <c r="AJ168" s="36"/>
      <c r="AK168" s="39"/>
      <c r="AL168" s="36"/>
      <c r="AM168" s="39">
        <v>0</v>
      </c>
      <c r="AN168" s="39"/>
      <c r="AO168" s="39"/>
      <c r="AP168" s="39"/>
      <c r="AQ168" s="39">
        <v>0</v>
      </c>
      <c r="AR168" s="39">
        <v>0</v>
      </c>
      <c r="AS168" s="39"/>
      <c r="AT168" s="39">
        <v>0</v>
      </c>
      <c r="AU168" s="39"/>
      <c r="AV168" s="39"/>
      <c r="AW168" s="39"/>
      <c r="AX168" s="39">
        <v>0</v>
      </c>
      <c r="AY168" s="39">
        <v>0</v>
      </c>
      <c r="AZ168" s="39">
        <v>0</v>
      </c>
      <c r="BA168" s="39">
        <v>0</v>
      </c>
      <c r="BB168" s="39">
        <v>0</v>
      </c>
      <c r="BC168" s="39">
        <v>0</v>
      </c>
      <c r="BD168" s="39">
        <v>0</v>
      </c>
      <c r="BE168" s="39">
        <v>0</v>
      </c>
      <c r="BF168" s="39">
        <v>0</v>
      </c>
      <c r="BG168" s="39">
        <v>0</v>
      </c>
      <c r="BH168" s="39">
        <v>0</v>
      </c>
      <c r="BI168" s="36" t="s">
        <v>453</v>
      </c>
      <c r="BJ168" s="36">
        <v>1900</v>
      </c>
      <c r="BK168" s="36"/>
      <c r="BL168" s="36"/>
      <c r="BM168" s="36"/>
    </row>
    <row r="169" spans="1:65" x14ac:dyDescent="0.25">
      <c r="A169" s="36" t="s">
        <v>836</v>
      </c>
      <c r="B169" s="37">
        <v>44634.291666666664</v>
      </c>
      <c r="C169" s="36" t="s">
        <v>353</v>
      </c>
      <c r="D169" s="36" t="s">
        <v>354</v>
      </c>
      <c r="E169" s="36">
        <v>7213044</v>
      </c>
      <c r="F169" s="36" t="s">
        <v>869</v>
      </c>
      <c r="G169" s="36"/>
      <c r="H169" s="36" t="s">
        <v>301</v>
      </c>
      <c r="I169" s="36"/>
      <c r="J169" s="36"/>
      <c r="K169" s="36"/>
      <c r="L169" s="36">
        <v>0</v>
      </c>
      <c r="M169" s="36"/>
      <c r="N169" s="36" t="s">
        <v>870</v>
      </c>
      <c r="O169" s="36"/>
      <c r="P169" s="36"/>
      <c r="Q169" s="36"/>
      <c r="R169" s="38"/>
      <c r="S169" s="38"/>
      <c r="T169" s="36"/>
      <c r="U169" s="37"/>
      <c r="V169" s="37"/>
      <c r="W169" s="37"/>
      <c r="X169" s="36" t="s">
        <v>293</v>
      </c>
      <c r="Y169" s="37"/>
      <c r="Z169" s="37"/>
      <c r="AA169" s="37">
        <v>44635.75</v>
      </c>
      <c r="AB169" s="37"/>
      <c r="AC169" s="36" t="s">
        <v>418</v>
      </c>
      <c r="AD169" s="36"/>
      <c r="AE169" s="36"/>
      <c r="AF169" s="36"/>
      <c r="AG169" s="36"/>
      <c r="AH169" s="36"/>
      <c r="AI169" s="37"/>
      <c r="AJ169" s="36"/>
      <c r="AK169" s="39"/>
      <c r="AL169" s="36"/>
      <c r="AM169" s="39">
        <v>0</v>
      </c>
      <c r="AN169" s="39"/>
      <c r="AO169" s="39"/>
      <c r="AP169" s="39"/>
      <c r="AQ169" s="39">
        <v>0</v>
      </c>
      <c r="AR169" s="39">
        <v>0</v>
      </c>
      <c r="AS169" s="39"/>
      <c r="AT169" s="39">
        <v>0</v>
      </c>
      <c r="AU169" s="39"/>
      <c r="AV169" s="39"/>
      <c r="AW169" s="39"/>
      <c r="AX169" s="39">
        <v>0</v>
      </c>
      <c r="AY169" s="39">
        <v>0</v>
      </c>
      <c r="AZ169" s="39">
        <v>0</v>
      </c>
      <c r="BA169" s="39">
        <v>0</v>
      </c>
      <c r="BB169" s="39">
        <v>0</v>
      </c>
      <c r="BC169" s="39">
        <v>0</v>
      </c>
      <c r="BD169" s="39">
        <v>0</v>
      </c>
      <c r="BE169" s="39">
        <v>0</v>
      </c>
      <c r="BF169" s="39">
        <v>0</v>
      </c>
      <c r="BG169" s="39">
        <v>0</v>
      </c>
      <c r="BH169" s="39">
        <v>0</v>
      </c>
      <c r="BI169" s="36" t="s">
        <v>453</v>
      </c>
      <c r="BJ169" s="36">
        <v>1900</v>
      </c>
      <c r="BK169" s="36"/>
      <c r="BL169" s="36"/>
      <c r="BM169" s="36"/>
    </row>
    <row r="170" spans="1:65" x14ac:dyDescent="0.25">
      <c r="A170" s="36" t="s">
        <v>836</v>
      </c>
      <c r="B170" s="37">
        <v>44634.291666666664</v>
      </c>
      <c r="C170" s="36" t="s">
        <v>353</v>
      </c>
      <c r="D170" s="36" t="s">
        <v>354</v>
      </c>
      <c r="E170" s="36">
        <v>7213044</v>
      </c>
      <c r="F170" s="36" t="s">
        <v>869</v>
      </c>
      <c r="G170" s="36"/>
      <c r="H170" s="36" t="s">
        <v>301</v>
      </c>
      <c r="I170" s="36"/>
      <c r="J170" s="36"/>
      <c r="K170" s="36"/>
      <c r="L170" s="36">
        <v>0</v>
      </c>
      <c r="M170" s="36"/>
      <c r="N170" s="36" t="s">
        <v>870</v>
      </c>
      <c r="O170" s="36"/>
      <c r="P170" s="36"/>
      <c r="Q170" s="36"/>
      <c r="R170" s="38"/>
      <c r="S170" s="38"/>
      <c r="T170" s="36"/>
      <c r="U170" s="37"/>
      <c r="V170" s="37"/>
      <c r="W170" s="37"/>
      <c r="X170" s="36" t="s">
        <v>293</v>
      </c>
      <c r="Y170" s="37"/>
      <c r="Z170" s="37"/>
      <c r="AA170" s="37">
        <v>44635.75</v>
      </c>
      <c r="AB170" s="37"/>
      <c r="AC170" s="36" t="s">
        <v>418</v>
      </c>
      <c r="AD170" s="36"/>
      <c r="AE170" s="36"/>
      <c r="AF170" s="36"/>
      <c r="AG170" s="36"/>
      <c r="AH170" s="36"/>
      <c r="AI170" s="37"/>
      <c r="AJ170" s="36"/>
      <c r="AK170" s="39"/>
      <c r="AL170" s="36"/>
      <c r="AM170" s="39">
        <v>0</v>
      </c>
      <c r="AN170" s="39"/>
      <c r="AO170" s="39"/>
      <c r="AP170" s="39"/>
      <c r="AQ170" s="39">
        <v>0</v>
      </c>
      <c r="AR170" s="39">
        <v>0</v>
      </c>
      <c r="AS170" s="39"/>
      <c r="AT170" s="39">
        <v>0</v>
      </c>
      <c r="AU170" s="39"/>
      <c r="AV170" s="39"/>
      <c r="AW170" s="39"/>
      <c r="AX170" s="39">
        <v>0</v>
      </c>
      <c r="AY170" s="39">
        <v>0</v>
      </c>
      <c r="AZ170" s="39">
        <v>0</v>
      </c>
      <c r="BA170" s="39">
        <v>0</v>
      </c>
      <c r="BB170" s="39">
        <v>0</v>
      </c>
      <c r="BC170" s="39">
        <v>0</v>
      </c>
      <c r="BD170" s="39">
        <v>0</v>
      </c>
      <c r="BE170" s="39">
        <v>0</v>
      </c>
      <c r="BF170" s="39">
        <v>0</v>
      </c>
      <c r="BG170" s="39">
        <v>0</v>
      </c>
      <c r="BH170" s="39">
        <v>0</v>
      </c>
      <c r="BI170" s="36" t="s">
        <v>453</v>
      </c>
      <c r="BJ170" s="36">
        <v>1900</v>
      </c>
      <c r="BK170" s="36"/>
      <c r="BL170" s="36"/>
      <c r="BM170" s="36"/>
    </row>
    <row r="171" spans="1:65" x14ac:dyDescent="0.25">
      <c r="A171" s="36" t="s">
        <v>836</v>
      </c>
      <c r="B171" s="37">
        <v>44634.291666666664</v>
      </c>
      <c r="C171" s="36" t="s">
        <v>353</v>
      </c>
      <c r="D171" s="36" t="s">
        <v>354</v>
      </c>
      <c r="E171" s="36">
        <v>7213044</v>
      </c>
      <c r="F171" s="36" t="s">
        <v>869</v>
      </c>
      <c r="G171" s="36"/>
      <c r="H171" s="36" t="s">
        <v>301</v>
      </c>
      <c r="I171" s="36"/>
      <c r="J171" s="36"/>
      <c r="K171" s="36"/>
      <c r="L171" s="36">
        <v>0</v>
      </c>
      <c r="M171" s="36"/>
      <c r="N171" s="36" t="s">
        <v>870</v>
      </c>
      <c r="O171" s="36"/>
      <c r="P171" s="36"/>
      <c r="Q171" s="36"/>
      <c r="R171" s="38"/>
      <c r="S171" s="38"/>
      <c r="T171" s="36"/>
      <c r="U171" s="37"/>
      <c r="V171" s="37"/>
      <c r="W171" s="37"/>
      <c r="X171" s="36" t="s">
        <v>293</v>
      </c>
      <c r="Y171" s="37"/>
      <c r="Z171" s="37"/>
      <c r="AA171" s="37">
        <v>44635.75</v>
      </c>
      <c r="AB171" s="37"/>
      <c r="AC171" s="36" t="s">
        <v>418</v>
      </c>
      <c r="AD171" s="36"/>
      <c r="AE171" s="36"/>
      <c r="AF171" s="36"/>
      <c r="AG171" s="36"/>
      <c r="AH171" s="36"/>
      <c r="AI171" s="37"/>
      <c r="AJ171" s="36"/>
      <c r="AK171" s="39"/>
      <c r="AL171" s="36"/>
      <c r="AM171" s="39">
        <v>0</v>
      </c>
      <c r="AN171" s="39"/>
      <c r="AO171" s="39"/>
      <c r="AP171" s="39"/>
      <c r="AQ171" s="39">
        <v>0</v>
      </c>
      <c r="AR171" s="39">
        <v>0</v>
      </c>
      <c r="AS171" s="39"/>
      <c r="AT171" s="39">
        <v>0</v>
      </c>
      <c r="AU171" s="39"/>
      <c r="AV171" s="39"/>
      <c r="AW171" s="39"/>
      <c r="AX171" s="39">
        <v>0</v>
      </c>
      <c r="AY171" s="39">
        <v>0</v>
      </c>
      <c r="AZ171" s="39">
        <v>0</v>
      </c>
      <c r="BA171" s="39">
        <v>0</v>
      </c>
      <c r="BB171" s="39">
        <v>0</v>
      </c>
      <c r="BC171" s="39">
        <v>0</v>
      </c>
      <c r="BD171" s="39">
        <v>0</v>
      </c>
      <c r="BE171" s="39">
        <v>0</v>
      </c>
      <c r="BF171" s="39">
        <v>0</v>
      </c>
      <c r="BG171" s="39">
        <v>0</v>
      </c>
      <c r="BH171" s="39">
        <v>0</v>
      </c>
      <c r="BI171" s="36" t="s">
        <v>453</v>
      </c>
      <c r="BJ171" s="36">
        <v>1900</v>
      </c>
      <c r="BK171" s="36"/>
      <c r="BL171" s="36"/>
      <c r="BM171" s="36"/>
    </row>
    <row r="172" spans="1:65" x14ac:dyDescent="0.25">
      <c r="A172" s="36" t="s">
        <v>836</v>
      </c>
      <c r="B172" s="37">
        <v>44634.291666666664</v>
      </c>
      <c r="C172" s="36" t="s">
        <v>353</v>
      </c>
      <c r="D172" s="36" t="s">
        <v>354</v>
      </c>
      <c r="E172" s="36">
        <v>7213044</v>
      </c>
      <c r="F172" s="36" t="s">
        <v>869</v>
      </c>
      <c r="G172" s="36"/>
      <c r="H172" s="36" t="s">
        <v>301</v>
      </c>
      <c r="I172" s="36"/>
      <c r="J172" s="36"/>
      <c r="K172" s="36"/>
      <c r="L172" s="36">
        <v>0</v>
      </c>
      <c r="M172" s="36"/>
      <c r="N172" s="36" t="s">
        <v>870</v>
      </c>
      <c r="O172" s="36"/>
      <c r="P172" s="36"/>
      <c r="Q172" s="36"/>
      <c r="R172" s="38"/>
      <c r="S172" s="38"/>
      <c r="T172" s="36"/>
      <c r="U172" s="37"/>
      <c r="V172" s="37"/>
      <c r="W172" s="37"/>
      <c r="X172" s="36" t="s">
        <v>293</v>
      </c>
      <c r="Y172" s="37"/>
      <c r="Z172" s="37"/>
      <c r="AA172" s="37">
        <v>44635.75</v>
      </c>
      <c r="AB172" s="37"/>
      <c r="AC172" s="36" t="s">
        <v>418</v>
      </c>
      <c r="AD172" s="36"/>
      <c r="AE172" s="36"/>
      <c r="AF172" s="36"/>
      <c r="AG172" s="36"/>
      <c r="AH172" s="36"/>
      <c r="AI172" s="37"/>
      <c r="AJ172" s="36"/>
      <c r="AK172" s="39"/>
      <c r="AL172" s="36"/>
      <c r="AM172" s="39">
        <v>0</v>
      </c>
      <c r="AN172" s="39"/>
      <c r="AO172" s="39"/>
      <c r="AP172" s="39"/>
      <c r="AQ172" s="39">
        <v>0</v>
      </c>
      <c r="AR172" s="39">
        <v>0</v>
      </c>
      <c r="AS172" s="39"/>
      <c r="AT172" s="39">
        <v>0</v>
      </c>
      <c r="AU172" s="39"/>
      <c r="AV172" s="39"/>
      <c r="AW172" s="39"/>
      <c r="AX172" s="39">
        <v>0</v>
      </c>
      <c r="AY172" s="39">
        <v>0</v>
      </c>
      <c r="AZ172" s="39">
        <v>0</v>
      </c>
      <c r="BA172" s="39">
        <v>0</v>
      </c>
      <c r="BB172" s="39">
        <v>0</v>
      </c>
      <c r="BC172" s="39">
        <v>0</v>
      </c>
      <c r="BD172" s="39">
        <v>0</v>
      </c>
      <c r="BE172" s="39">
        <v>0</v>
      </c>
      <c r="BF172" s="39">
        <v>0</v>
      </c>
      <c r="BG172" s="39">
        <v>0</v>
      </c>
      <c r="BH172" s="39">
        <v>0</v>
      </c>
      <c r="BI172" s="36" t="s">
        <v>453</v>
      </c>
      <c r="BJ172" s="36">
        <v>1900</v>
      </c>
      <c r="BK172" s="36"/>
      <c r="BL172" s="36"/>
      <c r="BM172" s="36"/>
    </row>
    <row r="173" spans="1:65" x14ac:dyDescent="0.25">
      <c r="A173" s="36" t="s">
        <v>836</v>
      </c>
      <c r="B173" s="37">
        <v>44634.291666666664</v>
      </c>
      <c r="C173" s="36" t="s">
        <v>353</v>
      </c>
      <c r="D173" s="36" t="s">
        <v>354</v>
      </c>
      <c r="E173" s="36">
        <v>7213044</v>
      </c>
      <c r="F173" s="36" t="s">
        <v>869</v>
      </c>
      <c r="G173" s="36"/>
      <c r="H173" s="36" t="s">
        <v>301</v>
      </c>
      <c r="I173" s="36"/>
      <c r="J173" s="36"/>
      <c r="K173" s="36"/>
      <c r="L173" s="36">
        <v>0</v>
      </c>
      <c r="M173" s="36"/>
      <c r="N173" s="36" t="s">
        <v>870</v>
      </c>
      <c r="O173" s="36"/>
      <c r="P173" s="36"/>
      <c r="Q173" s="36"/>
      <c r="R173" s="38"/>
      <c r="S173" s="38"/>
      <c r="T173" s="36"/>
      <c r="U173" s="37"/>
      <c r="V173" s="37"/>
      <c r="W173" s="37"/>
      <c r="X173" s="36" t="s">
        <v>293</v>
      </c>
      <c r="Y173" s="37"/>
      <c r="Z173" s="37"/>
      <c r="AA173" s="37">
        <v>44635.75</v>
      </c>
      <c r="AB173" s="37"/>
      <c r="AC173" s="36" t="s">
        <v>418</v>
      </c>
      <c r="AD173" s="36"/>
      <c r="AE173" s="36"/>
      <c r="AF173" s="36"/>
      <c r="AG173" s="36"/>
      <c r="AH173" s="36"/>
      <c r="AI173" s="37"/>
      <c r="AJ173" s="36"/>
      <c r="AK173" s="39"/>
      <c r="AL173" s="36"/>
      <c r="AM173" s="39">
        <v>0</v>
      </c>
      <c r="AN173" s="39"/>
      <c r="AO173" s="39"/>
      <c r="AP173" s="39"/>
      <c r="AQ173" s="39">
        <v>0</v>
      </c>
      <c r="AR173" s="39">
        <v>0</v>
      </c>
      <c r="AS173" s="39"/>
      <c r="AT173" s="39">
        <v>0</v>
      </c>
      <c r="AU173" s="39"/>
      <c r="AV173" s="39"/>
      <c r="AW173" s="39"/>
      <c r="AX173" s="39">
        <v>0</v>
      </c>
      <c r="AY173" s="39">
        <v>0</v>
      </c>
      <c r="AZ173" s="39">
        <v>0</v>
      </c>
      <c r="BA173" s="39">
        <v>0</v>
      </c>
      <c r="BB173" s="39">
        <v>0</v>
      </c>
      <c r="BC173" s="39">
        <v>0</v>
      </c>
      <c r="BD173" s="39">
        <v>0</v>
      </c>
      <c r="BE173" s="39">
        <v>0</v>
      </c>
      <c r="BF173" s="39">
        <v>0</v>
      </c>
      <c r="BG173" s="39">
        <v>0</v>
      </c>
      <c r="BH173" s="39">
        <v>0</v>
      </c>
      <c r="BI173" s="36" t="s">
        <v>453</v>
      </c>
      <c r="BJ173" s="36">
        <v>1900</v>
      </c>
      <c r="BK173" s="36"/>
      <c r="BL173" s="36"/>
      <c r="BM173" s="36"/>
    </row>
    <row r="174" spans="1:65" x14ac:dyDescent="0.25">
      <c r="A174" s="36" t="s">
        <v>836</v>
      </c>
      <c r="B174" s="37">
        <v>44634.291666666664</v>
      </c>
      <c r="C174" s="36" t="s">
        <v>353</v>
      </c>
      <c r="D174" s="36" t="s">
        <v>354</v>
      </c>
      <c r="E174" s="36">
        <v>7213044</v>
      </c>
      <c r="F174" s="36" t="s">
        <v>869</v>
      </c>
      <c r="G174" s="36"/>
      <c r="H174" s="36" t="s">
        <v>301</v>
      </c>
      <c r="I174" s="36"/>
      <c r="J174" s="36"/>
      <c r="K174" s="36"/>
      <c r="L174" s="36">
        <v>0</v>
      </c>
      <c r="M174" s="36"/>
      <c r="N174" s="36" t="s">
        <v>870</v>
      </c>
      <c r="O174" s="36"/>
      <c r="P174" s="36"/>
      <c r="Q174" s="36"/>
      <c r="R174" s="38"/>
      <c r="S174" s="38"/>
      <c r="T174" s="36"/>
      <c r="U174" s="37"/>
      <c r="V174" s="37"/>
      <c r="W174" s="37"/>
      <c r="X174" s="36" t="s">
        <v>293</v>
      </c>
      <c r="Y174" s="37"/>
      <c r="Z174" s="37"/>
      <c r="AA174" s="37">
        <v>44635.75</v>
      </c>
      <c r="AB174" s="37"/>
      <c r="AC174" s="36" t="s">
        <v>418</v>
      </c>
      <c r="AD174" s="36"/>
      <c r="AE174" s="36"/>
      <c r="AF174" s="36"/>
      <c r="AG174" s="36"/>
      <c r="AH174" s="36"/>
      <c r="AI174" s="37"/>
      <c r="AJ174" s="36"/>
      <c r="AK174" s="39"/>
      <c r="AL174" s="36"/>
      <c r="AM174" s="39">
        <v>0</v>
      </c>
      <c r="AN174" s="39"/>
      <c r="AO174" s="39"/>
      <c r="AP174" s="39"/>
      <c r="AQ174" s="39">
        <v>0</v>
      </c>
      <c r="AR174" s="39">
        <v>0</v>
      </c>
      <c r="AS174" s="39"/>
      <c r="AT174" s="39">
        <v>0</v>
      </c>
      <c r="AU174" s="39"/>
      <c r="AV174" s="39"/>
      <c r="AW174" s="39"/>
      <c r="AX174" s="39">
        <v>0</v>
      </c>
      <c r="AY174" s="39">
        <v>0</v>
      </c>
      <c r="AZ174" s="39">
        <v>0</v>
      </c>
      <c r="BA174" s="39">
        <v>0</v>
      </c>
      <c r="BB174" s="39">
        <v>0</v>
      </c>
      <c r="BC174" s="39">
        <v>0</v>
      </c>
      <c r="BD174" s="39">
        <v>0</v>
      </c>
      <c r="BE174" s="39">
        <v>0</v>
      </c>
      <c r="BF174" s="39">
        <v>0</v>
      </c>
      <c r="BG174" s="39">
        <v>0</v>
      </c>
      <c r="BH174" s="39">
        <v>0</v>
      </c>
      <c r="BI174" s="36" t="s">
        <v>453</v>
      </c>
      <c r="BJ174" s="36">
        <v>1900</v>
      </c>
      <c r="BK174" s="36"/>
      <c r="BL174" s="36"/>
      <c r="BM174" s="36"/>
    </row>
    <row r="175" spans="1:65" x14ac:dyDescent="0.25">
      <c r="A175" s="40" t="s">
        <v>2771</v>
      </c>
      <c r="B175" s="41">
        <v>44635.291666666664</v>
      </c>
      <c r="C175" s="40" t="s">
        <v>449</v>
      </c>
      <c r="D175" s="40" t="s">
        <v>450</v>
      </c>
      <c r="E175" s="40" t="s">
        <v>839</v>
      </c>
      <c r="F175" s="40" t="s">
        <v>871</v>
      </c>
      <c r="G175" s="40" t="s">
        <v>872</v>
      </c>
      <c r="H175" s="40" t="s">
        <v>288</v>
      </c>
      <c r="I175" s="40">
        <v>2170</v>
      </c>
      <c r="J175" s="40" t="s">
        <v>873</v>
      </c>
      <c r="K175" s="40">
        <v>27000</v>
      </c>
      <c r="L175" s="40">
        <v>29170</v>
      </c>
      <c r="M175" s="40">
        <v>33563</v>
      </c>
      <c r="N175" s="40" t="s">
        <v>874</v>
      </c>
      <c r="O175" s="40" t="s">
        <v>129</v>
      </c>
      <c r="P175" s="40" t="s">
        <v>130</v>
      </c>
      <c r="Q175" s="40" t="s">
        <v>131</v>
      </c>
      <c r="R175" s="42" t="s">
        <v>132</v>
      </c>
      <c r="S175" s="42" t="s">
        <v>133</v>
      </c>
      <c r="T175" s="40" t="s">
        <v>526</v>
      </c>
      <c r="U175" s="41">
        <v>44629.6875</v>
      </c>
      <c r="V175" s="41">
        <v>44635.270833333336</v>
      </c>
      <c r="W175" s="41">
        <v>44635.75</v>
      </c>
      <c r="X175" s="40" t="s">
        <v>306</v>
      </c>
      <c r="Y175" s="41">
        <v>44636.053472222222</v>
      </c>
      <c r="Z175" s="41">
        <v>44635.041666666664</v>
      </c>
      <c r="AA175" s="41">
        <v>44630.5</v>
      </c>
      <c r="AB175" s="41">
        <v>44637.75</v>
      </c>
      <c r="AC175" s="40" t="s">
        <v>452</v>
      </c>
      <c r="AD175" s="40" t="s">
        <v>875</v>
      </c>
      <c r="AE175" s="40"/>
      <c r="AF175" s="40">
        <v>1281</v>
      </c>
      <c r="AG175" s="40"/>
      <c r="AH175" s="40" t="s">
        <v>295</v>
      </c>
      <c r="AI175" s="41"/>
      <c r="AJ175" s="40"/>
      <c r="AK175" s="43">
        <v>0</v>
      </c>
      <c r="AL175" s="40" t="s">
        <v>610</v>
      </c>
      <c r="AM175" s="43">
        <v>300</v>
      </c>
      <c r="AN175" s="43">
        <v>2240</v>
      </c>
      <c r="AO175" s="43">
        <v>960</v>
      </c>
      <c r="AP175" s="43"/>
      <c r="AQ175" s="43">
        <v>3200</v>
      </c>
      <c r="AR175" s="43">
        <v>0</v>
      </c>
      <c r="AS175" s="43"/>
      <c r="AT175" s="43">
        <v>0</v>
      </c>
      <c r="AU175" s="43"/>
      <c r="AV175" s="43"/>
      <c r="AW175" s="43"/>
      <c r="AX175" s="43">
        <v>0</v>
      </c>
      <c r="AY175" s="43">
        <v>0</v>
      </c>
      <c r="AZ175" s="43">
        <v>0</v>
      </c>
      <c r="BA175" s="43">
        <v>0</v>
      </c>
      <c r="BB175" s="43">
        <v>0</v>
      </c>
      <c r="BC175" s="43">
        <v>0</v>
      </c>
      <c r="BD175" s="43">
        <v>0</v>
      </c>
      <c r="BE175" s="43">
        <v>0</v>
      </c>
      <c r="BF175" s="43">
        <v>0</v>
      </c>
      <c r="BG175" s="43">
        <v>0</v>
      </c>
      <c r="BH175" s="43">
        <v>0</v>
      </c>
      <c r="BI175" s="40" t="s">
        <v>669</v>
      </c>
      <c r="BJ175" s="40">
        <v>2022</v>
      </c>
      <c r="BK175" s="40" t="s">
        <v>2768</v>
      </c>
      <c r="BL175" s="40" t="s">
        <v>125</v>
      </c>
      <c r="BM175" s="40"/>
    </row>
    <row r="176" spans="1:65" x14ac:dyDescent="0.25">
      <c r="A176" s="40" t="s">
        <v>2771</v>
      </c>
      <c r="B176" s="41">
        <v>44635.291666666664</v>
      </c>
      <c r="C176" s="40" t="s">
        <v>449</v>
      </c>
      <c r="D176" s="40" t="s">
        <v>450</v>
      </c>
      <c r="E176" s="40" t="s">
        <v>837</v>
      </c>
      <c r="F176" s="40" t="s">
        <v>876</v>
      </c>
      <c r="G176" s="40" t="s">
        <v>877</v>
      </c>
      <c r="H176" s="40" t="s">
        <v>288</v>
      </c>
      <c r="I176" s="40">
        <v>2170</v>
      </c>
      <c r="J176" s="40" t="s">
        <v>878</v>
      </c>
      <c r="K176" s="40">
        <v>26856</v>
      </c>
      <c r="L176" s="40">
        <v>29026</v>
      </c>
      <c r="M176" s="40">
        <v>33564</v>
      </c>
      <c r="N176" s="40" t="s">
        <v>874</v>
      </c>
      <c r="O176" s="40" t="s">
        <v>129</v>
      </c>
      <c r="P176" s="40" t="s">
        <v>134</v>
      </c>
      <c r="Q176" s="40" t="s">
        <v>131</v>
      </c>
      <c r="R176" s="42" t="s">
        <v>132</v>
      </c>
      <c r="S176" s="42" t="s">
        <v>133</v>
      </c>
      <c r="T176" s="40" t="s">
        <v>526</v>
      </c>
      <c r="U176" s="41">
        <v>44629.6875</v>
      </c>
      <c r="V176" s="41">
        <v>44635.270833333336</v>
      </c>
      <c r="W176" s="41">
        <v>44635.75</v>
      </c>
      <c r="X176" s="40" t="s">
        <v>306</v>
      </c>
      <c r="Y176" s="41">
        <v>44636.086111111108</v>
      </c>
      <c r="Z176" s="41">
        <v>44635.041666666664</v>
      </c>
      <c r="AA176" s="41">
        <v>44630.5</v>
      </c>
      <c r="AB176" s="41">
        <v>44637.75</v>
      </c>
      <c r="AC176" s="40" t="s">
        <v>452</v>
      </c>
      <c r="AD176" s="40">
        <v>11961</v>
      </c>
      <c r="AE176" s="40"/>
      <c r="AF176" s="40">
        <v>1285</v>
      </c>
      <c r="AG176" s="40"/>
      <c r="AH176" s="40" t="s">
        <v>295</v>
      </c>
      <c r="AI176" s="41"/>
      <c r="AJ176" s="40"/>
      <c r="AK176" s="43">
        <v>0</v>
      </c>
      <c r="AL176" s="40" t="s">
        <v>610</v>
      </c>
      <c r="AM176" s="43">
        <v>300</v>
      </c>
      <c r="AN176" s="43">
        <v>2240</v>
      </c>
      <c r="AO176" s="43">
        <v>960</v>
      </c>
      <c r="AP176" s="43"/>
      <c r="AQ176" s="43">
        <v>3200</v>
      </c>
      <c r="AR176" s="43">
        <v>0</v>
      </c>
      <c r="AS176" s="43"/>
      <c r="AT176" s="43">
        <v>0</v>
      </c>
      <c r="AU176" s="43"/>
      <c r="AV176" s="43"/>
      <c r="AW176" s="43"/>
      <c r="AX176" s="43">
        <v>0</v>
      </c>
      <c r="AY176" s="43">
        <v>0</v>
      </c>
      <c r="AZ176" s="43">
        <v>0</v>
      </c>
      <c r="BA176" s="43">
        <v>0</v>
      </c>
      <c r="BB176" s="43">
        <v>0</v>
      </c>
      <c r="BC176" s="43">
        <v>0</v>
      </c>
      <c r="BD176" s="43">
        <v>0</v>
      </c>
      <c r="BE176" s="43">
        <v>0</v>
      </c>
      <c r="BF176" s="43">
        <v>0</v>
      </c>
      <c r="BG176" s="43">
        <v>0</v>
      </c>
      <c r="BH176" s="43">
        <v>0</v>
      </c>
      <c r="BI176" s="40" t="s">
        <v>669</v>
      </c>
      <c r="BJ176" s="40">
        <v>2022</v>
      </c>
      <c r="BK176" s="40" t="s">
        <v>2768</v>
      </c>
      <c r="BL176" s="40" t="s">
        <v>125</v>
      </c>
      <c r="BM176" s="40"/>
    </row>
    <row r="177" spans="1:65" x14ac:dyDescent="0.25">
      <c r="A177" s="40" t="s">
        <v>2771</v>
      </c>
      <c r="B177" s="41">
        <v>44641.583333333336</v>
      </c>
      <c r="C177" s="40" t="s">
        <v>353</v>
      </c>
      <c r="D177" s="40" t="s">
        <v>400</v>
      </c>
      <c r="E177" s="40">
        <v>7678007</v>
      </c>
      <c r="F177" s="40" t="s">
        <v>879</v>
      </c>
      <c r="G177" s="40" t="s">
        <v>880</v>
      </c>
      <c r="H177" s="40" t="s">
        <v>301</v>
      </c>
      <c r="I177" s="40">
        <v>3700</v>
      </c>
      <c r="J177" s="40" t="s">
        <v>881</v>
      </c>
      <c r="K177" s="40">
        <v>13075</v>
      </c>
      <c r="L177" s="40">
        <v>16775</v>
      </c>
      <c r="M177" s="40">
        <v>1561970</v>
      </c>
      <c r="N177" s="40" t="s">
        <v>882</v>
      </c>
      <c r="O177" s="40" t="s">
        <v>82</v>
      </c>
      <c r="P177" s="40" t="s">
        <v>83</v>
      </c>
      <c r="Q177" s="40" t="s">
        <v>84</v>
      </c>
      <c r="R177" s="42" t="s">
        <v>85</v>
      </c>
      <c r="S177" s="42" t="s">
        <v>86</v>
      </c>
      <c r="T177" s="40" t="s">
        <v>526</v>
      </c>
      <c r="U177" s="41">
        <v>44639.333333333336</v>
      </c>
      <c r="V177" s="41">
        <v>44641.291666666664</v>
      </c>
      <c r="W177" s="41">
        <v>44641.475694444445</v>
      </c>
      <c r="X177" s="40" t="s">
        <v>306</v>
      </c>
      <c r="Y177" s="41">
        <v>44641.657638888886</v>
      </c>
      <c r="Z177" s="41">
        <v>44638.041666666664</v>
      </c>
      <c r="AA177" s="41">
        <v>44641.5</v>
      </c>
      <c r="AB177" s="41">
        <v>44643.5</v>
      </c>
      <c r="AC177" s="40" t="s">
        <v>586</v>
      </c>
      <c r="AD177" s="40">
        <v>12022</v>
      </c>
      <c r="AE177" s="40">
        <v>5638</v>
      </c>
      <c r="AF177" s="40">
        <v>1322</v>
      </c>
      <c r="AG177" s="40"/>
      <c r="AH177" s="40" t="s">
        <v>295</v>
      </c>
      <c r="AI177" s="41" t="s">
        <v>125</v>
      </c>
      <c r="AJ177" s="40" t="s">
        <v>125</v>
      </c>
      <c r="AK177" s="43" t="s">
        <v>125</v>
      </c>
      <c r="AL177" s="40"/>
      <c r="AM177" s="43">
        <v>0</v>
      </c>
      <c r="AN177" s="43">
        <v>2200</v>
      </c>
      <c r="AO177" s="43"/>
      <c r="AP177" s="43">
        <v>200</v>
      </c>
      <c r="AQ177" s="43">
        <v>2400</v>
      </c>
      <c r="AR177" s="43">
        <v>0</v>
      </c>
      <c r="AS177" s="43"/>
      <c r="AT177" s="43">
        <v>0</v>
      </c>
      <c r="AU177" s="43"/>
      <c r="AV177" s="43"/>
      <c r="AW177" s="43"/>
      <c r="AX177" s="43">
        <v>0</v>
      </c>
      <c r="AY177" s="43">
        <v>0</v>
      </c>
      <c r="AZ177" s="43">
        <v>0</v>
      </c>
      <c r="BA177" s="43">
        <v>0</v>
      </c>
      <c r="BB177" s="43">
        <v>0</v>
      </c>
      <c r="BC177" s="43">
        <v>0</v>
      </c>
      <c r="BD177" s="43">
        <v>0</v>
      </c>
      <c r="BE177" s="43">
        <v>0</v>
      </c>
      <c r="BF177" s="43">
        <v>0</v>
      </c>
      <c r="BG177" s="43">
        <v>0</v>
      </c>
      <c r="BH177" s="43">
        <v>0</v>
      </c>
      <c r="BI177" s="40" t="s">
        <v>669</v>
      </c>
      <c r="BJ177" s="40">
        <v>2022</v>
      </c>
      <c r="BK177" s="40" t="s">
        <v>2768</v>
      </c>
      <c r="BL177" s="40" t="s">
        <v>2768</v>
      </c>
      <c r="BM177" s="40" t="s">
        <v>125</v>
      </c>
    </row>
    <row r="178" spans="1:65" x14ac:dyDescent="0.25">
      <c r="A178" s="40" t="s">
        <v>2771</v>
      </c>
      <c r="B178" s="41">
        <v>44641.666666666664</v>
      </c>
      <c r="C178" s="40" t="s">
        <v>353</v>
      </c>
      <c r="D178" s="40" t="s">
        <v>400</v>
      </c>
      <c r="E178" s="40">
        <v>7678017</v>
      </c>
      <c r="F178" s="40" t="s">
        <v>879</v>
      </c>
      <c r="G178" s="40" t="s">
        <v>883</v>
      </c>
      <c r="H178" s="40" t="s">
        <v>301</v>
      </c>
      <c r="I178" s="40">
        <v>3860</v>
      </c>
      <c r="J178" s="40" t="s">
        <v>884</v>
      </c>
      <c r="K178" s="40">
        <v>13075</v>
      </c>
      <c r="L178" s="40">
        <v>16935</v>
      </c>
      <c r="M178" s="40">
        <v>1562145</v>
      </c>
      <c r="N178" s="40" t="s">
        <v>882</v>
      </c>
      <c r="O178" s="40" t="s">
        <v>140</v>
      </c>
      <c r="P178" s="40" t="s">
        <v>141</v>
      </c>
      <c r="Q178" s="40" t="s">
        <v>142</v>
      </c>
      <c r="R178" s="42" t="s">
        <v>143</v>
      </c>
      <c r="S178" s="42" t="s">
        <v>144</v>
      </c>
      <c r="T178" s="40" t="s">
        <v>526</v>
      </c>
      <c r="U178" s="41">
        <v>44639.520833333336</v>
      </c>
      <c r="V178" s="41">
        <v>44641.375</v>
      </c>
      <c r="W178" s="41">
        <v>44641.645833333336</v>
      </c>
      <c r="X178" s="40" t="s">
        <v>306</v>
      </c>
      <c r="Y178" s="41">
        <v>44642.145138888889</v>
      </c>
      <c r="Z178" s="41">
        <v>44638.041666666664</v>
      </c>
      <c r="AA178" s="41">
        <v>44641.5</v>
      </c>
      <c r="AB178" s="41">
        <v>44643.5</v>
      </c>
      <c r="AC178" s="40" t="s">
        <v>586</v>
      </c>
      <c r="AD178" s="40">
        <v>12026</v>
      </c>
      <c r="AE178" s="40">
        <v>5640</v>
      </c>
      <c r="AF178" s="40">
        <v>1323</v>
      </c>
      <c r="AG178" s="40"/>
      <c r="AH178" s="40" t="s">
        <v>295</v>
      </c>
      <c r="AI178" s="41" t="s">
        <v>125</v>
      </c>
      <c r="AJ178" s="40" t="s">
        <v>125</v>
      </c>
      <c r="AK178" s="43" t="s">
        <v>125</v>
      </c>
      <c r="AL178" s="40"/>
      <c r="AM178" s="43">
        <v>0</v>
      </c>
      <c r="AN178" s="43">
        <v>2200</v>
      </c>
      <c r="AO178" s="43"/>
      <c r="AP178" s="43">
        <v>200</v>
      </c>
      <c r="AQ178" s="43">
        <v>2400</v>
      </c>
      <c r="AR178" s="43">
        <v>0</v>
      </c>
      <c r="AS178" s="43"/>
      <c r="AT178" s="43">
        <v>0</v>
      </c>
      <c r="AU178" s="43"/>
      <c r="AV178" s="43"/>
      <c r="AW178" s="43"/>
      <c r="AX178" s="43">
        <v>0</v>
      </c>
      <c r="AY178" s="43">
        <v>0</v>
      </c>
      <c r="AZ178" s="43">
        <v>0</v>
      </c>
      <c r="BA178" s="43">
        <v>0</v>
      </c>
      <c r="BB178" s="43">
        <v>0</v>
      </c>
      <c r="BC178" s="43">
        <v>0</v>
      </c>
      <c r="BD178" s="43">
        <v>0</v>
      </c>
      <c r="BE178" s="43">
        <v>0</v>
      </c>
      <c r="BF178" s="43">
        <v>0</v>
      </c>
      <c r="BG178" s="43">
        <v>0</v>
      </c>
      <c r="BH178" s="43">
        <v>0</v>
      </c>
      <c r="BI178" s="40" t="s">
        <v>669</v>
      </c>
      <c r="BJ178" s="40">
        <v>2022</v>
      </c>
      <c r="BK178" s="40" t="s">
        <v>2768</v>
      </c>
      <c r="BL178" s="40" t="s">
        <v>2768</v>
      </c>
      <c r="BM178" s="40" t="s">
        <v>125</v>
      </c>
    </row>
    <row r="179" spans="1:65" x14ac:dyDescent="0.25">
      <c r="A179" s="40" t="s">
        <v>2771</v>
      </c>
      <c r="B179" s="41">
        <v>44641.333333333336</v>
      </c>
      <c r="C179" s="40" t="s">
        <v>353</v>
      </c>
      <c r="D179" s="40" t="s">
        <v>400</v>
      </c>
      <c r="E179" s="40">
        <v>7004185</v>
      </c>
      <c r="F179" s="40" t="s">
        <v>885</v>
      </c>
      <c r="G179" s="40" t="s">
        <v>886</v>
      </c>
      <c r="H179" s="40" t="s">
        <v>301</v>
      </c>
      <c r="I179" s="40">
        <v>3880</v>
      </c>
      <c r="J179" s="40" t="s">
        <v>887</v>
      </c>
      <c r="K179" s="40">
        <v>12676</v>
      </c>
      <c r="L179" s="40">
        <v>16556</v>
      </c>
      <c r="M179" s="40">
        <v>1562245</v>
      </c>
      <c r="N179" s="40" t="s">
        <v>882</v>
      </c>
      <c r="O179" s="40" t="s">
        <v>87</v>
      </c>
      <c r="P179" s="40" t="s">
        <v>88</v>
      </c>
      <c r="Q179" s="40" t="s">
        <v>89</v>
      </c>
      <c r="R179" s="42" t="s">
        <v>90</v>
      </c>
      <c r="S179" s="42" t="s">
        <v>91</v>
      </c>
      <c r="T179" s="40" t="s">
        <v>521</v>
      </c>
      <c r="U179" s="41">
        <v>44639.666666666664</v>
      </c>
      <c r="V179" s="41">
        <v>44641.5</v>
      </c>
      <c r="W179" s="41">
        <v>44641.736111111109</v>
      </c>
      <c r="X179" s="40" t="s">
        <v>306</v>
      </c>
      <c r="Y179" s="41">
        <v>44642.227777777778</v>
      </c>
      <c r="Z179" s="41">
        <v>44638.041666666664</v>
      </c>
      <c r="AA179" s="41">
        <v>44641.5</v>
      </c>
      <c r="AB179" s="41">
        <v>44643.5</v>
      </c>
      <c r="AC179" s="40" t="s">
        <v>586</v>
      </c>
      <c r="AD179" s="40">
        <v>12052</v>
      </c>
      <c r="AE179" s="40">
        <v>5641</v>
      </c>
      <c r="AF179" s="40">
        <v>1324</v>
      </c>
      <c r="AG179" s="40"/>
      <c r="AH179" s="40" t="s">
        <v>295</v>
      </c>
      <c r="AI179" s="41" t="s">
        <v>125</v>
      </c>
      <c r="AJ179" s="40" t="s">
        <v>125</v>
      </c>
      <c r="AK179" s="43" t="s">
        <v>125</v>
      </c>
      <c r="AL179" s="40"/>
      <c r="AM179" s="43">
        <v>0</v>
      </c>
      <c r="AN179" s="43">
        <v>2200</v>
      </c>
      <c r="AO179" s="43"/>
      <c r="AP179" s="43">
        <v>400</v>
      </c>
      <c r="AQ179" s="43">
        <v>2600</v>
      </c>
      <c r="AR179" s="43">
        <v>0</v>
      </c>
      <c r="AS179" s="43"/>
      <c r="AT179" s="43">
        <v>0</v>
      </c>
      <c r="AU179" s="43"/>
      <c r="AV179" s="43"/>
      <c r="AW179" s="43"/>
      <c r="AX179" s="43">
        <v>0</v>
      </c>
      <c r="AY179" s="43">
        <v>0</v>
      </c>
      <c r="AZ179" s="43">
        <v>0</v>
      </c>
      <c r="BA179" s="43">
        <v>0</v>
      </c>
      <c r="BB179" s="43">
        <v>0</v>
      </c>
      <c r="BC179" s="43">
        <v>0</v>
      </c>
      <c r="BD179" s="43">
        <v>0</v>
      </c>
      <c r="BE179" s="43">
        <v>0</v>
      </c>
      <c r="BF179" s="43">
        <v>0</v>
      </c>
      <c r="BG179" s="43">
        <v>0</v>
      </c>
      <c r="BH179" s="43">
        <v>0</v>
      </c>
      <c r="BI179" s="40" t="s">
        <v>669</v>
      </c>
      <c r="BJ179" s="40">
        <v>2022</v>
      </c>
      <c r="BK179" s="40" t="s">
        <v>2768</v>
      </c>
      <c r="BL179" s="40" t="s">
        <v>2768</v>
      </c>
      <c r="BM179" s="40" t="s">
        <v>125</v>
      </c>
    </row>
    <row r="180" spans="1:65" x14ac:dyDescent="0.25">
      <c r="A180" s="40" t="s">
        <v>2771</v>
      </c>
      <c r="B180" s="41">
        <v>44641.416666666664</v>
      </c>
      <c r="C180" s="40" t="s">
        <v>353</v>
      </c>
      <c r="D180" s="40" t="s">
        <v>400</v>
      </c>
      <c r="E180" s="40">
        <v>7678001</v>
      </c>
      <c r="F180" s="40" t="s">
        <v>885</v>
      </c>
      <c r="G180" s="40" t="s">
        <v>888</v>
      </c>
      <c r="H180" s="40" t="s">
        <v>301</v>
      </c>
      <c r="I180" s="40">
        <v>3790</v>
      </c>
      <c r="J180" s="40" t="s">
        <v>889</v>
      </c>
      <c r="K180" s="40">
        <v>13075</v>
      </c>
      <c r="L180" s="40">
        <v>16865</v>
      </c>
      <c r="M180" s="40">
        <v>156971</v>
      </c>
      <c r="N180" s="40" t="s">
        <v>882</v>
      </c>
      <c r="O180" s="40" t="s">
        <v>890</v>
      </c>
      <c r="P180" s="40" t="s">
        <v>891</v>
      </c>
      <c r="Q180" s="40" t="s">
        <v>892</v>
      </c>
      <c r="R180" s="42" t="s">
        <v>893</v>
      </c>
      <c r="S180" s="42" t="s">
        <v>894</v>
      </c>
      <c r="T180" s="40" t="s">
        <v>521</v>
      </c>
      <c r="U180" s="41">
        <v>44639.402777777781</v>
      </c>
      <c r="V180" s="41">
        <v>44641.375</v>
      </c>
      <c r="W180" s="41">
        <v>44641.5</v>
      </c>
      <c r="X180" s="40" t="s">
        <v>306</v>
      </c>
      <c r="Y180" s="41">
        <v>44641.711111111108</v>
      </c>
      <c r="Z180" s="41">
        <v>44638.041666666664</v>
      </c>
      <c r="AA180" s="41">
        <v>44641.5</v>
      </c>
      <c r="AB180" s="41">
        <v>44643.5</v>
      </c>
      <c r="AC180" s="40" t="s">
        <v>586</v>
      </c>
      <c r="AD180" s="40">
        <v>12023</v>
      </c>
      <c r="AE180" s="40">
        <v>5639</v>
      </c>
      <c r="AF180" s="40">
        <v>1325</v>
      </c>
      <c r="AG180" s="40"/>
      <c r="AH180" s="40" t="s">
        <v>295</v>
      </c>
      <c r="AI180" s="41" t="s">
        <v>125</v>
      </c>
      <c r="AJ180" s="40" t="s">
        <v>125</v>
      </c>
      <c r="AK180" s="43" t="s">
        <v>125</v>
      </c>
      <c r="AL180" s="40"/>
      <c r="AM180" s="43">
        <v>0</v>
      </c>
      <c r="AN180" s="43">
        <v>2200</v>
      </c>
      <c r="AO180" s="43"/>
      <c r="AP180" s="43">
        <v>400</v>
      </c>
      <c r="AQ180" s="43">
        <v>2600</v>
      </c>
      <c r="AR180" s="43">
        <v>0</v>
      </c>
      <c r="AS180" s="43"/>
      <c r="AT180" s="43">
        <v>0</v>
      </c>
      <c r="AU180" s="43"/>
      <c r="AV180" s="43"/>
      <c r="AW180" s="43"/>
      <c r="AX180" s="43">
        <v>0</v>
      </c>
      <c r="AY180" s="43">
        <v>0</v>
      </c>
      <c r="AZ180" s="43">
        <v>0</v>
      </c>
      <c r="BA180" s="43">
        <v>0</v>
      </c>
      <c r="BB180" s="43">
        <v>0</v>
      </c>
      <c r="BC180" s="43">
        <v>0</v>
      </c>
      <c r="BD180" s="43">
        <v>0</v>
      </c>
      <c r="BE180" s="43">
        <v>0</v>
      </c>
      <c r="BF180" s="43">
        <v>0</v>
      </c>
      <c r="BG180" s="43">
        <v>0</v>
      </c>
      <c r="BH180" s="43">
        <v>0</v>
      </c>
      <c r="BI180" s="40" t="s">
        <v>669</v>
      </c>
      <c r="BJ180" s="40">
        <v>2022</v>
      </c>
      <c r="BK180" s="40" t="s">
        <v>2768</v>
      </c>
      <c r="BL180" s="40" t="s">
        <v>2768</v>
      </c>
      <c r="BM180" s="40" t="s">
        <v>125</v>
      </c>
    </row>
    <row r="181" spans="1:65" x14ac:dyDescent="0.25">
      <c r="A181" s="40" t="s">
        <v>2771</v>
      </c>
      <c r="B181" s="41">
        <v>44641.291666666664</v>
      </c>
      <c r="C181" s="40" t="s">
        <v>737</v>
      </c>
      <c r="D181" s="40" t="s">
        <v>450</v>
      </c>
      <c r="E181" s="40" t="s">
        <v>895</v>
      </c>
      <c r="F181" s="40" t="s">
        <v>896</v>
      </c>
      <c r="G181" s="40" t="s">
        <v>897</v>
      </c>
      <c r="H181" s="40" t="s">
        <v>288</v>
      </c>
      <c r="I181" s="40">
        <v>2260</v>
      </c>
      <c r="J181" s="40" t="s">
        <v>898</v>
      </c>
      <c r="K181" s="40">
        <v>23190</v>
      </c>
      <c r="L181" s="40">
        <v>25450</v>
      </c>
      <c r="M181" s="40">
        <v>10240</v>
      </c>
      <c r="N181" s="40" t="s">
        <v>899</v>
      </c>
      <c r="O181" s="40" t="s">
        <v>129</v>
      </c>
      <c r="P181" s="40" t="s">
        <v>130</v>
      </c>
      <c r="Q181" s="40" t="s">
        <v>131</v>
      </c>
      <c r="R181" s="42" t="s">
        <v>132</v>
      </c>
      <c r="S181" s="42" t="s">
        <v>133</v>
      </c>
      <c r="T181" s="40" t="s">
        <v>900</v>
      </c>
      <c r="U181" s="41">
        <v>44638.416666666664</v>
      </c>
      <c r="V181" s="41">
        <v>44641.208333333336</v>
      </c>
      <c r="W181" s="41">
        <v>44641.5</v>
      </c>
      <c r="X181" s="40" t="s">
        <v>293</v>
      </c>
      <c r="Y181" s="41">
        <v>44651.572916666664</v>
      </c>
      <c r="Z181" s="41"/>
      <c r="AA181" s="41"/>
      <c r="AB181" s="41"/>
      <c r="AC181" s="40" t="s">
        <v>742</v>
      </c>
      <c r="AD181" s="40">
        <v>12013</v>
      </c>
      <c r="AE181" s="40" t="s">
        <v>125</v>
      </c>
      <c r="AF181" s="40">
        <v>1310</v>
      </c>
      <c r="AG181" s="40"/>
      <c r="AH181" s="40" t="s">
        <v>309</v>
      </c>
      <c r="AI181" s="41">
        <v>44641.958333333336</v>
      </c>
      <c r="AJ181" s="40">
        <v>2</v>
      </c>
      <c r="AK181" s="43">
        <v>1900</v>
      </c>
      <c r="AL181" s="40"/>
      <c r="AM181" s="43">
        <v>0</v>
      </c>
      <c r="AN181" s="43">
        <v>3450</v>
      </c>
      <c r="AO181" s="43"/>
      <c r="AP181" s="43"/>
      <c r="AQ181" s="43">
        <v>3450</v>
      </c>
      <c r="AR181" s="43">
        <v>0</v>
      </c>
      <c r="AS181" s="43"/>
      <c r="AT181" s="43">
        <v>0</v>
      </c>
      <c r="AU181" s="43"/>
      <c r="AV181" s="43"/>
      <c r="AW181" s="43"/>
      <c r="AX181" s="43">
        <v>0</v>
      </c>
      <c r="AY181" s="43">
        <v>0</v>
      </c>
      <c r="AZ181" s="43">
        <v>0</v>
      </c>
      <c r="BA181" s="43">
        <v>0</v>
      </c>
      <c r="BB181" s="43">
        <v>0</v>
      </c>
      <c r="BC181" s="43">
        <v>0</v>
      </c>
      <c r="BD181" s="43">
        <v>0</v>
      </c>
      <c r="BE181" s="43">
        <v>0</v>
      </c>
      <c r="BF181" s="43">
        <v>0</v>
      </c>
      <c r="BG181" s="43">
        <v>0</v>
      </c>
      <c r="BH181" s="43">
        <v>0</v>
      </c>
      <c r="BI181" s="40" t="s">
        <v>669</v>
      </c>
      <c r="BJ181" s="40">
        <v>2022</v>
      </c>
      <c r="BK181" s="40" t="s">
        <v>2768</v>
      </c>
      <c r="BL181" s="40" t="s">
        <v>2768</v>
      </c>
      <c r="BM181" s="40" t="s">
        <v>125</v>
      </c>
    </row>
    <row r="182" spans="1:65" x14ac:dyDescent="0.25">
      <c r="A182" s="40" t="s">
        <v>2771</v>
      </c>
      <c r="B182" s="41">
        <v>44641.291666666664</v>
      </c>
      <c r="C182" s="40" t="s">
        <v>737</v>
      </c>
      <c r="D182" s="40" t="s">
        <v>450</v>
      </c>
      <c r="E182" s="40" t="s">
        <v>895</v>
      </c>
      <c r="F182" s="40" t="s">
        <v>896</v>
      </c>
      <c r="G182" s="40" t="s">
        <v>901</v>
      </c>
      <c r="H182" s="40" t="s">
        <v>288</v>
      </c>
      <c r="I182" s="40">
        <v>2260</v>
      </c>
      <c r="J182" s="40" t="s">
        <v>902</v>
      </c>
      <c r="K182" s="40">
        <v>26500</v>
      </c>
      <c r="L182" s="40">
        <v>28760</v>
      </c>
      <c r="M182" s="40">
        <v>10241</v>
      </c>
      <c r="N182" s="40" t="s">
        <v>899</v>
      </c>
      <c r="O182" s="40" t="s">
        <v>129</v>
      </c>
      <c r="P182" s="40" t="s">
        <v>134</v>
      </c>
      <c r="Q182" s="40" t="s">
        <v>131</v>
      </c>
      <c r="R182" s="42" t="s">
        <v>132</v>
      </c>
      <c r="S182" s="42" t="s">
        <v>133</v>
      </c>
      <c r="T182" s="40" t="s">
        <v>900</v>
      </c>
      <c r="U182" s="41">
        <v>44638.416666666664</v>
      </c>
      <c r="V182" s="41">
        <v>44641.208333333336</v>
      </c>
      <c r="W182" s="41">
        <v>44641.5</v>
      </c>
      <c r="X182" s="40" t="s">
        <v>293</v>
      </c>
      <c r="Y182" s="41">
        <v>44651.646527777775</v>
      </c>
      <c r="Z182" s="41"/>
      <c r="AA182" s="41"/>
      <c r="AB182" s="41"/>
      <c r="AC182" s="40" t="s">
        <v>742</v>
      </c>
      <c r="AD182" s="40">
        <v>12014</v>
      </c>
      <c r="AE182" s="40" t="s">
        <v>125</v>
      </c>
      <c r="AF182" s="40">
        <v>1311</v>
      </c>
      <c r="AG182" s="40"/>
      <c r="AH182" s="40" t="s">
        <v>309</v>
      </c>
      <c r="AI182" s="41">
        <v>44641.958333333336</v>
      </c>
      <c r="AJ182" s="40">
        <v>2</v>
      </c>
      <c r="AK182" s="43">
        <v>1900</v>
      </c>
      <c r="AL182" s="40"/>
      <c r="AM182" s="43">
        <v>0</v>
      </c>
      <c r="AN182" s="43">
        <v>3450</v>
      </c>
      <c r="AO182" s="43"/>
      <c r="AP182" s="43"/>
      <c r="AQ182" s="43">
        <v>3450</v>
      </c>
      <c r="AR182" s="43">
        <v>0</v>
      </c>
      <c r="AS182" s="43"/>
      <c r="AT182" s="43">
        <v>0</v>
      </c>
      <c r="AU182" s="43"/>
      <c r="AV182" s="43"/>
      <c r="AW182" s="43"/>
      <c r="AX182" s="43">
        <v>0</v>
      </c>
      <c r="AY182" s="43">
        <v>0</v>
      </c>
      <c r="AZ182" s="43">
        <v>0</v>
      </c>
      <c r="BA182" s="43">
        <v>0</v>
      </c>
      <c r="BB182" s="43">
        <v>0</v>
      </c>
      <c r="BC182" s="43">
        <v>0</v>
      </c>
      <c r="BD182" s="43">
        <v>0</v>
      </c>
      <c r="BE182" s="43">
        <v>0</v>
      </c>
      <c r="BF182" s="43">
        <v>0</v>
      </c>
      <c r="BG182" s="43">
        <v>0</v>
      </c>
      <c r="BH182" s="43">
        <v>0</v>
      </c>
      <c r="BI182" s="40" t="s">
        <v>669</v>
      </c>
      <c r="BJ182" s="40">
        <v>2022</v>
      </c>
      <c r="BK182" s="40" t="s">
        <v>2768</v>
      </c>
      <c r="BL182" s="40" t="s">
        <v>2768</v>
      </c>
      <c r="BM182" s="40" t="s">
        <v>125</v>
      </c>
    </row>
    <row r="183" spans="1:65" x14ac:dyDescent="0.25">
      <c r="A183" s="40" t="s">
        <v>2771</v>
      </c>
      <c r="B183" s="41">
        <v>44641.291666666664</v>
      </c>
      <c r="C183" s="40" t="s">
        <v>737</v>
      </c>
      <c r="D183" s="40" t="s">
        <v>450</v>
      </c>
      <c r="E183" s="40" t="s">
        <v>895</v>
      </c>
      <c r="F183" s="40" t="s">
        <v>896</v>
      </c>
      <c r="G183" s="40" t="s">
        <v>903</v>
      </c>
      <c r="H183" s="40" t="s">
        <v>288</v>
      </c>
      <c r="I183" s="40">
        <v>2260</v>
      </c>
      <c r="J183" s="40" t="s">
        <v>904</v>
      </c>
      <c r="K183" s="40">
        <v>26310</v>
      </c>
      <c r="L183" s="40">
        <v>28570</v>
      </c>
      <c r="M183" s="40">
        <v>10242</v>
      </c>
      <c r="N183" s="40" t="s">
        <v>899</v>
      </c>
      <c r="O183" s="40" t="s">
        <v>182</v>
      </c>
      <c r="P183" s="40" t="s">
        <v>183</v>
      </c>
      <c r="Q183" s="40" t="s">
        <v>184</v>
      </c>
      <c r="R183" s="42" t="s">
        <v>185</v>
      </c>
      <c r="S183" s="42" t="s">
        <v>186</v>
      </c>
      <c r="T183" s="40" t="s">
        <v>900</v>
      </c>
      <c r="U183" s="41">
        <v>44638.416666666664</v>
      </c>
      <c r="V183" s="41">
        <v>44641.208333333336</v>
      </c>
      <c r="W183" s="41">
        <v>44641.5</v>
      </c>
      <c r="X183" s="40" t="s">
        <v>293</v>
      </c>
      <c r="Y183" s="41">
        <v>44651.534722222219</v>
      </c>
      <c r="Z183" s="41"/>
      <c r="AA183" s="41"/>
      <c r="AB183" s="41"/>
      <c r="AC183" s="40" t="s">
        <v>742</v>
      </c>
      <c r="AD183" s="40">
        <v>12015</v>
      </c>
      <c r="AE183" s="40" t="s">
        <v>125</v>
      </c>
      <c r="AF183" s="40">
        <v>1312</v>
      </c>
      <c r="AG183" s="40"/>
      <c r="AH183" s="40" t="s">
        <v>309</v>
      </c>
      <c r="AI183" s="41">
        <v>44641.958333333336</v>
      </c>
      <c r="AJ183" s="40">
        <v>2</v>
      </c>
      <c r="AK183" s="43">
        <v>1900</v>
      </c>
      <c r="AL183" s="40"/>
      <c r="AM183" s="43">
        <v>0</v>
      </c>
      <c r="AN183" s="43">
        <v>3450</v>
      </c>
      <c r="AO183" s="43"/>
      <c r="AP183" s="43"/>
      <c r="AQ183" s="43">
        <v>3450</v>
      </c>
      <c r="AR183" s="43">
        <v>0</v>
      </c>
      <c r="AS183" s="43"/>
      <c r="AT183" s="43">
        <v>0</v>
      </c>
      <c r="AU183" s="43"/>
      <c r="AV183" s="43"/>
      <c r="AW183" s="43"/>
      <c r="AX183" s="43">
        <v>0</v>
      </c>
      <c r="AY183" s="43">
        <v>0</v>
      </c>
      <c r="AZ183" s="43">
        <v>0</v>
      </c>
      <c r="BA183" s="43">
        <v>0</v>
      </c>
      <c r="BB183" s="43">
        <v>0</v>
      </c>
      <c r="BC183" s="43">
        <v>0</v>
      </c>
      <c r="BD183" s="43">
        <v>0</v>
      </c>
      <c r="BE183" s="43">
        <v>0</v>
      </c>
      <c r="BF183" s="43">
        <v>0</v>
      </c>
      <c r="BG183" s="43">
        <v>0</v>
      </c>
      <c r="BH183" s="43">
        <v>0</v>
      </c>
      <c r="BI183" s="40" t="s">
        <v>669</v>
      </c>
      <c r="BJ183" s="40">
        <v>2022</v>
      </c>
      <c r="BK183" s="40" t="s">
        <v>2768</v>
      </c>
      <c r="BL183" s="40" t="s">
        <v>2768</v>
      </c>
      <c r="BM183" s="40" t="s">
        <v>125</v>
      </c>
    </row>
    <row r="184" spans="1:65" x14ac:dyDescent="0.25">
      <c r="A184" s="40" t="s">
        <v>2771</v>
      </c>
      <c r="B184" s="41">
        <v>44641.291666666664</v>
      </c>
      <c r="C184" s="40" t="s">
        <v>737</v>
      </c>
      <c r="D184" s="40" t="s">
        <v>450</v>
      </c>
      <c r="E184" s="40" t="s">
        <v>895</v>
      </c>
      <c r="F184" s="40" t="s">
        <v>896</v>
      </c>
      <c r="G184" s="40" t="s">
        <v>905</v>
      </c>
      <c r="H184" s="40" t="s">
        <v>288</v>
      </c>
      <c r="I184" s="40">
        <v>2150</v>
      </c>
      <c r="J184" s="40" t="s">
        <v>906</v>
      </c>
      <c r="K184" s="40">
        <v>22140</v>
      </c>
      <c r="L184" s="40">
        <v>24290</v>
      </c>
      <c r="M184" s="40">
        <v>10243</v>
      </c>
      <c r="N184" s="40" t="s">
        <v>899</v>
      </c>
      <c r="O184" s="40" t="s">
        <v>182</v>
      </c>
      <c r="P184" s="40" t="s">
        <v>187</v>
      </c>
      <c r="Q184" s="40" t="s">
        <v>184</v>
      </c>
      <c r="R184" s="42" t="s">
        <v>185</v>
      </c>
      <c r="S184" s="42" t="s">
        <v>186</v>
      </c>
      <c r="T184" s="40" t="s">
        <v>900</v>
      </c>
      <c r="U184" s="41">
        <v>44638.416666666664</v>
      </c>
      <c r="V184" s="41">
        <v>44641.208333333336</v>
      </c>
      <c r="W184" s="41">
        <v>44641.5</v>
      </c>
      <c r="X184" s="40" t="s">
        <v>293</v>
      </c>
      <c r="Y184" s="41">
        <v>44651.543055555558</v>
      </c>
      <c r="Z184" s="41"/>
      <c r="AA184" s="41"/>
      <c r="AB184" s="41"/>
      <c r="AC184" s="40" t="s">
        <v>742</v>
      </c>
      <c r="AD184" s="40">
        <v>12016</v>
      </c>
      <c r="AE184" s="40" t="s">
        <v>125</v>
      </c>
      <c r="AF184" s="40">
        <v>1313</v>
      </c>
      <c r="AG184" s="40"/>
      <c r="AH184" s="40" t="s">
        <v>309</v>
      </c>
      <c r="AI184" s="41">
        <v>44641.958333333336</v>
      </c>
      <c r="AJ184" s="40">
        <v>2</v>
      </c>
      <c r="AK184" s="43">
        <v>1900</v>
      </c>
      <c r="AL184" s="40"/>
      <c r="AM184" s="43">
        <v>0</v>
      </c>
      <c r="AN184" s="43">
        <v>3450</v>
      </c>
      <c r="AO184" s="43"/>
      <c r="AP184" s="43"/>
      <c r="AQ184" s="43">
        <v>3450</v>
      </c>
      <c r="AR184" s="43">
        <v>0</v>
      </c>
      <c r="AS184" s="43"/>
      <c r="AT184" s="43">
        <v>0</v>
      </c>
      <c r="AU184" s="43"/>
      <c r="AV184" s="43"/>
      <c r="AW184" s="43"/>
      <c r="AX184" s="43">
        <v>0</v>
      </c>
      <c r="AY184" s="43">
        <v>0</v>
      </c>
      <c r="AZ184" s="43">
        <v>0</v>
      </c>
      <c r="BA184" s="43">
        <v>0</v>
      </c>
      <c r="BB184" s="43">
        <v>0</v>
      </c>
      <c r="BC184" s="43">
        <v>0</v>
      </c>
      <c r="BD184" s="43">
        <v>0</v>
      </c>
      <c r="BE184" s="43">
        <v>0</v>
      </c>
      <c r="BF184" s="43">
        <v>0</v>
      </c>
      <c r="BG184" s="43">
        <v>0</v>
      </c>
      <c r="BH184" s="43">
        <v>0</v>
      </c>
      <c r="BI184" s="40" t="s">
        <v>669</v>
      </c>
      <c r="BJ184" s="40">
        <v>2022</v>
      </c>
      <c r="BK184" s="40" t="s">
        <v>2768</v>
      </c>
      <c r="BL184" s="40" t="s">
        <v>2768</v>
      </c>
      <c r="BM184" s="40" t="s">
        <v>125</v>
      </c>
    </row>
    <row r="185" spans="1:65" x14ac:dyDescent="0.25">
      <c r="A185" s="40" t="s">
        <v>2771</v>
      </c>
      <c r="B185" s="41">
        <v>44641.291666666664</v>
      </c>
      <c r="C185" s="40" t="s">
        <v>737</v>
      </c>
      <c r="D185" s="40" t="s">
        <v>450</v>
      </c>
      <c r="E185" s="40" t="s">
        <v>895</v>
      </c>
      <c r="F185" s="40" t="s">
        <v>896</v>
      </c>
      <c r="G185" s="40" t="s">
        <v>907</v>
      </c>
      <c r="H185" s="40" t="s">
        <v>288</v>
      </c>
      <c r="I185" s="40">
        <v>2120</v>
      </c>
      <c r="J185" s="40" t="s">
        <v>908</v>
      </c>
      <c r="K185" s="40">
        <v>24090</v>
      </c>
      <c r="L185" s="40">
        <v>26210</v>
      </c>
      <c r="M185" s="40">
        <v>10244</v>
      </c>
      <c r="N185" s="40" t="s">
        <v>899</v>
      </c>
      <c r="O185" s="40" t="s">
        <v>145</v>
      </c>
      <c r="P185" s="40" t="s">
        <v>146</v>
      </c>
      <c r="Q185" s="40" t="s">
        <v>147</v>
      </c>
      <c r="R185" s="42" t="s">
        <v>148</v>
      </c>
      <c r="S185" s="42" t="s">
        <v>909</v>
      </c>
      <c r="T185" s="40" t="s">
        <v>900</v>
      </c>
      <c r="U185" s="41">
        <v>44638.5</v>
      </c>
      <c r="V185" s="41">
        <v>44641.208333333336</v>
      </c>
      <c r="W185" s="41">
        <v>44641.5</v>
      </c>
      <c r="X185" s="40" t="s">
        <v>293</v>
      </c>
      <c r="Y185" s="41">
        <v>44651.09652777778</v>
      </c>
      <c r="Z185" s="41"/>
      <c r="AA185" s="41"/>
      <c r="AB185" s="41"/>
      <c r="AC185" s="40" t="s">
        <v>742</v>
      </c>
      <c r="AD185" s="40">
        <v>12017</v>
      </c>
      <c r="AE185" s="40" t="s">
        <v>125</v>
      </c>
      <c r="AF185" s="40">
        <v>1314</v>
      </c>
      <c r="AG185" s="40"/>
      <c r="AH185" s="40" t="s">
        <v>309</v>
      </c>
      <c r="AI185" s="41">
        <v>44641.958333333336</v>
      </c>
      <c r="AJ185" s="40">
        <v>2</v>
      </c>
      <c r="AK185" s="43">
        <v>1900</v>
      </c>
      <c r="AL185" s="40"/>
      <c r="AM185" s="43">
        <v>0</v>
      </c>
      <c r="AN185" s="43">
        <v>3450</v>
      </c>
      <c r="AO185" s="43"/>
      <c r="AP185" s="43"/>
      <c r="AQ185" s="43">
        <v>3450</v>
      </c>
      <c r="AR185" s="43">
        <v>0</v>
      </c>
      <c r="AS185" s="43"/>
      <c r="AT185" s="43">
        <v>0</v>
      </c>
      <c r="AU185" s="43"/>
      <c r="AV185" s="43"/>
      <c r="AW185" s="43"/>
      <c r="AX185" s="43">
        <v>0</v>
      </c>
      <c r="AY185" s="43">
        <v>0</v>
      </c>
      <c r="AZ185" s="43">
        <v>0</v>
      </c>
      <c r="BA185" s="43">
        <v>0</v>
      </c>
      <c r="BB185" s="43">
        <v>0</v>
      </c>
      <c r="BC185" s="43">
        <v>0</v>
      </c>
      <c r="BD185" s="43">
        <v>0</v>
      </c>
      <c r="BE185" s="43">
        <v>0</v>
      </c>
      <c r="BF185" s="43">
        <v>0</v>
      </c>
      <c r="BG185" s="43">
        <v>0</v>
      </c>
      <c r="BH185" s="43">
        <v>0</v>
      </c>
      <c r="BI185" s="40" t="s">
        <v>669</v>
      </c>
      <c r="BJ185" s="40">
        <v>2022</v>
      </c>
      <c r="BK185" s="40" t="s">
        <v>2768</v>
      </c>
      <c r="BL185" s="40" t="s">
        <v>2768</v>
      </c>
      <c r="BM185" s="40" t="s">
        <v>125</v>
      </c>
    </row>
    <row r="186" spans="1:65" x14ac:dyDescent="0.25">
      <c r="A186" s="40" t="s">
        <v>2771</v>
      </c>
      <c r="B186" s="41">
        <v>44641.291666666664</v>
      </c>
      <c r="C186" s="40" t="s">
        <v>737</v>
      </c>
      <c r="D186" s="40" t="s">
        <v>450</v>
      </c>
      <c r="E186" s="40" t="s">
        <v>895</v>
      </c>
      <c r="F186" s="40" t="s">
        <v>896</v>
      </c>
      <c r="G186" s="40" t="s">
        <v>910</v>
      </c>
      <c r="H186" s="40" t="s">
        <v>288</v>
      </c>
      <c r="I186" s="40">
        <v>2260</v>
      </c>
      <c r="J186" s="40" t="s">
        <v>911</v>
      </c>
      <c r="K186" s="40">
        <v>26280</v>
      </c>
      <c r="L186" s="40">
        <v>28540</v>
      </c>
      <c r="M186" s="40">
        <v>10245</v>
      </c>
      <c r="N186" s="40" t="s">
        <v>899</v>
      </c>
      <c r="O186" s="40" t="s">
        <v>145</v>
      </c>
      <c r="P186" s="40" t="s">
        <v>149</v>
      </c>
      <c r="Q186" s="40" t="s">
        <v>147</v>
      </c>
      <c r="R186" s="42" t="s">
        <v>148</v>
      </c>
      <c r="S186" s="42" t="s">
        <v>909</v>
      </c>
      <c r="T186" s="40" t="s">
        <v>900</v>
      </c>
      <c r="U186" s="41">
        <v>44638.5</v>
      </c>
      <c r="V186" s="41">
        <v>44641.208333333336</v>
      </c>
      <c r="W186" s="41">
        <v>44641.5</v>
      </c>
      <c r="X186" s="40" t="s">
        <v>293</v>
      </c>
      <c r="Y186" s="41">
        <v>44651.509722222225</v>
      </c>
      <c r="Z186" s="41"/>
      <c r="AA186" s="41"/>
      <c r="AB186" s="41"/>
      <c r="AC186" s="40" t="s">
        <v>742</v>
      </c>
      <c r="AD186" s="40">
        <v>12018</v>
      </c>
      <c r="AE186" s="40" t="s">
        <v>125</v>
      </c>
      <c r="AF186" s="40">
        <v>1315</v>
      </c>
      <c r="AG186" s="40"/>
      <c r="AH186" s="40" t="s">
        <v>309</v>
      </c>
      <c r="AI186" s="41">
        <v>44641.958333333336</v>
      </c>
      <c r="AJ186" s="40">
        <v>2</v>
      </c>
      <c r="AK186" s="43">
        <v>1900</v>
      </c>
      <c r="AL186" s="40"/>
      <c r="AM186" s="43">
        <v>0</v>
      </c>
      <c r="AN186" s="43">
        <v>3450</v>
      </c>
      <c r="AO186" s="43"/>
      <c r="AP186" s="43"/>
      <c r="AQ186" s="43">
        <v>3450</v>
      </c>
      <c r="AR186" s="43">
        <v>0</v>
      </c>
      <c r="AS186" s="43"/>
      <c r="AT186" s="43">
        <v>0</v>
      </c>
      <c r="AU186" s="43"/>
      <c r="AV186" s="43"/>
      <c r="AW186" s="43"/>
      <c r="AX186" s="43">
        <v>0</v>
      </c>
      <c r="AY186" s="43">
        <v>0</v>
      </c>
      <c r="AZ186" s="43">
        <v>0</v>
      </c>
      <c r="BA186" s="43">
        <v>0</v>
      </c>
      <c r="BB186" s="43">
        <v>0</v>
      </c>
      <c r="BC186" s="43">
        <v>0</v>
      </c>
      <c r="BD186" s="43">
        <v>0</v>
      </c>
      <c r="BE186" s="43">
        <v>0</v>
      </c>
      <c r="BF186" s="43">
        <v>0</v>
      </c>
      <c r="BG186" s="43">
        <v>0</v>
      </c>
      <c r="BH186" s="43">
        <v>0</v>
      </c>
      <c r="BI186" s="40" t="s">
        <v>669</v>
      </c>
      <c r="BJ186" s="40">
        <v>2022</v>
      </c>
      <c r="BK186" s="40" t="s">
        <v>2768</v>
      </c>
      <c r="BL186" s="40" t="s">
        <v>2768</v>
      </c>
      <c r="BM186" s="40" t="s">
        <v>125</v>
      </c>
    </row>
    <row r="187" spans="1:65" x14ac:dyDescent="0.25">
      <c r="A187" s="40" t="s">
        <v>2771</v>
      </c>
      <c r="B187" s="41">
        <v>44641.291666666664</v>
      </c>
      <c r="C187" s="40" t="s">
        <v>737</v>
      </c>
      <c r="D187" s="40" t="s">
        <v>450</v>
      </c>
      <c r="E187" s="40" t="s">
        <v>895</v>
      </c>
      <c r="F187" s="40" t="s">
        <v>896</v>
      </c>
      <c r="G187" s="40" t="s">
        <v>912</v>
      </c>
      <c r="H187" s="40" t="s">
        <v>288</v>
      </c>
      <c r="I187" s="40">
        <v>2260</v>
      </c>
      <c r="J187" s="40" t="s">
        <v>913</v>
      </c>
      <c r="K187" s="40">
        <v>26550</v>
      </c>
      <c r="L187" s="40">
        <v>28810</v>
      </c>
      <c r="M187" s="40">
        <v>10247</v>
      </c>
      <c r="N187" s="40" t="s">
        <v>899</v>
      </c>
      <c r="O187" s="40" t="s">
        <v>52</v>
      </c>
      <c r="P187" s="40" t="s">
        <v>57</v>
      </c>
      <c r="Q187" s="40" t="s">
        <v>54</v>
      </c>
      <c r="R187" s="42" t="s">
        <v>55</v>
      </c>
      <c r="S187" s="42" t="s">
        <v>56</v>
      </c>
      <c r="T187" s="40" t="s">
        <v>900</v>
      </c>
      <c r="U187" s="41">
        <v>44638.5</v>
      </c>
      <c r="V187" s="41">
        <v>44641.208333333336</v>
      </c>
      <c r="W187" s="41">
        <v>44641.5</v>
      </c>
      <c r="X187" s="40" t="s">
        <v>293</v>
      </c>
      <c r="Y187" s="41">
        <v>44651.074305555558</v>
      </c>
      <c r="Z187" s="41"/>
      <c r="AA187" s="41"/>
      <c r="AB187" s="41"/>
      <c r="AC187" s="40" t="s">
        <v>742</v>
      </c>
      <c r="AD187" s="40">
        <v>12019</v>
      </c>
      <c r="AE187" s="40" t="s">
        <v>125</v>
      </c>
      <c r="AF187" s="40">
        <v>1316</v>
      </c>
      <c r="AG187" s="40"/>
      <c r="AH187" s="40" t="s">
        <v>309</v>
      </c>
      <c r="AI187" s="41">
        <v>44641.958333333336</v>
      </c>
      <c r="AJ187" s="40">
        <v>2</v>
      </c>
      <c r="AK187" s="43">
        <v>1900</v>
      </c>
      <c r="AL187" s="40"/>
      <c r="AM187" s="43">
        <v>0</v>
      </c>
      <c r="AN187" s="43">
        <v>3450</v>
      </c>
      <c r="AO187" s="43"/>
      <c r="AP187" s="43"/>
      <c r="AQ187" s="43">
        <v>3450</v>
      </c>
      <c r="AR187" s="43">
        <v>0</v>
      </c>
      <c r="AS187" s="43"/>
      <c r="AT187" s="43">
        <v>0</v>
      </c>
      <c r="AU187" s="43"/>
      <c r="AV187" s="43"/>
      <c r="AW187" s="43"/>
      <c r="AX187" s="43">
        <v>0</v>
      </c>
      <c r="AY187" s="43">
        <v>0</v>
      </c>
      <c r="AZ187" s="43">
        <v>0</v>
      </c>
      <c r="BA187" s="43">
        <v>0</v>
      </c>
      <c r="BB187" s="43">
        <v>0</v>
      </c>
      <c r="BC187" s="43">
        <v>0</v>
      </c>
      <c r="BD187" s="43">
        <v>0</v>
      </c>
      <c r="BE187" s="43">
        <v>0</v>
      </c>
      <c r="BF187" s="43">
        <v>0</v>
      </c>
      <c r="BG187" s="43">
        <v>0</v>
      </c>
      <c r="BH187" s="43">
        <v>0</v>
      </c>
      <c r="BI187" s="40" t="s">
        <v>669</v>
      </c>
      <c r="BJ187" s="40">
        <v>2022</v>
      </c>
      <c r="BK187" s="40" t="s">
        <v>2768</v>
      </c>
      <c r="BL187" s="40" t="s">
        <v>2768</v>
      </c>
      <c r="BM187" s="40" t="s">
        <v>125</v>
      </c>
    </row>
    <row r="188" spans="1:65" x14ac:dyDescent="0.25">
      <c r="A188" s="40" t="s">
        <v>2771</v>
      </c>
      <c r="B188" s="41">
        <v>44641.291666666664</v>
      </c>
      <c r="C188" s="40" t="s">
        <v>737</v>
      </c>
      <c r="D188" s="40" t="s">
        <v>450</v>
      </c>
      <c r="E188" s="40" t="s">
        <v>895</v>
      </c>
      <c r="F188" s="40" t="s">
        <v>896</v>
      </c>
      <c r="G188" s="40" t="s">
        <v>914</v>
      </c>
      <c r="H188" s="40" t="s">
        <v>288</v>
      </c>
      <c r="I188" s="40">
        <v>2260</v>
      </c>
      <c r="J188" s="40" t="s">
        <v>915</v>
      </c>
      <c r="K188" s="40">
        <v>25200</v>
      </c>
      <c r="L188" s="40">
        <v>27460</v>
      </c>
      <c r="M188" s="40">
        <v>10246</v>
      </c>
      <c r="N188" s="40" t="s">
        <v>899</v>
      </c>
      <c r="O188" s="40" t="s">
        <v>52</v>
      </c>
      <c r="P188" s="40" t="s">
        <v>53</v>
      </c>
      <c r="Q188" s="40" t="s">
        <v>54</v>
      </c>
      <c r="R188" s="42" t="s">
        <v>55</v>
      </c>
      <c r="S188" s="42" t="s">
        <v>56</v>
      </c>
      <c r="T188" s="40" t="s">
        <v>900</v>
      </c>
      <c r="U188" s="41">
        <v>44638.5</v>
      </c>
      <c r="V188" s="41">
        <v>44641.208333333336</v>
      </c>
      <c r="W188" s="41">
        <v>44641.5</v>
      </c>
      <c r="X188" s="40" t="s">
        <v>293</v>
      </c>
      <c r="Y188" s="41">
        <v>44651.115972222222</v>
      </c>
      <c r="Z188" s="41"/>
      <c r="AA188" s="41"/>
      <c r="AB188" s="41"/>
      <c r="AC188" s="40" t="s">
        <v>742</v>
      </c>
      <c r="AD188" s="40">
        <v>12020</v>
      </c>
      <c r="AE188" s="40" t="s">
        <v>125</v>
      </c>
      <c r="AF188" s="40">
        <v>1317</v>
      </c>
      <c r="AG188" s="40"/>
      <c r="AH188" s="40" t="s">
        <v>309</v>
      </c>
      <c r="AI188" s="41">
        <v>44641.958333333336</v>
      </c>
      <c r="AJ188" s="40">
        <v>2</v>
      </c>
      <c r="AK188" s="43">
        <v>1900</v>
      </c>
      <c r="AL188" s="40"/>
      <c r="AM188" s="43">
        <v>0</v>
      </c>
      <c r="AN188" s="43">
        <v>3450</v>
      </c>
      <c r="AO188" s="43"/>
      <c r="AP188" s="43"/>
      <c r="AQ188" s="43">
        <v>3450</v>
      </c>
      <c r="AR188" s="43">
        <v>0</v>
      </c>
      <c r="AS188" s="43"/>
      <c r="AT188" s="43">
        <v>0</v>
      </c>
      <c r="AU188" s="43"/>
      <c r="AV188" s="43"/>
      <c r="AW188" s="43"/>
      <c r="AX188" s="43">
        <v>0</v>
      </c>
      <c r="AY188" s="43">
        <v>0</v>
      </c>
      <c r="AZ188" s="43">
        <v>0</v>
      </c>
      <c r="BA188" s="43">
        <v>0</v>
      </c>
      <c r="BB188" s="43">
        <v>0</v>
      </c>
      <c r="BC188" s="43">
        <v>0</v>
      </c>
      <c r="BD188" s="43">
        <v>0</v>
      </c>
      <c r="BE188" s="43">
        <v>0</v>
      </c>
      <c r="BF188" s="43">
        <v>0</v>
      </c>
      <c r="BG188" s="43">
        <v>0</v>
      </c>
      <c r="BH188" s="43">
        <v>0</v>
      </c>
      <c r="BI188" s="40" t="s">
        <v>669</v>
      </c>
      <c r="BJ188" s="40">
        <v>2022</v>
      </c>
      <c r="BK188" s="40" t="s">
        <v>2768</v>
      </c>
      <c r="BL188" s="40" t="s">
        <v>2768</v>
      </c>
      <c r="BM188" s="40" t="s">
        <v>125</v>
      </c>
    </row>
    <row r="189" spans="1:65" x14ac:dyDescent="0.25">
      <c r="A189" s="40" t="s">
        <v>2771</v>
      </c>
      <c r="B189" s="41">
        <v>44670.333333333336</v>
      </c>
      <c r="C189" s="40" t="s">
        <v>353</v>
      </c>
      <c r="D189" s="40" t="s">
        <v>862</v>
      </c>
      <c r="E189" s="40" t="s">
        <v>863</v>
      </c>
      <c r="F189" s="40" t="s">
        <v>864</v>
      </c>
      <c r="G189" s="40" t="s">
        <v>865</v>
      </c>
      <c r="H189" s="40" t="s">
        <v>301</v>
      </c>
      <c r="I189" s="40">
        <v>3880</v>
      </c>
      <c r="J189" s="40" t="s">
        <v>866</v>
      </c>
      <c r="K189" s="40">
        <v>13384</v>
      </c>
      <c r="L189" s="40">
        <v>17264</v>
      </c>
      <c r="M189" s="40">
        <v>566</v>
      </c>
      <c r="N189" s="40" t="s">
        <v>867</v>
      </c>
      <c r="O189" s="40" t="s">
        <v>916</v>
      </c>
      <c r="P189" s="40" t="s">
        <v>917</v>
      </c>
      <c r="Q189" s="40" t="s">
        <v>918</v>
      </c>
      <c r="R189" s="42" t="s">
        <v>919</v>
      </c>
      <c r="S189" s="42"/>
      <c r="T189" s="40" t="s">
        <v>868</v>
      </c>
      <c r="U189" s="41">
        <v>44641.958333333336</v>
      </c>
      <c r="V189" s="41"/>
      <c r="W189" s="41"/>
      <c r="X189" s="40" t="s">
        <v>920</v>
      </c>
      <c r="Y189" s="41">
        <v>44642.458333333336</v>
      </c>
      <c r="Z189" s="41"/>
      <c r="AA189" s="41"/>
      <c r="AB189" s="41"/>
      <c r="AC189" s="40"/>
      <c r="AD189" s="40" t="s">
        <v>921</v>
      </c>
      <c r="AE189" s="40" t="s">
        <v>125</v>
      </c>
      <c r="AF189" s="40">
        <v>1445</v>
      </c>
      <c r="AG189" s="40"/>
      <c r="AH189" s="40" t="s">
        <v>295</v>
      </c>
      <c r="AI189" s="41"/>
      <c r="AJ189" s="40"/>
      <c r="AK189" s="43"/>
      <c r="AL189" s="40"/>
      <c r="AM189" s="43">
        <v>0</v>
      </c>
      <c r="AN189" s="43"/>
      <c r="AO189" s="43"/>
      <c r="AP189" s="43"/>
      <c r="AQ189" s="43">
        <v>0</v>
      </c>
      <c r="AR189" s="43">
        <v>672.26373799999999</v>
      </c>
      <c r="AS189" s="43"/>
      <c r="AT189" s="43">
        <v>9989.06</v>
      </c>
      <c r="AU189" s="43"/>
      <c r="AV189" s="43"/>
      <c r="AW189" s="43"/>
      <c r="AX189" s="43">
        <v>0</v>
      </c>
      <c r="AY189" s="43">
        <v>0</v>
      </c>
      <c r="AZ189" s="43">
        <v>0</v>
      </c>
      <c r="BA189" s="43">
        <v>0</v>
      </c>
      <c r="BB189" s="43">
        <v>0</v>
      </c>
      <c r="BC189" s="43">
        <v>0</v>
      </c>
      <c r="BD189" s="43">
        <v>0</v>
      </c>
      <c r="BE189" s="43">
        <v>0</v>
      </c>
      <c r="BF189" s="43">
        <v>5952.53</v>
      </c>
      <c r="BG189" s="43">
        <v>4036.53</v>
      </c>
      <c r="BH189" s="43">
        <v>0</v>
      </c>
      <c r="BI189" s="40" t="s">
        <v>453</v>
      </c>
      <c r="BJ189" s="40">
        <v>1900</v>
      </c>
      <c r="BK189" s="40" t="s">
        <v>2768</v>
      </c>
      <c r="BL189" s="40" t="s">
        <v>2768</v>
      </c>
      <c r="BM189" s="40" t="s">
        <v>125</v>
      </c>
    </row>
    <row r="190" spans="1:65" x14ac:dyDescent="0.25">
      <c r="A190" s="40" t="s">
        <v>2771</v>
      </c>
      <c r="B190" s="41">
        <v>44642.291666666664</v>
      </c>
      <c r="C190" s="40" t="s">
        <v>737</v>
      </c>
      <c r="D190" s="40" t="s">
        <v>450</v>
      </c>
      <c r="E190" s="40" t="s">
        <v>922</v>
      </c>
      <c r="F190" s="40" t="s">
        <v>923</v>
      </c>
      <c r="G190" s="40" t="s">
        <v>924</v>
      </c>
      <c r="H190" s="40" t="s">
        <v>288</v>
      </c>
      <c r="I190" s="40">
        <v>2320</v>
      </c>
      <c r="J190" s="40" t="s">
        <v>925</v>
      </c>
      <c r="K190" s="40">
        <v>23450</v>
      </c>
      <c r="L190" s="40">
        <v>25770</v>
      </c>
      <c r="M190" s="40">
        <v>10249</v>
      </c>
      <c r="N190" s="40" t="s">
        <v>926</v>
      </c>
      <c r="O190" s="40" t="s">
        <v>129</v>
      </c>
      <c r="P190" s="40" t="s">
        <v>130</v>
      </c>
      <c r="Q190" s="40" t="s">
        <v>131</v>
      </c>
      <c r="R190" s="42" t="s">
        <v>132</v>
      </c>
      <c r="S190" s="42" t="s">
        <v>133</v>
      </c>
      <c r="T190" s="40" t="s">
        <v>900</v>
      </c>
      <c r="U190" s="41">
        <v>44638.395833333336</v>
      </c>
      <c r="V190" s="41">
        <v>44642.416666666664</v>
      </c>
      <c r="W190" s="41">
        <v>44642.5</v>
      </c>
      <c r="X190" s="40" t="s">
        <v>306</v>
      </c>
      <c r="Y190" s="41">
        <v>44643.53402777778</v>
      </c>
      <c r="Z190" s="41">
        <v>44641.291666666664</v>
      </c>
      <c r="AA190" s="41">
        <v>44641.5</v>
      </c>
      <c r="AB190" s="41">
        <v>44644.5</v>
      </c>
      <c r="AC190" s="40" t="s">
        <v>742</v>
      </c>
      <c r="AD190" s="40">
        <v>12036</v>
      </c>
      <c r="AE190" s="40" t="s">
        <v>125</v>
      </c>
      <c r="AF190" s="40">
        <v>1302</v>
      </c>
      <c r="AG190" s="40"/>
      <c r="AH190" s="40" t="s">
        <v>295</v>
      </c>
      <c r="AI190" s="41" t="s">
        <v>125</v>
      </c>
      <c r="AJ190" s="40" t="s">
        <v>125</v>
      </c>
      <c r="AK190" s="43" t="s">
        <v>125</v>
      </c>
      <c r="AL190" s="40"/>
      <c r="AM190" s="43">
        <v>0</v>
      </c>
      <c r="AN190" s="43">
        <v>2380</v>
      </c>
      <c r="AO190" s="43">
        <v>1020</v>
      </c>
      <c r="AP190" s="43"/>
      <c r="AQ190" s="43">
        <v>3400</v>
      </c>
      <c r="AR190" s="43">
        <v>0</v>
      </c>
      <c r="AS190" s="43"/>
      <c r="AT190" s="43">
        <v>0</v>
      </c>
      <c r="AU190" s="43"/>
      <c r="AV190" s="43"/>
      <c r="AW190" s="43"/>
      <c r="AX190" s="43">
        <v>0</v>
      </c>
      <c r="AY190" s="43">
        <v>0</v>
      </c>
      <c r="AZ190" s="43">
        <v>0</v>
      </c>
      <c r="BA190" s="43">
        <v>0</v>
      </c>
      <c r="BB190" s="43">
        <v>0</v>
      </c>
      <c r="BC190" s="43">
        <v>0</v>
      </c>
      <c r="BD190" s="43">
        <v>0</v>
      </c>
      <c r="BE190" s="43">
        <v>0</v>
      </c>
      <c r="BF190" s="43">
        <v>0</v>
      </c>
      <c r="BG190" s="43">
        <v>0</v>
      </c>
      <c r="BH190" s="43">
        <v>0</v>
      </c>
      <c r="BI190" s="40" t="s">
        <v>669</v>
      </c>
      <c r="BJ190" s="40">
        <v>2022</v>
      </c>
      <c r="BK190" s="40" t="s">
        <v>2768</v>
      </c>
      <c r="BL190" s="40" t="s">
        <v>2768</v>
      </c>
      <c r="BM190" s="40" t="s">
        <v>125</v>
      </c>
    </row>
    <row r="191" spans="1:65" x14ac:dyDescent="0.25">
      <c r="A191" s="40" t="s">
        <v>2771</v>
      </c>
      <c r="B191" s="41">
        <v>44642.291666666664</v>
      </c>
      <c r="C191" s="40" t="s">
        <v>737</v>
      </c>
      <c r="D191" s="40" t="s">
        <v>450</v>
      </c>
      <c r="E191" s="40" t="s">
        <v>922</v>
      </c>
      <c r="F191" s="40" t="s">
        <v>923</v>
      </c>
      <c r="G191" s="40" t="s">
        <v>927</v>
      </c>
      <c r="H191" s="40" t="s">
        <v>288</v>
      </c>
      <c r="I191" s="40">
        <v>2260</v>
      </c>
      <c r="J191" s="40" t="s">
        <v>928</v>
      </c>
      <c r="K191" s="40">
        <v>26450</v>
      </c>
      <c r="L191" s="40">
        <v>28710</v>
      </c>
      <c r="M191" s="40">
        <v>10248</v>
      </c>
      <c r="N191" s="40" t="s">
        <v>926</v>
      </c>
      <c r="O191" s="40" t="s">
        <v>129</v>
      </c>
      <c r="P191" s="40" t="s">
        <v>134</v>
      </c>
      <c r="Q191" s="40" t="s">
        <v>131</v>
      </c>
      <c r="R191" s="42" t="s">
        <v>132</v>
      </c>
      <c r="S191" s="42" t="s">
        <v>133</v>
      </c>
      <c r="T191" s="40" t="s">
        <v>900</v>
      </c>
      <c r="U191" s="41">
        <v>44638.395833333336</v>
      </c>
      <c r="V191" s="41">
        <v>44642.416666666664</v>
      </c>
      <c r="W191" s="41">
        <v>44642.5</v>
      </c>
      <c r="X191" s="40" t="s">
        <v>306</v>
      </c>
      <c r="Y191" s="41">
        <v>44643.617361111108</v>
      </c>
      <c r="Z191" s="41">
        <v>44641.291666666664</v>
      </c>
      <c r="AA191" s="41">
        <v>44641.5</v>
      </c>
      <c r="AB191" s="41">
        <v>44644.5</v>
      </c>
      <c r="AC191" s="40" t="s">
        <v>742</v>
      </c>
      <c r="AD191" s="40">
        <v>12037</v>
      </c>
      <c r="AE191" s="40" t="s">
        <v>125</v>
      </c>
      <c r="AF191" s="40">
        <v>1303</v>
      </c>
      <c r="AG191" s="40"/>
      <c r="AH191" s="40" t="s">
        <v>295</v>
      </c>
      <c r="AI191" s="41" t="s">
        <v>125</v>
      </c>
      <c r="AJ191" s="40" t="s">
        <v>125</v>
      </c>
      <c r="AK191" s="43" t="s">
        <v>125</v>
      </c>
      <c r="AL191" s="40"/>
      <c r="AM191" s="43">
        <v>0</v>
      </c>
      <c r="AN191" s="43">
        <v>2380</v>
      </c>
      <c r="AO191" s="43">
        <v>1020</v>
      </c>
      <c r="AP191" s="43"/>
      <c r="AQ191" s="43">
        <v>3400</v>
      </c>
      <c r="AR191" s="43">
        <v>0</v>
      </c>
      <c r="AS191" s="43"/>
      <c r="AT191" s="43">
        <v>0</v>
      </c>
      <c r="AU191" s="43"/>
      <c r="AV191" s="43"/>
      <c r="AW191" s="43"/>
      <c r="AX191" s="43">
        <v>0</v>
      </c>
      <c r="AY191" s="43">
        <v>0</v>
      </c>
      <c r="AZ191" s="43">
        <v>0</v>
      </c>
      <c r="BA191" s="43">
        <v>0</v>
      </c>
      <c r="BB191" s="43">
        <v>0</v>
      </c>
      <c r="BC191" s="43">
        <v>0</v>
      </c>
      <c r="BD191" s="43">
        <v>0</v>
      </c>
      <c r="BE191" s="43">
        <v>0</v>
      </c>
      <c r="BF191" s="43">
        <v>0</v>
      </c>
      <c r="BG191" s="43">
        <v>0</v>
      </c>
      <c r="BH191" s="43">
        <v>0</v>
      </c>
      <c r="BI191" s="40" t="s">
        <v>669</v>
      </c>
      <c r="BJ191" s="40">
        <v>2022</v>
      </c>
      <c r="BK191" s="40" t="s">
        <v>2768</v>
      </c>
      <c r="BL191" s="40" t="s">
        <v>2768</v>
      </c>
      <c r="BM191" s="40" t="s">
        <v>125</v>
      </c>
    </row>
    <row r="192" spans="1:65" x14ac:dyDescent="0.25">
      <c r="A192" s="40" t="s">
        <v>2771</v>
      </c>
      <c r="B192" s="41">
        <v>44642.291666666664</v>
      </c>
      <c r="C192" s="40" t="s">
        <v>737</v>
      </c>
      <c r="D192" s="40" t="s">
        <v>450</v>
      </c>
      <c r="E192" s="40" t="s">
        <v>922</v>
      </c>
      <c r="F192" s="40" t="s">
        <v>923</v>
      </c>
      <c r="G192" s="40" t="s">
        <v>929</v>
      </c>
      <c r="H192" s="40" t="s">
        <v>288</v>
      </c>
      <c r="I192" s="40">
        <v>2260</v>
      </c>
      <c r="J192" s="40" t="s">
        <v>930</v>
      </c>
      <c r="K192" s="40">
        <v>26300</v>
      </c>
      <c r="L192" s="40">
        <v>28560</v>
      </c>
      <c r="M192" s="40">
        <v>10252</v>
      </c>
      <c r="N192" s="40" t="s">
        <v>926</v>
      </c>
      <c r="O192" s="40" t="s">
        <v>182</v>
      </c>
      <c r="P192" s="40" t="s">
        <v>183</v>
      </c>
      <c r="Q192" s="40" t="s">
        <v>184</v>
      </c>
      <c r="R192" s="42" t="s">
        <v>185</v>
      </c>
      <c r="S192" s="42" t="s">
        <v>186</v>
      </c>
      <c r="T192" s="40" t="s">
        <v>900</v>
      </c>
      <c r="U192" s="41">
        <v>44638.395833333336</v>
      </c>
      <c r="V192" s="41">
        <v>44642.291666666664</v>
      </c>
      <c r="W192" s="41">
        <v>44642.5</v>
      </c>
      <c r="X192" s="40" t="s">
        <v>306</v>
      </c>
      <c r="Y192" s="41">
        <v>44642.997916666667</v>
      </c>
      <c r="Z192" s="41">
        <v>44641.291666666664</v>
      </c>
      <c r="AA192" s="41">
        <v>44641.5</v>
      </c>
      <c r="AB192" s="41">
        <v>44644.5</v>
      </c>
      <c r="AC192" s="40" t="s">
        <v>742</v>
      </c>
      <c r="AD192" s="40">
        <v>12040</v>
      </c>
      <c r="AE192" s="40" t="s">
        <v>125</v>
      </c>
      <c r="AF192" s="40">
        <v>1304</v>
      </c>
      <c r="AG192" s="40"/>
      <c r="AH192" s="40" t="s">
        <v>295</v>
      </c>
      <c r="AI192" s="41" t="s">
        <v>125</v>
      </c>
      <c r="AJ192" s="40" t="s">
        <v>125</v>
      </c>
      <c r="AK192" s="43" t="s">
        <v>125</v>
      </c>
      <c r="AL192" s="40"/>
      <c r="AM192" s="43">
        <v>0</v>
      </c>
      <c r="AN192" s="43">
        <v>2380</v>
      </c>
      <c r="AO192" s="43">
        <v>1020</v>
      </c>
      <c r="AP192" s="43"/>
      <c r="AQ192" s="43">
        <v>3400</v>
      </c>
      <c r="AR192" s="43">
        <v>0</v>
      </c>
      <c r="AS192" s="43"/>
      <c r="AT192" s="43">
        <v>0</v>
      </c>
      <c r="AU192" s="43"/>
      <c r="AV192" s="43"/>
      <c r="AW192" s="43"/>
      <c r="AX192" s="43">
        <v>0</v>
      </c>
      <c r="AY192" s="43">
        <v>0</v>
      </c>
      <c r="AZ192" s="43">
        <v>0</v>
      </c>
      <c r="BA192" s="43">
        <v>0</v>
      </c>
      <c r="BB192" s="43">
        <v>0</v>
      </c>
      <c r="BC192" s="43">
        <v>0</v>
      </c>
      <c r="BD192" s="43">
        <v>0</v>
      </c>
      <c r="BE192" s="43">
        <v>0</v>
      </c>
      <c r="BF192" s="43">
        <v>0</v>
      </c>
      <c r="BG192" s="43">
        <v>0</v>
      </c>
      <c r="BH192" s="43">
        <v>0</v>
      </c>
      <c r="BI192" s="40" t="s">
        <v>669</v>
      </c>
      <c r="BJ192" s="40">
        <v>2022</v>
      </c>
      <c r="BK192" s="40" t="s">
        <v>2768</v>
      </c>
      <c r="BL192" s="40" t="s">
        <v>2768</v>
      </c>
      <c r="BM192" s="40" t="s">
        <v>125</v>
      </c>
    </row>
    <row r="193" spans="1:65" x14ac:dyDescent="0.25">
      <c r="A193" s="40" t="s">
        <v>2771</v>
      </c>
      <c r="B193" s="41">
        <v>44642.291666666664</v>
      </c>
      <c r="C193" s="40" t="s">
        <v>737</v>
      </c>
      <c r="D193" s="40" t="s">
        <v>450</v>
      </c>
      <c r="E193" s="40" t="s">
        <v>922</v>
      </c>
      <c r="F193" s="40" t="s">
        <v>923</v>
      </c>
      <c r="G193" s="40" t="s">
        <v>931</v>
      </c>
      <c r="H193" s="40" t="s">
        <v>288</v>
      </c>
      <c r="I193" s="40">
        <v>2260</v>
      </c>
      <c r="J193" s="40" t="s">
        <v>932</v>
      </c>
      <c r="K193" s="40">
        <v>21080</v>
      </c>
      <c r="L193" s="40">
        <v>23340</v>
      </c>
      <c r="M193" s="40">
        <v>10253</v>
      </c>
      <c r="N193" s="40" t="s">
        <v>926</v>
      </c>
      <c r="O193" s="40" t="s">
        <v>182</v>
      </c>
      <c r="P193" s="40" t="s">
        <v>187</v>
      </c>
      <c r="Q193" s="40" t="s">
        <v>184</v>
      </c>
      <c r="R193" s="42" t="s">
        <v>185</v>
      </c>
      <c r="S193" s="42" t="s">
        <v>186</v>
      </c>
      <c r="T193" s="40" t="s">
        <v>900</v>
      </c>
      <c r="U193" s="41">
        <v>44638.395833333336</v>
      </c>
      <c r="V193" s="41">
        <v>44642.291666666664</v>
      </c>
      <c r="W193" s="41">
        <v>44642.5</v>
      </c>
      <c r="X193" s="40" t="s">
        <v>306</v>
      </c>
      <c r="Y193" s="41">
        <v>44643.034722222219</v>
      </c>
      <c r="Z193" s="41">
        <v>44641.291666666664</v>
      </c>
      <c r="AA193" s="41">
        <v>44641.5</v>
      </c>
      <c r="AB193" s="41">
        <v>44644.5</v>
      </c>
      <c r="AC193" s="40" t="s">
        <v>742</v>
      </c>
      <c r="AD193" s="40">
        <v>12041</v>
      </c>
      <c r="AE193" s="40" t="s">
        <v>125</v>
      </c>
      <c r="AF193" s="40">
        <v>1305</v>
      </c>
      <c r="AG193" s="40"/>
      <c r="AH193" s="40" t="s">
        <v>295</v>
      </c>
      <c r="AI193" s="41" t="s">
        <v>125</v>
      </c>
      <c r="AJ193" s="40" t="s">
        <v>125</v>
      </c>
      <c r="AK193" s="43" t="s">
        <v>125</v>
      </c>
      <c r="AL193" s="40"/>
      <c r="AM193" s="43">
        <v>0</v>
      </c>
      <c r="AN193" s="43">
        <v>2380</v>
      </c>
      <c r="AO193" s="43">
        <v>1020</v>
      </c>
      <c r="AP193" s="43"/>
      <c r="AQ193" s="43">
        <v>3400</v>
      </c>
      <c r="AR193" s="43">
        <v>0</v>
      </c>
      <c r="AS193" s="43"/>
      <c r="AT193" s="43">
        <v>0</v>
      </c>
      <c r="AU193" s="43"/>
      <c r="AV193" s="43"/>
      <c r="AW193" s="43"/>
      <c r="AX193" s="43">
        <v>0</v>
      </c>
      <c r="AY193" s="43">
        <v>0</v>
      </c>
      <c r="AZ193" s="43">
        <v>0</v>
      </c>
      <c r="BA193" s="43">
        <v>0</v>
      </c>
      <c r="BB193" s="43">
        <v>0</v>
      </c>
      <c r="BC193" s="43">
        <v>0</v>
      </c>
      <c r="BD193" s="43">
        <v>0</v>
      </c>
      <c r="BE193" s="43">
        <v>0</v>
      </c>
      <c r="BF193" s="43">
        <v>0</v>
      </c>
      <c r="BG193" s="43">
        <v>0</v>
      </c>
      <c r="BH193" s="43">
        <v>0</v>
      </c>
      <c r="BI193" s="40" t="s">
        <v>669</v>
      </c>
      <c r="BJ193" s="40">
        <v>2022</v>
      </c>
      <c r="BK193" s="40" t="s">
        <v>2768</v>
      </c>
      <c r="BL193" s="40" t="s">
        <v>2768</v>
      </c>
      <c r="BM193" s="40" t="s">
        <v>125</v>
      </c>
    </row>
    <row r="194" spans="1:65" x14ac:dyDescent="0.25">
      <c r="A194" s="40" t="s">
        <v>2771</v>
      </c>
      <c r="B194" s="41">
        <v>44642.291666666664</v>
      </c>
      <c r="C194" s="40" t="s">
        <v>737</v>
      </c>
      <c r="D194" s="40" t="s">
        <v>450</v>
      </c>
      <c r="E194" s="40" t="s">
        <v>922</v>
      </c>
      <c r="F194" s="40" t="s">
        <v>923</v>
      </c>
      <c r="G194" s="40" t="s">
        <v>933</v>
      </c>
      <c r="H194" s="40" t="s">
        <v>288</v>
      </c>
      <c r="I194" s="40">
        <v>2185</v>
      </c>
      <c r="J194" s="40" t="s">
        <v>934</v>
      </c>
      <c r="K194" s="40">
        <v>24920</v>
      </c>
      <c r="L194" s="40">
        <v>27105</v>
      </c>
      <c r="M194" s="40">
        <v>10250</v>
      </c>
      <c r="N194" s="40" t="s">
        <v>926</v>
      </c>
      <c r="O194" s="40" t="s">
        <v>145</v>
      </c>
      <c r="P194" s="40" t="s">
        <v>146</v>
      </c>
      <c r="Q194" s="40" t="s">
        <v>147</v>
      </c>
      <c r="R194" s="42" t="s">
        <v>148</v>
      </c>
      <c r="S194" s="42" t="s">
        <v>909</v>
      </c>
      <c r="T194" s="40" t="s">
        <v>900</v>
      </c>
      <c r="U194" s="41">
        <v>44638.395833333336</v>
      </c>
      <c r="V194" s="41">
        <v>44642.291666666664</v>
      </c>
      <c r="W194" s="41">
        <v>44642.5</v>
      </c>
      <c r="X194" s="40" t="s">
        <v>306</v>
      </c>
      <c r="Y194" s="41">
        <v>44643.036805555559</v>
      </c>
      <c r="Z194" s="41">
        <v>44641.291666666664</v>
      </c>
      <c r="AA194" s="41">
        <v>44641.5</v>
      </c>
      <c r="AB194" s="41">
        <v>44644.5</v>
      </c>
      <c r="AC194" s="40" t="s">
        <v>742</v>
      </c>
      <c r="AD194" s="40">
        <v>12038</v>
      </c>
      <c r="AE194" s="40" t="s">
        <v>125</v>
      </c>
      <c r="AF194" s="40">
        <v>1306</v>
      </c>
      <c r="AG194" s="40"/>
      <c r="AH194" s="40" t="s">
        <v>295</v>
      </c>
      <c r="AI194" s="41" t="s">
        <v>125</v>
      </c>
      <c r="AJ194" s="40" t="s">
        <v>125</v>
      </c>
      <c r="AK194" s="43" t="s">
        <v>125</v>
      </c>
      <c r="AL194" s="40"/>
      <c r="AM194" s="43">
        <v>0</v>
      </c>
      <c r="AN194" s="43">
        <v>2380</v>
      </c>
      <c r="AO194" s="43">
        <v>1020</v>
      </c>
      <c r="AP194" s="43"/>
      <c r="AQ194" s="43">
        <v>3400</v>
      </c>
      <c r="AR194" s="43">
        <v>0</v>
      </c>
      <c r="AS194" s="43"/>
      <c r="AT194" s="43">
        <v>0</v>
      </c>
      <c r="AU194" s="43"/>
      <c r="AV194" s="43"/>
      <c r="AW194" s="43"/>
      <c r="AX194" s="43">
        <v>0</v>
      </c>
      <c r="AY194" s="43">
        <v>0</v>
      </c>
      <c r="AZ194" s="43">
        <v>0</v>
      </c>
      <c r="BA194" s="43">
        <v>0</v>
      </c>
      <c r="BB194" s="43">
        <v>0</v>
      </c>
      <c r="BC194" s="43">
        <v>0</v>
      </c>
      <c r="BD194" s="43">
        <v>0</v>
      </c>
      <c r="BE194" s="43">
        <v>0</v>
      </c>
      <c r="BF194" s="43">
        <v>0</v>
      </c>
      <c r="BG194" s="43">
        <v>0</v>
      </c>
      <c r="BH194" s="43">
        <v>0</v>
      </c>
      <c r="BI194" s="40" t="s">
        <v>669</v>
      </c>
      <c r="BJ194" s="40">
        <v>2022</v>
      </c>
      <c r="BK194" s="40" t="s">
        <v>2768</v>
      </c>
      <c r="BL194" s="40" t="s">
        <v>2768</v>
      </c>
      <c r="BM194" s="40" t="s">
        <v>125</v>
      </c>
    </row>
    <row r="195" spans="1:65" x14ac:dyDescent="0.25">
      <c r="A195" s="40" t="s">
        <v>2771</v>
      </c>
      <c r="B195" s="41">
        <v>44642.291666666664</v>
      </c>
      <c r="C195" s="40" t="s">
        <v>737</v>
      </c>
      <c r="D195" s="40" t="s">
        <v>450</v>
      </c>
      <c r="E195" s="40" t="s">
        <v>922</v>
      </c>
      <c r="F195" s="40" t="s">
        <v>923</v>
      </c>
      <c r="G195" s="40" t="s">
        <v>935</v>
      </c>
      <c r="H195" s="40" t="s">
        <v>288</v>
      </c>
      <c r="I195" s="40">
        <v>2260</v>
      </c>
      <c r="J195" s="40" t="s">
        <v>936</v>
      </c>
      <c r="K195" s="40">
        <v>25410</v>
      </c>
      <c r="L195" s="40">
        <v>27670</v>
      </c>
      <c r="M195" s="40">
        <v>10251</v>
      </c>
      <c r="N195" s="40" t="s">
        <v>926</v>
      </c>
      <c r="O195" s="40" t="s">
        <v>145</v>
      </c>
      <c r="P195" s="40" t="s">
        <v>149</v>
      </c>
      <c r="Q195" s="40" t="s">
        <v>147</v>
      </c>
      <c r="R195" s="42" t="s">
        <v>148</v>
      </c>
      <c r="S195" s="42" t="s">
        <v>909</v>
      </c>
      <c r="T195" s="40" t="s">
        <v>900</v>
      </c>
      <c r="U195" s="41">
        <v>44638.395833333336</v>
      </c>
      <c r="V195" s="41">
        <v>44642.291666666664</v>
      </c>
      <c r="W195" s="41">
        <v>44642.5</v>
      </c>
      <c r="X195" s="40" t="s">
        <v>306</v>
      </c>
      <c r="Y195" s="41">
        <v>44643.000694444447</v>
      </c>
      <c r="Z195" s="41">
        <v>44641.291666666664</v>
      </c>
      <c r="AA195" s="41">
        <v>44641.5</v>
      </c>
      <c r="AB195" s="41">
        <v>44644.5</v>
      </c>
      <c r="AC195" s="40" t="s">
        <v>742</v>
      </c>
      <c r="AD195" s="40">
        <v>12039</v>
      </c>
      <c r="AE195" s="40" t="s">
        <v>125</v>
      </c>
      <c r="AF195" s="40">
        <v>1307</v>
      </c>
      <c r="AG195" s="40"/>
      <c r="AH195" s="40" t="s">
        <v>295</v>
      </c>
      <c r="AI195" s="41" t="s">
        <v>125</v>
      </c>
      <c r="AJ195" s="40" t="s">
        <v>125</v>
      </c>
      <c r="AK195" s="43" t="s">
        <v>125</v>
      </c>
      <c r="AL195" s="40"/>
      <c r="AM195" s="43">
        <v>0</v>
      </c>
      <c r="AN195" s="43">
        <v>2380</v>
      </c>
      <c r="AO195" s="43">
        <v>1020</v>
      </c>
      <c r="AP195" s="43"/>
      <c r="AQ195" s="43">
        <v>3400</v>
      </c>
      <c r="AR195" s="43">
        <v>0</v>
      </c>
      <c r="AS195" s="43"/>
      <c r="AT195" s="43">
        <v>0</v>
      </c>
      <c r="AU195" s="43"/>
      <c r="AV195" s="43"/>
      <c r="AW195" s="43"/>
      <c r="AX195" s="43">
        <v>0</v>
      </c>
      <c r="AY195" s="43">
        <v>0</v>
      </c>
      <c r="AZ195" s="43">
        <v>0</v>
      </c>
      <c r="BA195" s="43">
        <v>0</v>
      </c>
      <c r="BB195" s="43">
        <v>0</v>
      </c>
      <c r="BC195" s="43">
        <v>0</v>
      </c>
      <c r="BD195" s="43">
        <v>0</v>
      </c>
      <c r="BE195" s="43">
        <v>0</v>
      </c>
      <c r="BF195" s="43">
        <v>0</v>
      </c>
      <c r="BG195" s="43">
        <v>0</v>
      </c>
      <c r="BH195" s="43">
        <v>0</v>
      </c>
      <c r="BI195" s="40" t="s">
        <v>669</v>
      </c>
      <c r="BJ195" s="40">
        <v>2022</v>
      </c>
      <c r="BK195" s="40" t="s">
        <v>2768</v>
      </c>
      <c r="BL195" s="40" t="s">
        <v>2768</v>
      </c>
      <c r="BM195" s="40" t="s">
        <v>125</v>
      </c>
    </row>
    <row r="196" spans="1:65" x14ac:dyDescent="0.25">
      <c r="A196" s="40" t="s">
        <v>2771</v>
      </c>
      <c r="B196" s="41">
        <v>44642.291666666664</v>
      </c>
      <c r="C196" s="40" t="s">
        <v>737</v>
      </c>
      <c r="D196" s="40" t="s">
        <v>450</v>
      </c>
      <c r="E196" s="40" t="s">
        <v>922</v>
      </c>
      <c r="F196" s="40" t="s">
        <v>923</v>
      </c>
      <c r="G196" s="40" t="s">
        <v>937</v>
      </c>
      <c r="H196" s="40" t="s">
        <v>288</v>
      </c>
      <c r="I196" s="40">
        <v>2260</v>
      </c>
      <c r="J196" s="40" t="s">
        <v>938</v>
      </c>
      <c r="K196" s="40">
        <v>24100</v>
      </c>
      <c r="L196" s="40">
        <v>26360</v>
      </c>
      <c r="M196" s="40">
        <v>10255</v>
      </c>
      <c r="N196" s="40" t="s">
        <v>926</v>
      </c>
      <c r="O196" s="40" t="s">
        <v>52</v>
      </c>
      <c r="P196" s="40" t="s">
        <v>57</v>
      </c>
      <c r="Q196" s="40" t="s">
        <v>54</v>
      </c>
      <c r="R196" s="42" t="s">
        <v>55</v>
      </c>
      <c r="S196" s="42" t="s">
        <v>56</v>
      </c>
      <c r="T196" s="40" t="s">
        <v>900</v>
      </c>
      <c r="U196" s="41">
        <v>44638.395833333336</v>
      </c>
      <c r="V196" s="41">
        <v>44642.375</v>
      </c>
      <c r="W196" s="41">
        <v>44642.5</v>
      </c>
      <c r="X196" s="40" t="s">
        <v>306</v>
      </c>
      <c r="Y196" s="41">
        <v>44643.068749999999</v>
      </c>
      <c r="Z196" s="41">
        <v>44641.291666666664</v>
      </c>
      <c r="AA196" s="41">
        <v>44641.5</v>
      </c>
      <c r="AB196" s="41">
        <v>44644.5</v>
      </c>
      <c r="AC196" s="40" t="s">
        <v>742</v>
      </c>
      <c r="AD196" s="40">
        <v>12042</v>
      </c>
      <c r="AE196" s="40" t="s">
        <v>125</v>
      </c>
      <c r="AF196" s="40">
        <v>1308</v>
      </c>
      <c r="AG196" s="40"/>
      <c r="AH196" s="40" t="s">
        <v>295</v>
      </c>
      <c r="AI196" s="41" t="s">
        <v>125</v>
      </c>
      <c r="AJ196" s="40" t="s">
        <v>125</v>
      </c>
      <c r="AK196" s="43" t="s">
        <v>125</v>
      </c>
      <c r="AL196" s="40"/>
      <c r="AM196" s="43">
        <v>0</v>
      </c>
      <c r="AN196" s="43">
        <v>2380</v>
      </c>
      <c r="AO196" s="43">
        <v>1020</v>
      </c>
      <c r="AP196" s="43"/>
      <c r="AQ196" s="43">
        <v>3400</v>
      </c>
      <c r="AR196" s="43">
        <v>0</v>
      </c>
      <c r="AS196" s="43"/>
      <c r="AT196" s="43">
        <v>0</v>
      </c>
      <c r="AU196" s="43"/>
      <c r="AV196" s="43"/>
      <c r="AW196" s="43"/>
      <c r="AX196" s="43">
        <v>0</v>
      </c>
      <c r="AY196" s="43">
        <v>0</v>
      </c>
      <c r="AZ196" s="43">
        <v>0</v>
      </c>
      <c r="BA196" s="43">
        <v>0</v>
      </c>
      <c r="BB196" s="43">
        <v>0</v>
      </c>
      <c r="BC196" s="43">
        <v>0</v>
      </c>
      <c r="BD196" s="43">
        <v>0</v>
      </c>
      <c r="BE196" s="43">
        <v>0</v>
      </c>
      <c r="BF196" s="43">
        <v>0</v>
      </c>
      <c r="BG196" s="43">
        <v>0</v>
      </c>
      <c r="BH196" s="43">
        <v>0</v>
      </c>
      <c r="BI196" s="40" t="s">
        <v>669</v>
      </c>
      <c r="BJ196" s="40">
        <v>2022</v>
      </c>
      <c r="BK196" s="40" t="s">
        <v>2768</v>
      </c>
      <c r="BL196" s="40" t="s">
        <v>2768</v>
      </c>
      <c r="BM196" s="40" t="s">
        <v>125</v>
      </c>
    </row>
    <row r="197" spans="1:65" x14ac:dyDescent="0.25">
      <c r="A197" s="40" t="s">
        <v>2771</v>
      </c>
      <c r="B197" s="41">
        <v>44642.291666666664</v>
      </c>
      <c r="C197" s="40" t="s">
        <v>737</v>
      </c>
      <c r="D197" s="40" t="s">
        <v>450</v>
      </c>
      <c r="E197" s="40" t="s">
        <v>922</v>
      </c>
      <c r="F197" s="40" t="s">
        <v>923</v>
      </c>
      <c r="G197" s="40" t="s">
        <v>939</v>
      </c>
      <c r="H197" s="40" t="s">
        <v>288</v>
      </c>
      <c r="I197" s="40">
        <v>2260</v>
      </c>
      <c r="J197" s="40" t="s">
        <v>940</v>
      </c>
      <c r="K197" s="40">
        <v>24970</v>
      </c>
      <c r="L197" s="40">
        <v>27230</v>
      </c>
      <c r="M197" s="40">
        <v>10254</v>
      </c>
      <c r="N197" s="40" t="s">
        <v>926</v>
      </c>
      <c r="O197" s="40" t="s">
        <v>52</v>
      </c>
      <c r="P197" s="40" t="s">
        <v>53</v>
      </c>
      <c r="Q197" s="40" t="s">
        <v>54</v>
      </c>
      <c r="R197" s="42" t="s">
        <v>55</v>
      </c>
      <c r="S197" s="42" t="s">
        <v>56</v>
      </c>
      <c r="T197" s="40" t="s">
        <v>900</v>
      </c>
      <c r="U197" s="41">
        <v>44638.395833333336</v>
      </c>
      <c r="V197" s="41">
        <v>44642.375</v>
      </c>
      <c r="W197" s="41">
        <v>44642.5</v>
      </c>
      <c r="X197" s="40" t="s">
        <v>306</v>
      </c>
      <c r="Y197" s="41">
        <v>44643.010416666664</v>
      </c>
      <c r="Z197" s="41">
        <v>44641.291666666664</v>
      </c>
      <c r="AA197" s="41">
        <v>44641.5</v>
      </c>
      <c r="AB197" s="41">
        <v>44644.5</v>
      </c>
      <c r="AC197" s="40" t="s">
        <v>742</v>
      </c>
      <c r="AD197" s="40">
        <v>12043</v>
      </c>
      <c r="AE197" s="40" t="s">
        <v>125</v>
      </c>
      <c r="AF197" s="40">
        <v>1309</v>
      </c>
      <c r="AG197" s="40"/>
      <c r="AH197" s="40" t="s">
        <v>295</v>
      </c>
      <c r="AI197" s="41" t="s">
        <v>125</v>
      </c>
      <c r="AJ197" s="40" t="s">
        <v>125</v>
      </c>
      <c r="AK197" s="43" t="s">
        <v>125</v>
      </c>
      <c r="AL197" s="40"/>
      <c r="AM197" s="43">
        <v>0</v>
      </c>
      <c r="AN197" s="43">
        <v>2380</v>
      </c>
      <c r="AO197" s="43">
        <v>1020</v>
      </c>
      <c r="AP197" s="43"/>
      <c r="AQ197" s="43">
        <v>3400</v>
      </c>
      <c r="AR197" s="43">
        <v>0</v>
      </c>
      <c r="AS197" s="43"/>
      <c r="AT197" s="43">
        <v>0</v>
      </c>
      <c r="AU197" s="43"/>
      <c r="AV197" s="43"/>
      <c r="AW197" s="43"/>
      <c r="AX197" s="43">
        <v>0</v>
      </c>
      <c r="AY197" s="43">
        <v>0</v>
      </c>
      <c r="AZ197" s="43">
        <v>0</v>
      </c>
      <c r="BA197" s="43">
        <v>0</v>
      </c>
      <c r="BB197" s="43">
        <v>0</v>
      </c>
      <c r="BC197" s="43">
        <v>0</v>
      </c>
      <c r="BD197" s="43">
        <v>0</v>
      </c>
      <c r="BE197" s="43">
        <v>0</v>
      </c>
      <c r="BF197" s="43">
        <v>0</v>
      </c>
      <c r="BG197" s="43">
        <v>0</v>
      </c>
      <c r="BH197" s="43">
        <v>0</v>
      </c>
      <c r="BI197" s="40" t="s">
        <v>669</v>
      </c>
      <c r="BJ197" s="40">
        <v>2022</v>
      </c>
      <c r="BK197" s="40" t="s">
        <v>2768</v>
      </c>
      <c r="BL197" s="40" t="s">
        <v>2768</v>
      </c>
      <c r="BM197" s="40" t="s">
        <v>125</v>
      </c>
    </row>
    <row r="198" spans="1:65" x14ac:dyDescent="0.25">
      <c r="A198" s="40" t="s">
        <v>2771</v>
      </c>
      <c r="B198" s="41">
        <v>44643.291666666664</v>
      </c>
      <c r="C198" s="40" t="s">
        <v>353</v>
      </c>
      <c r="D198" s="40" t="s">
        <v>400</v>
      </c>
      <c r="E198" s="40">
        <v>7390502</v>
      </c>
      <c r="F198" s="40">
        <v>216951804</v>
      </c>
      <c r="G198" s="40" t="s">
        <v>941</v>
      </c>
      <c r="H198" s="40" t="s">
        <v>288</v>
      </c>
      <c r="I198" s="40">
        <v>2170</v>
      </c>
      <c r="J198" s="40" t="s">
        <v>942</v>
      </c>
      <c r="K198" s="40">
        <v>9761</v>
      </c>
      <c r="L198" s="40">
        <v>11931</v>
      </c>
      <c r="M198" s="40">
        <v>3618013</v>
      </c>
      <c r="N198" s="40" t="s">
        <v>943</v>
      </c>
      <c r="O198" s="40" t="s">
        <v>188</v>
      </c>
      <c r="P198" s="40" t="s">
        <v>125</v>
      </c>
      <c r="Q198" s="40" t="s">
        <v>189</v>
      </c>
      <c r="R198" s="42" t="s">
        <v>190</v>
      </c>
      <c r="S198" s="42" t="s">
        <v>191</v>
      </c>
      <c r="T198" s="40" t="s">
        <v>292</v>
      </c>
      <c r="U198" s="41">
        <v>44642.645833333336</v>
      </c>
      <c r="V198" s="41">
        <v>44643.25</v>
      </c>
      <c r="W198" s="41">
        <v>44643.5</v>
      </c>
      <c r="X198" s="40" t="s">
        <v>306</v>
      </c>
      <c r="Y198" s="41">
        <v>44643.722916666666</v>
      </c>
      <c r="Z198" s="41">
        <v>44642.291666666664</v>
      </c>
      <c r="AA198" s="41">
        <v>44643.5</v>
      </c>
      <c r="AB198" s="41">
        <v>44645.75</v>
      </c>
      <c r="AC198" s="40" t="s">
        <v>944</v>
      </c>
      <c r="AD198" s="40">
        <v>12065</v>
      </c>
      <c r="AE198" s="40">
        <v>5666</v>
      </c>
      <c r="AF198" s="40">
        <v>1337</v>
      </c>
      <c r="AG198" s="40"/>
      <c r="AH198" s="40" t="s">
        <v>295</v>
      </c>
      <c r="AI198" s="41" t="s">
        <v>125</v>
      </c>
      <c r="AJ198" s="40" t="s">
        <v>125</v>
      </c>
      <c r="AK198" s="43" t="s">
        <v>125</v>
      </c>
      <c r="AL198" s="40"/>
      <c r="AM198" s="43">
        <v>0</v>
      </c>
      <c r="AN198" s="43">
        <v>1700</v>
      </c>
      <c r="AO198" s="43"/>
      <c r="AP198" s="43">
        <v>150</v>
      </c>
      <c r="AQ198" s="43">
        <v>1850</v>
      </c>
      <c r="AR198" s="43">
        <v>0</v>
      </c>
      <c r="AS198" s="43"/>
      <c r="AT198" s="43">
        <v>0</v>
      </c>
      <c r="AU198" s="43"/>
      <c r="AV198" s="43"/>
      <c r="AW198" s="43"/>
      <c r="AX198" s="43">
        <v>0</v>
      </c>
      <c r="AY198" s="43">
        <v>0</v>
      </c>
      <c r="AZ198" s="43">
        <v>0</v>
      </c>
      <c r="BA198" s="43">
        <v>0</v>
      </c>
      <c r="BB198" s="43">
        <v>0</v>
      </c>
      <c r="BC198" s="43">
        <v>0</v>
      </c>
      <c r="BD198" s="43">
        <v>0</v>
      </c>
      <c r="BE198" s="43">
        <v>0</v>
      </c>
      <c r="BF198" s="43">
        <v>0</v>
      </c>
      <c r="BG198" s="43">
        <v>0</v>
      </c>
      <c r="BH198" s="43">
        <v>0</v>
      </c>
      <c r="BI198" s="40" t="s">
        <v>669</v>
      </c>
      <c r="BJ198" s="40">
        <v>2022</v>
      </c>
      <c r="BK198" s="40" t="s">
        <v>2768</v>
      </c>
      <c r="BL198" s="40" t="s">
        <v>2768</v>
      </c>
      <c r="BM198" s="40" t="s">
        <v>125</v>
      </c>
    </row>
    <row r="199" spans="1:65" x14ac:dyDescent="0.25">
      <c r="A199" s="40" t="s">
        <v>2771</v>
      </c>
      <c r="B199" s="41">
        <v>44643.291666666664</v>
      </c>
      <c r="C199" s="40" t="s">
        <v>737</v>
      </c>
      <c r="D199" s="40" t="s">
        <v>450</v>
      </c>
      <c r="E199" s="40" t="s">
        <v>945</v>
      </c>
      <c r="F199" s="40">
        <v>360200021285</v>
      </c>
      <c r="G199" s="40" t="s">
        <v>946</v>
      </c>
      <c r="H199" s="40" t="s">
        <v>288</v>
      </c>
      <c r="I199" s="40">
        <v>2210</v>
      </c>
      <c r="J199" s="40" t="s">
        <v>947</v>
      </c>
      <c r="K199" s="40">
        <v>26500</v>
      </c>
      <c r="L199" s="40">
        <v>28710</v>
      </c>
      <c r="M199" s="40">
        <v>10258</v>
      </c>
      <c r="N199" s="40" t="s">
        <v>899</v>
      </c>
      <c r="O199" s="40" t="s">
        <v>182</v>
      </c>
      <c r="P199" s="40" t="s">
        <v>183</v>
      </c>
      <c r="Q199" s="40" t="s">
        <v>184</v>
      </c>
      <c r="R199" s="42" t="s">
        <v>185</v>
      </c>
      <c r="S199" s="42" t="s">
        <v>186</v>
      </c>
      <c r="T199" s="40" t="s">
        <v>293</v>
      </c>
      <c r="U199" s="41">
        <v>44642.625</v>
      </c>
      <c r="V199" s="41">
        <v>44643.375</v>
      </c>
      <c r="W199" s="41">
        <v>44643.5</v>
      </c>
      <c r="X199" s="40" t="s">
        <v>293</v>
      </c>
      <c r="Y199" s="41">
        <v>44651.004166666666</v>
      </c>
      <c r="Z199" s="41"/>
      <c r="AA199" s="41">
        <v>44643.5</v>
      </c>
      <c r="AB199" s="41"/>
      <c r="AC199" s="40" t="s">
        <v>742</v>
      </c>
      <c r="AD199" s="40">
        <v>12059</v>
      </c>
      <c r="AE199" s="40" t="s">
        <v>125</v>
      </c>
      <c r="AF199" s="40">
        <v>1328</v>
      </c>
      <c r="AG199" s="40"/>
      <c r="AH199" s="40" t="s">
        <v>309</v>
      </c>
      <c r="AI199" s="41">
        <v>44643.958333333336</v>
      </c>
      <c r="AJ199" s="40"/>
      <c r="AK199" s="43">
        <v>950</v>
      </c>
      <c r="AL199" s="40" t="s">
        <v>948</v>
      </c>
      <c r="AM199" s="43">
        <v>250</v>
      </c>
      <c r="AN199" s="43">
        <v>2380</v>
      </c>
      <c r="AO199" s="43">
        <v>895</v>
      </c>
      <c r="AP199" s="43">
        <v>125</v>
      </c>
      <c r="AQ199" s="43">
        <v>3400</v>
      </c>
      <c r="AR199" s="43">
        <v>0</v>
      </c>
      <c r="AS199" s="43"/>
      <c r="AT199" s="43">
        <v>0</v>
      </c>
      <c r="AU199" s="43"/>
      <c r="AV199" s="43"/>
      <c r="AW199" s="43"/>
      <c r="AX199" s="43">
        <v>0</v>
      </c>
      <c r="AY199" s="43">
        <v>0</v>
      </c>
      <c r="AZ199" s="43">
        <v>0</v>
      </c>
      <c r="BA199" s="43">
        <v>0</v>
      </c>
      <c r="BB199" s="43">
        <v>0</v>
      </c>
      <c r="BC199" s="43">
        <v>0</v>
      </c>
      <c r="BD199" s="43">
        <v>0</v>
      </c>
      <c r="BE199" s="43">
        <v>0</v>
      </c>
      <c r="BF199" s="43">
        <v>0</v>
      </c>
      <c r="BG199" s="43">
        <v>0</v>
      </c>
      <c r="BH199" s="43">
        <v>0</v>
      </c>
      <c r="BI199" s="40" t="s">
        <v>669</v>
      </c>
      <c r="BJ199" s="40">
        <v>2022</v>
      </c>
      <c r="BK199" s="40" t="s">
        <v>2768</v>
      </c>
      <c r="BL199" s="40" t="s">
        <v>2768</v>
      </c>
      <c r="BM199" s="40" t="s">
        <v>125</v>
      </c>
    </row>
    <row r="200" spans="1:65" x14ac:dyDescent="0.25">
      <c r="A200" s="40" t="s">
        <v>2771</v>
      </c>
      <c r="B200" s="41">
        <v>44643.291666666664</v>
      </c>
      <c r="C200" s="40" t="s">
        <v>737</v>
      </c>
      <c r="D200" s="40" t="s">
        <v>450</v>
      </c>
      <c r="E200" s="40" t="s">
        <v>945</v>
      </c>
      <c r="F200" s="40">
        <v>360200021285</v>
      </c>
      <c r="G200" s="40" t="s">
        <v>949</v>
      </c>
      <c r="H200" s="40" t="s">
        <v>288</v>
      </c>
      <c r="I200" s="40">
        <v>2150</v>
      </c>
      <c r="J200" s="40" t="s">
        <v>950</v>
      </c>
      <c r="K200" s="40">
        <v>22630</v>
      </c>
      <c r="L200" s="40">
        <v>24780</v>
      </c>
      <c r="M200" s="40">
        <v>10259</v>
      </c>
      <c r="N200" s="40" t="s">
        <v>899</v>
      </c>
      <c r="O200" s="40" t="s">
        <v>182</v>
      </c>
      <c r="P200" s="40" t="s">
        <v>187</v>
      </c>
      <c r="Q200" s="40" t="s">
        <v>184</v>
      </c>
      <c r="R200" s="42" t="s">
        <v>185</v>
      </c>
      <c r="S200" s="42" t="s">
        <v>186</v>
      </c>
      <c r="T200" s="40" t="s">
        <v>293</v>
      </c>
      <c r="U200" s="41">
        <v>44642.625</v>
      </c>
      <c r="V200" s="41">
        <v>44643.375</v>
      </c>
      <c r="W200" s="41">
        <v>44643.5</v>
      </c>
      <c r="X200" s="40" t="s">
        <v>293</v>
      </c>
      <c r="Y200" s="41">
        <v>44650.993750000001</v>
      </c>
      <c r="Z200" s="41"/>
      <c r="AA200" s="41">
        <v>44643.5</v>
      </c>
      <c r="AB200" s="41"/>
      <c r="AC200" s="40" t="s">
        <v>742</v>
      </c>
      <c r="AD200" s="40">
        <v>12060</v>
      </c>
      <c r="AE200" s="40" t="s">
        <v>125</v>
      </c>
      <c r="AF200" s="40">
        <v>1329</v>
      </c>
      <c r="AG200" s="40"/>
      <c r="AH200" s="40" t="s">
        <v>309</v>
      </c>
      <c r="AI200" s="41">
        <v>44643.958333333336</v>
      </c>
      <c r="AJ200" s="40"/>
      <c r="AK200" s="43">
        <v>950</v>
      </c>
      <c r="AL200" s="40" t="s">
        <v>948</v>
      </c>
      <c r="AM200" s="43">
        <v>250</v>
      </c>
      <c r="AN200" s="43">
        <v>2380</v>
      </c>
      <c r="AO200" s="43">
        <v>895</v>
      </c>
      <c r="AP200" s="43">
        <v>125</v>
      </c>
      <c r="AQ200" s="43">
        <v>3400</v>
      </c>
      <c r="AR200" s="43">
        <v>0</v>
      </c>
      <c r="AS200" s="43"/>
      <c r="AT200" s="43">
        <v>0</v>
      </c>
      <c r="AU200" s="43"/>
      <c r="AV200" s="43"/>
      <c r="AW200" s="43"/>
      <c r="AX200" s="43">
        <v>0</v>
      </c>
      <c r="AY200" s="43">
        <v>0</v>
      </c>
      <c r="AZ200" s="43">
        <v>0</v>
      </c>
      <c r="BA200" s="43">
        <v>0</v>
      </c>
      <c r="BB200" s="43">
        <v>0</v>
      </c>
      <c r="BC200" s="43">
        <v>0</v>
      </c>
      <c r="BD200" s="43">
        <v>0</v>
      </c>
      <c r="BE200" s="43">
        <v>0</v>
      </c>
      <c r="BF200" s="43">
        <v>0</v>
      </c>
      <c r="BG200" s="43">
        <v>0</v>
      </c>
      <c r="BH200" s="43">
        <v>0</v>
      </c>
      <c r="BI200" s="40" t="s">
        <v>669</v>
      </c>
      <c r="BJ200" s="40">
        <v>2022</v>
      </c>
      <c r="BK200" s="40" t="s">
        <v>2768</v>
      </c>
      <c r="BL200" s="40" t="s">
        <v>2768</v>
      </c>
      <c r="BM200" s="40" t="s">
        <v>125</v>
      </c>
    </row>
    <row r="201" spans="1:65" x14ac:dyDescent="0.25">
      <c r="A201" s="40" t="s">
        <v>2771</v>
      </c>
      <c r="B201" s="41">
        <v>44643.291666666664</v>
      </c>
      <c r="C201" s="40" t="s">
        <v>737</v>
      </c>
      <c r="D201" s="40" t="s">
        <v>450</v>
      </c>
      <c r="E201" s="40" t="s">
        <v>945</v>
      </c>
      <c r="F201" s="40">
        <v>360200021285</v>
      </c>
      <c r="G201" s="40" t="s">
        <v>951</v>
      </c>
      <c r="H201" s="40" t="s">
        <v>288</v>
      </c>
      <c r="I201" s="40">
        <v>2180</v>
      </c>
      <c r="J201" s="40" t="s">
        <v>952</v>
      </c>
      <c r="K201" s="40">
        <v>23440</v>
      </c>
      <c r="L201" s="40">
        <v>25620</v>
      </c>
      <c r="M201" s="40">
        <v>10260</v>
      </c>
      <c r="N201" s="40" t="s">
        <v>899</v>
      </c>
      <c r="O201" s="40" t="s">
        <v>953</v>
      </c>
      <c r="P201" s="40" t="s">
        <v>146</v>
      </c>
      <c r="Q201" s="40" t="s">
        <v>147</v>
      </c>
      <c r="R201" s="42" t="s">
        <v>148</v>
      </c>
      <c r="S201" s="42" t="s">
        <v>909</v>
      </c>
      <c r="T201" s="40" t="s">
        <v>293</v>
      </c>
      <c r="U201" s="41">
        <v>44642.625</v>
      </c>
      <c r="V201" s="41">
        <v>44643.375</v>
      </c>
      <c r="W201" s="41">
        <v>44643.5</v>
      </c>
      <c r="X201" s="40" t="s">
        <v>293</v>
      </c>
      <c r="Y201" s="41" t="s">
        <v>954</v>
      </c>
      <c r="Z201" s="41"/>
      <c r="AA201" s="41">
        <v>44643.5</v>
      </c>
      <c r="AB201" s="41"/>
      <c r="AC201" s="40" t="s">
        <v>742</v>
      </c>
      <c r="AD201" s="40">
        <v>12061</v>
      </c>
      <c r="AE201" s="40" t="s">
        <v>125</v>
      </c>
      <c r="AF201" s="40">
        <v>1330</v>
      </c>
      <c r="AG201" s="40"/>
      <c r="AH201" s="40" t="s">
        <v>309</v>
      </c>
      <c r="AI201" s="41">
        <v>44643.958333333336</v>
      </c>
      <c r="AJ201" s="40"/>
      <c r="AK201" s="43">
        <v>950</v>
      </c>
      <c r="AL201" s="40" t="s">
        <v>948</v>
      </c>
      <c r="AM201" s="43">
        <v>250</v>
      </c>
      <c r="AN201" s="43">
        <v>2380</v>
      </c>
      <c r="AO201" s="43">
        <v>895</v>
      </c>
      <c r="AP201" s="43">
        <v>125</v>
      </c>
      <c r="AQ201" s="43">
        <v>3400</v>
      </c>
      <c r="AR201" s="43">
        <v>0</v>
      </c>
      <c r="AS201" s="43"/>
      <c r="AT201" s="43">
        <v>0</v>
      </c>
      <c r="AU201" s="43"/>
      <c r="AV201" s="43"/>
      <c r="AW201" s="43"/>
      <c r="AX201" s="43">
        <v>0</v>
      </c>
      <c r="AY201" s="43">
        <v>0</v>
      </c>
      <c r="AZ201" s="43">
        <v>0</v>
      </c>
      <c r="BA201" s="43">
        <v>0</v>
      </c>
      <c r="BB201" s="43">
        <v>0</v>
      </c>
      <c r="BC201" s="43">
        <v>0</v>
      </c>
      <c r="BD201" s="43">
        <v>0</v>
      </c>
      <c r="BE201" s="43">
        <v>0</v>
      </c>
      <c r="BF201" s="43">
        <v>0</v>
      </c>
      <c r="BG201" s="43">
        <v>0</v>
      </c>
      <c r="BH201" s="43">
        <v>0</v>
      </c>
      <c r="BI201" s="40" t="s">
        <v>669</v>
      </c>
      <c r="BJ201" s="40">
        <v>2022</v>
      </c>
      <c r="BK201" s="40" t="s">
        <v>2768</v>
      </c>
      <c r="BL201" s="40" t="s">
        <v>2768</v>
      </c>
      <c r="BM201" s="40" t="s">
        <v>125</v>
      </c>
    </row>
    <row r="202" spans="1:65" x14ac:dyDescent="0.25">
      <c r="A202" s="40" t="s">
        <v>2771</v>
      </c>
      <c r="B202" s="41">
        <v>44643.291666666664</v>
      </c>
      <c r="C202" s="40" t="s">
        <v>737</v>
      </c>
      <c r="D202" s="40" t="s">
        <v>450</v>
      </c>
      <c r="E202" s="40" t="s">
        <v>945</v>
      </c>
      <c r="F202" s="40">
        <v>360200021285</v>
      </c>
      <c r="G202" s="40" t="s">
        <v>955</v>
      </c>
      <c r="H202" s="40" t="s">
        <v>288</v>
      </c>
      <c r="I202" s="40">
        <v>2210</v>
      </c>
      <c r="J202" s="40" t="s">
        <v>956</v>
      </c>
      <c r="K202" s="40">
        <v>25660</v>
      </c>
      <c r="L202" s="40">
        <v>27870</v>
      </c>
      <c r="M202" s="40">
        <v>10261</v>
      </c>
      <c r="N202" s="40" t="s">
        <v>899</v>
      </c>
      <c r="O202" s="40" t="s">
        <v>953</v>
      </c>
      <c r="P202" s="40" t="s">
        <v>149</v>
      </c>
      <c r="Q202" s="40" t="s">
        <v>147</v>
      </c>
      <c r="R202" s="42" t="s">
        <v>148</v>
      </c>
      <c r="S202" s="42" t="s">
        <v>909</v>
      </c>
      <c r="T202" s="40" t="s">
        <v>293</v>
      </c>
      <c r="U202" s="41">
        <v>44642.625</v>
      </c>
      <c r="V202" s="41">
        <v>44643.375</v>
      </c>
      <c r="W202" s="41">
        <v>44643.5</v>
      </c>
      <c r="X202" s="40" t="s">
        <v>293</v>
      </c>
      <c r="Y202" s="41">
        <v>44650.992361111108</v>
      </c>
      <c r="Z202" s="41"/>
      <c r="AA202" s="41">
        <v>44643.5</v>
      </c>
      <c r="AB202" s="41"/>
      <c r="AC202" s="40" t="s">
        <v>742</v>
      </c>
      <c r="AD202" s="40">
        <v>12062</v>
      </c>
      <c r="AE202" s="40" t="s">
        <v>125</v>
      </c>
      <c r="AF202" s="40">
        <v>1331</v>
      </c>
      <c r="AG202" s="40"/>
      <c r="AH202" s="40" t="s">
        <v>309</v>
      </c>
      <c r="AI202" s="41">
        <v>44643.958333333336</v>
      </c>
      <c r="AJ202" s="40"/>
      <c r="AK202" s="43">
        <v>950</v>
      </c>
      <c r="AL202" s="40" t="s">
        <v>948</v>
      </c>
      <c r="AM202" s="43">
        <v>250</v>
      </c>
      <c r="AN202" s="43">
        <v>2380</v>
      </c>
      <c r="AO202" s="43">
        <v>895</v>
      </c>
      <c r="AP202" s="43">
        <v>125</v>
      </c>
      <c r="AQ202" s="43">
        <v>3400</v>
      </c>
      <c r="AR202" s="43">
        <v>0</v>
      </c>
      <c r="AS202" s="43"/>
      <c r="AT202" s="43">
        <v>0</v>
      </c>
      <c r="AU202" s="43"/>
      <c r="AV202" s="43"/>
      <c r="AW202" s="43"/>
      <c r="AX202" s="43">
        <v>0</v>
      </c>
      <c r="AY202" s="43">
        <v>0</v>
      </c>
      <c r="AZ202" s="43">
        <v>0</v>
      </c>
      <c r="BA202" s="43">
        <v>0</v>
      </c>
      <c r="BB202" s="43">
        <v>0</v>
      </c>
      <c r="BC202" s="43">
        <v>0</v>
      </c>
      <c r="BD202" s="43">
        <v>0</v>
      </c>
      <c r="BE202" s="43">
        <v>0</v>
      </c>
      <c r="BF202" s="43">
        <v>0</v>
      </c>
      <c r="BG202" s="43">
        <v>0</v>
      </c>
      <c r="BH202" s="43">
        <v>0</v>
      </c>
      <c r="BI202" s="40" t="s">
        <v>669</v>
      </c>
      <c r="BJ202" s="40">
        <v>2022</v>
      </c>
      <c r="BK202" s="40" t="s">
        <v>2768</v>
      </c>
      <c r="BL202" s="40" t="s">
        <v>2768</v>
      </c>
      <c r="BM202" s="40" t="s">
        <v>125</v>
      </c>
    </row>
    <row r="203" spans="1:65" x14ac:dyDescent="0.25">
      <c r="A203" s="40" t="s">
        <v>2771</v>
      </c>
      <c r="B203" s="41">
        <v>44643.291666666664</v>
      </c>
      <c r="C203" s="40" t="s">
        <v>737</v>
      </c>
      <c r="D203" s="40" t="s">
        <v>450</v>
      </c>
      <c r="E203" s="40" t="s">
        <v>945</v>
      </c>
      <c r="F203" s="40">
        <v>360200021285</v>
      </c>
      <c r="G203" s="40" t="s">
        <v>957</v>
      </c>
      <c r="H203" s="40" t="s">
        <v>288</v>
      </c>
      <c r="I203" s="40">
        <v>2245</v>
      </c>
      <c r="J203" s="40" t="s">
        <v>958</v>
      </c>
      <c r="K203" s="40">
        <v>22920</v>
      </c>
      <c r="L203" s="40">
        <v>25165</v>
      </c>
      <c r="M203" s="40">
        <v>10262</v>
      </c>
      <c r="N203" s="40" t="s">
        <v>899</v>
      </c>
      <c r="O203" s="40" t="s">
        <v>52</v>
      </c>
      <c r="P203" s="40" t="s">
        <v>57</v>
      </c>
      <c r="Q203" s="40" t="s">
        <v>54</v>
      </c>
      <c r="R203" s="42" t="s">
        <v>55</v>
      </c>
      <c r="S203" s="42" t="s">
        <v>56</v>
      </c>
      <c r="T203" s="40" t="s">
        <v>293</v>
      </c>
      <c r="U203" s="41">
        <v>44642.625</v>
      </c>
      <c r="V203" s="41">
        <v>44643.375</v>
      </c>
      <c r="W203" s="41">
        <v>44643.5</v>
      </c>
      <c r="X203" s="40" t="s">
        <v>293</v>
      </c>
      <c r="Y203" s="41">
        <v>44650.990277777775</v>
      </c>
      <c r="Z203" s="41"/>
      <c r="AA203" s="41">
        <v>44643.5</v>
      </c>
      <c r="AB203" s="41"/>
      <c r="AC203" s="40" t="s">
        <v>742</v>
      </c>
      <c r="AD203" s="40">
        <v>12063</v>
      </c>
      <c r="AE203" s="40" t="s">
        <v>125</v>
      </c>
      <c r="AF203" s="40">
        <v>1332</v>
      </c>
      <c r="AG203" s="40"/>
      <c r="AH203" s="40" t="s">
        <v>309</v>
      </c>
      <c r="AI203" s="41">
        <v>44643.958333333336</v>
      </c>
      <c r="AJ203" s="40"/>
      <c r="AK203" s="43">
        <v>950</v>
      </c>
      <c r="AL203" s="40" t="s">
        <v>948</v>
      </c>
      <c r="AM203" s="43">
        <v>250</v>
      </c>
      <c r="AN203" s="43">
        <v>2380</v>
      </c>
      <c r="AO203" s="43">
        <v>895</v>
      </c>
      <c r="AP203" s="43">
        <v>125</v>
      </c>
      <c r="AQ203" s="43">
        <v>3400</v>
      </c>
      <c r="AR203" s="43">
        <v>0</v>
      </c>
      <c r="AS203" s="43"/>
      <c r="AT203" s="43">
        <v>0</v>
      </c>
      <c r="AU203" s="43"/>
      <c r="AV203" s="43"/>
      <c r="AW203" s="43"/>
      <c r="AX203" s="43">
        <v>0</v>
      </c>
      <c r="AY203" s="43">
        <v>0</v>
      </c>
      <c r="AZ203" s="43">
        <v>0</v>
      </c>
      <c r="BA203" s="43">
        <v>0</v>
      </c>
      <c r="BB203" s="43">
        <v>0</v>
      </c>
      <c r="BC203" s="43">
        <v>0</v>
      </c>
      <c r="BD203" s="43">
        <v>0</v>
      </c>
      <c r="BE203" s="43">
        <v>0</v>
      </c>
      <c r="BF203" s="43">
        <v>0</v>
      </c>
      <c r="BG203" s="43">
        <v>0</v>
      </c>
      <c r="BH203" s="43">
        <v>0</v>
      </c>
      <c r="BI203" s="40" t="s">
        <v>669</v>
      </c>
      <c r="BJ203" s="40">
        <v>2022</v>
      </c>
      <c r="BK203" s="40" t="s">
        <v>2768</v>
      </c>
      <c r="BL203" s="40" t="s">
        <v>2768</v>
      </c>
      <c r="BM203" s="40" t="s">
        <v>125</v>
      </c>
    </row>
    <row r="204" spans="1:65" x14ac:dyDescent="0.25">
      <c r="A204" s="40" t="s">
        <v>2771</v>
      </c>
      <c r="B204" s="41">
        <v>44643.291666666664</v>
      </c>
      <c r="C204" s="40" t="s">
        <v>737</v>
      </c>
      <c r="D204" s="40" t="s">
        <v>450</v>
      </c>
      <c r="E204" s="40" t="s">
        <v>945</v>
      </c>
      <c r="F204" s="40">
        <v>360200021285</v>
      </c>
      <c r="G204" s="40" t="s">
        <v>959</v>
      </c>
      <c r="H204" s="40" t="s">
        <v>288</v>
      </c>
      <c r="I204" s="40">
        <v>2245</v>
      </c>
      <c r="J204" s="40" t="s">
        <v>960</v>
      </c>
      <c r="K204" s="40">
        <v>25700</v>
      </c>
      <c r="L204" s="40">
        <v>27945</v>
      </c>
      <c r="M204" s="40">
        <v>10263</v>
      </c>
      <c r="N204" s="40" t="s">
        <v>899</v>
      </c>
      <c r="O204" s="40" t="s">
        <v>52</v>
      </c>
      <c r="P204" s="40" t="s">
        <v>53</v>
      </c>
      <c r="Q204" s="40" t="s">
        <v>54</v>
      </c>
      <c r="R204" s="42" t="s">
        <v>55</v>
      </c>
      <c r="S204" s="42" t="s">
        <v>56</v>
      </c>
      <c r="T204" s="40" t="s">
        <v>293</v>
      </c>
      <c r="U204" s="41">
        <v>44642.625</v>
      </c>
      <c r="V204" s="41">
        <v>44643.375</v>
      </c>
      <c r="W204" s="41">
        <v>44643.5</v>
      </c>
      <c r="X204" s="40" t="s">
        <v>293</v>
      </c>
      <c r="Y204" s="41">
        <v>44650.993055555555</v>
      </c>
      <c r="Z204" s="41"/>
      <c r="AA204" s="41">
        <v>44643.5</v>
      </c>
      <c r="AB204" s="41"/>
      <c r="AC204" s="40" t="s">
        <v>742</v>
      </c>
      <c r="AD204" s="40">
        <v>12064</v>
      </c>
      <c r="AE204" s="40" t="s">
        <v>125</v>
      </c>
      <c r="AF204" s="40">
        <v>1333</v>
      </c>
      <c r="AG204" s="40"/>
      <c r="AH204" s="40" t="s">
        <v>309</v>
      </c>
      <c r="AI204" s="41">
        <v>44643.958333333336</v>
      </c>
      <c r="AJ204" s="40"/>
      <c r="AK204" s="43">
        <v>950</v>
      </c>
      <c r="AL204" s="40" t="s">
        <v>948</v>
      </c>
      <c r="AM204" s="43">
        <v>250</v>
      </c>
      <c r="AN204" s="43">
        <v>2380</v>
      </c>
      <c r="AO204" s="43">
        <v>895</v>
      </c>
      <c r="AP204" s="43">
        <v>125</v>
      </c>
      <c r="AQ204" s="43">
        <v>3400</v>
      </c>
      <c r="AR204" s="43">
        <v>0</v>
      </c>
      <c r="AS204" s="43"/>
      <c r="AT204" s="43">
        <v>0</v>
      </c>
      <c r="AU204" s="43"/>
      <c r="AV204" s="43"/>
      <c r="AW204" s="43"/>
      <c r="AX204" s="43">
        <v>0</v>
      </c>
      <c r="AY204" s="43">
        <v>0</v>
      </c>
      <c r="AZ204" s="43">
        <v>0</v>
      </c>
      <c r="BA204" s="43">
        <v>0</v>
      </c>
      <c r="BB204" s="43">
        <v>0</v>
      </c>
      <c r="BC204" s="43">
        <v>0</v>
      </c>
      <c r="BD204" s="43">
        <v>0</v>
      </c>
      <c r="BE204" s="43">
        <v>0</v>
      </c>
      <c r="BF204" s="43">
        <v>0</v>
      </c>
      <c r="BG204" s="43">
        <v>0</v>
      </c>
      <c r="BH204" s="43">
        <v>0</v>
      </c>
      <c r="BI204" s="40" t="s">
        <v>669</v>
      </c>
      <c r="BJ204" s="40">
        <v>2022</v>
      </c>
      <c r="BK204" s="40" t="s">
        <v>2768</v>
      </c>
      <c r="BL204" s="40" t="s">
        <v>2768</v>
      </c>
      <c r="BM204" s="40" t="s">
        <v>125</v>
      </c>
    </row>
    <row r="205" spans="1:65" x14ac:dyDescent="0.25">
      <c r="A205" s="40" t="s">
        <v>2771</v>
      </c>
      <c r="B205" s="41">
        <v>44643.291666666664</v>
      </c>
      <c r="C205" s="40" t="s">
        <v>737</v>
      </c>
      <c r="D205" s="40" t="s">
        <v>450</v>
      </c>
      <c r="E205" s="40" t="s">
        <v>945</v>
      </c>
      <c r="F205" s="40">
        <v>360200021285</v>
      </c>
      <c r="G205" s="40" t="s">
        <v>961</v>
      </c>
      <c r="H205" s="40" t="s">
        <v>288</v>
      </c>
      <c r="I205" s="40">
        <v>2200</v>
      </c>
      <c r="J205" s="40" t="s">
        <v>962</v>
      </c>
      <c r="K205" s="40">
        <v>23980</v>
      </c>
      <c r="L205" s="40">
        <v>26180</v>
      </c>
      <c r="M205" s="40">
        <v>10256</v>
      </c>
      <c r="N205" s="40" t="s">
        <v>899</v>
      </c>
      <c r="O205" s="40" t="s">
        <v>197</v>
      </c>
      <c r="P205" s="40" t="s">
        <v>198</v>
      </c>
      <c r="Q205" s="40" t="s">
        <v>199</v>
      </c>
      <c r="R205" s="42" t="s">
        <v>200</v>
      </c>
      <c r="S205" s="42" t="s">
        <v>201</v>
      </c>
      <c r="T205" s="40" t="s">
        <v>293</v>
      </c>
      <c r="U205" s="41">
        <v>44642.5</v>
      </c>
      <c r="V205" s="41">
        <v>44643.25</v>
      </c>
      <c r="W205" s="41">
        <v>44643.5</v>
      </c>
      <c r="X205" s="40" t="s">
        <v>293</v>
      </c>
      <c r="Y205" s="41">
        <v>44651.065972222219</v>
      </c>
      <c r="Z205" s="41"/>
      <c r="AA205" s="41">
        <v>44643.5</v>
      </c>
      <c r="AB205" s="41"/>
      <c r="AC205" s="40" t="s">
        <v>742</v>
      </c>
      <c r="AD205" s="40">
        <v>12057</v>
      </c>
      <c r="AE205" s="40" t="s">
        <v>125</v>
      </c>
      <c r="AF205" s="40">
        <v>1334</v>
      </c>
      <c r="AG205" s="40"/>
      <c r="AH205" s="40" t="s">
        <v>309</v>
      </c>
      <c r="AI205" s="41">
        <v>44643.875</v>
      </c>
      <c r="AJ205" s="40"/>
      <c r="AK205" s="43">
        <v>950</v>
      </c>
      <c r="AL205" s="40" t="s">
        <v>295</v>
      </c>
      <c r="AM205" s="43">
        <v>0</v>
      </c>
      <c r="AN205" s="43">
        <v>2380</v>
      </c>
      <c r="AO205" s="43">
        <v>1020</v>
      </c>
      <c r="AP205" s="43"/>
      <c r="AQ205" s="43">
        <v>3400</v>
      </c>
      <c r="AR205" s="43">
        <v>0</v>
      </c>
      <c r="AS205" s="43"/>
      <c r="AT205" s="43">
        <v>0</v>
      </c>
      <c r="AU205" s="43"/>
      <c r="AV205" s="43"/>
      <c r="AW205" s="43"/>
      <c r="AX205" s="43">
        <v>0</v>
      </c>
      <c r="AY205" s="43">
        <v>0</v>
      </c>
      <c r="AZ205" s="43">
        <v>0</v>
      </c>
      <c r="BA205" s="43">
        <v>0</v>
      </c>
      <c r="BB205" s="43">
        <v>0</v>
      </c>
      <c r="BC205" s="43">
        <v>0</v>
      </c>
      <c r="BD205" s="43">
        <v>0</v>
      </c>
      <c r="BE205" s="43">
        <v>0</v>
      </c>
      <c r="BF205" s="43">
        <v>0</v>
      </c>
      <c r="BG205" s="43">
        <v>0</v>
      </c>
      <c r="BH205" s="43">
        <v>0</v>
      </c>
      <c r="BI205" s="40" t="s">
        <v>669</v>
      </c>
      <c r="BJ205" s="40">
        <v>2022</v>
      </c>
      <c r="BK205" s="40" t="s">
        <v>2768</v>
      </c>
      <c r="BL205" s="40" t="s">
        <v>2768</v>
      </c>
      <c r="BM205" s="40" t="s">
        <v>125</v>
      </c>
    </row>
    <row r="206" spans="1:65" x14ac:dyDescent="0.25">
      <c r="A206" s="40" t="s">
        <v>2771</v>
      </c>
      <c r="B206" s="41">
        <v>44643.291666666664</v>
      </c>
      <c r="C206" s="40" t="s">
        <v>737</v>
      </c>
      <c r="D206" s="40" t="s">
        <v>450</v>
      </c>
      <c r="E206" s="40" t="s">
        <v>945</v>
      </c>
      <c r="F206" s="40">
        <v>360200021285</v>
      </c>
      <c r="G206" s="40" t="s">
        <v>963</v>
      </c>
      <c r="H206" s="40" t="s">
        <v>288</v>
      </c>
      <c r="I206" s="40">
        <v>2200</v>
      </c>
      <c r="J206" s="40" t="s">
        <v>964</v>
      </c>
      <c r="K206" s="40">
        <v>26300</v>
      </c>
      <c r="L206" s="40">
        <v>28500</v>
      </c>
      <c r="M206" s="40">
        <v>10257</v>
      </c>
      <c r="N206" s="40" t="s">
        <v>899</v>
      </c>
      <c r="O206" s="40" t="s">
        <v>197</v>
      </c>
      <c r="P206" s="40" t="s">
        <v>202</v>
      </c>
      <c r="Q206" s="40" t="s">
        <v>199</v>
      </c>
      <c r="R206" s="42" t="s">
        <v>200</v>
      </c>
      <c r="S206" s="42" t="s">
        <v>201</v>
      </c>
      <c r="T206" s="40" t="s">
        <v>293</v>
      </c>
      <c r="U206" s="41">
        <v>44642.5</v>
      </c>
      <c r="V206" s="41">
        <v>44643.25</v>
      </c>
      <c r="W206" s="41">
        <v>44643.5</v>
      </c>
      <c r="X206" s="40" t="s">
        <v>293</v>
      </c>
      <c r="Y206" s="41">
        <v>44651.064583333333</v>
      </c>
      <c r="Z206" s="41"/>
      <c r="AA206" s="41">
        <v>44643.5</v>
      </c>
      <c r="AB206" s="41"/>
      <c r="AC206" s="40" t="s">
        <v>742</v>
      </c>
      <c r="AD206" s="40">
        <v>12058</v>
      </c>
      <c r="AE206" s="40" t="s">
        <v>125</v>
      </c>
      <c r="AF206" s="40">
        <v>1335</v>
      </c>
      <c r="AG206" s="40"/>
      <c r="AH206" s="40" t="s">
        <v>309</v>
      </c>
      <c r="AI206" s="41">
        <v>44643.875</v>
      </c>
      <c r="AJ206" s="40"/>
      <c r="AK206" s="43">
        <v>950</v>
      </c>
      <c r="AL206" s="40" t="s">
        <v>295</v>
      </c>
      <c r="AM206" s="43">
        <v>0</v>
      </c>
      <c r="AN206" s="43">
        <v>2380</v>
      </c>
      <c r="AO206" s="43">
        <v>1020</v>
      </c>
      <c r="AP206" s="43"/>
      <c r="AQ206" s="43">
        <v>3400</v>
      </c>
      <c r="AR206" s="43">
        <v>0</v>
      </c>
      <c r="AS206" s="43"/>
      <c r="AT206" s="43">
        <v>0</v>
      </c>
      <c r="AU206" s="43"/>
      <c r="AV206" s="43"/>
      <c r="AW206" s="43"/>
      <c r="AX206" s="43">
        <v>0</v>
      </c>
      <c r="AY206" s="43">
        <v>0</v>
      </c>
      <c r="AZ206" s="43">
        <v>0</v>
      </c>
      <c r="BA206" s="43">
        <v>0</v>
      </c>
      <c r="BB206" s="43">
        <v>0</v>
      </c>
      <c r="BC206" s="43">
        <v>0</v>
      </c>
      <c r="BD206" s="43">
        <v>0</v>
      </c>
      <c r="BE206" s="43">
        <v>0</v>
      </c>
      <c r="BF206" s="43">
        <v>0</v>
      </c>
      <c r="BG206" s="43">
        <v>0</v>
      </c>
      <c r="BH206" s="43">
        <v>0</v>
      </c>
      <c r="BI206" s="40" t="s">
        <v>669</v>
      </c>
      <c r="BJ206" s="40">
        <v>2022</v>
      </c>
      <c r="BK206" s="40" t="s">
        <v>2768</v>
      </c>
      <c r="BL206" s="40" t="s">
        <v>2768</v>
      </c>
      <c r="BM206" s="40" t="s">
        <v>125</v>
      </c>
    </row>
    <row r="207" spans="1:65" x14ac:dyDescent="0.25">
      <c r="A207" s="40" t="s">
        <v>2771</v>
      </c>
      <c r="B207" s="41">
        <v>44644.291666666664</v>
      </c>
      <c r="C207" s="40" t="s">
        <v>737</v>
      </c>
      <c r="D207" s="40" t="s">
        <v>450</v>
      </c>
      <c r="E207" s="40" t="s">
        <v>945</v>
      </c>
      <c r="F207" s="40">
        <v>360200021285</v>
      </c>
      <c r="G207" s="40" t="s">
        <v>965</v>
      </c>
      <c r="H207" s="40" t="s">
        <v>288</v>
      </c>
      <c r="I207" s="40">
        <v>2210</v>
      </c>
      <c r="J207" s="40" t="s">
        <v>966</v>
      </c>
      <c r="K207" s="40">
        <v>23850</v>
      </c>
      <c r="L207" s="40">
        <v>26060</v>
      </c>
      <c r="M207" s="40">
        <v>10264</v>
      </c>
      <c r="N207" s="40" t="s">
        <v>899</v>
      </c>
      <c r="O207" s="40" t="s">
        <v>129</v>
      </c>
      <c r="P207" s="40" t="s">
        <v>130</v>
      </c>
      <c r="Q207" s="40" t="s">
        <v>131</v>
      </c>
      <c r="R207" s="42" t="s">
        <v>132</v>
      </c>
      <c r="S207" s="42" t="s">
        <v>133</v>
      </c>
      <c r="T207" s="40" t="s">
        <v>293</v>
      </c>
      <c r="U207" s="41">
        <v>44642.625</v>
      </c>
      <c r="V207" s="41">
        <v>44644.208333333336</v>
      </c>
      <c r="W207" s="41">
        <v>44644.458333333336</v>
      </c>
      <c r="X207" s="40" t="s">
        <v>293</v>
      </c>
      <c r="Y207" s="41">
        <v>44651.069444444445</v>
      </c>
      <c r="Z207" s="41"/>
      <c r="AA207" s="41">
        <v>44643.5</v>
      </c>
      <c r="AB207" s="41"/>
      <c r="AC207" s="40" t="s">
        <v>742</v>
      </c>
      <c r="AD207" s="40">
        <v>12082</v>
      </c>
      <c r="AE207" s="40" t="s">
        <v>125</v>
      </c>
      <c r="AF207" s="40">
        <v>1326</v>
      </c>
      <c r="AG207" s="40"/>
      <c r="AH207" s="40" t="s">
        <v>309</v>
      </c>
      <c r="AI207" s="41">
        <v>44644.993055555555</v>
      </c>
      <c r="AJ207" s="40"/>
      <c r="AK207" s="43">
        <v>950</v>
      </c>
      <c r="AL207" s="40" t="s">
        <v>948</v>
      </c>
      <c r="AM207" s="43">
        <v>250</v>
      </c>
      <c r="AN207" s="43">
        <v>2380</v>
      </c>
      <c r="AO207" s="43">
        <v>895</v>
      </c>
      <c r="AP207" s="43">
        <v>125</v>
      </c>
      <c r="AQ207" s="43">
        <v>3400</v>
      </c>
      <c r="AR207" s="43">
        <v>0</v>
      </c>
      <c r="AS207" s="43"/>
      <c r="AT207" s="43">
        <v>0</v>
      </c>
      <c r="AU207" s="43"/>
      <c r="AV207" s="43"/>
      <c r="AW207" s="43"/>
      <c r="AX207" s="43">
        <v>0</v>
      </c>
      <c r="AY207" s="43">
        <v>0</v>
      </c>
      <c r="AZ207" s="43">
        <v>0</v>
      </c>
      <c r="BA207" s="43">
        <v>0</v>
      </c>
      <c r="BB207" s="43">
        <v>0</v>
      </c>
      <c r="BC207" s="43">
        <v>0</v>
      </c>
      <c r="BD207" s="43">
        <v>0</v>
      </c>
      <c r="BE207" s="43">
        <v>0</v>
      </c>
      <c r="BF207" s="43">
        <v>0</v>
      </c>
      <c r="BG207" s="43">
        <v>0</v>
      </c>
      <c r="BH207" s="43">
        <v>0</v>
      </c>
      <c r="BI207" s="40" t="s">
        <v>669</v>
      </c>
      <c r="BJ207" s="40">
        <v>2022</v>
      </c>
      <c r="BK207" s="40" t="s">
        <v>2768</v>
      </c>
      <c r="BL207" s="40" t="s">
        <v>2768</v>
      </c>
      <c r="BM207" s="40" t="s">
        <v>125</v>
      </c>
    </row>
    <row r="208" spans="1:65" x14ac:dyDescent="0.25">
      <c r="A208" s="40" t="s">
        <v>2771</v>
      </c>
      <c r="B208" s="41">
        <v>44644.291666666664</v>
      </c>
      <c r="C208" s="40" t="s">
        <v>737</v>
      </c>
      <c r="D208" s="40" t="s">
        <v>450</v>
      </c>
      <c r="E208" s="40" t="s">
        <v>945</v>
      </c>
      <c r="F208" s="40">
        <v>360200021285</v>
      </c>
      <c r="G208" s="40" t="s">
        <v>967</v>
      </c>
      <c r="H208" s="40" t="s">
        <v>288</v>
      </c>
      <c r="I208" s="40">
        <v>2160</v>
      </c>
      <c r="J208" s="40" t="s">
        <v>968</v>
      </c>
      <c r="K208" s="40">
        <v>25770</v>
      </c>
      <c r="L208" s="40">
        <v>27930</v>
      </c>
      <c r="M208" s="40">
        <v>10265</v>
      </c>
      <c r="N208" s="40" t="s">
        <v>899</v>
      </c>
      <c r="O208" s="40" t="s">
        <v>129</v>
      </c>
      <c r="P208" s="40" t="s">
        <v>134</v>
      </c>
      <c r="Q208" s="40" t="s">
        <v>131</v>
      </c>
      <c r="R208" s="42" t="s">
        <v>132</v>
      </c>
      <c r="S208" s="42" t="s">
        <v>133</v>
      </c>
      <c r="T208" s="40" t="s">
        <v>293</v>
      </c>
      <c r="U208" s="41">
        <v>44642.625</v>
      </c>
      <c r="V208" s="41">
        <v>44644.208333333336</v>
      </c>
      <c r="W208" s="41">
        <v>44644.458333333336</v>
      </c>
      <c r="X208" s="40" t="s">
        <v>293</v>
      </c>
      <c r="Y208" s="41">
        <v>44651.0625</v>
      </c>
      <c r="Z208" s="41"/>
      <c r="AA208" s="41">
        <v>44643.5</v>
      </c>
      <c r="AB208" s="41"/>
      <c r="AC208" s="40" t="s">
        <v>742</v>
      </c>
      <c r="AD208" s="40">
        <v>12083</v>
      </c>
      <c r="AE208" s="40" t="s">
        <v>125</v>
      </c>
      <c r="AF208" s="40">
        <v>1327</v>
      </c>
      <c r="AG208" s="40"/>
      <c r="AH208" s="40" t="s">
        <v>309</v>
      </c>
      <c r="AI208" s="41">
        <v>44644.993055555555</v>
      </c>
      <c r="AJ208" s="40"/>
      <c r="AK208" s="43">
        <v>950</v>
      </c>
      <c r="AL208" s="40" t="s">
        <v>948</v>
      </c>
      <c r="AM208" s="43">
        <v>250</v>
      </c>
      <c r="AN208" s="43">
        <v>2380</v>
      </c>
      <c r="AO208" s="43">
        <v>895</v>
      </c>
      <c r="AP208" s="43">
        <v>125</v>
      </c>
      <c r="AQ208" s="43">
        <v>3400</v>
      </c>
      <c r="AR208" s="43">
        <v>0</v>
      </c>
      <c r="AS208" s="43"/>
      <c r="AT208" s="43">
        <v>0</v>
      </c>
      <c r="AU208" s="43"/>
      <c r="AV208" s="43"/>
      <c r="AW208" s="43"/>
      <c r="AX208" s="43">
        <v>0</v>
      </c>
      <c r="AY208" s="43">
        <v>0</v>
      </c>
      <c r="AZ208" s="43">
        <v>0</v>
      </c>
      <c r="BA208" s="43">
        <v>0</v>
      </c>
      <c r="BB208" s="43">
        <v>0</v>
      </c>
      <c r="BC208" s="43">
        <v>0</v>
      </c>
      <c r="BD208" s="43">
        <v>0</v>
      </c>
      <c r="BE208" s="43">
        <v>0</v>
      </c>
      <c r="BF208" s="43">
        <v>0</v>
      </c>
      <c r="BG208" s="43">
        <v>0</v>
      </c>
      <c r="BH208" s="43">
        <v>0</v>
      </c>
      <c r="BI208" s="40" t="s">
        <v>669</v>
      </c>
      <c r="BJ208" s="40">
        <v>2022</v>
      </c>
      <c r="BK208" s="40" t="s">
        <v>2768</v>
      </c>
      <c r="BL208" s="40" t="s">
        <v>2768</v>
      </c>
      <c r="BM208" s="40" t="s">
        <v>125</v>
      </c>
    </row>
    <row r="209" spans="1:65" x14ac:dyDescent="0.25">
      <c r="A209" s="40" t="s">
        <v>2771</v>
      </c>
      <c r="B209" s="41">
        <v>44644.291666666664</v>
      </c>
      <c r="C209" s="40" t="s">
        <v>737</v>
      </c>
      <c r="D209" s="40" t="s">
        <v>450</v>
      </c>
      <c r="E209" s="40" t="s">
        <v>969</v>
      </c>
      <c r="F209" s="40">
        <v>360200021269</v>
      </c>
      <c r="G209" s="40" t="s">
        <v>970</v>
      </c>
      <c r="H209" s="40" t="s">
        <v>288</v>
      </c>
      <c r="I209" s="40">
        <v>2200</v>
      </c>
      <c r="J209" s="40" t="s">
        <v>971</v>
      </c>
      <c r="K209" s="40">
        <v>26300</v>
      </c>
      <c r="L209" s="40">
        <v>28500</v>
      </c>
      <c r="M209" s="40">
        <v>10269</v>
      </c>
      <c r="N209" s="40" t="s">
        <v>899</v>
      </c>
      <c r="O209" s="40" t="s">
        <v>182</v>
      </c>
      <c r="P209" s="40" t="s">
        <v>183</v>
      </c>
      <c r="Q209" s="40" t="s">
        <v>184</v>
      </c>
      <c r="R209" s="42" t="s">
        <v>185</v>
      </c>
      <c r="S209" s="42" t="s">
        <v>186</v>
      </c>
      <c r="T209" s="40" t="s">
        <v>293</v>
      </c>
      <c r="U209" s="41">
        <v>44643.333333333336</v>
      </c>
      <c r="V209" s="41">
        <v>44644.25</v>
      </c>
      <c r="W209" s="41">
        <v>44644.541666666664</v>
      </c>
      <c r="X209" s="40" t="s">
        <v>293</v>
      </c>
      <c r="Y209" s="41">
        <v>44650.901388888888</v>
      </c>
      <c r="Z209" s="41"/>
      <c r="AA209" s="41"/>
      <c r="AB209" s="41"/>
      <c r="AC209" s="40" t="s">
        <v>742</v>
      </c>
      <c r="AD209" s="40">
        <v>12088</v>
      </c>
      <c r="AE209" s="40" t="s">
        <v>125</v>
      </c>
      <c r="AF209" s="40">
        <v>1340</v>
      </c>
      <c r="AG209" s="40"/>
      <c r="AH209" s="40" t="s">
        <v>309</v>
      </c>
      <c r="AI209" s="41">
        <v>44645.020833333336</v>
      </c>
      <c r="AJ209" s="40"/>
      <c r="AK209" s="43">
        <v>950</v>
      </c>
      <c r="AL209" s="40" t="s">
        <v>948</v>
      </c>
      <c r="AM209" s="43">
        <v>250</v>
      </c>
      <c r="AN209" s="43">
        <v>2380</v>
      </c>
      <c r="AO209" s="43">
        <v>895</v>
      </c>
      <c r="AP209" s="43">
        <v>125</v>
      </c>
      <c r="AQ209" s="43">
        <v>3400</v>
      </c>
      <c r="AR209" s="43">
        <v>0</v>
      </c>
      <c r="AS209" s="43"/>
      <c r="AT209" s="43">
        <v>0</v>
      </c>
      <c r="AU209" s="43"/>
      <c r="AV209" s="43"/>
      <c r="AW209" s="43"/>
      <c r="AX209" s="43">
        <v>0</v>
      </c>
      <c r="AY209" s="43">
        <v>0</v>
      </c>
      <c r="AZ209" s="43">
        <v>0</v>
      </c>
      <c r="BA209" s="43">
        <v>0</v>
      </c>
      <c r="BB209" s="43">
        <v>0</v>
      </c>
      <c r="BC209" s="43">
        <v>0</v>
      </c>
      <c r="BD209" s="43">
        <v>0</v>
      </c>
      <c r="BE209" s="43">
        <v>0</v>
      </c>
      <c r="BF209" s="43">
        <v>0</v>
      </c>
      <c r="BG209" s="43">
        <v>0</v>
      </c>
      <c r="BH209" s="43">
        <v>0</v>
      </c>
      <c r="BI209" s="40" t="s">
        <v>669</v>
      </c>
      <c r="BJ209" s="40">
        <v>2022</v>
      </c>
      <c r="BK209" s="40" t="s">
        <v>2768</v>
      </c>
      <c r="BL209" s="40" t="s">
        <v>2768</v>
      </c>
      <c r="BM209" s="40" t="s">
        <v>125</v>
      </c>
    </row>
    <row r="210" spans="1:65" x14ac:dyDescent="0.25">
      <c r="A210" s="40" t="s">
        <v>2771</v>
      </c>
      <c r="B210" s="41">
        <v>44644.291666666664</v>
      </c>
      <c r="C210" s="40" t="s">
        <v>737</v>
      </c>
      <c r="D210" s="40" t="s">
        <v>450</v>
      </c>
      <c r="E210" s="40" t="s">
        <v>969</v>
      </c>
      <c r="F210" s="40">
        <v>360200021269</v>
      </c>
      <c r="G210" s="40" t="s">
        <v>972</v>
      </c>
      <c r="H210" s="40" t="s">
        <v>288</v>
      </c>
      <c r="I210" s="40">
        <v>2245</v>
      </c>
      <c r="J210" s="40" t="s">
        <v>973</v>
      </c>
      <c r="K210" s="40">
        <v>24540</v>
      </c>
      <c r="L210" s="40">
        <v>26785</v>
      </c>
      <c r="M210" s="40">
        <v>10268</v>
      </c>
      <c r="N210" s="40" t="s">
        <v>899</v>
      </c>
      <c r="O210" s="40" t="s">
        <v>182</v>
      </c>
      <c r="P210" s="40" t="s">
        <v>187</v>
      </c>
      <c r="Q210" s="40" t="s">
        <v>184</v>
      </c>
      <c r="R210" s="42" t="s">
        <v>185</v>
      </c>
      <c r="S210" s="42" t="s">
        <v>186</v>
      </c>
      <c r="T210" s="40" t="s">
        <v>293</v>
      </c>
      <c r="U210" s="41">
        <v>44643.333333333336</v>
      </c>
      <c r="V210" s="41">
        <v>44644.25</v>
      </c>
      <c r="W210" s="41">
        <v>44644.541666666664</v>
      </c>
      <c r="X210" s="40" t="s">
        <v>293</v>
      </c>
      <c r="Y210" s="41">
        <v>44650.920138888891</v>
      </c>
      <c r="Z210" s="41"/>
      <c r="AA210" s="41"/>
      <c r="AB210" s="41"/>
      <c r="AC210" s="40" t="s">
        <v>742</v>
      </c>
      <c r="AD210" s="40">
        <v>12089</v>
      </c>
      <c r="AE210" s="40" t="s">
        <v>125</v>
      </c>
      <c r="AF210" s="40">
        <v>1341</v>
      </c>
      <c r="AG210" s="40"/>
      <c r="AH210" s="40" t="s">
        <v>309</v>
      </c>
      <c r="AI210" s="41">
        <v>44645.020833333336</v>
      </c>
      <c r="AJ210" s="40"/>
      <c r="AK210" s="43">
        <v>950</v>
      </c>
      <c r="AL210" s="40" t="s">
        <v>948</v>
      </c>
      <c r="AM210" s="43">
        <v>250</v>
      </c>
      <c r="AN210" s="43">
        <v>2380</v>
      </c>
      <c r="AO210" s="43">
        <v>895</v>
      </c>
      <c r="AP210" s="43">
        <v>125</v>
      </c>
      <c r="AQ210" s="43">
        <v>3400</v>
      </c>
      <c r="AR210" s="43">
        <v>0</v>
      </c>
      <c r="AS210" s="43"/>
      <c r="AT210" s="43">
        <v>0</v>
      </c>
      <c r="AU210" s="43"/>
      <c r="AV210" s="43"/>
      <c r="AW210" s="43"/>
      <c r="AX210" s="43">
        <v>0</v>
      </c>
      <c r="AY210" s="43">
        <v>0</v>
      </c>
      <c r="AZ210" s="43">
        <v>0</v>
      </c>
      <c r="BA210" s="43">
        <v>0</v>
      </c>
      <c r="BB210" s="43">
        <v>0</v>
      </c>
      <c r="BC210" s="43">
        <v>0</v>
      </c>
      <c r="BD210" s="43">
        <v>0</v>
      </c>
      <c r="BE210" s="43">
        <v>0</v>
      </c>
      <c r="BF210" s="43">
        <v>0</v>
      </c>
      <c r="BG210" s="43">
        <v>0</v>
      </c>
      <c r="BH210" s="43">
        <v>0</v>
      </c>
      <c r="BI210" s="40" t="s">
        <v>669</v>
      </c>
      <c r="BJ210" s="40">
        <v>2022</v>
      </c>
      <c r="BK210" s="40" t="s">
        <v>2768</v>
      </c>
      <c r="BL210" s="40" t="s">
        <v>2768</v>
      </c>
      <c r="BM210" s="40" t="s">
        <v>125</v>
      </c>
    </row>
    <row r="211" spans="1:65" x14ac:dyDescent="0.25">
      <c r="A211" s="40" t="s">
        <v>2771</v>
      </c>
      <c r="B211" s="41">
        <v>44644.291666666664</v>
      </c>
      <c r="C211" s="40" t="s">
        <v>737</v>
      </c>
      <c r="D211" s="40" t="s">
        <v>450</v>
      </c>
      <c r="E211" s="40" t="s">
        <v>969</v>
      </c>
      <c r="F211" s="40">
        <v>360200021269</v>
      </c>
      <c r="G211" s="40" t="s">
        <v>974</v>
      </c>
      <c r="H211" s="40" t="s">
        <v>288</v>
      </c>
      <c r="I211" s="40">
        <v>2200</v>
      </c>
      <c r="J211" s="40" t="s">
        <v>975</v>
      </c>
      <c r="K211" s="40">
        <v>24250</v>
      </c>
      <c r="L211" s="40">
        <v>26450</v>
      </c>
      <c r="M211" s="40">
        <v>10273</v>
      </c>
      <c r="N211" s="40" t="s">
        <v>899</v>
      </c>
      <c r="O211" s="40" t="s">
        <v>953</v>
      </c>
      <c r="P211" s="40" t="s">
        <v>146</v>
      </c>
      <c r="Q211" s="40" t="s">
        <v>147</v>
      </c>
      <c r="R211" s="42" t="s">
        <v>148</v>
      </c>
      <c r="S211" s="42" t="s">
        <v>909</v>
      </c>
      <c r="T211" s="40" t="s">
        <v>293</v>
      </c>
      <c r="U211" s="41">
        <v>44643.333333333336</v>
      </c>
      <c r="V211" s="41">
        <v>44644.25</v>
      </c>
      <c r="W211" s="41">
        <v>44644.541666666664</v>
      </c>
      <c r="X211" s="40" t="s">
        <v>293</v>
      </c>
      <c r="Y211" s="41">
        <v>44650.876388888886</v>
      </c>
      <c r="Z211" s="41"/>
      <c r="AA211" s="41"/>
      <c r="AB211" s="41"/>
      <c r="AC211" s="40" t="s">
        <v>742</v>
      </c>
      <c r="AD211" s="40">
        <v>12094</v>
      </c>
      <c r="AE211" s="40" t="s">
        <v>125</v>
      </c>
      <c r="AF211" s="40">
        <v>1342</v>
      </c>
      <c r="AG211" s="40"/>
      <c r="AH211" s="40" t="s">
        <v>309</v>
      </c>
      <c r="AI211" s="41">
        <v>44645.020833333336</v>
      </c>
      <c r="AJ211" s="40"/>
      <c r="AK211" s="43">
        <v>950</v>
      </c>
      <c r="AL211" s="40" t="s">
        <v>948</v>
      </c>
      <c r="AM211" s="43">
        <v>250</v>
      </c>
      <c r="AN211" s="43">
        <v>2380</v>
      </c>
      <c r="AO211" s="43">
        <v>895</v>
      </c>
      <c r="AP211" s="43">
        <v>125</v>
      </c>
      <c r="AQ211" s="43">
        <v>3400</v>
      </c>
      <c r="AR211" s="43">
        <v>0</v>
      </c>
      <c r="AS211" s="43"/>
      <c r="AT211" s="43">
        <v>0</v>
      </c>
      <c r="AU211" s="43"/>
      <c r="AV211" s="43"/>
      <c r="AW211" s="43"/>
      <c r="AX211" s="43">
        <v>0</v>
      </c>
      <c r="AY211" s="43">
        <v>0</v>
      </c>
      <c r="AZ211" s="43">
        <v>0</v>
      </c>
      <c r="BA211" s="43">
        <v>0</v>
      </c>
      <c r="BB211" s="43">
        <v>0</v>
      </c>
      <c r="BC211" s="43">
        <v>0</v>
      </c>
      <c r="BD211" s="43">
        <v>0</v>
      </c>
      <c r="BE211" s="43">
        <v>0</v>
      </c>
      <c r="BF211" s="43">
        <v>0</v>
      </c>
      <c r="BG211" s="43">
        <v>0</v>
      </c>
      <c r="BH211" s="43">
        <v>0</v>
      </c>
      <c r="BI211" s="40" t="s">
        <v>669</v>
      </c>
      <c r="BJ211" s="40">
        <v>2022</v>
      </c>
      <c r="BK211" s="40" t="s">
        <v>2768</v>
      </c>
      <c r="BL211" s="40" t="s">
        <v>2768</v>
      </c>
      <c r="BM211" s="40" t="s">
        <v>125</v>
      </c>
    </row>
    <row r="212" spans="1:65" x14ac:dyDescent="0.25">
      <c r="A212" s="40" t="s">
        <v>2771</v>
      </c>
      <c r="B212" s="41">
        <v>44644.291666666664</v>
      </c>
      <c r="C212" s="40" t="s">
        <v>737</v>
      </c>
      <c r="D212" s="40" t="s">
        <v>450</v>
      </c>
      <c r="E212" s="40" t="s">
        <v>969</v>
      </c>
      <c r="F212" s="40">
        <v>360200021269</v>
      </c>
      <c r="G212" s="40" t="s">
        <v>976</v>
      </c>
      <c r="H212" s="40" t="s">
        <v>288</v>
      </c>
      <c r="I212" s="40">
        <v>2200</v>
      </c>
      <c r="J212" s="40" t="s">
        <v>977</v>
      </c>
      <c r="K212" s="40">
        <v>25515</v>
      </c>
      <c r="L212" s="40">
        <v>27715</v>
      </c>
      <c r="M212" s="40">
        <v>10272</v>
      </c>
      <c r="N212" s="40" t="s">
        <v>899</v>
      </c>
      <c r="O212" s="40" t="s">
        <v>953</v>
      </c>
      <c r="P212" s="40" t="s">
        <v>149</v>
      </c>
      <c r="Q212" s="40" t="s">
        <v>147</v>
      </c>
      <c r="R212" s="42" t="s">
        <v>148</v>
      </c>
      <c r="S212" s="42" t="s">
        <v>909</v>
      </c>
      <c r="T212" s="40" t="s">
        <v>293</v>
      </c>
      <c r="U212" s="41">
        <v>44643.333333333336</v>
      </c>
      <c r="V212" s="41">
        <v>44644.25</v>
      </c>
      <c r="W212" s="41">
        <v>44644.541666666664</v>
      </c>
      <c r="X212" s="40" t="s">
        <v>293</v>
      </c>
      <c r="Y212" s="41">
        <v>44650.9</v>
      </c>
      <c r="Z212" s="41"/>
      <c r="AA212" s="41"/>
      <c r="AB212" s="41"/>
      <c r="AC212" s="40" t="s">
        <v>742</v>
      </c>
      <c r="AD212" s="40">
        <v>12095</v>
      </c>
      <c r="AE212" s="40" t="s">
        <v>125</v>
      </c>
      <c r="AF212" s="40">
        <v>1343</v>
      </c>
      <c r="AG212" s="40"/>
      <c r="AH212" s="40" t="s">
        <v>309</v>
      </c>
      <c r="AI212" s="41">
        <v>44645.020833333336</v>
      </c>
      <c r="AJ212" s="40"/>
      <c r="AK212" s="43">
        <v>950</v>
      </c>
      <c r="AL212" s="40" t="s">
        <v>948</v>
      </c>
      <c r="AM212" s="43">
        <v>250</v>
      </c>
      <c r="AN212" s="43">
        <v>2380</v>
      </c>
      <c r="AO212" s="43">
        <v>895</v>
      </c>
      <c r="AP212" s="43">
        <v>125</v>
      </c>
      <c r="AQ212" s="43">
        <v>3400</v>
      </c>
      <c r="AR212" s="43">
        <v>0</v>
      </c>
      <c r="AS212" s="43"/>
      <c r="AT212" s="43">
        <v>0</v>
      </c>
      <c r="AU212" s="43"/>
      <c r="AV212" s="43"/>
      <c r="AW212" s="43"/>
      <c r="AX212" s="43">
        <v>0</v>
      </c>
      <c r="AY212" s="43">
        <v>0</v>
      </c>
      <c r="AZ212" s="43">
        <v>0</v>
      </c>
      <c r="BA212" s="43">
        <v>0</v>
      </c>
      <c r="BB212" s="43">
        <v>0</v>
      </c>
      <c r="BC212" s="43">
        <v>0</v>
      </c>
      <c r="BD212" s="43">
        <v>0</v>
      </c>
      <c r="BE212" s="43">
        <v>0</v>
      </c>
      <c r="BF212" s="43">
        <v>0</v>
      </c>
      <c r="BG212" s="43">
        <v>0</v>
      </c>
      <c r="BH212" s="43">
        <v>0</v>
      </c>
      <c r="BI212" s="40" t="s">
        <v>669</v>
      </c>
      <c r="BJ212" s="40">
        <v>2022</v>
      </c>
      <c r="BK212" s="40" t="s">
        <v>2768</v>
      </c>
      <c r="BL212" s="40" t="s">
        <v>2768</v>
      </c>
      <c r="BM212" s="40" t="s">
        <v>125</v>
      </c>
    </row>
    <row r="213" spans="1:65" x14ac:dyDescent="0.25">
      <c r="A213" s="40" t="s">
        <v>2771</v>
      </c>
      <c r="B213" s="41">
        <v>44644.291666666664</v>
      </c>
      <c r="C213" s="40" t="s">
        <v>737</v>
      </c>
      <c r="D213" s="40" t="s">
        <v>450</v>
      </c>
      <c r="E213" s="40" t="s">
        <v>969</v>
      </c>
      <c r="F213" s="40">
        <v>360200021269</v>
      </c>
      <c r="G213" s="40" t="s">
        <v>978</v>
      </c>
      <c r="H213" s="40" t="s">
        <v>288</v>
      </c>
      <c r="I213" s="40">
        <v>2190</v>
      </c>
      <c r="J213" s="40" t="s">
        <v>979</v>
      </c>
      <c r="K213" s="40">
        <v>24800</v>
      </c>
      <c r="L213" s="40">
        <v>26990</v>
      </c>
      <c r="M213" s="40">
        <v>10271</v>
      </c>
      <c r="N213" s="40" t="s">
        <v>899</v>
      </c>
      <c r="O213" s="40" t="s">
        <v>52</v>
      </c>
      <c r="P213" s="40" t="s">
        <v>57</v>
      </c>
      <c r="Q213" s="40" t="s">
        <v>54</v>
      </c>
      <c r="R213" s="42" t="s">
        <v>55</v>
      </c>
      <c r="S213" s="42" t="s">
        <v>56</v>
      </c>
      <c r="T213" s="40" t="s">
        <v>293</v>
      </c>
      <c r="U213" s="41">
        <v>44643.333333333336</v>
      </c>
      <c r="V213" s="41">
        <v>44644.25</v>
      </c>
      <c r="W213" s="41">
        <v>44644.541666666664</v>
      </c>
      <c r="X213" s="40" t="s">
        <v>293</v>
      </c>
      <c r="Y213" s="41">
        <v>44650.856944444444</v>
      </c>
      <c r="Z213" s="41"/>
      <c r="AA213" s="41"/>
      <c r="AB213" s="41"/>
      <c r="AC213" s="40" t="s">
        <v>742</v>
      </c>
      <c r="AD213" s="40">
        <v>12090</v>
      </c>
      <c r="AE213" s="40" t="s">
        <v>125</v>
      </c>
      <c r="AF213" s="40">
        <v>1344</v>
      </c>
      <c r="AG213" s="40"/>
      <c r="AH213" s="40" t="s">
        <v>309</v>
      </c>
      <c r="AI213" s="41">
        <v>44645.020833333336</v>
      </c>
      <c r="AJ213" s="40"/>
      <c r="AK213" s="43">
        <v>950</v>
      </c>
      <c r="AL213" s="40" t="s">
        <v>948</v>
      </c>
      <c r="AM213" s="43">
        <v>250</v>
      </c>
      <c r="AN213" s="43">
        <v>2380</v>
      </c>
      <c r="AO213" s="43">
        <v>895</v>
      </c>
      <c r="AP213" s="43">
        <v>125</v>
      </c>
      <c r="AQ213" s="43">
        <v>3400</v>
      </c>
      <c r="AR213" s="43">
        <v>0</v>
      </c>
      <c r="AS213" s="43"/>
      <c r="AT213" s="43">
        <v>0</v>
      </c>
      <c r="AU213" s="43"/>
      <c r="AV213" s="43"/>
      <c r="AW213" s="43"/>
      <c r="AX213" s="43">
        <v>0</v>
      </c>
      <c r="AY213" s="43">
        <v>0</v>
      </c>
      <c r="AZ213" s="43">
        <v>0</v>
      </c>
      <c r="BA213" s="43">
        <v>0</v>
      </c>
      <c r="BB213" s="43">
        <v>0</v>
      </c>
      <c r="BC213" s="43">
        <v>0</v>
      </c>
      <c r="BD213" s="43">
        <v>0</v>
      </c>
      <c r="BE213" s="43">
        <v>0</v>
      </c>
      <c r="BF213" s="43">
        <v>0</v>
      </c>
      <c r="BG213" s="43">
        <v>0</v>
      </c>
      <c r="BH213" s="43">
        <v>0</v>
      </c>
      <c r="BI213" s="40" t="s">
        <v>669</v>
      </c>
      <c r="BJ213" s="40">
        <v>2022</v>
      </c>
      <c r="BK213" s="40" t="s">
        <v>2768</v>
      </c>
      <c r="BL213" s="40" t="s">
        <v>2768</v>
      </c>
      <c r="BM213" s="40" t="s">
        <v>125</v>
      </c>
    </row>
    <row r="214" spans="1:65" x14ac:dyDescent="0.25">
      <c r="A214" s="40" t="s">
        <v>2771</v>
      </c>
      <c r="B214" s="41">
        <v>44644.291666666664</v>
      </c>
      <c r="C214" s="40" t="s">
        <v>737</v>
      </c>
      <c r="D214" s="40" t="s">
        <v>450</v>
      </c>
      <c r="E214" s="40" t="s">
        <v>969</v>
      </c>
      <c r="F214" s="40">
        <v>360200021269</v>
      </c>
      <c r="G214" s="40" t="s">
        <v>980</v>
      </c>
      <c r="H214" s="40" t="s">
        <v>288</v>
      </c>
      <c r="I214" s="40">
        <v>2260</v>
      </c>
      <c r="J214" s="40" t="s">
        <v>981</v>
      </c>
      <c r="K214" s="40">
        <v>25400</v>
      </c>
      <c r="L214" s="40">
        <v>27660</v>
      </c>
      <c r="M214" s="40">
        <v>10270</v>
      </c>
      <c r="N214" s="40" t="s">
        <v>899</v>
      </c>
      <c r="O214" s="40" t="s">
        <v>52</v>
      </c>
      <c r="P214" s="40" t="s">
        <v>53</v>
      </c>
      <c r="Q214" s="40" t="s">
        <v>54</v>
      </c>
      <c r="R214" s="42" t="s">
        <v>55</v>
      </c>
      <c r="S214" s="42" t="s">
        <v>56</v>
      </c>
      <c r="T214" s="40" t="s">
        <v>293</v>
      </c>
      <c r="U214" s="41">
        <v>44643.333333333336</v>
      </c>
      <c r="V214" s="41">
        <v>44644.25</v>
      </c>
      <c r="W214" s="41">
        <v>44644.541666666664</v>
      </c>
      <c r="X214" s="40" t="s">
        <v>293</v>
      </c>
      <c r="Y214" s="41">
        <v>44650.856249999997</v>
      </c>
      <c r="Z214" s="41"/>
      <c r="AA214" s="41"/>
      <c r="AB214" s="41"/>
      <c r="AC214" s="40" t="s">
        <v>742</v>
      </c>
      <c r="AD214" s="40">
        <v>12091</v>
      </c>
      <c r="AE214" s="40" t="s">
        <v>125</v>
      </c>
      <c r="AF214" s="40">
        <v>1345</v>
      </c>
      <c r="AG214" s="40"/>
      <c r="AH214" s="40" t="s">
        <v>309</v>
      </c>
      <c r="AI214" s="41">
        <v>44645.020833333336</v>
      </c>
      <c r="AJ214" s="40"/>
      <c r="AK214" s="43">
        <v>950</v>
      </c>
      <c r="AL214" s="40" t="s">
        <v>948</v>
      </c>
      <c r="AM214" s="43">
        <v>250</v>
      </c>
      <c r="AN214" s="43">
        <v>2380</v>
      </c>
      <c r="AO214" s="43">
        <v>895</v>
      </c>
      <c r="AP214" s="43">
        <v>125</v>
      </c>
      <c r="AQ214" s="43">
        <v>3400</v>
      </c>
      <c r="AR214" s="43">
        <v>0</v>
      </c>
      <c r="AS214" s="43"/>
      <c r="AT214" s="43">
        <v>0</v>
      </c>
      <c r="AU214" s="43"/>
      <c r="AV214" s="43"/>
      <c r="AW214" s="43"/>
      <c r="AX214" s="43">
        <v>0</v>
      </c>
      <c r="AY214" s="43">
        <v>0</v>
      </c>
      <c r="AZ214" s="43">
        <v>0</v>
      </c>
      <c r="BA214" s="43">
        <v>0</v>
      </c>
      <c r="BB214" s="43">
        <v>0</v>
      </c>
      <c r="BC214" s="43">
        <v>0</v>
      </c>
      <c r="BD214" s="43">
        <v>0</v>
      </c>
      <c r="BE214" s="43">
        <v>0</v>
      </c>
      <c r="BF214" s="43">
        <v>0</v>
      </c>
      <c r="BG214" s="43">
        <v>0</v>
      </c>
      <c r="BH214" s="43">
        <v>0</v>
      </c>
      <c r="BI214" s="40" t="s">
        <v>669</v>
      </c>
      <c r="BJ214" s="40">
        <v>2022</v>
      </c>
      <c r="BK214" s="40" t="s">
        <v>2768</v>
      </c>
      <c r="BL214" s="40" t="s">
        <v>2768</v>
      </c>
      <c r="BM214" s="40" t="s">
        <v>125</v>
      </c>
    </row>
    <row r="215" spans="1:65" x14ac:dyDescent="0.25">
      <c r="A215" s="40" t="s">
        <v>2771</v>
      </c>
      <c r="B215" s="41">
        <v>44644.291666666664</v>
      </c>
      <c r="C215" s="40" t="s">
        <v>737</v>
      </c>
      <c r="D215" s="40" t="s">
        <v>450</v>
      </c>
      <c r="E215" s="40" t="s">
        <v>969</v>
      </c>
      <c r="F215" s="40">
        <v>360200021269</v>
      </c>
      <c r="G215" s="40" t="s">
        <v>982</v>
      </c>
      <c r="H215" s="40" t="s">
        <v>288</v>
      </c>
      <c r="I215" s="40">
        <v>2210</v>
      </c>
      <c r="J215" s="40" t="s">
        <v>983</v>
      </c>
      <c r="K215" s="40">
        <v>23180</v>
      </c>
      <c r="L215" s="40">
        <v>25390</v>
      </c>
      <c r="M215" s="40">
        <v>10266</v>
      </c>
      <c r="N215" s="40" t="s">
        <v>899</v>
      </c>
      <c r="O215" s="40" t="s">
        <v>197</v>
      </c>
      <c r="P215" s="40" t="s">
        <v>198</v>
      </c>
      <c r="Q215" s="40" t="s">
        <v>199</v>
      </c>
      <c r="R215" s="42" t="s">
        <v>200</v>
      </c>
      <c r="S215" s="42" t="s">
        <v>201</v>
      </c>
      <c r="T215" s="40" t="s">
        <v>293</v>
      </c>
      <c r="U215" s="41">
        <v>44642.5</v>
      </c>
      <c r="V215" s="41">
        <v>44644.25</v>
      </c>
      <c r="W215" s="41">
        <v>44644.541666666664</v>
      </c>
      <c r="X215" s="40" t="s">
        <v>293</v>
      </c>
      <c r="Y215" s="41">
        <v>44650.886805555558</v>
      </c>
      <c r="Z215" s="41"/>
      <c r="AA215" s="41"/>
      <c r="AB215" s="41"/>
      <c r="AC215" s="40" t="s">
        <v>742</v>
      </c>
      <c r="AD215" s="40">
        <v>12086</v>
      </c>
      <c r="AE215" s="40" t="s">
        <v>125</v>
      </c>
      <c r="AF215" s="40">
        <v>1346</v>
      </c>
      <c r="AG215" s="40"/>
      <c r="AH215" s="40" t="s">
        <v>309</v>
      </c>
      <c r="AI215" s="41">
        <v>44645.020833333336</v>
      </c>
      <c r="AJ215" s="40"/>
      <c r="AK215" s="43">
        <v>950</v>
      </c>
      <c r="AL215" s="40" t="s">
        <v>295</v>
      </c>
      <c r="AM215" s="43">
        <v>0</v>
      </c>
      <c r="AN215" s="43">
        <v>2380</v>
      </c>
      <c r="AO215" s="43">
        <v>1020</v>
      </c>
      <c r="AP215" s="43"/>
      <c r="AQ215" s="43">
        <v>3400</v>
      </c>
      <c r="AR215" s="43">
        <v>0</v>
      </c>
      <c r="AS215" s="43"/>
      <c r="AT215" s="43">
        <v>0</v>
      </c>
      <c r="AU215" s="43"/>
      <c r="AV215" s="43"/>
      <c r="AW215" s="43"/>
      <c r="AX215" s="43">
        <v>0</v>
      </c>
      <c r="AY215" s="43">
        <v>0</v>
      </c>
      <c r="AZ215" s="43">
        <v>0</v>
      </c>
      <c r="BA215" s="43">
        <v>0</v>
      </c>
      <c r="BB215" s="43">
        <v>0</v>
      </c>
      <c r="BC215" s="43">
        <v>0</v>
      </c>
      <c r="BD215" s="43">
        <v>0</v>
      </c>
      <c r="BE215" s="43">
        <v>0</v>
      </c>
      <c r="BF215" s="43">
        <v>0</v>
      </c>
      <c r="BG215" s="43">
        <v>0</v>
      </c>
      <c r="BH215" s="43">
        <v>0</v>
      </c>
      <c r="BI215" s="40" t="s">
        <v>669</v>
      </c>
      <c r="BJ215" s="40">
        <v>2022</v>
      </c>
      <c r="BK215" s="40" t="s">
        <v>2768</v>
      </c>
      <c r="BL215" s="40" t="s">
        <v>2768</v>
      </c>
      <c r="BM215" s="40" t="s">
        <v>125</v>
      </c>
    </row>
    <row r="216" spans="1:65" x14ac:dyDescent="0.25">
      <c r="A216" s="40" t="s">
        <v>2771</v>
      </c>
      <c r="B216" s="41">
        <v>44644.291666666664</v>
      </c>
      <c r="C216" s="40" t="s">
        <v>737</v>
      </c>
      <c r="D216" s="40" t="s">
        <v>450</v>
      </c>
      <c r="E216" s="40" t="s">
        <v>969</v>
      </c>
      <c r="F216" s="40">
        <v>360200021269</v>
      </c>
      <c r="G216" s="40" t="s">
        <v>984</v>
      </c>
      <c r="H216" s="40" t="s">
        <v>288</v>
      </c>
      <c r="I216" s="40">
        <v>2190</v>
      </c>
      <c r="J216" s="40" t="s">
        <v>985</v>
      </c>
      <c r="K216" s="40">
        <v>23170</v>
      </c>
      <c r="L216" s="40">
        <v>25360</v>
      </c>
      <c r="M216" s="40">
        <v>10267</v>
      </c>
      <c r="N216" s="40" t="s">
        <v>899</v>
      </c>
      <c r="O216" s="40" t="s">
        <v>197</v>
      </c>
      <c r="P216" s="40" t="s">
        <v>202</v>
      </c>
      <c r="Q216" s="40" t="s">
        <v>199</v>
      </c>
      <c r="R216" s="42" t="s">
        <v>200</v>
      </c>
      <c r="S216" s="42" t="s">
        <v>201</v>
      </c>
      <c r="T216" s="40" t="s">
        <v>293</v>
      </c>
      <c r="U216" s="41">
        <v>44642.5</v>
      </c>
      <c r="V216" s="41">
        <v>44644.25</v>
      </c>
      <c r="W216" s="41">
        <v>44644.541666666664</v>
      </c>
      <c r="X216" s="40" t="s">
        <v>293</v>
      </c>
      <c r="Y216" s="41">
        <v>44650.866666666669</v>
      </c>
      <c r="Z216" s="41"/>
      <c r="AA216" s="41"/>
      <c r="AB216" s="41"/>
      <c r="AC216" s="40" t="s">
        <v>742</v>
      </c>
      <c r="AD216" s="40">
        <v>12087</v>
      </c>
      <c r="AE216" s="40" t="s">
        <v>125</v>
      </c>
      <c r="AF216" s="40">
        <v>1347</v>
      </c>
      <c r="AG216" s="40"/>
      <c r="AH216" s="40" t="s">
        <v>309</v>
      </c>
      <c r="AI216" s="41">
        <v>44645.020833333336</v>
      </c>
      <c r="AJ216" s="40"/>
      <c r="AK216" s="43">
        <v>950</v>
      </c>
      <c r="AL216" s="40" t="s">
        <v>295</v>
      </c>
      <c r="AM216" s="43">
        <v>0</v>
      </c>
      <c r="AN216" s="43">
        <v>2380</v>
      </c>
      <c r="AO216" s="43">
        <v>1020</v>
      </c>
      <c r="AP216" s="43"/>
      <c r="AQ216" s="43">
        <v>3400</v>
      </c>
      <c r="AR216" s="43">
        <v>0</v>
      </c>
      <c r="AS216" s="43"/>
      <c r="AT216" s="43">
        <v>0</v>
      </c>
      <c r="AU216" s="43"/>
      <c r="AV216" s="43"/>
      <c r="AW216" s="43"/>
      <c r="AX216" s="43">
        <v>0</v>
      </c>
      <c r="AY216" s="43">
        <v>0</v>
      </c>
      <c r="AZ216" s="43">
        <v>0</v>
      </c>
      <c r="BA216" s="43">
        <v>0</v>
      </c>
      <c r="BB216" s="43">
        <v>0</v>
      </c>
      <c r="BC216" s="43">
        <v>0</v>
      </c>
      <c r="BD216" s="43">
        <v>0</v>
      </c>
      <c r="BE216" s="43">
        <v>0</v>
      </c>
      <c r="BF216" s="43">
        <v>0</v>
      </c>
      <c r="BG216" s="43">
        <v>0</v>
      </c>
      <c r="BH216" s="43">
        <v>0</v>
      </c>
      <c r="BI216" s="40" t="s">
        <v>669</v>
      </c>
      <c r="BJ216" s="40">
        <v>2022</v>
      </c>
      <c r="BK216" s="40" t="s">
        <v>2768</v>
      </c>
      <c r="BL216" s="40" t="s">
        <v>2768</v>
      </c>
      <c r="BM216" s="40" t="s">
        <v>125</v>
      </c>
    </row>
    <row r="217" spans="1:65" x14ac:dyDescent="0.25">
      <c r="A217" s="40" t="s">
        <v>2771</v>
      </c>
      <c r="B217" s="41">
        <v>44645.291666666664</v>
      </c>
      <c r="C217" s="40" t="s">
        <v>737</v>
      </c>
      <c r="D217" s="40" t="s">
        <v>450</v>
      </c>
      <c r="E217" s="40" t="s">
        <v>969</v>
      </c>
      <c r="F217" s="40">
        <v>360200021269</v>
      </c>
      <c r="G217" s="40" t="s">
        <v>986</v>
      </c>
      <c r="H217" s="40" t="s">
        <v>288</v>
      </c>
      <c r="I217" s="40">
        <v>2180</v>
      </c>
      <c r="J217" s="40" t="s">
        <v>987</v>
      </c>
      <c r="K217" s="40">
        <v>24970</v>
      </c>
      <c r="L217" s="40">
        <v>27150</v>
      </c>
      <c r="M217" s="40">
        <v>10275</v>
      </c>
      <c r="N217" s="40" t="s">
        <v>899</v>
      </c>
      <c r="O217" s="40" t="s">
        <v>129</v>
      </c>
      <c r="P217" s="40" t="s">
        <v>130</v>
      </c>
      <c r="Q217" s="40" t="s">
        <v>131</v>
      </c>
      <c r="R217" s="42" t="s">
        <v>132</v>
      </c>
      <c r="S217" s="42" t="s">
        <v>133</v>
      </c>
      <c r="T217" s="40" t="s">
        <v>293</v>
      </c>
      <c r="U217" s="41">
        <v>44642.625</v>
      </c>
      <c r="V217" s="41">
        <v>44645.333333333336</v>
      </c>
      <c r="W217" s="41">
        <v>44645.5</v>
      </c>
      <c r="X217" s="40" t="s">
        <v>293</v>
      </c>
      <c r="Y217" s="41">
        <v>44650.991666666669</v>
      </c>
      <c r="Z217" s="41"/>
      <c r="AA217" s="41"/>
      <c r="AB217" s="41"/>
      <c r="AC217" s="40" t="s">
        <v>742</v>
      </c>
      <c r="AD217" s="40">
        <v>12107</v>
      </c>
      <c r="AE217" s="40" t="s">
        <v>125</v>
      </c>
      <c r="AF217" s="40">
        <v>1338</v>
      </c>
      <c r="AG217" s="40"/>
      <c r="AH217" s="40" t="s">
        <v>309</v>
      </c>
      <c r="AI217" s="41">
        <v>44645.958333333336</v>
      </c>
      <c r="AJ217" s="40"/>
      <c r="AK217" s="43">
        <v>950</v>
      </c>
      <c r="AL217" s="40" t="s">
        <v>948</v>
      </c>
      <c r="AM217" s="43">
        <v>250</v>
      </c>
      <c r="AN217" s="43">
        <v>2380</v>
      </c>
      <c r="AO217" s="43">
        <v>895</v>
      </c>
      <c r="AP217" s="43">
        <v>125</v>
      </c>
      <c r="AQ217" s="43">
        <v>3400</v>
      </c>
      <c r="AR217" s="43">
        <v>0</v>
      </c>
      <c r="AS217" s="43"/>
      <c r="AT217" s="43">
        <v>0</v>
      </c>
      <c r="AU217" s="43"/>
      <c r="AV217" s="43"/>
      <c r="AW217" s="43"/>
      <c r="AX217" s="43">
        <v>0</v>
      </c>
      <c r="AY217" s="43">
        <v>0</v>
      </c>
      <c r="AZ217" s="43">
        <v>0</v>
      </c>
      <c r="BA217" s="43">
        <v>0</v>
      </c>
      <c r="BB217" s="43">
        <v>0</v>
      </c>
      <c r="BC217" s="43">
        <v>0</v>
      </c>
      <c r="BD217" s="43">
        <v>0</v>
      </c>
      <c r="BE217" s="43">
        <v>0</v>
      </c>
      <c r="BF217" s="43">
        <v>0</v>
      </c>
      <c r="BG217" s="43">
        <v>0</v>
      </c>
      <c r="BH217" s="43">
        <v>0</v>
      </c>
      <c r="BI217" s="40" t="s">
        <v>669</v>
      </c>
      <c r="BJ217" s="40">
        <v>2022</v>
      </c>
      <c r="BK217" s="40" t="s">
        <v>2768</v>
      </c>
      <c r="BL217" s="40" t="s">
        <v>2768</v>
      </c>
      <c r="BM217" s="40" t="s">
        <v>125</v>
      </c>
    </row>
    <row r="218" spans="1:65" x14ac:dyDescent="0.25">
      <c r="A218" s="40" t="s">
        <v>2771</v>
      </c>
      <c r="B218" s="41">
        <v>44645.291666666664</v>
      </c>
      <c r="C218" s="40" t="s">
        <v>737</v>
      </c>
      <c r="D218" s="40" t="s">
        <v>450</v>
      </c>
      <c r="E218" s="40" t="s">
        <v>969</v>
      </c>
      <c r="F218" s="40">
        <v>360200021269</v>
      </c>
      <c r="G218" s="40" t="s">
        <v>988</v>
      </c>
      <c r="H218" s="40" t="s">
        <v>288</v>
      </c>
      <c r="I218" s="40">
        <v>2210</v>
      </c>
      <c r="J218" s="40" t="s">
        <v>989</v>
      </c>
      <c r="K218" s="40">
        <v>26100</v>
      </c>
      <c r="L218" s="40">
        <v>28310</v>
      </c>
      <c r="M218" s="40">
        <v>10274</v>
      </c>
      <c r="N218" s="40" t="s">
        <v>899</v>
      </c>
      <c r="O218" s="40" t="s">
        <v>129</v>
      </c>
      <c r="P218" s="40" t="s">
        <v>134</v>
      </c>
      <c r="Q218" s="40" t="s">
        <v>131</v>
      </c>
      <c r="R218" s="42" t="s">
        <v>132</v>
      </c>
      <c r="S218" s="42" t="s">
        <v>133</v>
      </c>
      <c r="T218" s="40" t="s">
        <v>293</v>
      </c>
      <c r="U218" s="41">
        <v>44642.625</v>
      </c>
      <c r="V218" s="41">
        <v>44645.333333333336</v>
      </c>
      <c r="W218" s="41">
        <v>44645.5</v>
      </c>
      <c r="X218" s="40" t="s">
        <v>293</v>
      </c>
      <c r="Y218" s="41">
        <v>44650.96597222222</v>
      </c>
      <c r="Z218" s="41"/>
      <c r="AA218" s="41"/>
      <c r="AB218" s="41"/>
      <c r="AC218" s="40" t="s">
        <v>742</v>
      </c>
      <c r="AD218" s="40">
        <v>12108</v>
      </c>
      <c r="AE218" s="40" t="s">
        <v>125</v>
      </c>
      <c r="AF218" s="40">
        <v>1339</v>
      </c>
      <c r="AG218" s="40"/>
      <c r="AH218" s="40" t="s">
        <v>309</v>
      </c>
      <c r="AI218" s="41">
        <v>44645.958333333336</v>
      </c>
      <c r="AJ218" s="40"/>
      <c r="AK218" s="43">
        <v>950</v>
      </c>
      <c r="AL218" s="40" t="s">
        <v>948</v>
      </c>
      <c r="AM218" s="43">
        <v>250</v>
      </c>
      <c r="AN218" s="43">
        <v>2380</v>
      </c>
      <c r="AO218" s="43">
        <v>895</v>
      </c>
      <c r="AP218" s="43">
        <v>125</v>
      </c>
      <c r="AQ218" s="43">
        <v>3400</v>
      </c>
      <c r="AR218" s="43">
        <v>0</v>
      </c>
      <c r="AS218" s="43"/>
      <c r="AT218" s="43">
        <v>0</v>
      </c>
      <c r="AU218" s="43"/>
      <c r="AV218" s="43"/>
      <c r="AW218" s="43"/>
      <c r="AX218" s="43">
        <v>0</v>
      </c>
      <c r="AY218" s="43">
        <v>0</v>
      </c>
      <c r="AZ218" s="43">
        <v>0</v>
      </c>
      <c r="BA218" s="43">
        <v>0</v>
      </c>
      <c r="BB218" s="43">
        <v>0</v>
      </c>
      <c r="BC218" s="43">
        <v>0</v>
      </c>
      <c r="BD218" s="43">
        <v>0</v>
      </c>
      <c r="BE218" s="43">
        <v>0</v>
      </c>
      <c r="BF218" s="43">
        <v>0</v>
      </c>
      <c r="BG218" s="43">
        <v>0</v>
      </c>
      <c r="BH218" s="43">
        <v>0</v>
      </c>
      <c r="BI218" s="40" t="s">
        <v>669</v>
      </c>
      <c r="BJ218" s="40">
        <v>2022</v>
      </c>
      <c r="BK218" s="40" t="s">
        <v>2768</v>
      </c>
      <c r="BL218" s="40" t="s">
        <v>2768</v>
      </c>
      <c r="BM218" s="40" t="s">
        <v>125</v>
      </c>
    </row>
    <row r="219" spans="1:65" x14ac:dyDescent="0.25">
      <c r="A219" s="40" t="s">
        <v>2771</v>
      </c>
      <c r="B219" s="41">
        <v>44648.5</v>
      </c>
      <c r="C219" s="40" t="s">
        <v>990</v>
      </c>
      <c r="D219" s="40" t="s">
        <v>991</v>
      </c>
      <c r="E219" s="40" t="s">
        <v>992</v>
      </c>
      <c r="F219" s="40" t="s">
        <v>993</v>
      </c>
      <c r="G219" s="40" t="s">
        <v>994</v>
      </c>
      <c r="H219" s="40" t="s">
        <v>301</v>
      </c>
      <c r="I219" s="40"/>
      <c r="J219" s="40"/>
      <c r="K219" s="40"/>
      <c r="L219" s="40">
        <v>0</v>
      </c>
      <c r="M219" s="40"/>
      <c r="N219" s="40"/>
      <c r="O219" s="40" t="s">
        <v>119</v>
      </c>
      <c r="P219" s="40" t="s">
        <v>120</v>
      </c>
      <c r="Q219" s="40" t="s">
        <v>121</v>
      </c>
      <c r="R219" s="42" t="s">
        <v>122</v>
      </c>
      <c r="S219" s="42" t="s">
        <v>123</v>
      </c>
      <c r="T219" s="40" t="s">
        <v>772</v>
      </c>
      <c r="U219" s="41">
        <v>44648.510416666664</v>
      </c>
      <c r="V219" s="41">
        <v>44649.680555555555</v>
      </c>
      <c r="W219" s="41">
        <v>44650.75</v>
      </c>
      <c r="X219" s="40" t="s">
        <v>469</v>
      </c>
      <c r="Y219" s="41">
        <v>44653.333333333336</v>
      </c>
      <c r="Z219" s="41">
        <v>44622</v>
      </c>
      <c r="AA219" s="41">
        <v>44622</v>
      </c>
      <c r="AB219" s="41">
        <v>44622</v>
      </c>
      <c r="AC219" s="40"/>
      <c r="AD219" s="40">
        <v>12134</v>
      </c>
      <c r="AE219" s="40"/>
      <c r="AF219" s="40">
        <v>1389</v>
      </c>
      <c r="AG219" s="40"/>
      <c r="AH219" s="40" t="s">
        <v>295</v>
      </c>
      <c r="AI219" s="41"/>
      <c r="AJ219" s="40"/>
      <c r="AK219" s="43"/>
      <c r="AL219" s="40"/>
      <c r="AM219" s="43">
        <v>0</v>
      </c>
      <c r="AN219" s="43">
        <v>9700</v>
      </c>
      <c r="AO219" s="43">
        <v>0</v>
      </c>
      <c r="AP219" s="43">
        <v>0</v>
      </c>
      <c r="AQ219" s="43">
        <v>10000</v>
      </c>
      <c r="AR219" s="43">
        <v>0</v>
      </c>
      <c r="AS219" s="43">
        <v>300</v>
      </c>
      <c r="AT219" s="43">
        <v>0</v>
      </c>
      <c r="AU219" s="43"/>
      <c r="AV219" s="43"/>
      <c r="AW219" s="43"/>
      <c r="AX219" s="43">
        <v>0</v>
      </c>
      <c r="AY219" s="43">
        <v>0</v>
      </c>
      <c r="AZ219" s="43">
        <v>0</v>
      </c>
      <c r="BA219" s="43">
        <v>0</v>
      </c>
      <c r="BB219" s="43">
        <v>0</v>
      </c>
      <c r="BC219" s="43">
        <v>0</v>
      </c>
      <c r="BD219" s="43">
        <v>0</v>
      </c>
      <c r="BE219" s="43">
        <v>0</v>
      </c>
      <c r="BF219" s="43">
        <v>0</v>
      </c>
      <c r="BG219" s="43">
        <v>0</v>
      </c>
      <c r="BH219" s="43">
        <v>0</v>
      </c>
      <c r="BI219" s="40" t="s">
        <v>669</v>
      </c>
      <c r="BJ219" s="40">
        <v>2022</v>
      </c>
      <c r="BK219" s="40" t="s">
        <v>2768</v>
      </c>
      <c r="BL219" s="40" t="s">
        <v>2768</v>
      </c>
      <c r="BM219" s="40" t="s">
        <v>125</v>
      </c>
    </row>
    <row r="220" spans="1:65" x14ac:dyDescent="0.25">
      <c r="A220" s="40" t="s">
        <v>2771</v>
      </c>
      <c r="B220" s="41">
        <v>44648.291666666664</v>
      </c>
      <c r="C220" s="40" t="s">
        <v>696</v>
      </c>
      <c r="D220" s="40" t="s">
        <v>697</v>
      </c>
      <c r="E220" s="40" t="s">
        <v>995</v>
      </c>
      <c r="F220" s="40" t="s">
        <v>996</v>
      </c>
      <c r="G220" s="40" t="s">
        <v>997</v>
      </c>
      <c r="H220" s="40" t="s">
        <v>288</v>
      </c>
      <c r="I220" s="40">
        <v>2180</v>
      </c>
      <c r="J220" s="40"/>
      <c r="K220" s="40">
        <v>12954</v>
      </c>
      <c r="L220" s="40">
        <v>15134</v>
      </c>
      <c r="M220" s="40" t="s">
        <v>998</v>
      </c>
      <c r="N220" s="40" t="s">
        <v>999</v>
      </c>
      <c r="O220" s="40" t="s">
        <v>37</v>
      </c>
      <c r="P220" s="40" t="s">
        <v>38</v>
      </c>
      <c r="Q220" s="40" t="s">
        <v>39</v>
      </c>
      <c r="R220" s="42" t="s">
        <v>40</v>
      </c>
      <c r="S220" s="42" t="s">
        <v>41</v>
      </c>
      <c r="T220" s="40" t="s">
        <v>293</v>
      </c>
      <c r="U220" s="41">
        <v>44648.0625</v>
      </c>
      <c r="V220" s="41">
        <v>44648.25</v>
      </c>
      <c r="W220" s="41">
        <v>44648.333333333336</v>
      </c>
      <c r="X220" s="40" t="s">
        <v>292</v>
      </c>
      <c r="Y220" s="41">
        <v>44648.5</v>
      </c>
      <c r="Z220" s="41">
        <v>44648.999305555553</v>
      </c>
      <c r="AA220" s="41">
        <v>44648.999305555553</v>
      </c>
      <c r="AB220" s="41">
        <v>44648.999305555553</v>
      </c>
      <c r="AC220" s="40" t="s">
        <v>294</v>
      </c>
      <c r="AD220" s="40"/>
      <c r="AE220" s="40">
        <v>5680</v>
      </c>
      <c r="AF220" s="40" t="s">
        <v>125</v>
      </c>
      <c r="AG220" s="40"/>
      <c r="AH220" s="40" t="s">
        <v>295</v>
      </c>
      <c r="AI220" s="41" t="s">
        <v>125</v>
      </c>
      <c r="AJ220" s="40" t="s">
        <v>125</v>
      </c>
      <c r="AK220" s="43" t="s">
        <v>125</v>
      </c>
      <c r="AL220" s="40" t="s">
        <v>125</v>
      </c>
      <c r="AM220" s="43" t="s">
        <v>125</v>
      </c>
      <c r="AN220" s="43">
        <v>1600</v>
      </c>
      <c r="AO220" s="43"/>
      <c r="AP220" s="43"/>
      <c r="AQ220" s="43">
        <v>1600</v>
      </c>
      <c r="AR220" s="43">
        <v>0</v>
      </c>
      <c r="AS220" s="43"/>
      <c r="AT220" s="43">
        <v>0</v>
      </c>
      <c r="AU220" s="43"/>
      <c r="AV220" s="43"/>
      <c r="AW220" s="43"/>
      <c r="AX220" s="43">
        <v>0</v>
      </c>
      <c r="AY220" s="43">
        <v>0</v>
      </c>
      <c r="AZ220" s="43">
        <v>0</v>
      </c>
      <c r="BA220" s="43">
        <v>0</v>
      </c>
      <c r="BB220" s="43">
        <v>0</v>
      </c>
      <c r="BC220" s="43">
        <v>0</v>
      </c>
      <c r="BD220" s="43">
        <v>0</v>
      </c>
      <c r="BE220" s="43">
        <v>0</v>
      </c>
      <c r="BF220" s="43">
        <v>0</v>
      </c>
      <c r="BG220" s="43">
        <v>0</v>
      </c>
      <c r="BH220" s="43">
        <v>0</v>
      </c>
      <c r="BI220" s="40" t="s">
        <v>669</v>
      </c>
      <c r="BJ220" s="40">
        <v>2022</v>
      </c>
      <c r="BK220" s="40" t="s">
        <v>2768</v>
      </c>
      <c r="BL220" s="40" t="s">
        <v>2769</v>
      </c>
      <c r="BM220" s="40" t="s">
        <v>125</v>
      </c>
    </row>
    <row r="221" spans="1:65" x14ac:dyDescent="0.25">
      <c r="A221" s="40" t="s">
        <v>2771</v>
      </c>
      <c r="B221" s="41">
        <v>44648.291666666664</v>
      </c>
      <c r="C221" s="40" t="s">
        <v>737</v>
      </c>
      <c r="D221" s="40" t="s">
        <v>450</v>
      </c>
      <c r="E221" s="40" t="s">
        <v>1000</v>
      </c>
      <c r="F221" s="40">
        <v>217098161</v>
      </c>
      <c r="G221" s="40" t="s">
        <v>1001</v>
      </c>
      <c r="H221" s="40" t="s">
        <v>288</v>
      </c>
      <c r="I221" s="40">
        <v>2180</v>
      </c>
      <c r="J221" s="40" t="s">
        <v>1002</v>
      </c>
      <c r="K221" s="40">
        <v>26240</v>
      </c>
      <c r="L221" s="40">
        <v>28420</v>
      </c>
      <c r="M221" s="40">
        <v>10284</v>
      </c>
      <c r="N221" s="40" t="s">
        <v>1003</v>
      </c>
      <c r="O221" s="40" t="s">
        <v>182</v>
      </c>
      <c r="P221" s="40" t="s">
        <v>183</v>
      </c>
      <c r="Q221" s="40" t="s">
        <v>184</v>
      </c>
      <c r="R221" s="42" t="s">
        <v>185</v>
      </c>
      <c r="S221" s="42" t="s">
        <v>186</v>
      </c>
      <c r="T221" s="40" t="s">
        <v>409</v>
      </c>
      <c r="U221" s="41">
        <v>44645.458333333336</v>
      </c>
      <c r="V221" s="41">
        <v>44648.25</v>
      </c>
      <c r="W221" s="41">
        <v>44648.541666666664</v>
      </c>
      <c r="X221" s="40" t="s">
        <v>410</v>
      </c>
      <c r="Y221" s="41">
        <v>44664.691666666666</v>
      </c>
      <c r="Z221" s="41">
        <v>44655.5</v>
      </c>
      <c r="AA221" s="41">
        <v>44657.5</v>
      </c>
      <c r="AB221" s="41">
        <v>44660.5</v>
      </c>
      <c r="AC221" s="40" t="s">
        <v>742</v>
      </c>
      <c r="AD221" s="40">
        <v>12154</v>
      </c>
      <c r="AE221" s="40" t="s">
        <v>125</v>
      </c>
      <c r="AF221" s="40">
        <v>1349</v>
      </c>
      <c r="AG221" s="40"/>
      <c r="AH221" s="40" t="s">
        <v>393</v>
      </c>
      <c r="AI221" s="41">
        <v>44648.958333333336</v>
      </c>
      <c r="AJ221" s="40"/>
      <c r="AK221" s="43"/>
      <c r="AL221" s="40"/>
      <c r="AM221" s="43">
        <v>0</v>
      </c>
      <c r="AN221" s="43">
        <v>2380</v>
      </c>
      <c r="AO221" s="43">
        <v>1070</v>
      </c>
      <c r="AP221" s="43">
        <v>0</v>
      </c>
      <c r="AQ221" s="43">
        <v>3450</v>
      </c>
      <c r="AR221" s="43">
        <v>0</v>
      </c>
      <c r="AS221" s="43"/>
      <c r="AT221" s="43">
        <v>0</v>
      </c>
      <c r="AU221" s="43"/>
      <c r="AV221" s="43"/>
      <c r="AW221" s="43"/>
      <c r="AX221" s="43">
        <v>0</v>
      </c>
      <c r="AY221" s="43">
        <v>0</v>
      </c>
      <c r="AZ221" s="43">
        <v>0</v>
      </c>
      <c r="BA221" s="43">
        <v>0</v>
      </c>
      <c r="BB221" s="43">
        <v>0</v>
      </c>
      <c r="BC221" s="43">
        <v>0</v>
      </c>
      <c r="BD221" s="43">
        <v>0</v>
      </c>
      <c r="BE221" s="43">
        <v>0</v>
      </c>
      <c r="BF221" s="43">
        <v>0</v>
      </c>
      <c r="BG221" s="43">
        <v>0</v>
      </c>
      <c r="BH221" s="43">
        <v>0</v>
      </c>
      <c r="BI221" s="40" t="s">
        <v>669</v>
      </c>
      <c r="BJ221" s="40">
        <v>2022</v>
      </c>
      <c r="BK221" s="40" t="s">
        <v>2768</v>
      </c>
      <c r="BL221" s="40" t="s">
        <v>2768</v>
      </c>
      <c r="BM221" s="40" t="s">
        <v>125</v>
      </c>
    </row>
    <row r="222" spans="1:65" x14ac:dyDescent="0.25">
      <c r="A222" s="40" t="s">
        <v>2771</v>
      </c>
      <c r="B222" s="41">
        <v>44648.291666666664</v>
      </c>
      <c r="C222" s="40" t="s">
        <v>737</v>
      </c>
      <c r="D222" s="40" t="s">
        <v>450</v>
      </c>
      <c r="E222" s="40" t="s">
        <v>1000</v>
      </c>
      <c r="F222" s="40">
        <v>217098161</v>
      </c>
      <c r="G222" s="40" t="s">
        <v>1004</v>
      </c>
      <c r="H222" s="40" t="s">
        <v>288</v>
      </c>
      <c r="I222" s="40">
        <v>2230</v>
      </c>
      <c r="J222" s="40" t="s">
        <v>1005</v>
      </c>
      <c r="K222" s="40">
        <v>25200</v>
      </c>
      <c r="L222" s="40">
        <v>27430</v>
      </c>
      <c r="M222" s="40">
        <v>10285</v>
      </c>
      <c r="N222" s="40" t="s">
        <v>1003</v>
      </c>
      <c r="O222" s="40" t="s">
        <v>182</v>
      </c>
      <c r="P222" s="40" t="s">
        <v>187</v>
      </c>
      <c r="Q222" s="40" t="s">
        <v>184</v>
      </c>
      <c r="R222" s="42" t="s">
        <v>185</v>
      </c>
      <c r="S222" s="42" t="s">
        <v>186</v>
      </c>
      <c r="T222" s="40" t="s">
        <v>409</v>
      </c>
      <c r="U222" s="41">
        <v>44645.458333333336</v>
      </c>
      <c r="V222" s="41">
        <v>44648.25</v>
      </c>
      <c r="W222" s="41">
        <v>44648.541666666664</v>
      </c>
      <c r="X222" s="40" t="s">
        <v>410</v>
      </c>
      <c r="Y222" s="41">
        <v>44664.643055555556</v>
      </c>
      <c r="Z222" s="41">
        <v>44655.5</v>
      </c>
      <c r="AA222" s="41">
        <v>44657.5</v>
      </c>
      <c r="AB222" s="41">
        <v>44660.5</v>
      </c>
      <c r="AC222" s="40" t="s">
        <v>742</v>
      </c>
      <c r="AD222" s="40">
        <v>12155</v>
      </c>
      <c r="AE222" s="40" t="s">
        <v>125</v>
      </c>
      <c r="AF222" s="40">
        <v>1350</v>
      </c>
      <c r="AG222" s="40"/>
      <c r="AH222" s="40" t="s">
        <v>393</v>
      </c>
      <c r="AI222" s="41">
        <v>44648.958333333336</v>
      </c>
      <c r="AJ222" s="40"/>
      <c r="AK222" s="43"/>
      <c r="AL222" s="40"/>
      <c r="AM222" s="43">
        <v>0</v>
      </c>
      <c r="AN222" s="43">
        <v>2380</v>
      </c>
      <c r="AO222" s="43">
        <v>1070</v>
      </c>
      <c r="AP222" s="43">
        <v>0</v>
      </c>
      <c r="AQ222" s="43">
        <v>3450</v>
      </c>
      <c r="AR222" s="43">
        <v>0</v>
      </c>
      <c r="AS222" s="43"/>
      <c r="AT222" s="43">
        <v>0</v>
      </c>
      <c r="AU222" s="43"/>
      <c r="AV222" s="43"/>
      <c r="AW222" s="43"/>
      <c r="AX222" s="43">
        <v>0</v>
      </c>
      <c r="AY222" s="43">
        <v>0</v>
      </c>
      <c r="AZ222" s="43">
        <v>0</v>
      </c>
      <c r="BA222" s="43">
        <v>0</v>
      </c>
      <c r="BB222" s="43">
        <v>0</v>
      </c>
      <c r="BC222" s="43">
        <v>0</v>
      </c>
      <c r="BD222" s="43">
        <v>0</v>
      </c>
      <c r="BE222" s="43">
        <v>0</v>
      </c>
      <c r="BF222" s="43">
        <v>0</v>
      </c>
      <c r="BG222" s="43">
        <v>0</v>
      </c>
      <c r="BH222" s="43">
        <v>0</v>
      </c>
      <c r="BI222" s="40" t="s">
        <v>669</v>
      </c>
      <c r="BJ222" s="40">
        <v>2022</v>
      </c>
      <c r="BK222" s="40" t="s">
        <v>2768</v>
      </c>
      <c r="BL222" s="40" t="s">
        <v>2768</v>
      </c>
      <c r="BM222" s="40" t="s">
        <v>125</v>
      </c>
    </row>
    <row r="223" spans="1:65" x14ac:dyDescent="0.25">
      <c r="A223" s="40" t="s">
        <v>2771</v>
      </c>
      <c r="B223" s="41">
        <v>44648.291666666664</v>
      </c>
      <c r="C223" s="40" t="s">
        <v>737</v>
      </c>
      <c r="D223" s="40" t="s">
        <v>450</v>
      </c>
      <c r="E223" s="40" t="s">
        <v>1000</v>
      </c>
      <c r="F223" s="40">
        <v>217098161</v>
      </c>
      <c r="G223" s="40" t="s">
        <v>1006</v>
      </c>
      <c r="H223" s="40" t="s">
        <v>288</v>
      </c>
      <c r="I223" s="40">
        <v>2220</v>
      </c>
      <c r="J223" s="40" t="s">
        <v>1007</v>
      </c>
      <c r="K223" s="40">
        <v>25490</v>
      </c>
      <c r="L223" s="40">
        <v>27710</v>
      </c>
      <c r="M223" s="40">
        <v>10280</v>
      </c>
      <c r="N223" s="40" t="s">
        <v>1003</v>
      </c>
      <c r="O223" s="40" t="s">
        <v>953</v>
      </c>
      <c r="P223" s="40" t="s">
        <v>146</v>
      </c>
      <c r="Q223" s="40" t="s">
        <v>147</v>
      </c>
      <c r="R223" s="42" t="s">
        <v>148</v>
      </c>
      <c r="S223" s="42" t="s">
        <v>909</v>
      </c>
      <c r="T223" s="40" t="s">
        <v>409</v>
      </c>
      <c r="U223" s="41">
        <v>44645.5</v>
      </c>
      <c r="V223" s="41">
        <v>44648.25</v>
      </c>
      <c r="W223" s="41">
        <v>44648.541666666664</v>
      </c>
      <c r="X223" s="40" t="s">
        <v>410</v>
      </c>
      <c r="Y223" s="41">
        <v>44664.5</v>
      </c>
      <c r="Z223" s="41">
        <v>44655.5</v>
      </c>
      <c r="AA223" s="41">
        <v>44657.5</v>
      </c>
      <c r="AB223" s="41">
        <v>44660.5</v>
      </c>
      <c r="AC223" s="40" t="s">
        <v>742</v>
      </c>
      <c r="AD223" s="40">
        <v>12150</v>
      </c>
      <c r="AE223" s="40" t="s">
        <v>125</v>
      </c>
      <c r="AF223" s="40">
        <v>1351</v>
      </c>
      <c r="AG223" s="40"/>
      <c r="AH223" s="40" t="s">
        <v>393</v>
      </c>
      <c r="AI223" s="41">
        <v>44648.958333333336</v>
      </c>
      <c r="AJ223" s="40"/>
      <c r="AK223" s="43"/>
      <c r="AL223" s="40"/>
      <c r="AM223" s="43">
        <v>0</v>
      </c>
      <c r="AN223" s="43">
        <v>2380</v>
      </c>
      <c r="AO223" s="43">
        <v>1070</v>
      </c>
      <c r="AP223" s="43">
        <v>0</v>
      </c>
      <c r="AQ223" s="43">
        <v>3450</v>
      </c>
      <c r="AR223" s="43">
        <v>0</v>
      </c>
      <c r="AS223" s="43"/>
      <c r="AT223" s="43">
        <v>0</v>
      </c>
      <c r="AU223" s="43"/>
      <c r="AV223" s="43"/>
      <c r="AW223" s="43"/>
      <c r="AX223" s="43">
        <v>0</v>
      </c>
      <c r="AY223" s="43">
        <v>0</v>
      </c>
      <c r="AZ223" s="43">
        <v>0</v>
      </c>
      <c r="BA223" s="43">
        <v>0</v>
      </c>
      <c r="BB223" s="43">
        <v>0</v>
      </c>
      <c r="BC223" s="43">
        <v>0</v>
      </c>
      <c r="BD223" s="43">
        <v>0</v>
      </c>
      <c r="BE223" s="43">
        <v>0</v>
      </c>
      <c r="BF223" s="43">
        <v>0</v>
      </c>
      <c r="BG223" s="43">
        <v>0</v>
      </c>
      <c r="BH223" s="43">
        <v>0</v>
      </c>
      <c r="BI223" s="40" t="s">
        <v>669</v>
      </c>
      <c r="BJ223" s="40">
        <v>2022</v>
      </c>
      <c r="BK223" s="40" t="s">
        <v>2768</v>
      </c>
      <c r="BL223" s="40" t="s">
        <v>2768</v>
      </c>
      <c r="BM223" s="40" t="s">
        <v>125</v>
      </c>
    </row>
    <row r="224" spans="1:65" x14ac:dyDescent="0.25">
      <c r="A224" s="40" t="s">
        <v>2771</v>
      </c>
      <c r="B224" s="41">
        <v>44648.291666666664</v>
      </c>
      <c r="C224" s="40" t="s">
        <v>737</v>
      </c>
      <c r="D224" s="40" t="s">
        <v>450</v>
      </c>
      <c r="E224" s="40" t="s">
        <v>1000</v>
      </c>
      <c r="F224" s="40">
        <v>217098161</v>
      </c>
      <c r="G224" s="40" t="s">
        <v>1008</v>
      </c>
      <c r="H224" s="40" t="s">
        <v>288</v>
      </c>
      <c r="I224" s="40">
        <v>2170</v>
      </c>
      <c r="J224" s="40" t="s">
        <v>1009</v>
      </c>
      <c r="K224" s="40">
        <v>26400</v>
      </c>
      <c r="L224" s="40">
        <v>28570</v>
      </c>
      <c r="M224" s="40">
        <v>10281</v>
      </c>
      <c r="N224" s="40" t="s">
        <v>1003</v>
      </c>
      <c r="O224" s="40" t="s">
        <v>953</v>
      </c>
      <c r="P224" s="40" t="s">
        <v>149</v>
      </c>
      <c r="Q224" s="40" t="s">
        <v>147</v>
      </c>
      <c r="R224" s="42" t="s">
        <v>148</v>
      </c>
      <c r="S224" s="42" t="s">
        <v>909</v>
      </c>
      <c r="T224" s="40" t="s">
        <v>409</v>
      </c>
      <c r="U224" s="41">
        <v>44645.5</v>
      </c>
      <c r="V224" s="41">
        <v>44648.25</v>
      </c>
      <c r="W224" s="41">
        <v>44648.541666666664</v>
      </c>
      <c r="X224" s="40" t="s">
        <v>410</v>
      </c>
      <c r="Y224" s="41">
        <v>44664.63958333333</v>
      </c>
      <c r="Z224" s="41">
        <v>44655.5</v>
      </c>
      <c r="AA224" s="41">
        <v>44657.5</v>
      </c>
      <c r="AB224" s="41">
        <v>44660.5</v>
      </c>
      <c r="AC224" s="40" t="s">
        <v>742</v>
      </c>
      <c r="AD224" s="40">
        <v>12151</v>
      </c>
      <c r="AE224" s="40" t="s">
        <v>125</v>
      </c>
      <c r="AF224" s="40">
        <v>1352</v>
      </c>
      <c r="AG224" s="40"/>
      <c r="AH224" s="40" t="s">
        <v>393</v>
      </c>
      <c r="AI224" s="41">
        <v>44648.958333333336</v>
      </c>
      <c r="AJ224" s="40"/>
      <c r="AK224" s="43"/>
      <c r="AL224" s="40"/>
      <c r="AM224" s="43">
        <v>0</v>
      </c>
      <c r="AN224" s="43">
        <v>2380</v>
      </c>
      <c r="AO224" s="43">
        <v>1070</v>
      </c>
      <c r="AP224" s="43">
        <v>0</v>
      </c>
      <c r="AQ224" s="43">
        <v>3450</v>
      </c>
      <c r="AR224" s="43">
        <v>0</v>
      </c>
      <c r="AS224" s="43"/>
      <c r="AT224" s="43">
        <v>0</v>
      </c>
      <c r="AU224" s="43"/>
      <c r="AV224" s="43"/>
      <c r="AW224" s="43"/>
      <c r="AX224" s="43">
        <v>0</v>
      </c>
      <c r="AY224" s="43">
        <v>0</v>
      </c>
      <c r="AZ224" s="43">
        <v>0</v>
      </c>
      <c r="BA224" s="43">
        <v>0</v>
      </c>
      <c r="BB224" s="43">
        <v>0</v>
      </c>
      <c r="BC224" s="43">
        <v>0</v>
      </c>
      <c r="BD224" s="43">
        <v>0</v>
      </c>
      <c r="BE224" s="43">
        <v>0</v>
      </c>
      <c r="BF224" s="43">
        <v>0</v>
      </c>
      <c r="BG224" s="43">
        <v>0</v>
      </c>
      <c r="BH224" s="43">
        <v>0</v>
      </c>
      <c r="BI224" s="40" t="s">
        <v>669</v>
      </c>
      <c r="BJ224" s="40">
        <v>2022</v>
      </c>
      <c r="BK224" s="40" t="s">
        <v>2768</v>
      </c>
      <c r="BL224" s="40" t="s">
        <v>2768</v>
      </c>
      <c r="BM224" s="40" t="s">
        <v>125</v>
      </c>
    </row>
    <row r="225" spans="1:65" x14ac:dyDescent="0.25">
      <c r="A225" s="40" t="s">
        <v>2771</v>
      </c>
      <c r="B225" s="41">
        <v>44648.291666666664</v>
      </c>
      <c r="C225" s="40" t="s">
        <v>737</v>
      </c>
      <c r="D225" s="40" t="s">
        <v>450</v>
      </c>
      <c r="E225" s="40" t="s">
        <v>1000</v>
      </c>
      <c r="F225" s="40">
        <v>217098161</v>
      </c>
      <c r="G225" s="40" t="s">
        <v>1010</v>
      </c>
      <c r="H225" s="40" t="s">
        <v>288</v>
      </c>
      <c r="I225" s="40">
        <v>2200</v>
      </c>
      <c r="J225" s="40" t="s">
        <v>1011</v>
      </c>
      <c r="K225" s="40">
        <v>25000</v>
      </c>
      <c r="L225" s="40">
        <v>27200</v>
      </c>
      <c r="M225" s="40">
        <v>10283</v>
      </c>
      <c r="N225" s="40" t="s">
        <v>1003</v>
      </c>
      <c r="O225" s="40" t="s">
        <v>52</v>
      </c>
      <c r="P225" s="40" t="s">
        <v>57</v>
      </c>
      <c r="Q225" s="40" t="s">
        <v>54</v>
      </c>
      <c r="R225" s="42" t="s">
        <v>55</v>
      </c>
      <c r="S225" s="42" t="s">
        <v>56</v>
      </c>
      <c r="T225" s="40" t="s">
        <v>292</v>
      </c>
      <c r="U225" s="41">
        <v>44645.486111111109</v>
      </c>
      <c r="V225" s="41">
        <v>44648.25</v>
      </c>
      <c r="W225" s="41">
        <v>44648.541666666664</v>
      </c>
      <c r="X225" s="40" t="s">
        <v>410</v>
      </c>
      <c r="Y225" s="41">
        <v>44664.474305555559</v>
      </c>
      <c r="Z225" s="41">
        <v>44655.5</v>
      </c>
      <c r="AA225" s="41">
        <v>44657.5</v>
      </c>
      <c r="AB225" s="41">
        <v>44660.5</v>
      </c>
      <c r="AC225" s="40" t="s">
        <v>742</v>
      </c>
      <c r="AD225" s="40">
        <v>12152</v>
      </c>
      <c r="AE225" s="40" t="s">
        <v>125</v>
      </c>
      <c r="AF225" s="40">
        <v>1353</v>
      </c>
      <c r="AG225" s="40"/>
      <c r="AH225" s="40" t="s">
        <v>393</v>
      </c>
      <c r="AI225" s="41">
        <v>44648.958333333336</v>
      </c>
      <c r="AJ225" s="40"/>
      <c r="AK225" s="43"/>
      <c r="AL225" s="40"/>
      <c r="AM225" s="43">
        <v>0</v>
      </c>
      <c r="AN225" s="43">
        <v>2380</v>
      </c>
      <c r="AO225" s="43">
        <v>1070</v>
      </c>
      <c r="AP225" s="43">
        <v>0</v>
      </c>
      <c r="AQ225" s="43">
        <v>3450</v>
      </c>
      <c r="AR225" s="43">
        <v>0</v>
      </c>
      <c r="AS225" s="43"/>
      <c r="AT225" s="43">
        <v>0</v>
      </c>
      <c r="AU225" s="43"/>
      <c r="AV225" s="43"/>
      <c r="AW225" s="43"/>
      <c r="AX225" s="43">
        <v>0</v>
      </c>
      <c r="AY225" s="43">
        <v>0</v>
      </c>
      <c r="AZ225" s="43">
        <v>0</v>
      </c>
      <c r="BA225" s="43">
        <v>0</v>
      </c>
      <c r="BB225" s="43">
        <v>0</v>
      </c>
      <c r="BC225" s="43">
        <v>0</v>
      </c>
      <c r="BD225" s="43">
        <v>0</v>
      </c>
      <c r="BE225" s="43">
        <v>0</v>
      </c>
      <c r="BF225" s="43">
        <v>0</v>
      </c>
      <c r="BG225" s="43">
        <v>0</v>
      </c>
      <c r="BH225" s="43">
        <v>0</v>
      </c>
      <c r="BI225" s="40" t="s">
        <v>669</v>
      </c>
      <c r="BJ225" s="40">
        <v>2022</v>
      </c>
      <c r="BK225" s="40" t="s">
        <v>2768</v>
      </c>
      <c r="BL225" s="40" t="s">
        <v>2768</v>
      </c>
      <c r="BM225" s="40" t="s">
        <v>125</v>
      </c>
    </row>
    <row r="226" spans="1:65" x14ac:dyDescent="0.25">
      <c r="A226" s="40" t="s">
        <v>2771</v>
      </c>
      <c r="B226" s="41">
        <v>44648.291666666664</v>
      </c>
      <c r="C226" s="40" t="s">
        <v>737</v>
      </c>
      <c r="D226" s="40" t="s">
        <v>450</v>
      </c>
      <c r="E226" s="40" t="s">
        <v>1000</v>
      </c>
      <c r="F226" s="40">
        <v>217098161</v>
      </c>
      <c r="G226" s="40" t="s">
        <v>1012</v>
      </c>
      <c r="H226" s="40" t="s">
        <v>288</v>
      </c>
      <c r="I226" s="40">
        <v>2220</v>
      </c>
      <c r="J226" s="40" t="s">
        <v>1013</v>
      </c>
      <c r="K226" s="40">
        <v>26620</v>
      </c>
      <c r="L226" s="40">
        <v>28840</v>
      </c>
      <c r="M226" s="40">
        <v>10282</v>
      </c>
      <c r="N226" s="40" t="s">
        <v>1003</v>
      </c>
      <c r="O226" s="40" t="s">
        <v>52</v>
      </c>
      <c r="P226" s="40" t="s">
        <v>53</v>
      </c>
      <c r="Q226" s="40" t="s">
        <v>54</v>
      </c>
      <c r="R226" s="42" t="s">
        <v>55</v>
      </c>
      <c r="S226" s="42" t="s">
        <v>56</v>
      </c>
      <c r="T226" s="40" t="s">
        <v>292</v>
      </c>
      <c r="U226" s="41">
        <v>44645.486111111109</v>
      </c>
      <c r="V226" s="41">
        <v>44648.25</v>
      </c>
      <c r="W226" s="41">
        <v>44648.541666666664</v>
      </c>
      <c r="X226" s="40" t="s">
        <v>410</v>
      </c>
      <c r="Y226" s="41">
        <v>44664.49722222222</v>
      </c>
      <c r="Z226" s="41">
        <v>44655.5</v>
      </c>
      <c r="AA226" s="41">
        <v>44657.5</v>
      </c>
      <c r="AB226" s="41">
        <v>44660.5</v>
      </c>
      <c r="AC226" s="40" t="s">
        <v>742</v>
      </c>
      <c r="AD226" s="40">
        <v>12153</v>
      </c>
      <c r="AE226" s="40" t="s">
        <v>125</v>
      </c>
      <c r="AF226" s="40">
        <v>1354</v>
      </c>
      <c r="AG226" s="40"/>
      <c r="AH226" s="40" t="s">
        <v>393</v>
      </c>
      <c r="AI226" s="41">
        <v>44648.958333333336</v>
      </c>
      <c r="AJ226" s="40"/>
      <c r="AK226" s="43"/>
      <c r="AL226" s="40"/>
      <c r="AM226" s="43">
        <v>0</v>
      </c>
      <c r="AN226" s="43">
        <v>2380</v>
      </c>
      <c r="AO226" s="43">
        <v>1070</v>
      </c>
      <c r="AP226" s="43">
        <v>0</v>
      </c>
      <c r="AQ226" s="43">
        <v>3450</v>
      </c>
      <c r="AR226" s="43">
        <v>0</v>
      </c>
      <c r="AS226" s="43"/>
      <c r="AT226" s="43">
        <v>0</v>
      </c>
      <c r="AU226" s="43"/>
      <c r="AV226" s="43"/>
      <c r="AW226" s="43"/>
      <c r="AX226" s="43">
        <v>0</v>
      </c>
      <c r="AY226" s="43">
        <v>0</v>
      </c>
      <c r="AZ226" s="43">
        <v>0</v>
      </c>
      <c r="BA226" s="43">
        <v>0</v>
      </c>
      <c r="BB226" s="43">
        <v>0</v>
      </c>
      <c r="BC226" s="43">
        <v>0</v>
      </c>
      <c r="BD226" s="43">
        <v>0</v>
      </c>
      <c r="BE226" s="43">
        <v>0</v>
      </c>
      <c r="BF226" s="43">
        <v>0</v>
      </c>
      <c r="BG226" s="43">
        <v>0</v>
      </c>
      <c r="BH226" s="43">
        <v>0</v>
      </c>
      <c r="BI226" s="40" t="s">
        <v>669</v>
      </c>
      <c r="BJ226" s="40">
        <v>2022</v>
      </c>
      <c r="BK226" s="40" t="s">
        <v>2768</v>
      </c>
      <c r="BL226" s="40" t="s">
        <v>2768</v>
      </c>
      <c r="BM226" s="40" t="s">
        <v>125</v>
      </c>
    </row>
    <row r="227" spans="1:65" x14ac:dyDescent="0.25">
      <c r="A227" s="40" t="s">
        <v>2771</v>
      </c>
      <c r="B227" s="41">
        <v>44648.291666666664</v>
      </c>
      <c r="C227" s="40" t="s">
        <v>737</v>
      </c>
      <c r="D227" s="40" t="s">
        <v>450</v>
      </c>
      <c r="E227" s="40" t="s">
        <v>1000</v>
      </c>
      <c r="F227" s="40">
        <v>217098161</v>
      </c>
      <c r="G227" s="40" t="s">
        <v>1014</v>
      </c>
      <c r="H227" s="40" t="s">
        <v>288</v>
      </c>
      <c r="I227" s="40">
        <v>2180</v>
      </c>
      <c r="J227" s="40" t="s">
        <v>1015</v>
      </c>
      <c r="K227" s="40">
        <v>23080</v>
      </c>
      <c r="L227" s="40">
        <v>25260</v>
      </c>
      <c r="M227" s="40">
        <v>10278</v>
      </c>
      <c r="N227" s="40" t="s">
        <v>1003</v>
      </c>
      <c r="O227" s="40" t="s">
        <v>197</v>
      </c>
      <c r="P227" s="40" t="s">
        <v>198</v>
      </c>
      <c r="Q227" s="40" t="s">
        <v>199</v>
      </c>
      <c r="R227" s="42" t="s">
        <v>200</v>
      </c>
      <c r="S227" s="42" t="s">
        <v>201</v>
      </c>
      <c r="T227" s="40" t="s">
        <v>409</v>
      </c>
      <c r="U227" s="41">
        <v>44645.5</v>
      </c>
      <c r="V227" s="41">
        <v>44648.25</v>
      </c>
      <c r="W227" s="41">
        <v>44648.541666666664</v>
      </c>
      <c r="X227" s="40" t="s">
        <v>410</v>
      </c>
      <c r="Y227" s="41">
        <v>44664.458333333336</v>
      </c>
      <c r="Z227" s="41">
        <v>44655.5</v>
      </c>
      <c r="AA227" s="41">
        <v>44657.5</v>
      </c>
      <c r="AB227" s="41">
        <v>44660.5</v>
      </c>
      <c r="AC227" s="40" t="s">
        <v>742</v>
      </c>
      <c r="AD227" s="40">
        <v>12148</v>
      </c>
      <c r="AE227" s="40" t="s">
        <v>125</v>
      </c>
      <c r="AF227" s="40">
        <v>1355</v>
      </c>
      <c r="AG227" s="40"/>
      <c r="AH227" s="40" t="s">
        <v>393</v>
      </c>
      <c r="AI227" s="41">
        <v>44648.958333333336</v>
      </c>
      <c r="AJ227" s="40"/>
      <c r="AK227" s="43"/>
      <c r="AL227" s="40"/>
      <c r="AM227" s="43">
        <v>0</v>
      </c>
      <c r="AN227" s="43">
        <v>2380</v>
      </c>
      <c r="AO227" s="43">
        <v>1070</v>
      </c>
      <c r="AP227" s="43">
        <v>0</v>
      </c>
      <c r="AQ227" s="43">
        <v>3450</v>
      </c>
      <c r="AR227" s="43">
        <v>0</v>
      </c>
      <c r="AS227" s="43"/>
      <c r="AT227" s="43">
        <v>0</v>
      </c>
      <c r="AU227" s="43"/>
      <c r="AV227" s="43"/>
      <c r="AW227" s="43"/>
      <c r="AX227" s="43">
        <v>0</v>
      </c>
      <c r="AY227" s="43">
        <v>0</v>
      </c>
      <c r="AZ227" s="43">
        <v>0</v>
      </c>
      <c r="BA227" s="43">
        <v>0</v>
      </c>
      <c r="BB227" s="43">
        <v>0</v>
      </c>
      <c r="BC227" s="43">
        <v>0</v>
      </c>
      <c r="BD227" s="43">
        <v>0</v>
      </c>
      <c r="BE227" s="43">
        <v>0</v>
      </c>
      <c r="BF227" s="43">
        <v>0</v>
      </c>
      <c r="BG227" s="43">
        <v>0</v>
      </c>
      <c r="BH227" s="43">
        <v>0</v>
      </c>
      <c r="BI227" s="40" t="s">
        <v>669</v>
      </c>
      <c r="BJ227" s="40">
        <v>2022</v>
      </c>
      <c r="BK227" s="40" t="s">
        <v>2768</v>
      </c>
      <c r="BL227" s="40" t="s">
        <v>2768</v>
      </c>
      <c r="BM227" s="40" t="s">
        <v>125</v>
      </c>
    </row>
    <row r="228" spans="1:65" x14ac:dyDescent="0.25">
      <c r="A228" s="40" t="s">
        <v>2771</v>
      </c>
      <c r="B228" s="41">
        <v>44648.291666666664</v>
      </c>
      <c r="C228" s="40" t="s">
        <v>737</v>
      </c>
      <c r="D228" s="40" t="s">
        <v>450</v>
      </c>
      <c r="E228" s="40" t="s">
        <v>1000</v>
      </c>
      <c r="F228" s="40">
        <v>217098161</v>
      </c>
      <c r="G228" s="40" t="s">
        <v>1016</v>
      </c>
      <c r="H228" s="40" t="s">
        <v>288</v>
      </c>
      <c r="I228" s="40">
        <v>2180</v>
      </c>
      <c r="J228" s="40" t="s">
        <v>1017</v>
      </c>
      <c r="K228" s="40">
        <v>26360</v>
      </c>
      <c r="L228" s="40">
        <v>28540</v>
      </c>
      <c r="M228" s="40">
        <v>10279</v>
      </c>
      <c r="N228" s="40" t="s">
        <v>1003</v>
      </c>
      <c r="O228" s="40" t="s">
        <v>197</v>
      </c>
      <c r="P228" s="40" t="s">
        <v>202</v>
      </c>
      <c r="Q228" s="40" t="s">
        <v>199</v>
      </c>
      <c r="R228" s="42" t="s">
        <v>200</v>
      </c>
      <c r="S228" s="42" t="s">
        <v>201</v>
      </c>
      <c r="T228" s="40" t="s">
        <v>409</v>
      </c>
      <c r="U228" s="41">
        <v>44645.5</v>
      </c>
      <c r="V228" s="41">
        <v>44648.25</v>
      </c>
      <c r="W228" s="41">
        <v>44648.541666666664</v>
      </c>
      <c r="X228" s="40" t="s">
        <v>410</v>
      </c>
      <c r="Y228" s="41">
        <v>44664.459027777775</v>
      </c>
      <c r="Z228" s="41">
        <v>44655.5</v>
      </c>
      <c r="AA228" s="41">
        <v>44657.5</v>
      </c>
      <c r="AB228" s="41">
        <v>44660.5</v>
      </c>
      <c r="AC228" s="40" t="s">
        <v>742</v>
      </c>
      <c r="AD228" s="40">
        <v>12149</v>
      </c>
      <c r="AE228" s="40" t="s">
        <v>125</v>
      </c>
      <c r="AF228" s="40">
        <v>1356</v>
      </c>
      <c r="AG228" s="40"/>
      <c r="AH228" s="40" t="s">
        <v>393</v>
      </c>
      <c r="AI228" s="41">
        <v>44648.958333333336</v>
      </c>
      <c r="AJ228" s="40"/>
      <c r="AK228" s="43"/>
      <c r="AL228" s="40"/>
      <c r="AM228" s="43">
        <v>0</v>
      </c>
      <c r="AN228" s="43">
        <v>2380</v>
      </c>
      <c r="AO228" s="43">
        <v>1070</v>
      </c>
      <c r="AP228" s="43">
        <v>0</v>
      </c>
      <c r="AQ228" s="43">
        <v>3450</v>
      </c>
      <c r="AR228" s="43">
        <v>0</v>
      </c>
      <c r="AS228" s="43"/>
      <c r="AT228" s="43">
        <v>0</v>
      </c>
      <c r="AU228" s="43"/>
      <c r="AV228" s="43"/>
      <c r="AW228" s="43"/>
      <c r="AX228" s="43">
        <v>0</v>
      </c>
      <c r="AY228" s="43">
        <v>0</v>
      </c>
      <c r="AZ228" s="43">
        <v>0</v>
      </c>
      <c r="BA228" s="43">
        <v>0</v>
      </c>
      <c r="BB228" s="43">
        <v>0</v>
      </c>
      <c r="BC228" s="43">
        <v>0</v>
      </c>
      <c r="BD228" s="43">
        <v>0</v>
      </c>
      <c r="BE228" s="43">
        <v>0</v>
      </c>
      <c r="BF228" s="43">
        <v>0</v>
      </c>
      <c r="BG228" s="43">
        <v>0</v>
      </c>
      <c r="BH228" s="43">
        <v>0</v>
      </c>
      <c r="BI228" s="40" t="s">
        <v>669</v>
      </c>
      <c r="BJ228" s="40">
        <v>2022</v>
      </c>
      <c r="BK228" s="40" t="s">
        <v>2768</v>
      </c>
      <c r="BL228" s="40" t="s">
        <v>2768</v>
      </c>
      <c r="BM228" s="40" t="s">
        <v>125</v>
      </c>
    </row>
    <row r="229" spans="1:65" x14ac:dyDescent="0.25">
      <c r="A229" s="40" t="s">
        <v>2771</v>
      </c>
      <c r="B229" s="41">
        <v>44648.291666666664</v>
      </c>
      <c r="C229" s="40" t="s">
        <v>737</v>
      </c>
      <c r="D229" s="40" t="s">
        <v>450</v>
      </c>
      <c r="E229" s="40" t="s">
        <v>1000</v>
      </c>
      <c r="F229" s="40">
        <v>217098161</v>
      </c>
      <c r="G229" s="40" t="s">
        <v>1018</v>
      </c>
      <c r="H229" s="40" t="s">
        <v>288</v>
      </c>
      <c r="I229" s="40">
        <v>2170</v>
      </c>
      <c r="J229" s="40" t="s">
        <v>1019</v>
      </c>
      <c r="K229" s="40">
        <v>25290</v>
      </c>
      <c r="L229" s="40">
        <v>27460</v>
      </c>
      <c r="M229" s="40">
        <v>10276</v>
      </c>
      <c r="N229" s="40" t="s">
        <v>1003</v>
      </c>
      <c r="O229" s="40" t="s">
        <v>129</v>
      </c>
      <c r="P229" s="40" t="s">
        <v>130</v>
      </c>
      <c r="Q229" s="40" t="s">
        <v>131</v>
      </c>
      <c r="R229" s="42" t="s">
        <v>132</v>
      </c>
      <c r="S229" s="42" t="s">
        <v>133</v>
      </c>
      <c r="T229" s="40" t="s">
        <v>292</v>
      </c>
      <c r="U229" s="41">
        <v>44645.666666666664</v>
      </c>
      <c r="V229" s="41">
        <v>44648.25</v>
      </c>
      <c r="W229" s="41">
        <v>44648.541666666664</v>
      </c>
      <c r="X229" s="40" t="s">
        <v>410</v>
      </c>
      <c r="Y229" s="41">
        <v>44664.679166666669</v>
      </c>
      <c r="Z229" s="41">
        <v>44655.5</v>
      </c>
      <c r="AA229" s="41">
        <v>44657.5</v>
      </c>
      <c r="AB229" s="41">
        <v>44660.5</v>
      </c>
      <c r="AC229" s="40" t="s">
        <v>742</v>
      </c>
      <c r="AD229" s="40">
        <v>12146</v>
      </c>
      <c r="AE229" s="40" t="s">
        <v>125</v>
      </c>
      <c r="AF229" s="40">
        <v>1357</v>
      </c>
      <c r="AG229" s="40"/>
      <c r="AH229" s="40" t="s">
        <v>393</v>
      </c>
      <c r="AI229" s="41">
        <v>44648.958333333336</v>
      </c>
      <c r="AJ229" s="40"/>
      <c r="AK229" s="43"/>
      <c r="AL229" s="40"/>
      <c r="AM229" s="43">
        <v>0</v>
      </c>
      <c r="AN229" s="43">
        <v>2380</v>
      </c>
      <c r="AO229" s="43">
        <v>1070</v>
      </c>
      <c r="AP229" s="43">
        <v>0</v>
      </c>
      <c r="AQ229" s="43">
        <v>3450</v>
      </c>
      <c r="AR229" s="43">
        <v>0</v>
      </c>
      <c r="AS229" s="43"/>
      <c r="AT229" s="43">
        <v>0</v>
      </c>
      <c r="AU229" s="43"/>
      <c r="AV229" s="43"/>
      <c r="AW229" s="43"/>
      <c r="AX229" s="43">
        <v>0</v>
      </c>
      <c r="AY229" s="43">
        <v>0</v>
      </c>
      <c r="AZ229" s="43">
        <v>0</v>
      </c>
      <c r="BA229" s="43">
        <v>0</v>
      </c>
      <c r="BB229" s="43">
        <v>0</v>
      </c>
      <c r="BC229" s="43">
        <v>0</v>
      </c>
      <c r="BD229" s="43">
        <v>0</v>
      </c>
      <c r="BE229" s="43">
        <v>0</v>
      </c>
      <c r="BF229" s="43">
        <v>0</v>
      </c>
      <c r="BG229" s="43">
        <v>0</v>
      </c>
      <c r="BH229" s="43">
        <v>0</v>
      </c>
      <c r="BI229" s="40" t="s">
        <v>669</v>
      </c>
      <c r="BJ229" s="40">
        <v>2022</v>
      </c>
      <c r="BK229" s="40" t="s">
        <v>2768</v>
      </c>
      <c r="BL229" s="40" t="s">
        <v>2768</v>
      </c>
      <c r="BM229" s="40" t="s">
        <v>125</v>
      </c>
    </row>
    <row r="230" spans="1:65" x14ac:dyDescent="0.25">
      <c r="A230" s="40" t="s">
        <v>2771</v>
      </c>
      <c r="B230" s="41">
        <v>44648.291666666664</v>
      </c>
      <c r="C230" s="40" t="s">
        <v>737</v>
      </c>
      <c r="D230" s="40" t="s">
        <v>450</v>
      </c>
      <c r="E230" s="40" t="s">
        <v>1000</v>
      </c>
      <c r="F230" s="40">
        <v>217098161</v>
      </c>
      <c r="G230" s="40" t="s">
        <v>1020</v>
      </c>
      <c r="H230" s="40" t="s">
        <v>288</v>
      </c>
      <c r="I230" s="40">
        <v>2170</v>
      </c>
      <c r="J230" s="40" t="s">
        <v>1021</v>
      </c>
      <c r="K230" s="40">
        <v>26090</v>
      </c>
      <c r="L230" s="40">
        <v>28260</v>
      </c>
      <c r="M230" s="40">
        <v>10277</v>
      </c>
      <c r="N230" s="40" t="s">
        <v>1003</v>
      </c>
      <c r="O230" s="40" t="s">
        <v>129</v>
      </c>
      <c r="P230" s="40" t="s">
        <v>134</v>
      </c>
      <c r="Q230" s="40" t="s">
        <v>131</v>
      </c>
      <c r="R230" s="42" t="s">
        <v>132</v>
      </c>
      <c r="S230" s="42" t="s">
        <v>133</v>
      </c>
      <c r="T230" s="40" t="s">
        <v>292</v>
      </c>
      <c r="U230" s="41">
        <v>44645.666666666664</v>
      </c>
      <c r="V230" s="41">
        <v>44648.25</v>
      </c>
      <c r="W230" s="41">
        <v>44648.541666666664</v>
      </c>
      <c r="X230" s="40" t="s">
        <v>410</v>
      </c>
      <c r="Y230" s="41">
        <v>44664.636111111111</v>
      </c>
      <c r="Z230" s="41">
        <v>44655.5</v>
      </c>
      <c r="AA230" s="41">
        <v>44657.5</v>
      </c>
      <c r="AB230" s="41">
        <v>44660.5</v>
      </c>
      <c r="AC230" s="40" t="s">
        <v>742</v>
      </c>
      <c r="AD230" s="40">
        <v>12147</v>
      </c>
      <c r="AE230" s="40" t="s">
        <v>125</v>
      </c>
      <c r="AF230" s="40">
        <v>1358</v>
      </c>
      <c r="AG230" s="40"/>
      <c r="AH230" s="40" t="s">
        <v>393</v>
      </c>
      <c r="AI230" s="41">
        <v>44648.958333333336</v>
      </c>
      <c r="AJ230" s="40"/>
      <c r="AK230" s="43"/>
      <c r="AL230" s="40"/>
      <c r="AM230" s="43">
        <v>0</v>
      </c>
      <c r="AN230" s="43">
        <v>2380</v>
      </c>
      <c r="AO230" s="43">
        <v>1070</v>
      </c>
      <c r="AP230" s="43">
        <v>0</v>
      </c>
      <c r="AQ230" s="43">
        <v>3450</v>
      </c>
      <c r="AR230" s="43">
        <v>0</v>
      </c>
      <c r="AS230" s="43"/>
      <c r="AT230" s="43">
        <v>0</v>
      </c>
      <c r="AU230" s="43"/>
      <c r="AV230" s="43"/>
      <c r="AW230" s="43"/>
      <c r="AX230" s="43">
        <v>0</v>
      </c>
      <c r="AY230" s="43">
        <v>0</v>
      </c>
      <c r="AZ230" s="43">
        <v>0</v>
      </c>
      <c r="BA230" s="43">
        <v>0</v>
      </c>
      <c r="BB230" s="43">
        <v>0</v>
      </c>
      <c r="BC230" s="43">
        <v>0</v>
      </c>
      <c r="BD230" s="43">
        <v>0</v>
      </c>
      <c r="BE230" s="43">
        <v>0</v>
      </c>
      <c r="BF230" s="43">
        <v>0</v>
      </c>
      <c r="BG230" s="43">
        <v>0</v>
      </c>
      <c r="BH230" s="43">
        <v>0</v>
      </c>
      <c r="BI230" s="40" t="s">
        <v>669</v>
      </c>
      <c r="BJ230" s="40">
        <v>2022</v>
      </c>
      <c r="BK230" s="40" t="s">
        <v>2768</v>
      </c>
      <c r="BL230" s="40" t="s">
        <v>2768</v>
      </c>
      <c r="BM230" s="40" t="s">
        <v>125</v>
      </c>
    </row>
    <row r="231" spans="1:65" x14ac:dyDescent="0.25">
      <c r="A231" s="40" t="s">
        <v>2771</v>
      </c>
      <c r="B231" s="41">
        <v>44649.291666666664</v>
      </c>
      <c r="C231" s="40" t="s">
        <v>737</v>
      </c>
      <c r="D231" s="40" t="s">
        <v>450</v>
      </c>
      <c r="E231" s="40" t="s">
        <v>1022</v>
      </c>
      <c r="F231" s="40">
        <v>217098180</v>
      </c>
      <c r="G231" s="40" t="s">
        <v>1023</v>
      </c>
      <c r="H231" s="40" t="s">
        <v>288</v>
      </c>
      <c r="I231" s="40">
        <v>2290</v>
      </c>
      <c r="J231" s="40" t="s">
        <v>1024</v>
      </c>
      <c r="K231" s="40">
        <v>26580</v>
      </c>
      <c r="L231" s="40">
        <v>28870</v>
      </c>
      <c r="M231" s="40">
        <v>10287</v>
      </c>
      <c r="N231" s="40" t="s">
        <v>1003</v>
      </c>
      <c r="O231" s="40" t="s">
        <v>182</v>
      </c>
      <c r="P231" s="40" t="s">
        <v>183</v>
      </c>
      <c r="Q231" s="40" t="s">
        <v>184</v>
      </c>
      <c r="R231" s="42" t="s">
        <v>185</v>
      </c>
      <c r="S231" s="42" t="s">
        <v>186</v>
      </c>
      <c r="T231" s="40" t="s">
        <v>292</v>
      </c>
      <c r="U231" s="41">
        <v>44645.388888888891</v>
      </c>
      <c r="V231" s="41">
        <v>44649.25</v>
      </c>
      <c r="W231" s="41">
        <v>44649.5</v>
      </c>
      <c r="X231" s="40" t="s">
        <v>410</v>
      </c>
      <c r="Y231" s="41">
        <v>44665.118055555555</v>
      </c>
      <c r="Z231" s="41">
        <v>44655.5</v>
      </c>
      <c r="AA231" s="41">
        <v>44657.5</v>
      </c>
      <c r="AB231" s="41">
        <v>44660.5</v>
      </c>
      <c r="AC231" s="40" t="s">
        <v>742</v>
      </c>
      <c r="AD231" s="40">
        <v>12166</v>
      </c>
      <c r="AE231" s="40" t="s">
        <v>125</v>
      </c>
      <c r="AF231" s="40">
        <v>1359</v>
      </c>
      <c r="AG231" s="40"/>
      <c r="AH231" s="40" t="s">
        <v>393</v>
      </c>
      <c r="AI231" s="41">
        <v>44649.958333333336</v>
      </c>
      <c r="AJ231" s="40"/>
      <c r="AK231" s="43"/>
      <c r="AL231" s="40"/>
      <c r="AM231" s="43">
        <v>0</v>
      </c>
      <c r="AN231" s="43">
        <v>2380</v>
      </c>
      <c r="AO231" s="43">
        <v>1070</v>
      </c>
      <c r="AP231" s="43">
        <v>0</v>
      </c>
      <c r="AQ231" s="43">
        <v>3450</v>
      </c>
      <c r="AR231" s="43">
        <v>0</v>
      </c>
      <c r="AS231" s="43"/>
      <c r="AT231" s="43">
        <v>0</v>
      </c>
      <c r="AU231" s="43"/>
      <c r="AV231" s="43"/>
      <c r="AW231" s="43"/>
      <c r="AX231" s="43">
        <v>0</v>
      </c>
      <c r="AY231" s="43">
        <v>0</v>
      </c>
      <c r="AZ231" s="43">
        <v>0</v>
      </c>
      <c r="BA231" s="43">
        <v>0</v>
      </c>
      <c r="BB231" s="43">
        <v>0</v>
      </c>
      <c r="BC231" s="43">
        <v>0</v>
      </c>
      <c r="BD231" s="43">
        <v>0</v>
      </c>
      <c r="BE231" s="43">
        <v>0</v>
      </c>
      <c r="BF231" s="43">
        <v>0</v>
      </c>
      <c r="BG231" s="43">
        <v>0</v>
      </c>
      <c r="BH231" s="43">
        <v>0</v>
      </c>
      <c r="BI231" s="40" t="s">
        <v>669</v>
      </c>
      <c r="BJ231" s="40">
        <v>2022</v>
      </c>
      <c r="BK231" s="40" t="s">
        <v>2768</v>
      </c>
      <c r="BL231" s="40" t="s">
        <v>2768</v>
      </c>
      <c r="BM231" s="40" t="s">
        <v>125</v>
      </c>
    </row>
    <row r="232" spans="1:65" x14ac:dyDescent="0.25">
      <c r="A232" s="40" t="s">
        <v>2771</v>
      </c>
      <c r="B232" s="41">
        <v>44649.291666666664</v>
      </c>
      <c r="C232" s="40" t="s">
        <v>737</v>
      </c>
      <c r="D232" s="40" t="s">
        <v>450</v>
      </c>
      <c r="E232" s="40" t="s">
        <v>1022</v>
      </c>
      <c r="F232" s="40">
        <v>217098180</v>
      </c>
      <c r="G232" s="40" t="s">
        <v>1025</v>
      </c>
      <c r="H232" s="40" t="s">
        <v>288</v>
      </c>
      <c r="I232" s="40">
        <v>2170</v>
      </c>
      <c r="J232" s="40" t="s">
        <v>1026</v>
      </c>
      <c r="K232" s="40">
        <v>25520</v>
      </c>
      <c r="L232" s="40">
        <v>27690</v>
      </c>
      <c r="M232" s="40">
        <v>10288</v>
      </c>
      <c r="N232" s="40" t="s">
        <v>1003</v>
      </c>
      <c r="O232" s="40" t="s">
        <v>182</v>
      </c>
      <c r="P232" s="40" t="s">
        <v>187</v>
      </c>
      <c r="Q232" s="40" t="s">
        <v>184</v>
      </c>
      <c r="R232" s="42" t="s">
        <v>185</v>
      </c>
      <c r="S232" s="42" t="s">
        <v>186</v>
      </c>
      <c r="T232" s="40" t="s">
        <v>292</v>
      </c>
      <c r="U232" s="41">
        <v>44645.388888888891</v>
      </c>
      <c r="V232" s="41">
        <v>44649.25</v>
      </c>
      <c r="W232" s="41">
        <v>44649.5</v>
      </c>
      <c r="X232" s="40" t="s">
        <v>410</v>
      </c>
      <c r="Y232" s="41">
        <v>44665.231944444444</v>
      </c>
      <c r="Z232" s="41">
        <v>44655.5</v>
      </c>
      <c r="AA232" s="41">
        <v>44657.5</v>
      </c>
      <c r="AB232" s="41">
        <v>44660.5</v>
      </c>
      <c r="AC232" s="40" t="s">
        <v>742</v>
      </c>
      <c r="AD232" s="40">
        <v>12167</v>
      </c>
      <c r="AE232" s="40" t="s">
        <v>125</v>
      </c>
      <c r="AF232" s="40">
        <v>1360</v>
      </c>
      <c r="AG232" s="40"/>
      <c r="AH232" s="40" t="s">
        <v>393</v>
      </c>
      <c r="AI232" s="41">
        <v>44649.958333333336</v>
      </c>
      <c r="AJ232" s="40"/>
      <c r="AK232" s="43"/>
      <c r="AL232" s="40"/>
      <c r="AM232" s="43">
        <v>0</v>
      </c>
      <c r="AN232" s="43">
        <v>2380</v>
      </c>
      <c r="AO232" s="43">
        <v>1070</v>
      </c>
      <c r="AP232" s="43">
        <v>0</v>
      </c>
      <c r="AQ232" s="43">
        <v>3450</v>
      </c>
      <c r="AR232" s="43">
        <v>0</v>
      </c>
      <c r="AS232" s="43"/>
      <c r="AT232" s="43">
        <v>0</v>
      </c>
      <c r="AU232" s="43"/>
      <c r="AV232" s="43"/>
      <c r="AW232" s="43"/>
      <c r="AX232" s="43">
        <v>0</v>
      </c>
      <c r="AY232" s="43">
        <v>0</v>
      </c>
      <c r="AZ232" s="43">
        <v>0</v>
      </c>
      <c r="BA232" s="43">
        <v>0</v>
      </c>
      <c r="BB232" s="43">
        <v>0</v>
      </c>
      <c r="BC232" s="43">
        <v>0</v>
      </c>
      <c r="BD232" s="43">
        <v>0</v>
      </c>
      <c r="BE232" s="43">
        <v>0</v>
      </c>
      <c r="BF232" s="43">
        <v>0</v>
      </c>
      <c r="BG232" s="43">
        <v>0</v>
      </c>
      <c r="BH232" s="43">
        <v>0</v>
      </c>
      <c r="BI232" s="40" t="s">
        <v>669</v>
      </c>
      <c r="BJ232" s="40">
        <v>2022</v>
      </c>
      <c r="BK232" s="40" t="s">
        <v>2768</v>
      </c>
      <c r="BL232" s="40" t="s">
        <v>2768</v>
      </c>
      <c r="BM232" s="40" t="s">
        <v>125</v>
      </c>
    </row>
    <row r="233" spans="1:65" x14ac:dyDescent="0.25">
      <c r="A233" s="40" t="s">
        <v>2771</v>
      </c>
      <c r="B233" s="41">
        <v>44649.291666666664</v>
      </c>
      <c r="C233" s="40" t="s">
        <v>737</v>
      </c>
      <c r="D233" s="40" t="s">
        <v>450</v>
      </c>
      <c r="E233" s="40" t="s">
        <v>1022</v>
      </c>
      <c r="F233" s="40">
        <v>217098180</v>
      </c>
      <c r="G233" s="40" t="s">
        <v>1027</v>
      </c>
      <c r="H233" s="40" t="s">
        <v>288</v>
      </c>
      <c r="I233" s="40">
        <v>2180</v>
      </c>
      <c r="J233" s="40" t="s">
        <v>1028</v>
      </c>
      <c r="K233" s="40">
        <v>25280</v>
      </c>
      <c r="L233" s="40">
        <v>27460</v>
      </c>
      <c r="M233" s="40">
        <v>10294</v>
      </c>
      <c r="N233" s="40" t="s">
        <v>1003</v>
      </c>
      <c r="O233" s="40" t="s">
        <v>953</v>
      </c>
      <c r="P233" s="40" t="s">
        <v>146</v>
      </c>
      <c r="Q233" s="40" t="s">
        <v>147</v>
      </c>
      <c r="R233" s="42" t="s">
        <v>148</v>
      </c>
      <c r="S233" s="42" t="s">
        <v>909</v>
      </c>
      <c r="T233" s="40" t="s">
        <v>292</v>
      </c>
      <c r="U233" s="41">
        <v>44645.5</v>
      </c>
      <c r="V233" s="41">
        <v>44649.25</v>
      </c>
      <c r="W233" s="41">
        <v>44649.5</v>
      </c>
      <c r="X233" s="40" t="s">
        <v>410</v>
      </c>
      <c r="Y233" s="41">
        <v>44665.229166666664</v>
      </c>
      <c r="Z233" s="41">
        <v>44655.5</v>
      </c>
      <c r="AA233" s="41">
        <v>44657.5</v>
      </c>
      <c r="AB233" s="41">
        <v>44660.5</v>
      </c>
      <c r="AC233" s="40" t="s">
        <v>742</v>
      </c>
      <c r="AD233" s="40">
        <v>12172</v>
      </c>
      <c r="AE233" s="40" t="s">
        <v>125</v>
      </c>
      <c r="AF233" s="40">
        <v>1361</v>
      </c>
      <c r="AG233" s="40"/>
      <c r="AH233" s="40" t="s">
        <v>393</v>
      </c>
      <c r="AI233" s="41">
        <v>44649.958333333336</v>
      </c>
      <c r="AJ233" s="40"/>
      <c r="AK233" s="43"/>
      <c r="AL233" s="40"/>
      <c r="AM233" s="43">
        <v>0</v>
      </c>
      <c r="AN233" s="43">
        <v>2380</v>
      </c>
      <c r="AO233" s="43">
        <v>1070</v>
      </c>
      <c r="AP233" s="43">
        <v>0</v>
      </c>
      <c r="AQ233" s="43">
        <v>3450</v>
      </c>
      <c r="AR233" s="43">
        <v>0</v>
      </c>
      <c r="AS233" s="43"/>
      <c r="AT233" s="43">
        <v>0</v>
      </c>
      <c r="AU233" s="43"/>
      <c r="AV233" s="43"/>
      <c r="AW233" s="43"/>
      <c r="AX233" s="43">
        <v>0</v>
      </c>
      <c r="AY233" s="43">
        <v>0</v>
      </c>
      <c r="AZ233" s="43">
        <v>0</v>
      </c>
      <c r="BA233" s="43">
        <v>0</v>
      </c>
      <c r="BB233" s="43">
        <v>0</v>
      </c>
      <c r="BC233" s="43">
        <v>0</v>
      </c>
      <c r="BD233" s="43">
        <v>0</v>
      </c>
      <c r="BE233" s="43">
        <v>0</v>
      </c>
      <c r="BF233" s="43">
        <v>0</v>
      </c>
      <c r="BG233" s="43">
        <v>0</v>
      </c>
      <c r="BH233" s="43">
        <v>0</v>
      </c>
      <c r="BI233" s="40" t="s">
        <v>669</v>
      </c>
      <c r="BJ233" s="40">
        <v>2022</v>
      </c>
      <c r="BK233" s="40" t="s">
        <v>2768</v>
      </c>
      <c r="BL233" s="40" t="s">
        <v>2768</v>
      </c>
      <c r="BM233" s="40" t="s">
        <v>125</v>
      </c>
    </row>
    <row r="234" spans="1:65" x14ac:dyDescent="0.25">
      <c r="A234" s="40" t="s">
        <v>2771</v>
      </c>
      <c r="B234" s="41">
        <v>44649.291666666664</v>
      </c>
      <c r="C234" s="40" t="s">
        <v>737</v>
      </c>
      <c r="D234" s="40" t="s">
        <v>450</v>
      </c>
      <c r="E234" s="40" t="s">
        <v>1022</v>
      </c>
      <c r="F234" s="40">
        <v>217098180</v>
      </c>
      <c r="G234" s="40" t="s">
        <v>1029</v>
      </c>
      <c r="H234" s="40" t="s">
        <v>288</v>
      </c>
      <c r="I234" s="40">
        <v>2200</v>
      </c>
      <c r="J234" s="40" t="s">
        <v>1030</v>
      </c>
      <c r="K234" s="40">
        <v>26030</v>
      </c>
      <c r="L234" s="40">
        <v>28230</v>
      </c>
      <c r="M234" s="40">
        <v>10293</v>
      </c>
      <c r="N234" s="40" t="s">
        <v>1003</v>
      </c>
      <c r="O234" s="40" t="s">
        <v>953</v>
      </c>
      <c r="P234" s="40" t="s">
        <v>149</v>
      </c>
      <c r="Q234" s="40" t="s">
        <v>147</v>
      </c>
      <c r="R234" s="42" t="s">
        <v>148</v>
      </c>
      <c r="S234" s="42" t="s">
        <v>909</v>
      </c>
      <c r="T234" s="40" t="s">
        <v>292</v>
      </c>
      <c r="U234" s="41">
        <v>44645.5</v>
      </c>
      <c r="V234" s="41">
        <v>44649.25</v>
      </c>
      <c r="W234" s="41">
        <v>44649.5</v>
      </c>
      <c r="X234" s="40" t="s">
        <v>410</v>
      </c>
      <c r="Y234" s="41">
        <v>44665.236111111109</v>
      </c>
      <c r="Z234" s="41">
        <v>44655.5</v>
      </c>
      <c r="AA234" s="41">
        <v>44657.5</v>
      </c>
      <c r="AB234" s="41">
        <v>44660.5</v>
      </c>
      <c r="AC234" s="40" t="s">
        <v>742</v>
      </c>
      <c r="AD234" s="40">
        <v>12173</v>
      </c>
      <c r="AE234" s="40" t="s">
        <v>125</v>
      </c>
      <c r="AF234" s="40">
        <v>1362</v>
      </c>
      <c r="AG234" s="40"/>
      <c r="AH234" s="40" t="s">
        <v>393</v>
      </c>
      <c r="AI234" s="41">
        <v>44649.958333333336</v>
      </c>
      <c r="AJ234" s="40"/>
      <c r="AK234" s="43"/>
      <c r="AL234" s="40"/>
      <c r="AM234" s="43">
        <v>0</v>
      </c>
      <c r="AN234" s="43">
        <v>2380</v>
      </c>
      <c r="AO234" s="43">
        <v>1070</v>
      </c>
      <c r="AP234" s="43">
        <v>0</v>
      </c>
      <c r="AQ234" s="43">
        <v>3450</v>
      </c>
      <c r="AR234" s="43">
        <v>0</v>
      </c>
      <c r="AS234" s="43"/>
      <c r="AT234" s="43">
        <v>0</v>
      </c>
      <c r="AU234" s="43"/>
      <c r="AV234" s="43"/>
      <c r="AW234" s="43"/>
      <c r="AX234" s="43">
        <v>0</v>
      </c>
      <c r="AY234" s="43">
        <v>0</v>
      </c>
      <c r="AZ234" s="43">
        <v>0</v>
      </c>
      <c r="BA234" s="43">
        <v>0</v>
      </c>
      <c r="BB234" s="43">
        <v>0</v>
      </c>
      <c r="BC234" s="43">
        <v>0</v>
      </c>
      <c r="BD234" s="43">
        <v>0</v>
      </c>
      <c r="BE234" s="43">
        <v>0</v>
      </c>
      <c r="BF234" s="43">
        <v>0</v>
      </c>
      <c r="BG234" s="43">
        <v>0</v>
      </c>
      <c r="BH234" s="43">
        <v>0</v>
      </c>
      <c r="BI234" s="40" t="s">
        <v>669</v>
      </c>
      <c r="BJ234" s="40">
        <v>2022</v>
      </c>
      <c r="BK234" s="40" t="s">
        <v>2768</v>
      </c>
      <c r="BL234" s="40" t="s">
        <v>2768</v>
      </c>
      <c r="BM234" s="40" t="s">
        <v>125</v>
      </c>
    </row>
    <row r="235" spans="1:65" x14ac:dyDescent="0.25">
      <c r="A235" s="40" t="s">
        <v>2771</v>
      </c>
      <c r="B235" s="41">
        <v>44649.291666666664</v>
      </c>
      <c r="C235" s="40" t="s">
        <v>737</v>
      </c>
      <c r="D235" s="40" t="s">
        <v>450</v>
      </c>
      <c r="E235" s="40" t="s">
        <v>1022</v>
      </c>
      <c r="F235" s="40">
        <v>217098180</v>
      </c>
      <c r="G235" s="40" t="s">
        <v>1031</v>
      </c>
      <c r="H235" s="40" t="s">
        <v>288</v>
      </c>
      <c r="I235" s="40">
        <v>2180</v>
      </c>
      <c r="J235" s="40" t="s">
        <v>1032</v>
      </c>
      <c r="K235" s="40">
        <v>25450</v>
      </c>
      <c r="L235" s="40">
        <v>27630</v>
      </c>
      <c r="M235" s="40">
        <v>10295</v>
      </c>
      <c r="N235" s="40" t="s">
        <v>1003</v>
      </c>
      <c r="O235" s="40" t="s">
        <v>52</v>
      </c>
      <c r="P235" s="40" t="s">
        <v>57</v>
      </c>
      <c r="Q235" s="40" t="s">
        <v>54</v>
      </c>
      <c r="R235" s="42" t="s">
        <v>55</v>
      </c>
      <c r="S235" s="42" t="s">
        <v>56</v>
      </c>
      <c r="T235" s="40" t="s">
        <v>292</v>
      </c>
      <c r="U235" s="41">
        <v>44645.5</v>
      </c>
      <c r="V235" s="41">
        <v>44649.25</v>
      </c>
      <c r="W235" s="41">
        <v>44649.5</v>
      </c>
      <c r="X235" s="40" t="s">
        <v>410</v>
      </c>
      <c r="Y235" s="41">
        <v>44665.150694444441</v>
      </c>
      <c r="Z235" s="41">
        <v>44655.5</v>
      </c>
      <c r="AA235" s="41">
        <v>44657.5</v>
      </c>
      <c r="AB235" s="41">
        <v>44660.5</v>
      </c>
      <c r="AC235" s="40" t="s">
        <v>742</v>
      </c>
      <c r="AD235" s="40">
        <v>12174</v>
      </c>
      <c r="AE235" s="40" t="s">
        <v>125</v>
      </c>
      <c r="AF235" s="40">
        <v>1363</v>
      </c>
      <c r="AG235" s="40"/>
      <c r="AH235" s="40" t="s">
        <v>393</v>
      </c>
      <c r="AI235" s="41">
        <v>44649.958333333336</v>
      </c>
      <c r="AJ235" s="40"/>
      <c r="AK235" s="43"/>
      <c r="AL235" s="40"/>
      <c r="AM235" s="43">
        <v>0</v>
      </c>
      <c r="AN235" s="43">
        <v>2380</v>
      </c>
      <c r="AO235" s="43">
        <v>1070</v>
      </c>
      <c r="AP235" s="43">
        <v>0</v>
      </c>
      <c r="AQ235" s="43">
        <v>3450</v>
      </c>
      <c r="AR235" s="43">
        <v>0</v>
      </c>
      <c r="AS235" s="43"/>
      <c r="AT235" s="43">
        <v>0</v>
      </c>
      <c r="AU235" s="43"/>
      <c r="AV235" s="43"/>
      <c r="AW235" s="43"/>
      <c r="AX235" s="43">
        <v>0</v>
      </c>
      <c r="AY235" s="43">
        <v>0</v>
      </c>
      <c r="AZ235" s="43">
        <v>0</v>
      </c>
      <c r="BA235" s="43">
        <v>0</v>
      </c>
      <c r="BB235" s="43">
        <v>0</v>
      </c>
      <c r="BC235" s="43">
        <v>0</v>
      </c>
      <c r="BD235" s="43">
        <v>0</v>
      </c>
      <c r="BE235" s="43">
        <v>0</v>
      </c>
      <c r="BF235" s="43">
        <v>0</v>
      </c>
      <c r="BG235" s="43">
        <v>0</v>
      </c>
      <c r="BH235" s="43">
        <v>0</v>
      </c>
      <c r="BI235" s="40" t="s">
        <v>669</v>
      </c>
      <c r="BJ235" s="40">
        <v>2022</v>
      </c>
      <c r="BK235" s="40" t="s">
        <v>2768</v>
      </c>
      <c r="BL235" s="40" t="s">
        <v>2768</v>
      </c>
      <c r="BM235" s="40" t="s">
        <v>125</v>
      </c>
    </row>
    <row r="236" spans="1:65" x14ac:dyDescent="0.25">
      <c r="A236" s="40" t="s">
        <v>2771</v>
      </c>
      <c r="B236" s="41">
        <v>44649.291666666664</v>
      </c>
      <c r="C236" s="40" t="s">
        <v>737</v>
      </c>
      <c r="D236" s="40" t="s">
        <v>450</v>
      </c>
      <c r="E236" s="40" t="s">
        <v>1022</v>
      </c>
      <c r="F236" s="40">
        <v>217098180</v>
      </c>
      <c r="G236" s="40" t="s">
        <v>1033</v>
      </c>
      <c r="H236" s="40" t="s">
        <v>288</v>
      </c>
      <c r="I236" s="40">
        <v>2170</v>
      </c>
      <c r="J236" s="40" t="s">
        <v>1034</v>
      </c>
      <c r="K236" s="40">
        <v>25500</v>
      </c>
      <c r="L236" s="40">
        <v>27670</v>
      </c>
      <c r="M236" s="40">
        <v>10296</v>
      </c>
      <c r="N236" s="40" t="s">
        <v>1003</v>
      </c>
      <c r="O236" s="40" t="s">
        <v>52</v>
      </c>
      <c r="P236" s="40" t="s">
        <v>53</v>
      </c>
      <c r="Q236" s="40" t="s">
        <v>54</v>
      </c>
      <c r="R236" s="42" t="s">
        <v>55</v>
      </c>
      <c r="S236" s="42" t="s">
        <v>56</v>
      </c>
      <c r="T236" s="40" t="s">
        <v>292</v>
      </c>
      <c r="U236" s="41">
        <v>44645.5</v>
      </c>
      <c r="V236" s="41">
        <v>44649.25</v>
      </c>
      <c r="W236" s="41">
        <v>44649.5</v>
      </c>
      <c r="X236" s="40" t="s">
        <v>410</v>
      </c>
      <c r="Y236" s="41">
        <v>44665.152083333334</v>
      </c>
      <c r="Z236" s="41">
        <v>44655.5</v>
      </c>
      <c r="AA236" s="41">
        <v>44657.5</v>
      </c>
      <c r="AB236" s="41">
        <v>44660.5</v>
      </c>
      <c r="AC236" s="40" t="s">
        <v>742</v>
      </c>
      <c r="AD236" s="40">
        <v>12175</v>
      </c>
      <c r="AE236" s="40" t="s">
        <v>125</v>
      </c>
      <c r="AF236" s="40">
        <v>1364</v>
      </c>
      <c r="AG236" s="40"/>
      <c r="AH236" s="40" t="s">
        <v>393</v>
      </c>
      <c r="AI236" s="41">
        <v>44649.958333333336</v>
      </c>
      <c r="AJ236" s="40"/>
      <c r="AK236" s="43"/>
      <c r="AL236" s="40"/>
      <c r="AM236" s="43">
        <v>0</v>
      </c>
      <c r="AN236" s="43">
        <v>2380</v>
      </c>
      <c r="AO236" s="43">
        <v>1070</v>
      </c>
      <c r="AP236" s="43">
        <v>0</v>
      </c>
      <c r="AQ236" s="43">
        <v>3450</v>
      </c>
      <c r="AR236" s="43">
        <v>0</v>
      </c>
      <c r="AS236" s="43"/>
      <c r="AT236" s="43">
        <v>0</v>
      </c>
      <c r="AU236" s="43"/>
      <c r="AV236" s="43"/>
      <c r="AW236" s="43"/>
      <c r="AX236" s="43">
        <v>0</v>
      </c>
      <c r="AY236" s="43">
        <v>0</v>
      </c>
      <c r="AZ236" s="43">
        <v>0</v>
      </c>
      <c r="BA236" s="43">
        <v>0</v>
      </c>
      <c r="BB236" s="43">
        <v>0</v>
      </c>
      <c r="BC236" s="43">
        <v>0</v>
      </c>
      <c r="BD236" s="43">
        <v>0</v>
      </c>
      <c r="BE236" s="43">
        <v>0</v>
      </c>
      <c r="BF236" s="43">
        <v>0</v>
      </c>
      <c r="BG236" s="43">
        <v>0</v>
      </c>
      <c r="BH236" s="43">
        <v>0</v>
      </c>
      <c r="BI236" s="40" t="s">
        <v>669</v>
      </c>
      <c r="BJ236" s="40">
        <v>2022</v>
      </c>
      <c r="BK236" s="40" t="s">
        <v>2768</v>
      </c>
      <c r="BL236" s="40" t="s">
        <v>2768</v>
      </c>
      <c r="BM236" s="40" t="s">
        <v>125</v>
      </c>
    </row>
    <row r="237" spans="1:65" x14ac:dyDescent="0.25">
      <c r="A237" s="40" t="s">
        <v>2771</v>
      </c>
      <c r="B237" s="41">
        <v>44649.291666666664</v>
      </c>
      <c r="C237" s="40" t="s">
        <v>737</v>
      </c>
      <c r="D237" s="40" t="s">
        <v>450</v>
      </c>
      <c r="E237" s="40" t="s">
        <v>1022</v>
      </c>
      <c r="F237" s="40">
        <v>217098180</v>
      </c>
      <c r="G237" s="40" t="s">
        <v>1035</v>
      </c>
      <c r="H237" s="40" t="s">
        <v>288</v>
      </c>
      <c r="I237" s="40">
        <v>2100</v>
      </c>
      <c r="J237" s="40" t="s">
        <v>1036</v>
      </c>
      <c r="K237" s="40">
        <v>24690</v>
      </c>
      <c r="L237" s="40">
        <v>26790</v>
      </c>
      <c r="M237" s="40">
        <v>10292</v>
      </c>
      <c r="N237" s="40" t="s">
        <v>1003</v>
      </c>
      <c r="O237" s="40" t="s">
        <v>197</v>
      </c>
      <c r="P237" s="40" t="s">
        <v>198</v>
      </c>
      <c r="Q237" s="40" t="s">
        <v>199</v>
      </c>
      <c r="R237" s="42" t="s">
        <v>200</v>
      </c>
      <c r="S237" s="42" t="s">
        <v>201</v>
      </c>
      <c r="T237" s="40" t="s">
        <v>292</v>
      </c>
      <c r="U237" s="41">
        <v>44645.5</v>
      </c>
      <c r="V237" s="41">
        <v>44649.25</v>
      </c>
      <c r="W237" s="41">
        <v>44649.5</v>
      </c>
      <c r="X237" s="40" t="s">
        <v>410</v>
      </c>
      <c r="Y237" s="41">
        <v>44665.161805555559</v>
      </c>
      <c r="Z237" s="41">
        <v>44655.5</v>
      </c>
      <c r="AA237" s="41">
        <v>44657.5</v>
      </c>
      <c r="AB237" s="41">
        <v>44660.5</v>
      </c>
      <c r="AC237" s="40" t="s">
        <v>742</v>
      </c>
      <c r="AD237" s="40">
        <v>12170</v>
      </c>
      <c r="AE237" s="40" t="s">
        <v>125</v>
      </c>
      <c r="AF237" s="40">
        <v>1365</v>
      </c>
      <c r="AG237" s="40"/>
      <c r="AH237" s="40" t="s">
        <v>393</v>
      </c>
      <c r="AI237" s="41">
        <v>44649.958333333336</v>
      </c>
      <c r="AJ237" s="40"/>
      <c r="AK237" s="43"/>
      <c r="AL237" s="40"/>
      <c r="AM237" s="43">
        <v>0</v>
      </c>
      <c r="AN237" s="43">
        <v>2380</v>
      </c>
      <c r="AO237" s="43">
        <v>1070</v>
      </c>
      <c r="AP237" s="43">
        <v>0</v>
      </c>
      <c r="AQ237" s="43">
        <v>3450</v>
      </c>
      <c r="AR237" s="43">
        <v>0</v>
      </c>
      <c r="AS237" s="43"/>
      <c r="AT237" s="43">
        <v>0</v>
      </c>
      <c r="AU237" s="43"/>
      <c r="AV237" s="43"/>
      <c r="AW237" s="43"/>
      <c r="AX237" s="43">
        <v>0</v>
      </c>
      <c r="AY237" s="43">
        <v>0</v>
      </c>
      <c r="AZ237" s="43">
        <v>0</v>
      </c>
      <c r="BA237" s="43">
        <v>0</v>
      </c>
      <c r="BB237" s="43">
        <v>0</v>
      </c>
      <c r="BC237" s="43">
        <v>0</v>
      </c>
      <c r="BD237" s="43">
        <v>0</v>
      </c>
      <c r="BE237" s="43">
        <v>0</v>
      </c>
      <c r="BF237" s="43">
        <v>0</v>
      </c>
      <c r="BG237" s="43">
        <v>0</v>
      </c>
      <c r="BH237" s="43">
        <v>0</v>
      </c>
      <c r="BI237" s="40" t="s">
        <v>669</v>
      </c>
      <c r="BJ237" s="40">
        <v>2022</v>
      </c>
      <c r="BK237" s="40" t="s">
        <v>2768</v>
      </c>
      <c r="BL237" s="40" t="s">
        <v>2768</v>
      </c>
      <c r="BM237" s="40" t="s">
        <v>125</v>
      </c>
    </row>
    <row r="238" spans="1:65" x14ac:dyDescent="0.25">
      <c r="A238" s="40" t="s">
        <v>2771</v>
      </c>
      <c r="B238" s="41">
        <v>44649.291666666664</v>
      </c>
      <c r="C238" s="40" t="s">
        <v>737</v>
      </c>
      <c r="D238" s="40" t="s">
        <v>450</v>
      </c>
      <c r="E238" s="40" t="s">
        <v>1022</v>
      </c>
      <c r="F238" s="40">
        <v>217098180</v>
      </c>
      <c r="G238" s="40" t="s">
        <v>1037</v>
      </c>
      <c r="H238" s="40" t="s">
        <v>288</v>
      </c>
      <c r="I238" s="40">
        <v>2230</v>
      </c>
      <c r="J238" s="40" t="s">
        <v>1038</v>
      </c>
      <c r="K238" s="40">
        <v>26480</v>
      </c>
      <c r="L238" s="40">
        <v>28710</v>
      </c>
      <c r="M238" s="40">
        <v>10291</v>
      </c>
      <c r="N238" s="40" t="s">
        <v>1003</v>
      </c>
      <c r="O238" s="40" t="s">
        <v>197</v>
      </c>
      <c r="P238" s="40" t="s">
        <v>202</v>
      </c>
      <c r="Q238" s="40" t="s">
        <v>199</v>
      </c>
      <c r="R238" s="42" t="s">
        <v>200</v>
      </c>
      <c r="S238" s="42" t="s">
        <v>201</v>
      </c>
      <c r="T238" s="40" t="s">
        <v>292</v>
      </c>
      <c r="U238" s="41">
        <v>44645.5</v>
      </c>
      <c r="V238" s="41">
        <v>44649.25</v>
      </c>
      <c r="W238" s="41">
        <v>44649.5</v>
      </c>
      <c r="X238" s="40" t="s">
        <v>410</v>
      </c>
      <c r="Y238" s="41">
        <v>44665.236111111109</v>
      </c>
      <c r="Z238" s="41">
        <v>44655.5</v>
      </c>
      <c r="AA238" s="41">
        <v>44657.5</v>
      </c>
      <c r="AB238" s="41">
        <v>44660.5</v>
      </c>
      <c r="AC238" s="40" t="s">
        <v>742</v>
      </c>
      <c r="AD238" s="40">
        <v>12171</v>
      </c>
      <c r="AE238" s="40" t="s">
        <v>125</v>
      </c>
      <c r="AF238" s="40">
        <v>1366</v>
      </c>
      <c r="AG238" s="40"/>
      <c r="AH238" s="40" t="s">
        <v>393</v>
      </c>
      <c r="AI238" s="41">
        <v>44649.958333333336</v>
      </c>
      <c r="AJ238" s="40"/>
      <c r="AK238" s="43"/>
      <c r="AL238" s="40"/>
      <c r="AM238" s="43">
        <v>0</v>
      </c>
      <c r="AN238" s="43">
        <v>2380</v>
      </c>
      <c r="AO238" s="43">
        <v>1070</v>
      </c>
      <c r="AP238" s="43">
        <v>0</v>
      </c>
      <c r="AQ238" s="43">
        <v>3450</v>
      </c>
      <c r="AR238" s="43">
        <v>0</v>
      </c>
      <c r="AS238" s="43"/>
      <c r="AT238" s="43">
        <v>0</v>
      </c>
      <c r="AU238" s="43"/>
      <c r="AV238" s="43"/>
      <c r="AW238" s="43"/>
      <c r="AX238" s="43">
        <v>0</v>
      </c>
      <c r="AY238" s="43">
        <v>0</v>
      </c>
      <c r="AZ238" s="43">
        <v>0</v>
      </c>
      <c r="BA238" s="43">
        <v>0</v>
      </c>
      <c r="BB238" s="43">
        <v>0</v>
      </c>
      <c r="BC238" s="43">
        <v>0</v>
      </c>
      <c r="BD238" s="43">
        <v>0</v>
      </c>
      <c r="BE238" s="43">
        <v>0</v>
      </c>
      <c r="BF238" s="43">
        <v>0</v>
      </c>
      <c r="BG238" s="43">
        <v>0</v>
      </c>
      <c r="BH238" s="43">
        <v>0</v>
      </c>
      <c r="BI238" s="40" t="s">
        <v>669</v>
      </c>
      <c r="BJ238" s="40">
        <v>2022</v>
      </c>
      <c r="BK238" s="40" t="s">
        <v>2768</v>
      </c>
      <c r="BL238" s="40" t="s">
        <v>2768</v>
      </c>
      <c r="BM238" s="40" t="s">
        <v>125</v>
      </c>
    </row>
    <row r="239" spans="1:65" x14ac:dyDescent="0.25">
      <c r="A239" s="40" t="s">
        <v>2771</v>
      </c>
      <c r="B239" s="41">
        <v>44649.291666666664</v>
      </c>
      <c r="C239" s="40" t="s">
        <v>737</v>
      </c>
      <c r="D239" s="40" t="s">
        <v>450</v>
      </c>
      <c r="E239" s="40" t="s">
        <v>1022</v>
      </c>
      <c r="F239" s="40">
        <v>217098180</v>
      </c>
      <c r="G239" s="40" t="s">
        <v>1039</v>
      </c>
      <c r="H239" s="40" t="s">
        <v>288</v>
      </c>
      <c r="I239" s="40">
        <v>2185</v>
      </c>
      <c r="J239" s="40" t="s">
        <v>1040</v>
      </c>
      <c r="K239" s="40">
        <v>25090</v>
      </c>
      <c r="L239" s="40">
        <v>27275</v>
      </c>
      <c r="M239" s="40">
        <v>10290</v>
      </c>
      <c r="N239" s="40" t="s">
        <v>1003</v>
      </c>
      <c r="O239" s="40" t="s">
        <v>129</v>
      </c>
      <c r="P239" s="40" t="s">
        <v>130</v>
      </c>
      <c r="Q239" s="40" t="s">
        <v>131</v>
      </c>
      <c r="R239" s="42" t="s">
        <v>132</v>
      </c>
      <c r="S239" s="42" t="s">
        <v>133</v>
      </c>
      <c r="T239" s="40" t="s">
        <v>292</v>
      </c>
      <c r="U239" s="41">
        <v>44645.5</v>
      </c>
      <c r="V239" s="41">
        <v>44649.25</v>
      </c>
      <c r="W239" s="41">
        <v>44649.5</v>
      </c>
      <c r="X239" s="40" t="s">
        <v>410</v>
      </c>
      <c r="Y239" s="41">
        <v>44665.143055555556</v>
      </c>
      <c r="Z239" s="41">
        <v>44655.5</v>
      </c>
      <c r="AA239" s="41">
        <v>44657.5</v>
      </c>
      <c r="AB239" s="41">
        <v>44660.5</v>
      </c>
      <c r="AC239" s="40" t="s">
        <v>742</v>
      </c>
      <c r="AD239" s="40">
        <v>12168</v>
      </c>
      <c r="AE239" s="40" t="s">
        <v>125</v>
      </c>
      <c r="AF239" s="40">
        <v>1367</v>
      </c>
      <c r="AG239" s="40"/>
      <c r="AH239" s="40" t="s">
        <v>393</v>
      </c>
      <c r="AI239" s="41">
        <v>44649.958333333336</v>
      </c>
      <c r="AJ239" s="40"/>
      <c r="AK239" s="43"/>
      <c r="AL239" s="40"/>
      <c r="AM239" s="43">
        <v>0</v>
      </c>
      <c r="AN239" s="43">
        <v>2380</v>
      </c>
      <c r="AO239" s="43">
        <v>1070</v>
      </c>
      <c r="AP239" s="43">
        <v>0</v>
      </c>
      <c r="AQ239" s="43">
        <v>3450</v>
      </c>
      <c r="AR239" s="43">
        <v>0</v>
      </c>
      <c r="AS239" s="43"/>
      <c r="AT239" s="43">
        <v>0</v>
      </c>
      <c r="AU239" s="43"/>
      <c r="AV239" s="43"/>
      <c r="AW239" s="43"/>
      <c r="AX239" s="43">
        <v>0</v>
      </c>
      <c r="AY239" s="43">
        <v>0</v>
      </c>
      <c r="AZ239" s="43">
        <v>0</v>
      </c>
      <c r="BA239" s="43">
        <v>0</v>
      </c>
      <c r="BB239" s="43">
        <v>0</v>
      </c>
      <c r="BC239" s="43">
        <v>0</v>
      </c>
      <c r="BD239" s="43">
        <v>0</v>
      </c>
      <c r="BE239" s="43">
        <v>0</v>
      </c>
      <c r="BF239" s="43">
        <v>0</v>
      </c>
      <c r="BG239" s="43">
        <v>0</v>
      </c>
      <c r="BH239" s="43">
        <v>0</v>
      </c>
      <c r="BI239" s="40" t="s">
        <v>669</v>
      </c>
      <c r="BJ239" s="40">
        <v>2022</v>
      </c>
      <c r="BK239" s="40" t="s">
        <v>2768</v>
      </c>
      <c r="BL239" s="40" t="s">
        <v>2768</v>
      </c>
      <c r="BM239" s="40" t="s">
        <v>125</v>
      </c>
    </row>
    <row r="240" spans="1:65" x14ac:dyDescent="0.25">
      <c r="A240" s="40" t="s">
        <v>2771</v>
      </c>
      <c r="B240" s="41">
        <v>44649.291666666664</v>
      </c>
      <c r="C240" s="40" t="s">
        <v>737</v>
      </c>
      <c r="D240" s="40" t="s">
        <v>450</v>
      </c>
      <c r="E240" s="40" t="s">
        <v>1022</v>
      </c>
      <c r="F240" s="40">
        <v>217098180</v>
      </c>
      <c r="G240" s="40" t="s">
        <v>1041</v>
      </c>
      <c r="H240" s="40" t="s">
        <v>288</v>
      </c>
      <c r="I240" s="40">
        <v>2170</v>
      </c>
      <c r="J240" s="40" t="s">
        <v>1042</v>
      </c>
      <c r="K240" s="40">
        <v>26130</v>
      </c>
      <c r="L240" s="40">
        <v>28300</v>
      </c>
      <c r="M240" s="40">
        <v>10289</v>
      </c>
      <c r="N240" s="40" t="s">
        <v>1003</v>
      </c>
      <c r="O240" s="40" t="s">
        <v>129</v>
      </c>
      <c r="P240" s="40" t="s">
        <v>134</v>
      </c>
      <c r="Q240" s="40" t="s">
        <v>131</v>
      </c>
      <c r="R240" s="42" t="s">
        <v>132</v>
      </c>
      <c r="S240" s="42" t="s">
        <v>133</v>
      </c>
      <c r="T240" s="40" t="s">
        <v>292</v>
      </c>
      <c r="U240" s="41">
        <v>44645.5</v>
      </c>
      <c r="V240" s="41">
        <v>44649.25</v>
      </c>
      <c r="W240" s="41">
        <v>44649.5</v>
      </c>
      <c r="X240" s="40" t="s">
        <v>410</v>
      </c>
      <c r="Y240" s="41">
        <v>44665.131249999999</v>
      </c>
      <c r="Z240" s="41">
        <v>44655.5</v>
      </c>
      <c r="AA240" s="41">
        <v>44657.5</v>
      </c>
      <c r="AB240" s="41">
        <v>44660.5</v>
      </c>
      <c r="AC240" s="40" t="s">
        <v>742</v>
      </c>
      <c r="AD240" s="40">
        <v>12169</v>
      </c>
      <c r="AE240" s="40" t="s">
        <v>125</v>
      </c>
      <c r="AF240" s="40">
        <v>1368</v>
      </c>
      <c r="AG240" s="40"/>
      <c r="AH240" s="40" t="s">
        <v>393</v>
      </c>
      <c r="AI240" s="41">
        <v>44649.958333333336</v>
      </c>
      <c r="AJ240" s="40"/>
      <c r="AK240" s="43"/>
      <c r="AL240" s="40"/>
      <c r="AM240" s="43">
        <v>0</v>
      </c>
      <c r="AN240" s="43">
        <v>2380</v>
      </c>
      <c r="AO240" s="43">
        <v>1070</v>
      </c>
      <c r="AP240" s="43">
        <v>0</v>
      </c>
      <c r="AQ240" s="43">
        <v>3450</v>
      </c>
      <c r="AR240" s="43">
        <v>0</v>
      </c>
      <c r="AS240" s="43"/>
      <c r="AT240" s="43">
        <v>0</v>
      </c>
      <c r="AU240" s="43"/>
      <c r="AV240" s="43"/>
      <c r="AW240" s="43"/>
      <c r="AX240" s="43">
        <v>0</v>
      </c>
      <c r="AY240" s="43">
        <v>0</v>
      </c>
      <c r="AZ240" s="43">
        <v>0</v>
      </c>
      <c r="BA240" s="43">
        <v>0</v>
      </c>
      <c r="BB240" s="43">
        <v>0</v>
      </c>
      <c r="BC240" s="43">
        <v>0</v>
      </c>
      <c r="BD240" s="43">
        <v>0</v>
      </c>
      <c r="BE240" s="43">
        <v>0</v>
      </c>
      <c r="BF240" s="43">
        <v>0</v>
      </c>
      <c r="BG240" s="43">
        <v>0</v>
      </c>
      <c r="BH240" s="43">
        <v>0</v>
      </c>
      <c r="BI240" s="40" t="s">
        <v>669</v>
      </c>
      <c r="BJ240" s="40">
        <v>2022</v>
      </c>
      <c r="BK240" s="40" t="s">
        <v>2768</v>
      </c>
      <c r="BL240" s="40" t="s">
        <v>2768</v>
      </c>
      <c r="BM240" s="40" t="s">
        <v>125</v>
      </c>
    </row>
    <row r="241" spans="1:65" x14ac:dyDescent="0.25">
      <c r="A241" s="40" t="s">
        <v>2771</v>
      </c>
      <c r="B241" s="41">
        <v>44650.291666666664</v>
      </c>
      <c r="C241" s="40" t="s">
        <v>737</v>
      </c>
      <c r="D241" s="40" t="s">
        <v>450</v>
      </c>
      <c r="E241" s="40" t="s">
        <v>1043</v>
      </c>
      <c r="F241" s="40">
        <v>217097822</v>
      </c>
      <c r="G241" s="40" t="s">
        <v>1044</v>
      </c>
      <c r="H241" s="40" t="s">
        <v>288</v>
      </c>
      <c r="I241" s="40">
        <v>2220</v>
      </c>
      <c r="J241" s="40" t="s">
        <v>1045</v>
      </c>
      <c r="K241" s="40">
        <v>25340</v>
      </c>
      <c r="L241" s="40">
        <v>27560</v>
      </c>
      <c r="M241" s="40">
        <v>10306</v>
      </c>
      <c r="N241" s="40" t="s">
        <v>1003</v>
      </c>
      <c r="O241" s="40" t="s">
        <v>182</v>
      </c>
      <c r="P241" s="40" t="s">
        <v>183</v>
      </c>
      <c r="Q241" s="40" t="s">
        <v>184</v>
      </c>
      <c r="R241" s="42" t="s">
        <v>185</v>
      </c>
      <c r="S241" s="42" t="s">
        <v>186</v>
      </c>
      <c r="T241" s="40" t="s">
        <v>292</v>
      </c>
      <c r="U241" s="41">
        <v>44648.958333333336</v>
      </c>
      <c r="V241" s="41">
        <v>44650.25</v>
      </c>
      <c r="W241" s="41">
        <v>44650.5</v>
      </c>
      <c r="X241" s="40" t="s">
        <v>410</v>
      </c>
      <c r="Y241" s="41">
        <v>44665.013194444444</v>
      </c>
      <c r="Z241" s="41">
        <v>44655.5</v>
      </c>
      <c r="AA241" s="41">
        <v>44657.5</v>
      </c>
      <c r="AB241" s="41">
        <v>44660.5</v>
      </c>
      <c r="AC241" s="40" t="s">
        <v>742</v>
      </c>
      <c r="AD241" s="40">
        <v>12189</v>
      </c>
      <c r="AE241" s="40" t="s">
        <v>125</v>
      </c>
      <c r="AF241" s="40">
        <v>1369</v>
      </c>
      <c r="AG241" s="40"/>
      <c r="AH241" s="40" t="s">
        <v>393</v>
      </c>
      <c r="AI241" s="41">
        <v>44651.020833333336</v>
      </c>
      <c r="AJ241" s="40"/>
      <c r="AK241" s="43"/>
      <c r="AL241" s="40"/>
      <c r="AM241" s="43">
        <v>0</v>
      </c>
      <c r="AN241" s="43">
        <v>3450</v>
      </c>
      <c r="AO241" s="43">
        <v>0</v>
      </c>
      <c r="AP241" s="43">
        <v>0</v>
      </c>
      <c r="AQ241" s="43">
        <v>3450</v>
      </c>
      <c r="AR241" s="43">
        <v>0</v>
      </c>
      <c r="AS241" s="43"/>
      <c r="AT241" s="43">
        <v>0</v>
      </c>
      <c r="AU241" s="43"/>
      <c r="AV241" s="43"/>
      <c r="AW241" s="43"/>
      <c r="AX241" s="43">
        <v>0</v>
      </c>
      <c r="AY241" s="43">
        <v>0</v>
      </c>
      <c r="AZ241" s="43">
        <v>0</v>
      </c>
      <c r="BA241" s="43">
        <v>0</v>
      </c>
      <c r="BB241" s="43">
        <v>0</v>
      </c>
      <c r="BC241" s="43">
        <v>0</v>
      </c>
      <c r="BD241" s="43">
        <v>0</v>
      </c>
      <c r="BE241" s="43">
        <v>0</v>
      </c>
      <c r="BF241" s="43">
        <v>0</v>
      </c>
      <c r="BG241" s="43">
        <v>0</v>
      </c>
      <c r="BH241" s="43">
        <v>0</v>
      </c>
      <c r="BI241" s="40" t="s">
        <v>669</v>
      </c>
      <c r="BJ241" s="40">
        <v>2022</v>
      </c>
      <c r="BK241" s="40" t="s">
        <v>2768</v>
      </c>
      <c r="BL241" s="40" t="s">
        <v>2768</v>
      </c>
      <c r="BM241" s="40" t="s">
        <v>125</v>
      </c>
    </row>
    <row r="242" spans="1:65" x14ac:dyDescent="0.25">
      <c r="A242" s="40" t="s">
        <v>2771</v>
      </c>
      <c r="B242" s="41">
        <v>44650.291666666664</v>
      </c>
      <c r="C242" s="40" t="s">
        <v>737</v>
      </c>
      <c r="D242" s="40" t="s">
        <v>450</v>
      </c>
      <c r="E242" s="40" t="s">
        <v>1043</v>
      </c>
      <c r="F242" s="40">
        <v>217097822</v>
      </c>
      <c r="G242" s="40" t="s">
        <v>1046</v>
      </c>
      <c r="H242" s="40" t="s">
        <v>288</v>
      </c>
      <c r="I242" s="40">
        <v>2170</v>
      </c>
      <c r="J242" s="40" t="s">
        <v>1047</v>
      </c>
      <c r="K242" s="40">
        <v>23070</v>
      </c>
      <c r="L242" s="40">
        <v>25240</v>
      </c>
      <c r="M242" s="40">
        <v>10307</v>
      </c>
      <c r="N242" s="40" t="s">
        <v>1003</v>
      </c>
      <c r="O242" s="40" t="s">
        <v>182</v>
      </c>
      <c r="P242" s="40" t="s">
        <v>187</v>
      </c>
      <c r="Q242" s="40" t="s">
        <v>184</v>
      </c>
      <c r="R242" s="42" t="s">
        <v>185</v>
      </c>
      <c r="S242" s="42" t="s">
        <v>186</v>
      </c>
      <c r="T242" s="40" t="s">
        <v>292</v>
      </c>
      <c r="U242" s="41">
        <v>44648.958333333336</v>
      </c>
      <c r="V242" s="41">
        <v>44650.25</v>
      </c>
      <c r="W242" s="41">
        <v>44650.5</v>
      </c>
      <c r="X242" s="40" t="s">
        <v>410</v>
      </c>
      <c r="Y242" s="41">
        <v>44664.876388888886</v>
      </c>
      <c r="Z242" s="41">
        <v>44655.5</v>
      </c>
      <c r="AA242" s="41">
        <v>44657.5</v>
      </c>
      <c r="AB242" s="41">
        <v>44660.5</v>
      </c>
      <c r="AC242" s="40" t="s">
        <v>742</v>
      </c>
      <c r="AD242" s="40">
        <v>12190</v>
      </c>
      <c r="AE242" s="40" t="s">
        <v>125</v>
      </c>
      <c r="AF242" s="40">
        <v>1370</v>
      </c>
      <c r="AG242" s="40"/>
      <c r="AH242" s="40" t="s">
        <v>393</v>
      </c>
      <c r="AI242" s="41">
        <v>44651.020833333336</v>
      </c>
      <c r="AJ242" s="40"/>
      <c r="AK242" s="43"/>
      <c r="AL242" s="40"/>
      <c r="AM242" s="43">
        <v>0</v>
      </c>
      <c r="AN242" s="43">
        <v>3450</v>
      </c>
      <c r="AO242" s="43">
        <v>0</v>
      </c>
      <c r="AP242" s="43">
        <v>0</v>
      </c>
      <c r="AQ242" s="43">
        <v>3450</v>
      </c>
      <c r="AR242" s="43">
        <v>0</v>
      </c>
      <c r="AS242" s="43"/>
      <c r="AT242" s="43">
        <v>0</v>
      </c>
      <c r="AU242" s="43"/>
      <c r="AV242" s="43"/>
      <c r="AW242" s="43"/>
      <c r="AX242" s="43">
        <v>0</v>
      </c>
      <c r="AY242" s="43">
        <v>0</v>
      </c>
      <c r="AZ242" s="43">
        <v>0</v>
      </c>
      <c r="BA242" s="43">
        <v>0</v>
      </c>
      <c r="BB242" s="43">
        <v>0</v>
      </c>
      <c r="BC242" s="43">
        <v>0</v>
      </c>
      <c r="BD242" s="43">
        <v>0</v>
      </c>
      <c r="BE242" s="43">
        <v>0</v>
      </c>
      <c r="BF242" s="43">
        <v>0</v>
      </c>
      <c r="BG242" s="43">
        <v>0</v>
      </c>
      <c r="BH242" s="43">
        <v>0</v>
      </c>
      <c r="BI242" s="40" t="s">
        <v>669</v>
      </c>
      <c r="BJ242" s="40">
        <v>2022</v>
      </c>
      <c r="BK242" s="40" t="s">
        <v>2768</v>
      </c>
      <c r="BL242" s="40" t="s">
        <v>2768</v>
      </c>
      <c r="BM242" s="40" t="s">
        <v>125</v>
      </c>
    </row>
    <row r="243" spans="1:65" x14ac:dyDescent="0.25">
      <c r="A243" s="40" t="s">
        <v>2771</v>
      </c>
      <c r="B243" s="41">
        <v>44650.291666666664</v>
      </c>
      <c r="C243" s="40" t="s">
        <v>737</v>
      </c>
      <c r="D243" s="40" t="s">
        <v>450</v>
      </c>
      <c r="E243" s="40" t="s">
        <v>1043</v>
      </c>
      <c r="F243" s="40">
        <v>217097822</v>
      </c>
      <c r="G243" s="40" t="s">
        <v>1048</v>
      </c>
      <c r="H243" s="40" t="s">
        <v>288</v>
      </c>
      <c r="I243" s="40">
        <v>2180</v>
      </c>
      <c r="J243" s="40" t="s">
        <v>1049</v>
      </c>
      <c r="K243" s="40">
        <v>22380</v>
      </c>
      <c r="L243" s="40">
        <v>24560</v>
      </c>
      <c r="M243" s="40">
        <v>10300</v>
      </c>
      <c r="N243" s="40" t="s">
        <v>1003</v>
      </c>
      <c r="O243" s="40" t="s">
        <v>953</v>
      </c>
      <c r="P243" s="40" t="s">
        <v>146</v>
      </c>
      <c r="Q243" s="40" t="s">
        <v>147</v>
      </c>
      <c r="R243" s="42" t="s">
        <v>148</v>
      </c>
      <c r="S243" s="42" t="s">
        <v>909</v>
      </c>
      <c r="T243" s="40" t="s">
        <v>292</v>
      </c>
      <c r="U243" s="41">
        <v>44648.958333333336</v>
      </c>
      <c r="V243" s="41">
        <v>44650.25</v>
      </c>
      <c r="W243" s="41">
        <v>44650.5</v>
      </c>
      <c r="X243" s="40" t="s">
        <v>410</v>
      </c>
      <c r="Y243" s="41">
        <v>44664.844444444447</v>
      </c>
      <c r="Z243" s="41">
        <v>44655.5</v>
      </c>
      <c r="AA243" s="41">
        <v>44657.5</v>
      </c>
      <c r="AB243" s="41">
        <v>44660.5</v>
      </c>
      <c r="AC243" s="40" t="s">
        <v>742</v>
      </c>
      <c r="AD243" s="40">
        <v>12192</v>
      </c>
      <c r="AE243" s="40" t="s">
        <v>125</v>
      </c>
      <c r="AF243" s="40">
        <v>1371</v>
      </c>
      <c r="AG243" s="40"/>
      <c r="AH243" s="40" t="s">
        <v>393</v>
      </c>
      <c r="AI243" s="41">
        <v>44651.020833333336</v>
      </c>
      <c r="AJ243" s="40"/>
      <c r="AK243" s="43"/>
      <c r="AL243" s="40"/>
      <c r="AM243" s="43">
        <v>0</v>
      </c>
      <c r="AN243" s="43">
        <v>3450</v>
      </c>
      <c r="AO243" s="43">
        <v>0</v>
      </c>
      <c r="AP243" s="43">
        <v>0</v>
      </c>
      <c r="AQ243" s="43">
        <v>3450</v>
      </c>
      <c r="AR243" s="43">
        <v>0</v>
      </c>
      <c r="AS243" s="43"/>
      <c r="AT243" s="43">
        <v>0</v>
      </c>
      <c r="AU243" s="43"/>
      <c r="AV243" s="43"/>
      <c r="AW243" s="43"/>
      <c r="AX243" s="43">
        <v>0</v>
      </c>
      <c r="AY243" s="43">
        <v>0</v>
      </c>
      <c r="AZ243" s="43">
        <v>0</v>
      </c>
      <c r="BA243" s="43">
        <v>0</v>
      </c>
      <c r="BB243" s="43">
        <v>0</v>
      </c>
      <c r="BC243" s="43">
        <v>0</v>
      </c>
      <c r="BD243" s="43">
        <v>0</v>
      </c>
      <c r="BE243" s="43">
        <v>0</v>
      </c>
      <c r="BF243" s="43">
        <v>0</v>
      </c>
      <c r="BG243" s="43">
        <v>0</v>
      </c>
      <c r="BH243" s="43">
        <v>0</v>
      </c>
      <c r="BI243" s="40" t="s">
        <v>669</v>
      </c>
      <c r="BJ243" s="40">
        <v>2022</v>
      </c>
      <c r="BK243" s="40" t="s">
        <v>2768</v>
      </c>
      <c r="BL243" s="40" t="s">
        <v>2768</v>
      </c>
      <c r="BM243" s="40" t="s">
        <v>125</v>
      </c>
    </row>
    <row r="244" spans="1:65" x14ac:dyDescent="0.25">
      <c r="A244" s="40" t="s">
        <v>2771</v>
      </c>
      <c r="B244" s="41">
        <v>44650.291666666664</v>
      </c>
      <c r="C244" s="40" t="s">
        <v>737</v>
      </c>
      <c r="D244" s="40" t="s">
        <v>450</v>
      </c>
      <c r="E244" s="40" t="s">
        <v>1043</v>
      </c>
      <c r="F244" s="40">
        <v>217097822</v>
      </c>
      <c r="G244" s="40" t="s">
        <v>1050</v>
      </c>
      <c r="H244" s="40" t="s">
        <v>288</v>
      </c>
      <c r="I244" s="40">
        <v>2170</v>
      </c>
      <c r="J244" s="40" t="s">
        <v>1051</v>
      </c>
      <c r="K244" s="40">
        <v>23470</v>
      </c>
      <c r="L244" s="40">
        <v>25640</v>
      </c>
      <c r="M244" s="40">
        <v>10301</v>
      </c>
      <c r="N244" s="40" t="s">
        <v>1003</v>
      </c>
      <c r="O244" s="40" t="s">
        <v>953</v>
      </c>
      <c r="P244" s="40" t="s">
        <v>149</v>
      </c>
      <c r="Q244" s="40" t="s">
        <v>147</v>
      </c>
      <c r="R244" s="42" t="s">
        <v>148</v>
      </c>
      <c r="S244" s="42" t="s">
        <v>909</v>
      </c>
      <c r="T244" s="40" t="s">
        <v>292</v>
      </c>
      <c r="U244" s="41">
        <v>44648.958333333336</v>
      </c>
      <c r="V244" s="41">
        <v>44650.25</v>
      </c>
      <c r="W244" s="41">
        <v>44650.5</v>
      </c>
      <c r="X244" s="40" t="s">
        <v>410</v>
      </c>
      <c r="Y244" s="41">
        <v>44664.873611111114</v>
      </c>
      <c r="Z244" s="41">
        <v>44655.5</v>
      </c>
      <c r="AA244" s="41">
        <v>44657.5</v>
      </c>
      <c r="AB244" s="41">
        <v>44660.5</v>
      </c>
      <c r="AC244" s="40" t="s">
        <v>742</v>
      </c>
      <c r="AD244" s="40">
        <v>12193</v>
      </c>
      <c r="AE244" s="40" t="s">
        <v>125</v>
      </c>
      <c r="AF244" s="40">
        <v>1372</v>
      </c>
      <c r="AG244" s="40"/>
      <c r="AH244" s="40" t="s">
        <v>393</v>
      </c>
      <c r="AI244" s="41">
        <v>44651.020833333336</v>
      </c>
      <c r="AJ244" s="40"/>
      <c r="AK244" s="43"/>
      <c r="AL244" s="40"/>
      <c r="AM244" s="43">
        <v>0</v>
      </c>
      <c r="AN244" s="43">
        <v>3450</v>
      </c>
      <c r="AO244" s="43">
        <v>0</v>
      </c>
      <c r="AP244" s="43">
        <v>0</v>
      </c>
      <c r="AQ244" s="43">
        <v>3450</v>
      </c>
      <c r="AR244" s="43">
        <v>0</v>
      </c>
      <c r="AS244" s="43"/>
      <c r="AT244" s="43">
        <v>0</v>
      </c>
      <c r="AU244" s="43"/>
      <c r="AV244" s="43"/>
      <c r="AW244" s="43"/>
      <c r="AX244" s="43">
        <v>0</v>
      </c>
      <c r="AY244" s="43">
        <v>0</v>
      </c>
      <c r="AZ244" s="43">
        <v>0</v>
      </c>
      <c r="BA244" s="43">
        <v>0</v>
      </c>
      <c r="BB244" s="43">
        <v>0</v>
      </c>
      <c r="BC244" s="43">
        <v>0</v>
      </c>
      <c r="BD244" s="43">
        <v>0</v>
      </c>
      <c r="BE244" s="43">
        <v>0</v>
      </c>
      <c r="BF244" s="43">
        <v>0</v>
      </c>
      <c r="BG244" s="43">
        <v>0</v>
      </c>
      <c r="BH244" s="43">
        <v>0</v>
      </c>
      <c r="BI244" s="40" t="s">
        <v>669</v>
      </c>
      <c r="BJ244" s="40">
        <v>2022</v>
      </c>
      <c r="BK244" s="40" t="s">
        <v>2768</v>
      </c>
      <c r="BL244" s="40" t="s">
        <v>2768</v>
      </c>
      <c r="BM244" s="40" t="s">
        <v>125</v>
      </c>
    </row>
    <row r="245" spans="1:65" x14ac:dyDescent="0.25">
      <c r="A245" s="40" t="s">
        <v>2771</v>
      </c>
      <c r="B245" s="41">
        <v>44650.291666666664</v>
      </c>
      <c r="C245" s="40" t="s">
        <v>737</v>
      </c>
      <c r="D245" s="40" t="s">
        <v>450</v>
      </c>
      <c r="E245" s="40" t="s">
        <v>1043</v>
      </c>
      <c r="F245" s="40">
        <v>217097822</v>
      </c>
      <c r="G245" s="40" t="s">
        <v>1052</v>
      </c>
      <c r="H245" s="40" t="s">
        <v>288</v>
      </c>
      <c r="I245" s="40">
        <v>2230</v>
      </c>
      <c r="J245" s="40" t="s">
        <v>1053</v>
      </c>
      <c r="K245" s="40">
        <v>23850</v>
      </c>
      <c r="L245" s="40">
        <v>26080</v>
      </c>
      <c r="M245" s="40">
        <v>10298</v>
      </c>
      <c r="N245" s="40" t="s">
        <v>1003</v>
      </c>
      <c r="O245" s="40" t="s">
        <v>52</v>
      </c>
      <c r="P245" s="40" t="s">
        <v>57</v>
      </c>
      <c r="Q245" s="40" t="s">
        <v>54</v>
      </c>
      <c r="R245" s="42" t="s">
        <v>55</v>
      </c>
      <c r="S245" s="42" t="s">
        <v>56</v>
      </c>
      <c r="T245" s="40" t="s">
        <v>292</v>
      </c>
      <c r="U245" s="41">
        <v>44648.958333333336</v>
      </c>
      <c r="V245" s="41">
        <v>44650.25</v>
      </c>
      <c r="W245" s="41">
        <v>44650.5</v>
      </c>
      <c r="X245" s="40" t="s">
        <v>410</v>
      </c>
      <c r="Y245" s="41">
        <v>44665.047222222223</v>
      </c>
      <c r="Z245" s="41">
        <v>44655.5</v>
      </c>
      <c r="AA245" s="41">
        <v>44657.5</v>
      </c>
      <c r="AB245" s="41">
        <v>44660.5</v>
      </c>
      <c r="AC245" s="40" t="s">
        <v>742</v>
      </c>
      <c r="AD245" s="40">
        <v>12187</v>
      </c>
      <c r="AE245" s="40" t="s">
        <v>125</v>
      </c>
      <c r="AF245" s="40">
        <v>1373</v>
      </c>
      <c r="AG245" s="40"/>
      <c r="AH245" s="40" t="s">
        <v>393</v>
      </c>
      <c r="AI245" s="41">
        <v>44651.020833333336</v>
      </c>
      <c r="AJ245" s="40"/>
      <c r="AK245" s="43"/>
      <c r="AL245" s="40"/>
      <c r="AM245" s="43">
        <v>0</v>
      </c>
      <c r="AN245" s="43">
        <v>3450</v>
      </c>
      <c r="AO245" s="43">
        <v>0</v>
      </c>
      <c r="AP245" s="43">
        <v>0</v>
      </c>
      <c r="AQ245" s="43">
        <v>3450</v>
      </c>
      <c r="AR245" s="43">
        <v>0</v>
      </c>
      <c r="AS245" s="43"/>
      <c r="AT245" s="43">
        <v>0</v>
      </c>
      <c r="AU245" s="43"/>
      <c r="AV245" s="43"/>
      <c r="AW245" s="43"/>
      <c r="AX245" s="43">
        <v>0</v>
      </c>
      <c r="AY245" s="43">
        <v>0</v>
      </c>
      <c r="AZ245" s="43">
        <v>0</v>
      </c>
      <c r="BA245" s="43">
        <v>0</v>
      </c>
      <c r="BB245" s="43">
        <v>0</v>
      </c>
      <c r="BC245" s="43">
        <v>0</v>
      </c>
      <c r="BD245" s="43">
        <v>0</v>
      </c>
      <c r="BE245" s="43">
        <v>0</v>
      </c>
      <c r="BF245" s="43">
        <v>0</v>
      </c>
      <c r="BG245" s="43">
        <v>0</v>
      </c>
      <c r="BH245" s="43">
        <v>0</v>
      </c>
      <c r="BI245" s="40" t="s">
        <v>669</v>
      </c>
      <c r="BJ245" s="40">
        <v>2022</v>
      </c>
      <c r="BK245" s="40" t="s">
        <v>2768</v>
      </c>
      <c r="BL245" s="40" t="s">
        <v>2768</v>
      </c>
      <c r="BM245" s="40" t="s">
        <v>125</v>
      </c>
    </row>
    <row r="246" spans="1:65" x14ac:dyDescent="0.25">
      <c r="A246" s="40" t="s">
        <v>2771</v>
      </c>
      <c r="B246" s="41">
        <v>44650.291666666664</v>
      </c>
      <c r="C246" s="40" t="s">
        <v>737</v>
      </c>
      <c r="D246" s="40" t="s">
        <v>450</v>
      </c>
      <c r="E246" s="40" t="s">
        <v>1043</v>
      </c>
      <c r="F246" s="40">
        <v>217097822</v>
      </c>
      <c r="G246" s="40" t="s">
        <v>1054</v>
      </c>
      <c r="H246" s="40" t="s">
        <v>288</v>
      </c>
      <c r="I246" s="40">
        <v>2100</v>
      </c>
      <c r="J246" s="40" t="s">
        <v>1055</v>
      </c>
      <c r="K246" s="40">
        <v>24650</v>
      </c>
      <c r="L246" s="40">
        <v>26750</v>
      </c>
      <c r="M246" s="40" t="s">
        <v>1056</v>
      </c>
      <c r="N246" s="40" t="s">
        <v>1003</v>
      </c>
      <c r="O246" s="40" t="s">
        <v>52</v>
      </c>
      <c r="P246" s="40" t="s">
        <v>53</v>
      </c>
      <c r="Q246" s="40" t="s">
        <v>54</v>
      </c>
      <c r="R246" s="42" t="s">
        <v>55</v>
      </c>
      <c r="S246" s="42" t="s">
        <v>56</v>
      </c>
      <c r="T246" s="40" t="s">
        <v>292</v>
      </c>
      <c r="U246" s="41">
        <v>44648.958333333336</v>
      </c>
      <c r="V246" s="41">
        <v>44650.25</v>
      </c>
      <c r="W246" s="41">
        <v>44650.5</v>
      </c>
      <c r="X246" s="40" t="s">
        <v>410</v>
      </c>
      <c r="Y246" s="41">
        <v>44664.879861111112</v>
      </c>
      <c r="Z246" s="41">
        <v>44655.5</v>
      </c>
      <c r="AA246" s="41">
        <v>44657.5</v>
      </c>
      <c r="AB246" s="41">
        <v>44660.5</v>
      </c>
      <c r="AC246" s="40" t="s">
        <v>742</v>
      </c>
      <c r="AD246" s="40">
        <v>12188</v>
      </c>
      <c r="AE246" s="40" t="s">
        <v>125</v>
      </c>
      <c r="AF246" s="40">
        <v>1374</v>
      </c>
      <c r="AG246" s="40"/>
      <c r="AH246" s="40" t="s">
        <v>393</v>
      </c>
      <c r="AI246" s="41">
        <v>44651.020833333336</v>
      </c>
      <c r="AJ246" s="40"/>
      <c r="AK246" s="43"/>
      <c r="AL246" s="40"/>
      <c r="AM246" s="43">
        <v>0</v>
      </c>
      <c r="AN246" s="43">
        <v>3450</v>
      </c>
      <c r="AO246" s="43">
        <v>0</v>
      </c>
      <c r="AP246" s="43">
        <v>0</v>
      </c>
      <c r="AQ246" s="43">
        <v>3450</v>
      </c>
      <c r="AR246" s="43">
        <v>0</v>
      </c>
      <c r="AS246" s="43"/>
      <c r="AT246" s="43">
        <v>0</v>
      </c>
      <c r="AU246" s="43"/>
      <c r="AV246" s="43"/>
      <c r="AW246" s="43"/>
      <c r="AX246" s="43">
        <v>0</v>
      </c>
      <c r="AY246" s="43">
        <v>0</v>
      </c>
      <c r="AZ246" s="43">
        <v>0</v>
      </c>
      <c r="BA246" s="43">
        <v>0</v>
      </c>
      <c r="BB246" s="43">
        <v>0</v>
      </c>
      <c r="BC246" s="43">
        <v>0</v>
      </c>
      <c r="BD246" s="43">
        <v>0</v>
      </c>
      <c r="BE246" s="43">
        <v>0</v>
      </c>
      <c r="BF246" s="43">
        <v>0</v>
      </c>
      <c r="BG246" s="43">
        <v>0</v>
      </c>
      <c r="BH246" s="43">
        <v>0</v>
      </c>
      <c r="BI246" s="40" t="s">
        <v>669</v>
      </c>
      <c r="BJ246" s="40">
        <v>2022</v>
      </c>
      <c r="BK246" s="40" t="s">
        <v>2768</v>
      </c>
      <c r="BL246" s="40" t="s">
        <v>2768</v>
      </c>
      <c r="BM246" s="40" t="s">
        <v>125</v>
      </c>
    </row>
    <row r="247" spans="1:65" x14ac:dyDescent="0.25">
      <c r="A247" s="40" t="s">
        <v>2771</v>
      </c>
      <c r="B247" s="41">
        <v>44650.291666666664</v>
      </c>
      <c r="C247" s="40" t="s">
        <v>737</v>
      </c>
      <c r="D247" s="40" t="s">
        <v>450</v>
      </c>
      <c r="E247" s="40" t="s">
        <v>1043</v>
      </c>
      <c r="F247" s="40">
        <v>217097822</v>
      </c>
      <c r="G247" s="40" t="s">
        <v>1057</v>
      </c>
      <c r="H247" s="40" t="s">
        <v>288</v>
      </c>
      <c r="I247" s="40">
        <v>2170</v>
      </c>
      <c r="J247" s="40" t="s">
        <v>1058</v>
      </c>
      <c r="K247" s="40">
        <v>23350</v>
      </c>
      <c r="L247" s="40">
        <v>25520</v>
      </c>
      <c r="M247" s="40">
        <v>10303</v>
      </c>
      <c r="N247" s="40" t="s">
        <v>1003</v>
      </c>
      <c r="O247" s="40" t="s">
        <v>197</v>
      </c>
      <c r="P247" s="40" t="s">
        <v>198</v>
      </c>
      <c r="Q247" s="40" t="s">
        <v>199</v>
      </c>
      <c r="R247" s="42" t="s">
        <v>200</v>
      </c>
      <c r="S247" s="42" t="s">
        <v>201</v>
      </c>
      <c r="T247" s="40" t="s">
        <v>292</v>
      </c>
      <c r="U247" s="41">
        <v>44648.958333333336</v>
      </c>
      <c r="V247" s="41">
        <v>44650.25</v>
      </c>
      <c r="W247" s="41">
        <v>44650.5</v>
      </c>
      <c r="X247" s="40" t="s">
        <v>410</v>
      </c>
      <c r="Y247" s="41">
        <v>44664.866666666669</v>
      </c>
      <c r="Z247" s="41">
        <v>44655.5</v>
      </c>
      <c r="AA247" s="41">
        <v>44657.5</v>
      </c>
      <c r="AB247" s="41">
        <v>44660.5</v>
      </c>
      <c r="AC247" s="40" t="s">
        <v>742</v>
      </c>
      <c r="AD247" s="40">
        <v>12195</v>
      </c>
      <c r="AE247" s="40" t="s">
        <v>125</v>
      </c>
      <c r="AF247" s="40">
        <v>1375</v>
      </c>
      <c r="AG247" s="40"/>
      <c r="AH247" s="40" t="s">
        <v>393</v>
      </c>
      <c r="AI247" s="41">
        <v>44651.020833333336</v>
      </c>
      <c r="AJ247" s="40"/>
      <c r="AK247" s="43"/>
      <c r="AL247" s="40"/>
      <c r="AM247" s="43">
        <v>0</v>
      </c>
      <c r="AN247" s="43">
        <v>3450</v>
      </c>
      <c r="AO247" s="43">
        <v>0</v>
      </c>
      <c r="AP247" s="43">
        <v>0</v>
      </c>
      <c r="AQ247" s="43">
        <v>3450</v>
      </c>
      <c r="AR247" s="43">
        <v>0</v>
      </c>
      <c r="AS247" s="43"/>
      <c r="AT247" s="43">
        <v>0</v>
      </c>
      <c r="AU247" s="43"/>
      <c r="AV247" s="43"/>
      <c r="AW247" s="43"/>
      <c r="AX247" s="43">
        <v>0</v>
      </c>
      <c r="AY247" s="43">
        <v>0</v>
      </c>
      <c r="AZ247" s="43">
        <v>0</v>
      </c>
      <c r="BA247" s="43">
        <v>0</v>
      </c>
      <c r="BB247" s="43">
        <v>0</v>
      </c>
      <c r="BC247" s="43">
        <v>0</v>
      </c>
      <c r="BD247" s="43">
        <v>0</v>
      </c>
      <c r="BE247" s="43">
        <v>0</v>
      </c>
      <c r="BF247" s="43">
        <v>0</v>
      </c>
      <c r="BG247" s="43">
        <v>0</v>
      </c>
      <c r="BH247" s="43">
        <v>0</v>
      </c>
      <c r="BI247" s="40" t="s">
        <v>669</v>
      </c>
      <c r="BJ247" s="40">
        <v>2022</v>
      </c>
      <c r="BK247" s="40" t="s">
        <v>2768</v>
      </c>
      <c r="BL247" s="40" t="s">
        <v>2768</v>
      </c>
      <c r="BM247" s="40" t="s">
        <v>125</v>
      </c>
    </row>
    <row r="248" spans="1:65" x14ac:dyDescent="0.25">
      <c r="A248" s="40" t="s">
        <v>2771</v>
      </c>
      <c r="B248" s="41">
        <v>44650.291666666664</v>
      </c>
      <c r="C248" s="40" t="s">
        <v>737</v>
      </c>
      <c r="D248" s="40" t="s">
        <v>450</v>
      </c>
      <c r="E248" s="40" t="s">
        <v>1043</v>
      </c>
      <c r="F248" s="40">
        <v>217097822</v>
      </c>
      <c r="G248" s="40" t="s">
        <v>1059</v>
      </c>
      <c r="H248" s="40" t="s">
        <v>288</v>
      </c>
      <c r="I248" s="40">
        <v>2180</v>
      </c>
      <c r="J248" s="40" t="s">
        <v>1060</v>
      </c>
      <c r="K248" s="40">
        <v>24090</v>
      </c>
      <c r="L248" s="40">
        <v>26270</v>
      </c>
      <c r="M248" s="40">
        <v>10302</v>
      </c>
      <c r="N248" s="40" t="s">
        <v>1003</v>
      </c>
      <c r="O248" s="40" t="s">
        <v>197</v>
      </c>
      <c r="P248" s="40" t="s">
        <v>202</v>
      </c>
      <c r="Q248" s="40" t="s">
        <v>199</v>
      </c>
      <c r="R248" s="42" t="s">
        <v>200</v>
      </c>
      <c r="S248" s="42" t="s">
        <v>201</v>
      </c>
      <c r="T248" s="40" t="s">
        <v>292</v>
      </c>
      <c r="U248" s="41">
        <v>44648.958333333336</v>
      </c>
      <c r="V248" s="41">
        <v>44650.25</v>
      </c>
      <c r="W248" s="41">
        <v>44650.5</v>
      </c>
      <c r="X248" s="40" t="s">
        <v>410</v>
      </c>
      <c r="Y248" s="41">
        <v>44664.874305555553</v>
      </c>
      <c r="Z248" s="41">
        <v>44655.5</v>
      </c>
      <c r="AA248" s="41">
        <v>44657.5</v>
      </c>
      <c r="AB248" s="41">
        <v>44660.5</v>
      </c>
      <c r="AC248" s="40" t="s">
        <v>742</v>
      </c>
      <c r="AD248" s="40">
        <v>12196</v>
      </c>
      <c r="AE248" s="40" t="s">
        <v>125</v>
      </c>
      <c r="AF248" s="40">
        <v>1376</v>
      </c>
      <c r="AG248" s="40"/>
      <c r="AH248" s="40" t="s">
        <v>393</v>
      </c>
      <c r="AI248" s="41">
        <v>44651.020833333336</v>
      </c>
      <c r="AJ248" s="40"/>
      <c r="AK248" s="43"/>
      <c r="AL248" s="40"/>
      <c r="AM248" s="43">
        <v>0</v>
      </c>
      <c r="AN248" s="43">
        <v>3450</v>
      </c>
      <c r="AO248" s="43">
        <v>0</v>
      </c>
      <c r="AP248" s="43">
        <v>0</v>
      </c>
      <c r="AQ248" s="43">
        <v>3450</v>
      </c>
      <c r="AR248" s="43">
        <v>0</v>
      </c>
      <c r="AS248" s="43"/>
      <c r="AT248" s="43">
        <v>0</v>
      </c>
      <c r="AU248" s="43"/>
      <c r="AV248" s="43"/>
      <c r="AW248" s="43"/>
      <c r="AX248" s="43">
        <v>0</v>
      </c>
      <c r="AY248" s="43">
        <v>0</v>
      </c>
      <c r="AZ248" s="43">
        <v>0</v>
      </c>
      <c r="BA248" s="43">
        <v>0</v>
      </c>
      <c r="BB248" s="43">
        <v>0</v>
      </c>
      <c r="BC248" s="43">
        <v>0</v>
      </c>
      <c r="BD248" s="43">
        <v>0</v>
      </c>
      <c r="BE248" s="43">
        <v>0</v>
      </c>
      <c r="BF248" s="43">
        <v>0</v>
      </c>
      <c r="BG248" s="43">
        <v>0</v>
      </c>
      <c r="BH248" s="43">
        <v>0</v>
      </c>
      <c r="BI248" s="40" t="s">
        <v>669</v>
      </c>
      <c r="BJ248" s="40">
        <v>2022</v>
      </c>
      <c r="BK248" s="40" t="s">
        <v>2768</v>
      </c>
      <c r="BL248" s="40" t="s">
        <v>2768</v>
      </c>
      <c r="BM248" s="40" t="s">
        <v>125</v>
      </c>
    </row>
    <row r="249" spans="1:65" x14ac:dyDescent="0.25">
      <c r="A249" s="40" t="s">
        <v>2771</v>
      </c>
      <c r="B249" s="41">
        <v>44650.291666666664</v>
      </c>
      <c r="C249" s="40" t="s">
        <v>737</v>
      </c>
      <c r="D249" s="40" t="s">
        <v>450</v>
      </c>
      <c r="E249" s="40" t="s">
        <v>1043</v>
      </c>
      <c r="F249" s="40">
        <v>217097822</v>
      </c>
      <c r="G249" s="40" t="s">
        <v>1061</v>
      </c>
      <c r="H249" s="40" t="s">
        <v>288</v>
      </c>
      <c r="I249" s="40">
        <v>2250</v>
      </c>
      <c r="J249" s="40" t="s">
        <v>1062</v>
      </c>
      <c r="K249" s="40">
        <v>23560</v>
      </c>
      <c r="L249" s="40">
        <v>25810</v>
      </c>
      <c r="M249" s="40">
        <v>10305</v>
      </c>
      <c r="N249" s="40" t="s">
        <v>1003</v>
      </c>
      <c r="O249" s="40" t="s">
        <v>129</v>
      </c>
      <c r="P249" s="40" t="s">
        <v>130</v>
      </c>
      <c r="Q249" s="40" t="s">
        <v>131</v>
      </c>
      <c r="R249" s="42" t="s">
        <v>132</v>
      </c>
      <c r="S249" s="42" t="s">
        <v>133</v>
      </c>
      <c r="T249" s="40" t="s">
        <v>292</v>
      </c>
      <c r="U249" s="41">
        <v>44648.958333333336</v>
      </c>
      <c r="V249" s="41">
        <v>44650.25</v>
      </c>
      <c r="W249" s="41">
        <v>44650.5</v>
      </c>
      <c r="X249" s="40" t="s">
        <v>410</v>
      </c>
      <c r="Y249" s="41">
        <v>44665.013194444444</v>
      </c>
      <c r="Z249" s="41">
        <v>44655.5</v>
      </c>
      <c r="AA249" s="41">
        <v>44657.5</v>
      </c>
      <c r="AB249" s="41">
        <v>44660.5</v>
      </c>
      <c r="AC249" s="40" t="s">
        <v>742</v>
      </c>
      <c r="AD249" s="40">
        <v>12197</v>
      </c>
      <c r="AE249" s="40" t="s">
        <v>125</v>
      </c>
      <c r="AF249" s="40">
        <v>1377</v>
      </c>
      <c r="AG249" s="40"/>
      <c r="AH249" s="40" t="s">
        <v>393</v>
      </c>
      <c r="AI249" s="41">
        <v>44651.020833333336</v>
      </c>
      <c r="AJ249" s="40"/>
      <c r="AK249" s="43"/>
      <c r="AL249" s="40"/>
      <c r="AM249" s="43">
        <v>0</v>
      </c>
      <c r="AN249" s="43">
        <v>3450</v>
      </c>
      <c r="AO249" s="43">
        <v>0</v>
      </c>
      <c r="AP249" s="43">
        <v>0</v>
      </c>
      <c r="AQ249" s="43">
        <v>3450</v>
      </c>
      <c r="AR249" s="43">
        <v>0</v>
      </c>
      <c r="AS249" s="43"/>
      <c r="AT249" s="43">
        <v>0</v>
      </c>
      <c r="AU249" s="43"/>
      <c r="AV249" s="43"/>
      <c r="AW249" s="43"/>
      <c r="AX249" s="43">
        <v>0</v>
      </c>
      <c r="AY249" s="43">
        <v>0</v>
      </c>
      <c r="AZ249" s="43">
        <v>0</v>
      </c>
      <c r="BA249" s="43">
        <v>0</v>
      </c>
      <c r="BB249" s="43">
        <v>0</v>
      </c>
      <c r="BC249" s="43">
        <v>0</v>
      </c>
      <c r="BD249" s="43">
        <v>0</v>
      </c>
      <c r="BE249" s="43">
        <v>0</v>
      </c>
      <c r="BF249" s="43">
        <v>0</v>
      </c>
      <c r="BG249" s="43">
        <v>0</v>
      </c>
      <c r="BH249" s="43">
        <v>0</v>
      </c>
      <c r="BI249" s="40" t="s">
        <v>669</v>
      </c>
      <c r="BJ249" s="40">
        <v>2022</v>
      </c>
      <c r="BK249" s="40" t="s">
        <v>2768</v>
      </c>
      <c r="BL249" s="40" t="s">
        <v>2768</v>
      </c>
      <c r="BM249" s="40" t="s">
        <v>125</v>
      </c>
    </row>
    <row r="250" spans="1:65" x14ac:dyDescent="0.25">
      <c r="A250" s="40" t="s">
        <v>2771</v>
      </c>
      <c r="B250" s="41">
        <v>44650.291666666664</v>
      </c>
      <c r="C250" s="40" t="s">
        <v>737</v>
      </c>
      <c r="D250" s="40" t="s">
        <v>450</v>
      </c>
      <c r="E250" s="40" t="s">
        <v>1043</v>
      </c>
      <c r="F250" s="40">
        <v>217097822</v>
      </c>
      <c r="G250" s="40" t="s">
        <v>1063</v>
      </c>
      <c r="H250" s="40" t="s">
        <v>288</v>
      </c>
      <c r="I250" s="40">
        <v>2170</v>
      </c>
      <c r="J250" s="40" t="s">
        <v>1064</v>
      </c>
      <c r="K250" s="40">
        <v>24390</v>
      </c>
      <c r="L250" s="40">
        <v>26560</v>
      </c>
      <c r="M250" s="40">
        <v>10304</v>
      </c>
      <c r="N250" s="40" t="s">
        <v>1003</v>
      </c>
      <c r="O250" s="40" t="s">
        <v>129</v>
      </c>
      <c r="P250" s="40" t="s">
        <v>134</v>
      </c>
      <c r="Q250" s="40" t="s">
        <v>131</v>
      </c>
      <c r="R250" s="42" t="s">
        <v>132</v>
      </c>
      <c r="S250" s="42" t="s">
        <v>133</v>
      </c>
      <c r="T250" s="40" t="s">
        <v>292</v>
      </c>
      <c r="U250" s="41">
        <v>44648.958333333336</v>
      </c>
      <c r="V250" s="41">
        <v>44650.25</v>
      </c>
      <c r="W250" s="41">
        <v>44650.5</v>
      </c>
      <c r="X250" s="40" t="s">
        <v>410</v>
      </c>
      <c r="Y250" s="41">
        <v>44664.96597222222</v>
      </c>
      <c r="Z250" s="41">
        <v>44655.5</v>
      </c>
      <c r="AA250" s="41">
        <v>44657.5</v>
      </c>
      <c r="AB250" s="41">
        <v>44660.5</v>
      </c>
      <c r="AC250" s="40" t="s">
        <v>742</v>
      </c>
      <c r="AD250" s="40">
        <v>12198</v>
      </c>
      <c r="AE250" s="40" t="s">
        <v>125</v>
      </c>
      <c r="AF250" s="40">
        <v>1378</v>
      </c>
      <c r="AG250" s="40"/>
      <c r="AH250" s="40" t="s">
        <v>393</v>
      </c>
      <c r="AI250" s="41">
        <v>44651.020833333336</v>
      </c>
      <c r="AJ250" s="40"/>
      <c r="AK250" s="43"/>
      <c r="AL250" s="40"/>
      <c r="AM250" s="43">
        <v>0</v>
      </c>
      <c r="AN250" s="43">
        <v>3450</v>
      </c>
      <c r="AO250" s="43">
        <v>0</v>
      </c>
      <c r="AP250" s="43">
        <v>0</v>
      </c>
      <c r="AQ250" s="43">
        <v>3450</v>
      </c>
      <c r="AR250" s="43">
        <v>0</v>
      </c>
      <c r="AS250" s="43"/>
      <c r="AT250" s="43">
        <v>0</v>
      </c>
      <c r="AU250" s="43"/>
      <c r="AV250" s="43"/>
      <c r="AW250" s="43"/>
      <c r="AX250" s="43">
        <v>0</v>
      </c>
      <c r="AY250" s="43">
        <v>0</v>
      </c>
      <c r="AZ250" s="43">
        <v>0</v>
      </c>
      <c r="BA250" s="43">
        <v>0</v>
      </c>
      <c r="BB250" s="43">
        <v>0</v>
      </c>
      <c r="BC250" s="43">
        <v>0</v>
      </c>
      <c r="BD250" s="43">
        <v>0</v>
      </c>
      <c r="BE250" s="43">
        <v>0</v>
      </c>
      <c r="BF250" s="43">
        <v>0</v>
      </c>
      <c r="BG250" s="43">
        <v>0</v>
      </c>
      <c r="BH250" s="43">
        <v>0</v>
      </c>
      <c r="BI250" s="40" t="s">
        <v>669</v>
      </c>
      <c r="BJ250" s="40">
        <v>2022</v>
      </c>
      <c r="BK250" s="40" t="s">
        <v>2768</v>
      </c>
      <c r="BL250" s="40" t="s">
        <v>2768</v>
      </c>
      <c r="BM250" s="40" t="s">
        <v>125</v>
      </c>
    </row>
    <row r="251" spans="1:65" x14ac:dyDescent="0.25">
      <c r="A251" s="40" t="s">
        <v>2771</v>
      </c>
      <c r="B251" s="41">
        <v>44650.333333333336</v>
      </c>
      <c r="C251" s="40" t="s">
        <v>297</v>
      </c>
      <c r="D251" s="40" t="s">
        <v>298</v>
      </c>
      <c r="E251" s="40" t="s">
        <v>1065</v>
      </c>
      <c r="F251" s="40" t="s">
        <v>1066</v>
      </c>
      <c r="G251" s="40" t="s">
        <v>1067</v>
      </c>
      <c r="H251" s="40" t="s">
        <v>288</v>
      </c>
      <c r="I251" s="40">
        <v>2220</v>
      </c>
      <c r="J251" s="40" t="s">
        <v>1068</v>
      </c>
      <c r="K251" s="40">
        <v>9317</v>
      </c>
      <c r="L251" s="40">
        <v>11537</v>
      </c>
      <c r="M251" s="40">
        <v>722271</v>
      </c>
      <c r="N251" s="40" t="s">
        <v>1003</v>
      </c>
      <c r="O251" s="40" t="s">
        <v>1069</v>
      </c>
      <c r="P251" s="40" t="s">
        <v>1070</v>
      </c>
      <c r="Q251" s="40" t="s">
        <v>1071</v>
      </c>
      <c r="R251" s="42" t="s">
        <v>1072</v>
      </c>
      <c r="S251" s="42">
        <v>2972587906</v>
      </c>
      <c r="T251" s="40" t="s">
        <v>469</v>
      </c>
      <c r="U251" s="41">
        <v>44649.659722222219</v>
      </c>
      <c r="V251" s="41">
        <v>44650.291666666664</v>
      </c>
      <c r="W251" s="41">
        <v>44650.708333333336</v>
      </c>
      <c r="X251" s="40" t="s">
        <v>410</v>
      </c>
      <c r="Y251" s="41">
        <v>44655.056250000001</v>
      </c>
      <c r="Z251" s="41">
        <v>44653.333333333336</v>
      </c>
      <c r="AA251" s="41">
        <v>44651.5</v>
      </c>
      <c r="AB251" s="41">
        <v>44655.416666666664</v>
      </c>
      <c r="AC251" s="40" t="s">
        <v>1073</v>
      </c>
      <c r="AD251" s="40">
        <v>12203</v>
      </c>
      <c r="AE251" s="40">
        <v>5694</v>
      </c>
      <c r="AF251" s="40">
        <v>1392</v>
      </c>
      <c r="AG251" s="40"/>
      <c r="AH251" s="40" t="s">
        <v>393</v>
      </c>
      <c r="AI251" s="41">
        <v>44650.875</v>
      </c>
      <c r="AJ251" s="40">
        <v>1</v>
      </c>
      <c r="AK251" s="43">
        <v>950</v>
      </c>
      <c r="AL251" s="40"/>
      <c r="AM251" s="43">
        <v>0</v>
      </c>
      <c r="AN251" s="43">
        <v>2800</v>
      </c>
      <c r="AO251" s="43">
        <v>0</v>
      </c>
      <c r="AP251" s="43">
        <v>0</v>
      </c>
      <c r="AQ251" s="43">
        <v>2800</v>
      </c>
      <c r="AR251" s="43">
        <v>0</v>
      </c>
      <c r="AS251" s="43"/>
      <c r="AT251" s="43">
        <v>0</v>
      </c>
      <c r="AU251" s="43"/>
      <c r="AV251" s="43"/>
      <c r="AW251" s="43"/>
      <c r="AX251" s="43">
        <v>0</v>
      </c>
      <c r="AY251" s="43">
        <v>0</v>
      </c>
      <c r="AZ251" s="43">
        <v>0</v>
      </c>
      <c r="BA251" s="43">
        <v>0</v>
      </c>
      <c r="BB251" s="43">
        <v>0</v>
      </c>
      <c r="BC251" s="43">
        <v>0</v>
      </c>
      <c r="BD251" s="43">
        <v>0</v>
      </c>
      <c r="BE251" s="43">
        <v>0</v>
      </c>
      <c r="BF251" s="43">
        <v>0</v>
      </c>
      <c r="BG251" s="43">
        <v>0</v>
      </c>
      <c r="BH251" s="43">
        <v>0</v>
      </c>
      <c r="BI251" s="40" t="s">
        <v>669</v>
      </c>
      <c r="BJ251" s="40">
        <v>2022</v>
      </c>
      <c r="BK251" s="40" t="s">
        <v>2768</v>
      </c>
      <c r="BL251" s="40" t="s">
        <v>2768</v>
      </c>
      <c r="BM251" s="40" t="s">
        <v>846</v>
      </c>
    </row>
    <row r="252" spans="1:65" x14ac:dyDescent="0.25">
      <c r="A252" s="40" t="s">
        <v>2771</v>
      </c>
      <c r="B252" s="41">
        <v>44651.291666666664</v>
      </c>
      <c r="C252" s="40" t="s">
        <v>737</v>
      </c>
      <c r="D252" s="40" t="s">
        <v>450</v>
      </c>
      <c r="E252" s="40" t="s">
        <v>1074</v>
      </c>
      <c r="F252" s="40">
        <v>217097847</v>
      </c>
      <c r="G252" s="40" t="s">
        <v>1075</v>
      </c>
      <c r="H252" s="40" t="s">
        <v>288</v>
      </c>
      <c r="I252" s="40">
        <v>2170</v>
      </c>
      <c r="J252" s="40" t="s">
        <v>1076</v>
      </c>
      <c r="K252" s="40">
        <v>23300</v>
      </c>
      <c r="L252" s="40">
        <v>25470</v>
      </c>
      <c r="M252" s="40">
        <v>10312</v>
      </c>
      <c r="N252" s="40" t="s">
        <v>1003</v>
      </c>
      <c r="O252" s="40" t="s">
        <v>182</v>
      </c>
      <c r="P252" s="40" t="s">
        <v>183</v>
      </c>
      <c r="Q252" s="40" t="s">
        <v>184</v>
      </c>
      <c r="R252" s="42" t="s">
        <v>185</v>
      </c>
      <c r="S252" s="42" t="s">
        <v>186</v>
      </c>
      <c r="T252" s="40" t="s">
        <v>292</v>
      </c>
      <c r="U252" s="41">
        <v>44650.958333333336</v>
      </c>
      <c r="V252" s="41">
        <v>44651.291666666664</v>
      </c>
      <c r="W252" s="41">
        <v>44651.5</v>
      </c>
      <c r="X252" s="40" t="s">
        <v>410</v>
      </c>
      <c r="Y252" s="41">
        <v>44663.698611111111</v>
      </c>
      <c r="Z252" s="41"/>
      <c r="AA252" s="41">
        <v>44657.5</v>
      </c>
      <c r="AB252" s="41">
        <v>44660.5</v>
      </c>
      <c r="AC252" s="40" t="s">
        <v>742</v>
      </c>
      <c r="AD252" s="40">
        <v>12210</v>
      </c>
      <c r="AE252" s="40" t="s">
        <v>125</v>
      </c>
      <c r="AF252" s="40">
        <v>1379</v>
      </c>
      <c r="AG252" s="40"/>
      <c r="AH252" s="40" t="s">
        <v>393</v>
      </c>
      <c r="AI252" s="41">
        <v>44652.083333333336</v>
      </c>
      <c r="AJ252" s="40"/>
      <c r="AK252" s="43"/>
      <c r="AL252" s="40"/>
      <c r="AM252" s="43">
        <v>0</v>
      </c>
      <c r="AN252" s="43">
        <v>3450</v>
      </c>
      <c r="AO252" s="43">
        <v>0</v>
      </c>
      <c r="AP252" s="43">
        <v>0</v>
      </c>
      <c r="AQ252" s="43">
        <v>3450</v>
      </c>
      <c r="AR252" s="43">
        <v>0</v>
      </c>
      <c r="AS252" s="43"/>
      <c r="AT252" s="43">
        <v>0</v>
      </c>
      <c r="AU252" s="43"/>
      <c r="AV252" s="43"/>
      <c r="AW252" s="43"/>
      <c r="AX252" s="43">
        <v>0</v>
      </c>
      <c r="AY252" s="43">
        <v>0</v>
      </c>
      <c r="AZ252" s="43">
        <v>0</v>
      </c>
      <c r="BA252" s="43">
        <v>0</v>
      </c>
      <c r="BB252" s="43">
        <v>0</v>
      </c>
      <c r="BC252" s="43">
        <v>0</v>
      </c>
      <c r="BD252" s="43">
        <v>0</v>
      </c>
      <c r="BE252" s="43">
        <v>0</v>
      </c>
      <c r="BF252" s="43">
        <v>0</v>
      </c>
      <c r="BG252" s="43">
        <v>0</v>
      </c>
      <c r="BH252" s="43">
        <v>0</v>
      </c>
      <c r="BI252" s="40" t="s">
        <v>669</v>
      </c>
      <c r="BJ252" s="40">
        <v>2022</v>
      </c>
      <c r="BK252" s="40" t="s">
        <v>2768</v>
      </c>
      <c r="BL252" s="40" t="s">
        <v>2768</v>
      </c>
      <c r="BM252" s="40" t="s">
        <v>125</v>
      </c>
    </row>
    <row r="253" spans="1:65" x14ac:dyDescent="0.25">
      <c r="A253" s="40" t="s">
        <v>2771</v>
      </c>
      <c r="B253" s="41">
        <v>44651.291666666664</v>
      </c>
      <c r="C253" s="40" t="s">
        <v>737</v>
      </c>
      <c r="D253" s="40" t="s">
        <v>450</v>
      </c>
      <c r="E253" s="40" t="s">
        <v>1074</v>
      </c>
      <c r="F253" s="40">
        <v>217097847</v>
      </c>
      <c r="G253" s="40" t="s">
        <v>1077</v>
      </c>
      <c r="H253" s="40" t="s">
        <v>288</v>
      </c>
      <c r="I253" s="40">
        <v>2220</v>
      </c>
      <c r="J253" s="40" t="s">
        <v>1078</v>
      </c>
      <c r="K253" s="40">
        <v>23200</v>
      </c>
      <c r="L253" s="40">
        <v>25420</v>
      </c>
      <c r="M253" s="40">
        <v>10313</v>
      </c>
      <c r="N253" s="40" t="s">
        <v>1003</v>
      </c>
      <c r="O253" s="40" t="s">
        <v>182</v>
      </c>
      <c r="P253" s="40" t="s">
        <v>187</v>
      </c>
      <c r="Q253" s="40" t="s">
        <v>184</v>
      </c>
      <c r="R253" s="42" t="s">
        <v>185</v>
      </c>
      <c r="S253" s="42" t="s">
        <v>186</v>
      </c>
      <c r="T253" s="40" t="s">
        <v>292</v>
      </c>
      <c r="U253" s="41">
        <v>44650.958333333336</v>
      </c>
      <c r="V253" s="41">
        <v>44651.291666666664</v>
      </c>
      <c r="W253" s="41">
        <v>44651.5</v>
      </c>
      <c r="X253" s="40" t="s">
        <v>410</v>
      </c>
      <c r="Y253" s="41">
        <v>44664.244444444441</v>
      </c>
      <c r="Z253" s="41"/>
      <c r="AA253" s="41">
        <v>44657.5</v>
      </c>
      <c r="AB253" s="41">
        <v>44660.5</v>
      </c>
      <c r="AC253" s="40" t="s">
        <v>742</v>
      </c>
      <c r="AD253" s="40">
        <v>12211</v>
      </c>
      <c r="AE253" s="40" t="s">
        <v>125</v>
      </c>
      <c r="AF253" s="40">
        <v>1380</v>
      </c>
      <c r="AG253" s="40"/>
      <c r="AH253" s="40" t="s">
        <v>393</v>
      </c>
      <c r="AI253" s="41">
        <v>44652.083333333336</v>
      </c>
      <c r="AJ253" s="40"/>
      <c r="AK253" s="43"/>
      <c r="AL253" s="40"/>
      <c r="AM253" s="43">
        <v>0</v>
      </c>
      <c r="AN253" s="43">
        <v>3450</v>
      </c>
      <c r="AO253" s="43">
        <v>0</v>
      </c>
      <c r="AP253" s="43">
        <v>0</v>
      </c>
      <c r="AQ253" s="43">
        <v>3450</v>
      </c>
      <c r="AR253" s="43">
        <v>0</v>
      </c>
      <c r="AS253" s="43"/>
      <c r="AT253" s="43">
        <v>0</v>
      </c>
      <c r="AU253" s="43"/>
      <c r="AV253" s="43"/>
      <c r="AW253" s="43"/>
      <c r="AX253" s="43">
        <v>0</v>
      </c>
      <c r="AY253" s="43">
        <v>0</v>
      </c>
      <c r="AZ253" s="43">
        <v>0</v>
      </c>
      <c r="BA253" s="43">
        <v>0</v>
      </c>
      <c r="BB253" s="43">
        <v>0</v>
      </c>
      <c r="BC253" s="43">
        <v>0</v>
      </c>
      <c r="BD253" s="43">
        <v>0</v>
      </c>
      <c r="BE253" s="43">
        <v>0</v>
      </c>
      <c r="BF253" s="43">
        <v>0</v>
      </c>
      <c r="BG253" s="43">
        <v>0</v>
      </c>
      <c r="BH253" s="43">
        <v>0</v>
      </c>
      <c r="BI253" s="40" t="s">
        <v>669</v>
      </c>
      <c r="BJ253" s="40">
        <v>2022</v>
      </c>
      <c r="BK253" s="40" t="s">
        <v>2768</v>
      </c>
      <c r="BL253" s="40" t="s">
        <v>2768</v>
      </c>
      <c r="BM253" s="40" t="s">
        <v>125</v>
      </c>
    </row>
    <row r="254" spans="1:65" x14ac:dyDescent="0.25">
      <c r="A254" s="40" t="s">
        <v>2771</v>
      </c>
      <c r="B254" s="41">
        <v>44651.291666666664</v>
      </c>
      <c r="C254" s="40" t="s">
        <v>737</v>
      </c>
      <c r="D254" s="40" t="s">
        <v>450</v>
      </c>
      <c r="E254" s="40" t="s">
        <v>1074</v>
      </c>
      <c r="F254" s="40">
        <v>217097847</v>
      </c>
      <c r="G254" s="40" t="s">
        <v>1079</v>
      </c>
      <c r="H254" s="40" t="s">
        <v>288</v>
      </c>
      <c r="I254" s="40">
        <v>2170</v>
      </c>
      <c r="J254" s="40" t="s">
        <v>1080</v>
      </c>
      <c r="K254" s="40">
        <v>23280</v>
      </c>
      <c r="L254" s="40">
        <v>25450</v>
      </c>
      <c r="M254" s="40">
        <v>10311</v>
      </c>
      <c r="N254" s="40" t="s">
        <v>1003</v>
      </c>
      <c r="O254" s="40" t="s">
        <v>953</v>
      </c>
      <c r="P254" s="40" t="s">
        <v>146</v>
      </c>
      <c r="Q254" s="40" t="s">
        <v>147</v>
      </c>
      <c r="R254" s="42" t="s">
        <v>148</v>
      </c>
      <c r="S254" s="42" t="s">
        <v>909</v>
      </c>
      <c r="T254" s="40" t="s">
        <v>292</v>
      </c>
      <c r="U254" s="41">
        <v>44650.958333333336</v>
      </c>
      <c r="V254" s="41">
        <v>44651.291666666664</v>
      </c>
      <c r="W254" s="41">
        <v>44651.5</v>
      </c>
      <c r="X254" s="40" t="s">
        <v>410</v>
      </c>
      <c r="Y254" s="41">
        <v>44665.315972222219</v>
      </c>
      <c r="Z254" s="41"/>
      <c r="AA254" s="41">
        <v>44657.5</v>
      </c>
      <c r="AB254" s="41">
        <v>44660.5</v>
      </c>
      <c r="AC254" s="40" t="s">
        <v>742</v>
      </c>
      <c r="AD254" s="40">
        <v>12208</v>
      </c>
      <c r="AE254" s="40" t="s">
        <v>125</v>
      </c>
      <c r="AF254" s="40">
        <v>1381</v>
      </c>
      <c r="AG254" s="40"/>
      <c r="AH254" s="40" t="s">
        <v>393</v>
      </c>
      <c r="AI254" s="41">
        <v>44652.083333333336</v>
      </c>
      <c r="AJ254" s="40"/>
      <c r="AK254" s="43"/>
      <c r="AL254" s="40"/>
      <c r="AM254" s="43">
        <v>0</v>
      </c>
      <c r="AN254" s="43">
        <v>3450</v>
      </c>
      <c r="AO254" s="43">
        <v>0</v>
      </c>
      <c r="AP254" s="43">
        <v>0</v>
      </c>
      <c r="AQ254" s="43">
        <v>3450</v>
      </c>
      <c r="AR254" s="43">
        <v>0</v>
      </c>
      <c r="AS254" s="43"/>
      <c r="AT254" s="43">
        <v>0</v>
      </c>
      <c r="AU254" s="43"/>
      <c r="AV254" s="43"/>
      <c r="AW254" s="43"/>
      <c r="AX254" s="43">
        <v>0</v>
      </c>
      <c r="AY254" s="43">
        <v>0</v>
      </c>
      <c r="AZ254" s="43">
        <v>0</v>
      </c>
      <c r="BA254" s="43">
        <v>0</v>
      </c>
      <c r="BB254" s="43">
        <v>0</v>
      </c>
      <c r="BC254" s="43">
        <v>0</v>
      </c>
      <c r="BD254" s="43">
        <v>0</v>
      </c>
      <c r="BE254" s="43">
        <v>0</v>
      </c>
      <c r="BF254" s="43">
        <v>0</v>
      </c>
      <c r="BG254" s="43">
        <v>0</v>
      </c>
      <c r="BH254" s="43">
        <v>0</v>
      </c>
      <c r="BI254" s="40" t="s">
        <v>669</v>
      </c>
      <c r="BJ254" s="40">
        <v>2022</v>
      </c>
      <c r="BK254" s="40" t="s">
        <v>2768</v>
      </c>
      <c r="BL254" s="40" t="s">
        <v>2768</v>
      </c>
      <c r="BM254" s="40" t="s">
        <v>125</v>
      </c>
    </row>
    <row r="255" spans="1:65" x14ac:dyDescent="0.25">
      <c r="A255" s="40" t="s">
        <v>2771</v>
      </c>
      <c r="B255" s="41">
        <v>44651.291666666664</v>
      </c>
      <c r="C255" s="40" t="s">
        <v>737</v>
      </c>
      <c r="D255" s="40" t="s">
        <v>450</v>
      </c>
      <c r="E255" s="40" t="s">
        <v>1074</v>
      </c>
      <c r="F255" s="40">
        <v>217097847</v>
      </c>
      <c r="G255" s="40" t="s">
        <v>1081</v>
      </c>
      <c r="H255" s="40" t="s">
        <v>288</v>
      </c>
      <c r="I255" s="40">
        <v>2250</v>
      </c>
      <c r="J255" s="40" t="s">
        <v>1082</v>
      </c>
      <c r="K255" s="40">
        <v>23650</v>
      </c>
      <c r="L255" s="40">
        <v>25900</v>
      </c>
      <c r="M255" s="40">
        <v>10310</v>
      </c>
      <c r="N255" s="40" t="s">
        <v>1003</v>
      </c>
      <c r="O255" s="40" t="s">
        <v>953</v>
      </c>
      <c r="P255" s="40" t="s">
        <v>149</v>
      </c>
      <c r="Q255" s="40" t="s">
        <v>147</v>
      </c>
      <c r="R255" s="42" t="s">
        <v>148</v>
      </c>
      <c r="S255" s="42" t="s">
        <v>909</v>
      </c>
      <c r="T255" s="40" t="s">
        <v>292</v>
      </c>
      <c r="U255" s="41">
        <v>44650.958333333336</v>
      </c>
      <c r="V255" s="41">
        <v>44651.291666666664</v>
      </c>
      <c r="W255" s="41">
        <v>44651.5</v>
      </c>
      <c r="X255" s="40" t="s">
        <v>410</v>
      </c>
      <c r="Y255" s="41">
        <v>44665.281944444447</v>
      </c>
      <c r="Z255" s="41"/>
      <c r="AA255" s="41">
        <v>44657.5</v>
      </c>
      <c r="AB255" s="41">
        <v>44660.5</v>
      </c>
      <c r="AC255" s="40" t="s">
        <v>742</v>
      </c>
      <c r="AD255" s="40">
        <v>12209</v>
      </c>
      <c r="AE255" s="40" t="s">
        <v>125</v>
      </c>
      <c r="AF255" s="40">
        <v>1382</v>
      </c>
      <c r="AG255" s="40"/>
      <c r="AH255" s="40" t="s">
        <v>393</v>
      </c>
      <c r="AI255" s="41">
        <v>44652.083333333336</v>
      </c>
      <c r="AJ255" s="40"/>
      <c r="AK255" s="43"/>
      <c r="AL255" s="40"/>
      <c r="AM255" s="43">
        <v>0</v>
      </c>
      <c r="AN255" s="43">
        <v>3450</v>
      </c>
      <c r="AO255" s="43">
        <v>0</v>
      </c>
      <c r="AP255" s="43">
        <v>0</v>
      </c>
      <c r="AQ255" s="43">
        <v>3450</v>
      </c>
      <c r="AR255" s="43">
        <v>0</v>
      </c>
      <c r="AS255" s="43"/>
      <c r="AT255" s="43">
        <v>0</v>
      </c>
      <c r="AU255" s="43"/>
      <c r="AV255" s="43"/>
      <c r="AW255" s="43"/>
      <c r="AX255" s="43">
        <v>0</v>
      </c>
      <c r="AY255" s="43">
        <v>0</v>
      </c>
      <c r="AZ255" s="43">
        <v>0</v>
      </c>
      <c r="BA255" s="43">
        <v>0</v>
      </c>
      <c r="BB255" s="43">
        <v>0</v>
      </c>
      <c r="BC255" s="43">
        <v>0</v>
      </c>
      <c r="BD255" s="43">
        <v>0</v>
      </c>
      <c r="BE255" s="43">
        <v>0</v>
      </c>
      <c r="BF255" s="43">
        <v>0</v>
      </c>
      <c r="BG255" s="43">
        <v>0</v>
      </c>
      <c r="BH255" s="43">
        <v>0</v>
      </c>
      <c r="BI255" s="40" t="s">
        <v>669</v>
      </c>
      <c r="BJ255" s="40">
        <v>2022</v>
      </c>
      <c r="BK255" s="40" t="s">
        <v>2768</v>
      </c>
      <c r="BL255" s="40" t="s">
        <v>2768</v>
      </c>
      <c r="BM255" s="40" t="s">
        <v>125</v>
      </c>
    </row>
    <row r="256" spans="1:65" x14ac:dyDescent="0.25">
      <c r="A256" s="40" t="s">
        <v>2771</v>
      </c>
      <c r="B256" s="41">
        <v>44651.291666666664</v>
      </c>
      <c r="C256" s="40" t="s">
        <v>737</v>
      </c>
      <c r="D256" s="40" t="s">
        <v>450</v>
      </c>
      <c r="E256" s="40" t="s">
        <v>1074</v>
      </c>
      <c r="F256" s="40">
        <v>217097847</v>
      </c>
      <c r="G256" s="40" t="s">
        <v>1083</v>
      </c>
      <c r="H256" s="40" t="s">
        <v>288</v>
      </c>
      <c r="I256" s="40">
        <v>2170</v>
      </c>
      <c r="J256" s="40" t="s">
        <v>1084</v>
      </c>
      <c r="K256" s="40">
        <v>23400</v>
      </c>
      <c r="L256" s="40">
        <v>25570</v>
      </c>
      <c r="M256" s="40">
        <v>10315</v>
      </c>
      <c r="N256" s="40" t="s">
        <v>1003</v>
      </c>
      <c r="O256" s="40" t="s">
        <v>52</v>
      </c>
      <c r="P256" s="40" t="s">
        <v>57</v>
      </c>
      <c r="Q256" s="40" t="s">
        <v>54</v>
      </c>
      <c r="R256" s="42" t="s">
        <v>55</v>
      </c>
      <c r="S256" s="42" t="s">
        <v>56</v>
      </c>
      <c r="T256" s="40" t="s">
        <v>292</v>
      </c>
      <c r="U256" s="41">
        <v>44650.958333333336</v>
      </c>
      <c r="V256" s="41">
        <v>44651.291666666664</v>
      </c>
      <c r="W256" s="41">
        <v>44651.5</v>
      </c>
      <c r="X256" s="40" t="s">
        <v>410</v>
      </c>
      <c r="Y256" s="41">
        <v>44663.548611111109</v>
      </c>
      <c r="Z256" s="41"/>
      <c r="AA256" s="41">
        <v>44657.5</v>
      </c>
      <c r="AB256" s="41">
        <v>44660.5</v>
      </c>
      <c r="AC256" s="40" t="s">
        <v>742</v>
      </c>
      <c r="AD256" s="40">
        <v>12214</v>
      </c>
      <c r="AE256" s="40" t="s">
        <v>125</v>
      </c>
      <c r="AF256" s="40">
        <v>1383</v>
      </c>
      <c r="AG256" s="40"/>
      <c r="AH256" s="40" t="s">
        <v>393</v>
      </c>
      <c r="AI256" s="41">
        <v>44652.083333333336</v>
      </c>
      <c r="AJ256" s="40"/>
      <c r="AK256" s="43"/>
      <c r="AL256" s="40"/>
      <c r="AM256" s="43">
        <v>0</v>
      </c>
      <c r="AN256" s="43">
        <v>3450</v>
      </c>
      <c r="AO256" s="43">
        <v>0</v>
      </c>
      <c r="AP256" s="43">
        <v>0</v>
      </c>
      <c r="AQ256" s="43">
        <v>3450</v>
      </c>
      <c r="AR256" s="43">
        <v>0</v>
      </c>
      <c r="AS256" s="43"/>
      <c r="AT256" s="43">
        <v>0</v>
      </c>
      <c r="AU256" s="43"/>
      <c r="AV256" s="43"/>
      <c r="AW256" s="43"/>
      <c r="AX256" s="43">
        <v>0</v>
      </c>
      <c r="AY256" s="43">
        <v>0</v>
      </c>
      <c r="AZ256" s="43">
        <v>0</v>
      </c>
      <c r="BA256" s="43">
        <v>0</v>
      </c>
      <c r="BB256" s="43">
        <v>0</v>
      </c>
      <c r="BC256" s="43">
        <v>0</v>
      </c>
      <c r="BD256" s="43">
        <v>0</v>
      </c>
      <c r="BE256" s="43">
        <v>0</v>
      </c>
      <c r="BF256" s="43">
        <v>0</v>
      </c>
      <c r="BG256" s="43">
        <v>0</v>
      </c>
      <c r="BH256" s="43">
        <v>0</v>
      </c>
      <c r="BI256" s="40" t="s">
        <v>669</v>
      </c>
      <c r="BJ256" s="40">
        <v>2022</v>
      </c>
      <c r="BK256" s="40" t="s">
        <v>2768</v>
      </c>
      <c r="BL256" s="40" t="s">
        <v>2768</v>
      </c>
      <c r="BM256" s="40" t="s">
        <v>125</v>
      </c>
    </row>
    <row r="257" spans="1:65" x14ac:dyDescent="0.25">
      <c r="A257" s="40" t="s">
        <v>2771</v>
      </c>
      <c r="B257" s="41">
        <v>44651.291666666664</v>
      </c>
      <c r="C257" s="40" t="s">
        <v>737</v>
      </c>
      <c r="D257" s="40" t="s">
        <v>450</v>
      </c>
      <c r="E257" s="40" t="s">
        <v>1074</v>
      </c>
      <c r="F257" s="40">
        <v>217097847</v>
      </c>
      <c r="G257" s="40" t="s">
        <v>1085</v>
      </c>
      <c r="H257" s="40" t="s">
        <v>288</v>
      </c>
      <c r="I257" s="40">
        <v>2170</v>
      </c>
      <c r="J257" s="40" t="s">
        <v>1086</v>
      </c>
      <c r="K257" s="40">
        <v>24200</v>
      </c>
      <c r="L257" s="40">
        <v>26370</v>
      </c>
      <c r="M257" s="40">
        <v>10314</v>
      </c>
      <c r="N257" s="40" t="s">
        <v>1003</v>
      </c>
      <c r="O257" s="40" t="s">
        <v>52</v>
      </c>
      <c r="P257" s="40" t="s">
        <v>53</v>
      </c>
      <c r="Q257" s="40" t="s">
        <v>54</v>
      </c>
      <c r="R257" s="42" t="s">
        <v>55</v>
      </c>
      <c r="S257" s="42" t="s">
        <v>56</v>
      </c>
      <c r="T257" s="40" t="s">
        <v>292</v>
      </c>
      <c r="U257" s="41">
        <v>44650.958333333336</v>
      </c>
      <c r="V257" s="41">
        <v>44651.291666666664</v>
      </c>
      <c r="W257" s="41">
        <v>44651.5</v>
      </c>
      <c r="X257" s="40" t="s">
        <v>410</v>
      </c>
      <c r="Y257" s="41">
        <v>44663.60833333333</v>
      </c>
      <c r="Z257" s="41"/>
      <c r="AA257" s="41">
        <v>44657.5</v>
      </c>
      <c r="AB257" s="41">
        <v>44660.5</v>
      </c>
      <c r="AC257" s="40" t="s">
        <v>742</v>
      </c>
      <c r="AD257" s="40">
        <v>12215</v>
      </c>
      <c r="AE257" s="40" t="s">
        <v>125</v>
      </c>
      <c r="AF257" s="40">
        <v>1384</v>
      </c>
      <c r="AG257" s="40"/>
      <c r="AH257" s="40" t="s">
        <v>393</v>
      </c>
      <c r="AI257" s="41">
        <v>44652.083333333336</v>
      </c>
      <c r="AJ257" s="40"/>
      <c r="AK257" s="43"/>
      <c r="AL257" s="40"/>
      <c r="AM257" s="43">
        <v>0</v>
      </c>
      <c r="AN257" s="43">
        <v>3450</v>
      </c>
      <c r="AO257" s="43">
        <v>0</v>
      </c>
      <c r="AP257" s="43">
        <v>0</v>
      </c>
      <c r="AQ257" s="43">
        <v>3450</v>
      </c>
      <c r="AR257" s="43">
        <v>0</v>
      </c>
      <c r="AS257" s="43"/>
      <c r="AT257" s="43">
        <v>0</v>
      </c>
      <c r="AU257" s="43"/>
      <c r="AV257" s="43"/>
      <c r="AW257" s="43"/>
      <c r="AX257" s="43">
        <v>0</v>
      </c>
      <c r="AY257" s="43">
        <v>0</v>
      </c>
      <c r="AZ257" s="43">
        <v>0</v>
      </c>
      <c r="BA257" s="43">
        <v>0</v>
      </c>
      <c r="BB257" s="43">
        <v>0</v>
      </c>
      <c r="BC257" s="43">
        <v>0</v>
      </c>
      <c r="BD257" s="43">
        <v>0</v>
      </c>
      <c r="BE257" s="43">
        <v>0</v>
      </c>
      <c r="BF257" s="43">
        <v>0</v>
      </c>
      <c r="BG257" s="43">
        <v>0</v>
      </c>
      <c r="BH257" s="43">
        <v>0</v>
      </c>
      <c r="BI257" s="40" t="s">
        <v>669</v>
      </c>
      <c r="BJ257" s="40">
        <v>2022</v>
      </c>
      <c r="BK257" s="40" t="s">
        <v>2768</v>
      </c>
      <c r="BL257" s="40" t="s">
        <v>2768</v>
      </c>
      <c r="BM257" s="40" t="s">
        <v>125</v>
      </c>
    </row>
    <row r="258" spans="1:65" x14ac:dyDescent="0.25">
      <c r="A258" s="40" t="s">
        <v>2771</v>
      </c>
      <c r="B258" s="41">
        <v>44651.291666666664</v>
      </c>
      <c r="C258" s="40" t="s">
        <v>737</v>
      </c>
      <c r="D258" s="40" t="s">
        <v>450</v>
      </c>
      <c r="E258" s="40" t="s">
        <v>1074</v>
      </c>
      <c r="F258" s="40">
        <v>217097847</v>
      </c>
      <c r="G258" s="40" t="s">
        <v>1087</v>
      </c>
      <c r="H258" s="40" t="s">
        <v>288</v>
      </c>
      <c r="I258" s="40">
        <v>2200</v>
      </c>
      <c r="J258" s="40" t="s">
        <v>1088</v>
      </c>
      <c r="K258" s="40">
        <v>25550</v>
      </c>
      <c r="L258" s="40">
        <v>27750</v>
      </c>
      <c r="M258" s="40">
        <v>10380</v>
      </c>
      <c r="N258" s="40" t="s">
        <v>1003</v>
      </c>
      <c r="O258" s="40" t="s">
        <v>197</v>
      </c>
      <c r="P258" s="40" t="s">
        <v>198</v>
      </c>
      <c r="Q258" s="40" t="s">
        <v>199</v>
      </c>
      <c r="R258" s="42" t="s">
        <v>200</v>
      </c>
      <c r="S258" s="42" t="s">
        <v>201</v>
      </c>
      <c r="T258" s="40" t="s">
        <v>292</v>
      </c>
      <c r="U258" s="41">
        <v>44650.958333333336</v>
      </c>
      <c r="V258" s="41">
        <v>44651.291666666664</v>
      </c>
      <c r="W258" s="41">
        <v>44651.5</v>
      </c>
      <c r="X258" s="40" t="s">
        <v>410</v>
      </c>
      <c r="Y258" s="41">
        <v>44665.275694444441</v>
      </c>
      <c r="Z258" s="41"/>
      <c r="AA258" s="41">
        <v>44657.5</v>
      </c>
      <c r="AB258" s="41">
        <v>44660.5</v>
      </c>
      <c r="AC258" s="40" t="s">
        <v>742</v>
      </c>
      <c r="AD258" s="40">
        <v>12206</v>
      </c>
      <c r="AE258" s="40" t="s">
        <v>125</v>
      </c>
      <c r="AF258" s="40">
        <v>1385</v>
      </c>
      <c r="AG258" s="40"/>
      <c r="AH258" s="40" t="s">
        <v>393</v>
      </c>
      <c r="AI258" s="41">
        <v>44652.083333333336</v>
      </c>
      <c r="AJ258" s="40"/>
      <c r="AK258" s="43"/>
      <c r="AL258" s="40"/>
      <c r="AM258" s="43">
        <v>0</v>
      </c>
      <c r="AN258" s="43">
        <v>3450</v>
      </c>
      <c r="AO258" s="43">
        <v>0</v>
      </c>
      <c r="AP258" s="43">
        <v>0</v>
      </c>
      <c r="AQ258" s="43">
        <v>3450</v>
      </c>
      <c r="AR258" s="43">
        <v>0</v>
      </c>
      <c r="AS258" s="43"/>
      <c r="AT258" s="43">
        <v>0</v>
      </c>
      <c r="AU258" s="43"/>
      <c r="AV258" s="43"/>
      <c r="AW258" s="43"/>
      <c r="AX258" s="43">
        <v>0</v>
      </c>
      <c r="AY258" s="43">
        <v>0</v>
      </c>
      <c r="AZ258" s="43">
        <v>0</v>
      </c>
      <c r="BA258" s="43">
        <v>0</v>
      </c>
      <c r="BB258" s="43">
        <v>0</v>
      </c>
      <c r="BC258" s="43">
        <v>0</v>
      </c>
      <c r="BD258" s="43">
        <v>0</v>
      </c>
      <c r="BE258" s="43">
        <v>0</v>
      </c>
      <c r="BF258" s="43">
        <v>0</v>
      </c>
      <c r="BG258" s="43">
        <v>0</v>
      </c>
      <c r="BH258" s="43">
        <v>0</v>
      </c>
      <c r="BI258" s="40" t="s">
        <v>669</v>
      </c>
      <c r="BJ258" s="40">
        <v>2022</v>
      </c>
      <c r="BK258" s="40" t="s">
        <v>2768</v>
      </c>
      <c r="BL258" s="40" t="s">
        <v>2768</v>
      </c>
      <c r="BM258" s="40" t="s">
        <v>125</v>
      </c>
    </row>
    <row r="259" spans="1:65" x14ac:dyDescent="0.25">
      <c r="A259" s="40" t="s">
        <v>2771</v>
      </c>
      <c r="B259" s="41">
        <v>44651.291666666664</v>
      </c>
      <c r="C259" s="40" t="s">
        <v>737</v>
      </c>
      <c r="D259" s="40" t="s">
        <v>450</v>
      </c>
      <c r="E259" s="40" t="s">
        <v>1074</v>
      </c>
      <c r="F259" s="40">
        <v>217097847</v>
      </c>
      <c r="G259" s="40" t="s">
        <v>1089</v>
      </c>
      <c r="H259" s="40" t="s">
        <v>288</v>
      </c>
      <c r="I259" s="40">
        <v>2170</v>
      </c>
      <c r="J259" s="40" t="s">
        <v>1090</v>
      </c>
      <c r="K259" s="40">
        <v>26400</v>
      </c>
      <c r="L259" s="40">
        <v>28570</v>
      </c>
      <c r="M259" s="40">
        <v>10309</v>
      </c>
      <c r="N259" s="40" t="s">
        <v>1003</v>
      </c>
      <c r="O259" s="40" t="s">
        <v>197</v>
      </c>
      <c r="P259" s="40" t="s">
        <v>202</v>
      </c>
      <c r="Q259" s="40" t="s">
        <v>199</v>
      </c>
      <c r="R259" s="42" t="s">
        <v>200</v>
      </c>
      <c r="S259" s="42" t="s">
        <v>201</v>
      </c>
      <c r="T259" s="40" t="s">
        <v>292</v>
      </c>
      <c r="U259" s="41">
        <v>44650.958333333336</v>
      </c>
      <c r="V259" s="41">
        <v>44651.291666666664</v>
      </c>
      <c r="W259" s="41">
        <v>44651.5</v>
      </c>
      <c r="X259" s="40" t="s">
        <v>410</v>
      </c>
      <c r="Y259" s="41">
        <v>44665.69027777778</v>
      </c>
      <c r="Z259" s="41"/>
      <c r="AA259" s="41">
        <v>44657.5</v>
      </c>
      <c r="AB259" s="41">
        <v>44660.5</v>
      </c>
      <c r="AC259" s="40" t="s">
        <v>742</v>
      </c>
      <c r="AD259" s="40">
        <v>12207</v>
      </c>
      <c r="AE259" s="40" t="s">
        <v>125</v>
      </c>
      <c r="AF259" s="40">
        <v>1386</v>
      </c>
      <c r="AG259" s="40"/>
      <c r="AH259" s="40" t="s">
        <v>393</v>
      </c>
      <c r="AI259" s="41">
        <v>44652.083333333336</v>
      </c>
      <c r="AJ259" s="40"/>
      <c r="AK259" s="43"/>
      <c r="AL259" s="40"/>
      <c r="AM259" s="43">
        <v>0</v>
      </c>
      <c r="AN259" s="43">
        <v>3450</v>
      </c>
      <c r="AO259" s="43">
        <v>0</v>
      </c>
      <c r="AP259" s="43">
        <v>0</v>
      </c>
      <c r="AQ259" s="43">
        <v>3450</v>
      </c>
      <c r="AR259" s="43">
        <v>0</v>
      </c>
      <c r="AS259" s="43"/>
      <c r="AT259" s="43">
        <v>0</v>
      </c>
      <c r="AU259" s="43"/>
      <c r="AV259" s="43"/>
      <c r="AW259" s="43"/>
      <c r="AX259" s="43">
        <v>0</v>
      </c>
      <c r="AY259" s="43">
        <v>0</v>
      </c>
      <c r="AZ259" s="43">
        <v>0</v>
      </c>
      <c r="BA259" s="43">
        <v>0</v>
      </c>
      <c r="BB259" s="43">
        <v>0</v>
      </c>
      <c r="BC259" s="43">
        <v>0</v>
      </c>
      <c r="BD259" s="43">
        <v>0</v>
      </c>
      <c r="BE259" s="43">
        <v>0</v>
      </c>
      <c r="BF259" s="43">
        <v>0</v>
      </c>
      <c r="BG259" s="43">
        <v>0</v>
      </c>
      <c r="BH259" s="43">
        <v>0</v>
      </c>
      <c r="BI259" s="40" t="s">
        <v>669</v>
      </c>
      <c r="BJ259" s="40">
        <v>2022</v>
      </c>
      <c r="BK259" s="40" t="s">
        <v>2768</v>
      </c>
      <c r="BL259" s="40" t="s">
        <v>2768</v>
      </c>
      <c r="BM259" s="40" t="s">
        <v>125</v>
      </c>
    </row>
    <row r="260" spans="1:65" x14ac:dyDescent="0.25">
      <c r="A260" s="40" t="s">
        <v>2771</v>
      </c>
      <c r="B260" s="41">
        <v>44651.291666666664</v>
      </c>
      <c r="C260" s="40" t="s">
        <v>737</v>
      </c>
      <c r="D260" s="40" t="s">
        <v>450</v>
      </c>
      <c r="E260" s="40" t="s">
        <v>1074</v>
      </c>
      <c r="F260" s="40">
        <v>217097847</v>
      </c>
      <c r="G260" s="40" t="s">
        <v>1091</v>
      </c>
      <c r="H260" s="40" t="s">
        <v>288</v>
      </c>
      <c r="I260" s="40">
        <v>2220</v>
      </c>
      <c r="J260" s="40" t="s">
        <v>1092</v>
      </c>
      <c r="K260" s="40">
        <v>23410</v>
      </c>
      <c r="L260" s="40">
        <v>25630</v>
      </c>
      <c r="M260" s="40">
        <v>10317</v>
      </c>
      <c r="N260" s="40" t="s">
        <v>1003</v>
      </c>
      <c r="O260" s="40" t="s">
        <v>1093</v>
      </c>
      <c r="P260" s="40" t="s">
        <v>1094</v>
      </c>
      <c r="Q260" s="40" t="s">
        <v>1095</v>
      </c>
      <c r="R260" s="42" t="s">
        <v>1096</v>
      </c>
      <c r="S260" s="42">
        <v>6127038287</v>
      </c>
      <c r="T260" s="40" t="s">
        <v>292</v>
      </c>
      <c r="U260" s="41">
        <v>44650.958333333336</v>
      </c>
      <c r="V260" s="41">
        <v>44651.291666666664</v>
      </c>
      <c r="W260" s="41">
        <v>44651.5</v>
      </c>
      <c r="X260" s="40" t="s">
        <v>410</v>
      </c>
      <c r="Y260" s="41">
        <v>44664.244444444441</v>
      </c>
      <c r="Z260" s="41"/>
      <c r="AA260" s="41">
        <v>44657.5</v>
      </c>
      <c r="AB260" s="41">
        <v>44660.5</v>
      </c>
      <c r="AC260" s="40" t="s">
        <v>742</v>
      </c>
      <c r="AD260" s="40">
        <v>12212</v>
      </c>
      <c r="AE260" s="40" t="s">
        <v>125</v>
      </c>
      <c r="AF260" s="40">
        <v>1387</v>
      </c>
      <c r="AG260" s="40"/>
      <c r="AH260" s="40" t="s">
        <v>393</v>
      </c>
      <c r="AI260" s="41">
        <v>44652.083333333336</v>
      </c>
      <c r="AJ260" s="40"/>
      <c r="AK260" s="43"/>
      <c r="AL260" s="40"/>
      <c r="AM260" s="43">
        <v>0</v>
      </c>
      <c r="AN260" s="43">
        <v>3450</v>
      </c>
      <c r="AO260" s="43">
        <v>0</v>
      </c>
      <c r="AP260" s="43">
        <v>0</v>
      </c>
      <c r="AQ260" s="43">
        <v>3450</v>
      </c>
      <c r="AR260" s="43">
        <v>0</v>
      </c>
      <c r="AS260" s="43"/>
      <c r="AT260" s="43">
        <v>0</v>
      </c>
      <c r="AU260" s="43"/>
      <c r="AV260" s="43"/>
      <c r="AW260" s="43"/>
      <c r="AX260" s="43">
        <v>0</v>
      </c>
      <c r="AY260" s="43">
        <v>0</v>
      </c>
      <c r="AZ260" s="43">
        <v>0</v>
      </c>
      <c r="BA260" s="43">
        <v>0</v>
      </c>
      <c r="BB260" s="43">
        <v>0</v>
      </c>
      <c r="BC260" s="43">
        <v>0</v>
      </c>
      <c r="BD260" s="43">
        <v>0</v>
      </c>
      <c r="BE260" s="43">
        <v>0</v>
      </c>
      <c r="BF260" s="43">
        <v>0</v>
      </c>
      <c r="BG260" s="43">
        <v>0</v>
      </c>
      <c r="BH260" s="43">
        <v>0</v>
      </c>
      <c r="BI260" s="40" t="s">
        <v>669</v>
      </c>
      <c r="BJ260" s="40">
        <v>2022</v>
      </c>
      <c r="BK260" s="40" t="s">
        <v>2768</v>
      </c>
      <c r="BL260" s="40" t="s">
        <v>2768</v>
      </c>
      <c r="BM260" s="40" t="s">
        <v>125</v>
      </c>
    </row>
    <row r="261" spans="1:65" x14ac:dyDescent="0.25">
      <c r="A261" s="40" t="s">
        <v>2771</v>
      </c>
      <c r="B261" s="41">
        <v>44651.291666666664</v>
      </c>
      <c r="C261" s="40" t="s">
        <v>737</v>
      </c>
      <c r="D261" s="40" t="s">
        <v>450</v>
      </c>
      <c r="E261" s="40" t="s">
        <v>1074</v>
      </c>
      <c r="F261" s="40">
        <v>217097847</v>
      </c>
      <c r="G261" s="40" t="s">
        <v>1097</v>
      </c>
      <c r="H261" s="40" t="s">
        <v>288</v>
      </c>
      <c r="I261" s="40">
        <v>2170</v>
      </c>
      <c r="J261" s="40" t="s">
        <v>1098</v>
      </c>
      <c r="K261" s="40">
        <v>23380</v>
      </c>
      <c r="L261" s="40">
        <v>25550</v>
      </c>
      <c r="M261" s="40">
        <v>10316</v>
      </c>
      <c r="N261" s="40" t="s">
        <v>1003</v>
      </c>
      <c r="O261" s="40" t="s">
        <v>1093</v>
      </c>
      <c r="P261" s="40" t="s">
        <v>1099</v>
      </c>
      <c r="Q261" s="40" t="s">
        <v>1095</v>
      </c>
      <c r="R261" s="42" t="s">
        <v>1096</v>
      </c>
      <c r="S261" s="42">
        <v>6127038287</v>
      </c>
      <c r="T261" s="40" t="s">
        <v>292</v>
      </c>
      <c r="U261" s="41">
        <v>44650.958333333336</v>
      </c>
      <c r="V261" s="41">
        <v>44651.291666666664</v>
      </c>
      <c r="W261" s="41">
        <v>44651.5</v>
      </c>
      <c r="X261" s="40" t="s">
        <v>410</v>
      </c>
      <c r="Y261" s="41">
        <v>44664.230555555558</v>
      </c>
      <c r="Z261" s="41"/>
      <c r="AA261" s="41">
        <v>44657.5</v>
      </c>
      <c r="AB261" s="41">
        <v>44660.5</v>
      </c>
      <c r="AC261" s="40" t="s">
        <v>742</v>
      </c>
      <c r="AD261" s="40">
        <v>12213</v>
      </c>
      <c r="AE261" s="40" t="s">
        <v>125</v>
      </c>
      <c r="AF261" s="40">
        <v>1388</v>
      </c>
      <c r="AG261" s="40"/>
      <c r="AH261" s="40" t="s">
        <v>393</v>
      </c>
      <c r="AI261" s="41">
        <v>44652.083333333336</v>
      </c>
      <c r="AJ261" s="40"/>
      <c r="AK261" s="43"/>
      <c r="AL261" s="40"/>
      <c r="AM261" s="43">
        <v>0</v>
      </c>
      <c r="AN261" s="43">
        <v>3450</v>
      </c>
      <c r="AO261" s="43">
        <v>0</v>
      </c>
      <c r="AP261" s="43">
        <v>0</v>
      </c>
      <c r="AQ261" s="43">
        <v>3450</v>
      </c>
      <c r="AR261" s="43">
        <v>0</v>
      </c>
      <c r="AS261" s="43"/>
      <c r="AT261" s="43">
        <v>0</v>
      </c>
      <c r="AU261" s="43"/>
      <c r="AV261" s="43"/>
      <c r="AW261" s="43"/>
      <c r="AX261" s="43">
        <v>0</v>
      </c>
      <c r="AY261" s="43">
        <v>0</v>
      </c>
      <c r="AZ261" s="43">
        <v>0</v>
      </c>
      <c r="BA261" s="43">
        <v>0</v>
      </c>
      <c r="BB261" s="43">
        <v>0</v>
      </c>
      <c r="BC261" s="43">
        <v>0</v>
      </c>
      <c r="BD261" s="43">
        <v>0</v>
      </c>
      <c r="BE261" s="43">
        <v>0</v>
      </c>
      <c r="BF261" s="43">
        <v>0</v>
      </c>
      <c r="BG261" s="43">
        <v>0</v>
      </c>
      <c r="BH261" s="43">
        <v>0</v>
      </c>
      <c r="BI261" s="40" t="s">
        <v>669</v>
      </c>
      <c r="BJ261" s="40">
        <v>2022</v>
      </c>
      <c r="BK261" s="40" t="s">
        <v>2768</v>
      </c>
      <c r="BL261" s="40" t="s">
        <v>2768</v>
      </c>
      <c r="BM261" s="40" t="s">
        <v>125</v>
      </c>
    </row>
    <row r="262" spans="1:65" x14ac:dyDescent="0.25">
      <c r="A262" s="40" t="s">
        <v>2771</v>
      </c>
      <c r="B262" s="41">
        <v>44651.333333333336</v>
      </c>
      <c r="C262" s="40" t="s">
        <v>353</v>
      </c>
      <c r="D262" s="40" t="s">
        <v>400</v>
      </c>
      <c r="E262" s="40" t="s">
        <v>1100</v>
      </c>
      <c r="F262" s="40" t="s">
        <v>1101</v>
      </c>
      <c r="G262" s="40" t="s">
        <v>1102</v>
      </c>
      <c r="H262" s="40" t="s">
        <v>301</v>
      </c>
      <c r="I262" s="40">
        <v>0</v>
      </c>
      <c r="J262" s="40">
        <v>0</v>
      </c>
      <c r="K262" s="40">
        <v>12727</v>
      </c>
      <c r="L262" s="40">
        <v>12727</v>
      </c>
      <c r="M262" s="40" t="s">
        <v>1103</v>
      </c>
      <c r="N262" s="40" t="s">
        <v>1104</v>
      </c>
      <c r="O262" s="40" t="s">
        <v>1105</v>
      </c>
      <c r="P262" s="40" t="s">
        <v>1106</v>
      </c>
      <c r="Q262" s="40" t="s">
        <v>1107</v>
      </c>
      <c r="R262" s="42" t="s">
        <v>1108</v>
      </c>
      <c r="S262" s="42">
        <v>2109495889</v>
      </c>
      <c r="T262" s="40" t="s">
        <v>125</v>
      </c>
      <c r="U262" s="41" t="s">
        <v>125</v>
      </c>
      <c r="V262" s="41">
        <v>44651.25</v>
      </c>
      <c r="W262" s="41">
        <v>44652.34375</v>
      </c>
      <c r="X262" s="40" t="s">
        <v>419</v>
      </c>
      <c r="Y262" s="41">
        <v>44652.75</v>
      </c>
      <c r="Z262" s="41" t="s">
        <v>125</v>
      </c>
      <c r="AA262" s="41" t="s">
        <v>125</v>
      </c>
      <c r="AB262" s="41" t="s">
        <v>125</v>
      </c>
      <c r="AC262" s="40" t="s">
        <v>616</v>
      </c>
      <c r="AD262" s="40" t="s">
        <v>1109</v>
      </c>
      <c r="AE262" s="40">
        <v>5696</v>
      </c>
      <c r="AF262" s="40">
        <v>1394</v>
      </c>
      <c r="AG262" s="40"/>
      <c r="AH262" s="40" t="s">
        <v>295</v>
      </c>
      <c r="AI262" s="41"/>
      <c r="AJ262" s="40"/>
      <c r="AK262" s="43"/>
      <c r="AL262" s="40"/>
      <c r="AM262" s="43">
        <v>0</v>
      </c>
      <c r="AN262" s="43">
        <v>2300</v>
      </c>
      <c r="AO262" s="43">
        <v>0</v>
      </c>
      <c r="AP262" s="43">
        <v>300</v>
      </c>
      <c r="AQ262" s="43">
        <v>2600</v>
      </c>
      <c r="AR262" s="43">
        <v>0</v>
      </c>
      <c r="AS262" s="43"/>
      <c r="AT262" s="43">
        <v>0</v>
      </c>
      <c r="AU262" s="43"/>
      <c r="AV262" s="43"/>
      <c r="AW262" s="43"/>
      <c r="AX262" s="43">
        <v>0</v>
      </c>
      <c r="AY262" s="43">
        <v>0</v>
      </c>
      <c r="AZ262" s="43">
        <v>0</v>
      </c>
      <c r="BA262" s="43">
        <v>0</v>
      </c>
      <c r="BB262" s="43">
        <v>0</v>
      </c>
      <c r="BC262" s="43">
        <v>0</v>
      </c>
      <c r="BD262" s="43">
        <v>0</v>
      </c>
      <c r="BE262" s="43">
        <v>0</v>
      </c>
      <c r="BF262" s="43">
        <v>0</v>
      </c>
      <c r="BG262" s="43">
        <v>0</v>
      </c>
      <c r="BH262" s="43">
        <v>0</v>
      </c>
      <c r="BI262" s="40" t="s">
        <v>669</v>
      </c>
      <c r="BJ262" s="40">
        <v>2022</v>
      </c>
      <c r="BK262" s="40" t="s">
        <v>2768</v>
      </c>
      <c r="BL262" s="40" t="s">
        <v>2768</v>
      </c>
      <c r="BM262" s="40" t="s">
        <v>125</v>
      </c>
    </row>
    <row r="263" spans="1:65" x14ac:dyDescent="0.25">
      <c r="A263" s="40" t="s">
        <v>2771</v>
      </c>
      <c r="B263" s="41">
        <v>44651.541666666664</v>
      </c>
      <c r="C263" s="40" t="s">
        <v>1110</v>
      </c>
      <c r="D263" s="40" t="s">
        <v>1111</v>
      </c>
      <c r="E263" s="40" t="s">
        <v>1112</v>
      </c>
      <c r="F263" s="40" t="s">
        <v>1113</v>
      </c>
      <c r="G263" s="40" t="s">
        <v>1114</v>
      </c>
      <c r="H263" s="40" t="s">
        <v>301</v>
      </c>
      <c r="I263" s="40">
        <v>3880</v>
      </c>
      <c r="J263" s="40">
        <v>1303331</v>
      </c>
      <c r="K263" s="40">
        <v>25710</v>
      </c>
      <c r="L263" s="40">
        <v>29590</v>
      </c>
      <c r="M263" s="40">
        <v>307339</v>
      </c>
      <c r="N263" s="40" t="s">
        <v>1115</v>
      </c>
      <c r="O263" s="40" t="s">
        <v>31</v>
      </c>
      <c r="P263" s="40" t="s">
        <v>32</v>
      </c>
      <c r="Q263" s="40" t="s">
        <v>33</v>
      </c>
      <c r="R263" s="42" t="s">
        <v>34</v>
      </c>
      <c r="S263" s="42" t="s">
        <v>35</v>
      </c>
      <c r="T263" s="40" t="s">
        <v>292</v>
      </c>
      <c r="U263" s="41">
        <v>44651.558333333334</v>
      </c>
      <c r="V263" s="41">
        <v>44651.635416666664</v>
      </c>
      <c r="W263" s="41">
        <v>44651.854166666664</v>
      </c>
      <c r="X263" s="40" t="s">
        <v>293</v>
      </c>
      <c r="Y263" s="41">
        <v>44651.952777777777</v>
      </c>
      <c r="Z263" s="41">
        <v>44650.791666666664</v>
      </c>
      <c r="AA263" s="41">
        <v>44651.75</v>
      </c>
      <c r="AB263" s="41">
        <v>44655.5</v>
      </c>
      <c r="AC263" s="40" t="s">
        <v>294</v>
      </c>
      <c r="AD263" s="40"/>
      <c r="AE263" s="40">
        <v>5703</v>
      </c>
      <c r="AF263" s="40" t="s">
        <v>125</v>
      </c>
      <c r="AG263" s="40"/>
      <c r="AH263" s="40" t="s">
        <v>295</v>
      </c>
      <c r="AI263" s="41"/>
      <c r="AJ263" s="40"/>
      <c r="AK263" s="43"/>
      <c r="AL263" s="40"/>
      <c r="AM263" s="43">
        <v>0</v>
      </c>
      <c r="AN263" s="43"/>
      <c r="AO263" s="43"/>
      <c r="AP263" s="43"/>
      <c r="AQ263" s="43">
        <v>0</v>
      </c>
      <c r="AR263" s="43">
        <v>0</v>
      </c>
      <c r="AS263" s="43"/>
      <c r="AT263" s="43">
        <v>0</v>
      </c>
      <c r="AU263" s="43"/>
      <c r="AV263" s="43"/>
      <c r="AW263" s="43"/>
      <c r="AX263" s="43">
        <v>0</v>
      </c>
      <c r="AY263" s="43">
        <v>0</v>
      </c>
      <c r="AZ263" s="43">
        <v>0</v>
      </c>
      <c r="BA263" s="43">
        <v>0</v>
      </c>
      <c r="BB263" s="43">
        <v>0</v>
      </c>
      <c r="BC263" s="43">
        <v>0</v>
      </c>
      <c r="BD263" s="43">
        <v>0</v>
      </c>
      <c r="BE263" s="43">
        <v>0</v>
      </c>
      <c r="BF263" s="43">
        <v>0</v>
      </c>
      <c r="BG263" s="43">
        <v>0</v>
      </c>
      <c r="BH263" s="43">
        <v>0</v>
      </c>
      <c r="BI263" s="40" t="s">
        <v>669</v>
      </c>
      <c r="BJ263" s="40">
        <v>2022</v>
      </c>
      <c r="BK263" s="40" t="s">
        <v>125</v>
      </c>
      <c r="BL263" s="40" t="s">
        <v>125</v>
      </c>
      <c r="BM263" s="40" t="s">
        <v>125</v>
      </c>
    </row>
    <row r="264" spans="1:65" x14ac:dyDescent="0.25">
      <c r="A264" s="40" t="s">
        <v>2771</v>
      </c>
      <c r="B264" s="41">
        <v>44651.541666666664</v>
      </c>
      <c r="C264" s="40" t="s">
        <v>1110</v>
      </c>
      <c r="D264" s="40" t="s">
        <v>1111</v>
      </c>
      <c r="E264" s="40" t="s">
        <v>1112</v>
      </c>
      <c r="F264" s="40" t="s">
        <v>1113</v>
      </c>
      <c r="G264" s="40" t="s">
        <v>1116</v>
      </c>
      <c r="H264" s="40" t="s">
        <v>301</v>
      </c>
      <c r="I264" s="40">
        <v>3840</v>
      </c>
      <c r="J264" s="40">
        <v>1303332</v>
      </c>
      <c r="K264" s="40">
        <v>25500</v>
      </c>
      <c r="L264" s="40">
        <v>29340</v>
      </c>
      <c r="M264" s="40">
        <v>307334</v>
      </c>
      <c r="N264" s="40" t="s">
        <v>1115</v>
      </c>
      <c r="O264" s="40" t="s">
        <v>68</v>
      </c>
      <c r="P264" s="40" t="s">
        <v>36</v>
      </c>
      <c r="Q264" s="40" t="s">
        <v>203</v>
      </c>
      <c r="R264" s="42" t="s">
        <v>204</v>
      </c>
      <c r="S264" s="42" t="s">
        <v>205</v>
      </c>
      <c r="T264" s="40" t="s">
        <v>292</v>
      </c>
      <c r="U264" s="41">
        <v>44651.576388888891</v>
      </c>
      <c r="V264" s="41">
        <v>44651.666666666664</v>
      </c>
      <c r="W264" s="41">
        <v>44651.854166666664</v>
      </c>
      <c r="X264" s="40" t="s">
        <v>293</v>
      </c>
      <c r="Y264" s="41">
        <v>44651.98541666667</v>
      </c>
      <c r="Z264" s="41">
        <v>44650.791666666664</v>
      </c>
      <c r="AA264" s="41">
        <v>44651.75</v>
      </c>
      <c r="AB264" s="41">
        <v>44655.5</v>
      </c>
      <c r="AC264" s="40" t="s">
        <v>294</v>
      </c>
      <c r="AD264" s="40"/>
      <c r="AE264" s="40">
        <v>5704</v>
      </c>
      <c r="AF264" s="40" t="s">
        <v>125</v>
      </c>
      <c r="AG264" s="40"/>
      <c r="AH264" s="40" t="s">
        <v>295</v>
      </c>
      <c r="AI264" s="41"/>
      <c r="AJ264" s="40"/>
      <c r="AK264" s="43"/>
      <c r="AL264" s="40"/>
      <c r="AM264" s="43">
        <v>0</v>
      </c>
      <c r="AN264" s="43"/>
      <c r="AO264" s="43"/>
      <c r="AP264" s="43"/>
      <c r="AQ264" s="43">
        <v>0</v>
      </c>
      <c r="AR264" s="43">
        <v>0</v>
      </c>
      <c r="AS264" s="43"/>
      <c r="AT264" s="43">
        <v>0</v>
      </c>
      <c r="AU264" s="43"/>
      <c r="AV264" s="43"/>
      <c r="AW264" s="43"/>
      <c r="AX264" s="43">
        <v>0</v>
      </c>
      <c r="AY264" s="43">
        <v>0</v>
      </c>
      <c r="AZ264" s="43">
        <v>0</v>
      </c>
      <c r="BA264" s="43">
        <v>0</v>
      </c>
      <c r="BB264" s="43">
        <v>0</v>
      </c>
      <c r="BC264" s="43">
        <v>0</v>
      </c>
      <c r="BD264" s="43">
        <v>0</v>
      </c>
      <c r="BE264" s="43">
        <v>0</v>
      </c>
      <c r="BF264" s="43">
        <v>0</v>
      </c>
      <c r="BG264" s="43">
        <v>0</v>
      </c>
      <c r="BH264" s="43">
        <v>0</v>
      </c>
      <c r="BI264" s="40" t="s">
        <v>669</v>
      </c>
      <c r="BJ264" s="40">
        <v>2022</v>
      </c>
      <c r="BK264" s="40" t="s">
        <v>125</v>
      </c>
      <c r="BL264" s="40" t="s">
        <v>125</v>
      </c>
      <c r="BM264" s="40" t="s">
        <v>125</v>
      </c>
    </row>
    <row r="265" spans="1:65" x14ac:dyDescent="0.25">
      <c r="A265" s="40" t="s">
        <v>2771</v>
      </c>
      <c r="B265" s="41">
        <v>44652.333333333336</v>
      </c>
      <c r="C265" s="40" t="s">
        <v>297</v>
      </c>
      <c r="D265" s="40" t="s">
        <v>298</v>
      </c>
      <c r="E265" s="40" t="s">
        <v>1117</v>
      </c>
      <c r="F265" s="40">
        <v>61130769</v>
      </c>
      <c r="G265" s="40" t="s">
        <v>1118</v>
      </c>
      <c r="H265" s="40" t="s">
        <v>301</v>
      </c>
      <c r="I265" s="40">
        <v>3840</v>
      </c>
      <c r="J265" s="40" t="s">
        <v>1119</v>
      </c>
      <c r="K265" s="40">
        <v>25469</v>
      </c>
      <c r="L265" s="40">
        <v>29309</v>
      </c>
      <c r="M265" s="40">
        <v>722599</v>
      </c>
      <c r="N265" s="40" t="s">
        <v>1120</v>
      </c>
      <c r="O265" s="40" t="s">
        <v>72</v>
      </c>
      <c r="P265" s="40" t="s">
        <v>73</v>
      </c>
      <c r="Q265" s="40" t="s">
        <v>74</v>
      </c>
      <c r="R265" s="42" t="s">
        <v>75</v>
      </c>
      <c r="S265" s="42">
        <v>3595479067</v>
      </c>
      <c r="T265" s="40" t="s">
        <v>292</v>
      </c>
      <c r="U265" s="41">
        <v>44651.571527777778</v>
      </c>
      <c r="V265" s="41">
        <v>44652.333333333336</v>
      </c>
      <c r="W265" s="41">
        <v>44652.76666666667</v>
      </c>
      <c r="X265" s="40" t="s">
        <v>293</v>
      </c>
      <c r="Y265" s="41">
        <v>44655.948611111111</v>
      </c>
      <c r="Z265" s="41">
        <v>44654.5</v>
      </c>
      <c r="AA265" s="41">
        <v>44655.75</v>
      </c>
      <c r="AB265" s="41">
        <v>44657.666666666664</v>
      </c>
      <c r="AC265" s="40" t="s">
        <v>308</v>
      </c>
      <c r="AD265" s="40">
        <v>12250</v>
      </c>
      <c r="AE265" s="40">
        <v>5705</v>
      </c>
      <c r="AF265" s="40">
        <v>1395</v>
      </c>
      <c r="AG265" s="40"/>
      <c r="AH265" s="40" t="s">
        <v>393</v>
      </c>
      <c r="AI265" s="41">
        <v>44652.947916666664</v>
      </c>
      <c r="AJ265" s="40"/>
      <c r="AK265" s="43">
        <v>950</v>
      </c>
      <c r="AL265" s="40"/>
      <c r="AM265" s="43">
        <v>0</v>
      </c>
      <c r="AN265" s="43"/>
      <c r="AO265" s="43">
        <v>0</v>
      </c>
      <c r="AP265" s="43">
        <v>0</v>
      </c>
      <c r="AQ265" s="43">
        <v>0</v>
      </c>
      <c r="AR265" s="43">
        <v>0</v>
      </c>
      <c r="AS265" s="43"/>
      <c r="AT265" s="43">
        <v>0</v>
      </c>
      <c r="AU265" s="43"/>
      <c r="AV265" s="43"/>
      <c r="AW265" s="43"/>
      <c r="AX265" s="43">
        <v>0</v>
      </c>
      <c r="AY265" s="43">
        <v>0</v>
      </c>
      <c r="AZ265" s="43">
        <v>0</v>
      </c>
      <c r="BA265" s="43">
        <v>0</v>
      </c>
      <c r="BB265" s="43">
        <v>0</v>
      </c>
      <c r="BC265" s="43">
        <v>0</v>
      </c>
      <c r="BD265" s="43">
        <v>0</v>
      </c>
      <c r="BE265" s="43">
        <v>0</v>
      </c>
      <c r="BF265" s="43">
        <v>0</v>
      </c>
      <c r="BG265" s="43">
        <v>0</v>
      </c>
      <c r="BH265" s="43">
        <v>0</v>
      </c>
      <c r="BI265" s="40" t="s">
        <v>1121</v>
      </c>
      <c r="BJ265" s="40">
        <v>2022</v>
      </c>
      <c r="BK265" s="40" t="s">
        <v>2768</v>
      </c>
      <c r="BL265" s="40"/>
      <c r="BM265" s="40" t="s">
        <v>125</v>
      </c>
    </row>
    <row r="266" spans="1:65" x14ac:dyDescent="0.25">
      <c r="A266" s="40" t="s">
        <v>2771</v>
      </c>
      <c r="B266" s="41">
        <v>44652.416666666664</v>
      </c>
      <c r="C266" s="40" t="s">
        <v>297</v>
      </c>
      <c r="D266" s="40" t="s">
        <v>298</v>
      </c>
      <c r="E266" s="40" t="s">
        <v>1117</v>
      </c>
      <c r="F266" s="40">
        <v>61130769</v>
      </c>
      <c r="G266" s="40" t="s">
        <v>1122</v>
      </c>
      <c r="H266" s="40" t="s">
        <v>301</v>
      </c>
      <c r="I266" s="40">
        <v>3840</v>
      </c>
      <c r="J266" s="40" t="s">
        <v>1123</v>
      </c>
      <c r="K266" s="40">
        <v>16039</v>
      </c>
      <c r="L266" s="40">
        <v>19879</v>
      </c>
      <c r="M266" s="40">
        <v>723132</v>
      </c>
      <c r="N266" s="40" t="s">
        <v>1120</v>
      </c>
      <c r="O266" s="40" t="s">
        <v>102</v>
      </c>
      <c r="P266" s="40" t="s">
        <v>677</v>
      </c>
      <c r="Q266" s="40" t="s">
        <v>103</v>
      </c>
      <c r="R266" s="42" t="s">
        <v>104</v>
      </c>
      <c r="S266" s="42" t="s">
        <v>105</v>
      </c>
      <c r="T266" s="40" t="s">
        <v>292</v>
      </c>
      <c r="U266" s="41">
        <v>44652.5</v>
      </c>
      <c r="V266" s="41">
        <v>44652.625</v>
      </c>
      <c r="W266" s="41">
        <v>44652.87777777778</v>
      </c>
      <c r="X266" s="40" t="s">
        <v>293</v>
      </c>
      <c r="Y266" s="41">
        <v>44655.901388888888</v>
      </c>
      <c r="Z266" s="41">
        <v>44654.5</v>
      </c>
      <c r="AA266" s="41">
        <v>44655.75</v>
      </c>
      <c r="AB266" s="41">
        <v>44657.666666666664</v>
      </c>
      <c r="AC266" s="40" t="s">
        <v>308</v>
      </c>
      <c r="AD266" s="40">
        <v>12253</v>
      </c>
      <c r="AE266" s="40"/>
      <c r="AF266" s="40">
        <v>1396</v>
      </c>
      <c r="AG266" s="40"/>
      <c r="AH266" s="40" t="s">
        <v>393</v>
      </c>
      <c r="AI266" s="41">
        <v>44653.041666666664</v>
      </c>
      <c r="AJ266" s="40"/>
      <c r="AK266" s="43">
        <v>950</v>
      </c>
      <c r="AL266" s="40"/>
      <c r="AM266" s="43">
        <v>0</v>
      </c>
      <c r="AN266" s="43"/>
      <c r="AO266" s="43">
        <v>0</v>
      </c>
      <c r="AP266" s="43">
        <v>0</v>
      </c>
      <c r="AQ266" s="43">
        <v>0</v>
      </c>
      <c r="AR266" s="43">
        <v>0</v>
      </c>
      <c r="AS266" s="43"/>
      <c r="AT266" s="43">
        <v>0</v>
      </c>
      <c r="AU266" s="43"/>
      <c r="AV266" s="43"/>
      <c r="AW266" s="43"/>
      <c r="AX266" s="43">
        <v>0</v>
      </c>
      <c r="AY266" s="43">
        <v>0</v>
      </c>
      <c r="AZ266" s="43">
        <v>0</v>
      </c>
      <c r="BA266" s="43">
        <v>0</v>
      </c>
      <c r="BB266" s="43">
        <v>0</v>
      </c>
      <c r="BC266" s="43">
        <v>0</v>
      </c>
      <c r="BD266" s="43">
        <v>0</v>
      </c>
      <c r="BE266" s="43">
        <v>0</v>
      </c>
      <c r="BF266" s="43">
        <v>0</v>
      </c>
      <c r="BG266" s="43">
        <v>0</v>
      </c>
      <c r="BH266" s="43">
        <v>0</v>
      </c>
      <c r="BI266" s="40" t="s">
        <v>1121</v>
      </c>
      <c r="BJ266" s="40">
        <v>2022</v>
      </c>
      <c r="BK266" s="40" t="s">
        <v>2768</v>
      </c>
      <c r="BL266" s="40"/>
      <c r="BM266" s="40" t="s">
        <v>125</v>
      </c>
    </row>
    <row r="267" spans="1:65" x14ac:dyDescent="0.25">
      <c r="A267" s="40" t="s">
        <v>2771</v>
      </c>
      <c r="B267" s="41">
        <v>44652.5</v>
      </c>
      <c r="C267" s="40" t="s">
        <v>297</v>
      </c>
      <c r="D267" s="40" t="s">
        <v>298</v>
      </c>
      <c r="E267" s="40" t="s">
        <v>1117</v>
      </c>
      <c r="F267" s="40">
        <v>61130769</v>
      </c>
      <c r="G267" s="40" t="s">
        <v>1124</v>
      </c>
      <c r="H267" s="40" t="s">
        <v>301</v>
      </c>
      <c r="I267" s="40">
        <v>3900</v>
      </c>
      <c r="J267" s="40" t="s">
        <v>1125</v>
      </c>
      <c r="K267" s="40">
        <v>19734</v>
      </c>
      <c r="L267" s="40">
        <v>23634</v>
      </c>
      <c r="M267" s="40">
        <v>723225</v>
      </c>
      <c r="N267" s="40" t="s">
        <v>1120</v>
      </c>
      <c r="O267" s="40" t="s">
        <v>106</v>
      </c>
      <c r="P267" s="40" t="s">
        <v>107</v>
      </c>
      <c r="Q267" s="40" t="s">
        <v>108</v>
      </c>
      <c r="R267" s="42" t="s">
        <v>109</v>
      </c>
      <c r="S267" s="42" t="s">
        <v>110</v>
      </c>
      <c r="T267" s="40" t="s">
        <v>292</v>
      </c>
      <c r="U267" s="41">
        <v>44651.666666666664</v>
      </c>
      <c r="V267" s="41">
        <v>44652.486111111109</v>
      </c>
      <c r="W267" s="41">
        <v>44652.884027777778</v>
      </c>
      <c r="X267" s="40" t="s">
        <v>293</v>
      </c>
      <c r="Y267" s="41">
        <v>44655.904861111114</v>
      </c>
      <c r="Z267" s="41">
        <v>44654.5</v>
      </c>
      <c r="AA267" s="41">
        <v>44655.75</v>
      </c>
      <c r="AB267" s="41">
        <v>44657.666666666664</v>
      </c>
      <c r="AC267" s="40" t="s">
        <v>308</v>
      </c>
      <c r="AD267" s="40">
        <v>12252</v>
      </c>
      <c r="AE267" s="40">
        <v>5707</v>
      </c>
      <c r="AF267" s="40">
        <v>1397</v>
      </c>
      <c r="AG267" s="40"/>
      <c r="AH267" s="40" t="s">
        <v>393</v>
      </c>
      <c r="AI267" s="41">
        <v>44653.041666666664</v>
      </c>
      <c r="AJ267" s="40"/>
      <c r="AK267" s="43">
        <v>950</v>
      </c>
      <c r="AL267" s="40"/>
      <c r="AM267" s="43">
        <v>0</v>
      </c>
      <c r="AN267" s="43"/>
      <c r="AO267" s="43">
        <v>0</v>
      </c>
      <c r="AP267" s="43">
        <v>0</v>
      </c>
      <c r="AQ267" s="43">
        <v>0</v>
      </c>
      <c r="AR267" s="43">
        <v>0</v>
      </c>
      <c r="AS267" s="43"/>
      <c r="AT267" s="43">
        <v>0</v>
      </c>
      <c r="AU267" s="43"/>
      <c r="AV267" s="43"/>
      <c r="AW267" s="43"/>
      <c r="AX267" s="43">
        <v>0</v>
      </c>
      <c r="AY267" s="43">
        <v>0</v>
      </c>
      <c r="AZ267" s="43">
        <v>0</v>
      </c>
      <c r="BA267" s="43">
        <v>0</v>
      </c>
      <c r="BB267" s="43">
        <v>0</v>
      </c>
      <c r="BC267" s="43">
        <v>0</v>
      </c>
      <c r="BD267" s="43">
        <v>0</v>
      </c>
      <c r="BE267" s="43">
        <v>0</v>
      </c>
      <c r="BF267" s="43">
        <v>0</v>
      </c>
      <c r="BG267" s="43">
        <v>0</v>
      </c>
      <c r="BH267" s="43">
        <v>0</v>
      </c>
      <c r="BI267" s="40" t="s">
        <v>1121</v>
      </c>
      <c r="BJ267" s="40">
        <v>2022</v>
      </c>
      <c r="BK267" s="40" t="s">
        <v>2768</v>
      </c>
      <c r="BL267" s="40" t="s">
        <v>2768</v>
      </c>
      <c r="BM267" s="40" t="s">
        <v>125</v>
      </c>
    </row>
    <row r="268" spans="1:65" x14ac:dyDescent="0.25">
      <c r="A268" s="40" t="s">
        <v>2771</v>
      </c>
      <c r="B268" s="41">
        <v>44652.541666666664</v>
      </c>
      <c r="C268" s="40" t="s">
        <v>297</v>
      </c>
      <c r="D268" s="40" t="s">
        <v>298</v>
      </c>
      <c r="E268" s="40" t="s">
        <v>1117</v>
      </c>
      <c r="F268" s="40">
        <v>61130769</v>
      </c>
      <c r="G268" s="40" t="s">
        <v>1126</v>
      </c>
      <c r="H268" s="40" t="s">
        <v>301</v>
      </c>
      <c r="I268" s="40">
        <v>3900</v>
      </c>
      <c r="J268" s="40" t="s">
        <v>1127</v>
      </c>
      <c r="K268" s="40">
        <v>19734</v>
      </c>
      <c r="L268" s="40">
        <v>23634</v>
      </c>
      <c r="M268" s="40">
        <v>723127</v>
      </c>
      <c r="N268" s="40" t="s">
        <v>1120</v>
      </c>
      <c r="O268" s="40" t="s">
        <v>150</v>
      </c>
      <c r="P268" s="40" t="s">
        <v>151</v>
      </c>
      <c r="Q268" s="40" t="s">
        <v>680</v>
      </c>
      <c r="R268" s="42" t="s">
        <v>681</v>
      </c>
      <c r="S268" s="42" t="s">
        <v>682</v>
      </c>
      <c r="T268" s="40" t="s">
        <v>292</v>
      </c>
      <c r="U268" s="41">
        <v>44651.666666666664</v>
      </c>
      <c r="V268" s="41">
        <v>44652.375</v>
      </c>
      <c r="W268" s="41">
        <v>44652.773611111108</v>
      </c>
      <c r="X268" s="40" t="s">
        <v>293</v>
      </c>
      <c r="Y268" s="41">
        <v>44655.902777777781</v>
      </c>
      <c r="Z268" s="41">
        <v>44654.5</v>
      </c>
      <c r="AA268" s="41">
        <v>44655.75</v>
      </c>
      <c r="AB268" s="41">
        <v>44657.666666666664</v>
      </c>
      <c r="AC268" s="40" t="s">
        <v>308</v>
      </c>
      <c r="AD268" s="40">
        <v>12251</v>
      </c>
      <c r="AE268" s="40">
        <v>5706</v>
      </c>
      <c r="AF268" s="40">
        <v>1398</v>
      </c>
      <c r="AG268" s="40"/>
      <c r="AH268" s="40" t="s">
        <v>393</v>
      </c>
      <c r="AI268" s="41">
        <v>44653.083333333336</v>
      </c>
      <c r="AJ268" s="40"/>
      <c r="AK268" s="43">
        <v>950</v>
      </c>
      <c r="AL268" s="40"/>
      <c r="AM268" s="43">
        <v>0</v>
      </c>
      <c r="AN268" s="43"/>
      <c r="AO268" s="43">
        <v>0</v>
      </c>
      <c r="AP268" s="43">
        <v>0</v>
      </c>
      <c r="AQ268" s="43">
        <v>0</v>
      </c>
      <c r="AR268" s="43">
        <v>0</v>
      </c>
      <c r="AS268" s="43"/>
      <c r="AT268" s="43">
        <v>0</v>
      </c>
      <c r="AU268" s="43"/>
      <c r="AV268" s="43"/>
      <c r="AW268" s="43"/>
      <c r="AX268" s="43">
        <v>0</v>
      </c>
      <c r="AY268" s="43">
        <v>0</v>
      </c>
      <c r="AZ268" s="43">
        <v>0</v>
      </c>
      <c r="BA268" s="43">
        <v>0</v>
      </c>
      <c r="BB268" s="43">
        <v>0</v>
      </c>
      <c r="BC268" s="43">
        <v>0</v>
      </c>
      <c r="BD268" s="43">
        <v>0</v>
      </c>
      <c r="BE268" s="43">
        <v>0</v>
      </c>
      <c r="BF268" s="43">
        <v>0</v>
      </c>
      <c r="BG268" s="43">
        <v>0</v>
      </c>
      <c r="BH268" s="43">
        <v>0</v>
      </c>
      <c r="BI268" s="40" t="s">
        <v>1121</v>
      </c>
      <c r="BJ268" s="40">
        <v>2022</v>
      </c>
      <c r="BK268" s="40" t="s">
        <v>2768</v>
      </c>
      <c r="BL268" s="40" t="s">
        <v>2768</v>
      </c>
      <c r="BM268" s="40" t="s">
        <v>125</v>
      </c>
    </row>
    <row r="269" spans="1:65" x14ac:dyDescent="0.25">
      <c r="A269" s="40" t="s">
        <v>2771</v>
      </c>
      <c r="B269" s="41">
        <v>44653.333333333336</v>
      </c>
      <c r="C269" s="40" t="s">
        <v>297</v>
      </c>
      <c r="D269" s="40" t="s">
        <v>298</v>
      </c>
      <c r="E269" s="40" t="s">
        <v>1117</v>
      </c>
      <c r="F269" s="40">
        <v>61130769</v>
      </c>
      <c r="G269" s="40" t="s">
        <v>1128</v>
      </c>
      <c r="H269" s="40" t="s">
        <v>301</v>
      </c>
      <c r="I269" s="40">
        <v>3700</v>
      </c>
      <c r="J269" s="40" t="s">
        <v>1129</v>
      </c>
      <c r="K269" s="40">
        <v>25468</v>
      </c>
      <c r="L269" s="40">
        <v>29168</v>
      </c>
      <c r="M269" s="40">
        <v>723495</v>
      </c>
      <c r="N269" s="40" t="s">
        <v>1120</v>
      </c>
      <c r="O269" s="40" t="s">
        <v>1130</v>
      </c>
      <c r="P269" s="40" t="s">
        <v>1131</v>
      </c>
      <c r="Q269" s="40" t="s">
        <v>1132</v>
      </c>
      <c r="R269" s="42" t="s">
        <v>1133</v>
      </c>
      <c r="S269" s="42">
        <v>3383277308</v>
      </c>
      <c r="T269" s="40" t="s">
        <v>292</v>
      </c>
      <c r="U269" s="41">
        <v>44652.625</v>
      </c>
      <c r="V269" s="41">
        <v>44653.291666666664</v>
      </c>
      <c r="W269" s="41">
        <v>44653.625</v>
      </c>
      <c r="X269" s="40" t="s">
        <v>293</v>
      </c>
      <c r="Y269" s="41">
        <v>44655.195138888892</v>
      </c>
      <c r="Z269" s="41">
        <v>44654.5</v>
      </c>
      <c r="AA269" s="41">
        <v>44655.75</v>
      </c>
      <c r="AB269" s="41">
        <v>44657.666666666664</v>
      </c>
      <c r="AC269" s="40" t="s">
        <v>308</v>
      </c>
      <c r="AD269" s="40">
        <v>12285</v>
      </c>
      <c r="AE269" s="40">
        <v>5723</v>
      </c>
      <c r="AF269" s="40">
        <v>1399</v>
      </c>
      <c r="AG269" s="40"/>
      <c r="AH269" s="40" t="s">
        <v>393</v>
      </c>
      <c r="AI269" s="41"/>
      <c r="AJ269" s="40"/>
      <c r="AK269" s="43">
        <v>950</v>
      </c>
      <c r="AL269" s="40"/>
      <c r="AM269" s="43">
        <v>0</v>
      </c>
      <c r="AN269" s="43">
        <v>2800</v>
      </c>
      <c r="AO269" s="43">
        <v>0</v>
      </c>
      <c r="AP269" s="43">
        <v>0</v>
      </c>
      <c r="AQ269" s="43">
        <v>2800</v>
      </c>
      <c r="AR269" s="43">
        <v>0</v>
      </c>
      <c r="AS269" s="43"/>
      <c r="AT269" s="43">
        <v>0</v>
      </c>
      <c r="AU269" s="43"/>
      <c r="AV269" s="43"/>
      <c r="AW269" s="43"/>
      <c r="AX269" s="43">
        <v>0</v>
      </c>
      <c r="AY269" s="43">
        <v>0</v>
      </c>
      <c r="AZ269" s="43">
        <v>0</v>
      </c>
      <c r="BA269" s="43">
        <v>0</v>
      </c>
      <c r="BB269" s="43">
        <v>0</v>
      </c>
      <c r="BC269" s="43">
        <v>0</v>
      </c>
      <c r="BD269" s="43">
        <v>0</v>
      </c>
      <c r="BE269" s="43">
        <v>0</v>
      </c>
      <c r="BF269" s="43">
        <v>0</v>
      </c>
      <c r="BG269" s="43">
        <v>0</v>
      </c>
      <c r="BH269" s="43">
        <v>0</v>
      </c>
      <c r="BI269" s="40" t="s">
        <v>1121</v>
      </c>
      <c r="BJ269" s="40">
        <v>2022</v>
      </c>
      <c r="BK269" s="40" t="s">
        <v>2768</v>
      </c>
      <c r="BL269" s="40" t="s">
        <v>2768</v>
      </c>
      <c r="BM269" s="40" t="s">
        <v>125</v>
      </c>
    </row>
    <row r="270" spans="1:65" x14ac:dyDescent="0.25">
      <c r="A270" s="40" t="s">
        <v>2771</v>
      </c>
      <c r="B270" s="41">
        <v>44653.416666666664</v>
      </c>
      <c r="C270" s="40" t="s">
        <v>297</v>
      </c>
      <c r="D270" s="40" t="s">
        <v>298</v>
      </c>
      <c r="E270" s="40" t="s">
        <v>1117</v>
      </c>
      <c r="F270" s="40">
        <v>61130769</v>
      </c>
      <c r="G270" s="40" t="s">
        <v>1134</v>
      </c>
      <c r="H270" s="40" t="s">
        <v>301</v>
      </c>
      <c r="I270" s="40">
        <v>3780</v>
      </c>
      <c r="J270" s="40" t="s">
        <v>1135</v>
      </c>
      <c r="K270" s="40">
        <v>19734</v>
      </c>
      <c r="L270" s="40">
        <v>23514</v>
      </c>
      <c r="M270" s="40">
        <v>723355</v>
      </c>
      <c r="N270" s="40" t="s">
        <v>1120</v>
      </c>
      <c r="O270" s="40" t="s">
        <v>1136</v>
      </c>
      <c r="P270" s="40" t="s">
        <v>1137</v>
      </c>
      <c r="Q270" s="40" t="s">
        <v>1138</v>
      </c>
      <c r="R270" s="42" t="s">
        <v>1139</v>
      </c>
      <c r="S270" s="42">
        <v>2916619830</v>
      </c>
      <c r="T270" s="40" t="s">
        <v>292</v>
      </c>
      <c r="U270" s="41">
        <v>44652.625</v>
      </c>
      <c r="V270" s="41">
        <v>44653.291666666664</v>
      </c>
      <c r="W270" s="41">
        <v>44653.763888888891</v>
      </c>
      <c r="X270" s="40" t="s">
        <v>293</v>
      </c>
      <c r="Y270" s="41">
        <v>44655.28125</v>
      </c>
      <c r="Z270" s="41">
        <v>44654.5</v>
      </c>
      <c r="AA270" s="41">
        <v>44655.75</v>
      </c>
      <c r="AB270" s="41">
        <v>44657.666666666664</v>
      </c>
      <c r="AC270" s="40" t="s">
        <v>308</v>
      </c>
      <c r="AD270" s="40">
        <v>12287</v>
      </c>
      <c r="AE270" s="40">
        <v>5725</v>
      </c>
      <c r="AF270" s="40">
        <v>1400</v>
      </c>
      <c r="AG270" s="40"/>
      <c r="AH270" s="40" t="s">
        <v>393</v>
      </c>
      <c r="AI270" s="41"/>
      <c r="AJ270" s="40"/>
      <c r="AK270" s="43">
        <v>950</v>
      </c>
      <c r="AL270" s="40"/>
      <c r="AM270" s="43">
        <v>0</v>
      </c>
      <c r="AN270" s="43">
        <v>2800</v>
      </c>
      <c r="AO270" s="43">
        <v>0</v>
      </c>
      <c r="AP270" s="43">
        <v>0</v>
      </c>
      <c r="AQ270" s="43">
        <v>2800</v>
      </c>
      <c r="AR270" s="43">
        <v>0</v>
      </c>
      <c r="AS270" s="43"/>
      <c r="AT270" s="43">
        <v>0</v>
      </c>
      <c r="AU270" s="43"/>
      <c r="AV270" s="43"/>
      <c r="AW270" s="43"/>
      <c r="AX270" s="43">
        <v>0</v>
      </c>
      <c r="AY270" s="43">
        <v>0</v>
      </c>
      <c r="AZ270" s="43">
        <v>0</v>
      </c>
      <c r="BA270" s="43">
        <v>0</v>
      </c>
      <c r="BB270" s="43">
        <v>0</v>
      </c>
      <c r="BC270" s="43">
        <v>0</v>
      </c>
      <c r="BD270" s="43">
        <v>0</v>
      </c>
      <c r="BE270" s="43">
        <v>0</v>
      </c>
      <c r="BF270" s="43">
        <v>0</v>
      </c>
      <c r="BG270" s="43">
        <v>0</v>
      </c>
      <c r="BH270" s="43">
        <v>0</v>
      </c>
      <c r="BI270" s="40" t="s">
        <v>1121</v>
      </c>
      <c r="BJ270" s="40">
        <v>2022</v>
      </c>
      <c r="BK270" s="40" t="s">
        <v>2768</v>
      </c>
      <c r="BL270" s="40" t="s">
        <v>2768</v>
      </c>
      <c r="BM270" s="40" t="s">
        <v>125</v>
      </c>
    </row>
    <row r="271" spans="1:65" x14ac:dyDescent="0.25">
      <c r="A271" s="40" t="s">
        <v>2771</v>
      </c>
      <c r="B271" s="41">
        <v>44653.458333333336</v>
      </c>
      <c r="C271" s="40" t="s">
        <v>297</v>
      </c>
      <c r="D271" s="40" t="s">
        <v>298</v>
      </c>
      <c r="E271" s="40" t="s">
        <v>1117</v>
      </c>
      <c r="F271" s="40">
        <v>61130769</v>
      </c>
      <c r="G271" s="40" t="s">
        <v>1140</v>
      </c>
      <c r="H271" s="40" t="s">
        <v>301</v>
      </c>
      <c r="I271" s="40">
        <v>3700</v>
      </c>
      <c r="J271" s="40" t="s">
        <v>1141</v>
      </c>
      <c r="K271" s="40">
        <v>19734</v>
      </c>
      <c r="L271" s="40">
        <v>23434</v>
      </c>
      <c r="M271" s="40">
        <v>723353</v>
      </c>
      <c r="N271" s="40" t="s">
        <v>1120</v>
      </c>
      <c r="O271" s="40" t="s">
        <v>68</v>
      </c>
      <c r="P271" s="40" t="s">
        <v>36</v>
      </c>
      <c r="Q271" s="40" t="s">
        <v>203</v>
      </c>
      <c r="R271" s="42" t="s">
        <v>204</v>
      </c>
      <c r="S271" s="42" t="s">
        <v>205</v>
      </c>
      <c r="T271" s="40" t="s">
        <v>292</v>
      </c>
      <c r="U271" s="41">
        <v>44652.625</v>
      </c>
      <c r="V271" s="41">
        <v>44653.291666666664</v>
      </c>
      <c r="W271" s="41">
        <v>44653.556250000001</v>
      </c>
      <c r="X271" s="40" t="s">
        <v>293</v>
      </c>
      <c r="Y271" s="41">
        <v>44655.288194444445</v>
      </c>
      <c r="Z271" s="41">
        <v>44654.5</v>
      </c>
      <c r="AA271" s="41">
        <v>44655.75</v>
      </c>
      <c r="AB271" s="41">
        <v>44657.666666666664</v>
      </c>
      <c r="AC271" s="40" t="s">
        <v>308</v>
      </c>
      <c r="AD271" s="40">
        <v>12279</v>
      </c>
      <c r="AE271" s="40">
        <v>5724</v>
      </c>
      <c r="AF271" s="40">
        <v>1401</v>
      </c>
      <c r="AG271" s="40"/>
      <c r="AH271" s="40" t="s">
        <v>393</v>
      </c>
      <c r="AI271" s="41"/>
      <c r="AJ271" s="40"/>
      <c r="AK271" s="43">
        <v>950</v>
      </c>
      <c r="AL271" s="40"/>
      <c r="AM271" s="43">
        <v>0</v>
      </c>
      <c r="AN271" s="43"/>
      <c r="AO271" s="43">
        <v>0</v>
      </c>
      <c r="AP271" s="43">
        <v>0</v>
      </c>
      <c r="AQ271" s="43">
        <v>0</v>
      </c>
      <c r="AR271" s="43">
        <v>0</v>
      </c>
      <c r="AS271" s="43"/>
      <c r="AT271" s="43">
        <v>0</v>
      </c>
      <c r="AU271" s="43"/>
      <c r="AV271" s="43"/>
      <c r="AW271" s="43"/>
      <c r="AX271" s="43">
        <v>0</v>
      </c>
      <c r="AY271" s="43">
        <v>0</v>
      </c>
      <c r="AZ271" s="43">
        <v>0</v>
      </c>
      <c r="BA271" s="43">
        <v>0</v>
      </c>
      <c r="BB271" s="43">
        <v>0</v>
      </c>
      <c r="BC271" s="43">
        <v>0</v>
      </c>
      <c r="BD271" s="43">
        <v>0</v>
      </c>
      <c r="BE271" s="43">
        <v>0</v>
      </c>
      <c r="BF271" s="43">
        <v>0</v>
      </c>
      <c r="BG271" s="43">
        <v>0</v>
      </c>
      <c r="BH271" s="43">
        <v>0</v>
      </c>
      <c r="BI271" s="40" t="s">
        <v>1121</v>
      </c>
      <c r="BJ271" s="40">
        <v>2022</v>
      </c>
      <c r="BK271" s="40" t="s">
        <v>2768</v>
      </c>
      <c r="BL271" s="40" t="s">
        <v>2768</v>
      </c>
      <c r="BM271" s="40" t="s">
        <v>125</v>
      </c>
    </row>
    <row r="272" spans="1:65" x14ac:dyDescent="0.25">
      <c r="A272" s="40" t="s">
        <v>2771</v>
      </c>
      <c r="B272" s="41">
        <v>44655.333333333336</v>
      </c>
      <c r="C272" s="40" t="s">
        <v>297</v>
      </c>
      <c r="D272" s="40" t="s">
        <v>298</v>
      </c>
      <c r="E272" s="40" t="s">
        <v>1117</v>
      </c>
      <c r="F272" s="40">
        <v>61130769</v>
      </c>
      <c r="G272" s="40" t="s">
        <v>1142</v>
      </c>
      <c r="H272" s="40" t="s">
        <v>301</v>
      </c>
      <c r="I272" s="40">
        <v>3900</v>
      </c>
      <c r="J272" s="40" t="s">
        <v>1143</v>
      </c>
      <c r="K272" s="40">
        <v>19734</v>
      </c>
      <c r="L272" s="40">
        <v>23634</v>
      </c>
      <c r="M272" s="40">
        <v>723547</v>
      </c>
      <c r="N272" s="40" t="s">
        <v>1120</v>
      </c>
      <c r="O272" s="40" t="s">
        <v>155</v>
      </c>
      <c r="P272" s="40" t="s">
        <v>312</v>
      </c>
      <c r="Q272" s="40" t="s">
        <v>445</v>
      </c>
      <c r="R272" s="42" t="s">
        <v>618</v>
      </c>
      <c r="S272" s="42" t="s">
        <v>446</v>
      </c>
      <c r="T272" s="40" t="s">
        <v>292</v>
      </c>
      <c r="U272" s="41">
        <v>44652.729861111111</v>
      </c>
      <c r="V272" s="41">
        <v>44655.291666666664</v>
      </c>
      <c r="W272" s="41">
        <v>44655.479166666664</v>
      </c>
      <c r="X272" s="40" t="s">
        <v>293</v>
      </c>
      <c r="Y272" s="41">
        <v>44655.70416666667</v>
      </c>
      <c r="Z272" s="41">
        <v>44654.5</v>
      </c>
      <c r="AA272" s="41">
        <v>44655.75</v>
      </c>
      <c r="AB272" s="41">
        <v>44657.666666666664</v>
      </c>
      <c r="AC272" s="40" t="s">
        <v>308</v>
      </c>
      <c r="AD272" s="40">
        <v>12303</v>
      </c>
      <c r="AE272" s="40">
        <v>5722</v>
      </c>
      <c r="AF272" s="40">
        <v>1402</v>
      </c>
      <c r="AG272" s="40"/>
      <c r="AH272" s="40" t="s">
        <v>295</v>
      </c>
      <c r="AI272" s="41"/>
      <c r="AJ272" s="40"/>
      <c r="AK272" s="43"/>
      <c r="AL272" s="40"/>
      <c r="AM272" s="43">
        <v>0</v>
      </c>
      <c r="AN272" s="43"/>
      <c r="AO272" s="43">
        <v>0</v>
      </c>
      <c r="AP272" s="43">
        <v>0</v>
      </c>
      <c r="AQ272" s="43">
        <v>0</v>
      </c>
      <c r="AR272" s="43">
        <v>0</v>
      </c>
      <c r="AS272" s="43"/>
      <c r="AT272" s="43">
        <v>0</v>
      </c>
      <c r="AU272" s="43"/>
      <c r="AV272" s="43"/>
      <c r="AW272" s="43"/>
      <c r="AX272" s="43">
        <v>0</v>
      </c>
      <c r="AY272" s="43">
        <v>0</v>
      </c>
      <c r="AZ272" s="43">
        <v>0</v>
      </c>
      <c r="BA272" s="43">
        <v>0</v>
      </c>
      <c r="BB272" s="43">
        <v>0</v>
      </c>
      <c r="BC272" s="43">
        <v>0</v>
      </c>
      <c r="BD272" s="43">
        <v>0</v>
      </c>
      <c r="BE272" s="43">
        <v>0</v>
      </c>
      <c r="BF272" s="43">
        <v>0</v>
      </c>
      <c r="BG272" s="43">
        <v>0</v>
      </c>
      <c r="BH272" s="43">
        <v>0</v>
      </c>
      <c r="BI272" s="40" t="s">
        <v>1121</v>
      </c>
      <c r="BJ272" s="40">
        <v>2022</v>
      </c>
      <c r="BK272" s="40" t="s">
        <v>2768</v>
      </c>
      <c r="BL272" s="40" t="s">
        <v>2768</v>
      </c>
      <c r="BM272" s="40" t="s">
        <v>125</v>
      </c>
    </row>
    <row r="273" spans="1:65" x14ac:dyDescent="0.25">
      <c r="A273" s="40" t="s">
        <v>2771</v>
      </c>
      <c r="B273" s="41">
        <v>44655.416666666664</v>
      </c>
      <c r="C273" s="40" t="s">
        <v>297</v>
      </c>
      <c r="D273" s="40" t="s">
        <v>298</v>
      </c>
      <c r="E273" s="40" t="s">
        <v>1117</v>
      </c>
      <c r="F273" s="40">
        <v>61130769</v>
      </c>
      <c r="G273" s="40" t="s">
        <v>1144</v>
      </c>
      <c r="H273" s="40" t="s">
        <v>301</v>
      </c>
      <c r="I273" s="40">
        <v>3820</v>
      </c>
      <c r="J273" s="40" t="s">
        <v>1145</v>
      </c>
      <c r="K273" s="40">
        <v>25468</v>
      </c>
      <c r="L273" s="40">
        <v>29288</v>
      </c>
      <c r="M273" s="40">
        <v>723646</v>
      </c>
      <c r="N273" s="40" t="s">
        <v>1120</v>
      </c>
      <c r="O273" s="40" t="s">
        <v>92</v>
      </c>
      <c r="P273" s="40" t="s">
        <v>93</v>
      </c>
      <c r="Q273" s="40" t="s">
        <v>94</v>
      </c>
      <c r="R273" s="42" t="s">
        <v>95</v>
      </c>
      <c r="S273" s="42" t="s">
        <v>96</v>
      </c>
      <c r="T273" s="40" t="s">
        <v>292</v>
      </c>
      <c r="U273" s="41">
        <v>44653.333333333336</v>
      </c>
      <c r="V273" s="41">
        <v>44655.44027777778</v>
      </c>
      <c r="W273" s="41">
        <v>44655.772222222222</v>
      </c>
      <c r="X273" s="40" t="s">
        <v>293</v>
      </c>
      <c r="Y273" s="41">
        <v>44655.956250000003</v>
      </c>
      <c r="Z273" s="41">
        <v>44654.5</v>
      </c>
      <c r="AA273" s="41">
        <v>44655.75</v>
      </c>
      <c r="AB273" s="41">
        <v>44657.666666666664</v>
      </c>
      <c r="AC273" s="40" t="s">
        <v>308</v>
      </c>
      <c r="AD273" s="40">
        <v>12304</v>
      </c>
      <c r="AE273" s="40">
        <v>5728</v>
      </c>
      <c r="AF273" s="40">
        <v>1403</v>
      </c>
      <c r="AG273" s="40"/>
      <c r="AH273" s="40" t="s">
        <v>295</v>
      </c>
      <c r="AI273" s="41"/>
      <c r="AJ273" s="40"/>
      <c r="AK273" s="43"/>
      <c r="AL273" s="40"/>
      <c r="AM273" s="43">
        <v>0</v>
      </c>
      <c r="AN273" s="43"/>
      <c r="AO273" s="43"/>
      <c r="AP273" s="43"/>
      <c r="AQ273" s="43">
        <v>0</v>
      </c>
      <c r="AR273" s="43">
        <v>0</v>
      </c>
      <c r="AS273" s="43"/>
      <c r="AT273" s="43">
        <v>0</v>
      </c>
      <c r="AU273" s="43"/>
      <c r="AV273" s="43"/>
      <c r="AW273" s="43"/>
      <c r="AX273" s="43">
        <v>0</v>
      </c>
      <c r="AY273" s="43">
        <v>0</v>
      </c>
      <c r="AZ273" s="43">
        <v>0</v>
      </c>
      <c r="BA273" s="43">
        <v>0</v>
      </c>
      <c r="BB273" s="43">
        <v>0</v>
      </c>
      <c r="BC273" s="43">
        <v>0</v>
      </c>
      <c r="BD273" s="43">
        <v>0</v>
      </c>
      <c r="BE273" s="43">
        <v>0</v>
      </c>
      <c r="BF273" s="43">
        <v>0</v>
      </c>
      <c r="BG273" s="43">
        <v>0</v>
      </c>
      <c r="BH273" s="43">
        <v>0</v>
      </c>
      <c r="BI273" s="40" t="s">
        <v>1121</v>
      </c>
      <c r="BJ273" s="40">
        <v>2022</v>
      </c>
      <c r="BK273" s="40" t="s">
        <v>2768</v>
      </c>
      <c r="BL273" s="40" t="s">
        <v>2768</v>
      </c>
      <c r="BM273" s="40" t="s">
        <v>125</v>
      </c>
    </row>
    <row r="274" spans="1:65" x14ac:dyDescent="0.25">
      <c r="A274" s="40" t="s">
        <v>2771</v>
      </c>
      <c r="B274" s="41">
        <v>44655.541666666664</v>
      </c>
      <c r="C274" s="40" t="s">
        <v>297</v>
      </c>
      <c r="D274" s="40" t="s">
        <v>298</v>
      </c>
      <c r="E274" s="40" t="s">
        <v>1117</v>
      </c>
      <c r="F274" s="40">
        <v>61130769</v>
      </c>
      <c r="G274" s="40" t="s">
        <v>1146</v>
      </c>
      <c r="H274" s="40" t="s">
        <v>301</v>
      </c>
      <c r="I274" s="40">
        <v>3880</v>
      </c>
      <c r="J274" s="40" t="s">
        <v>1147</v>
      </c>
      <c r="K274" s="40">
        <v>19734</v>
      </c>
      <c r="L274" s="40">
        <v>23614</v>
      </c>
      <c r="M274" s="40">
        <v>723804</v>
      </c>
      <c r="N274" s="40" t="s">
        <v>1120</v>
      </c>
      <c r="O274" s="40" t="s">
        <v>72</v>
      </c>
      <c r="P274" s="40" t="s">
        <v>73</v>
      </c>
      <c r="Q274" s="40" t="s">
        <v>74</v>
      </c>
      <c r="R274" s="42" t="s">
        <v>75</v>
      </c>
      <c r="S274" s="42">
        <v>3595479067</v>
      </c>
      <c r="T274" s="40" t="s">
        <v>292</v>
      </c>
      <c r="U274" s="41">
        <v>44655.375</v>
      </c>
      <c r="V274" s="41">
        <v>44655.536805555559</v>
      </c>
      <c r="W274" s="41">
        <v>44655.78125</v>
      </c>
      <c r="X274" s="40" t="s">
        <v>293</v>
      </c>
      <c r="Y274" s="41">
        <v>44655.940972222219</v>
      </c>
      <c r="Z274" s="41">
        <v>44654.5</v>
      </c>
      <c r="AA274" s="41">
        <v>44655.75</v>
      </c>
      <c r="AB274" s="41">
        <v>44657.666666666664</v>
      </c>
      <c r="AC274" s="40" t="s">
        <v>308</v>
      </c>
      <c r="AD274" s="40">
        <v>12305</v>
      </c>
      <c r="AE274" s="40">
        <v>5727</v>
      </c>
      <c r="AF274" s="40">
        <v>1404</v>
      </c>
      <c r="AG274" s="40"/>
      <c r="AH274" s="40" t="s">
        <v>295</v>
      </c>
      <c r="AI274" s="41"/>
      <c r="AJ274" s="40"/>
      <c r="AK274" s="43"/>
      <c r="AL274" s="40"/>
      <c r="AM274" s="43">
        <v>0</v>
      </c>
      <c r="AN274" s="43"/>
      <c r="AO274" s="43"/>
      <c r="AP274" s="43"/>
      <c r="AQ274" s="43">
        <v>0</v>
      </c>
      <c r="AR274" s="43">
        <v>0</v>
      </c>
      <c r="AS274" s="43"/>
      <c r="AT274" s="43">
        <v>0</v>
      </c>
      <c r="AU274" s="43"/>
      <c r="AV274" s="43"/>
      <c r="AW274" s="43"/>
      <c r="AX274" s="43">
        <v>0</v>
      </c>
      <c r="AY274" s="43">
        <v>0</v>
      </c>
      <c r="AZ274" s="43">
        <v>0</v>
      </c>
      <c r="BA274" s="43">
        <v>0</v>
      </c>
      <c r="BB274" s="43">
        <v>0</v>
      </c>
      <c r="BC274" s="43">
        <v>0</v>
      </c>
      <c r="BD274" s="43">
        <v>0</v>
      </c>
      <c r="BE274" s="43">
        <v>0</v>
      </c>
      <c r="BF274" s="43">
        <v>0</v>
      </c>
      <c r="BG274" s="43">
        <v>0</v>
      </c>
      <c r="BH274" s="43">
        <v>0</v>
      </c>
      <c r="BI274" s="40" t="s">
        <v>1121</v>
      </c>
      <c r="BJ274" s="40">
        <v>2022</v>
      </c>
      <c r="BK274" s="40" t="s">
        <v>2768</v>
      </c>
      <c r="BL274" s="40" t="s">
        <v>2768</v>
      </c>
      <c r="BM274" s="40" t="s">
        <v>125</v>
      </c>
    </row>
    <row r="275" spans="1:65" x14ac:dyDescent="0.25">
      <c r="A275" s="40" t="s">
        <v>2771</v>
      </c>
      <c r="B275" s="41">
        <v>44653.291666666664</v>
      </c>
      <c r="C275" s="40" t="s">
        <v>283</v>
      </c>
      <c r="D275" s="40" t="s">
        <v>284</v>
      </c>
      <c r="E275" s="40" t="s">
        <v>1148</v>
      </c>
      <c r="F275" s="40" t="s">
        <v>1149</v>
      </c>
      <c r="G275" s="40" t="s">
        <v>1150</v>
      </c>
      <c r="H275" s="40" t="s">
        <v>301</v>
      </c>
      <c r="I275" s="40">
        <v>3890</v>
      </c>
      <c r="J275" s="40">
        <v>1303322</v>
      </c>
      <c r="K275" s="40"/>
      <c r="L275" s="40">
        <v>3890</v>
      </c>
      <c r="M275" s="40"/>
      <c r="N275" s="40" t="s">
        <v>1115</v>
      </c>
      <c r="O275" s="40" t="s">
        <v>82</v>
      </c>
      <c r="P275" s="40" t="s">
        <v>83</v>
      </c>
      <c r="Q275" s="40" t="s">
        <v>84</v>
      </c>
      <c r="R275" s="42" t="s">
        <v>85</v>
      </c>
      <c r="S275" s="42" t="s">
        <v>86</v>
      </c>
      <c r="T275" s="40" t="s">
        <v>292</v>
      </c>
      <c r="U275" s="41">
        <v>44652.541666666664</v>
      </c>
      <c r="V275" s="41">
        <v>44653.25</v>
      </c>
      <c r="W275" s="41">
        <v>44653.5</v>
      </c>
      <c r="X275" s="40" t="s">
        <v>293</v>
      </c>
      <c r="Y275" s="41">
        <v>44653.877083333333</v>
      </c>
      <c r="Z275" s="41">
        <v>44651.75</v>
      </c>
      <c r="AA275" s="41">
        <v>44655.5</v>
      </c>
      <c r="AB275" s="41">
        <v>44655.5</v>
      </c>
      <c r="AC275" s="40" t="s">
        <v>294</v>
      </c>
      <c r="AD275" s="40"/>
      <c r="AE275" s="40">
        <v>5720</v>
      </c>
      <c r="AF275" s="40" t="s">
        <v>125</v>
      </c>
      <c r="AG275" s="40"/>
      <c r="AH275" s="40" t="s">
        <v>295</v>
      </c>
      <c r="AI275" s="41"/>
      <c r="AJ275" s="40"/>
      <c r="AK275" s="43"/>
      <c r="AL275" s="40"/>
      <c r="AM275" s="43">
        <v>0</v>
      </c>
      <c r="AN275" s="43">
        <v>3600</v>
      </c>
      <c r="AO275" s="43"/>
      <c r="AP275" s="43"/>
      <c r="AQ275" s="43">
        <v>3600</v>
      </c>
      <c r="AR275" s="43">
        <v>0</v>
      </c>
      <c r="AS275" s="43"/>
      <c r="AT275" s="43">
        <v>0</v>
      </c>
      <c r="AU275" s="43"/>
      <c r="AV275" s="43"/>
      <c r="AW275" s="43"/>
      <c r="AX275" s="43">
        <v>0</v>
      </c>
      <c r="AY275" s="43">
        <v>0</v>
      </c>
      <c r="AZ275" s="43">
        <v>0</v>
      </c>
      <c r="BA275" s="43">
        <v>0</v>
      </c>
      <c r="BB275" s="43">
        <v>0</v>
      </c>
      <c r="BC275" s="43">
        <v>0</v>
      </c>
      <c r="BD275" s="43">
        <v>0</v>
      </c>
      <c r="BE275" s="43">
        <v>0</v>
      </c>
      <c r="BF275" s="43">
        <v>0</v>
      </c>
      <c r="BG275" s="43">
        <v>0</v>
      </c>
      <c r="BH275" s="43">
        <v>0</v>
      </c>
      <c r="BI275" s="40" t="s">
        <v>1121</v>
      </c>
      <c r="BJ275" s="40">
        <v>2022</v>
      </c>
      <c r="BK275" s="40" t="s">
        <v>125</v>
      </c>
      <c r="BL275" s="40" t="s">
        <v>125</v>
      </c>
      <c r="BM275" s="40" t="s">
        <v>125</v>
      </c>
    </row>
    <row r="276" spans="1:65" x14ac:dyDescent="0.25">
      <c r="A276" s="40" t="s">
        <v>2771</v>
      </c>
      <c r="B276" s="41">
        <v>44657.291666666664</v>
      </c>
      <c r="C276" s="40" t="s">
        <v>449</v>
      </c>
      <c r="D276" s="40" t="s">
        <v>450</v>
      </c>
      <c r="E276" s="40" t="s">
        <v>1151</v>
      </c>
      <c r="F276" s="40" t="s">
        <v>1152</v>
      </c>
      <c r="G276" s="40" t="s">
        <v>1153</v>
      </c>
      <c r="H276" s="40" t="s">
        <v>288</v>
      </c>
      <c r="I276" s="40">
        <v>2290</v>
      </c>
      <c r="J276" s="40" t="s">
        <v>1154</v>
      </c>
      <c r="K276" s="40">
        <v>26994</v>
      </c>
      <c r="L276" s="40">
        <v>29284</v>
      </c>
      <c r="M276" s="40">
        <v>33807</v>
      </c>
      <c r="N276" s="40" t="s">
        <v>1155</v>
      </c>
      <c r="O276" s="40" t="s">
        <v>827</v>
      </c>
      <c r="P276" s="40" t="s">
        <v>77</v>
      </c>
      <c r="Q276" s="40" t="s">
        <v>1156</v>
      </c>
      <c r="R276" s="42" t="s">
        <v>1157</v>
      </c>
      <c r="S276" s="42">
        <v>5168204070</v>
      </c>
      <c r="T276" s="40" t="s">
        <v>526</v>
      </c>
      <c r="U276" s="41">
        <v>44656.75</v>
      </c>
      <c r="V276" s="41">
        <v>44657.166666666664</v>
      </c>
      <c r="W276" s="41">
        <v>44658.458333333336</v>
      </c>
      <c r="X276" s="40" t="s">
        <v>306</v>
      </c>
      <c r="Y276" s="41">
        <v>44661.958333333336</v>
      </c>
      <c r="Z276" s="41"/>
      <c r="AA276" s="41">
        <v>44649.583333333336</v>
      </c>
      <c r="AB276" s="41">
        <v>44659.75</v>
      </c>
      <c r="AC276" s="40" t="s">
        <v>452</v>
      </c>
      <c r="AD276" s="40" t="s">
        <v>1158</v>
      </c>
      <c r="AE276" s="40">
        <v>5753</v>
      </c>
      <c r="AF276" s="40">
        <v>1318</v>
      </c>
      <c r="AG276" s="40"/>
      <c r="AH276" s="40" t="s">
        <v>309</v>
      </c>
      <c r="AI276" s="41" t="s">
        <v>1159</v>
      </c>
      <c r="AJ276" s="40">
        <v>1</v>
      </c>
      <c r="AK276" s="43">
        <v>950</v>
      </c>
      <c r="AL276" s="40" t="s">
        <v>125</v>
      </c>
      <c r="AM276" s="43">
        <v>0</v>
      </c>
      <c r="AN276" s="43">
        <v>2700</v>
      </c>
      <c r="AO276" s="43">
        <v>1100</v>
      </c>
      <c r="AP276" s="43">
        <v>0</v>
      </c>
      <c r="AQ276" s="43">
        <v>4200</v>
      </c>
      <c r="AR276" s="43">
        <v>355.73554736199998</v>
      </c>
      <c r="AS276" s="43">
        <v>400</v>
      </c>
      <c r="AT276" s="43">
        <v>5285.8179399999999</v>
      </c>
      <c r="AU276" s="43">
        <v>4478</v>
      </c>
      <c r="AV276" s="43">
        <v>107817.94</v>
      </c>
      <c r="AW276" s="43">
        <v>107.81794000000001</v>
      </c>
      <c r="AX276" s="43">
        <v>0</v>
      </c>
      <c r="AY276" s="43">
        <v>0</v>
      </c>
      <c r="AZ276" s="43">
        <v>0</v>
      </c>
      <c r="BA276" s="43">
        <v>0</v>
      </c>
      <c r="BB276" s="43">
        <v>0</v>
      </c>
      <c r="BC276" s="43">
        <v>0</v>
      </c>
      <c r="BD276" s="43">
        <v>0</v>
      </c>
      <c r="BE276" s="43">
        <v>0</v>
      </c>
      <c r="BF276" s="43">
        <v>0</v>
      </c>
      <c r="BG276" s="43">
        <v>0</v>
      </c>
      <c r="BH276" s="43">
        <v>700</v>
      </c>
      <c r="BI276" s="40" t="s">
        <v>1121</v>
      </c>
      <c r="BJ276" s="40">
        <v>2022</v>
      </c>
      <c r="BK276" s="40" t="s">
        <v>2768</v>
      </c>
      <c r="BL276" s="40" t="s">
        <v>2768</v>
      </c>
      <c r="BM276" s="40" t="s">
        <v>125</v>
      </c>
    </row>
    <row r="277" spans="1:65" x14ac:dyDescent="0.25">
      <c r="A277" s="40" t="s">
        <v>2771</v>
      </c>
      <c r="B277" s="41">
        <v>44657.291666666664</v>
      </c>
      <c r="C277" s="40" t="s">
        <v>449</v>
      </c>
      <c r="D277" s="40" t="s">
        <v>450</v>
      </c>
      <c r="E277" s="40" t="s">
        <v>1160</v>
      </c>
      <c r="F277" s="40" t="s">
        <v>1161</v>
      </c>
      <c r="G277" s="40" t="s">
        <v>1162</v>
      </c>
      <c r="H277" s="40" t="s">
        <v>288</v>
      </c>
      <c r="I277" s="40">
        <v>2170</v>
      </c>
      <c r="J277" s="40" t="s">
        <v>1163</v>
      </c>
      <c r="K277" s="40">
        <v>26664</v>
      </c>
      <c r="L277" s="40">
        <v>28834</v>
      </c>
      <c r="M277" s="40">
        <v>33806</v>
      </c>
      <c r="N277" s="40" t="s">
        <v>1155</v>
      </c>
      <c r="O277" s="40" t="s">
        <v>1164</v>
      </c>
      <c r="P277" s="40" t="s">
        <v>1165</v>
      </c>
      <c r="Q277" s="40" t="s">
        <v>1166</v>
      </c>
      <c r="R277" s="42" t="s">
        <v>1167</v>
      </c>
      <c r="S277" s="42">
        <v>2029253910</v>
      </c>
      <c r="T277" s="40" t="s">
        <v>526</v>
      </c>
      <c r="U277" s="41">
        <v>44656.75</v>
      </c>
      <c r="V277" s="41">
        <v>44657.166666666664</v>
      </c>
      <c r="W277" s="41">
        <v>43927.625</v>
      </c>
      <c r="X277" s="40" t="s">
        <v>306</v>
      </c>
      <c r="Y277" s="41" t="s">
        <v>1168</v>
      </c>
      <c r="Z277" s="41"/>
      <c r="AA277" s="41">
        <v>44649.583333333336</v>
      </c>
      <c r="AB277" s="41">
        <v>44659.75</v>
      </c>
      <c r="AC277" s="40" t="s">
        <v>452</v>
      </c>
      <c r="AD277" s="40">
        <v>12335</v>
      </c>
      <c r="AE277" s="40">
        <v>5754</v>
      </c>
      <c r="AF277" s="40">
        <v>1319</v>
      </c>
      <c r="AG277" s="40"/>
      <c r="AH277" s="40" t="s">
        <v>309</v>
      </c>
      <c r="AI277" s="41">
        <v>44658.041666666664</v>
      </c>
      <c r="AJ277" s="40">
        <v>1</v>
      </c>
      <c r="AK277" s="43">
        <v>950</v>
      </c>
      <c r="AL277" s="40" t="s">
        <v>125</v>
      </c>
      <c r="AM277" s="43">
        <v>0</v>
      </c>
      <c r="AN277" s="43">
        <v>2700</v>
      </c>
      <c r="AO277" s="43">
        <v>1100</v>
      </c>
      <c r="AP277" s="43">
        <v>0</v>
      </c>
      <c r="AQ277" s="43">
        <v>3800</v>
      </c>
      <c r="AR277" s="43">
        <v>309.333883227</v>
      </c>
      <c r="AS277" s="43"/>
      <c r="AT277" s="43">
        <v>4596.3429900000001</v>
      </c>
      <c r="AU277" s="43">
        <v>4478</v>
      </c>
      <c r="AV277" s="43">
        <v>118342.99</v>
      </c>
      <c r="AW277" s="43">
        <v>118.34299000000001</v>
      </c>
      <c r="AX277" s="43">
        <v>0</v>
      </c>
      <c r="AY277" s="43">
        <v>0</v>
      </c>
      <c r="AZ277" s="43">
        <v>0</v>
      </c>
      <c r="BA277" s="43">
        <v>0</v>
      </c>
      <c r="BB277" s="43">
        <v>0</v>
      </c>
      <c r="BC277" s="43">
        <v>0</v>
      </c>
      <c r="BD277" s="43">
        <v>0</v>
      </c>
      <c r="BE277" s="43">
        <v>0</v>
      </c>
      <c r="BF277" s="43">
        <v>0</v>
      </c>
      <c r="BG277" s="43">
        <v>0</v>
      </c>
      <c r="BH277" s="43">
        <v>0</v>
      </c>
      <c r="BI277" s="40" t="s">
        <v>1121</v>
      </c>
      <c r="BJ277" s="40">
        <v>2022</v>
      </c>
      <c r="BK277" s="40" t="s">
        <v>2768</v>
      </c>
      <c r="BL277" s="40" t="s">
        <v>2768</v>
      </c>
      <c r="BM277" s="40" t="s">
        <v>125</v>
      </c>
    </row>
    <row r="278" spans="1:65" x14ac:dyDescent="0.25">
      <c r="A278" s="36" t="s">
        <v>836</v>
      </c>
      <c r="B278" s="37">
        <v>44657.291666666664</v>
      </c>
      <c r="C278" s="36" t="s">
        <v>353</v>
      </c>
      <c r="D278" s="36" t="s">
        <v>354</v>
      </c>
      <c r="E278" s="36">
        <v>7455610</v>
      </c>
      <c r="F278" s="36">
        <v>69466859</v>
      </c>
      <c r="G278" s="36"/>
      <c r="H278" s="36" t="s">
        <v>301</v>
      </c>
      <c r="I278" s="36"/>
      <c r="J278" s="36"/>
      <c r="K278" s="36"/>
      <c r="L278" s="36">
        <v>0</v>
      </c>
      <c r="M278" s="36"/>
      <c r="N278" s="36" t="s">
        <v>1155</v>
      </c>
      <c r="O278" s="36"/>
      <c r="P278" s="36"/>
      <c r="Q278" s="36"/>
      <c r="R278" s="38"/>
      <c r="S278" s="38"/>
      <c r="T278" s="36"/>
      <c r="U278" s="37"/>
      <c r="V278" s="37"/>
      <c r="W278" s="37"/>
      <c r="X278" s="36" t="s">
        <v>306</v>
      </c>
      <c r="Y278" s="37"/>
      <c r="Z278" s="37"/>
      <c r="AA278" s="37">
        <v>44649.75</v>
      </c>
      <c r="AB278" s="37">
        <v>44651.75</v>
      </c>
      <c r="AC278" s="36" t="s">
        <v>452</v>
      </c>
      <c r="AD278" s="36"/>
      <c r="AE278" s="36"/>
      <c r="AF278" s="36"/>
      <c r="AG278" s="36"/>
      <c r="AH278" s="36"/>
      <c r="AI278" s="37"/>
      <c r="AJ278" s="36"/>
      <c r="AK278" s="39"/>
      <c r="AL278" s="36"/>
      <c r="AM278" s="39">
        <v>0</v>
      </c>
      <c r="AN278" s="39"/>
      <c r="AO278" s="39"/>
      <c r="AP278" s="39"/>
      <c r="AQ278" s="39">
        <v>0</v>
      </c>
      <c r="AR278" s="39">
        <v>0</v>
      </c>
      <c r="AS278" s="39"/>
      <c r="AT278" s="39">
        <v>0</v>
      </c>
      <c r="AU278" s="39"/>
      <c r="AV278" s="39"/>
      <c r="AW278" s="39"/>
      <c r="AX278" s="39">
        <v>0</v>
      </c>
      <c r="AY278" s="39">
        <v>0</v>
      </c>
      <c r="AZ278" s="39">
        <v>0</v>
      </c>
      <c r="BA278" s="39">
        <v>0</v>
      </c>
      <c r="BB278" s="39">
        <v>0</v>
      </c>
      <c r="BC278" s="39">
        <v>0</v>
      </c>
      <c r="BD278" s="39">
        <v>0</v>
      </c>
      <c r="BE278" s="39">
        <v>0</v>
      </c>
      <c r="BF278" s="39">
        <v>0</v>
      </c>
      <c r="BG278" s="39">
        <v>0</v>
      </c>
      <c r="BH278" s="39">
        <v>0</v>
      </c>
      <c r="BI278" s="36" t="s">
        <v>453</v>
      </c>
      <c r="BJ278" s="36">
        <v>1900</v>
      </c>
      <c r="BK278" s="36"/>
      <c r="BL278" s="36"/>
      <c r="BM278" s="36" t="s">
        <v>125</v>
      </c>
    </row>
    <row r="279" spans="1:65" x14ac:dyDescent="0.25">
      <c r="A279" s="36" t="s">
        <v>836</v>
      </c>
      <c r="B279" s="37">
        <v>44657.291666666664</v>
      </c>
      <c r="C279" s="36" t="s">
        <v>353</v>
      </c>
      <c r="D279" s="36" t="s">
        <v>354</v>
      </c>
      <c r="E279" s="36">
        <v>7455610</v>
      </c>
      <c r="F279" s="36">
        <v>69466859</v>
      </c>
      <c r="G279" s="36"/>
      <c r="H279" s="36" t="s">
        <v>301</v>
      </c>
      <c r="I279" s="36"/>
      <c r="J279" s="36"/>
      <c r="K279" s="36"/>
      <c r="L279" s="36">
        <v>0</v>
      </c>
      <c r="M279" s="36"/>
      <c r="N279" s="36" t="s">
        <v>1155</v>
      </c>
      <c r="O279" s="36"/>
      <c r="P279" s="36"/>
      <c r="Q279" s="36"/>
      <c r="R279" s="38"/>
      <c r="S279" s="38"/>
      <c r="T279" s="36"/>
      <c r="U279" s="37"/>
      <c r="V279" s="37"/>
      <c r="W279" s="37"/>
      <c r="X279" s="36" t="s">
        <v>306</v>
      </c>
      <c r="Y279" s="37"/>
      <c r="Z279" s="37"/>
      <c r="AA279" s="37">
        <v>44649.75</v>
      </c>
      <c r="AB279" s="37">
        <v>44651.75</v>
      </c>
      <c r="AC279" s="36" t="s">
        <v>452</v>
      </c>
      <c r="AD279" s="36"/>
      <c r="AE279" s="36"/>
      <c r="AF279" s="36"/>
      <c r="AG279" s="36"/>
      <c r="AH279" s="36"/>
      <c r="AI279" s="37"/>
      <c r="AJ279" s="36"/>
      <c r="AK279" s="39"/>
      <c r="AL279" s="36"/>
      <c r="AM279" s="39">
        <v>0</v>
      </c>
      <c r="AN279" s="39"/>
      <c r="AO279" s="39"/>
      <c r="AP279" s="39"/>
      <c r="AQ279" s="39">
        <v>0</v>
      </c>
      <c r="AR279" s="39">
        <v>0</v>
      </c>
      <c r="AS279" s="39"/>
      <c r="AT279" s="39">
        <v>0</v>
      </c>
      <c r="AU279" s="39"/>
      <c r="AV279" s="39"/>
      <c r="AW279" s="39"/>
      <c r="AX279" s="39">
        <v>0</v>
      </c>
      <c r="AY279" s="39">
        <v>0</v>
      </c>
      <c r="AZ279" s="39">
        <v>0</v>
      </c>
      <c r="BA279" s="39">
        <v>0</v>
      </c>
      <c r="BB279" s="39">
        <v>0</v>
      </c>
      <c r="BC279" s="39">
        <v>0</v>
      </c>
      <c r="BD279" s="39">
        <v>0</v>
      </c>
      <c r="BE279" s="39">
        <v>0</v>
      </c>
      <c r="BF279" s="39">
        <v>0</v>
      </c>
      <c r="BG279" s="39">
        <v>0</v>
      </c>
      <c r="BH279" s="39">
        <v>0</v>
      </c>
      <c r="BI279" s="36" t="s">
        <v>453</v>
      </c>
      <c r="BJ279" s="36">
        <v>1900</v>
      </c>
      <c r="BK279" s="36"/>
      <c r="BL279" s="36"/>
      <c r="BM279" s="36" t="s">
        <v>125</v>
      </c>
    </row>
    <row r="280" spans="1:65" x14ac:dyDescent="0.25">
      <c r="A280" s="36" t="s">
        <v>836</v>
      </c>
      <c r="B280" s="37">
        <v>44657.291666666664</v>
      </c>
      <c r="C280" s="36" t="s">
        <v>353</v>
      </c>
      <c r="D280" s="36" t="s">
        <v>354</v>
      </c>
      <c r="E280" s="36">
        <v>7455610</v>
      </c>
      <c r="F280" s="36">
        <v>69466859</v>
      </c>
      <c r="G280" s="36"/>
      <c r="H280" s="36" t="s">
        <v>301</v>
      </c>
      <c r="I280" s="36"/>
      <c r="J280" s="36"/>
      <c r="K280" s="36"/>
      <c r="L280" s="36">
        <v>0</v>
      </c>
      <c r="M280" s="36"/>
      <c r="N280" s="36" t="s">
        <v>1155</v>
      </c>
      <c r="O280" s="36"/>
      <c r="P280" s="36"/>
      <c r="Q280" s="36"/>
      <c r="R280" s="38"/>
      <c r="S280" s="38"/>
      <c r="T280" s="36"/>
      <c r="U280" s="37"/>
      <c r="V280" s="37"/>
      <c r="W280" s="37"/>
      <c r="X280" s="36" t="s">
        <v>306</v>
      </c>
      <c r="Y280" s="37"/>
      <c r="Z280" s="37"/>
      <c r="AA280" s="37">
        <v>44649.75</v>
      </c>
      <c r="AB280" s="37">
        <v>44651.75</v>
      </c>
      <c r="AC280" s="36" t="s">
        <v>452</v>
      </c>
      <c r="AD280" s="36"/>
      <c r="AE280" s="36"/>
      <c r="AF280" s="36"/>
      <c r="AG280" s="36"/>
      <c r="AH280" s="36"/>
      <c r="AI280" s="37"/>
      <c r="AJ280" s="36"/>
      <c r="AK280" s="39"/>
      <c r="AL280" s="36"/>
      <c r="AM280" s="39">
        <v>0</v>
      </c>
      <c r="AN280" s="39"/>
      <c r="AO280" s="39"/>
      <c r="AP280" s="39"/>
      <c r="AQ280" s="39">
        <v>0</v>
      </c>
      <c r="AR280" s="39">
        <v>0</v>
      </c>
      <c r="AS280" s="39"/>
      <c r="AT280" s="39">
        <v>0</v>
      </c>
      <c r="AU280" s="39"/>
      <c r="AV280" s="39"/>
      <c r="AW280" s="39"/>
      <c r="AX280" s="39">
        <v>0</v>
      </c>
      <c r="AY280" s="39">
        <v>0</v>
      </c>
      <c r="AZ280" s="39">
        <v>0</v>
      </c>
      <c r="BA280" s="39">
        <v>0</v>
      </c>
      <c r="BB280" s="39">
        <v>0</v>
      </c>
      <c r="BC280" s="39">
        <v>0</v>
      </c>
      <c r="BD280" s="39">
        <v>0</v>
      </c>
      <c r="BE280" s="39">
        <v>0</v>
      </c>
      <c r="BF280" s="39">
        <v>0</v>
      </c>
      <c r="BG280" s="39">
        <v>0</v>
      </c>
      <c r="BH280" s="39">
        <v>0</v>
      </c>
      <c r="BI280" s="36" t="s">
        <v>453</v>
      </c>
      <c r="BJ280" s="36">
        <v>1900</v>
      </c>
      <c r="BK280" s="36"/>
      <c r="BL280" s="36"/>
      <c r="BM280" s="36" t="s">
        <v>125</v>
      </c>
    </row>
    <row r="281" spans="1:65" x14ac:dyDescent="0.25">
      <c r="A281" s="36" t="s">
        <v>836</v>
      </c>
      <c r="B281" s="37">
        <v>44657.291666666664</v>
      </c>
      <c r="C281" s="36" t="s">
        <v>353</v>
      </c>
      <c r="D281" s="36" t="s">
        <v>354</v>
      </c>
      <c r="E281" s="36">
        <v>7455610</v>
      </c>
      <c r="F281" s="36">
        <v>69466859</v>
      </c>
      <c r="G281" s="36"/>
      <c r="H281" s="36" t="s">
        <v>301</v>
      </c>
      <c r="I281" s="36"/>
      <c r="J281" s="36"/>
      <c r="K281" s="36"/>
      <c r="L281" s="36">
        <v>0</v>
      </c>
      <c r="M281" s="36"/>
      <c r="N281" s="36" t="s">
        <v>1155</v>
      </c>
      <c r="O281" s="36"/>
      <c r="P281" s="36"/>
      <c r="Q281" s="36"/>
      <c r="R281" s="38"/>
      <c r="S281" s="38"/>
      <c r="T281" s="36"/>
      <c r="U281" s="37"/>
      <c r="V281" s="37"/>
      <c r="W281" s="37"/>
      <c r="X281" s="36" t="s">
        <v>306</v>
      </c>
      <c r="Y281" s="37"/>
      <c r="Z281" s="37"/>
      <c r="AA281" s="37">
        <v>44649.75</v>
      </c>
      <c r="AB281" s="37">
        <v>44651.75</v>
      </c>
      <c r="AC281" s="36" t="s">
        <v>452</v>
      </c>
      <c r="AD281" s="36"/>
      <c r="AE281" s="36"/>
      <c r="AF281" s="36"/>
      <c r="AG281" s="36"/>
      <c r="AH281" s="36"/>
      <c r="AI281" s="37"/>
      <c r="AJ281" s="36"/>
      <c r="AK281" s="39"/>
      <c r="AL281" s="36"/>
      <c r="AM281" s="39">
        <v>0</v>
      </c>
      <c r="AN281" s="39"/>
      <c r="AO281" s="39"/>
      <c r="AP281" s="39"/>
      <c r="AQ281" s="39">
        <v>0</v>
      </c>
      <c r="AR281" s="39">
        <v>0</v>
      </c>
      <c r="AS281" s="39"/>
      <c r="AT281" s="39">
        <v>0</v>
      </c>
      <c r="AU281" s="39"/>
      <c r="AV281" s="39"/>
      <c r="AW281" s="39"/>
      <c r="AX281" s="39">
        <v>0</v>
      </c>
      <c r="AY281" s="39">
        <v>0</v>
      </c>
      <c r="AZ281" s="39">
        <v>0</v>
      </c>
      <c r="BA281" s="39">
        <v>0</v>
      </c>
      <c r="BB281" s="39">
        <v>0</v>
      </c>
      <c r="BC281" s="39">
        <v>0</v>
      </c>
      <c r="BD281" s="39">
        <v>0</v>
      </c>
      <c r="BE281" s="39">
        <v>0</v>
      </c>
      <c r="BF281" s="39">
        <v>0</v>
      </c>
      <c r="BG281" s="39">
        <v>0</v>
      </c>
      <c r="BH281" s="39">
        <v>0</v>
      </c>
      <c r="BI281" s="36" t="s">
        <v>453</v>
      </c>
      <c r="BJ281" s="36">
        <v>1900</v>
      </c>
      <c r="BK281" s="36"/>
      <c r="BL281" s="36"/>
      <c r="BM281" s="36" t="s">
        <v>125</v>
      </c>
    </row>
    <row r="282" spans="1:65" x14ac:dyDescent="0.25">
      <c r="A282" s="36" t="s">
        <v>836</v>
      </c>
      <c r="B282" s="37">
        <v>44657.291666666664</v>
      </c>
      <c r="C282" s="36" t="s">
        <v>353</v>
      </c>
      <c r="D282" s="36" t="s">
        <v>354</v>
      </c>
      <c r="E282" s="36">
        <v>7455610</v>
      </c>
      <c r="F282" s="36">
        <v>69466859</v>
      </c>
      <c r="G282" s="36"/>
      <c r="H282" s="36" t="s">
        <v>301</v>
      </c>
      <c r="I282" s="36"/>
      <c r="J282" s="36"/>
      <c r="K282" s="36"/>
      <c r="L282" s="36">
        <v>0</v>
      </c>
      <c r="M282" s="36"/>
      <c r="N282" s="36" t="s">
        <v>1155</v>
      </c>
      <c r="O282" s="36"/>
      <c r="P282" s="36"/>
      <c r="Q282" s="36"/>
      <c r="R282" s="38"/>
      <c r="S282" s="38"/>
      <c r="T282" s="36"/>
      <c r="U282" s="37"/>
      <c r="V282" s="37"/>
      <c r="W282" s="37"/>
      <c r="X282" s="36" t="s">
        <v>306</v>
      </c>
      <c r="Y282" s="37"/>
      <c r="Z282" s="37"/>
      <c r="AA282" s="37">
        <v>44649.75</v>
      </c>
      <c r="AB282" s="37">
        <v>44651.75</v>
      </c>
      <c r="AC282" s="36" t="s">
        <v>452</v>
      </c>
      <c r="AD282" s="36"/>
      <c r="AE282" s="36"/>
      <c r="AF282" s="36"/>
      <c r="AG282" s="36"/>
      <c r="AH282" s="36"/>
      <c r="AI282" s="37"/>
      <c r="AJ282" s="36"/>
      <c r="AK282" s="39"/>
      <c r="AL282" s="36"/>
      <c r="AM282" s="39">
        <v>0</v>
      </c>
      <c r="AN282" s="39"/>
      <c r="AO282" s="39"/>
      <c r="AP282" s="39"/>
      <c r="AQ282" s="39">
        <v>0</v>
      </c>
      <c r="AR282" s="39">
        <v>0</v>
      </c>
      <c r="AS282" s="39"/>
      <c r="AT282" s="39">
        <v>0</v>
      </c>
      <c r="AU282" s="39"/>
      <c r="AV282" s="39"/>
      <c r="AW282" s="39"/>
      <c r="AX282" s="39">
        <v>0</v>
      </c>
      <c r="AY282" s="39">
        <v>0</v>
      </c>
      <c r="AZ282" s="39">
        <v>0</v>
      </c>
      <c r="BA282" s="39">
        <v>0</v>
      </c>
      <c r="BB282" s="39">
        <v>0</v>
      </c>
      <c r="BC282" s="39">
        <v>0</v>
      </c>
      <c r="BD282" s="39">
        <v>0</v>
      </c>
      <c r="BE282" s="39">
        <v>0</v>
      </c>
      <c r="BF282" s="39">
        <v>0</v>
      </c>
      <c r="BG282" s="39">
        <v>0</v>
      </c>
      <c r="BH282" s="39">
        <v>0</v>
      </c>
      <c r="BI282" s="36" t="s">
        <v>453</v>
      </c>
      <c r="BJ282" s="36">
        <v>1900</v>
      </c>
      <c r="BK282" s="36"/>
      <c r="BL282" s="36"/>
      <c r="BM282" s="36" t="s">
        <v>125</v>
      </c>
    </row>
    <row r="283" spans="1:65" x14ac:dyDescent="0.25">
      <c r="A283" s="40" t="s">
        <v>2771</v>
      </c>
      <c r="B283" s="41">
        <v>44659.291666666664</v>
      </c>
      <c r="C283" s="40" t="s">
        <v>1169</v>
      </c>
      <c r="D283" s="40" t="s">
        <v>1170</v>
      </c>
      <c r="E283" s="40" t="s">
        <v>1171</v>
      </c>
      <c r="F283" s="40">
        <v>62798300</v>
      </c>
      <c r="G283" s="40" t="s">
        <v>1172</v>
      </c>
      <c r="H283" s="40" t="s">
        <v>288</v>
      </c>
      <c r="I283" s="40">
        <v>2350</v>
      </c>
      <c r="J283" s="40" t="s">
        <v>1173</v>
      </c>
      <c r="K283" s="40">
        <v>27483</v>
      </c>
      <c r="L283" s="40">
        <v>29833</v>
      </c>
      <c r="M283" s="40">
        <v>840</v>
      </c>
      <c r="N283" s="40" t="s">
        <v>1174</v>
      </c>
      <c r="O283" s="40" t="s">
        <v>37</v>
      </c>
      <c r="P283" s="40" t="s">
        <v>38</v>
      </c>
      <c r="Q283" s="40" t="s">
        <v>39</v>
      </c>
      <c r="R283" s="42" t="s">
        <v>40</v>
      </c>
      <c r="S283" s="42" t="s">
        <v>41</v>
      </c>
      <c r="T283" s="40" t="s">
        <v>293</v>
      </c>
      <c r="U283" s="41">
        <v>44658.833333333336</v>
      </c>
      <c r="V283" s="41">
        <v>44658.131944444445</v>
      </c>
      <c r="W283" s="41">
        <v>44658.625</v>
      </c>
      <c r="X283" s="40" t="s">
        <v>293</v>
      </c>
      <c r="Y283" s="41">
        <v>44660.920138888891</v>
      </c>
      <c r="Z283" s="41">
        <v>44660.791666666664</v>
      </c>
      <c r="AA283" s="41">
        <v>44657.5</v>
      </c>
      <c r="AB283" s="41">
        <v>44662.75</v>
      </c>
      <c r="AC283" s="40" t="s">
        <v>418</v>
      </c>
      <c r="AD283" s="40" t="s">
        <v>1175</v>
      </c>
      <c r="AE283" s="40"/>
      <c r="AF283" s="40">
        <v>1229</v>
      </c>
      <c r="AG283" s="40"/>
      <c r="AH283" s="40" t="s">
        <v>295</v>
      </c>
      <c r="AI283" s="41"/>
      <c r="AJ283" s="40"/>
      <c r="AK283" s="43"/>
      <c r="AL283" s="40"/>
      <c r="AM283" s="43">
        <v>0</v>
      </c>
      <c r="AN283" s="43">
        <v>2500</v>
      </c>
      <c r="AO283" s="43">
        <v>1000</v>
      </c>
      <c r="AP283" s="43"/>
      <c r="AQ283" s="43">
        <v>3900</v>
      </c>
      <c r="AR283" s="43">
        <v>33.65</v>
      </c>
      <c r="AS283" s="43">
        <v>400</v>
      </c>
      <c r="AT283" s="43">
        <v>500</v>
      </c>
      <c r="AU283" s="43"/>
      <c r="AV283" s="43"/>
      <c r="AW283" s="43"/>
      <c r="AX283" s="43">
        <v>0</v>
      </c>
      <c r="AY283" s="43">
        <v>0</v>
      </c>
      <c r="AZ283" s="43">
        <v>0</v>
      </c>
      <c r="BA283" s="43">
        <v>0</v>
      </c>
      <c r="BB283" s="43">
        <v>0</v>
      </c>
      <c r="BC283" s="43">
        <v>0</v>
      </c>
      <c r="BD283" s="43">
        <v>0</v>
      </c>
      <c r="BE283" s="43">
        <v>0</v>
      </c>
      <c r="BF283" s="43">
        <v>0</v>
      </c>
      <c r="BG283" s="43">
        <v>0</v>
      </c>
      <c r="BH283" s="43">
        <v>500</v>
      </c>
      <c r="BI283" s="40" t="s">
        <v>1121</v>
      </c>
      <c r="BJ283" s="40">
        <v>2022</v>
      </c>
      <c r="BK283" s="40" t="s">
        <v>2768</v>
      </c>
      <c r="BL283" s="40" t="s">
        <v>2768</v>
      </c>
      <c r="BM283" s="40" t="s">
        <v>125</v>
      </c>
    </row>
    <row r="284" spans="1:65" x14ac:dyDescent="0.25">
      <c r="A284" s="40" t="s">
        <v>2771</v>
      </c>
      <c r="B284" s="41">
        <v>44662.291666666664</v>
      </c>
      <c r="C284" s="40" t="s">
        <v>1176</v>
      </c>
      <c r="D284" s="40" t="s">
        <v>1177</v>
      </c>
      <c r="E284" s="40"/>
      <c r="F284" s="40" t="s">
        <v>1178</v>
      </c>
      <c r="G284" s="40" t="s">
        <v>1179</v>
      </c>
      <c r="H284" s="40" t="s">
        <v>301</v>
      </c>
      <c r="I284" s="40">
        <v>3860</v>
      </c>
      <c r="J284" s="40" t="s">
        <v>1180</v>
      </c>
      <c r="K284" s="40">
        <v>26234</v>
      </c>
      <c r="L284" s="40">
        <v>30094</v>
      </c>
      <c r="M284" s="40">
        <v>30042</v>
      </c>
      <c r="N284" s="40" t="s">
        <v>1181</v>
      </c>
      <c r="O284" s="40" t="s">
        <v>68</v>
      </c>
      <c r="P284" s="40" t="s">
        <v>36</v>
      </c>
      <c r="Q284" s="40" t="s">
        <v>203</v>
      </c>
      <c r="R284" s="42" t="s">
        <v>204</v>
      </c>
      <c r="S284" s="42" t="s">
        <v>205</v>
      </c>
      <c r="T284" s="40" t="s">
        <v>293</v>
      </c>
      <c r="U284" s="41">
        <v>44657.857638888891</v>
      </c>
      <c r="V284" s="41">
        <v>44662.25</v>
      </c>
      <c r="W284" s="41">
        <v>44662.534722222219</v>
      </c>
      <c r="X284" s="40" t="s">
        <v>293</v>
      </c>
      <c r="Y284" s="41">
        <v>44662.84652777778</v>
      </c>
      <c r="Z284" s="41"/>
      <c r="AA284" s="41">
        <v>44658.5</v>
      </c>
      <c r="AB284" s="41">
        <v>44663.75</v>
      </c>
      <c r="AC284" s="40" t="s">
        <v>777</v>
      </c>
      <c r="AD284" s="40">
        <v>12372</v>
      </c>
      <c r="AE284" s="40">
        <v>5773</v>
      </c>
      <c r="AF284" s="40"/>
      <c r="AG284" s="40"/>
      <c r="AH284" s="40" t="s">
        <v>295</v>
      </c>
      <c r="AI284" s="41"/>
      <c r="AJ284" s="40"/>
      <c r="AK284" s="43"/>
      <c r="AL284" s="40"/>
      <c r="AM284" s="43">
        <v>0</v>
      </c>
      <c r="AN284" s="43"/>
      <c r="AO284" s="43"/>
      <c r="AP284" s="43"/>
      <c r="AQ284" s="43">
        <v>0</v>
      </c>
      <c r="AR284" s="43">
        <v>0</v>
      </c>
      <c r="AS284" s="43"/>
      <c r="AT284" s="43">
        <v>0</v>
      </c>
      <c r="AU284" s="43"/>
      <c r="AV284" s="43"/>
      <c r="AW284" s="43"/>
      <c r="AX284" s="43">
        <v>0</v>
      </c>
      <c r="AY284" s="43">
        <v>0</v>
      </c>
      <c r="AZ284" s="43">
        <v>0</v>
      </c>
      <c r="BA284" s="43">
        <v>0</v>
      </c>
      <c r="BB284" s="43">
        <v>0</v>
      </c>
      <c r="BC284" s="43">
        <v>0</v>
      </c>
      <c r="BD284" s="43">
        <v>0</v>
      </c>
      <c r="BE284" s="43">
        <v>0</v>
      </c>
      <c r="BF284" s="43">
        <v>0</v>
      </c>
      <c r="BG284" s="43">
        <v>0</v>
      </c>
      <c r="BH284" s="43">
        <v>0</v>
      </c>
      <c r="BI284" s="40" t="s">
        <v>1121</v>
      </c>
      <c r="BJ284" s="40">
        <v>2022</v>
      </c>
      <c r="BK284" s="40" t="s">
        <v>2768</v>
      </c>
      <c r="BL284" s="40"/>
      <c r="BM284" s="40" t="s">
        <v>125</v>
      </c>
    </row>
    <row r="285" spans="1:65" x14ac:dyDescent="0.25">
      <c r="A285" s="36" t="s">
        <v>836</v>
      </c>
      <c r="B285" s="37">
        <v>44669.333333333336</v>
      </c>
      <c r="C285" s="36" t="s">
        <v>297</v>
      </c>
      <c r="D285" s="36" t="s">
        <v>298</v>
      </c>
      <c r="E285" s="36" t="s">
        <v>1182</v>
      </c>
      <c r="F285" s="36">
        <v>64804082</v>
      </c>
      <c r="G285" s="36"/>
      <c r="H285" s="36" t="s">
        <v>301</v>
      </c>
      <c r="I285" s="36"/>
      <c r="J285" s="36"/>
      <c r="K285" s="36"/>
      <c r="L285" s="36">
        <v>0</v>
      </c>
      <c r="M285" s="36"/>
      <c r="N285" s="36" t="s">
        <v>1183</v>
      </c>
      <c r="O285" s="36"/>
      <c r="P285" s="36"/>
      <c r="Q285" s="36"/>
      <c r="R285" s="38"/>
      <c r="S285" s="38"/>
      <c r="T285" s="36"/>
      <c r="U285" s="37"/>
      <c r="V285" s="37"/>
      <c r="W285" s="37"/>
      <c r="X285" s="36" t="s">
        <v>293</v>
      </c>
      <c r="Y285" s="37"/>
      <c r="Z285" s="37"/>
      <c r="AA285" s="37">
        <v>44669.75</v>
      </c>
      <c r="AB285" s="37">
        <v>44671.375</v>
      </c>
      <c r="AC285" s="36" t="s">
        <v>308</v>
      </c>
      <c r="AD285" s="36"/>
      <c r="AE285" s="36"/>
      <c r="AF285" s="36"/>
      <c r="AG285" s="36"/>
      <c r="AH285" s="36"/>
      <c r="AI285" s="37"/>
      <c r="AJ285" s="36"/>
      <c r="AK285" s="39"/>
      <c r="AL285" s="36"/>
      <c r="AM285" s="39">
        <v>0</v>
      </c>
      <c r="AN285" s="39"/>
      <c r="AO285" s="39"/>
      <c r="AP285" s="39"/>
      <c r="AQ285" s="39">
        <v>0</v>
      </c>
      <c r="AR285" s="39">
        <v>0</v>
      </c>
      <c r="AS285" s="39"/>
      <c r="AT285" s="39">
        <v>0</v>
      </c>
      <c r="AU285" s="39"/>
      <c r="AV285" s="39"/>
      <c r="AW285" s="39"/>
      <c r="AX285" s="39">
        <v>0</v>
      </c>
      <c r="AY285" s="39">
        <v>0</v>
      </c>
      <c r="AZ285" s="39">
        <v>0</v>
      </c>
      <c r="BA285" s="39">
        <v>0</v>
      </c>
      <c r="BB285" s="39">
        <v>0</v>
      </c>
      <c r="BC285" s="39">
        <v>0</v>
      </c>
      <c r="BD285" s="39">
        <v>0</v>
      </c>
      <c r="BE285" s="39">
        <v>0</v>
      </c>
      <c r="BF285" s="39">
        <v>0</v>
      </c>
      <c r="BG285" s="39">
        <v>0</v>
      </c>
      <c r="BH285" s="39">
        <v>0</v>
      </c>
      <c r="BI285" s="36" t="s">
        <v>453</v>
      </c>
      <c r="BJ285" s="36">
        <v>1900</v>
      </c>
      <c r="BK285" s="36"/>
      <c r="BL285" s="36"/>
      <c r="BM285" s="36" t="s">
        <v>125</v>
      </c>
    </row>
    <row r="286" spans="1:65" x14ac:dyDescent="0.25">
      <c r="A286" s="36" t="s">
        <v>836</v>
      </c>
      <c r="B286" s="37">
        <v>44669.416666666664</v>
      </c>
      <c r="C286" s="36" t="s">
        <v>297</v>
      </c>
      <c r="D286" s="36" t="s">
        <v>298</v>
      </c>
      <c r="E286" s="36" t="s">
        <v>1182</v>
      </c>
      <c r="F286" s="36">
        <v>64804082</v>
      </c>
      <c r="G286" s="36"/>
      <c r="H286" s="36" t="s">
        <v>301</v>
      </c>
      <c r="I286" s="36"/>
      <c r="J286" s="36"/>
      <c r="K286" s="36"/>
      <c r="L286" s="36">
        <v>0</v>
      </c>
      <c r="M286" s="36"/>
      <c r="N286" s="36" t="s">
        <v>1183</v>
      </c>
      <c r="O286" s="36"/>
      <c r="P286" s="36"/>
      <c r="Q286" s="36"/>
      <c r="R286" s="38"/>
      <c r="S286" s="38"/>
      <c r="T286" s="36"/>
      <c r="U286" s="37"/>
      <c r="V286" s="37"/>
      <c r="W286" s="37"/>
      <c r="X286" s="36" t="s">
        <v>293</v>
      </c>
      <c r="Y286" s="37"/>
      <c r="Z286" s="37"/>
      <c r="AA286" s="37">
        <v>44669.75</v>
      </c>
      <c r="AB286" s="37">
        <v>44671.375</v>
      </c>
      <c r="AC286" s="36" t="s">
        <v>308</v>
      </c>
      <c r="AD286" s="36"/>
      <c r="AE286" s="36"/>
      <c r="AF286" s="36"/>
      <c r="AG286" s="36"/>
      <c r="AH286" s="36"/>
      <c r="AI286" s="37"/>
      <c r="AJ286" s="36"/>
      <c r="AK286" s="39"/>
      <c r="AL286" s="36"/>
      <c r="AM286" s="39">
        <v>0</v>
      </c>
      <c r="AN286" s="39"/>
      <c r="AO286" s="39"/>
      <c r="AP286" s="39"/>
      <c r="AQ286" s="39">
        <v>0</v>
      </c>
      <c r="AR286" s="39">
        <v>0</v>
      </c>
      <c r="AS286" s="39"/>
      <c r="AT286" s="39">
        <v>0</v>
      </c>
      <c r="AU286" s="39"/>
      <c r="AV286" s="39"/>
      <c r="AW286" s="39"/>
      <c r="AX286" s="39">
        <v>0</v>
      </c>
      <c r="AY286" s="39">
        <v>0</v>
      </c>
      <c r="AZ286" s="39">
        <v>0</v>
      </c>
      <c r="BA286" s="39">
        <v>0</v>
      </c>
      <c r="BB286" s="39">
        <v>0</v>
      </c>
      <c r="BC286" s="39">
        <v>0</v>
      </c>
      <c r="BD286" s="39">
        <v>0</v>
      </c>
      <c r="BE286" s="39">
        <v>0</v>
      </c>
      <c r="BF286" s="39">
        <v>0</v>
      </c>
      <c r="BG286" s="39">
        <v>0</v>
      </c>
      <c r="BH286" s="39">
        <v>0</v>
      </c>
      <c r="BI286" s="36" t="s">
        <v>453</v>
      </c>
      <c r="BJ286" s="36">
        <v>1900</v>
      </c>
      <c r="BK286" s="36"/>
      <c r="BL286" s="36"/>
      <c r="BM286" s="36" t="s">
        <v>125</v>
      </c>
    </row>
    <row r="287" spans="1:65" x14ac:dyDescent="0.25">
      <c r="A287" s="36" t="s">
        <v>836</v>
      </c>
      <c r="B287" s="37">
        <v>44669.541666666664</v>
      </c>
      <c r="C287" s="36" t="s">
        <v>297</v>
      </c>
      <c r="D287" s="36" t="s">
        <v>298</v>
      </c>
      <c r="E287" s="36" t="s">
        <v>1182</v>
      </c>
      <c r="F287" s="36">
        <v>64804082</v>
      </c>
      <c r="G287" s="36"/>
      <c r="H287" s="36" t="s">
        <v>301</v>
      </c>
      <c r="I287" s="36"/>
      <c r="J287" s="36"/>
      <c r="K287" s="36"/>
      <c r="L287" s="36">
        <v>0</v>
      </c>
      <c r="M287" s="36"/>
      <c r="N287" s="36" t="s">
        <v>1183</v>
      </c>
      <c r="O287" s="36"/>
      <c r="P287" s="36"/>
      <c r="Q287" s="36"/>
      <c r="R287" s="38"/>
      <c r="S287" s="38"/>
      <c r="T287" s="36"/>
      <c r="U287" s="37"/>
      <c r="V287" s="37"/>
      <c r="W287" s="37"/>
      <c r="X287" s="36" t="s">
        <v>293</v>
      </c>
      <c r="Y287" s="37"/>
      <c r="Z287" s="37"/>
      <c r="AA287" s="37">
        <v>44669.75</v>
      </c>
      <c r="AB287" s="37">
        <v>44671.375</v>
      </c>
      <c r="AC287" s="36" t="s">
        <v>308</v>
      </c>
      <c r="AD287" s="36"/>
      <c r="AE287" s="36"/>
      <c r="AF287" s="36"/>
      <c r="AG287" s="36"/>
      <c r="AH287" s="36"/>
      <c r="AI287" s="37"/>
      <c r="AJ287" s="36"/>
      <c r="AK287" s="39"/>
      <c r="AL287" s="36"/>
      <c r="AM287" s="39">
        <v>0</v>
      </c>
      <c r="AN287" s="39"/>
      <c r="AO287" s="39"/>
      <c r="AP287" s="39"/>
      <c r="AQ287" s="39">
        <v>0</v>
      </c>
      <c r="AR287" s="39">
        <v>0</v>
      </c>
      <c r="AS287" s="39"/>
      <c r="AT287" s="39">
        <v>0</v>
      </c>
      <c r="AU287" s="39"/>
      <c r="AV287" s="39"/>
      <c r="AW287" s="39"/>
      <c r="AX287" s="39">
        <v>0</v>
      </c>
      <c r="AY287" s="39">
        <v>0</v>
      </c>
      <c r="AZ287" s="39">
        <v>0</v>
      </c>
      <c r="BA287" s="39">
        <v>0</v>
      </c>
      <c r="BB287" s="39">
        <v>0</v>
      </c>
      <c r="BC287" s="39">
        <v>0</v>
      </c>
      <c r="BD287" s="39">
        <v>0</v>
      </c>
      <c r="BE287" s="39">
        <v>0</v>
      </c>
      <c r="BF287" s="39">
        <v>0</v>
      </c>
      <c r="BG287" s="39">
        <v>0</v>
      </c>
      <c r="BH287" s="39">
        <v>0</v>
      </c>
      <c r="BI287" s="36" t="s">
        <v>453</v>
      </c>
      <c r="BJ287" s="36">
        <v>1900</v>
      </c>
      <c r="BK287" s="36"/>
      <c r="BL287" s="36"/>
      <c r="BM287" s="36" t="s">
        <v>125</v>
      </c>
    </row>
    <row r="288" spans="1:65" x14ac:dyDescent="0.25">
      <c r="A288" s="36" t="s">
        <v>836</v>
      </c>
      <c r="B288" s="37">
        <v>44669.333333333336</v>
      </c>
      <c r="C288" s="36" t="s">
        <v>297</v>
      </c>
      <c r="D288" s="36" t="s">
        <v>298</v>
      </c>
      <c r="E288" s="36" t="s">
        <v>1182</v>
      </c>
      <c r="F288" s="36">
        <v>64804082</v>
      </c>
      <c r="G288" s="36"/>
      <c r="H288" s="36" t="s">
        <v>301</v>
      </c>
      <c r="I288" s="36"/>
      <c r="J288" s="36"/>
      <c r="K288" s="36"/>
      <c r="L288" s="36">
        <v>0</v>
      </c>
      <c r="M288" s="36"/>
      <c r="N288" s="36" t="s">
        <v>1183</v>
      </c>
      <c r="O288" s="36"/>
      <c r="P288" s="36"/>
      <c r="Q288" s="36"/>
      <c r="R288" s="38"/>
      <c r="S288" s="38"/>
      <c r="T288" s="36"/>
      <c r="U288" s="37"/>
      <c r="V288" s="37"/>
      <c r="W288" s="37"/>
      <c r="X288" s="36" t="s">
        <v>293</v>
      </c>
      <c r="Y288" s="37"/>
      <c r="Z288" s="37"/>
      <c r="AA288" s="37">
        <v>44669.75</v>
      </c>
      <c r="AB288" s="37">
        <v>44671.375</v>
      </c>
      <c r="AC288" s="36" t="s">
        <v>308</v>
      </c>
      <c r="AD288" s="36"/>
      <c r="AE288" s="36"/>
      <c r="AF288" s="36"/>
      <c r="AG288" s="36"/>
      <c r="AH288" s="36"/>
      <c r="AI288" s="37"/>
      <c r="AJ288" s="36"/>
      <c r="AK288" s="39"/>
      <c r="AL288" s="36"/>
      <c r="AM288" s="39">
        <v>0</v>
      </c>
      <c r="AN288" s="39"/>
      <c r="AO288" s="39"/>
      <c r="AP288" s="39"/>
      <c r="AQ288" s="39">
        <v>0</v>
      </c>
      <c r="AR288" s="39">
        <v>0</v>
      </c>
      <c r="AS288" s="39"/>
      <c r="AT288" s="39">
        <v>0</v>
      </c>
      <c r="AU288" s="39"/>
      <c r="AV288" s="39"/>
      <c r="AW288" s="39"/>
      <c r="AX288" s="39">
        <v>0</v>
      </c>
      <c r="AY288" s="39">
        <v>0</v>
      </c>
      <c r="AZ288" s="39">
        <v>0</v>
      </c>
      <c r="BA288" s="39">
        <v>0</v>
      </c>
      <c r="BB288" s="39">
        <v>0</v>
      </c>
      <c r="BC288" s="39">
        <v>0</v>
      </c>
      <c r="BD288" s="39">
        <v>0</v>
      </c>
      <c r="BE288" s="39">
        <v>0</v>
      </c>
      <c r="BF288" s="39">
        <v>0</v>
      </c>
      <c r="BG288" s="39">
        <v>0</v>
      </c>
      <c r="BH288" s="39">
        <v>0</v>
      </c>
      <c r="BI288" s="36" t="s">
        <v>453</v>
      </c>
      <c r="BJ288" s="36">
        <v>1900</v>
      </c>
      <c r="BK288" s="36"/>
      <c r="BL288" s="36"/>
      <c r="BM288" s="36" t="s">
        <v>125</v>
      </c>
    </row>
    <row r="289" spans="1:65" x14ac:dyDescent="0.25">
      <c r="A289" s="36" t="s">
        <v>836</v>
      </c>
      <c r="B289" s="37">
        <v>44669.416666666664</v>
      </c>
      <c r="C289" s="36" t="s">
        <v>297</v>
      </c>
      <c r="D289" s="36" t="s">
        <v>298</v>
      </c>
      <c r="E289" s="36" t="s">
        <v>1182</v>
      </c>
      <c r="F289" s="36">
        <v>64804082</v>
      </c>
      <c r="G289" s="36"/>
      <c r="H289" s="36" t="s">
        <v>301</v>
      </c>
      <c r="I289" s="36"/>
      <c r="J289" s="36"/>
      <c r="K289" s="36"/>
      <c r="L289" s="36">
        <v>0</v>
      </c>
      <c r="M289" s="36"/>
      <c r="N289" s="36" t="s">
        <v>1183</v>
      </c>
      <c r="O289" s="36"/>
      <c r="P289" s="36"/>
      <c r="Q289" s="36"/>
      <c r="R289" s="38"/>
      <c r="S289" s="38"/>
      <c r="T289" s="36"/>
      <c r="U289" s="37"/>
      <c r="V289" s="37"/>
      <c r="W289" s="37"/>
      <c r="X289" s="36" t="s">
        <v>293</v>
      </c>
      <c r="Y289" s="37"/>
      <c r="Z289" s="37"/>
      <c r="AA289" s="37">
        <v>44669.75</v>
      </c>
      <c r="AB289" s="37">
        <v>44671.375</v>
      </c>
      <c r="AC289" s="36" t="s">
        <v>308</v>
      </c>
      <c r="AD289" s="36"/>
      <c r="AE289" s="36"/>
      <c r="AF289" s="36"/>
      <c r="AG289" s="36"/>
      <c r="AH289" s="36"/>
      <c r="AI289" s="37"/>
      <c r="AJ289" s="36"/>
      <c r="AK289" s="39"/>
      <c r="AL289" s="36"/>
      <c r="AM289" s="39">
        <v>0</v>
      </c>
      <c r="AN289" s="39"/>
      <c r="AO289" s="39"/>
      <c r="AP289" s="39"/>
      <c r="AQ289" s="39">
        <v>0</v>
      </c>
      <c r="AR289" s="39">
        <v>0</v>
      </c>
      <c r="AS289" s="39"/>
      <c r="AT289" s="39">
        <v>0</v>
      </c>
      <c r="AU289" s="39"/>
      <c r="AV289" s="39"/>
      <c r="AW289" s="39"/>
      <c r="AX289" s="39">
        <v>0</v>
      </c>
      <c r="AY289" s="39">
        <v>0</v>
      </c>
      <c r="AZ289" s="39">
        <v>0</v>
      </c>
      <c r="BA289" s="39">
        <v>0</v>
      </c>
      <c r="BB289" s="39">
        <v>0</v>
      </c>
      <c r="BC289" s="39">
        <v>0</v>
      </c>
      <c r="BD289" s="39">
        <v>0</v>
      </c>
      <c r="BE289" s="39">
        <v>0</v>
      </c>
      <c r="BF289" s="39">
        <v>0</v>
      </c>
      <c r="BG289" s="39">
        <v>0</v>
      </c>
      <c r="BH289" s="39">
        <v>0</v>
      </c>
      <c r="BI289" s="36" t="s">
        <v>453</v>
      </c>
      <c r="BJ289" s="36">
        <v>1900</v>
      </c>
      <c r="BK289" s="36"/>
      <c r="BL289" s="36"/>
      <c r="BM289" s="36" t="s">
        <v>125</v>
      </c>
    </row>
    <row r="290" spans="1:65" x14ac:dyDescent="0.25">
      <c r="A290" s="36" t="s">
        <v>836</v>
      </c>
      <c r="B290" s="37">
        <v>44669.541666666664</v>
      </c>
      <c r="C290" s="36" t="s">
        <v>297</v>
      </c>
      <c r="D290" s="36" t="s">
        <v>298</v>
      </c>
      <c r="E290" s="36" t="s">
        <v>1182</v>
      </c>
      <c r="F290" s="36">
        <v>64804082</v>
      </c>
      <c r="G290" s="36"/>
      <c r="H290" s="36" t="s">
        <v>301</v>
      </c>
      <c r="I290" s="36"/>
      <c r="J290" s="36"/>
      <c r="K290" s="36"/>
      <c r="L290" s="36">
        <v>0</v>
      </c>
      <c r="M290" s="36"/>
      <c r="N290" s="36" t="s">
        <v>1183</v>
      </c>
      <c r="O290" s="36"/>
      <c r="P290" s="36"/>
      <c r="Q290" s="36"/>
      <c r="R290" s="38"/>
      <c r="S290" s="38"/>
      <c r="T290" s="36"/>
      <c r="U290" s="37"/>
      <c r="V290" s="37"/>
      <c r="W290" s="37"/>
      <c r="X290" s="36" t="s">
        <v>293</v>
      </c>
      <c r="Y290" s="37"/>
      <c r="Z290" s="37"/>
      <c r="AA290" s="37">
        <v>44669.75</v>
      </c>
      <c r="AB290" s="37">
        <v>44671.375</v>
      </c>
      <c r="AC290" s="36" t="s">
        <v>308</v>
      </c>
      <c r="AD290" s="36"/>
      <c r="AE290" s="36"/>
      <c r="AF290" s="36"/>
      <c r="AG290" s="36"/>
      <c r="AH290" s="36"/>
      <c r="AI290" s="37"/>
      <c r="AJ290" s="36"/>
      <c r="AK290" s="39"/>
      <c r="AL290" s="36"/>
      <c r="AM290" s="39">
        <v>0</v>
      </c>
      <c r="AN290" s="39"/>
      <c r="AO290" s="39"/>
      <c r="AP290" s="39"/>
      <c r="AQ290" s="39">
        <v>0</v>
      </c>
      <c r="AR290" s="39">
        <v>0</v>
      </c>
      <c r="AS290" s="39"/>
      <c r="AT290" s="39">
        <v>0</v>
      </c>
      <c r="AU290" s="39"/>
      <c r="AV290" s="39"/>
      <c r="AW290" s="39"/>
      <c r="AX290" s="39">
        <v>0</v>
      </c>
      <c r="AY290" s="39">
        <v>0</v>
      </c>
      <c r="AZ290" s="39">
        <v>0</v>
      </c>
      <c r="BA290" s="39">
        <v>0</v>
      </c>
      <c r="BB290" s="39">
        <v>0</v>
      </c>
      <c r="BC290" s="39">
        <v>0</v>
      </c>
      <c r="BD290" s="39">
        <v>0</v>
      </c>
      <c r="BE290" s="39">
        <v>0</v>
      </c>
      <c r="BF290" s="39">
        <v>0</v>
      </c>
      <c r="BG290" s="39">
        <v>0</v>
      </c>
      <c r="BH290" s="39">
        <v>0</v>
      </c>
      <c r="BI290" s="36" t="s">
        <v>453</v>
      </c>
      <c r="BJ290" s="36">
        <v>1900</v>
      </c>
      <c r="BK290" s="36"/>
      <c r="BL290" s="36"/>
      <c r="BM290" s="36" t="s">
        <v>125</v>
      </c>
    </row>
    <row r="291" spans="1:65" x14ac:dyDescent="0.25">
      <c r="A291" s="40" t="s">
        <v>2771</v>
      </c>
      <c r="B291" s="41">
        <v>44669.333333333336</v>
      </c>
      <c r="C291" s="40" t="s">
        <v>297</v>
      </c>
      <c r="D291" s="40" t="s">
        <v>298</v>
      </c>
      <c r="E291" s="40" t="s">
        <v>1184</v>
      </c>
      <c r="F291" s="40">
        <v>6330213510</v>
      </c>
      <c r="G291" s="40" t="s">
        <v>1185</v>
      </c>
      <c r="H291" s="40" t="s">
        <v>301</v>
      </c>
      <c r="I291" s="40">
        <v>3700</v>
      </c>
      <c r="J291" s="40">
        <v>453869</v>
      </c>
      <c r="K291" s="40"/>
      <c r="L291" s="40">
        <v>3700</v>
      </c>
      <c r="M291" s="40"/>
      <c r="N291" s="40" t="s">
        <v>1186</v>
      </c>
      <c r="O291" s="40" t="s">
        <v>68</v>
      </c>
      <c r="P291" s="40" t="s">
        <v>36</v>
      </c>
      <c r="Q291" s="40" t="s">
        <v>203</v>
      </c>
      <c r="R291" s="42" t="s">
        <v>204</v>
      </c>
      <c r="S291" s="42" t="s">
        <v>205</v>
      </c>
      <c r="T291" s="40" t="s">
        <v>537</v>
      </c>
      <c r="U291" s="41">
        <v>44667.458333333336</v>
      </c>
      <c r="V291" s="41">
        <v>44669.020833333336</v>
      </c>
      <c r="W291" s="41">
        <v>44669.583333333336</v>
      </c>
      <c r="X291" s="40" t="s">
        <v>293</v>
      </c>
      <c r="Y291" s="41">
        <v>44685.011111111111</v>
      </c>
      <c r="Z291" s="41">
        <v>44684.291666666664</v>
      </c>
      <c r="AA291" s="41">
        <v>44662.75</v>
      </c>
      <c r="AB291" s="41" t="s">
        <v>1187</v>
      </c>
      <c r="AC291" s="40" t="s">
        <v>616</v>
      </c>
      <c r="AD291" s="40">
        <v>12401</v>
      </c>
      <c r="AE291" s="40"/>
      <c r="AF291" s="40">
        <v>1291</v>
      </c>
      <c r="AG291" s="40"/>
      <c r="AH291" s="40" t="s">
        <v>393</v>
      </c>
      <c r="AI291" s="41">
        <v>44669.855555555558</v>
      </c>
      <c r="AJ291" s="40">
        <v>2</v>
      </c>
      <c r="AK291" s="43">
        <v>950</v>
      </c>
      <c r="AL291" s="40"/>
      <c r="AM291" s="43">
        <v>0</v>
      </c>
      <c r="AN291" s="43"/>
      <c r="AO291" s="43"/>
      <c r="AP291" s="43"/>
      <c r="AQ291" s="43">
        <v>0</v>
      </c>
      <c r="AR291" s="43">
        <v>0</v>
      </c>
      <c r="AS291" s="43"/>
      <c r="AT291" s="43">
        <v>0</v>
      </c>
      <c r="AU291" s="43"/>
      <c r="AV291" s="43"/>
      <c r="AW291" s="43"/>
      <c r="AX291" s="43">
        <v>0</v>
      </c>
      <c r="AY291" s="43">
        <v>0</v>
      </c>
      <c r="AZ291" s="43">
        <v>0</v>
      </c>
      <c r="BA291" s="43">
        <v>0</v>
      </c>
      <c r="BB291" s="43">
        <v>0</v>
      </c>
      <c r="BC291" s="43">
        <v>0</v>
      </c>
      <c r="BD291" s="43">
        <v>0</v>
      </c>
      <c r="BE291" s="43">
        <v>0</v>
      </c>
      <c r="BF291" s="43">
        <v>0</v>
      </c>
      <c r="BG291" s="43">
        <v>0</v>
      </c>
      <c r="BH291" s="43">
        <v>0</v>
      </c>
      <c r="BI291" s="40" t="s">
        <v>1121</v>
      </c>
      <c r="BJ291" s="40">
        <v>2022</v>
      </c>
      <c r="BK291" s="40" t="s">
        <v>2768</v>
      </c>
      <c r="BL291" s="40" t="s">
        <v>2768</v>
      </c>
      <c r="BM291" s="40" t="s">
        <v>125</v>
      </c>
    </row>
    <row r="292" spans="1:65" x14ac:dyDescent="0.25">
      <c r="A292" s="40" t="s">
        <v>2771</v>
      </c>
      <c r="B292" s="41">
        <v>44669.333333333336</v>
      </c>
      <c r="C292" s="40" t="s">
        <v>1188</v>
      </c>
      <c r="D292" s="40" t="s">
        <v>1189</v>
      </c>
      <c r="E292" s="40">
        <v>125117</v>
      </c>
      <c r="F292" s="40">
        <v>6330213510</v>
      </c>
      <c r="G292" s="40" t="s">
        <v>1185</v>
      </c>
      <c r="H292" s="40" t="s">
        <v>301</v>
      </c>
      <c r="I292" s="40">
        <v>3700</v>
      </c>
      <c r="J292" s="40">
        <v>453869</v>
      </c>
      <c r="K292" s="40">
        <v>1131</v>
      </c>
      <c r="L292" s="40">
        <v>4831</v>
      </c>
      <c r="M292" s="40">
        <v>524918</v>
      </c>
      <c r="N292" s="40" t="s">
        <v>1186</v>
      </c>
      <c r="O292" s="40" t="s">
        <v>68</v>
      </c>
      <c r="P292" s="40" t="s">
        <v>36</v>
      </c>
      <c r="Q292" s="40" t="s">
        <v>203</v>
      </c>
      <c r="R292" s="42" t="s">
        <v>204</v>
      </c>
      <c r="S292" s="42" t="s">
        <v>205</v>
      </c>
      <c r="T292" s="40" t="s">
        <v>537</v>
      </c>
      <c r="U292" s="41">
        <v>44667.458333333336</v>
      </c>
      <c r="V292" s="41">
        <v>44669.673611111109</v>
      </c>
      <c r="W292" s="41">
        <v>44669.75</v>
      </c>
      <c r="X292" s="40" t="s">
        <v>293</v>
      </c>
      <c r="Y292" s="41">
        <v>44685.011111111111</v>
      </c>
      <c r="Z292" s="41">
        <v>44684.291666666664</v>
      </c>
      <c r="AA292" s="41">
        <v>44662.75</v>
      </c>
      <c r="AB292" s="41" t="s">
        <v>1187</v>
      </c>
      <c r="AC292" s="40" t="s">
        <v>616</v>
      </c>
      <c r="AD292" s="40">
        <v>12403</v>
      </c>
      <c r="AE292" s="40"/>
      <c r="AF292" s="40">
        <v>1294</v>
      </c>
      <c r="AG292" s="40"/>
      <c r="AH292" s="40" t="s">
        <v>393</v>
      </c>
      <c r="AI292" s="41">
        <v>44669.855555555558</v>
      </c>
      <c r="AJ292" s="40">
        <v>2</v>
      </c>
      <c r="AK292" s="43">
        <v>950</v>
      </c>
      <c r="AL292" s="40"/>
      <c r="AM292" s="43">
        <v>0</v>
      </c>
      <c r="AN292" s="43"/>
      <c r="AO292" s="43"/>
      <c r="AP292" s="43"/>
      <c r="AQ292" s="43">
        <v>0</v>
      </c>
      <c r="AR292" s="43">
        <v>0</v>
      </c>
      <c r="AS292" s="43"/>
      <c r="AT292" s="43">
        <v>0</v>
      </c>
      <c r="AU292" s="43"/>
      <c r="AV292" s="43"/>
      <c r="AW292" s="43"/>
      <c r="AX292" s="43">
        <v>0</v>
      </c>
      <c r="AY292" s="43">
        <v>0</v>
      </c>
      <c r="AZ292" s="43">
        <v>0</v>
      </c>
      <c r="BA292" s="43">
        <v>0</v>
      </c>
      <c r="BB292" s="43">
        <v>0</v>
      </c>
      <c r="BC292" s="43">
        <v>0</v>
      </c>
      <c r="BD292" s="43">
        <v>0</v>
      </c>
      <c r="BE292" s="43">
        <v>0</v>
      </c>
      <c r="BF292" s="43">
        <v>0</v>
      </c>
      <c r="BG292" s="43">
        <v>0</v>
      </c>
      <c r="BH292" s="43">
        <v>0</v>
      </c>
      <c r="BI292" s="40" t="s">
        <v>1121</v>
      </c>
      <c r="BJ292" s="40">
        <v>2022</v>
      </c>
      <c r="BK292" s="40" t="s">
        <v>2768</v>
      </c>
      <c r="BL292" s="40" t="s">
        <v>2768</v>
      </c>
      <c r="BM292" s="40" t="s">
        <v>125</v>
      </c>
    </row>
    <row r="293" spans="1:65" x14ac:dyDescent="0.25">
      <c r="A293" s="40" t="s">
        <v>2771</v>
      </c>
      <c r="B293" s="41">
        <v>44671.333333333336</v>
      </c>
      <c r="C293" s="40" t="s">
        <v>297</v>
      </c>
      <c r="D293" s="40" t="s">
        <v>298</v>
      </c>
      <c r="E293" s="40" t="s">
        <v>1190</v>
      </c>
      <c r="F293" s="40" t="s">
        <v>1191</v>
      </c>
      <c r="G293" s="40" t="s">
        <v>1192</v>
      </c>
      <c r="H293" s="40" t="s">
        <v>301</v>
      </c>
      <c r="I293" s="40">
        <v>3700</v>
      </c>
      <c r="J293" s="40" t="s">
        <v>1193</v>
      </c>
      <c r="K293" s="40"/>
      <c r="L293" s="40">
        <v>3700</v>
      </c>
      <c r="M293" s="40">
        <v>729194</v>
      </c>
      <c r="N293" s="40" t="s">
        <v>1194</v>
      </c>
      <c r="O293" s="40" t="s">
        <v>82</v>
      </c>
      <c r="P293" s="40" t="s">
        <v>83</v>
      </c>
      <c r="Q293" s="40" t="s">
        <v>84</v>
      </c>
      <c r="R293" s="42" t="s">
        <v>85</v>
      </c>
      <c r="S293" s="42" t="s">
        <v>86</v>
      </c>
      <c r="T293" s="40" t="s">
        <v>293</v>
      </c>
      <c r="U293" s="41">
        <v>44670.541666666664</v>
      </c>
      <c r="V293" s="41">
        <v>44671.291666666664</v>
      </c>
      <c r="W293" s="41">
        <v>44671.947916666664</v>
      </c>
      <c r="X293" s="40" t="s">
        <v>293</v>
      </c>
      <c r="Y293" s="41">
        <v>44676.865972222222</v>
      </c>
      <c r="Z293" s="41">
        <v>44674.5</v>
      </c>
      <c r="AA293" s="41">
        <v>44672.5</v>
      </c>
      <c r="AB293" s="41">
        <v>44677.75</v>
      </c>
      <c r="AC293" s="40" t="s">
        <v>1195</v>
      </c>
      <c r="AD293" s="40">
        <v>12419</v>
      </c>
      <c r="AE293" s="40">
        <v>5813</v>
      </c>
      <c r="AF293" s="40">
        <v>1295</v>
      </c>
      <c r="AG293" s="40"/>
      <c r="AH293" s="40" t="s">
        <v>393</v>
      </c>
      <c r="AI293" s="41">
        <v>44672.041666666664</v>
      </c>
      <c r="AJ293" s="40"/>
      <c r="AK293" s="43">
        <v>950</v>
      </c>
      <c r="AL293" s="40"/>
      <c r="AM293" s="43">
        <v>0</v>
      </c>
      <c r="AN293" s="43">
        <v>2800</v>
      </c>
      <c r="AO293" s="43"/>
      <c r="AP293" s="43"/>
      <c r="AQ293" s="43">
        <v>2800</v>
      </c>
      <c r="AR293" s="43">
        <v>45.763999999999996</v>
      </c>
      <c r="AS293" s="43"/>
      <c r="AT293" s="43">
        <v>680</v>
      </c>
      <c r="AU293" s="43"/>
      <c r="AV293" s="43"/>
      <c r="AW293" s="43"/>
      <c r="AX293" s="43">
        <v>0</v>
      </c>
      <c r="AY293" s="43">
        <v>0</v>
      </c>
      <c r="AZ293" s="43">
        <v>0</v>
      </c>
      <c r="BA293" s="43">
        <v>0</v>
      </c>
      <c r="BB293" s="43">
        <v>0</v>
      </c>
      <c r="BC293" s="43">
        <v>0</v>
      </c>
      <c r="BD293" s="43">
        <v>0</v>
      </c>
      <c r="BE293" s="43">
        <v>0</v>
      </c>
      <c r="BF293" s="43">
        <v>0</v>
      </c>
      <c r="BG293" s="43">
        <v>0</v>
      </c>
      <c r="BH293" s="43">
        <v>680</v>
      </c>
      <c r="BI293" s="40" t="s">
        <v>1121</v>
      </c>
      <c r="BJ293" s="40">
        <v>2022</v>
      </c>
      <c r="BK293" s="40" t="s">
        <v>2768</v>
      </c>
      <c r="BL293" s="40" t="s">
        <v>2768</v>
      </c>
      <c r="BM293" s="40" t="s">
        <v>125</v>
      </c>
    </row>
    <row r="294" spans="1:65" x14ac:dyDescent="0.25">
      <c r="A294" s="40" t="s">
        <v>2771</v>
      </c>
      <c r="B294" s="41">
        <v>44673.291666666664</v>
      </c>
      <c r="C294" s="40" t="s">
        <v>353</v>
      </c>
      <c r="D294" s="40" t="s">
        <v>1196</v>
      </c>
      <c r="E294" s="40">
        <v>7503632</v>
      </c>
      <c r="F294" s="40">
        <v>65802263</v>
      </c>
      <c r="G294" s="40" t="s">
        <v>1197</v>
      </c>
      <c r="H294" s="40" t="s">
        <v>301</v>
      </c>
      <c r="I294" s="40">
        <v>3870</v>
      </c>
      <c r="J294" s="40" t="s">
        <v>1198</v>
      </c>
      <c r="K294" s="40">
        <v>24922</v>
      </c>
      <c r="L294" s="40">
        <v>28792</v>
      </c>
      <c r="M294" s="40" t="s">
        <v>1199</v>
      </c>
      <c r="N294" s="40" t="s">
        <v>1200</v>
      </c>
      <c r="O294" s="40" t="s">
        <v>31</v>
      </c>
      <c r="P294" s="40" t="s">
        <v>32</v>
      </c>
      <c r="Q294" s="40" t="s">
        <v>33</v>
      </c>
      <c r="R294" s="42" t="s">
        <v>34</v>
      </c>
      <c r="S294" s="42" t="s">
        <v>35</v>
      </c>
      <c r="T294" s="40" t="s">
        <v>292</v>
      </c>
      <c r="U294" s="41">
        <v>44671.84652777778</v>
      </c>
      <c r="V294" s="41">
        <v>44672.839583333334</v>
      </c>
      <c r="W294" s="41">
        <v>44673.416666666664</v>
      </c>
      <c r="X294" s="40" t="s">
        <v>410</v>
      </c>
      <c r="Y294" s="41">
        <v>44677.115277777775</v>
      </c>
      <c r="Z294" s="41">
        <v>44676.5</v>
      </c>
      <c r="AA294" s="41">
        <v>44673.375</v>
      </c>
      <c r="AB294" s="41">
        <v>44678.5</v>
      </c>
      <c r="AC294" s="40" t="s">
        <v>1201</v>
      </c>
      <c r="AD294" s="40">
        <v>12433</v>
      </c>
      <c r="AE294" s="40">
        <v>5828</v>
      </c>
      <c r="AF294" s="40">
        <v>1421</v>
      </c>
      <c r="AG294" s="40"/>
      <c r="AH294" s="40" t="s">
        <v>393</v>
      </c>
      <c r="AI294" s="41">
        <v>44674.125</v>
      </c>
      <c r="AJ294" s="40"/>
      <c r="AK294" s="43">
        <v>950</v>
      </c>
      <c r="AL294" s="40"/>
      <c r="AM294" s="43">
        <v>0</v>
      </c>
      <c r="AN294" s="43"/>
      <c r="AO294" s="43"/>
      <c r="AP294" s="43"/>
      <c r="AQ294" s="43">
        <v>0</v>
      </c>
      <c r="AR294" s="43">
        <v>0</v>
      </c>
      <c r="AS294" s="43"/>
      <c r="AT294" s="43">
        <v>0</v>
      </c>
      <c r="AU294" s="43"/>
      <c r="AV294" s="43"/>
      <c r="AW294" s="43"/>
      <c r="AX294" s="43">
        <v>0</v>
      </c>
      <c r="AY294" s="43">
        <v>0</v>
      </c>
      <c r="AZ294" s="43">
        <v>0</v>
      </c>
      <c r="BA294" s="43">
        <v>0</v>
      </c>
      <c r="BB294" s="43">
        <v>0</v>
      </c>
      <c r="BC294" s="43">
        <v>0</v>
      </c>
      <c r="BD294" s="43">
        <v>0</v>
      </c>
      <c r="BE294" s="43">
        <v>0</v>
      </c>
      <c r="BF294" s="43">
        <v>0</v>
      </c>
      <c r="BG294" s="43">
        <v>0</v>
      </c>
      <c r="BH294" s="43">
        <v>0</v>
      </c>
      <c r="BI294" s="40" t="s">
        <v>1121</v>
      </c>
      <c r="BJ294" s="40">
        <v>2022</v>
      </c>
      <c r="BK294" s="40" t="s">
        <v>2768</v>
      </c>
      <c r="BL294" s="40" t="s">
        <v>2768</v>
      </c>
      <c r="BM294" s="40" t="s">
        <v>125</v>
      </c>
    </row>
    <row r="295" spans="1:65" x14ac:dyDescent="0.25">
      <c r="A295" s="40" t="s">
        <v>2771</v>
      </c>
      <c r="B295" s="41">
        <v>44673.291666666664</v>
      </c>
      <c r="C295" s="40" t="s">
        <v>353</v>
      </c>
      <c r="D295" s="40" t="s">
        <v>1196</v>
      </c>
      <c r="E295" s="40">
        <v>7503632</v>
      </c>
      <c r="F295" s="40">
        <v>65802263</v>
      </c>
      <c r="G295" s="40" t="s">
        <v>1202</v>
      </c>
      <c r="H295" s="40" t="s">
        <v>301</v>
      </c>
      <c r="I295" s="40">
        <v>3700</v>
      </c>
      <c r="J295" s="40" t="s">
        <v>1203</v>
      </c>
      <c r="K295" s="40">
        <v>24922</v>
      </c>
      <c r="L295" s="40">
        <v>28622</v>
      </c>
      <c r="M295" s="40" t="s">
        <v>1204</v>
      </c>
      <c r="N295" s="40" t="s">
        <v>1200</v>
      </c>
      <c r="O295" s="40" t="s">
        <v>102</v>
      </c>
      <c r="P295" s="40" t="s">
        <v>677</v>
      </c>
      <c r="Q295" s="40" t="s">
        <v>103</v>
      </c>
      <c r="R295" s="42" t="s">
        <v>102</v>
      </c>
      <c r="S295" s="42" t="s">
        <v>102</v>
      </c>
      <c r="T295" s="40" t="s">
        <v>292</v>
      </c>
      <c r="U295" s="41">
        <v>44671.833333333336</v>
      </c>
      <c r="V295" s="41">
        <v>44672.78402777778</v>
      </c>
      <c r="W295" s="41">
        <v>44673.416666666664</v>
      </c>
      <c r="X295" s="40" t="s">
        <v>410</v>
      </c>
      <c r="Y295" s="41">
        <v>44676.921527777777</v>
      </c>
      <c r="Z295" s="41">
        <v>44676.5</v>
      </c>
      <c r="AA295" s="41">
        <v>44673.375</v>
      </c>
      <c r="AB295" s="41">
        <v>44678.5</v>
      </c>
      <c r="AC295" s="40" t="s">
        <v>1201</v>
      </c>
      <c r="AD295" s="40">
        <v>12434</v>
      </c>
      <c r="AE295" s="40">
        <v>5829</v>
      </c>
      <c r="AF295" s="40">
        <v>1422</v>
      </c>
      <c r="AG295" s="40"/>
      <c r="AH295" s="40" t="s">
        <v>393</v>
      </c>
      <c r="AI295" s="41">
        <v>44674.125</v>
      </c>
      <c r="AJ295" s="40"/>
      <c r="AK295" s="43">
        <v>950</v>
      </c>
      <c r="AL295" s="40"/>
      <c r="AM295" s="43">
        <v>0</v>
      </c>
      <c r="AN295" s="43"/>
      <c r="AO295" s="43"/>
      <c r="AP295" s="43"/>
      <c r="AQ295" s="43">
        <v>0</v>
      </c>
      <c r="AR295" s="43">
        <v>0</v>
      </c>
      <c r="AS295" s="43"/>
      <c r="AT295" s="43">
        <v>0</v>
      </c>
      <c r="AU295" s="43"/>
      <c r="AV295" s="43"/>
      <c r="AW295" s="43"/>
      <c r="AX295" s="43">
        <v>0</v>
      </c>
      <c r="AY295" s="43">
        <v>0</v>
      </c>
      <c r="AZ295" s="43">
        <v>0</v>
      </c>
      <c r="BA295" s="43">
        <v>0</v>
      </c>
      <c r="BB295" s="43">
        <v>0</v>
      </c>
      <c r="BC295" s="43">
        <v>0</v>
      </c>
      <c r="BD295" s="43">
        <v>0</v>
      </c>
      <c r="BE295" s="43">
        <v>0</v>
      </c>
      <c r="BF295" s="43">
        <v>0</v>
      </c>
      <c r="BG295" s="43">
        <v>0</v>
      </c>
      <c r="BH295" s="43">
        <v>0</v>
      </c>
      <c r="BI295" s="40" t="s">
        <v>1121</v>
      </c>
      <c r="BJ295" s="40">
        <v>2022</v>
      </c>
      <c r="BK295" s="40" t="s">
        <v>2768</v>
      </c>
      <c r="BL295" s="40" t="s">
        <v>2768</v>
      </c>
      <c r="BM295" s="40" t="s">
        <v>125</v>
      </c>
    </row>
    <row r="296" spans="1:65" x14ac:dyDescent="0.25">
      <c r="A296" s="40" t="s">
        <v>2771</v>
      </c>
      <c r="B296" s="41">
        <v>44673.291666666664</v>
      </c>
      <c r="C296" s="40" t="s">
        <v>353</v>
      </c>
      <c r="D296" s="40" t="s">
        <v>1196</v>
      </c>
      <c r="E296" s="40">
        <v>7503632</v>
      </c>
      <c r="F296" s="40">
        <v>65802263</v>
      </c>
      <c r="G296" s="40" t="s">
        <v>1205</v>
      </c>
      <c r="H296" s="40" t="s">
        <v>301</v>
      </c>
      <c r="I296" s="40">
        <v>3700</v>
      </c>
      <c r="J296" s="40" t="s">
        <v>1206</v>
      </c>
      <c r="K296" s="40">
        <v>24922</v>
      </c>
      <c r="L296" s="40">
        <v>28622</v>
      </c>
      <c r="M296" s="40" t="s">
        <v>1207</v>
      </c>
      <c r="N296" s="40" t="s">
        <v>1200</v>
      </c>
      <c r="O296" s="40" t="s">
        <v>92</v>
      </c>
      <c r="P296" s="40" t="s">
        <v>93</v>
      </c>
      <c r="Q296" s="40" t="s">
        <v>94</v>
      </c>
      <c r="R296" s="42" t="s">
        <v>95</v>
      </c>
      <c r="S296" s="42" t="s">
        <v>96</v>
      </c>
      <c r="T296" s="40" t="s">
        <v>292</v>
      </c>
      <c r="U296" s="41">
        <v>44671.833333333336</v>
      </c>
      <c r="V296" s="41">
        <v>44672.78402777778</v>
      </c>
      <c r="W296" s="41">
        <v>44673.416666666664</v>
      </c>
      <c r="X296" s="40" t="s">
        <v>410</v>
      </c>
      <c r="Y296" s="41">
        <v>44676.926388888889</v>
      </c>
      <c r="Z296" s="41">
        <v>44676.5</v>
      </c>
      <c r="AA296" s="41">
        <v>44673.375</v>
      </c>
      <c r="AB296" s="41">
        <v>44678.5</v>
      </c>
      <c r="AC296" s="40" t="s">
        <v>1201</v>
      </c>
      <c r="AD296" s="40">
        <v>12435</v>
      </c>
      <c r="AE296" s="40">
        <v>5830</v>
      </c>
      <c r="AF296" s="40">
        <v>1423</v>
      </c>
      <c r="AG296" s="40"/>
      <c r="AH296" s="40" t="s">
        <v>393</v>
      </c>
      <c r="AI296" s="41">
        <v>44674.125</v>
      </c>
      <c r="AJ296" s="40"/>
      <c r="AK296" s="43">
        <v>950</v>
      </c>
      <c r="AL296" s="40"/>
      <c r="AM296" s="43">
        <v>0</v>
      </c>
      <c r="AN296" s="43"/>
      <c r="AO296" s="43"/>
      <c r="AP296" s="43"/>
      <c r="AQ296" s="43">
        <v>0</v>
      </c>
      <c r="AR296" s="43">
        <v>0</v>
      </c>
      <c r="AS296" s="43"/>
      <c r="AT296" s="43">
        <v>0</v>
      </c>
      <c r="AU296" s="43"/>
      <c r="AV296" s="43"/>
      <c r="AW296" s="43"/>
      <c r="AX296" s="43">
        <v>0</v>
      </c>
      <c r="AY296" s="43">
        <v>0</v>
      </c>
      <c r="AZ296" s="43">
        <v>0</v>
      </c>
      <c r="BA296" s="43">
        <v>0</v>
      </c>
      <c r="BB296" s="43">
        <v>0</v>
      </c>
      <c r="BC296" s="43">
        <v>0</v>
      </c>
      <c r="BD296" s="43">
        <v>0</v>
      </c>
      <c r="BE296" s="43">
        <v>0</v>
      </c>
      <c r="BF296" s="43">
        <v>0</v>
      </c>
      <c r="BG296" s="43">
        <v>0</v>
      </c>
      <c r="BH296" s="43">
        <v>0</v>
      </c>
      <c r="BI296" s="40" t="s">
        <v>1121</v>
      </c>
      <c r="BJ296" s="40">
        <v>2022</v>
      </c>
      <c r="BK296" s="40" t="s">
        <v>2768</v>
      </c>
      <c r="BL296" s="40" t="s">
        <v>2768</v>
      </c>
      <c r="BM296" s="40" t="s">
        <v>125</v>
      </c>
    </row>
    <row r="297" spans="1:65" x14ac:dyDescent="0.25">
      <c r="A297" s="40" t="s">
        <v>2771</v>
      </c>
      <c r="B297" s="41">
        <v>44673.291666666664</v>
      </c>
      <c r="C297" s="40" t="s">
        <v>353</v>
      </c>
      <c r="D297" s="40" t="s">
        <v>1196</v>
      </c>
      <c r="E297" s="40">
        <v>7503632</v>
      </c>
      <c r="F297" s="40">
        <v>65802263</v>
      </c>
      <c r="G297" s="40" t="s">
        <v>1208</v>
      </c>
      <c r="H297" s="40" t="s">
        <v>301</v>
      </c>
      <c r="I297" s="40">
        <v>3900</v>
      </c>
      <c r="J297" s="40" t="s">
        <v>1209</v>
      </c>
      <c r="K297" s="40">
        <v>24922</v>
      </c>
      <c r="L297" s="40">
        <v>28822</v>
      </c>
      <c r="M297" s="40" t="s">
        <v>1210</v>
      </c>
      <c r="N297" s="40" t="s">
        <v>1200</v>
      </c>
      <c r="O297" s="40" t="s">
        <v>119</v>
      </c>
      <c r="P297" s="40" t="s">
        <v>120</v>
      </c>
      <c r="Q297" s="40" t="s">
        <v>121</v>
      </c>
      <c r="R297" s="42" t="s">
        <v>122</v>
      </c>
      <c r="S297" s="42" t="s">
        <v>123</v>
      </c>
      <c r="T297" s="40" t="s">
        <v>292</v>
      </c>
      <c r="U297" s="41">
        <v>44671.853472222225</v>
      </c>
      <c r="V297" s="41">
        <v>44673.083333333336</v>
      </c>
      <c r="W297" s="41">
        <v>44673.416666666664</v>
      </c>
      <c r="X297" s="40" t="s">
        <v>410</v>
      </c>
      <c r="Y297" s="41">
        <v>44676.965277777781</v>
      </c>
      <c r="Z297" s="41">
        <v>44676.5</v>
      </c>
      <c r="AA297" s="41">
        <v>44673.375</v>
      </c>
      <c r="AB297" s="41">
        <v>44678.5</v>
      </c>
      <c r="AC297" s="40" t="s">
        <v>1201</v>
      </c>
      <c r="AD297" s="40">
        <v>12437</v>
      </c>
      <c r="AE297" s="40">
        <v>5831</v>
      </c>
      <c r="AF297" s="40">
        <v>1424</v>
      </c>
      <c r="AG297" s="40"/>
      <c r="AH297" s="40" t="s">
        <v>393</v>
      </c>
      <c r="AI297" s="41">
        <v>44674.125</v>
      </c>
      <c r="AJ297" s="40"/>
      <c r="AK297" s="43">
        <v>950</v>
      </c>
      <c r="AL297" s="40"/>
      <c r="AM297" s="43">
        <v>0</v>
      </c>
      <c r="AN297" s="43">
        <v>4600</v>
      </c>
      <c r="AO297" s="43"/>
      <c r="AP297" s="43"/>
      <c r="AQ297" s="43">
        <v>4600</v>
      </c>
      <c r="AR297" s="43">
        <v>0</v>
      </c>
      <c r="AS297" s="43"/>
      <c r="AT297" s="43">
        <v>0</v>
      </c>
      <c r="AU297" s="43"/>
      <c r="AV297" s="43"/>
      <c r="AW297" s="43"/>
      <c r="AX297" s="43">
        <v>0</v>
      </c>
      <c r="AY297" s="43">
        <v>0</v>
      </c>
      <c r="AZ297" s="43">
        <v>0</v>
      </c>
      <c r="BA297" s="43">
        <v>0</v>
      </c>
      <c r="BB297" s="43">
        <v>0</v>
      </c>
      <c r="BC297" s="43">
        <v>0</v>
      </c>
      <c r="BD297" s="43">
        <v>0</v>
      </c>
      <c r="BE297" s="43">
        <v>0</v>
      </c>
      <c r="BF297" s="43">
        <v>0</v>
      </c>
      <c r="BG297" s="43">
        <v>0</v>
      </c>
      <c r="BH297" s="43">
        <v>0</v>
      </c>
      <c r="BI297" s="40" t="s">
        <v>1121</v>
      </c>
      <c r="BJ297" s="40">
        <v>2022</v>
      </c>
      <c r="BK297" s="40" t="s">
        <v>2768</v>
      </c>
      <c r="BL297" s="40" t="s">
        <v>2768</v>
      </c>
      <c r="BM297" s="40" t="s">
        <v>125</v>
      </c>
    </row>
    <row r="298" spans="1:65" x14ac:dyDescent="0.25">
      <c r="A298" s="40" t="s">
        <v>2771</v>
      </c>
      <c r="B298" s="41">
        <v>44673.291666666664</v>
      </c>
      <c r="C298" s="40" t="s">
        <v>353</v>
      </c>
      <c r="D298" s="40" t="s">
        <v>1196</v>
      </c>
      <c r="E298" s="40">
        <v>7503632</v>
      </c>
      <c r="F298" s="40">
        <v>65802263</v>
      </c>
      <c r="G298" s="40" t="s">
        <v>1211</v>
      </c>
      <c r="H298" s="40" t="s">
        <v>301</v>
      </c>
      <c r="I298" s="40">
        <v>3950</v>
      </c>
      <c r="J298" s="40" t="s">
        <v>1212</v>
      </c>
      <c r="K298" s="40">
        <v>24922</v>
      </c>
      <c r="L298" s="40">
        <v>28872</v>
      </c>
      <c r="M298" s="40" t="s">
        <v>1213</v>
      </c>
      <c r="N298" s="40" t="s">
        <v>1200</v>
      </c>
      <c r="O298" s="40" t="s">
        <v>68</v>
      </c>
      <c r="P298" s="40" t="s">
        <v>36</v>
      </c>
      <c r="Q298" s="40" t="s">
        <v>203</v>
      </c>
      <c r="R298" s="42" t="s">
        <v>204</v>
      </c>
      <c r="S298" s="42" t="s">
        <v>205</v>
      </c>
      <c r="T298" s="40" t="s">
        <v>292</v>
      </c>
      <c r="U298" s="41">
        <v>44671.833333333336</v>
      </c>
      <c r="V298" s="41">
        <v>44672.987500000003</v>
      </c>
      <c r="W298" s="41">
        <v>44673.416666666664</v>
      </c>
      <c r="X298" s="40" t="s">
        <v>410</v>
      </c>
      <c r="Y298" s="41">
        <v>44676.956944444442</v>
      </c>
      <c r="Z298" s="41">
        <v>44676.5</v>
      </c>
      <c r="AA298" s="41">
        <v>44673.375</v>
      </c>
      <c r="AB298" s="41">
        <v>44678.5</v>
      </c>
      <c r="AC298" s="40" t="s">
        <v>1201</v>
      </c>
      <c r="AD298" s="40">
        <v>12436</v>
      </c>
      <c r="AE298" s="40">
        <v>5832</v>
      </c>
      <c r="AF298" s="40">
        <v>1425</v>
      </c>
      <c r="AG298" s="40"/>
      <c r="AH298" s="40" t="s">
        <v>393</v>
      </c>
      <c r="AI298" s="41">
        <v>44674.125</v>
      </c>
      <c r="AJ298" s="40"/>
      <c r="AK298" s="43">
        <v>950</v>
      </c>
      <c r="AL298" s="40"/>
      <c r="AM298" s="43">
        <v>0</v>
      </c>
      <c r="AN298" s="43"/>
      <c r="AO298" s="43"/>
      <c r="AP298" s="43"/>
      <c r="AQ298" s="43">
        <v>0</v>
      </c>
      <c r="AR298" s="43">
        <v>0</v>
      </c>
      <c r="AS298" s="43"/>
      <c r="AT298" s="43">
        <v>0</v>
      </c>
      <c r="AU298" s="43"/>
      <c r="AV298" s="43"/>
      <c r="AW298" s="43"/>
      <c r="AX298" s="43">
        <v>0</v>
      </c>
      <c r="AY298" s="43">
        <v>0</v>
      </c>
      <c r="AZ298" s="43">
        <v>0</v>
      </c>
      <c r="BA298" s="43">
        <v>0</v>
      </c>
      <c r="BB298" s="43">
        <v>0</v>
      </c>
      <c r="BC298" s="43">
        <v>0</v>
      </c>
      <c r="BD298" s="43">
        <v>0</v>
      </c>
      <c r="BE298" s="43">
        <v>0</v>
      </c>
      <c r="BF298" s="43">
        <v>0</v>
      </c>
      <c r="BG298" s="43">
        <v>0</v>
      </c>
      <c r="BH298" s="43">
        <v>0</v>
      </c>
      <c r="BI298" s="40" t="s">
        <v>1121</v>
      </c>
      <c r="BJ298" s="40">
        <v>2022</v>
      </c>
      <c r="BK298" s="40" t="s">
        <v>2768</v>
      </c>
      <c r="BL298" s="40" t="s">
        <v>2768</v>
      </c>
      <c r="BM298" s="40" t="s">
        <v>125</v>
      </c>
    </row>
    <row r="299" spans="1:65" x14ac:dyDescent="0.25">
      <c r="A299" s="40" t="s">
        <v>2771</v>
      </c>
      <c r="B299" s="41">
        <v>44676.291666666664</v>
      </c>
      <c r="C299" s="40" t="s">
        <v>1214</v>
      </c>
      <c r="D299" s="40" t="s">
        <v>1215</v>
      </c>
      <c r="E299" s="40" t="s">
        <v>1216</v>
      </c>
      <c r="F299" s="40" t="s">
        <v>1217</v>
      </c>
      <c r="G299" s="40" t="s">
        <v>1218</v>
      </c>
      <c r="H299" s="40" t="s">
        <v>301</v>
      </c>
      <c r="I299" s="40">
        <v>3810</v>
      </c>
      <c r="J299" s="40" t="s">
        <v>1219</v>
      </c>
      <c r="K299" s="40">
        <v>15309</v>
      </c>
      <c r="L299" s="40">
        <v>19119</v>
      </c>
      <c r="M299" s="40">
        <v>11634</v>
      </c>
      <c r="N299" s="40" t="s">
        <v>1220</v>
      </c>
      <c r="O299" s="40" t="s">
        <v>106</v>
      </c>
      <c r="P299" s="40" t="s">
        <v>107</v>
      </c>
      <c r="Q299" s="40" t="s">
        <v>108</v>
      </c>
      <c r="R299" s="42" t="s">
        <v>109</v>
      </c>
      <c r="S299" s="42" t="s">
        <v>110</v>
      </c>
      <c r="T299" s="40" t="s">
        <v>469</v>
      </c>
      <c r="U299" s="41">
        <v>44674.458333333336</v>
      </c>
      <c r="V299" s="41">
        <v>44676.381944444445</v>
      </c>
      <c r="W299" s="41">
        <v>44676.531944444447</v>
      </c>
      <c r="X299" s="40" t="s">
        <v>410</v>
      </c>
      <c r="Y299" s="41">
        <v>44678.681944444441</v>
      </c>
      <c r="Z299" s="41">
        <v>44674.75</v>
      </c>
      <c r="AA299" s="41">
        <v>44678.333333333336</v>
      </c>
      <c r="AB299" s="41">
        <v>44677.75</v>
      </c>
      <c r="AC299" s="40" t="s">
        <v>1221</v>
      </c>
      <c r="AD299" s="40">
        <v>12469</v>
      </c>
      <c r="AE299" s="40">
        <v>5846</v>
      </c>
      <c r="AF299" s="40">
        <v>1292</v>
      </c>
      <c r="AG299" s="40"/>
      <c r="AH299" s="40" t="s">
        <v>393</v>
      </c>
      <c r="AI299" s="41">
        <v>44676.708333333336</v>
      </c>
      <c r="AJ299" s="40"/>
      <c r="AK299" s="43">
        <v>1200</v>
      </c>
      <c r="AL299" s="40"/>
      <c r="AM299" s="43">
        <v>0</v>
      </c>
      <c r="AN299" s="43"/>
      <c r="AO299" s="43"/>
      <c r="AP299" s="43"/>
      <c r="AQ299" s="43">
        <v>0</v>
      </c>
      <c r="AR299" s="43">
        <v>0</v>
      </c>
      <c r="AS299" s="43"/>
      <c r="AT299" s="43">
        <v>0</v>
      </c>
      <c r="AU299" s="43"/>
      <c r="AV299" s="43"/>
      <c r="AW299" s="43"/>
      <c r="AX299" s="43">
        <v>0</v>
      </c>
      <c r="AY299" s="43">
        <v>0</v>
      </c>
      <c r="AZ299" s="43">
        <v>0</v>
      </c>
      <c r="BA299" s="43">
        <v>0</v>
      </c>
      <c r="BB299" s="43">
        <v>0</v>
      </c>
      <c r="BC299" s="43">
        <v>0</v>
      </c>
      <c r="BD299" s="43">
        <v>0</v>
      </c>
      <c r="BE299" s="43">
        <v>0</v>
      </c>
      <c r="BF299" s="43">
        <v>0</v>
      </c>
      <c r="BG299" s="43">
        <v>0</v>
      </c>
      <c r="BH299" s="43">
        <v>0</v>
      </c>
      <c r="BI299" s="40" t="s">
        <v>1121</v>
      </c>
      <c r="BJ299" s="40">
        <v>2022</v>
      </c>
      <c r="BK299" s="40" t="s">
        <v>2768</v>
      </c>
      <c r="BL299" s="40" t="s">
        <v>2768</v>
      </c>
      <c r="BM299" s="40" t="s">
        <v>125</v>
      </c>
    </row>
    <row r="300" spans="1:65" x14ac:dyDescent="0.25">
      <c r="A300" s="40" t="s">
        <v>2771</v>
      </c>
      <c r="B300" s="41">
        <v>44676.291666666664</v>
      </c>
      <c r="C300" s="40" t="s">
        <v>1214</v>
      </c>
      <c r="D300" s="40" t="s">
        <v>1215</v>
      </c>
      <c r="E300" s="40" t="s">
        <v>1222</v>
      </c>
      <c r="F300" s="40" t="s">
        <v>1223</v>
      </c>
      <c r="G300" s="40" t="s">
        <v>1224</v>
      </c>
      <c r="H300" s="40" t="s">
        <v>301</v>
      </c>
      <c r="I300" s="40">
        <v>3840</v>
      </c>
      <c r="J300" s="40" t="s">
        <v>1225</v>
      </c>
      <c r="K300" s="40">
        <v>12942</v>
      </c>
      <c r="L300" s="40">
        <v>16782</v>
      </c>
      <c r="M300" s="40">
        <v>11638</v>
      </c>
      <c r="N300" s="40" t="s">
        <v>1226</v>
      </c>
      <c r="O300" s="40" t="s">
        <v>92</v>
      </c>
      <c r="P300" s="40" t="s">
        <v>93</v>
      </c>
      <c r="Q300" s="40" t="s">
        <v>94</v>
      </c>
      <c r="R300" s="42" t="s">
        <v>95</v>
      </c>
      <c r="S300" s="42" t="s">
        <v>96</v>
      </c>
      <c r="T300" s="40" t="s">
        <v>469</v>
      </c>
      <c r="U300" s="41">
        <v>44674.458333333336</v>
      </c>
      <c r="V300" s="41">
        <v>44676.381944444445</v>
      </c>
      <c r="W300" s="41">
        <v>44676.531944444447</v>
      </c>
      <c r="X300" s="40" t="s">
        <v>410</v>
      </c>
      <c r="Y300" s="41">
        <v>44680.673611111109</v>
      </c>
      <c r="Z300" s="41">
        <v>44680.333333333336</v>
      </c>
      <c r="AA300" s="41">
        <v>44676.5</v>
      </c>
      <c r="AB300" s="41">
        <v>44681.5</v>
      </c>
      <c r="AC300" s="40" t="s">
        <v>1221</v>
      </c>
      <c r="AD300" s="40">
        <v>12467</v>
      </c>
      <c r="AE300" s="40">
        <v>5847</v>
      </c>
      <c r="AF300" s="40">
        <v>1293</v>
      </c>
      <c r="AG300" s="40"/>
      <c r="AH300" s="40" t="s">
        <v>393</v>
      </c>
      <c r="AI300" s="41">
        <v>44676.708333333336</v>
      </c>
      <c r="AJ300" s="40"/>
      <c r="AK300" s="43">
        <v>1200</v>
      </c>
      <c r="AL300" s="40"/>
      <c r="AM300" s="43">
        <v>0</v>
      </c>
      <c r="AN300" s="43"/>
      <c r="AO300" s="43"/>
      <c r="AP300" s="43"/>
      <c r="AQ300" s="43">
        <v>0</v>
      </c>
      <c r="AR300" s="43">
        <v>0</v>
      </c>
      <c r="AS300" s="43"/>
      <c r="AT300" s="43">
        <v>0</v>
      </c>
      <c r="AU300" s="43"/>
      <c r="AV300" s="43"/>
      <c r="AW300" s="43"/>
      <c r="AX300" s="43">
        <v>0</v>
      </c>
      <c r="AY300" s="43">
        <v>0</v>
      </c>
      <c r="AZ300" s="43">
        <v>0</v>
      </c>
      <c r="BA300" s="43">
        <v>0</v>
      </c>
      <c r="BB300" s="43">
        <v>0</v>
      </c>
      <c r="BC300" s="43">
        <v>0</v>
      </c>
      <c r="BD300" s="43">
        <v>0</v>
      </c>
      <c r="BE300" s="43">
        <v>0</v>
      </c>
      <c r="BF300" s="43">
        <v>0</v>
      </c>
      <c r="BG300" s="43">
        <v>0</v>
      </c>
      <c r="BH300" s="43">
        <v>0</v>
      </c>
      <c r="BI300" s="40" t="s">
        <v>1121</v>
      </c>
      <c r="BJ300" s="40">
        <v>2022</v>
      </c>
      <c r="BK300" s="40" t="s">
        <v>2768</v>
      </c>
      <c r="BL300" s="40" t="s">
        <v>2768</v>
      </c>
      <c r="BM300" s="40" t="s">
        <v>125</v>
      </c>
    </row>
    <row r="301" spans="1:65" x14ac:dyDescent="0.25">
      <c r="A301" s="40" t="s">
        <v>2771</v>
      </c>
      <c r="B301" s="41">
        <v>44676.333333333336</v>
      </c>
      <c r="C301" s="40" t="s">
        <v>297</v>
      </c>
      <c r="D301" s="40" t="s">
        <v>298</v>
      </c>
      <c r="E301" s="40" t="s">
        <v>1227</v>
      </c>
      <c r="F301" s="40">
        <v>217646700</v>
      </c>
      <c r="G301" s="40" t="s">
        <v>1228</v>
      </c>
      <c r="H301" s="40" t="s">
        <v>301</v>
      </c>
      <c r="I301" s="40">
        <v>3790</v>
      </c>
      <c r="J301" s="40" t="s">
        <v>1229</v>
      </c>
      <c r="K301" s="40">
        <v>17086</v>
      </c>
      <c r="L301" s="40">
        <v>20876</v>
      </c>
      <c r="M301" s="40">
        <v>729605</v>
      </c>
      <c r="N301" s="40" t="s">
        <v>1230</v>
      </c>
      <c r="O301" s="40" t="s">
        <v>1231</v>
      </c>
      <c r="P301" s="40" t="s">
        <v>1232</v>
      </c>
      <c r="Q301" s="40" t="s">
        <v>1233</v>
      </c>
      <c r="R301" s="42">
        <v>2498149864</v>
      </c>
      <c r="S301" s="42">
        <v>15689798</v>
      </c>
      <c r="T301" s="40" t="s">
        <v>292</v>
      </c>
      <c r="U301" s="41">
        <v>44674.375</v>
      </c>
      <c r="V301" s="41">
        <v>44676.25</v>
      </c>
      <c r="W301" s="41">
        <v>44676.541666666664</v>
      </c>
      <c r="X301" s="40" t="s">
        <v>306</v>
      </c>
      <c r="Y301" s="41">
        <v>44677.668749999997</v>
      </c>
      <c r="Z301" s="41"/>
      <c r="AA301" s="41">
        <v>44676.75</v>
      </c>
      <c r="AB301" s="41">
        <v>44679.75</v>
      </c>
      <c r="AC301" s="40" t="s">
        <v>1234</v>
      </c>
      <c r="AD301" s="40">
        <v>12465</v>
      </c>
      <c r="AE301" s="40">
        <v>5845</v>
      </c>
      <c r="AF301" s="40">
        <v>1412</v>
      </c>
      <c r="AG301" s="40"/>
      <c r="AH301" s="40" t="s">
        <v>309</v>
      </c>
      <c r="AI301" s="41">
        <v>44676.75</v>
      </c>
      <c r="AJ301" s="40"/>
      <c r="AK301" s="43">
        <v>950</v>
      </c>
      <c r="AL301" s="40"/>
      <c r="AM301" s="43">
        <v>0</v>
      </c>
      <c r="AN301" s="43">
        <v>2800</v>
      </c>
      <c r="AO301" s="43"/>
      <c r="AP301" s="43">
        <v>200</v>
      </c>
      <c r="AQ301" s="43">
        <v>3000</v>
      </c>
      <c r="AR301" s="43">
        <v>0</v>
      </c>
      <c r="AS301" s="43"/>
      <c r="AT301" s="43">
        <v>0</v>
      </c>
      <c r="AU301" s="43"/>
      <c r="AV301" s="43"/>
      <c r="AW301" s="43"/>
      <c r="AX301" s="43">
        <v>0</v>
      </c>
      <c r="AY301" s="43">
        <v>0</v>
      </c>
      <c r="AZ301" s="43">
        <v>0</v>
      </c>
      <c r="BA301" s="43">
        <v>0</v>
      </c>
      <c r="BB301" s="43">
        <v>0</v>
      </c>
      <c r="BC301" s="43">
        <v>0</v>
      </c>
      <c r="BD301" s="43">
        <v>0</v>
      </c>
      <c r="BE301" s="43">
        <v>0</v>
      </c>
      <c r="BF301" s="43">
        <v>0</v>
      </c>
      <c r="BG301" s="43">
        <v>0</v>
      </c>
      <c r="BH301" s="43">
        <v>0</v>
      </c>
      <c r="BI301" s="40" t="s">
        <v>1121</v>
      </c>
      <c r="BJ301" s="40">
        <v>2022</v>
      </c>
      <c r="BK301" s="40" t="s">
        <v>2768</v>
      </c>
      <c r="BL301" s="40" t="s">
        <v>2768</v>
      </c>
      <c r="BM301" s="40" t="s">
        <v>125</v>
      </c>
    </row>
    <row r="302" spans="1:65" x14ac:dyDescent="0.25">
      <c r="A302" s="40" t="s">
        <v>2771</v>
      </c>
      <c r="B302" s="41">
        <v>44676.333333333336</v>
      </c>
      <c r="C302" s="40" t="s">
        <v>297</v>
      </c>
      <c r="D302" s="40" t="s">
        <v>298</v>
      </c>
      <c r="E302" s="40" t="s">
        <v>1235</v>
      </c>
      <c r="F302" s="40">
        <v>217646700</v>
      </c>
      <c r="G302" s="40" t="s">
        <v>1236</v>
      </c>
      <c r="H302" s="40" t="s">
        <v>301</v>
      </c>
      <c r="I302" s="40">
        <v>3820</v>
      </c>
      <c r="J302" s="40" t="s">
        <v>1237</v>
      </c>
      <c r="K302" s="40">
        <v>17191</v>
      </c>
      <c r="L302" s="40">
        <v>21011</v>
      </c>
      <c r="M302" s="40">
        <v>729608</v>
      </c>
      <c r="N302" s="40" t="s">
        <v>1230</v>
      </c>
      <c r="O302" s="40" t="s">
        <v>1238</v>
      </c>
      <c r="P302" s="40" t="s">
        <v>1239</v>
      </c>
      <c r="Q302" s="40" t="s">
        <v>1240</v>
      </c>
      <c r="R302" s="42">
        <v>14011033839</v>
      </c>
      <c r="S302" s="42">
        <v>1373525124</v>
      </c>
      <c r="T302" s="40" t="s">
        <v>292</v>
      </c>
      <c r="U302" s="41">
        <v>44674.375</v>
      </c>
      <c r="V302" s="41">
        <v>44676.25</v>
      </c>
      <c r="W302" s="41">
        <v>44676.625</v>
      </c>
      <c r="X302" s="40" t="s">
        <v>306</v>
      </c>
      <c r="Y302" s="41">
        <v>44677.638888888891</v>
      </c>
      <c r="Z302" s="41"/>
      <c r="AA302" s="41">
        <v>44676.75</v>
      </c>
      <c r="AB302" s="41">
        <v>44679.75</v>
      </c>
      <c r="AC302" s="40" t="s">
        <v>1234</v>
      </c>
      <c r="AD302" s="40">
        <v>12466</v>
      </c>
      <c r="AE302" s="40">
        <v>5848</v>
      </c>
      <c r="AF302" s="40">
        <v>1413</v>
      </c>
      <c r="AG302" s="40"/>
      <c r="AH302" s="40" t="s">
        <v>309</v>
      </c>
      <c r="AI302" s="41">
        <v>44676.75</v>
      </c>
      <c r="AJ302" s="40"/>
      <c r="AK302" s="43">
        <v>950</v>
      </c>
      <c r="AL302" s="40"/>
      <c r="AM302" s="43">
        <v>0</v>
      </c>
      <c r="AN302" s="43">
        <v>2800</v>
      </c>
      <c r="AO302" s="43"/>
      <c r="AP302" s="43">
        <v>200</v>
      </c>
      <c r="AQ302" s="43">
        <v>3000</v>
      </c>
      <c r="AR302" s="43">
        <v>0</v>
      </c>
      <c r="AS302" s="43"/>
      <c r="AT302" s="43">
        <v>0</v>
      </c>
      <c r="AU302" s="43"/>
      <c r="AV302" s="43"/>
      <c r="AW302" s="43"/>
      <c r="AX302" s="43">
        <v>0</v>
      </c>
      <c r="AY302" s="43">
        <v>0</v>
      </c>
      <c r="AZ302" s="43">
        <v>0</v>
      </c>
      <c r="BA302" s="43">
        <v>0</v>
      </c>
      <c r="BB302" s="43">
        <v>0</v>
      </c>
      <c r="BC302" s="43">
        <v>0</v>
      </c>
      <c r="BD302" s="43">
        <v>0</v>
      </c>
      <c r="BE302" s="43">
        <v>0</v>
      </c>
      <c r="BF302" s="43">
        <v>0</v>
      </c>
      <c r="BG302" s="43">
        <v>0</v>
      </c>
      <c r="BH302" s="43">
        <v>0</v>
      </c>
      <c r="BI302" s="40" t="s">
        <v>1121</v>
      </c>
      <c r="BJ302" s="40">
        <v>2022</v>
      </c>
      <c r="BK302" s="40" t="s">
        <v>2768</v>
      </c>
      <c r="BL302" s="40" t="s">
        <v>2768</v>
      </c>
      <c r="BM302" s="40" t="s">
        <v>125</v>
      </c>
    </row>
    <row r="303" spans="1:65" x14ac:dyDescent="0.25">
      <c r="A303" s="40" t="s">
        <v>2771</v>
      </c>
      <c r="B303" s="41">
        <v>44676.291666666664</v>
      </c>
      <c r="C303" s="40" t="s">
        <v>696</v>
      </c>
      <c r="D303" s="40" t="s">
        <v>697</v>
      </c>
      <c r="E303" s="40" t="s">
        <v>1241</v>
      </c>
      <c r="F303" s="40" t="s">
        <v>1242</v>
      </c>
      <c r="G303" s="40" t="s">
        <v>1243</v>
      </c>
      <c r="H303" s="40" t="s">
        <v>301</v>
      </c>
      <c r="I303" s="40">
        <v>3700</v>
      </c>
      <c r="J303" s="40">
        <v>1113853</v>
      </c>
      <c r="K303" s="40">
        <v>15868</v>
      </c>
      <c r="L303" s="40">
        <v>19568</v>
      </c>
      <c r="M303" s="40" t="s">
        <v>1244</v>
      </c>
      <c r="N303" s="40" t="s">
        <v>1245</v>
      </c>
      <c r="O303" s="40" t="s">
        <v>102</v>
      </c>
      <c r="P303" s="40" t="s">
        <v>1246</v>
      </c>
      <c r="Q303" s="40" t="s">
        <v>103</v>
      </c>
      <c r="R303" s="42" t="s">
        <v>104</v>
      </c>
      <c r="S303" s="42" t="s">
        <v>105</v>
      </c>
      <c r="T303" s="40" t="s">
        <v>293</v>
      </c>
      <c r="U303" s="41">
        <v>44676.299305555556</v>
      </c>
      <c r="V303" s="41">
        <v>44676.395833333336</v>
      </c>
      <c r="W303" s="41">
        <v>44676.434027777781</v>
      </c>
      <c r="X303" s="40" t="s">
        <v>526</v>
      </c>
      <c r="Y303" s="41">
        <v>44676.707638888889</v>
      </c>
      <c r="Z303" s="41">
        <v>44676.291666666664</v>
      </c>
      <c r="AA303" s="41">
        <v>44676.291666666664</v>
      </c>
      <c r="AB303" s="41">
        <v>44676.291666666664</v>
      </c>
      <c r="AC303" s="40" t="s">
        <v>294</v>
      </c>
      <c r="AD303" s="40"/>
      <c r="AE303" s="40">
        <v>5863</v>
      </c>
      <c r="AF303" s="40"/>
      <c r="AG303" s="40"/>
      <c r="AH303" s="40"/>
      <c r="AI303" s="41"/>
      <c r="AJ303" s="40"/>
      <c r="AK303" s="43"/>
      <c r="AL303" s="40"/>
      <c r="AM303" s="43">
        <v>0</v>
      </c>
      <c r="AN303" s="43"/>
      <c r="AO303" s="43"/>
      <c r="AP303" s="43"/>
      <c r="AQ303" s="43">
        <v>0</v>
      </c>
      <c r="AR303" s="43">
        <v>0</v>
      </c>
      <c r="AS303" s="43"/>
      <c r="AT303" s="43">
        <v>0</v>
      </c>
      <c r="AU303" s="43"/>
      <c r="AV303" s="43"/>
      <c r="AW303" s="43"/>
      <c r="AX303" s="43">
        <v>0</v>
      </c>
      <c r="AY303" s="43">
        <v>0</v>
      </c>
      <c r="AZ303" s="43">
        <v>0</v>
      </c>
      <c r="BA303" s="43">
        <v>0</v>
      </c>
      <c r="BB303" s="43">
        <v>0</v>
      </c>
      <c r="BC303" s="43">
        <v>0</v>
      </c>
      <c r="BD303" s="43">
        <v>0</v>
      </c>
      <c r="BE303" s="43">
        <v>0</v>
      </c>
      <c r="BF303" s="43">
        <v>0</v>
      </c>
      <c r="BG303" s="43">
        <v>0</v>
      </c>
      <c r="BH303" s="43">
        <v>0</v>
      </c>
      <c r="BI303" s="40" t="s">
        <v>1121</v>
      </c>
      <c r="BJ303" s="40">
        <v>2022</v>
      </c>
      <c r="BK303" s="40" t="s">
        <v>125</v>
      </c>
      <c r="BL303" s="40" t="s">
        <v>125</v>
      </c>
      <c r="BM303" s="40" t="s">
        <v>125</v>
      </c>
    </row>
    <row r="304" spans="1:65" x14ac:dyDescent="0.25">
      <c r="A304" s="40" t="s">
        <v>2771</v>
      </c>
      <c r="B304" s="41">
        <v>44676.333333333336</v>
      </c>
      <c r="C304" s="40" t="s">
        <v>297</v>
      </c>
      <c r="D304" s="40" t="s">
        <v>298</v>
      </c>
      <c r="E304" s="40" t="s">
        <v>1247</v>
      </c>
      <c r="F304" s="40">
        <v>61809585</v>
      </c>
      <c r="G304" s="40" t="s">
        <v>1248</v>
      </c>
      <c r="H304" s="40" t="s">
        <v>301</v>
      </c>
      <c r="I304" s="40">
        <v>3900</v>
      </c>
      <c r="J304" s="40" t="s">
        <v>1249</v>
      </c>
      <c r="K304" s="40">
        <v>19588</v>
      </c>
      <c r="L304" s="40">
        <v>23488</v>
      </c>
      <c r="M304" s="40">
        <v>729755</v>
      </c>
      <c r="N304" s="40" t="s">
        <v>1250</v>
      </c>
      <c r="O304" s="40" t="s">
        <v>82</v>
      </c>
      <c r="P304" s="40" t="s">
        <v>83</v>
      </c>
      <c r="Q304" s="40" t="s">
        <v>84</v>
      </c>
      <c r="R304" s="42" t="s">
        <v>85</v>
      </c>
      <c r="S304" s="42" t="s">
        <v>86</v>
      </c>
      <c r="T304" s="40" t="s">
        <v>292</v>
      </c>
      <c r="U304" s="41">
        <v>44676.375</v>
      </c>
      <c r="V304" s="41">
        <v>44676.5</v>
      </c>
      <c r="W304" s="41">
        <v>44676.833333333336</v>
      </c>
      <c r="X304" s="40" t="s">
        <v>293</v>
      </c>
      <c r="Y304" s="41">
        <v>44677.051388888889</v>
      </c>
      <c r="Z304" s="41">
        <v>44675.875</v>
      </c>
      <c r="AA304" s="41">
        <v>44676.75</v>
      </c>
      <c r="AB304" s="41">
        <v>44679.5</v>
      </c>
      <c r="AC304" s="40" t="s">
        <v>418</v>
      </c>
      <c r="AD304" s="40">
        <v>12479</v>
      </c>
      <c r="AE304" s="40">
        <v>5874</v>
      </c>
      <c r="AF304" s="40">
        <v>1414</v>
      </c>
      <c r="AG304" s="40"/>
      <c r="AH304" s="40" t="s">
        <v>295</v>
      </c>
      <c r="AI304" s="41"/>
      <c r="AJ304" s="40"/>
      <c r="AK304" s="43"/>
      <c r="AL304" s="40"/>
      <c r="AM304" s="43">
        <v>0</v>
      </c>
      <c r="AN304" s="43"/>
      <c r="AO304" s="43"/>
      <c r="AP304" s="43"/>
      <c r="AQ304" s="43">
        <v>0</v>
      </c>
      <c r="AR304" s="43">
        <v>0</v>
      </c>
      <c r="AS304" s="43"/>
      <c r="AT304" s="43">
        <v>0</v>
      </c>
      <c r="AU304" s="43"/>
      <c r="AV304" s="43"/>
      <c r="AW304" s="43"/>
      <c r="AX304" s="43">
        <v>0</v>
      </c>
      <c r="AY304" s="43">
        <v>0</v>
      </c>
      <c r="AZ304" s="43">
        <v>0</v>
      </c>
      <c r="BA304" s="43">
        <v>0</v>
      </c>
      <c r="BB304" s="43">
        <v>0</v>
      </c>
      <c r="BC304" s="43">
        <v>0</v>
      </c>
      <c r="BD304" s="43">
        <v>0</v>
      </c>
      <c r="BE304" s="43">
        <v>0</v>
      </c>
      <c r="BF304" s="43">
        <v>0</v>
      </c>
      <c r="BG304" s="43">
        <v>0</v>
      </c>
      <c r="BH304" s="43">
        <v>0</v>
      </c>
      <c r="BI304" s="40" t="s">
        <v>1121</v>
      </c>
      <c r="BJ304" s="40">
        <v>2022</v>
      </c>
      <c r="BK304" s="40" t="s">
        <v>2768</v>
      </c>
      <c r="BL304" s="40" t="s">
        <v>2768</v>
      </c>
      <c r="BM304" s="40" t="s">
        <v>125</v>
      </c>
    </row>
    <row r="305" spans="1:65" x14ac:dyDescent="0.25">
      <c r="A305" s="40" t="s">
        <v>2771</v>
      </c>
      <c r="B305" s="41">
        <v>44676.416666666664</v>
      </c>
      <c r="C305" s="40" t="s">
        <v>297</v>
      </c>
      <c r="D305" s="40" t="s">
        <v>298</v>
      </c>
      <c r="E305" s="40" t="s">
        <v>1247</v>
      </c>
      <c r="F305" s="40">
        <v>61809585</v>
      </c>
      <c r="G305" s="40" t="s">
        <v>1251</v>
      </c>
      <c r="H305" s="40" t="s">
        <v>301</v>
      </c>
      <c r="I305" s="40">
        <v>4080</v>
      </c>
      <c r="J305" s="40" t="s">
        <v>1252</v>
      </c>
      <c r="K305" s="40">
        <v>21221</v>
      </c>
      <c r="L305" s="40">
        <v>25301</v>
      </c>
      <c r="M305" s="40">
        <v>729984</v>
      </c>
      <c r="N305" s="40" t="s">
        <v>1250</v>
      </c>
      <c r="O305" s="40" t="s">
        <v>1253</v>
      </c>
      <c r="P305" s="40" t="s">
        <v>1254</v>
      </c>
      <c r="Q305" s="40" t="s">
        <v>1255</v>
      </c>
      <c r="R305" s="42" t="s">
        <v>1256</v>
      </c>
      <c r="S305" s="42">
        <v>2034906910</v>
      </c>
      <c r="T305" s="40" t="s">
        <v>292</v>
      </c>
      <c r="U305" s="41">
        <v>44676.458333333336</v>
      </c>
      <c r="V305" s="41">
        <v>44676.583333333336</v>
      </c>
      <c r="W305" s="41">
        <v>44677.791666666664</v>
      </c>
      <c r="X305" s="40" t="s">
        <v>293</v>
      </c>
      <c r="Y305" s="41">
        <v>44678.571527777778</v>
      </c>
      <c r="Z305" s="41">
        <v>44675.875</v>
      </c>
      <c r="AA305" s="41">
        <v>44676.75</v>
      </c>
      <c r="AB305" s="41">
        <v>44679.5</v>
      </c>
      <c r="AC305" s="40" t="s">
        <v>418</v>
      </c>
      <c r="AD305" s="40">
        <v>12503</v>
      </c>
      <c r="AE305" s="40">
        <v>5875</v>
      </c>
      <c r="AF305" s="40">
        <v>1415</v>
      </c>
      <c r="AG305" s="40"/>
      <c r="AH305" s="40" t="s">
        <v>295</v>
      </c>
      <c r="AI305" s="41"/>
      <c r="AJ305" s="40"/>
      <c r="AK305" s="43"/>
      <c r="AL305" s="40"/>
      <c r="AM305" s="43">
        <v>0</v>
      </c>
      <c r="AN305" s="43"/>
      <c r="AO305" s="43"/>
      <c r="AP305" s="43"/>
      <c r="AQ305" s="43">
        <v>0</v>
      </c>
      <c r="AR305" s="43">
        <v>125.851</v>
      </c>
      <c r="AS305" s="43"/>
      <c r="AT305" s="43">
        <v>1870</v>
      </c>
      <c r="AU305" s="43"/>
      <c r="AV305" s="43"/>
      <c r="AW305" s="43"/>
      <c r="AX305" s="43">
        <v>0</v>
      </c>
      <c r="AY305" s="43">
        <v>0</v>
      </c>
      <c r="AZ305" s="43">
        <v>0</v>
      </c>
      <c r="BA305" s="43">
        <v>0</v>
      </c>
      <c r="BB305" s="43">
        <v>0</v>
      </c>
      <c r="BC305" s="43">
        <v>0</v>
      </c>
      <c r="BD305" s="43">
        <v>0</v>
      </c>
      <c r="BE305" s="43">
        <v>0</v>
      </c>
      <c r="BF305" s="43">
        <v>0</v>
      </c>
      <c r="BG305" s="43">
        <v>0</v>
      </c>
      <c r="BH305" s="43">
        <v>1870</v>
      </c>
      <c r="BI305" s="40" t="s">
        <v>1121</v>
      </c>
      <c r="BJ305" s="40">
        <v>2022</v>
      </c>
      <c r="BK305" s="40" t="s">
        <v>2768</v>
      </c>
      <c r="BL305" s="40" t="s">
        <v>2768</v>
      </c>
      <c r="BM305" s="40" t="s">
        <v>125</v>
      </c>
    </row>
    <row r="306" spans="1:65" x14ac:dyDescent="0.25">
      <c r="A306" s="40" t="s">
        <v>2771</v>
      </c>
      <c r="B306" s="41">
        <v>44676.541666666664</v>
      </c>
      <c r="C306" s="40" t="s">
        <v>297</v>
      </c>
      <c r="D306" s="40" t="s">
        <v>298</v>
      </c>
      <c r="E306" s="40" t="s">
        <v>1247</v>
      </c>
      <c r="F306" s="40">
        <v>61809585</v>
      </c>
      <c r="G306" s="40" t="s">
        <v>1257</v>
      </c>
      <c r="H306" s="40" t="s">
        <v>301</v>
      </c>
      <c r="I306" s="40">
        <v>3820</v>
      </c>
      <c r="J306" s="40" t="s">
        <v>1258</v>
      </c>
      <c r="K306" s="40">
        <v>22547</v>
      </c>
      <c r="L306" s="40">
        <v>26367</v>
      </c>
      <c r="M306" s="40">
        <v>729874</v>
      </c>
      <c r="N306" s="40" t="s">
        <v>1250</v>
      </c>
      <c r="O306" s="40" t="s">
        <v>1259</v>
      </c>
      <c r="P306" s="40" t="s">
        <v>1260</v>
      </c>
      <c r="Q306" s="40" t="s">
        <v>1261</v>
      </c>
      <c r="R306" s="42" t="s">
        <v>1262</v>
      </c>
      <c r="S306" s="42">
        <v>1881738053</v>
      </c>
      <c r="T306" s="40" t="s">
        <v>292</v>
      </c>
      <c r="U306" s="41">
        <v>44676.458333333336</v>
      </c>
      <c r="V306" s="41">
        <v>44676.583333333336</v>
      </c>
      <c r="W306" s="41">
        <v>44677.375</v>
      </c>
      <c r="X306" s="40" t="s">
        <v>293</v>
      </c>
      <c r="Y306" s="41">
        <v>44677.945138888892</v>
      </c>
      <c r="Z306" s="41">
        <v>44675.875</v>
      </c>
      <c r="AA306" s="41">
        <v>44676.75</v>
      </c>
      <c r="AB306" s="41">
        <v>44679.5</v>
      </c>
      <c r="AC306" s="40" t="s">
        <v>418</v>
      </c>
      <c r="AD306" s="40">
        <v>12495</v>
      </c>
      <c r="AE306" s="40">
        <v>5876</v>
      </c>
      <c r="AF306" s="40">
        <v>1416</v>
      </c>
      <c r="AG306" s="40"/>
      <c r="AH306" s="40" t="s">
        <v>295</v>
      </c>
      <c r="AI306" s="41"/>
      <c r="AJ306" s="40"/>
      <c r="AK306" s="43"/>
      <c r="AL306" s="40"/>
      <c r="AM306" s="43">
        <v>0</v>
      </c>
      <c r="AN306" s="43"/>
      <c r="AO306" s="43"/>
      <c r="AP306" s="43"/>
      <c r="AQ306" s="43">
        <v>0</v>
      </c>
      <c r="AR306" s="43">
        <v>68.646000000000001</v>
      </c>
      <c r="AS306" s="43"/>
      <c r="AT306" s="43">
        <v>1020</v>
      </c>
      <c r="AU306" s="43"/>
      <c r="AV306" s="43"/>
      <c r="AW306" s="43"/>
      <c r="AX306" s="43">
        <v>0</v>
      </c>
      <c r="AY306" s="43">
        <v>0</v>
      </c>
      <c r="AZ306" s="43">
        <v>0</v>
      </c>
      <c r="BA306" s="43">
        <v>0</v>
      </c>
      <c r="BB306" s="43">
        <v>0</v>
      </c>
      <c r="BC306" s="43">
        <v>0</v>
      </c>
      <c r="BD306" s="43">
        <v>0</v>
      </c>
      <c r="BE306" s="43">
        <v>0</v>
      </c>
      <c r="BF306" s="43">
        <v>0</v>
      </c>
      <c r="BG306" s="43">
        <v>0</v>
      </c>
      <c r="BH306" s="43">
        <v>1020</v>
      </c>
      <c r="BI306" s="40" t="s">
        <v>1121</v>
      </c>
      <c r="BJ306" s="40">
        <v>2022</v>
      </c>
      <c r="BK306" s="40" t="s">
        <v>2768</v>
      </c>
      <c r="BL306" s="40" t="s">
        <v>2768</v>
      </c>
      <c r="BM306" s="40" t="s">
        <v>125</v>
      </c>
    </row>
    <row r="307" spans="1:65" x14ac:dyDescent="0.25">
      <c r="A307" s="40" t="s">
        <v>2771</v>
      </c>
      <c r="B307" s="41">
        <v>44676.333333333336</v>
      </c>
      <c r="C307" s="40" t="s">
        <v>297</v>
      </c>
      <c r="D307" s="40" t="s">
        <v>298</v>
      </c>
      <c r="E307" s="40" t="s">
        <v>1247</v>
      </c>
      <c r="F307" s="40">
        <v>61809585</v>
      </c>
      <c r="G307" s="40" t="s">
        <v>1263</v>
      </c>
      <c r="H307" s="40" t="s">
        <v>301</v>
      </c>
      <c r="I307" s="40">
        <v>3800</v>
      </c>
      <c r="J307" s="40" t="s">
        <v>1264</v>
      </c>
      <c r="K307" s="40">
        <v>22547</v>
      </c>
      <c r="L307" s="40">
        <v>26347</v>
      </c>
      <c r="M307" s="40">
        <v>729937</v>
      </c>
      <c r="N307" s="40" t="s">
        <v>1250</v>
      </c>
      <c r="O307" s="40" t="s">
        <v>1265</v>
      </c>
      <c r="P307" s="40" t="s">
        <v>1266</v>
      </c>
      <c r="Q307" s="40" t="s">
        <v>1267</v>
      </c>
      <c r="R307" s="42" t="s">
        <v>1268</v>
      </c>
      <c r="S307" s="42">
        <v>1261018608</v>
      </c>
      <c r="T307" s="40" t="s">
        <v>292</v>
      </c>
      <c r="U307" s="41">
        <v>44676.458333333336</v>
      </c>
      <c r="V307" s="41">
        <v>44676.583333333336</v>
      </c>
      <c r="W307" s="41">
        <v>44677.791666666664</v>
      </c>
      <c r="X307" s="40" t="s">
        <v>293</v>
      </c>
      <c r="Y307" s="41">
        <v>44678.058333333334</v>
      </c>
      <c r="Z307" s="41">
        <v>44675.875</v>
      </c>
      <c r="AA307" s="41">
        <v>44676.75</v>
      </c>
      <c r="AB307" s="41">
        <v>44679.5</v>
      </c>
      <c r="AC307" s="40" t="s">
        <v>418</v>
      </c>
      <c r="AD307" s="40">
        <v>12501</v>
      </c>
      <c r="AE307" s="40">
        <v>5877</v>
      </c>
      <c r="AF307" s="40">
        <v>1417</v>
      </c>
      <c r="AG307" s="40"/>
      <c r="AH307" s="40" t="s">
        <v>295</v>
      </c>
      <c r="AI307" s="41"/>
      <c r="AJ307" s="40"/>
      <c r="AK307" s="43"/>
      <c r="AL307" s="40"/>
      <c r="AM307" s="43">
        <v>0</v>
      </c>
      <c r="AN307" s="43"/>
      <c r="AO307" s="43"/>
      <c r="AP307" s="43"/>
      <c r="AQ307" s="43">
        <v>0</v>
      </c>
      <c r="AR307" s="43">
        <v>125.851</v>
      </c>
      <c r="AS307" s="43"/>
      <c r="AT307" s="43">
        <v>1870</v>
      </c>
      <c r="AU307" s="43"/>
      <c r="AV307" s="43"/>
      <c r="AW307" s="43"/>
      <c r="AX307" s="43">
        <v>0</v>
      </c>
      <c r="AY307" s="43">
        <v>0</v>
      </c>
      <c r="AZ307" s="43">
        <v>0</v>
      </c>
      <c r="BA307" s="43">
        <v>0</v>
      </c>
      <c r="BB307" s="43">
        <v>0</v>
      </c>
      <c r="BC307" s="43">
        <v>0</v>
      </c>
      <c r="BD307" s="43">
        <v>0</v>
      </c>
      <c r="BE307" s="43">
        <v>0</v>
      </c>
      <c r="BF307" s="43">
        <v>0</v>
      </c>
      <c r="BG307" s="43">
        <v>0</v>
      </c>
      <c r="BH307" s="43">
        <v>1870</v>
      </c>
      <c r="BI307" s="40" t="s">
        <v>1121</v>
      </c>
      <c r="BJ307" s="40">
        <v>2022</v>
      </c>
      <c r="BK307" s="40" t="s">
        <v>2768</v>
      </c>
      <c r="BL307" s="40" t="s">
        <v>2768</v>
      </c>
      <c r="BM307" s="40" t="s">
        <v>125</v>
      </c>
    </row>
    <row r="308" spans="1:65" x14ac:dyDescent="0.25">
      <c r="A308" s="40" t="s">
        <v>2771</v>
      </c>
      <c r="B308" s="41">
        <v>44676.416666666664</v>
      </c>
      <c r="C308" s="40" t="s">
        <v>297</v>
      </c>
      <c r="D308" s="40" t="s">
        <v>298</v>
      </c>
      <c r="E308" s="40" t="s">
        <v>1247</v>
      </c>
      <c r="F308" s="40">
        <v>61809585</v>
      </c>
      <c r="G308" s="40" t="s">
        <v>1269</v>
      </c>
      <c r="H308" s="40" t="s">
        <v>301</v>
      </c>
      <c r="I308" s="40">
        <v>3800</v>
      </c>
      <c r="J308" s="40" t="s">
        <v>1270</v>
      </c>
      <c r="K308" s="40">
        <v>22547</v>
      </c>
      <c r="L308" s="40">
        <v>26347</v>
      </c>
      <c r="M308" s="40">
        <v>730097</v>
      </c>
      <c r="N308" s="40" t="s">
        <v>1250</v>
      </c>
      <c r="O308" s="40" t="s">
        <v>1271</v>
      </c>
      <c r="P308" s="40" t="s">
        <v>1272</v>
      </c>
      <c r="Q308" s="40" t="s">
        <v>1273</v>
      </c>
      <c r="R308" s="42" t="s">
        <v>1274</v>
      </c>
      <c r="S308" s="42">
        <v>1564542584</v>
      </c>
      <c r="T308" s="40" t="s">
        <v>292</v>
      </c>
      <c r="U308" s="41">
        <v>44676.458333333336</v>
      </c>
      <c r="V308" s="41">
        <v>44676.583333333336</v>
      </c>
      <c r="W308" s="41">
        <v>44677.791666666664</v>
      </c>
      <c r="X308" s="40" t="s">
        <v>293</v>
      </c>
      <c r="Y308" s="41">
        <v>44678.584722222222</v>
      </c>
      <c r="Z308" s="41">
        <v>44675.875</v>
      </c>
      <c r="AA308" s="41">
        <v>44676.75</v>
      </c>
      <c r="AB308" s="41">
        <v>44679.5</v>
      </c>
      <c r="AC308" s="40" t="s">
        <v>418</v>
      </c>
      <c r="AD308" s="40">
        <v>12504</v>
      </c>
      <c r="AE308" s="40">
        <v>5878</v>
      </c>
      <c r="AF308" s="40">
        <v>1418</v>
      </c>
      <c r="AG308" s="40"/>
      <c r="AH308" s="40" t="s">
        <v>295</v>
      </c>
      <c r="AI308" s="41"/>
      <c r="AJ308" s="40"/>
      <c r="AK308" s="43"/>
      <c r="AL308" s="40"/>
      <c r="AM308" s="43">
        <v>0</v>
      </c>
      <c r="AN308" s="43"/>
      <c r="AO308" s="43"/>
      <c r="AP308" s="43"/>
      <c r="AQ308" s="43">
        <v>0</v>
      </c>
      <c r="AR308" s="43">
        <v>125.851</v>
      </c>
      <c r="AS308" s="43"/>
      <c r="AT308" s="43">
        <v>1870</v>
      </c>
      <c r="AU308" s="43"/>
      <c r="AV308" s="43"/>
      <c r="AW308" s="43"/>
      <c r="AX308" s="43">
        <v>0</v>
      </c>
      <c r="AY308" s="43">
        <v>0</v>
      </c>
      <c r="AZ308" s="43">
        <v>0</v>
      </c>
      <c r="BA308" s="43">
        <v>0</v>
      </c>
      <c r="BB308" s="43">
        <v>0</v>
      </c>
      <c r="BC308" s="43">
        <v>0</v>
      </c>
      <c r="BD308" s="43">
        <v>0</v>
      </c>
      <c r="BE308" s="43">
        <v>0</v>
      </c>
      <c r="BF308" s="43">
        <v>0</v>
      </c>
      <c r="BG308" s="43">
        <v>0</v>
      </c>
      <c r="BH308" s="43">
        <v>1870</v>
      </c>
      <c r="BI308" s="40" t="s">
        <v>1121</v>
      </c>
      <c r="BJ308" s="40">
        <v>2022</v>
      </c>
      <c r="BK308" s="40" t="s">
        <v>2768</v>
      </c>
      <c r="BL308" s="40" t="s">
        <v>2768</v>
      </c>
      <c r="BM308" s="40" t="s">
        <v>125</v>
      </c>
    </row>
    <row r="309" spans="1:65" x14ac:dyDescent="0.25">
      <c r="A309" s="40" t="s">
        <v>2771</v>
      </c>
      <c r="B309" s="41">
        <v>44676.541666666664</v>
      </c>
      <c r="C309" s="40" t="s">
        <v>297</v>
      </c>
      <c r="D309" s="40" t="s">
        <v>298</v>
      </c>
      <c r="E309" s="40" t="s">
        <v>1247</v>
      </c>
      <c r="F309" s="40">
        <v>61809585</v>
      </c>
      <c r="G309" s="40" t="s">
        <v>1275</v>
      </c>
      <c r="H309" s="40" t="s">
        <v>301</v>
      </c>
      <c r="I309" s="40">
        <v>3830</v>
      </c>
      <c r="J309" s="40" t="s">
        <v>1276</v>
      </c>
      <c r="K309" s="40">
        <v>22547</v>
      </c>
      <c r="L309" s="40">
        <v>26377</v>
      </c>
      <c r="M309" s="40">
        <v>730285</v>
      </c>
      <c r="N309" s="40" t="s">
        <v>1250</v>
      </c>
      <c r="O309" s="40" t="s">
        <v>1277</v>
      </c>
      <c r="P309" s="40" t="s">
        <v>1278</v>
      </c>
      <c r="Q309" s="40" t="s">
        <v>1279</v>
      </c>
      <c r="R309" s="42" t="s">
        <v>1280</v>
      </c>
      <c r="S309" s="42">
        <v>1847430600</v>
      </c>
      <c r="T309" s="40" t="s">
        <v>292</v>
      </c>
      <c r="U309" s="41">
        <v>44676.458333333336</v>
      </c>
      <c r="V309" s="41">
        <v>44676.583333333336</v>
      </c>
      <c r="W309" s="41">
        <v>44677.333333333336</v>
      </c>
      <c r="X309" s="40" t="s">
        <v>293</v>
      </c>
      <c r="Y309" s="41">
        <v>44679.259722222225</v>
      </c>
      <c r="Z309" s="41">
        <v>44675.875</v>
      </c>
      <c r="AA309" s="41">
        <v>44676.75</v>
      </c>
      <c r="AB309" s="41">
        <v>44679.5</v>
      </c>
      <c r="AC309" s="40" t="s">
        <v>418</v>
      </c>
      <c r="AD309" s="40">
        <v>12505</v>
      </c>
      <c r="AE309" s="40">
        <v>5879</v>
      </c>
      <c r="AF309" s="40">
        <v>1419</v>
      </c>
      <c r="AG309" s="40"/>
      <c r="AH309" s="40" t="s">
        <v>295</v>
      </c>
      <c r="AI309" s="41"/>
      <c r="AJ309" s="40"/>
      <c r="AK309" s="43"/>
      <c r="AL309" s="40"/>
      <c r="AM309" s="43">
        <v>0</v>
      </c>
      <c r="AN309" s="43"/>
      <c r="AO309" s="43"/>
      <c r="AP309" s="43"/>
      <c r="AQ309" s="43">
        <v>0</v>
      </c>
      <c r="AR309" s="43">
        <v>68.646000000000001</v>
      </c>
      <c r="AS309" s="43"/>
      <c r="AT309" s="43">
        <v>1020</v>
      </c>
      <c r="AU309" s="43"/>
      <c r="AV309" s="43"/>
      <c r="AW309" s="43"/>
      <c r="AX309" s="43">
        <v>0</v>
      </c>
      <c r="AY309" s="43">
        <v>0</v>
      </c>
      <c r="AZ309" s="43">
        <v>0</v>
      </c>
      <c r="BA309" s="43">
        <v>0</v>
      </c>
      <c r="BB309" s="43">
        <v>0</v>
      </c>
      <c r="BC309" s="43">
        <v>0</v>
      </c>
      <c r="BD309" s="43">
        <v>0</v>
      </c>
      <c r="BE309" s="43">
        <v>0</v>
      </c>
      <c r="BF309" s="43">
        <v>0</v>
      </c>
      <c r="BG309" s="43">
        <v>0</v>
      </c>
      <c r="BH309" s="43">
        <v>1020</v>
      </c>
      <c r="BI309" s="40" t="s">
        <v>1121</v>
      </c>
      <c r="BJ309" s="40">
        <v>2022</v>
      </c>
      <c r="BK309" s="40" t="s">
        <v>2768</v>
      </c>
      <c r="BL309" s="40" t="s">
        <v>2768</v>
      </c>
      <c r="BM309" s="40" t="s">
        <v>125</v>
      </c>
    </row>
    <row r="310" spans="1:65" x14ac:dyDescent="0.25">
      <c r="A310" s="40" t="s">
        <v>2771</v>
      </c>
      <c r="B310" s="41">
        <v>44676.291666666664</v>
      </c>
      <c r="C310" s="40" t="s">
        <v>353</v>
      </c>
      <c r="D310" s="40" t="s">
        <v>1196</v>
      </c>
      <c r="E310" s="40">
        <v>7503630</v>
      </c>
      <c r="F310" s="40">
        <v>69135592</v>
      </c>
      <c r="G310" s="40" t="s">
        <v>1281</v>
      </c>
      <c r="H310" s="40" t="s">
        <v>301</v>
      </c>
      <c r="I310" s="40">
        <v>3850</v>
      </c>
      <c r="J310" s="40" t="s">
        <v>1282</v>
      </c>
      <c r="K310" s="40">
        <v>24922</v>
      </c>
      <c r="L310" s="40">
        <v>28772</v>
      </c>
      <c r="M310" s="40" t="s">
        <v>1283</v>
      </c>
      <c r="N310" s="40" t="s">
        <v>1200</v>
      </c>
      <c r="O310" s="40" t="s">
        <v>1284</v>
      </c>
      <c r="P310" s="40" t="s">
        <v>1285</v>
      </c>
      <c r="Q310" s="40" t="s">
        <v>1286</v>
      </c>
      <c r="R310" s="42" t="s">
        <v>1287</v>
      </c>
      <c r="S310" s="42">
        <v>4852321829</v>
      </c>
      <c r="T310" s="40" t="s">
        <v>292</v>
      </c>
      <c r="U310" s="41">
        <v>44673.75</v>
      </c>
      <c r="V310" s="41">
        <v>44676.25</v>
      </c>
      <c r="W310" s="41">
        <v>44676.729166666664</v>
      </c>
      <c r="X310" s="40" t="s">
        <v>410</v>
      </c>
      <c r="Y310" s="41">
        <v>44677.275000000001</v>
      </c>
      <c r="Z310" s="41">
        <v>44676.5</v>
      </c>
      <c r="AA310" s="41"/>
      <c r="AB310" s="41">
        <v>44678.5</v>
      </c>
      <c r="AC310" s="40" t="s">
        <v>1201</v>
      </c>
      <c r="AD310" s="40">
        <v>12473</v>
      </c>
      <c r="AE310" s="40">
        <v>5849</v>
      </c>
      <c r="AF310" s="40">
        <v>1427</v>
      </c>
      <c r="AG310" s="40" t="s">
        <v>1288</v>
      </c>
      <c r="AH310" s="40"/>
      <c r="AI310" s="41"/>
      <c r="AJ310" s="40"/>
      <c r="AK310" s="43"/>
      <c r="AL310" s="40"/>
      <c r="AM310" s="43">
        <v>0</v>
      </c>
      <c r="AN310" s="43"/>
      <c r="AO310" s="43"/>
      <c r="AP310" s="43"/>
      <c r="AQ310" s="43">
        <v>0</v>
      </c>
      <c r="AR310" s="43">
        <v>0</v>
      </c>
      <c r="AS310" s="43"/>
      <c r="AT310" s="43">
        <v>0</v>
      </c>
      <c r="AU310" s="43"/>
      <c r="AV310" s="43"/>
      <c r="AW310" s="43"/>
      <c r="AX310" s="43">
        <v>0</v>
      </c>
      <c r="AY310" s="43">
        <v>0</v>
      </c>
      <c r="AZ310" s="43">
        <v>0</v>
      </c>
      <c r="BA310" s="43">
        <v>0</v>
      </c>
      <c r="BB310" s="43">
        <v>0</v>
      </c>
      <c r="BC310" s="43">
        <v>0</v>
      </c>
      <c r="BD310" s="43">
        <v>0</v>
      </c>
      <c r="BE310" s="43">
        <v>0</v>
      </c>
      <c r="BF310" s="43">
        <v>0</v>
      </c>
      <c r="BG310" s="43">
        <v>0</v>
      </c>
      <c r="BH310" s="43">
        <v>0</v>
      </c>
      <c r="BI310" s="40" t="s">
        <v>1121</v>
      </c>
      <c r="BJ310" s="40">
        <v>2022</v>
      </c>
      <c r="BK310" s="40" t="s">
        <v>2768</v>
      </c>
      <c r="BL310" s="40" t="s">
        <v>2768</v>
      </c>
      <c r="BM310" s="40" t="s">
        <v>125</v>
      </c>
    </row>
    <row r="311" spans="1:65" x14ac:dyDescent="0.25">
      <c r="A311" s="40" t="s">
        <v>2771</v>
      </c>
      <c r="B311" s="41">
        <v>44676.291666666664</v>
      </c>
      <c r="C311" s="40" t="s">
        <v>353</v>
      </c>
      <c r="D311" s="40" t="s">
        <v>1196</v>
      </c>
      <c r="E311" s="40">
        <v>7503630</v>
      </c>
      <c r="F311" s="40">
        <v>69135592</v>
      </c>
      <c r="G311" s="40" t="s">
        <v>1289</v>
      </c>
      <c r="H311" s="40" t="s">
        <v>301</v>
      </c>
      <c r="I311" s="40">
        <v>3900</v>
      </c>
      <c r="J311" s="40" t="s">
        <v>1290</v>
      </c>
      <c r="K311" s="40">
        <v>24009</v>
      </c>
      <c r="L311" s="40">
        <v>27909</v>
      </c>
      <c r="M311" s="40" t="s">
        <v>1291</v>
      </c>
      <c r="N311" s="40" t="s">
        <v>1200</v>
      </c>
      <c r="O311" s="40" t="s">
        <v>1292</v>
      </c>
      <c r="P311" s="40" t="s">
        <v>1293</v>
      </c>
      <c r="Q311" s="40" t="s">
        <v>1294</v>
      </c>
      <c r="R311" s="42" t="s">
        <v>1295</v>
      </c>
      <c r="S311" s="42">
        <v>1445432154</v>
      </c>
      <c r="T311" s="40" t="s">
        <v>292</v>
      </c>
      <c r="U311" s="41">
        <v>44674.5</v>
      </c>
      <c r="V311" s="41">
        <v>44676.25</v>
      </c>
      <c r="W311" s="41">
        <v>44676.861111111109</v>
      </c>
      <c r="X311" s="40" t="s">
        <v>410</v>
      </c>
      <c r="Y311" s="41">
        <v>44677.565972222219</v>
      </c>
      <c r="Z311" s="41">
        <v>44676.5</v>
      </c>
      <c r="AA311" s="41"/>
      <c r="AB311" s="41">
        <v>44678.5</v>
      </c>
      <c r="AC311" s="40" t="s">
        <v>1201</v>
      </c>
      <c r="AD311" s="40">
        <v>12476</v>
      </c>
      <c r="AE311" s="40">
        <v>5869</v>
      </c>
      <c r="AF311" s="40">
        <v>1428</v>
      </c>
      <c r="AG311" s="40" t="s">
        <v>1296</v>
      </c>
      <c r="AH311" s="40"/>
      <c r="AI311" s="41"/>
      <c r="AJ311" s="40"/>
      <c r="AK311" s="43"/>
      <c r="AL311" s="40"/>
      <c r="AM311" s="43">
        <v>0</v>
      </c>
      <c r="AN311" s="43"/>
      <c r="AO311" s="43"/>
      <c r="AP311" s="43"/>
      <c r="AQ311" s="43">
        <v>0</v>
      </c>
      <c r="AR311" s="43">
        <v>0</v>
      </c>
      <c r="AS311" s="43"/>
      <c r="AT311" s="43">
        <v>0</v>
      </c>
      <c r="AU311" s="43"/>
      <c r="AV311" s="43"/>
      <c r="AW311" s="43"/>
      <c r="AX311" s="43">
        <v>0</v>
      </c>
      <c r="AY311" s="43">
        <v>0</v>
      </c>
      <c r="AZ311" s="43">
        <v>0</v>
      </c>
      <c r="BA311" s="43">
        <v>0</v>
      </c>
      <c r="BB311" s="43">
        <v>0</v>
      </c>
      <c r="BC311" s="43">
        <v>0</v>
      </c>
      <c r="BD311" s="43">
        <v>0</v>
      </c>
      <c r="BE311" s="43">
        <v>0</v>
      </c>
      <c r="BF311" s="43">
        <v>0</v>
      </c>
      <c r="BG311" s="43">
        <v>0</v>
      </c>
      <c r="BH311" s="43">
        <v>0</v>
      </c>
      <c r="BI311" s="40" t="s">
        <v>1121</v>
      </c>
      <c r="BJ311" s="40">
        <v>2022</v>
      </c>
      <c r="BK311" s="40" t="s">
        <v>2768</v>
      </c>
      <c r="BL311" s="40" t="s">
        <v>2768</v>
      </c>
      <c r="BM311" s="40" t="s">
        <v>125</v>
      </c>
    </row>
    <row r="312" spans="1:65" x14ac:dyDescent="0.25">
      <c r="A312" s="40" t="s">
        <v>2771</v>
      </c>
      <c r="B312" s="41">
        <v>44676.291666666664</v>
      </c>
      <c r="C312" s="40" t="s">
        <v>353</v>
      </c>
      <c r="D312" s="40" t="s">
        <v>1196</v>
      </c>
      <c r="E312" s="40">
        <v>7503630</v>
      </c>
      <c r="F312" s="40">
        <v>69135592</v>
      </c>
      <c r="G312" s="40" t="s">
        <v>1297</v>
      </c>
      <c r="H312" s="40" t="s">
        <v>301</v>
      </c>
      <c r="I312" s="40">
        <v>3680</v>
      </c>
      <c r="J312" s="40" t="s">
        <v>1298</v>
      </c>
      <c r="K312" s="40">
        <v>24922</v>
      </c>
      <c r="L312" s="40">
        <v>28602</v>
      </c>
      <c r="M312" s="40" t="s">
        <v>1299</v>
      </c>
      <c r="N312" s="40" t="s">
        <v>1200</v>
      </c>
      <c r="O312" s="40" t="s">
        <v>102</v>
      </c>
      <c r="P312" s="40" t="s">
        <v>1300</v>
      </c>
      <c r="Q312" s="40" t="s">
        <v>103</v>
      </c>
      <c r="R312" s="42" t="s">
        <v>104</v>
      </c>
      <c r="S312" s="42">
        <v>4307254422</v>
      </c>
      <c r="T312" s="40" t="s">
        <v>292</v>
      </c>
      <c r="U312" s="41">
        <v>44674.571527777778</v>
      </c>
      <c r="V312" s="41">
        <v>44677.25</v>
      </c>
      <c r="W312" s="41">
        <v>44677.770833333336</v>
      </c>
      <c r="X312" s="40" t="s">
        <v>410</v>
      </c>
      <c r="Y312" s="41">
        <v>44678.070138888892</v>
      </c>
      <c r="Z312" s="41">
        <v>44676.5</v>
      </c>
      <c r="AA312" s="41"/>
      <c r="AB312" s="41">
        <v>44678.5</v>
      </c>
      <c r="AC312" s="40" t="s">
        <v>1201</v>
      </c>
      <c r="AD312" s="40">
        <v>12502</v>
      </c>
      <c r="AE312" s="40">
        <v>5870</v>
      </c>
      <c r="AF312" s="40">
        <v>1429</v>
      </c>
      <c r="AG312" s="40" t="s">
        <v>1301</v>
      </c>
      <c r="AH312" s="40"/>
      <c r="AI312" s="41"/>
      <c r="AJ312" s="40"/>
      <c r="AK312" s="43"/>
      <c r="AL312" s="40"/>
      <c r="AM312" s="43">
        <v>0</v>
      </c>
      <c r="AN312" s="43"/>
      <c r="AO312" s="43"/>
      <c r="AP312" s="43"/>
      <c r="AQ312" s="43">
        <v>0</v>
      </c>
      <c r="AR312" s="43">
        <v>0</v>
      </c>
      <c r="AS312" s="43"/>
      <c r="AT312" s="43">
        <v>0</v>
      </c>
      <c r="AU312" s="43"/>
      <c r="AV312" s="43"/>
      <c r="AW312" s="43"/>
      <c r="AX312" s="43">
        <v>0</v>
      </c>
      <c r="AY312" s="43">
        <v>0</v>
      </c>
      <c r="AZ312" s="43">
        <v>0</v>
      </c>
      <c r="BA312" s="43">
        <v>0</v>
      </c>
      <c r="BB312" s="43">
        <v>0</v>
      </c>
      <c r="BC312" s="43">
        <v>0</v>
      </c>
      <c r="BD312" s="43">
        <v>0</v>
      </c>
      <c r="BE312" s="43">
        <v>0</v>
      </c>
      <c r="BF312" s="43">
        <v>0</v>
      </c>
      <c r="BG312" s="43">
        <v>0</v>
      </c>
      <c r="BH312" s="43">
        <v>0</v>
      </c>
      <c r="BI312" s="40" t="s">
        <v>1121</v>
      </c>
      <c r="BJ312" s="40">
        <v>2022</v>
      </c>
      <c r="BK312" s="40" t="s">
        <v>2768</v>
      </c>
      <c r="BL312" s="40" t="s">
        <v>2768</v>
      </c>
      <c r="BM312" s="40" t="s">
        <v>125</v>
      </c>
    </row>
    <row r="313" spans="1:65" x14ac:dyDescent="0.25">
      <c r="A313" s="40" t="s">
        <v>2771</v>
      </c>
      <c r="B313" s="41">
        <v>44676.291666666664</v>
      </c>
      <c r="C313" s="40" t="s">
        <v>353</v>
      </c>
      <c r="D313" s="40" t="s">
        <v>1196</v>
      </c>
      <c r="E313" s="40">
        <v>7503630</v>
      </c>
      <c r="F313" s="40">
        <v>69135592</v>
      </c>
      <c r="G313" s="40" t="s">
        <v>1302</v>
      </c>
      <c r="H313" s="40" t="s">
        <v>301</v>
      </c>
      <c r="I313" s="40">
        <v>3830</v>
      </c>
      <c r="J313" s="40" t="s">
        <v>1303</v>
      </c>
      <c r="K313" s="40">
        <v>24309</v>
      </c>
      <c r="L313" s="40">
        <v>28139</v>
      </c>
      <c r="M313" s="40" t="s">
        <v>1304</v>
      </c>
      <c r="N313" s="40" t="s">
        <v>1200</v>
      </c>
      <c r="O313" s="40" t="s">
        <v>578</v>
      </c>
      <c r="P313" s="40" t="s">
        <v>579</v>
      </c>
      <c r="Q313" s="40" t="s">
        <v>580</v>
      </c>
      <c r="R313" s="42" t="s">
        <v>581</v>
      </c>
      <c r="S313" s="42">
        <v>2814273782</v>
      </c>
      <c r="T313" s="40" t="s">
        <v>292</v>
      </c>
      <c r="U313" s="41">
        <v>44674.5</v>
      </c>
      <c r="V313" s="41">
        <v>44676.25</v>
      </c>
      <c r="W313" s="41">
        <v>44677.345833333333</v>
      </c>
      <c r="X313" s="40" t="s">
        <v>410</v>
      </c>
      <c r="Y313" s="41">
        <v>44677.345833333333</v>
      </c>
      <c r="Z313" s="41">
        <v>44676.5</v>
      </c>
      <c r="AA313" s="41"/>
      <c r="AB313" s="41">
        <v>44678.5</v>
      </c>
      <c r="AC313" s="40" t="s">
        <v>1201</v>
      </c>
      <c r="AD313" s="40">
        <v>12477</v>
      </c>
      <c r="AE313" s="40">
        <v>5871</v>
      </c>
      <c r="AF313" s="40">
        <v>1430</v>
      </c>
      <c r="AG313" s="40" t="s">
        <v>1305</v>
      </c>
      <c r="AH313" s="40"/>
      <c r="AI313" s="41"/>
      <c r="AJ313" s="40"/>
      <c r="AK313" s="43"/>
      <c r="AL313" s="40"/>
      <c r="AM313" s="43">
        <v>0</v>
      </c>
      <c r="AN313" s="43"/>
      <c r="AO313" s="43"/>
      <c r="AP313" s="43"/>
      <c r="AQ313" s="43">
        <v>0</v>
      </c>
      <c r="AR313" s="43">
        <v>0</v>
      </c>
      <c r="AS313" s="43"/>
      <c r="AT313" s="43">
        <v>0</v>
      </c>
      <c r="AU313" s="43"/>
      <c r="AV313" s="43"/>
      <c r="AW313" s="43"/>
      <c r="AX313" s="43">
        <v>0</v>
      </c>
      <c r="AY313" s="43">
        <v>0</v>
      </c>
      <c r="AZ313" s="43">
        <v>0</v>
      </c>
      <c r="BA313" s="43">
        <v>0</v>
      </c>
      <c r="BB313" s="43">
        <v>0</v>
      </c>
      <c r="BC313" s="43">
        <v>0</v>
      </c>
      <c r="BD313" s="43">
        <v>0</v>
      </c>
      <c r="BE313" s="43">
        <v>0</v>
      </c>
      <c r="BF313" s="43">
        <v>0</v>
      </c>
      <c r="BG313" s="43">
        <v>0</v>
      </c>
      <c r="BH313" s="43">
        <v>0</v>
      </c>
      <c r="BI313" s="40" t="s">
        <v>1121</v>
      </c>
      <c r="BJ313" s="40">
        <v>2022</v>
      </c>
      <c r="BK313" s="40" t="s">
        <v>2768</v>
      </c>
      <c r="BL313" s="40" t="s">
        <v>2768</v>
      </c>
      <c r="BM313" s="40" t="s">
        <v>125</v>
      </c>
    </row>
    <row r="314" spans="1:65" x14ac:dyDescent="0.25">
      <c r="A314" s="40" t="s">
        <v>2771</v>
      </c>
      <c r="B314" s="41">
        <v>44676.291666666664</v>
      </c>
      <c r="C314" s="40" t="s">
        <v>353</v>
      </c>
      <c r="D314" s="40" t="s">
        <v>1196</v>
      </c>
      <c r="E314" s="40">
        <v>7503630</v>
      </c>
      <c r="F314" s="40">
        <v>69135592</v>
      </c>
      <c r="G314" s="40" t="s">
        <v>1306</v>
      </c>
      <c r="H314" s="40" t="s">
        <v>301</v>
      </c>
      <c r="I314" s="40">
        <v>3900</v>
      </c>
      <c r="J314" s="40" t="s">
        <v>1307</v>
      </c>
      <c r="K314" s="40">
        <v>24922</v>
      </c>
      <c r="L314" s="40">
        <v>28822</v>
      </c>
      <c r="M314" s="40" t="s">
        <v>1308</v>
      </c>
      <c r="N314" s="40" t="s">
        <v>1200</v>
      </c>
      <c r="O314" s="40" t="s">
        <v>482</v>
      </c>
      <c r="P314" s="40" t="s">
        <v>483</v>
      </c>
      <c r="Q314" s="40" t="s">
        <v>1309</v>
      </c>
      <c r="R314" s="42" t="s">
        <v>485</v>
      </c>
      <c r="S314" s="42">
        <v>2401338426</v>
      </c>
      <c r="T314" s="40" t="s">
        <v>292</v>
      </c>
      <c r="U314" s="41">
        <v>44674.5</v>
      </c>
      <c r="V314" s="41">
        <v>44676.25</v>
      </c>
      <c r="W314" s="41">
        <v>44676.625</v>
      </c>
      <c r="X314" s="40" t="s">
        <v>410</v>
      </c>
      <c r="Y314" s="41">
        <v>44677.234722222223</v>
      </c>
      <c r="Z314" s="41">
        <v>44676.5</v>
      </c>
      <c r="AA314" s="41"/>
      <c r="AB314" s="41">
        <v>44678.5</v>
      </c>
      <c r="AC314" s="40" t="s">
        <v>1201</v>
      </c>
      <c r="AD314" s="40">
        <v>12470</v>
      </c>
      <c r="AE314" s="40">
        <v>5872</v>
      </c>
      <c r="AF314" s="40">
        <v>1431</v>
      </c>
      <c r="AG314" s="40" t="s">
        <v>1310</v>
      </c>
      <c r="AH314" s="40"/>
      <c r="AI314" s="41"/>
      <c r="AJ314" s="40"/>
      <c r="AK314" s="43"/>
      <c r="AL314" s="40"/>
      <c r="AM314" s="43">
        <v>0</v>
      </c>
      <c r="AN314" s="43"/>
      <c r="AO314" s="43"/>
      <c r="AP314" s="43"/>
      <c r="AQ314" s="43">
        <v>0</v>
      </c>
      <c r="AR314" s="43">
        <v>0</v>
      </c>
      <c r="AS314" s="43"/>
      <c r="AT314" s="43">
        <v>0</v>
      </c>
      <c r="AU314" s="43"/>
      <c r="AV314" s="43"/>
      <c r="AW314" s="43"/>
      <c r="AX314" s="43">
        <v>0</v>
      </c>
      <c r="AY314" s="43">
        <v>0</v>
      </c>
      <c r="AZ314" s="43">
        <v>0</v>
      </c>
      <c r="BA314" s="43">
        <v>0</v>
      </c>
      <c r="BB314" s="43">
        <v>0</v>
      </c>
      <c r="BC314" s="43">
        <v>0</v>
      </c>
      <c r="BD314" s="43">
        <v>0</v>
      </c>
      <c r="BE314" s="43">
        <v>0</v>
      </c>
      <c r="BF314" s="43">
        <v>0</v>
      </c>
      <c r="BG314" s="43">
        <v>0</v>
      </c>
      <c r="BH314" s="43">
        <v>0</v>
      </c>
      <c r="BI314" s="40" t="s">
        <v>1121</v>
      </c>
      <c r="BJ314" s="40">
        <v>2022</v>
      </c>
      <c r="BK314" s="40" t="s">
        <v>2768</v>
      </c>
      <c r="BL314" s="40" t="s">
        <v>2768</v>
      </c>
      <c r="BM314" s="40" t="s">
        <v>125</v>
      </c>
    </row>
    <row r="315" spans="1:65" x14ac:dyDescent="0.25">
      <c r="A315" s="40" t="s">
        <v>2771</v>
      </c>
      <c r="B315" s="41">
        <v>44676.291666666664</v>
      </c>
      <c r="C315" s="40" t="s">
        <v>353</v>
      </c>
      <c r="D315" s="40" t="s">
        <v>1196</v>
      </c>
      <c r="E315" s="40">
        <v>7503664</v>
      </c>
      <c r="F315" s="40">
        <v>66468930</v>
      </c>
      <c r="G315" s="40" t="s">
        <v>1311</v>
      </c>
      <c r="H315" s="40" t="s">
        <v>301</v>
      </c>
      <c r="I315" s="40">
        <v>4090</v>
      </c>
      <c r="J315" s="40" t="s">
        <v>1312</v>
      </c>
      <c r="K315" s="40">
        <v>24922</v>
      </c>
      <c r="L315" s="40">
        <v>29012</v>
      </c>
      <c r="M315" s="40" t="s">
        <v>1313</v>
      </c>
      <c r="N315" s="40" t="s">
        <v>1200</v>
      </c>
      <c r="O315" s="40" t="s">
        <v>68</v>
      </c>
      <c r="P315" s="40" t="s">
        <v>36</v>
      </c>
      <c r="Q315" s="40" t="s">
        <v>203</v>
      </c>
      <c r="R315" s="42" t="s">
        <v>204</v>
      </c>
      <c r="S315" s="42">
        <v>1965794851</v>
      </c>
      <c r="T315" s="40" t="s">
        <v>292</v>
      </c>
      <c r="U315" s="41">
        <v>44673.833333333336</v>
      </c>
      <c r="V315" s="41">
        <v>44675.870833333334</v>
      </c>
      <c r="W315" s="41">
        <v>44676.5</v>
      </c>
      <c r="X315" s="40" t="s">
        <v>410</v>
      </c>
      <c r="Y315" s="41">
        <v>44676.908333333333</v>
      </c>
      <c r="Z315" s="41">
        <v>44676.5</v>
      </c>
      <c r="AA315" s="41"/>
      <c r="AB315" s="41">
        <v>44678.5</v>
      </c>
      <c r="AC315" s="40" t="s">
        <v>1201</v>
      </c>
      <c r="AD315" s="40">
        <v>12462</v>
      </c>
      <c r="AE315" s="40">
        <v>5864</v>
      </c>
      <c r="AF315" s="40">
        <v>1433</v>
      </c>
      <c r="AG315" s="40" t="s">
        <v>1314</v>
      </c>
      <c r="AH315" s="40"/>
      <c r="AI315" s="41"/>
      <c r="AJ315" s="40"/>
      <c r="AK315" s="43"/>
      <c r="AL315" s="40"/>
      <c r="AM315" s="43">
        <v>0</v>
      </c>
      <c r="AN315" s="43"/>
      <c r="AO315" s="43"/>
      <c r="AP315" s="43"/>
      <c r="AQ315" s="43">
        <v>0</v>
      </c>
      <c r="AR315" s="43">
        <v>0</v>
      </c>
      <c r="AS315" s="43"/>
      <c r="AT315" s="43">
        <v>0</v>
      </c>
      <c r="AU315" s="43"/>
      <c r="AV315" s="43"/>
      <c r="AW315" s="43"/>
      <c r="AX315" s="43">
        <v>0</v>
      </c>
      <c r="AY315" s="43">
        <v>0</v>
      </c>
      <c r="AZ315" s="43">
        <v>0</v>
      </c>
      <c r="BA315" s="43">
        <v>0</v>
      </c>
      <c r="BB315" s="43">
        <v>0</v>
      </c>
      <c r="BC315" s="43">
        <v>0</v>
      </c>
      <c r="BD315" s="43">
        <v>0</v>
      </c>
      <c r="BE315" s="43">
        <v>0</v>
      </c>
      <c r="BF315" s="43">
        <v>0</v>
      </c>
      <c r="BG315" s="43">
        <v>0</v>
      </c>
      <c r="BH315" s="43">
        <v>0</v>
      </c>
      <c r="BI315" s="40" t="s">
        <v>1121</v>
      </c>
      <c r="BJ315" s="40">
        <v>2022</v>
      </c>
      <c r="BK315" s="40" t="s">
        <v>2768</v>
      </c>
      <c r="BL315" s="40" t="s">
        <v>2768</v>
      </c>
      <c r="BM315" s="40" t="s">
        <v>125</v>
      </c>
    </row>
    <row r="316" spans="1:65" x14ac:dyDescent="0.25">
      <c r="A316" s="40" t="s">
        <v>2771</v>
      </c>
      <c r="B316" s="41">
        <v>44676.291666666664</v>
      </c>
      <c r="C316" s="40" t="s">
        <v>353</v>
      </c>
      <c r="D316" s="40" t="s">
        <v>1196</v>
      </c>
      <c r="E316" s="40">
        <v>7503664</v>
      </c>
      <c r="F316" s="40">
        <v>66468930</v>
      </c>
      <c r="G316" s="40" t="s">
        <v>1315</v>
      </c>
      <c r="H316" s="40" t="s">
        <v>301</v>
      </c>
      <c r="I316" s="40">
        <v>3950</v>
      </c>
      <c r="J316" s="40" t="s">
        <v>1316</v>
      </c>
      <c r="K316" s="40">
        <v>24922</v>
      </c>
      <c r="L316" s="40">
        <v>28872</v>
      </c>
      <c r="M316" s="40" t="s">
        <v>1317</v>
      </c>
      <c r="N316" s="40" t="s">
        <v>1200</v>
      </c>
      <c r="O316" s="40" t="s">
        <v>31</v>
      </c>
      <c r="P316" s="40" t="s">
        <v>32</v>
      </c>
      <c r="Q316" s="40" t="s">
        <v>33</v>
      </c>
      <c r="R316" s="42" t="s">
        <v>34</v>
      </c>
      <c r="S316" s="42">
        <v>1258979905</v>
      </c>
      <c r="T316" s="40" t="s">
        <v>292</v>
      </c>
      <c r="U316" s="41">
        <v>44673.833333333336</v>
      </c>
      <c r="V316" s="41">
        <v>44677.208333333336</v>
      </c>
      <c r="W316" s="41">
        <v>44677.479166666664</v>
      </c>
      <c r="X316" s="40" t="s">
        <v>410</v>
      </c>
      <c r="Y316" s="41">
        <v>44677.905555555553</v>
      </c>
      <c r="Z316" s="41">
        <v>44676.5</v>
      </c>
      <c r="AA316" s="41"/>
      <c r="AB316" s="41">
        <v>44678.5</v>
      </c>
      <c r="AC316" s="40" t="s">
        <v>1201</v>
      </c>
      <c r="AD316" s="40">
        <v>12496</v>
      </c>
      <c r="AE316" s="40">
        <v>5865</v>
      </c>
      <c r="AF316" s="40">
        <v>1434</v>
      </c>
      <c r="AG316" s="40" t="s">
        <v>1318</v>
      </c>
      <c r="AH316" s="40"/>
      <c r="AI316" s="41"/>
      <c r="AJ316" s="40"/>
      <c r="AK316" s="43"/>
      <c r="AL316" s="40"/>
      <c r="AM316" s="43">
        <v>0</v>
      </c>
      <c r="AN316" s="43"/>
      <c r="AO316" s="43"/>
      <c r="AP316" s="43"/>
      <c r="AQ316" s="43">
        <v>0</v>
      </c>
      <c r="AR316" s="43">
        <v>0</v>
      </c>
      <c r="AS316" s="43"/>
      <c r="AT316" s="43">
        <v>0</v>
      </c>
      <c r="AU316" s="43"/>
      <c r="AV316" s="43"/>
      <c r="AW316" s="43"/>
      <c r="AX316" s="43">
        <v>0</v>
      </c>
      <c r="AY316" s="43">
        <v>0</v>
      </c>
      <c r="AZ316" s="43">
        <v>0</v>
      </c>
      <c r="BA316" s="43">
        <v>0</v>
      </c>
      <c r="BB316" s="43">
        <v>0</v>
      </c>
      <c r="BC316" s="43">
        <v>0</v>
      </c>
      <c r="BD316" s="43">
        <v>0</v>
      </c>
      <c r="BE316" s="43">
        <v>0</v>
      </c>
      <c r="BF316" s="43">
        <v>0</v>
      </c>
      <c r="BG316" s="43">
        <v>0</v>
      </c>
      <c r="BH316" s="43">
        <v>0</v>
      </c>
      <c r="BI316" s="40" t="s">
        <v>1121</v>
      </c>
      <c r="BJ316" s="40">
        <v>2022</v>
      </c>
      <c r="BK316" s="40" t="s">
        <v>2768</v>
      </c>
      <c r="BL316" s="40" t="s">
        <v>2768</v>
      </c>
      <c r="BM316" s="40" t="s">
        <v>125</v>
      </c>
    </row>
    <row r="317" spans="1:65" x14ac:dyDescent="0.25">
      <c r="A317" s="40" t="s">
        <v>2771</v>
      </c>
      <c r="B317" s="41">
        <v>44676.291666666664</v>
      </c>
      <c r="C317" s="40" t="s">
        <v>353</v>
      </c>
      <c r="D317" s="40" t="s">
        <v>1196</v>
      </c>
      <c r="E317" s="40">
        <v>7503664</v>
      </c>
      <c r="F317" s="40">
        <v>66468930</v>
      </c>
      <c r="G317" s="40" t="s">
        <v>1319</v>
      </c>
      <c r="H317" s="40" t="s">
        <v>301</v>
      </c>
      <c r="I317" s="40">
        <v>3700</v>
      </c>
      <c r="J317" s="40" t="s">
        <v>1320</v>
      </c>
      <c r="K317" s="40">
        <v>24922</v>
      </c>
      <c r="L317" s="40">
        <v>28622</v>
      </c>
      <c r="M317" s="40" t="s">
        <v>1321</v>
      </c>
      <c r="N317" s="40" t="s">
        <v>1200</v>
      </c>
      <c r="O317" s="40" t="s">
        <v>72</v>
      </c>
      <c r="P317" s="40" t="s">
        <v>73</v>
      </c>
      <c r="Q317" s="40"/>
      <c r="R317" s="42"/>
      <c r="S317" s="42"/>
      <c r="T317" s="40" t="s">
        <v>292</v>
      </c>
      <c r="U317" s="41">
        <v>44673.833333333336</v>
      </c>
      <c r="V317" s="41">
        <v>44676.5</v>
      </c>
      <c r="W317" s="41">
        <v>44676.916666666664</v>
      </c>
      <c r="X317" s="40" t="s">
        <v>410</v>
      </c>
      <c r="Y317" s="41">
        <v>44677.679166666669</v>
      </c>
      <c r="Z317" s="41">
        <v>44676.5</v>
      </c>
      <c r="AA317" s="41"/>
      <c r="AB317" s="41">
        <v>44678.5</v>
      </c>
      <c r="AC317" s="40" t="s">
        <v>1201</v>
      </c>
      <c r="AD317" s="40">
        <v>12478</v>
      </c>
      <c r="AE317" s="40">
        <v>5866</v>
      </c>
      <c r="AF317" s="40">
        <v>1435</v>
      </c>
      <c r="AG317" s="40" t="s">
        <v>1322</v>
      </c>
      <c r="AH317" s="40"/>
      <c r="AI317" s="41"/>
      <c r="AJ317" s="40"/>
      <c r="AK317" s="43"/>
      <c r="AL317" s="40"/>
      <c r="AM317" s="43">
        <v>0</v>
      </c>
      <c r="AN317" s="43"/>
      <c r="AO317" s="43"/>
      <c r="AP317" s="43"/>
      <c r="AQ317" s="43">
        <v>0</v>
      </c>
      <c r="AR317" s="43">
        <v>0</v>
      </c>
      <c r="AS317" s="43"/>
      <c r="AT317" s="43">
        <v>0</v>
      </c>
      <c r="AU317" s="43"/>
      <c r="AV317" s="43"/>
      <c r="AW317" s="43"/>
      <c r="AX317" s="43">
        <v>0</v>
      </c>
      <c r="AY317" s="43">
        <v>0</v>
      </c>
      <c r="AZ317" s="43">
        <v>0</v>
      </c>
      <c r="BA317" s="43">
        <v>0</v>
      </c>
      <c r="BB317" s="43">
        <v>0</v>
      </c>
      <c r="BC317" s="43">
        <v>0</v>
      </c>
      <c r="BD317" s="43">
        <v>0</v>
      </c>
      <c r="BE317" s="43">
        <v>0</v>
      </c>
      <c r="BF317" s="43">
        <v>0</v>
      </c>
      <c r="BG317" s="43">
        <v>0</v>
      </c>
      <c r="BH317" s="43">
        <v>0</v>
      </c>
      <c r="BI317" s="40" t="s">
        <v>1121</v>
      </c>
      <c r="BJ317" s="40">
        <v>2022</v>
      </c>
      <c r="BK317" s="40" t="s">
        <v>2768</v>
      </c>
      <c r="BL317" s="40" t="s">
        <v>2768</v>
      </c>
      <c r="BM317" s="40" t="s">
        <v>125</v>
      </c>
    </row>
    <row r="318" spans="1:65" x14ac:dyDescent="0.25">
      <c r="A318" s="40" t="s">
        <v>2771</v>
      </c>
      <c r="B318" s="41">
        <v>44676.291666666664</v>
      </c>
      <c r="C318" s="40" t="s">
        <v>353</v>
      </c>
      <c r="D318" s="40" t="s">
        <v>1196</v>
      </c>
      <c r="E318" s="40">
        <v>7503664</v>
      </c>
      <c r="F318" s="40">
        <v>66468930</v>
      </c>
      <c r="G318" s="40" t="s">
        <v>1323</v>
      </c>
      <c r="H318" s="40" t="s">
        <v>301</v>
      </c>
      <c r="I318" s="40">
        <v>3840</v>
      </c>
      <c r="J318" s="40" t="s">
        <v>1324</v>
      </c>
      <c r="K318" s="40">
        <v>24922</v>
      </c>
      <c r="L318" s="40">
        <v>28762</v>
      </c>
      <c r="M318" s="40" t="s">
        <v>1325</v>
      </c>
      <c r="N318" s="40" t="s">
        <v>1200</v>
      </c>
      <c r="O318" s="40" t="s">
        <v>155</v>
      </c>
      <c r="P318" s="40" t="s">
        <v>312</v>
      </c>
      <c r="Q318" s="40" t="s">
        <v>445</v>
      </c>
      <c r="R318" s="42" t="s">
        <v>618</v>
      </c>
      <c r="S318" s="42">
        <v>3044953484</v>
      </c>
      <c r="T318" s="40" t="s">
        <v>292</v>
      </c>
      <c r="U318" s="41">
        <v>44673.833333333336</v>
      </c>
      <c r="V318" s="41">
        <v>44676.25</v>
      </c>
      <c r="W318" s="41">
        <v>44676.527777777781</v>
      </c>
      <c r="X318" s="40" t="s">
        <v>410</v>
      </c>
      <c r="Y318" s="41">
        <v>44676.919444444444</v>
      </c>
      <c r="Z318" s="41">
        <v>44676.5</v>
      </c>
      <c r="AA318" s="41"/>
      <c r="AB318" s="41">
        <v>44678.5</v>
      </c>
      <c r="AC318" s="40" t="s">
        <v>1201</v>
      </c>
      <c r="AD318" s="40">
        <v>12464</v>
      </c>
      <c r="AE318" s="40">
        <v>5867</v>
      </c>
      <c r="AF318" s="40">
        <v>1436</v>
      </c>
      <c r="AG318" s="40" t="s">
        <v>1326</v>
      </c>
      <c r="AH318" s="40"/>
      <c r="AI318" s="41"/>
      <c r="AJ318" s="40"/>
      <c r="AK318" s="43"/>
      <c r="AL318" s="40"/>
      <c r="AM318" s="43">
        <v>0</v>
      </c>
      <c r="AN318" s="43"/>
      <c r="AO318" s="43"/>
      <c r="AP318" s="43"/>
      <c r="AQ318" s="43">
        <v>0</v>
      </c>
      <c r="AR318" s="43">
        <v>0</v>
      </c>
      <c r="AS318" s="43"/>
      <c r="AT318" s="43">
        <v>0</v>
      </c>
      <c r="AU318" s="43"/>
      <c r="AV318" s="43"/>
      <c r="AW318" s="43"/>
      <c r="AX318" s="43">
        <v>0</v>
      </c>
      <c r="AY318" s="43">
        <v>0</v>
      </c>
      <c r="AZ318" s="43">
        <v>0</v>
      </c>
      <c r="BA318" s="43">
        <v>0</v>
      </c>
      <c r="BB318" s="43">
        <v>0</v>
      </c>
      <c r="BC318" s="43">
        <v>0</v>
      </c>
      <c r="BD318" s="43">
        <v>0</v>
      </c>
      <c r="BE318" s="43">
        <v>0</v>
      </c>
      <c r="BF318" s="43">
        <v>0</v>
      </c>
      <c r="BG318" s="43">
        <v>0</v>
      </c>
      <c r="BH318" s="43">
        <v>0</v>
      </c>
      <c r="BI318" s="40" t="s">
        <v>1121</v>
      </c>
      <c r="BJ318" s="40">
        <v>2022</v>
      </c>
      <c r="BK318" s="40" t="s">
        <v>2768</v>
      </c>
      <c r="BL318" s="40" t="s">
        <v>2768</v>
      </c>
      <c r="BM318" s="40" t="s">
        <v>125</v>
      </c>
    </row>
    <row r="319" spans="1:65" x14ac:dyDescent="0.25">
      <c r="A319" s="40" t="s">
        <v>2771</v>
      </c>
      <c r="B319" s="41">
        <v>44676.291666666664</v>
      </c>
      <c r="C319" s="40" t="s">
        <v>353</v>
      </c>
      <c r="D319" s="40" t="s">
        <v>1196</v>
      </c>
      <c r="E319" s="40">
        <v>7503664</v>
      </c>
      <c r="F319" s="40">
        <v>66468930</v>
      </c>
      <c r="G319" s="40" t="s">
        <v>1327</v>
      </c>
      <c r="H319" s="40" t="s">
        <v>301</v>
      </c>
      <c r="I319" s="40">
        <v>3850</v>
      </c>
      <c r="J319" s="40" t="s">
        <v>1328</v>
      </c>
      <c r="K319" s="40">
        <v>24922</v>
      </c>
      <c r="L319" s="40">
        <v>28772</v>
      </c>
      <c r="M319" s="40" t="s">
        <v>1329</v>
      </c>
      <c r="N319" s="40" t="s">
        <v>1200</v>
      </c>
      <c r="O319" s="40" t="s">
        <v>119</v>
      </c>
      <c r="P319" s="40" t="s">
        <v>120</v>
      </c>
      <c r="Q319" s="40" t="s">
        <v>121</v>
      </c>
      <c r="R319" s="42" t="s">
        <v>122</v>
      </c>
      <c r="S319" s="42">
        <v>3565076543</v>
      </c>
      <c r="T319" s="40" t="s">
        <v>292</v>
      </c>
      <c r="U319" s="41">
        <v>44673.833333333336</v>
      </c>
      <c r="V319" s="41">
        <v>44676.25</v>
      </c>
      <c r="W319" s="41">
        <v>44676.583333333336</v>
      </c>
      <c r="X319" s="40" t="s">
        <v>410</v>
      </c>
      <c r="Y319" s="41">
        <v>44677.130555555559</v>
      </c>
      <c r="Z319" s="41">
        <v>44676.5</v>
      </c>
      <c r="AA319" s="41"/>
      <c r="AB319" s="41">
        <v>44678.5</v>
      </c>
      <c r="AC319" s="40" t="s">
        <v>1201</v>
      </c>
      <c r="AD319" s="40">
        <v>12471</v>
      </c>
      <c r="AE319" s="40">
        <v>5868</v>
      </c>
      <c r="AF319" s="40">
        <v>1432</v>
      </c>
      <c r="AG319" s="40" t="s">
        <v>1330</v>
      </c>
      <c r="AH319" s="40"/>
      <c r="AI319" s="41"/>
      <c r="AJ319" s="40"/>
      <c r="AK319" s="43"/>
      <c r="AL319" s="40"/>
      <c r="AM319" s="43">
        <v>0</v>
      </c>
      <c r="AN319" s="43"/>
      <c r="AO319" s="43"/>
      <c r="AP319" s="43"/>
      <c r="AQ319" s="43">
        <v>0</v>
      </c>
      <c r="AR319" s="43">
        <v>0</v>
      </c>
      <c r="AS319" s="43"/>
      <c r="AT319" s="43">
        <v>0</v>
      </c>
      <c r="AU319" s="43"/>
      <c r="AV319" s="43"/>
      <c r="AW319" s="43"/>
      <c r="AX319" s="43">
        <v>0</v>
      </c>
      <c r="AY319" s="43">
        <v>0</v>
      </c>
      <c r="AZ319" s="43">
        <v>0</v>
      </c>
      <c r="BA319" s="43">
        <v>0</v>
      </c>
      <c r="BB319" s="43">
        <v>0</v>
      </c>
      <c r="BC319" s="43">
        <v>0</v>
      </c>
      <c r="BD319" s="43">
        <v>0</v>
      </c>
      <c r="BE319" s="43">
        <v>0</v>
      </c>
      <c r="BF319" s="43">
        <v>0</v>
      </c>
      <c r="BG319" s="43">
        <v>0</v>
      </c>
      <c r="BH319" s="43">
        <v>0</v>
      </c>
      <c r="BI319" s="40" t="s">
        <v>1121</v>
      </c>
      <c r="BJ319" s="40">
        <v>2022</v>
      </c>
      <c r="BK319" s="40" t="s">
        <v>2768</v>
      </c>
      <c r="BL319" s="40" t="s">
        <v>2768</v>
      </c>
      <c r="BM319" s="40" t="s">
        <v>125</v>
      </c>
    </row>
    <row r="320" spans="1:65" x14ac:dyDescent="0.25">
      <c r="A320" s="40" t="s">
        <v>2771</v>
      </c>
      <c r="B320" s="41">
        <v>44679.333333333336</v>
      </c>
      <c r="C320" s="40" t="s">
        <v>353</v>
      </c>
      <c r="D320" s="40" t="s">
        <v>400</v>
      </c>
      <c r="E320" s="40"/>
      <c r="F320" s="40" t="s">
        <v>1331</v>
      </c>
      <c r="G320" s="40" t="s">
        <v>1332</v>
      </c>
      <c r="H320" s="40" t="s">
        <v>301</v>
      </c>
      <c r="I320" s="40">
        <v>3300</v>
      </c>
      <c r="J320" s="40" t="s">
        <v>1333</v>
      </c>
      <c r="K320" s="40"/>
      <c r="L320" s="40">
        <v>3300</v>
      </c>
      <c r="M320" s="40" t="s">
        <v>1334</v>
      </c>
      <c r="N320" s="40" t="s">
        <v>1335</v>
      </c>
      <c r="O320" s="40" t="s">
        <v>793</v>
      </c>
      <c r="P320" s="40" t="s">
        <v>48</v>
      </c>
      <c r="Q320" s="40" t="s">
        <v>795</v>
      </c>
      <c r="R320" s="42" t="s">
        <v>796</v>
      </c>
      <c r="S320" s="42">
        <v>2479809718</v>
      </c>
      <c r="T320" s="40" t="s">
        <v>537</v>
      </c>
      <c r="U320" s="41"/>
      <c r="V320" s="41"/>
      <c r="W320" s="41"/>
      <c r="X320" s="40" t="s">
        <v>293</v>
      </c>
      <c r="Y320" s="41">
        <v>44684.898611111108</v>
      </c>
      <c r="Z320" s="41"/>
      <c r="AA320" s="41"/>
      <c r="AB320" s="41"/>
      <c r="AC320" s="40" t="s">
        <v>616</v>
      </c>
      <c r="AD320" s="40" t="s">
        <v>1336</v>
      </c>
      <c r="AE320" s="40">
        <v>5909</v>
      </c>
      <c r="AF320" s="40">
        <v>1440</v>
      </c>
      <c r="AG320" s="40"/>
      <c r="AH320" s="40" t="s">
        <v>393</v>
      </c>
      <c r="AI320" s="41"/>
      <c r="AJ320" s="40"/>
      <c r="AK320" s="43">
        <v>950</v>
      </c>
      <c r="AL320" s="40"/>
      <c r="AM320" s="43">
        <v>0</v>
      </c>
      <c r="AN320" s="43"/>
      <c r="AO320" s="43"/>
      <c r="AP320" s="43"/>
      <c r="AQ320" s="43">
        <v>0</v>
      </c>
      <c r="AR320" s="43">
        <v>0</v>
      </c>
      <c r="AS320" s="43"/>
      <c r="AT320" s="43">
        <v>0</v>
      </c>
      <c r="AU320" s="43"/>
      <c r="AV320" s="43"/>
      <c r="AW320" s="43"/>
      <c r="AX320" s="43">
        <v>0</v>
      </c>
      <c r="AY320" s="43">
        <v>0</v>
      </c>
      <c r="AZ320" s="43">
        <v>0</v>
      </c>
      <c r="BA320" s="43">
        <v>0</v>
      </c>
      <c r="BB320" s="43">
        <v>0</v>
      </c>
      <c r="BC320" s="43">
        <v>0</v>
      </c>
      <c r="BD320" s="43">
        <v>0</v>
      </c>
      <c r="BE320" s="43">
        <v>0</v>
      </c>
      <c r="BF320" s="43">
        <v>0</v>
      </c>
      <c r="BG320" s="43">
        <v>0</v>
      </c>
      <c r="BH320" s="43">
        <v>0</v>
      </c>
      <c r="BI320" s="40" t="s">
        <v>453</v>
      </c>
      <c r="BJ320" s="40">
        <v>1900</v>
      </c>
      <c r="BK320" s="40" t="s">
        <v>2768</v>
      </c>
      <c r="BL320" s="40" t="s">
        <v>2768</v>
      </c>
      <c r="BM320" s="40" t="s">
        <v>2768</v>
      </c>
    </row>
    <row r="321" spans="1:65" x14ac:dyDescent="0.25">
      <c r="A321" s="40" t="s">
        <v>2771</v>
      </c>
      <c r="B321" s="41">
        <v>44679.291666666664</v>
      </c>
      <c r="C321" s="40" t="s">
        <v>1337</v>
      </c>
      <c r="D321" s="40" t="s">
        <v>354</v>
      </c>
      <c r="E321" s="40" t="s">
        <v>1338</v>
      </c>
      <c r="F321" s="40" t="s">
        <v>1339</v>
      </c>
      <c r="G321" s="40" t="s">
        <v>1340</v>
      </c>
      <c r="H321" s="40" t="s">
        <v>301</v>
      </c>
      <c r="I321" s="40">
        <v>3700</v>
      </c>
      <c r="J321" s="40">
        <v>1172054</v>
      </c>
      <c r="K321" s="40"/>
      <c r="L321" s="40">
        <v>3700</v>
      </c>
      <c r="M321" s="40"/>
      <c r="N321" s="40" t="s">
        <v>1341</v>
      </c>
      <c r="O321" s="40" t="s">
        <v>890</v>
      </c>
      <c r="P321" s="40" t="s">
        <v>891</v>
      </c>
      <c r="Q321" s="40" t="s">
        <v>892</v>
      </c>
      <c r="R321" s="42" t="s">
        <v>893</v>
      </c>
      <c r="S321" s="42">
        <v>2537032407</v>
      </c>
      <c r="T321" s="40" t="s">
        <v>526</v>
      </c>
      <c r="U321" s="41">
        <v>44678.833333333336</v>
      </c>
      <c r="V321" s="41">
        <v>44679.25</v>
      </c>
      <c r="W321" s="41">
        <v>44679.625</v>
      </c>
      <c r="X321" s="40" t="s">
        <v>293</v>
      </c>
      <c r="Y321" s="41">
        <v>44679.965277777781</v>
      </c>
      <c r="Z321" s="41"/>
      <c r="AA321" s="41"/>
      <c r="AB321" s="41">
        <v>44681.458333333336</v>
      </c>
      <c r="AC321" s="40" t="s">
        <v>294</v>
      </c>
      <c r="AD321" s="40"/>
      <c r="AE321" s="40">
        <v>5906</v>
      </c>
      <c r="AF321" s="40" t="s">
        <v>125</v>
      </c>
      <c r="AG321" s="40"/>
      <c r="AH321" s="40"/>
      <c r="AI321" s="41"/>
      <c r="AJ321" s="40"/>
      <c r="AK321" s="43"/>
      <c r="AL321" s="40"/>
      <c r="AM321" s="43">
        <v>0</v>
      </c>
      <c r="AN321" s="43">
        <v>3200</v>
      </c>
      <c r="AO321" s="43"/>
      <c r="AP321" s="43">
        <v>200</v>
      </c>
      <c r="AQ321" s="43">
        <v>3400</v>
      </c>
      <c r="AR321" s="43">
        <v>0</v>
      </c>
      <c r="AS321" s="43"/>
      <c r="AT321" s="43">
        <v>0</v>
      </c>
      <c r="AU321" s="43"/>
      <c r="AV321" s="43"/>
      <c r="AW321" s="43"/>
      <c r="AX321" s="43">
        <v>0</v>
      </c>
      <c r="AY321" s="43">
        <v>0</v>
      </c>
      <c r="AZ321" s="43">
        <v>0</v>
      </c>
      <c r="BA321" s="43">
        <v>0</v>
      </c>
      <c r="BB321" s="43">
        <v>0</v>
      </c>
      <c r="BC321" s="43">
        <v>0</v>
      </c>
      <c r="BD321" s="43">
        <v>0</v>
      </c>
      <c r="BE321" s="43">
        <v>0</v>
      </c>
      <c r="BF321" s="43">
        <v>0</v>
      </c>
      <c r="BG321" s="43">
        <v>0</v>
      </c>
      <c r="BH321" s="43">
        <v>0</v>
      </c>
      <c r="BI321" s="40" t="s">
        <v>1121</v>
      </c>
      <c r="BJ321" s="40">
        <v>2022</v>
      </c>
      <c r="BK321" s="40" t="s">
        <v>125</v>
      </c>
      <c r="BL321" s="40" t="s">
        <v>125</v>
      </c>
      <c r="BM321" s="40" t="s">
        <v>125</v>
      </c>
    </row>
    <row r="322" spans="1:65" x14ac:dyDescent="0.25">
      <c r="A322" s="40" t="s">
        <v>2771</v>
      </c>
      <c r="B322" s="41">
        <v>44679.291666666664</v>
      </c>
      <c r="C322" s="40" t="s">
        <v>1337</v>
      </c>
      <c r="D322" s="40" t="s">
        <v>354</v>
      </c>
      <c r="E322" s="40" t="s">
        <v>1338</v>
      </c>
      <c r="F322" s="40" t="s">
        <v>1339</v>
      </c>
      <c r="G322" s="40" t="s">
        <v>1342</v>
      </c>
      <c r="H322" s="40" t="s">
        <v>301</v>
      </c>
      <c r="I322" s="40">
        <v>3890</v>
      </c>
      <c r="J322" s="40">
        <v>1171916</v>
      </c>
      <c r="K322" s="40"/>
      <c r="L322" s="40">
        <v>3890</v>
      </c>
      <c r="M322" s="40"/>
      <c r="N322" s="40" t="s">
        <v>1341</v>
      </c>
      <c r="O322" s="40" t="s">
        <v>140</v>
      </c>
      <c r="P322" s="40" t="s">
        <v>141</v>
      </c>
      <c r="Q322" s="40" t="s">
        <v>89</v>
      </c>
      <c r="R322" s="42" t="s">
        <v>90</v>
      </c>
      <c r="S322" s="42">
        <v>3148346870</v>
      </c>
      <c r="T322" s="40" t="s">
        <v>526</v>
      </c>
      <c r="U322" s="41">
        <v>44679.375</v>
      </c>
      <c r="V322" s="41">
        <v>44679.583333333336</v>
      </c>
      <c r="W322" s="41">
        <v>44679.75</v>
      </c>
      <c r="X322" s="40" t="s">
        <v>293</v>
      </c>
      <c r="Y322" s="41">
        <v>44680.085416666669</v>
      </c>
      <c r="Z322" s="41"/>
      <c r="AA322" s="41"/>
      <c r="AB322" s="41">
        <v>44681.458333333336</v>
      </c>
      <c r="AC322" s="40" t="s">
        <v>294</v>
      </c>
      <c r="AD322" s="40"/>
      <c r="AE322" s="40">
        <v>5907</v>
      </c>
      <c r="AF322" s="40" t="s">
        <v>125</v>
      </c>
      <c r="AG322" s="40"/>
      <c r="AH322" s="40"/>
      <c r="AI322" s="41"/>
      <c r="AJ322" s="40"/>
      <c r="AK322" s="43"/>
      <c r="AL322" s="40"/>
      <c r="AM322" s="43">
        <v>0</v>
      </c>
      <c r="AN322" s="43">
        <v>3200</v>
      </c>
      <c r="AO322" s="43"/>
      <c r="AP322" s="43">
        <v>200</v>
      </c>
      <c r="AQ322" s="43">
        <v>3400</v>
      </c>
      <c r="AR322" s="43">
        <v>0</v>
      </c>
      <c r="AS322" s="43"/>
      <c r="AT322" s="43">
        <v>0</v>
      </c>
      <c r="AU322" s="43"/>
      <c r="AV322" s="43"/>
      <c r="AW322" s="43"/>
      <c r="AX322" s="43">
        <v>0</v>
      </c>
      <c r="AY322" s="43">
        <v>0</v>
      </c>
      <c r="AZ322" s="43">
        <v>0</v>
      </c>
      <c r="BA322" s="43">
        <v>0</v>
      </c>
      <c r="BB322" s="43">
        <v>0</v>
      </c>
      <c r="BC322" s="43">
        <v>0</v>
      </c>
      <c r="BD322" s="43">
        <v>0</v>
      </c>
      <c r="BE322" s="43">
        <v>0</v>
      </c>
      <c r="BF322" s="43">
        <v>0</v>
      </c>
      <c r="BG322" s="43">
        <v>0</v>
      </c>
      <c r="BH322" s="43">
        <v>0</v>
      </c>
      <c r="BI322" s="40" t="s">
        <v>1121</v>
      </c>
      <c r="BJ322" s="40">
        <v>2022</v>
      </c>
      <c r="BK322" s="40" t="s">
        <v>125</v>
      </c>
      <c r="BL322" s="40" t="s">
        <v>125</v>
      </c>
      <c r="BM322" s="40" t="s">
        <v>125</v>
      </c>
    </row>
    <row r="323" spans="1:65" x14ac:dyDescent="0.25">
      <c r="A323" s="40" t="s">
        <v>2771</v>
      </c>
      <c r="B323" s="41">
        <v>44680.333333333336</v>
      </c>
      <c r="C323" s="40" t="s">
        <v>297</v>
      </c>
      <c r="D323" s="40" t="s">
        <v>298</v>
      </c>
      <c r="E323" s="40" t="s">
        <v>1343</v>
      </c>
      <c r="F323" s="40">
        <v>6332915220</v>
      </c>
      <c r="G323" s="40" t="s">
        <v>1344</v>
      </c>
      <c r="H323" s="40" t="s">
        <v>301</v>
      </c>
      <c r="I323" s="40">
        <v>3800</v>
      </c>
      <c r="J323" s="40">
        <v>460687</v>
      </c>
      <c r="K323" s="40"/>
      <c r="L323" s="40">
        <v>3800</v>
      </c>
      <c r="M323" s="40">
        <v>731371</v>
      </c>
      <c r="N323" s="40" t="s">
        <v>1335</v>
      </c>
      <c r="O323" s="40" t="s">
        <v>82</v>
      </c>
      <c r="P323" s="40" t="s">
        <v>83</v>
      </c>
      <c r="Q323" s="40" t="s">
        <v>84</v>
      </c>
      <c r="R323" s="42" t="s">
        <v>85</v>
      </c>
      <c r="S323" s="42" t="s">
        <v>86</v>
      </c>
      <c r="T323" s="40" t="s">
        <v>537</v>
      </c>
      <c r="U323" s="41">
        <v>44679.75</v>
      </c>
      <c r="V323" s="41">
        <v>44680.645833333336</v>
      </c>
      <c r="W323" s="41">
        <v>44680.958333333336</v>
      </c>
      <c r="X323" s="40" t="s">
        <v>293</v>
      </c>
      <c r="Y323" s="41">
        <v>44685.998611111114</v>
      </c>
      <c r="Z323" s="41">
        <v>44684.791666666664</v>
      </c>
      <c r="AA323" s="41">
        <v>44680.5</v>
      </c>
      <c r="AB323" s="41">
        <v>44686.75</v>
      </c>
      <c r="AC323" s="40" t="s">
        <v>1345</v>
      </c>
      <c r="AD323" s="40">
        <v>12563</v>
      </c>
      <c r="AE323" s="40"/>
      <c r="AF323" s="40">
        <v>1441</v>
      </c>
      <c r="AG323" s="40"/>
      <c r="AH323" s="40" t="s">
        <v>393</v>
      </c>
      <c r="AI323" s="41">
        <v>44681.125</v>
      </c>
      <c r="AJ323" s="40"/>
      <c r="AK323" s="43">
        <v>950</v>
      </c>
      <c r="AL323" s="40"/>
      <c r="AM323" s="43">
        <v>0</v>
      </c>
      <c r="AN323" s="43">
        <v>2800</v>
      </c>
      <c r="AO323" s="43"/>
      <c r="AP323" s="43">
        <v>400</v>
      </c>
      <c r="AQ323" s="43">
        <v>3200</v>
      </c>
      <c r="AR323" s="43">
        <v>0</v>
      </c>
      <c r="AS323" s="43"/>
      <c r="AT323" s="43">
        <v>0</v>
      </c>
      <c r="AU323" s="43"/>
      <c r="AV323" s="43"/>
      <c r="AW323" s="43"/>
      <c r="AX323" s="43">
        <v>0</v>
      </c>
      <c r="AY323" s="43">
        <v>0</v>
      </c>
      <c r="AZ323" s="43">
        <v>0</v>
      </c>
      <c r="BA323" s="43">
        <v>0</v>
      </c>
      <c r="BB323" s="43">
        <v>0</v>
      </c>
      <c r="BC323" s="43">
        <v>0</v>
      </c>
      <c r="BD323" s="43">
        <v>0</v>
      </c>
      <c r="BE323" s="43">
        <v>0</v>
      </c>
      <c r="BF323" s="43">
        <v>0</v>
      </c>
      <c r="BG323" s="43">
        <v>0</v>
      </c>
      <c r="BH323" s="43">
        <v>0</v>
      </c>
      <c r="BI323" s="40" t="s">
        <v>1121</v>
      </c>
      <c r="BJ323" s="40">
        <v>2022</v>
      </c>
      <c r="BK323" s="40" t="s">
        <v>2768</v>
      </c>
      <c r="BL323" s="40" t="s">
        <v>2768</v>
      </c>
      <c r="BM323" s="40" t="s">
        <v>125</v>
      </c>
    </row>
    <row r="324" spans="1:65" x14ac:dyDescent="0.25">
      <c r="A324" s="40" t="s">
        <v>2771</v>
      </c>
      <c r="B324" s="41">
        <v>44680.333333333336</v>
      </c>
      <c r="C324" s="40" t="s">
        <v>297</v>
      </c>
      <c r="D324" s="40" t="s">
        <v>298</v>
      </c>
      <c r="E324" s="40" t="s">
        <v>1346</v>
      </c>
      <c r="F324" s="40">
        <v>6332915220</v>
      </c>
      <c r="G324" s="40" t="s">
        <v>1347</v>
      </c>
      <c r="H324" s="40" t="s">
        <v>301</v>
      </c>
      <c r="I324" s="40">
        <v>3700</v>
      </c>
      <c r="J324" s="40">
        <v>460686</v>
      </c>
      <c r="K324" s="40"/>
      <c r="L324" s="40">
        <v>3700</v>
      </c>
      <c r="M324" s="40">
        <v>731333</v>
      </c>
      <c r="N324" s="40" t="s">
        <v>1335</v>
      </c>
      <c r="O324" s="40" t="s">
        <v>164</v>
      </c>
      <c r="P324" s="40" t="s">
        <v>165</v>
      </c>
      <c r="Q324" s="40" t="s">
        <v>166</v>
      </c>
      <c r="R324" s="42" t="s">
        <v>320</v>
      </c>
      <c r="S324" s="42" t="s">
        <v>168</v>
      </c>
      <c r="T324" s="40" t="s">
        <v>537</v>
      </c>
      <c r="U324" s="41">
        <v>44680.375</v>
      </c>
      <c r="V324" s="41">
        <v>44680.333333333336</v>
      </c>
      <c r="W324" s="41">
        <v>44680.770833333336</v>
      </c>
      <c r="X324" s="40" t="s">
        <v>293</v>
      </c>
      <c r="Y324" s="41">
        <v>44686.020833333336</v>
      </c>
      <c r="Z324" s="41">
        <v>44684.791666666664</v>
      </c>
      <c r="AA324" s="41">
        <v>44680.5</v>
      </c>
      <c r="AB324" s="41">
        <v>44686.75</v>
      </c>
      <c r="AC324" s="40" t="s">
        <v>1345</v>
      </c>
      <c r="AD324" s="40">
        <v>12564</v>
      </c>
      <c r="AE324" s="40"/>
      <c r="AF324" s="40">
        <v>1442</v>
      </c>
      <c r="AG324" s="40"/>
      <c r="AH324" s="40" t="s">
        <v>393</v>
      </c>
      <c r="AI324" s="41">
        <v>44680.979166666664</v>
      </c>
      <c r="AJ324" s="40"/>
      <c r="AK324" s="43">
        <v>950</v>
      </c>
      <c r="AL324" s="40"/>
      <c r="AM324" s="43">
        <v>0</v>
      </c>
      <c r="AN324" s="43">
        <v>2800</v>
      </c>
      <c r="AO324" s="43"/>
      <c r="AP324" s="43">
        <v>400</v>
      </c>
      <c r="AQ324" s="43">
        <v>3200</v>
      </c>
      <c r="AR324" s="43">
        <v>0</v>
      </c>
      <c r="AS324" s="43"/>
      <c r="AT324" s="43">
        <v>0</v>
      </c>
      <c r="AU324" s="43"/>
      <c r="AV324" s="43"/>
      <c r="AW324" s="43"/>
      <c r="AX324" s="43">
        <v>0</v>
      </c>
      <c r="AY324" s="43">
        <v>0</v>
      </c>
      <c r="AZ324" s="43">
        <v>0</v>
      </c>
      <c r="BA324" s="43">
        <v>0</v>
      </c>
      <c r="BB324" s="43">
        <v>0</v>
      </c>
      <c r="BC324" s="43">
        <v>0</v>
      </c>
      <c r="BD324" s="43">
        <v>0</v>
      </c>
      <c r="BE324" s="43">
        <v>0</v>
      </c>
      <c r="BF324" s="43">
        <v>0</v>
      </c>
      <c r="BG324" s="43">
        <v>0</v>
      </c>
      <c r="BH324" s="43">
        <v>0</v>
      </c>
      <c r="BI324" s="40" t="s">
        <v>1121</v>
      </c>
      <c r="BJ324" s="40">
        <v>2022</v>
      </c>
      <c r="BK324" s="40" t="s">
        <v>2768</v>
      </c>
      <c r="BL324" s="40" t="s">
        <v>2768</v>
      </c>
      <c r="BM324" s="40" t="s">
        <v>125</v>
      </c>
    </row>
    <row r="325" spans="1:65" x14ac:dyDescent="0.25">
      <c r="A325" s="40" t="s">
        <v>2771</v>
      </c>
      <c r="B325" s="41">
        <v>44680.333333333336</v>
      </c>
      <c r="C325" s="40" t="s">
        <v>297</v>
      </c>
      <c r="D325" s="40" t="s">
        <v>298</v>
      </c>
      <c r="E325" s="40" t="s">
        <v>1348</v>
      </c>
      <c r="F325" s="40">
        <v>6332915220</v>
      </c>
      <c r="G325" s="40" t="s">
        <v>1349</v>
      </c>
      <c r="H325" s="40" t="s">
        <v>301</v>
      </c>
      <c r="I325" s="40">
        <v>3800</v>
      </c>
      <c r="J325" s="40">
        <v>460685</v>
      </c>
      <c r="K325" s="40"/>
      <c r="L325" s="40">
        <v>3800</v>
      </c>
      <c r="M325" s="40">
        <v>731353</v>
      </c>
      <c r="N325" s="40" t="s">
        <v>1335</v>
      </c>
      <c r="O325" s="40" t="s">
        <v>31</v>
      </c>
      <c r="P325" s="40" t="s">
        <v>32</v>
      </c>
      <c r="Q325" s="40" t="s">
        <v>33</v>
      </c>
      <c r="R325" s="42" t="s">
        <v>34</v>
      </c>
      <c r="S325" s="42" t="s">
        <v>35</v>
      </c>
      <c r="T325" s="40" t="s">
        <v>537</v>
      </c>
      <c r="U325" s="41">
        <v>44679.791666666664</v>
      </c>
      <c r="V325" s="41">
        <v>44680.333333333336</v>
      </c>
      <c r="W325" s="41">
        <v>44680.916666666664</v>
      </c>
      <c r="X325" s="40" t="s">
        <v>293</v>
      </c>
      <c r="Y325" s="41">
        <v>44686.648611111108</v>
      </c>
      <c r="Z325" s="41">
        <v>44684.791666666664</v>
      </c>
      <c r="AA325" s="41">
        <v>44680.5</v>
      </c>
      <c r="AB325" s="41">
        <v>44686.75</v>
      </c>
      <c r="AC325" s="40" t="s">
        <v>1345</v>
      </c>
      <c r="AD325" s="40">
        <v>12565</v>
      </c>
      <c r="AE325" s="40"/>
      <c r="AF325" s="40">
        <v>1443</v>
      </c>
      <c r="AG325" s="40"/>
      <c r="AH325" s="40" t="s">
        <v>393</v>
      </c>
      <c r="AI325" s="41">
        <v>44681.083333333336</v>
      </c>
      <c r="AJ325" s="40"/>
      <c r="AK325" s="43">
        <v>950</v>
      </c>
      <c r="AL325" s="40"/>
      <c r="AM325" s="43">
        <v>0</v>
      </c>
      <c r="AN325" s="43"/>
      <c r="AO325" s="43"/>
      <c r="AP325" s="43"/>
      <c r="AQ325" s="43">
        <v>0</v>
      </c>
      <c r="AR325" s="43">
        <v>0</v>
      </c>
      <c r="AS325" s="43"/>
      <c r="AT325" s="43">
        <v>0</v>
      </c>
      <c r="AU325" s="43"/>
      <c r="AV325" s="43"/>
      <c r="AW325" s="43"/>
      <c r="AX325" s="43">
        <v>0</v>
      </c>
      <c r="AY325" s="43">
        <v>0</v>
      </c>
      <c r="AZ325" s="43">
        <v>0</v>
      </c>
      <c r="BA325" s="43">
        <v>0</v>
      </c>
      <c r="BB325" s="43">
        <v>0</v>
      </c>
      <c r="BC325" s="43">
        <v>0</v>
      </c>
      <c r="BD325" s="43">
        <v>0</v>
      </c>
      <c r="BE325" s="43">
        <v>0</v>
      </c>
      <c r="BF325" s="43">
        <v>0</v>
      </c>
      <c r="BG325" s="43">
        <v>0</v>
      </c>
      <c r="BH325" s="43">
        <v>0</v>
      </c>
      <c r="BI325" s="40" t="s">
        <v>1121</v>
      </c>
      <c r="BJ325" s="40">
        <v>2022</v>
      </c>
      <c r="BK325" s="40" t="s">
        <v>2768</v>
      </c>
      <c r="BL325" s="40" t="s">
        <v>2768</v>
      </c>
      <c r="BM325" s="40" t="s">
        <v>125</v>
      </c>
    </row>
    <row r="326" spans="1:65" x14ac:dyDescent="0.25">
      <c r="A326" s="40" t="s">
        <v>2771</v>
      </c>
      <c r="B326" s="41">
        <v>44685.291666666664</v>
      </c>
      <c r="C326" s="40" t="s">
        <v>449</v>
      </c>
      <c r="D326" s="40" t="s">
        <v>450</v>
      </c>
      <c r="E326" s="40" t="s">
        <v>1350</v>
      </c>
      <c r="F326" s="40" t="s">
        <v>1351</v>
      </c>
      <c r="G326" s="40" t="s">
        <v>1352</v>
      </c>
      <c r="H326" s="40" t="s">
        <v>288</v>
      </c>
      <c r="I326" s="40">
        <v>2170</v>
      </c>
      <c r="J326" s="40" t="s">
        <v>1353</v>
      </c>
      <c r="K326" s="40">
        <v>26800</v>
      </c>
      <c r="L326" s="40">
        <v>28970</v>
      </c>
      <c r="M326" s="40">
        <v>34009</v>
      </c>
      <c r="N326" s="40" t="s">
        <v>1354</v>
      </c>
      <c r="O326" s="40" t="s">
        <v>182</v>
      </c>
      <c r="P326" s="40" t="s">
        <v>183</v>
      </c>
      <c r="Q326" s="40" t="s">
        <v>184</v>
      </c>
      <c r="R326" s="42" t="s">
        <v>185</v>
      </c>
      <c r="S326" s="42" t="s">
        <v>186</v>
      </c>
      <c r="T326" s="40" t="s">
        <v>526</v>
      </c>
      <c r="U326" s="41">
        <v>44677.458333333336</v>
      </c>
      <c r="V326" s="41">
        <v>44685.25</v>
      </c>
      <c r="W326" s="41">
        <v>44685.625</v>
      </c>
      <c r="X326" s="40" t="s">
        <v>306</v>
      </c>
      <c r="Y326" s="41">
        <v>44698.642361111109</v>
      </c>
      <c r="Z326" s="41"/>
      <c r="AA326" s="41">
        <v>44679.583333333336</v>
      </c>
      <c r="AB326" s="41">
        <v>44688.5</v>
      </c>
      <c r="AC326" s="40" t="s">
        <v>452</v>
      </c>
      <c r="AD326" s="40">
        <v>13</v>
      </c>
      <c r="AE326" s="40"/>
      <c r="AF326" s="40">
        <v>1437</v>
      </c>
      <c r="AG326" s="40"/>
      <c r="AH326" s="40" t="s">
        <v>309</v>
      </c>
      <c r="AI326" s="41">
        <v>44686.020833333336</v>
      </c>
      <c r="AJ326" s="40"/>
      <c r="AK326" s="43"/>
      <c r="AL326" s="40" t="s">
        <v>470</v>
      </c>
      <c r="AM326" s="43">
        <v>350</v>
      </c>
      <c r="AN326" s="43"/>
      <c r="AO326" s="43"/>
      <c r="AP326" s="43"/>
      <c r="AQ326" s="43">
        <v>0</v>
      </c>
      <c r="AR326" s="43">
        <v>0</v>
      </c>
      <c r="AS326" s="43"/>
      <c r="AT326" s="43">
        <v>0</v>
      </c>
      <c r="AU326" s="43"/>
      <c r="AV326" s="43"/>
      <c r="AW326" s="43"/>
      <c r="AX326" s="43">
        <v>0</v>
      </c>
      <c r="AY326" s="43">
        <v>0</v>
      </c>
      <c r="AZ326" s="43">
        <v>0</v>
      </c>
      <c r="BA326" s="43">
        <v>0</v>
      </c>
      <c r="BB326" s="43">
        <v>0</v>
      </c>
      <c r="BC326" s="43">
        <v>0</v>
      </c>
      <c r="BD326" s="43">
        <v>0</v>
      </c>
      <c r="BE326" s="43">
        <v>0</v>
      </c>
      <c r="BF326" s="43">
        <v>0</v>
      </c>
      <c r="BG326" s="43">
        <v>0</v>
      </c>
      <c r="BH326" s="43">
        <v>0</v>
      </c>
      <c r="BI326" s="40" t="s">
        <v>1355</v>
      </c>
      <c r="BJ326" s="40">
        <v>2022</v>
      </c>
      <c r="BK326" s="40" t="s">
        <v>2768</v>
      </c>
      <c r="BL326" s="40"/>
      <c r="BM326" s="40" t="s">
        <v>125</v>
      </c>
    </row>
    <row r="327" spans="1:65" x14ac:dyDescent="0.25">
      <c r="A327" s="40" t="s">
        <v>2771</v>
      </c>
      <c r="B327" s="41">
        <v>44685.291666666664</v>
      </c>
      <c r="C327" s="40" t="s">
        <v>449</v>
      </c>
      <c r="D327" s="40" t="s">
        <v>450</v>
      </c>
      <c r="E327" s="40" t="s">
        <v>1356</v>
      </c>
      <c r="F327" s="40" t="s">
        <v>1357</v>
      </c>
      <c r="G327" s="40" t="s">
        <v>1358</v>
      </c>
      <c r="H327" s="40" t="s">
        <v>288</v>
      </c>
      <c r="I327" s="40">
        <v>2320</v>
      </c>
      <c r="J327" s="40" t="s">
        <v>1359</v>
      </c>
      <c r="K327" s="40">
        <v>27000</v>
      </c>
      <c r="L327" s="40">
        <v>29320</v>
      </c>
      <c r="M327" s="40">
        <v>34011</v>
      </c>
      <c r="N327" s="40" t="s">
        <v>1354</v>
      </c>
      <c r="O327" s="40" t="s">
        <v>182</v>
      </c>
      <c r="P327" s="40" t="s">
        <v>744</v>
      </c>
      <c r="Q327" s="40" t="s">
        <v>184</v>
      </c>
      <c r="R327" s="42" t="s">
        <v>185</v>
      </c>
      <c r="S327" s="42" t="s">
        <v>186</v>
      </c>
      <c r="T327" s="40" t="s">
        <v>526</v>
      </c>
      <c r="U327" s="41">
        <v>44677.458333333336</v>
      </c>
      <c r="V327" s="41">
        <v>44685.25</v>
      </c>
      <c r="W327" s="41">
        <v>44685.625</v>
      </c>
      <c r="X327" s="40" t="s">
        <v>306</v>
      </c>
      <c r="Y327" s="41">
        <v>44699.944444444445</v>
      </c>
      <c r="Z327" s="41"/>
      <c r="AA327" s="41">
        <v>44679.583333333336</v>
      </c>
      <c r="AB327" s="41">
        <v>44688.5</v>
      </c>
      <c r="AC327" s="40" t="s">
        <v>452</v>
      </c>
      <c r="AD327" s="40">
        <v>12</v>
      </c>
      <c r="AE327" s="40"/>
      <c r="AF327" s="40">
        <v>1438</v>
      </c>
      <c r="AG327" s="40"/>
      <c r="AH327" s="40" t="s">
        <v>309</v>
      </c>
      <c r="AI327" s="41">
        <v>44686.020833333336</v>
      </c>
      <c r="AJ327" s="40"/>
      <c r="AK327" s="43"/>
      <c r="AL327" s="40" t="s">
        <v>470</v>
      </c>
      <c r="AM327" s="43">
        <v>350</v>
      </c>
      <c r="AN327" s="43"/>
      <c r="AO327" s="43"/>
      <c r="AP327" s="43"/>
      <c r="AQ327" s="43">
        <v>0</v>
      </c>
      <c r="AR327" s="43">
        <v>0</v>
      </c>
      <c r="AS327" s="43"/>
      <c r="AT327" s="43">
        <v>0</v>
      </c>
      <c r="AU327" s="43"/>
      <c r="AV327" s="43"/>
      <c r="AW327" s="43"/>
      <c r="AX327" s="43">
        <v>0</v>
      </c>
      <c r="AY327" s="43">
        <v>0</v>
      </c>
      <c r="AZ327" s="43">
        <v>0</v>
      </c>
      <c r="BA327" s="43">
        <v>0</v>
      </c>
      <c r="BB327" s="43">
        <v>0</v>
      </c>
      <c r="BC327" s="43">
        <v>0</v>
      </c>
      <c r="BD327" s="43">
        <v>0</v>
      </c>
      <c r="BE327" s="43">
        <v>0</v>
      </c>
      <c r="BF327" s="43">
        <v>0</v>
      </c>
      <c r="BG327" s="43">
        <v>0</v>
      </c>
      <c r="BH327" s="43">
        <v>0</v>
      </c>
      <c r="BI327" s="40" t="s">
        <v>1355</v>
      </c>
      <c r="BJ327" s="40">
        <v>2022</v>
      </c>
      <c r="BK327" s="40" t="s">
        <v>2768</v>
      </c>
      <c r="BL327" s="40"/>
      <c r="BM327" s="40" t="s">
        <v>125</v>
      </c>
    </row>
    <row r="328" spans="1:65" x14ac:dyDescent="0.25">
      <c r="A328" s="40" t="s">
        <v>2771</v>
      </c>
      <c r="B328" s="41">
        <v>44690.291666666664</v>
      </c>
      <c r="C328" s="40" t="s">
        <v>1214</v>
      </c>
      <c r="D328" s="40" t="s">
        <v>1215</v>
      </c>
      <c r="E328" s="40" t="s">
        <v>1360</v>
      </c>
      <c r="F328" s="40" t="s">
        <v>1361</v>
      </c>
      <c r="G328" s="40" t="s">
        <v>1362</v>
      </c>
      <c r="H328" s="40" t="s">
        <v>301</v>
      </c>
      <c r="I328" s="40">
        <v>3840</v>
      </c>
      <c r="J328" s="40" t="s">
        <v>1363</v>
      </c>
      <c r="K328" s="40">
        <v>14825</v>
      </c>
      <c r="L328" s="40">
        <v>18665</v>
      </c>
      <c r="M328" s="40">
        <v>11704</v>
      </c>
      <c r="N328" s="40" t="s">
        <v>1364</v>
      </c>
      <c r="O328" s="40" t="s">
        <v>1365</v>
      </c>
      <c r="P328" s="40" t="s">
        <v>1366</v>
      </c>
      <c r="Q328" s="40" t="s">
        <v>1367</v>
      </c>
      <c r="R328" s="42" t="s">
        <v>1368</v>
      </c>
      <c r="S328" s="42">
        <v>1991849508</v>
      </c>
      <c r="T328" s="40" t="s">
        <v>292</v>
      </c>
      <c r="U328" s="41">
        <v>44687.488194444442</v>
      </c>
      <c r="V328" s="41">
        <v>44690.25</v>
      </c>
      <c r="W328" s="41">
        <v>44690.458333333336</v>
      </c>
      <c r="X328" s="40" t="s">
        <v>410</v>
      </c>
      <c r="Y328" s="41">
        <v>44692.390972222223</v>
      </c>
      <c r="Z328" s="41">
        <v>44691.5</v>
      </c>
      <c r="AA328" s="41">
        <v>44687.75</v>
      </c>
      <c r="AB328" s="41">
        <v>44692.5</v>
      </c>
      <c r="AC328" s="40" t="s">
        <v>1221</v>
      </c>
      <c r="AD328" s="40">
        <v>12612</v>
      </c>
      <c r="AE328" s="40"/>
      <c r="AF328" s="40"/>
      <c r="AG328" s="40"/>
      <c r="AH328" s="40" t="s">
        <v>393</v>
      </c>
      <c r="AI328" s="41">
        <v>44691.5</v>
      </c>
      <c r="AJ328" s="40"/>
      <c r="AK328" s="43">
        <v>950</v>
      </c>
      <c r="AL328" s="40"/>
      <c r="AM328" s="43">
        <v>0</v>
      </c>
      <c r="AN328" s="43">
        <v>630.29999999999995</v>
      </c>
      <c r="AO328" s="43"/>
      <c r="AP328" s="43"/>
      <c r="AQ328" s="43">
        <v>630.29999999999995</v>
      </c>
      <c r="AR328" s="43">
        <v>369.79117187899993</v>
      </c>
      <c r="AS328" s="43"/>
      <c r="AT328" s="43">
        <v>5494.6682299999993</v>
      </c>
      <c r="AU328" s="43">
        <v>4160</v>
      </c>
      <c r="AV328" s="43">
        <v>369778.82</v>
      </c>
      <c r="AW328" s="43">
        <v>369.77882</v>
      </c>
      <c r="AX328" s="43">
        <v>184.88941</v>
      </c>
      <c r="AY328" s="43">
        <v>780</v>
      </c>
      <c r="AZ328" s="43">
        <v>0</v>
      </c>
      <c r="BA328" s="43">
        <v>0</v>
      </c>
      <c r="BB328" s="43">
        <v>0</v>
      </c>
      <c r="BC328" s="43">
        <v>0</v>
      </c>
      <c r="BD328" s="43">
        <v>0</v>
      </c>
      <c r="BE328" s="43">
        <v>0</v>
      </c>
      <c r="BF328" s="43">
        <v>0</v>
      </c>
      <c r="BG328" s="43">
        <v>0</v>
      </c>
      <c r="BH328" s="43">
        <v>0</v>
      </c>
      <c r="BI328" s="40" t="s">
        <v>1355</v>
      </c>
      <c r="BJ328" s="40">
        <v>2022</v>
      </c>
      <c r="BK328" s="40" t="s">
        <v>2768</v>
      </c>
      <c r="BL328" s="40"/>
      <c r="BM328" s="40">
        <v>9</v>
      </c>
    </row>
    <row r="329" spans="1:65" x14ac:dyDescent="0.25">
      <c r="A329" s="40" t="s">
        <v>2771</v>
      </c>
      <c r="B329" s="41">
        <v>44690.291666666664</v>
      </c>
      <c r="C329" s="40" t="s">
        <v>1214</v>
      </c>
      <c r="D329" s="40" t="s">
        <v>1215</v>
      </c>
      <c r="E329" s="40" t="s">
        <v>1360</v>
      </c>
      <c r="F329" s="40" t="s">
        <v>1361</v>
      </c>
      <c r="G329" s="40" t="s">
        <v>1369</v>
      </c>
      <c r="H329" s="40" t="s">
        <v>301</v>
      </c>
      <c r="I329" s="40">
        <v>3940</v>
      </c>
      <c r="J329" s="40" t="s">
        <v>1370</v>
      </c>
      <c r="K329" s="40">
        <v>15536</v>
      </c>
      <c r="L329" s="40">
        <v>19476</v>
      </c>
      <c r="M329" s="40">
        <v>11705</v>
      </c>
      <c r="N329" s="40" t="s">
        <v>1364</v>
      </c>
      <c r="O329" s="40" t="s">
        <v>31</v>
      </c>
      <c r="P329" s="40" t="s">
        <v>32</v>
      </c>
      <c r="Q329" s="40" t="s">
        <v>33</v>
      </c>
      <c r="R329" s="42" t="s">
        <v>34</v>
      </c>
      <c r="S329" s="42">
        <v>1258979905</v>
      </c>
      <c r="T329" s="40" t="s">
        <v>292</v>
      </c>
      <c r="U329" s="41">
        <v>44687.558333333334</v>
      </c>
      <c r="V329" s="41">
        <v>44690.297222222223</v>
      </c>
      <c r="W329" s="41">
        <v>44690.479166666664</v>
      </c>
      <c r="X329" s="40" t="s">
        <v>410</v>
      </c>
      <c r="Y329" s="41">
        <v>44692.397222222222</v>
      </c>
      <c r="Z329" s="41">
        <v>44691.5</v>
      </c>
      <c r="AA329" s="41">
        <v>44687.75</v>
      </c>
      <c r="AB329" s="41">
        <v>44692.5</v>
      </c>
      <c r="AC329" s="40" t="s">
        <v>1221</v>
      </c>
      <c r="AD329" s="40" t="s">
        <v>1371</v>
      </c>
      <c r="AE329" s="40"/>
      <c r="AF329" s="40"/>
      <c r="AG329" s="40"/>
      <c r="AH329" s="40" t="s">
        <v>393</v>
      </c>
      <c r="AI329" s="41">
        <v>44691.5</v>
      </c>
      <c r="AJ329" s="40"/>
      <c r="AK329" s="43">
        <v>950</v>
      </c>
      <c r="AL329" s="40"/>
      <c r="AM329" s="43">
        <v>0</v>
      </c>
      <c r="AN329" s="43"/>
      <c r="AO329" s="43"/>
      <c r="AP329" s="43"/>
      <c r="AQ329" s="43">
        <v>0</v>
      </c>
      <c r="AR329" s="43">
        <v>382.554518621</v>
      </c>
      <c r="AS329" s="43"/>
      <c r="AT329" s="43">
        <v>5684.3167700000004</v>
      </c>
      <c r="AU329" s="43">
        <v>4160</v>
      </c>
      <c r="AV329" s="43">
        <v>496211.18</v>
      </c>
      <c r="AW329" s="43">
        <v>496.21118000000001</v>
      </c>
      <c r="AX329" s="43">
        <v>248.10559000000001</v>
      </c>
      <c r="AY329" s="43">
        <v>780</v>
      </c>
      <c r="AZ329" s="43">
        <v>0</v>
      </c>
      <c r="BA329" s="43">
        <v>0</v>
      </c>
      <c r="BB329" s="43">
        <v>0</v>
      </c>
      <c r="BC329" s="43">
        <v>0</v>
      </c>
      <c r="BD329" s="43">
        <v>0</v>
      </c>
      <c r="BE329" s="43">
        <v>0</v>
      </c>
      <c r="BF329" s="43">
        <v>0</v>
      </c>
      <c r="BG329" s="43">
        <v>0</v>
      </c>
      <c r="BH329" s="43">
        <v>0</v>
      </c>
      <c r="BI329" s="40" t="s">
        <v>1355</v>
      </c>
      <c r="BJ329" s="40">
        <v>2022</v>
      </c>
      <c r="BK329" s="40" t="s">
        <v>2768</v>
      </c>
      <c r="BL329" s="40"/>
      <c r="BM329" s="40">
        <v>9</v>
      </c>
    </row>
    <row r="330" spans="1:65" x14ac:dyDescent="0.25">
      <c r="A330" s="40" t="s">
        <v>2771</v>
      </c>
      <c r="B330" s="41">
        <v>44690.291666666664</v>
      </c>
      <c r="C330" s="40" t="s">
        <v>353</v>
      </c>
      <c r="D330" s="40" t="s">
        <v>354</v>
      </c>
      <c r="E330" s="40">
        <v>6830466</v>
      </c>
      <c r="F330" s="40" t="s">
        <v>1372</v>
      </c>
      <c r="G330" s="40" t="s">
        <v>1373</v>
      </c>
      <c r="H330" s="40" t="s">
        <v>301</v>
      </c>
      <c r="I330" s="40">
        <v>3840</v>
      </c>
      <c r="J330" s="40" t="s">
        <v>1374</v>
      </c>
      <c r="K330" s="40">
        <v>24725</v>
      </c>
      <c r="L330" s="40">
        <v>28565</v>
      </c>
      <c r="M330" s="40">
        <v>608245</v>
      </c>
      <c r="N330" s="40" t="s">
        <v>1375</v>
      </c>
      <c r="O330" s="40" t="s">
        <v>92</v>
      </c>
      <c r="P330" s="40" t="s">
        <v>93</v>
      </c>
      <c r="Q330" s="40" t="s">
        <v>94</v>
      </c>
      <c r="R330" s="42" t="s">
        <v>95</v>
      </c>
      <c r="S330" s="42">
        <v>2002046946</v>
      </c>
      <c r="T330" s="40" t="s">
        <v>469</v>
      </c>
      <c r="U330" s="41">
        <v>44688.42291666667</v>
      </c>
      <c r="V330" s="41">
        <v>44690.291666666664</v>
      </c>
      <c r="W330" s="41">
        <v>44690.597222222219</v>
      </c>
      <c r="X330" s="40" t="s">
        <v>410</v>
      </c>
      <c r="Y330" s="41">
        <v>44698.35</v>
      </c>
      <c r="Z330" s="41">
        <v>44695.5</v>
      </c>
      <c r="AA330" s="41">
        <v>44690.5</v>
      </c>
      <c r="AB330" s="41">
        <v>44697.5</v>
      </c>
      <c r="AC330" s="40" t="s">
        <v>1376</v>
      </c>
      <c r="AD330" s="40">
        <v>12620</v>
      </c>
      <c r="AE330" s="40"/>
      <c r="AF330" s="40" t="s">
        <v>125</v>
      </c>
      <c r="AG330" s="40"/>
      <c r="AH330" s="40" t="s">
        <v>393</v>
      </c>
      <c r="AI330" s="41">
        <v>44690.75</v>
      </c>
      <c r="AJ330" s="40"/>
      <c r="AK330" s="43">
        <v>950</v>
      </c>
      <c r="AL330" s="40"/>
      <c r="AM330" s="43">
        <v>0</v>
      </c>
      <c r="AN330" s="43"/>
      <c r="AO330" s="43"/>
      <c r="AP330" s="43"/>
      <c r="AQ330" s="43">
        <v>0</v>
      </c>
      <c r="AR330" s="43">
        <v>0</v>
      </c>
      <c r="AS330" s="43"/>
      <c r="AT330" s="43">
        <v>0</v>
      </c>
      <c r="AU330" s="43"/>
      <c r="AV330" s="43"/>
      <c r="AW330" s="43"/>
      <c r="AX330" s="43">
        <v>0</v>
      </c>
      <c r="AY330" s="43">
        <v>0</v>
      </c>
      <c r="AZ330" s="43">
        <v>0</v>
      </c>
      <c r="BA330" s="43">
        <v>0</v>
      </c>
      <c r="BB330" s="43">
        <v>0</v>
      </c>
      <c r="BC330" s="43">
        <v>0</v>
      </c>
      <c r="BD330" s="43">
        <v>0</v>
      </c>
      <c r="BE330" s="43">
        <v>0</v>
      </c>
      <c r="BF330" s="43">
        <v>0</v>
      </c>
      <c r="BG330" s="43">
        <v>0</v>
      </c>
      <c r="BH330" s="43">
        <v>0</v>
      </c>
      <c r="BI330" s="40" t="s">
        <v>1355</v>
      </c>
      <c r="BJ330" s="40">
        <v>2022</v>
      </c>
      <c r="BK330" s="40" t="s">
        <v>2768</v>
      </c>
      <c r="BL330" s="40" t="s">
        <v>2768</v>
      </c>
      <c r="BM330" s="40" t="s">
        <v>2768</v>
      </c>
    </row>
    <row r="331" spans="1:65" x14ac:dyDescent="0.25">
      <c r="A331" s="40" t="s">
        <v>2771</v>
      </c>
      <c r="B331" s="41">
        <v>44690.291666666664</v>
      </c>
      <c r="C331" s="40" t="s">
        <v>353</v>
      </c>
      <c r="D331" s="40" t="s">
        <v>354</v>
      </c>
      <c r="E331" s="40">
        <v>6830311</v>
      </c>
      <c r="F331" s="40" t="s">
        <v>1377</v>
      </c>
      <c r="G331" s="40" t="s">
        <v>1378</v>
      </c>
      <c r="H331" s="40" t="s">
        <v>301</v>
      </c>
      <c r="I331" s="40">
        <v>3700</v>
      </c>
      <c r="J331" s="40" t="s">
        <v>1379</v>
      </c>
      <c r="K331" s="40">
        <v>24725</v>
      </c>
      <c r="L331" s="40">
        <v>28425</v>
      </c>
      <c r="M331" s="40">
        <v>608211</v>
      </c>
      <c r="N331" s="40" t="s">
        <v>1375</v>
      </c>
      <c r="O331" s="40" t="s">
        <v>102</v>
      </c>
      <c r="P331" s="40" t="s">
        <v>1300</v>
      </c>
      <c r="Q331" s="40" t="s">
        <v>103</v>
      </c>
      <c r="R331" s="42" t="s">
        <v>104</v>
      </c>
      <c r="S331" s="42" t="s">
        <v>105</v>
      </c>
      <c r="T331" s="40" t="s">
        <v>469</v>
      </c>
      <c r="U331" s="41">
        <v>44688.416666666664</v>
      </c>
      <c r="V331" s="41">
        <v>44690.25</v>
      </c>
      <c r="W331" s="41">
        <v>44690.416666666664</v>
      </c>
      <c r="X331" s="40" t="s">
        <v>410</v>
      </c>
      <c r="Y331" s="41">
        <v>44698.497916666667</v>
      </c>
      <c r="Z331" s="41">
        <v>44695.5</v>
      </c>
      <c r="AA331" s="41">
        <v>44690.5</v>
      </c>
      <c r="AB331" s="41">
        <v>44697.5</v>
      </c>
      <c r="AC331" s="40" t="s">
        <v>1380</v>
      </c>
      <c r="AD331" s="40">
        <v>12616</v>
      </c>
      <c r="AE331" s="40"/>
      <c r="AF331" s="40" t="s">
        <v>125</v>
      </c>
      <c r="AG331" s="40"/>
      <c r="AH331" s="40" t="s">
        <v>393</v>
      </c>
      <c r="AI331" s="41">
        <v>44690.697916666664</v>
      </c>
      <c r="AJ331" s="40"/>
      <c r="AK331" s="43">
        <v>950</v>
      </c>
      <c r="AL331" s="40"/>
      <c r="AM331" s="43">
        <v>0</v>
      </c>
      <c r="AN331" s="43"/>
      <c r="AO331" s="43"/>
      <c r="AP331" s="43"/>
      <c r="AQ331" s="43">
        <v>0</v>
      </c>
      <c r="AR331" s="43">
        <v>0</v>
      </c>
      <c r="AS331" s="43"/>
      <c r="AT331" s="43">
        <v>0</v>
      </c>
      <c r="AU331" s="43"/>
      <c r="AV331" s="43"/>
      <c r="AW331" s="43"/>
      <c r="AX331" s="43">
        <v>0</v>
      </c>
      <c r="AY331" s="43">
        <v>0</v>
      </c>
      <c r="AZ331" s="43">
        <v>0</v>
      </c>
      <c r="BA331" s="43">
        <v>0</v>
      </c>
      <c r="BB331" s="43">
        <v>0</v>
      </c>
      <c r="BC331" s="43">
        <v>0</v>
      </c>
      <c r="BD331" s="43">
        <v>0</v>
      </c>
      <c r="BE331" s="43">
        <v>0</v>
      </c>
      <c r="BF331" s="43">
        <v>0</v>
      </c>
      <c r="BG331" s="43">
        <v>0</v>
      </c>
      <c r="BH331" s="43">
        <v>0</v>
      </c>
      <c r="BI331" s="40" t="s">
        <v>1355</v>
      </c>
      <c r="BJ331" s="40">
        <v>2022</v>
      </c>
      <c r="BK331" s="40" t="s">
        <v>2768</v>
      </c>
      <c r="BL331" s="40" t="s">
        <v>2768</v>
      </c>
      <c r="BM331" s="40" t="s">
        <v>2768</v>
      </c>
    </row>
    <row r="332" spans="1:65" x14ac:dyDescent="0.25">
      <c r="A332" s="40" t="s">
        <v>2771</v>
      </c>
      <c r="B332" s="41">
        <v>44690.291666666664</v>
      </c>
      <c r="C332" s="40" t="s">
        <v>353</v>
      </c>
      <c r="D332" s="40" t="s">
        <v>354</v>
      </c>
      <c r="E332" s="40">
        <v>6829572</v>
      </c>
      <c r="F332" s="40" t="s">
        <v>1381</v>
      </c>
      <c r="G332" s="40" t="s">
        <v>1382</v>
      </c>
      <c r="H332" s="40" t="s">
        <v>301</v>
      </c>
      <c r="I332" s="40">
        <v>3840</v>
      </c>
      <c r="J332" s="40" t="s">
        <v>1383</v>
      </c>
      <c r="K332" s="40">
        <v>25197</v>
      </c>
      <c r="L332" s="40">
        <v>29037</v>
      </c>
      <c r="M332" s="40">
        <v>608210</v>
      </c>
      <c r="N332" s="40" t="s">
        <v>1375</v>
      </c>
      <c r="O332" s="40" t="s">
        <v>150</v>
      </c>
      <c r="P332" s="40" t="s">
        <v>151</v>
      </c>
      <c r="Q332" s="40" t="s">
        <v>1384</v>
      </c>
      <c r="R332" s="42" t="s">
        <v>1385</v>
      </c>
      <c r="S332" s="42" t="s">
        <v>1386</v>
      </c>
      <c r="T332" s="40" t="s">
        <v>469</v>
      </c>
      <c r="U332" s="41">
        <v>44688.416666666664</v>
      </c>
      <c r="V332" s="41">
        <v>44690.291666666664</v>
      </c>
      <c r="W332" s="41">
        <v>44690.395833333336</v>
      </c>
      <c r="X332" s="40" t="s">
        <v>410</v>
      </c>
      <c r="Y332" s="41">
        <v>44697.999305555553</v>
      </c>
      <c r="Z332" s="41">
        <v>44695.5</v>
      </c>
      <c r="AA332" s="41">
        <v>44690.5</v>
      </c>
      <c r="AB332" s="41">
        <v>44697.5</v>
      </c>
      <c r="AC332" s="40" t="s">
        <v>1376</v>
      </c>
      <c r="AD332" s="40">
        <v>12611</v>
      </c>
      <c r="AE332" s="40"/>
      <c r="AF332" s="40" t="s">
        <v>125</v>
      </c>
      <c r="AG332" s="40"/>
      <c r="AH332" s="40" t="s">
        <v>393</v>
      </c>
      <c r="AI332" s="41">
        <v>44690.541666666664</v>
      </c>
      <c r="AJ332" s="40"/>
      <c r="AK332" s="43">
        <v>950</v>
      </c>
      <c r="AL332" s="40"/>
      <c r="AM332" s="43">
        <v>0</v>
      </c>
      <c r="AN332" s="43"/>
      <c r="AO332" s="43"/>
      <c r="AP332" s="43"/>
      <c r="AQ332" s="43">
        <v>0</v>
      </c>
      <c r="AR332" s="43">
        <v>0</v>
      </c>
      <c r="AS332" s="43"/>
      <c r="AT332" s="43">
        <v>0</v>
      </c>
      <c r="AU332" s="43"/>
      <c r="AV332" s="43"/>
      <c r="AW332" s="43"/>
      <c r="AX332" s="43">
        <v>0</v>
      </c>
      <c r="AY332" s="43">
        <v>0</v>
      </c>
      <c r="AZ332" s="43">
        <v>0</v>
      </c>
      <c r="BA332" s="43">
        <v>0</v>
      </c>
      <c r="BB332" s="43">
        <v>0</v>
      </c>
      <c r="BC332" s="43">
        <v>0</v>
      </c>
      <c r="BD332" s="43">
        <v>0</v>
      </c>
      <c r="BE332" s="43">
        <v>0</v>
      </c>
      <c r="BF332" s="43">
        <v>0</v>
      </c>
      <c r="BG332" s="43">
        <v>0</v>
      </c>
      <c r="BH332" s="43">
        <v>0</v>
      </c>
      <c r="BI332" s="40" t="s">
        <v>1355</v>
      </c>
      <c r="BJ332" s="40">
        <v>2022</v>
      </c>
      <c r="BK332" s="40" t="s">
        <v>2768</v>
      </c>
      <c r="BL332" s="40" t="s">
        <v>2768</v>
      </c>
      <c r="BM332" s="40" t="s">
        <v>2768</v>
      </c>
    </row>
    <row r="333" spans="1:65" x14ac:dyDescent="0.25">
      <c r="A333" s="40" t="s">
        <v>2771</v>
      </c>
      <c r="B333" s="41">
        <v>44690.291666666664</v>
      </c>
      <c r="C333" s="40" t="s">
        <v>353</v>
      </c>
      <c r="D333" s="40" t="s">
        <v>354</v>
      </c>
      <c r="E333" s="40">
        <v>6575606</v>
      </c>
      <c r="F333" s="40" t="s">
        <v>1387</v>
      </c>
      <c r="G333" s="40" t="s">
        <v>1388</v>
      </c>
      <c r="H333" s="40" t="s">
        <v>301</v>
      </c>
      <c r="I333" s="40">
        <v>3700</v>
      </c>
      <c r="J333" s="40" t="s">
        <v>1389</v>
      </c>
      <c r="K333" s="40">
        <v>25634</v>
      </c>
      <c r="L333" s="40">
        <v>29334</v>
      </c>
      <c r="M333" s="40">
        <v>608236</v>
      </c>
      <c r="N333" s="40" t="s">
        <v>1390</v>
      </c>
      <c r="O333" s="40" t="s">
        <v>72</v>
      </c>
      <c r="P333" s="40" t="s">
        <v>73</v>
      </c>
      <c r="Q333" s="40" t="s">
        <v>69</v>
      </c>
      <c r="R333" s="42" t="s">
        <v>70</v>
      </c>
      <c r="S333" s="42" t="s">
        <v>71</v>
      </c>
      <c r="T333" s="40" t="s">
        <v>469</v>
      </c>
      <c r="U333" s="41">
        <v>44688.416666666664</v>
      </c>
      <c r="V333" s="41">
        <v>44690.291666666664</v>
      </c>
      <c r="W333" s="41">
        <v>44690.427083333336</v>
      </c>
      <c r="X333" s="40" t="s">
        <v>410</v>
      </c>
      <c r="Y333" s="41">
        <v>44742.980555555558</v>
      </c>
      <c r="Z333" s="41">
        <v>44738.333333333336</v>
      </c>
      <c r="AA333" s="41">
        <v>44690.5</v>
      </c>
      <c r="AB333" s="41">
        <v>44742.5</v>
      </c>
      <c r="AC333" s="40" t="s">
        <v>1391</v>
      </c>
      <c r="AD333" s="40">
        <v>12617</v>
      </c>
      <c r="AE333" s="40" t="s">
        <v>125</v>
      </c>
      <c r="AF333" s="40" t="s">
        <v>125</v>
      </c>
      <c r="AG333" s="40"/>
      <c r="AH333" s="40" t="s">
        <v>393</v>
      </c>
      <c r="AI333" s="41">
        <v>44690.708333333336</v>
      </c>
      <c r="AJ333" s="40">
        <v>5</v>
      </c>
      <c r="AK333" s="43">
        <v>3800</v>
      </c>
      <c r="AL333" s="40"/>
      <c r="AM333" s="43">
        <v>0</v>
      </c>
      <c r="AN333" s="43"/>
      <c r="AO333" s="43"/>
      <c r="AP333" s="43"/>
      <c r="AQ333" s="43">
        <v>0</v>
      </c>
      <c r="AR333" s="43">
        <v>0</v>
      </c>
      <c r="AS333" s="43"/>
      <c r="AT333" s="43">
        <v>0</v>
      </c>
      <c r="AU333" s="43"/>
      <c r="AV333" s="43"/>
      <c r="AW333" s="43"/>
      <c r="AX333" s="43">
        <v>0</v>
      </c>
      <c r="AY333" s="43">
        <v>0</v>
      </c>
      <c r="AZ333" s="43">
        <v>0</v>
      </c>
      <c r="BA333" s="43">
        <v>0</v>
      </c>
      <c r="BB333" s="43">
        <v>0</v>
      </c>
      <c r="BC333" s="43">
        <v>0</v>
      </c>
      <c r="BD333" s="43">
        <v>0</v>
      </c>
      <c r="BE333" s="43">
        <v>0</v>
      </c>
      <c r="BF333" s="43">
        <v>0</v>
      </c>
      <c r="BG333" s="43">
        <v>0</v>
      </c>
      <c r="BH333" s="43">
        <v>0</v>
      </c>
      <c r="BI333" s="40" t="s">
        <v>1355</v>
      </c>
      <c r="BJ333" s="40">
        <v>2022</v>
      </c>
      <c r="BK333" s="40" t="s">
        <v>2768</v>
      </c>
      <c r="BL333" s="40" t="s">
        <v>2768</v>
      </c>
      <c r="BM333" s="40" t="s">
        <v>2768</v>
      </c>
    </row>
    <row r="334" spans="1:65" x14ac:dyDescent="0.25">
      <c r="A334" s="40" t="s">
        <v>2771</v>
      </c>
      <c r="B334" s="41">
        <v>44690.291666666664</v>
      </c>
      <c r="C334" s="40" t="s">
        <v>353</v>
      </c>
      <c r="D334" s="40" t="s">
        <v>354</v>
      </c>
      <c r="E334" s="40">
        <v>7282244</v>
      </c>
      <c r="F334" s="40" t="s">
        <v>1392</v>
      </c>
      <c r="G334" s="40" t="s">
        <v>1393</v>
      </c>
      <c r="H334" s="40" t="s">
        <v>301</v>
      </c>
      <c r="I334" s="40">
        <v>3840</v>
      </c>
      <c r="J334" s="40" t="s">
        <v>1394</v>
      </c>
      <c r="K334" s="40">
        <v>25704</v>
      </c>
      <c r="L334" s="40">
        <v>29544</v>
      </c>
      <c r="M334" s="40">
        <v>608248</v>
      </c>
      <c r="N334" s="40" t="s">
        <v>1375</v>
      </c>
      <c r="O334" s="40" t="s">
        <v>106</v>
      </c>
      <c r="P334" s="40" t="s">
        <v>107</v>
      </c>
      <c r="Q334" s="40" t="s">
        <v>108</v>
      </c>
      <c r="R334" s="42" t="s">
        <v>109</v>
      </c>
      <c r="S334" s="42" t="s">
        <v>110</v>
      </c>
      <c r="T334" s="40" t="s">
        <v>469</v>
      </c>
      <c r="U334" s="41">
        <v>44688.479166666664</v>
      </c>
      <c r="V334" s="41">
        <v>44690.25</v>
      </c>
      <c r="W334" s="41">
        <v>44690.645833333336</v>
      </c>
      <c r="X334" s="40" t="s">
        <v>410</v>
      </c>
      <c r="Y334" s="41">
        <v>44698.353472222225</v>
      </c>
      <c r="Z334" s="41">
        <v>44695.5</v>
      </c>
      <c r="AA334" s="41">
        <v>44690.5</v>
      </c>
      <c r="AB334" s="41">
        <v>44697.5</v>
      </c>
      <c r="AC334" s="40" t="s">
        <v>1376</v>
      </c>
      <c r="AD334" s="40">
        <v>12621</v>
      </c>
      <c r="AE334" s="40"/>
      <c r="AF334" s="40" t="s">
        <v>125</v>
      </c>
      <c r="AG334" s="40"/>
      <c r="AH334" s="40" t="s">
        <v>393</v>
      </c>
      <c r="AI334" s="41">
        <v>44690.833333333336</v>
      </c>
      <c r="AJ334" s="40"/>
      <c r="AK334" s="43">
        <v>950</v>
      </c>
      <c r="AL334" s="40"/>
      <c r="AM334" s="43">
        <v>0</v>
      </c>
      <c r="AN334" s="43"/>
      <c r="AO334" s="43"/>
      <c r="AP334" s="43"/>
      <c r="AQ334" s="43">
        <v>0</v>
      </c>
      <c r="AR334" s="43">
        <v>0</v>
      </c>
      <c r="AS334" s="43"/>
      <c r="AT334" s="43">
        <v>0</v>
      </c>
      <c r="AU334" s="43"/>
      <c r="AV334" s="43"/>
      <c r="AW334" s="43"/>
      <c r="AX334" s="43">
        <v>0</v>
      </c>
      <c r="AY334" s="43">
        <v>0</v>
      </c>
      <c r="AZ334" s="43">
        <v>0</v>
      </c>
      <c r="BA334" s="43">
        <v>0</v>
      </c>
      <c r="BB334" s="43">
        <v>0</v>
      </c>
      <c r="BC334" s="43">
        <v>0</v>
      </c>
      <c r="BD334" s="43">
        <v>0</v>
      </c>
      <c r="BE334" s="43">
        <v>0</v>
      </c>
      <c r="BF334" s="43">
        <v>0</v>
      </c>
      <c r="BG334" s="43">
        <v>0</v>
      </c>
      <c r="BH334" s="43">
        <v>0</v>
      </c>
      <c r="BI334" s="40" t="s">
        <v>1355</v>
      </c>
      <c r="BJ334" s="40">
        <v>2022</v>
      </c>
      <c r="BK334" s="40" t="s">
        <v>2768</v>
      </c>
      <c r="BL334" s="40" t="s">
        <v>2768</v>
      </c>
      <c r="BM334" s="40" t="s">
        <v>2768</v>
      </c>
    </row>
    <row r="335" spans="1:65" x14ac:dyDescent="0.25">
      <c r="A335" s="40" t="s">
        <v>2771</v>
      </c>
      <c r="B335" s="41">
        <v>44690.291666666664</v>
      </c>
      <c r="C335" s="40" t="s">
        <v>353</v>
      </c>
      <c r="D335" s="40" t="s">
        <v>354</v>
      </c>
      <c r="E335" s="40">
        <v>6829593</v>
      </c>
      <c r="F335" s="40" t="s">
        <v>1395</v>
      </c>
      <c r="G335" s="40" t="s">
        <v>1396</v>
      </c>
      <c r="H335" s="40" t="s">
        <v>301</v>
      </c>
      <c r="I335" s="40">
        <v>3700</v>
      </c>
      <c r="J335" s="40" t="s">
        <v>1397</v>
      </c>
      <c r="K335" s="40">
        <v>25197</v>
      </c>
      <c r="L335" s="40">
        <v>28897</v>
      </c>
      <c r="M335" s="40">
        <v>608342</v>
      </c>
      <c r="N335" s="40" t="s">
        <v>1375</v>
      </c>
      <c r="O335" s="40" t="s">
        <v>155</v>
      </c>
      <c r="P335" s="40" t="s">
        <v>312</v>
      </c>
      <c r="Q335" s="40" t="s">
        <v>1398</v>
      </c>
      <c r="R335" s="42" t="s">
        <v>1399</v>
      </c>
      <c r="S335" s="42" t="s">
        <v>1400</v>
      </c>
      <c r="T335" s="40" t="s">
        <v>469</v>
      </c>
      <c r="U335" s="41">
        <v>44690.349305555559</v>
      </c>
      <c r="V335" s="41">
        <v>44690.458333333336</v>
      </c>
      <c r="W335" s="41" t="s">
        <v>1401</v>
      </c>
      <c r="X335" s="40" t="s">
        <v>410</v>
      </c>
      <c r="Y335" s="41">
        <v>44698.436805555553</v>
      </c>
      <c r="Z335" s="41">
        <v>44695.5</v>
      </c>
      <c r="AA335" s="41">
        <v>44690.5</v>
      </c>
      <c r="AB335" s="41">
        <v>44697.5</v>
      </c>
      <c r="AC335" s="40" t="s">
        <v>1376</v>
      </c>
      <c r="AD335" s="40">
        <v>12624</v>
      </c>
      <c r="AE335" s="40"/>
      <c r="AF335" s="40" t="s">
        <v>125</v>
      </c>
      <c r="AG335" s="40"/>
      <c r="AH335" s="40" t="s">
        <v>393</v>
      </c>
      <c r="AI335" s="41">
        <v>44691.083333333336</v>
      </c>
      <c r="AJ335" s="40"/>
      <c r="AK335" s="43">
        <v>950</v>
      </c>
      <c r="AL335" s="40"/>
      <c r="AM335" s="43">
        <v>0</v>
      </c>
      <c r="AN335" s="43"/>
      <c r="AO335" s="43"/>
      <c r="AP335" s="43"/>
      <c r="AQ335" s="43">
        <v>0</v>
      </c>
      <c r="AR335" s="43">
        <v>0</v>
      </c>
      <c r="AS335" s="43"/>
      <c r="AT335" s="43">
        <v>0</v>
      </c>
      <c r="AU335" s="43"/>
      <c r="AV335" s="43"/>
      <c r="AW335" s="43"/>
      <c r="AX335" s="43">
        <v>0</v>
      </c>
      <c r="AY335" s="43">
        <v>0</v>
      </c>
      <c r="AZ335" s="43">
        <v>0</v>
      </c>
      <c r="BA335" s="43">
        <v>0</v>
      </c>
      <c r="BB335" s="43">
        <v>0</v>
      </c>
      <c r="BC335" s="43">
        <v>0</v>
      </c>
      <c r="BD335" s="43">
        <v>0</v>
      </c>
      <c r="BE335" s="43">
        <v>0</v>
      </c>
      <c r="BF335" s="43">
        <v>0</v>
      </c>
      <c r="BG335" s="43">
        <v>0</v>
      </c>
      <c r="BH335" s="43">
        <v>0</v>
      </c>
      <c r="BI335" s="40" t="s">
        <v>1355</v>
      </c>
      <c r="BJ335" s="40">
        <v>2022</v>
      </c>
      <c r="BK335" s="40" t="s">
        <v>2768</v>
      </c>
      <c r="BL335" s="40" t="s">
        <v>2768</v>
      </c>
      <c r="BM335" s="40" t="s">
        <v>2768</v>
      </c>
    </row>
    <row r="336" spans="1:65" x14ac:dyDescent="0.25">
      <c r="A336" s="40" t="s">
        <v>2771</v>
      </c>
      <c r="B336" s="41">
        <v>44690.291666666664</v>
      </c>
      <c r="C336" s="40" t="s">
        <v>353</v>
      </c>
      <c r="D336" s="40" t="s">
        <v>354</v>
      </c>
      <c r="E336" s="40">
        <v>6825105</v>
      </c>
      <c r="F336" s="40" t="s">
        <v>1402</v>
      </c>
      <c r="G336" s="40" t="s">
        <v>1403</v>
      </c>
      <c r="H336" s="40" t="s">
        <v>301</v>
      </c>
      <c r="I336" s="40">
        <v>3840</v>
      </c>
      <c r="J336" s="40" t="s">
        <v>1404</v>
      </c>
      <c r="K336" s="40">
        <v>26322</v>
      </c>
      <c r="L336" s="40">
        <v>30162</v>
      </c>
      <c r="M336" s="40">
        <v>608241</v>
      </c>
      <c r="N336" s="40" t="s">
        <v>1375</v>
      </c>
      <c r="O336" s="40" t="s">
        <v>68</v>
      </c>
      <c r="P336" s="40" t="s">
        <v>36</v>
      </c>
      <c r="Q336" s="40" t="s">
        <v>203</v>
      </c>
      <c r="R336" s="42" t="s">
        <v>204</v>
      </c>
      <c r="S336" s="42" t="s">
        <v>205</v>
      </c>
      <c r="T336" s="40" t="s">
        <v>469</v>
      </c>
      <c r="U336" s="41">
        <v>44688.541666666664</v>
      </c>
      <c r="V336" s="41">
        <v>44690.25</v>
      </c>
      <c r="W336" s="41">
        <v>44690.479166666664</v>
      </c>
      <c r="X336" s="40" t="s">
        <v>410</v>
      </c>
      <c r="Y336" s="41">
        <v>44698.484027777777</v>
      </c>
      <c r="Z336" s="41">
        <v>44695.5</v>
      </c>
      <c r="AA336" s="41">
        <v>44690.5</v>
      </c>
      <c r="AB336" s="41">
        <v>44697.5</v>
      </c>
      <c r="AC336" s="40" t="s">
        <v>1405</v>
      </c>
      <c r="AD336" s="40">
        <v>12618</v>
      </c>
      <c r="AE336" s="40"/>
      <c r="AF336" s="40" t="s">
        <v>125</v>
      </c>
      <c r="AG336" s="40"/>
      <c r="AH336" s="40" t="s">
        <v>393</v>
      </c>
      <c r="AI336" s="41">
        <v>44690.6875</v>
      </c>
      <c r="AJ336" s="40"/>
      <c r="AK336" s="43">
        <v>950</v>
      </c>
      <c r="AL336" s="40"/>
      <c r="AM336" s="43">
        <v>0</v>
      </c>
      <c r="AN336" s="43"/>
      <c r="AO336" s="43"/>
      <c r="AP336" s="43"/>
      <c r="AQ336" s="43">
        <v>0</v>
      </c>
      <c r="AR336" s="43">
        <v>0</v>
      </c>
      <c r="AS336" s="43"/>
      <c r="AT336" s="43">
        <v>0</v>
      </c>
      <c r="AU336" s="43"/>
      <c r="AV336" s="43"/>
      <c r="AW336" s="43"/>
      <c r="AX336" s="43">
        <v>0</v>
      </c>
      <c r="AY336" s="43">
        <v>0</v>
      </c>
      <c r="AZ336" s="43">
        <v>0</v>
      </c>
      <c r="BA336" s="43">
        <v>0</v>
      </c>
      <c r="BB336" s="43">
        <v>0</v>
      </c>
      <c r="BC336" s="43">
        <v>0</v>
      </c>
      <c r="BD336" s="43">
        <v>0</v>
      </c>
      <c r="BE336" s="43">
        <v>0</v>
      </c>
      <c r="BF336" s="43">
        <v>0</v>
      </c>
      <c r="BG336" s="43">
        <v>0</v>
      </c>
      <c r="BH336" s="43">
        <v>0</v>
      </c>
      <c r="BI336" s="40" t="s">
        <v>1355</v>
      </c>
      <c r="BJ336" s="40">
        <v>2022</v>
      </c>
      <c r="BK336" s="40" t="s">
        <v>2768</v>
      </c>
      <c r="BL336" s="40" t="s">
        <v>2768</v>
      </c>
      <c r="BM336" s="40" t="s">
        <v>2768</v>
      </c>
    </row>
    <row r="337" spans="1:65" x14ac:dyDescent="0.25">
      <c r="A337" s="40" t="s">
        <v>2771</v>
      </c>
      <c r="B337" s="41">
        <v>44690.333333333336</v>
      </c>
      <c r="C337" s="40" t="s">
        <v>297</v>
      </c>
      <c r="D337" s="40" t="s">
        <v>298</v>
      </c>
      <c r="E337" s="40" t="s">
        <v>1406</v>
      </c>
      <c r="F337" s="40" t="s">
        <v>1407</v>
      </c>
      <c r="G337" s="40" t="s">
        <v>1408</v>
      </c>
      <c r="H337" s="40" t="s">
        <v>301</v>
      </c>
      <c r="I337" s="40">
        <v>3830</v>
      </c>
      <c r="J337" s="40" t="s">
        <v>1409</v>
      </c>
      <c r="K337" s="40">
        <v>21735</v>
      </c>
      <c r="L337" s="40">
        <v>25565</v>
      </c>
      <c r="M337" s="40">
        <v>734096</v>
      </c>
      <c r="N337" s="40" t="s">
        <v>1410</v>
      </c>
      <c r="O337" s="40" t="s">
        <v>82</v>
      </c>
      <c r="P337" s="40" t="s">
        <v>83</v>
      </c>
      <c r="Q337" s="40" t="s">
        <v>84</v>
      </c>
      <c r="R337" s="42" t="s">
        <v>85</v>
      </c>
      <c r="S337" s="42" t="s">
        <v>86</v>
      </c>
      <c r="T337" s="40" t="s">
        <v>537</v>
      </c>
      <c r="U337" s="41">
        <v>44688.34375</v>
      </c>
      <c r="V337" s="41">
        <v>44690.25</v>
      </c>
      <c r="W337" s="41">
        <v>44690.541666666664</v>
      </c>
      <c r="X337" s="40" t="s">
        <v>293</v>
      </c>
      <c r="Y337" s="41">
        <v>44697.867361111108</v>
      </c>
      <c r="Z337" s="41">
        <v>44695.5</v>
      </c>
      <c r="AA337" s="41">
        <v>44690.5</v>
      </c>
      <c r="AB337" s="41">
        <v>44682.5</v>
      </c>
      <c r="AC337" s="40" t="s">
        <v>616</v>
      </c>
      <c r="AD337" s="40">
        <v>12619</v>
      </c>
      <c r="AE337" s="40"/>
      <c r="AF337" s="40" t="s">
        <v>125</v>
      </c>
      <c r="AG337" s="40"/>
      <c r="AH337" s="40" t="s">
        <v>393</v>
      </c>
      <c r="AI337" s="41">
        <v>44690.770833333336</v>
      </c>
      <c r="AJ337" s="40"/>
      <c r="AK337" s="43">
        <v>950</v>
      </c>
      <c r="AL337" s="40"/>
      <c r="AM337" s="43">
        <v>0</v>
      </c>
      <c r="AN337" s="43"/>
      <c r="AO337" s="43"/>
      <c r="AP337" s="43"/>
      <c r="AQ337" s="43">
        <v>0</v>
      </c>
      <c r="AR337" s="43">
        <v>0</v>
      </c>
      <c r="AS337" s="43"/>
      <c r="AT337" s="43">
        <v>0</v>
      </c>
      <c r="AU337" s="43"/>
      <c r="AV337" s="43"/>
      <c r="AW337" s="43"/>
      <c r="AX337" s="43">
        <v>0</v>
      </c>
      <c r="AY337" s="43">
        <v>0</v>
      </c>
      <c r="AZ337" s="43">
        <v>0</v>
      </c>
      <c r="BA337" s="43">
        <v>0</v>
      </c>
      <c r="BB337" s="43">
        <v>0</v>
      </c>
      <c r="BC337" s="43">
        <v>0</v>
      </c>
      <c r="BD337" s="43">
        <v>0</v>
      </c>
      <c r="BE337" s="43">
        <v>0</v>
      </c>
      <c r="BF337" s="43">
        <v>0</v>
      </c>
      <c r="BG337" s="43">
        <v>0</v>
      </c>
      <c r="BH337" s="43">
        <v>0</v>
      </c>
      <c r="BI337" s="40" t="s">
        <v>1355</v>
      </c>
      <c r="BJ337" s="40">
        <v>2022</v>
      </c>
      <c r="BK337" s="40" t="s">
        <v>2768</v>
      </c>
      <c r="BL337" s="40" t="s">
        <v>2768</v>
      </c>
      <c r="BM337" s="40" t="s">
        <v>2768</v>
      </c>
    </row>
    <row r="338" spans="1:65" x14ac:dyDescent="0.25">
      <c r="A338" s="40" t="s">
        <v>2771</v>
      </c>
      <c r="B338" s="41">
        <v>44690.291666666664</v>
      </c>
      <c r="C338" s="40" t="s">
        <v>353</v>
      </c>
      <c r="D338" s="40" t="s">
        <v>354</v>
      </c>
      <c r="E338" s="40">
        <v>6830337</v>
      </c>
      <c r="F338" s="40" t="s">
        <v>1411</v>
      </c>
      <c r="G338" s="40" t="s">
        <v>1412</v>
      </c>
      <c r="H338" s="40" t="s">
        <v>301</v>
      </c>
      <c r="I338" s="40">
        <v>3620</v>
      </c>
      <c r="J338" s="40" t="s">
        <v>1413</v>
      </c>
      <c r="K338" s="40">
        <v>24725</v>
      </c>
      <c r="L338" s="40">
        <v>28345</v>
      </c>
      <c r="M338" s="40">
        <v>608362</v>
      </c>
      <c r="N338" s="40" t="s">
        <v>1375</v>
      </c>
      <c r="O338" s="40" t="s">
        <v>119</v>
      </c>
      <c r="P338" s="40" t="s">
        <v>120</v>
      </c>
      <c r="Q338" s="40" t="s">
        <v>121</v>
      </c>
      <c r="R338" s="42" t="s">
        <v>122</v>
      </c>
      <c r="S338" s="42" t="s">
        <v>123</v>
      </c>
      <c r="T338" s="40" t="s">
        <v>469</v>
      </c>
      <c r="U338" s="41">
        <v>44688.356944444444</v>
      </c>
      <c r="V338" s="41">
        <v>44690.666666666664</v>
      </c>
      <c r="W338" s="41">
        <v>44690.916666666664</v>
      </c>
      <c r="X338" s="40" t="s">
        <v>410</v>
      </c>
      <c r="Y338" s="41">
        <v>44698.445138888892</v>
      </c>
      <c r="Z338" s="41">
        <v>44695.5</v>
      </c>
      <c r="AA338" s="41">
        <v>44690.5</v>
      </c>
      <c r="AB338" s="41">
        <v>44697.5</v>
      </c>
      <c r="AC338" s="40"/>
      <c r="AD338" s="40">
        <v>12625</v>
      </c>
      <c r="AE338" s="40"/>
      <c r="AF338" s="40" t="s">
        <v>125</v>
      </c>
      <c r="AG338" s="40"/>
      <c r="AH338" s="40" t="s">
        <v>393</v>
      </c>
      <c r="AI338" s="41">
        <v>44691.083333333336</v>
      </c>
      <c r="AJ338" s="40"/>
      <c r="AK338" s="43">
        <v>950</v>
      </c>
      <c r="AL338" s="40"/>
      <c r="AM338" s="43">
        <v>0</v>
      </c>
      <c r="AN338" s="43"/>
      <c r="AO338" s="43"/>
      <c r="AP338" s="43"/>
      <c r="AQ338" s="43">
        <v>0</v>
      </c>
      <c r="AR338" s="43">
        <v>0</v>
      </c>
      <c r="AS338" s="43"/>
      <c r="AT338" s="43">
        <v>0</v>
      </c>
      <c r="AU338" s="43"/>
      <c r="AV338" s="43"/>
      <c r="AW338" s="43"/>
      <c r="AX338" s="43">
        <v>0</v>
      </c>
      <c r="AY338" s="43">
        <v>0</v>
      </c>
      <c r="AZ338" s="43">
        <v>0</v>
      </c>
      <c r="BA338" s="43">
        <v>0</v>
      </c>
      <c r="BB338" s="43">
        <v>0</v>
      </c>
      <c r="BC338" s="43">
        <v>0</v>
      </c>
      <c r="BD338" s="43">
        <v>0</v>
      </c>
      <c r="BE338" s="43">
        <v>0</v>
      </c>
      <c r="BF338" s="43">
        <v>0</v>
      </c>
      <c r="BG338" s="43">
        <v>0</v>
      </c>
      <c r="BH338" s="43">
        <v>0</v>
      </c>
      <c r="BI338" s="40" t="s">
        <v>1355</v>
      </c>
      <c r="BJ338" s="40">
        <v>2022</v>
      </c>
      <c r="BK338" s="40" t="s">
        <v>2768</v>
      </c>
      <c r="BL338" s="40" t="s">
        <v>2768</v>
      </c>
      <c r="BM338" s="40" t="s">
        <v>2768</v>
      </c>
    </row>
    <row r="339" spans="1:65" x14ac:dyDescent="0.25">
      <c r="A339" s="40" t="s">
        <v>2771</v>
      </c>
      <c r="B339" s="41">
        <v>44693.291666666664</v>
      </c>
      <c r="C339" s="40" t="s">
        <v>1414</v>
      </c>
      <c r="D339" s="40" t="s">
        <v>1415</v>
      </c>
      <c r="E339" s="40" t="s">
        <v>1416</v>
      </c>
      <c r="F339" s="40">
        <v>21696553</v>
      </c>
      <c r="G339" s="40" t="s">
        <v>1417</v>
      </c>
      <c r="H339" s="40" t="s">
        <v>1418</v>
      </c>
      <c r="I339" s="40">
        <v>3845</v>
      </c>
      <c r="J339" s="40" t="s">
        <v>1419</v>
      </c>
      <c r="K339" s="40">
        <v>19480</v>
      </c>
      <c r="L339" s="40">
        <v>23325</v>
      </c>
      <c r="M339" s="40">
        <v>500137</v>
      </c>
      <c r="N339" s="40" t="s">
        <v>1420</v>
      </c>
      <c r="O339" s="40" t="s">
        <v>37</v>
      </c>
      <c r="P339" s="40" t="s">
        <v>38</v>
      </c>
      <c r="Q339" s="40" t="s">
        <v>39</v>
      </c>
      <c r="R339" s="42" t="s">
        <v>40</v>
      </c>
      <c r="S339" s="42" t="s">
        <v>41</v>
      </c>
      <c r="T339" s="40" t="s">
        <v>1421</v>
      </c>
      <c r="U339" s="41">
        <v>44691.4375</v>
      </c>
      <c r="V339" s="41">
        <v>44693.041666666664</v>
      </c>
      <c r="W339" s="41">
        <v>44693.75</v>
      </c>
      <c r="X339" s="40" t="s">
        <v>410</v>
      </c>
      <c r="Y339" s="41">
        <v>44697.050694444442</v>
      </c>
      <c r="Z339" s="41">
        <v>44695.5</v>
      </c>
      <c r="AA339" s="41" t="s">
        <v>1422</v>
      </c>
      <c r="AB339" s="41">
        <v>44695.5</v>
      </c>
      <c r="AC339" s="40" t="s">
        <v>522</v>
      </c>
      <c r="AD339" s="40">
        <v>28</v>
      </c>
      <c r="AE339" s="40"/>
      <c r="AF339" s="40"/>
      <c r="AG339" s="40"/>
      <c r="AH339" s="40" t="s">
        <v>393</v>
      </c>
      <c r="AI339" s="41">
        <v>44695.083333333336</v>
      </c>
      <c r="AJ339" s="40"/>
      <c r="AK339" s="43">
        <v>950</v>
      </c>
      <c r="AL339" s="40"/>
      <c r="AM339" s="43">
        <v>0</v>
      </c>
      <c r="AN339" s="43"/>
      <c r="AO339" s="43"/>
      <c r="AP339" s="43"/>
      <c r="AQ339" s="43">
        <v>0</v>
      </c>
      <c r="AR339" s="43">
        <v>1009.5</v>
      </c>
      <c r="AS339" s="43"/>
      <c r="AT339" s="43">
        <v>15000</v>
      </c>
      <c r="AU339" s="43">
        <v>15000</v>
      </c>
      <c r="AV339" s="43"/>
      <c r="AW339" s="43"/>
      <c r="AX339" s="43">
        <v>0</v>
      </c>
      <c r="AY339" s="43">
        <v>0</v>
      </c>
      <c r="AZ339" s="43">
        <v>0</v>
      </c>
      <c r="BA339" s="43">
        <v>0</v>
      </c>
      <c r="BB339" s="43">
        <v>0</v>
      </c>
      <c r="BC339" s="43">
        <v>0</v>
      </c>
      <c r="BD339" s="43">
        <v>0</v>
      </c>
      <c r="BE339" s="43">
        <v>0</v>
      </c>
      <c r="BF339" s="43">
        <v>0</v>
      </c>
      <c r="BG339" s="43">
        <v>0</v>
      </c>
      <c r="BH339" s="43">
        <v>0</v>
      </c>
      <c r="BI339" s="40" t="s">
        <v>1355</v>
      </c>
      <c r="BJ339" s="40">
        <v>2022</v>
      </c>
      <c r="BK339" s="40" t="s">
        <v>2768</v>
      </c>
      <c r="BL339" s="40"/>
      <c r="BM339" s="40"/>
    </row>
    <row r="340" spans="1:65" x14ac:dyDescent="0.25">
      <c r="A340" s="40" t="s">
        <v>2771</v>
      </c>
      <c r="B340" s="41">
        <v>44693.291666666664</v>
      </c>
      <c r="C340" s="40" t="s">
        <v>449</v>
      </c>
      <c r="D340" s="40" t="s">
        <v>450</v>
      </c>
      <c r="E340" s="40" t="s">
        <v>1423</v>
      </c>
      <c r="F340" s="40" t="s">
        <v>1424</v>
      </c>
      <c r="G340" s="40" t="s">
        <v>1425</v>
      </c>
      <c r="H340" s="40" t="s">
        <v>288</v>
      </c>
      <c r="I340" s="40">
        <v>2260</v>
      </c>
      <c r="J340" s="40" t="s">
        <v>1426</v>
      </c>
      <c r="K340" s="40">
        <v>26909</v>
      </c>
      <c r="L340" s="40">
        <v>29169</v>
      </c>
      <c r="M340" s="40">
        <v>34016</v>
      </c>
      <c r="N340" s="40" t="s">
        <v>1354</v>
      </c>
      <c r="O340" s="40" t="s">
        <v>1427</v>
      </c>
      <c r="P340" s="40" t="s">
        <v>1428</v>
      </c>
      <c r="Q340" s="40" t="s">
        <v>1429</v>
      </c>
      <c r="R340" s="42" t="s">
        <v>1430</v>
      </c>
      <c r="S340" s="42">
        <v>4368700808</v>
      </c>
      <c r="T340" s="40" t="s">
        <v>526</v>
      </c>
      <c r="U340" s="41">
        <v>44677.458333333336</v>
      </c>
      <c r="V340" s="41"/>
      <c r="W340" s="41"/>
      <c r="X340" s="40" t="s">
        <v>306</v>
      </c>
      <c r="Y340" s="41">
        <v>44698.747916666667</v>
      </c>
      <c r="Z340" s="41"/>
      <c r="AA340" s="41">
        <v>44679.583333333336</v>
      </c>
      <c r="AB340" s="41">
        <v>44688.5</v>
      </c>
      <c r="AC340" s="40" t="s">
        <v>452</v>
      </c>
      <c r="AD340" s="40">
        <v>29</v>
      </c>
      <c r="AE340" s="40"/>
      <c r="AF340" s="40" t="s">
        <v>125</v>
      </c>
      <c r="AG340" s="40"/>
      <c r="AH340" s="40" t="s">
        <v>309</v>
      </c>
      <c r="AI340" s="41">
        <v>44694.083333333336</v>
      </c>
      <c r="AJ340" s="40"/>
      <c r="AK340" s="43">
        <v>950</v>
      </c>
      <c r="AL340" s="40" t="s">
        <v>470</v>
      </c>
      <c r="AM340" s="43">
        <v>350</v>
      </c>
      <c r="AN340" s="43"/>
      <c r="AO340" s="43"/>
      <c r="AP340" s="43"/>
      <c r="AQ340" s="43">
        <v>0</v>
      </c>
      <c r="AR340" s="43">
        <v>0</v>
      </c>
      <c r="AS340" s="43"/>
      <c r="AT340" s="43">
        <v>0</v>
      </c>
      <c r="AU340" s="43"/>
      <c r="AV340" s="43"/>
      <c r="AW340" s="43"/>
      <c r="AX340" s="43">
        <v>0</v>
      </c>
      <c r="AY340" s="43">
        <v>0</v>
      </c>
      <c r="AZ340" s="43">
        <v>0</v>
      </c>
      <c r="BA340" s="43">
        <v>0</v>
      </c>
      <c r="BB340" s="43">
        <v>0</v>
      </c>
      <c r="BC340" s="43">
        <v>0</v>
      </c>
      <c r="BD340" s="43">
        <v>0</v>
      </c>
      <c r="BE340" s="43">
        <v>0</v>
      </c>
      <c r="BF340" s="43">
        <v>0</v>
      </c>
      <c r="BG340" s="43">
        <v>0</v>
      </c>
      <c r="BH340" s="43">
        <v>0</v>
      </c>
      <c r="BI340" s="40" t="s">
        <v>453</v>
      </c>
      <c r="BJ340" s="40">
        <v>1900</v>
      </c>
      <c r="BK340" s="40" t="s">
        <v>2768</v>
      </c>
      <c r="BL340" s="40"/>
      <c r="BM340" s="40" t="s">
        <v>125</v>
      </c>
    </row>
    <row r="341" spans="1:65" x14ac:dyDescent="0.25">
      <c r="A341" s="40" t="s">
        <v>2771</v>
      </c>
      <c r="B341" s="41">
        <v>44693.291666666664</v>
      </c>
      <c r="C341" s="40" t="s">
        <v>449</v>
      </c>
      <c r="D341" s="40" t="s">
        <v>450</v>
      </c>
      <c r="E341" s="40" t="s">
        <v>1431</v>
      </c>
      <c r="F341" s="40" t="s">
        <v>1432</v>
      </c>
      <c r="G341" s="40" t="s">
        <v>1433</v>
      </c>
      <c r="H341" s="40" t="s">
        <v>288</v>
      </c>
      <c r="I341" s="40">
        <v>2170</v>
      </c>
      <c r="J341" s="40" t="s">
        <v>1434</v>
      </c>
      <c r="K341" s="40">
        <v>26875</v>
      </c>
      <c r="L341" s="40">
        <v>29045</v>
      </c>
      <c r="M341" s="40">
        <v>34017</v>
      </c>
      <c r="N341" s="40" t="s">
        <v>1354</v>
      </c>
      <c r="O341" s="40" t="s">
        <v>1427</v>
      </c>
      <c r="P341" s="40" t="s">
        <v>1435</v>
      </c>
      <c r="Q341" s="40" t="s">
        <v>1429</v>
      </c>
      <c r="R341" s="42" t="s">
        <v>1430</v>
      </c>
      <c r="S341" s="42">
        <v>4368700808</v>
      </c>
      <c r="T341" s="40" t="s">
        <v>526</v>
      </c>
      <c r="U341" s="41">
        <v>44677.458333333336</v>
      </c>
      <c r="V341" s="41"/>
      <c r="W341" s="41"/>
      <c r="X341" s="40" t="s">
        <v>306</v>
      </c>
      <c r="Y341" s="41">
        <v>44698.919444444444</v>
      </c>
      <c r="Z341" s="41"/>
      <c r="AA341" s="41">
        <v>44679.583333333336</v>
      </c>
      <c r="AB341" s="41">
        <v>44688.5</v>
      </c>
      <c r="AC341" s="40" t="s">
        <v>452</v>
      </c>
      <c r="AD341" s="40">
        <v>30</v>
      </c>
      <c r="AE341" s="40"/>
      <c r="AF341" s="40" t="s">
        <v>125</v>
      </c>
      <c r="AG341" s="40"/>
      <c r="AH341" s="40" t="s">
        <v>309</v>
      </c>
      <c r="AI341" s="41">
        <v>44694.083333333336</v>
      </c>
      <c r="AJ341" s="40"/>
      <c r="AK341" s="43">
        <v>950</v>
      </c>
      <c r="AL341" s="40" t="s">
        <v>470</v>
      </c>
      <c r="AM341" s="43">
        <v>350</v>
      </c>
      <c r="AN341" s="43"/>
      <c r="AO341" s="43"/>
      <c r="AP341" s="43"/>
      <c r="AQ341" s="43">
        <v>0</v>
      </c>
      <c r="AR341" s="43">
        <v>0</v>
      </c>
      <c r="AS341" s="43"/>
      <c r="AT341" s="43">
        <v>0</v>
      </c>
      <c r="AU341" s="43"/>
      <c r="AV341" s="43"/>
      <c r="AW341" s="43"/>
      <c r="AX341" s="43">
        <v>0</v>
      </c>
      <c r="AY341" s="43">
        <v>0</v>
      </c>
      <c r="AZ341" s="43">
        <v>0</v>
      </c>
      <c r="BA341" s="43">
        <v>0</v>
      </c>
      <c r="BB341" s="43">
        <v>0</v>
      </c>
      <c r="BC341" s="43">
        <v>0</v>
      </c>
      <c r="BD341" s="43">
        <v>0</v>
      </c>
      <c r="BE341" s="43">
        <v>0</v>
      </c>
      <c r="BF341" s="43">
        <v>0</v>
      </c>
      <c r="BG341" s="43">
        <v>0</v>
      </c>
      <c r="BH341" s="43">
        <v>0</v>
      </c>
      <c r="BI341" s="40" t="s">
        <v>453</v>
      </c>
      <c r="BJ341" s="40">
        <v>1900</v>
      </c>
      <c r="BK341" s="40" t="s">
        <v>2768</v>
      </c>
      <c r="BL341" s="40"/>
      <c r="BM341" s="40" t="s">
        <v>125</v>
      </c>
    </row>
    <row r="342" spans="1:65" x14ac:dyDescent="0.25">
      <c r="A342" s="40" t="s">
        <v>2771</v>
      </c>
      <c r="B342" s="41">
        <v>44694.291666666664</v>
      </c>
      <c r="C342" s="40" t="s">
        <v>528</v>
      </c>
      <c r="D342" s="40" t="s">
        <v>529</v>
      </c>
      <c r="E342" s="40"/>
      <c r="F342" s="40" t="s">
        <v>1436</v>
      </c>
      <c r="G342" s="40" t="s">
        <v>1437</v>
      </c>
      <c r="H342" s="40" t="s">
        <v>459</v>
      </c>
      <c r="I342" s="40">
        <v>4600</v>
      </c>
      <c r="J342" s="40"/>
      <c r="K342" s="40">
        <v>8210</v>
      </c>
      <c r="L342" s="40">
        <v>12810</v>
      </c>
      <c r="M342" s="40">
        <v>36629</v>
      </c>
      <c r="N342" s="40" t="s">
        <v>1438</v>
      </c>
      <c r="O342" s="40" t="s">
        <v>155</v>
      </c>
      <c r="P342" s="40" t="s">
        <v>312</v>
      </c>
      <c r="Q342" s="40" t="s">
        <v>1398</v>
      </c>
      <c r="R342" s="42" t="s">
        <v>1399</v>
      </c>
      <c r="S342" s="42" t="s">
        <v>1400</v>
      </c>
      <c r="T342" s="40" t="s">
        <v>1439</v>
      </c>
      <c r="U342" s="41">
        <v>44694.190972222219</v>
      </c>
      <c r="V342" s="41">
        <v>44694.270833333336</v>
      </c>
      <c r="W342" s="41">
        <v>44694.5</v>
      </c>
      <c r="X342" s="40" t="s">
        <v>537</v>
      </c>
      <c r="Y342" s="41">
        <v>44694.729166666664</v>
      </c>
      <c r="Z342" s="41"/>
      <c r="AA342" s="41"/>
      <c r="AB342" s="41"/>
      <c r="AC342" s="40" t="s">
        <v>418</v>
      </c>
      <c r="AD342" s="40">
        <v>12646</v>
      </c>
      <c r="AE342" s="40"/>
      <c r="AF342" s="40"/>
      <c r="AG342" s="40"/>
      <c r="AH342" s="40"/>
      <c r="AI342" s="41"/>
      <c r="AJ342" s="40"/>
      <c r="AK342" s="43"/>
      <c r="AL342" s="40"/>
      <c r="AM342" s="43">
        <v>0</v>
      </c>
      <c r="AN342" s="43"/>
      <c r="AO342" s="43"/>
      <c r="AP342" s="43"/>
      <c r="AQ342" s="43">
        <v>0</v>
      </c>
      <c r="AR342" s="43">
        <v>0</v>
      </c>
      <c r="AS342" s="43"/>
      <c r="AT342" s="43">
        <v>0</v>
      </c>
      <c r="AU342" s="43"/>
      <c r="AV342" s="43"/>
      <c r="AW342" s="43"/>
      <c r="AX342" s="43">
        <v>0</v>
      </c>
      <c r="AY342" s="43">
        <v>0</v>
      </c>
      <c r="AZ342" s="43">
        <v>0</v>
      </c>
      <c r="BA342" s="43">
        <v>0</v>
      </c>
      <c r="BB342" s="43">
        <v>0</v>
      </c>
      <c r="BC342" s="43">
        <v>0</v>
      </c>
      <c r="BD342" s="43">
        <v>0</v>
      </c>
      <c r="BE342" s="43">
        <v>0</v>
      </c>
      <c r="BF342" s="43">
        <v>0</v>
      </c>
      <c r="BG342" s="43">
        <v>0</v>
      </c>
      <c r="BH342" s="43">
        <v>0</v>
      </c>
      <c r="BI342" s="40" t="s">
        <v>1355</v>
      </c>
      <c r="BJ342" s="40">
        <v>2022</v>
      </c>
      <c r="BK342" s="40" t="s">
        <v>2768</v>
      </c>
      <c r="BL342" s="40" t="s">
        <v>2768</v>
      </c>
      <c r="BM342" s="40"/>
    </row>
    <row r="343" spans="1:65" x14ac:dyDescent="0.25">
      <c r="A343" s="40" t="s">
        <v>2771</v>
      </c>
      <c r="B343" s="41">
        <v>44694.291666666664</v>
      </c>
      <c r="C343" s="40" t="s">
        <v>353</v>
      </c>
      <c r="D343" s="40" t="s">
        <v>1196</v>
      </c>
      <c r="E343" s="40">
        <v>7772503</v>
      </c>
      <c r="F343" s="40" t="s">
        <v>1440</v>
      </c>
      <c r="G343" s="40" t="s">
        <v>1441</v>
      </c>
      <c r="H343" s="40" t="s">
        <v>301</v>
      </c>
      <c r="I343" s="40">
        <v>3800</v>
      </c>
      <c r="J343" s="40" t="s">
        <v>1442</v>
      </c>
      <c r="K343" s="40">
        <v>24922</v>
      </c>
      <c r="L343" s="40">
        <v>28722</v>
      </c>
      <c r="M343" s="40" t="s">
        <v>1443</v>
      </c>
      <c r="N343" s="40" t="s">
        <v>1444</v>
      </c>
      <c r="O343" s="40" t="s">
        <v>31</v>
      </c>
      <c r="P343" s="40" t="s">
        <v>32</v>
      </c>
      <c r="Q343" s="40" t="s">
        <v>33</v>
      </c>
      <c r="R343" s="42" t="s">
        <v>34</v>
      </c>
      <c r="S343" s="42">
        <v>1258979905</v>
      </c>
      <c r="T343" s="40" t="s">
        <v>521</v>
      </c>
      <c r="U343" s="41">
        <v>44693.6875</v>
      </c>
      <c r="V343" s="41">
        <v>44694.208333333336</v>
      </c>
      <c r="W343" s="41">
        <v>44694.625</v>
      </c>
      <c r="X343" s="40" t="s">
        <v>293</v>
      </c>
      <c r="Y343" s="41">
        <v>44697.538194444445</v>
      </c>
      <c r="Z343" s="41"/>
      <c r="AA343" s="41">
        <v>44694.625</v>
      </c>
      <c r="AB343" s="41">
        <v>44699.75</v>
      </c>
      <c r="AC343" s="40" t="s">
        <v>1445</v>
      </c>
      <c r="AD343" s="40">
        <v>42</v>
      </c>
      <c r="AE343" s="40"/>
      <c r="AF343" s="40" t="s">
        <v>125</v>
      </c>
      <c r="AG343" s="40"/>
      <c r="AH343" s="40" t="s">
        <v>393</v>
      </c>
      <c r="AI343" s="41">
        <v>44695.104166666664</v>
      </c>
      <c r="AJ343" s="40"/>
      <c r="AK343" s="43">
        <v>950</v>
      </c>
      <c r="AL343" s="40"/>
      <c r="AM343" s="43">
        <v>0</v>
      </c>
      <c r="AN343" s="43"/>
      <c r="AO343" s="43"/>
      <c r="AP343" s="43"/>
      <c r="AQ343" s="43">
        <v>0</v>
      </c>
      <c r="AR343" s="43">
        <v>0</v>
      </c>
      <c r="AS343" s="43"/>
      <c r="AT343" s="43">
        <v>0</v>
      </c>
      <c r="AU343" s="43"/>
      <c r="AV343" s="43"/>
      <c r="AW343" s="43"/>
      <c r="AX343" s="43">
        <v>0</v>
      </c>
      <c r="AY343" s="43">
        <v>0</v>
      </c>
      <c r="AZ343" s="43">
        <v>0</v>
      </c>
      <c r="BA343" s="43">
        <v>0</v>
      </c>
      <c r="BB343" s="43">
        <v>0</v>
      </c>
      <c r="BC343" s="43">
        <v>0</v>
      </c>
      <c r="BD343" s="43">
        <v>0</v>
      </c>
      <c r="BE343" s="43">
        <v>0</v>
      </c>
      <c r="BF343" s="43">
        <v>0</v>
      </c>
      <c r="BG343" s="43">
        <v>0</v>
      </c>
      <c r="BH343" s="43">
        <v>0</v>
      </c>
      <c r="BI343" s="40" t="s">
        <v>1355</v>
      </c>
      <c r="BJ343" s="40">
        <v>2022</v>
      </c>
      <c r="BK343" s="40" t="s">
        <v>2768</v>
      </c>
      <c r="BL343" s="40" t="s">
        <v>2768</v>
      </c>
      <c r="BM343" s="40"/>
    </row>
    <row r="344" spans="1:65" x14ac:dyDescent="0.25">
      <c r="A344" s="40" t="s">
        <v>2771</v>
      </c>
      <c r="B344" s="41">
        <v>44694.291666666664</v>
      </c>
      <c r="C344" s="40" t="s">
        <v>353</v>
      </c>
      <c r="D344" s="40" t="s">
        <v>1196</v>
      </c>
      <c r="E344" s="40">
        <v>7772503</v>
      </c>
      <c r="F344" s="40" t="s">
        <v>1440</v>
      </c>
      <c r="G344" s="40" t="s">
        <v>1446</v>
      </c>
      <c r="H344" s="40" t="s">
        <v>301</v>
      </c>
      <c r="I344" s="40">
        <v>3700</v>
      </c>
      <c r="J344" s="40" t="s">
        <v>1447</v>
      </c>
      <c r="K344" s="40">
        <v>24922</v>
      </c>
      <c r="L344" s="40">
        <v>28622</v>
      </c>
      <c r="M344" s="40" t="s">
        <v>1448</v>
      </c>
      <c r="N344" s="40" t="s">
        <v>1444</v>
      </c>
      <c r="O344" s="40" t="s">
        <v>68</v>
      </c>
      <c r="P344" s="40" t="s">
        <v>36</v>
      </c>
      <c r="Q344" s="40" t="s">
        <v>203</v>
      </c>
      <c r="R344" s="42" t="s">
        <v>204</v>
      </c>
      <c r="S344" s="42" t="s">
        <v>205</v>
      </c>
      <c r="T344" s="40" t="s">
        <v>521</v>
      </c>
      <c r="U344" s="41">
        <v>44693.645833333336</v>
      </c>
      <c r="V344" s="41">
        <v>44694.208333333336</v>
      </c>
      <c r="W344" s="41">
        <v>44694.5</v>
      </c>
      <c r="X344" s="40" t="s">
        <v>293</v>
      </c>
      <c r="Y344" s="41">
        <v>44697.660416666666</v>
      </c>
      <c r="Z344" s="41"/>
      <c r="AA344" s="41">
        <v>44694.625</v>
      </c>
      <c r="AB344" s="41">
        <v>44699.75</v>
      </c>
      <c r="AC344" s="40" t="s">
        <v>1445</v>
      </c>
      <c r="AD344" s="40">
        <v>43</v>
      </c>
      <c r="AE344" s="40"/>
      <c r="AF344" s="40" t="s">
        <v>125</v>
      </c>
      <c r="AG344" s="40"/>
      <c r="AH344" s="40" t="s">
        <v>393</v>
      </c>
      <c r="AI344" s="41">
        <v>44694.930555555555</v>
      </c>
      <c r="AJ344" s="40"/>
      <c r="AK344" s="43">
        <v>950</v>
      </c>
      <c r="AL344" s="40"/>
      <c r="AM344" s="43">
        <v>0</v>
      </c>
      <c r="AN344" s="43"/>
      <c r="AO344" s="43"/>
      <c r="AP344" s="43"/>
      <c r="AQ344" s="43">
        <v>0</v>
      </c>
      <c r="AR344" s="43">
        <v>0</v>
      </c>
      <c r="AS344" s="43"/>
      <c r="AT344" s="43">
        <v>0</v>
      </c>
      <c r="AU344" s="43"/>
      <c r="AV344" s="43"/>
      <c r="AW344" s="43"/>
      <c r="AX344" s="43">
        <v>0</v>
      </c>
      <c r="AY344" s="43">
        <v>0</v>
      </c>
      <c r="AZ344" s="43">
        <v>0</v>
      </c>
      <c r="BA344" s="43">
        <v>0</v>
      </c>
      <c r="BB344" s="43">
        <v>0</v>
      </c>
      <c r="BC344" s="43">
        <v>0</v>
      </c>
      <c r="BD344" s="43">
        <v>0</v>
      </c>
      <c r="BE344" s="43">
        <v>0</v>
      </c>
      <c r="BF344" s="43">
        <v>0</v>
      </c>
      <c r="BG344" s="43">
        <v>0</v>
      </c>
      <c r="BH344" s="43">
        <v>0</v>
      </c>
      <c r="BI344" s="40" t="s">
        <v>1355</v>
      </c>
      <c r="BJ344" s="40">
        <v>2022</v>
      </c>
      <c r="BK344" s="40" t="s">
        <v>2768</v>
      </c>
      <c r="BL344" s="40" t="s">
        <v>2768</v>
      </c>
      <c r="BM344" s="40"/>
    </row>
    <row r="345" spans="1:65" x14ac:dyDescent="0.25">
      <c r="A345" s="40" t="s">
        <v>2771</v>
      </c>
      <c r="B345" s="41">
        <v>44694.291666666664</v>
      </c>
      <c r="C345" s="40" t="s">
        <v>353</v>
      </c>
      <c r="D345" s="40" t="s">
        <v>1196</v>
      </c>
      <c r="E345" s="40">
        <v>7772503</v>
      </c>
      <c r="F345" s="40" t="s">
        <v>1440</v>
      </c>
      <c r="G345" s="40" t="s">
        <v>1449</v>
      </c>
      <c r="H345" s="40" t="s">
        <v>301</v>
      </c>
      <c r="I345" s="40">
        <v>3750</v>
      </c>
      <c r="J345" s="40" t="s">
        <v>1450</v>
      </c>
      <c r="K345" s="40">
        <v>24922</v>
      </c>
      <c r="L345" s="40">
        <v>28672</v>
      </c>
      <c r="M345" s="40" t="s">
        <v>1451</v>
      </c>
      <c r="N345" s="40" t="s">
        <v>1444</v>
      </c>
      <c r="O345" s="40" t="s">
        <v>1365</v>
      </c>
      <c r="P345" s="40" t="s">
        <v>1366</v>
      </c>
      <c r="Q345" s="40" t="s">
        <v>1367</v>
      </c>
      <c r="R345" s="42" t="s">
        <v>1368</v>
      </c>
      <c r="S345" s="42">
        <v>1991849508</v>
      </c>
      <c r="T345" s="40" t="s">
        <v>521</v>
      </c>
      <c r="U345" s="41">
        <v>44693.770833333336</v>
      </c>
      <c r="V345" s="41">
        <v>44694.5625</v>
      </c>
      <c r="W345" s="41" t="s">
        <v>1452</v>
      </c>
      <c r="X345" s="40" t="s">
        <v>293</v>
      </c>
      <c r="Y345" s="41">
        <v>44698.665972222225</v>
      </c>
      <c r="Z345" s="41"/>
      <c r="AA345" s="41">
        <v>44694.625</v>
      </c>
      <c r="AB345" s="41">
        <v>44699.75</v>
      </c>
      <c r="AC345" s="40" t="s">
        <v>1445</v>
      </c>
      <c r="AD345" s="40">
        <v>46</v>
      </c>
      <c r="AE345" s="40"/>
      <c r="AF345" s="40"/>
      <c r="AG345" s="40"/>
      <c r="AH345" s="40" t="s">
        <v>393</v>
      </c>
      <c r="AI345" s="41">
        <v>44695.5</v>
      </c>
      <c r="AJ345" s="40"/>
      <c r="AK345" s="43">
        <v>950</v>
      </c>
      <c r="AL345" s="40"/>
      <c r="AM345" s="43">
        <v>0</v>
      </c>
      <c r="AN345" s="43">
        <v>320</v>
      </c>
      <c r="AO345" s="43"/>
      <c r="AP345" s="43"/>
      <c r="AQ345" s="43">
        <v>320</v>
      </c>
      <c r="AR345" s="43">
        <v>0</v>
      </c>
      <c r="AS345" s="43"/>
      <c r="AT345" s="43">
        <v>0</v>
      </c>
      <c r="AU345" s="43"/>
      <c r="AV345" s="43"/>
      <c r="AW345" s="43"/>
      <c r="AX345" s="43">
        <v>0</v>
      </c>
      <c r="AY345" s="43">
        <v>0</v>
      </c>
      <c r="AZ345" s="43">
        <v>0</v>
      </c>
      <c r="BA345" s="43">
        <v>0</v>
      </c>
      <c r="BB345" s="43">
        <v>0</v>
      </c>
      <c r="BC345" s="43">
        <v>0</v>
      </c>
      <c r="BD345" s="43">
        <v>0</v>
      </c>
      <c r="BE345" s="43">
        <v>0</v>
      </c>
      <c r="BF345" s="43">
        <v>0</v>
      </c>
      <c r="BG345" s="43">
        <v>0</v>
      </c>
      <c r="BH345" s="43">
        <v>0</v>
      </c>
      <c r="BI345" s="40" t="s">
        <v>1355</v>
      </c>
      <c r="BJ345" s="40">
        <v>2022</v>
      </c>
      <c r="BK345" s="40" t="s">
        <v>2768</v>
      </c>
      <c r="BL345" s="40" t="s">
        <v>2768</v>
      </c>
      <c r="BM345" s="40"/>
    </row>
    <row r="346" spans="1:65" x14ac:dyDescent="0.25">
      <c r="A346" s="40" t="s">
        <v>2771</v>
      </c>
      <c r="B346" s="41">
        <v>44694.291666666664</v>
      </c>
      <c r="C346" s="40" t="s">
        <v>353</v>
      </c>
      <c r="D346" s="40" t="s">
        <v>1196</v>
      </c>
      <c r="E346" s="40">
        <v>7772503</v>
      </c>
      <c r="F346" s="40" t="s">
        <v>1440</v>
      </c>
      <c r="G346" s="40" t="s">
        <v>1453</v>
      </c>
      <c r="H346" s="40" t="s">
        <v>301</v>
      </c>
      <c r="I346" s="40">
        <v>3900</v>
      </c>
      <c r="J346" s="40" t="s">
        <v>1454</v>
      </c>
      <c r="K346" s="40">
        <v>24922</v>
      </c>
      <c r="L346" s="40">
        <v>28822</v>
      </c>
      <c r="M346" s="40" t="s">
        <v>1455</v>
      </c>
      <c r="N346" s="40" t="s">
        <v>1444</v>
      </c>
      <c r="O346" s="40" t="s">
        <v>102</v>
      </c>
      <c r="P346" s="40" t="s">
        <v>27</v>
      </c>
      <c r="Q346" s="40" t="s">
        <v>103</v>
      </c>
      <c r="R346" s="42" t="s">
        <v>104</v>
      </c>
      <c r="S346" s="42" t="s">
        <v>105</v>
      </c>
      <c r="T346" s="40" t="s">
        <v>521</v>
      </c>
      <c r="U346" s="41">
        <v>44693.645833333336</v>
      </c>
      <c r="V346" s="41">
        <v>44694.208333333336</v>
      </c>
      <c r="W346" s="41">
        <v>44694.583333333336</v>
      </c>
      <c r="X346" s="40" t="s">
        <v>293</v>
      </c>
      <c r="Y346" s="41">
        <v>44697.419444444444</v>
      </c>
      <c r="Z346" s="41"/>
      <c r="AA346" s="41">
        <v>44694.625</v>
      </c>
      <c r="AB346" s="41">
        <v>44699.75</v>
      </c>
      <c r="AC346" s="40" t="s">
        <v>1445</v>
      </c>
      <c r="AD346" s="40">
        <v>45</v>
      </c>
      <c r="AE346" s="40"/>
      <c r="AF346" s="40"/>
      <c r="AG346" s="40"/>
      <c r="AH346" s="40" t="s">
        <v>393</v>
      </c>
      <c r="AI346" s="41">
        <v>44694.996527777781</v>
      </c>
      <c r="AJ346" s="40"/>
      <c r="AK346" s="43">
        <v>950</v>
      </c>
      <c r="AL346" s="40"/>
      <c r="AM346" s="43">
        <v>0</v>
      </c>
      <c r="AN346" s="43"/>
      <c r="AO346" s="43"/>
      <c r="AP346" s="43"/>
      <c r="AQ346" s="43">
        <v>0</v>
      </c>
      <c r="AR346" s="43">
        <v>0</v>
      </c>
      <c r="AS346" s="43"/>
      <c r="AT346" s="43">
        <v>0</v>
      </c>
      <c r="AU346" s="43"/>
      <c r="AV346" s="43"/>
      <c r="AW346" s="43"/>
      <c r="AX346" s="43">
        <v>0</v>
      </c>
      <c r="AY346" s="43">
        <v>0</v>
      </c>
      <c r="AZ346" s="43">
        <v>0</v>
      </c>
      <c r="BA346" s="43">
        <v>0</v>
      </c>
      <c r="BB346" s="43">
        <v>0</v>
      </c>
      <c r="BC346" s="43">
        <v>0</v>
      </c>
      <c r="BD346" s="43">
        <v>0</v>
      </c>
      <c r="BE346" s="43">
        <v>0</v>
      </c>
      <c r="BF346" s="43">
        <v>0</v>
      </c>
      <c r="BG346" s="43">
        <v>0</v>
      </c>
      <c r="BH346" s="43">
        <v>0</v>
      </c>
      <c r="BI346" s="40" t="s">
        <v>1355</v>
      </c>
      <c r="BJ346" s="40">
        <v>2022</v>
      </c>
      <c r="BK346" s="40" t="s">
        <v>2768</v>
      </c>
      <c r="BL346" s="40" t="s">
        <v>2768</v>
      </c>
      <c r="BM346" s="40"/>
    </row>
    <row r="347" spans="1:65" x14ac:dyDescent="0.25">
      <c r="A347" s="40" t="s">
        <v>2771</v>
      </c>
      <c r="B347" s="41">
        <v>44694.291666666664</v>
      </c>
      <c r="C347" s="40" t="s">
        <v>353</v>
      </c>
      <c r="D347" s="40" t="s">
        <v>1196</v>
      </c>
      <c r="E347" s="40">
        <v>7772503</v>
      </c>
      <c r="F347" s="40" t="s">
        <v>1440</v>
      </c>
      <c r="G347" s="40" t="s">
        <v>1456</v>
      </c>
      <c r="H347" s="40" t="s">
        <v>301</v>
      </c>
      <c r="I347" s="40">
        <v>3700</v>
      </c>
      <c r="J347" s="40" t="s">
        <v>1457</v>
      </c>
      <c r="K347" s="40">
        <v>24922</v>
      </c>
      <c r="L347" s="40">
        <v>28622</v>
      </c>
      <c r="M347" s="40" t="s">
        <v>1458</v>
      </c>
      <c r="N347" s="40" t="s">
        <v>1444</v>
      </c>
      <c r="O347" s="40" t="s">
        <v>119</v>
      </c>
      <c r="P347" s="40" t="s">
        <v>120</v>
      </c>
      <c r="Q347" s="40" t="s">
        <v>121</v>
      </c>
      <c r="R347" s="42" t="s">
        <v>122</v>
      </c>
      <c r="S347" s="42" t="s">
        <v>123</v>
      </c>
      <c r="T347" s="40" t="s">
        <v>521</v>
      </c>
      <c r="U347" s="41">
        <v>44693.8125</v>
      </c>
      <c r="V347" s="41">
        <v>44694.208333333336</v>
      </c>
      <c r="W347" s="41">
        <v>44694.541666666664</v>
      </c>
      <c r="X347" s="40" t="s">
        <v>293</v>
      </c>
      <c r="Y347" s="41">
        <v>44697.667361111111</v>
      </c>
      <c r="Z347" s="41"/>
      <c r="AA347" s="41">
        <v>44694.625</v>
      </c>
      <c r="AB347" s="41">
        <v>44699.75</v>
      </c>
      <c r="AC347" s="40" t="s">
        <v>1445</v>
      </c>
      <c r="AD347" s="40">
        <v>44</v>
      </c>
      <c r="AE347" s="40"/>
      <c r="AF347" s="40"/>
      <c r="AG347" s="40"/>
      <c r="AH347" s="40" t="s">
        <v>393</v>
      </c>
      <c r="AI347" s="41">
        <v>44694.996527777781</v>
      </c>
      <c r="AJ347" s="40"/>
      <c r="AK347" s="43">
        <v>950</v>
      </c>
      <c r="AL347" s="40"/>
      <c r="AM347" s="43">
        <v>0</v>
      </c>
      <c r="AN347" s="43"/>
      <c r="AO347" s="43"/>
      <c r="AP347" s="43"/>
      <c r="AQ347" s="43">
        <v>0</v>
      </c>
      <c r="AR347" s="43">
        <v>0</v>
      </c>
      <c r="AS347" s="43"/>
      <c r="AT347" s="43">
        <v>0</v>
      </c>
      <c r="AU347" s="43"/>
      <c r="AV347" s="43"/>
      <c r="AW347" s="43"/>
      <c r="AX347" s="43">
        <v>0</v>
      </c>
      <c r="AY347" s="43">
        <v>0</v>
      </c>
      <c r="AZ347" s="43">
        <v>0</v>
      </c>
      <c r="BA347" s="43">
        <v>0</v>
      </c>
      <c r="BB347" s="43">
        <v>0</v>
      </c>
      <c r="BC347" s="43">
        <v>0</v>
      </c>
      <c r="BD347" s="43">
        <v>0</v>
      </c>
      <c r="BE347" s="43">
        <v>0</v>
      </c>
      <c r="BF347" s="43">
        <v>0</v>
      </c>
      <c r="BG347" s="43">
        <v>0</v>
      </c>
      <c r="BH347" s="43">
        <v>0</v>
      </c>
      <c r="BI347" s="40" t="s">
        <v>1355</v>
      </c>
      <c r="BJ347" s="40">
        <v>2022</v>
      </c>
      <c r="BK347" s="40" t="s">
        <v>2768</v>
      </c>
      <c r="BL347" s="40" t="s">
        <v>2768</v>
      </c>
      <c r="BM347" s="40"/>
    </row>
    <row r="348" spans="1:65" x14ac:dyDescent="0.25">
      <c r="A348" s="40" t="s">
        <v>2771</v>
      </c>
      <c r="B348" s="41">
        <v>44700.291666666664</v>
      </c>
      <c r="C348" s="40" t="s">
        <v>1459</v>
      </c>
      <c r="D348" s="40" t="s">
        <v>1460</v>
      </c>
      <c r="E348" s="40" t="s">
        <v>1461</v>
      </c>
      <c r="F348" s="40" t="s">
        <v>1462</v>
      </c>
      <c r="G348" s="40" t="s">
        <v>1463</v>
      </c>
      <c r="H348" s="40" t="s">
        <v>301</v>
      </c>
      <c r="I348" s="40">
        <v>3870</v>
      </c>
      <c r="J348" s="40" t="s">
        <v>1464</v>
      </c>
      <c r="K348" s="40">
        <v>3153</v>
      </c>
      <c r="L348" s="40">
        <v>7023</v>
      </c>
      <c r="M348" s="40">
        <v>477594</v>
      </c>
      <c r="N348" s="40" t="s">
        <v>1465</v>
      </c>
      <c r="O348" s="40" t="s">
        <v>106</v>
      </c>
      <c r="P348" s="40" t="s">
        <v>107</v>
      </c>
      <c r="Q348" s="40" t="s">
        <v>108</v>
      </c>
      <c r="R348" s="42" t="s">
        <v>109</v>
      </c>
      <c r="S348" s="42" t="s">
        <v>110</v>
      </c>
      <c r="T348" s="40" t="s">
        <v>537</v>
      </c>
      <c r="U348" s="41"/>
      <c r="V348" s="41">
        <v>44700.25</v>
      </c>
      <c r="W348" s="41">
        <v>44700.75</v>
      </c>
      <c r="X348" s="40" t="s">
        <v>293</v>
      </c>
      <c r="Y348" s="41">
        <v>44706.656944444447</v>
      </c>
      <c r="Z348" s="41">
        <v>44706.5</v>
      </c>
      <c r="AA348" s="41">
        <v>44693.5</v>
      </c>
      <c r="AB348" s="41">
        <v>44698.75</v>
      </c>
      <c r="AC348" s="40" t="s">
        <v>1466</v>
      </c>
      <c r="AD348" s="40">
        <v>12739</v>
      </c>
      <c r="AE348" s="40"/>
      <c r="AF348" s="40"/>
      <c r="AG348" s="40"/>
      <c r="AH348" s="40" t="s">
        <v>393</v>
      </c>
      <c r="AI348" s="41">
        <v>44701.833333333336</v>
      </c>
      <c r="AJ348" s="40"/>
      <c r="AK348" s="43">
        <v>950</v>
      </c>
      <c r="AL348" s="40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0"/>
      <c r="BJ348" s="40"/>
      <c r="BK348" s="40" t="s">
        <v>2768</v>
      </c>
      <c r="BL348" s="40" t="s">
        <v>2768</v>
      </c>
      <c r="BM348" s="40" t="s">
        <v>2768</v>
      </c>
    </row>
    <row r="349" spans="1:65" x14ac:dyDescent="0.25">
      <c r="A349" s="40" t="s">
        <v>2771</v>
      </c>
      <c r="B349" s="41">
        <v>44701.291666666664</v>
      </c>
      <c r="C349" s="40" t="s">
        <v>1467</v>
      </c>
      <c r="D349" s="40" t="s">
        <v>1468</v>
      </c>
      <c r="E349" s="40" t="s">
        <v>1461</v>
      </c>
      <c r="F349" s="40" t="s">
        <v>1462</v>
      </c>
      <c r="G349" s="40" t="s">
        <v>1463</v>
      </c>
      <c r="H349" s="40" t="s">
        <v>301</v>
      </c>
      <c r="I349" s="40">
        <v>3870</v>
      </c>
      <c r="J349" s="40" t="s">
        <v>1464</v>
      </c>
      <c r="K349" s="40">
        <v>2938</v>
      </c>
      <c r="L349" s="40">
        <v>6808</v>
      </c>
      <c r="M349" s="40" t="s">
        <v>1469</v>
      </c>
      <c r="N349" s="40" t="s">
        <v>1465</v>
      </c>
      <c r="O349" s="40" t="s">
        <v>106</v>
      </c>
      <c r="P349" s="40" t="s">
        <v>107</v>
      </c>
      <c r="Q349" s="40" t="s">
        <v>108</v>
      </c>
      <c r="R349" s="42" t="s">
        <v>109</v>
      </c>
      <c r="S349" s="42" t="s">
        <v>110</v>
      </c>
      <c r="T349" s="40" t="s">
        <v>537</v>
      </c>
      <c r="U349" s="41"/>
      <c r="V349" s="41">
        <v>44701.208333333336</v>
      </c>
      <c r="W349" s="41">
        <v>44701.486111111109</v>
      </c>
      <c r="X349" s="40" t="s">
        <v>293</v>
      </c>
      <c r="Y349" s="41">
        <v>44706.656944444447</v>
      </c>
      <c r="Z349" s="41">
        <v>44706.5</v>
      </c>
      <c r="AA349" s="41">
        <v>44693.5</v>
      </c>
      <c r="AB349" s="41">
        <v>44698.75</v>
      </c>
      <c r="AC349" s="40" t="s">
        <v>1466</v>
      </c>
      <c r="AD349" s="40">
        <v>12740</v>
      </c>
      <c r="AE349" s="40"/>
      <c r="AF349" s="40"/>
      <c r="AG349" s="40"/>
      <c r="AH349" s="40" t="s">
        <v>393</v>
      </c>
      <c r="AI349" s="41">
        <v>44701.833333333336</v>
      </c>
      <c r="AJ349" s="40"/>
      <c r="AK349" s="43">
        <v>950</v>
      </c>
      <c r="AL349" s="40"/>
      <c r="AM349" s="43">
        <v>0</v>
      </c>
      <c r="AN349" s="43"/>
      <c r="AO349" s="43"/>
      <c r="AP349" s="43"/>
      <c r="AQ349" s="43">
        <v>0</v>
      </c>
      <c r="AR349" s="43">
        <v>0</v>
      </c>
      <c r="AS349" s="43"/>
      <c r="AT349" s="43">
        <v>0</v>
      </c>
      <c r="AU349" s="43"/>
      <c r="AV349" s="43"/>
      <c r="AW349" s="43"/>
      <c r="AX349" s="43">
        <v>0</v>
      </c>
      <c r="AY349" s="43">
        <v>0</v>
      </c>
      <c r="AZ349" s="43">
        <v>0</v>
      </c>
      <c r="BA349" s="43">
        <v>0</v>
      </c>
      <c r="BB349" s="43">
        <v>0</v>
      </c>
      <c r="BC349" s="43">
        <v>0</v>
      </c>
      <c r="BD349" s="43">
        <v>0</v>
      </c>
      <c r="BE349" s="43">
        <v>0</v>
      </c>
      <c r="BF349" s="43">
        <v>0</v>
      </c>
      <c r="BG349" s="43">
        <v>0</v>
      </c>
      <c r="BH349" s="43">
        <v>0</v>
      </c>
      <c r="BI349" s="40" t="s">
        <v>1355</v>
      </c>
      <c r="BJ349" s="40">
        <v>2022</v>
      </c>
      <c r="BK349" s="40" t="s">
        <v>2768</v>
      </c>
      <c r="BL349" s="40" t="s">
        <v>2768</v>
      </c>
      <c r="BM349" s="40" t="s">
        <v>2768</v>
      </c>
    </row>
    <row r="350" spans="1:65" x14ac:dyDescent="0.25">
      <c r="A350" s="40" t="s">
        <v>2771</v>
      </c>
      <c r="B350" s="41">
        <v>44699.291666666664</v>
      </c>
      <c r="C350" s="40" t="s">
        <v>456</v>
      </c>
      <c r="D350" s="40" t="s">
        <v>457</v>
      </c>
      <c r="E350" s="40"/>
      <c r="F350" s="40" t="s">
        <v>1470</v>
      </c>
      <c r="G350" s="40" t="s">
        <v>1471</v>
      </c>
      <c r="H350" s="40" t="s">
        <v>459</v>
      </c>
      <c r="I350" s="40">
        <v>4610</v>
      </c>
      <c r="J350" s="40" t="s">
        <v>1472</v>
      </c>
      <c r="K350" s="40"/>
      <c r="L350" s="40">
        <v>4610</v>
      </c>
      <c r="M350" s="40" t="s">
        <v>1473</v>
      </c>
      <c r="N350" s="40" t="s">
        <v>1465</v>
      </c>
      <c r="O350" s="40" t="s">
        <v>1365</v>
      </c>
      <c r="P350" s="40" t="s">
        <v>1366</v>
      </c>
      <c r="Q350" s="40" t="s">
        <v>1367</v>
      </c>
      <c r="R350" s="42" t="s">
        <v>1368</v>
      </c>
      <c r="S350" s="42">
        <v>1991849508</v>
      </c>
      <c r="T350" s="40" t="s">
        <v>293</v>
      </c>
      <c r="U350" s="41">
        <v>44693.416666666664</v>
      </c>
      <c r="V350" s="41">
        <v>44699.291666666664</v>
      </c>
      <c r="W350" s="41">
        <v>44699.541666666664</v>
      </c>
      <c r="X350" s="40" t="s">
        <v>293</v>
      </c>
      <c r="Y350" s="41">
        <v>44709.367361111108</v>
      </c>
      <c r="Z350" s="41"/>
      <c r="AA350" s="41">
        <v>44693.5</v>
      </c>
      <c r="AB350" s="41" t="s">
        <v>1474</v>
      </c>
      <c r="AC350" s="40" t="s">
        <v>452</v>
      </c>
      <c r="AD350" s="40">
        <v>79</v>
      </c>
      <c r="AE350" s="40" t="s">
        <v>125</v>
      </c>
      <c r="AF350" s="40" t="s">
        <v>125</v>
      </c>
      <c r="AG350" s="40"/>
      <c r="AH350" s="40" t="s">
        <v>1475</v>
      </c>
      <c r="AI350" s="41">
        <v>44700.333333333336</v>
      </c>
      <c r="AJ350" s="40"/>
      <c r="AK350" s="43">
        <v>3014.59</v>
      </c>
      <c r="AL350" s="40"/>
      <c r="AM350" s="43">
        <v>0</v>
      </c>
      <c r="AN350" s="43">
        <v>760.2</v>
      </c>
      <c r="AO350" s="43"/>
      <c r="AP350" s="43"/>
      <c r="AQ350" s="43">
        <v>760.2</v>
      </c>
      <c r="AR350" s="43">
        <v>0</v>
      </c>
      <c r="AS350" s="43"/>
      <c r="AT350" s="43">
        <v>0</v>
      </c>
      <c r="AU350" s="43"/>
      <c r="AV350" s="43"/>
      <c r="AW350" s="43"/>
      <c r="AX350" s="43">
        <v>0</v>
      </c>
      <c r="AY350" s="43">
        <v>0</v>
      </c>
      <c r="AZ350" s="43">
        <v>0</v>
      </c>
      <c r="BA350" s="43">
        <v>0</v>
      </c>
      <c r="BB350" s="43">
        <v>0</v>
      </c>
      <c r="BC350" s="43">
        <v>0</v>
      </c>
      <c r="BD350" s="43">
        <v>0</v>
      </c>
      <c r="BE350" s="43">
        <v>0</v>
      </c>
      <c r="BF350" s="43">
        <v>0</v>
      </c>
      <c r="BG350" s="43">
        <v>0</v>
      </c>
      <c r="BH350" s="43">
        <v>0</v>
      </c>
      <c r="BI350" s="40" t="s">
        <v>1355</v>
      </c>
      <c r="BJ350" s="40">
        <v>2022</v>
      </c>
      <c r="BK350" s="40" t="s">
        <v>2768</v>
      </c>
      <c r="BL350" s="40" t="s">
        <v>2768</v>
      </c>
      <c r="BM350" s="40" t="s">
        <v>2768</v>
      </c>
    </row>
    <row r="351" spans="1:65" x14ac:dyDescent="0.25">
      <c r="A351" s="40" t="s">
        <v>2771</v>
      </c>
      <c r="B351" s="41">
        <v>44697.291666666664</v>
      </c>
      <c r="C351" s="40" t="s">
        <v>353</v>
      </c>
      <c r="D351" s="40" t="s">
        <v>354</v>
      </c>
      <c r="E351" s="40">
        <v>7721335</v>
      </c>
      <c r="F351" s="40">
        <v>66142772</v>
      </c>
      <c r="G351" s="40" t="s">
        <v>1476</v>
      </c>
      <c r="H351" s="40" t="s">
        <v>301</v>
      </c>
      <c r="I351" s="40">
        <v>4090</v>
      </c>
      <c r="J351" s="40" t="s">
        <v>1477</v>
      </c>
      <c r="K351" s="40">
        <v>25938</v>
      </c>
      <c r="L351" s="40">
        <v>30028</v>
      </c>
      <c r="M351" s="40">
        <v>609426</v>
      </c>
      <c r="N351" s="40" t="s">
        <v>1478</v>
      </c>
      <c r="O351" s="40" t="s">
        <v>890</v>
      </c>
      <c r="P351" s="40" t="s">
        <v>891</v>
      </c>
      <c r="Q351" s="40" t="s">
        <v>892</v>
      </c>
      <c r="R351" s="42" t="s">
        <v>893</v>
      </c>
      <c r="S351" s="42" t="s">
        <v>894</v>
      </c>
      <c r="T351" s="40" t="s">
        <v>292</v>
      </c>
      <c r="U351" s="41">
        <v>44694.75</v>
      </c>
      <c r="V351" s="41">
        <v>44697.020833333336</v>
      </c>
      <c r="W351" s="41">
        <v>44697.365972222222</v>
      </c>
      <c r="X351" s="40" t="s">
        <v>293</v>
      </c>
      <c r="Y351" s="41">
        <v>44697.647222222222</v>
      </c>
      <c r="Z351" s="41"/>
      <c r="AA351" s="41">
        <v>44697.75</v>
      </c>
      <c r="AB351" s="41">
        <v>44699.5</v>
      </c>
      <c r="AC351" s="40" t="s">
        <v>1479</v>
      </c>
      <c r="AD351" s="40">
        <v>12665</v>
      </c>
      <c r="AE351" s="40"/>
      <c r="AF351" s="40"/>
      <c r="AG351" s="40"/>
      <c r="AH351" s="40"/>
      <c r="AI351" s="41"/>
      <c r="AJ351" s="40"/>
      <c r="AK351" s="43"/>
      <c r="AL351" s="40"/>
      <c r="AM351" s="43">
        <v>0</v>
      </c>
      <c r="AN351" s="43"/>
      <c r="AO351" s="43"/>
      <c r="AP351" s="43"/>
      <c r="AQ351" s="43">
        <v>0</v>
      </c>
      <c r="AR351" s="43">
        <v>0</v>
      </c>
      <c r="AS351" s="43"/>
      <c r="AT351" s="43">
        <v>0</v>
      </c>
      <c r="AU351" s="43"/>
      <c r="AV351" s="43"/>
      <c r="AW351" s="43"/>
      <c r="AX351" s="43">
        <v>0</v>
      </c>
      <c r="AY351" s="43">
        <v>0</v>
      </c>
      <c r="AZ351" s="43">
        <v>0</v>
      </c>
      <c r="BA351" s="43">
        <v>0</v>
      </c>
      <c r="BB351" s="43">
        <v>0</v>
      </c>
      <c r="BC351" s="43">
        <v>0</v>
      </c>
      <c r="BD351" s="43">
        <v>0</v>
      </c>
      <c r="BE351" s="43">
        <v>0</v>
      </c>
      <c r="BF351" s="43">
        <v>0</v>
      </c>
      <c r="BG351" s="43">
        <v>0</v>
      </c>
      <c r="BH351" s="43">
        <v>0</v>
      </c>
      <c r="BI351" s="40" t="s">
        <v>1355</v>
      </c>
      <c r="BJ351" s="40">
        <v>2022</v>
      </c>
      <c r="BK351" s="40" t="s">
        <v>2768</v>
      </c>
      <c r="BL351" s="40" t="s">
        <v>2768</v>
      </c>
      <c r="BM351" s="40" t="s">
        <v>2768</v>
      </c>
    </row>
    <row r="352" spans="1:65" x14ac:dyDescent="0.25">
      <c r="A352" s="40" t="s">
        <v>2771</v>
      </c>
      <c r="B352" s="41">
        <v>44697.291666666664</v>
      </c>
      <c r="C352" s="40" t="s">
        <v>353</v>
      </c>
      <c r="D352" s="40" t="s">
        <v>354</v>
      </c>
      <c r="E352" s="40">
        <v>7721335</v>
      </c>
      <c r="F352" s="40">
        <v>66142772</v>
      </c>
      <c r="G352" s="40" t="s">
        <v>1480</v>
      </c>
      <c r="H352" s="40" t="s">
        <v>301</v>
      </c>
      <c r="I352" s="40">
        <v>3900</v>
      </c>
      <c r="J352" s="40" t="s">
        <v>1481</v>
      </c>
      <c r="K352" s="40">
        <v>25938</v>
      </c>
      <c r="L352" s="40">
        <v>29838</v>
      </c>
      <c r="M352" s="40">
        <v>609637</v>
      </c>
      <c r="N352" s="40" t="s">
        <v>1478</v>
      </c>
      <c r="O352" s="40" t="s">
        <v>140</v>
      </c>
      <c r="P352" s="40" t="s">
        <v>141</v>
      </c>
      <c r="Q352" s="40" t="s">
        <v>1482</v>
      </c>
      <c r="R352" s="42" t="s">
        <v>1483</v>
      </c>
      <c r="S352" s="42" t="s">
        <v>1484</v>
      </c>
      <c r="T352" s="40" t="s">
        <v>292</v>
      </c>
      <c r="U352" s="41">
        <v>44694.75</v>
      </c>
      <c r="V352" s="41">
        <v>44697.333333333336</v>
      </c>
      <c r="W352" s="41">
        <v>44698.020833333336</v>
      </c>
      <c r="X352" s="40" t="s">
        <v>293</v>
      </c>
      <c r="Y352" s="41">
        <v>44698.254166666666</v>
      </c>
      <c r="Z352" s="41"/>
      <c r="AA352" s="41">
        <v>44697.75</v>
      </c>
      <c r="AB352" s="41">
        <v>44699.5</v>
      </c>
      <c r="AC352" s="40" t="s">
        <v>1479</v>
      </c>
      <c r="AD352" s="40">
        <v>12674</v>
      </c>
      <c r="AE352" s="40"/>
      <c r="AF352" s="40"/>
      <c r="AG352" s="40"/>
      <c r="AH352" s="40"/>
      <c r="AI352" s="41"/>
      <c r="AJ352" s="40"/>
      <c r="AK352" s="43"/>
      <c r="AL352" s="40"/>
      <c r="AM352" s="43">
        <v>0</v>
      </c>
      <c r="AN352" s="43"/>
      <c r="AO352" s="43"/>
      <c r="AP352" s="43"/>
      <c r="AQ352" s="43">
        <v>0</v>
      </c>
      <c r="AR352" s="43">
        <v>0</v>
      </c>
      <c r="AS352" s="43"/>
      <c r="AT352" s="43">
        <v>0</v>
      </c>
      <c r="AU352" s="43"/>
      <c r="AV352" s="43"/>
      <c r="AW352" s="43"/>
      <c r="AX352" s="43">
        <v>0</v>
      </c>
      <c r="AY352" s="43">
        <v>0</v>
      </c>
      <c r="AZ352" s="43">
        <v>0</v>
      </c>
      <c r="BA352" s="43">
        <v>0</v>
      </c>
      <c r="BB352" s="43">
        <v>0</v>
      </c>
      <c r="BC352" s="43">
        <v>0</v>
      </c>
      <c r="BD352" s="43">
        <v>0</v>
      </c>
      <c r="BE352" s="43">
        <v>0</v>
      </c>
      <c r="BF352" s="43">
        <v>0</v>
      </c>
      <c r="BG352" s="43">
        <v>0</v>
      </c>
      <c r="BH352" s="43">
        <v>0</v>
      </c>
      <c r="BI352" s="40" t="s">
        <v>1355</v>
      </c>
      <c r="BJ352" s="40">
        <v>2022</v>
      </c>
      <c r="BK352" s="40" t="s">
        <v>2768</v>
      </c>
      <c r="BL352" s="40" t="s">
        <v>2768</v>
      </c>
      <c r="BM352" s="40" t="s">
        <v>2768</v>
      </c>
    </row>
    <row r="353" spans="1:65" x14ac:dyDescent="0.25">
      <c r="A353" s="40" t="s">
        <v>2771</v>
      </c>
      <c r="B353" s="41">
        <v>44697.291666666664</v>
      </c>
      <c r="C353" s="40" t="s">
        <v>353</v>
      </c>
      <c r="D353" s="40" t="s">
        <v>354</v>
      </c>
      <c r="E353" s="40">
        <v>7721335</v>
      </c>
      <c r="F353" s="40">
        <v>66142772</v>
      </c>
      <c r="G353" s="40" t="s">
        <v>1485</v>
      </c>
      <c r="H353" s="40" t="s">
        <v>301</v>
      </c>
      <c r="I353" s="40">
        <v>3800</v>
      </c>
      <c r="J353" s="40" t="s">
        <v>1486</v>
      </c>
      <c r="K353" s="40">
        <v>25302</v>
      </c>
      <c r="L353" s="40">
        <v>29102</v>
      </c>
      <c r="M353" s="40">
        <v>609691</v>
      </c>
      <c r="N353" s="40" t="s">
        <v>1478</v>
      </c>
      <c r="O353" s="40" t="s">
        <v>111</v>
      </c>
      <c r="P353" s="40" t="s">
        <v>112</v>
      </c>
      <c r="Q353" s="40" t="s">
        <v>113</v>
      </c>
      <c r="R353" s="42" t="s">
        <v>1487</v>
      </c>
      <c r="S353" s="42" t="s">
        <v>333</v>
      </c>
      <c r="T353" s="40" t="s">
        <v>292</v>
      </c>
      <c r="U353" s="41">
        <v>44694.75</v>
      </c>
      <c r="V353" s="41">
        <v>44697.333333333336</v>
      </c>
      <c r="W353" s="41">
        <v>44698.402777777781</v>
      </c>
      <c r="X353" s="40" t="s">
        <v>293</v>
      </c>
      <c r="Y353" s="41">
        <v>44698.681944444441</v>
      </c>
      <c r="Z353" s="41"/>
      <c r="AA353" s="41">
        <v>44697.75</v>
      </c>
      <c r="AB353" s="41">
        <v>44699.5</v>
      </c>
      <c r="AC353" s="40" t="s">
        <v>1479</v>
      </c>
      <c r="AD353" s="40">
        <v>12679</v>
      </c>
      <c r="AE353" s="40"/>
      <c r="AF353" s="40"/>
      <c r="AG353" s="40"/>
      <c r="AH353" s="40"/>
      <c r="AI353" s="41"/>
      <c r="AJ353" s="40"/>
      <c r="AK353" s="43"/>
      <c r="AL353" s="40"/>
      <c r="AM353" s="43">
        <v>0</v>
      </c>
      <c r="AN353" s="43"/>
      <c r="AO353" s="43"/>
      <c r="AP353" s="43"/>
      <c r="AQ353" s="43">
        <v>0</v>
      </c>
      <c r="AR353" s="43">
        <v>0</v>
      </c>
      <c r="AS353" s="43"/>
      <c r="AT353" s="43">
        <v>0</v>
      </c>
      <c r="AU353" s="43"/>
      <c r="AV353" s="43"/>
      <c r="AW353" s="43"/>
      <c r="AX353" s="43">
        <v>0</v>
      </c>
      <c r="AY353" s="43">
        <v>0</v>
      </c>
      <c r="AZ353" s="43">
        <v>0</v>
      </c>
      <c r="BA353" s="43">
        <v>0</v>
      </c>
      <c r="BB353" s="43">
        <v>0</v>
      </c>
      <c r="BC353" s="43">
        <v>0</v>
      </c>
      <c r="BD353" s="43">
        <v>0</v>
      </c>
      <c r="BE353" s="43">
        <v>0</v>
      </c>
      <c r="BF353" s="43">
        <v>0</v>
      </c>
      <c r="BG353" s="43">
        <v>0</v>
      </c>
      <c r="BH353" s="43">
        <v>0</v>
      </c>
      <c r="BI353" s="40" t="s">
        <v>1355</v>
      </c>
      <c r="BJ353" s="40">
        <v>2022</v>
      </c>
      <c r="BK353" s="40" t="s">
        <v>2768</v>
      </c>
      <c r="BL353" s="40" t="s">
        <v>2768</v>
      </c>
      <c r="BM353" s="40" t="s">
        <v>2768</v>
      </c>
    </row>
    <row r="354" spans="1:65" x14ac:dyDescent="0.25">
      <c r="A354" s="40" t="s">
        <v>2771</v>
      </c>
      <c r="B354" s="41">
        <v>44697.291666666664</v>
      </c>
      <c r="C354" s="40" t="s">
        <v>353</v>
      </c>
      <c r="D354" s="40" t="s">
        <v>354</v>
      </c>
      <c r="E354" s="40">
        <v>7466013</v>
      </c>
      <c r="F354" s="40" t="s">
        <v>1488</v>
      </c>
      <c r="G354" s="40" t="s">
        <v>1489</v>
      </c>
      <c r="H354" s="40" t="s">
        <v>301</v>
      </c>
      <c r="I354" s="40">
        <v>3810</v>
      </c>
      <c r="J354" s="40" t="s">
        <v>1490</v>
      </c>
      <c r="K354" s="40">
        <v>25278</v>
      </c>
      <c r="L354" s="40">
        <v>29088</v>
      </c>
      <c r="M354" s="40">
        <v>609767</v>
      </c>
      <c r="N354" s="40" t="s">
        <v>1491</v>
      </c>
      <c r="O354" s="40" t="s">
        <v>102</v>
      </c>
      <c r="P354" s="40" t="s">
        <v>27</v>
      </c>
      <c r="Q354" s="40" t="s">
        <v>103</v>
      </c>
      <c r="R354" s="42" t="s">
        <v>104</v>
      </c>
      <c r="S354" s="42" t="s">
        <v>105</v>
      </c>
      <c r="T354" s="40" t="s">
        <v>469</v>
      </c>
      <c r="U354" s="41">
        <v>44695.479166666664</v>
      </c>
      <c r="V354" s="41">
        <v>44697.604166666664</v>
      </c>
      <c r="W354" s="41">
        <v>44698.625</v>
      </c>
      <c r="X354" s="40" t="s">
        <v>410</v>
      </c>
      <c r="Y354" s="41">
        <v>44705.925694444442</v>
      </c>
      <c r="Z354" s="41">
        <v>44704.75</v>
      </c>
      <c r="AA354" s="41">
        <v>44697.5</v>
      </c>
      <c r="AB354" s="41">
        <v>44705.75</v>
      </c>
      <c r="AC354" s="40" t="s">
        <v>1376</v>
      </c>
      <c r="AD354" s="40">
        <v>12686</v>
      </c>
      <c r="AE354" s="40"/>
      <c r="AF354" s="40"/>
      <c r="AG354" s="40"/>
      <c r="AH354" s="40" t="s">
        <v>393</v>
      </c>
      <c r="AI354" s="41">
        <v>44698.791666666664</v>
      </c>
      <c r="AJ354" s="40"/>
      <c r="AK354" s="43">
        <v>950</v>
      </c>
      <c r="AL354" s="40"/>
      <c r="AM354" s="43">
        <v>0</v>
      </c>
      <c r="AN354" s="43"/>
      <c r="AO354" s="43"/>
      <c r="AP354" s="43"/>
      <c r="AQ354" s="43">
        <v>0</v>
      </c>
      <c r="AR354" s="43">
        <v>86.144000000000005</v>
      </c>
      <c r="AS354" s="43"/>
      <c r="AT354" s="43">
        <v>1280</v>
      </c>
      <c r="AU354" s="43"/>
      <c r="AV354" s="43"/>
      <c r="AW354" s="43"/>
      <c r="AX354" s="43">
        <v>0</v>
      </c>
      <c r="AY354" s="43">
        <v>0</v>
      </c>
      <c r="AZ354" s="43">
        <v>0</v>
      </c>
      <c r="BA354" s="43">
        <v>0</v>
      </c>
      <c r="BB354" s="43">
        <v>0</v>
      </c>
      <c r="BC354" s="43">
        <v>0</v>
      </c>
      <c r="BD354" s="43">
        <v>0</v>
      </c>
      <c r="BE354" s="43">
        <v>0</v>
      </c>
      <c r="BF354" s="43">
        <v>0</v>
      </c>
      <c r="BG354" s="43">
        <v>0</v>
      </c>
      <c r="BH354" s="43">
        <v>1280</v>
      </c>
      <c r="BI354" s="40" t="s">
        <v>1355</v>
      </c>
      <c r="BJ354" s="40">
        <v>2022</v>
      </c>
      <c r="BK354" s="40" t="s">
        <v>2768</v>
      </c>
      <c r="BL354" s="40" t="s">
        <v>2768</v>
      </c>
      <c r="BM354" s="40">
        <v>29</v>
      </c>
    </row>
    <row r="355" spans="1:65" x14ac:dyDescent="0.25">
      <c r="A355" s="40" t="s">
        <v>2771</v>
      </c>
      <c r="B355" s="41">
        <v>44697.291666666664</v>
      </c>
      <c r="C355" s="40" t="s">
        <v>353</v>
      </c>
      <c r="D355" s="40" t="s">
        <v>354</v>
      </c>
      <c r="E355" s="40">
        <v>6830537</v>
      </c>
      <c r="F355" s="40" t="s">
        <v>1492</v>
      </c>
      <c r="G355" s="40" t="s">
        <v>1493</v>
      </c>
      <c r="H355" s="40" t="s">
        <v>301</v>
      </c>
      <c r="I355" s="40">
        <v>3800</v>
      </c>
      <c r="J355" s="40" t="s">
        <v>1494</v>
      </c>
      <c r="K355" s="40">
        <v>24725</v>
      </c>
      <c r="L355" s="40">
        <v>28525</v>
      </c>
      <c r="M355" s="40">
        <v>609663</v>
      </c>
      <c r="N355" s="40" t="s">
        <v>1491</v>
      </c>
      <c r="O355" s="40" t="s">
        <v>1495</v>
      </c>
      <c r="P355" s="40" t="s">
        <v>179</v>
      </c>
      <c r="Q355" s="40" t="s">
        <v>89</v>
      </c>
      <c r="R355" s="42" t="s">
        <v>90</v>
      </c>
      <c r="S355" s="42">
        <v>3148346870</v>
      </c>
      <c r="T355" s="40" t="s">
        <v>469</v>
      </c>
      <c r="U355" s="41">
        <v>44695.479166666664</v>
      </c>
      <c r="V355" s="41">
        <v>44697.416666666664</v>
      </c>
      <c r="W355" s="41">
        <v>44697.958333333336</v>
      </c>
      <c r="X355" s="40" t="s">
        <v>410</v>
      </c>
      <c r="Y355" s="41">
        <v>44705.71597222222</v>
      </c>
      <c r="Z355" s="41">
        <v>44704.75</v>
      </c>
      <c r="AA355" s="41">
        <v>44697.5</v>
      </c>
      <c r="AB355" s="41">
        <v>44705.75</v>
      </c>
      <c r="AC355" s="40" t="s">
        <v>1376</v>
      </c>
      <c r="AD355" s="40">
        <v>12676</v>
      </c>
      <c r="AE355" s="40"/>
      <c r="AF355" s="40"/>
      <c r="AG355" s="40"/>
      <c r="AH355" s="40" t="s">
        <v>393</v>
      </c>
      <c r="AI355" s="41">
        <v>44698.208333333336</v>
      </c>
      <c r="AJ355" s="40"/>
      <c r="AK355" s="43">
        <v>950</v>
      </c>
      <c r="AL355" s="40"/>
      <c r="AM355" s="43">
        <v>0</v>
      </c>
      <c r="AN355" s="43"/>
      <c r="AO355" s="43"/>
      <c r="AP355" s="43"/>
      <c r="AQ355" s="43">
        <v>0</v>
      </c>
      <c r="AR355" s="43">
        <v>0</v>
      </c>
      <c r="AS355" s="43"/>
      <c r="AT355" s="43">
        <v>0</v>
      </c>
      <c r="AU355" s="43"/>
      <c r="AV355" s="43"/>
      <c r="AW355" s="43"/>
      <c r="AX355" s="43">
        <v>0</v>
      </c>
      <c r="AY355" s="43">
        <v>0</v>
      </c>
      <c r="AZ355" s="43">
        <v>0</v>
      </c>
      <c r="BA355" s="43">
        <v>0</v>
      </c>
      <c r="BB355" s="43">
        <v>0</v>
      </c>
      <c r="BC355" s="43">
        <v>0</v>
      </c>
      <c r="BD355" s="43">
        <v>0</v>
      </c>
      <c r="BE355" s="43">
        <v>0</v>
      </c>
      <c r="BF355" s="43">
        <v>0</v>
      </c>
      <c r="BG355" s="43">
        <v>0</v>
      </c>
      <c r="BH355" s="43">
        <v>0</v>
      </c>
      <c r="BI355" s="40" t="s">
        <v>1355</v>
      </c>
      <c r="BJ355" s="40">
        <v>2022</v>
      </c>
      <c r="BK355" s="40" t="s">
        <v>2768</v>
      </c>
      <c r="BL355" s="40" t="s">
        <v>2768</v>
      </c>
      <c r="BM355" s="40" t="s">
        <v>2768</v>
      </c>
    </row>
    <row r="356" spans="1:65" x14ac:dyDescent="0.25">
      <c r="A356" s="40" t="s">
        <v>2771</v>
      </c>
      <c r="B356" s="41">
        <v>44697.291666666664</v>
      </c>
      <c r="C356" s="40" t="s">
        <v>353</v>
      </c>
      <c r="D356" s="40" t="s">
        <v>354</v>
      </c>
      <c r="E356" s="40">
        <v>6830538</v>
      </c>
      <c r="F356" s="40" t="s">
        <v>1496</v>
      </c>
      <c r="G356" s="40" t="s">
        <v>1497</v>
      </c>
      <c r="H356" s="40" t="s">
        <v>301</v>
      </c>
      <c r="I356" s="40">
        <v>3870</v>
      </c>
      <c r="J356" s="40" t="s">
        <v>1498</v>
      </c>
      <c r="K356" s="40">
        <v>24725</v>
      </c>
      <c r="L356" s="40">
        <v>28595</v>
      </c>
      <c r="M356" s="40">
        <v>609439</v>
      </c>
      <c r="N356" s="40" t="s">
        <v>1491</v>
      </c>
      <c r="O356" s="40" t="s">
        <v>68</v>
      </c>
      <c r="P356" s="40" t="s">
        <v>36</v>
      </c>
      <c r="Q356" s="40" t="s">
        <v>203</v>
      </c>
      <c r="R356" s="42" t="s">
        <v>204</v>
      </c>
      <c r="S356" s="42" t="s">
        <v>205</v>
      </c>
      <c r="T356" s="40" t="s">
        <v>469</v>
      </c>
      <c r="U356" s="41">
        <v>44695.416666666664</v>
      </c>
      <c r="V356" s="41">
        <v>44697.020833333336</v>
      </c>
      <c r="W356" s="41">
        <v>44697.402777777781</v>
      </c>
      <c r="X356" s="40" t="s">
        <v>410</v>
      </c>
      <c r="Y356" s="41">
        <v>44705.581250000003</v>
      </c>
      <c r="Z356" s="41">
        <v>44704.75</v>
      </c>
      <c r="AA356" s="41">
        <v>44697.5</v>
      </c>
      <c r="AB356" s="41">
        <v>44705.75</v>
      </c>
      <c r="AC356" s="40" t="s">
        <v>1376</v>
      </c>
      <c r="AD356" s="40">
        <v>12666</v>
      </c>
      <c r="AE356" s="40"/>
      <c r="AF356" s="40"/>
      <c r="AG356" s="40"/>
      <c r="AH356" s="40" t="s">
        <v>393</v>
      </c>
      <c r="AI356" s="41">
        <v>44697.583333333336</v>
      </c>
      <c r="AJ356" s="40"/>
      <c r="AK356" s="43">
        <v>950</v>
      </c>
      <c r="AL356" s="40"/>
      <c r="AM356" s="43">
        <v>0</v>
      </c>
      <c r="AN356" s="43"/>
      <c r="AO356" s="43"/>
      <c r="AP356" s="43"/>
      <c r="AQ356" s="43">
        <v>0</v>
      </c>
      <c r="AR356" s="43">
        <v>0</v>
      </c>
      <c r="AS356" s="43"/>
      <c r="AT356" s="43">
        <v>0</v>
      </c>
      <c r="AU356" s="43"/>
      <c r="AV356" s="43"/>
      <c r="AW356" s="43"/>
      <c r="AX356" s="43">
        <v>0</v>
      </c>
      <c r="AY356" s="43">
        <v>0</v>
      </c>
      <c r="AZ356" s="43">
        <v>0</v>
      </c>
      <c r="BA356" s="43">
        <v>0</v>
      </c>
      <c r="BB356" s="43">
        <v>0</v>
      </c>
      <c r="BC356" s="43">
        <v>0</v>
      </c>
      <c r="BD356" s="43">
        <v>0</v>
      </c>
      <c r="BE356" s="43">
        <v>0</v>
      </c>
      <c r="BF356" s="43">
        <v>0</v>
      </c>
      <c r="BG356" s="43">
        <v>0</v>
      </c>
      <c r="BH356" s="43">
        <v>0</v>
      </c>
      <c r="BI356" s="40" t="s">
        <v>1355</v>
      </c>
      <c r="BJ356" s="40">
        <v>2022</v>
      </c>
      <c r="BK356" s="40" t="s">
        <v>2768</v>
      </c>
      <c r="BL356" s="40" t="s">
        <v>2768</v>
      </c>
      <c r="BM356" s="40">
        <v>31</v>
      </c>
    </row>
    <row r="357" spans="1:65" x14ac:dyDescent="0.25">
      <c r="A357" s="40" t="s">
        <v>2771</v>
      </c>
      <c r="B357" s="41">
        <v>44697.291666666664</v>
      </c>
      <c r="C357" s="40" t="s">
        <v>353</v>
      </c>
      <c r="D357" s="40" t="s">
        <v>354</v>
      </c>
      <c r="E357" s="40">
        <v>6830533</v>
      </c>
      <c r="F357" s="40" t="s">
        <v>1499</v>
      </c>
      <c r="G357" s="40" t="s">
        <v>1500</v>
      </c>
      <c r="H357" s="40" t="s">
        <v>301</v>
      </c>
      <c r="I357" s="40">
        <v>3700</v>
      </c>
      <c r="J357" s="40" t="s">
        <v>1501</v>
      </c>
      <c r="K357" s="40">
        <v>25725</v>
      </c>
      <c r="L357" s="40">
        <v>29425</v>
      </c>
      <c r="M357" s="40">
        <v>609450</v>
      </c>
      <c r="N357" s="40" t="s">
        <v>1491</v>
      </c>
      <c r="O357" s="40" t="s">
        <v>31</v>
      </c>
      <c r="P357" s="40" t="s">
        <v>32</v>
      </c>
      <c r="Q357" s="40" t="s">
        <v>33</v>
      </c>
      <c r="R357" s="42" t="s">
        <v>34</v>
      </c>
      <c r="S357" s="42">
        <v>1258979905</v>
      </c>
      <c r="T357" s="40" t="s">
        <v>469</v>
      </c>
      <c r="U357" s="41">
        <v>44695.479166666664</v>
      </c>
      <c r="V357" s="41">
        <v>44697.291666666664</v>
      </c>
      <c r="W357" s="41">
        <v>44697.583333333336</v>
      </c>
      <c r="X357" s="40" t="s">
        <v>410</v>
      </c>
      <c r="Y357" s="41">
        <v>44705.717361111114</v>
      </c>
      <c r="Z357" s="41">
        <v>44704.75</v>
      </c>
      <c r="AA357" s="41">
        <v>44697.5</v>
      </c>
      <c r="AB357" s="41">
        <v>44705.75</v>
      </c>
      <c r="AC357" s="40" t="s">
        <v>1376</v>
      </c>
      <c r="AD357" s="40">
        <v>12671</v>
      </c>
      <c r="AE357" s="40"/>
      <c r="AF357" s="40"/>
      <c r="AG357" s="40"/>
      <c r="AH357" s="40" t="s">
        <v>393</v>
      </c>
      <c r="AI357" s="41">
        <v>44697.895833333336</v>
      </c>
      <c r="AJ357" s="40"/>
      <c r="AK357" s="43">
        <v>950</v>
      </c>
      <c r="AL357" s="40"/>
      <c r="AM357" s="43">
        <v>0</v>
      </c>
      <c r="AN357" s="43"/>
      <c r="AO357" s="43"/>
      <c r="AP357" s="43"/>
      <c r="AQ357" s="43">
        <v>0</v>
      </c>
      <c r="AR357" s="43">
        <v>0</v>
      </c>
      <c r="AS357" s="43"/>
      <c r="AT357" s="43">
        <v>0</v>
      </c>
      <c r="AU357" s="43"/>
      <c r="AV357" s="43"/>
      <c r="AW357" s="43"/>
      <c r="AX357" s="43">
        <v>0</v>
      </c>
      <c r="AY357" s="43">
        <v>0</v>
      </c>
      <c r="AZ357" s="43">
        <v>0</v>
      </c>
      <c r="BA357" s="43">
        <v>0</v>
      </c>
      <c r="BB357" s="43">
        <v>0</v>
      </c>
      <c r="BC357" s="43">
        <v>0</v>
      </c>
      <c r="BD357" s="43">
        <v>0</v>
      </c>
      <c r="BE357" s="43">
        <v>0</v>
      </c>
      <c r="BF357" s="43">
        <v>0</v>
      </c>
      <c r="BG357" s="43">
        <v>0</v>
      </c>
      <c r="BH357" s="43">
        <v>0</v>
      </c>
      <c r="BI357" s="40" t="s">
        <v>1355</v>
      </c>
      <c r="BJ357" s="40">
        <v>2022</v>
      </c>
      <c r="BK357" s="40" t="s">
        <v>2768</v>
      </c>
      <c r="BL357" s="40" t="s">
        <v>2768</v>
      </c>
      <c r="BM357" s="40" t="s">
        <v>2768</v>
      </c>
    </row>
    <row r="358" spans="1:65" x14ac:dyDescent="0.25">
      <c r="A358" s="40" t="s">
        <v>2771</v>
      </c>
      <c r="B358" s="41">
        <v>44697.291666666664</v>
      </c>
      <c r="C358" s="40" t="s">
        <v>353</v>
      </c>
      <c r="D358" s="40" t="s">
        <v>354</v>
      </c>
      <c r="E358" s="40">
        <v>6827588</v>
      </c>
      <c r="F358" s="40" t="s">
        <v>1502</v>
      </c>
      <c r="G358" s="40" t="s">
        <v>1503</v>
      </c>
      <c r="H358" s="40" t="s">
        <v>301</v>
      </c>
      <c r="I358" s="40">
        <v>3620</v>
      </c>
      <c r="J358" s="40" t="s">
        <v>1504</v>
      </c>
      <c r="K358" s="40">
        <v>26232</v>
      </c>
      <c r="L358" s="40">
        <v>29852</v>
      </c>
      <c r="M358" s="40">
        <v>609558</v>
      </c>
      <c r="N358" s="40" t="s">
        <v>1491</v>
      </c>
      <c r="O358" s="40" t="s">
        <v>150</v>
      </c>
      <c r="P358" s="40" t="s">
        <v>151</v>
      </c>
      <c r="Q358" s="40" t="s">
        <v>1384</v>
      </c>
      <c r="R358" s="42" t="s">
        <v>1385</v>
      </c>
      <c r="S358" s="42" t="s">
        <v>1386</v>
      </c>
      <c r="T358" s="40" t="s">
        <v>469</v>
      </c>
      <c r="U358" s="41">
        <v>44695.416666666664</v>
      </c>
      <c r="V358" s="41">
        <v>44697.327777777777</v>
      </c>
      <c r="W358" s="41">
        <v>44697.541666666664</v>
      </c>
      <c r="X358" s="40" t="s">
        <v>410</v>
      </c>
      <c r="Y358" s="41">
        <v>44705.648611111108</v>
      </c>
      <c r="Z358" s="41">
        <v>44704.75</v>
      </c>
      <c r="AA358" s="41">
        <v>44697.5</v>
      </c>
      <c r="AB358" s="41">
        <v>44705.75</v>
      </c>
      <c r="AC358" s="40" t="s">
        <v>1505</v>
      </c>
      <c r="AD358" s="40">
        <v>12673</v>
      </c>
      <c r="AE358" s="40"/>
      <c r="AF358" s="40"/>
      <c r="AG358" s="40"/>
      <c r="AH358" s="40" t="s">
        <v>393</v>
      </c>
      <c r="AI358" s="41">
        <v>44697.958333333336</v>
      </c>
      <c r="AJ358" s="40"/>
      <c r="AK358" s="43">
        <v>950</v>
      </c>
      <c r="AL358" s="40"/>
      <c r="AM358" s="43">
        <v>0</v>
      </c>
      <c r="AN358" s="43"/>
      <c r="AO358" s="43"/>
      <c r="AP358" s="43"/>
      <c r="AQ358" s="43">
        <v>0</v>
      </c>
      <c r="AR358" s="43">
        <v>0</v>
      </c>
      <c r="AS358" s="43"/>
      <c r="AT358" s="43">
        <v>0</v>
      </c>
      <c r="AU358" s="43"/>
      <c r="AV358" s="43"/>
      <c r="AW358" s="43"/>
      <c r="AX358" s="43">
        <v>0</v>
      </c>
      <c r="AY358" s="43">
        <v>0</v>
      </c>
      <c r="AZ358" s="43">
        <v>0</v>
      </c>
      <c r="BA358" s="43">
        <v>0</v>
      </c>
      <c r="BB358" s="43">
        <v>0</v>
      </c>
      <c r="BC358" s="43">
        <v>0</v>
      </c>
      <c r="BD358" s="43">
        <v>0</v>
      </c>
      <c r="BE358" s="43">
        <v>0</v>
      </c>
      <c r="BF358" s="43">
        <v>0</v>
      </c>
      <c r="BG358" s="43">
        <v>0</v>
      </c>
      <c r="BH358" s="43">
        <v>0</v>
      </c>
      <c r="BI358" s="40" t="s">
        <v>1355</v>
      </c>
      <c r="BJ358" s="40">
        <v>2022</v>
      </c>
      <c r="BK358" s="40" t="s">
        <v>2768</v>
      </c>
      <c r="BL358" s="40" t="s">
        <v>2768</v>
      </c>
      <c r="BM358" s="40" t="s">
        <v>2768</v>
      </c>
    </row>
    <row r="359" spans="1:65" x14ac:dyDescent="0.25">
      <c r="A359" s="40" t="s">
        <v>2771</v>
      </c>
      <c r="B359" s="41">
        <v>44697.291666666664</v>
      </c>
      <c r="C359" s="40" t="s">
        <v>353</v>
      </c>
      <c r="D359" s="40" t="s">
        <v>354</v>
      </c>
      <c r="E359" s="40">
        <v>6827736</v>
      </c>
      <c r="F359" s="40" t="s">
        <v>1506</v>
      </c>
      <c r="G359" s="40" t="s">
        <v>1507</v>
      </c>
      <c r="H359" s="40" t="s">
        <v>301</v>
      </c>
      <c r="I359" s="40">
        <v>3700</v>
      </c>
      <c r="J359" s="40" t="s">
        <v>1508</v>
      </c>
      <c r="K359" s="40">
        <v>26232</v>
      </c>
      <c r="L359" s="40">
        <v>29932</v>
      </c>
      <c r="M359" s="40">
        <v>609449</v>
      </c>
      <c r="N359" s="40" t="s">
        <v>1491</v>
      </c>
      <c r="O359" s="40" t="s">
        <v>155</v>
      </c>
      <c r="P359" s="40" t="s">
        <v>312</v>
      </c>
      <c r="Q359" s="40" t="s">
        <v>1398</v>
      </c>
      <c r="R359" s="42" t="s">
        <v>1399</v>
      </c>
      <c r="S359" s="42" t="s">
        <v>1400</v>
      </c>
      <c r="T359" s="40" t="s">
        <v>469</v>
      </c>
      <c r="U359" s="41">
        <v>44695.416666666664</v>
      </c>
      <c r="V359" s="41">
        <v>44697.25</v>
      </c>
      <c r="W359" s="41">
        <v>44697.5625</v>
      </c>
      <c r="X359" s="40" t="s">
        <v>410</v>
      </c>
      <c r="Y359" s="41">
        <v>44705.695138888892</v>
      </c>
      <c r="Z359" s="41">
        <v>44704.75</v>
      </c>
      <c r="AA359" s="41">
        <v>44697.5</v>
      </c>
      <c r="AB359" s="41">
        <v>44705.75</v>
      </c>
      <c r="AC359" s="40" t="s">
        <v>1505</v>
      </c>
      <c r="AD359" s="40">
        <v>12668</v>
      </c>
      <c r="AE359" s="40"/>
      <c r="AF359" s="40"/>
      <c r="AG359" s="40"/>
      <c r="AH359" s="40" t="s">
        <v>393</v>
      </c>
      <c r="AI359" s="41"/>
      <c r="AJ359" s="40"/>
      <c r="AK359" s="43">
        <v>950</v>
      </c>
      <c r="AL359" s="40"/>
      <c r="AM359" s="43">
        <v>0</v>
      </c>
      <c r="AN359" s="43"/>
      <c r="AO359" s="43"/>
      <c r="AP359" s="43"/>
      <c r="AQ359" s="43">
        <v>0</v>
      </c>
      <c r="AR359" s="43">
        <v>0</v>
      </c>
      <c r="AS359" s="43"/>
      <c r="AT359" s="43">
        <v>0</v>
      </c>
      <c r="AU359" s="43"/>
      <c r="AV359" s="43"/>
      <c r="AW359" s="43"/>
      <c r="AX359" s="43">
        <v>0</v>
      </c>
      <c r="AY359" s="43">
        <v>0</v>
      </c>
      <c r="AZ359" s="43">
        <v>0</v>
      </c>
      <c r="BA359" s="43">
        <v>0</v>
      </c>
      <c r="BB359" s="43">
        <v>0</v>
      </c>
      <c r="BC359" s="43">
        <v>0</v>
      </c>
      <c r="BD359" s="43">
        <v>0</v>
      </c>
      <c r="BE359" s="43">
        <v>0</v>
      </c>
      <c r="BF359" s="43">
        <v>0</v>
      </c>
      <c r="BG359" s="43">
        <v>0</v>
      </c>
      <c r="BH359" s="43">
        <v>0</v>
      </c>
      <c r="BI359" s="40" t="s">
        <v>1355</v>
      </c>
      <c r="BJ359" s="40">
        <v>2022</v>
      </c>
      <c r="BK359" s="40" t="s">
        <v>2768</v>
      </c>
      <c r="BL359" s="40" t="s">
        <v>2768</v>
      </c>
      <c r="BM359" s="40" t="s">
        <v>2768</v>
      </c>
    </row>
    <row r="360" spans="1:65" x14ac:dyDescent="0.25">
      <c r="A360" s="40" t="s">
        <v>2771</v>
      </c>
      <c r="B360" s="41">
        <v>44697.291666666664</v>
      </c>
      <c r="C360" s="40" t="s">
        <v>353</v>
      </c>
      <c r="D360" s="40" t="s">
        <v>354</v>
      </c>
      <c r="E360" s="40">
        <v>7465966</v>
      </c>
      <c r="F360" s="40" t="s">
        <v>1509</v>
      </c>
      <c r="G360" s="40" t="s">
        <v>1510</v>
      </c>
      <c r="H360" s="40" t="s">
        <v>301</v>
      </c>
      <c r="I360" s="40">
        <v>3700</v>
      </c>
      <c r="J360" s="40" t="s">
        <v>1511</v>
      </c>
      <c r="K360" s="40">
        <v>25278</v>
      </c>
      <c r="L360" s="40">
        <v>28978</v>
      </c>
      <c r="M360" s="40">
        <v>609877</v>
      </c>
      <c r="N360" s="40" t="s">
        <v>1491</v>
      </c>
      <c r="O360" s="40" t="s">
        <v>119</v>
      </c>
      <c r="P360" s="40" t="s">
        <v>120</v>
      </c>
      <c r="Q360" s="40" t="s">
        <v>121</v>
      </c>
      <c r="R360" s="42" t="s">
        <v>122</v>
      </c>
      <c r="S360" s="42" t="s">
        <v>123</v>
      </c>
      <c r="T360" s="40" t="s">
        <v>469</v>
      </c>
      <c r="U360" s="41">
        <v>44695.399305555555</v>
      </c>
      <c r="V360" s="41">
        <v>44697.666666666664</v>
      </c>
      <c r="W360" s="41">
        <v>44698.777777777781</v>
      </c>
      <c r="X360" s="40" t="s">
        <v>410</v>
      </c>
      <c r="Y360" s="41">
        <v>44705.877083333333</v>
      </c>
      <c r="Z360" s="41">
        <v>44704.75</v>
      </c>
      <c r="AA360" s="41">
        <v>44697.5</v>
      </c>
      <c r="AB360" s="41">
        <v>44705.75</v>
      </c>
      <c r="AC360" s="40" t="s">
        <v>1505</v>
      </c>
      <c r="AD360" s="40">
        <v>12691</v>
      </c>
      <c r="AE360" s="40"/>
      <c r="AF360" s="40"/>
      <c r="AG360" s="40"/>
      <c r="AH360" s="40" t="s">
        <v>393</v>
      </c>
      <c r="AI360" s="41">
        <v>44698.958333333336</v>
      </c>
      <c r="AJ360" s="40"/>
      <c r="AK360" s="43">
        <v>950</v>
      </c>
      <c r="AL360" s="40"/>
      <c r="AM360" s="43">
        <v>0</v>
      </c>
      <c r="AN360" s="43"/>
      <c r="AO360" s="43"/>
      <c r="AP360" s="43"/>
      <c r="AQ360" s="43">
        <v>0</v>
      </c>
      <c r="AR360" s="43">
        <v>102.29599999999999</v>
      </c>
      <c r="AS360" s="43"/>
      <c r="AT360" s="43">
        <v>1520</v>
      </c>
      <c r="AU360" s="43"/>
      <c r="AV360" s="43"/>
      <c r="AW360" s="43"/>
      <c r="AX360" s="43">
        <v>0</v>
      </c>
      <c r="AY360" s="43">
        <v>0</v>
      </c>
      <c r="AZ360" s="43">
        <v>0</v>
      </c>
      <c r="BA360" s="43">
        <v>0</v>
      </c>
      <c r="BB360" s="43">
        <v>0</v>
      </c>
      <c r="BC360" s="43">
        <v>0</v>
      </c>
      <c r="BD360" s="43">
        <v>0</v>
      </c>
      <c r="BE360" s="43">
        <v>0</v>
      </c>
      <c r="BF360" s="43">
        <v>0</v>
      </c>
      <c r="BG360" s="43">
        <v>0</v>
      </c>
      <c r="BH360" s="43">
        <v>1520</v>
      </c>
      <c r="BI360" s="40" t="s">
        <v>1355</v>
      </c>
      <c r="BJ360" s="40">
        <v>2022</v>
      </c>
      <c r="BK360" s="40" t="s">
        <v>2768</v>
      </c>
      <c r="BL360" s="40" t="s">
        <v>2768</v>
      </c>
      <c r="BM360" s="40" t="s">
        <v>2768</v>
      </c>
    </row>
    <row r="361" spans="1:65" x14ac:dyDescent="0.25">
      <c r="A361" s="40" t="s">
        <v>2771</v>
      </c>
      <c r="B361" s="41">
        <v>44697.291666666664</v>
      </c>
      <c r="C361" s="40" t="s">
        <v>353</v>
      </c>
      <c r="D361" s="40" t="s">
        <v>354</v>
      </c>
      <c r="E361" s="40">
        <v>7675481</v>
      </c>
      <c r="F361" s="40">
        <v>62809445</v>
      </c>
      <c r="G361" s="40" t="s">
        <v>1512</v>
      </c>
      <c r="H361" s="40" t="s">
        <v>301</v>
      </c>
      <c r="I361" s="40">
        <v>3850</v>
      </c>
      <c r="J361" s="40" t="s">
        <v>1513</v>
      </c>
      <c r="K361" s="40">
        <v>25507</v>
      </c>
      <c r="L361" s="40">
        <v>29357</v>
      </c>
      <c r="M361" s="40">
        <v>609440</v>
      </c>
      <c r="N361" s="40" t="s">
        <v>1514</v>
      </c>
      <c r="O361" s="40" t="s">
        <v>72</v>
      </c>
      <c r="P361" s="40" t="s">
        <v>73</v>
      </c>
      <c r="Q361" s="40" t="s">
        <v>69</v>
      </c>
      <c r="R361" s="42" t="s">
        <v>70</v>
      </c>
      <c r="S361" s="42" t="s">
        <v>71</v>
      </c>
      <c r="T361" s="40" t="s">
        <v>537</v>
      </c>
      <c r="U361" s="41">
        <v>44695.479166666664</v>
      </c>
      <c r="V361" s="41">
        <v>44697.048611111109</v>
      </c>
      <c r="W361" s="41">
        <v>44697.5</v>
      </c>
      <c r="X361" s="40" t="s">
        <v>293</v>
      </c>
      <c r="Y361" s="41">
        <v>44698.006944444445</v>
      </c>
      <c r="Z361" s="41"/>
      <c r="AA361" s="41">
        <v>44697.75</v>
      </c>
      <c r="AB361" s="41">
        <v>44699.5</v>
      </c>
      <c r="AC361" s="40" t="s">
        <v>1515</v>
      </c>
      <c r="AD361" s="40">
        <v>12667</v>
      </c>
      <c r="AE361" s="40"/>
      <c r="AF361" s="40"/>
      <c r="AG361" s="40"/>
      <c r="AH361" s="40"/>
      <c r="AI361" s="41"/>
      <c r="AJ361" s="40"/>
      <c r="AK361" s="43"/>
      <c r="AL361" s="40"/>
      <c r="AM361" s="43">
        <v>0</v>
      </c>
      <c r="AN361" s="43"/>
      <c r="AO361" s="43"/>
      <c r="AP361" s="43"/>
      <c r="AQ361" s="43">
        <v>0</v>
      </c>
      <c r="AR361" s="43">
        <v>0</v>
      </c>
      <c r="AS361" s="43"/>
      <c r="AT361" s="43">
        <v>0</v>
      </c>
      <c r="AU361" s="43"/>
      <c r="AV361" s="43"/>
      <c r="AW361" s="43"/>
      <c r="AX361" s="43">
        <v>0</v>
      </c>
      <c r="AY361" s="43">
        <v>0</v>
      </c>
      <c r="AZ361" s="43">
        <v>0</v>
      </c>
      <c r="BA361" s="43">
        <v>0</v>
      </c>
      <c r="BB361" s="43">
        <v>0</v>
      </c>
      <c r="BC361" s="43">
        <v>0</v>
      </c>
      <c r="BD361" s="43">
        <v>0</v>
      </c>
      <c r="BE361" s="43">
        <v>0</v>
      </c>
      <c r="BF361" s="43">
        <v>0</v>
      </c>
      <c r="BG361" s="43">
        <v>0</v>
      </c>
      <c r="BH361" s="43">
        <v>0</v>
      </c>
      <c r="BI361" s="40" t="s">
        <v>1355</v>
      </c>
      <c r="BJ361" s="40">
        <v>2022</v>
      </c>
      <c r="BK361" s="40" t="s">
        <v>2768</v>
      </c>
      <c r="BL361" s="40" t="s">
        <v>2768</v>
      </c>
      <c r="BM361" s="40" t="s">
        <v>2768</v>
      </c>
    </row>
    <row r="362" spans="1:65" x14ac:dyDescent="0.25">
      <c r="A362" s="40" t="s">
        <v>2771</v>
      </c>
      <c r="B362" s="41">
        <v>44697.291666666664</v>
      </c>
      <c r="C362" s="40" t="s">
        <v>353</v>
      </c>
      <c r="D362" s="40" t="s">
        <v>354</v>
      </c>
      <c r="E362" s="40">
        <v>7675481</v>
      </c>
      <c r="F362" s="40">
        <v>62809445</v>
      </c>
      <c r="G362" s="40" t="s">
        <v>1516</v>
      </c>
      <c r="H362" s="40" t="s">
        <v>301</v>
      </c>
      <c r="I362" s="40">
        <v>3870</v>
      </c>
      <c r="J362" s="40" t="s">
        <v>1517</v>
      </c>
      <c r="K362" s="40">
        <v>25507</v>
      </c>
      <c r="L362" s="40">
        <v>29377</v>
      </c>
      <c r="M362" s="40">
        <v>609464</v>
      </c>
      <c r="N362" s="40" t="s">
        <v>1514</v>
      </c>
      <c r="O362" s="40" t="s">
        <v>106</v>
      </c>
      <c r="P362" s="40" t="s">
        <v>107</v>
      </c>
      <c r="Q362" s="40" t="s">
        <v>108</v>
      </c>
      <c r="R362" s="42" t="s">
        <v>109</v>
      </c>
      <c r="S362" s="42" t="s">
        <v>110</v>
      </c>
      <c r="T362" s="40" t="s">
        <v>537</v>
      </c>
      <c r="U362" s="41">
        <v>44695.479166666664</v>
      </c>
      <c r="V362" s="41">
        <v>44697.291666666664</v>
      </c>
      <c r="W362" s="41">
        <v>44698.013888888891</v>
      </c>
      <c r="X362" s="40" t="s">
        <v>293</v>
      </c>
      <c r="Y362" s="41">
        <v>44698.261111111111</v>
      </c>
      <c r="Z362" s="41"/>
      <c r="AA362" s="41">
        <v>44697.75</v>
      </c>
      <c r="AB362" s="41">
        <v>44699.5</v>
      </c>
      <c r="AC362" s="40" t="s">
        <v>1515</v>
      </c>
      <c r="AD362" s="40">
        <v>12672</v>
      </c>
      <c r="AE362" s="40"/>
      <c r="AF362" s="40"/>
      <c r="AG362" s="40"/>
      <c r="AH362" s="40"/>
      <c r="AI362" s="41"/>
      <c r="AJ362" s="40"/>
      <c r="AK362" s="43"/>
      <c r="AL362" s="40"/>
      <c r="AM362" s="43">
        <v>0</v>
      </c>
      <c r="AN362" s="43"/>
      <c r="AO362" s="43"/>
      <c r="AP362" s="43"/>
      <c r="AQ362" s="43">
        <v>0</v>
      </c>
      <c r="AR362" s="43">
        <v>0</v>
      </c>
      <c r="AS362" s="43"/>
      <c r="AT362" s="43">
        <v>0</v>
      </c>
      <c r="AU362" s="43"/>
      <c r="AV362" s="43"/>
      <c r="AW362" s="43"/>
      <c r="AX362" s="43">
        <v>0</v>
      </c>
      <c r="AY362" s="43">
        <v>0</v>
      </c>
      <c r="AZ362" s="43">
        <v>0</v>
      </c>
      <c r="BA362" s="43">
        <v>0</v>
      </c>
      <c r="BB362" s="43">
        <v>0</v>
      </c>
      <c r="BC362" s="43">
        <v>0</v>
      </c>
      <c r="BD362" s="43">
        <v>0</v>
      </c>
      <c r="BE362" s="43">
        <v>0</v>
      </c>
      <c r="BF362" s="43">
        <v>0</v>
      </c>
      <c r="BG362" s="43">
        <v>0</v>
      </c>
      <c r="BH362" s="43">
        <v>0</v>
      </c>
      <c r="BI362" s="40" t="s">
        <v>1355</v>
      </c>
      <c r="BJ362" s="40">
        <v>2022</v>
      </c>
      <c r="BK362" s="40" t="s">
        <v>2768</v>
      </c>
      <c r="BL362" s="40" t="s">
        <v>2768</v>
      </c>
      <c r="BM362" s="40" t="s">
        <v>2768</v>
      </c>
    </row>
    <row r="363" spans="1:65" x14ac:dyDescent="0.25">
      <c r="A363" s="40" t="s">
        <v>2771</v>
      </c>
      <c r="B363" s="41">
        <v>44697.291666666664</v>
      </c>
      <c r="C363" s="40" t="s">
        <v>353</v>
      </c>
      <c r="D363" s="40" t="s">
        <v>354</v>
      </c>
      <c r="E363" s="40">
        <v>7675481</v>
      </c>
      <c r="F363" s="40">
        <v>62809445</v>
      </c>
      <c r="G363" s="40" t="s">
        <v>1518</v>
      </c>
      <c r="H363" s="40" t="s">
        <v>301</v>
      </c>
      <c r="I363" s="40">
        <v>3850</v>
      </c>
      <c r="J363" s="40" t="s">
        <v>1519</v>
      </c>
      <c r="K363" s="40">
        <v>25507</v>
      </c>
      <c r="L363" s="40">
        <v>29357</v>
      </c>
      <c r="M363" s="40">
        <v>609670</v>
      </c>
      <c r="N363" s="40" t="s">
        <v>1514</v>
      </c>
      <c r="O363" s="40" t="s">
        <v>92</v>
      </c>
      <c r="P363" s="40" t="s">
        <v>93</v>
      </c>
      <c r="Q363" s="40" t="s">
        <v>94</v>
      </c>
      <c r="R363" s="42" t="s">
        <v>95</v>
      </c>
      <c r="S363" s="42">
        <v>2002046946</v>
      </c>
      <c r="T363" s="40" t="s">
        <v>537</v>
      </c>
      <c r="U363" s="41">
        <v>44695.479166666664</v>
      </c>
      <c r="V363" s="41">
        <v>44697.5</v>
      </c>
      <c r="W363" s="41">
        <v>44697.9375</v>
      </c>
      <c r="X363" s="40" t="s">
        <v>293</v>
      </c>
      <c r="Y363" s="41">
        <v>44698.2</v>
      </c>
      <c r="Z363" s="41"/>
      <c r="AA363" s="41">
        <v>44697.75</v>
      </c>
      <c r="AB363" s="41">
        <v>44699.5</v>
      </c>
      <c r="AC363" s="40" t="s">
        <v>1515</v>
      </c>
      <c r="AD363" s="40">
        <v>12675</v>
      </c>
      <c r="AE363" s="40"/>
      <c r="AF363" s="40"/>
      <c r="AG363" s="40"/>
      <c r="AH363" s="40"/>
      <c r="AI363" s="41"/>
      <c r="AJ363" s="40"/>
      <c r="AK363" s="43"/>
      <c r="AL363" s="40"/>
      <c r="AM363" s="43">
        <v>0</v>
      </c>
      <c r="AN363" s="43"/>
      <c r="AO363" s="43"/>
      <c r="AP363" s="43"/>
      <c r="AQ363" s="43">
        <v>0</v>
      </c>
      <c r="AR363" s="43">
        <v>0</v>
      </c>
      <c r="AS363" s="43"/>
      <c r="AT363" s="43">
        <v>0</v>
      </c>
      <c r="AU363" s="43"/>
      <c r="AV363" s="43"/>
      <c r="AW363" s="43"/>
      <c r="AX363" s="43">
        <v>0</v>
      </c>
      <c r="AY363" s="43">
        <v>0</v>
      </c>
      <c r="AZ363" s="43">
        <v>0</v>
      </c>
      <c r="BA363" s="43">
        <v>0</v>
      </c>
      <c r="BB363" s="43">
        <v>0</v>
      </c>
      <c r="BC363" s="43">
        <v>0</v>
      </c>
      <c r="BD363" s="43">
        <v>0</v>
      </c>
      <c r="BE363" s="43">
        <v>0</v>
      </c>
      <c r="BF363" s="43">
        <v>0</v>
      </c>
      <c r="BG363" s="43">
        <v>0</v>
      </c>
      <c r="BH363" s="43">
        <v>0</v>
      </c>
      <c r="BI363" s="40" t="s">
        <v>1355</v>
      </c>
      <c r="BJ363" s="40">
        <v>2022</v>
      </c>
      <c r="BK363" s="40" t="s">
        <v>2768</v>
      </c>
      <c r="BL363" s="40" t="s">
        <v>2768</v>
      </c>
      <c r="BM363" s="40" t="s">
        <v>2768</v>
      </c>
    </row>
    <row r="364" spans="1:65" x14ac:dyDescent="0.25">
      <c r="A364" s="40" t="s">
        <v>2771</v>
      </c>
      <c r="B364" s="41">
        <v>44697.291666666664</v>
      </c>
      <c r="C364" s="40" t="s">
        <v>353</v>
      </c>
      <c r="D364" s="40" t="s">
        <v>354</v>
      </c>
      <c r="E364" s="40">
        <v>7675481</v>
      </c>
      <c r="F364" s="40">
        <v>62809445</v>
      </c>
      <c r="G364" s="40" t="s">
        <v>1520</v>
      </c>
      <c r="H364" s="40" t="s">
        <v>301</v>
      </c>
      <c r="I364" s="40">
        <v>3750</v>
      </c>
      <c r="J364" s="40" t="s">
        <v>1521</v>
      </c>
      <c r="K364" s="40">
        <v>25507</v>
      </c>
      <c r="L364" s="40">
        <v>29257</v>
      </c>
      <c r="M364" s="40">
        <v>609695</v>
      </c>
      <c r="N364" s="40" t="s">
        <v>1514</v>
      </c>
      <c r="O364" s="40" t="s">
        <v>1365</v>
      </c>
      <c r="P364" s="40" t="s">
        <v>1366</v>
      </c>
      <c r="Q364" s="40" t="s">
        <v>1367</v>
      </c>
      <c r="R364" s="42" t="s">
        <v>1368</v>
      </c>
      <c r="S364" s="42">
        <v>1991849508</v>
      </c>
      <c r="T364" s="40" t="s">
        <v>537</v>
      </c>
      <c r="U364" s="41">
        <v>44697.444444444445</v>
      </c>
      <c r="V364" s="41">
        <v>44697.583333333336</v>
      </c>
      <c r="W364" s="41">
        <v>44698.416666666664</v>
      </c>
      <c r="X364" s="40" t="s">
        <v>293</v>
      </c>
      <c r="Y364" s="41">
        <v>44698.703472222223</v>
      </c>
      <c r="Z364" s="41"/>
      <c r="AA364" s="41">
        <v>44697.75</v>
      </c>
      <c r="AB364" s="41">
        <v>44699.5</v>
      </c>
      <c r="AC364" s="40" t="s">
        <v>1515</v>
      </c>
      <c r="AD364" s="40">
        <v>12680</v>
      </c>
      <c r="AE364" s="40"/>
      <c r="AF364" s="40"/>
      <c r="AG364" s="40"/>
      <c r="AH364" s="40"/>
      <c r="AI364" s="41"/>
      <c r="AJ364" s="40"/>
      <c r="AK364" s="43"/>
      <c r="AL364" s="40"/>
      <c r="AM364" s="43">
        <v>0</v>
      </c>
      <c r="AN364" s="43">
        <v>134</v>
      </c>
      <c r="AO364" s="43"/>
      <c r="AP364" s="43"/>
      <c r="AQ364" s="43">
        <v>134</v>
      </c>
      <c r="AR364" s="43">
        <v>0</v>
      </c>
      <c r="AS364" s="43"/>
      <c r="AT364" s="43">
        <v>0</v>
      </c>
      <c r="AU364" s="43"/>
      <c r="AV364" s="43"/>
      <c r="AW364" s="43"/>
      <c r="AX364" s="43">
        <v>0</v>
      </c>
      <c r="AY364" s="43">
        <v>0</v>
      </c>
      <c r="AZ364" s="43">
        <v>0</v>
      </c>
      <c r="BA364" s="43">
        <v>0</v>
      </c>
      <c r="BB364" s="43">
        <v>0</v>
      </c>
      <c r="BC364" s="43">
        <v>0</v>
      </c>
      <c r="BD364" s="43">
        <v>0</v>
      </c>
      <c r="BE364" s="43">
        <v>0</v>
      </c>
      <c r="BF364" s="43">
        <v>0</v>
      </c>
      <c r="BG364" s="43">
        <v>0</v>
      </c>
      <c r="BH364" s="43">
        <v>0</v>
      </c>
      <c r="BI364" s="40" t="s">
        <v>1355</v>
      </c>
      <c r="BJ364" s="40">
        <v>2022</v>
      </c>
      <c r="BK364" s="40" t="s">
        <v>2768</v>
      </c>
      <c r="BL364" s="40" t="s">
        <v>2768</v>
      </c>
      <c r="BM364" s="40" t="s">
        <v>2768</v>
      </c>
    </row>
    <row r="365" spans="1:65" x14ac:dyDescent="0.25">
      <c r="A365" s="40" t="s">
        <v>2771</v>
      </c>
      <c r="B365" s="41">
        <v>44698.291666666664</v>
      </c>
      <c r="C365" s="40" t="s">
        <v>353</v>
      </c>
      <c r="D365" s="40" t="s">
        <v>354</v>
      </c>
      <c r="E365" s="40" t="s">
        <v>1522</v>
      </c>
      <c r="F365" s="40">
        <v>63141778</v>
      </c>
      <c r="G365" s="40" t="s">
        <v>1523</v>
      </c>
      <c r="H365" s="40" t="s">
        <v>301</v>
      </c>
      <c r="I365" s="40">
        <v>3830</v>
      </c>
      <c r="J365" s="40" t="s">
        <v>1524</v>
      </c>
      <c r="K365" s="40">
        <v>26069</v>
      </c>
      <c r="L365" s="40">
        <v>29899</v>
      </c>
      <c r="M365" s="40">
        <v>609703</v>
      </c>
      <c r="N365" s="40" t="s">
        <v>1525</v>
      </c>
      <c r="O365" s="40" t="s">
        <v>890</v>
      </c>
      <c r="P365" s="40" t="s">
        <v>891</v>
      </c>
      <c r="Q365" s="40" t="s">
        <v>892</v>
      </c>
      <c r="R365" s="42" t="s">
        <v>893</v>
      </c>
      <c r="S365" s="42" t="s">
        <v>894</v>
      </c>
      <c r="T365" s="40" t="s">
        <v>292</v>
      </c>
      <c r="U365" s="41">
        <v>44697.875</v>
      </c>
      <c r="V365" s="41">
        <v>44698.291666666664</v>
      </c>
      <c r="W365" s="41">
        <v>44698.493055555555</v>
      </c>
      <c r="X365" s="40" t="s">
        <v>410</v>
      </c>
      <c r="Y365" s="41">
        <v>44706.726388888892</v>
      </c>
      <c r="Z365" s="41"/>
      <c r="AA365" s="41">
        <v>44698.583333333336</v>
      </c>
      <c r="AB365" s="41">
        <v>44701.5</v>
      </c>
      <c r="AC365" s="40" t="s">
        <v>835</v>
      </c>
      <c r="AD365" s="40">
        <v>12685</v>
      </c>
      <c r="AE365" s="40"/>
      <c r="AF365" s="40"/>
      <c r="AG365" s="40"/>
      <c r="AH365" s="40" t="s">
        <v>393</v>
      </c>
      <c r="AI365" s="41">
        <v>44698.833333333336</v>
      </c>
      <c r="AJ365" s="40"/>
      <c r="AK365" s="43">
        <v>950</v>
      </c>
      <c r="AL365" s="40"/>
      <c r="AM365" s="43">
        <v>0</v>
      </c>
      <c r="AN365" s="43"/>
      <c r="AO365" s="43"/>
      <c r="AP365" s="43"/>
      <c r="AQ365" s="43">
        <v>0</v>
      </c>
      <c r="AR365" s="43">
        <v>0</v>
      </c>
      <c r="AS365" s="43"/>
      <c r="AT365" s="43">
        <v>0</v>
      </c>
      <c r="AU365" s="43"/>
      <c r="AV365" s="43"/>
      <c r="AW365" s="43"/>
      <c r="AX365" s="43">
        <v>0</v>
      </c>
      <c r="AY365" s="43">
        <v>0</v>
      </c>
      <c r="AZ365" s="43">
        <v>0</v>
      </c>
      <c r="BA365" s="43">
        <v>0</v>
      </c>
      <c r="BB365" s="43">
        <v>0</v>
      </c>
      <c r="BC365" s="43">
        <v>0</v>
      </c>
      <c r="BD365" s="43">
        <v>0</v>
      </c>
      <c r="BE365" s="43">
        <v>0</v>
      </c>
      <c r="BF365" s="43">
        <v>0</v>
      </c>
      <c r="BG365" s="43">
        <v>0</v>
      </c>
      <c r="BH365" s="43">
        <v>0</v>
      </c>
      <c r="BI365" s="40" t="s">
        <v>1355</v>
      </c>
      <c r="BJ365" s="40">
        <v>2022</v>
      </c>
      <c r="BK365" s="40" t="s">
        <v>2768</v>
      </c>
      <c r="BL365" s="40" t="s">
        <v>2768</v>
      </c>
      <c r="BM365" s="40" t="s">
        <v>2768</v>
      </c>
    </row>
    <row r="366" spans="1:65" x14ac:dyDescent="0.25">
      <c r="A366" s="40" t="s">
        <v>2771</v>
      </c>
      <c r="B366" s="41">
        <v>44698.291666666664</v>
      </c>
      <c r="C366" s="40" t="s">
        <v>353</v>
      </c>
      <c r="D366" s="40" t="s">
        <v>354</v>
      </c>
      <c r="E366" s="40" t="s">
        <v>1522</v>
      </c>
      <c r="F366" s="40">
        <v>63141778</v>
      </c>
      <c r="G366" s="40" t="s">
        <v>1526</v>
      </c>
      <c r="H366" s="40" t="s">
        <v>301</v>
      </c>
      <c r="I366" s="40">
        <v>3950</v>
      </c>
      <c r="J366" s="40" t="s">
        <v>1527</v>
      </c>
      <c r="K366" s="40">
        <v>26069</v>
      </c>
      <c r="L366" s="40">
        <v>30019</v>
      </c>
      <c r="M366" s="40">
        <v>609849</v>
      </c>
      <c r="N366" s="40" t="s">
        <v>1525</v>
      </c>
      <c r="O366" s="40" t="s">
        <v>72</v>
      </c>
      <c r="P366" s="40" t="s">
        <v>73</v>
      </c>
      <c r="Q366" s="40" t="s">
        <v>69</v>
      </c>
      <c r="R366" s="42" t="s">
        <v>70</v>
      </c>
      <c r="S366" s="42" t="s">
        <v>71</v>
      </c>
      <c r="T366" s="40" t="s">
        <v>292</v>
      </c>
      <c r="U366" s="41">
        <v>44697.875</v>
      </c>
      <c r="V366" s="41">
        <v>44698.291666666664</v>
      </c>
      <c r="W366" s="41">
        <v>44698.861111111109</v>
      </c>
      <c r="X366" s="40" t="s">
        <v>410</v>
      </c>
      <c r="Y366" s="41">
        <v>44706.68472222222</v>
      </c>
      <c r="Z366" s="41"/>
      <c r="AA366" s="41">
        <v>44698.583333333336</v>
      </c>
      <c r="AB366" s="41">
        <v>44701.5</v>
      </c>
      <c r="AC366" s="40" t="s">
        <v>835</v>
      </c>
      <c r="AD366" s="40">
        <v>12689</v>
      </c>
      <c r="AE366" s="40"/>
      <c r="AF366" s="40"/>
      <c r="AG366" s="40"/>
      <c r="AH366" s="40" t="s">
        <v>393</v>
      </c>
      <c r="AI366" s="41">
        <v>44698.833333333336</v>
      </c>
      <c r="AJ366" s="40"/>
      <c r="AK366" s="43">
        <v>950</v>
      </c>
      <c r="AL366" s="40"/>
      <c r="AM366" s="43">
        <v>0</v>
      </c>
      <c r="AN366" s="43"/>
      <c r="AO366" s="43"/>
      <c r="AP366" s="43"/>
      <c r="AQ366" s="43">
        <v>0</v>
      </c>
      <c r="AR366" s="43">
        <v>0</v>
      </c>
      <c r="AS366" s="43"/>
      <c r="AT366" s="43">
        <v>0</v>
      </c>
      <c r="AU366" s="43"/>
      <c r="AV366" s="43"/>
      <c r="AW366" s="43"/>
      <c r="AX366" s="43">
        <v>0</v>
      </c>
      <c r="AY366" s="43">
        <v>0</v>
      </c>
      <c r="AZ366" s="43">
        <v>0</v>
      </c>
      <c r="BA366" s="43">
        <v>0</v>
      </c>
      <c r="BB366" s="43">
        <v>0</v>
      </c>
      <c r="BC366" s="43">
        <v>0</v>
      </c>
      <c r="BD366" s="43">
        <v>0</v>
      </c>
      <c r="BE366" s="43">
        <v>0</v>
      </c>
      <c r="BF366" s="43">
        <v>0</v>
      </c>
      <c r="BG366" s="43">
        <v>0</v>
      </c>
      <c r="BH366" s="43">
        <v>0</v>
      </c>
      <c r="BI366" s="40" t="s">
        <v>1355</v>
      </c>
      <c r="BJ366" s="40">
        <v>2022</v>
      </c>
      <c r="BK366" s="40" t="s">
        <v>2768</v>
      </c>
      <c r="BL366" s="40" t="s">
        <v>2768</v>
      </c>
      <c r="BM366" s="40" t="s">
        <v>2768</v>
      </c>
    </row>
    <row r="367" spans="1:65" x14ac:dyDescent="0.25">
      <c r="A367" s="40" t="s">
        <v>2771</v>
      </c>
      <c r="B367" s="41">
        <v>44698.291666666664</v>
      </c>
      <c r="C367" s="40" t="s">
        <v>353</v>
      </c>
      <c r="D367" s="40" t="s">
        <v>354</v>
      </c>
      <c r="E367" s="40" t="s">
        <v>1522</v>
      </c>
      <c r="F367" s="40">
        <v>63141778</v>
      </c>
      <c r="G367" s="40" t="s">
        <v>1528</v>
      </c>
      <c r="H367" s="40" t="s">
        <v>301</v>
      </c>
      <c r="I367" s="40">
        <v>3850</v>
      </c>
      <c r="J367" s="40" t="s">
        <v>1529</v>
      </c>
      <c r="K367" s="40">
        <v>26069</v>
      </c>
      <c r="L367" s="40">
        <v>29919</v>
      </c>
      <c r="M367" s="40">
        <v>609867</v>
      </c>
      <c r="N367" s="40" t="s">
        <v>1525</v>
      </c>
      <c r="O367" s="40" t="s">
        <v>68</v>
      </c>
      <c r="P367" s="40" t="s">
        <v>36</v>
      </c>
      <c r="Q367" s="40" t="s">
        <v>203</v>
      </c>
      <c r="R367" s="42" t="s">
        <v>204</v>
      </c>
      <c r="S367" s="42" t="s">
        <v>205</v>
      </c>
      <c r="T367" s="40" t="s">
        <v>292</v>
      </c>
      <c r="U367" s="41">
        <v>44697.875</v>
      </c>
      <c r="V367" s="41">
        <v>44698.291666666664</v>
      </c>
      <c r="W367" s="41">
        <v>44698.833333333336</v>
      </c>
      <c r="X367" s="40" t="s">
        <v>410</v>
      </c>
      <c r="Y367" s="41">
        <v>44706.614583333336</v>
      </c>
      <c r="Z367" s="41"/>
      <c r="AA367" s="41">
        <v>44698.583333333336</v>
      </c>
      <c r="AB367" s="41">
        <v>44701.5</v>
      </c>
      <c r="AC367" s="40" t="s">
        <v>835</v>
      </c>
      <c r="AD367" s="40">
        <v>12690</v>
      </c>
      <c r="AE367" s="40"/>
      <c r="AF367" s="40"/>
      <c r="AG367" s="40"/>
      <c r="AH367" s="40" t="s">
        <v>393</v>
      </c>
      <c r="AI367" s="41">
        <v>44698.833333333336</v>
      </c>
      <c r="AJ367" s="40"/>
      <c r="AK367" s="43">
        <v>950</v>
      </c>
      <c r="AL367" s="40"/>
      <c r="AM367" s="43">
        <v>0</v>
      </c>
      <c r="AN367" s="43"/>
      <c r="AO367" s="43"/>
      <c r="AP367" s="43"/>
      <c r="AQ367" s="43">
        <v>0</v>
      </c>
      <c r="AR367" s="43">
        <v>0</v>
      </c>
      <c r="AS367" s="43"/>
      <c r="AT367" s="43">
        <v>0</v>
      </c>
      <c r="AU367" s="43"/>
      <c r="AV367" s="43"/>
      <c r="AW367" s="43"/>
      <c r="AX367" s="43">
        <v>0</v>
      </c>
      <c r="AY367" s="43">
        <v>0</v>
      </c>
      <c r="AZ367" s="43">
        <v>0</v>
      </c>
      <c r="BA367" s="43">
        <v>0</v>
      </c>
      <c r="BB367" s="43">
        <v>0</v>
      </c>
      <c r="BC367" s="43">
        <v>0</v>
      </c>
      <c r="BD367" s="43">
        <v>0</v>
      </c>
      <c r="BE367" s="43">
        <v>0</v>
      </c>
      <c r="BF367" s="43">
        <v>0</v>
      </c>
      <c r="BG367" s="43">
        <v>0</v>
      </c>
      <c r="BH367" s="43">
        <v>0</v>
      </c>
      <c r="BI367" s="40" t="s">
        <v>1355</v>
      </c>
      <c r="BJ367" s="40">
        <v>2022</v>
      </c>
      <c r="BK367" s="40" t="s">
        <v>2768</v>
      </c>
      <c r="BL367" s="40" t="s">
        <v>2768</v>
      </c>
      <c r="BM367" s="40" t="s">
        <v>2768</v>
      </c>
    </row>
    <row r="368" spans="1:65" x14ac:dyDescent="0.25">
      <c r="A368" s="40" t="s">
        <v>2771</v>
      </c>
      <c r="B368" s="41">
        <v>44698.291666666664</v>
      </c>
      <c r="C368" s="40" t="s">
        <v>353</v>
      </c>
      <c r="D368" s="40" t="s">
        <v>354</v>
      </c>
      <c r="E368" s="40" t="s">
        <v>1522</v>
      </c>
      <c r="F368" s="40">
        <v>63141778</v>
      </c>
      <c r="G368" s="40" t="s">
        <v>1530</v>
      </c>
      <c r="H368" s="40" t="s">
        <v>301</v>
      </c>
      <c r="I368" s="40">
        <v>3900</v>
      </c>
      <c r="J368" s="40" t="s">
        <v>1531</v>
      </c>
      <c r="K368" s="40">
        <v>26069</v>
      </c>
      <c r="L368" s="40">
        <v>29969</v>
      </c>
      <c r="M368" s="40">
        <v>609903</v>
      </c>
      <c r="N368" s="40" t="s">
        <v>1525</v>
      </c>
      <c r="O368" s="40" t="s">
        <v>155</v>
      </c>
      <c r="P368" s="40" t="s">
        <v>312</v>
      </c>
      <c r="Q368" s="40" t="s">
        <v>1398</v>
      </c>
      <c r="R368" s="42" t="s">
        <v>1399</v>
      </c>
      <c r="S368" s="42" t="s">
        <v>1400</v>
      </c>
      <c r="T368" s="40" t="s">
        <v>292</v>
      </c>
      <c r="U368" s="41">
        <v>44697.875</v>
      </c>
      <c r="V368" s="41">
        <v>44698.291666666664</v>
      </c>
      <c r="W368" s="41">
        <v>44698.895833333336</v>
      </c>
      <c r="X368" s="40" t="s">
        <v>410</v>
      </c>
      <c r="Y368" s="41">
        <v>44706.683333333334</v>
      </c>
      <c r="Z368" s="41"/>
      <c r="AA368" s="41">
        <v>44698.583333333336</v>
      </c>
      <c r="AB368" s="41">
        <v>44701.5</v>
      </c>
      <c r="AC368" s="40" t="s">
        <v>835</v>
      </c>
      <c r="AD368" s="40">
        <v>12692</v>
      </c>
      <c r="AE368" s="40"/>
      <c r="AF368" s="40"/>
      <c r="AG368" s="40"/>
      <c r="AH368" s="40" t="s">
        <v>393</v>
      </c>
      <c r="AI368" s="41">
        <v>44698.833333333336</v>
      </c>
      <c r="AJ368" s="40"/>
      <c r="AK368" s="43">
        <v>950</v>
      </c>
      <c r="AL368" s="40"/>
      <c r="AM368" s="43">
        <v>0</v>
      </c>
      <c r="AN368" s="43"/>
      <c r="AO368" s="43"/>
      <c r="AP368" s="43"/>
      <c r="AQ368" s="43">
        <v>0</v>
      </c>
      <c r="AR368" s="43">
        <v>0</v>
      </c>
      <c r="AS368" s="43"/>
      <c r="AT368" s="43">
        <v>0</v>
      </c>
      <c r="AU368" s="43"/>
      <c r="AV368" s="43"/>
      <c r="AW368" s="43"/>
      <c r="AX368" s="43">
        <v>0</v>
      </c>
      <c r="AY368" s="43">
        <v>0</v>
      </c>
      <c r="AZ368" s="43">
        <v>0</v>
      </c>
      <c r="BA368" s="43">
        <v>0</v>
      </c>
      <c r="BB368" s="43">
        <v>0</v>
      </c>
      <c r="BC368" s="43">
        <v>0</v>
      </c>
      <c r="BD368" s="43">
        <v>0</v>
      </c>
      <c r="BE368" s="43">
        <v>0</v>
      </c>
      <c r="BF368" s="43">
        <v>0</v>
      </c>
      <c r="BG368" s="43">
        <v>0</v>
      </c>
      <c r="BH368" s="43">
        <v>0</v>
      </c>
      <c r="BI368" s="40" t="s">
        <v>1355</v>
      </c>
      <c r="BJ368" s="40">
        <v>2022</v>
      </c>
      <c r="BK368" s="40" t="s">
        <v>2768</v>
      </c>
      <c r="BL368" s="40" t="s">
        <v>2768</v>
      </c>
      <c r="BM368" s="40" t="s">
        <v>2768</v>
      </c>
    </row>
    <row r="369" spans="1:65" x14ac:dyDescent="0.25">
      <c r="A369" s="40" t="s">
        <v>2771</v>
      </c>
      <c r="B369" s="41">
        <v>44698.291666666664</v>
      </c>
      <c r="C369" s="40" t="s">
        <v>353</v>
      </c>
      <c r="D369" s="40" t="s">
        <v>354</v>
      </c>
      <c r="E369" s="40" t="s">
        <v>1522</v>
      </c>
      <c r="F369" s="40">
        <v>63141778</v>
      </c>
      <c r="G369" s="40" t="s">
        <v>1532</v>
      </c>
      <c r="H369" s="40" t="s">
        <v>301</v>
      </c>
      <c r="I369" s="40">
        <v>3970</v>
      </c>
      <c r="J369" s="40" t="s">
        <v>1533</v>
      </c>
      <c r="K369" s="40">
        <v>26069</v>
      </c>
      <c r="L369" s="40">
        <v>30039</v>
      </c>
      <c r="M369" s="40">
        <v>609787</v>
      </c>
      <c r="N369" s="40" t="s">
        <v>1525</v>
      </c>
      <c r="O369" s="40" t="s">
        <v>31</v>
      </c>
      <c r="P369" s="40" t="s">
        <v>32</v>
      </c>
      <c r="Q369" s="40" t="s">
        <v>33</v>
      </c>
      <c r="R369" s="42" t="s">
        <v>34</v>
      </c>
      <c r="S369" s="42">
        <v>1258979905</v>
      </c>
      <c r="T369" s="40" t="s">
        <v>292</v>
      </c>
      <c r="U369" s="41">
        <v>44697.875</v>
      </c>
      <c r="V369" s="41">
        <v>44698.291666666664</v>
      </c>
      <c r="W369" s="41">
        <v>44698.625</v>
      </c>
      <c r="X369" s="40" t="s">
        <v>410</v>
      </c>
      <c r="Y369" s="41">
        <v>44706.697916666664</v>
      </c>
      <c r="Z369" s="41"/>
      <c r="AA369" s="41">
        <v>44698.583333333336</v>
      </c>
      <c r="AB369" s="41">
        <v>44701.5</v>
      </c>
      <c r="AC369" s="40" t="s">
        <v>835</v>
      </c>
      <c r="AD369" s="40">
        <v>12688</v>
      </c>
      <c r="AE369" s="40"/>
      <c r="AF369" s="40"/>
      <c r="AG369" s="40"/>
      <c r="AH369" s="40" t="s">
        <v>393</v>
      </c>
      <c r="AI369" s="41">
        <v>44698.833333333336</v>
      </c>
      <c r="AJ369" s="40"/>
      <c r="AK369" s="43">
        <v>950</v>
      </c>
      <c r="AL369" s="40"/>
      <c r="AM369" s="43">
        <v>0</v>
      </c>
      <c r="AN369" s="43"/>
      <c r="AO369" s="43"/>
      <c r="AP369" s="43"/>
      <c r="AQ369" s="43">
        <v>0</v>
      </c>
      <c r="AR369" s="43">
        <v>0</v>
      </c>
      <c r="AS369" s="43"/>
      <c r="AT369" s="43">
        <v>0</v>
      </c>
      <c r="AU369" s="43"/>
      <c r="AV369" s="43"/>
      <c r="AW369" s="43"/>
      <c r="AX369" s="43">
        <v>0</v>
      </c>
      <c r="AY369" s="43">
        <v>0</v>
      </c>
      <c r="AZ369" s="43">
        <v>0</v>
      </c>
      <c r="BA369" s="43">
        <v>0</v>
      </c>
      <c r="BB369" s="43">
        <v>0</v>
      </c>
      <c r="BC369" s="43">
        <v>0</v>
      </c>
      <c r="BD369" s="43">
        <v>0</v>
      </c>
      <c r="BE369" s="43">
        <v>0</v>
      </c>
      <c r="BF369" s="43">
        <v>0</v>
      </c>
      <c r="BG369" s="43">
        <v>0</v>
      </c>
      <c r="BH369" s="43">
        <v>0</v>
      </c>
      <c r="BI369" s="40" t="s">
        <v>1355</v>
      </c>
      <c r="BJ369" s="40">
        <v>2022</v>
      </c>
      <c r="BK369" s="40" t="s">
        <v>2768</v>
      </c>
      <c r="BL369" s="40" t="s">
        <v>2768</v>
      </c>
      <c r="BM369" s="40" t="s">
        <v>2768</v>
      </c>
    </row>
    <row r="370" spans="1:65" x14ac:dyDescent="0.25">
      <c r="A370" s="40" t="s">
        <v>2771</v>
      </c>
      <c r="B370" s="41">
        <v>44698.291666666664</v>
      </c>
      <c r="C370" s="40" t="s">
        <v>353</v>
      </c>
      <c r="D370" s="40" t="s">
        <v>354</v>
      </c>
      <c r="E370" s="40" t="s">
        <v>1522</v>
      </c>
      <c r="F370" s="40">
        <v>63141778</v>
      </c>
      <c r="G370" s="40" t="s">
        <v>1534</v>
      </c>
      <c r="H370" s="40" t="s">
        <v>301</v>
      </c>
      <c r="I370" s="40">
        <v>3700</v>
      </c>
      <c r="J370" s="40" t="s">
        <v>1535</v>
      </c>
      <c r="K370" s="40">
        <v>26069</v>
      </c>
      <c r="L370" s="40">
        <v>29769</v>
      </c>
      <c r="M370" s="40">
        <v>609954</v>
      </c>
      <c r="N370" s="40" t="s">
        <v>1525</v>
      </c>
      <c r="O370" s="40" t="s">
        <v>1495</v>
      </c>
      <c r="P370" s="40" t="s">
        <v>179</v>
      </c>
      <c r="Q370" s="40" t="s">
        <v>89</v>
      </c>
      <c r="R370" s="42" t="s">
        <v>90</v>
      </c>
      <c r="S370" s="42">
        <v>3148346870</v>
      </c>
      <c r="T370" s="40" t="s">
        <v>292</v>
      </c>
      <c r="U370" s="41">
        <v>44698.583333333336</v>
      </c>
      <c r="V370" s="41">
        <v>44698.625</v>
      </c>
      <c r="W370" s="41" t="s">
        <v>1536</v>
      </c>
      <c r="X370" s="40" t="s">
        <v>410</v>
      </c>
      <c r="Y370" s="41">
        <v>44706.55</v>
      </c>
      <c r="Z370" s="41"/>
      <c r="AA370" s="41">
        <v>44698.583333333336</v>
      </c>
      <c r="AB370" s="41">
        <v>44701.5</v>
      </c>
      <c r="AC370" s="40" t="s">
        <v>835</v>
      </c>
      <c r="AD370" s="40">
        <v>12695</v>
      </c>
      <c r="AE370" s="40"/>
      <c r="AF370" s="40"/>
      <c r="AG370" s="40"/>
      <c r="AH370" s="40" t="s">
        <v>393</v>
      </c>
      <c r="AI370" s="41">
        <v>44699.041666666664</v>
      </c>
      <c r="AJ370" s="40"/>
      <c r="AK370" s="43">
        <v>950</v>
      </c>
      <c r="AL370" s="40"/>
      <c r="AM370" s="43">
        <v>0</v>
      </c>
      <c r="AN370" s="43"/>
      <c r="AO370" s="43"/>
      <c r="AP370" s="43"/>
      <c r="AQ370" s="43">
        <v>0</v>
      </c>
      <c r="AR370" s="43">
        <v>0</v>
      </c>
      <c r="AS370" s="43"/>
      <c r="AT370" s="43">
        <v>0</v>
      </c>
      <c r="AU370" s="43"/>
      <c r="AV370" s="43"/>
      <c r="AW370" s="43"/>
      <c r="AX370" s="43">
        <v>0</v>
      </c>
      <c r="AY370" s="43">
        <v>0</v>
      </c>
      <c r="AZ370" s="43">
        <v>0</v>
      </c>
      <c r="BA370" s="43">
        <v>0</v>
      </c>
      <c r="BB370" s="43">
        <v>0</v>
      </c>
      <c r="BC370" s="43">
        <v>0</v>
      </c>
      <c r="BD370" s="43">
        <v>0</v>
      </c>
      <c r="BE370" s="43">
        <v>0</v>
      </c>
      <c r="BF370" s="43">
        <v>0</v>
      </c>
      <c r="BG370" s="43">
        <v>0</v>
      </c>
      <c r="BH370" s="43">
        <v>0</v>
      </c>
      <c r="BI370" s="40" t="s">
        <v>1355</v>
      </c>
      <c r="BJ370" s="40">
        <v>2022</v>
      </c>
      <c r="BK370" s="40" t="s">
        <v>2768</v>
      </c>
      <c r="BL370" s="40" t="s">
        <v>2768</v>
      </c>
      <c r="BM370" s="40" t="s">
        <v>2768</v>
      </c>
    </row>
    <row r="371" spans="1:65" x14ac:dyDescent="0.25">
      <c r="A371" s="40" t="s">
        <v>2771</v>
      </c>
      <c r="B371" s="41">
        <v>44698.291666666664</v>
      </c>
      <c r="C371" s="40" t="s">
        <v>353</v>
      </c>
      <c r="D371" s="40" t="s">
        <v>354</v>
      </c>
      <c r="E371" s="40" t="s">
        <v>1522</v>
      </c>
      <c r="F371" s="40">
        <v>63141778</v>
      </c>
      <c r="G371" s="40" t="s">
        <v>1537</v>
      </c>
      <c r="H371" s="40" t="s">
        <v>301</v>
      </c>
      <c r="I371" s="40">
        <v>3900</v>
      </c>
      <c r="J371" s="40" t="s">
        <v>1538</v>
      </c>
      <c r="K371" s="40">
        <v>26069</v>
      </c>
      <c r="L371" s="40">
        <v>29969</v>
      </c>
      <c r="M371" s="40">
        <v>609950</v>
      </c>
      <c r="N371" s="40" t="s">
        <v>1525</v>
      </c>
      <c r="O371" s="40" t="s">
        <v>140</v>
      </c>
      <c r="P371" s="40" t="s">
        <v>141</v>
      </c>
      <c r="Q371" s="40" t="s">
        <v>1482</v>
      </c>
      <c r="R371" s="42" t="s">
        <v>1483</v>
      </c>
      <c r="S371" s="42" t="s">
        <v>1484</v>
      </c>
      <c r="T371" s="40" t="s">
        <v>292</v>
      </c>
      <c r="U371" s="41">
        <v>44698.583333333336</v>
      </c>
      <c r="V371" s="41">
        <v>44700.375</v>
      </c>
      <c r="W371" s="41">
        <v>44700.647916666669</v>
      </c>
      <c r="X371" s="40" t="s">
        <v>410</v>
      </c>
      <c r="Y371" s="41">
        <v>44706.614583333336</v>
      </c>
      <c r="Z371" s="41"/>
      <c r="AA371" s="41">
        <v>44698.583333333336</v>
      </c>
      <c r="AB371" s="41">
        <v>44701.5</v>
      </c>
      <c r="AC371" s="40" t="s">
        <v>835</v>
      </c>
      <c r="AD371" s="40">
        <v>12696</v>
      </c>
      <c r="AE371" s="40"/>
      <c r="AF371" s="40"/>
      <c r="AG371" s="40"/>
      <c r="AH371" s="40" t="s">
        <v>393</v>
      </c>
      <c r="AI371" s="41">
        <v>44699.041666666664</v>
      </c>
      <c r="AJ371" s="40"/>
      <c r="AK371" s="43">
        <v>950</v>
      </c>
      <c r="AL371" s="40"/>
      <c r="AM371" s="43">
        <v>0</v>
      </c>
      <c r="AN371" s="43"/>
      <c r="AO371" s="43"/>
      <c r="AP371" s="43"/>
      <c r="AQ371" s="43">
        <v>0</v>
      </c>
      <c r="AR371" s="43">
        <v>0</v>
      </c>
      <c r="AS371" s="43"/>
      <c r="AT371" s="43">
        <v>0</v>
      </c>
      <c r="AU371" s="43"/>
      <c r="AV371" s="43"/>
      <c r="AW371" s="43"/>
      <c r="AX371" s="43">
        <v>0</v>
      </c>
      <c r="AY371" s="43">
        <v>0</v>
      </c>
      <c r="AZ371" s="43">
        <v>0</v>
      </c>
      <c r="BA371" s="43">
        <v>0</v>
      </c>
      <c r="BB371" s="43">
        <v>0</v>
      </c>
      <c r="BC371" s="43">
        <v>0</v>
      </c>
      <c r="BD371" s="43">
        <v>0</v>
      </c>
      <c r="BE371" s="43">
        <v>0</v>
      </c>
      <c r="BF371" s="43">
        <v>0</v>
      </c>
      <c r="BG371" s="43">
        <v>0</v>
      </c>
      <c r="BH371" s="43">
        <v>0</v>
      </c>
      <c r="BI371" s="40" t="s">
        <v>1355</v>
      </c>
      <c r="BJ371" s="40">
        <v>2022</v>
      </c>
      <c r="BK371" s="40" t="s">
        <v>2768</v>
      </c>
      <c r="BL371" s="40" t="s">
        <v>2768</v>
      </c>
      <c r="BM371" s="40" t="s">
        <v>2768</v>
      </c>
    </row>
    <row r="372" spans="1:65" x14ac:dyDescent="0.25">
      <c r="A372" s="40" t="s">
        <v>2771</v>
      </c>
      <c r="B372" s="41">
        <v>44698.291666666664</v>
      </c>
      <c r="C372" s="40" t="s">
        <v>353</v>
      </c>
      <c r="D372" s="40" t="s">
        <v>354</v>
      </c>
      <c r="E372" s="40" t="s">
        <v>1522</v>
      </c>
      <c r="F372" s="40">
        <v>63141778</v>
      </c>
      <c r="G372" s="40" t="s">
        <v>1539</v>
      </c>
      <c r="H372" s="40" t="s">
        <v>301</v>
      </c>
      <c r="I372" s="40">
        <v>3700</v>
      </c>
      <c r="J372" s="40" t="s">
        <v>1540</v>
      </c>
      <c r="K372" s="40">
        <v>26069</v>
      </c>
      <c r="L372" s="40">
        <v>29769</v>
      </c>
      <c r="M372" s="40">
        <v>610251</v>
      </c>
      <c r="N372" s="40" t="s">
        <v>1525</v>
      </c>
      <c r="O372" s="40" t="s">
        <v>140</v>
      </c>
      <c r="P372" s="40" t="s">
        <v>141</v>
      </c>
      <c r="Q372" s="40" t="s">
        <v>1482</v>
      </c>
      <c r="R372" s="42" t="s">
        <v>1483</v>
      </c>
      <c r="S372" s="42" t="s">
        <v>1484</v>
      </c>
      <c r="T372" s="40" t="s">
        <v>292</v>
      </c>
      <c r="U372" s="41">
        <v>44698.583333333336</v>
      </c>
      <c r="V372" s="41">
        <v>44700.291666666664</v>
      </c>
      <c r="W372" s="41">
        <v>44700.666666666664</v>
      </c>
      <c r="X372" s="40" t="s">
        <v>410</v>
      </c>
      <c r="Y372" s="41">
        <v>44706.509722222225</v>
      </c>
      <c r="Z372" s="41"/>
      <c r="AA372" s="41">
        <v>44698.583333333336</v>
      </c>
      <c r="AB372" s="41">
        <v>44701.5</v>
      </c>
      <c r="AC372" s="40" t="s">
        <v>835</v>
      </c>
      <c r="AD372" s="40">
        <v>12719</v>
      </c>
      <c r="AE372" s="40"/>
      <c r="AF372" s="40"/>
      <c r="AG372" s="40"/>
      <c r="AH372" s="40" t="s">
        <v>393</v>
      </c>
      <c r="AI372" s="41">
        <v>44700.083333333336</v>
      </c>
      <c r="AJ372" s="40"/>
      <c r="AK372" s="43">
        <v>950</v>
      </c>
      <c r="AL372" s="40"/>
      <c r="AM372" s="43">
        <v>0</v>
      </c>
      <c r="AN372" s="43"/>
      <c r="AO372" s="43"/>
      <c r="AP372" s="43"/>
      <c r="AQ372" s="43">
        <v>0</v>
      </c>
      <c r="AR372" s="43">
        <v>0</v>
      </c>
      <c r="AS372" s="43"/>
      <c r="AT372" s="43">
        <v>0</v>
      </c>
      <c r="AU372" s="43"/>
      <c r="AV372" s="43"/>
      <c r="AW372" s="43"/>
      <c r="AX372" s="43">
        <v>0</v>
      </c>
      <c r="AY372" s="43">
        <v>0</v>
      </c>
      <c r="AZ372" s="43">
        <v>0</v>
      </c>
      <c r="BA372" s="43">
        <v>0</v>
      </c>
      <c r="BB372" s="43">
        <v>0</v>
      </c>
      <c r="BC372" s="43">
        <v>0</v>
      </c>
      <c r="BD372" s="43">
        <v>0</v>
      </c>
      <c r="BE372" s="43">
        <v>0</v>
      </c>
      <c r="BF372" s="43">
        <v>0</v>
      </c>
      <c r="BG372" s="43">
        <v>0</v>
      </c>
      <c r="BH372" s="43">
        <v>0</v>
      </c>
      <c r="BI372" s="40" t="s">
        <v>1355</v>
      </c>
      <c r="BJ372" s="40">
        <v>2022</v>
      </c>
      <c r="BK372" s="40" t="s">
        <v>2768</v>
      </c>
      <c r="BL372" s="40" t="s">
        <v>2768</v>
      </c>
      <c r="BM372" s="40" t="s">
        <v>2768</v>
      </c>
    </row>
    <row r="373" spans="1:65" x14ac:dyDescent="0.25">
      <c r="A373" s="40" t="s">
        <v>2771</v>
      </c>
      <c r="B373" s="41">
        <v>44698.291666666664</v>
      </c>
      <c r="C373" s="40" t="s">
        <v>353</v>
      </c>
      <c r="D373" s="40" t="s">
        <v>354</v>
      </c>
      <c r="E373" s="40" t="s">
        <v>1522</v>
      </c>
      <c r="F373" s="40">
        <v>63141778</v>
      </c>
      <c r="G373" s="40" t="s">
        <v>1541</v>
      </c>
      <c r="H373" s="40" t="s">
        <v>301</v>
      </c>
      <c r="I373" s="40">
        <v>3900</v>
      </c>
      <c r="J373" s="40" t="s">
        <v>1542</v>
      </c>
      <c r="K373" s="40">
        <v>26069</v>
      </c>
      <c r="L373" s="40">
        <v>29969</v>
      </c>
      <c r="M373" s="40">
        <v>610332</v>
      </c>
      <c r="N373" s="40" t="s">
        <v>1525</v>
      </c>
      <c r="O373" s="40" t="s">
        <v>178</v>
      </c>
      <c r="P373" s="40" t="s">
        <v>179</v>
      </c>
      <c r="Q373" s="40" t="s">
        <v>1543</v>
      </c>
      <c r="R373" s="42" t="s">
        <v>1544</v>
      </c>
      <c r="S373" s="42" t="s">
        <v>1545</v>
      </c>
      <c r="T373" s="40" t="s">
        <v>292</v>
      </c>
      <c r="U373" s="41">
        <v>44698.583333333336</v>
      </c>
      <c r="V373" s="41">
        <v>44700.291666666664</v>
      </c>
      <c r="W373" s="41">
        <v>44700.666666666664</v>
      </c>
      <c r="X373" s="40" t="s">
        <v>410</v>
      </c>
      <c r="Y373" s="41">
        <v>44706.645833333336</v>
      </c>
      <c r="Z373" s="41"/>
      <c r="AA373" s="41">
        <v>44698.583333333336</v>
      </c>
      <c r="AB373" s="41">
        <v>44701.5</v>
      </c>
      <c r="AC373" s="40" t="s">
        <v>835</v>
      </c>
      <c r="AD373" s="40">
        <v>12724</v>
      </c>
      <c r="AE373" s="40"/>
      <c r="AF373" s="40"/>
      <c r="AG373" s="40"/>
      <c r="AH373" s="40" t="s">
        <v>393</v>
      </c>
      <c r="AI373" s="41">
        <v>44700.083333333336</v>
      </c>
      <c r="AJ373" s="40"/>
      <c r="AK373" s="43">
        <v>950</v>
      </c>
      <c r="AL373" s="40"/>
      <c r="AM373" s="43">
        <v>0</v>
      </c>
      <c r="AN373" s="43"/>
      <c r="AO373" s="43"/>
      <c r="AP373" s="43"/>
      <c r="AQ373" s="43">
        <v>0</v>
      </c>
      <c r="AR373" s="43">
        <v>0</v>
      </c>
      <c r="AS373" s="43"/>
      <c r="AT373" s="43">
        <v>0</v>
      </c>
      <c r="AU373" s="43"/>
      <c r="AV373" s="43"/>
      <c r="AW373" s="43"/>
      <c r="AX373" s="43">
        <v>0</v>
      </c>
      <c r="AY373" s="43">
        <v>0</v>
      </c>
      <c r="AZ373" s="43">
        <v>0</v>
      </c>
      <c r="BA373" s="43">
        <v>0</v>
      </c>
      <c r="BB373" s="43">
        <v>0</v>
      </c>
      <c r="BC373" s="43">
        <v>0</v>
      </c>
      <c r="BD373" s="43">
        <v>0</v>
      </c>
      <c r="BE373" s="43">
        <v>0</v>
      </c>
      <c r="BF373" s="43">
        <v>0</v>
      </c>
      <c r="BG373" s="43">
        <v>0</v>
      </c>
      <c r="BH373" s="43">
        <v>0</v>
      </c>
      <c r="BI373" s="40" t="s">
        <v>1355</v>
      </c>
      <c r="BJ373" s="40">
        <v>2022</v>
      </c>
      <c r="BK373" s="40" t="s">
        <v>2768</v>
      </c>
      <c r="BL373" s="40" t="s">
        <v>2768</v>
      </c>
      <c r="BM373" s="40" t="s">
        <v>2768</v>
      </c>
    </row>
    <row r="374" spans="1:65" x14ac:dyDescent="0.25">
      <c r="A374" s="40" t="s">
        <v>2771</v>
      </c>
      <c r="B374" s="41">
        <v>44698.291666666664</v>
      </c>
      <c r="C374" s="40" t="s">
        <v>353</v>
      </c>
      <c r="D374" s="40" t="s">
        <v>354</v>
      </c>
      <c r="E374" s="40" t="s">
        <v>1522</v>
      </c>
      <c r="F374" s="40">
        <v>63141778</v>
      </c>
      <c r="G374" s="40" t="s">
        <v>1546</v>
      </c>
      <c r="H374" s="40" t="s">
        <v>301</v>
      </c>
      <c r="I374" s="40">
        <v>3700</v>
      </c>
      <c r="J374" s="40" t="s">
        <v>1547</v>
      </c>
      <c r="K374" s="40">
        <v>26069</v>
      </c>
      <c r="L374" s="40">
        <v>29769</v>
      </c>
      <c r="M374" s="40">
        <v>610206</v>
      </c>
      <c r="N374" s="40" t="s">
        <v>1525</v>
      </c>
      <c r="O374" s="40" t="s">
        <v>119</v>
      </c>
      <c r="P374" s="40" t="s">
        <v>120</v>
      </c>
      <c r="Q374" s="40" t="s">
        <v>121</v>
      </c>
      <c r="R374" s="42" t="s">
        <v>122</v>
      </c>
      <c r="S374" s="42" t="s">
        <v>123</v>
      </c>
      <c r="T374" s="40" t="s">
        <v>292</v>
      </c>
      <c r="U374" s="41">
        <v>44698.583333333336</v>
      </c>
      <c r="V374" s="41">
        <v>44699.625</v>
      </c>
      <c r="W374" s="41">
        <v>44699.9375</v>
      </c>
      <c r="X374" s="40" t="s">
        <v>410</v>
      </c>
      <c r="Y374" s="41">
        <v>44706.511111111111</v>
      </c>
      <c r="Z374" s="41"/>
      <c r="AA374" s="41">
        <v>44698.583333333336</v>
      </c>
      <c r="AB374" s="41">
        <v>44701.5</v>
      </c>
      <c r="AC374" s="40" t="s">
        <v>835</v>
      </c>
      <c r="AD374" s="40">
        <v>12714</v>
      </c>
      <c r="AE374" s="40"/>
      <c r="AF374" s="40"/>
      <c r="AG374" s="40"/>
      <c r="AH374" s="40" t="s">
        <v>393</v>
      </c>
      <c r="AI374" s="41">
        <v>44700.083333333336</v>
      </c>
      <c r="AJ374" s="40"/>
      <c r="AK374" s="43">
        <v>950</v>
      </c>
      <c r="AL374" s="40"/>
      <c r="AM374" s="43">
        <v>0</v>
      </c>
      <c r="AN374" s="43"/>
      <c r="AO374" s="43"/>
      <c r="AP374" s="43"/>
      <c r="AQ374" s="43">
        <v>0</v>
      </c>
      <c r="AR374" s="43">
        <v>0</v>
      </c>
      <c r="AS374" s="43"/>
      <c r="AT374" s="43">
        <v>0</v>
      </c>
      <c r="AU374" s="43"/>
      <c r="AV374" s="43"/>
      <c r="AW374" s="43"/>
      <c r="AX374" s="43">
        <v>0</v>
      </c>
      <c r="AY374" s="43">
        <v>0</v>
      </c>
      <c r="AZ374" s="43">
        <v>0</v>
      </c>
      <c r="BA374" s="43">
        <v>0</v>
      </c>
      <c r="BB374" s="43">
        <v>0</v>
      </c>
      <c r="BC374" s="43">
        <v>0</v>
      </c>
      <c r="BD374" s="43">
        <v>0</v>
      </c>
      <c r="BE374" s="43">
        <v>0</v>
      </c>
      <c r="BF374" s="43">
        <v>0</v>
      </c>
      <c r="BG374" s="43">
        <v>0</v>
      </c>
      <c r="BH374" s="43">
        <v>0</v>
      </c>
      <c r="BI374" s="40" t="s">
        <v>1355</v>
      </c>
      <c r="BJ374" s="40">
        <v>2022</v>
      </c>
      <c r="BK374" s="40" t="s">
        <v>2768</v>
      </c>
      <c r="BL374" s="40" t="s">
        <v>2768</v>
      </c>
      <c r="BM374" s="40" t="s">
        <v>2768</v>
      </c>
    </row>
    <row r="375" spans="1:65" x14ac:dyDescent="0.25">
      <c r="A375" s="40" t="s">
        <v>2771</v>
      </c>
      <c r="B375" s="41">
        <v>44698.291666666664</v>
      </c>
      <c r="C375" s="40" t="s">
        <v>353</v>
      </c>
      <c r="D375" s="40" t="s">
        <v>354</v>
      </c>
      <c r="E375" s="40">
        <v>7622769</v>
      </c>
      <c r="F375" s="40">
        <v>64479383</v>
      </c>
      <c r="G375" s="40" t="s">
        <v>1548</v>
      </c>
      <c r="H375" s="40" t="s">
        <v>301</v>
      </c>
      <c r="I375" s="40">
        <v>3870</v>
      </c>
      <c r="J375" s="40" t="s">
        <v>1549</v>
      </c>
      <c r="K375" s="40">
        <v>26069</v>
      </c>
      <c r="L375" s="40">
        <v>29939</v>
      </c>
      <c r="M375" s="40">
        <v>609921</v>
      </c>
      <c r="N375" s="40" t="s">
        <v>1550</v>
      </c>
      <c r="O375" s="40" t="s">
        <v>1551</v>
      </c>
      <c r="P375" s="40" t="s">
        <v>1552</v>
      </c>
      <c r="Q375" s="40" t="s">
        <v>1553</v>
      </c>
      <c r="R375" s="42" t="s">
        <v>1554</v>
      </c>
      <c r="S375" s="42" t="s">
        <v>1555</v>
      </c>
      <c r="T375" s="40" t="s">
        <v>537</v>
      </c>
      <c r="U375" s="41">
        <v>44697.75</v>
      </c>
      <c r="V375" s="41">
        <v>44698.291666666664</v>
      </c>
      <c r="W375" s="41">
        <v>44698.75</v>
      </c>
      <c r="X375" s="40" t="s">
        <v>410</v>
      </c>
      <c r="Y375" s="41">
        <v>44707.440972222219</v>
      </c>
      <c r="Z375" s="41">
        <v>44706.75</v>
      </c>
      <c r="AA375" s="41">
        <v>44698.75</v>
      </c>
      <c r="AB375" s="41">
        <v>44704.75</v>
      </c>
      <c r="AC375" s="40" t="s">
        <v>352</v>
      </c>
      <c r="AD375" s="40">
        <v>12694</v>
      </c>
      <c r="AE375" s="40"/>
      <c r="AF375" s="40"/>
      <c r="AG375" s="40"/>
      <c r="AH375" s="40" t="s">
        <v>393</v>
      </c>
      <c r="AI375" s="41">
        <v>44699.041666666664</v>
      </c>
      <c r="AJ375" s="40"/>
      <c r="AK375" s="43">
        <v>950</v>
      </c>
      <c r="AL375" s="40"/>
      <c r="AM375" s="43">
        <v>0</v>
      </c>
      <c r="AN375" s="43"/>
      <c r="AO375" s="43"/>
      <c r="AP375" s="43"/>
      <c r="AQ375" s="43">
        <v>0</v>
      </c>
      <c r="AR375" s="43">
        <v>0</v>
      </c>
      <c r="AS375" s="43"/>
      <c r="AT375" s="43">
        <v>0</v>
      </c>
      <c r="AU375" s="43"/>
      <c r="AV375" s="43"/>
      <c r="AW375" s="43"/>
      <c r="AX375" s="43">
        <v>0</v>
      </c>
      <c r="AY375" s="43">
        <v>0</v>
      </c>
      <c r="AZ375" s="43">
        <v>0</v>
      </c>
      <c r="BA375" s="43">
        <v>0</v>
      </c>
      <c r="BB375" s="43">
        <v>0</v>
      </c>
      <c r="BC375" s="43">
        <v>0</v>
      </c>
      <c r="BD375" s="43">
        <v>0</v>
      </c>
      <c r="BE375" s="43">
        <v>0</v>
      </c>
      <c r="BF375" s="43">
        <v>0</v>
      </c>
      <c r="BG375" s="43">
        <v>0</v>
      </c>
      <c r="BH375" s="43">
        <v>0</v>
      </c>
      <c r="BI375" s="40" t="s">
        <v>1355</v>
      </c>
      <c r="BJ375" s="40">
        <v>2022</v>
      </c>
      <c r="BK375" s="40" t="s">
        <v>2768</v>
      </c>
      <c r="BL375" s="40" t="s">
        <v>2768</v>
      </c>
      <c r="BM375" s="40" t="s">
        <v>2768</v>
      </c>
    </row>
    <row r="376" spans="1:65" x14ac:dyDescent="0.25">
      <c r="A376" s="40" t="s">
        <v>2771</v>
      </c>
      <c r="B376" s="41">
        <v>44698.291666666664</v>
      </c>
      <c r="C376" s="40" t="s">
        <v>353</v>
      </c>
      <c r="D376" s="40" t="s">
        <v>354</v>
      </c>
      <c r="E376" s="40">
        <v>7622769</v>
      </c>
      <c r="F376" s="40">
        <v>64479383</v>
      </c>
      <c r="G376" s="40" t="s">
        <v>1556</v>
      </c>
      <c r="H376" s="40" t="s">
        <v>301</v>
      </c>
      <c r="I376" s="40">
        <v>3840</v>
      </c>
      <c r="J376" s="40" t="s">
        <v>1557</v>
      </c>
      <c r="K376" s="40">
        <v>26069</v>
      </c>
      <c r="L376" s="40">
        <v>29909</v>
      </c>
      <c r="M376" s="40">
        <v>610043</v>
      </c>
      <c r="N376" s="40" t="s">
        <v>1550</v>
      </c>
      <c r="O376" s="40" t="s">
        <v>72</v>
      </c>
      <c r="P376" s="40" t="s">
        <v>73</v>
      </c>
      <c r="Q376" s="40" t="s">
        <v>69</v>
      </c>
      <c r="R376" s="42" t="s">
        <v>70</v>
      </c>
      <c r="S376" s="42" t="s">
        <v>71</v>
      </c>
      <c r="T376" s="40" t="s">
        <v>537</v>
      </c>
      <c r="U376" s="41">
        <v>44697.397916666669</v>
      </c>
      <c r="V376" s="41">
        <v>44699.208333333336</v>
      </c>
      <c r="W376" s="41">
        <v>44699.833333333336</v>
      </c>
      <c r="X376" s="40" t="s">
        <v>410</v>
      </c>
      <c r="Y376" s="41">
        <v>44699.880555555559</v>
      </c>
      <c r="Z376" s="41">
        <v>44706.75</v>
      </c>
      <c r="AA376" s="41">
        <v>44698.75</v>
      </c>
      <c r="AB376" s="41">
        <v>44704.75</v>
      </c>
      <c r="AC376" s="40" t="s">
        <v>352</v>
      </c>
      <c r="AD376" s="40">
        <v>12709</v>
      </c>
      <c r="AE376" s="40"/>
      <c r="AF376" s="40"/>
      <c r="AG376" s="40"/>
      <c r="AH376" s="40"/>
      <c r="AI376" s="41"/>
      <c r="AJ376" s="40"/>
      <c r="AK376" s="43"/>
      <c r="AL376" s="40" t="s">
        <v>1558</v>
      </c>
      <c r="AM376" s="43">
        <v>180</v>
      </c>
      <c r="AN376" s="43"/>
      <c r="AO376" s="43"/>
      <c r="AP376" s="43"/>
      <c r="AQ376" s="43">
        <v>0</v>
      </c>
      <c r="AR376" s="43">
        <v>0</v>
      </c>
      <c r="AS376" s="43"/>
      <c r="AT376" s="43">
        <v>0</v>
      </c>
      <c r="AU376" s="43"/>
      <c r="AV376" s="43"/>
      <c r="AW376" s="43"/>
      <c r="AX376" s="43">
        <v>0</v>
      </c>
      <c r="AY376" s="43">
        <v>0</v>
      </c>
      <c r="AZ376" s="43">
        <v>0</v>
      </c>
      <c r="BA376" s="43">
        <v>0</v>
      </c>
      <c r="BB376" s="43">
        <v>0</v>
      </c>
      <c r="BC376" s="43">
        <v>0</v>
      </c>
      <c r="BD376" s="43">
        <v>0</v>
      </c>
      <c r="BE376" s="43">
        <v>0</v>
      </c>
      <c r="BF376" s="43">
        <v>0</v>
      </c>
      <c r="BG376" s="43">
        <v>0</v>
      </c>
      <c r="BH376" s="43">
        <v>0</v>
      </c>
      <c r="BI376" s="40" t="s">
        <v>1355</v>
      </c>
      <c r="BJ376" s="40">
        <v>2022</v>
      </c>
      <c r="BK376" s="40" t="s">
        <v>2768</v>
      </c>
      <c r="BL376" s="40" t="s">
        <v>2768</v>
      </c>
      <c r="BM376" s="40" t="s">
        <v>2768</v>
      </c>
    </row>
    <row r="377" spans="1:65" x14ac:dyDescent="0.25">
      <c r="A377" s="40" t="s">
        <v>2771</v>
      </c>
      <c r="B377" s="41">
        <v>44698.291666666664</v>
      </c>
      <c r="C377" s="40" t="s">
        <v>353</v>
      </c>
      <c r="D377" s="40" t="s">
        <v>354</v>
      </c>
      <c r="E377" s="40">
        <v>7622769</v>
      </c>
      <c r="F377" s="40">
        <v>64479383</v>
      </c>
      <c r="G377" s="40" t="s">
        <v>1559</v>
      </c>
      <c r="H377" s="40" t="s">
        <v>301</v>
      </c>
      <c r="I377" s="40">
        <v>3890</v>
      </c>
      <c r="J377" s="40" t="s">
        <v>1560</v>
      </c>
      <c r="K377" s="40">
        <v>26069</v>
      </c>
      <c r="L377" s="40">
        <v>29959</v>
      </c>
      <c r="M377" s="40">
        <v>610187</v>
      </c>
      <c r="N377" s="40" t="s">
        <v>1550</v>
      </c>
      <c r="O377" s="40" t="s">
        <v>68</v>
      </c>
      <c r="P377" s="40" t="s">
        <v>36</v>
      </c>
      <c r="Q377" s="40" t="s">
        <v>203</v>
      </c>
      <c r="R377" s="42" t="s">
        <v>204</v>
      </c>
      <c r="S377" s="42" t="s">
        <v>205</v>
      </c>
      <c r="T377" s="40" t="s">
        <v>537</v>
      </c>
      <c r="U377" s="41">
        <v>44697.75</v>
      </c>
      <c r="V377" s="41">
        <v>44698.416666666664</v>
      </c>
      <c r="W377" s="41">
        <v>44698.911111111112</v>
      </c>
      <c r="X377" s="40" t="s">
        <v>410</v>
      </c>
      <c r="Y377" s="41">
        <v>44700.339583333334</v>
      </c>
      <c r="Z377" s="41">
        <v>44706.75</v>
      </c>
      <c r="AA377" s="41">
        <v>44698.75</v>
      </c>
      <c r="AB377" s="41">
        <v>44704.75</v>
      </c>
      <c r="AC377" s="40" t="s">
        <v>352</v>
      </c>
      <c r="AD377" s="40">
        <v>12713</v>
      </c>
      <c r="AE377" s="40"/>
      <c r="AF377" s="40"/>
      <c r="AG377" s="40"/>
      <c r="AH377" s="40"/>
      <c r="AI377" s="41"/>
      <c r="AJ377" s="40"/>
      <c r="AK377" s="43"/>
      <c r="AL377" s="40" t="s">
        <v>1558</v>
      </c>
      <c r="AM377" s="43">
        <v>180</v>
      </c>
      <c r="AN377" s="43"/>
      <c r="AO377" s="43"/>
      <c r="AP377" s="43"/>
      <c r="AQ377" s="43">
        <v>0</v>
      </c>
      <c r="AR377" s="43">
        <v>0</v>
      </c>
      <c r="AS377" s="43"/>
      <c r="AT377" s="43">
        <v>0</v>
      </c>
      <c r="AU377" s="43"/>
      <c r="AV377" s="43"/>
      <c r="AW377" s="43"/>
      <c r="AX377" s="43">
        <v>0</v>
      </c>
      <c r="AY377" s="43">
        <v>0</v>
      </c>
      <c r="AZ377" s="43">
        <v>0</v>
      </c>
      <c r="BA377" s="43">
        <v>0</v>
      </c>
      <c r="BB377" s="43">
        <v>0</v>
      </c>
      <c r="BC377" s="43">
        <v>0</v>
      </c>
      <c r="BD377" s="43">
        <v>0</v>
      </c>
      <c r="BE377" s="43">
        <v>0</v>
      </c>
      <c r="BF377" s="43">
        <v>0</v>
      </c>
      <c r="BG377" s="43">
        <v>0</v>
      </c>
      <c r="BH377" s="43">
        <v>0</v>
      </c>
      <c r="BI377" s="40" t="s">
        <v>1355</v>
      </c>
      <c r="BJ377" s="40">
        <v>2022</v>
      </c>
      <c r="BK377" s="40" t="s">
        <v>2768</v>
      </c>
      <c r="BL377" s="40" t="s">
        <v>2768</v>
      </c>
      <c r="BM377" s="40" t="s">
        <v>2768</v>
      </c>
    </row>
    <row r="378" spans="1:65" x14ac:dyDescent="0.25">
      <c r="A378" s="40" t="s">
        <v>2771</v>
      </c>
      <c r="B378" s="41">
        <v>44698.291666666664</v>
      </c>
      <c r="C378" s="40" t="s">
        <v>353</v>
      </c>
      <c r="D378" s="40" t="s">
        <v>354</v>
      </c>
      <c r="E378" s="40">
        <v>7622769</v>
      </c>
      <c r="F378" s="40">
        <v>64479383</v>
      </c>
      <c r="G378" s="40" t="s">
        <v>1561</v>
      </c>
      <c r="H378" s="40" t="s">
        <v>301</v>
      </c>
      <c r="I378" s="40">
        <v>3900</v>
      </c>
      <c r="J378" s="40" t="s">
        <v>1562</v>
      </c>
      <c r="K378" s="40">
        <v>26069</v>
      </c>
      <c r="L378" s="40">
        <v>29969</v>
      </c>
      <c r="M378" s="40">
        <v>610044</v>
      </c>
      <c r="N378" s="40" t="s">
        <v>1550</v>
      </c>
      <c r="O378" s="40" t="s">
        <v>155</v>
      </c>
      <c r="P378" s="40" t="s">
        <v>312</v>
      </c>
      <c r="Q378" s="40" t="s">
        <v>1398</v>
      </c>
      <c r="R378" s="42" t="s">
        <v>1399</v>
      </c>
      <c r="S378" s="42" t="s">
        <v>1400</v>
      </c>
      <c r="T378" s="40" t="s">
        <v>537</v>
      </c>
      <c r="U378" s="41">
        <v>44697.75</v>
      </c>
      <c r="V378" s="41">
        <v>44698.324999999997</v>
      </c>
      <c r="W378" s="41">
        <v>44698.888888888891</v>
      </c>
      <c r="X378" s="40" t="s">
        <v>410</v>
      </c>
      <c r="Y378" s="41">
        <v>44699.843055555553</v>
      </c>
      <c r="Z378" s="41">
        <v>44706.75</v>
      </c>
      <c r="AA378" s="41">
        <v>44698.75</v>
      </c>
      <c r="AB378" s="41">
        <v>44704.75</v>
      </c>
      <c r="AC378" s="40" t="s">
        <v>352</v>
      </c>
      <c r="AD378" s="40">
        <v>12710</v>
      </c>
      <c r="AE378" s="40"/>
      <c r="AF378" s="40"/>
      <c r="AG378" s="40"/>
      <c r="AH378" s="40"/>
      <c r="AI378" s="41"/>
      <c r="AJ378" s="40"/>
      <c r="AK378" s="43"/>
      <c r="AL378" s="40" t="s">
        <v>1558</v>
      </c>
      <c r="AM378" s="43">
        <v>180</v>
      </c>
      <c r="AN378" s="43"/>
      <c r="AO378" s="43"/>
      <c r="AP378" s="43"/>
      <c r="AQ378" s="43">
        <v>0</v>
      </c>
      <c r="AR378" s="43">
        <v>0</v>
      </c>
      <c r="AS378" s="43"/>
      <c r="AT378" s="43">
        <v>0</v>
      </c>
      <c r="AU378" s="43"/>
      <c r="AV378" s="43"/>
      <c r="AW378" s="43"/>
      <c r="AX378" s="43">
        <v>0</v>
      </c>
      <c r="AY378" s="43">
        <v>0</v>
      </c>
      <c r="AZ378" s="43">
        <v>0</v>
      </c>
      <c r="BA378" s="43">
        <v>0</v>
      </c>
      <c r="BB378" s="43">
        <v>0</v>
      </c>
      <c r="BC378" s="43">
        <v>0</v>
      </c>
      <c r="BD378" s="43">
        <v>0</v>
      </c>
      <c r="BE378" s="43">
        <v>0</v>
      </c>
      <c r="BF378" s="43">
        <v>0</v>
      </c>
      <c r="BG378" s="43">
        <v>0</v>
      </c>
      <c r="BH378" s="43">
        <v>0</v>
      </c>
      <c r="BI378" s="40" t="s">
        <v>1355</v>
      </c>
      <c r="BJ378" s="40">
        <v>2022</v>
      </c>
      <c r="BK378" s="40" t="s">
        <v>2768</v>
      </c>
      <c r="BL378" s="40" t="s">
        <v>2768</v>
      </c>
      <c r="BM378" s="40" t="s">
        <v>2768</v>
      </c>
    </row>
    <row r="379" spans="1:65" x14ac:dyDescent="0.25">
      <c r="A379" s="40" t="s">
        <v>2771</v>
      </c>
      <c r="B379" s="41">
        <v>44698.291666666664</v>
      </c>
      <c r="C379" s="40" t="s">
        <v>353</v>
      </c>
      <c r="D379" s="40" t="s">
        <v>354</v>
      </c>
      <c r="E379" s="40">
        <v>7622769</v>
      </c>
      <c r="F379" s="40">
        <v>64479383</v>
      </c>
      <c r="G379" s="40" t="s">
        <v>1563</v>
      </c>
      <c r="H379" s="40" t="s">
        <v>301</v>
      </c>
      <c r="I379" s="40">
        <v>3850</v>
      </c>
      <c r="J379" s="40" t="s">
        <v>1564</v>
      </c>
      <c r="K379" s="40">
        <v>26069</v>
      </c>
      <c r="L379" s="40">
        <v>29919</v>
      </c>
      <c r="M379" s="40">
        <v>610051</v>
      </c>
      <c r="N379" s="40" t="s">
        <v>1550</v>
      </c>
      <c r="O379" s="40" t="s">
        <v>31</v>
      </c>
      <c r="P379" s="40" t="s">
        <v>32</v>
      </c>
      <c r="Q379" s="40" t="s">
        <v>33</v>
      </c>
      <c r="R379" s="42" t="s">
        <v>34</v>
      </c>
      <c r="S379" s="42">
        <v>1258979905</v>
      </c>
      <c r="T379" s="40" t="s">
        <v>537</v>
      </c>
      <c r="U379" s="41">
        <v>44697.75</v>
      </c>
      <c r="V379" s="41">
        <v>44698.324999999997</v>
      </c>
      <c r="W379" s="41">
        <v>44060.347222222219</v>
      </c>
      <c r="X379" s="40" t="s">
        <v>410</v>
      </c>
      <c r="Y379" s="41">
        <v>44699.840277777781</v>
      </c>
      <c r="Z379" s="41">
        <v>44706.75</v>
      </c>
      <c r="AA379" s="41">
        <v>44698.75</v>
      </c>
      <c r="AB379" s="41">
        <v>44704.75</v>
      </c>
      <c r="AC379" s="40" t="s">
        <v>352</v>
      </c>
      <c r="AD379" s="40">
        <v>12711</v>
      </c>
      <c r="AE379" s="40"/>
      <c r="AF379" s="40"/>
      <c r="AG379" s="40"/>
      <c r="AH379" s="40"/>
      <c r="AI379" s="41"/>
      <c r="AJ379" s="40"/>
      <c r="AK379" s="43"/>
      <c r="AL379" s="40" t="s">
        <v>1558</v>
      </c>
      <c r="AM379" s="43">
        <v>180</v>
      </c>
      <c r="AN379" s="43"/>
      <c r="AO379" s="43"/>
      <c r="AP379" s="43"/>
      <c r="AQ379" s="43">
        <v>0</v>
      </c>
      <c r="AR379" s="43">
        <v>0</v>
      </c>
      <c r="AS379" s="43"/>
      <c r="AT379" s="43">
        <v>0</v>
      </c>
      <c r="AU379" s="43"/>
      <c r="AV379" s="43"/>
      <c r="AW379" s="43"/>
      <c r="AX379" s="43">
        <v>0</v>
      </c>
      <c r="AY379" s="43">
        <v>0</v>
      </c>
      <c r="AZ379" s="43">
        <v>0</v>
      </c>
      <c r="BA379" s="43">
        <v>0</v>
      </c>
      <c r="BB379" s="43">
        <v>0</v>
      </c>
      <c r="BC379" s="43">
        <v>0</v>
      </c>
      <c r="BD379" s="43">
        <v>0</v>
      </c>
      <c r="BE379" s="43">
        <v>0</v>
      </c>
      <c r="BF379" s="43">
        <v>0</v>
      </c>
      <c r="BG379" s="43">
        <v>0</v>
      </c>
      <c r="BH379" s="43">
        <v>0</v>
      </c>
      <c r="BI379" s="40" t="s">
        <v>1355</v>
      </c>
      <c r="BJ379" s="40">
        <v>2022</v>
      </c>
      <c r="BK379" s="40" t="s">
        <v>2768</v>
      </c>
      <c r="BL379" s="40" t="s">
        <v>2768</v>
      </c>
      <c r="BM379" s="40" t="s">
        <v>2768</v>
      </c>
    </row>
    <row r="380" spans="1:65" x14ac:dyDescent="0.25">
      <c r="A380" s="40" t="s">
        <v>2771</v>
      </c>
      <c r="B380" s="41">
        <v>44704.291666666664</v>
      </c>
      <c r="C380" s="40" t="s">
        <v>353</v>
      </c>
      <c r="D380" s="40" t="s">
        <v>354</v>
      </c>
      <c r="E380" s="40">
        <v>7740851</v>
      </c>
      <c r="F380" s="40" t="s">
        <v>1565</v>
      </c>
      <c r="G380" s="40" t="s">
        <v>1566</v>
      </c>
      <c r="H380" s="40" t="s">
        <v>301</v>
      </c>
      <c r="I380" s="40">
        <v>3790</v>
      </c>
      <c r="J380" s="40" t="s">
        <v>1567</v>
      </c>
      <c r="K380" s="40"/>
      <c r="L380" s="40">
        <v>3790</v>
      </c>
      <c r="M380" s="40">
        <v>611297</v>
      </c>
      <c r="N380" s="40" t="s">
        <v>1568</v>
      </c>
      <c r="O380" s="40" t="s">
        <v>119</v>
      </c>
      <c r="P380" s="40" t="s">
        <v>120</v>
      </c>
      <c r="Q380" s="40" t="s">
        <v>121</v>
      </c>
      <c r="R380" s="42" t="s">
        <v>122</v>
      </c>
      <c r="S380" s="42" t="s">
        <v>123</v>
      </c>
      <c r="T380" s="40" t="s">
        <v>409</v>
      </c>
      <c r="U380" s="41">
        <v>44703.75</v>
      </c>
      <c r="V380" s="41">
        <v>44704.708333333336</v>
      </c>
      <c r="W380" s="41">
        <v>44705.875</v>
      </c>
      <c r="X380" s="40" t="s">
        <v>1569</v>
      </c>
      <c r="Y380" s="41">
        <v>44707.569444444445</v>
      </c>
      <c r="Z380" s="41"/>
      <c r="AA380" s="41">
        <v>44704.75</v>
      </c>
      <c r="AB380" s="41">
        <v>44706.75</v>
      </c>
      <c r="AC380" s="40" t="s">
        <v>1221</v>
      </c>
      <c r="AD380" s="40">
        <v>12773</v>
      </c>
      <c r="AE380" s="40"/>
      <c r="AF380" s="40"/>
      <c r="AG380" s="40"/>
      <c r="AH380" s="40" t="s">
        <v>393</v>
      </c>
      <c r="AI380" s="41">
        <v>44704.75</v>
      </c>
      <c r="AJ380" s="40"/>
      <c r="AK380" s="43">
        <v>950</v>
      </c>
      <c r="AL380" s="40"/>
      <c r="AM380" s="43">
        <v>0</v>
      </c>
      <c r="AN380" s="43"/>
      <c r="AO380" s="43"/>
      <c r="AP380" s="43"/>
      <c r="AQ380" s="43">
        <v>0</v>
      </c>
      <c r="AR380" s="43">
        <v>113.06399999999999</v>
      </c>
      <c r="AS380" s="43"/>
      <c r="AT380" s="43">
        <v>1680</v>
      </c>
      <c r="AU380" s="43"/>
      <c r="AV380" s="43"/>
      <c r="AW380" s="43"/>
      <c r="AX380" s="43">
        <v>0</v>
      </c>
      <c r="AY380" s="43">
        <v>0</v>
      </c>
      <c r="AZ380" s="43">
        <v>0</v>
      </c>
      <c r="BA380" s="43">
        <v>0</v>
      </c>
      <c r="BB380" s="43">
        <v>0</v>
      </c>
      <c r="BC380" s="43">
        <v>0</v>
      </c>
      <c r="BD380" s="43">
        <v>0</v>
      </c>
      <c r="BE380" s="43">
        <v>0</v>
      </c>
      <c r="BF380" s="43">
        <v>0</v>
      </c>
      <c r="BG380" s="43">
        <v>0</v>
      </c>
      <c r="BH380" s="43">
        <v>1680</v>
      </c>
      <c r="BI380" s="40" t="s">
        <v>1355</v>
      </c>
      <c r="BJ380" s="40">
        <v>2022</v>
      </c>
      <c r="BK380" s="40" t="s">
        <v>2768</v>
      </c>
      <c r="BL380" s="40" t="s">
        <v>2768</v>
      </c>
      <c r="BM380" s="40" t="s">
        <v>2768</v>
      </c>
    </row>
    <row r="381" spans="1:65" x14ac:dyDescent="0.25">
      <c r="A381" s="40" t="s">
        <v>2771</v>
      </c>
      <c r="B381" s="41">
        <v>44704.291666666664</v>
      </c>
      <c r="C381" s="40" t="s">
        <v>353</v>
      </c>
      <c r="D381" s="40" t="s">
        <v>354</v>
      </c>
      <c r="E381" s="40">
        <v>7740847</v>
      </c>
      <c r="F381" s="40" t="s">
        <v>1565</v>
      </c>
      <c r="G381" s="40" t="s">
        <v>1570</v>
      </c>
      <c r="H381" s="40" t="s">
        <v>301</v>
      </c>
      <c r="I381" s="40">
        <v>3840</v>
      </c>
      <c r="J381" s="40" t="s">
        <v>1571</v>
      </c>
      <c r="K381" s="40">
        <v>25938</v>
      </c>
      <c r="L381" s="40">
        <v>29778</v>
      </c>
      <c r="M381" s="40">
        <v>610925</v>
      </c>
      <c r="N381" s="40" t="s">
        <v>1568</v>
      </c>
      <c r="O381" s="40" t="s">
        <v>106</v>
      </c>
      <c r="P381" s="40" t="s">
        <v>107</v>
      </c>
      <c r="Q381" s="40" t="s">
        <v>108</v>
      </c>
      <c r="R381" s="42" t="s">
        <v>109</v>
      </c>
      <c r="S381" s="42" t="s">
        <v>110</v>
      </c>
      <c r="T381" s="40" t="s">
        <v>409</v>
      </c>
      <c r="U381" s="41">
        <v>44703.75</v>
      </c>
      <c r="V381" s="41">
        <v>44704.25</v>
      </c>
      <c r="W381" s="41">
        <v>44704.458333333336</v>
      </c>
      <c r="X381" s="40" t="s">
        <v>1569</v>
      </c>
      <c r="Y381" s="41">
        <v>44708.363194444442</v>
      </c>
      <c r="Z381" s="41"/>
      <c r="AA381" s="41">
        <v>44704.75</v>
      </c>
      <c r="AB381" s="41">
        <v>44706.75</v>
      </c>
      <c r="AC381" s="40" t="s">
        <v>1221</v>
      </c>
      <c r="AD381" s="40">
        <v>12757</v>
      </c>
      <c r="AE381" s="40"/>
      <c r="AF381" s="40"/>
      <c r="AG381" s="40"/>
      <c r="AH381" s="40" t="s">
        <v>393</v>
      </c>
      <c r="AI381" s="41">
        <v>44704.75</v>
      </c>
      <c r="AJ381" s="40"/>
      <c r="AK381" s="43">
        <v>950</v>
      </c>
      <c r="AL381" s="40"/>
      <c r="AM381" s="43">
        <v>0</v>
      </c>
      <c r="AN381" s="43"/>
      <c r="AO381" s="43"/>
      <c r="AP381" s="43"/>
      <c r="AQ381" s="43">
        <v>0</v>
      </c>
      <c r="AR381" s="43">
        <v>0</v>
      </c>
      <c r="AS381" s="43"/>
      <c r="AT381" s="43">
        <v>0</v>
      </c>
      <c r="AU381" s="43"/>
      <c r="AV381" s="43"/>
      <c r="AW381" s="43"/>
      <c r="AX381" s="43">
        <v>0</v>
      </c>
      <c r="AY381" s="43">
        <v>0</v>
      </c>
      <c r="AZ381" s="43">
        <v>0</v>
      </c>
      <c r="BA381" s="43">
        <v>0</v>
      </c>
      <c r="BB381" s="43">
        <v>0</v>
      </c>
      <c r="BC381" s="43">
        <v>0</v>
      </c>
      <c r="BD381" s="43">
        <v>0</v>
      </c>
      <c r="BE381" s="43">
        <v>0</v>
      </c>
      <c r="BF381" s="43">
        <v>0</v>
      </c>
      <c r="BG381" s="43">
        <v>0</v>
      </c>
      <c r="BH381" s="43">
        <v>0</v>
      </c>
      <c r="BI381" s="40" t="s">
        <v>1355</v>
      </c>
      <c r="BJ381" s="40">
        <v>2022</v>
      </c>
      <c r="BK381" s="40" t="s">
        <v>2768</v>
      </c>
      <c r="BL381" s="40" t="s">
        <v>2768</v>
      </c>
      <c r="BM381" s="40" t="s">
        <v>2768</v>
      </c>
    </row>
    <row r="382" spans="1:65" x14ac:dyDescent="0.25">
      <c r="A382" s="40" t="s">
        <v>2771</v>
      </c>
      <c r="B382" s="41">
        <v>44704.291666666664</v>
      </c>
      <c r="C382" s="40" t="s">
        <v>353</v>
      </c>
      <c r="D382" s="40" t="s">
        <v>354</v>
      </c>
      <c r="E382" s="40">
        <v>7740847</v>
      </c>
      <c r="F382" s="40" t="s">
        <v>1565</v>
      </c>
      <c r="G382" s="40" t="s">
        <v>1572</v>
      </c>
      <c r="H382" s="40" t="s">
        <v>301</v>
      </c>
      <c r="I382" s="40">
        <v>3790</v>
      </c>
      <c r="J382" s="40" t="s">
        <v>1573</v>
      </c>
      <c r="K382" s="40">
        <v>25938</v>
      </c>
      <c r="L382" s="40">
        <v>29728</v>
      </c>
      <c r="M382" s="40">
        <v>610924</v>
      </c>
      <c r="N382" s="40" t="s">
        <v>1568</v>
      </c>
      <c r="O382" s="40" t="s">
        <v>31</v>
      </c>
      <c r="P382" s="40" t="s">
        <v>32</v>
      </c>
      <c r="Q382" s="40" t="s">
        <v>33</v>
      </c>
      <c r="R382" s="42" t="s">
        <v>34</v>
      </c>
      <c r="S382" s="42">
        <v>1258979905</v>
      </c>
      <c r="T382" s="40" t="s">
        <v>409</v>
      </c>
      <c r="U382" s="41">
        <v>44703.75</v>
      </c>
      <c r="V382" s="41">
        <v>44704.25</v>
      </c>
      <c r="W382" s="41">
        <v>44704.458333333336</v>
      </c>
      <c r="X382" s="40" t="s">
        <v>1569</v>
      </c>
      <c r="Y382" s="41" t="s">
        <v>1574</v>
      </c>
      <c r="Z382" s="41"/>
      <c r="AA382" s="41">
        <v>44704.75</v>
      </c>
      <c r="AB382" s="41">
        <v>44706.75</v>
      </c>
      <c r="AC382" s="40" t="s">
        <v>1221</v>
      </c>
      <c r="AD382" s="40">
        <v>12758</v>
      </c>
      <c r="AE382" s="40"/>
      <c r="AF382" s="40"/>
      <c r="AG382" s="40"/>
      <c r="AH382" s="40" t="s">
        <v>393</v>
      </c>
      <c r="AI382" s="41">
        <v>44704.75</v>
      </c>
      <c r="AJ382" s="40"/>
      <c r="AK382" s="43">
        <v>950</v>
      </c>
      <c r="AL382" s="40"/>
      <c r="AM382" s="43">
        <v>0</v>
      </c>
      <c r="AN382" s="43"/>
      <c r="AO382" s="43"/>
      <c r="AP382" s="43"/>
      <c r="AQ382" s="43">
        <v>0</v>
      </c>
      <c r="AR382" s="43">
        <v>0</v>
      </c>
      <c r="AS382" s="43"/>
      <c r="AT382" s="43">
        <v>0</v>
      </c>
      <c r="AU382" s="43"/>
      <c r="AV382" s="43"/>
      <c r="AW382" s="43"/>
      <c r="AX382" s="43">
        <v>0</v>
      </c>
      <c r="AY382" s="43">
        <v>0</v>
      </c>
      <c r="AZ382" s="43">
        <v>0</v>
      </c>
      <c r="BA382" s="43">
        <v>0</v>
      </c>
      <c r="BB382" s="43">
        <v>0</v>
      </c>
      <c r="BC382" s="43">
        <v>0</v>
      </c>
      <c r="BD382" s="43">
        <v>0</v>
      </c>
      <c r="BE382" s="43">
        <v>0</v>
      </c>
      <c r="BF382" s="43">
        <v>0</v>
      </c>
      <c r="BG382" s="43">
        <v>0</v>
      </c>
      <c r="BH382" s="43">
        <v>0</v>
      </c>
      <c r="BI382" s="40" t="s">
        <v>1355</v>
      </c>
      <c r="BJ382" s="40">
        <v>2022</v>
      </c>
      <c r="BK382" s="40" t="s">
        <v>2768</v>
      </c>
      <c r="BL382" s="40" t="s">
        <v>2768</v>
      </c>
      <c r="BM382" s="40" t="s">
        <v>2768</v>
      </c>
    </row>
    <row r="383" spans="1:65" x14ac:dyDescent="0.25">
      <c r="A383" s="40" t="s">
        <v>2771</v>
      </c>
      <c r="B383" s="41">
        <v>44704.291666666664</v>
      </c>
      <c r="C383" s="40" t="s">
        <v>353</v>
      </c>
      <c r="D383" s="40" t="s">
        <v>354</v>
      </c>
      <c r="E383" s="40">
        <v>7740847</v>
      </c>
      <c r="F383" s="40" t="s">
        <v>1565</v>
      </c>
      <c r="G383" s="40" t="s">
        <v>1575</v>
      </c>
      <c r="H383" s="40" t="s">
        <v>301</v>
      </c>
      <c r="I383" s="40">
        <v>3840</v>
      </c>
      <c r="J383" s="40" t="s">
        <v>1576</v>
      </c>
      <c r="K383" s="40">
        <v>25938</v>
      </c>
      <c r="L383" s="40">
        <v>29778</v>
      </c>
      <c r="M383" s="40">
        <v>610931</v>
      </c>
      <c r="N383" s="40" t="s">
        <v>1568</v>
      </c>
      <c r="O383" s="40" t="s">
        <v>102</v>
      </c>
      <c r="P383" s="40" t="s">
        <v>27</v>
      </c>
      <c r="Q383" s="40" t="s">
        <v>103</v>
      </c>
      <c r="R383" s="42" t="s">
        <v>104</v>
      </c>
      <c r="S383" s="42" t="s">
        <v>105</v>
      </c>
      <c r="T383" s="40" t="s">
        <v>409</v>
      </c>
      <c r="U383" s="41">
        <v>44703.75</v>
      </c>
      <c r="V383" s="41">
        <v>44704.25</v>
      </c>
      <c r="W383" s="41">
        <v>44704.458333333336</v>
      </c>
      <c r="X383" s="40" t="s">
        <v>1569</v>
      </c>
      <c r="Y383" s="41">
        <v>44708.38958333333</v>
      </c>
      <c r="Z383" s="41"/>
      <c r="AA383" s="41">
        <v>44704.75</v>
      </c>
      <c r="AB383" s="41">
        <v>44706.75</v>
      </c>
      <c r="AC383" s="40" t="s">
        <v>1221</v>
      </c>
      <c r="AD383" s="40">
        <v>12756</v>
      </c>
      <c r="AE383" s="40"/>
      <c r="AF383" s="40"/>
      <c r="AG383" s="40"/>
      <c r="AH383" s="40" t="s">
        <v>393</v>
      </c>
      <c r="AI383" s="41">
        <v>44704.75</v>
      </c>
      <c r="AJ383" s="40"/>
      <c r="AK383" s="43">
        <v>950</v>
      </c>
      <c r="AL383" s="40"/>
      <c r="AM383" s="43">
        <v>0</v>
      </c>
      <c r="AN383" s="43"/>
      <c r="AO383" s="43"/>
      <c r="AP383" s="43"/>
      <c r="AQ383" s="43">
        <v>0</v>
      </c>
      <c r="AR383" s="43">
        <v>0</v>
      </c>
      <c r="AS383" s="43"/>
      <c r="AT383" s="43">
        <v>0</v>
      </c>
      <c r="AU383" s="43"/>
      <c r="AV383" s="43"/>
      <c r="AW383" s="43"/>
      <c r="AX383" s="43">
        <v>0</v>
      </c>
      <c r="AY383" s="43">
        <v>0</v>
      </c>
      <c r="AZ383" s="43">
        <v>0</v>
      </c>
      <c r="BA383" s="43">
        <v>0</v>
      </c>
      <c r="BB383" s="43">
        <v>0</v>
      </c>
      <c r="BC383" s="43">
        <v>0</v>
      </c>
      <c r="BD383" s="43">
        <v>0</v>
      </c>
      <c r="BE383" s="43">
        <v>0</v>
      </c>
      <c r="BF383" s="43">
        <v>0</v>
      </c>
      <c r="BG383" s="43">
        <v>0</v>
      </c>
      <c r="BH383" s="43">
        <v>0</v>
      </c>
      <c r="BI383" s="40" t="s">
        <v>1355</v>
      </c>
      <c r="BJ383" s="40">
        <v>2022</v>
      </c>
      <c r="BK383" s="40" t="s">
        <v>2768</v>
      </c>
      <c r="BL383" s="40" t="s">
        <v>2768</v>
      </c>
      <c r="BM383" s="40" t="s">
        <v>2768</v>
      </c>
    </row>
    <row r="384" spans="1:65" x14ac:dyDescent="0.25">
      <c r="A384" s="40" t="s">
        <v>2771</v>
      </c>
      <c r="B384" s="41">
        <v>44704.291666666664</v>
      </c>
      <c r="C384" s="40" t="s">
        <v>353</v>
      </c>
      <c r="D384" s="40" t="s">
        <v>354</v>
      </c>
      <c r="E384" s="40">
        <v>7740851</v>
      </c>
      <c r="F384" s="40" t="s">
        <v>1565</v>
      </c>
      <c r="G384" s="40" t="s">
        <v>1577</v>
      </c>
      <c r="H384" s="40" t="s">
        <v>301</v>
      </c>
      <c r="I384" s="40">
        <v>3790</v>
      </c>
      <c r="J384" s="40" t="s">
        <v>1578</v>
      </c>
      <c r="K384" s="40">
        <v>25771</v>
      </c>
      <c r="L384" s="40">
        <v>29561</v>
      </c>
      <c r="M384" s="40">
        <v>611063</v>
      </c>
      <c r="N384" s="40" t="s">
        <v>1568</v>
      </c>
      <c r="O384" s="40" t="s">
        <v>92</v>
      </c>
      <c r="P384" s="40" t="s">
        <v>93</v>
      </c>
      <c r="Q384" s="40" t="s">
        <v>94</v>
      </c>
      <c r="R384" s="42" t="s">
        <v>95</v>
      </c>
      <c r="S384" s="42">
        <v>2002046946</v>
      </c>
      <c r="T384" s="40" t="s">
        <v>409</v>
      </c>
      <c r="U384" s="41">
        <v>44703.75</v>
      </c>
      <c r="V384" s="41">
        <v>44704.5</v>
      </c>
      <c r="W384" s="41">
        <v>44704.770833333336</v>
      </c>
      <c r="X384" s="40" t="s">
        <v>1569</v>
      </c>
      <c r="Y384" s="41">
        <v>44707.479166666664</v>
      </c>
      <c r="Z384" s="41"/>
      <c r="AA384" s="41">
        <v>44704.75</v>
      </c>
      <c r="AB384" s="41">
        <v>44706.75</v>
      </c>
      <c r="AC384" s="40" t="s">
        <v>1221</v>
      </c>
      <c r="AD384" s="40">
        <v>12765</v>
      </c>
      <c r="AE384" s="40"/>
      <c r="AF384" s="40"/>
      <c r="AG384" s="40"/>
      <c r="AH384" s="40" t="s">
        <v>393</v>
      </c>
      <c r="AI384" s="41">
        <v>44704.75</v>
      </c>
      <c r="AJ384" s="40"/>
      <c r="AK384" s="43">
        <v>950</v>
      </c>
      <c r="AL384" s="40"/>
      <c r="AM384" s="43">
        <v>0</v>
      </c>
      <c r="AN384" s="43"/>
      <c r="AO384" s="43"/>
      <c r="AP384" s="43"/>
      <c r="AQ384" s="43">
        <v>0</v>
      </c>
      <c r="AR384" s="43">
        <v>0</v>
      </c>
      <c r="AS384" s="43"/>
      <c r="AT384" s="43">
        <v>0</v>
      </c>
      <c r="AU384" s="43"/>
      <c r="AV384" s="43"/>
      <c r="AW384" s="43"/>
      <c r="AX384" s="43">
        <v>0</v>
      </c>
      <c r="AY384" s="43">
        <v>0</v>
      </c>
      <c r="AZ384" s="43">
        <v>0</v>
      </c>
      <c r="BA384" s="43">
        <v>0</v>
      </c>
      <c r="BB384" s="43">
        <v>0</v>
      </c>
      <c r="BC384" s="43">
        <v>0</v>
      </c>
      <c r="BD384" s="43">
        <v>0</v>
      </c>
      <c r="BE384" s="43">
        <v>0</v>
      </c>
      <c r="BF384" s="43">
        <v>0</v>
      </c>
      <c r="BG384" s="43">
        <v>0</v>
      </c>
      <c r="BH384" s="43">
        <v>0</v>
      </c>
      <c r="BI384" s="40" t="s">
        <v>1355</v>
      </c>
      <c r="BJ384" s="40">
        <v>2022</v>
      </c>
      <c r="BK384" s="40" t="s">
        <v>2768</v>
      </c>
      <c r="BL384" s="40" t="s">
        <v>2768</v>
      </c>
      <c r="BM384" s="40" t="s">
        <v>2768</v>
      </c>
    </row>
    <row r="385" spans="1:65" x14ac:dyDescent="0.25">
      <c r="A385" s="40" t="s">
        <v>2771</v>
      </c>
      <c r="B385" s="41">
        <v>44704.291666666664</v>
      </c>
      <c r="C385" s="40" t="s">
        <v>353</v>
      </c>
      <c r="D385" s="40" t="s">
        <v>354</v>
      </c>
      <c r="E385" s="40">
        <v>7740851</v>
      </c>
      <c r="F385" s="40" t="s">
        <v>1579</v>
      </c>
      <c r="G385" s="40" t="s">
        <v>1580</v>
      </c>
      <c r="H385" s="40" t="s">
        <v>301</v>
      </c>
      <c r="I385" s="40">
        <v>3860</v>
      </c>
      <c r="J385" s="40" t="s">
        <v>1581</v>
      </c>
      <c r="K385" s="40">
        <v>25938</v>
      </c>
      <c r="L385" s="40">
        <v>29798</v>
      </c>
      <c r="M385" s="40">
        <v>611383</v>
      </c>
      <c r="N385" s="40" t="s">
        <v>1568</v>
      </c>
      <c r="O385" s="40" t="s">
        <v>890</v>
      </c>
      <c r="P385" s="40" t="s">
        <v>891</v>
      </c>
      <c r="Q385" s="40" t="s">
        <v>892</v>
      </c>
      <c r="R385" s="42" t="s">
        <v>893</v>
      </c>
      <c r="S385" s="42" t="s">
        <v>894</v>
      </c>
      <c r="T385" s="40" t="s">
        <v>409</v>
      </c>
      <c r="U385" s="41">
        <v>44703.625</v>
      </c>
      <c r="V385" s="41">
        <v>44704.979166666664</v>
      </c>
      <c r="W385" s="41">
        <v>44706.5</v>
      </c>
      <c r="X385" s="40" t="s">
        <v>1569</v>
      </c>
      <c r="Y385" s="41">
        <v>44706.71597222222</v>
      </c>
      <c r="Z385" s="41">
        <v>44706.5</v>
      </c>
      <c r="AA385" s="41">
        <v>44704.75</v>
      </c>
      <c r="AB385" s="41">
        <v>44706.75</v>
      </c>
      <c r="AC385" s="40" t="s">
        <v>1221</v>
      </c>
      <c r="AD385" s="40">
        <v>12779</v>
      </c>
      <c r="AE385" s="40"/>
      <c r="AF385" s="40"/>
      <c r="AG385" s="40"/>
      <c r="AH385" s="40" t="s">
        <v>125</v>
      </c>
      <c r="AI385" s="41"/>
      <c r="AJ385" s="40"/>
      <c r="AK385" s="43" t="s">
        <v>125</v>
      </c>
      <c r="AL385" s="40"/>
      <c r="AM385" s="43">
        <v>0</v>
      </c>
      <c r="AN385" s="43"/>
      <c r="AO385" s="43"/>
      <c r="AP385" s="43"/>
      <c r="AQ385" s="43">
        <v>0</v>
      </c>
      <c r="AR385" s="43">
        <v>129.21600000000001</v>
      </c>
      <c r="AS385" s="43"/>
      <c r="AT385" s="43">
        <v>1920</v>
      </c>
      <c r="AU385" s="43"/>
      <c r="AV385" s="43"/>
      <c r="AW385" s="43"/>
      <c r="AX385" s="43">
        <v>0</v>
      </c>
      <c r="AY385" s="43">
        <v>0</v>
      </c>
      <c r="AZ385" s="43">
        <v>0</v>
      </c>
      <c r="BA385" s="43">
        <v>0</v>
      </c>
      <c r="BB385" s="43">
        <v>0</v>
      </c>
      <c r="BC385" s="43">
        <v>0</v>
      </c>
      <c r="BD385" s="43">
        <v>0</v>
      </c>
      <c r="BE385" s="43">
        <v>0</v>
      </c>
      <c r="BF385" s="43">
        <v>0</v>
      </c>
      <c r="BG385" s="43">
        <v>0</v>
      </c>
      <c r="BH385" s="43">
        <v>1920</v>
      </c>
      <c r="BI385" s="40" t="s">
        <v>1355</v>
      </c>
      <c r="BJ385" s="40">
        <v>2022</v>
      </c>
      <c r="BK385" s="40" t="s">
        <v>2768</v>
      </c>
      <c r="BL385" s="40" t="s">
        <v>2768</v>
      </c>
      <c r="BM385" s="40" t="s">
        <v>2768</v>
      </c>
    </row>
    <row r="386" spans="1:65" x14ac:dyDescent="0.25">
      <c r="A386" s="40" t="s">
        <v>2771</v>
      </c>
      <c r="B386" s="41">
        <v>44704.291666666664</v>
      </c>
      <c r="C386" s="40" t="s">
        <v>353</v>
      </c>
      <c r="D386" s="40" t="s">
        <v>354</v>
      </c>
      <c r="E386" s="40">
        <v>7740847</v>
      </c>
      <c r="F386" s="40" t="s">
        <v>1579</v>
      </c>
      <c r="G386" s="40" t="s">
        <v>1582</v>
      </c>
      <c r="H386" s="40" t="s">
        <v>301</v>
      </c>
      <c r="I386" s="40">
        <v>3790</v>
      </c>
      <c r="J386" s="40" t="s">
        <v>1583</v>
      </c>
      <c r="K386" s="40">
        <v>25938</v>
      </c>
      <c r="L386" s="40">
        <v>29728</v>
      </c>
      <c r="M386" s="40">
        <v>610985</v>
      </c>
      <c r="N386" s="40" t="s">
        <v>1568</v>
      </c>
      <c r="O386" s="40" t="s">
        <v>150</v>
      </c>
      <c r="P386" s="40" t="s">
        <v>151</v>
      </c>
      <c r="Q386" s="40" t="s">
        <v>1384</v>
      </c>
      <c r="R386" s="42" t="s">
        <v>1385</v>
      </c>
      <c r="S386" s="42" t="s">
        <v>1386</v>
      </c>
      <c r="T386" s="40" t="s">
        <v>409</v>
      </c>
      <c r="U386" s="41">
        <v>44703.625</v>
      </c>
      <c r="V386" s="41">
        <v>44704.395833333336</v>
      </c>
      <c r="W386" s="41">
        <v>44704.618055555555</v>
      </c>
      <c r="X386" s="40" t="s">
        <v>1569</v>
      </c>
      <c r="Y386" s="41">
        <v>44707.5</v>
      </c>
      <c r="Z386" s="41">
        <v>44706.5</v>
      </c>
      <c r="AA386" s="41">
        <v>44704.75</v>
      </c>
      <c r="AB386" s="41">
        <v>44706.75</v>
      </c>
      <c r="AC386" s="40" t="s">
        <v>1221</v>
      </c>
      <c r="AD386" s="40">
        <v>12761</v>
      </c>
      <c r="AE386" s="40"/>
      <c r="AF386" s="40"/>
      <c r="AG386" s="40"/>
      <c r="AH386" s="40" t="s">
        <v>393</v>
      </c>
      <c r="AI386" s="41"/>
      <c r="AJ386" s="40"/>
      <c r="AK386" s="43">
        <v>950</v>
      </c>
      <c r="AL386" s="40"/>
      <c r="AM386" s="43">
        <v>0</v>
      </c>
      <c r="AN386" s="43"/>
      <c r="AO386" s="43"/>
      <c r="AP386" s="43"/>
      <c r="AQ386" s="43">
        <v>0</v>
      </c>
      <c r="AR386" s="43">
        <v>0</v>
      </c>
      <c r="AS386" s="43"/>
      <c r="AT386" s="43">
        <v>0</v>
      </c>
      <c r="AU386" s="43"/>
      <c r="AV386" s="43"/>
      <c r="AW386" s="43"/>
      <c r="AX386" s="43">
        <v>0</v>
      </c>
      <c r="AY386" s="43">
        <v>0</v>
      </c>
      <c r="AZ386" s="43">
        <v>0</v>
      </c>
      <c r="BA386" s="43">
        <v>0</v>
      </c>
      <c r="BB386" s="43">
        <v>0</v>
      </c>
      <c r="BC386" s="43">
        <v>0</v>
      </c>
      <c r="BD386" s="43">
        <v>0</v>
      </c>
      <c r="BE386" s="43">
        <v>0</v>
      </c>
      <c r="BF386" s="43">
        <v>0</v>
      </c>
      <c r="BG386" s="43">
        <v>0</v>
      </c>
      <c r="BH386" s="43">
        <v>0</v>
      </c>
      <c r="BI386" s="40" t="s">
        <v>1355</v>
      </c>
      <c r="BJ386" s="40">
        <v>2022</v>
      </c>
      <c r="BK386" s="40" t="s">
        <v>2768</v>
      </c>
      <c r="BL386" s="40" t="s">
        <v>2768</v>
      </c>
      <c r="BM386" s="40" t="s">
        <v>2768</v>
      </c>
    </row>
    <row r="387" spans="1:65" x14ac:dyDescent="0.25">
      <c r="A387" s="40" t="s">
        <v>2771</v>
      </c>
      <c r="B387" s="41">
        <v>44704.291666666664</v>
      </c>
      <c r="C387" s="40" t="s">
        <v>353</v>
      </c>
      <c r="D387" s="40" t="s">
        <v>354</v>
      </c>
      <c r="E387" s="40">
        <v>7740851</v>
      </c>
      <c r="F387" s="40" t="s">
        <v>1579</v>
      </c>
      <c r="G387" s="40" t="s">
        <v>1584</v>
      </c>
      <c r="H387" s="40" t="s">
        <v>301</v>
      </c>
      <c r="I387" s="40">
        <v>3790</v>
      </c>
      <c r="J387" s="40" t="s">
        <v>1585</v>
      </c>
      <c r="K387" s="40">
        <v>25938</v>
      </c>
      <c r="L387" s="40">
        <v>29728</v>
      </c>
      <c r="M387" s="40">
        <v>611288</v>
      </c>
      <c r="N387" s="40" t="s">
        <v>1568</v>
      </c>
      <c r="O387" s="40" t="s">
        <v>155</v>
      </c>
      <c r="P387" s="40" t="s">
        <v>312</v>
      </c>
      <c r="Q387" s="40" t="s">
        <v>1398</v>
      </c>
      <c r="R387" s="42" t="s">
        <v>1399</v>
      </c>
      <c r="S387" s="42" t="s">
        <v>1400</v>
      </c>
      <c r="T387" s="40" t="s">
        <v>409</v>
      </c>
      <c r="U387" s="41">
        <v>44703.625</v>
      </c>
      <c r="V387" s="41">
        <v>44704.458333333336</v>
      </c>
      <c r="W387" s="41">
        <v>44705.875</v>
      </c>
      <c r="X387" s="40" t="s">
        <v>1569</v>
      </c>
      <c r="Y387" s="41">
        <v>44707.577777777777</v>
      </c>
      <c r="Z387" s="41">
        <v>44706.5</v>
      </c>
      <c r="AA387" s="41">
        <v>44704.75</v>
      </c>
      <c r="AB387" s="41">
        <v>44706.75</v>
      </c>
      <c r="AC387" s="40" t="s">
        <v>1221</v>
      </c>
      <c r="AD387" s="40">
        <v>12774</v>
      </c>
      <c r="AE387" s="40"/>
      <c r="AF387" s="40"/>
      <c r="AG387" s="40"/>
      <c r="AH387" s="40" t="s">
        <v>393</v>
      </c>
      <c r="AI387" s="41"/>
      <c r="AJ387" s="40"/>
      <c r="AK387" s="43">
        <v>950</v>
      </c>
      <c r="AL387" s="40"/>
      <c r="AM387" s="43">
        <v>0</v>
      </c>
      <c r="AN387" s="43"/>
      <c r="AO387" s="43"/>
      <c r="AP387" s="43"/>
      <c r="AQ387" s="43">
        <v>0</v>
      </c>
      <c r="AR387" s="43">
        <v>139.98400000000001</v>
      </c>
      <c r="AS387" s="43"/>
      <c r="AT387" s="43">
        <v>2080</v>
      </c>
      <c r="AU387" s="43"/>
      <c r="AV387" s="43"/>
      <c r="AW387" s="43"/>
      <c r="AX387" s="43">
        <v>0</v>
      </c>
      <c r="AY387" s="43">
        <v>0</v>
      </c>
      <c r="AZ387" s="43">
        <v>0</v>
      </c>
      <c r="BA387" s="43">
        <v>0</v>
      </c>
      <c r="BB387" s="43">
        <v>0</v>
      </c>
      <c r="BC387" s="43">
        <v>0</v>
      </c>
      <c r="BD387" s="43">
        <v>0</v>
      </c>
      <c r="BE387" s="43">
        <v>0</v>
      </c>
      <c r="BF387" s="43">
        <v>0</v>
      </c>
      <c r="BG387" s="43">
        <v>0</v>
      </c>
      <c r="BH387" s="43">
        <v>2080</v>
      </c>
      <c r="BI387" s="40" t="s">
        <v>1355</v>
      </c>
      <c r="BJ387" s="40">
        <v>2022</v>
      </c>
      <c r="BK387" s="40" t="s">
        <v>2768</v>
      </c>
      <c r="BL387" s="40" t="s">
        <v>2768</v>
      </c>
      <c r="BM387" s="40" t="s">
        <v>2768</v>
      </c>
    </row>
    <row r="388" spans="1:65" x14ac:dyDescent="0.25">
      <c r="A388" s="40" t="s">
        <v>2771</v>
      </c>
      <c r="B388" s="41">
        <v>44704.291666666664</v>
      </c>
      <c r="C388" s="40" t="s">
        <v>353</v>
      </c>
      <c r="D388" s="40" t="s">
        <v>354</v>
      </c>
      <c r="E388" s="40">
        <v>7740851</v>
      </c>
      <c r="F388" s="40" t="s">
        <v>1579</v>
      </c>
      <c r="G388" s="40" t="s">
        <v>1586</v>
      </c>
      <c r="H388" s="40" t="s">
        <v>301</v>
      </c>
      <c r="I388" s="40">
        <v>3840</v>
      </c>
      <c r="J388" s="40" t="s">
        <v>1587</v>
      </c>
      <c r="K388" s="40">
        <v>25771</v>
      </c>
      <c r="L388" s="40">
        <v>29611</v>
      </c>
      <c r="M388" s="40">
        <v>610912</v>
      </c>
      <c r="N388" s="40" t="s">
        <v>1568</v>
      </c>
      <c r="O388" s="40" t="s">
        <v>72</v>
      </c>
      <c r="P388" s="40" t="s">
        <v>73</v>
      </c>
      <c r="Q388" s="40" t="s">
        <v>69</v>
      </c>
      <c r="R388" s="42" t="s">
        <v>70</v>
      </c>
      <c r="S388" s="42" t="s">
        <v>71</v>
      </c>
      <c r="T388" s="40" t="s">
        <v>409</v>
      </c>
      <c r="U388" s="41">
        <v>44703.625</v>
      </c>
      <c r="V388" s="41">
        <v>44704.25</v>
      </c>
      <c r="W388" s="41">
        <v>44704.458333333336</v>
      </c>
      <c r="X388" s="40" t="s">
        <v>1569</v>
      </c>
      <c r="Y388" s="41">
        <v>44708.367361111108</v>
      </c>
      <c r="Z388" s="41">
        <v>44706.5</v>
      </c>
      <c r="AA388" s="41">
        <v>44704.75</v>
      </c>
      <c r="AB388" s="41">
        <v>44706.75</v>
      </c>
      <c r="AC388" s="40" t="s">
        <v>1221</v>
      </c>
      <c r="AD388" s="40">
        <v>12760</v>
      </c>
      <c r="AE388" s="40"/>
      <c r="AF388" s="40"/>
      <c r="AG388" s="40"/>
      <c r="AH388" s="40" t="s">
        <v>393</v>
      </c>
      <c r="AI388" s="41">
        <v>44704.75</v>
      </c>
      <c r="AJ388" s="40"/>
      <c r="AK388" s="43">
        <v>950</v>
      </c>
      <c r="AL388" s="40"/>
      <c r="AM388" s="43">
        <v>0</v>
      </c>
      <c r="AN388" s="43"/>
      <c r="AO388" s="43"/>
      <c r="AP388" s="43"/>
      <c r="AQ388" s="43">
        <v>0</v>
      </c>
      <c r="AR388" s="43">
        <v>0</v>
      </c>
      <c r="AS388" s="43"/>
      <c r="AT388" s="43">
        <v>0</v>
      </c>
      <c r="AU388" s="43"/>
      <c r="AV388" s="43"/>
      <c r="AW388" s="43"/>
      <c r="AX388" s="43">
        <v>0</v>
      </c>
      <c r="AY388" s="43">
        <v>0</v>
      </c>
      <c r="AZ388" s="43">
        <v>0</v>
      </c>
      <c r="BA388" s="43">
        <v>0</v>
      </c>
      <c r="BB388" s="43">
        <v>0</v>
      </c>
      <c r="BC388" s="43">
        <v>0</v>
      </c>
      <c r="BD388" s="43">
        <v>0</v>
      </c>
      <c r="BE388" s="43">
        <v>0</v>
      </c>
      <c r="BF388" s="43">
        <v>0</v>
      </c>
      <c r="BG388" s="43">
        <v>0</v>
      </c>
      <c r="BH388" s="43">
        <v>0</v>
      </c>
      <c r="BI388" s="40" t="s">
        <v>1355</v>
      </c>
      <c r="BJ388" s="40">
        <v>2022</v>
      </c>
      <c r="BK388" s="40" t="s">
        <v>2768</v>
      </c>
      <c r="BL388" s="40" t="s">
        <v>2768</v>
      </c>
      <c r="BM388" s="40" t="s">
        <v>2768</v>
      </c>
    </row>
    <row r="389" spans="1:65" x14ac:dyDescent="0.25">
      <c r="A389" s="40" t="s">
        <v>2771</v>
      </c>
      <c r="B389" s="41">
        <v>44704.291666666664</v>
      </c>
      <c r="C389" s="40" t="s">
        <v>353</v>
      </c>
      <c r="D389" s="40" t="s">
        <v>354</v>
      </c>
      <c r="E389" s="40">
        <v>7740847</v>
      </c>
      <c r="F389" s="40" t="s">
        <v>1579</v>
      </c>
      <c r="G389" s="40" t="s">
        <v>1588</v>
      </c>
      <c r="H389" s="40" t="s">
        <v>301</v>
      </c>
      <c r="I389" s="40">
        <v>3840</v>
      </c>
      <c r="J389" s="40" t="s">
        <v>1589</v>
      </c>
      <c r="K389" s="40">
        <v>25938</v>
      </c>
      <c r="L389" s="40">
        <v>29778</v>
      </c>
      <c r="M389" s="40">
        <v>611041</v>
      </c>
      <c r="N389" s="40" t="s">
        <v>1568</v>
      </c>
      <c r="O389" s="40" t="s">
        <v>68</v>
      </c>
      <c r="P389" s="40" t="s">
        <v>36</v>
      </c>
      <c r="Q389" s="40" t="s">
        <v>203</v>
      </c>
      <c r="R389" s="42" t="s">
        <v>204</v>
      </c>
      <c r="S389" s="42" t="s">
        <v>205</v>
      </c>
      <c r="T389" s="40" t="s">
        <v>409</v>
      </c>
      <c r="U389" s="41">
        <v>44703.625</v>
      </c>
      <c r="V389" s="41">
        <v>44704.4375</v>
      </c>
      <c r="W389" s="41">
        <v>44704.779861111114</v>
      </c>
      <c r="X389" s="40" t="s">
        <v>1569</v>
      </c>
      <c r="Y389" s="41">
        <v>44707.488194444442</v>
      </c>
      <c r="Z389" s="41">
        <v>44706.5</v>
      </c>
      <c r="AA389" s="41">
        <v>44704.75</v>
      </c>
      <c r="AB389" s="41">
        <v>44706.75</v>
      </c>
      <c r="AC389" s="40" t="s">
        <v>1221</v>
      </c>
      <c r="AD389" s="40">
        <v>12764</v>
      </c>
      <c r="AE389" s="40"/>
      <c r="AF389" s="40"/>
      <c r="AG389" s="40"/>
      <c r="AH389" s="40" t="s">
        <v>393</v>
      </c>
      <c r="AI389" s="41"/>
      <c r="AJ389" s="40"/>
      <c r="AK389" s="43">
        <v>950</v>
      </c>
      <c r="AL389" s="40"/>
      <c r="AM389" s="43">
        <v>0</v>
      </c>
      <c r="AN389" s="43"/>
      <c r="AO389" s="43"/>
      <c r="AP389" s="43"/>
      <c r="AQ389" s="43">
        <v>0</v>
      </c>
      <c r="AR389" s="43">
        <v>0</v>
      </c>
      <c r="AS389" s="43"/>
      <c r="AT389" s="43">
        <v>0</v>
      </c>
      <c r="AU389" s="43"/>
      <c r="AV389" s="43"/>
      <c r="AW389" s="43"/>
      <c r="AX389" s="43">
        <v>0</v>
      </c>
      <c r="AY389" s="43">
        <v>0</v>
      </c>
      <c r="AZ389" s="43">
        <v>0</v>
      </c>
      <c r="BA389" s="43">
        <v>0</v>
      </c>
      <c r="BB389" s="43">
        <v>0</v>
      </c>
      <c r="BC389" s="43">
        <v>0</v>
      </c>
      <c r="BD389" s="43">
        <v>0</v>
      </c>
      <c r="BE389" s="43">
        <v>0</v>
      </c>
      <c r="BF389" s="43">
        <v>0</v>
      </c>
      <c r="BG389" s="43">
        <v>0</v>
      </c>
      <c r="BH389" s="43">
        <v>0</v>
      </c>
      <c r="BI389" s="40" t="s">
        <v>1355</v>
      </c>
      <c r="BJ389" s="40">
        <v>2022</v>
      </c>
      <c r="BK389" s="40" t="s">
        <v>2768</v>
      </c>
      <c r="BL389" s="40" t="s">
        <v>2768</v>
      </c>
      <c r="BM389" s="40" t="s">
        <v>2768</v>
      </c>
    </row>
    <row r="390" spans="1:65" x14ac:dyDescent="0.25">
      <c r="A390" s="40" t="s">
        <v>2771</v>
      </c>
      <c r="B390" s="41">
        <v>44706.291666666664</v>
      </c>
      <c r="C390" s="40" t="s">
        <v>1176</v>
      </c>
      <c r="D390" s="40" t="s">
        <v>1177</v>
      </c>
      <c r="E390" s="40"/>
      <c r="F390" s="40">
        <v>69819298</v>
      </c>
      <c r="G390" s="40" t="s">
        <v>1590</v>
      </c>
      <c r="H390" s="40" t="s">
        <v>301</v>
      </c>
      <c r="I390" s="40">
        <v>3900</v>
      </c>
      <c r="J390" s="40" t="s">
        <v>1591</v>
      </c>
      <c r="K390" s="40">
        <v>27201</v>
      </c>
      <c r="L390" s="40">
        <v>31101</v>
      </c>
      <c r="M390" s="40">
        <v>30325</v>
      </c>
      <c r="N390" s="40" t="s">
        <v>1592</v>
      </c>
      <c r="O390" s="40" t="s">
        <v>140</v>
      </c>
      <c r="P390" s="40" t="s">
        <v>141</v>
      </c>
      <c r="Q390" s="40" t="s">
        <v>1482</v>
      </c>
      <c r="R390" s="42" t="s">
        <v>1483</v>
      </c>
      <c r="S390" s="42" t="s">
        <v>1484</v>
      </c>
      <c r="T390" s="40" t="s">
        <v>537</v>
      </c>
      <c r="U390" s="41">
        <v>44705.854166666664</v>
      </c>
      <c r="V390" s="41">
        <v>44706.361111111109</v>
      </c>
      <c r="W390" s="41">
        <v>44706.5</v>
      </c>
      <c r="X390" s="40" t="s">
        <v>306</v>
      </c>
      <c r="Y390" s="41">
        <v>44712.779861111114</v>
      </c>
      <c r="Z390" s="41"/>
      <c r="AA390" s="41" t="s">
        <v>1593</v>
      </c>
      <c r="AB390" s="41">
        <v>44707.75</v>
      </c>
      <c r="AC390" s="40" t="s">
        <v>452</v>
      </c>
      <c r="AD390" s="40">
        <v>12813</v>
      </c>
      <c r="AE390" s="40" t="s">
        <v>125</v>
      </c>
      <c r="AF390" s="40" t="s">
        <v>125</v>
      </c>
      <c r="AG390" s="40"/>
      <c r="AH390" s="40" t="s">
        <v>309</v>
      </c>
      <c r="AI390" s="41">
        <v>44706.791666666664</v>
      </c>
      <c r="AJ390" s="40"/>
      <c r="AK390" s="43">
        <v>950</v>
      </c>
      <c r="AL390" s="40"/>
      <c r="AM390" s="43">
        <v>0</v>
      </c>
      <c r="AN390" s="43">
        <v>3700</v>
      </c>
      <c r="AO390" s="43"/>
      <c r="AP390" s="43">
        <v>400</v>
      </c>
      <c r="AQ390" s="43">
        <v>4100</v>
      </c>
      <c r="AR390" s="43">
        <v>0</v>
      </c>
      <c r="AS390" s="43"/>
      <c r="AT390" s="43">
        <v>0</v>
      </c>
      <c r="AU390" s="43"/>
      <c r="AV390" s="43"/>
      <c r="AW390" s="43"/>
      <c r="AX390" s="43">
        <v>0</v>
      </c>
      <c r="AY390" s="43">
        <v>0</v>
      </c>
      <c r="AZ390" s="43">
        <v>0</v>
      </c>
      <c r="BA390" s="43">
        <v>0</v>
      </c>
      <c r="BB390" s="43">
        <v>0</v>
      </c>
      <c r="BC390" s="43">
        <v>0</v>
      </c>
      <c r="BD390" s="43">
        <v>0</v>
      </c>
      <c r="BE390" s="43">
        <v>0</v>
      </c>
      <c r="BF390" s="43">
        <v>0</v>
      </c>
      <c r="BG390" s="43">
        <v>0</v>
      </c>
      <c r="BH390" s="43">
        <v>0</v>
      </c>
      <c r="BI390" s="40" t="s">
        <v>1355</v>
      </c>
      <c r="BJ390" s="40">
        <v>2022</v>
      </c>
      <c r="BK390" s="40" t="s">
        <v>2768</v>
      </c>
      <c r="BL390" s="40" t="s">
        <v>2768</v>
      </c>
      <c r="BM390" s="40" t="s">
        <v>2768</v>
      </c>
    </row>
    <row r="391" spans="1:65" x14ac:dyDescent="0.25">
      <c r="A391" s="40" t="s">
        <v>2771</v>
      </c>
      <c r="B391" s="41">
        <v>44711.333333333336</v>
      </c>
      <c r="C391" s="40" t="s">
        <v>696</v>
      </c>
      <c r="D391" s="40" t="s">
        <v>697</v>
      </c>
      <c r="E391" s="40"/>
      <c r="F391" s="40" t="s">
        <v>1594</v>
      </c>
      <c r="G391" s="40" t="s">
        <v>1595</v>
      </c>
      <c r="H391" s="40" t="s">
        <v>288</v>
      </c>
      <c r="I391" s="40"/>
      <c r="J391" s="40">
        <v>1279010</v>
      </c>
      <c r="K391" s="40"/>
      <c r="L391" s="40">
        <v>0</v>
      </c>
      <c r="M391" s="40" t="s">
        <v>1596</v>
      </c>
      <c r="N391" s="40" t="s">
        <v>1597</v>
      </c>
      <c r="O391" s="40" t="s">
        <v>845</v>
      </c>
      <c r="P391" s="40" t="s">
        <v>125</v>
      </c>
      <c r="Q391" s="40" t="s">
        <v>847</v>
      </c>
      <c r="R391" s="42" t="s">
        <v>848</v>
      </c>
      <c r="S391" s="42" t="s">
        <v>849</v>
      </c>
      <c r="T391" s="40" t="s">
        <v>293</v>
      </c>
      <c r="U391" s="41">
        <v>44711.041666666664</v>
      </c>
      <c r="V391" s="41">
        <v>44711.291666666664</v>
      </c>
      <c r="W391" s="41" t="s">
        <v>1598</v>
      </c>
      <c r="X391" s="40" t="s">
        <v>292</v>
      </c>
      <c r="Y391" s="41">
        <v>44711.489583333336</v>
      </c>
      <c r="Z391" s="41">
        <v>44711.333333333336</v>
      </c>
      <c r="AA391" s="41">
        <v>44711.333333333336</v>
      </c>
      <c r="AB391" s="41">
        <v>44711.333333333336</v>
      </c>
      <c r="AC391" s="40" t="s">
        <v>708</v>
      </c>
      <c r="AD391" s="40" t="s">
        <v>125</v>
      </c>
      <c r="AE391" s="40" t="s">
        <v>125</v>
      </c>
      <c r="AF391" s="40" t="s">
        <v>125</v>
      </c>
      <c r="AG391" s="40"/>
      <c r="AH391" s="40"/>
      <c r="AI391" s="41"/>
      <c r="AJ391" s="40"/>
      <c r="AK391" s="43"/>
      <c r="AL391" s="40"/>
      <c r="AM391" s="43">
        <v>0</v>
      </c>
      <c r="AN391" s="43">
        <v>1500</v>
      </c>
      <c r="AO391" s="43"/>
      <c r="AP391" s="43"/>
      <c r="AQ391" s="43">
        <v>1500</v>
      </c>
      <c r="AR391" s="43">
        <v>0</v>
      </c>
      <c r="AS391" s="43"/>
      <c r="AT391" s="43">
        <v>0</v>
      </c>
      <c r="AU391" s="43"/>
      <c r="AV391" s="43"/>
      <c r="AW391" s="43"/>
      <c r="AX391" s="43">
        <v>0</v>
      </c>
      <c r="AY391" s="43">
        <v>0</v>
      </c>
      <c r="AZ391" s="43">
        <v>0</v>
      </c>
      <c r="BA391" s="43">
        <v>0</v>
      </c>
      <c r="BB391" s="43">
        <v>0</v>
      </c>
      <c r="BC391" s="43">
        <v>0</v>
      </c>
      <c r="BD391" s="43">
        <v>0</v>
      </c>
      <c r="BE391" s="43">
        <v>0</v>
      </c>
      <c r="BF391" s="43">
        <v>0</v>
      </c>
      <c r="BG391" s="43">
        <v>0</v>
      </c>
      <c r="BH391" s="43">
        <v>0</v>
      </c>
      <c r="BI391" s="40" t="s">
        <v>1355</v>
      </c>
      <c r="BJ391" s="40">
        <v>2022</v>
      </c>
      <c r="BK391" s="40" t="s">
        <v>125</v>
      </c>
      <c r="BL391" s="40" t="s">
        <v>125</v>
      </c>
      <c r="BM391" s="40" t="s">
        <v>125</v>
      </c>
    </row>
    <row r="392" spans="1:65" x14ac:dyDescent="0.25">
      <c r="A392" s="40" t="s">
        <v>2771</v>
      </c>
      <c r="B392" s="41">
        <v>44711.291666666664</v>
      </c>
      <c r="C392" s="40" t="s">
        <v>5</v>
      </c>
      <c r="D392" s="40" t="s">
        <v>1599</v>
      </c>
      <c r="E392" s="40"/>
      <c r="F392" s="40">
        <v>218767873</v>
      </c>
      <c r="G392" s="40" t="s">
        <v>1600</v>
      </c>
      <c r="H392" s="40" t="s">
        <v>288</v>
      </c>
      <c r="I392" s="40">
        <v>2170</v>
      </c>
      <c r="J392" s="40" t="s">
        <v>1601</v>
      </c>
      <c r="K392" s="40"/>
      <c r="L392" s="40">
        <v>2170</v>
      </c>
      <c r="M392" s="40" t="s">
        <v>1602</v>
      </c>
      <c r="N392" s="40" t="s">
        <v>1603</v>
      </c>
      <c r="O392" s="40" t="s">
        <v>1604</v>
      </c>
      <c r="P392" s="40" t="s">
        <v>125</v>
      </c>
      <c r="Q392" s="40" t="s">
        <v>1605</v>
      </c>
      <c r="R392" s="42" t="s">
        <v>1606</v>
      </c>
      <c r="S392" s="42" t="s">
        <v>1607</v>
      </c>
      <c r="T392" s="40"/>
      <c r="U392" s="41"/>
      <c r="V392" s="41">
        <v>44714.291666666664</v>
      </c>
      <c r="W392" s="41">
        <v>44714.541666666664</v>
      </c>
      <c r="X392" s="40" t="s">
        <v>419</v>
      </c>
      <c r="Y392" s="41">
        <v>44714.708333333336</v>
      </c>
      <c r="Z392" s="41"/>
      <c r="AA392" s="41"/>
      <c r="AB392" s="41"/>
      <c r="AC392" s="40"/>
      <c r="AD392" s="40"/>
      <c r="AE392" s="40"/>
      <c r="AF392" s="40"/>
      <c r="AG392" s="40"/>
      <c r="AH392" s="40"/>
      <c r="AI392" s="41"/>
      <c r="AJ392" s="40"/>
      <c r="AK392" s="43"/>
      <c r="AL392" s="40"/>
      <c r="AM392" s="43">
        <v>0</v>
      </c>
      <c r="AN392" s="43"/>
      <c r="AO392" s="43"/>
      <c r="AP392" s="43"/>
      <c r="AQ392" s="43">
        <v>0</v>
      </c>
      <c r="AR392" s="43">
        <v>0</v>
      </c>
      <c r="AS392" s="43"/>
      <c r="AT392" s="43">
        <v>0</v>
      </c>
      <c r="AU392" s="43"/>
      <c r="AV392" s="43"/>
      <c r="AW392" s="43"/>
      <c r="AX392" s="43">
        <v>0</v>
      </c>
      <c r="AY392" s="43">
        <v>0</v>
      </c>
      <c r="AZ392" s="43">
        <v>0</v>
      </c>
      <c r="BA392" s="43">
        <v>0</v>
      </c>
      <c r="BB392" s="43">
        <v>0</v>
      </c>
      <c r="BC392" s="43">
        <v>0</v>
      </c>
      <c r="BD392" s="43">
        <v>0</v>
      </c>
      <c r="BE392" s="43">
        <v>0</v>
      </c>
      <c r="BF392" s="43">
        <v>0</v>
      </c>
      <c r="BG392" s="43">
        <v>0</v>
      </c>
      <c r="BH392" s="43">
        <v>0</v>
      </c>
      <c r="BI392" s="40" t="s">
        <v>1608</v>
      </c>
      <c r="BJ392" s="40">
        <v>2022</v>
      </c>
      <c r="BK392" s="40" t="s">
        <v>2768</v>
      </c>
      <c r="BL392" s="40" t="s">
        <v>2768</v>
      </c>
      <c r="BM392" s="40" t="s">
        <v>2768</v>
      </c>
    </row>
    <row r="393" spans="1:65" x14ac:dyDescent="0.25">
      <c r="A393" s="40" t="s">
        <v>2771</v>
      </c>
      <c r="B393" s="41">
        <v>44712.291666666664</v>
      </c>
      <c r="C393" s="40" t="s">
        <v>449</v>
      </c>
      <c r="D393" s="40" t="s">
        <v>450</v>
      </c>
      <c r="E393" s="40" t="s">
        <v>1609</v>
      </c>
      <c r="F393" s="40" t="s">
        <v>1610</v>
      </c>
      <c r="G393" s="40" t="s">
        <v>1611</v>
      </c>
      <c r="H393" s="40" t="s">
        <v>288</v>
      </c>
      <c r="I393" s="40">
        <v>2280</v>
      </c>
      <c r="J393" s="40" t="s">
        <v>1612</v>
      </c>
      <c r="K393" s="40"/>
      <c r="L393" s="40">
        <v>2280</v>
      </c>
      <c r="M393" s="40">
        <v>34380</v>
      </c>
      <c r="N393" s="40" t="s">
        <v>1613</v>
      </c>
      <c r="O393" s="40" t="s">
        <v>1614</v>
      </c>
      <c r="P393" s="40" t="s">
        <v>149</v>
      </c>
      <c r="Q393" s="40" t="s">
        <v>147</v>
      </c>
      <c r="R393" s="42" t="s">
        <v>148</v>
      </c>
      <c r="S393" s="42">
        <v>1481801136</v>
      </c>
      <c r="T393" s="40">
        <v>44711</v>
      </c>
      <c r="U393" s="41">
        <v>44711.645833333336</v>
      </c>
      <c r="V393" s="41">
        <v>44712.291666666664</v>
      </c>
      <c r="W393" s="41"/>
      <c r="X393" s="40" t="s">
        <v>410</v>
      </c>
      <c r="Y393" s="41">
        <v>44714.366666666669</v>
      </c>
      <c r="Z393" s="41"/>
      <c r="AA393" s="41">
        <v>44708.5</v>
      </c>
      <c r="AB393" s="41">
        <v>44712.5</v>
      </c>
      <c r="AC393" s="40" t="s">
        <v>1615</v>
      </c>
      <c r="AD393" s="40">
        <v>149</v>
      </c>
      <c r="AE393" s="40" t="s">
        <v>125</v>
      </c>
      <c r="AF393" s="40">
        <v>1405</v>
      </c>
      <c r="AG393" s="40"/>
      <c r="AH393" s="40" t="s">
        <v>393</v>
      </c>
      <c r="AI393" s="41">
        <v>44713.576388888891</v>
      </c>
      <c r="AJ393" s="40"/>
      <c r="AK393" s="43">
        <v>950</v>
      </c>
      <c r="AL393" s="40"/>
      <c r="AM393" s="43">
        <v>0</v>
      </c>
      <c r="AN393" s="43">
        <v>3450</v>
      </c>
      <c r="AO393" s="43"/>
      <c r="AP393" s="43"/>
      <c r="AQ393" s="43">
        <v>3450</v>
      </c>
      <c r="AR393" s="43">
        <v>0</v>
      </c>
      <c r="AS393" s="43"/>
      <c r="AT393" s="43">
        <v>0</v>
      </c>
      <c r="AU393" s="43"/>
      <c r="AV393" s="43"/>
      <c r="AW393" s="43"/>
      <c r="AX393" s="43">
        <v>0</v>
      </c>
      <c r="AY393" s="43">
        <v>0</v>
      </c>
      <c r="AZ393" s="43">
        <v>0</v>
      </c>
      <c r="BA393" s="43">
        <v>0</v>
      </c>
      <c r="BB393" s="43">
        <v>0</v>
      </c>
      <c r="BC393" s="43">
        <v>0</v>
      </c>
      <c r="BD393" s="43">
        <v>0</v>
      </c>
      <c r="BE393" s="43">
        <v>0</v>
      </c>
      <c r="BF393" s="43">
        <v>0</v>
      </c>
      <c r="BG393" s="43">
        <v>0</v>
      </c>
      <c r="BH393" s="43">
        <v>0</v>
      </c>
      <c r="BI393" s="40" t="s">
        <v>1355</v>
      </c>
      <c r="BJ393" s="40">
        <v>2022</v>
      </c>
      <c r="BK393" s="40" t="s">
        <v>2768</v>
      </c>
      <c r="BL393" s="40" t="s">
        <v>2768</v>
      </c>
      <c r="BM393" s="40" t="s">
        <v>2768</v>
      </c>
    </row>
    <row r="394" spans="1:65" x14ac:dyDescent="0.25">
      <c r="A394" s="40" t="s">
        <v>2771</v>
      </c>
      <c r="B394" s="41">
        <v>44712.291666666664</v>
      </c>
      <c r="C394" s="40" t="s">
        <v>449</v>
      </c>
      <c r="D394" s="40" t="s">
        <v>450</v>
      </c>
      <c r="E394" s="40" t="s">
        <v>1616</v>
      </c>
      <c r="F394" s="40" t="s">
        <v>1617</v>
      </c>
      <c r="G394" s="40" t="s">
        <v>1618</v>
      </c>
      <c r="H394" s="40" t="s">
        <v>288</v>
      </c>
      <c r="I394" s="40">
        <v>2230</v>
      </c>
      <c r="J394" s="40" t="s">
        <v>1619</v>
      </c>
      <c r="K394" s="40">
        <v>27000</v>
      </c>
      <c r="L394" s="40">
        <v>29230</v>
      </c>
      <c r="M394" s="40" t="s">
        <v>1620</v>
      </c>
      <c r="N394" s="40" t="s">
        <v>1621</v>
      </c>
      <c r="O394" s="40" t="s">
        <v>1614</v>
      </c>
      <c r="P394" s="40" t="s">
        <v>1622</v>
      </c>
      <c r="Q394" s="40" t="s">
        <v>147</v>
      </c>
      <c r="R394" s="42" t="s">
        <v>148</v>
      </c>
      <c r="S394" s="42">
        <v>1481801136</v>
      </c>
      <c r="T394" s="40" t="s">
        <v>469</v>
      </c>
      <c r="U394" s="41">
        <v>44711.645833333336</v>
      </c>
      <c r="V394" s="41">
        <v>44712.291666666664</v>
      </c>
      <c r="W394" s="41"/>
      <c r="X394" s="40" t="s">
        <v>410</v>
      </c>
      <c r="Y394" s="41">
        <v>44714.367361111108</v>
      </c>
      <c r="Z394" s="41"/>
      <c r="AA394" s="41">
        <v>44712.5</v>
      </c>
      <c r="AB394" s="41">
        <v>44715.5</v>
      </c>
      <c r="AC394" s="40" t="s">
        <v>605</v>
      </c>
      <c r="AD394" s="40">
        <v>150</v>
      </c>
      <c r="AE394" s="40" t="s">
        <v>125</v>
      </c>
      <c r="AF394" s="40" t="s">
        <v>125</v>
      </c>
      <c r="AG394" s="40"/>
      <c r="AH394" s="40" t="s">
        <v>393</v>
      </c>
      <c r="AI394" s="41">
        <v>44713.576388888891</v>
      </c>
      <c r="AJ394" s="40"/>
      <c r="AK394" s="43">
        <v>950</v>
      </c>
      <c r="AL394" s="40"/>
      <c r="AM394" s="43">
        <v>0</v>
      </c>
      <c r="AN394" s="43">
        <v>3450</v>
      </c>
      <c r="AO394" s="43"/>
      <c r="AP394" s="43"/>
      <c r="AQ394" s="43">
        <v>3450</v>
      </c>
      <c r="AR394" s="43">
        <v>0</v>
      </c>
      <c r="AS394" s="43"/>
      <c r="AT394" s="43">
        <v>0</v>
      </c>
      <c r="AU394" s="43"/>
      <c r="AV394" s="43"/>
      <c r="AW394" s="43"/>
      <c r="AX394" s="43">
        <v>0</v>
      </c>
      <c r="AY394" s="43">
        <v>0</v>
      </c>
      <c r="AZ394" s="43">
        <v>0</v>
      </c>
      <c r="BA394" s="43">
        <v>0</v>
      </c>
      <c r="BB394" s="43">
        <v>0</v>
      </c>
      <c r="BC394" s="43">
        <v>0</v>
      </c>
      <c r="BD394" s="43">
        <v>0</v>
      </c>
      <c r="BE394" s="43">
        <v>0</v>
      </c>
      <c r="BF394" s="43">
        <v>0</v>
      </c>
      <c r="BG394" s="43">
        <v>0</v>
      </c>
      <c r="BH394" s="43">
        <v>0</v>
      </c>
      <c r="BI394" s="40" t="s">
        <v>1355</v>
      </c>
      <c r="BJ394" s="40">
        <v>2022</v>
      </c>
      <c r="BK394" s="40" t="s">
        <v>2768</v>
      </c>
      <c r="BL394" s="40" t="s">
        <v>2768</v>
      </c>
      <c r="BM394" s="40" t="s">
        <v>2768</v>
      </c>
    </row>
    <row r="395" spans="1:65" x14ac:dyDescent="0.25">
      <c r="A395" s="40" t="s">
        <v>2771</v>
      </c>
      <c r="B395" s="41">
        <v>44712.333333333336</v>
      </c>
      <c r="C395" s="40" t="s">
        <v>353</v>
      </c>
      <c r="D395" s="40" t="s">
        <v>400</v>
      </c>
      <c r="E395" s="40">
        <v>7816520</v>
      </c>
      <c r="F395" s="40">
        <v>6335523200</v>
      </c>
      <c r="G395" s="40" t="s">
        <v>1623</v>
      </c>
      <c r="H395" s="40" t="s">
        <v>301</v>
      </c>
      <c r="I395" s="40">
        <v>3700</v>
      </c>
      <c r="J395" s="40">
        <v>455314</v>
      </c>
      <c r="K395" s="40">
        <v>18820</v>
      </c>
      <c r="L395" s="40">
        <v>22520</v>
      </c>
      <c r="M395" s="40">
        <v>1597762</v>
      </c>
      <c r="N395" s="40" t="s">
        <v>776</v>
      </c>
      <c r="O395" s="40" t="s">
        <v>82</v>
      </c>
      <c r="P395" s="40" t="s">
        <v>83</v>
      </c>
      <c r="Q395" s="40" t="s">
        <v>84</v>
      </c>
      <c r="R395" s="42" t="s">
        <v>85</v>
      </c>
      <c r="S395" s="42" t="s">
        <v>86</v>
      </c>
      <c r="T395" s="40" t="s">
        <v>537</v>
      </c>
      <c r="U395" s="41">
        <v>44711.760416666664</v>
      </c>
      <c r="V395" s="41">
        <v>44712.25</v>
      </c>
      <c r="W395" s="41">
        <v>44713.729166666664</v>
      </c>
      <c r="X395" s="40" t="s">
        <v>293</v>
      </c>
      <c r="Y395" s="41">
        <v>44718.415277777778</v>
      </c>
      <c r="Z395" s="41"/>
      <c r="AA395" s="41">
        <v>44714.708333333336</v>
      </c>
      <c r="AB395" s="41">
        <v>44719.75</v>
      </c>
      <c r="AC395" s="40" t="s">
        <v>616</v>
      </c>
      <c r="AD395" s="40">
        <v>12831</v>
      </c>
      <c r="AE395" s="40" t="s">
        <v>125</v>
      </c>
      <c r="AF395" s="40" t="s">
        <v>125</v>
      </c>
      <c r="AG395" s="40"/>
      <c r="AH395" s="40" t="s">
        <v>393</v>
      </c>
      <c r="AI395" s="41">
        <v>44713.958333333336</v>
      </c>
      <c r="AJ395" s="40"/>
      <c r="AK395" s="43">
        <v>950</v>
      </c>
      <c r="AL395" s="40"/>
      <c r="AM395" s="43">
        <v>0</v>
      </c>
      <c r="AN395" s="43">
        <v>2300</v>
      </c>
      <c r="AO395" s="43"/>
      <c r="AP395" s="43">
        <v>400</v>
      </c>
      <c r="AQ395" s="43">
        <v>2700</v>
      </c>
      <c r="AR395" s="43">
        <v>109.3625</v>
      </c>
      <c r="AS395" s="43"/>
      <c r="AT395" s="43">
        <v>1625</v>
      </c>
      <c r="AU395" s="43"/>
      <c r="AV395" s="43"/>
      <c r="AW395" s="43"/>
      <c r="AX395" s="43">
        <v>0</v>
      </c>
      <c r="AY395" s="43">
        <v>0</v>
      </c>
      <c r="AZ395" s="43">
        <v>0</v>
      </c>
      <c r="BA395" s="43">
        <v>0</v>
      </c>
      <c r="BB395" s="43">
        <v>0</v>
      </c>
      <c r="BC395" s="43">
        <v>0</v>
      </c>
      <c r="BD395" s="43">
        <v>0</v>
      </c>
      <c r="BE395" s="43">
        <v>0</v>
      </c>
      <c r="BF395" s="43">
        <v>0</v>
      </c>
      <c r="BG395" s="43">
        <v>0</v>
      </c>
      <c r="BH395" s="43">
        <v>1625</v>
      </c>
      <c r="BI395" s="40" t="s">
        <v>1355</v>
      </c>
      <c r="BJ395" s="40">
        <v>2022</v>
      </c>
      <c r="BK395" s="40" t="s">
        <v>2768</v>
      </c>
      <c r="BL395" s="40" t="s">
        <v>2768</v>
      </c>
      <c r="BM395" s="40" t="s">
        <v>2768</v>
      </c>
    </row>
    <row r="396" spans="1:65" x14ac:dyDescent="0.25">
      <c r="A396" s="40" t="s">
        <v>2771</v>
      </c>
      <c r="B396" s="41">
        <v>44718.291666666664</v>
      </c>
      <c r="C396" s="40" t="s">
        <v>449</v>
      </c>
      <c r="D396" s="40" t="s">
        <v>450</v>
      </c>
      <c r="E396" s="40" t="s">
        <v>1624</v>
      </c>
      <c r="F396" s="40" t="s">
        <v>1625</v>
      </c>
      <c r="G396" s="40" t="s">
        <v>1626</v>
      </c>
      <c r="H396" s="40" t="s">
        <v>288</v>
      </c>
      <c r="I396" s="40">
        <v>2280</v>
      </c>
      <c r="J396" s="40" t="s">
        <v>1627</v>
      </c>
      <c r="K396" s="40">
        <v>19888</v>
      </c>
      <c r="L396" s="40">
        <v>22168</v>
      </c>
      <c r="M396" s="40">
        <v>34439</v>
      </c>
      <c r="N396" s="40" t="s">
        <v>1628</v>
      </c>
      <c r="O396" s="40" t="s">
        <v>129</v>
      </c>
      <c r="P396" s="40" t="s">
        <v>130</v>
      </c>
      <c r="Q396" s="40" t="s">
        <v>131</v>
      </c>
      <c r="R396" s="42" t="s">
        <v>132</v>
      </c>
      <c r="S396" s="42" t="s">
        <v>133</v>
      </c>
      <c r="T396" s="40" t="s">
        <v>469</v>
      </c>
      <c r="U396" s="41">
        <v>44715.825694444444</v>
      </c>
      <c r="V396" s="41">
        <v>44718.291666666664</v>
      </c>
      <c r="W396" s="41">
        <v>44718.75</v>
      </c>
      <c r="X396" s="40" t="s">
        <v>410</v>
      </c>
      <c r="Y396" s="41">
        <v>44724.90347222222</v>
      </c>
      <c r="Z396" s="41">
        <v>44722.291666666664</v>
      </c>
      <c r="AA396" s="41">
        <v>44718.5</v>
      </c>
      <c r="AB396" s="41">
        <v>44721.5</v>
      </c>
      <c r="AC396" s="40" t="s">
        <v>1629</v>
      </c>
      <c r="AD396" s="40">
        <v>197</v>
      </c>
      <c r="AE396" s="40" t="s">
        <v>125</v>
      </c>
      <c r="AF396" s="40" t="s">
        <v>125</v>
      </c>
      <c r="AG396" s="40"/>
      <c r="AH396" s="40" t="s">
        <v>393</v>
      </c>
      <c r="AI396" s="41">
        <v>44719.25</v>
      </c>
      <c r="AJ396" s="40"/>
      <c r="AK396" s="43">
        <v>950</v>
      </c>
      <c r="AL396" s="40"/>
      <c r="AM396" s="43">
        <v>0</v>
      </c>
      <c r="AN396" s="43"/>
      <c r="AO396" s="43"/>
      <c r="AP396" s="43"/>
      <c r="AQ396" s="43">
        <v>0</v>
      </c>
      <c r="AR396" s="43">
        <v>0</v>
      </c>
      <c r="AS396" s="43"/>
      <c r="AT396" s="43">
        <v>0</v>
      </c>
      <c r="AU396" s="43"/>
      <c r="AV396" s="43"/>
      <c r="AW396" s="43"/>
      <c r="AX396" s="43">
        <v>0</v>
      </c>
      <c r="AY396" s="43">
        <v>0</v>
      </c>
      <c r="AZ396" s="43">
        <v>0</v>
      </c>
      <c r="BA396" s="43">
        <v>0</v>
      </c>
      <c r="BB396" s="43">
        <v>0</v>
      </c>
      <c r="BC396" s="43">
        <v>0</v>
      </c>
      <c r="BD396" s="43">
        <v>0</v>
      </c>
      <c r="BE396" s="43">
        <v>0</v>
      </c>
      <c r="BF396" s="43">
        <v>0</v>
      </c>
      <c r="BG396" s="43">
        <v>0</v>
      </c>
      <c r="BH396" s="43">
        <v>0</v>
      </c>
      <c r="BI396" s="40" t="s">
        <v>1608</v>
      </c>
      <c r="BJ396" s="40">
        <v>2022</v>
      </c>
      <c r="BK396" s="40" t="s">
        <v>2768</v>
      </c>
      <c r="BL396" s="40" t="s">
        <v>2768</v>
      </c>
      <c r="BM396" s="40" t="s">
        <v>2768</v>
      </c>
    </row>
    <row r="397" spans="1:65" x14ac:dyDescent="0.25">
      <c r="A397" s="40" t="s">
        <v>2771</v>
      </c>
      <c r="B397" s="41">
        <v>44718.291666666664</v>
      </c>
      <c r="C397" s="40" t="s">
        <v>449</v>
      </c>
      <c r="D397" s="40" t="s">
        <v>450</v>
      </c>
      <c r="E397" s="40" t="s">
        <v>1630</v>
      </c>
      <c r="F397" s="40" t="s">
        <v>1631</v>
      </c>
      <c r="G397" s="40" t="s">
        <v>1632</v>
      </c>
      <c r="H397" s="40" t="s">
        <v>288</v>
      </c>
      <c r="I397" s="40">
        <v>2200</v>
      </c>
      <c r="J397" s="40" t="s">
        <v>1633</v>
      </c>
      <c r="K397" s="40">
        <v>26695</v>
      </c>
      <c r="L397" s="40">
        <v>28895</v>
      </c>
      <c r="M397" s="40">
        <v>34442</v>
      </c>
      <c r="N397" s="40" t="s">
        <v>1634</v>
      </c>
      <c r="O397" s="40" t="s">
        <v>129</v>
      </c>
      <c r="P397" s="40" t="s">
        <v>134</v>
      </c>
      <c r="Q397" s="40" t="s">
        <v>131</v>
      </c>
      <c r="R397" s="42" t="s">
        <v>132</v>
      </c>
      <c r="S397" s="42" t="s">
        <v>133</v>
      </c>
      <c r="T397" s="40" t="s">
        <v>526</v>
      </c>
      <c r="U397" s="41">
        <v>44715.618055555555</v>
      </c>
      <c r="V397" s="41">
        <v>44718.291666666664</v>
      </c>
      <c r="W397" s="41">
        <v>44718.75</v>
      </c>
      <c r="X397" s="40" t="s">
        <v>306</v>
      </c>
      <c r="Y397" s="41">
        <v>44719.370138888888</v>
      </c>
      <c r="Z397" s="41"/>
      <c r="AA397" s="41">
        <v>44719.583333333336</v>
      </c>
      <c r="AB397" s="41">
        <v>44721.75</v>
      </c>
      <c r="AC397" s="40" t="s">
        <v>364</v>
      </c>
      <c r="AD397" s="40">
        <v>198</v>
      </c>
      <c r="AE397" s="40"/>
      <c r="AF397" s="40"/>
      <c r="AG397" s="40"/>
      <c r="AH397" s="40"/>
      <c r="AI397" s="41"/>
      <c r="AJ397" s="40"/>
      <c r="AK397" s="43"/>
      <c r="AL397" s="40"/>
      <c r="AM397" s="43">
        <v>0</v>
      </c>
      <c r="AN397" s="43"/>
      <c r="AO397" s="43"/>
      <c r="AP397" s="43"/>
      <c r="AQ397" s="43">
        <v>0</v>
      </c>
      <c r="AR397" s="43">
        <v>0</v>
      </c>
      <c r="AS397" s="43"/>
      <c r="AT397" s="43">
        <v>0</v>
      </c>
      <c r="AU397" s="43"/>
      <c r="AV397" s="43"/>
      <c r="AW397" s="43"/>
      <c r="AX397" s="43">
        <v>0</v>
      </c>
      <c r="AY397" s="43">
        <v>0</v>
      </c>
      <c r="AZ397" s="43">
        <v>0</v>
      </c>
      <c r="BA397" s="43">
        <v>0</v>
      </c>
      <c r="BB397" s="43">
        <v>0</v>
      </c>
      <c r="BC397" s="43">
        <v>0</v>
      </c>
      <c r="BD397" s="43">
        <v>0</v>
      </c>
      <c r="BE397" s="43">
        <v>0</v>
      </c>
      <c r="BF397" s="43">
        <v>0</v>
      </c>
      <c r="BG397" s="43">
        <v>0</v>
      </c>
      <c r="BH397" s="43">
        <v>0</v>
      </c>
      <c r="BI397" s="40" t="s">
        <v>1608</v>
      </c>
      <c r="BJ397" s="40">
        <v>2022</v>
      </c>
      <c r="BK397" s="40" t="s">
        <v>2768</v>
      </c>
      <c r="BL397" s="40" t="s">
        <v>2768</v>
      </c>
      <c r="BM397" s="40" t="s">
        <v>2768</v>
      </c>
    </row>
    <row r="398" spans="1:65" x14ac:dyDescent="0.25">
      <c r="A398" s="40" t="s">
        <v>2771</v>
      </c>
      <c r="B398" s="41">
        <v>44720.291666666664</v>
      </c>
      <c r="C398" s="40" t="s">
        <v>456</v>
      </c>
      <c r="D398" s="40" t="s">
        <v>457</v>
      </c>
      <c r="E398" s="40" t="s">
        <v>1635</v>
      </c>
      <c r="F398" s="40">
        <v>67475210</v>
      </c>
      <c r="G398" s="40" t="s">
        <v>1636</v>
      </c>
      <c r="H398" s="40" t="s">
        <v>459</v>
      </c>
      <c r="I398" s="40">
        <v>4660</v>
      </c>
      <c r="J398" s="40" t="s">
        <v>1637</v>
      </c>
      <c r="K398" s="40">
        <v>17138</v>
      </c>
      <c r="L398" s="40">
        <v>21798</v>
      </c>
      <c r="M398" s="40">
        <v>165646</v>
      </c>
      <c r="N398" s="40" t="s">
        <v>1634</v>
      </c>
      <c r="O398" s="40" t="s">
        <v>111</v>
      </c>
      <c r="P398" s="40" t="s">
        <v>112</v>
      </c>
      <c r="Q398" s="40" t="s">
        <v>113</v>
      </c>
      <c r="R398" s="42" t="s">
        <v>1487</v>
      </c>
      <c r="S398" s="42" t="s">
        <v>333</v>
      </c>
      <c r="T398" s="40" t="s">
        <v>292</v>
      </c>
      <c r="U398" s="41">
        <v>44719.666666666664</v>
      </c>
      <c r="V398" s="41">
        <v>44720.291666666664</v>
      </c>
      <c r="W398" s="41">
        <v>44720.5</v>
      </c>
      <c r="X398" s="40" t="s">
        <v>306</v>
      </c>
      <c r="Y398" s="41">
        <v>44720.809027777781</v>
      </c>
      <c r="Z398" s="41"/>
      <c r="AA398" s="41">
        <v>44719.75</v>
      </c>
      <c r="AB398" s="41">
        <v>44721.75</v>
      </c>
      <c r="AC398" s="40" t="s">
        <v>452</v>
      </c>
      <c r="AD398" s="40">
        <v>211</v>
      </c>
      <c r="AE398" s="40"/>
      <c r="AF398" s="40"/>
      <c r="AG398" s="40"/>
      <c r="AH398" s="40"/>
      <c r="AI398" s="41"/>
      <c r="AJ398" s="40"/>
      <c r="AK398" s="43"/>
      <c r="AL398" s="40"/>
      <c r="AM398" s="43">
        <v>0</v>
      </c>
      <c r="AN398" s="43"/>
      <c r="AO398" s="43"/>
      <c r="AP398" s="43"/>
      <c r="AQ398" s="43">
        <v>0</v>
      </c>
      <c r="AR398" s="43">
        <v>0</v>
      </c>
      <c r="AS398" s="43"/>
      <c r="AT398" s="43">
        <v>0</v>
      </c>
      <c r="AU398" s="43"/>
      <c r="AV398" s="43"/>
      <c r="AW398" s="43"/>
      <c r="AX398" s="43">
        <v>0</v>
      </c>
      <c r="AY398" s="43">
        <v>0</v>
      </c>
      <c r="AZ398" s="43">
        <v>0</v>
      </c>
      <c r="BA398" s="43">
        <v>0</v>
      </c>
      <c r="BB398" s="43">
        <v>0</v>
      </c>
      <c r="BC398" s="43">
        <v>0</v>
      </c>
      <c r="BD398" s="43">
        <v>0</v>
      </c>
      <c r="BE398" s="43">
        <v>0</v>
      </c>
      <c r="BF398" s="43">
        <v>0</v>
      </c>
      <c r="BG398" s="43">
        <v>0</v>
      </c>
      <c r="BH398" s="43">
        <v>0</v>
      </c>
      <c r="BI398" s="40" t="s">
        <v>1608</v>
      </c>
      <c r="BJ398" s="40">
        <v>2022</v>
      </c>
      <c r="BK398" s="40" t="s">
        <v>2768</v>
      </c>
      <c r="BL398" s="40" t="s">
        <v>2768</v>
      </c>
      <c r="BM398" s="40" t="s">
        <v>2768</v>
      </c>
    </row>
    <row r="399" spans="1:65" x14ac:dyDescent="0.25">
      <c r="A399" s="36" t="s">
        <v>836</v>
      </c>
      <c r="B399" s="37">
        <v>44725.291666666664</v>
      </c>
      <c r="C399" s="36" t="s">
        <v>1638</v>
      </c>
      <c r="D399" s="36" t="s">
        <v>1639</v>
      </c>
      <c r="E399" s="36"/>
      <c r="F399" s="36">
        <v>65481768</v>
      </c>
      <c r="G399" s="36"/>
      <c r="H399" s="36" t="s">
        <v>301</v>
      </c>
      <c r="I399" s="36"/>
      <c r="J399" s="36"/>
      <c r="K399" s="36"/>
      <c r="L399" s="36">
        <v>0</v>
      </c>
      <c r="M399" s="36"/>
      <c r="N399" s="36" t="s">
        <v>1640</v>
      </c>
      <c r="O399" s="36" t="s">
        <v>1365</v>
      </c>
      <c r="P399" s="36" t="s">
        <v>1366</v>
      </c>
      <c r="Q399" s="36" t="s">
        <v>1367</v>
      </c>
      <c r="R399" s="38" t="s">
        <v>1368</v>
      </c>
      <c r="S399" s="38">
        <v>1991849508</v>
      </c>
      <c r="T399" s="36"/>
      <c r="U399" s="37"/>
      <c r="V399" s="37"/>
      <c r="W399" s="37"/>
      <c r="X399" s="36" t="s">
        <v>410</v>
      </c>
      <c r="Y399" s="37"/>
      <c r="Z399" s="37"/>
      <c r="AA399" s="37"/>
      <c r="AB399" s="37"/>
      <c r="AC399" s="36" t="s">
        <v>1641</v>
      </c>
      <c r="AD399" s="36"/>
      <c r="AE399" s="36"/>
      <c r="AF399" s="36"/>
      <c r="AG399" s="36"/>
      <c r="AH399" s="36"/>
      <c r="AI399" s="37"/>
      <c r="AJ399" s="36"/>
      <c r="AK399" s="39"/>
      <c r="AL399" s="36"/>
      <c r="AM399" s="39">
        <v>0</v>
      </c>
      <c r="AN399" s="39"/>
      <c r="AO399" s="39"/>
      <c r="AP399" s="39"/>
      <c r="AQ399" s="39">
        <v>0</v>
      </c>
      <c r="AR399" s="39">
        <v>0</v>
      </c>
      <c r="AS399" s="39"/>
      <c r="AT399" s="39">
        <v>0</v>
      </c>
      <c r="AU399" s="39"/>
      <c r="AV399" s="39"/>
      <c r="AW399" s="39"/>
      <c r="AX399" s="39">
        <v>0</v>
      </c>
      <c r="AY399" s="39">
        <v>0</v>
      </c>
      <c r="AZ399" s="39">
        <v>0</v>
      </c>
      <c r="BA399" s="39">
        <v>0</v>
      </c>
      <c r="BB399" s="39">
        <v>0</v>
      </c>
      <c r="BC399" s="39">
        <v>0</v>
      </c>
      <c r="BD399" s="39">
        <v>0</v>
      </c>
      <c r="BE399" s="39">
        <v>0</v>
      </c>
      <c r="BF399" s="39">
        <v>0</v>
      </c>
      <c r="BG399" s="39">
        <v>0</v>
      </c>
      <c r="BH399" s="39">
        <v>0</v>
      </c>
      <c r="BI399" s="36" t="s">
        <v>453</v>
      </c>
      <c r="BJ399" s="36">
        <v>1900</v>
      </c>
      <c r="BK399" s="36"/>
      <c r="BL399" s="36"/>
      <c r="BM399" s="36"/>
    </row>
    <row r="400" spans="1:65" x14ac:dyDescent="0.25">
      <c r="A400" s="36" t="s">
        <v>836</v>
      </c>
      <c r="B400" s="37">
        <v>44725.291666666664</v>
      </c>
      <c r="C400" s="36" t="s">
        <v>1638</v>
      </c>
      <c r="D400" s="36" t="s">
        <v>1639</v>
      </c>
      <c r="E400" s="36"/>
      <c r="F400" s="36">
        <v>65481768</v>
      </c>
      <c r="G400" s="36"/>
      <c r="H400" s="36" t="s">
        <v>301</v>
      </c>
      <c r="I400" s="36"/>
      <c r="J400" s="36"/>
      <c r="K400" s="36"/>
      <c r="L400" s="36">
        <v>0</v>
      </c>
      <c r="M400" s="36"/>
      <c r="N400" s="36" t="s">
        <v>1640</v>
      </c>
      <c r="O400" s="36"/>
      <c r="P400" s="36"/>
      <c r="Q400" s="36"/>
      <c r="R400" s="38"/>
      <c r="S400" s="38"/>
      <c r="T400" s="36"/>
      <c r="U400" s="37"/>
      <c r="V400" s="37"/>
      <c r="W400" s="37"/>
      <c r="X400" s="36" t="s">
        <v>410</v>
      </c>
      <c r="Y400" s="37"/>
      <c r="Z400" s="37"/>
      <c r="AA400" s="37"/>
      <c r="AB400" s="37"/>
      <c r="AC400" s="36" t="s">
        <v>1641</v>
      </c>
      <c r="AD400" s="36"/>
      <c r="AE400" s="36"/>
      <c r="AF400" s="36"/>
      <c r="AG400" s="36"/>
      <c r="AH400" s="36"/>
      <c r="AI400" s="37"/>
      <c r="AJ400" s="36"/>
      <c r="AK400" s="39"/>
      <c r="AL400" s="36"/>
      <c r="AM400" s="39">
        <v>0</v>
      </c>
      <c r="AN400" s="39"/>
      <c r="AO400" s="39"/>
      <c r="AP400" s="39"/>
      <c r="AQ400" s="39">
        <v>0</v>
      </c>
      <c r="AR400" s="39">
        <v>0</v>
      </c>
      <c r="AS400" s="39"/>
      <c r="AT400" s="39">
        <v>0</v>
      </c>
      <c r="AU400" s="39"/>
      <c r="AV400" s="39"/>
      <c r="AW400" s="39"/>
      <c r="AX400" s="39">
        <v>0</v>
      </c>
      <c r="AY400" s="39">
        <v>0</v>
      </c>
      <c r="AZ400" s="39">
        <v>0</v>
      </c>
      <c r="BA400" s="39">
        <v>0</v>
      </c>
      <c r="BB400" s="39">
        <v>0</v>
      </c>
      <c r="BC400" s="39">
        <v>0</v>
      </c>
      <c r="BD400" s="39">
        <v>0</v>
      </c>
      <c r="BE400" s="39">
        <v>0</v>
      </c>
      <c r="BF400" s="39">
        <v>0</v>
      </c>
      <c r="BG400" s="39">
        <v>0</v>
      </c>
      <c r="BH400" s="39">
        <v>0</v>
      </c>
      <c r="BI400" s="36" t="s">
        <v>453</v>
      </c>
      <c r="BJ400" s="36">
        <v>1900</v>
      </c>
      <c r="BK400" s="36"/>
      <c r="BL400" s="36"/>
      <c r="BM400" s="36"/>
    </row>
    <row r="401" spans="1:65" x14ac:dyDescent="0.25">
      <c r="A401" s="40" t="s">
        <v>2771</v>
      </c>
      <c r="B401" s="41">
        <v>44732.291666666664</v>
      </c>
      <c r="C401" s="40" t="s">
        <v>353</v>
      </c>
      <c r="D401" s="40" t="s">
        <v>354</v>
      </c>
      <c r="E401" s="40">
        <v>7699864</v>
      </c>
      <c r="F401" s="40">
        <v>61817333</v>
      </c>
      <c r="G401" s="40" t="s">
        <v>1642</v>
      </c>
      <c r="H401" s="40" t="s">
        <v>301</v>
      </c>
      <c r="I401" s="40">
        <v>3900</v>
      </c>
      <c r="J401" s="40" t="s">
        <v>1643</v>
      </c>
      <c r="K401" s="40">
        <v>26222</v>
      </c>
      <c r="L401" s="40">
        <v>30122</v>
      </c>
      <c r="M401" s="40">
        <v>615998</v>
      </c>
      <c r="N401" s="40" t="s">
        <v>1644</v>
      </c>
      <c r="O401" s="40" t="s">
        <v>155</v>
      </c>
      <c r="P401" s="40" t="s">
        <v>312</v>
      </c>
      <c r="Q401" s="40" t="s">
        <v>1398</v>
      </c>
      <c r="R401" s="42" t="s">
        <v>1399</v>
      </c>
      <c r="S401" s="42" t="s">
        <v>1400</v>
      </c>
      <c r="T401" s="40" t="s">
        <v>292</v>
      </c>
      <c r="U401" s="41">
        <v>44730.333333333336</v>
      </c>
      <c r="V401" s="41">
        <v>44732.40625</v>
      </c>
      <c r="W401" s="41"/>
      <c r="X401" s="40" t="s">
        <v>293</v>
      </c>
      <c r="Y401" s="41">
        <v>44733.070833333331</v>
      </c>
      <c r="Z401" s="41">
        <v>44731.791666666664</v>
      </c>
      <c r="AA401" s="41">
        <v>44732.75</v>
      </c>
      <c r="AB401" s="41">
        <v>44734.666666666664</v>
      </c>
      <c r="AC401" s="40" t="s">
        <v>590</v>
      </c>
      <c r="AD401" s="40">
        <v>12962</v>
      </c>
      <c r="AE401" s="40"/>
      <c r="AF401" s="40"/>
      <c r="AG401" s="40"/>
      <c r="AH401" s="40"/>
      <c r="AI401" s="41"/>
      <c r="AJ401" s="40"/>
      <c r="AK401" s="43"/>
      <c r="AL401" s="40"/>
      <c r="AM401" s="43">
        <v>0</v>
      </c>
      <c r="AN401" s="43"/>
      <c r="AO401" s="43"/>
      <c r="AP401" s="43"/>
      <c r="AQ401" s="43">
        <v>0</v>
      </c>
      <c r="AR401" s="43">
        <v>0</v>
      </c>
      <c r="AS401" s="43"/>
      <c r="AT401" s="43">
        <v>0</v>
      </c>
      <c r="AU401" s="43"/>
      <c r="AV401" s="43"/>
      <c r="AW401" s="43"/>
      <c r="AX401" s="43">
        <v>0</v>
      </c>
      <c r="AY401" s="43">
        <v>0</v>
      </c>
      <c r="AZ401" s="43">
        <v>0</v>
      </c>
      <c r="BA401" s="43">
        <v>0</v>
      </c>
      <c r="BB401" s="43">
        <v>0</v>
      </c>
      <c r="BC401" s="43">
        <v>0</v>
      </c>
      <c r="BD401" s="43">
        <v>0</v>
      </c>
      <c r="BE401" s="43">
        <v>0</v>
      </c>
      <c r="BF401" s="43">
        <v>0</v>
      </c>
      <c r="BG401" s="43">
        <v>0</v>
      </c>
      <c r="BH401" s="43">
        <v>0</v>
      </c>
      <c r="BI401" s="40" t="s">
        <v>1608</v>
      </c>
      <c r="BJ401" s="40">
        <v>2022</v>
      </c>
      <c r="BK401" s="40" t="s">
        <v>2768</v>
      </c>
      <c r="BL401" s="40" t="s">
        <v>2768</v>
      </c>
      <c r="BM401" s="40" t="s">
        <v>2768</v>
      </c>
    </row>
    <row r="402" spans="1:65" x14ac:dyDescent="0.25">
      <c r="A402" s="40" t="s">
        <v>2771</v>
      </c>
      <c r="B402" s="41">
        <v>44732.291666666664</v>
      </c>
      <c r="C402" s="40" t="s">
        <v>353</v>
      </c>
      <c r="D402" s="40" t="s">
        <v>354</v>
      </c>
      <c r="E402" s="40">
        <v>7699864</v>
      </c>
      <c r="F402" s="40">
        <v>61817333</v>
      </c>
      <c r="G402" s="40" t="s">
        <v>1645</v>
      </c>
      <c r="H402" s="40" t="s">
        <v>301</v>
      </c>
      <c r="I402" s="40">
        <v>3780</v>
      </c>
      <c r="J402" s="40" t="s">
        <v>1646</v>
      </c>
      <c r="K402" s="40">
        <v>26222</v>
      </c>
      <c r="L402" s="40">
        <v>30002</v>
      </c>
      <c r="M402" s="40">
        <v>615886</v>
      </c>
      <c r="N402" s="40" t="s">
        <v>1644</v>
      </c>
      <c r="O402" s="40" t="s">
        <v>72</v>
      </c>
      <c r="P402" s="40" t="s">
        <v>73</v>
      </c>
      <c r="Q402" s="40" t="s">
        <v>203</v>
      </c>
      <c r="R402" s="42" t="s">
        <v>204</v>
      </c>
      <c r="S402" s="42" t="s">
        <v>205</v>
      </c>
      <c r="T402" s="40" t="s">
        <v>292</v>
      </c>
      <c r="U402" s="41">
        <v>44730.333333333336</v>
      </c>
      <c r="V402" s="41">
        <v>44732.236111111109</v>
      </c>
      <c r="W402" s="41">
        <v>44732.527777777781</v>
      </c>
      <c r="X402" s="40" t="s">
        <v>293</v>
      </c>
      <c r="Y402" s="41">
        <v>44732.94027777778</v>
      </c>
      <c r="Z402" s="41">
        <v>44731.791666666664</v>
      </c>
      <c r="AA402" s="41">
        <v>44732.75</v>
      </c>
      <c r="AB402" s="41">
        <v>44734.666666666664</v>
      </c>
      <c r="AC402" s="40" t="s">
        <v>590</v>
      </c>
      <c r="AD402" s="40">
        <v>12956</v>
      </c>
      <c r="AE402" s="40"/>
      <c r="AF402" s="40"/>
      <c r="AG402" s="40"/>
      <c r="AH402" s="40"/>
      <c r="AI402" s="41"/>
      <c r="AJ402" s="40"/>
      <c r="AK402" s="43"/>
      <c r="AL402" s="40"/>
      <c r="AM402" s="43">
        <v>0</v>
      </c>
      <c r="AN402" s="43"/>
      <c r="AO402" s="43"/>
      <c r="AP402" s="43"/>
      <c r="AQ402" s="43">
        <v>0</v>
      </c>
      <c r="AR402" s="43">
        <v>0</v>
      </c>
      <c r="AS402" s="43"/>
      <c r="AT402" s="43">
        <v>0</v>
      </c>
      <c r="AU402" s="43"/>
      <c r="AV402" s="43"/>
      <c r="AW402" s="43"/>
      <c r="AX402" s="43">
        <v>0</v>
      </c>
      <c r="AY402" s="43">
        <v>0</v>
      </c>
      <c r="AZ402" s="43">
        <v>0</v>
      </c>
      <c r="BA402" s="43">
        <v>0</v>
      </c>
      <c r="BB402" s="43">
        <v>0</v>
      </c>
      <c r="BC402" s="43">
        <v>0</v>
      </c>
      <c r="BD402" s="43">
        <v>0</v>
      </c>
      <c r="BE402" s="43">
        <v>0</v>
      </c>
      <c r="BF402" s="43">
        <v>0</v>
      </c>
      <c r="BG402" s="43">
        <v>0</v>
      </c>
      <c r="BH402" s="43">
        <v>0</v>
      </c>
      <c r="BI402" s="40" t="s">
        <v>1608</v>
      </c>
      <c r="BJ402" s="40">
        <v>2022</v>
      </c>
      <c r="BK402" s="40" t="s">
        <v>2768</v>
      </c>
      <c r="BL402" s="40" t="s">
        <v>2768</v>
      </c>
      <c r="BM402" s="40" t="s">
        <v>2768</v>
      </c>
    </row>
    <row r="403" spans="1:65" x14ac:dyDescent="0.25">
      <c r="A403" s="40" t="s">
        <v>2771</v>
      </c>
      <c r="B403" s="41">
        <v>44732.291666666664</v>
      </c>
      <c r="C403" s="40" t="s">
        <v>353</v>
      </c>
      <c r="D403" s="40" t="s">
        <v>354</v>
      </c>
      <c r="E403" s="40">
        <v>7699864</v>
      </c>
      <c r="F403" s="40">
        <v>61817333</v>
      </c>
      <c r="G403" s="40" t="s">
        <v>1647</v>
      </c>
      <c r="H403" s="40" t="s">
        <v>301</v>
      </c>
      <c r="I403" s="40">
        <v>3950</v>
      </c>
      <c r="J403" s="40" t="s">
        <v>1648</v>
      </c>
      <c r="K403" s="40">
        <v>25588</v>
      </c>
      <c r="L403" s="40">
        <v>29538</v>
      </c>
      <c r="M403" s="40">
        <v>615916</v>
      </c>
      <c r="N403" s="40" t="s">
        <v>1644</v>
      </c>
      <c r="O403" s="40" t="s">
        <v>106</v>
      </c>
      <c r="P403" s="40" t="s">
        <v>107</v>
      </c>
      <c r="Q403" s="40" t="s">
        <v>108</v>
      </c>
      <c r="R403" s="42" t="s">
        <v>109</v>
      </c>
      <c r="S403" s="42" t="s">
        <v>110</v>
      </c>
      <c r="T403" s="40" t="s">
        <v>292</v>
      </c>
      <c r="U403" s="41">
        <v>44730.333333333336</v>
      </c>
      <c r="V403" s="41">
        <v>44732.291666666664</v>
      </c>
      <c r="W403" s="41">
        <v>44732.666666666664</v>
      </c>
      <c r="X403" s="40" t="s">
        <v>293</v>
      </c>
      <c r="Y403" s="41">
        <v>44732.895833333336</v>
      </c>
      <c r="Z403" s="41">
        <v>44731.791666666664</v>
      </c>
      <c r="AA403" s="41">
        <v>44732.75</v>
      </c>
      <c r="AB403" s="41">
        <v>44734.666666666664</v>
      </c>
      <c r="AC403" s="40" t="s">
        <v>590</v>
      </c>
      <c r="AD403" s="40">
        <v>12958</v>
      </c>
      <c r="AE403" s="40"/>
      <c r="AF403" s="40"/>
      <c r="AG403" s="40"/>
      <c r="AH403" s="40"/>
      <c r="AI403" s="41"/>
      <c r="AJ403" s="40"/>
      <c r="AK403" s="43"/>
      <c r="AL403" s="40"/>
      <c r="AM403" s="43">
        <v>0</v>
      </c>
      <c r="AN403" s="43"/>
      <c r="AO403" s="43"/>
      <c r="AP403" s="43"/>
      <c r="AQ403" s="43">
        <v>0</v>
      </c>
      <c r="AR403" s="43">
        <v>0</v>
      </c>
      <c r="AS403" s="43"/>
      <c r="AT403" s="43">
        <v>0</v>
      </c>
      <c r="AU403" s="43"/>
      <c r="AV403" s="43"/>
      <c r="AW403" s="43"/>
      <c r="AX403" s="43">
        <v>0</v>
      </c>
      <c r="AY403" s="43">
        <v>0</v>
      </c>
      <c r="AZ403" s="43">
        <v>0</v>
      </c>
      <c r="BA403" s="43">
        <v>0</v>
      </c>
      <c r="BB403" s="43">
        <v>0</v>
      </c>
      <c r="BC403" s="43">
        <v>0</v>
      </c>
      <c r="BD403" s="43">
        <v>0</v>
      </c>
      <c r="BE403" s="43">
        <v>0</v>
      </c>
      <c r="BF403" s="43">
        <v>0</v>
      </c>
      <c r="BG403" s="43">
        <v>0</v>
      </c>
      <c r="BH403" s="43">
        <v>0</v>
      </c>
      <c r="BI403" s="40" t="s">
        <v>1608</v>
      </c>
      <c r="BJ403" s="40">
        <v>2022</v>
      </c>
      <c r="BK403" s="40" t="s">
        <v>2768</v>
      </c>
      <c r="BL403" s="40" t="s">
        <v>2768</v>
      </c>
      <c r="BM403" s="40" t="s">
        <v>2768</v>
      </c>
    </row>
    <row r="404" spans="1:65" x14ac:dyDescent="0.25">
      <c r="A404" s="40" t="s">
        <v>2771</v>
      </c>
      <c r="B404" s="41">
        <v>44732.291666666664</v>
      </c>
      <c r="C404" s="40" t="s">
        <v>353</v>
      </c>
      <c r="D404" s="40" t="s">
        <v>354</v>
      </c>
      <c r="E404" s="40">
        <v>7699864</v>
      </c>
      <c r="F404" s="40">
        <v>61817333</v>
      </c>
      <c r="G404" s="40" t="s">
        <v>1649</v>
      </c>
      <c r="H404" s="40" t="s">
        <v>301</v>
      </c>
      <c r="I404" s="40">
        <v>3850</v>
      </c>
      <c r="J404" s="40" t="s">
        <v>1650</v>
      </c>
      <c r="K404" s="40">
        <v>26222</v>
      </c>
      <c r="L404" s="40">
        <v>30072</v>
      </c>
      <c r="M404" s="40">
        <v>615888</v>
      </c>
      <c r="N404" s="40" t="s">
        <v>1644</v>
      </c>
      <c r="O404" s="40" t="s">
        <v>102</v>
      </c>
      <c r="P404" s="40" t="s">
        <v>27</v>
      </c>
      <c r="Q404" s="40" t="s">
        <v>103</v>
      </c>
      <c r="R404" s="42" t="s">
        <v>104</v>
      </c>
      <c r="S404" s="42" t="s">
        <v>105</v>
      </c>
      <c r="T404" s="40" t="s">
        <v>292</v>
      </c>
      <c r="U404" s="41">
        <v>44730.486111111109</v>
      </c>
      <c r="V404" s="41">
        <v>44731.958333333336</v>
      </c>
      <c r="W404" s="41">
        <v>44732.458333333336</v>
      </c>
      <c r="X404" s="40" t="s">
        <v>293</v>
      </c>
      <c r="Y404" s="41">
        <v>44732.71875</v>
      </c>
      <c r="Z404" s="41">
        <v>44731.791666666664</v>
      </c>
      <c r="AA404" s="41">
        <v>44732.75</v>
      </c>
      <c r="AB404" s="41">
        <v>44734.666666666664</v>
      </c>
      <c r="AC404" s="40" t="s">
        <v>590</v>
      </c>
      <c r="AD404" s="40">
        <v>12955</v>
      </c>
      <c r="AE404" s="40"/>
      <c r="AF404" s="40"/>
      <c r="AG404" s="40"/>
      <c r="AH404" s="40"/>
      <c r="AI404" s="41"/>
      <c r="AJ404" s="40"/>
      <c r="AK404" s="43"/>
      <c r="AL404" s="40"/>
      <c r="AM404" s="43">
        <v>0</v>
      </c>
      <c r="AN404" s="43"/>
      <c r="AO404" s="43"/>
      <c r="AP404" s="43"/>
      <c r="AQ404" s="43">
        <v>0</v>
      </c>
      <c r="AR404" s="43">
        <v>0</v>
      </c>
      <c r="AS404" s="43"/>
      <c r="AT404" s="43">
        <v>0</v>
      </c>
      <c r="AU404" s="43"/>
      <c r="AV404" s="43"/>
      <c r="AW404" s="43"/>
      <c r="AX404" s="43">
        <v>0</v>
      </c>
      <c r="AY404" s="43">
        <v>0</v>
      </c>
      <c r="AZ404" s="43">
        <v>0</v>
      </c>
      <c r="BA404" s="43">
        <v>0</v>
      </c>
      <c r="BB404" s="43">
        <v>0</v>
      </c>
      <c r="BC404" s="43">
        <v>0</v>
      </c>
      <c r="BD404" s="43">
        <v>0</v>
      </c>
      <c r="BE404" s="43">
        <v>0</v>
      </c>
      <c r="BF404" s="43">
        <v>0</v>
      </c>
      <c r="BG404" s="43">
        <v>0</v>
      </c>
      <c r="BH404" s="43">
        <v>0</v>
      </c>
      <c r="BI404" s="40" t="s">
        <v>1608</v>
      </c>
      <c r="BJ404" s="40">
        <v>2022</v>
      </c>
      <c r="BK404" s="40" t="s">
        <v>2768</v>
      </c>
      <c r="BL404" s="40" t="s">
        <v>2768</v>
      </c>
      <c r="BM404" s="40" t="s">
        <v>2768</v>
      </c>
    </row>
    <row r="405" spans="1:65" x14ac:dyDescent="0.25">
      <c r="A405" s="40" t="s">
        <v>2771</v>
      </c>
      <c r="B405" s="41">
        <v>44732.291666666664</v>
      </c>
      <c r="C405" s="40" t="s">
        <v>353</v>
      </c>
      <c r="D405" s="40" t="s">
        <v>354</v>
      </c>
      <c r="E405" s="40">
        <v>7699864</v>
      </c>
      <c r="F405" s="40">
        <v>61817333</v>
      </c>
      <c r="G405" s="40" t="s">
        <v>1651</v>
      </c>
      <c r="H405" s="40" t="s">
        <v>301</v>
      </c>
      <c r="I405" s="40">
        <v>3700</v>
      </c>
      <c r="J405" s="40" t="s">
        <v>1652</v>
      </c>
      <c r="K405" s="40">
        <v>26222</v>
      </c>
      <c r="L405" s="40">
        <v>29922</v>
      </c>
      <c r="M405" s="40">
        <v>616031</v>
      </c>
      <c r="N405" s="40" t="s">
        <v>1644</v>
      </c>
      <c r="O405" s="40" t="s">
        <v>31</v>
      </c>
      <c r="P405" s="40" t="s">
        <v>32</v>
      </c>
      <c r="Q405" s="40" t="s">
        <v>33</v>
      </c>
      <c r="R405" s="42" t="s">
        <v>34</v>
      </c>
      <c r="S405" s="42" t="s">
        <v>35</v>
      </c>
      <c r="T405" s="40" t="s">
        <v>292</v>
      </c>
      <c r="U405" s="41">
        <v>44730.486111111109</v>
      </c>
      <c r="V405" s="41">
        <v>44732.5</v>
      </c>
      <c r="W405" s="41"/>
      <c r="X405" s="40" t="s">
        <v>293</v>
      </c>
      <c r="Y405" s="41">
        <v>44733.083333333336</v>
      </c>
      <c r="Z405" s="41">
        <v>44731.791666666664</v>
      </c>
      <c r="AA405" s="41">
        <v>44732.75</v>
      </c>
      <c r="AB405" s="41">
        <v>44734.666666666664</v>
      </c>
      <c r="AC405" s="40" t="s">
        <v>590</v>
      </c>
      <c r="AD405" s="40">
        <v>12965</v>
      </c>
      <c r="AE405" s="40"/>
      <c r="AF405" s="40"/>
      <c r="AG405" s="40"/>
      <c r="AH405" s="40"/>
      <c r="AI405" s="41"/>
      <c r="AJ405" s="40"/>
      <c r="AK405" s="43"/>
      <c r="AL405" s="40"/>
      <c r="AM405" s="43">
        <v>0</v>
      </c>
      <c r="AN405" s="43"/>
      <c r="AO405" s="43"/>
      <c r="AP405" s="43"/>
      <c r="AQ405" s="43">
        <v>0</v>
      </c>
      <c r="AR405" s="43">
        <v>0</v>
      </c>
      <c r="AS405" s="43"/>
      <c r="AT405" s="43">
        <v>0</v>
      </c>
      <c r="AU405" s="43"/>
      <c r="AV405" s="43"/>
      <c r="AW405" s="43"/>
      <c r="AX405" s="43">
        <v>0</v>
      </c>
      <c r="AY405" s="43">
        <v>0</v>
      </c>
      <c r="AZ405" s="43">
        <v>0</v>
      </c>
      <c r="BA405" s="43">
        <v>0</v>
      </c>
      <c r="BB405" s="43">
        <v>0</v>
      </c>
      <c r="BC405" s="43">
        <v>0</v>
      </c>
      <c r="BD405" s="43">
        <v>0</v>
      </c>
      <c r="BE405" s="43">
        <v>0</v>
      </c>
      <c r="BF405" s="43">
        <v>0</v>
      </c>
      <c r="BG405" s="43">
        <v>0</v>
      </c>
      <c r="BH405" s="43">
        <v>0</v>
      </c>
      <c r="BI405" s="40" t="s">
        <v>1608</v>
      </c>
      <c r="BJ405" s="40">
        <v>2022</v>
      </c>
      <c r="BK405" s="40" t="s">
        <v>2768</v>
      </c>
      <c r="BL405" s="40" t="s">
        <v>2768</v>
      </c>
      <c r="BM405" s="40" t="s">
        <v>2768</v>
      </c>
    </row>
    <row r="406" spans="1:65" x14ac:dyDescent="0.25">
      <c r="A406" s="40" t="s">
        <v>2771</v>
      </c>
      <c r="B406" s="41">
        <v>44732.333333333336</v>
      </c>
      <c r="C406" s="40" t="s">
        <v>297</v>
      </c>
      <c r="D406" s="40" t="s">
        <v>298</v>
      </c>
      <c r="E406" s="40" t="s">
        <v>1653</v>
      </c>
      <c r="F406" s="40">
        <v>68154148</v>
      </c>
      <c r="G406" s="40" t="s">
        <v>1654</v>
      </c>
      <c r="H406" s="40" t="s">
        <v>301</v>
      </c>
      <c r="I406" s="40">
        <v>3900</v>
      </c>
      <c r="J406" s="40" t="s">
        <v>1655</v>
      </c>
      <c r="K406" s="40">
        <v>14475</v>
      </c>
      <c r="L406" s="40">
        <v>18375</v>
      </c>
      <c r="M406" s="40">
        <v>749806</v>
      </c>
      <c r="N406" s="40" t="s">
        <v>1656</v>
      </c>
      <c r="O406" s="40" t="s">
        <v>178</v>
      </c>
      <c r="P406" s="40" t="s">
        <v>179</v>
      </c>
      <c r="Q406" s="40" t="s">
        <v>180</v>
      </c>
      <c r="R406" s="42" t="s">
        <v>1657</v>
      </c>
      <c r="S406" s="42" t="s">
        <v>181</v>
      </c>
      <c r="T406" s="40" t="s">
        <v>292</v>
      </c>
      <c r="U406" s="41">
        <v>44730.458333333336</v>
      </c>
      <c r="V406" s="41">
        <v>44732.333333333336</v>
      </c>
      <c r="W406" s="41">
        <v>44732.833333333336</v>
      </c>
      <c r="X406" s="40" t="s">
        <v>293</v>
      </c>
      <c r="Y406" s="41">
        <v>44735.722222222219</v>
      </c>
      <c r="Z406" s="41">
        <v>44733.041666666664</v>
      </c>
      <c r="AA406" s="41">
        <v>44733.625</v>
      </c>
      <c r="AB406" s="41">
        <v>44736.75</v>
      </c>
      <c r="AC406" s="40" t="s">
        <v>418</v>
      </c>
      <c r="AD406" s="40">
        <v>12966</v>
      </c>
      <c r="AE406" s="40"/>
      <c r="AF406" s="40"/>
      <c r="AG406" s="40"/>
      <c r="AH406" s="40" t="s">
        <v>393</v>
      </c>
      <c r="AI406" s="41">
        <v>44732.958333333336</v>
      </c>
      <c r="AJ406" s="40"/>
      <c r="AK406" s="43">
        <v>950</v>
      </c>
      <c r="AL406" s="40"/>
      <c r="AM406" s="43">
        <v>0</v>
      </c>
      <c r="AN406" s="43">
        <v>2100</v>
      </c>
      <c r="AO406" s="43">
        <v>900</v>
      </c>
      <c r="AP406" s="43"/>
      <c r="AQ406" s="43">
        <v>3000</v>
      </c>
      <c r="AR406" s="43">
        <v>0</v>
      </c>
      <c r="AS406" s="43"/>
      <c r="AT406" s="43">
        <v>0</v>
      </c>
      <c r="AU406" s="43"/>
      <c r="AV406" s="43"/>
      <c r="AW406" s="43"/>
      <c r="AX406" s="43">
        <v>0</v>
      </c>
      <c r="AY406" s="43">
        <v>0</v>
      </c>
      <c r="AZ406" s="43">
        <v>0</v>
      </c>
      <c r="BA406" s="43">
        <v>0</v>
      </c>
      <c r="BB406" s="43">
        <v>0</v>
      </c>
      <c r="BC406" s="43">
        <v>0</v>
      </c>
      <c r="BD406" s="43">
        <v>0</v>
      </c>
      <c r="BE406" s="43">
        <v>0</v>
      </c>
      <c r="BF406" s="43">
        <v>0</v>
      </c>
      <c r="BG406" s="43">
        <v>0</v>
      </c>
      <c r="BH406" s="43">
        <v>0</v>
      </c>
      <c r="BI406" s="40" t="s">
        <v>1608</v>
      </c>
      <c r="BJ406" s="40">
        <v>2022</v>
      </c>
      <c r="BK406" s="40" t="s">
        <v>2768</v>
      </c>
      <c r="BL406" s="40" t="s">
        <v>2768</v>
      </c>
      <c r="BM406" s="40" t="s">
        <v>2768</v>
      </c>
    </row>
    <row r="407" spans="1:65" x14ac:dyDescent="0.25">
      <c r="A407" s="40" t="s">
        <v>2771</v>
      </c>
      <c r="B407" s="41">
        <v>44732.458333333336</v>
      </c>
      <c r="C407" s="40" t="s">
        <v>297</v>
      </c>
      <c r="D407" s="40" t="s">
        <v>298</v>
      </c>
      <c r="E407" s="40" t="s">
        <v>1658</v>
      </c>
      <c r="F407" s="40">
        <v>68154148</v>
      </c>
      <c r="G407" s="40" t="s">
        <v>1659</v>
      </c>
      <c r="H407" s="40" t="s">
        <v>301</v>
      </c>
      <c r="I407" s="40">
        <v>3680</v>
      </c>
      <c r="J407" s="40" t="s">
        <v>1660</v>
      </c>
      <c r="K407" s="40">
        <v>20022</v>
      </c>
      <c r="L407" s="40">
        <v>23702</v>
      </c>
      <c r="M407" s="40">
        <v>749790</v>
      </c>
      <c r="N407" s="40" t="s">
        <v>1656</v>
      </c>
      <c r="O407" s="40" t="s">
        <v>1661</v>
      </c>
      <c r="P407" s="40" t="s">
        <v>1662</v>
      </c>
      <c r="Q407" s="40" t="s">
        <v>1663</v>
      </c>
      <c r="R407" s="42" t="s">
        <v>1664</v>
      </c>
      <c r="S407" s="42" t="s">
        <v>1665</v>
      </c>
      <c r="T407" s="40" t="s">
        <v>292</v>
      </c>
      <c r="U407" s="41">
        <v>44730.478472222225</v>
      </c>
      <c r="V407" s="41">
        <v>44732.333333333336</v>
      </c>
      <c r="W407" s="41">
        <v>44732.833333333336</v>
      </c>
      <c r="X407" s="40" t="s">
        <v>293</v>
      </c>
      <c r="Y407" s="41">
        <v>44733.381249999999</v>
      </c>
      <c r="Z407" s="41">
        <v>44733.041666666664</v>
      </c>
      <c r="AA407" s="41">
        <v>44733.625</v>
      </c>
      <c r="AB407" s="41">
        <v>44736.75</v>
      </c>
      <c r="AC407" s="40" t="s">
        <v>418</v>
      </c>
      <c r="AD407" s="40">
        <v>12964</v>
      </c>
      <c r="AE407" s="40"/>
      <c r="AF407" s="40"/>
      <c r="AG407" s="40"/>
      <c r="AH407" s="40" t="s">
        <v>125</v>
      </c>
      <c r="AI407" s="41" t="s">
        <v>125</v>
      </c>
      <c r="AJ407" s="40" t="s">
        <v>125</v>
      </c>
      <c r="AK407" s="43" t="s">
        <v>125</v>
      </c>
      <c r="AL407" s="40"/>
      <c r="AM407" s="43">
        <v>0</v>
      </c>
      <c r="AN407" s="43">
        <v>2100</v>
      </c>
      <c r="AO407" s="43">
        <v>1100</v>
      </c>
      <c r="AP407" s="43"/>
      <c r="AQ407" s="43">
        <v>3200</v>
      </c>
      <c r="AR407" s="43">
        <v>0</v>
      </c>
      <c r="AS407" s="43"/>
      <c r="AT407" s="43">
        <v>0</v>
      </c>
      <c r="AU407" s="43"/>
      <c r="AV407" s="43"/>
      <c r="AW407" s="43"/>
      <c r="AX407" s="43">
        <v>0</v>
      </c>
      <c r="AY407" s="43">
        <v>0</v>
      </c>
      <c r="AZ407" s="43">
        <v>0</v>
      </c>
      <c r="BA407" s="43">
        <v>0</v>
      </c>
      <c r="BB407" s="43">
        <v>0</v>
      </c>
      <c r="BC407" s="43">
        <v>0</v>
      </c>
      <c r="BD407" s="43">
        <v>0</v>
      </c>
      <c r="BE407" s="43">
        <v>0</v>
      </c>
      <c r="BF407" s="43">
        <v>0</v>
      </c>
      <c r="BG407" s="43">
        <v>0</v>
      </c>
      <c r="BH407" s="43">
        <v>0</v>
      </c>
      <c r="BI407" s="40" t="s">
        <v>1608</v>
      </c>
      <c r="BJ407" s="40">
        <v>2022</v>
      </c>
      <c r="BK407" s="40" t="s">
        <v>2768</v>
      </c>
      <c r="BL407" s="40" t="s">
        <v>2768</v>
      </c>
      <c r="BM407" s="40" t="s">
        <v>2768</v>
      </c>
    </row>
    <row r="408" spans="1:65" x14ac:dyDescent="0.25">
      <c r="A408" s="40" t="s">
        <v>2771</v>
      </c>
      <c r="B408" s="41">
        <v>44732.541666666664</v>
      </c>
      <c r="C408" s="40" t="s">
        <v>297</v>
      </c>
      <c r="D408" s="40" t="s">
        <v>298</v>
      </c>
      <c r="E408" s="40" t="s">
        <v>1666</v>
      </c>
      <c r="F408" s="40">
        <v>68154148</v>
      </c>
      <c r="G408" s="40" t="s">
        <v>1667</v>
      </c>
      <c r="H408" s="40" t="s">
        <v>301</v>
      </c>
      <c r="I408" s="40">
        <v>3680</v>
      </c>
      <c r="J408" s="40" t="s">
        <v>1668</v>
      </c>
      <c r="K408" s="40">
        <v>26200</v>
      </c>
      <c r="L408" s="40">
        <v>29880</v>
      </c>
      <c r="M408" s="40">
        <v>749275</v>
      </c>
      <c r="N408" s="40" t="s">
        <v>1656</v>
      </c>
      <c r="O408" s="40" t="s">
        <v>890</v>
      </c>
      <c r="P408" s="40" t="s">
        <v>891</v>
      </c>
      <c r="Q408" s="40" t="s">
        <v>892</v>
      </c>
      <c r="R408" s="42" t="s">
        <v>893</v>
      </c>
      <c r="S408" s="42" t="s">
        <v>894</v>
      </c>
      <c r="T408" s="40" t="s">
        <v>292</v>
      </c>
      <c r="U408" s="41">
        <v>44730.520833333336</v>
      </c>
      <c r="V408" s="41">
        <v>44732.333333333336</v>
      </c>
      <c r="W408" s="41">
        <v>44732.427083333336</v>
      </c>
      <c r="X408" s="40" t="s">
        <v>293</v>
      </c>
      <c r="Y408" s="41">
        <v>44734.647916666669</v>
      </c>
      <c r="Z408" s="41">
        <v>44733.041666666664</v>
      </c>
      <c r="AA408" s="41">
        <v>44733.625</v>
      </c>
      <c r="AB408" s="41">
        <v>44736.75</v>
      </c>
      <c r="AC408" s="40" t="s">
        <v>418</v>
      </c>
      <c r="AD408" s="40">
        <v>12957</v>
      </c>
      <c r="AE408" s="40"/>
      <c r="AF408" s="40"/>
      <c r="AG408" s="40"/>
      <c r="AH408" s="40" t="s">
        <v>393</v>
      </c>
      <c r="AI408" s="41">
        <v>44732.583333333336</v>
      </c>
      <c r="AJ408" s="40"/>
      <c r="AK408" s="43">
        <v>950</v>
      </c>
      <c r="AL408" s="40"/>
      <c r="AM408" s="43">
        <v>0</v>
      </c>
      <c r="AN408" s="43">
        <v>2100</v>
      </c>
      <c r="AO408" s="43">
        <v>900</v>
      </c>
      <c r="AP408" s="43"/>
      <c r="AQ408" s="43">
        <v>3000</v>
      </c>
      <c r="AR408" s="43">
        <v>0</v>
      </c>
      <c r="AS408" s="43"/>
      <c r="AT408" s="43">
        <v>0</v>
      </c>
      <c r="AU408" s="43"/>
      <c r="AV408" s="43"/>
      <c r="AW408" s="43"/>
      <c r="AX408" s="43">
        <v>0</v>
      </c>
      <c r="AY408" s="43">
        <v>0</v>
      </c>
      <c r="AZ408" s="43">
        <v>0</v>
      </c>
      <c r="BA408" s="43">
        <v>0</v>
      </c>
      <c r="BB408" s="43">
        <v>0</v>
      </c>
      <c r="BC408" s="43">
        <v>0</v>
      </c>
      <c r="BD408" s="43">
        <v>0</v>
      </c>
      <c r="BE408" s="43">
        <v>0</v>
      </c>
      <c r="BF408" s="43">
        <v>0</v>
      </c>
      <c r="BG408" s="43">
        <v>0</v>
      </c>
      <c r="BH408" s="43">
        <v>0</v>
      </c>
      <c r="BI408" s="40" t="s">
        <v>1608</v>
      </c>
      <c r="BJ408" s="40">
        <v>2022</v>
      </c>
      <c r="BK408" s="40" t="s">
        <v>2768</v>
      </c>
      <c r="BL408" s="40" t="s">
        <v>2768</v>
      </c>
      <c r="BM408" s="40" t="s">
        <v>2768</v>
      </c>
    </row>
    <row r="409" spans="1:65" x14ac:dyDescent="0.25">
      <c r="A409" s="40" t="s">
        <v>2771</v>
      </c>
      <c r="B409" s="41">
        <v>44733.291666666664</v>
      </c>
      <c r="C409" s="40" t="s">
        <v>353</v>
      </c>
      <c r="D409" s="40" t="s">
        <v>354</v>
      </c>
      <c r="E409" s="40">
        <v>7780098</v>
      </c>
      <c r="F409" s="40">
        <v>219016150</v>
      </c>
      <c r="G409" s="40" t="s">
        <v>1669</v>
      </c>
      <c r="H409" s="40" t="s">
        <v>301</v>
      </c>
      <c r="I409" s="40">
        <v>3880</v>
      </c>
      <c r="J409" s="40" t="s">
        <v>1670</v>
      </c>
      <c r="K409" s="40">
        <v>25322</v>
      </c>
      <c r="L409" s="40">
        <v>29202</v>
      </c>
      <c r="M409" s="40">
        <v>616328</v>
      </c>
      <c r="N409" s="40" t="s">
        <v>1671</v>
      </c>
      <c r="O409" s="40" t="s">
        <v>26</v>
      </c>
      <c r="P409" s="40" t="s">
        <v>120</v>
      </c>
      <c r="Q409" s="40" t="s">
        <v>121</v>
      </c>
      <c r="R409" s="42" t="s">
        <v>122</v>
      </c>
      <c r="S409" s="42"/>
      <c r="T409" s="40" t="s">
        <v>409</v>
      </c>
      <c r="U409" s="41">
        <v>44732.736805555556</v>
      </c>
      <c r="V409" s="41">
        <v>44733.4375</v>
      </c>
      <c r="W409" s="41">
        <v>44733.906944444447</v>
      </c>
      <c r="X409" s="40" t="s">
        <v>410</v>
      </c>
      <c r="Y409" s="41">
        <v>44734.814583333333</v>
      </c>
      <c r="Z409" s="41" t="s">
        <v>1672</v>
      </c>
      <c r="AA409" s="41">
        <v>44733.5</v>
      </c>
      <c r="AB409" s="41">
        <v>44736.75</v>
      </c>
      <c r="AC409" s="40" t="s">
        <v>1673</v>
      </c>
      <c r="AD409" s="40">
        <v>12976</v>
      </c>
      <c r="AE409" s="40" t="s">
        <v>125</v>
      </c>
      <c r="AF409" s="40" t="s">
        <v>125</v>
      </c>
      <c r="AG409" s="40"/>
      <c r="AH409" s="40" t="s">
        <v>393</v>
      </c>
      <c r="AI409" s="41">
        <v>44734.041666666664</v>
      </c>
      <c r="AJ409" s="40" t="s">
        <v>125</v>
      </c>
      <c r="AK409" s="43">
        <v>950</v>
      </c>
      <c r="AL409" s="40"/>
      <c r="AM409" s="43">
        <v>0</v>
      </c>
      <c r="AN409" s="43">
        <v>2790.8</v>
      </c>
      <c r="AO409" s="43"/>
      <c r="AP409" s="43">
        <v>409.2</v>
      </c>
      <c r="AQ409" s="43">
        <v>3200</v>
      </c>
      <c r="AR409" s="43">
        <v>0</v>
      </c>
      <c r="AS409" s="43"/>
      <c r="AT409" s="43">
        <v>0</v>
      </c>
      <c r="AU409" s="43"/>
      <c r="AV409" s="43"/>
      <c r="AW409" s="43"/>
      <c r="AX409" s="43">
        <v>0</v>
      </c>
      <c r="AY409" s="43">
        <v>0</v>
      </c>
      <c r="AZ409" s="43">
        <v>0</v>
      </c>
      <c r="BA409" s="43">
        <v>0</v>
      </c>
      <c r="BB409" s="43">
        <v>0</v>
      </c>
      <c r="BC409" s="43">
        <v>0</v>
      </c>
      <c r="BD409" s="43">
        <v>0</v>
      </c>
      <c r="BE409" s="43">
        <v>0</v>
      </c>
      <c r="BF409" s="43">
        <v>0</v>
      </c>
      <c r="BG409" s="43">
        <v>0</v>
      </c>
      <c r="BH409" s="43">
        <v>0</v>
      </c>
      <c r="BI409" s="40" t="s">
        <v>1608</v>
      </c>
      <c r="BJ409" s="40">
        <v>2022</v>
      </c>
      <c r="BK409" s="40" t="s">
        <v>2768</v>
      </c>
      <c r="BL409" s="40" t="s">
        <v>2768</v>
      </c>
      <c r="BM409" s="40" t="s">
        <v>2768</v>
      </c>
    </row>
    <row r="410" spans="1:65" x14ac:dyDescent="0.25">
      <c r="A410" s="36" t="s">
        <v>836</v>
      </c>
      <c r="B410" s="37">
        <v>44735.291666666664</v>
      </c>
      <c r="C410" s="36" t="s">
        <v>1674</v>
      </c>
      <c r="D410" s="36" t="s">
        <v>1675</v>
      </c>
      <c r="E410" s="36"/>
      <c r="F410" s="36" t="s">
        <v>1676</v>
      </c>
      <c r="G410" s="36"/>
      <c r="H410" s="36" t="s">
        <v>301</v>
      </c>
      <c r="I410" s="36"/>
      <c r="J410" s="36"/>
      <c r="K410" s="36"/>
      <c r="L410" s="36">
        <v>0</v>
      </c>
      <c r="M410" s="36"/>
      <c r="N410" s="36" t="s">
        <v>1677</v>
      </c>
      <c r="O410" s="36"/>
      <c r="P410" s="36"/>
      <c r="Q410" s="36"/>
      <c r="R410" s="38"/>
      <c r="S410" s="38"/>
      <c r="T410" s="36" t="s">
        <v>409</v>
      </c>
      <c r="U410" s="37"/>
      <c r="V410" s="37"/>
      <c r="W410" s="37"/>
      <c r="X410" s="36" t="s">
        <v>1569</v>
      </c>
      <c r="Y410" s="37"/>
      <c r="Z410" s="37"/>
      <c r="AA410" s="37">
        <v>44734.75</v>
      </c>
      <c r="AB410" s="37">
        <v>44736.458333333336</v>
      </c>
      <c r="AC410" s="36" t="s">
        <v>1221</v>
      </c>
      <c r="AD410" s="36"/>
      <c r="AE410" s="36"/>
      <c r="AF410" s="36"/>
      <c r="AG410" s="36"/>
      <c r="AH410" s="36"/>
      <c r="AI410" s="37"/>
      <c r="AJ410" s="36"/>
      <c r="AK410" s="39"/>
      <c r="AL410" s="36"/>
      <c r="AM410" s="39">
        <v>0</v>
      </c>
      <c r="AN410" s="39"/>
      <c r="AO410" s="39"/>
      <c r="AP410" s="39"/>
      <c r="AQ410" s="39">
        <v>0</v>
      </c>
      <c r="AR410" s="39">
        <v>0</v>
      </c>
      <c r="AS410" s="39"/>
      <c r="AT410" s="39">
        <v>0</v>
      </c>
      <c r="AU410" s="39"/>
      <c r="AV410" s="39"/>
      <c r="AW410" s="39"/>
      <c r="AX410" s="39">
        <v>0</v>
      </c>
      <c r="AY410" s="39">
        <v>0</v>
      </c>
      <c r="AZ410" s="39">
        <v>0</v>
      </c>
      <c r="BA410" s="39">
        <v>0</v>
      </c>
      <c r="BB410" s="39">
        <v>0</v>
      </c>
      <c r="BC410" s="39">
        <v>0</v>
      </c>
      <c r="BD410" s="39">
        <v>0</v>
      </c>
      <c r="BE410" s="39">
        <v>0</v>
      </c>
      <c r="BF410" s="39">
        <v>0</v>
      </c>
      <c r="BG410" s="39">
        <v>0</v>
      </c>
      <c r="BH410" s="39">
        <v>0</v>
      </c>
      <c r="BI410" s="36" t="s">
        <v>453</v>
      </c>
      <c r="BJ410" s="36">
        <v>1900</v>
      </c>
      <c r="BK410" s="36"/>
      <c r="BL410" s="36"/>
      <c r="BM410" s="36"/>
    </row>
    <row r="411" spans="1:65" x14ac:dyDescent="0.25">
      <c r="A411" s="36" t="s">
        <v>836</v>
      </c>
      <c r="B411" s="37">
        <v>44735.291666666664</v>
      </c>
      <c r="C411" s="36" t="s">
        <v>1674</v>
      </c>
      <c r="D411" s="36" t="s">
        <v>1675</v>
      </c>
      <c r="E411" s="36"/>
      <c r="F411" s="36" t="s">
        <v>1678</v>
      </c>
      <c r="G411" s="36"/>
      <c r="H411" s="36" t="s">
        <v>301</v>
      </c>
      <c r="I411" s="36"/>
      <c r="J411" s="36"/>
      <c r="K411" s="36"/>
      <c r="L411" s="36">
        <v>0</v>
      </c>
      <c r="M411" s="36"/>
      <c r="N411" s="36" t="s">
        <v>1677</v>
      </c>
      <c r="O411" s="36"/>
      <c r="P411" s="36"/>
      <c r="Q411" s="36"/>
      <c r="R411" s="38"/>
      <c r="S411" s="38"/>
      <c r="T411" s="36" t="s">
        <v>409</v>
      </c>
      <c r="U411" s="37"/>
      <c r="V411" s="37"/>
      <c r="W411" s="37"/>
      <c r="X411" s="36" t="s">
        <v>1569</v>
      </c>
      <c r="Y411" s="37"/>
      <c r="Z411" s="37"/>
      <c r="AA411" s="37">
        <v>44734.75</v>
      </c>
      <c r="AB411" s="37">
        <v>44736.458333333336</v>
      </c>
      <c r="AC411" s="36" t="s">
        <v>1221</v>
      </c>
      <c r="AD411" s="36"/>
      <c r="AE411" s="36"/>
      <c r="AF411" s="36"/>
      <c r="AG411" s="36"/>
      <c r="AH411" s="36"/>
      <c r="AI411" s="37"/>
      <c r="AJ411" s="36"/>
      <c r="AK411" s="39"/>
      <c r="AL411" s="36"/>
      <c r="AM411" s="39">
        <v>0</v>
      </c>
      <c r="AN411" s="39"/>
      <c r="AO411" s="39"/>
      <c r="AP411" s="39"/>
      <c r="AQ411" s="39">
        <v>0</v>
      </c>
      <c r="AR411" s="39">
        <v>0</v>
      </c>
      <c r="AS411" s="39"/>
      <c r="AT411" s="39">
        <v>0</v>
      </c>
      <c r="AU411" s="39"/>
      <c r="AV411" s="39"/>
      <c r="AW411" s="39"/>
      <c r="AX411" s="39">
        <v>0</v>
      </c>
      <c r="AY411" s="39">
        <v>0</v>
      </c>
      <c r="AZ411" s="39">
        <v>0</v>
      </c>
      <c r="BA411" s="39">
        <v>0</v>
      </c>
      <c r="BB411" s="39">
        <v>0</v>
      </c>
      <c r="BC411" s="39">
        <v>0</v>
      </c>
      <c r="BD411" s="39">
        <v>0</v>
      </c>
      <c r="BE411" s="39">
        <v>0</v>
      </c>
      <c r="BF411" s="39">
        <v>0</v>
      </c>
      <c r="BG411" s="39">
        <v>0</v>
      </c>
      <c r="BH411" s="39">
        <v>0</v>
      </c>
      <c r="BI411" s="36" t="s">
        <v>453</v>
      </c>
      <c r="BJ411" s="36">
        <v>1900</v>
      </c>
      <c r="BK411" s="36"/>
      <c r="BL411" s="36"/>
      <c r="BM411" s="36"/>
    </row>
    <row r="412" spans="1:65" x14ac:dyDescent="0.25">
      <c r="A412" s="40" t="s">
        <v>2771</v>
      </c>
      <c r="B412" s="41">
        <v>44739.333333333336</v>
      </c>
      <c r="C412" s="40" t="s">
        <v>696</v>
      </c>
      <c r="D412" s="40" t="s">
        <v>697</v>
      </c>
      <c r="E412" s="40" t="s">
        <v>1679</v>
      </c>
      <c r="F412" s="40" t="s">
        <v>1680</v>
      </c>
      <c r="G412" s="40" t="s">
        <v>1681</v>
      </c>
      <c r="H412" s="40" t="s">
        <v>288</v>
      </c>
      <c r="I412" s="40">
        <v>2180</v>
      </c>
      <c r="J412" s="40">
        <v>109564</v>
      </c>
      <c r="K412" s="40">
        <v>6700</v>
      </c>
      <c r="L412" s="40">
        <v>8880</v>
      </c>
      <c r="M412" s="40"/>
      <c r="N412" s="40" t="s">
        <v>1682</v>
      </c>
      <c r="O412" s="40" t="s">
        <v>845</v>
      </c>
      <c r="P412" s="40" t="s">
        <v>125</v>
      </c>
      <c r="Q412" s="40" t="s">
        <v>847</v>
      </c>
      <c r="R412" s="42" t="s">
        <v>848</v>
      </c>
      <c r="S412" s="42" t="s">
        <v>849</v>
      </c>
      <c r="T412" s="40" t="s">
        <v>293</v>
      </c>
      <c r="U412" s="41">
        <v>44739.041666666664</v>
      </c>
      <c r="V412" s="41">
        <v>44739.25</v>
      </c>
      <c r="W412" s="41">
        <v>44739.375</v>
      </c>
      <c r="X412" s="40" t="s">
        <v>292</v>
      </c>
      <c r="Y412" s="41">
        <v>44739.536111111112</v>
      </c>
      <c r="Z412" s="41"/>
      <c r="AA412" s="41"/>
      <c r="AB412" s="41"/>
      <c r="AC412" s="40"/>
      <c r="AD412" s="40"/>
      <c r="AE412" s="40"/>
      <c r="AF412" s="40"/>
      <c r="AG412" s="40"/>
      <c r="AH412" s="40"/>
      <c r="AI412" s="41"/>
      <c r="AJ412" s="40"/>
      <c r="AK412" s="43"/>
      <c r="AL412" s="40"/>
      <c r="AM412" s="43">
        <v>0</v>
      </c>
      <c r="AN412" s="43">
        <v>1500</v>
      </c>
      <c r="AO412" s="43"/>
      <c r="AP412" s="43"/>
      <c r="AQ412" s="43">
        <v>1500</v>
      </c>
      <c r="AR412" s="43">
        <v>0</v>
      </c>
      <c r="AS412" s="43"/>
      <c r="AT412" s="43">
        <v>0</v>
      </c>
      <c r="AU412" s="43"/>
      <c r="AV412" s="43"/>
      <c r="AW412" s="43"/>
      <c r="AX412" s="43">
        <v>0</v>
      </c>
      <c r="AY412" s="43">
        <v>0</v>
      </c>
      <c r="AZ412" s="43">
        <v>0</v>
      </c>
      <c r="BA412" s="43">
        <v>0</v>
      </c>
      <c r="BB412" s="43">
        <v>0</v>
      </c>
      <c r="BC412" s="43">
        <v>0</v>
      </c>
      <c r="BD412" s="43">
        <v>0</v>
      </c>
      <c r="BE412" s="43">
        <v>0</v>
      </c>
      <c r="BF412" s="43">
        <v>0</v>
      </c>
      <c r="BG412" s="43">
        <v>0</v>
      </c>
      <c r="BH412" s="43">
        <v>0</v>
      </c>
      <c r="BI412" s="40" t="s">
        <v>1608</v>
      </c>
      <c r="BJ412" s="40">
        <v>2022</v>
      </c>
      <c r="BK412" s="40"/>
      <c r="BL412" s="40"/>
      <c r="BM412" s="40"/>
    </row>
    <row r="413" spans="1:65" x14ac:dyDescent="0.25">
      <c r="A413" s="40" t="s">
        <v>2771</v>
      </c>
      <c r="B413" s="41">
        <v>44739.291666666664</v>
      </c>
      <c r="C413" s="40" t="s">
        <v>353</v>
      </c>
      <c r="D413" s="40" t="s">
        <v>354</v>
      </c>
      <c r="E413" s="40">
        <v>6827805</v>
      </c>
      <c r="F413" s="40" t="s">
        <v>1683</v>
      </c>
      <c r="G413" s="40" t="s">
        <v>1684</v>
      </c>
      <c r="H413" s="40" t="s">
        <v>301</v>
      </c>
      <c r="I413" s="40">
        <v>3810</v>
      </c>
      <c r="J413" s="40" t="s">
        <v>1685</v>
      </c>
      <c r="K413" s="40">
        <v>26232</v>
      </c>
      <c r="L413" s="40">
        <v>30042</v>
      </c>
      <c r="M413" s="40">
        <v>617572</v>
      </c>
      <c r="N413" s="40" t="s">
        <v>1686</v>
      </c>
      <c r="O413" s="40" t="s">
        <v>1365</v>
      </c>
      <c r="P413" s="40" t="s">
        <v>1366</v>
      </c>
      <c r="Q413" s="40" t="s">
        <v>1367</v>
      </c>
      <c r="R413" s="42" t="s">
        <v>1368</v>
      </c>
      <c r="S413" s="42" t="s">
        <v>1687</v>
      </c>
      <c r="T413" s="40" t="s">
        <v>292</v>
      </c>
      <c r="U413" s="41">
        <v>44739.333333333336</v>
      </c>
      <c r="V413" s="41">
        <v>44739.5</v>
      </c>
      <c r="W413" s="41">
        <v>44739.75</v>
      </c>
      <c r="X413" s="40" t="s">
        <v>410</v>
      </c>
      <c r="Y413" s="41">
        <v>44742.679166666669</v>
      </c>
      <c r="Z413" s="41">
        <v>44741.791666666664</v>
      </c>
      <c r="AA413" s="41">
        <v>44732.5</v>
      </c>
      <c r="AB413" s="41">
        <v>44745.75</v>
      </c>
      <c r="AC413" s="40" t="s">
        <v>811</v>
      </c>
      <c r="AD413" s="40">
        <v>13023</v>
      </c>
      <c r="AE413" s="40" t="s">
        <v>125</v>
      </c>
      <c r="AF413" s="40" t="s">
        <v>125</v>
      </c>
      <c r="AG413" s="40"/>
      <c r="AH413" s="40" t="s">
        <v>393</v>
      </c>
      <c r="AI413" s="41">
        <v>44740.041666666664</v>
      </c>
      <c r="AJ413" s="40" t="s">
        <v>125</v>
      </c>
      <c r="AK413" s="43">
        <v>950</v>
      </c>
      <c r="AL413" s="40"/>
      <c r="AM413" s="43">
        <v>0</v>
      </c>
      <c r="AN413" s="43">
        <v>91.5</v>
      </c>
      <c r="AO413" s="43"/>
      <c r="AP413" s="43"/>
      <c r="AQ413" s="43">
        <v>91.5</v>
      </c>
      <c r="AR413" s="43">
        <v>0</v>
      </c>
      <c r="AS413" s="43"/>
      <c r="AT413" s="43">
        <v>0</v>
      </c>
      <c r="AU413" s="43"/>
      <c r="AV413" s="43"/>
      <c r="AW413" s="43"/>
      <c r="AX413" s="43">
        <v>0</v>
      </c>
      <c r="AY413" s="43">
        <v>0</v>
      </c>
      <c r="AZ413" s="43">
        <v>0</v>
      </c>
      <c r="BA413" s="43">
        <v>0</v>
      </c>
      <c r="BB413" s="43">
        <v>0</v>
      </c>
      <c r="BC413" s="43">
        <v>0</v>
      </c>
      <c r="BD413" s="43">
        <v>0</v>
      </c>
      <c r="BE413" s="43">
        <v>0</v>
      </c>
      <c r="BF413" s="43">
        <v>0</v>
      </c>
      <c r="BG413" s="43">
        <v>0</v>
      </c>
      <c r="BH413" s="43">
        <v>0</v>
      </c>
      <c r="BI413" s="40" t="s">
        <v>1608</v>
      </c>
      <c r="BJ413" s="40">
        <v>2022</v>
      </c>
      <c r="BK413" s="40" t="s">
        <v>2768</v>
      </c>
      <c r="BL413" s="40" t="s">
        <v>2768</v>
      </c>
      <c r="BM413" s="40" t="s">
        <v>2768</v>
      </c>
    </row>
    <row r="414" spans="1:65" x14ac:dyDescent="0.25">
      <c r="A414" s="40" t="s">
        <v>2771</v>
      </c>
      <c r="B414" s="41">
        <v>44739.291666666664</v>
      </c>
      <c r="C414" s="40" t="s">
        <v>449</v>
      </c>
      <c r="D414" s="40" t="s">
        <v>450</v>
      </c>
      <c r="E414" s="40" t="s">
        <v>1688</v>
      </c>
      <c r="F414" s="40" t="s">
        <v>1689</v>
      </c>
      <c r="G414" s="40" t="s">
        <v>1690</v>
      </c>
      <c r="H414" s="40" t="s">
        <v>288</v>
      </c>
      <c r="I414" s="40">
        <v>2200</v>
      </c>
      <c r="J414" s="40" t="s">
        <v>1691</v>
      </c>
      <c r="K414" s="40">
        <v>20815</v>
      </c>
      <c r="L414" s="40">
        <v>23015</v>
      </c>
      <c r="M414" s="40">
        <v>34637</v>
      </c>
      <c r="N414" s="40" t="s">
        <v>1686</v>
      </c>
      <c r="O414" s="40" t="s">
        <v>182</v>
      </c>
      <c r="P414" s="40" t="s">
        <v>183</v>
      </c>
      <c r="Q414" s="40" t="s">
        <v>184</v>
      </c>
      <c r="R414" s="42" t="s">
        <v>185</v>
      </c>
      <c r="S414" s="42" t="s">
        <v>186</v>
      </c>
      <c r="T414" s="40" t="s">
        <v>469</v>
      </c>
      <c r="U414" s="41">
        <v>44737.375</v>
      </c>
      <c r="V414" s="41">
        <v>44739.25</v>
      </c>
      <c r="W414" s="41">
        <v>44739.625</v>
      </c>
      <c r="X414" s="40" t="s">
        <v>410</v>
      </c>
      <c r="Y414" s="41">
        <v>44742.643055555556</v>
      </c>
      <c r="Z414" s="41">
        <v>44738.333333333336</v>
      </c>
      <c r="AA414" s="41">
        <v>44739.5</v>
      </c>
      <c r="AB414" s="41">
        <v>44745.75</v>
      </c>
      <c r="AC414" s="40" t="s">
        <v>1629</v>
      </c>
      <c r="AD414" s="40">
        <v>364</v>
      </c>
      <c r="AE414" s="40" t="s">
        <v>125</v>
      </c>
      <c r="AF414" s="40" t="s">
        <v>125</v>
      </c>
      <c r="AG414" s="40"/>
      <c r="AH414" s="40" t="s">
        <v>393</v>
      </c>
      <c r="AI414" s="41">
        <v>44739.958333333336</v>
      </c>
      <c r="AJ414" s="40" t="s">
        <v>125</v>
      </c>
      <c r="AK414" s="43">
        <v>950</v>
      </c>
      <c r="AL414" s="40"/>
      <c r="AM414" s="43">
        <v>0</v>
      </c>
      <c r="AN414" s="43">
        <v>2500</v>
      </c>
      <c r="AO414" s="43">
        <v>1200</v>
      </c>
      <c r="AP414" s="43"/>
      <c r="AQ414" s="43">
        <v>3700</v>
      </c>
      <c r="AR414" s="43">
        <v>0</v>
      </c>
      <c r="AS414" s="43"/>
      <c r="AT414" s="43">
        <v>0</v>
      </c>
      <c r="AU414" s="43"/>
      <c r="AV414" s="43"/>
      <c r="AW414" s="43"/>
      <c r="AX414" s="43">
        <v>0</v>
      </c>
      <c r="AY414" s="43">
        <v>0</v>
      </c>
      <c r="AZ414" s="43">
        <v>0</v>
      </c>
      <c r="BA414" s="43">
        <v>0</v>
      </c>
      <c r="BB414" s="43">
        <v>0</v>
      </c>
      <c r="BC414" s="43">
        <v>0</v>
      </c>
      <c r="BD414" s="43">
        <v>0</v>
      </c>
      <c r="BE414" s="43">
        <v>0</v>
      </c>
      <c r="BF414" s="43">
        <v>0</v>
      </c>
      <c r="BG414" s="43">
        <v>0</v>
      </c>
      <c r="BH414" s="43">
        <v>0</v>
      </c>
      <c r="BI414" s="40" t="s">
        <v>1608</v>
      </c>
      <c r="BJ414" s="40">
        <v>2022</v>
      </c>
      <c r="BK414" s="40" t="s">
        <v>2768</v>
      </c>
      <c r="BL414" s="40" t="s">
        <v>2768</v>
      </c>
      <c r="BM414" s="40" t="s">
        <v>2768</v>
      </c>
    </row>
    <row r="415" spans="1:65" x14ac:dyDescent="0.25">
      <c r="A415" s="40" t="s">
        <v>2771</v>
      </c>
      <c r="B415" s="41">
        <v>44739.291666666664</v>
      </c>
      <c r="C415" s="40" t="s">
        <v>449</v>
      </c>
      <c r="D415" s="40" t="s">
        <v>450</v>
      </c>
      <c r="E415" s="40" t="s">
        <v>1692</v>
      </c>
      <c r="F415" s="40" t="s">
        <v>1693</v>
      </c>
      <c r="G415" s="40" t="s">
        <v>1694</v>
      </c>
      <c r="H415" s="40" t="s">
        <v>288</v>
      </c>
      <c r="I415" s="40">
        <v>2220</v>
      </c>
      <c r="J415" s="40" t="s">
        <v>1695</v>
      </c>
      <c r="K415" s="40">
        <v>19893</v>
      </c>
      <c r="L415" s="40">
        <v>22113</v>
      </c>
      <c r="M415" s="40">
        <v>34638</v>
      </c>
      <c r="N415" s="40" t="s">
        <v>1686</v>
      </c>
      <c r="O415" s="40" t="s">
        <v>182</v>
      </c>
      <c r="P415" s="40" t="s">
        <v>744</v>
      </c>
      <c r="Q415" s="40" t="s">
        <v>184</v>
      </c>
      <c r="R415" s="42" t="s">
        <v>185</v>
      </c>
      <c r="S415" s="42" t="s">
        <v>186</v>
      </c>
      <c r="T415" s="40" t="s">
        <v>469</v>
      </c>
      <c r="U415" s="41">
        <v>44737.375</v>
      </c>
      <c r="V415" s="41">
        <v>44739.25</v>
      </c>
      <c r="W415" s="41">
        <v>44739.625</v>
      </c>
      <c r="X415" s="40" t="s">
        <v>410</v>
      </c>
      <c r="Y415" s="41">
        <v>44742.64166666667</v>
      </c>
      <c r="Z415" s="41">
        <v>44738.333333333336</v>
      </c>
      <c r="AA415" s="41">
        <v>44739.5</v>
      </c>
      <c r="AB415" s="41">
        <v>44745.75</v>
      </c>
      <c r="AC415" s="40" t="s">
        <v>1629</v>
      </c>
      <c r="AD415" s="40">
        <v>363</v>
      </c>
      <c r="AE415" s="40" t="s">
        <v>125</v>
      </c>
      <c r="AF415" s="40" t="s">
        <v>125</v>
      </c>
      <c r="AG415" s="40"/>
      <c r="AH415" s="40" t="s">
        <v>393</v>
      </c>
      <c r="AI415" s="41">
        <v>44739.958333333336</v>
      </c>
      <c r="AJ415" s="40" t="s">
        <v>125</v>
      </c>
      <c r="AK415" s="43">
        <v>950</v>
      </c>
      <c r="AL415" s="40"/>
      <c r="AM415" s="43">
        <v>0</v>
      </c>
      <c r="AN415" s="43">
        <v>2500</v>
      </c>
      <c r="AO415" s="43">
        <v>1200</v>
      </c>
      <c r="AP415" s="43"/>
      <c r="AQ415" s="43">
        <v>3700</v>
      </c>
      <c r="AR415" s="43">
        <v>0</v>
      </c>
      <c r="AS415" s="43"/>
      <c r="AT415" s="43">
        <v>0</v>
      </c>
      <c r="AU415" s="43"/>
      <c r="AV415" s="43"/>
      <c r="AW415" s="43"/>
      <c r="AX415" s="43">
        <v>0</v>
      </c>
      <c r="AY415" s="43">
        <v>0</v>
      </c>
      <c r="AZ415" s="43">
        <v>0</v>
      </c>
      <c r="BA415" s="43">
        <v>0</v>
      </c>
      <c r="BB415" s="43">
        <v>0</v>
      </c>
      <c r="BC415" s="43">
        <v>0</v>
      </c>
      <c r="BD415" s="43">
        <v>0</v>
      </c>
      <c r="BE415" s="43">
        <v>0</v>
      </c>
      <c r="BF415" s="43">
        <v>0</v>
      </c>
      <c r="BG415" s="43">
        <v>0</v>
      </c>
      <c r="BH415" s="43">
        <v>0</v>
      </c>
      <c r="BI415" s="40" t="s">
        <v>1608</v>
      </c>
      <c r="BJ415" s="40">
        <v>2022</v>
      </c>
      <c r="BK415" s="40" t="s">
        <v>2768</v>
      </c>
      <c r="BL415" s="40" t="s">
        <v>2768</v>
      </c>
      <c r="BM415" s="40" t="s">
        <v>2768</v>
      </c>
    </row>
    <row r="416" spans="1:65" x14ac:dyDescent="0.25">
      <c r="A416" s="40" t="s">
        <v>2771</v>
      </c>
      <c r="B416" s="41">
        <v>44740.291666666664</v>
      </c>
      <c r="C416" s="40" t="s">
        <v>449</v>
      </c>
      <c r="D416" s="40" t="s">
        <v>450</v>
      </c>
      <c r="E416" s="40" t="s">
        <v>1696</v>
      </c>
      <c r="F416" s="40" t="s">
        <v>1697</v>
      </c>
      <c r="G416" s="40" t="s">
        <v>1698</v>
      </c>
      <c r="H416" s="40" t="s">
        <v>288</v>
      </c>
      <c r="I416" s="40">
        <v>2230</v>
      </c>
      <c r="J416" s="40" t="s">
        <v>1699</v>
      </c>
      <c r="K416" s="40">
        <v>26993</v>
      </c>
      <c r="L416" s="40">
        <v>29223</v>
      </c>
      <c r="M416" s="40">
        <v>34649</v>
      </c>
      <c r="N416" s="40" t="s">
        <v>1700</v>
      </c>
      <c r="O416" s="40" t="s">
        <v>37</v>
      </c>
      <c r="P416" s="40" t="s">
        <v>38</v>
      </c>
      <c r="Q416" s="40" t="s">
        <v>39</v>
      </c>
      <c r="R416" s="42" t="s">
        <v>40</v>
      </c>
      <c r="S416" s="42" t="s">
        <v>41</v>
      </c>
      <c r="T416" s="40" t="s">
        <v>526</v>
      </c>
      <c r="U416" s="41">
        <v>44739.666666666664</v>
      </c>
      <c r="V416" s="41">
        <v>44740.25</v>
      </c>
      <c r="W416" s="41">
        <v>44740.541666666664</v>
      </c>
      <c r="X416" s="40" t="s">
        <v>306</v>
      </c>
      <c r="Y416" s="41">
        <v>44741</v>
      </c>
      <c r="Z416" s="41">
        <v>44740.958333333336</v>
      </c>
      <c r="AA416" s="41">
        <v>44740.583333333336</v>
      </c>
      <c r="AB416" s="41">
        <v>44742.75</v>
      </c>
      <c r="AC416" s="40" t="s">
        <v>452</v>
      </c>
      <c r="AD416" s="40">
        <v>378</v>
      </c>
      <c r="AE416" s="40" t="s">
        <v>125</v>
      </c>
      <c r="AF416" s="40" t="s">
        <v>125</v>
      </c>
      <c r="AG416" s="40"/>
      <c r="AH416" s="40" t="s">
        <v>125</v>
      </c>
      <c r="AI416" s="41"/>
      <c r="AJ416" s="40"/>
      <c r="AK416" s="43"/>
      <c r="AL416" s="40"/>
      <c r="AM416" s="43">
        <v>0</v>
      </c>
      <c r="AN416" s="43">
        <v>3800</v>
      </c>
      <c r="AO416" s="43"/>
      <c r="AP416" s="43"/>
      <c r="AQ416" s="43">
        <v>3800</v>
      </c>
      <c r="AR416" s="43">
        <v>0</v>
      </c>
      <c r="AS416" s="43"/>
      <c r="AT416" s="43">
        <v>0</v>
      </c>
      <c r="AU416" s="43"/>
      <c r="AV416" s="43"/>
      <c r="AW416" s="43"/>
      <c r="AX416" s="43">
        <v>0</v>
      </c>
      <c r="AY416" s="43">
        <v>0</v>
      </c>
      <c r="AZ416" s="43">
        <v>0</v>
      </c>
      <c r="BA416" s="43">
        <v>0</v>
      </c>
      <c r="BB416" s="43">
        <v>0</v>
      </c>
      <c r="BC416" s="43">
        <v>0</v>
      </c>
      <c r="BD416" s="43">
        <v>0</v>
      </c>
      <c r="BE416" s="43">
        <v>0</v>
      </c>
      <c r="BF416" s="43">
        <v>0</v>
      </c>
      <c r="BG416" s="43">
        <v>0</v>
      </c>
      <c r="BH416" s="43">
        <v>0</v>
      </c>
      <c r="BI416" s="40" t="s">
        <v>1608</v>
      </c>
      <c r="BJ416" s="40">
        <v>2022</v>
      </c>
      <c r="BK416" s="40" t="s">
        <v>2768</v>
      </c>
      <c r="BL416" s="40" t="s">
        <v>2768</v>
      </c>
      <c r="BM416" s="40" t="s">
        <v>2768</v>
      </c>
    </row>
    <row r="417" spans="1:65" x14ac:dyDescent="0.25">
      <c r="A417" s="40" t="s">
        <v>2771</v>
      </c>
      <c r="B417" s="41">
        <v>44746.333333333336</v>
      </c>
      <c r="C417" s="40" t="s">
        <v>1414</v>
      </c>
      <c r="D417" s="40" t="s">
        <v>603</v>
      </c>
      <c r="E417" s="40" t="s">
        <v>1701</v>
      </c>
      <c r="F417" s="40">
        <v>21006880</v>
      </c>
      <c r="G417" s="40" t="s">
        <v>1702</v>
      </c>
      <c r="H417" s="40" t="s">
        <v>1418</v>
      </c>
      <c r="I417" s="40">
        <v>3700</v>
      </c>
      <c r="J417" s="40" t="s">
        <v>1703</v>
      </c>
      <c r="K417" s="40">
        <v>19650</v>
      </c>
      <c r="L417" s="40">
        <v>23350</v>
      </c>
      <c r="M417" s="40">
        <v>504809</v>
      </c>
      <c r="N417" s="40" t="s">
        <v>1704</v>
      </c>
      <c r="O417" s="40" t="s">
        <v>1365</v>
      </c>
      <c r="P417" s="40" t="s">
        <v>1366</v>
      </c>
      <c r="Q417" s="40" t="s">
        <v>1367</v>
      </c>
      <c r="R417" s="42" t="s">
        <v>1368</v>
      </c>
      <c r="S417" s="42" t="s">
        <v>1687</v>
      </c>
      <c r="T417" s="40" t="s">
        <v>1421</v>
      </c>
      <c r="U417" s="41">
        <v>44744.416666666664</v>
      </c>
      <c r="V417" s="41">
        <v>44745.791666666664</v>
      </c>
      <c r="W417" s="41">
        <v>44746.833333333336</v>
      </c>
      <c r="X417" s="40" t="s">
        <v>410</v>
      </c>
      <c r="Y417" s="41">
        <v>44748.315972222219</v>
      </c>
      <c r="Z417" s="41">
        <v>44744.291666666664</v>
      </c>
      <c r="AA417" s="41">
        <v>44747.5</v>
      </c>
      <c r="AB417" s="41">
        <v>44748.75</v>
      </c>
      <c r="AC417" s="40" t="s">
        <v>522</v>
      </c>
      <c r="AD417" s="40">
        <v>417</v>
      </c>
      <c r="AE417" s="40" t="s">
        <v>125</v>
      </c>
      <c r="AF417" s="40" t="s">
        <v>125</v>
      </c>
      <c r="AG417" s="40" t="s">
        <v>1705</v>
      </c>
      <c r="AH417" s="40"/>
      <c r="AI417" s="41"/>
      <c r="AJ417" s="40"/>
      <c r="AK417" s="43"/>
      <c r="AL417" s="40"/>
      <c r="AM417" s="43">
        <v>0</v>
      </c>
      <c r="AN417" s="43"/>
      <c r="AO417" s="43"/>
      <c r="AP417" s="43"/>
      <c r="AQ417" s="43">
        <v>0</v>
      </c>
      <c r="AR417" s="43">
        <v>0</v>
      </c>
      <c r="AS417" s="43"/>
      <c r="AT417" s="43">
        <v>0</v>
      </c>
      <c r="AU417" s="43"/>
      <c r="AV417" s="43"/>
      <c r="AW417" s="43"/>
      <c r="AX417" s="43">
        <v>0</v>
      </c>
      <c r="AY417" s="43">
        <v>0</v>
      </c>
      <c r="AZ417" s="43">
        <v>0</v>
      </c>
      <c r="BA417" s="43">
        <v>0</v>
      </c>
      <c r="BB417" s="43">
        <v>0</v>
      </c>
      <c r="BC417" s="43">
        <v>0</v>
      </c>
      <c r="BD417" s="43">
        <v>0</v>
      </c>
      <c r="BE417" s="43">
        <v>0</v>
      </c>
      <c r="BF417" s="43">
        <v>0</v>
      </c>
      <c r="BG417" s="43">
        <v>0</v>
      </c>
      <c r="BH417" s="43">
        <v>0</v>
      </c>
      <c r="BI417" s="40" t="s">
        <v>1706</v>
      </c>
      <c r="BJ417" s="40">
        <v>2022</v>
      </c>
      <c r="BK417" s="40" t="s">
        <v>2768</v>
      </c>
      <c r="BL417" s="40" t="s">
        <v>2768</v>
      </c>
      <c r="BM417" s="40" t="s">
        <v>2768</v>
      </c>
    </row>
    <row r="418" spans="1:65" x14ac:dyDescent="0.25">
      <c r="A418" s="40" t="s">
        <v>2771</v>
      </c>
      <c r="B418" s="41">
        <v>44746.333333333336</v>
      </c>
      <c r="C418" s="40" t="s">
        <v>297</v>
      </c>
      <c r="D418" s="40" t="s">
        <v>298</v>
      </c>
      <c r="E418" s="40" t="s">
        <v>1707</v>
      </c>
      <c r="F418" s="40">
        <v>66825813</v>
      </c>
      <c r="G418" s="40" t="s">
        <v>1708</v>
      </c>
      <c r="H418" s="40" t="s">
        <v>301</v>
      </c>
      <c r="I418" s="40">
        <v>3830</v>
      </c>
      <c r="J418" s="40" t="s">
        <v>1709</v>
      </c>
      <c r="K418" s="40">
        <v>20532</v>
      </c>
      <c r="L418" s="40">
        <v>24362</v>
      </c>
      <c r="M418" s="40">
        <v>754381</v>
      </c>
      <c r="N418" s="40" t="s">
        <v>1710</v>
      </c>
      <c r="O418" s="40" t="s">
        <v>890</v>
      </c>
      <c r="P418" s="40" t="s">
        <v>891</v>
      </c>
      <c r="Q418" s="40" t="s">
        <v>892</v>
      </c>
      <c r="R418" s="42" t="s">
        <v>893</v>
      </c>
      <c r="S418" s="42" t="s">
        <v>894</v>
      </c>
      <c r="T418" s="40" t="s">
        <v>292</v>
      </c>
      <c r="U418" s="41">
        <v>44744.375</v>
      </c>
      <c r="V418" s="41">
        <v>44746.291666666664</v>
      </c>
      <c r="W418" s="41">
        <v>44746.555555555555</v>
      </c>
      <c r="X418" s="40" t="s">
        <v>293</v>
      </c>
      <c r="Y418" s="41">
        <v>44746.881249999999</v>
      </c>
      <c r="Z418" s="41">
        <v>44745.291666666664</v>
      </c>
      <c r="AA418" s="41">
        <v>44747.5</v>
      </c>
      <c r="AB418" s="41">
        <v>44748.5</v>
      </c>
      <c r="AC418" s="40" t="s">
        <v>308</v>
      </c>
      <c r="AD418" s="40">
        <v>13135</v>
      </c>
      <c r="AE418" s="40" t="s">
        <v>125</v>
      </c>
      <c r="AF418" s="40" t="s">
        <v>125</v>
      </c>
      <c r="AG418" s="40"/>
      <c r="AH418" s="40"/>
      <c r="AI418" s="41"/>
      <c r="AJ418" s="40"/>
      <c r="AK418" s="43"/>
      <c r="AL418" s="40"/>
      <c r="AM418" s="43">
        <v>0</v>
      </c>
      <c r="AN418" s="43"/>
      <c r="AO418" s="43"/>
      <c r="AP418" s="43"/>
      <c r="AQ418" s="43">
        <v>0</v>
      </c>
      <c r="AR418" s="43">
        <v>0</v>
      </c>
      <c r="AS418" s="43"/>
      <c r="AT418" s="43">
        <v>0</v>
      </c>
      <c r="AU418" s="43"/>
      <c r="AV418" s="43"/>
      <c r="AW418" s="43"/>
      <c r="AX418" s="43">
        <v>0</v>
      </c>
      <c r="AY418" s="43">
        <v>0</v>
      </c>
      <c r="AZ418" s="43">
        <v>0</v>
      </c>
      <c r="BA418" s="43">
        <v>0</v>
      </c>
      <c r="BB418" s="43">
        <v>0</v>
      </c>
      <c r="BC418" s="43">
        <v>0</v>
      </c>
      <c r="BD418" s="43">
        <v>0</v>
      </c>
      <c r="BE418" s="43">
        <v>0</v>
      </c>
      <c r="BF418" s="43">
        <v>0</v>
      </c>
      <c r="BG418" s="43">
        <v>0</v>
      </c>
      <c r="BH418" s="43">
        <v>0</v>
      </c>
      <c r="BI418" s="40" t="s">
        <v>1706</v>
      </c>
      <c r="BJ418" s="40">
        <v>2022</v>
      </c>
      <c r="BK418" s="40" t="s">
        <v>2768</v>
      </c>
      <c r="BL418" s="40" t="s">
        <v>2768</v>
      </c>
      <c r="BM418" s="40" t="s">
        <v>2768</v>
      </c>
    </row>
    <row r="419" spans="1:65" x14ac:dyDescent="0.25">
      <c r="A419" s="40" t="s">
        <v>2771</v>
      </c>
      <c r="B419" s="41">
        <v>44746.333333333336</v>
      </c>
      <c r="C419" s="40" t="s">
        <v>297</v>
      </c>
      <c r="D419" s="40" t="s">
        <v>298</v>
      </c>
      <c r="E419" s="40" t="s">
        <v>1707</v>
      </c>
      <c r="F419" s="40">
        <v>66825813</v>
      </c>
      <c r="G419" s="40" t="s">
        <v>1711</v>
      </c>
      <c r="H419" s="40" t="s">
        <v>301</v>
      </c>
      <c r="I419" s="40">
        <v>3900</v>
      </c>
      <c r="J419" s="40" t="s">
        <v>1712</v>
      </c>
      <c r="K419" s="40">
        <v>20262</v>
      </c>
      <c r="L419" s="40">
        <v>24162</v>
      </c>
      <c r="M419" s="40">
        <v>754635</v>
      </c>
      <c r="N419" s="40" t="s">
        <v>1710</v>
      </c>
      <c r="O419" s="40" t="s">
        <v>178</v>
      </c>
      <c r="P419" s="40" t="s">
        <v>179</v>
      </c>
      <c r="Q419" s="40" t="s">
        <v>180</v>
      </c>
      <c r="R419" s="42" t="s">
        <v>1657</v>
      </c>
      <c r="S419" s="42" t="s">
        <v>181</v>
      </c>
      <c r="T419" s="40" t="s">
        <v>292</v>
      </c>
      <c r="U419" s="41">
        <v>44744.4375</v>
      </c>
      <c r="V419" s="41">
        <v>44746.291666666664</v>
      </c>
      <c r="W419" s="41">
        <v>44746.791666666664</v>
      </c>
      <c r="X419" s="40" t="s">
        <v>293</v>
      </c>
      <c r="Y419" s="41">
        <v>44747.009027777778</v>
      </c>
      <c r="Z419" s="41">
        <v>44745.291666666664</v>
      </c>
      <c r="AA419" s="41">
        <v>44747.5</v>
      </c>
      <c r="AB419" s="41">
        <v>44748.5</v>
      </c>
      <c r="AC419" s="40" t="s">
        <v>308</v>
      </c>
      <c r="AD419" s="40">
        <v>13137</v>
      </c>
      <c r="AE419" s="40" t="s">
        <v>125</v>
      </c>
      <c r="AF419" s="40" t="s">
        <v>125</v>
      </c>
      <c r="AG419" s="40"/>
      <c r="AH419" s="40"/>
      <c r="AI419" s="41"/>
      <c r="AJ419" s="40"/>
      <c r="AK419" s="43"/>
      <c r="AL419" s="40"/>
      <c r="AM419" s="43">
        <v>0</v>
      </c>
      <c r="AN419" s="43"/>
      <c r="AO419" s="43"/>
      <c r="AP419" s="43"/>
      <c r="AQ419" s="43">
        <v>0</v>
      </c>
      <c r="AR419" s="43">
        <v>0</v>
      </c>
      <c r="AS419" s="43"/>
      <c r="AT419" s="43">
        <v>0</v>
      </c>
      <c r="AU419" s="43"/>
      <c r="AV419" s="43"/>
      <c r="AW419" s="43"/>
      <c r="AX419" s="43">
        <v>0</v>
      </c>
      <c r="AY419" s="43">
        <v>0</v>
      </c>
      <c r="AZ419" s="43">
        <v>0</v>
      </c>
      <c r="BA419" s="43">
        <v>0</v>
      </c>
      <c r="BB419" s="43">
        <v>0</v>
      </c>
      <c r="BC419" s="43">
        <v>0</v>
      </c>
      <c r="BD419" s="43">
        <v>0</v>
      </c>
      <c r="BE419" s="43">
        <v>0</v>
      </c>
      <c r="BF419" s="43">
        <v>0</v>
      </c>
      <c r="BG419" s="43">
        <v>0</v>
      </c>
      <c r="BH419" s="43">
        <v>0</v>
      </c>
      <c r="BI419" s="40" t="s">
        <v>1706</v>
      </c>
      <c r="BJ419" s="40">
        <v>2022</v>
      </c>
      <c r="BK419" s="40" t="s">
        <v>2768</v>
      </c>
      <c r="BL419" s="40" t="s">
        <v>2768</v>
      </c>
      <c r="BM419" s="40" t="s">
        <v>2768</v>
      </c>
    </row>
    <row r="420" spans="1:65" x14ac:dyDescent="0.25">
      <c r="A420" s="40" t="s">
        <v>2771</v>
      </c>
      <c r="B420" s="41">
        <v>44746.333333333336</v>
      </c>
      <c r="C420" s="40" t="s">
        <v>297</v>
      </c>
      <c r="D420" s="40" t="s">
        <v>298</v>
      </c>
      <c r="E420" s="40" t="s">
        <v>1707</v>
      </c>
      <c r="F420" s="40">
        <v>66825813</v>
      </c>
      <c r="G420" s="40" t="s">
        <v>1713</v>
      </c>
      <c r="H420" s="40" t="s">
        <v>301</v>
      </c>
      <c r="I420" s="40">
        <v>3950</v>
      </c>
      <c r="J420" s="40" t="s">
        <v>1714</v>
      </c>
      <c r="K420" s="40"/>
      <c r="L420" s="40">
        <v>3950</v>
      </c>
      <c r="M420" s="40">
        <v>754664</v>
      </c>
      <c r="N420" s="40" t="s">
        <v>1710</v>
      </c>
      <c r="O420" s="40" t="s">
        <v>1715</v>
      </c>
      <c r="P420" s="40" t="s">
        <v>88</v>
      </c>
      <c r="Q420" s="40" t="s">
        <v>89</v>
      </c>
      <c r="R420" s="42" t="s">
        <v>90</v>
      </c>
      <c r="S420" s="42">
        <v>3148346870</v>
      </c>
      <c r="T420" s="40" t="s">
        <v>292</v>
      </c>
      <c r="U420" s="41">
        <v>44744.604166666664</v>
      </c>
      <c r="V420" s="41">
        <v>44746.291666666664</v>
      </c>
      <c r="W420" s="41">
        <v>44746.875</v>
      </c>
      <c r="X420" s="40" t="s">
        <v>293</v>
      </c>
      <c r="Y420" s="41">
        <v>44747.329861111109</v>
      </c>
      <c r="Z420" s="41">
        <v>44745.291666666664</v>
      </c>
      <c r="AA420" s="41">
        <v>44747.5</v>
      </c>
      <c r="AB420" s="41">
        <v>44748.5</v>
      </c>
      <c r="AC420" s="40" t="s">
        <v>308</v>
      </c>
      <c r="AD420" s="40">
        <v>13138</v>
      </c>
      <c r="AE420" s="40" t="s">
        <v>125</v>
      </c>
      <c r="AF420" s="40" t="s">
        <v>125</v>
      </c>
      <c r="AG420" s="40"/>
      <c r="AH420" s="40"/>
      <c r="AI420" s="41"/>
      <c r="AJ420" s="40"/>
      <c r="AK420" s="43"/>
      <c r="AL420" s="40"/>
      <c r="AM420" s="43">
        <v>0</v>
      </c>
      <c r="AN420" s="43"/>
      <c r="AO420" s="43"/>
      <c r="AP420" s="43"/>
      <c r="AQ420" s="43">
        <v>0</v>
      </c>
      <c r="AR420" s="43">
        <v>0</v>
      </c>
      <c r="AS420" s="43"/>
      <c r="AT420" s="43">
        <v>0</v>
      </c>
      <c r="AU420" s="43"/>
      <c r="AV420" s="43"/>
      <c r="AW420" s="43"/>
      <c r="AX420" s="43">
        <v>0</v>
      </c>
      <c r="AY420" s="43">
        <v>0</v>
      </c>
      <c r="AZ420" s="43">
        <v>0</v>
      </c>
      <c r="BA420" s="43">
        <v>0</v>
      </c>
      <c r="BB420" s="43">
        <v>0</v>
      </c>
      <c r="BC420" s="43">
        <v>0</v>
      </c>
      <c r="BD420" s="43">
        <v>0</v>
      </c>
      <c r="BE420" s="43">
        <v>0</v>
      </c>
      <c r="BF420" s="43">
        <v>0</v>
      </c>
      <c r="BG420" s="43">
        <v>0</v>
      </c>
      <c r="BH420" s="43">
        <v>0</v>
      </c>
      <c r="BI420" s="40" t="s">
        <v>1706</v>
      </c>
      <c r="BJ420" s="40">
        <v>2022</v>
      </c>
      <c r="BK420" s="40" t="s">
        <v>2768</v>
      </c>
      <c r="BL420" s="40" t="s">
        <v>2768</v>
      </c>
      <c r="BM420" s="40" t="s">
        <v>2768</v>
      </c>
    </row>
    <row r="421" spans="1:65" x14ac:dyDescent="0.25">
      <c r="A421" s="40" t="s">
        <v>2771</v>
      </c>
      <c r="B421" s="41">
        <v>44754.291666666664</v>
      </c>
      <c r="C421" s="40" t="s">
        <v>449</v>
      </c>
      <c r="D421" s="40" t="s">
        <v>450</v>
      </c>
      <c r="E421" s="40" t="s">
        <v>1716</v>
      </c>
      <c r="F421" s="40" t="s">
        <v>1717</v>
      </c>
      <c r="G421" s="40" t="s">
        <v>1718</v>
      </c>
      <c r="H421" s="40" t="s">
        <v>288</v>
      </c>
      <c r="I421" s="40">
        <v>2180</v>
      </c>
      <c r="J421" s="40" t="s">
        <v>1719</v>
      </c>
      <c r="K421" s="40">
        <v>26997</v>
      </c>
      <c r="L421" s="40">
        <v>29177</v>
      </c>
      <c r="M421" s="40">
        <v>34798</v>
      </c>
      <c r="N421" s="40" t="s">
        <v>1720</v>
      </c>
      <c r="O421" s="40" t="s">
        <v>182</v>
      </c>
      <c r="P421" s="40" t="s">
        <v>187</v>
      </c>
      <c r="Q421" s="40" t="s">
        <v>184</v>
      </c>
      <c r="R421" s="42" t="s">
        <v>185</v>
      </c>
      <c r="S421" s="42" t="s">
        <v>186</v>
      </c>
      <c r="T421" s="40" t="s">
        <v>526</v>
      </c>
      <c r="U421" s="41">
        <v>44753.333333333336</v>
      </c>
      <c r="V421" s="41">
        <v>44754.208333333336</v>
      </c>
      <c r="W421" s="41">
        <v>44754.75</v>
      </c>
      <c r="X421" s="40" t="s">
        <v>306</v>
      </c>
      <c r="Y421" s="41">
        <v>44755.381944444445</v>
      </c>
      <c r="Z421" s="41">
        <v>44755.291666666664</v>
      </c>
      <c r="AA421" s="41">
        <v>44754.583333333336</v>
      </c>
      <c r="AB421" s="41">
        <v>44756.75</v>
      </c>
      <c r="AC421" s="40" t="s">
        <v>452</v>
      </c>
      <c r="AD421" s="40">
        <v>471</v>
      </c>
      <c r="AE421" s="40"/>
      <c r="AF421" s="40"/>
      <c r="AG421" s="40"/>
      <c r="AH421" s="40"/>
      <c r="AI421" s="41"/>
      <c r="AJ421" s="40"/>
      <c r="AK421" s="43"/>
      <c r="AL421" s="40"/>
      <c r="AM421" s="43">
        <v>0</v>
      </c>
      <c r="AN421" s="43"/>
      <c r="AO421" s="43"/>
      <c r="AP421" s="43"/>
      <c r="AQ421" s="43">
        <v>0</v>
      </c>
      <c r="AR421" s="43">
        <v>0</v>
      </c>
      <c r="AS421" s="43"/>
      <c r="AT421" s="43">
        <v>0</v>
      </c>
      <c r="AU421" s="43"/>
      <c r="AV421" s="43"/>
      <c r="AW421" s="43"/>
      <c r="AX421" s="43">
        <v>0</v>
      </c>
      <c r="AY421" s="43">
        <v>0</v>
      </c>
      <c r="AZ421" s="43">
        <v>0</v>
      </c>
      <c r="BA421" s="43">
        <v>0</v>
      </c>
      <c r="BB421" s="43">
        <v>0</v>
      </c>
      <c r="BC421" s="43">
        <v>0</v>
      </c>
      <c r="BD421" s="43">
        <v>0</v>
      </c>
      <c r="BE421" s="43">
        <v>0</v>
      </c>
      <c r="BF421" s="43">
        <v>0</v>
      </c>
      <c r="BG421" s="43">
        <v>0</v>
      </c>
      <c r="BH421" s="43">
        <v>0</v>
      </c>
      <c r="BI421" s="40" t="s">
        <v>1706</v>
      </c>
      <c r="BJ421" s="40">
        <v>2022</v>
      </c>
      <c r="BK421" s="40" t="s">
        <v>2768</v>
      </c>
      <c r="BL421" s="40" t="s">
        <v>2768</v>
      </c>
      <c r="BM421" s="40" t="s">
        <v>2768</v>
      </c>
    </row>
    <row r="422" spans="1:65" x14ac:dyDescent="0.25">
      <c r="A422" s="40" t="s">
        <v>2771</v>
      </c>
      <c r="B422" s="41">
        <v>44754.291666666664</v>
      </c>
      <c r="C422" s="40" t="s">
        <v>449</v>
      </c>
      <c r="D422" s="40" t="s">
        <v>450</v>
      </c>
      <c r="E422" s="40" t="s">
        <v>1721</v>
      </c>
      <c r="F422" s="40" t="s">
        <v>1722</v>
      </c>
      <c r="G422" s="40" t="s">
        <v>1723</v>
      </c>
      <c r="H422" s="40" t="s">
        <v>288</v>
      </c>
      <c r="I422" s="40">
        <v>2170</v>
      </c>
      <c r="J422" s="40" t="s">
        <v>1724</v>
      </c>
      <c r="K422" s="40">
        <v>26944</v>
      </c>
      <c r="L422" s="40">
        <v>29114</v>
      </c>
      <c r="M422" s="40" t="s">
        <v>1725</v>
      </c>
      <c r="N422" s="40" t="s">
        <v>1720</v>
      </c>
      <c r="O422" s="40" t="s">
        <v>182</v>
      </c>
      <c r="P422" s="40" t="s">
        <v>183</v>
      </c>
      <c r="Q422" s="40" t="s">
        <v>184</v>
      </c>
      <c r="R422" s="42" t="s">
        <v>185</v>
      </c>
      <c r="S422" s="42" t="s">
        <v>186</v>
      </c>
      <c r="T422" s="40" t="s">
        <v>526</v>
      </c>
      <c r="U422" s="41">
        <v>44753.333333333336</v>
      </c>
      <c r="V422" s="41">
        <v>44754.208333333336</v>
      </c>
      <c r="W422" s="41">
        <v>44754.75</v>
      </c>
      <c r="X422" s="40" t="s">
        <v>306</v>
      </c>
      <c r="Y422" s="41">
        <v>44755.340277777781</v>
      </c>
      <c r="Z422" s="41">
        <v>44755.291666666664</v>
      </c>
      <c r="AA422" s="41">
        <v>44754.583333333336</v>
      </c>
      <c r="AB422" s="41">
        <v>44756.75</v>
      </c>
      <c r="AC422" s="40" t="s">
        <v>452</v>
      </c>
      <c r="AD422" s="40">
        <v>472</v>
      </c>
      <c r="AE422" s="40"/>
      <c r="AF422" s="40"/>
      <c r="AG422" s="40"/>
      <c r="AH422" s="40"/>
      <c r="AI422" s="41"/>
      <c r="AJ422" s="40"/>
      <c r="AK422" s="43"/>
      <c r="AL422" s="40"/>
      <c r="AM422" s="43">
        <v>0</v>
      </c>
      <c r="AN422" s="43"/>
      <c r="AO422" s="43"/>
      <c r="AP422" s="43"/>
      <c r="AQ422" s="43">
        <v>0</v>
      </c>
      <c r="AR422" s="43">
        <v>0</v>
      </c>
      <c r="AS422" s="43"/>
      <c r="AT422" s="43">
        <v>0</v>
      </c>
      <c r="AU422" s="43"/>
      <c r="AV422" s="43"/>
      <c r="AW422" s="43"/>
      <c r="AX422" s="43">
        <v>0</v>
      </c>
      <c r="AY422" s="43">
        <v>0</v>
      </c>
      <c r="AZ422" s="43">
        <v>0</v>
      </c>
      <c r="BA422" s="43">
        <v>0</v>
      </c>
      <c r="BB422" s="43">
        <v>0</v>
      </c>
      <c r="BC422" s="43">
        <v>0</v>
      </c>
      <c r="BD422" s="43">
        <v>0</v>
      </c>
      <c r="BE422" s="43">
        <v>0</v>
      </c>
      <c r="BF422" s="43">
        <v>0</v>
      </c>
      <c r="BG422" s="43">
        <v>0</v>
      </c>
      <c r="BH422" s="43">
        <v>0</v>
      </c>
      <c r="BI422" s="40" t="s">
        <v>1706</v>
      </c>
      <c r="BJ422" s="40">
        <v>2022</v>
      </c>
      <c r="BK422" s="40" t="s">
        <v>2768</v>
      </c>
      <c r="BL422" s="40" t="s">
        <v>2768</v>
      </c>
      <c r="BM422" s="40" t="s">
        <v>2768</v>
      </c>
    </row>
    <row r="423" spans="1:65" x14ac:dyDescent="0.25">
      <c r="A423" s="40" t="s">
        <v>2771</v>
      </c>
      <c r="B423" s="41">
        <v>44754.291666666664</v>
      </c>
      <c r="C423" s="40" t="s">
        <v>353</v>
      </c>
      <c r="D423" s="40" t="s">
        <v>354</v>
      </c>
      <c r="E423" s="40">
        <v>8062495</v>
      </c>
      <c r="F423" s="40">
        <v>219785537</v>
      </c>
      <c r="G423" s="40" t="s">
        <v>1726</v>
      </c>
      <c r="H423" s="40" t="s">
        <v>301</v>
      </c>
      <c r="I423" s="40">
        <v>3860</v>
      </c>
      <c r="J423" s="40" t="s">
        <v>1727</v>
      </c>
      <c r="K423" s="40">
        <v>25048</v>
      </c>
      <c r="L423" s="40">
        <v>28908</v>
      </c>
      <c r="M423" s="40">
        <v>620770</v>
      </c>
      <c r="N423" s="40" t="s">
        <v>1728</v>
      </c>
      <c r="O423" s="40" t="s">
        <v>1729</v>
      </c>
      <c r="P423" s="40" t="s">
        <v>1730</v>
      </c>
      <c r="Q423" s="40" t="s">
        <v>1731</v>
      </c>
      <c r="R423" s="42" t="s">
        <v>1732</v>
      </c>
      <c r="S423" s="42" t="s">
        <v>1733</v>
      </c>
      <c r="T423" s="40" t="s">
        <v>292</v>
      </c>
      <c r="U423" s="41">
        <v>44753.875</v>
      </c>
      <c r="V423" s="41">
        <v>44754.208333333336</v>
      </c>
      <c r="W423" s="41">
        <v>44754.489583333336</v>
      </c>
      <c r="X423" s="40" t="s">
        <v>306</v>
      </c>
      <c r="Y423" s="41">
        <v>44756.015972222223</v>
      </c>
      <c r="Z423" s="41">
        <v>44755.291666666664</v>
      </c>
      <c r="AA423" s="41">
        <v>44754.5</v>
      </c>
      <c r="AB423" s="41">
        <v>44756.75</v>
      </c>
      <c r="AC423" s="40" t="s">
        <v>1734</v>
      </c>
      <c r="AD423" s="40">
        <v>13202</v>
      </c>
      <c r="AE423" s="40"/>
      <c r="AF423" s="40"/>
      <c r="AG423" s="40"/>
      <c r="AH423" s="40" t="s">
        <v>309</v>
      </c>
      <c r="AI423" s="41">
        <v>44754.791666666664</v>
      </c>
      <c r="AJ423" s="40"/>
      <c r="AK423" s="43">
        <v>950</v>
      </c>
      <c r="AL423" s="40"/>
      <c r="AM423" s="43">
        <v>0</v>
      </c>
      <c r="AN423" s="43">
        <v>2300</v>
      </c>
      <c r="AO423" s="43">
        <v>690.8</v>
      </c>
      <c r="AP423" s="43">
        <v>409.2</v>
      </c>
      <c r="AQ423" s="43">
        <v>3400</v>
      </c>
      <c r="AR423" s="43">
        <v>0</v>
      </c>
      <c r="AS423" s="43"/>
      <c r="AT423" s="43">
        <v>0</v>
      </c>
      <c r="AU423" s="43"/>
      <c r="AV423" s="43"/>
      <c r="AW423" s="43"/>
      <c r="AX423" s="43">
        <v>0</v>
      </c>
      <c r="AY423" s="43">
        <v>0</v>
      </c>
      <c r="AZ423" s="43">
        <v>0</v>
      </c>
      <c r="BA423" s="43">
        <v>0</v>
      </c>
      <c r="BB423" s="43">
        <v>0</v>
      </c>
      <c r="BC423" s="43">
        <v>0</v>
      </c>
      <c r="BD423" s="43">
        <v>0</v>
      </c>
      <c r="BE423" s="43">
        <v>0</v>
      </c>
      <c r="BF423" s="43">
        <v>0</v>
      </c>
      <c r="BG423" s="43">
        <v>0</v>
      </c>
      <c r="BH423" s="43">
        <v>0</v>
      </c>
      <c r="BI423" s="40" t="s">
        <v>1706</v>
      </c>
      <c r="BJ423" s="40">
        <v>2022</v>
      </c>
      <c r="BK423" s="40" t="s">
        <v>2768</v>
      </c>
      <c r="BL423" s="40" t="s">
        <v>2768</v>
      </c>
      <c r="BM423" s="40" t="s">
        <v>2768</v>
      </c>
    </row>
    <row r="424" spans="1:65" x14ac:dyDescent="0.25">
      <c r="A424" s="40" t="s">
        <v>2771</v>
      </c>
      <c r="B424" s="41">
        <v>44754.291666666664</v>
      </c>
      <c r="C424" s="40" t="s">
        <v>353</v>
      </c>
      <c r="D424" s="40" t="s">
        <v>354</v>
      </c>
      <c r="E424" s="40">
        <v>8062495</v>
      </c>
      <c r="F424" s="40">
        <v>219785537</v>
      </c>
      <c r="G424" s="40" t="s">
        <v>1735</v>
      </c>
      <c r="H424" s="40" t="s">
        <v>301</v>
      </c>
      <c r="I424" s="40">
        <v>3880</v>
      </c>
      <c r="J424" s="40" t="s">
        <v>1736</v>
      </c>
      <c r="K424" s="40">
        <v>25048</v>
      </c>
      <c r="L424" s="40">
        <v>28928</v>
      </c>
      <c r="M424" s="40">
        <v>621090</v>
      </c>
      <c r="N424" s="40" t="s">
        <v>1728</v>
      </c>
      <c r="O424" s="40" t="s">
        <v>140</v>
      </c>
      <c r="P424" s="40" t="s">
        <v>141</v>
      </c>
      <c r="Q424" s="40" t="s">
        <v>1482</v>
      </c>
      <c r="R424" s="42" t="s">
        <v>1483</v>
      </c>
      <c r="S424" s="42" t="s">
        <v>1484</v>
      </c>
      <c r="T424" s="40" t="s">
        <v>292</v>
      </c>
      <c r="U424" s="41">
        <v>44753.875</v>
      </c>
      <c r="V424" s="41">
        <v>44755.25</v>
      </c>
      <c r="W424" s="41">
        <v>44755.729166666664</v>
      </c>
      <c r="X424" s="40" t="s">
        <v>306</v>
      </c>
      <c r="Y424" s="41">
        <v>44756.273611111108</v>
      </c>
      <c r="Z424" s="41">
        <v>44755.291666666664</v>
      </c>
      <c r="AA424" s="41">
        <v>44754.5</v>
      </c>
      <c r="AB424" s="41">
        <v>44756.75</v>
      </c>
      <c r="AC424" s="40" t="s">
        <v>1734</v>
      </c>
      <c r="AD424" s="40">
        <v>13225</v>
      </c>
      <c r="AE424" s="40"/>
      <c r="AF424" s="40"/>
      <c r="AG424" s="40"/>
      <c r="AH424" s="40"/>
      <c r="AI424" s="41"/>
      <c r="AJ424" s="40"/>
      <c r="AK424" s="43"/>
      <c r="AL424" s="40" t="s">
        <v>1737</v>
      </c>
      <c r="AM424" s="43">
        <v>0</v>
      </c>
      <c r="AN424" s="43"/>
      <c r="AO424" s="43"/>
      <c r="AP424" s="43"/>
      <c r="AQ424" s="43">
        <v>0</v>
      </c>
      <c r="AR424" s="43">
        <v>0</v>
      </c>
      <c r="AS424" s="43"/>
      <c r="AT424" s="43">
        <v>0</v>
      </c>
      <c r="AU424" s="43"/>
      <c r="AV424" s="43"/>
      <c r="AW424" s="43"/>
      <c r="AX424" s="43">
        <v>0</v>
      </c>
      <c r="AY424" s="43">
        <v>0</v>
      </c>
      <c r="AZ424" s="43">
        <v>0</v>
      </c>
      <c r="BA424" s="43">
        <v>0</v>
      </c>
      <c r="BB424" s="43">
        <v>0</v>
      </c>
      <c r="BC424" s="43">
        <v>0</v>
      </c>
      <c r="BD424" s="43">
        <v>0</v>
      </c>
      <c r="BE424" s="43">
        <v>0</v>
      </c>
      <c r="BF424" s="43">
        <v>0</v>
      </c>
      <c r="BG424" s="43">
        <v>0</v>
      </c>
      <c r="BH424" s="43">
        <v>0</v>
      </c>
      <c r="BI424" s="40" t="s">
        <v>1706</v>
      </c>
      <c r="BJ424" s="40">
        <v>2022</v>
      </c>
      <c r="BK424" s="40" t="s">
        <v>2768</v>
      </c>
      <c r="BL424" s="40" t="s">
        <v>2768</v>
      </c>
      <c r="BM424" s="40" t="s">
        <v>2768</v>
      </c>
    </row>
    <row r="425" spans="1:65" x14ac:dyDescent="0.25">
      <c r="A425" s="40" t="s">
        <v>2771</v>
      </c>
      <c r="B425" s="41">
        <v>44754.291666666664</v>
      </c>
      <c r="C425" s="40" t="s">
        <v>353</v>
      </c>
      <c r="D425" s="40" t="s">
        <v>354</v>
      </c>
      <c r="E425" s="40">
        <v>8062495</v>
      </c>
      <c r="F425" s="40">
        <v>219785537</v>
      </c>
      <c r="G425" s="40" t="s">
        <v>1738</v>
      </c>
      <c r="H425" s="40" t="s">
        <v>301</v>
      </c>
      <c r="I425" s="40">
        <v>3810</v>
      </c>
      <c r="J425" s="40" t="s">
        <v>1739</v>
      </c>
      <c r="K425" s="40"/>
      <c r="L425" s="40">
        <v>3810</v>
      </c>
      <c r="M425" s="40">
        <v>621136</v>
      </c>
      <c r="N425" s="40" t="s">
        <v>1728</v>
      </c>
      <c r="O425" s="40" t="s">
        <v>68</v>
      </c>
      <c r="P425" s="40" t="s">
        <v>36</v>
      </c>
      <c r="Q425" s="40" t="s">
        <v>1740</v>
      </c>
      <c r="R425" s="42">
        <v>92693377404</v>
      </c>
      <c r="S425" s="42">
        <v>29547839900</v>
      </c>
      <c r="T425" s="40" t="s">
        <v>292</v>
      </c>
      <c r="U425" s="41">
        <v>44753.875</v>
      </c>
      <c r="V425" s="41">
        <v>44755.625</v>
      </c>
      <c r="W425" s="41"/>
      <c r="X425" s="40" t="s">
        <v>306</v>
      </c>
      <c r="Y425" s="41">
        <v>44756.083333333336</v>
      </c>
      <c r="Z425" s="41">
        <v>44755.291666666664</v>
      </c>
      <c r="AA425" s="41">
        <v>44754.5</v>
      </c>
      <c r="AB425" s="41">
        <v>44756.75</v>
      </c>
      <c r="AC425" s="40" t="s">
        <v>1734</v>
      </c>
      <c r="AD425" s="40">
        <v>13227</v>
      </c>
      <c r="AE425" s="40"/>
      <c r="AF425" s="40"/>
      <c r="AG425" s="40"/>
      <c r="AH425" s="40"/>
      <c r="AI425" s="41"/>
      <c r="AJ425" s="40"/>
      <c r="AK425" s="43"/>
      <c r="AL425" s="40" t="s">
        <v>610</v>
      </c>
      <c r="AM425" s="43">
        <v>0</v>
      </c>
      <c r="AN425" s="43"/>
      <c r="AO425" s="43"/>
      <c r="AP425" s="43"/>
      <c r="AQ425" s="43">
        <v>0</v>
      </c>
      <c r="AR425" s="43">
        <v>0</v>
      </c>
      <c r="AS425" s="43"/>
      <c r="AT425" s="43">
        <v>0</v>
      </c>
      <c r="AU425" s="43"/>
      <c r="AV425" s="43"/>
      <c r="AW425" s="43"/>
      <c r="AX425" s="43">
        <v>0</v>
      </c>
      <c r="AY425" s="43">
        <v>0</v>
      </c>
      <c r="AZ425" s="43">
        <v>0</v>
      </c>
      <c r="BA425" s="43">
        <v>0</v>
      </c>
      <c r="BB425" s="43">
        <v>0</v>
      </c>
      <c r="BC425" s="43">
        <v>0</v>
      </c>
      <c r="BD425" s="43">
        <v>0</v>
      </c>
      <c r="BE425" s="43">
        <v>0</v>
      </c>
      <c r="BF425" s="43">
        <v>0</v>
      </c>
      <c r="BG425" s="43">
        <v>0</v>
      </c>
      <c r="BH425" s="43">
        <v>0</v>
      </c>
      <c r="BI425" s="40" t="s">
        <v>1706</v>
      </c>
      <c r="BJ425" s="40">
        <v>2022</v>
      </c>
      <c r="BK425" s="40" t="s">
        <v>2768</v>
      </c>
      <c r="BL425" s="40" t="s">
        <v>2768</v>
      </c>
      <c r="BM425" s="40" t="s">
        <v>2768</v>
      </c>
    </row>
    <row r="426" spans="1:65" x14ac:dyDescent="0.25">
      <c r="A426" s="40" t="s">
        <v>2771</v>
      </c>
      <c r="B426" s="41">
        <v>44754.291666666664</v>
      </c>
      <c r="C426" s="40" t="s">
        <v>353</v>
      </c>
      <c r="D426" s="40" t="s">
        <v>354</v>
      </c>
      <c r="E426" s="40">
        <v>8062495</v>
      </c>
      <c r="F426" s="40">
        <v>219785537</v>
      </c>
      <c r="G426" s="40" t="s">
        <v>1741</v>
      </c>
      <c r="H426" s="40" t="s">
        <v>301</v>
      </c>
      <c r="I426" s="40">
        <v>3720</v>
      </c>
      <c r="J426" s="40" t="s">
        <v>1742</v>
      </c>
      <c r="K426" s="40">
        <v>25048</v>
      </c>
      <c r="L426" s="40">
        <v>28768</v>
      </c>
      <c r="M426" s="40">
        <v>621010</v>
      </c>
      <c r="N426" s="40" t="s">
        <v>1728</v>
      </c>
      <c r="O426" s="40" t="s">
        <v>1743</v>
      </c>
      <c r="P426" s="40" t="s">
        <v>1744</v>
      </c>
      <c r="Q426" s="40" t="s">
        <v>1745</v>
      </c>
      <c r="R426" s="42" t="s">
        <v>1746</v>
      </c>
      <c r="S426" s="42" t="s">
        <v>1747</v>
      </c>
      <c r="T426" s="40" t="s">
        <v>292</v>
      </c>
      <c r="U426" s="41">
        <v>44753.958333333336</v>
      </c>
      <c r="V426" s="41"/>
      <c r="W426" s="41"/>
      <c r="X426" s="40" t="s">
        <v>306</v>
      </c>
      <c r="Y426" s="41">
        <v>44756.015972222223</v>
      </c>
      <c r="Z426" s="41">
        <v>44755.291666666664</v>
      </c>
      <c r="AA426" s="41">
        <v>44754.5</v>
      </c>
      <c r="AB426" s="41">
        <v>44756.75</v>
      </c>
      <c r="AC426" s="40" t="s">
        <v>1734</v>
      </c>
      <c r="AD426" s="40">
        <v>13210</v>
      </c>
      <c r="AE426" s="40"/>
      <c r="AF426" s="40"/>
      <c r="AG426" s="40"/>
      <c r="AH426" s="40" t="s">
        <v>309</v>
      </c>
      <c r="AI426" s="41">
        <v>44754.791666666664</v>
      </c>
      <c r="AJ426" s="40"/>
      <c r="AK426" s="43">
        <v>950</v>
      </c>
      <c r="AL426" s="40" t="s">
        <v>610</v>
      </c>
      <c r="AM426" s="43">
        <v>0</v>
      </c>
      <c r="AN426" s="43"/>
      <c r="AO426" s="43"/>
      <c r="AP426" s="43">
        <v>341</v>
      </c>
      <c r="AQ426" s="43">
        <v>341</v>
      </c>
      <c r="AR426" s="43">
        <v>0</v>
      </c>
      <c r="AS426" s="43"/>
      <c r="AT426" s="43">
        <v>0</v>
      </c>
      <c r="AU426" s="43"/>
      <c r="AV426" s="43"/>
      <c r="AW426" s="43"/>
      <c r="AX426" s="43">
        <v>0</v>
      </c>
      <c r="AY426" s="43">
        <v>0</v>
      </c>
      <c r="AZ426" s="43">
        <v>0</v>
      </c>
      <c r="BA426" s="43">
        <v>0</v>
      </c>
      <c r="BB426" s="43">
        <v>0</v>
      </c>
      <c r="BC426" s="43">
        <v>0</v>
      </c>
      <c r="BD426" s="43">
        <v>0</v>
      </c>
      <c r="BE426" s="43">
        <v>0</v>
      </c>
      <c r="BF426" s="43">
        <v>0</v>
      </c>
      <c r="BG426" s="43">
        <v>0</v>
      </c>
      <c r="BH426" s="43">
        <v>0</v>
      </c>
      <c r="BI426" s="40" t="s">
        <v>453</v>
      </c>
      <c r="BJ426" s="40">
        <v>1900</v>
      </c>
      <c r="BK426" s="40" t="s">
        <v>2768</v>
      </c>
      <c r="BL426" s="40" t="s">
        <v>2768</v>
      </c>
      <c r="BM426" s="40" t="s">
        <v>2768</v>
      </c>
    </row>
    <row r="427" spans="1:65" x14ac:dyDescent="0.25">
      <c r="A427" s="40" t="s">
        <v>2771</v>
      </c>
      <c r="B427" s="41">
        <v>44754.291666666664</v>
      </c>
      <c r="C427" s="40" t="s">
        <v>353</v>
      </c>
      <c r="D427" s="40" t="s">
        <v>354</v>
      </c>
      <c r="E427" s="40">
        <v>8062495</v>
      </c>
      <c r="F427" s="40">
        <v>219785537</v>
      </c>
      <c r="G427" s="40" t="s">
        <v>1748</v>
      </c>
      <c r="H427" s="40" t="s">
        <v>301</v>
      </c>
      <c r="I427" s="40">
        <v>3830</v>
      </c>
      <c r="J427" s="40" t="s">
        <v>1749</v>
      </c>
      <c r="K427" s="40">
        <v>25048</v>
      </c>
      <c r="L427" s="40">
        <v>28878</v>
      </c>
      <c r="M427" s="40">
        <v>621019</v>
      </c>
      <c r="N427" s="40" t="s">
        <v>1728</v>
      </c>
      <c r="O427" s="40" t="s">
        <v>547</v>
      </c>
      <c r="P427" s="40" t="s">
        <v>548</v>
      </c>
      <c r="Q427" s="40" t="s">
        <v>549</v>
      </c>
      <c r="R427" s="42" t="s">
        <v>550</v>
      </c>
      <c r="S427" s="42" t="s">
        <v>551</v>
      </c>
      <c r="T427" s="40" t="s">
        <v>292</v>
      </c>
      <c r="U427" s="41">
        <v>44754.5</v>
      </c>
      <c r="V427" s="41">
        <v>44755.208333333336</v>
      </c>
      <c r="W427" s="41"/>
      <c r="X427" s="40" t="s">
        <v>306</v>
      </c>
      <c r="Y427" s="41">
        <v>44755.67291666667</v>
      </c>
      <c r="Z427" s="41">
        <v>44755.291666666664</v>
      </c>
      <c r="AA427" s="41">
        <v>44754.5</v>
      </c>
      <c r="AB427" s="41">
        <v>44756.75</v>
      </c>
      <c r="AC427" s="40" t="s">
        <v>1734</v>
      </c>
      <c r="AD427" s="40" t="s">
        <v>1750</v>
      </c>
      <c r="AE427" s="40"/>
      <c r="AF427" s="40"/>
      <c r="AG427" s="40"/>
      <c r="AH427" s="40"/>
      <c r="AI427" s="41"/>
      <c r="AJ427" s="40"/>
      <c r="AK427" s="43"/>
      <c r="AL427" s="40"/>
      <c r="AM427" s="43">
        <v>0</v>
      </c>
      <c r="AN427" s="43"/>
      <c r="AO427" s="43"/>
      <c r="AP427" s="43"/>
      <c r="AQ427" s="43">
        <v>0</v>
      </c>
      <c r="AR427" s="43">
        <v>0</v>
      </c>
      <c r="AS427" s="43"/>
      <c r="AT427" s="43">
        <v>0</v>
      </c>
      <c r="AU427" s="43"/>
      <c r="AV427" s="43"/>
      <c r="AW427" s="43"/>
      <c r="AX427" s="43">
        <v>0</v>
      </c>
      <c r="AY427" s="43">
        <v>0</v>
      </c>
      <c r="AZ427" s="43">
        <v>0</v>
      </c>
      <c r="BA427" s="43">
        <v>0</v>
      </c>
      <c r="BB427" s="43">
        <v>0</v>
      </c>
      <c r="BC427" s="43">
        <v>0</v>
      </c>
      <c r="BD427" s="43">
        <v>0</v>
      </c>
      <c r="BE427" s="43">
        <v>0</v>
      </c>
      <c r="BF427" s="43">
        <v>0</v>
      </c>
      <c r="BG427" s="43">
        <v>0</v>
      </c>
      <c r="BH427" s="43">
        <v>0</v>
      </c>
      <c r="BI427" s="40" t="s">
        <v>1706</v>
      </c>
      <c r="BJ427" s="40">
        <v>2022</v>
      </c>
      <c r="BK427" s="40" t="s">
        <v>2768</v>
      </c>
      <c r="BL427" s="40" t="s">
        <v>2768</v>
      </c>
      <c r="BM427" s="40" t="s">
        <v>2768</v>
      </c>
    </row>
    <row r="428" spans="1:65" x14ac:dyDescent="0.25">
      <c r="A428" s="40" t="s">
        <v>2771</v>
      </c>
      <c r="B428" s="41">
        <v>44754.291666666664</v>
      </c>
      <c r="C428" s="40" t="s">
        <v>353</v>
      </c>
      <c r="D428" s="40" t="s">
        <v>354</v>
      </c>
      <c r="E428" s="40">
        <v>8062479</v>
      </c>
      <c r="F428" s="40">
        <v>219785496</v>
      </c>
      <c r="G428" s="40" t="s">
        <v>1751</v>
      </c>
      <c r="H428" s="40" t="s">
        <v>301</v>
      </c>
      <c r="I428" s="40">
        <v>3790</v>
      </c>
      <c r="J428" s="40" t="s">
        <v>1752</v>
      </c>
      <c r="K428" s="40">
        <v>25048</v>
      </c>
      <c r="L428" s="40">
        <v>28838</v>
      </c>
      <c r="M428" s="40">
        <v>620771</v>
      </c>
      <c r="N428" s="40" t="s">
        <v>1728</v>
      </c>
      <c r="O428" s="40" t="s">
        <v>1130</v>
      </c>
      <c r="P428" s="40" t="s">
        <v>1131</v>
      </c>
      <c r="Q428" s="40" t="s">
        <v>1753</v>
      </c>
      <c r="R428" s="42" t="s">
        <v>1133</v>
      </c>
      <c r="S428" s="42" t="s">
        <v>1754</v>
      </c>
      <c r="T428" s="40" t="s">
        <v>292</v>
      </c>
      <c r="U428" s="41">
        <v>44753.875</v>
      </c>
      <c r="V428" s="41">
        <v>44754.208333333336</v>
      </c>
      <c r="W428" s="41">
        <v>44754.489583333336</v>
      </c>
      <c r="X428" s="40" t="s">
        <v>306</v>
      </c>
      <c r="Y428" s="41">
        <v>44755.96597222222</v>
      </c>
      <c r="Z428" s="41">
        <v>44755.291666666664</v>
      </c>
      <c r="AA428" s="41">
        <v>44754.5</v>
      </c>
      <c r="AB428" s="41">
        <v>44756.75</v>
      </c>
      <c r="AC428" s="40" t="s">
        <v>1734</v>
      </c>
      <c r="AD428" s="40">
        <v>13203</v>
      </c>
      <c r="AE428" s="40"/>
      <c r="AF428" s="40"/>
      <c r="AG428" s="40"/>
      <c r="AH428" s="40" t="s">
        <v>309</v>
      </c>
      <c r="AI428" s="41">
        <v>44754.791666666664</v>
      </c>
      <c r="AJ428" s="40"/>
      <c r="AK428" s="43">
        <v>950</v>
      </c>
      <c r="AL428" s="40"/>
      <c r="AM428" s="43">
        <v>0</v>
      </c>
      <c r="AN428" s="43"/>
      <c r="AO428" s="43"/>
      <c r="AP428" s="43"/>
      <c r="AQ428" s="43">
        <v>0</v>
      </c>
      <c r="AR428" s="43">
        <v>0</v>
      </c>
      <c r="AS428" s="43"/>
      <c r="AT428" s="43">
        <v>0</v>
      </c>
      <c r="AU428" s="43"/>
      <c r="AV428" s="43"/>
      <c r="AW428" s="43"/>
      <c r="AX428" s="43">
        <v>0</v>
      </c>
      <c r="AY428" s="43">
        <v>0</v>
      </c>
      <c r="AZ428" s="43">
        <v>0</v>
      </c>
      <c r="BA428" s="43">
        <v>0</v>
      </c>
      <c r="BB428" s="43">
        <v>0</v>
      </c>
      <c r="BC428" s="43">
        <v>0</v>
      </c>
      <c r="BD428" s="43">
        <v>0</v>
      </c>
      <c r="BE428" s="43">
        <v>0</v>
      </c>
      <c r="BF428" s="43">
        <v>0</v>
      </c>
      <c r="BG428" s="43">
        <v>0</v>
      </c>
      <c r="BH428" s="43">
        <v>0</v>
      </c>
      <c r="BI428" s="40" t="s">
        <v>1706</v>
      </c>
      <c r="BJ428" s="40">
        <v>2022</v>
      </c>
      <c r="BK428" s="40" t="s">
        <v>2768</v>
      </c>
      <c r="BL428" s="40" t="s">
        <v>2768</v>
      </c>
      <c r="BM428" s="40" t="s">
        <v>2768</v>
      </c>
    </row>
    <row r="429" spans="1:65" x14ac:dyDescent="0.25">
      <c r="A429" s="40" t="s">
        <v>2771</v>
      </c>
      <c r="B429" s="41">
        <v>44754.291666666664</v>
      </c>
      <c r="C429" s="40" t="s">
        <v>353</v>
      </c>
      <c r="D429" s="40" t="s">
        <v>354</v>
      </c>
      <c r="E429" s="40">
        <v>8062479</v>
      </c>
      <c r="F429" s="40">
        <v>219785496</v>
      </c>
      <c r="G429" s="40" t="s">
        <v>1755</v>
      </c>
      <c r="H429" s="40" t="s">
        <v>301</v>
      </c>
      <c r="I429" s="40">
        <v>3810</v>
      </c>
      <c r="J429" s="40" t="s">
        <v>1756</v>
      </c>
      <c r="K429" s="40">
        <v>25048</v>
      </c>
      <c r="L429" s="40">
        <v>28858</v>
      </c>
      <c r="M429" s="40">
        <v>621017</v>
      </c>
      <c r="N429" s="40" t="s">
        <v>1728</v>
      </c>
      <c r="O429" s="40" t="s">
        <v>1757</v>
      </c>
      <c r="P429" s="40" t="s">
        <v>1758</v>
      </c>
      <c r="Q429" s="40" t="s">
        <v>1759</v>
      </c>
      <c r="R429" s="42" t="s">
        <v>1760</v>
      </c>
      <c r="S429" s="42" t="s">
        <v>1761</v>
      </c>
      <c r="T429" s="40" t="s">
        <v>292</v>
      </c>
      <c r="U429" s="41">
        <v>44754.583333333336</v>
      </c>
      <c r="V429" s="41">
        <v>44755.208333333336</v>
      </c>
      <c r="W429" s="41"/>
      <c r="X429" s="40" t="s">
        <v>306</v>
      </c>
      <c r="Y429" s="41">
        <v>44755.97152777778</v>
      </c>
      <c r="Z429" s="41">
        <v>44755.291666666664</v>
      </c>
      <c r="AA429" s="41">
        <v>44754.5</v>
      </c>
      <c r="AB429" s="41">
        <v>44756.75</v>
      </c>
      <c r="AC429" s="40" t="s">
        <v>1734</v>
      </c>
      <c r="AD429" s="40" t="s">
        <v>1762</v>
      </c>
      <c r="AE429" s="40"/>
      <c r="AF429" s="40"/>
      <c r="AG429" s="40"/>
      <c r="AH429" s="40"/>
      <c r="AI429" s="41"/>
      <c r="AJ429" s="40"/>
      <c r="AK429" s="43"/>
      <c r="AL429" s="40"/>
      <c r="AM429" s="43">
        <v>0</v>
      </c>
      <c r="AN429" s="43"/>
      <c r="AO429" s="43"/>
      <c r="AP429" s="43"/>
      <c r="AQ429" s="43">
        <v>0</v>
      </c>
      <c r="AR429" s="43">
        <v>0</v>
      </c>
      <c r="AS429" s="43"/>
      <c r="AT429" s="43">
        <v>0</v>
      </c>
      <c r="AU429" s="43"/>
      <c r="AV429" s="43"/>
      <c r="AW429" s="43"/>
      <c r="AX429" s="43">
        <v>0</v>
      </c>
      <c r="AY429" s="43">
        <v>0</v>
      </c>
      <c r="AZ429" s="43">
        <v>0</v>
      </c>
      <c r="BA429" s="43">
        <v>0</v>
      </c>
      <c r="BB429" s="43">
        <v>0</v>
      </c>
      <c r="BC429" s="43">
        <v>0</v>
      </c>
      <c r="BD429" s="43">
        <v>0</v>
      </c>
      <c r="BE429" s="43">
        <v>0</v>
      </c>
      <c r="BF429" s="43">
        <v>0</v>
      </c>
      <c r="BG429" s="43">
        <v>0</v>
      </c>
      <c r="BH429" s="43">
        <v>0</v>
      </c>
      <c r="BI429" s="40" t="s">
        <v>1706</v>
      </c>
      <c r="BJ429" s="40">
        <v>2022</v>
      </c>
      <c r="BK429" s="40" t="s">
        <v>2768</v>
      </c>
      <c r="BL429" s="40" t="s">
        <v>2768</v>
      </c>
      <c r="BM429" s="40" t="s">
        <v>2768</v>
      </c>
    </row>
    <row r="430" spans="1:65" x14ac:dyDescent="0.25">
      <c r="A430" s="40" t="s">
        <v>2771</v>
      </c>
      <c r="B430" s="41">
        <v>44754.291666666664</v>
      </c>
      <c r="C430" s="40" t="s">
        <v>353</v>
      </c>
      <c r="D430" s="40" t="s">
        <v>354</v>
      </c>
      <c r="E430" s="40">
        <v>8062479</v>
      </c>
      <c r="F430" s="40">
        <v>219785496</v>
      </c>
      <c r="G430" s="40" t="s">
        <v>1763</v>
      </c>
      <c r="H430" s="40" t="s">
        <v>301</v>
      </c>
      <c r="I430" s="40">
        <v>3700</v>
      </c>
      <c r="J430" s="40" t="s">
        <v>1764</v>
      </c>
      <c r="K430" s="40">
        <v>25048</v>
      </c>
      <c r="L430" s="40">
        <v>28748</v>
      </c>
      <c r="M430" s="40">
        <v>620783</v>
      </c>
      <c r="N430" s="40" t="s">
        <v>1728</v>
      </c>
      <c r="O430" s="40" t="s">
        <v>1765</v>
      </c>
      <c r="P430" s="40" t="s">
        <v>1766</v>
      </c>
      <c r="Q430" s="40" t="s">
        <v>1767</v>
      </c>
      <c r="R430" s="42" t="s">
        <v>1768</v>
      </c>
      <c r="S430" s="42" t="s">
        <v>1769</v>
      </c>
      <c r="T430" s="40" t="s">
        <v>292</v>
      </c>
      <c r="U430" s="41">
        <v>44753.875</v>
      </c>
      <c r="V430" s="41">
        <v>44754.208333333336</v>
      </c>
      <c r="W430" s="41">
        <v>44754.489583333336</v>
      </c>
      <c r="X430" s="40" t="s">
        <v>306</v>
      </c>
      <c r="Y430" s="41">
        <v>44756.025000000001</v>
      </c>
      <c r="Z430" s="41">
        <v>44755.291666666664</v>
      </c>
      <c r="AA430" s="41">
        <v>44754.5</v>
      </c>
      <c r="AB430" s="41">
        <v>44756.75</v>
      </c>
      <c r="AC430" s="40" t="s">
        <v>1734</v>
      </c>
      <c r="AD430" s="40">
        <v>13204</v>
      </c>
      <c r="AE430" s="40"/>
      <c r="AF430" s="40"/>
      <c r="AG430" s="40"/>
      <c r="AH430" s="40" t="s">
        <v>309</v>
      </c>
      <c r="AI430" s="41">
        <v>44754.791666666664</v>
      </c>
      <c r="AJ430" s="40"/>
      <c r="AK430" s="43">
        <v>950</v>
      </c>
      <c r="AL430" s="40"/>
      <c r="AM430" s="43">
        <v>0</v>
      </c>
      <c r="AN430" s="43"/>
      <c r="AO430" s="43"/>
      <c r="AP430" s="43"/>
      <c r="AQ430" s="43">
        <v>0</v>
      </c>
      <c r="AR430" s="43">
        <v>0</v>
      </c>
      <c r="AS430" s="43"/>
      <c r="AT430" s="43">
        <v>0</v>
      </c>
      <c r="AU430" s="43"/>
      <c r="AV430" s="43"/>
      <c r="AW430" s="43"/>
      <c r="AX430" s="43">
        <v>0</v>
      </c>
      <c r="AY430" s="43">
        <v>0</v>
      </c>
      <c r="AZ430" s="43">
        <v>0</v>
      </c>
      <c r="BA430" s="43">
        <v>0</v>
      </c>
      <c r="BB430" s="43">
        <v>0</v>
      </c>
      <c r="BC430" s="43">
        <v>0</v>
      </c>
      <c r="BD430" s="43">
        <v>0</v>
      </c>
      <c r="BE430" s="43">
        <v>0</v>
      </c>
      <c r="BF430" s="43">
        <v>0</v>
      </c>
      <c r="BG430" s="43">
        <v>0</v>
      </c>
      <c r="BH430" s="43">
        <v>0</v>
      </c>
      <c r="BI430" s="40" t="s">
        <v>1706</v>
      </c>
      <c r="BJ430" s="40">
        <v>2022</v>
      </c>
      <c r="BK430" s="40" t="s">
        <v>2768</v>
      </c>
      <c r="BL430" s="40" t="s">
        <v>2768</v>
      </c>
      <c r="BM430" s="40" t="s">
        <v>2768</v>
      </c>
    </row>
    <row r="431" spans="1:65" x14ac:dyDescent="0.25">
      <c r="A431" s="40" t="s">
        <v>2771</v>
      </c>
      <c r="B431" s="41">
        <v>44754.291666666664</v>
      </c>
      <c r="C431" s="40" t="s">
        <v>353</v>
      </c>
      <c r="D431" s="40" t="s">
        <v>354</v>
      </c>
      <c r="E431" s="40">
        <v>8062479</v>
      </c>
      <c r="F431" s="40">
        <v>219785496</v>
      </c>
      <c r="G431" s="40" t="s">
        <v>1770</v>
      </c>
      <c r="H431" s="40" t="s">
        <v>301</v>
      </c>
      <c r="I431" s="40">
        <v>3700</v>
      </c>
      <c r="J431" s="40" t="s">
        <v>1771</v>
      </c>
      <c r="K431" s="40">
        <v>25048</v>
      </c>
      <c r="L431" s="40">
        <v>28748</v>
      </c>
      <c r="M431" s="40">
        <v>621060</v>
      </c>
      <c r="N431" s="40" t="s">
        <v>1728</v>
      </c>
      <c r="O431" s="40" t="s">
        <v>1772</v>
      </c>
      <c r="P431" s="40" t="s">
        <v>1773</v>
      </c>
      <c r="Q431" s="40" t="s">
        <v>1774</v>
      </c>
      <c r="R431" s="42" t="s">
        <v>1775</v>
      </c>
      <c r="S431" s="42" t="s">
        <v>1776</v>
      </c>
      <c r="T431" s="40" t="s">
        <v>292</v>
      </c>
      <c r="U431" s="41">
        <v>44753.875</v>
      </c>
      <c r="V431" s="41"/>
      <c r="W431" s="41">
        <v>44755.729166666664</v>
      </c>
      <c r="X431" s="40" t="s">
        <v>306</v>
      </c>
      <c r="Y431" s="41">
        <v>44756.282638888886</v>
      </c>
      <c r="Z431" s="41">
        <v>44755.291666666664</v>
      </c>
      <c r="AA431" s="41">
        <v>44754.5</v>
      </c>
      <c r="AB431" s="41">
        <v>44756.75</v>
      </c>
      <c r="AC431" s="40" t="s">
        <v>1734</v>
      </c>
      <c r="AD431" s="40">
        <v>13226</v>
      </c>
      <c r="AE431" s="40"/>
      <c r="AF431" s="40"/>
      <c r="AG431" s="40"/>
      <c r="AH431" s="40"/>
      <c r="AI431" s="41"/>
      <c r="AJ431" s="40"/>
      <c r="AK431" s="43"/>
      <c r="AL431" s="40" t="s">
        <v>1737</v>
      </c>
      <c r="AM431" s="43">
        <v>0</v>
      </c>
      <c r="AN431" s="43"/>
      <c r="AO431" s="43"/>
      <c r="AP431" s="43"/>
      <c r="AQ431" s="43">
        <v>0</v>
      </c>
      <c r="AR431" s="43">
        <v>0</v>
      </c>
      <c r="AS431" s="43"/>
      <c r="AT431" s="43">
        <v>0</v>
      </c>
      <c r="AU431" s="43"/>
      <c r="AV431" s="43"/>
      <c r="AW431" s="43"/>
      <c r="AX431" s="43">
        <v>0</v>
      </c>
      <c r="AY431" s="43">
        <v>0</v>
      </c>
      <c r="AZ431" s="43">
        <v>0</v>
      </c>
      <c r="BA431" s="43">
        <v>0</v>
      </c>
      <c r="BB431" s="43">
        <v>0</v>
      </c>
      <c r="BC431" s="43">
        <v>0</v>
      </c>
      <c r="BD431" s="43">
        <v>0</v>
      </c>
      <c r="BE431" s="43">
        <v>0</v>
      </c>
      <c r="BF431" s="43">
        <v>0</v>
      </c>
      <c r="BG431" s="43">
        <v>0</v>
      </c>
      <c r="BH431" s="43">
        <v>0</v>
      </c>
      <c r="BI431" s="40" t="s">
        <v>453</v>
      </c>
      <c r="BJ431" s="40">
        <v>1900</v>
      </c>
      <c r="BK431" s="40" t="s">
        <v>2768</v>
      </c>
      <c r="BL431" s="40" t="s">
        <v>2768</v>
      </c>
      <c r="BM431" s="40" t="s">
        <v>2768</v>
      </c>
    </row>
    <row r="432" spans="1:65" x14ac:dyDescent="0.25">
      <c r="A432" s="40" t="s">
        <v>2771</v>
      </c>
      <c r="B432" s="41">
        <v>44754.291666666664</v>
      </c>
      <c r="C432" s="40" t="s">
        <v>353</v>
      </c>
      <c r="D432" s="40" t="s">
        <v>354</v>
      </c>
      <c r="E432" s="40">
        <v>8062479</v>
      </c>
      <c r="F432" s="40">
        <v>219785496</v>
      </c>
      <c r="G432" s="40" t="s">
        <v>1777</v>
      </c>
      <c r="H432" s="40" t="s">
        <v>301</v>
      </c>
      <c r="I432" s="40">
        <v>3810</v>
      </c>
      <c r="J432" s="40" t="s">
        <v>1778</v>
      </c>
      <c r="K432" s="40">
        <v>25048</v>
      </c>
      <c r="L432" s="40">
        <v>28858</v>
      </c>
      <c r="M432" s="40">
        <v>620979</v>
      </c>
      <c r="N432" s="40" t="s">
        <v>1728</v>
      </c>
      <c r="O432" s="40" t="s">
        <v>1779</v>
      </c>
      <c r="P432" s="40" t="s">
        <v>1780</v>
      </c>
      <c r="Q432" s="40" t="s">
        <v>1781</v>
      </c>
      <c r="R432" s="42" t="s">
        <v>1782</v>
      </c>
      <c r="S432" s="42" t="s">
        <v>1783</v>
      </c>
      <c r="T432" s="40" t="s">
        <v>292</v>
      </c>
      <c r="U432" s="41">
        <v>44754.4375</v>
      </c>
      <c r="V432" s="41"/>
      <c r="W432" s="41"/>
      <c r="X432" s="40" t="s">
        <v>306</v>
      </c>
      <c r="Y432" s="41"/>
      <c r="Z432" s="41">
        <v>44755.291666666664</v>
      </c>
      <c r="AA432" s="41">
        <v>44754.5</v>
      </c>
      <c r="AB432" s="41">
        <v>44756.75</v>
      </c>
      <c r="AC432" s="40" t="s">
        <v>1734</v>
      </c>
      <c r="AD432" s="40">
        <v>13208</v>
      </c>
      <c r="AE432" s="40"/>
      <c r="AF432" s="40"/>
      <c r="AG432" s="40"/>
      <c r="AH432" s="40"/>
      <c r="AI432" s="41"/>
      <c r="AJ432" s="40"/>
      <c r="AK432" s="43"/>
      <c r="AL432" s="40"/>
      <c r="AM432" s="43">
        <v>0</v>
      </c>
      <c r="AN432" s="43"/>
      <c r="AO432" s="43"/>
      <c r="AP432" s="43"/>
      <c r="AQ432" s="43">
        <v>0</v>
      </c>
      <c r="AR432" s="43">
        <v>0</v>
      </c>
      <c r="AS432" s="43"/>
      <c r="AT432" s="43">
        <v>0</v>
      </c>
      <c r="AU432" s="43"/>
      <c r="AV432" s="43"/>
      <c r="AW432" s="43"/>
      <c r="AX432" s="43">
        <v>0</v>
      </c>
      <c r="AY432" s="43">
        <v>0</v>
      </c>
      <c r="AZ432" s="43">
        <v>0</v>
      </c>
      <c r="BA432" s="43">
        <v>0</v>
      </c>
      <c r="BB432" s="43">
        <v>0</v>
      </c>
      <c r="BC432" s="43">
        <v>0</v>
      </c>
      <c r="BD432" s="43">
        <v>0</v>
      </c>
      <c r="BE432" s="43">
        <v>0</v>
      </c>
      <c r="BF432" s="43">
        <v>0</v>
      </c>
      <c r="BG432" s="43">
        <v>0</v>
      </c>
      <c r="BH432" s="43">
        <v>0</v>
      </c>
      <c r="BI432" s="40" t="s">
        <v>453</v>
      </c>
      <c r="BJ432" s="40">
        <v>1900</v>
      </c>
      <c r="BK432" s="40" t="s">
        <v>2768</v>
      </c>
      <c r="BL432" s="40" t="s">
        <v>2768</v>
      </c>
      <c r="BM432" s="40" t="s">
        <v>2768</v>
      </c>
    </row>
    <row r="433" spans="1:65" x14ac:dyDescent="0.25">
      <c r="A433" s="40" t="s">
        <v>2771</v>
      </c>
      <c r="B433" s="41">
        <v>44755.291666666664</v>
      </c>
      <c r="C433" s="40" t="s">
        <v>449</v>
      </c>
      <c r="D433" s="40" t="s">
        <v>450</v>
      </c>
      <c r="E433" s="40" t="s">
        <v>1784</v>
      </c>
      <c r="F433" s="40" t="s">
        <v>1785</v>
      </c>
      <c r="G433" s="40" t="s">
        <v>1786</v>
      </c>
      <c r="H433" s="40" t="s">
        <v>288</v>
      </c>
      <c r="I433" s="40">
        <v>2200</v>
      </c>
      <c r="J433" s="40" t="s">
        <v>1787</v>
      </c>
      <c r="K433" s="40">
        <v>26834</v>
      </c>
      <c r="L433" s="40">
        <v>29034</v>
      </c>
      <c r="M433" s="40" t="s">
        <v>1788</v>
      </c>
      <c r="N433" s="40" t="s">
        <v>1789</v>
      </c>
      <c r="O433" s="40" t="s">
        <v>37</v>
      </c>
      <c r="P433" s="40" t="s">
        <v>38</v>
      </c>
      <c r="Q433" s="40" t="s">
        <v>39</v>
      </c>
      <c r="R433" s="42" t="s">
        <v>40</v>
      </c>
      <c r="S433" s="42" t="s">
        <v>41</v>
      </c>
      <c r="T433" s="40" t="s">
        <v>469</v>
      </c>
      <c r="U433" s="41">
        <v>44754.75</v>
      </c>
      <c r="V433" s="41">
        <v>44755.25</v>
      </c>
      <c r="W433" s="41">
        <v>44755.5</v>
      </c>
      <c r="X433" s="40" t="s">
        <v>410</v>
      </c>
      <c r="Y433" s="41">
        <v>44760.406944444447</v>
      </c>
      <c r="Z433" s="41">
        <v>44759.291666666664</v>
      </c>
      <c r="AA433" s="41">
        <v>44754.75</v>
      </c>
      <c r="AB433" s="41">
        <v>44761.5</v>
      </c>
      <c r="AC433" s="40" t="s">
        <v>1790</v>
      </c>
      <c r="AD433" s="40">
        <v>475</v>
      </c>
      <c r="AE433" s="40" t="s">
        <v>125</v>
      </c>
      <c r="AF433" s="40" t="s">
        <v>125</v>
      </c>
      <c r="AG433" s="40"/>
      <c r="AH433" s="40" t="s">
        <v>309</v>
      </c>
      <c r="AI433" s="41">
        <v>44756.333333333336</v>
      </c>
      <c r="AJ433" s="40"/>
      <c r="AK433" s="43">
        <v>950</v>
      </c>
      <c r="AL433" s="40"/>
      <c r="AM433" s="43">
        <v>0</v>
      </c>
      <c r="AN433" s="43"/>
      <c r="AO433" s="43"/>
      <c r="AP433" s="43"/>
      <c r="AQ433" s="43">
        <v>0</v>
      </c>
      <c r="AR433" s="43">
        <v>0</v>
      </c>
      <c r="AS433" s="43"/>
      <c r="AT433" s="43">
        <v>0</v>
      </c>
      <c r="AU433" s="43"/>
      <c r="AV433" s="43"/>
      <c r="AW433" s="43"/>
      <c r="AX433" s="43">
        <v>0</v>
      </c>
      <c r="AY433" s="43">
        <v>0</v>
      </c>
      <c r="AZ433" s="43">
        <v>0</v>
      </c>
      <c r="BA433" s="43">
        <v>0</v>
      </c>
      <c r="BB433" s="43">
        <v>0</v>
      </c>
      <c r="BC433" s="43">
        <v>0</v>
      </c>
      <c r="BD433" s="43">
        <v>0</v>
      </c>
      <c r="BE433" s="43">
        <v>0</v>
      </c>
      <c r="BF433" s="43">
        <v>0</v>
      </c>
      <c r="BG433" s="43">
        <v>0</v>
      </c>
      <c r="BH433" s="43">
        <v>0</v>
      </c>
      <c r="BI433" s="40" t="s">
        <v>1706</v>
      </c>
      <c r="BJ433" s="40">
        <v>2022</v>
      </c>
      <c r="BK433" s="40" t="s">
        <v>2768</v>
      </c>
      <c r="BL433" s="40" t="s">
        <v>2768</v>
      </c>
      <c r="BM433" s="40" t="s">
        <v>2768</v>
      </c>
    </row>
    <row r="434" spans="1:65" x14ac:dyDescent="0.25">
      <c r="A434" s="40" t="s">
        <v>2771</v>
      </c>
      <c r="B434" s="41">
        <v>44757.333333333336</v>
      </c>
      <c r="C434" s="40" t="s">
        <v>353</v>
      </c>
      <c r="D434" s="40" t="s">
        <v>400</v>
      </c>
      <c r="E434" s="40">
        <v>8000556</v>
      </c>
      <c r="F434" s="40">
        <v>68496243</v>
      </c>
      <c r="G434" s="40" t="s">
        <v>1791</v>
      </c>
      <c r="H434" s="40" t="s">
        <v>301</v>
      </c>
      <c r="I434" s="40">
        <v>3900</v>
      </c>
      <c r="J434" s="40" t="s">
        <v>1792</v>
      </c>
      <c r="K434" s="40">
        <v>14680</v>
      </c>
      <c r="L434" s="40">
        <v>18580</v>
      </c>
      <c r="M434" s="40">
        <v>1617920</v>
      </c>
      <c r="N434" s="40" t="s">
        <v>1793</v>
      </c>
      <c r="O434" s="40" t="s">
        <v>106</v>
      </c>
      <c r="P434" s="40" t="s">
        <v>107</v>
      </c>
      <c r="Q434" s="40" t="s">
        <v>108</v>
      </c>
      <c r="R434" s="42" t="s">
        <v>109</v>
      </c>
      <c r="S434" s="42" t="s">
        <v>110</v>
      </c>
      <c r="T434" s="40" t="s">
        <v>292</v>
      </c>
      <c r="U434" s="41">
        <v>44757.625</v>
      </c>
      <c r="V434" s="41">
        <v>44760.25</v>
      </c>
      <c r="W434" s="41">
        <v>44761.441666666666</v>
      </c>
      <c r="X434" s="40" t="s">
        <v>293</v>
      </c>
      <c r="Y434" s="41">
        <v>44761.625</v>
      </c>
      <c r="Z434" s="41">
        <v>44760.291666666664</v>
      </c>
      <c r="AA434" s="41">
        <v>44760.5</v>
      </c>
      <c r="AB434" s="41">
        <v>44762.666666666664</v>
      </c>
      <c r="AC434" s="40" t="s">
        <v>1794</v>
      </c>
      <c r="AD434" s="40">
        <v>13292</v>
      </c>
      <c r="AE434" s="40"/>
      <c r="AF434" s="40"/>
      <c r="AG434" s="40"/>
      <c r="AH434" s="40"/>
      <c r="AI434" s="41"/>
      <c r="AJ434" s="40"/>
      <c r="AK434" s="43"/>
      <c r="AL434" s="40"/>
      <c r="AM434" s="43">
        <v>0</v>
      </c>
      <c r="AN434" s="43"/>
      <c r="AO434" s="43"/>
      <c r="AP434" s="43"/>
      <c r="AQ434" s="43">
        <v>0</v>
      </c>
      <c r="AR434" s="43">
        <v>262.46999999999997</v>
      </c>
      <c r="AS434" s="43"/>
      <c r="AT434" s="43">
        <v>3900</v>
      </c>
      <c r="AU434" s="43"/>
      <c r="AV434" s="43"/>
      <c r="AW434" s="43"/>
      <c r="AX434" s="43">
        <v>0</v>
      </c>
      <c r="AY434" s="43">
        <v>0</v>
      </c>
      <c r="AZ434" s="43">
        <v>0</v>
      </c>
      <c r="BA434" s="43">
        <v>0</v>
      </c>
      <c r="BB434" s="43">
        <v>0</v>
      </c>
      <c r="BC434" s="43">
        <v>0</v>
      </c>
      <c r="BD434" s="43">
        <v>0</v>
      </c>
      <c r="BE434" s="43">
        <v>0</v>
      </c>
      <c r="BF434" s="43">
        <v>0</v>
      </c>
      <c r="BG434" s="43">
        <v>0</v>
      </c>
      <c r="BH434" s="43">
        <v>3900</v>
      </c>
      <c r="BI434" s="40" t="s">
        <v>1706</v>
      </c>
      <c r="BJ434" s="40">
        <v>2022</v>
      </c>
      <c r="BK434" s="40" t="s">
        <v>2768</v>
      </c>
      <c r="BL434" s="40" t="s">
        <v>2768</v>
      </c>
      <c r="BM434" s="40" t="s">
        <v>2768</v>
      </c>
    </row>
    <row r="435" spans="1:65" x14ac:dyDescent="0.25">
      <c r="A435" s="40" t="s">
        <v>2771</v>
      </c>
      <c r="B435" s="41">
        <v>44760.333333333336</v>
      </c>
      <c r="C435" s="40" t="s">
        <v>696</v>
      </c>
      <c r="D435" s="40" t="s">
        <v>697</v>
      </c>
      <c r="E435" s="40" t="s">
        <v>1795</v>
      </c>
      <c r="F435" s="40" t="s">
        <v>1796</v>
      </c>
      <c r="G435" s="40" t="s">
        <v>1797</v>
      </c>
      <c r="H435" s="40" t="s">
        <v>288</v>
      </c>
      <c r="I435" s="40"/>
      <c r="J435" s="40"/>
      <c r="K435" s="40"/>
      <c r="L435" s="40">
        <v>0</v>
      </c>
      <c r="M435" s="40" t="s">
        <v>1798</v>
      </c>
      <c r="N435" s="40" t="s">
        <v>1799</v>
      </c>
      <c r="O435" s="40" t="s">
        <v>845</v>
      </c>
      <c r="P435" s="40" t="s">
        <v>125</v>
      </c>
      <c r="Q435" s="40" t="s">
        <v>847</v>
      </c>
      <c r="R435" s="42" t="s">
        <v>848</v>
      </c>
      <c r="S435" s="42" t="s">
        <v>849</v>
      </c>
      <c r="T435" s="40" t="s">
        <v>293</v>
      </c>
      <c r="U435" s="41">
        <v>44760.111111111109</v>
      </c>
      <c r="V435" s="41">
        <v>44760.25</v>
      </c>
      <c r="W435" s="41">
        <v>44760.336805555555</v>
      </c>
      <c r="X435" s="40" t="s">
        <v>292</v>
      </c>
      <c r="Y435" s="41">
        <v>44760.478472222225</v>
      </c>
      <c r="Z435" s="41">
        <v>44755.5</v>
      </c>
      <c r="AA435" s="41">
        <v>44755.75</v>
      </c>
      <c r="AB435" s="41">
        <v>44761.75</v>
      </c>
      <c r="AC435" s="40" t="s">
        <v>294</v>
      </c>
      <c r="AD435" s="40"/>
      <c r="AE435" s="40"/>
      <c r="AF435" s="40"/>
      <c r="AG435" s="40"/>
      <c r="AH435" s="40"/>
      <c r="AI435" s="41"/>
      <c r="AJ435" s="40"/>
      <c r="AK435" s="43"/>
      <c r="AL435" s="40"/>
      <c r="AM435" s="43">
        <v>0</v>
      </c>
      <c r="AN435" s="43"/>
      <c r="AO435" s="43"/>
      <c r="AP435" s="43"/>
      <c r="AQ435" s="43">
        <v>0</v>
      </c>
      <c r="AR435" s="43">
        <v>0</v>
      </c>
      <c r="AS435" s="43"/>
      <c r="AT435" s="43">
        <v>0</v>
      </c>
      <c r="AU435" s="43"/>
      <c r="AV435" s="43"/>
      <c r="AW435" s="43"/>
      <c r="AX435" s="43">
        <v>0</v>
      </c>
      <c r="AY435" s="43">
        <v>0</v>
      </c>
      <c r="AZ435" s="43">
        <v>0</v>
      </c>
      <c r="BA435" s="43">
        <v>0</v>
      </c>
      <c r="BB435" s="43">
        <v>0</v>
      </c>
      <c r="BC435" s="43">
        <v>0</v>
      </c>
      <c r="BD435" s="43">
        <v>0</v>
      </c>
      <c r="BE435" s="43">
        <v>0</v>
      </c>
      <c r="BF435" s="43">
        <v>0</v>
      </c>
      <c r="BG435" s="43">
        <v>0</v>
      </c>
      <c r="BH435" s="43">
        <v>0</v>
      </c>
      <c r="BI435" s="40" t="s">
        <v>1706</v>
      </c>
      <c r="BJ435" s="40">
        <v>2022</v>
      </c>
      <c r="BK435" s="40" t="s">
        <v>2768</v>
      </c>
      <c r="BL435" s="40"/>
      <c r="BM435" s="40"/>
    </row>
    <row r="436" spans="1:65" x14ac:dyDescent="0.25">
      <c r="A436" s="40" t="s">
        <v>2771</v>
      </c>
      <c r="B436" s="41">
        <v>44761.291666666664</v>
      </c>
      <c r="C436" s="40" t="s">
        <v>1800</v>
      </c>
      <c r="D436" s="40" t="s">
        <v>1801</v>
      </c>
      <c r="E436" s="40" t="s">
        <v>1802</v>
      </c>
      <c r="F436" s="40" t="s">
        <v>1803</v>
      </c>
      <c r="G436" s="40" t="s">
        <v>1804</v>
      </c>
      <c r="H436" s="40" t="s">
        <v>301</v>
      </c>
      <c r="I436" s="40">
        <v>3800</v>
      </c>
      <c r="J436" s="40"/>
      <c r="K436" s="40">
        <v>26164</v>
      </c>
      <c r="L436" s="40">
        <v>29964</v>
      </c>
      <c r="M436" s="40"/>
      <c r="N436" s="40" t="s">
        <v>740</v>
      </c>
      <c r="O436" s="40" t="s">
        <v>72</v>
      </c>
      <c r="P436" s="40" t="s">
        <v>73</v>
      </c>
      <c r="Q436" s="40" t="s">
        <v>203</v>
      </c>
      <c r="R436" s="42" t="s">
        <v>204</v>
      </c>
      <c r="S436" s="42" t="s">
        <v>205</v>
      </c>
      <c r="T436" s="40" t="s">
        <v>1805</v>
      </c>
      <c r="U436" s="41" t="s">
        <v>1806</v>
      </c>
      <c r="V436" s="41">
        <v>44761.708333333336</v>
      </c>
      <c r="W436" s="41" t="s">
        <v>1807</v>
      </c>
      <c r="X436" s="40" t="s">
        <v>537</v>
      </c>
      <c r="Y436" s="41"/>
      <c r="Z436" s="41"/>
      <c r="AA436" s="41"/>
      <c r="AB436" s="41"/>
      <c r="AC436" s="40"/>
      <c r="AD436" s="40" t="s">
        <v>1808</v>
      </c>
      <c r="AE436" s="40"/>
      <c r="AF436" s="40"/>
      <c r="AG436" s="40"/>
      <c r="AH436" s="40"/>
      <c r="AI436" s="41"/>
      <c r="AJ436" s="40"/>
      <c r="AK436" s="43"/>
      <c r="AL436" s="40"/>
      <c r="AM436" s="43">
        <v>0</v>
      </c>
      <c r="AN436" s="43"/>
      <c r="AO436" s="43"/>
      <c r="AP436" s="43"/>
      <c r="AQ436" s="43">
        <v>0</v>
      </c>
      <c r="AR436" s="43">
        <v>395.20371244900002</v>
      </c>
      <c r="AS436" s="43"/>
      <c r="AT436" s="43">
        <v>5872.2691300000006</v>
      </c>
      <c r="AU436" s="43">
        <v>4200</v>
      </c>
      <c r="AV436" s="43">
        <v>148179.42000000001</v>
      </c>
      <c r="AW436" s="43">
        <v>148.17942000000002</v>
      </c>
      <c r="AX436" s="43">
        <v>74.089710000000011</v>
      </c>
      <c r="AY436" s="43">
        <v>200</v>
      </c>
      <c r="AZ436" s="43">
        <v>500</v>
      </c>
      <c r="BA436" s="43">
        <v>0</v>
      </c>
      <c r="BB436" s="43">
        <v>0</v>
      </c>
      <c r="BC436" s="43">
        <v>50</v>
      </c>
      <c r="BD436" s="43">
        <v>0</v>
      </c>
      <c r="BE436" s="43">
        <v>700</v>
      </c>
      <c r="BF436" s="43">
        <v>0</v>
      </c>
      <c r="BG436" s="43">
        <v>0</v>
      </c>
      <c r="BH436" s="43">
        <v>0</v>
      </c>
      <c r="BI436" s="40" t="s">
        <v>1706</v>
      </c>
      <c r="BJ436" s="40">
        <v>2022</v>
      </c>
      <c r="BK436" s="40" t="s">
        <v>2768</v>
      </c>
      <c r="BL436" s="40" t="s">
        <v>2768</v>
      </c>
      <c r="BM436" s="40" t="s">
        <v>2768</v>
      </c>
    </row>
    <row r="437" spans="1:65" x14ac:dyDescent="0.25">
      <c r="A437" s="40" t="s">
        <v>2771</v>
      </c>
      <c r="B437" s="41">
        <v>44761.291666666664</v>
      </c>
      <c r="C437" s="40" t="s">
        <v>449</v>
      </c>
      <c r="D437" s="40" t="s">
        <v>450</v>
      </c>
      <c r="E437" s="40" t="s">
        <v>1809</v>
      </c>
      <c r="F437" s="40" t="s">
        <v>1810</v>
      </c>
      <c r="G437" s="40" t="s">
        <v>1811</v>
      </c>
      <c r="H437" s="40" t="s">
        <v>288</v>
      </c>
      <c r="I437" s="40">
        <v>2280</v>
      </c>
      <c r="J437" s="40" t="s">
        <v>1812</v>
      </c>
      <c r="K437" s="40">
        <v>26947</v>
      </c>
      <c r="L437" s="40">
        <v>29227</v>
      </c>
      <c r="M437" s="40">
        <v>34862</v>
      </c>
      <c r="N437" s="40" t="s">
        <v>1813</v>
      </c>
      <c r="O437" s="40" t="s">
        <v>37</v>
      </c>
      <c r="P437" s="40" t="s">
        <v>38</v>
      </c>
      <c r="Q437" s="40" t="s">
        <v>39</v>
      </c>
      <c r="R437" s="42" t="s">
        <v>40</v>
      </c>
      <c r="S437" s="42" t="s">
        <v>41</v>
      </c>
      <c r="T437" s="40" t="s">
        <v>526</v>
      </c>
      <c r="U437" s="41">
        <v>44760.709027777775</v>
      </c>
      <c r="V437" s="41">
        <v>44761.25</v>
      </c>
      <c r="W437" s="41">
        <v>44761.5</v>
      </c>
      <c r="X437" s="40" t="s">
        <v>306</v>
      </c>
      <c r="Y437" s="41">
        <v>44761.981944444444</v>
      </c>
      <c r="Z437" s="41">
        <v>44760.291666666664</v>
      </c>
      <c r="AA437" s="41">
        <v>44761.583333333336</v>
      </c>
      <c r="AB437" s="41">
        <v>44763.75</v>
      </c>
      <c r="AC437" s="40" t="s">
        <v>452</v>
      </c>
      <c r="AD437" s="40">
        <v>486</v>
      </c>
      <c r="AE437" s="40"/>
      <c r="AF437" s="40"/>
      <c r="AG437" s="40"/>
      <c r="AH437" s="40"/>
      <c r="AI437" s="41"/>
      <c r="AJ437" s="40"/>
      <c r="AK437" s="43"/>
      <c r="AL437" s="40"/>
      <c r="AM437" s="43">
        <v>0</v>
      </c>
      <c r="AN437" s="43"/>
      <c r="AO437" s="43"/>
      <c r="AP437" s="43"/>
      <c r="AQ437" s="43">
        <v>0</v>
      </c>
      <c r="AR437" s="43">
        <v>0</v>
      </c>
      <c r="AS437" s="43"/>
      <c r="AT437" s="43">
        <v>0</v>
      </c>
      <c r="AU437" s="43"/>
      <c r="AV437" s="43"/>
      <c r="AW437" s="43"/>
      <c r="AX437" s="43">
        <v>0</v>
      </c>
      <c r="AY437" s="43">
        <v>0</v>
      </c>
      <c r="AZ437" s="43">
        <v>0</v>
      </c>
      <c r="BA437" s="43">
        <v>0</v>
      </c>
      <c r="BB437" s="43">
        <v>0</v>
      </c>
      <c r="BC437" s="43">
        <v>0</v>
      </c>
      <c r="BD437" s="43">
        <v>0</v>
      </c>
      <c r="BE437" s="43">
        <v>0</v>
      </c>
      <c r="BF437" s="43">
        <v>0</v>
      </c>
      <c r="BG437" s="43">
        <v>0</v>
      </c>
      <c r="BH437" s="43">
        <v>0</v>
      </c>
      <c r="BI437" s="40" t="s">
        <v>1706</v>
      </c>
      <c r="BJ437" s="40">
        <v>2022</v>
      </c>
      <c r="BK437" s="40" t="s">
        <v>2768</v>
      </c>
      <c r="BL437" s="40" t="s">
        <v>2768</v>
      </c>
      <c r="BM437" s="40" t="s">
        <v>2768</v>
      </c>
    </row>
    <row r="438" spans="1:65" x14ac:dyDescent="0.25">
      <c r="A438" s="40" t="s">
        <v>2771</v>
      </c>
      <c r="B438" s="41">
        <v>44762.291666666664</v>
      </c>
      <c r="C438" s="40" t="s">
        <v>456</v>
      </c>
      <c r="D438" s="40" t="s">
        <v>457</v>
      </c>
      <c r="E438" s="40" t="s">
        <v>1814</v>
      </c>
      <c r="F438" s="40">
        <v>64168472</v>
      </c>
      <c r="G438" s="40" t="s">
        <v>1815</v>
      </c>
      <c r="H438" s="40" t="s">
        <v>459</v>
      </c>
      <c r="I438" s="40">
        <v>4440</v>
      </c>
      <c r="J438" s="40" t="s">
        <v>1816</v>
      </c>
      <c r="K438" s="40">
        <v>18112</v>
      </c>
      <c r="L438" s="40">
        <v>22552</v>
      </c>
      <c r="M438" s="40">
        <v>170040</v>
      </c>
      <c r="N438" s="40" t="s">
        <v>1813</v>
      </c>
      <c r="O438" s="40" t="s">
        <v>155</v>
      </c>
      <c r="P438" s="40" t="s">
        <v>312</v>
      </c>
      <c r="Q438" s="40" t="s">
        <v>1398</v>
      </c>
      <c r="R438" s="42" t="s">
        <v>1399</v>
      </c>
      <c r="S438" s="42" t="s">
        <v>1400</v>
      </c>
      <c r="T438" s="40" t="s">
        <v>537</v>
      </c>
      <c r="U438" s="41">
        <v>44761.645833333336</v>
      </c>
      <c r="V438" s="41">
        <v>44762.166666666664</v>
      </c>
      <c r="W438" s="41">
        <v>44763.416666666664</v>
      </c>
      <c r="X438" s="40" t="s">
        <v>306</v>
      </c>
      <c r="Y438" s="41">
        <v>44763.953472222223</v>
      </c>
      <c r="Z438" s="41">
        <v>44760.75</v>
      </c>
      <c r="AA438" s="41">
        <v>44761.75</v>
      </c>
      <c r="AB438" s="41">
        <v>44763.75</v>
      </c>
      <c r="AC438" s="40" t="s">
        <v>452</v>
      </c>
      <c r="AD438" s="40">
        <v>512</v>
      </c>
      <c r="AE438" s="40"/>
      <c r="AF438" s="40"/>
      <c r="AG438" s="40"/>
      <c r="AH438" s="40"/>
      <c r="AI438" s="41"/>
      <c r="AJ438" s="40"/>
      <c r="AK438" s="43"/>
      <c r="AL438" s="40"/>
      <c r="AM438" s="43">
        <v>0</v>
      </c>
      <c r="AN438" s="43"/>
      <c r="AO438" s="43"/>
      <c r="AP438" s="43"/>
      <c r="AQ438" s="43">
        <v>0</v>
      </c>
      <c r="AR438" s="43">
        <v>0</v>
      </c>
      <c r="AS438" s="43"/>
      <c r="AT438" s="43">
        <v>0</v>
      </c>
      <c r="AU438" s="43"/>
      <c r="AV438" s="43"/>
      <c r="AW438" s="43"/>
      <c r="AX438" s="43">
        <v>0</v>
      </c>
      <c r="AY438" s="43">
        <v>0</v>
      </c>
      <c r="AZ438" s="43">
        <v>0</v>
      </c>
      <c r="BA438" s="43">
        <v>0</v>
      </c>
      <c r="BB438" s="43">
        <v>0</v>
      </c>
      <c r="BC438" s="43">
        <v>0</v>
      </c>
      <c r="BD438" s="43">
        <v>0</v>
      </c>
      <c r="BE438" s="43">
        <v>0</v>
      </c>
      <c r="BF438" s="43">
        <v>0</v>
      </c>
      <c r="BG438" s="43">
        <v>0</v>
      </c>
      <c r="BH438" s="43">
        <v>0</v>
      </c>
      <c r="BI438" s="40" t="s">
        <v>1706</v>
      </c>
      <c r="BJ438" s="40">
        <v>2022</v>
      </c>
      <c r="BK438" s="40" t="s">
        <v>2768</v>
      </c>
      <c r="BL438" s="40" t="s">
        <v>2768</v>
      </c>
      <c r="BM438" s="40" t="s">
        <v>2768</v>
      </c>
    </row>
    <row r="439" spans="1:65" x14ac:dyDescent="0.25">
      <c r="A439" s="40" t="s">
        <v>2771</v>
      </c>
      <c r="B439" s="41">
        <v>44764.333333333336</v>
      </c>
      <c r="C439" s="40" t="s">
        <v>1110</v>
      </c>
      <c r="D439" s="40" t="s">
        <v>1111</v>
      </c>
      <c r="E439" s="40" t="s">
        <v>1817</v>
      </c>
      <c r="F439" s="40" t="s">
        <v>1818</v>
      </c>
      <c r="G439" s="40" t="s">
        <v>1819</v>
      </c>
      <c r="H439" s="40" t="s">
        <v>301</v>
      </c>
      <c r="I439" s="40">
        <v>3700</v>
      </c>
      <c r="J439" s="40" t="s">
        <v>1820</v>
      </c>
      <c r="K439" s="40">
        <v>25980</v>
      </c>
      <c r="L439" s="40">
        <v>29680</v>
      </c>
      <c r="M439" s="40">
        <v>315452</v>
      </c>
      <c r="N439" s="40" t="s">
        <v>1821</v>
      </c>
      <c r="O439" s="40" t="s">
        <v>92</v>
      </c>
      <c r="P439" s="40" t="s">
        <v>93</v>
      </c>
      <c r="Q439" s="40" t="s">
        <v>94</v>
      </c>
      <c r="R439" s="42" t="s">
        <v>95</v>
      </c>
      <c r="S439" s="42" t="s">
        <v>96</v>
      </c>
      <c r="T439" s="40" t="s">
        <v>537</v>
      </c>
      <c r="U439" s="41">
        <v>44763.777777777781</v>
      </c>
      <c r="V439" s="41">
        <v>44764.291666666664</v>
      </c>
      <c r="W439" s="41">
        <v>44764.694444444445</v>
      </c>
      <c r="X439" s="40" t="s">
        <v>293</v>
      </c>
      <c r="Y439" s="41">
        <v>44764.826388888891</v>
      </c>
      <c r="Z439" s="41">
        <v>44763.5</v>
      </c>
      <c r="AA439" s="41">
        <v>44764.75</v>
      </c>
      <c r="AB439" s="41">
        <v>44768.333333333336</v>
      </c>
      <c r="AC439" s="40" t="s">
        <v>294</v>
      </c>
      <c r="AD439" s="40">
        <v>13343</v>
      </c>
      <c r="AE439" s="40"/>
      <c r="AF439" s="40"/>
      <c r="AG439" s="40"/>
      <c r="AH439" s="40"/>
      <c r="AI439" s="41"/>
      <c r="AJ439" s="40"/>
      <c r="AK439" s="43"/>
      <c r="AL439" s="40"/>
      <c r="AM439" s="43">
        <v>0</v>
      </c>
      <c r="AN439" s="43"/>
      <c r="AO439" s="43"/>
      <c r="AP439" s="43"/>
      <c r="AQ439" s="43">
        <v>0</v>
      </c>
      <c r="AR439" s="43">
        <v>0</v>
      </c>
      <c r="AS439" s="43"/>
      <c r="AT439" s="43">
        <v>0</v>
      </c>
      <c r="AU439" s="43"/>
      <c r="AV439" s="43"/>
      <c r="AW439" s="43"/>
      <c r="AX439" s="43">
        <v>0</v>
      </c>
      <c r="AY439" s="43">
        <v>0</v>
      </c>
      <c r="AZ439" s="43">
        <v>0</v>
      </c>
      <c r="BA439" s="43">
        <v>0</v>
      </c>
      <c r="BB439" s="43">
        <v>0</v>
      </c>
      <c r="BC439" s="43">
        <v>0</v>
      </c>
      <c r="BD439" s="43">
        <v>0</v>
      </c>
      <c r="BE439" s="43">
        <v>0</v>
      </c>
      <c r="BF439" s="43">
        <v>0</v>
      </c>
      <c r="BG439" s="43">
        <v>0</v>
      </c>
      <c r="BH439" s="43">
        <v>0</v>
      </c>
      <c r="BI439" s="40" t="s">
        <v>1706</v>
      </c>
      <c r="BJ439" s="40">
        <v>2022</v>
      </c>
      <c r="BK439" s="40" t="s">
        <v>2768</v>
      </c>
      <c r="BL439" s="40" t="s">
        <v>125</v>
      </c>
      <c r="BM439" s="40" t="s">
        <v>125</v>
      </c>
    </row>
    <row r="440" spans="1:65" x14ac:dyDescent="0.25">
      <c r="A440" s="40" t="s">
        <v>2771</v>
      </c>
      <c r="B440" s="41">
        <v>44764.333333333336</v>
      </c>
      <c r="C440" s="40" t="s">
        <v>1110</v>
      </c>
      <c r="D440" s="40" t="s">
        <v>1111</v>
      </c>
      <c r="E440" s="40" t="s">
        <v>1817</v>
      </c>
      <c r="F440" s="40" t="s">
        <v>1818</v>
      </c>
      <c r="G440" s="40" t="s">
        <v>1822</v>
      </c>
      <c r="H440" s="40" t="s">
        <v>301</v>
      </c>
      <c r="I440" s="40">
        <v>3700</v>
      </c>
      <c r="J440" s="40" t="s">
        <v>1823</v>
      </c>
      <c r="K440" s="40">
        <v>25970</v>
      </c>
      <c r="L440" s="40">
        <v>29670</v>
      </c>
      <c r="M440" s="40">
        <v>315531</v>
      </c>
      <c r="N440" s="40" t="s">
        <v>1821</v>
      </c>
      <c r="O440" s="40" t="s">
        <v>150</v>
      </c>
      <c r="P440" s="40" t="s">
        <v>151</v>
      </c>
      <c r="Q440" s="40" t="s">
        <v>1384</v>
      </c>
      <c r="R440" s="42" t="s">
        <v>1385</v>
      </c>
      <c r="S440" s="42" t="s">
        <v>1386</v>
      </c>
      <c r="T440" s="40" t="s">
        <v>537</v>
      </c>
      <c r="U440" s="41">
        <v>44763.777777777781</v>
      </c>
      <c r="V440" s="41">
        <v>44764.291666666664</v>
      </c>
      <c r="W440" s="41">
        <v>44764.8125</v>
      </c>
      <c r="X440" s="40" t="s">
        <v>293</v>
      </c>
      <c r="Y440" s="41">
        <v>44764.904166666667</v>
      </c>
      <c r="Z440" s="41">
        <v>44763.5</v>
      </c>
      <c r="AA440" s="41">
        <v>44764.75</v>
      </c>
      <c r="AB440" s="41">
        <v>44768.333333333336</v>
      </c>
      <c r="AC440" s="40" t="s">
        <v>294</v>
      </c>
      <c r="AD440" s="40"/>
      <c r="AE440" s="40"/>
      <c r="AF440" s="40"/>
      <c r="AG440" s="40"/>
      <c r="AH440" s="40"/>
      <c r="AI440" s="41"/>
      <c r="AJ440" s="40"/>
      <c r="AK440" s="43"/>
      <c r="AL440" s="40"/>
      <c r="AM440" s="43">
        <v>0</v>
      </c>
      <c r="AN440" s="43"/>
      <c r="AO440" s="43"/>
      <c r="AP440" s="43"/>
      <c r="AQ440" s="43">
        <v>0</v>
      </c>
      <c r="AR440" s="43">
        <v>0</v>
      </c>
      <c r="AS440" s="43"/>
      <c r="AT440" s="43">
        <v>0</v>
      </c>
      <c r="AU440" s="43"/>
      <c r="AV440" s="43"/>
      <c r="AW440" s="43"/>
      <c r="AX440" s="43">
        <v>0</v>
      </c>
      <c r="AY440" s="43">
        <v>0</v>
      </c>
      <c r="AZ440" s="43">
        <v>0</v>
      </c>
      <c r="BA440" s="43">
        <v>0</v>
      </c>
      <c r="BB440" s="43">
        <v>0</v>
      </c>
      <c r="BC440" s="43">
        <v>0</v>
      </c>
      <c r="BD440" s="43">
        <v>0</v>
      </c>
      <c r="BE440" s="43">
        <v>0</v>
      </c>
      <c r="BF440" s="43">
        <v>0</v>
      </c>
      <c r="BG440" s="43">
        <v>0</v>
      </c>
      <c r="BH440" s="43">
        <v>0</v>
      </c>
      <c r="BI440" s="40" t="s">
        <v>1706</v>
      </c>
      <c r="BJ440" s="40">
        <v>2022</v>
      </c>
      <c r="BK440" s="40" t="s">
        <v>2768</v>
      </c>
      <c r="BL440" s="40" t="s">
        <v>125</v>
      </c>
      <c r="BM440" s="40" t="s">
        <v>125</v>
      </c>
    </row>
    <row r="441" spans="1:65" x14ac:dyDescent="0.25">
      <c r="A441" s="40" t="s">
        <v>2771</v>
      </c>
      <c r="B441" s="41">
        <v>44767.291666666664</v>
      </c>
      <c r="C441" s="40" t="s">
        <v>1459</v>
      </c>
      <c r="D441" s="40" t="s">
        <v>1460</v>
      </c>
      <c r="E441" s="40" t="s">
        <v>1824</v>
      </c>
      <c r="F441" s="40">
        <v>6337344420</v>
      </c>
      <c r="G441" s="40" t="s">
        <v>1825</v>
      </c>
      <c r="H441" s="40" t="s">
        <v>301</v>
      </c>
      <c r="I441" s="40">
        <v>3800</v>
      </c>
      <c r="J441" s="40" t="s">
        <v>1826</v>
      </c>
      <c r="K441" s="40">
        <v>24077</v>
      </c>
      <c r="L441" s="40">
        <v>27877</v>
      </c>
      <c r="M441" s="40">
        <v>486378</v>
      </c>
      <c r="N441" s="40" t="s">
        <v>1827</v>
      </c>
      <c r="O441" s="40" t="s">
        <v>102</v>
      </c>
      <c r="P441" s="40" t="s">
        <v>27</v>
      </c>
      <c r="Q441" s="40" t="s">
        <v>103</v>
      </c>
      <c r="R441" s="42" t="s">
        <v>104</v>
      </c>
      <c r="S441" s="42" t="s">
        <v>105</v>
      </c>
      <c r="T441" s="40" t="s">
        <v>537</v>
      </c>
      <c r="U441" s="41"/>
      <c r="V441" s="41">
        <v>44767.583333333336</v>
      </c>
      <c r="W441" s="41">
        <v>44768.375</v>
      </c>
      <c r="X441" s="40" t="s">
        <v>293</v>
      </c>
      <c r="Y441" s="41">
        <v>44769.572222222225</v>
      </c>
      <c r="Z441" s="41">
        <v>44769.333333333336</v>
      </c>
      <c r="AA441" s="41">
        <v>44764.75</v>
      </c>
      <c r="AB441" s="41">
        <v>44769.75</v>
      </c>
      <c r="AC441" s="40" t="s">
        <v>1466</v>
      </c>
      <c r="AD441" s="40">
        <v>13359</v>
      </c>
      <c r="AE441" s="40"/>
      <c r="AF441" s="40"/>
      <c r="AG441" s="40"/>
      <c r="AH441" s="40"/>
      <c r="AI441" s="41"/>
      <c r="AJ441" s="40"/>
      <c r="AK441" s="43"/>
      <c r="AL441" s="40"/>
      <c r="AM441" s="43">
        <v>0</v>
      </c>
      <c r="AN441" s="43"/>
      <c r="AO441" s="43"/>
      <c r="AP441" s="43"/>
      <c r="AQ441" s="43">
        <v>0</v>
      </c>
      <c r="AR441" s="43">
        <v>0</v>
      </c>
      <c r="AS441" s="43"/>
      <c r="AT441" s="43">
        <v>0</v>
      </c>
      <c r="AU441" s="43"/>
      <c r="AV441" s="43"/>
      <c r="AW441" s="43"/>
      <c r="AX441" s="43">
        <v>0</v>
      </c>
      <c r="AY441" s="43">
        <v>0</v>
      </c>
      <c r="AZ441" s="43">
        <v>0</v>
      </c>
      <c r="BA441" s="43">
        <v>0</v>
      </c>
      <c r="BB441" s="43">
        <v>0</v>
      </c>
      <c r="BC441" s="43">
        <v>0</v>
      </c>
      <c r="BD441" s="43">
        <v>0</v>
      </c>
      <c r="BE441" s="43">
        <v>0</v>
      </c>
      <c r="BF441" s="43">
        <v>0</v>
      </c>
      <c r="BG441" s="43">
        <v>0</v>
      </c>
      <c r="BH441" s="43">
        <v>0</v>
      </c>
      <c r="BI441" s="40" t="s">
        <v>1706</v>
      </c>
      <c r="BJ441" s="40">
        <v>2022</v>
      </c>
      <c r="BK441" s="40" t="s">
        <v>2768</v>
      </c>
      <c r="BL441" s="40" t="s">
        <v>2768</v>
      </c>
      <c r="BM441" s="40" t="s">
        <v>2768</v>
      </c>
    </row>
    <row r="442" spans="1:65" x14ac:dyDescent="0.25">
      <c r="A442" s="40" t="s">
        <v>2771</v>
      </c>
      <c r="B442" s="41">
        <v>44771.333333333336</v>
      </c>
      <c r="C442" s="40" t="s">
        <v>1110</v>
      </c>
      <c r="D442" s="40" t="s">
        <v>1111</v>
      </c>
      <c r="E442" s="40" t="s">
        <v>1828</v>
      </c>
      <c r="F442" s="40" t="s">
        <v>1829</v>
      </c>
      <c r="G442" s="40" t="s">
        <v>1830</v>
      </c>
      <c r="H442" s="40" t="s">
        <v>301</v>
      </c>
      <c r="I442" s="40">
        <v>3700</v>
      </c>
      <c r="J442" s="40">
        <v>1329325</v>
      </c>
      <c r="K442" s="40">
        <v>25780</v>
      </c>
      <c r="L442" s="40">
        <v>29480</v>
      </c>
      <c r="M442" s="40">
        <v>316266</v>
      </c>
      <c r="N442" s="40" t="s">
        <v>1831</v>
      </c>
      <c r="O442" s="40" t="s">
        <v>106</v>
      </c>
      <c r="P442" s="40" t="s">
        <v>107</v>
      </c>
      <c r="Q442" s="40" t="s">
        <v>108</v>
      </c>
      <c r="R442" s="42" t="s">
        <v>109</v>
      </c>
      <c r="S442" s="42" t="s">
        <v>110</v>
      </c>
      <c r="T442" s="40" t="s">
        <v>857</v>
      </c>
      <c r="U442" s="41">
        <v>44771</v>
      </c>
      <c r="V442" s="41">
        <v>44771.291666666664</v>
      </c>
      <c r="W442" s="41">
        <v>44771.625</v>
      </c>
      <c r="X442" s="40" t="s">
        <v>293</v>
      </c>
      <c r="Y442" s="41">
        <v>44781.868750000001</v>
      </c>
      <c r="Z442" s="41">
        <v>44781.541666666664</v>
      </c>
      <c r="AA442" s="41"/>
      <c r="AB442" s="41">
        <v>44783.5</v>
      </c>
      <c r="AC442" s="40" t="s">
        <v>294</v>
      </c>
      <c r="AD442" s="40"/>
      <c r="AE442" s="40"/>
      <c r="AF442" s="40"/>
      <c r="AG442" s="40"/>
      <c r="AH442" s="40"/>
      <c r="AI442" s="41"/>
      <c r="AJ442" s="40"/>
      <c r="AK442" s="43"/>
      <c r="AL442" s="40"/>
      <c r="AM442" s="43">
        <v>0</v>
      </c>
      <c r="AN442" s="43"/>
      <c r="AO442" s="43"/>
      <c r="AP442" s="43"/>
      <c r="AQ442" s="43">
        <v>0</v>
      </c>
      <c r="AR442" s="43">
        <v>0</v>
      </c>
      <c r="AS442" s="43"/>
      <c r="AT442" s="43">
        <v>0</v>
      </c>
      <c r="AU442" s="43"/>
      <c r="AV442" s="43"/>
      <c r="AW442" s="43"/>
      <c r="AX442" s="43">
        <v>0</v>
      </c>
      <c r="AY442" s="43">
        <v>0</v>
      </c>
      <c r="AZ442" s="43">
        <v>0</v>
      </c>
      <c r="BA442" s="43">
        <v>0</v>
      </c>
      <c r="BB442" s="43">
        <v>0</v>
      </c>
      <c r="BC442" s="43">
        <v>0</v>
      </c>
      <c r="BD442" s="43">
        <v>0</v>
      </c>
      <c r="BE442" s="43">
        <v>0</v>
      </c>
      <c r="BF442" s="43">
        <v>0</v>
      </c>
      <c r="BG442" s="43">
        <v>0</v>
      </c>
      <c r="BH442" s="43">
        <v>0</v>
      </c>
      <c r="BI442" s="40" t="s">
        <v>1706</v>
      </c>
      <c r="BJ442" s="40">
        <v>2022</v>
      </c>
      <c r="BK442" s="40" t="s">
        <v>2768</v>
      </c>
      <c r="BL442" s="40" t="s">
        <v>125</v>
      </c>
      <c r="BM442" s="40" t="s">
        <v>125</v>
      </c>
    </row>
    <row r="443" spans="1:65" x14ac:dyDescent="0.25">
      <c r="A443" s="40" t="s">
        <v>2771</v>
      </c>
      <c r="B443" s="41">
        <v>44771.333333333336</v>
      </c>
      <c r="C443" s="40" t="s">
        <v>1110</v>
      </c>
      <c r="D443" s="40" t="s">
        <v>1111</v>
      </c>
      <c r="E443" s="40" t="s">
        <v>1828</v>
      </c>
      <c r="F443" s="40" t="s">
        <v>1829</v>
      </c>
      <c r="G443" s="40" t="s">
        <v>1832</v>
      </c>
      <c r="H443" s="40" t="s">
        <v>301</v>
      </c>
      <c r="I443" s="40">
        <v>3840</v>
      </c>
      <c r="J443" s="40">
        <v>1329326</v>
      </c>
      <c r="K443" s="40">
        <v>25870</v>
      </c>
      <c r="L443" s="40">
        <v>29710</v>
      </c>
      <c r="M443" s="40">
        <v>316244</v>
      </c>
      <c r="N443" s="40" t="s">
        <v>1831</v>
      </c>
      <c r="O443" s="40" t="s">
        <v>92</v>
      </c>
      <c r="P443" s="40" t="s">
        <v>93</v>
      </c>
      <c r="Q443" s="40" t="s">
        <v>94</v>
      </c>
      <c r="R443" s="42" t="s">
        <v>95</v>
      </c>
      <c r="S443" s="42" t="s">
        <v>96</v>
      </c>
      <c r="T443" s="40" t="s">
        <v>857</v>
      </c>
      <c r="U443" s="41">
        <v>44771</v>
      </c>
      <c r="V443" s="41">
        <v>44771.291666666664</v>
      </c>
      <c r="W443" s="41">
        <v>44771.625</v>
      </c>
      <c r="X443" s="40" t="s">
        <v>293</v>
      </c>
      <c r="Y443" s="41">
        <v>44781.867361111108</v>
      </c>
      <c r="Z443" s="41">
        <v>44781.541666666664</v>
      </c>
      <c r="AA443" s="41"/>
      <c r="AB443" s="41">
        <v>44783.5</v>
      </c>
      <c r="AC443" s="40" t="s">
        <v>294</v>
      </c>
      <c r="AD443" s="40"/>
      <c r="AE443" s="40"/>
      <c r="AF443" s="40"/>
      <c r="AG443" s="40"/>
      <c r="AH443" s="40"/>
      <c r="AI443" s="41"/>
      <c r="AJ443" s="40"/>
      <c r="AK443" s="43"/>
      <c r="AL443" s="40"/>
      <c r="AM443" s="43">
        <v>0</v>
      </c>
      <c r="AN443" s="43"/>
      <c r="AO443" s="43"/>
      <c r="AP443" s="43"/>
      <c r="AQ443" s="43">
        <v>0</v>
      </c>
      <c r="AR443" s="43">
        <v>0</v>
      </c>
      <c r="AS443" s="43"/>
      <c r="AT443" s="43">
        <v>0</v>
      </c>
      <c r="AU443" s="43"/>
      <c r="AV443" s="43"/>
      <c r="AW443" s="43"/>
      <c r="AX443" s="43">
        <v>0</v>
      </c>
      <c r="AY443" s="43">
        <v>0</v>
      </c>
      <c r="AZ443" s="43">
        <v>0</v>
      </c>
      <c r="BA443" s="43">
        <v>0</v>
      </c>
      <c r="BB443" s="43">
        <v>0</v>
      </c>
      <c r="BC443" s="43">
        <v>0</v>
      </c>
      <c r="BD443" s="43">
        <v>0</v>
      </c>
      <c r="BE443" s="43">
        <v>0</v>
      </c>
      <c r="BF443" s="43">
        <v>0</v>
      </c>
      <c r="BG443" s="43">
        <v>0</v>
      </c>
      <c r="BH443" s="43">
        <v>0</v>
      </c>
      <c r="BI443" s="40" t="s">
        <v>1706</v>
      </c>
      <c r="BJ443" s="40">
        <v>2022</v>
      </c>
      <c r="BK443" s="40" t="s">
        <v>2768</v>
      </c>
      <c r="BL443" s="40" t="s">
        <v>125</v>
      </c>
      <c r="BM443" s="40" t="s">
        <v>125</v>
      </c>
    </row>
    <row r="444" spans="1:65" x14ac:dyDescent="0.25">
      <c r="A444" s="40" t="s">
        <v>2771</v>
      </c>
      <c r="B444" s="41">
        <v>44775.291666666664</v>
      </c>
      <c r="C444" s="40" t="s">
        <v>353</v>
      </c>
      <c r="D444" s="40" t="s">
        <v>354</v>
      </c>
      <c r="E444" s="40">
        <v>6830527</v>
      </c>
      <c r="F444" s="40" t="s">
        <v>1833</v>
      </c>
      <c r="G444" s="40" t="s">
        <v>1834</v>
      </c>
      <c r="H444" s="40" t="s">
        <v>301</v>
      </c>
      <c r="I444" s="40">
        <v>3840</v>
      </c>
      <c r="J444" s="40" t="s">
        <v>1835</v>
      </c>
      <c r="K444" s="40">
        <v>24726</v>
      </c>
      <c r="L444" s="40">
        <v>28566</v>
      </c>
      <c r="M444" s="40">
        <v>626093</v>
      </c>
      <c r="N444" s="40" t="s">
        <v>1836</v>
      </c>
      <c r="O444" s="40" t="s">
        <v>111</v>
      </c>
      <c r="P444" s="40" t="s">
        <v>112</v>
      </c>
      <c r="Q444" s="40" t="s">
        <v>113</v>
      </c>
      <c r="R444" s="42"/>
      <c r="S444" s="42" t="s">
        <v>333</v>
      </c>
      <c r="T444" s="40" t="s">
        <v>469</v>
      </c>
      <c r="U444" s="41">
        <v>44774.666666666664</v>
      </c>
      <c r="V444" s="41">
        <v>44775.25</v>
      </c>
      <c r="W444" s="41">
        <v>44775.583333333336</v>
      </c>
      <c r="X444" s="40" t="s">
        <v>410</v>
      </c>
      <c r="Y444" s="41"/>
      <c r="Z444" s="41">
        <v>44773.333333333336</v>
      </c>
      <c r="AA444" s="41">
        <v>44774.75</v>
      </c>
      <c r="AB444" s="41">
        <v>44777.5</v>
      </c>
      <c r="AC444" s="40" t="s">
        <v>1505</v>
      </c>
      <c r="AD444" s="40">
        <v>13417</v>
      </c>
      <c r="AE444" s="40"/>
      <c r="AF444" s="40"/>
      <c r="AG444" s="40" t="s">
        <v>1837</v>
      </c>
      <c r="AH444" s="40"/>
      <c r="AI444" s="41"/>
      <c r="AJ444" s="40"/>
      <c r="AK444" s="43"/>
      <c r="AL444" s="40"/>
      <c r="AM444" s="43">
        <v>0</v>
      </c>
      <c r="AN444" s="43"/>
      <c r="AO444" s="43"/>
      <c r="AP444" s="43"/>
      <c r="AQ444" s="43">
        <v>0</v>
      </c>
      <c r="AR444" s="43">
        <v>0</v>
      </c>
      <c r="AS444" s="43"/>
      <c r="AT444" s="43">
        <v>0</v>
      </c>
      <c r="AU444" s="43"/>
      <c r="AV444" s="43"/>
      <c r="AW444" s="43"/>
      <c r="AX444" s="43">
        <v>0</v>
      </c>
      <c r="AY444" s="43">
        <v>0</v>
      </c>
      <c r="AZ444" s="43">
        <v>0</v>
      </c>
      <c r="BA444" s="43">
        <v>0</v>
      </c>
      <c r="BB444" s="43">
        <v>0</v>
      </c>
      <c r="BC444" s="43">
        <v>0</v>
      </c>
      <c r="BD444" s="43">
        <v>0</v>
      </c>
      <c r="BE444" s="43">
        <v>0</v>
      </c>
      <c r="BF444" s="43">
        <v>0</v>
      </c>
      <c r="BG444" s="43">
        <v>0</v>
      </c>
      <c r="BH444" s="43">
        <v>0</v>
      </c>
      <c r="BI444" s="40" t="s">
        <v>1838</v>
      </c>
      <c r="BJ444" s="40">
        <v>2022</v>
      </c>
      <c r="BK444" s="40" t="s">
        <v>2768</v>
      </c>
      <c r="BL444" s="40" t="s">
        <v>2768</v>
      </c>
      <c r="BM444" s="40" t="s">
        <v>2768</v>
      </c>
    </row>
    <row r="445" spans="1:65" x14ac:dyDescent="0.25">
      <c r="A445" s="40" t="s">
        <v>2771</v>
      </c>
      <c r="B445" s="41">
        <v>44777.291666666664</v>
      </c>
      <c r="C445" s="40" t="s">
        <v>449</v>
      </c>
      <c r="D445" s="40" t="s">
        <v>450</v>
      </c>
      <c r="E445" s="40" t="s">
        <v>1839</v>
      </c>
      <c r="F445" s="40" t="s">
        <v>1840</v>
      </c>
      <c r="G445" s="40" t="s">
        <v>1841</v>
      </c>
      <c r="H445" s="40" t="s">
        <v>288</v>
      </c>
      <c r="I445" s="40">
        <v>2280</v>
      </c>
      <c r="J445" s="40"/>
      <c r="K445" s="40">
        <v>20700</v>
      </c>
      <c r="L445" s="40">
        <v>22980</v>
      </c>
      <c r="M445" s="40">
        <v>33767</v>
      </c>
      <c r="N445" s="40" t="s">
        <v>1842</v>
      </c>
      <c r="O445" s="40" t="s">
        <v>1843</v>
      </c>
      <c r="P445" s="40" t="s">
        <v>1844</v>
      </c>
      <c r="Q445" s="40" t="s">
        <v>1845</v>
      </c>
      <c r="R445" s="42" t="s">
        <v>1846</v>
      </c>
      <c r="S445" s="42" t="s">
        <v>1847</v>
      </c>
      <c r="T445" s="40" t="s">
        <v>1848</v>
      </c>
      <c r="U445" s="41">
        <v>44776.625</v>
      </c>
      <c r="V445" s="41">
        <v>44777.375</v>
      </c>
      <c r="W445" s="41">
        <v>44777.458333333336</v>
      </c>
      <c r="X445" s="40" t="s">
        <v>469</v>
      </c>
      <c r="Y445" s="41">
        <v>44778.45416666667</v>
      </c>
      <c r="Z445" s="41"/>
      <c r="AA445" s="41"/>
      <c r="AB445" s="41"/>
      <c r="AC445" s="40"/>
      <c r="AD445" s="40">
        <v>13427</v>
      </c>
      <c r="AE445" s="40"/>
      <c r="AF445" s="40"/>
      <c r="AG445" s="40"/>
      <c r="AH445" s="40"/>
      <c r="AI445" s="41"/>
      <c r="AJ445" s="40"/>
      <c r="AK445" s="43"/>
      <c r="AL445" s="40"/>
      <c r="AM445" s="43">
        <v>0</v>
      </c>
      <c r="AN445" s="43"/>
      <c r="AO445" s="43"/>
      <c r="AP445" s="43"/>
      <c r="AQ445" s="43">
        <v>0</v>
      </c>
      <c r="AR445" s="43">
        <v>0</v>
      </c>
      <c r="AS445" s="43"/>
      <c r="AT445" s="43">
        <v>0</v>
      </c>
      <c r="AU445" s="43"/>
      <c r="AV445" s="43"/>
      <c r="AW445" s="43"/>
      <c r="AX445" s="43">
        <v>0</v>
      </c>
      <c r="AY445" s="43">
        <v>0</v>
      </c>
      <c r="AZ445" s="43">
        <v>0</v>
      </c>
      <c r="BA445" s="43">
        <v>0</v>
      </c>
      <c r="BB445" s="43">
        <v>0</v>
      </c>
      <c r="BC445" s="43">
        <v>0</v>
      </c>
      <c r="BD445" s="43">
        <v>0</v>
      </c>
      <c r="BE445" s="43">
        <v>0</v>
      </c>
      <c r="BF445" s="43">
        <v>0</v>
      </c>
      <c r="BG445" s="43">
        <v>0</v>
      </c>
      <c r="BH445" s="43">
        <v>0</v>
      </c>
      <c r="BI445" s="40" t="s">
        <v>1838</v>
      </c>
      <c r="BJ445" s="40">
        <v>2022</v>
      </c>
      <c r="BK445" s="40" t="s">
        <v>2768</v>
      </c>
      <c r="BL445" s="40" t="s">
        <v>2768</v>
      </c>
      <c r="BM445" s="40" t="s">
        <v>2768</v>
      </c>
    </row>
    <row r="446" spans="1:65" x14ac:dyDescent="0.25">
      <c r="A446" s="40" t="s">
        <v>2771</v>
      </c>
      <c r="B446" s="41">
        <v>44777.333333333336</v>
      </c>
      <c r="C446" s="40" t="s">
        <v>353</v>
      </c>
      <c r="D446" s="40" t="s">
        <v>400</v>
      </c>
      <c r="E446" s="40">
        <v>8107564</v>
      </c>
      <c r="F446" s="40" t="s">
        <v>1849</v>
      </c>
      <c r="G446" s="40" t="s">
        <v>1850</v>
      </c>
      <c r="H446" s="40" t="s">
        <v>301</v>
      </c>
      <c r="I446" s="40">
        <v>3700</v>
      </c>
      <c r="J446" s="40" t="s">
        <v>1851</v>
      </c>
      <c r="K446" s="40">
        <v>18980</v>
      </c>
      <c r="L446" s="40">
        <v>22680</v>
      </c>
      <c r="M446" s="40">
        <v>1627420</v>
      </c>
      <c r="N446" s="40" t="s">
        <v>1852</v>
      </c>
      <c r="O446" s="40" t="s">
        <v>210</v>
      </c>
      <c r="P446" s="40" t="s">
        <v>1366</v>
      </c>
      <c r="Q446" s="40" t="s">
        <v>212</v>
      </c>
      <c r="R446" s="42" t="s">
        <v>213</v>
      </c>
      <c r="S446" s="42" t="s">
        <v>214</v>
      </c>
      <c r="T446" s="40" t="s">
        <v>537</v>
      </c>
      <c r="U446" s="41" t="s">
        <v>1853</v>
      </c>
      <c r="V446" s="41">
        <v>44777.25</v>
      </c>
      <c r="W446" s="41">
        <v>44777.875</v>
      </c>
      <c r="X446" s="40" t="s">
        <v>293</v>
      </c>
      <c r="Y446" s="41">
        <v>44784.375</v>
      </c>
      <c r="Z446" s="41">
        <v>44783.541666666664</v>
      </c>
      <c r="AA446" s="41">
        <v>44777.5</v>
      </c>
      <c r="AB446" s="41">
        <v>44788.75</v>
      </c>
      <c r="AC446" s="40" t="s">
        <v>1854</v>
      </c>
      <c r="AD446" s="40">
        <v>13438</v>
      </c>
      <c r="AE446" s="40"/>
      <c r="AF446" s="40"/>
      <c r="AG446" s="40"/>
      <c r="AH446" s="40" t="s">
        <v>393</v>
      </c>
      <c r="AI446" s="41">
        <v>44777.979166666664</v>
      </c>
      <c r="AJ446" s="40">
        <v>1</v>
      </c>
      <c r="AK446" s="43">
        <v>950</v>
      </c>
      <c r="AL446" s="40"/>
      <c r="AM446" s="43">
        <v>0</v>
      </c>
      <c r="AN446" s="43">
        <v>363.6</v>
      </c>
      <c r="AO446" s="43"/>
      <c r="AP446" s="43"/>
      <c r="AQ446" s="43">
        <v>363.6</v>
      </c>
      <c r="AR446" s="43">
        <v>0</v>
      </c>
      <c r="AS446" s="43"/>
      <c r="AT446" s="43">
        <v>0</v>
      </c>
      <c r="AU446" s="43"/>
      <c r="AV446" s="43"/>
      <c r="AW446" s="43"/>
      <c r="AX446" s="43">
        <v>0</v>
      </c>
      <c r="AY446" s="43">
        <v>0</v>
      </c>
      <c r="AZ446" s="43">
        <v>0</v>
      </c>
      <c r="BA446" s="43">
        <v>0</v>
      </c>
      <c r="BB446" s="43">
        <v>0</v>
      </c>
      <c r="BC446" s="43">
        <v>0</v>
      </c>
      <c r="BD446" s="43">
        <v>0</v>
      </c>
      <c r="BE446" s="43">
        <v>0</v>
      </c>
      <c r="BF446" s="43">
        <v>0</v>
      </c>
      <c r="BG446" s="43">
        <v>0</v>
      </c>
      <c r="BH446" s="43">
        <v>0</v>
      </c>
      <c r="BI446" s="40" t="s">
        <v>1838</v>
      </c>
      <c r="BJ446" s="40">
        <v>2022</v>
      </c>
      <c r="BK446" s="40" t="s">
        <v>2768</v>
      </c>
      <c r="BL446" s="40" t="s">
        <v>2768</v>
      </c>
      <c r="BM446" s="40" t="s">
        <v>2768</v>
      </c>
    </row>
    <row r="447" spans="1:65" x14ac:dyDescent="0.25">
      <c r="A447" s="40" t="s">
        <v>2771</v>
      </c>
      <c r="B447" s="41">
        <v>44781.291666666664</v>
      </c>
      <c r="C447" s="40" t="s">
        <v>449</v>
      </c>
      <c r="D447" s="40" t="s">
        <v>450</v>
      </c>
      <c r="E447" s="40" t="s">
        <v>1855</v>
      </c>
      <c r="F447" s="40" t="s">
        <v>1856</v>
      </c>
      <c r="G447" s="40" t="s">
        <v>1857</v>
      </c>
      <c r="H447" s="40" t="s">
        <v>288</v>
      </c>
      <c r="I447" s="40">
        <v>2220</v>
      </c>
      <c r="J447" s="40" t="s">
        <v>1858</v>
      </c>
      <c r="K447" s="40">
        <v>21275</v>
      </c>
      <c r="L447" s="40">
        <v>23495</v>
      </c>
      <c r="M447" s="40">
        <v>35054</v>
      </c>
      <c r="N447" s="40" t="s">
        <v>1859</v>
      </c>
      <c r="O447" s="40" t="s">
        <v>37</v>
      </c>
      <c r="P447" s="40" t="s">
        <v>38</v>
      </c>
      <c r="Q447" s="40" t="s">
        <v>39</v>
      </c>
      <c r="R447" s="42" t="s">
        <v>40</v>
      </c>
      <c r="S447" s="42" t="s">
        <v>41</v>
      </c>
      <c r="T447" s="40" t="s">
        <v>469</v>
      </c>
      <c r="U447" s="41">
        <v>44777.875</v>
      </c>
      <c r="V447" s="41">
        <v>44781.291666666664</v>
      </c>
      <c r="W447" s="41">
        <v>44781.5</v>
      </c>
      <c r="X447" s="40" t="s">
        <v>410</v>
      </c>
      <c r="Y447" s="41">
        <v>44781.974305555559</v>
      </c>
      <c r="Z447" s="41">
        <v>44780.291666666664</v>
      </c>
      <c r="AA447" s="41">
        <v>44778.75</v>
      </c>
      <c r="AB447" s="41">
        <v>44783.5</v>
      </c>
      <c r="AC447" s="40" t="s">
        <v>1615</v>
      </c>
      <c r="AD447" s="40">
        <v>625</v>
      </c>
      <c r="AE447" s="40"/>
      <c r="AF447" s="40"/>
      <c r="AG447" s="40" t="s">
        <v>1860</v>
      </c>
      <c r="AH447" s="40" t="s">
        <v>610</v>
      </c>
      <c r="AI447" s="41">
        <v>44778.75</v>
      </c>
      <c r="AJ447" s="40">
        <v>1</v>
      </c>
      <c r="AK447" s="43">
        <v>300</v>
      </c>
      <c r="AL447" s="40"/>
      <c r="AM447" s="43">
        <v>0</v>
      </c>
      <c r="AN447" s="43">
        <v>2800</v>
      </c>
      <c r="AO447" s="43">
        <v>1000</v>
      </c>
      <c r="AP447" s="43"/>
      <c r="AQ447" s="43">
        <v>3800</v>
      </c>
      <c r="AR447" s="43">
        <v>0</v>
      </c>
      <c r="AS447" s="43"/>
      <c r="AT447" s="43">
        <v>0</v>
      </c>
      <c r="AU447" s="43"/>
      <c r="AV447" s="43"/>
      <c r="AW447" s="43"/>
      <c r="AX447" s="43">
        <v>0</v>
      </c>
      <c r="AY447" s="43">
        <v>0</v>
      </c>
      <c r="AZ447" s="43">
        <v>0</v>
      </c>
      <c r="BA447" s="43">
        <v>0</v>
      </c>
      <c r="BB447" s="43">
        <v>0</v>
      </c>
      <c r="BC447" s="43">
        <v>0</v>
      </c>
      <c r="BD447" s="43">
        <v>0</v>
      </c>
      <c r="BE447" s="43">
        <v>0</v>
      </c>
      <c r="BF447" s="43">
        <v>0</v>
      </c>
      <c r="BG447" s="43">
        <v>0</v>
      </c>
      <c r="BH447" s="43">
        <v>0</v>
      </c>
      <c r="BI447" s="40" t="s">
        <v>1838</v>
      </c>
      <c r="BJ447" s="40">
        <v>2022</v>
      </c>
      <c r="BK447" s="40" t="s">
        <v>2768</v>
      </c>
      <c r="BL447" s="40" t="s">
        <v>2768</v>
      </c>
      <c r="BM447" s="40" t="s">
        <v>2768</v>
      </c>
    </row>
    <row r="448" spans="1:65" x14ac:dyDescent="0.25">
      <c r="A448" s="40" t="s">
        <v>2771</v>
      </c>
      <c r="B448" s="41">
        <v>44781.291666666664</v>
      </c>
      <c r="C448" s="40" t="s">
        <v>353</v>
      </c>
      <c r="D448" s="40" t="s">
        <v>354</v>
      </c>
      <c r="E448" s="40">
        <v>8117469</v>
      </c>
      <c r="F448" s="40">
        <v>64166454</v>
      </c>
      <c r="G448" s="40" t="s">
        <v>1861</v>
      </c>
      <c r="H448" s="40" t="s">
        <v>301</v>
      </c>
      <c r="I448" s="40">
        <v>3900</v>
      </c>
      <c r="J448" s="40" t="s">
        <v>1862</v>
      </c>
      <c r="K448" s="40">
        <v>25614</v>
      </c>
      <c r="L448" s="40">
        <v>29514</v>
      </c>
      <c r="M448" s="40">
        <v>626926</v>
      </c>
      <c r="N448" s="40" t="s">
        <v>1863</v>
      </c>
      <c r="O448" s="40" t="s">
        <v>210</v>
      </c>
      <c r="P448" s="40" t="s">
        <v>1366</v>
      </c>
      <c r="Q448" s="40" t="s">
        <v>212</v>
      </c>
      <c r="R448" s="42" t="s">
        <v>213</v>
      </c>
      <c r="S448" s="42" t="s">
        <v>214</v>
      </c>
      <c r="T448" s="40" t="s">
        <v>292</v>
      </c>
      <c r="U448" s="41">
        <v>44778.833333333336</v>
      </c>
      <c r="V448" s="41">
        <v>44781.25</v>
      </c>
      <c r="W448" s="41">
        <v>44781.395833333336</v>
      </c>
      <c r="X448" s="40" t="s">
        <v>293</v>
      </c>
      <c r="Y448" s="41">
        <v>44781.888888888891</v>
      </c>
      <c r="Z448" s="41">
        <v>44780.833333333336</v>
      </c>
      <c r="AA448" s="41">
        <v>44781.5</v>
      </c>
      <c r="AB448" s="41">
        <v>44782.75</v>
      </c>
      <c r="AC448" s="40" t="s">
        <v>590</v>
      </c>
      <c r="AD448" s="40">
        <v>13452</v>
      </c>
      <c r="AE448" s="40"/>
      <c r="AF448" s="40"/>
      <c r="AG448" s="40"/>
      <c r="AH448" s="40"/>
      <c r="AI448" s="41"/>
      <c r="AJ448" s="40"/>
      <c r="AK448" s="43"/>
      <c r="AL448" s="40"/>
      <c r="AM448" s="43">
        <v>0</v>
      </c>
      <c r="AN448" s="43">
        <v>91.5</v>
      </c>
      <c r="AO448" s="43"/>
      <c r="AP448" s="43"/>
      <c r="AQ448" s="43">
        <v>91.5</v>
      </c>
      <c r="AR448" s="43">
        <v>0</v>
      </c>
      <c r="AS448" s="43"/>
      <c r="AT448" s="43">
        <v>0</v>
      </c>
      <c r="AU448" s="43"/>
      <c r="AV448" s="43"/>
      <c r="AW448" s="43"/>
      <c r="AX448" s="43">
        <v>0</v>
      </c>
      <c r="AY448" s="43">
        <v>0</v>
      </c>
      <c r="AZ448" s="43">
        <v>0</v>
      </c>
      <c r="BA448" s="43">
        <v>0</v>
      </c>
      <c r="BB448" s="43">
        <v>0</v>
      </c>
      <c r="BC448" s="43">
        <v>0</v>
      </c>
      <c r="BD448" s="43">
        <v>0</v>
      </c>
      <c r="BE448" s="43">
        <v>0</v>
      </c>
      <c r="BF448" s="43">
        <v>0</v>
      </c>
      <c r="BG448" s="43">
        <v>0</v>
      </c>
      <c r="BH448" s="43">
        <v>0</v>
      </c>
      <c r="BI448" s="40" t="s">
        <v>1838</v>
      </c>
      <c r="BJ448" s="40">
        <v>2022</v>
      </c>
      <c r="BK448" s="40" t="s">
        <v>2768</v>
      </c>
      <c r="BL448" s="40" t="s">
        <v>2768</v>
      </c>
      <c r="BM448" s="40" t="s">
        <v>2768</v>
      </c>
    </row>
    <row r="449" spans="1:65" x14ac:dyDescent="0.25">
      <c r="A449" s="40" t="s">
        <v>2771</v>
      </c>
      <c r="B449" s="41">
        <v>44784.333333333336</v>
      </c>
      <c r="C449" s="40" t="s">
        <v>1674</v>
      </c>
      <c r="D449" s="40" t="s">
        <v>1675</v>
      </c>
      <c r="E449" s="40"/>
      <c r="F449" s="40" t="s">
        <v>1864</v>
      </c>
      <c r="G449" s="40" t="s">
        <v>1865</v>
      </c>
      <c r="H449" s="40" t="s">
        <v>301</v>
      </c>
      <c r="I449" s="40">
        <v>3840</v>
      </c>
      <c r="J449" s="40" t="s">
        <v>1866</v>
      </c>
      <c r="K449" s="40">
        <v>23228</v>
      </c>
      <c r="L449" s="40">
        <v>27068</v>
      </c>
      <c r="M449" s="40">
        <v>539858</v>
      </c>
      <c r="N449" s="40" t="s">
        <v>1867</v>
      </c>
      <c r="O449" s="40" t="s">
        <v>150</v>
      </c>
      <c r="P449" s="40" t="s">
        <v>151</v>
      </c>
      <c r="Q449" s="40" t="s">
        <v>1384</v>
      </c>
      <c r="R449" s="42" t="s">
        <v>1385</v>
      </c>
      <c r="S449" s="42" t="s">
        <v>1386</v>
      </c>
      <c r="T449" s="40" t="s">
        <v>409</v>
      </c>
      <c r="U449" s="41">
        <v>44783.75</v>
      </c>
      <c r="V449" s="41">
        <v>44784.291666666664</v>
      </c>
      <c r="W449" s="41">
        <v>44784.583333333336</v>
      </c>
      <c r="X449" s="40" t="s">
        <v>1569</v>
      </c>
      <c r="Y449" s="41">
        <v>44793.15</v>
      </c>
      <c r="Z449" s="41">
        <v>44792.333333333336</v>
      </c>
      <c r="AA449" s="41">
        <v>44788.75</v>
      </c>
      <c r="AB449" s="41">
        <v>44790.458333333336</v>
      </c>
      <c r="AC449" s="40" t="s">
        <v>1221</v>
      </c>
      <c r="AD449" s="40">
        <v>13475</v>
      </c>
      <c r="AE449" s="40" t="s">
        <v>125</v>
      </c>
      <c r="AF449" s="40" t="s">
        <v>125</v>
      </c>
      <c r="AG449" s="40"/>
      <c r="AH449" s="40" t="s">
        <v>523</v>
      </c>
      <c r="AI449" s="41">
        <v>44784.958333333336</v>
      </c>
      <c r="AJ449" s="40"/>
      <c r="AK449" s="43">
        <v>1125.04</v>
      </c>
      <c r="AL449" s="40"/>
      <c r="AM449" s="43">
        <v>0</v>
      </c>
      <c r="AN449" s="43"/>
      <c r="AO449" s="43"/>
      <c r="AP449" s="43"/>
      <c r="AQ449" s="43">
        <v>0</v>
      </c>
      <c r="AR449" s="43">
        <v>305.210590572</v>
      </c>
      <c r="AS449" s="43"/>
      <c r="AT449" s="43">
        <v>4535.07564</v>
      </c>
      <c r="AU449" s="43">
        <v>3650</v>
      </c>
      <c r="AV449" s="43">
        <v>262275.64</v>
      </c>
      <c r="AW449" s="43">
        <v>262.27564000000001</v>
      </c>
      <c r="AX449" s="43">
        <v>0</v>
      </c>
      <c r="AY449" s="43">
        <v>622.79999999999995</v>
      </c>
      <c r="AZ449" s="43">
        <v>0</v>
      </c>
      <c r="BA449" s="43">
        <v>0</v>
      </c>
      <c r="BB449" s="43">
        <v>0</v>
      </c>
      <c r="BC449" s="43">
        <v>0</v>
      </c>
      <c r="BD449" s="43">
        <v>0</v>
      </c>
      <c r="BE449" s="43">
        <v>0</v>
      </c>
      <c r="BF449" s="43">
        <v>0</v>
      </c>
      <c r="BG449" s="43">
        <v>0</v>
      </c>
      <c r="BH449" s="43">
        <v>0</v>
      </c>
      <c r="BI449" s="40" t="s">
        <v>1838</v>
      </c>
      <c r="BJ449" s="40">
        <v>2022</v>
      </c>
      <c r="BK449" s="40" t="s">
        <v>2768</v>
      </c>
      <c r="BL449" s="40"/>
      <c r="BM449" s="40" t="s">
        <v>2768</v>
      </c>
    </row>
    <row r="450" spans="1:65" x14ac:dyDescent="0.25">
      <c r="A450" s="40" t="s">
        <v>2771</v>
      </c>
      <c r="B450" s="41">
        <v>44784.333333333336</v>
      </c>
      <c r="C450" s="40" t="s">
        <v>1674</v>
      </c>
      <c r="D450" s="40" t="s">
        <v>1675</v>
      </c>
      <c r="E450" s="40"/>
      <c r="F450" s="40" t="s">
        <v>1868</v>
      </c>
      <c r="G450" s="40" t="s">
        <v>1869</v>
      </c>
      <c r="H450" s="40" t="s">
        <v>301</v>
      </c>
      <c r="I450" s="40">
        <v>3820</v>
      </c>
      <c r="J450" s="40" t="s">
        <v>1870</v>
      </c>
      <c r="K450" s="40">
        <v>23237</v>
      </c>
      <c r="L450" s="40">
        <v>27057</v>
      </c>
      <c r="M450" s="40">
        <v>539857</v>
      </c>
      <c r="N450" s="40" t="s">
        <v>1867</v>
      </c>
      <c r="O450" s="40" t="s">
        <v>1365</v>
      </c>
      <c r="P450" s="40" t="s">
        <v>1871</v>
      </c>
      <c r="Q450" s="40" t="s">
        <v>1367</v>
      </c>
      <c r="R450" s="42" t="s">
        <v>1368</v>
      </c>
      <c r="S450" s="42" t="s">
        <v>1687</v>
      </c>
      <c r="T450" s="40" t="s">
        <v>409</v>
      </c>
      <c r="U450" s="41">
        <v>44783.722916666666</v>
      </c>
      <c r="V450" s="41">
        <v>44784.342361111114</v>
      </c>
      <c r="W450" s="41">
        <v>44784.583333333336</v>
      </c>
      <c r="X450" s="40" t="s">
        <v>1569</v>
      </c>
      <c r="Y450" s="41">
        <v>44793.138888888891</v>
      </c>
      <c r="Z450" s="41">
        <v>44792.333333333336</v>
      </c>
      <c r="AA450" s="41">
        <v>44788.75</v>
      </c>
      <c r="AB450" s="41">
        <v>44790.458333333336</v>
      </c>
      <c r="AC450" s="40" t="s">
        <v>1221</v>
      </c>
      <c r="AD450" s="40">
        <v>13474</v>
      </c>
      <c r="AE450" s="40" t="s">
        <v>125</v>
      </c>
      <c r="AF450" s="40" t="s">
        <v>125</v>
      </c>
      <c r="AG450" s="40"/>
      <c r="AH450" s="40" t="s">
        <v>523</v>
      </c>
      <c r="AI450" s="41">
        <v>44784.958333333336</v>
      </c>
      <c r="AJ450" s="40"/>
      <c r="AK450" s="43">
        <v>1091.83</v>
      </c>
      <c r="AL450" s="40"/>
      <c r="AM450" s="43">
        <v>0</v>
      </c>
      <c r="AN450" s="43"/>
      <c r="AO450" s="43"/>
      <c r="AP450" s="43"/>
      <c r="AQ450" s="43">
        <v>0</v>
      </c>
      <c r="AR450" s="43">
        <v>303.04090587199994</v>
      </c>
      <c r="AS450" s="43"/>
      <c r="AT450" s="43">
        <v>4502.8366399999995</v>
      </c>
      <c r="AU450" s="43">
        <v>3650</v>
      </c>
      <c r="AV450" s="43">
        <v>230036.64</v>
      </c>
      <c r="AW450" s="43">
        <v>230.03664000000001</v>
      </c>
      <c r="AX450" s="43">
        <v>0</v>
      </c>
      <c r="AY450" s="43">
        <v>622.79999999999995</v>
      </c>
      <c r="AZ450" s="43">
        <v>0</v>
      </c>
      <c r="BA450" s="43">
        <v>0</v>
      </c>
      <c r="BB450" s="43">
        <v>0</v>
      </c>
      <c r="BC450" s="43">
        <v>0</v>
      </c>
      <c r="BD450" s="43">
        <v>0</v>
      </c>
      <c r="BE450" s="43">
        <v>0</v>
      </c>
      <c r="BF450" s="43">
        <v>0</v>
      </c>
      <c r="BG450" s="43">
        <v>0</v>
      </c>
      <c r="BH450" s="43">
        <v>0</v>
      </c>
      <c r="BI450" s="40" t="s">
        <v>1838</v>
      </c>
      <c r="BJ450" s="40">
        <v>2022</v>
      </c>
      <c r="BK450" s="40" t="s">
        <v>2768</v>
      </c>
      <c r="BL450" s="40"/>
      <c r="BM450" s="40" t="s">
        <v>2768</v>
      </c>
    </row>
    <row r="451" spans="1:65" x14ac:dyDescent="0.25">
      <c r="A451" s="40" t="s">
        <v>2771</v>
      </c>
      <c r="B451" s="41">
        <v>44785.291666666664</v>
      </c>
      <c r="C451" s="40" t="s">
        <v>353</v>
      </c>
      <c r="D451" s="40" t="s">
        <v>354</v>
      </c>
      <c r="E451" s="40">
        <v>8072839</v>
      </c>
      <c r="F451" s="40">
        <v>6339156860</v>
      </c>
      <c r="G451" s="40" t="s">
        <v>1872</v>
      </c>
      <c r="H451" s="40" t="s">
        <v>301</v>
      </c>
      <c r="I451" s="40">
        <v>3830</v>
      </c>
      <c r="J451" s="40">
        <v>457255</v>
      </c>
      <c r="K451" s="40">
        <v>25287</v>
      </c>
      <c r="L451" s="40">
        <v>29117</v>
      </c>
      <c r="M451" s="40">
        <v>627557</v>
      </c>
      <c r="N451" s="40" t="s">
        <v>1873</v>
      </c>
      <c r="O451" s="40" t="s">
        <v>106</v>
      </c>
      <c r="P451" s="40" t="s">
        <v>107</v>
      </c>
      <c r="Q451" s="40" t="s">
        <v>108</v>
      </c>
      <c r="R451" s="42" t="s">
        <v>109</v>
      </c>
      <c r="S451" s="42" t="s">
        <v>110</v>
      </c>
      <c r="T451" s="40" t="s">
        <v>537</v>
      </c>
      <c r="U451" s="41">
        <v>44784.859722222223</v>
      </c>
      <c r="V451" s="41">
        <v>44785.229166666664</v>
      </c>
      <c r="W451" s="41">
        <v>44785.371527777781</v>
      </c>
      <c r="X451" s="40" t="s">
        <v>293</v>
      </c>
      <c r="Y451" s="41">
        <v>44792.878472222219</v>
      </c>
      <c r="Z451" s="41"/>
      <c r="AA451" s="41">
        <v>44785.5</v>
      </c>
      <c r="AB451" s="41">
        <v>44790.75</v>
      </c>
      <c r="AC451" s="40" t="s">
        <v>616</v>
      </c>
      <c r="AD451" s="40">
        <v>13477</v>
      </c>
      <c r="AE451" s="40" t="s">
        <v>125</v>
      </c>
      <c r="AF451" s="40" t="s">
        <v>125</v>
      </c>
      <c r="AG451" s="40"/>
      <c r="AH451" s="40" t="s">
        <v>393</v>
      </c>
      <c r="AI451" s="41">
        <v>44785.625</v>
      </c>
      <c r="AJ451" s="40"/>
      <c r="AK451" s="43">
        <v>950</v>
      </c>
      <c r="AL451" s="40" t="s">
        <v>761</v>
      </c>
      <c r="AM451" s="43">
        <v>155</v>
      </c>
      <c r="AN451" s="43"/>
      <c r="AO451" s="43"/>
      <c r="AP451" s="43"/>
      <c r="AQ451" s="43">
        <v>0</v>
      </c>
      <c r="AR451" s="43">
        <v>0</v>
      </c>
      <c r="AS451" s="43"/>
      <c r="AT451" s="43">
        <v>0</v>
      </c>
      <c r="AU451" s="43"/>
      <c r="AV451" s="43"/>
      <c r="AW451" s="43"/>
      <c r="AX451" s="43">
        <v>0</v>
      </c>
      <c r="AY451" s="43">
        <v>0</v>
      </c>
      <c r="AZ451" s="43">
        <v>0</v>
      </c>
      <c r="BA451" s="43">
        <v>0</v>
      </c>
      <c r="BB451" s="43">
        <v>0</v>
      </c>
      <c r="BC451" s="43">
        <v>0</v>
      </c>
      <c r="BD451" s="43">
        <v>0</v>
      </c>
      <c r="BE451" s="43">
        <v>0</v>
      </c>
      <c r="BF451" s="43">
        <v>0</v>
      </c>
      <c r="BG451" s="43">
        <v>0</v>
      </c>
      <c r="BH451" s="43">
        <v>0</v>
      </c>
      <c r="BI451" s="40" t="s">
        <v>1838</v>
      </c>
      <c r="BJ451" s="40">
        <v>2022</v>
      </c>
      <c r="BK451" s="40" t="s">
        <v>2768</v>
      </c>
      <c r="BL451" s="40" t="s">
        <v>2768</v>
      </c>
      <c r="BM451" s="40" t="s">
        <v>2768</v>
      </c>
    </row>
    <row r="452" spans="1:65" x14ac:dyDescent="0.25">
      <c r="A452" s="40" t="s">
        <v>2771</v>
      </c>
      <c r="B452" s="41">
        <v>44788.708333333336</v>
      </c>
      <c r="C452" s="40" t="s">
        <v>353</v>
      </c>
      <c r="D452" s="40" t="s">
        <v>354</v>
      </c>
      <c r="E452" s="40">
        <v>8113997</v>
      </c>
      <c r="F452" s="40">
        <v>69506584</v>
      </c>
      <c r="G452" s="40" t="s">
        <v>1874</v>
      </c>
      <c r="H452" s="40" t="s">
        <v>301</v>
      </c>
      <c r="I452" s="40">
        <v>3700</v>
      </c>
      <c r="J452" s="40" t="s">
        <v>1875</v>
      </c>
      <c r="K452" s="40">
        <v>23936</v>
      </c>
      <c r="L452" s="40">
        <v>27636</v>
      </c>
      <c r="M452" s="40">
        <v>627963</v>
      </c>
      <c r="N452" s="40" t="s">
        <v>1876</v>
      </c>
      <c r="O452" s="40" t="s">
        <v>210</v>
      </c>
      <c r="P452" s="40" t="s">
        <v>1366</v>
      </c>
      <c r="Q452" s="40" t="s">
        <v>212</v>
      </c>
      <c r="R452" s="42" t="s">
        <v>213</v>
      </c>
      <c r="S452" s="42" t="s">
        <v>214</v>
      </c>
      <c r="T452" s="40" t="s">
        <v>537</v>
      </c>
      <c r="U452" s="41">
        <v>44788.569444444445</v>
      </c>
      <c r="V452" s="41">
        <v>44788.708333333336</v>
      </c>
      <c r="W452" s="41">
        <v>44788.916666666664</v>
      </c>
      <c r="X452" s="40" t="s">
        <v>293</v>
      </c>
      <c r="Y452" s="41">
        <v>44789.211805555555</v>
      </c>
      <c r="Z452" s="41">
        <v>44787.833333333336</v>
      </c>
      <c r="AA452" s="41">
        <v>44789.583333333336</v>
      </c>
      <c r="AB452" s="41">
        <v>44790.5</v>
      </c>
      <c r="AC452" s="40" t="s">
        <v>308</v>
      </c>
      <c r="AD452" s="40">
        <v>13500</v>
      </c>
      <c r="AE452" s="40" t="s">
        <v>125</v>
      </c>
      <c r="AF452" s="40" t="s">
        <v>125</v>
      </c>
      <c r="AG452" s="40"/>
      <c r="AH452" s="40"/>
      <c r="AI452" s="41"/>
      <c r="AJ452" s="40"/>
      <c r="AK452" s="43"/>
      <c r="AL452" s="40"/>
      <c r="AM452" s="43">
        <v>0</v>
      </c>
      <c r="AN452" s="43"/>
      <c r="AO452" s="43"/>
      <c r="AP452" s="43"/>
      <c r="AQ452" s="43">
        <v>0</v>
      </c>
      <c r="AR452" s="43">
        <v>0</v>
      </c>
      <c r="AS452" s="43"/>
      <c r="AT452" s="43">
        <v>0</v>
      </c>
      <c r="AU452" s="43"/>
      <c r="AV452" s="43"/>
      <c r="AW452" s="43"/>
      <c r="AX452" s="43">
        <v>0</v>
      </c>
      <c r="AY452" s="43">
        <v>0</v>
      </c>
      <c r="AZ452" s="43">
        <v>0</v>
      </c>
      <c r="BA452" s="43">
        <v>0</v>
      </c>
      <c r="BB452" s="43">
        <v>0</v>
      </c>
      <c r="BC452" s="43">
        <v>0</v>
      </c>
      <c r="BD452" s="43">
        <v>0</v>
      </c>
      <c r="BE452" s="43">
        <v>0</v>
      </c>
      <c r="BF452" s="43">
        <v>0</v>
      </c>
      <c r="BG452" s="43">
        <v>0</v>
      </c>
      <c r="BH452" s="43">
        <v>0</v>
      </c>
      <c r="BI452" s="40" t="s">
        <v>1838</v>
      </c>
      <c r="BJ452" s="40">
        <v>2022</v>
      </c>
      <c r="BK452" s="40" t="s">
        <v>2768</v>
      </c>
      <c r="BL452" s="40" t="s">
        <v>2768</v>
      </c>
      <c r="BM452" s="40"/>
    </row>
    <row r="453" spans="1:65" x14ac:dyDescent="0.25">
      <c r="A453" s="40" t="s">
        <v>2771</v>
      </c>
      <c r="B453" s="41">
        <v>44788.333333333336</v>
      </c>
      <c r="C453" s="40" t="s">
        <v>297</v>
      </c>
      <c r="D453" s="40" t="s">
        <v>298</v>
      </c>
      <c r="E453" s="40" t="s">
        <v>1877</v>
      </c>
      <c r="F453" s="40">
        <v>68506414</v>
      </c>
      <c r="G453" s="40" t="s">
        <v>1878</v>
      </c>
      <c r="H453" s="40" t="s">
        <v>301</v>
      </c>
      <c r="I453" s="40">
        <v>3900</v>
      </c>
      <c r="J453" s="40" t="s">
        <v>1879</v>
      </c>
      <c r="K453" s="40">
        <v>22704</v>
      </c>
      <c r="L453" s="40">
        <v>26604</v>
      </c>
      <c r="M453" s="40">
        <v>768964</v>
      </c>
      <c r="N453" s="40" t="s">
        <v>1876</v>
      </c>
      <c r="O453" s="40" t="s">
        <v>106</v>
      </c>
      <c r="P453" s="40" t="s">
        <v>107</v>
      </c>
      <c r="Q453" s="40" t="s">
        <v>108</v>
      </c>
      <c r="R453" s="42" t="s">
        <v>109</v>
      </c>
      <c r="S453" s="42" t="s">
        <v>110</v>
      </c>
      <c r="T453" s="40" t="s">
        <v>293</v>
      </c>
      <c r="U453" s="41">
        <v>44786.375</v>
      </c>
      <c r="V453" s="41">
        <v>44788.270833333336</v>
      </c>
      <c r="W453" s="41">
        <v>44788.5</v>
      </c>
      <c r="X453" s="40" t="s">
        <v>306</v>
      </c>
      <c r="Y453" s="41">
        <v>44790.427777777775</v>
      </c>
      <c r="Z453" s="41">
        <v>44789.666666666664</v>
      </c>
      <c r="AA453" s="41">
        <v>44789.5</v>
      </c>
      <c r="AB453" s="41" t="s">
        <v>1880</v>
      </c>
      <c r="AC453" s="40" t="s">
        <v>308</v>
      </c>
      <c r="AD453" s="40">
        <v>13495</v>
      </c>
      <c r="AE453" s="40" t="s">
        <v>125</v>
      </c>
      <c r="AF453" s="40" t="s">
        <v>125</v>
      </c>
      <c r="AG453" s="40"/>
      <c r="AH453" s="40" t="s">
        <v>309</v>
      </c>
      <c r="AI453" s="41">
        <v>44788.583333333336</v>
      </c>
      <c r="AJ453" s="40"/>
      <c r="AK453" s="43">
        <v>950</v>
      </c>
      <c r="AL453" s="40"/>
      <c r="AM453" s="43">
        <v>0</v>
      </c>
      <c r="AN453" s="43"/>
      <c r="AO453" s="43"/>
      <c r="AP453" s="43"/>
      <c r="AQ453" s="43">
        <v>0</v>
      </c>
      <c r="AR453" s="43">
        <v>0</v>
      </c>
      <c r="AS453" s="43"/>
      <c r="AT453" s="43">
        <v>0</v>
      </c>
      <c r="AU453" s="43"/>
      <c r="AV453" s="43"/>
      <c r="AW453" s="43"/>
      <c r="AX453" s="43">
        <v>0</v>
      </c>
      <c r="AY453" s="43">
        <v>0</v>
      </c>
      <c r="AZ453" s="43">
        <v>0</v>
      </c>
      <c r="BA453" s="43">
        <v>0</v>
      </c>
      <c r="BB453" s="43">
        <v>0</v>
      </c>
      <c r="BC453" s="43">
        <v>0</v>
      </c>
      <c r="BD453" s="43">
        <v>0</v>
      </c>
      <c r="BE453" s="43">
        <v>0</v>
      </c>
      <c r="BF453" s="43">
        <v>0</v>
      </c>
      <c r="BG453" s="43">
        <v>0</v>
      </c>
      <c r="BH453" s="43">
        <v>0</v>
      </c>
      <c r="BI453" s="40" t="s">
        <v>1838</v>
      </c>
      <c r="BJ453" s="40">
        <v>2022</v>
      </c>
      <c r="BK453" s="40" t="s">
        <v>2768</v>
      </c>
      <c r="BL453" s="40" t="s">
        <v>2768</v>
      </c>
      <c r="BM453" s="40" t="s">
        <v>2768</v>
      </c>
    </row>
    <row r="454" spans="1:65" x14ac:dyDescent="0.25">
      <c r="A454" s="40" t="s">
        <v>2771</v>
      </c>
      <c r="B454" s="41">
        <v>44788.458333333336</v>
      </c>
      <c r="C454" s="40" t="s">
        <v>297</v>
      </c>
      <c r="D454" s="40" t="s">
        <v>298</v>
      </c>
      <c r="E454" s="40" t="s">
        <v>1877</v>
      </c>
      <c r="F454" s="40">
        <v>68506414</v>
      </c>
      <c r="G454" s="40" t="s">
        <v>1881</v>
      </c>
      <c r="H454" s="40" t="s">
        <v>301</v>
      </c>
      <c r="I454" s="40">
        <v>3950</v>
      </c>
      <c r="J454" s="40" t="s">
        <v>1882</v>
      </c>
      <c r="K454" s="40">
        <v>22704</v>
      </c>
      <c r="L454" s="40">
        <v>26654</v>
      </c>
      <c r="M454" s="40">
        <v>769282</v>
      </c>
      <c r="N454" s="40" t="s">
        <v>1876</v>
      </c>
      <c r="O454" s="40" t="s">
        <v>150</v>
      </c>
      <c r="P454" s="40" t="s">
        <v>151</v>
      </c>
      <c r="Q454" s="40" t="s">
        <v>1384</v>
      </c>
      <c r="R454" s="42" t="s">
        <v>1385</v>
      </c>
      <c r="S454" s="42" t="s">
        <v>1883</v>
      </c>
      <c r="T454" s="40" t="s">
        <v>293</v>
      </c>
      <c r="U454" s="41">
        <v>44785.875</v>
      </c>
      <c r="V454" s="41">
        <v>44788.385416666664</v>
      </c>
      <c r="W454" s="41">
        <v>44789.4375</v>
      </c>
      <c r="X454" s="40" t="s">
        <v>306</v>
      </c>
      <c r="Y454" s="41">
        <v>44789.611111111109</v>
      </c>
      <c r="Z454" s="41">
        <v>44789.666666666664</v>
      </c>
      <c r="AA454" s="41">
        <v>44789.5</v>
      </c>
      <c r="AB454" s="41" t="s">
        <v>1880</v>
      </c>
      <c r="AC454" s="40" t="s">
        <v>308</v>
      </c>
      <c r="AD454" s="40">
        <v>13506</v>
      </c>
      <c r="AE454" s="40" t="s">
        <v>125</v>
      </c>
      <c r="AF454" s="40" t="s">
        <v>125</v>
      </c>
      <c r="AG454" s="40"/>
      <c r="AH454" s="40"/>
      <c r="AI454" s="41"/>
      <c r="AJ454" s="40"/>
      <c r="AK454" s="43"/>
      <c r="AL454" s="40"/>
      <c r="AM454" s="43">
        <v>0</v>
      </c>
      <c r="AN454" s="43"/>
      <c r="AO454" s="43"/>
      <c r="AP454" s="43"/>
      <c r="AQ454" s="43">
        <v>1470.5</v>
      </c>
      <c r="AR454" s="43">
        <v>98.964649999999992</v>
      </c>
      <c r="AS454" s="43">
        <v>1470.5</v>
      </c>
      <c r="AT454" s="43">
        <v>1470.5</v>
      </c>
      <c r="AU454" s="43"/>
      <c r="AV454" s="43"/>
      <c r="AW454" s="43"/>
      <c r="AX454" s="43">
        <v>0</v>
      </c>
      <c r="AY454" s="43">
        <v>0</v>
      </c>
      <c r="AZ454" s="43">
        <v>0</v>
      </c>
      <c r="BA454" s="43">
        <v>0</v>
      </c>
      <c r="BB454" s="43">
        <v>0</v>
      </c>
      <c r="BC454" s="43">
        <v>0</v>
      </c>
      <c r="BD454" s="43">
        <v>0</v>
      </c>
      <c r="BE454" s="43">
        <v>0</v>
      </c>
      <c r="BF454" s="43">
        <v>0</v>
      </c>
      <c r="BG454" s="43">
        <v>0</v>
      </c>
      <c r="BH454" s="43">
        <v>1470.5</v>
      </c>
      <c r="BI454" s="40" t="s">
        <v>1838</v>
      </c>
      <c r="BJ454" s="40">
        <v>2022</v>
      </c>
      <c r="BK454" s="40" t="s">
        <v>2768</v>
      </c>
      <c r="BL454" s="40" t="s">
        <v>2768</v>
      </c>
      <c r="BM454" s="40" t="s">
        <v>2768</v>
      </c>
    </row>
    <row r="455" spans="1:65" x14ac:dyDescent="0.25">
      <c r="A455" s="40" t="s">
        <v>2771</v>
      </c>
      <c r="B455" s="41">
        <v>44788.541666666664</v>
      </c>
      <c r="C455" s="40" t="s">
        <v>297</v>
      </c>
      <c r="D455" s="40" t="s">
        <v>298</v>
      </c>
      <c r="E455" s="40" t="s">
        <v>1877</v>
      </c>
      <c r="F455" s="40">
        <v>68506414</v>
      </c>
      <c r="G455" s="40" t="s">
        <v>1884</v>
      </c>
      <c r="H455" s="40" t="s">
        <v>301</v>
      </c>
      <c r="I455" s="40">
        <v>3900</v>
      </c>
      <c r="J455" s="40" t="s">
        <v>1885</v>
      </c>
      <c r="K455" s="40">
        <v>22704</v>
      </c>
      <c r="L455" s="40">
        <v>26604</v>
      </c>
      <c r="M455" s="40">
        <v>769266</v>
      </c>
      <c r="N455" s="40" t="s">
        <v>1876</v>
      </c>
      <c r="O455" s="40" t="s">
        <v>82</v>
      </c>
      <c r="P455" s="40" t="s">
        <v>83</v>
      </c>
      <c r="Q455" s="40" t="s">
        <v>84</v>
      </c>
      <c r="R455" s="42" t="s">
        <v>85</v>
      </c>
      <c r="S455" s="42" t="s">
        <v>86</v>
      </c>
      <c r="T455" s="40" t="s">
        <v>293</v>
      </c>
      <c r="U455" s="41">
        <v>44786.402777777781</v>
      </c>
      <c r="V455" s="41">
        <v>44788.305555555555</v>
      </c>
      <c r="W455" s="41">
        <v>44788.576388888891</v>
      </c>
      <c r="X455" s="40" t="s">
        <v>306</v>
      </c>
      <c r="Y455" s="41">
        <v>44790.03402777778</v>
      </c>
      <c r="Z455" s="41">
        <v>44789.666666666664</v>
      </c>
      <c r="AA455" s="41">
        <v>44789.5</v>
      </c>
      <c r="AB455" s="41" t="s">
        <v>1880</v>
      </c>
      <c r="AC455" s="40" t="s">
        <v>308</v>
      </c>
      <c r="AD455" s="40">
        <v>13496</v>
      </c>
      <c r="AE455" s="40" t="s">
        <v>125</v>
      </c>
      <c r="AF455" s="40" t="s">
        <v>125</v>
      </c>
      <c r="AG455" s="40"/>
      <c r="AH455" s="40" t="s">
        <v>309</v>
      </c>
      <c r="AI455" s="41">
        <v>44788.791666666664</v>
      </c>
      <c r="AJ455" s="40"/>
      <c r="AK455" s="43">
        <v>950</v>
      </c>
      <c r="AL455" s="40"/>
      <c r="AM455" s="43">
        <v>0</v>
      </c>
      <c r="AN455" s="43">
        <v>3000</v>
      </c>
      <c r="AO455" s="43"/>
      <c r="AP455" s="43"/>
      <c r="AQ455" s="43">
        <v>3000</v>
      </c>
      <c r="AR455" s="43">
        <v>0</v>
      </c>
      <c r="AS455" s="43"/>
      <c r="AT455" s="43">
        <v>0</v>
      </c>
      <c r="AU455" s="43"/>
      <c r="AV455" s="43"/>
      <c r="AW455" s="43"/>
      <c r="AX455" s="43">
        <v>0</v>
      </c>
      <c r="AY455" s="43">
        <v>0</v>
      </c>
      <c r="AZ455" s="43">
        <v>0</v>
      </c>
      <c r="BA455" s="43">
        <v>0</v>
      </c>
      <c r="BB455" s="43">
        <v>0</v>
      </c>
      <c r="BC455" s="43">
        <v>0</v>
      </c>
      <c r="BD455" s="43">
        <v>0</v>
      </c>
      <c r="BE455" s="43">
        <v>0</v>
      </c>
      <c r="BF455" s="43">
        <v>0</v>
      </c>
      <c r="BG455" s="43">
        <v>0</v>
      </c>
      <c r="BH455" s="43">
        <v>0</v>
      </c>
      <c r="BI455" s="40" t="s">
        <v>1838</v>
      </c>
      <c r="BJ455" s="40">
        <v>2022</v>
      </c>
      <c r="BK455" s="40" t="s">
        <v>2768</v>
      </c>
      <c r="BL455" s="40" t="s">
        <v>2768</v>
      </c>
      <c r="BM455" s="40" t="s">
        <v>2768</v>
      </c>
    </row>
    <row r="456" spans="1:65" x14ac:dyDescent="0.25">
      <c r="A456" s="40" t="s">
        <v>2771</v>
      </c>
      <c r="B456" s="41">
        <v>44788.583333333336</v>
      </c>
      <c r="C456" s="40" t="s">
        <v>297</v>
      </c>
      <c r="D456" s="40" t="s">
        <v>298</v>
      </c>
      <c r="E456" s="40" t="s">
        <v>1877</v>
      </c>
      <c r="F456" s="40">
        <v>68506414</v>
      </c>
      <c r="G456" s="40" t="s">
        <v>1886</v>
      </c>
      <c r="H456" s="40" t="s">
        <v>301</v>
      </c>
      <c r="I456" s="40">
        <v>3840</v>
      </c>
      <c r="J456" s="40" t="s">
        <v>1887</v>
      </c>
      <c r="K456" s="40">
        <v>22704</v>
      </c>
      <c r="L456" s="40">
        <v>26544</v>
      </c>
      <c r="M456" s="40">
        <v>769280</v>
      </c>
      <c r="N456" s="40" t="s">
        <v>1876</v>
      </c>
      <c r="O456" s="40" t="s">
        <v>1888</v>
      </c>
      <c r="P456" s="40" t="s">
        <v>1889</v>
      </c>
      <c r="Q456" s="40" t="s">
        <v>1890</v>
      </c>
      <c r="R456" s="42" t="s">
        <v>1891</v>
      </c>
      <c r="S456" s="42" t="s">
        <v>123</v>
      </c>
      <c r="T456" s="40" t="s">
        <v>293</v>
      </c>
      <c r="U456" s="41">
        <v>44785.916666666664</v>
      </c>
      <c r="V456" s="41">
        <v>44788.347222222219</v>
      </c>
      <c r="W456" s="41">
        <v>44788.854166666664</v>
      </c>
      <c r="X456" s="40" t="s">
        <v>306</v>
      </c>
      <c r="Y456" s="41">
        <v>44790.372916666667</v>
      </c>
      <c r="Z456" s="41">
        <v>44789.666666666664</v>
      </c>
      <c r="AA456" s="41">
        <v>44789.5</v>
      </c>
      <c r="AB456" s="41" t="s">
        <v>1880</v>
      </c>
      <c r="AC456" s="40" t="s">
        <v>308</v>
      </c>
      <c r="AD456" s="40">
        <v>13499</v>
      </c>
      <c r="AE456" s="40" t="s">
        <v>125</v>
      </c>
      <c r="AF456" s="40" t="s">
        <v>125</v>
      </c>
      <c r="AG456" s="40"/>
      <c r="AH456" s="40" t="s">
        <v>309</v>
      </c>
      <c r="AI456" s="41">
        <v>44789.375</v>
      </c>
      <c r="AJ456" s="40"/>
      <c r="AK456" s="43">
        <v>950</v>
      </c>
      <c r="AL456" s="40"/>
      <c r="AM456" s="43">
        <v>0</v>
      </c>
      <c r="AN456" s="43">
        <v>300</v>
      </c>
      <c r="AO456" s="43"/>
      <c r="AP456" s="43"/>
      <c r="AQ456" s="43">
        <v>300</v>
      </c>
      <c r="AR456" s="43">
        <v>0</v>
      </c>
      <c r="AS456" s="43"/>
      <c r="AT456" s="43">
        <v>0</v>
      </c>
      <c r="AU456" s="43"/>
      <c r="AV456" s="43"/>
      <c r="AW456" s="43"/>
      <c r="AX456" s="43">
        <v>0</v>
      </c>
      <c r="AY456" s="43">
        <v>0</v>
      </c>
      <c r="AZ456" s="43">
        <v>0</v>
      </c>
      <c r="BA456" s="43">
        <v>0</v>
      </c>
      <c r="BB456" s="43">
        <v>0</v>
      </c>
      <c r="BC456" s="43">
        <v>0</v>
      </c>
      <c r="BD456" s="43">
        <v>0</v>
      </c>
      <c r="BE456" s="43">
        <v>0</v>
      </c>
      <c r="BF456" s="43">
        <v>0</v>
      </c>
      <c r="BG456" s="43">
        <v>0</v>
      </c>
      <c r="BH456" s="43">
        <v>0</v>
      </c>
      <c r="BI456" s="40" t="s">
        <v>1838</v>
      </c>
      <c r="BJ456" s="40">
        <v>2022</v>
      </c>
      <c r="BK456" s="40" t="s">
        <v>2768</v>
      </c>
      <c r="BL456" s="40" t="s">
        <v>2768</v>
      </c>
      <c r="BM456" s="40" t="s">
        <v>2768</v>
      </c>
    </row>
    <row r="457" spans="1:65" x14ac:dyDescent="0.25">
      <c r="A457" s="40" t="s">
        <v>2771</v>
      </c>
      <c r="B457" s="41">
        <v>44788.583333333336</v>
      </c>
      <c r="C457" s="40" t="s">
        <v>297</v>
      </c>
      <c r="D457" s="40" t="s">
        <v>298</v>
      </c>
      <c r="E457" s="40" t="s">
        <v>1877</v>
      </c>
      <c r="F457" s="40">
        <v>68506414</v>
      </c>
      <c r="G457" s="40" t="s">
        <v>1892</v>
      </c>
      <c r="H457" s="40" t="s">
        <v>301</v>
      </c>
      <c r="I457" s="40">
        <v>3680</v>
      </c>
      <c r="J457" s="40" t="s">
        <v>1893</v>
      </c>
      <c r="K457" s="40">
        <v>22704</v>
      </c>
      <c r="L457" s="40">
        <v>26384</v>
      </c>
      <c r="M457" s="40">
        <v>769281</v>
      </c>
      <c r="N457" s="40" t="s">
        <v>1876</v>
      </c>
      <c r="O457" s="40" t="s">
        <v>119</v>
      </c>
      <c r="P457" s="40" t="s">
        <v>120</v>
      </c>
      <c r="Q457" s="40" t="s">
        <v>121</v>
      </c>
      <c r="R457" s="42" t="s">
        <v>122</v>
      </c>
      <c r="S457" s="42" t="s">
        <v>123</v>
      </c>
      <c r="T457" s="40" t="s">
        <v>293</v>
      </c>
      <c r="U457" s="41">
        <v>44788.375</v>
      </c>
      <c r="V457" s="41">
        <v>44788.583333333336</v>
      </c>
      <c r="W457" s="41">
        <v>44789.4375</v>
      </c>
      <c r="X457" s="40" t="s">
        <v>306</v>
      </c>
      <c r="Y457" s="41">
        <v>44789.611805555556</v>
      </c>
      <c r="Z457" s="41">
        <v>44789.666666666664</v>
      </c>
      <c r="AA457" s="41">
        <v>44789.5</v>
      </c>
      <c r="AB457" s="41" t="s">
        <v>1880</v>
      </c>
      <c r="AC457" s="40" t="s">
        <v>308</v>
      </c>
      <c r="AD457" s="40">
        <v>13507</v>
      </c>
      <c r="AE457" s="40" t="s">
        <v>125</v>
      </c>
      <c r="AF457" s="40" t="s">
        <v>125</v>
      </c>
      <c r="AG457" s="40"/>
      <c r="AH457" s="40"/>
      <c r="AI457" s="41"/>
      <c r="AJ457" s="40"/>
      <c r="AK457" s="43"/>
      <c r="AL457" s="40"/>
      <c r="AM457" s="43">
        <v>0</v>
      </c>
      <c r="AN457" s="43">
        <v>3000</v>
      </c>
      <c r="AO457" s="43"/>
      <c r="AP457" s="43"/>
      <c r="AQ457" s="43">
        <v>4470.5</v>
      </c>
      <c r="AR457" s="43">
        <v>98.964649999999992</v>
      </c>
      <c r="AS457" s="43">
        <v>1470.5</v>
      </c>
      <c r="AT457" s="43">
        <v>1470.5</v>
      </c>
      <c r="AU457" s="43"/>
      <c r="AV457" s="43"/>
      <c r="AW457" s="43"/>
      <c r="AX457" s="43">
        <v>0</v>
      </c>
      <c r="AY457" s="43">
        <v>0</v>
      </c>
      <c r="AZ457" s="43">
        <v>0</v>
      </c>
      <c r="BA457" s="43">
        <v>0</v>
      </c>
      <c r="BB457" s="43">
        <v>0</v>
      </c>
      <c r="BC457" s="43">
        <v>0</v>
      </c>
      <c r="BD457" s="43">
        <v>0</v>
      </c>
      <c r="BE457" s="43">
        <v>0</v>
      </c>
      <c r="BF457" s="43">
        <v>0</v>
      </c>
      <c r="BG457" s="43">
        <v>0</v>
      </c>
      <c r="BH457" s="43">
        <v>1470.5</v>
      </c>
      <c r="BI457" s="40" t="s">
        <v>1838</v>
      </c>
      <c r="BJ457" s="40">
        <v>2022</v>
      </c>
      <c r="BK457" s="40" t="s">
        <v>2768</v>
      </c>
      <c r="BL457" s="40" t="s">
        <v>2768</v>
      </c>
      <c r="BM457" s="40" t="s">
        <v>2768</v>
      </c>
    </row>
    <row r="458" spans="1:65" x14ac:dyDescent="0.25">
      <c r="A458" s="40" t="s">
        <v>2771</v>
      </c>
      <c r="B458" s="41">
        <v>44795.333333333336</v>
      </c>
      <c r="C458" s="40" t="s">
        <v>1110</v>
      </c>
      <c r="D458" s="40" t="s">
        <v>1111</v>
      </c>
      <c r="E458" s="40"/>
      <c r="F458" s="40" t="s">
        <v>1894</v>
      </c>
      <c r="G458" s="40" t="s">
        <v>1895</v>
      </c>
      <c r="H458" s="40" t="s">
        <v>301</v>
      </c>
      <c r="I458" s="40">
        <v>3820</v>
      </c>
      <c r="J458" s="40">
        <v>1327903</v>
      </c>
      <c r="K458" s="40">
        <v>25700</v>
      </c>
      <c r="L458" s="40">
        <v>29520</v>
      </c>
      <c r="M458" s="40">
        <v>318026</v>
      </c>
      <c r="N458" s="40" t="s">
        <v>1896</v>
      </c>
      <c r="O458" s="40" t="s">
        <v>102</v>
      </c>
      <c r="P458" s="40" t="s">
        <v>27</v>
      </c>
      <c r="Q458" s="40" t="s">
        <v>103</v>
      </c>
      <c r="R458" s="42" t="s">
        <v>104</v>
      </c>
      <c r="S458" s="42" t="s">
        <v>105</v>
      </c>
      <c r="T458" s="40" t="s">
        <v>857</v>
      </c>
      <c r="U458" s="41">
        <v>44795.375</v>
      </c>
      <c r="V458" s="41">
        <v>44795.34375</v>
      </c>
      <c r="W458" s="41">
        <v>44796.854166666664</v>
      </c>
      <c r="X458" s="40" t="s">
        <v>293</v>
      </c>
      <c r="Y458" s="41">
        <v>44796.38958333333</v>
      </c>
      <c r="Z458" s="41">
        <v>44792.333333333336</v>
      </c>
      <c r="AA458" s="41" t="s">
        <v>1897</v>
      </c>
      <c r="AB458" s="41">
        <v>44796.333333333336</v>
      </c>
      <c r="AC458" s="40" t="s">
        <v>294</v>
      </c>
      <c r="AD458" s="40">
        <v>13577</v>
      </c>
      <c r="AE458" s="40" t="s">
        <v>125</v>
      </c>
      <c r="AF458" s="40" t="s">
        <v>125</v>
      </c>
      <c r="AG458" s="40"/>
      <c r="AH458" s="40"/>
      <c r="AI458" s="41"/>
      <c r="AJ458" s="40"/>
      <c r="AK458" s="43"/>
      <c r="AL458" s="40"/>
      <c r="AM458" s="43">
        <v>0</v>
      </c>
      <c r="AN458" s="43"/>
      <c r="AO458" s="43"/>
      <c r="AP458" s="43"/>
      <c r="AQ458" s="43">
        <v>0</v>
      </c>
      <c r="AR458" s="43">
        <v>0</v>
      </c>
      <c r="AS458" s="43"/>
      <c r="AT458" s="43">
        <v>0</v>
      </c>
      <c r="AU458" s="43"/>
      <c r="AV458" s="43"/>
      <c r="AW458" s="43"/>
      <c r="AX458" s="43">
        <v>0</v>
      </c>
      <c r="AY458" s="43">
        <v>0</v>
      </c>
      <c r="AZ458" s="43">
        <v>0</v>
      </c>
      <c r="BA458" s="43">
        <v>0</v>
      </c>
      <c r="BB458" s="43">
        <v>0</v>
      </c>
      <c r="BC458" s="43">
        <v>0</v>
      </c>
      <c r="BD458" s="43">
        <v>0</v>
      </c>
      <c r="BE458" s="43">
        <v>0</v>
      </c>
      <c r="BF458" s="43">
        <v>0</v>
      </c>
      <c r="BG458" s="43">
        <v>0</v>
      </c>
      <c r="BH458" s="43">
        <v>0</v>
      </c>
      <c r="BI458" s="40" t="s">
        <v>1838</v>
      </c>
      <c r="BJ458" s="40">
        <v>2022</v>
      </c>
      <c r="BK458" s="40" t="s">
        <v>2768</v>
      </c>
      <c r="BL458" s="40" t="s">
        <v>2768</v>
      </c>
      <c r="BM458" s="40" t="s">
        <v>2768</v>
      </c>
    </row>
    <row r="459" spans="1:65" x14ac:dyDescent="0.25">
      <c r="A459" s="40" t="s">
        <v>2771</v>
      </c>
      <c r="B459" s="41">
        <v>44795.333333333336</v>
      </c>
      <c r="C459" s="40" t="s">
        <v>696</v>
      </c>
      <c r="D459" s="40" t="s">
        <v>697</v>
      </c>
      <c r="E459" s="40" t="s">
        <v>1898</v>
      </c>
      <c r="F459" s="40" t="s">
        <v>1899</v>
      </c>
      <c r="G459" s="40" t="s">
        <v>1900</v>
      </c>
      <c r="H459" s="40" t="s">
        <v>288</v>
      </c>
      <c r="I459" s="40"/>
      <c r="J459" s="40">
        <v>1196270</v>
      </c>
      <c r="K459" s="40">
        <v>14036</v>
      </c>
      <c r="L459" s="40">
        <v>14036</v>
      </c>
      <c r="M459" s="40" t="s">
        <v>1901</v>
      </c>
      <c r="N459" s="40" t="s">
        <v>1902</v>
      </c>
      <c r="O459" s="40" t="s">
        <v>37</v>
      </c>
      <c r="P459" s="40" t="s">
        <v>38</v>
      </c>
      <c r="Q459" s="40" t="s">
        <v>39</v>
      </c>
      <c r="R459" s="42" t="s">
        <v>40</v>
      </c>
      <c r="S459" s="42" t="s">
        <v>41</v>
      </c>
      <c r="T459" s="40" t="s">
        <v>293</v>
      </c>
      <c r="U459" s="41">
        <v>44794.962500000001</v>
      </c>
      <c r="V459" s="41">
        <v>44795.208333333336</v>
      </c>
      <c r="W459" s="41">
        <v>44795.34375</v>
      </c>
      <c r="X459" s="40" t="s">
        <v>292</v>
      </c>
      <c r="Y459" s="41">
        <v>44795.479166666664</v>
      </c>
      <c r="Z459" s="41"/>
      <c r="AA459" s="41"/>
      <c r="AB459" s="41"/>
      <c r="AC459" s="40" t="s">
        <v>708</v>
      </c>
      <c r="AD459" s="40"/>
      <c r="AE459" s="40" t="s">
        <v>125</v>
      </c>
      <c r="AF459" s="40" t="s">
        <v>125</v>
      </c>
      <c r="AG459" s="40"/>
      <c r="AH459" s="40"/>
      <c r="AI459" s="41"/>
      <c r="AJ459" s="40"/>
      <c r="AK459" s="43"/>
      <c r="AL459" s="40"/>
      <c r="AM459" s="43">
        <v>0</v>
      </c>
      <c r="AN459" s="43"/>
      <c r="AO459" s="43"/>
      <c r="AP459" s="43"/>
      <c r="AQ459" s="43">
        <v>0</v>
      </c>
      <c r="AR459" s="43">
        <v>0</v>
      </c>
      <c r="AS459" s="43"/>
      <c r="AT459" s="43">
        <v>0</v>
      </c>
      <c r="AU459" s="43"/>
      <c r="AV459" s="43"/>
      <c r="AW459" s="43"/>
      <c r="AX459" s="43">
        <v>0</v>
      </c>
      <c r="AY459" s="43">
        <v>0</v>
      </c>
      <c r="AZ459" s="43">
        <v>0</v>
      </c>
      <c r="BA459" s="43">
        <v>0</v>
      </c>
      <c r="BB459" s="43">
        <v>0</v>
      </c>
      <c r="BC459" s="43">
        <v>0</v>
      </c>
      <c r="BD459" s="43">
        <v>0</v>
      </c>
      <c r="BE459" s="43">
        <v>0</v>
      </c>
      <c r="BF459" s="43">
        <v>0</v>
      </c>
      <c r="BG459" s="43">
        <v>0</v>
      </c>
      <c r="BH459" s="43">
        <v>0</v>
      </c>
      <c r="BI459" s="40" t="s">
        <v>1838</v>
      </c>
      <c r="BJ459" s="40">
        <v>2022</v>
      </c>
      <c r="BK459" s="40" t="s">
        <v>2768</v>
      </c>
      <c r="BL459" s="40" t="s">
        <v>2768</v>
      </c>
      <c r="BM459" s="40" t="s">
        <v>2768</v>
      </c>
    </row>
    <row r="460" spans="1:65" x14ac:dyDescent="0.25">
      <c r="A460" s="40" t="s">
        <v>2771</v>
      </c>
      <c r="B460" s="41">
        <v>44797.333333333336</v>
      </c>
      <c r="C460" s="40" t="s">
        <v>1903</v>
      </c>
      <c r="D460" s="40" t="s">
        <v>697</v>
      </c>
      <c r="E460" s="40"/>
      <c r="F460" s="40" t="s">
        <v>1904</v>
      </c>
      <c r="G460" s="40" t="s">
        <v>1905</v>
      </c>
      <c r="H460" s="40" t="s">
        <v>301</v>
      </c>
      <c r="I460" s="40">
        <v>3840</v>
      </c>
      <c r="J460" s="40" t="s">
        <v>1906</v>
      </c>
      <c r="K460" s="40">
        <v>2040</v>
      </c>
      <c r="L460" s="40">
        <v>5880</v>
      </c>
      <c r="M460" s="40">
        <v>1512</v>
      </c>
      <c r="N460" s="40" t="s">
        <v>1907</v>
      </c>
      <c r="O460" s="40" t="s">
        <v>150</v>
      </c>
      <c r="P460" s="40" t="s">
        <v>151</v>
      </c>
      <c r="Q460" s="40" t="s">
        <v>1384</v>
      </c>
      <c r="R460" s="42" t="s">
        <v>1385</v>
      </c>
      <c r="S460" s="42" t="s">
        <v>1386</v>
      </c>
      <c r="T460" s="40" t="s">
        <v>537</v>
      </c>
      <c r="U460" s="41">
        <v>44796.354166666664</v>
      </c>
      <c r="V460" s="41">
        <v>44797.4375</v>
      </c>
      <c r="W460" s="41">
        <v>44797.666666666664</v>
      </c>
      <c r="X460" s="40" t="s">
        <v>293</v>
      </c>
      <c r="Y460" s="41">
        <v>44804.98541666667</v>
      </c>
      <c r="Z460" s="41">
        <v>44804.583333333336</v>
      </c>
      <c r="AA460" s="41">
        <v>44796.5</v>
      </c>
      <c r="AB460" s="41">
        <v>44805.5</v>
      </c>
      <c r="AC460" s="40" t="s">
        <v>1345</v>
      </c>
      <c r="AD460" s="40">
        <v>13597</v>
      </c>
      <c r="AE460" s="40" t="s">
        <v>125</v>
      </c>
      <c r="AF460" s="40" t="s">
        <v>125</v>
      </c>
      <c r="AG460" s="40"/>
      <c r="AH460" s="40" t="s">
        <v>393</v>
      </c>
      <c r="AI460" s="41">
        <v>44797.833333333336</v>
      </c>
      <c r="AJ460" s="40"/>
      <c r="AK460" s="43">
        <v>1200</v>
      </c>
      <c r="AL460" s="40" t="s">
        <v>1908</v>
      </c>
      <c r="AM460" s="43">
        <v>0</v>
      </c>
      <c r="AN460" s="43"/>
      <c r="AO460" s="43"/>
      <c r="AP460" s="43"/>
      <c r="AQ460" s="43">
        <v>0</v>
      </c>
      <c r="AR460" s="43">
        <v>0</v>
      </c>
      <c r="AS460" s="43"/>
      <c r="AT460" s="43">
        <v>0</v>
      </c>
      <c r="AU460" s="43"/>
      <c r="AV460" s="43"/>
      <c r="AW460" s="43"/>
      <c r="AX460" s="43">
        <v>0</v>
      </c>
      <c r="AY460" s="43">
        <v>0</v>
      </c>
      <c r="AZ460" s="43">
        <v>0</v>
      </c>
      <c r="BA460" s="43">
        <v>0</v>
      </c>
      <c r="BB460" s="43">
        <v>0</v>
      </c>
      <c r="BC460" s="43">
        <v>0</v>
      </c>
      <c r="BD460" s="43">
        <v>0</v>
      </c>
      <c r="BE460" s="43">
        <v>0</v>
      </c>
      <c r="BF460" s="43">
        <v>0</v>
      </c>
      <c r="BG460" s="43">
        <v>0</v>
      </c>
      <c r="BH460" s="43">
        <v>0</v>
      </c>
      <c r="BI460" s="40" t="s">
        <v>1838</v>
      </c>
      <c r="BJ460" s="40">
        <v>2022</v>
      </c>
      <c r="BK460" s="40" t="s">
        <v>2768</v>
      </c>
      <c r="BL460" s="40" t="s">
        <v>2768</v>
      </c>
      <c r="BM460" s="40" t="s">
        <v>2768</v>
      </c>
    </row>
    <row r="461" spans="1:65" x14ac:dyDescent="0.25">
      <c r="A461" s="40" t="s">
        <v>2771</v>
      </c>
      <c r="B461" s="41">
        <v>44797.333333333336</v>
      </c>
      <c r="C461" s="40" t="s">
        <v>1903</v>
      </c>
      <c r="D461" s="40" t="s">
        <v>697</v>
      </c>
      <c r="E461" s="40"/>
      <c r="F461" s="40" t="s">
        <v>1904</v>
      </c>
      <c r="G461" s="40" t="s">
        <v>1909</v>
      </c>
      <c r="H461" s="40" t="s">
        <v>301</v>
      </c>
      <c r="I461" s="40">
        <v>3860</v>
      </c>
      <c r="J461" s="40" t="s">
        <v>1910</v>
      </c>
      <c r="K461" s="40">
        <v>2425</v>
      </c>
      <c r="L461" s="40">
        <v>6285</v>
      </c>
      <c r="M461" s="40">
        <v>1513</v>
      </c>
      <c r="N461" s="40" t="s">
        <v>1907</v>
      </c>
      <c r="O461" s="40" t="s">
        <v>72</v>
      </c>
      <c r="P461" s="40" t="s">
        <v>73</v>
      </c>
      <c r="Q461" s="40" t="s">
        <v>203</v>
      </c>
      <c r="R461" s="42" t="s">
        <v>204</v>
      </c>
      <c r="S461" s="42" t="s">
        <v>205</v>
      </c>
      <c r="T461" s="40" t="s">
        <v>537</v>
      </c>
      <c r="U461" s="41">
        <v>44796.354166666664</v>
      </c>
      <c r="V461" s="41">
        <v>44797.367361111108</v>
      </c>
      <c r="W461" s="41">
        <v>44797.666666666664</v>
      </c>
      <c r="X461" s="40" t="s">
        <v>293</v>
      </c>
      <c r="Y461" s="41">
        <v>44805.004166666666</v>
      </c>
      <c r="Z461" s="41">
        <v>44804.583333333336</v>
      </c>
      <c r="AA461" s="41">
        <v>44796.5</v>
      </c>
      <c r="AB461" s="41">
        <v>44805.5</v>
      </c>
      <c r="AC461" s="40" t="s">
        <v>1345</v>
      </c>
      <c r="AD461" s="40">
        <v>13598</v>
      </c>
      <c r="AE461" s="40" t="s">
        <v>125</v>
      </c>
      <c r="AF461" s="40" t="s">
        <v>125</v>
      </c>
      <c r="AG461" s="40"/>
      <c r="AH461" s="40" t="s">
        <v>393</v>
      </c>
      <c r="AI461" s="41">
        <v>44797.833333333336</v>
      </c>
      <c r="AJ461" s="40"/>
      <c r="AK461" s="43">
        <v>1200</v>
      </c>
      <c r="AL461" s="40" t="s">
        <v>1908</v>
      </c>
      <c r="AM461" s="43">
        <v>0</v>
      </c>
      <c r="AN461" s="43"/>
      <c r="AO461" s="43"/>
      <c r="AP461" s="43"/>
      <c r="AQ461" s="43">
        <v>0</v>
      </c>
      <c r="AR461" s="43">
        <v>0</v>
      </c>
      <c r="AS461" s="43"/>
      <c r="AT461" s="43">
        <v>0</v>
      </c>
      <c r="AU461" s="43"/>
      <c r="AV461" s="43"/>
      <c r="AW461" s="43"/>
      <c r="AX461" s="43">
        <v>0</v>
      </c>
      <c r="AY461" s="43">
        <v>0</v>
      </c>
      <c r="AZ461" s="43">
        <v>0</v>
      </c>
      <c r="BA461" s="43">
        <v>0</v>
      </c>
      <c r="BB461" s="43">
        <v>0</v>
      </c>
      <c r="BC461" s="43">
        <v>0</v>
      </c>
      <c r="BD461" s="43">
        <v>0</v>
      </c>
      <c r="BE461" s="43">
        <v>0</v>
      </c>
      <c r="BF461" s="43">
        <v>0</v>
      </c>
      <c r="BG461" s="43">
        <v>0</v>
      </c>
      <c r="BH461" s="43">
        <v>0</v>
      </c>
      <c r="BI461" s="40" t="s">
        <v>1838</v>
      </c>
      <c r="BJ461" s="40">
        <v>2022</v>
      </c>
      <c r="BK461" s="40" t="s">
        <v>2768</v>
      </c>
      <c r="BL461" s="40" t="s">
        <v>2768</v>
      </c>
      <c r="BM461" s="40" t="s">
        <v>2768</v>
      </c>
    </row>
    <row r="462" spans="1:65" x14ac:dyDescent="0.25">
      <c r="A462" s="40" t="s">
        <v>2771</v>
      </c>
      <c r="B462" s="41">
        <v>44797.291666666664</v>
      </c>
      <c r="C462" s="40" t="s">
        <v>353</v>
      </c>
      <c r="D462" s="40" t="s">
        <v>354</v>
      </c>
      <c r="E462" s="40">
        <v>8088997</v>
      </c>
      <c r="F462" s="40">
        <v>60171300</v>
      </c>
      <c r="G462" s="40" t="s">
        <v>1911</v>
      </c>
      <c r="H462" s="40" t="s">
        <v>301</v>
      </c>
      <c r="I462" s="40">
        <v>3700</v>
      </c>
      <c r="J462" s="40" t="s">
        <v>1912</v>
      </c>
      <c r="K462" s="40">
        <v>23943</v>
      </c>
      <c r="L462" s="40">
        <v>27643</v>
      </c>
      <c r="M462" s="40">
        <v>629581</v>
      </c>
      <c r="N462" s="40" t="s">
        <v>1913</v>
      </c>
      <c r="O462" s="40" t="s">
        <v>210</v>
      </c>
      <c r="P462" s="40" t="s">
        <v>1366</v>
      </c>
      <c r="Q462" s="40" t="s">
        <v>212</v>
      </c>
      <c r="R462" s="42" t="s">
        <v>213</v>
      </c>
      <c r="S462" s="42" t="s">
        <v>214</v>
      </c>
      <c r="T462" s="40" t="s">
        <v>292</v>
      </c>
      <c r="U462" s="41">
        <v>44796.708333333336</v>
      </c>
      <c r="V462" s="41">
        <v>44797.208333333336</v>
      </c>
      <c r="W462" s="41">
        <v>44797.5</v>
      </c>
      <c r="X462" s="40" t="s">
        <v>410</v>
      </c>
      <c r="Y462" s="41">
        <v>44797.861805555556</v>
      </c>
      <c r="Z462" s="41">
        <v>44796.791666666664</v>
      </c>
      <c r="AA462" s="41">
        <v>44797.75</v>
      </c>
      <c r="AB462" s="41">
        <v>44800.5</v>
      </c>
      <c r="AC462" s="40" t="s">
        <v>835</v>
      </c>
      <c r="AD462" s="40">
        <v>13599</v>
      </c>
      <c r="AE462" s="40" t="s">
        <v>125</v>
      </c>
      <c r="AF462" s="40" t="s">
        <v>125</v>
      </c>
      <c r="AG462" s="40" t="s">
        <v>1914</v>
      </c>
      <c r="AH462" s="40"/>
      <c r="AI462" s="41"/>
      <c r="AJ462" s="40"/>
      <c r="AK462" s="43"/>
      <c r="AL462" s="40"/>
      <c r="AM462" s="43">
        <v>0</v>
      </c>
      <c r="AN462" s="43"/>
      <c r="AO462" s="43"/>
      <c r="AP462" s="43"/>
      <c r="AQ462" s="43">
        <v>0</v>
      </c>
      <c r="AR462" s="43">
        <v>0</v>
      </c>
      <c r="AS462" s="43"/>
      <c r="AT462" s="43">
        <v>0</v>
      </c>
      <c r="AU462" s="43"/>
      <c r="AV462" s="43"/>
      <c r="AW462" s="43"/>
      <c r="AX462" s="43">
        <v>0</v>
      </c>
      <c r="AY462" s="43">
        <v>0</v>
      </c>
      <c r="AZ462" s="43">
        <v>0</v>
      </c>
      <c r="BA462" s="43">
        <v>0</v>
      </c>
      <c r="BB462" s="43">
        <v>0</v>
      </c>
      <c r="BC462" s="43">
        <v>0</v>
      </c>
      <c r="BD462" s="43">
        <v>0</v>
      </c>
      <c r="BE462" s="43">
        <v>0</v>
      </c>
      <c r="BF462" s="43">
        <v>0</v>
      </c>
      <c r="BG462" s="43">
        <v>0</v>
      </c>
      <c r="BH462" s="43">
        <v>0</v>
      </c>
      <c r="BI462" s="40" t="s">
        <v>1838</v>
      </c>
      <c r="BJ462" s="40">
        <v>2022</v>
      </c>
      <c r="BK462" s="40" t="s">
        <v>2768</v>
      </c>
      <c r="BL462" s="40" t="s">
        <v>2768</v>
      </c>
      <c r="BM462" s="40" t="s">
        <v>2768</v>
      </c>
    </row>
    <row r="463" spans="1:65" x14ac:dyDescent="0.25">
      <c r="A463" s="40" t="s">
        <v>2771</v>
      </c>
      <c r="B463" s="41">
        <v>44797.291666666664</v>
      </c>
      <c r="C463" s="40" t="s">
        <v>353</v>
      </c>
      <c r="D463" s="40" t="s">
        <v>354</v>
      </c>
      <c r="E463" s="40">
        <v>8088997</v>
      </c>
      <c r="F463" s="40">
        <v>60171300</v>
      </c>
      <c r="G463" s="40" t="s">
        <v>1915</v>
      </c>
      <c r="H463" s="40" t="s">
        <v>301</v>
      </c>
      <c r="I463" s="40">
        <v>3900</v>
      </c>
      <c r="J463" s="40" t="s">
        <v>1916</v>
      </c>
      <c r="K463" s="40">
        <v>23943</v>
      </c>
      <c r="L463" s="40">
        <v>27843</v>
      </c>
      <c r="M463" s="40">
        <v>629571</v>
      </c>
      <c r="N463" s="40" t="s">
        <v>1913</v>
      </c>
      <c r="O463" s="40" t="s">
        <v>1917</v>
      </c>
      <c r="P463" s="40" t="s">
        <v>1918</v>
      </c>
      <c r="Q463" s="40" t="s">
        <v>1919</v>
      </c>
      <c r="R463" s="42" t="s">
        <v>1920</v>
      </c>
      <c r="S463" s="42" t="s">
        <v>1921</v>
      </c>
      <c r="T463" s="40" t="s">
        <v>292</v>
      </c>
      <c r="U463" s="41">
        <v>44796.708333333336</v>
      </c>
      <c r="V463" s="41">
        <v>44797.208333333336</v>
      </c>
      <c r="W463" s="41">
        <v>44797.75</v>
      </c>
      <c r="X463" s="40" t="s">
        <v>410</v>
      </c>
      <c r="Y463" s="41">
        <v>44798.54791666667</v>
      </c>
      <c r="Z463" s="41">
        <v>44796.791666666664</v>
      </c>
      <c r="AA463" s="41">
        <v>44797.75</v>
      </c>
      <c r="AB463" s="41">
        <v>44800.5</v>
      </c>
      <c r="AC463" s="40" t="s">
        <v>835</v>
      </c>
      <c r="AD463" s="40">
        <v>13603</v>
      </c>
      <c r="AE463" s="40" t="s">
        <v>125</v>
      </c>
      <c r="AF463" s="40" t="s">
        <v>125</v>
      </c>
      <c r="AG463" s="40" t="s">
        <v>1922</v>
      </c>
      <c r="AH463" s="40"/>
      <c r="AI463" s="41"/>
      <c r="AJ463" s="40"/>
      <c r="AK463" s="43"/>
      <c r="AL463" s="40"/>
      <c r="AM463" s="43">
        <v>0</v>
      </c>
      <c r="AN463" s="43"/>
      <c r="AO463" s="43"/>
      <c r="AP463" s="43"/>
      <c r="AQ463" s="43">
        <v>0</v>
      </c>
      <c r="AR463" s="43">
        <v>0</v>
      </c>
      <c r="AS463" s="43"/>
      <c r="AT463" s="43">
        <v>0</v>
      </c>
      <c r="AU463" s="43"/>
      <c r="AV463" s="43"/>
      <c r="AW463" s="43"/>
      <c r="AX463" s="43">
        <v>0</v>
      </c>
      <c r="AY463" s="43">
        <v>0</v>
      </c>
      <c r="AZ463" s="43">
        <v>0</v>
      </c>
      <c r="BA463" s="43">
        <v>0</v>
      </c>
      <c r="BB463" s="43">
        <v>0</v>
      </c>
      <c r="BC463" s="43">
        <v>0</v>
      </c>
      <c r="BD463" s="43">
        <v>0</v>
      </c>
      <c r="BE463" s="43">
        <v>0</v>
      </c>
      <c r="BF463" s="43">
        <v>0</v>
      </c>
      <c r="BG463" s="43">
        <v>0</v>
      </c>
      <c r="BH463" s="43">
        <v>0</v>
      </c>
      <c r="BI463" s="40" t="s">
        <v>1838</v>
      </c>
      <c r="BJ463" s="40">
        <v>2022</v>
      </c>
      <c r="BK463" s="40" t="s">
        <v>2768</v>
      </c>
      <c r="BL463" s="40" t="s">
        <v>2768</v>
      </c>
      <c r="BM463" s="40" t="s">
        <v>2768</v>
      </c>
    </row>
    <row r="464" spans="1:65" x14ac:dyDescent="0.25">
      <c r="A464" s="40" t="s">
        <v>2771</v>
      </c>
      <c r="B464" s="41">
        <v>44797.291666666664</v>
      </c>
      <c r="C464" s="40" t="s">
        <v>353</v>
      </c>
      <c r="D464" s="40" t="s">
        <v>354</v>
      </c>
      <c r="E464" s="40">
        <v>8088997</v>
      </c>
      <c r="F464" s="40">
        <v>60171300</v>
      </c>
      <c r="G464" s="40" t="s">
        <v>1923</v>
      </c>
      <c r="H464" s="40" t="s">
        <v>301</v>
      </c>
      <c r="I464" s="40">
        <v>3900</v>
      </c>
      <c r="J464" s="40" t="s">
        <v>1924</v>
      </c>
      <c r="K464" s="40">
        <v>23943</v>
      </c>
      <c r="L464" s="40">
        <v>27843</v>
      </c>
      <c r="M464" s="40">
        <v>629702</v>
      </c>
      <c r="N464" s="40" t="s">
        <v>1913</v>
      </c>
      <c r="O464" s="40" t="s">
        <v>1917</v>
      </c>
      <c r="P464" s="40" t="s">
        <v>1925</v>
      </c>
      <c r="Q464" s="40" t="s">
        <v>1919</v>
      </c>
      <c r="R464" s="42" t="s">
        <v>1920</v>
      </c>
      <c r="S464" s="42" t="s">
        <v>1921</v>
      </c>
      <c r="T464" s="40" t="s">
        <v>292</v>
      </c>
      <c r="U464" s="41">
        <v>44796.708333333336</v>
      </c>
      <c r="V464" s="41">
        <v>44797.208333333336</v>
      </c>
      <c r="W464" s="41">
        <v>44797.75</v>
      </c>
      <c r="X464" s="40" t="s">
        <v>410</v>
      </c>
      <c r="Y464" s="41">
        <v>44798.577777777777</v>
      </c>
      <c r="Z464" s="41">
        <v>44796.791666666664</v>
      </c>
      <c r="AA464" s="41">
        <v>44797.75</v>
      </c>
      <c r="AB464" s="41">
        <v>44800.5</v>
      </c>
      <c r="AC464" s="40" t="s">
        <v>835</v>
      </c>
      <c r="AD464" s="40">
        <v>13604</v>
      </c>
      <c r="AE464" s="40" t="s">
        <v>125</v>
      </c>
      <c r="AF464" s="40" t="s">
        <v>125</v>
      </c>
      <c r="AG464" s="40" t="s">
        <v>1926</v>
      </c>
      <c r="AH464" s="40"/>
      <c r="AI464" s="41"/>
      <c r="AJ464" s="40"/>
      <c r="AK464" s="43"/>
      <c r="AL464" s="40"/>
      <c r="AM464" s="43">
        <v>0</v>
      </c>
      <c r="AN464" s="43"/>
      <c r="AO464" s="43"/>
      <c r="AP464" s="43"/>
      <c r="AQ464" s="43">
        <v>0</v>
      </c>
      <c r="AR464" s="43">
        <v>0</v>
      </c>
      <c r="AS464" s="43"/>
      <c r="AT464" s="43">
        <v>0</v>
      </c>
      <c r="AU464" s="43"/>
      <c r="AV464" s="43"/>
      <c r="AW464" s="43"/>
      <c r="AX464" s="43">
        <v>0</v>
      </c>
      <c r="AY464" s="43">
        <v>0</v>
      </c>
      <c r="AZ464" s="43">
        <v>0</v>
      </c>
      <c r="BA464" s="43">
        <v>0</v>
      </c>
      <c r="BB464" s="43">
        <v>0</v>
      </c>
      <c r="BC464" s="43">
        <v>0</v>
      </c>
      <c r="BD464" s="43">
        <v>0</v>
      </c>
      <c r="BE464" s="43">
        <v>0</v>
      </c>
      <c r="BF464" s="43">
        <v>0</v>
      </c>
      <c r="BG464" s="43">
        <v>0</v>
      </c>
      <c r="BH464" s="43">
        <v>0</v>
      </c>
      <c r="BI464" s="40" t="s">
        <v>1838</v>
      </c>
      <c r="BJ464" s="40">
        <v>2022</v>
      </c>
      <c r="BK464" s="40" t="s">
        <v>2768</v>
      </c>
      <c r="BL464" s="40" t="s">
        <v>2768</v>
      </c>
      <c r="BM464" s="40" t="s">
        <v>2768</v>
      </c>
    </row>
    <row r="465" spans="1:65" x14ac:dyDescent="0.25">
      <c r="A465" s="40" t="s">
        <v>2771</v>
      </c>
      <c r="B465" s="41">
        <v>44797.291666666664</v>
      </c>
      <c r="C465" s="40" t="s">
        <v>353</v>
      </c>
      <c r="D465" s="40" t="s">
        <v>354</v>
      </c>
      <c r="E465" s="40">
        <v>8088997</v>
      </c>
      <c r="F465" s="40">
        <v>60171300</v>
      </c>
      <c r="G465" s="40" t="s">
        <v>1927</v>
      </c>
      <c r="H465" s="40" t="s">
        <v>301</v>
      </c>
      <c r="I465" s="40">
        <v>3950</v>
      </c>
      <c r="J465" s="40" t="s">
        <v>1928</v>
      </c>
      <c r="K465" s="40">
        <v>23943</v>
      </c>
      <c r="L465" s="40">
        <v>27893</v>
      </c>
      <c r="M465" s="40"/>
      <c r="N465" s="40" t="s">
        <v>1913</v>
      </c>
      <c r="O465" s="40" t="s">
        <v>1929</v>
      </c>
      <c r="P465" s="40" t="s">
        <v>1930</v>
      </c>
      <c r="Q465" s="40" t="s">
        <v>1931</v>
      </c>
      <c r="R465" s="42" t="s">
        <v>1932</v>
      </c>
      <c r="S465" s="42" t="s">
        <v>1933</v>
      </c>
      <c r="T465" s="40" t="s">
        <v>292</v>
      </c>
      <c r="U465" s="41">
        <v>44796.708333333336</v>
      </c>
      <c r="V465" s="41">
        <v>44797.208333333336</v>
      </c>
      <c r="W465" s="41">
        <v>44797.75</v>
      </c>
      <c r="X465" s="40" t="s">
        <v>410</v>
      </c>
      <c r="Y465" s="41">
        <v>44798.851388888892</v>
      </c>
      <c r="Z465" s="41">
        <v>44796.791666666664</v>
      </c>
      <c r="AA465" s="41">
        <v>44797.75</v>
      </c>
      <c r="AB465" s="41">
        <v>44800.5</v>
      </c>
      <c r="AC465" s="40" t="s">
        <v>835</v>
      </c>
      <c r="AD465" s="40">
        <v>13607</v>
      </c>
      <c r="AE465" s="40" t="s">
        <v>125</v>
      </c>
      <c r="AF465" s="40" t="s">
        <v>125</v>
      </c>
      <c r="AG465" s="40" t="s">
        <v>1934</v>
      </c>
      <c r="AH465" s="40"/>
      <c r="AI465" s="41"/>
      <c r="AJ465" s="40"/>
      <c r="AK465" s="43"/>
      <c r="AL465" s="40"/>
      <c r="AM465" s="43">
        <v>0</v>
      </c>
      <c r="AN465" s="43"/>
      <c r="AO465" s="43"/>
      <c r="AP465" s="43"/>
      <c r="AQ465" s="43">
        <v>0</v>
      </c>
      <c r="AR465" s="43">
        <v>0</v>
      </c>
      <c r="AS465" s="43"/>
      <c r="AT465" s="43">
        <v>0</v>
      </c>
      <c r="AU465" s="43"/>
      <c r="AV465" s="43"/>
      <c r="AW465" s="43"/>
      <c r="AX465" s="43">
        <v>0</v>
      </c>
      <c r="AY465" s="43">
        <v>0</v>
      </c>
      <c r="AZ465" s="43">
        <v>0</v>
      </c>
      <c r="BA465" s="43">
        <v>0</v>
      </c>
      <c r="BB465" s="43">
        <v>0</v>
      </c>
      <c r="BC465" s="43">
        <v>0</v>
      </c>
      <c r="BD465" s="43">
        <v>0</v>
      </c>
      <c r="BE465" s="43">
        <v>0</v>
      </c>
      <c r="BF465" s="43">
        <v>0</v>
      </c>
      <c r="BG465" s="43">
        <v>0</v>
      </c>
      <c r="BH465" s="43">
        <v>0</v>
      </c>
      <c r="BI465" s="40" t="s">
        <v>1838</v>
      </c>
      <c r="BJ465" s="40">
        <v>2022</v>
      </c>
      <c r="BK465" s="40" t="s">
        <v>2768</v>
      </c>
      <c r="BL465" s="40" t="s">
        <v>2768</v>
      </c>
      <c r="BM465" s="40" t="s">
        <v>2768</v>
      </c>
    </row>
    <row r="466" spans="1:65" x14ac:dyDescent="0.25">
      <c r="A466" s="40" t="s">
        <v>2771</v>
      </c>
      <c r="B466" s="41">
        <v>44797.291666666664</v>
      </c>
      <c r="C466" s="40" t="s">
        <v>353</v>
      </c>
      <c r="D466" s="40" t="s">
        <v>354</v>
      </c>
      <c r="E466" s="40">
        <v>8088997</v>
      </c>
      <c r="F466" s="40">
        <v>60171300</v>
      </c>
      <c r="G466" s="40" t="s">
        <v>1935</v>
      </c>
      <c r="H466" s="40" t="s">
        <v>301</v>
      </c>
      <c r="I466" s="40">
        <v>3900</v>
      </c>
      <c r="J466" s="40" t="s">
        <v>1936</v>
      </c>
      <c r="K466" s="40">
        <v>23943</v>
      </c>
      <c r="L466" s="40">
        <v>27843</v>
      </c>
      <c r="M466" s="40">
        <v>629572</v>
      </c>
      <c r="N466" s="40" t="s">
        <v>1913</v>
      </c>
      <c r="O466" s="40" t="s">
        <v>1929</v>
      </c>
      <c r="P466" s="40" t="s">
        <v>1937</v>
      </c>
      <c r="Q466" s="40" t="s">
        <v>1931</v>
      </c>
      <c r="R466" s="42" t="s">
        <v>1932</v>
      </c>
      <c r="S466" s="42" t="s">
        <v>1933</v>
      </c>
      <c r="T466" s="40" t="s">
        <v>292</v>
      </c>
      <c r="U466" s="41">
        <v>44796.708333333336</v>
      </c>
      <c r="V466" s="41">
        <v>44797.208333333336</v>
      </c>
      <c r="W466" s="41">
        <v>44797.75</v>
      </c>
      <c r="X466" s="40" t="s">
        <v>410</v>
      </c>
      <c r="Y466" s="41">
        <v>44798.727083333331</v>
      </c>
      <c r="Z466" s="41">
        <v>44796.791666666664</v>
      </c>
      <c r="AA466" s="41">
        <v>44797.75</v>
      </c>
      <c r="AB466" s="41">
        <v>44800.5</v>
      </c>
      <c r="AC466" s="40" t="s">
        <v>835</v>
      </c>
      <c r="AD466" s="40">
        <v>13605</v>
      </c>
      <c r="AE466" s="40" t="s">
        <v>125</v>
      </c>
      <c r="AF466" s="40" t="s">
        <v>125</v>
      </c>
      <c r="AG466" s="40" t="s">
        <v>1938</v>
      </c>
      <c r="AH466" s="40"/>
      <c r="AI466" s="41"/>
      <c r="AJ466" s="40"/>
      <c r="AK466" s="43"/>
      <c r="AL466" s="40"/>
      <c r="AM466" s="43">
        <v>0</v>
      </c>
      <c r="AN466" s="43"/>
      <c r="AO466" s="43"/>
      <c r="AP466" s="43"/>
      <c r="AQ466" s="43">
        <v>0</v>
      </c>
      <c r="AR466" s="43">
        <v>0</v>
      </c>
      <c r="AS466" s="43"/>
      <c r="AT466" s="43">
        <v>0</v>
      </c>
      <c r="AU466" s="43"/>
      <c r="AV466" s="43"/>
      <c r="AW466" s="43"/>
      <c r="AX466" s="43">
        <v>0</v>
      </c>
      <c r="AY466" s="43">
        <v>0</v>
      </c>
      <c r="AZ466" s="43">
        <v>0</v>
      </c>
      <c r="BA466" s="43">
        <v>0</v>
      </c>
      <c r="BB466" s="43">
        <v>0</v>
      </c>
      <c r="BC466" s="43">
        <v>0</v>
      </c>
      <c r="BD466" s="43">
        <v>0</v>
      </c>
      <c r="BE466" s="43">
        <v>0</v>
      </c>
      <c r="BF466" s="43">
        <v>0</v>
      </c>
      <c r="BG466" s="43">
        <v>0</v>
      </c>
      <c r="BH466" s="43">
        <v>0</v>
      </c>
      <c r="BI466" s="40" t="s">
        <v>1838</v>
      </c>
      <c r="BJ466" s="40">
        <v>2022</v>
      </c>
      <c r="BK466" s="40" t="s">
        <v>2768</v>
      </c>
      <c r="BL466" s="40" t="s">
        <v>2768</v>
      </c>
      <c r="BM466" s="40" t="s">
        <v>2768</v>
      </c>
    </row>
    <row r="467" spans="1:65" x14ac:dyDescent="0.25">
      <c r="A467" s="40" t="s">
        <v>2771</v>
      </c>
      <c r="B467" s="41">
        <v>44797.291666666664</v>
      </c>
      <c r="C467" s="40" t="s">
        <v>353</v>
      </c>
      <c r="D467" s="40" t="s">
        <v>354</v>
      </c>
      <c r="E467" s="40">
        <v>8088997</v>
      </c>
      <c r="F467" s="40">
        <v>60171300</v>
      </c>
      <c r="G467" s="40" t="s">
        <v>1939</v>
      </c>
      <c r="H467" s="40" t="s">
        <v>301</v>
      </c>
      <c r="I467" s="40">
        <v>3820</v>
      </c>
      <c r="J467" s="40" t="s">
        <v>1940</v>
      </c>
      <c r="K467" s="40">
        <v>23943</v>
      </c>
      <c r="L467" s="40">
        <v>27763</v>
      </c>
      <c r="M467" s="40"/>
      <c r="N467" s="40" t="s">
        <v>1913</v>
      </c>
      <c r="O467" s="40" t="s">
        <v>1941</v>
      </c>
      <c r="P467" s="40" t="s">
        <v>1942</v>
      </c>
      <c r="Q467" s="40" t="s">
        <v>1943</v>
      </c>
      <c r="R467" s="42" t="s">
        <v>1944</v>
      </c>
      <c r="S467" s="42" t="s">
        <v>1945</v>
      </c>
      <c r="T467" s="40" t="s">
        <v>292</v>
      </c>
      <c r="U467" s="41">
        <v>44796.708333333336</v>
      </c>
      <c r="V467" s="41">
        <v>44797.208333333336</v>
      </c>
      <c r="W467" s="41">
        <v>44797.75</v>
      </c>
      <c r="X467" s="40" t="s">
        <v>410</v>
      </c>
      <c r="Y467" s="41">
        <v>44798.836805555555</v>
      </c>
      <c r="Z467" s="41">
        <v>44796.791666666664</v>
      </c>
      <c r="AA467" s="41">
        <v>44797.75</v>
      </c>
      <c r="AB467" s="41">
        <v>44800.5</v>
      </c>
      <c r="AC467" s="40" t="s">
        <v>835</v>
      </c>
      <c r="AD467" s="40">
        <v>13608</v>
      </c>
      <c r="AE467" s="40" t="s">
        <v>125</v>
      </c>
      <c r="AF467" s="40" t="s">
        <v>125</v>
      </c>
      <c r="AG467" s="40" t="s">
        <v>1946</v>
      </c>
      <c r="AH467" s="40"/>
      <c r="AI467" s="41"/>
      <c r="AJ467" s="40"/>
      <c r="AK467" s="43"/>
      <c r="AL467" s="40"/>
      <c r="AM467" s="43">
        <v>0</v>
      </c>
      <c r="AN467" s="43"/>
      <c r="AO467" s="43"/>
      <c r="AP467" s="43"/>
      <c r="AQ467" s="43">
        <v>0</v>
      </c>
      <c r="AR467" s="43">
        <v>0</v>
      </c>
      <c r="AS467" s="43"/>
      <c r="AT467" s="43">
        <v>0</v>
      </c>
      <c r="AU467" s="43"/>
      <c r="AV467" s="43"/>
      <c r="AW467" s="43"/>
      <c r="AX467" s="43">
        <v>0</v>
      </c>
      <c r="AY467" s="43">
        <v>0</v>
      </c>
      <c r="AZ467" s="43">
        <v>0</v>
      </c>
      <c r="BA467" s="43">
        <v>0</v>
      </c>
      <c r="BB467" s="43">
        <v>0</v>
      </c>
      <c r="BC467" s="43">
        <v>0</v>
      </c>
      <c r="BD467" s="43">
        <v>0</v>
      </c>
      <c r="BE467" s="43">
        <v>0</v>
      </c>
      <c r="BF467" s="43">
        <v>0</v>
      </c>
      <c r="BG467" s="43">
        <v>0</v>
      </c>
      <c r="BH467" s="43">
        <v>0</v>
      </c>
      <c r="BI467" s="40" t="s">
        <v>1838</v>
      </c>
      <c r="BJ467" s="40">
        <v>2022</v>
      </c>
      <c r="BK467" s="40" t="s">
        <v>2768</v>
      </c>
      <c r="BL467" s="40" t="s">
        <v>2768</v>
      </c>
      <c r="BM467" s="40" t="s">
        <v>2768</v>
      </c>
    </row>
    <row r="468" spans="1:65" x14ac:dyDescent="0.25">
      <c r="A468" s="40" t="s">
        <v>2771</v>
      </c>
      <c r="B468" s="41">
        <v>44797.291666666664</v>
      </c>
      <c r="C468" s="40" t="s">
        <v>353</v>
      </c>
      <c r="D468" s="40" t="s">
        <v>354</v>
      </c>
      <c r="E468" s="40">
        <v>8088997</v>
      </c>
      <c r="F468" s="40">
        <v>60171300</v>
      </c>
      <c r="G468" s="40" t="s">
        <v>1947</v>
      </c>
      <c r="H468" s="40" t="s">
        <v>301</v>
      </c>
      <c r="I468" s="40">
        <v>3890</v>
      </c>
      <c r="J468" s="40" t="s">
        <v>1948</v>
      </c>
      <c r="K468" s="40">
        <v>23943</v>
      </c>
      <c r="L468" s="40">
        <v>27833</v>
      </c>
      <c r="M468" s="40">
        <v>629644</v>
      </c>
      <c r="N468" s="40" t="s">
        <v>1913</v>
      </c>
      <c r="O468" s="40" t="s">
        <v>1941</v>
      </c>
      <c r="P468" s="40" t="s">
        <v>1949</v>
      </c>
      <c r="Q468" s="40" t="s">
        <v>1943</v>
      </c>
      <c r="R468" s="42" t="s">
        <v>1944</v>
      </c>
      <c r="S468" s="42" t="s">
        <v>1945</v>
      </c>
      <c r="T468" s="40" t="s">
        <v>292</v>
      </c>
      <c r="U468" s="41">
        <v>44796.708333333336</v>
      </c>
      <c r="V468" s="41">
        <v>44797.208333333336</v>
      </c>
      <c r="W468" s="41">
        <v>44797.75</v>
      </c>
      <c r="X468" s="40" t="s">
        <v>410</v>
      </c>
      <c r="Y468" s="41">
        <v>44798.761805555558</v>
      </c>
      <c r="Z468" s="41">
        <v>44796.791666666664</v>
      </c>
      <c r="AA468" s="41">
        <v>44797.75</v>
      </c>
      <c r="AB468" s="41">
        <v>44800.5</v>
      </c>
      <c r="AC468" s="40" t="s">
        <v>835</v>
      </c>
      <c r="AD468" s="40">
        <v>13606</v>
      </c>
      <c r="AE468" s="40" t="s">
        <v>125</v>
      </c>
      <c r="AF468" s="40" t="s">
        <v>125</v>
      </c>
      <c r="AG468" s="40" t="s">
        <v>1950</v>
      </c>
      <c r="AH468" s="40"/>
      <c r="AI468" s="41"/>
      <c r="AJ468" s="40"/>
      <c r="AK468" s="43"/>
      <c r="AL468" s="40"/>
      <c r="AM468" s="43">
        <v>0</v>
      </c>
      <c r="AN468" s="43"/>
      <c r="AO468" s="43"/>
      <c r="AP468" s="43"/>
      <c r="AQ468" s="43">
        <v>0</v>
      </c>
      <c r="AR468" s="43">
        <v>0</v>
      </c>
      <c r="AS468" s="43"/>
      <c r="AT468" s="43">
        <v>0</v>
      </c>
      <c r="AU468" s="43"/>
      <c r="AV468" s="43"/>
      <c r="AW468" s="43"/>
      <c r="AX468" s="43">
        <v>0</v>
      </c>
      <c r="AY468" s="43">
        <v>0</v>
      </c>
      <c r="AZ468" s="43">
        <v>0</v>
      </c>
      <c r="BA468" s="43">
        <v>0</v>
      </c>
      <c r="BB468" s="43">
        <v>0</v>
      </c>
      <c r="BC468" s="43">
        <v>0</v>
      </c>
      <c r="BD468" s="43">
        <v>0</v>
      </c>
      <c r="BE468" s="43">
        <v>0</v>
      </c>
      <c r="BF468" s="43">
        <v>0</v>
      </c>
      <c r="BG468" s="43">
        <v>0</v>
      </c>
      <c r="BH468" s="43">
        <v>0</v>
      </c>
      <c r="BI468" s="40" t="s">
        <v>1838</v>
      </c>
      <c r="BJ468" s="40">
        <v>2022</v>
      </c>
      <c r="BK468" s="40" t="s">
        <v>2768</v>
      </c>
      <c r="BL468" s="40" t="s">
        <v>2768</v>
      </c>
      <c r="BM468" s="40" t="s">
        <v>2768</v>
      </c>
    </row>
    <row r="469" spans="1:65" x14ac:dyDescent="0.25">
      <c r="A469" s="40" t="s">
        <v>2771</v>
      </c>
      <c r="B469" s="41">
        <v>44798.333333333336</v>
      </c>
      <c r="C469" s="40" t="s">
        <v>353</v>
      </c>
      <c r="D469" s="40" t="s">
        <v>400</v>
      </c>
      <c r="E469" s="40">
        <v>8275562</v>
      </c>
      <c r="F469" s="40">
        <v>220848849</v>
      </c>
      <c r="G469" s="40" t="s">
        <v>1951</v>
      </c>
      <c r="H469" s="40" t="s">
        <v>301</v>
      </c>
      <c r="I469" s="40">
        <v>3880</v>
      </c>
      <c r="J469" s="40" t="s">
        <v>1952</v>
      </c>
      <c r="K469" s="40">
        <v>18870</v>
      </c>
      <c r="L469" s="40">
        <v>22750</v>
      </c>
      <c r="M469" s="40">
        <v>1636353</v>
      </c>
      <c r="N469" s="40" t="s">
        <v>1953</v>
      </c>
      <c r="O469" s="40" t="s">
        <v>68</v>
      </c>
      <c r="P469" s="40" t="s">
        <v>36</v>
      </c>
      <c r="Q469" s="40" t="s">
        <v>69</v>
      </c>
      <c r="R469" s="42" t="s">
        <v>70</v>
      </c>
      <c r="S469" s="42" t="s">
        <v>71</v>
      </c>
      <c r="T469" s="40" t="s">
        <v>292</v>
      </c>
      <c r="U469" s="41">
        <v>44797.666666666664</v>
      </c>
      <c r="V469" s="41">
        <v>44798.229166666664</v>
      </c>
      <c r="W469" s="41">
        <v>44798.875</v>
      </c>
      <c r="X469" s="40" t="s">
        <v>410</v>
      </c>
      <c r="Y469" s="41">
        <v>44806.935416666667</v>
      </c>
      <c r="Z469" s="41">
        <v>44803.791666666664</v>
      </c>
      <c r="AA469" s="41">
        <v>44802.708333333336</v>
      </c>
      <c r="AB469" s="41">
        <v>44805.5</v>
      </c>
      <c r="AC469" s="40" t="s">
        <v>1391</v>
      </c>
      <c r="AD469" s="40" t="s">
        <v>1954</v>
      </c>
      <c r="AE469" s="40" t="s">
        <v>125</v>
      </c>
      <c r="AF469" s="40" t="s">
        <v>125</v>
      </c>
      <c r="AG469" s="40"/>
      <c r="AH469" s="40" t="s">
        <v>393</v>
      </c>
      <c r="AI469" s="41">
        <v>44798.979166666664</v>
      </c>
      <c r="AJ469" s="40"/>
      <c r="AK469" s="43">
        <v>950</v>
      </c>
      <c r="AL469" s="40"/>
      <c r="AM469" s="43">
        <v>0</v>
      </c>
      <c r="AN469" s="43"/>
      <c r="AO469" s="43"/>
      <c r="AP469" s="43"/>
      <c r="AQ469" s="43">
        <v>0</v>
      </c>
      <c r="AR469" s="43">
        <v>206.589933081</v>
      </c>
      <c r="AS469" s="43"/>
      <c r="AT469" s="43">
        <v>3069.6869700000002</v>
      </c>
      <c r="AU469" s="43">
        <v>2250</v>
      </c>
      <c r="AV469" s="43">
        <v>108686.97</v>
      </c>
      <c r="AW469" s="43">
        <v>108.68697</v>
      </c>
      <c r="AX469" s="43">
        <v>0</v>
      </c>
      <c r="AY469" s="43">
        <v>321</v>
      </c>
      <c r="AZ469" s="43">
        <v>0</v>
      </c>
      <c r="BA469" s="43">
        <v>0</v>
      </c>
      <c r="BB469" s="43">
        <v>0</v>
      </c>
      <c r="BC469" s="43">
        <v>0</v>
      </c>
      <c r="BD469" s="43">
        <v>0</v>
      </c>
      <c r="BE469" s="43">
        <v>0</v>
      </c>
      <c r="BF469" s="43">
        <v>0</v>
      </c>
      <c r="BG469" s="43">
        <v>0</v>
      </c>
      <c r="BH469" s="43">
        <v>390</v>
      </c>
      <c r="BI469" s="40" t="s">
        <v>1838</v>
      </c>
      <c r="BJ469" s="40">
        <v>2022</v>
      </c>
      <c r="BK469" s="40" t="s">
        <v>2768</v>
      </c>
      <c r="BL469" s="40" t="s">
        <v>2768</v>
      </c>
      <c r="BM469" s="40" t="s">
        <v>2768</v>
      </c>
    </row>
    <row r="470" spans="1:65" x14ac:dyDescent="0.25">
      <c r="A470" s="40" t="s">
        <v>2771</v>
      </c>
      <c r="B470" s="41">
        <v>44799.333333333336</v>
      </c>
      <c r="C470" s="40" t="s">
        <v>353</v>
      </c>
      <c r="D470" s="40" t="s">
        <v>400</v>
      </c>
      <c r="E470" s="40" t="s">
        <v>1955</v>
      </c>
      <c r="F470" s="40" t="s">
        <v>1956</v>
      </c>
      <c r="G470" s="40" t="s">
        <v>1957</v>
      </c>
      <c r="H470" s="40" t="s">
        <v>301</v>
      </c>
      <c r="I470" s="40">
        <v>3700</v>
      </c>
      <c r="J470" s="40" t="s">
        <v>1958</v>
      </c>
      <c r="K470" s="40"/>
      <c r="L470" s="40">
        <v>3700</v>
      </c>
      <c r="M470" s="40" t="s">
        <v>1959</v>
      </c>
      <c r="N470" s="40" t="s">
        <v>1960</v>
      </c>
      <c r="O470" s="40" t="s">
        <v>1961</v>
      </c>
      <c r="P470" s="40" t="s">
        <v>1962</v>
      </c>
      <c r="Q470" s="40" t="s">
        <v>1482</v>
      </c>
      <c r="R470" s="42" t="s">
        <v>1483</v>
      </c>
      <c r="S470" s="42" t="s">
        <v>1484</v>
      </c>
      <c r="T470" s="40" t="s">
        <v>639</v>
      </c>
      <c r="U470" s="41">
        <v>44798.666666666664</v>
      </c>
      <c r="V470" s="41">
        <v>44799.416666666664</v>
      </c>
      <c r="W470" s="41">
        <v>44799.791666666664</v>
      </c>
      <c r="X470" s="40" t="s">
        <v>410</v>
      </c>
      <c r="Y470" s="41">
        <v>44805.870138888888</v>
      </c>
      <c r="Z470" s="41">
        <v>44804.791666666664</v>
      </c>
      <c r="AA470" s="41">
        <v>44804.791666666664</v>
      </c>
      <c r="AB470" s="41">
        <v>44805.5</v>
      </c>
      <c r="AC470" s="40" t="s">
        <v>616</v>
      </c>
      <c r="AD470" s="40" t="s">
        <v>1963</v>
      </c>
      <c r="AE470" s="40" t="s">
        <v>125</v>
      </c>
      <c r="AF470" s="40" t="s">
        <v>125</v>
      </c>
      <c r="AG470" s="40"/>
      <c r="AH470" s="40" t="s">
        <v>393</v>
      </c>
      <c r="AI470" s="41">
        <v>44799.972222222219</v>
      </c>
      <c r="AJ470" s="40"/>
      <c r="AK470" s="43">
        <v>950</v>
      </c>
      <c r="AL470" s="40"/>
      <c r="AM470" s="43">
        <v>0</v>
      </c>
      <c r="AN470" s="43"/>
      <c r="AO470" s="43"/>
      <c r="AP470" s="43"/>
      <c r="AQ470" s="43">
        <v>0</v>
      </c>
      <c r="AR470" s="43">
        <v>0</v>
      </c>
      <c r="AS470" s="43"/>
      <c r="AT470" s="43">
        <v>0</v>
      </c>
      <c r="AU470" s="43"/>
      <c r="AV470" s="43"/>
      <c r="AW470" s="43"/>
      <c r="AX470" s="43">
        <v>0</v>
      </c>
      <c r="AY470" s="43">
        <v>0</v>
      </c>
      <c r="AZ470" s="43">
        <v>0</v>
      </c>
      <c r="BA470" s="43">
        <v>0</v>
      </c>
      <c r="BB470" s="43">
        <v>0</v>
      </c>
      <c r="BC470" s="43">
        <v>0</v>
      </c>
      <c r="BD470" s="43">
        <v>0</v>
      </c>
      <c r="BE470" s="43">
        <v>0</v>
      </c>
      <c r="BF470" s="43">
        <v>0</v>
      </c>
      <c r="BG470" s="43">
        <v>0</v>
      </c>
      <c r="BH470" s="43">
        <v>0</v>
      </c>
      <c r="BI470" s="40" t="s">
        <v>1838</v>
      </c>
      <c r="BJ470" s="40">
        <v>2022</v>
      </c>
      <c r="BK470" s="40" t="s">
        <v>2768</v>
      </c>
      <c r="BL470" s="40" t="s">
        <v>2768</v>
      </c>
      <c r="BM470" s="40" t="s">
        <v>2768</v>
      </c>
    </row>
    <row r="471" spans="1:65" x14ac:dyDescent="0.25">
      <c r="A471" s="40" t="s">
        <v>2771</v>
      </c>
      <c r="B471" s="41">
        <v>44799.333333333336</v>
      </c>
      <c r="C471" s="40" t="s">
        <v>1110</v>
      </c>
      <c r="D471" s="40" t="s">
        <v>1111</v>
      </c>
      <c r="E471" s="40" t="s">
        <v>1964</v>
      </c>
      <c r="F471" s="40" t="s">
        <v>1965</v>
      </c>
      <c r="G471" s="40" t="s">
        <v>1966</v>
      </c>
      <c r="H471" s="40" t="s">
        <v>301</v>
      </c>
      <c r="I471" s="40">
        <v>3700</v>
      </c>
      <c r="J471" s="40">
        <v>1328021</v>
      </c>
      <c r="K471" s="40">
        <v>25700</v>
      </c>
      <c r="L471" s="40">
        <v>29400</v>
      </c>
      <c r="M471" s="40">
        <v>318476</v>
      </c>
      <c r="N471" s="40" t="s">
        <v>1967</v>
      </c>
      <c r="O471" s="40" t="s">
        <v>210</v>
      </c>
      <c r="P471" s="40" t="s">
        <v>1968</v>
      </c>
      <c r="Q471" s="40" t="s">
        <v>212</v>
      </c>
      <c r="R471" s="42" t="s">
        <v>213</v>
      </c>
      <c r="S471" s="42" t="s">
        <v>214</v>
      </c>
      <c r="T471" s="40" t="s">
        <v>857</v>
      </c>
      <c r="U471" s="41">
        <v>44798.666666666664</v>
      </c>
      <c r="V471" s="41">
        <v>44802.416666666664</v>
      </c>
      <c r="W471" s="41">
        <v>44802.625</v>
      </c>
      <c r="X471" s="40" t="s">
        <v>293</v>
      </c>
      <c r="Y471" s="41">
        <v>44799.74722222222</v>
      </c>
      <c r="Z471" s="41">
        <v>44798.541666666664</v>
      </c>
      <c r="AA471" s="41">
        <v>44803.333333333336</v>
      </c>
      <c r="AB471" s="41">
        <v>44803.333333333336</v>
      </c>
      <c r="AC471" s="40" t="s">
        <v>294</v>
      </c>
      <c r="AD471" s="40">
        <v>13623</v>
      </c>
      <c r="AE471" s="40" t="s">
        <v>125</v>
      </c>
      <c r="AF471" s="40" t="s">
        <v>125</v>
      </c>
      <c r="AG471" s="40"/>
      <c r="AH471" s="40"/>
      <c r="AI471" s="41"/>
      <c r="AJ471" s="40"/>
      <c r="AK471" s="43"/>
      <c r="AL471" s="40"/>
      <c r="AM471" s="43">
        <v>0</v>
      </c>
      <c r="AN471" s="43"/>
      <c r="AO471" s="43"/>
      <c r="AP471" s="43"/>
      <c r="AQ471" s="43">
        <v>0</v>
      </c>
      <c r="AR471" s="43">
        <v>0</v>
      </c>
      <c r="AS471" s="43"/>
      <c r="AT471" s="43">
        <v>0</v>
      </c>
      <c r="AU471" s="43"/>
      <c r="AV471" s="43"/>
      <c r="AW471" s="43"/>
      <c r="AX471" s="43">
        <v>0</v>
      </c>
      <c r="AY471" s="43">
        <v>0</v>
      </c>
      <c r="AZ471" s="43">
        <v>0</v>
      </c>
      <c r="BA471" s="43">
        <v>0</v>
      </c>
      <c r="BB471" s="43">
        <v>0</v>
      </c>
      <c r="BC471" s="43">
        <v>0</v>
      </c>
      <c r="BD471" s="43">
        <v>0</v>
      </c>
      <c r="BE471" s="43">
        <v>0</v>
      </c>
      <c r="BF471" s="43">
        <v>0</v>
      </c>
      <c r="BG471" s="43">
        <v>0</v>
      </c>
      <c r="BH471" s="43">
        <v>0</v>
      </c>
      <c r="BI471" s="40" t="s">
        <v>1838</v>
      </c>
      <c r="BJ471" s="40">
        <v>2022</v>
      </c>
      <c r="BK471" s="40" t="s">
        <v>125</v>
      </c>
      <c r="BL471" s="40" t="s">
        <v>125</v>
      </c>
      <c r="BM471" s="40" t="s">
        <v>125</v>
      </c>
    </row>
    <row r="472" spans="1:65" x14ac:dyDescent="0.25">
      <c r="A472" s="40" t="s">
        <v>2771</v>
      </c>
      <c r="B472" s="41">
        <v>44805.333333333336</v>
      </c>
      <c r="C472" s="40" t="s">
        <v>297</v>
      </c>
      <c r="D472" s="40" t="s">
        <v>298</v>
      </c>
      <c r="E472" s="40" t="s">
        <v>1969</v>
      </c>
      <c r="F472" s="40" t="s">
        <v>1970</v>
      </c>
      <c r="G472" s="40" t="s">
        <v>1971</v>
      </c>
      <c r="H472" s="40" t="s">
        <v>301</v>
      </c>
      <c r="I472" s="40" t="s">
        <v>1972</v>
      </c>
      <c r="J472" s="40" t="s">
        <v>1973</v>
      </c>
      <c r="K472" s="40">
        <v>21222</v>
      </c>
      <c r="L472" s="40">
        <v>24922</v>
      </c>
      <c r="M472" s="40">
        <v>775531</v>
      </c>
      <c r="N472" s="40" t="s">
        <v>1974</v>
      </c>
      <c r="O472" s="40" t="s">
        <v>82</v>
      </c>
      <c r="P472" s="40" t="s">
        <v>83</v>
      </c>
      <c r="Q472" s="40" t="s">
        <v>84</v>
      </c>
      <c r="R472" s="42" t="s">
        <v>85</v>
      </c>
      <c r="S472" s="42" t="s">
        <v>86</v>
      </c>
      <c r="T472" s="40" t="s">
        <v>537</v>
      </c>
      <c r="U472" s="41">
        <v>44804.875</v>
      </c>
      <c r="V472" s="41">
        <v>44805.291666666664</v>
      </c>
      <c r="W472" s="41">
        <v>44805.5625</v>
      </c>
      <c r="X472" s="40" t="s">
        <v>293</v>
      </c>
      <c r="Y472" s="41">
        <v>44808.98541666667</v>
      </c>
      <c r="Z472" s="41">
        <v>44805.833333333336</v>
      </c>
      <c r="AA472" s="41">
        <v>44806.708333333336</v>
      </c>
      <c r="AB472" s="41">
        <v>44811.75</v>
      </c>
      <c r="AC472" s="40" t="s">
        <v>418</v>
      </c>
      <c r="AD472" s="40">
        <v>13674</v>
      </c>
      <c r="AE472" s="40" t="s">
        <v>125</v>
      </c>
      <c r="AF472" s="40" t="s">
        <v>125</v>
      </c>
      <c r="AG472" s="40"/>
      <c r="AH472" s="40" t="s">
        <v>393</v>
      </c>
      <c r="AI472" s="41">
        <v>44805.625</v>
      </c>
      <c r="AJ472" s="40"/>
      <c r="AK472" s="43">
        <v>950</v>
      </c>
      <c r="AL472" s="40"/>
      <c r="AM472" s="43">
        <v>0</v>
      </c>
      <c r="AN472" s="43"/>
      <c r="AO472" s="43"/>
      <c r="AP472" s="43"/>
      <c r="AQ472" s="43">
        <v>0</v>
      </c>
      <c r="AR472" s="43">
        <v>0</v>
      </c>
      <c r="AS472" s="43"/>
      <c r="AT472" s="43">
        <v>0</v>
      </c>
      <c r="AU472" s="43"/>
      <c r="AV472" s="43"/>
      <c r="AW472" s="43"/>
      <c r="AX472" s="43">
        <v>0</v>
      </c>
      <c r="AY472" s="43">
        <v>0</v>
      </c>
      <c r="AZ472" s="43">
        <v>0</v>
      </c>
      <c r="BA472" s="43">
        <v>0</v>
      </c>
      <c r="BB472" s="43">
        <v>0</v>
      </c>
      <c r="BC472" s="43">
        <v>0</v>
      </c>
      <c r="BD472" s="43">
        <v>0</v>
      </c>
      <c r="BE472" s="43">
        <v>0</v>
      </c>
      <c r="BF472" s="43">
        <v>0</v>
      </c>
      <c r="BG472" s="43">
        <v>0</v>
      </c>
      <c r="BH472" s="43">
        <v>0</v>
      </c>
      <c r="BI472" s="40" t="s">
        <v>1975</v>
      </c>
      <c r="BJ472" s="40">
        <v>2022</v>
      </c>
      <c r="BK472" s="40" t="s">
        <v>2768</v>
      </c>
      <c r="BL472" s="40" t="s">
        <v>2768</v>
      </c>
      <c r="BM472" s="40" t="s">
        <v>2768</v>
      </c>
    </row>
    <row r="473" spans="1:65" x14ac:dyDescent="0.25">
      <c r="A473" s="40" t="s">
        <v>2771</v>
      </c>
      <c r="B473" s="41">
        <v>44805.458333333336</v>
      </c>
      <c r="C473" s="40" t="s">
        <v>297</v>
      </c>
      <c r="D473" s="40" t="s">
        <v>298</v>
      </c>
      <c r="E473" s="40" t="s">
        <v>1969</v>
      </c>
      <c r="F473" s="40" t="s">
        <v>1970</v>
      </c>
      <c r="G473" s="40" t="s">
        <v>1976</v>
      </c>
      <c r="H473" s="40" t="s">
        <v>301</v>
      </c>
      <c r="I473" s="40" t="s">
        <v>1972</v>
      </c>
      <c r="J473" s="40" t="s">
        <v>1977</v>
      </c>
      <c r="K473" s="40">
        <v>19734</v>
      </c>
      <c r="L473" s="40">
        <v>23434</v>
      </c>
      <c r="M473" s="40">
        <v>775530</v>
      </c>
      <c r="N473" s="40" t="s">
        <v>1974</v>
      </c>
      <c r="O473" s="40" t="s">
        <v>890</v>
      </c>
      <c r="P473" s="40" t="s">
        <v>891</v>
      </c>
      <c r="Q473" s="40" t="s">
        <v>892</v>
      </c>
      <c r="R473" s="42" t="s">
        <v>893</v>
      </c>
      <c r="S473" s="42" t="s">
        <v>894</v>
      </c>
      <c r="T473" s="40" t="s">
        <v>537</v>
      </c>
      <c r="U473" s="41">
        <v>44804.875</v>
      </c>
      <c r="V473" s="41">
        <v>44805.291666666664</v>
      </c>
      <c r="W473" s="41">
        <v>44805.583333333336</v>
      </c>
      <c r="X473" s="40" t="s">
        <v>293</v>
      </c>
      <c r="Y473" s="41">
        <v>44808.98333333333</v>
      </c>
      <c r="Z473" s="41">
        <v>44805.833333333336</v>
      </c>
      <c r="AA473" s="41">
        <v>44806.708333333336</v>
      </c>
      <c r="AB473" s="41">
        <v>44811.75</v>
      </c>
      <c r="AC473" s="40" t="s">
        <v>418</v>
      </c>
      <c r="AD473" s="40">
        <v>13675</v>
      </c>
      <c r="AE473" s="40" t="s">
        <v>125</v>
      </c>
      <c r="AF473" s="40" t="s">
        <v>125</v>
      </c>
      <c r="AG473" s="40"/>
      <c r="AH473" s="40" t="s">
        <v>393</v>
      </c>
      <c r="AI473" s="41">
        <v>44805.625</v>
      </c>
      <c r="AJ473" s="40"/>
      <c r="AK473" s="43">
        <v>950</v>
      </c>
      <c r="AL473" s="40"/>
      <c r="AM473" s="43">
        <v>0</v>
      </c>
      <c r="AN473" s="43"/>
      <c r="AO473" s="43"/>
      <c r="AP473" s="43"/>
      <c r="AQ473" s="43">
        <v>0</v>
      </c>
      <c r="AR473" s="43">
        <v>0</v>
      </c>
      <c r="AS473" s="43"/>
      <c r="AT473" s="43">
        <v>0</v>
      </c>
      <c r="AU473" s="43"/>
      <c r="AV473" s="43"/>
      <c r="AW473" s="43"/>
      <c r="AX473" s="43">
        <v>0</v>
      </c>
      <c r="AY473" s="43">
        <v>0</v>
      </c>
      <c r="AZ473" s="43">
        <v>0</v>
      </c>
      <c r="BA473" s="43">
        <v>0</v>
      </c>
      <c r="BB473" s="43">
        <v>0</v>
      </c>
      <c r="BC473" s="43">
        <v>0</v>
      </c>
      <c r="BD473" s="43">
        <v>0</v>
      </c>
      <c r="BE473" s="43">
        <v>0</v>
      </c>
      <c r="BF473" s="43">
        <v>0</v>
      </c>
      <c r="BG473" s="43">
        <v>0</v>
      </c>
      <c r="BH473" s="43">
        <v>0</v>
      </c>
      <c r="BI473" s="40" t="s">
        <v>1975</v>
      </c>
      <c r="BJ473" s="40">
        <v>2022</v>
      </c>
      <c r="BK473" s="40" t="s">
        <v>2768</v>
      </c>
      <c r="BL473" s="40" t="s">
        <v>2768</v>
      </c>
      <c r="BM473" s="40" t="s">
        <v>2768</v>
      </c>
    </row>
    <row r="474" spans="1:65" x14ac:dyDescent="0.25">
      <c r="A474" s="40" t="s">
        <v>2771</v>
      </c>
      <c r="B474" s="41">
        <v>44805.541666666664</v>
      </c>
      <c r="C474" s="40" t="s">
        <v>297</v>
      </c>
      <c r="D474" s="40" t="s">
        <v>298</v>
      </c>
      <c r="E474" s="40" t="s">
        <v>1969</v>
      </c>
      <c r="F474" s="40" t="s">
        <v>1970</v>
      </c>
      <c r="G474" s="40" t="s">
        <v>1978</v>
      </c>
      <c r="H474" s="40" t="s">
        <v>301</v>
      </c>
      <c r="I474" s="40" t="s">
        <v>1972</v>
      </c>
      <c r="J474" s="40" t="s">
        <v>1979</v>
      </c>
      <c r="K474" s="40">
        <v>21222</v>
      </c>
      <c r="L474" s="40">
        <v>24922</v>
      </c>
      <c r="M474" s="40">
        <v>775529</v>
      </c>
      <c r="N474" s="40" t="s">
        <v>1974</v>
      </c>
      <c r="O474" s="40" t="s">
        <v>111</v>
      </c>
      <c r="P474" s="40" t="s">
        <v>112</v>
      </c>
      <c r="Q474" s="40" t="s">
        <v>113</v>
      </c>
      <c r="R474" s="42" t="s">
        <v>1487</v>
      </c>
      <c r="S474" s="42" t="s">
        <v>333</v>
      </c>
      <c r="T474" s="40" t="s">
        <v>537</v>
      </c>
      <c r="U474" s="41">
        <v>44804.875</v>
      </c>
      <c r="V474" s="41">
        <v>44805.291666666664</v>
      </c>
      <c r="W474" s="41">
        <v>44805.708333333336</v>
      </c>
      <c r="X474" s="40" t="s">
        <v>293</v>
      </c>
      <c r="Y474" s="41">
        <v>44805.947222222225</v>
      </c>
      <c r="Z474" s="41">
        <v>44805.833333333336</v>
      </c>
      <c r="AA474" s="41">
        <v>44806.708333333336</v>
      </c>
      <c r="AB474" s="41">
        <v>44811.75</v>
      </c>
      <c r="AC474" s="40" t="s">
        <v>418</v>
      </c>
      <c r="AD474" s="40">
        <v>13676</v>
      </c>
      <c r="AE474" s="40" t="s">
        <v>125</v>
      </c>
      <c r="AF474" s="40" t="s">
        <v>125</v>
      </c>
      <c r="AG474" s="40"/>
      <c r="AH474" s="40" t="s">
        <v>393</v>
      </c>
      <c r="AI474" s="41" t="s">
        <v>125</v>
      </c>
      <c r="AJ474" s="40"/>
      <c r="AK474" s="43">
        <v>0</v>
      </c>
      <c r="AL474" s="40"/>
      <c r="AM474" s="43">
        <v>0</v>
      </c>
      <c r="AN474" s="43"/>
      <c r="AO474" s="43"/>
      <c r="AP474" s="43"/>
      <c r="AQ474" s="43">
        <v>0</v>
      </c>
      <c r="AR474" s="43">
        <v>0</v>
      </c>
      <c r="AS474" s="43"/>
      <c r="AT474" s="43">
        <v>0</v>
      </c>
      <c r="AU474" s="43"/>
      <c r="AV474" s="43"/>
      <c r="AW474" s="43"/>
      <c r="AX474" s="43">
        <v>0</v>
      </c>
      <c r="AY474" s="43">
        <v>0</v>
      </c>
      <c r="AZ474" s="43">
        <v>0</v>
      </c>
      <c r="BA474" s="43">
        <v>0</v>
      </c>
      <c r="BB474" s="43">
        <v>0</v>
      </c>
      <c r="BC474" s="43">
        <v>0</v>
      </c>
      <c r="BD474" s="43">
        <v>0</v>
      </c>
      <c r="BE474" s="43">
        <v>0</v>
      </c>
      <c r="BF474" s="43">
        <v>0</v>
      </c>
      <c r="BG474" s="43">
        <v>0</v>
      </c>
      <c r="BH474" s="43">
        <v>0</v>
      </c>
      <c r="BI474" s="40" t="s">
        <v>1975</v>
      </c>
      <c r="BJ474" s="40">
        <v>2022</v>
      </c>
      <c r="BK474" s="40" t="s">
        <v>2768</v>
      </c>
      <c r="BL474" s="40" t="s">
        <v>2768</v>
      </c>
      <c r="BM474" s="40" t="s">
        <v>2768</v>
      </c>
    </row>
    <row r="475" spans="1:65" x14ac:dyDescent="0.25">
      <c r="A475" s="40" t="s">
        <v>2771</v>
      </c>
      <c r="B475" s="41">
        <v>44806.3125</v>
      </c>
      <c r="C475" s="40" t="s">
        <v>1980</v>
      </c>
      <c r="D475" s="40" t="s">
        <v>284</v>
      </c>
      <c r="E475" s="40" t="s">
        <v>1981</v>
      </c>
      <c r="F475" s="40" t="s">
        <v>1982</v>
      </c>
      <c r="G475" s="40" t="s">
        <v>1983</v>
      </c>
      <c r="H475" s="40" t="s">
        <v>301</v>
      </c>
      <c r="I475" s="40">
        <v>3880</v>
      </c>
      <c r="J475" s="40">
        <v>1328022</v>
      </c>
      <c r="K475" s="40">
        <v>26556</v>
      </c>
      <c r="L475" s="40">
        <v>30436</v>
      </c>
      <c r="M475" s="40">
        <v>212334</v>
      </c>
      <c r="N475" s="40" t="s">
        <v>1984</v>
      </c>
      <c r="O475" s="40" t="s">
        <v>210</v>
      </c>
      <c r="P475" s="40" t="s">
        <v>1968</v>
      </c>
      <c r="Q475" s="40" t="s">
        <v>212</v>
      </c>
      <c r="R475" s="42" t="s">
        <v>213</v>
      </c>
      <c r="S475" s="42">
        <v>4946846842</v>
      </c>
      <c r="T475" s="40" t="s">
        <v>857</v>
      </c>
      <c r="U475" s="41">
        <v>44805.541666666664</v>
      </c>
      <c r="V475" s="41">
        <v>44805.75</v>
      </c>
      <c r="W475" s="41">
        <v>44806.416666666664</v>
      </c>
      <c r="X475" s="40" t="s">
        <v>293</v>
      </c>
      <c r="Y475" s="41">
        <v>44806.668749999997</v>
      </c>
      <c r="Z475" s="41">
        <v>44806.5</v>
      </c>
      <c r="AA475" s="41"/>
      <c r="AB475" s="41"/>
      <c r="AC475" s="40" t="s">
        <v>294</v>
      </c>
      <c r="AD475" s="40">
        <v>13684</v>
      </c>
      <c r="AE475" s="40" t="s">
        <v>125</v>
      </c>
      <c r="AF475" s="40" t="s">
        <v>125</v>
      </c>
      <c r="AG475" s="40"/>
      <c r="AH475" s="40"/>
      <c r="AI475" s="41"/>
      <c r="AJ475" s="40"/>
      <c r="AK475" s="43"/>
      <c r="AL475" s="40"/>
      <c r="AM475" s="43">
        <v>0</v>
      </c>
      <c r="AN475" s="43"/>
      <c r="AO475" s="43"/>
      <c r="AP475" s="43"/>
      <c r="AQ475" s="43">
        <v>0</v>
      </c>
      <c r="AR475" s="43">
        <v>0</v>
      </c>
      <c r="AS475" s="43"/>
      <c r="AT475" s="43">
        <v>0</v>
      </c>
      <c r="AU475" s="43"/>
      <c r="AV475" s="43"/>
      <c r="AW475" s="43"/>
      <c r="AX475" s="43">
        <v>0</v>
      </c>
      <c r="AY475" s="43">
        <v>0</v>
      </c>
      <c r="AZ475" s="43">
        <v>0</v>
      </c>
      <c r="BA475" s="43">
        <v>0</v>
      </c>
      <c r="BB475" s="43">
        <v>0</v>
      </c>
      <c r="BC475" s="43">
        <v>0</v>
      </c>
      <c r="BD475" s="43">
        <v>0</v>
      </c>
      <c r="BE475" s="43">
        <v>0</v>
      </c>
      <c r="BF475" s="43">
        <v>0</v>
      </c>
      <c r="BG475" s="43">
        <v>0</v>
      </c>
      <c r="BH475" s="43">
        <v>0</v>
      </c>
      <c r="BI475" s="40" t="s">
        <v>1975</v>
      </c>
      <c r="BJ475" s="40">
        <v>2022</v>
      </c>
      <c r="BK475" s="40" t="s">
        <v>125</v>
      </c>
      <c r="BL475" s="40" t="s">
        <v>125</v>
      </c>
      <c r="BM475" s="40"/>
    </row>
    <row r="476" spans="1:65" x14ac:dyDescent="0.25">
      <c r="A476" s="40" t="s">
        <v>2771</v>
      </c>
      <c r="B476" s="41">
        <v>44812.3125</v>
      </c>
      <c r="C476" s="40" t="s">
        <v>1980</v>
      </c>
      <c r="D476" s="40" t="s">
        <v>284</v>
      </c>
      <c r="E476" s="40" t="s">
        <v>1985</v>
      </c>
      <c r="F476" s="40" t="s">
        <v>1986</v>
      </c>
      <c r="G476" s="40" t="s">
        <v>1987</v>
      </c>
      <c r="H476" s="40" t="s">
        <v>301</v>
      </c>
      <c r="I476" s="40">
        <v>3830</v>
      </c>
      <c r="J476" s="40">
        <v>1328023</v>
      </c>
      <c r="K476" s="40">
        <v>26556</v>
      </c>
      <c r="L476" s="40">
        <v>30386</v>
      </c>
      <c r="M476" s="40">
        <v>212333</v>
      </c>
      <c r="N476" s="40" t="s">
        <v>1988</v>
      </c>
      <c r="O476" s="40" t="s">
        <v>210</v>
      </c>
      <c r="P476" s="40" t="s">
        <v>1968</v>
      </c>
      <c r="Q476" s="40" t="s">
        <v>212</v>
      </c>
      <c r="R476" s="42" t="s">
        <v>213</v>
      </c>
      <c r="S476" s="42">
        <v>4946846842</v>
      </c>
      <c r="T476" s="40" t="s">
        <v>857</v>
      </c>
      <c r="U476" s="41">
        <v>44810.625</v>
      </c>
      <c r="V476" s="41">
        <v>44812.25</v>
      </c>
      <c r="W476" s="41">
        <v>44812.395833333336</v>
      </c>
      <c r="X476" s="40" t="s">
        <v>293</v>
      </c>
      <c r="Y476" s="41">
        <v>44812.679861111108</v>
      </c>
      <c r="Z476" s="41">
        <v>44812.333333333336</v>
      </c>
      <c r="AA476" s="41" t="s">
        <v>1989</v>
      </c>
      <c r="AB476" s="41">
        <v>44817.333333333336</v>
      </c>
      <c r="AC476" s="40" t="s">
        <v>294</v>
      </c>
      <c r="AD476" s="40" t="s">
        <v>1990</v>
      </c>
      <c r="AE476" s="40" t="s">
        <v>125</v>
      </c>
      <c r="AF476" s="40" t="s">
        <v>125</v>
      </c>
      <c r="AG476" s="40"/>
      <c r="AH476" s="40"/>
      <c r="AI476" s="41"/>
      <c r="AJ476" s="40"/>
      <c r="AK476" s="43"/>
      <c r="AL476" s="40"/>
      <c r="AM476" s="43">
        <v>0</v>
      </c>
      <c r="AN476" s="43"/>
      <c r="AO476" s="43"/>
      <c r="AP476" s="43"/>
      <c r="AQ476" s="43">
        <v>0</v>
      </c>
      <c r="AR476" s="43">
        <v>0</v>
      </c>
      <c r="AS476" s="43"/>
      <c r="AT476" s="43">
        <v>0</v>
      </c>
      <c r="AU476" s="43"/>
      <c r="AV476" s="43"/>
      <c r="AW476" s="43"/>
      <c r="AX476" s="43">
        <v>0</v>
      </c>
      <c r="AY476" s="43">
        <v>0</v>
      </c>
      <c r="AZ476" s="43">
        <v>0</v>
      </c>
      <c r="BA476" s="43">
        <v>0</v>
      </c>
      <c r="BB476" s="43">
        <v>0</v>
      </c>
      <c r="BC476" s="43">
        <v>0</v>
      </c>
      <c r="BD476" s="43">
        <v>0</v>
      </c>
      <c r="BE476" s="43">
        <v>0</v>
      </c>
      <c r="BF476" s="43">
        <v>0</v>
      </c>
      <c r="BG476" s="43">
        <v>0</v>
      </c>
      <c r="BH476" s="43">
        <v>0</v>
      </c>
      <c r="BI476" s="40" t="s">
        <v>1975</v>
      </c>
      <c r="BJ476" s="40">
        <v>2022</v>
      </c>
      <c r="BK476" s="40" t="s">
        <v>2768</v>
      </c>
      <c r="BL476" s="40" t="s">
        <v>2768</v>
      </c>
      <c r="BM476" s="40" t="s">
        <v>2768</v>
      </c>
    </row>
    <row r="477" spans="1:65" x14ac:dyDescent="0.25">
      <c r="A477" s="40" t="s">
        <v>2771</v>
      </c>
      <c r="B477" s="41">
        <v>44817.333333333336</v>
      </c>
      <c r="C477" s="40" t="s">
        <v>297</v>
      </c>
      <c r="D477" s="40" t="s">
        <v>298</v>
      </c>
      <c r="E477" s="40" t="s">
        <v>1991</v>
      </c>
      <c r="F477" s="40">
        <v>62843519</v>
      </c>
      <c r="G477" s="40" t="s">
        <v>1992</v>
      </c>
      <c r="H477" s="40" t="s">
        <v>301</v>
      </c>
      <c r="I477" s="40">
        <v>3700</v>
      </c>
      <c r="J477" s="40" t="s">
        <v>1993</v>
      </c>
      <c r="K477" s="40">
        <v>22944</v>
      </c>
      <c r="L477" s="40">
        <v>26644</v>
      </c>
      <c r="M477" s="40">
        <v>779358</v>
      </c>
      <c r="N477" s="40" t="s">
        <v>1994</v>
      </c>
      <c r="O477" s="40" t="s">
        <v>1961</v>
      </c>
      <c r="P477" s="40" t="s">
        <v>1962</v>
      </c>
      <c r="Q477" s="40" t="s">
        <v>1482</v>
      </c>
      <c r="R477" s="42" t="s">
        <v>1483</v>
      </c>
      <c r="S477" s="42" t="s">
        <v>1484</v>
      </c>
      <c r="T477" s="40" t="s">
        <v>292</v>
      </c>
      <c r="U477" s="41">
        <v>44817.458333333336</v>
      </c>
      <c r="V477" s="41">
        <v>44817.583333333336</v>
      </c>
      <c r="W477" s="41">
        <v>44817.875</v>
      </c>
      <c r="X477" s="40" t="s">
        <v>293</v>
      </c>
      <c r="Y477" s="41">
        <v>44821.738194444442</v>
      </c>
      <c r="Z477" s="41">
        <v>44821.5</v>
      </c>
      <c r="AA477" s="41">
        <v>44817.75</v>
      </c>
      <c r="AB477" s="41">
        <v>44820.5</v>
      </c>
      <c r="AC477" s="40" t="s">
        <v>1995</v>
      </c>
      <c r="AD477" s="40">
        <v>13785</v>
      </c>
      <c r="AE477" s="40" t="s">
        <v>125</v>
      </c>
      <c r="AF477" s="40" t="s">
        <v>125</v>
      </c>
      <c r="AG477" s="40"/>
      <c r="AH477" s="40" t="s">
        <v>393</v>
      </c>
      <c r="AI477" s="41">
        <v>44817.916666666664</v>
      </c>
      <c r="AJ477" s="40"/>
      <c r="AK477" s="43">
        <v>950</v>
      </c>
      <c r="AL477" s="40"/>
      <c r="AM477" s="43">
        <v>0</v>
      </c>
      <c r="AN477" s="43"/>
      <c r="AO477" s="43"/>
      <c r="AP477" s="43"/>
      <c r="AQ477" s="43">
        <v>0</v>
      </c>
      <c r="AR477" s="43">
        <v>0</v>
      </c>
      <c r="AS477" s="43"/>
      <c r="AT477" s="43">
        <v>0</v>
      </c>
      <c r="AU477" s="43"/>
      <c r="AV477" s="43"/>
      <c r="AW477" s="43"/>
      <c r="AX477" s="43">
        <v>0</v>
      </c>
      <c r="AY477" s="43">
        <v>0</v>
      </c>
      <c r="AZ477" s="43">
        <v>0</v>
      </c>
      <c r="BA477" s="43">
        <v>0</v>
      </c>
      <c r="BB477" s="43">
        <v>0</v>
      </c>
      <c r="BC477" s="43">
        <v>0</v>
      </c>
      <c r="BD477" s="43">
        <v>0</v>
      </c>
      <c r="BE477" s="43">
        <v>0</v>
      </c>
      <c r="BF477" s="43">
        <v>0</v>
      </c>
      <c r="BG477" s="43">
        <v>0</v>
      </c>
      <c r="BH477" s="43">
        <v>0</v>
      </c>
      <c r="BI477" s="40" t="s">
        <v>1975</v>
      </c>
      <c r="BJ477" s="40">
        <v>2022</v>
      </c>
      <c r="BK477" s="40" t="s">
        <v>2768</v>
      </c>
      <c r="BL477" s="40" t="s">
        <v>2768</v>
      </c>
      <c r="BM477" s="40" t="s">
        <v>2768</v>
      </c>
    </row>
    <row r="478" spans="1:65" x14ac:dyDescent="0.25">
      <c r="A478" s="40" t="s">
        <v>2771</v>
      </c>
      <c r="B478" s="41">
        <v>44817.458333333336</v>
      </c>
      <c r="C478" s="40" t="s">
        <v>297</v>
      </c>
      <c r="D478" s="40" t="s">
        <v>298</v>
      </c>
      <c r="E478" s="40" t="s">
        <v>1996</v>
      </c>
      <c r="F478" s="40">
        <v>62843519</v>
      </c>
      <c r="G478" s="40" t="s">
        <v>1997</v>
      </c>
      <c r="H478" s="40" t="s">
        <v>301</v>
      </c>
      <c r="I478" s="40">
        <v>3680</v>
      </c>
      <c r="J478" s="40" t="s">
        <v>1998</v>
      </c>
      <c r="K478" s="40">
        <v>24582</v>
      </c>
      <c r="L478" s="40">
        <v>28262</v>
      </c>
      <c r="M478" s="40">
        <v>779169</v>
      </c>
      <c r="N478" s="40" t="s">
        <v>1994</v>
      </c>
      <c r="O478" s="40" t="s">
        <v>82</v>
      </c>
      <c r="P478" s="40" t="s">
        <v>83</v>
      </c>
      <c r="Q478" s="40" t="s">
        <v>84</v>
      </c>
      <c r="R478" s="42" t="s">
        <v>85</v>
      </c>
      <c r="S478" s="42" t="s">
        <v>86</v>
      </c>
      <c r="T478" s="40" t="s">
        <v>292</v>
      </c>
      <c r="U478" s="41">
        <v>44817.340277777781</v>
      </c>
      <c r="V478" s="41">
        <v>44817.486111111109</v>
      </c>
      <c r="W478" s="41">
        <v>44817.541666666664</v>
      </c>
      <c r="X478" s="40" t="s">
        <v>293</v>
      </c>
      <c r="Y478" s="41">
        <v>44821.732638888891</v>
      </c>
      <c r="Z478" s="41">
        <v>44821.5</v>
      </c>
      <c r="AA478" s="41">
        <v>44817.75</v>
      </c>
      <c r="AB478" s="41">
        <v>44820.5</v>
      </c>
      <c r="AC478" s="40" t="s">
        <v>1995</v>
      </c>
      <c r="AD478" s="40">
        <v>13776</v>
      </c>
      <c r="AE478" s="40" t="s">
        <v>125</v>
      </c>
      <c r="AF478" s="40" t="s">
        <v>125</v>
      </c>
      <c r="AG478" s="40"/>
      <c r="AH478" s="40" t="s">
        <v>393</v>
      </c>
      <c r="AI478" s="41">
        <v>44817.916666666664</v>
      </c>
      <c r="AJ478" s="40"/>
      <c r="AK478" s="43">
        <v>950</v>
      </c>
      <c r="AL478" s="40"/>
      <c r="AM478" s="43">
        <v>0</v>
      </c>
      <c r="AN478" s="43"/>
      <c r="AO478" s="43"/>
      <c r="AP478" s="43"/>
      <c r="AQ478" s="43">
        <v>0</v>
      </c>
      <c r="AR478" s="43">
        <v>0</v>
      </c>
      <c r="AS478" s="43"/>
      <c r="AT478" s="43">
        <v>0</v>
      </c>
      <c r="AU478" s="43"/>
      <c r="AV478" s="43"/>
      <c r="AW478" s="43"/>
      <c r="AX478" s="43">
        <v>0</v>
      </c>
      <c r="AY478" s="43">
        <v>0</v>
      </c>
      <c r="AZ478" s="43">
        <v>0</v>
      </c>
      <c r="BA478" s="43">
        <v>0</v>
      </c>
      <c r="BB478" s="43">
        <v>0</v>
      </c>
      <c r="BC478" s="43">
        <v>0</v>
      </c>
      <c r="BD478" s="43">
        <v>0</v>
      </c>
      <c r="BE478" s="43">
        <v>0</v>
      </c>
      <c r="BF478" s="43">
        <v>0</v>
      </c>
      <c r="BG478" s="43">
        <v>0</v>
      </c>
      <c r="BH478" s="43">
        <v>0</v>
      </c>
      <c r="BI478" s="40" t="s">
        <v>1975</v>
      </c>
      <c r="BJ478" s="40">
        <v>2022</v>
      </c>
      <c r="BK478" s="40" t="s">
        <v>2768</v>
      </c>
      <c r="BL478" s="40" t="s">
        <v>2768</v>
      </c>
      <c r="BM478" s="40" t="s">
        <v>2768</v>
      </c>
    </row>
    <row r="479" spans="1:65" x14ac:dyDescent="0.25">
      <c r="A479" s="40" t="s">
        <v>2771</v>
      </c>
      <c r="B479" s="41">
        <v>44817.541666666664</v>
      </c>
      <c r="C479" s="40" t="s">
        <v>297</v>
      </c>
      <c r="D479" s="40" t="s">
        <v>298</v>
      </c>
      <c r="E479" s="40" t="s">
        <v>1999</v>
      </c>
      <c r="F479" s="40">
        <v>62843519</v>
      </c>
      <c r="G479" s="40" t="s">
        <v>2000</v>
      </c>
      <c r="H479" s="40" t="s">
        <v>301</v>
      </c>
      <c r="I479" s="40">
        <v>3680</v>
      </c>
      <c r="J479" s="40" t="s">
        <v>2001</v>
      </c>
      <c r="K479" s="40">
        <v>23358</v>
      </c>
      <c r="L479" s="40">
        <v>27038</v>
      </c>
      <c r="M479" s="40">
        <v>779324</v>
      </c>
      <c r="N479" s="40" t="s">
        <v>1994</v>
      </c>
      <c r="O479" s="40" t="s">
        <v>140</v>
      </c>
      <c r="P479" s="40" t="s">
        <v>141</v>
      </c>
      <c r="Q479" s="40" t="s">
        <v>2002</v>
      </c>
      <c r="R479" s="42" t="s">
        <v>2003</v>
      </c>
      <c r="S479" s="42" t="s">
        <v>2004</v>
      </c>
      <c r="T479" s="40" t="s">
        <v>292</v>
      </c>
      <c r="U479" s="41">
        <v>44817.416666666664</v>
      </c>
      <c r="V479" s="41">
        <v>44817.5</v>
      </c>
      <c r="W479" s="41">
        <v>44817.625</v>
      </c>
      <c r="X479" s="40" t="s">
        <v>293</v>
      </c>
      <c r="Y479" s="41">
        <v>44821.757638888892</v>
      </c>
      <c r="Z479" s="41">
        <v>44821.5</v>
      </c>
      <c r="AA479" s="41">
        <v>44817.75</v>
      </c>
      <c r="AB479" s="41">
        <v>44820.5</v>
      </c>
      <c r="AC479" s="40" t="s">
        <v>1995</v>
      </c>
      <c r="AD479" s="40">
        <v>13777</v>
      </c>
      <c r="AE479" s="40" t="s">
        <v>125</v>
      </c>
      <c r="AF479" s="40" t="s">
        <v>125</v>
      </c>
      <c r="AG479" s="40"/>
      <c r="AH479" s="40" t="s">
        <v>393</v>
      </c>
      <c r="AI479" s="41">
        <v>44817.916666666664</v>
      </c>
      <c r="AJ479" s="40"/>
      <c r="AK479" s="43">
        <v>950</v>
      </c>
      <c r="AL479" s="40"/>
      <c r="AM479" s="43">
        <v>0</v>
      </c>
      <c r="AN479" s="43"/>
      <c r="AO479" s="43"/>
      <c r="AP479" s="43"/>
      <c r="AQ479" s="43">
        <v>0</v>
      </c>
      <c r="AR479" s="43">
        <v>0</v>
      </c>
      <c r="AS479" s="43"/>
      <c r="AT479" s="43">
        <v>0</v>
      </c>
      <c r="AU479" s="43"/>
      <c r="AV479" s="43"/>
      <c r="AW479" s="43"/>
      <c r="AX479" s="43">
        <v>0</v>
      </c>
      <c r="AY479" s="43">
        <v>0</v>
      </c>
      <c r="AZ479" s="43">
        <v>0</v>
      </c>
      <c r="BA479" s="43">
        <v>0</v>
      </c>
      <c r="BB479" s="43">
        <v>0</v>
      </c>
      <c r="BC479" s="43">
        <v>0</v>
      </c>
      <c r="BD479" s="43">
        <v>0</v>
      </c>
      <c r="BE479" s="43">
        <v>0</v>
      </c>
      <c r="BF479" s="43">
        <v>0</v>
      </c>
      <c r="BG479" s="43">
        <v>0</v>
      </c>
      <c r="BH479" s="43">
        <v>0</v>
      </c>
      <c r="BI479" s="40" t="s">
        <v>1975</v>
      </c>
      <c r="BJ479" s="40">
        <v>2022</v>
      </c>
      <c r="BK479" s="40" t="s">
        <v>2768</v>
      </c>
      <c r="BL479" s="40" t="s">
        <v>2768</v>
      </c>
      <c r="BM479" s="40" t="s">
        <v>2768</v>
      </c>
    </row>
    <row r="480" spans="1:65" x14ac:dyDescent="0.25">
      <c r="A480" s="40" t="s">
        <v>2771</v>
      </c>
      <c r="B480" s="41">
        <v>44818.291666666664</v>
      </c>
      <c r="C480" s="40" t="s">
        <v>1176</v>
      </c>
      <c r="D480" s="40" t="s">
        <v>1177</v>
      </c>
      <c r="E480" s="40"/>
      <c r="F480" s="40">
        <v>64514860</v>
      </c>
      <c r="G480" s="40" t="s">
        <v>2005</v>
      </c>
      <c r="H480" s="40" t="s">
        <v>301</v>
      </c>
      <c r="I480" s="40">
        <v>3950</v>
      </c>
      <c r="J480" s="40" t="s">
        <v>2006</v>
      </c>
      <c r="K480" s="40">
        <v>27650</v>
      </c>
      <c r="L480" s="40">
        <v>31600</v>
      </c>
      <c r="M480" s="40">
        <v>31060</v>
      </c>
      <c r="N480" s="40" t="s">
        <v>2007</v>
      </c>
      <c r="O480" s="40" t="s">
        <v>210</v>
      </c>
      <c r="P480" s="40" t="s">
        <v>1968</v>
      </c>
      <c r="Q480" s="40" t="s">
        <v>212</v>
      </c>
      <c r="R480" s="42" t="s">
        <v>213</v>
      </c>
      <c r="S480" s="42" t="s">
        <v>214</v>
      </c>
      <c r="T480" s="40" t="s">
        <v>537</v>
      </c>
      <c r="U480" s="41">
        <v>44817.875</v>
      </c>
      <c r="V480" s="41">
        <v>44726.25</v>
      </c>
      <c r="W480" s="41">
        <v>44726.416666666664</v>
      </c>
      <c r="X480" s="40" t="s">
        <v>306</v>
      </c>
      <c r="Y480" s="41">
        <v>44819.046527777777</v>
      </c>
      <c r="Z480" s="41">
        <v>44818.5</v>
      </c>
      <c r="AA480" s="41">
        <v>44817.75</v>
      </c>
      <c r="AB480" s="41">
        <v>44819.75</v>
      </c>
      <c r="AC480" s="40" t="s">
        <v>452</v>
      </c>
      <c r="AD480" s="40">
        <v>13789</v>
      </c>
      <c r="AE480" s="40" t="s">
        <v>125</v>
      </c>
      <c r="AF480" s="40" t="s">
        <v>125</v>
      </c>
      <c r="AG480" s="40"/>
      <c r="AH480" s="40"/>
      <c r="AI480" s="41"/>
      <c r="AJ480" s="40"/>
      <c r="AK480" s="43"/>
      <c r="AL480" s="40"/>
      <c r="AM480" s="43">
        <v>0</v>
      </c>
      <c r="AN480" s="43"/>
      <c r="AO480" s="43"/>
      <c r="AP480" s="43"/>
      <c r="AQ480" s="43">
        <v>0</v>
      </c>
      <c r="AR480" s="43">
        <v>356.69</v>
      </c>
      <c r="AS480" s="43"/>
      <c r="AT480" s="43">
        <v>5300</v>
      </c>
      <c r="AU480" s="43">
        <v>4138.8</v>
      </c>
      <c r="AV480" s="43"/>
      <c r="AW480" s="43"/>
      <c r="AX480" s="43">
        <v>0</v>
      </c>
      <c r="AY480" s="43">
        <v>811.2</v>
      </c>
      <c r="AZ480" s="43">
        <v>0</v>
      </c>
      <c r="BA480" s="43">
        <v>0</v>
      </c>
      <c r="BB480" s="43">
        <v>0</v>
      </c>
      <c r="BC480" s="43">
        <v>0</v>
      </c>
      <c r="BD480" s="43">
        <v>0</v>
      </c>
      <c r="BE480" s="43">
        <v>0</v>
      </c>
      <c r="BF480" s="43">
        <v>0</v>
      </c>
      <c r="BG480" s="43">
        <v>350</v>
      </c>
      <c r="BH480" s="43">
        <v>0</v>
      </c>
      <c r="BI480" s="40" t="s">
        <v>1608</v>
      </c>
      <c r="BJ480" s="40">
        <v>2022</v>
      </c>
      <c r="BK480" s="40" t="s">
        <v>2768</v>
      </c>
      <c r="BL480" s="40"/>
      <c r="BM480" s="40" t="s">
        <v>2768</v>
      </c>
    </row>
    <row r="481" spans="1:65" x14ac:dyDescent="0.25">
      <c r="A481" s="40" t="s">
        <v>2771</v>
      </c>
      <c r="B481" s="41">
        <v>44820.3125</v>
      </c>
      <c r="C481" s="40" t="s">
        <v>1980</v>
      </c>
      <c r="D481" s="40" t="s">
        <v>284</v>
      </c>
      <c r="E481" s="40" t="s">
        <v>2008</v>
      </c>
      <c r="F481" s="40" t="s">
        <v>2009</v>
      </c>
      <c r="G481" s="40" t="s">
        <v>2010</v>
      </c>
      <c r="H481" s="40" t="s">
        <v>301</v>
      </c>
      <c r="I481" s="40">
        <v>3700</v>
      </c>
      <c r="J481" s="40" t="s">
        <v>2011</v>
      </c>
      <c r="K481" s="40">
        <v>26556</v>
      </c>
      <c r="L481" s="40">
        <v>30256</v>
      </c>
      <c r="M481" s="40">
        <v>213394</v>
      </c>
      <c r="N481" s="40" t="s">
        <v>2012</v>
      </c>
      <c r="O481" s="40" t="s">
        <v>210</v>
      </c>
      <c r="P481" s="40" t="s">
        <v>1968</v>
      </c>
      <c r="Q481" s="40" t="s">
        <v>212</v>
      </c>
      <c r="R481" s="42" t="s">
        <v>213</v>
      </c>
      <c r="S481" s="42" t="s">
        <v>214</v>
      </c>
      <c r="T481" s="40" t="s">
        <v>537</v>
      </c>
      <c r="U481" s="41">
        <v>44820.034722222219</v>
      </c>
      <c r="V481" s="41">
        <v>44820.291666666664</v>
      </c>
      <c r="W481" s="41">
        <v>44820.4375</v>
      </c>
      <c r="X481" s="40" t="s">
        <v>293</v>
      </c>
      <c r="Y481" s="41">
        <v>44820.730555555558</v>
      </c>
      <c r="Z481" s="41">
        <v>44819.75</v>
      </c>
      <c r="AA481" s="41">
        <v>44824.333333333336</v>
      </c>
      <c r="AB481" s="41">
        <v>44824.333333333336</v>
      </c>
      <c r="AC481" s="40" t="s">
        <v>294</v>
      </c>
      <c r="AD481" s="40">
        <v>13806</v>
      </c>
      <c r="AE481" s="40" t="s">
        <v>125</v>
      </c>
      <c r="AF481" s="40" t="s">
        <v>125</v>
      </c>
      <c r="AG481" s="40"/>
      <c r="AH481" s="40"/>
      <c r="AI481" s="41"/>
      <c r="AJ481" s="40"/>
      <c r="AK481" s="43"/>
      <c r="AL481" s="40"/>
      <c r="AM481" s="43">
        <v>0</v>
      </c>
      <c r="AN481" s="43"/>
      <c r="AO481" s="43"/>
      <c r="AP481" s="43"/>
      <c r="AQ481" s="43">
        <v>0</v>
      </c>
      <c r="AR481" s="43">
        <v>0</v>
      </c>
      <c r="AS481" s="43"/>
      <c r="AT481" s="43">
        <v>0</v>
      </c>
      <c r="AU481" s="43"/>
      <c r="AV481" s="43"/>
      <c r="AW481" s="43"/>
      <c r="AX481" s="43">
        <v>0</v>
      </c>
      <c r="AY481" s="43">
        <v>0</v>
      </c>
      <c r="AZ481" s="43">
        <v>0</v>
      </c>
      <c r="BA481" s="43">
        <v>0</v>
      </c>
      <c r="BB481" s="43">
        <v>0</v>
      </c>
      <c r="BC481" s="43">
        <v>0</v>
      </c>
      <c r="BD481" s="43">
        <v>0</v>
      </c>
      <c r="BE481" s="43">
        <v>0</v>
      </c>
      <c r="BF481" s="43">
        <v>0</v>
      </c>
      <c r="BG481" s="43">
        <v>0</v>
      </c>
      <c r="BH481" s="43">
        <v>0</v>
      </c>
      <c r="BI481" s="40" t="s">
        <v>1975</v>
      </c>
      <c r="BJ481" s="40">
        <v>2022</v>
      </c>
      <c r="BK481" s="40" t="s">
        <v>2768</v>
      </c>
      <c r="BL481" s="40"/>
      <c r="BM481" s="40" t="s">
        <v>2768</v>
      </c>
    </row>
    <row r="482" spans="1:65" x14ac:dyDescent="0.25">
      <c r="A482" s="40" t="s">
        <v>2771</v>
      </c>
      <c r="B482" s="41">
        <v>44819.333333333336</v>
      </c>
      <c r="C482" s="40" t="s">
        <v>1110</v>
      </c>
      <c r="D482" s="40" t="s">
        <v>1111</v>
      </c>
      <c r="E482" s="40" t="s">
        <v>2013</v>
      </c>
      <c r="F482" s="40" t="s">
        <v>2014</v>
      </c>
      <c r="G482" s="40" t="s">
        <v>2015</v>
      </c>
      <c r="H482" s="40" t="s">
        <v>2016</v>
      </c>
      <c r="I482" s="40">
        <v>3700</v>
      </c>
      <c r="J482" s="40" t="s">
        <v>2017</v>
      </c>
      <c r="K482" s="40">
        <v>25490</v>
      </c>
      <c r="L482" s="40">
        <v>29190</v>
      </c>
      <c r="M482" s="40">
        <v>319896</v>
      </c>
      <c r="N482" s="40" t="s">
        <v>2012</v>
      </c>
      <c r="O482" s="40" t="s">
        <v>106</v>
      </c>
      <c r="P482" s="40" t="s">
        <v>107</v>
      </c>
      <c r="Q482" s="40" t="s">
        <v>108</v>
      </c>
      <c r="R482" s="42" t="s">
        <v>109</v>
      </c>
      <c r="S482" s="42" t="s">
        <v>110</v>
      </c>
      <c r="T482" s="40" t="s">
        <v>537</v>
      </c>
      <c r="U482" s="41">
        <v>44818.958333333336</v>
      </c>
      <c r="V482" s="41">
        <v>44819.520833333336</v>
      </c>
      <c r="W482" s="41">
        <v>44819.729166666664</v>
      </c>
      <c r="X482" s="40" t="s">
        <v>293</v>
      </c>
      <c r="Y482" s="41">
        <v>44820.15347222222</v>
      </c>
      <c r="Z482" s="41">
        <v>44819.75</v>
      </c>
      <c r="AA482" s="41">
        <v>44824.333333333336</v>
      </c>
      <c r="AB482" s="41">
        <v>44824.333333333336</v>
      </c>
      <c r="AC482" s="40" t="s">
        <v>294</v>
      </c>
      <c r="AD482" s="40">
        <v>13798</v>
      </c>
      <c r="AE482" s="40" t="s">
        <v>125</v>
      </c>
      <c r="AF482" s="40" t="s">
        <v>125</v>
      </c>
      <c r="AG482" s="40"/>
      <c r="AH482" s="40"/>
      <c r="AI482" s="41"/>
      <c r="AJ482" s="40"/>
      <c r="AK482" s="43"/>
      <c r="AL482" s="40" t="s">
        <v>309</v>
      </c>
      <c r="AM482" s="43">
        <v>0</v>
      </c>
      <c r="AN482" s="43"/>
      <c r="AO482" s="43"/>
      <c r="AP482" s="43"/>
      <c r="AQ482" s="43">
        <v>0</v>
      </c>
      <c r="AR482" s="43">
        <v>0</v>
      </c>
      <c r="AS482" s="43"/>
      <c r="AT482" s="43">
        <v>0</v>
      </c>
      <c r="AU482" s="43"/>
      <c r="AV482" s="43"/>
      <c r="AW482" s="43"/>
      <c r="AX482" s="43">
        <v>0</v>
      </c>
      <c r="AY482" s="43">
        <v>0</v>
      </c>
      <c r="AZ482" s="43">
        <v>0</v>
      </c>
      <c r="BA482" s="43">
        <v>0</v>
      </c>
      <c r="BB482" s="43">
        <v>0</v>
      </c>
      <c r="BC482" s="43">
        <v>0</v>
      </c>
      <c r="BD482" s="43">
        <v>0</v>
      </c>
      <c r="BE482" s="43">
        <v>0</v>
      </c>
      <c r="BF482" s="43">
        <v>0</v>
      </c>
      <c r="BG482" s="43">
        <v>0</v>
      </c>
      <c r="BH482" s="43">
        <v>0</v>
      </c>
      <c r="BI482" s="40" t="s">
        <v>1975</v>
      </c>
      <c r="BJ482" s="40">
        <v>2022</v>
      </c>
      <c r="BK482" s="40" t="s">
        <v>2768</v>
      </c>
      <c r="BL482" s="40"/>
      <c r="BM482" s="40" t="s">
        <v>2768</v>
      </c>
    </row>
    <row r="483" spans="1:65" x14ac:dyDescent="0.25">
      <c r="A483" s="40" t="s">
        <v>2771</v>
      </c>
      <c r="B483" s="41">
        <v>44819.333333333336</v>
      </c>
      <c r="C483" s="40" t="s">
        <v>1110</v>
      </c>
      <c r="D483" s="40" t="s">
        <v>1111</v>
      </c>
      <c r="E483" s="40" t="s">
        <v>2013</v>
      </c>
      <c r="F483" s="40" t="s">
        <v>2014</v>
      </c>
      <c r="G483" s="40" t="s">
        <v>2018</v>
      </c>
      <c r="H483" s="40" t="s">
        <v>2016</v>
      </c>
      <c r="I483" s="40">
        <v>3840</v>
      </c>
      <c r="J483" s="40" t="s">
        <v>2019</v>
      </c>
      <c r="K483" s="40">
        <v>25670</v>
      </c>
      <c r="L483" s="40">
        <v>29510</v>
      </c>
      <c r="M483" s="40">
        <v>319890</v>
      </c>
      <c r="N483" s="40" t="s">
        <v>2012</v>
      </c>
      <c r="O483" s="40" t="s">
        <v>150</v>
      </c>
      <c r="P483" s="40" t="s">
        <v>151</v>
      </c>
      <c r="Q483" s="40" t="s">
        <v>1384</v>
      </c>
      <c r="R483" s="42" t="s">
        <v>1385</v>
      </c>
      <c r="S483" s="42" t="s">
        <v>1386</v>
      </c>
      <c r="T483" s="40" t="s">
        <v>537</v>
      </c>
      <c r="U483" s="41">
        <v>44818.958333333336</v>
      </c>
      <c r="V483" s="41">
        <v>44819.479166666664</v>
      </c>
      <c r="W483" s="41">
        <v>44819.729166666664</v>
      </c>
      <c r="X483" s="40" t="s">
        <v>293</v>
      </c>
      <c r="Y483" s="41">
        <v>44819.906944444447</v>
      </c>
      <c r="Z483" s="41">
        <v>44819.75</v>
      </c>
      <c r="AA483" s="41">
        <v>44824.333333333336</v>
      </c>
      <c r="AB483" s="41">
        <v>44824.333333333336</v>
      </c>
      <c r="AC483" s="40" t="s">
        <v>294</v>
      </c>
      <c r="AD483" s="40">
        <v>13796</v>
      </c>
      <c r="AE483" s="40" t="s">
        <v>125</v>
      </c>
      <c r="AF483" s="40" t="s">
        <v>125</v>
      </c>
      <c r="AG483" s="40"/>
      <c r="AH483" s="40"/>
      <c r="AI483" s="41"/>
      <c r="AJ483" s="40"/>
      <c r="AK483" s="43"/>
      <c r="AL483" s="40" t="s">
        <v>309</v>
      </c>
      <c r="AM483" s="43">
        <v>0</v>
      </c>
      <c r="AN483" s="43"/>
      <c r="AO483" s="43"/>
      <c r="AP483" s="43"/>
      <c r="AQ483" s="43">
        <v>0</v>
      </c>
      <c r="AR483" s="43">
        <v>0</v>
      </c>
      <c r="AS483" s="43"/>
      <c r="AT483" s="43">
        <v>0</v>
      </c>
      <c r="AU483" s="43"/>
      <c r="AV483" s="43"/>
      <c r="AW483" s="43"/>
      <c r="AX483" s="43">
        <v>0</v>
      </c>
      <c r="AY483" s="43">
        <v>0</v>
      </c>
      <c r="AZ483" s="43">
        <v>0</v>
      </c>
      <c r="BA483" s="43">
        <v>0</v>
      </c>
      <c r="BB483" s="43">
        <v>0</v>
      </c>
      <c r="BC483" s="43">
        <v>0</v>
      </c>
      <c r="BD483" s="43">
        <v>0</v>
      </c>
      <c r="BE483" s="43">
        <v>0</v>
      </c>
      <c r="BF483" s="43">
        <v>0</v>
      </c>
      <c r="BG483" s="43">
        <v>0</v>
      </c>
      <c r="BH483" s="43">
        <v>0</v>
      </c>
      <c r="BI483" s="40" t="s">
        <v>1975</v>
      </c>
      <c r="BJ483" s="40">
        <v>2022</v>
      </c>
      <c r="BK483" s="40" t="s">
        <v>2768</v>
      </c>
      <c r="BL483" s="40"/>
      <c r="BM483" s="40" t="s">
        <v>2768</v>
      </c>
    </row>
    <row r="484" spans="1:65" x14ac:dyDescent="0.25">
      <c r="A484" s="40" t="s">
        <v>2771</v>
      </c>
      <c r="B484" s="41">
        <v>44819.333333333336</v>
      </c>
      <c r="C484" s="40" t="s">
        <v>1414</v>
      </c>
      <c r="D484" s="40" t="s">
        <v>2020</v>
      </c>
      <c r="E484" s="40" t="s">
        <v>2021</v>
      </c>
      <c r="F484" s="40">
        <v>64513478</v>
      </c>
      <c r="G484" s="40" t="s">
        <v>2022</v>
      </c>
      <c r="H484" s="40" t="s">
        <v>1418</v>
      </c>
      <c r="I484" s="40">
        <v>3700</v>
      </c>
      <c r="J484" s="40">
        <v>1549109</v>
      </c>
      <c r="K484" s="40">
        <v>19740</v>
      </c>
      <c r="L484" s="40">
        <v>23440</v>
      </c>
      <c r="M484" s="40">
        <v>511926</v>
      </c>
      <c r="N484" s="40" t="s">
        <v>2023</v>
      </c>
      <c r="O484" s="40" t="s">
        <v>31</v>
      </c>
      <c r="P484" s="40" t="s">
        <v>32</v>
      </c>
      <c r="Q484" s="40" t="s">
        <v>33</v>
      </c>
      <c r="R484" s="42" t="s">
        <v>34</v>
      </c>
      <c r="S484" s="42" t="s">
        <v>35</v>
      </c>
      <c r="T484" s="40" t="s">
        <v>1421</v>
      </c>
      <c r="U484" s="41">
        <v>44817.625</v>
      </c>
      <c r="V484" s="41">
        <v>44726.569444444445</v>
      </c>
      <c r="W484" s="41">
        <v>44818.805555555555</v>
      </c>
      <c r="X484" s="40" t="s">
        <v>410</v>
      </c>
      <c r="Y484" s="41">
        <v>44823.340277777781</v>
      </c>
      <c r="Z484" s="41">
        <v>44818.791666666664</v>
      </c>
      <c r="AA484" s="41">
        <v>44819.75</v>
      </c>
      <c r="AB484" s="41">
        <v>44823.416666666664</v>
      </c>
      <c r="AC484" s="40" t="s">
        <v>522</v>
      </c>
      <c r="AD484" s="40">
        <v>724</v>
      </c>
      <c r="AE484" s="40" t="s">
        <v>125</v>
      </c>
      <c r="AF484" s="40" t="s">
        <v>125</v>
      </c>
      <c r="AG484" s="40" t="s">
        <v>2024</v>
      </c>
      <c r="AH484" s="40" t="s">
        <v>393</v>
      </c>
      <c r="AI484" s="41">
        <v>44820.541666666664</v>
      </c>
      <c r="AJ484" s="40"/>
      <c r="AK484" s="43">
        <v>950</v>
      </c>
      <c r="AL484" s="40"/>
      <c r="AM484" s="43">
        <v>0</v>
      </c>
      <c r="AN484" s="43"/>
      <c r="AO484" s="43"/>
      <c r="AP484" s="43"/>
      <c r="AQ484" s="43">
        <v>0</v>
      </c>
      <c r="AR484" s="43">
        <v>0</v>
      </c>
      <c r="AS484" s="43"/>
      <c r="AT484" s="43">
        <v>0</v>
      </c>
      <c r="AU484" s="43"/>
      <c r="AV484" s="43"/>
      <c r="AW484" s="43"/>
      <c r="AX484" s="43">
        <v>0</v>
      </c>
      <c r="AY484" s="43">
        <v>0</v>
      </c>
      <c r="AZ484" s="43">
        <v>0</v>
      </c>
      <c r="BA484" s="43">
        <v>0</v>
      </c>
      <c r="BB484" s="43">
        <v>0</v>
      </c>
      <c r="BC484" s="43">
        <v>0</v>
      </c>
      <c r="BD484" s="43">
        <v>0</v>
      </c>
      <c r="BE484" s="43">
        <v>0</v>
      </c>
      <c r="BF484" s="43">
        <v>0</v>
      </c>
      <c r="BG484" s="43">
        <v>0</v>
      </c>
      <c r="BH484" s="43">
        <v>0</v>
      </c>
      <c r="BI484" s="40" t="s">
        <v>1608</v>
      </c>
      <c r="BJ484" s="40">
        <v>2022</v>
      </c>
      <c r="BK484" s="40" t="s">
        <v>2768</v>
      </c>
      <c r="BL484" s="40"/>
      <c r="BM484" s="40" t="s">
        <v>2768</v>
      </c>
    </row>
    <row r="485" spans="1:65" x14ac:dyDescent="0.25">
      <c r="A485" s="40" t="s">
        <v>2771</v>
      </c>
      <c r="B485" s="41">
        <v>44823.333333333336</v>
      </c>
      <c r="C485" s="40" t="s">
        <v>353</v>
      </c>
      <c r="D485" s="40" t="s">
        <v>400</v>
      </c>
      <c r="E485" s="40">
        <v>8275562</v>
      </c>
      <c r="F485" s="40" t="s">
        <v>2025</v>
      </c>
      <c r="G485" s="40" t="s">
        <v>2026</v>
      </c>
      <c r="H485" s="40" t="s">
        <v>301</v>
      </c>
      <c r="I485" s="40">
        <v>3900</v>
      </c>
      <c r="J485" s="40" t="s">
        <v>2027</v>
      </c>
      <c r="K485" s="40">
        <v>17668</v>
      </c>
      <c r="L485" s="40">
        <v>21568</v>
      </c>
      <c r="M485" s="40" t="s">
        <v>2028</v>
      </c>
      <c r="N485" s="40" t="s">
        <v>2029</v>
      </c>
      <c r="O485" s="40" t="s">
        <v>210</v>
      </c>
      <c r="P485" s="40" t="s">
        <v>1968</v>
      </c>
      <c r="Q485" s="40" t="s">
        <v>212</v>
      </c>
      <c r="R485" s="42" t="s">
        <v>213</v>
      </c>
      <c r="S485" s="42" t="s">
        <v>214</v>
      </c>
      <c r="T485" s="40" t="s">
        <v>292</v>
      </c>
      <c r="U485" s="41">
        <v>44821.589583333334</v>
      </c>
      <c r="V485" s="41">
        <v>44823.291666666664</v>
      </c>
      <c r="W485" s="41">
        <v>44823.989583333336</v>
      </c>
      <c r="X485" s="40" t="s">
        <v>1569</v>
      </c>
      <c r="Y485" s="41">
        <v>44826.495138888888</v>
      </c>
      <c r="Z485" s="41">
        <v>44825.291666666664</v>
      </c>
      <c r="AA485" s="41">
        <v>44817.458333333336</v>
      </c>
      <c r="AB485" s="41">
        <v>44819.458333333336</v>
      </c>
      <c r="AC485" s="40" t="s">
        <v>1466</v>
      </c>
      <c r="AD485" s="40" t="s">
        <v>2030</v>
      </c>
      <c r="AE485" s="40" t="s">
        <v>125</v>
      </c>
      <c r="AF485" s="40" t="s">
        <v>125</v>
      </c>
      <c r="AG485" s="40"/>
      <c r="AH485" s="40" t="s">
        <v>393</v>
      </c>
      <c r="AI485" s="41">
        <v>44824.034722222219</v>
      </c>
      <c r="AJ485" s="40">
        <v>1</v>
      </c>
      <c r="AK485" s="43">
        <v>950</v>
      </c>
      <c r="AL485" s="40"/>
      <c r="AM485" s="43">
        <v>0</v>
      </c>
      <c r="AN485" s="43"/>
      <c r="AO485" s="43"/>
      <c r="AP485" s="43"/>
      <c r="AQ485" s="43">
        <v>0</v>
      </c>
      <c r="AR485" s="43">
        <v>0</v>
      </c>
      <c r="AS485" s="43"/>
      <c r="AT485" s="43">
        <v>0</v>
      </c>
      <c r="AU485" s="43"/>
      <c r="AV485" s="43"/>
      <c r="AW485" s="43"/>
      <c r="AX485" s="43">
        <v>0</v>
      </c>
      <c r="AY485" s="43">
        <v>0</v>
      </c>
      <c r="AZ485" s="43">
        <v>0</v>
      </c>
      <c r="BA485" s="43">
        <v>0</v>
      </c>
      <c r="BB485" s="43">
        <v>0</v>
      </c>
      <c r="BC485" s="43">
        <v>0</v>
      </c>
      <c r="BD485" s="43">
        <v>0</v>
      </c>
      <c r="BE485" s="43">
        <v>0</v>
      </c>
      <c r="BF485" s="43">
        <v>0</v>
      </c>
      <c r="BG485" s="43">
        <v>0</v>
      </c>
      <c r="BH485" s="43">
        <v>0</v>
      </c>
      <c r="BI485" s="40" t="s">
        <v>1975</v>
      </c>
      <c r="BJ485" s="40">
        <v>2022</v>
      </c>
      <c r="BK485" s="40" t="s">
        <v>2768</v>
      </c>
      <c r="BL485" s="40" t="s">
        <v>2768</v>
      </c>
      <c r="BM485" s="40" t="s">
        <v>2768</v>
      </c>
    </row>
    <row r="486" spans="1:65" x14ac:dyDescent="0.25">
      <c r="A486" s="36" t="s">
        <v>836</v>
      </c>
      <c r="B486" s="37"/>
      <c r="C486" s="36" t="s">
        <v>353</v>
      </c>
      <c r="D486" s="36" t="s">
        <v>354</v>
      </c>
      <c r="E486" s="36">
        <v>8072225</v>
      </c>
      <c r="F486" s="36">
        <v>68840330</v>
      </c>
      <c r="G486" s="36"/>
      <c r="H486" s="36" t="s">
        <v>301</v>
      </c>
      <c r="I486" s="36"/>
      <c r="J486" s="36"/>
      <c r="K486" s="36"/>
      <c r="L486" s="36">
        <v>0</v>
      </c>
      <c r="M486" s="36"/>
      <c r="N486" s="36" t="s">
        <v>2031</v>
      </c>
      <c r="O486" s="36"/>
      <c r="P486" s="36"/>
      <c r="Q486" s="36"/>
      <c r="R486" s="38"/>
      <c r="S486" s="38"/>
      <c r="T486" s="36"/>
      <c r="U486" s="37"/>
      <c r="V486" s="37"/>
      <c r="W486" s="37"/>
      <c r="X486" s="36" t="s">
        <v>306</v>
      </c>
      <c r="Y486" s="37"/>
      <c r="Z486" s="37"/>
      <c r="AA486" s="37">
        <v>44803.75</v>
      </c>
      <c r="AB486" s="37">
        <v>44805.75</v>
      </c>
      <c r="AC486" s="36" t="s">
        <v>452</v>
      </c>
      <c r="AD486" s="36"/>
      <c r="AE486" s="36" t="s">
        <v>125</v>
      </c>
      <c r="AF486" s="36" t="s">
        <v>125</v>
      </c>
      <c r="AG486" s="36"/>
      <c r="AH486" s="36"/>
      <c r="AI486" s="37"/>
      <c r="AJ486" s="36"/>
      <c r="AK486" s="39"/>
      <c r="AL486" s="36"/>
      <c r="AM486" s="39">
        <v>0</v>
      </c>
      <c r="AN486" s="39"/>
      <c r="AO486" s="39"/>
      <c r="AP486" s="39"/>
      <c r="AQ486" s="39">
        <v>0</v>
      </c>
      <c r="AR486" s="39">
        <v>0</v>
      </c>
      <c r="AS486" s="39"/>
      <c r="AT486" s="39">
        <v>0</v>
      </c>
      <c r="AU486" s="39"/>
      <c r="AV486" s="39"/>
      <c r="AW486" s="39"/>
      <c r="AX486" s="39">
        <v>0</v>
      </c>
      <c r="AY486" s="39">
        <v>0</v>
      </c>
      <c r="AZ486" s="39">
        <v>0</v>
      </c>
      <c r="BA486" s="39">
        <v>0</v>
      </c>
      <c r="BB486" s="39">
        <v>0</v>
      </c>
      <c r="BC486" s="39">
        <v>0</v>
      </c>
      <c r="BD486" s="39">
        <v>0</v>
      </c>
      <c r="BE486" s="39">
        <v>0</v>
      </c>
      <c r="BF486" s="39">
        <v>0</v>
      </c>
      <c r="BG486" s="39">
        <v>0</v>
      </c>
      <c r="BH486" s="39">
        <v>0</v>
      </c>
      <c r="BI486" s="36" t="s">
        <v>453</v>
      </c>
      <c r="BJ486" s="36">
        <v>1900</v>
      </c>
      <c r="BK486" s="36"/>
      <c r="BL486" s="36"/>
      <c r="BM486" s="36"/>
    </row>
    <row r="487" spans="1:65" x14ac:dyDescent="0.25">
      <c r="A487" s="36" t="s">
        <v>836</v>
      </c>
      <c r="B487" s="37"/>
      <c r="C487" s="36" t="s">
        <v>353</v>
      </c>
      <c r="D487" s="36" t="s">
        <v>354</v>
      </c>
      <c r="E487" s="36">
        <v>8072225</v>
      </c>
      <c r="F487" s="36">
        <v>68840330</v>
      </c>
      <c r="G487" s="36"/>
      <c r="H487" s="36" t="s">
        <v>301</v>
      </c>
      <c r="I487" s="36"/>
      <c r="J487" s="36"/>
      <c r="K487" s="36"/>
      <c r="L487" s="36">
        <v>0</v>
      </c>
      <c r="M487" s="36"/>
      <c r="N487" s="36" t="s">
        <v>2031</v>
      </c>
      <c r="O487" s="36"/>
      <c r="P487" s="36"/>
      <c r="Q487" s="36"/>
      <c r="R487" s="38"/>
      <c r="S487" s="38"/>
      <c r="T487" s="36"/>
      <c r="U487" s="37"/>
      <c r="V487" s="37"/>
      <c r="W487" s="37"/>
      <c r="X487" s="36" t="s">
        <v>306</v>
      </c>
      <c r="Y487" s="37"/>
      <c r="Z487" s="37"/>
      <c r="AA487" s="37">
        <v>44803.75</v>
      </c>
      <c r="AB487" s="37">
        <v>44805.75</v>
      </c>
      <c r="AC487" s="36" t="s">
        <v>452</v>
      </c>
      <c r="AD487" s="36"/>
      <c r="AE487" s="36" t="s">
        <v>125</v>
      </c>
      <c r="AF487" s="36" t="s">
        <v>125</v>
      </c>
      <c r="AG487" s="36"/>
      <c r="AH487" s="36"/>
      <c r="AI487" s="37"/>
      <c r="AJ487" s="36"/>
      <c r="AK487" s="39"/>
      <c r="AL487" s="36"/>
      <c r="AM487" s="39">
        <v>0</v>
      </c>
      <c r="AN487" s="39"/>
      <c r="AO487" s="39"/>
      <c r="AP487" s="39"/>
      <c r="AQ487" s="39">
        <v>0</v>
      </c>
      <c r="AR487" s="39">
        <v>0</v>
      </c>
      <c r="AS487" s="39"/>
      <c r="AT487" s="39">
        <v>0</v>
      </c>
      <c r="AU487" s="39"/>
      <c r="AV487" s="39"/>
      <c r="AW487" s="39"/>
      <c r="AX487" s="39">
        <v>0</v>
      </c>
      <c r="AY487" s="39">
        <v>0</v>
      </c>
      <c r="AZ487" s="39">
        <v>0</v>
      </c>
      <c r="BA487" s="39">
        <v>0</v>
      </c>
      <c r="BB487" s="39">
        <v>0</v>
      </c>
      <c r="BC487" s="39">
        <v>0</v>
      </c>
      <c r="BD487" s="39">
        <v>0</v>
      </c>
      <c r="BE487" s="39">
        <v>0</v>
      </c>
      <c r="BF487" s="39">
        <v>0</v>
      </c>
      <c r="BG487" s="39">
        <v>0</v>
      </c>
      <c r="BH487" s="39">
        <v>0</v>
      </c>
      <c r="BI487" s="36" t="s">
        <v>453</v>
      </c>
      <c r="BJ487" s="36">
        <v>1900</v>
      </c>
      <c r="BK487" s="36"/>
      <c r="BL487" s="36"/>
      <c r="BM487" s="36"/>
    </row>
    <row r="488" spans="1:65" x14ac:dyDescent="0.25">
      <c r="A488" s="36" t="s">
        <v>836</v>
      </c>
      <c r="B488" s="37"/>
      <c r="C488" s="36" t="s">
        <v>353</v>
      </c>
      <c r="D488" s="36" t="s">
        <v>354</v>
      </c>
      <c r="E488" s="36">
        <v>8072225</v>
      </c>
      <c r="F488" s="36">
        <v>68840330</v>
      </c>
      <c r="G488" s="36"/>
      <c r="H488" s="36" t="s">
        <v>301</v>
      </c>
      <c r="I488" s="36"/>
      <c r="J488" s="36"/>
      <c r="K488" s="36"/>
      <c r="L488" s="36">
        <v>0</v>
      </c>
      <c r="M488" s="36"/>
      <c r="N488" s="36" t="s">
        <v>2031</v>
      </c>
      <c r="O488" s="36"/>
      <c r="P488" s="36"/>
      <c r="Q488" s="36"/>
      <c r="R488" s="38"/>
      <c r="S488" s="38"/>
      <c r="T488" s="36"/>
      <c r="U488" s="37"/>
      <c r="V488" s="37"/>
      <c r="W488" s="37"/>
      <c r="X488" s="36" t="s">
        <v>306</v>
      </c>
      <c r="Y488" s="37"/>
      <c r="Z488" s="37"/>
      <c r="AA488" s="37">
        <v>44803.75</v>
      </c>
      <c r="AB488" s="37">
        <v>44805.75</v>
      </c>
      <c r="AC488" s="36" t="s">
        <v>452</v>
      </c>
      <c r="AD488" s="36"/>
      <c r="AE488" s="36" t="s">
        <v>125</v>
      </c>
      <c r="AF488" s="36" t="s">
        <v>125</v>
      </c>
      <c r="AG488" s="36"/>
      <c r="AH488" s="36"/>
      <c r="AI488" s="37"/>
      <c r="AJ488" s="36"/>
      <c r="AK488" s="39"/>
      <c r="AL488" s="36"/>
      <c r="AM488" s="39">
        <v>0</v>
      </c>
      <c r="AN488" s="39"/>
      <c r="AO488" s="39"/>
      <c r="AP488" s="39"/>
      <c r="AQ488" s="39">
        <v>0</v>
      </c>
      <c r="AR488" s="39">
        <v>0</v>
      </c>
      <c r="AS488" s="39"/>
      <c r="AT488" s="39">
        <v>0</v>
      </c>
      <c r="AU488" s="39"/>
      <c r="AV488" s="39"/>
      <c r="AW488" s="39"/>
      <c r="AX488" s="39">
        <v>0</v>
      </c>
      <c r="AY488" s="39">
        <v>0</v>
      </c>
      <c r="AZ488" s="39">
        <v>0</v>
      </c>
      <c r="BA488" s="39">
        <v>0</v>
      </c>
      <c r="BB488" s="39">
        <v>0</v>
      </c>
      <c r="BC488" s="39">
        <v>0</v>
      </c>
      <c r="BD488" s="39">
        <v>0</v>
      </c>
      <c r="BE488" s="39">
        <v>0</v>
      </c>
      <c r="BF488" s="39">
        <v>0</v>
      </c>
      <c r="BG488" s="39">
        <v>0</v>
      </c>
      <c r="BH488" s="39">
        <v>0</v>
      </c>
      <c r="BI488" s="36" t="s">
        <v>453</v>
      </c>
      <c r="BJ488" s="36">
        <v>1900</v>
      </c>
      <c r="BK488" s="36"/>
      <c r="BL488" s="36"/>
      <c r="BM488" s="36"/>
    </row>
    <row r="489" spans="1:65" x14ac:dyDescent="0.25">
      <c r="A489" s="36" t="s">
        <v>836</v>
      </c>
      <c r="B489" s="37"/>
      <c r="C489" s="36" t="s">
        <v>353</v>
      </c>
      <c r="D489" s="36" t="s">
        <v>354</v>
      </c>
      <c r="E489" s="36">
        <v>8072225</v>
      </c>
      <c r="F489" s="36">
        <v>68840330</v>
      </c>
      <c r="G489" s="36"/>
      <c r="H489" s="36" t="s">
        <v>301</v>
      </c>
      <c r="I489" s="36"/>
      <c r="J489" s="36"/>
      <c r="K489" s="36"/>
      <c r="L489" s="36">
        <v>0</v>
      </c>
      <c r="M489" s="36"/>
      <c r="N489" s="36" t="s">
        <v>2031</v>
      </c>
      <c r="O489" s="36"/>
      <c r="P489" s="36"/>
      <c r="Q489" s="36"/>
      <c r="R489" s="38"/>
      <c r="S489" s="38"/>
      <c r="T489" s="36"/>
      <c r="U489" s="37"/>
      <c r="V489" s="37"/>
      <c r="W489" s="37"/>
      <c r="X489" s="36" t="s">
        <v>306</v>
      </c>
      <c r="Y489" s="37"/>
      <c r="Z489" s="37"/>
      <c r="AA489" s="37">
        <v>44803.75</v>
      </c>
      <c r="AB489" s="37">
        <v>44805.75</v>
      </c>
      <c r="AC489" s="36" t="s">
        <v>452</v>
      </c>
      <c r="AD489" s="36"/>
      <c r="AE489" s="36" t="s">
        <v>125</v>
      </c>
      <c r="AF489" s="36" t="s">
        <v>125</v>
      </c>
      <c r="AG489" s="36"/>
      <c r="AH489" s="36"/>
      <c r="AI489" s="37"/>
      <c r="AJ489" s="36"/>
      <c r="AK489" s="39"/>
      <c r="AL489" s="36"/>
      <c r="AM489" s="39">
        <v>0</v>
      </c>
      <c r="AN489" s="39"/>
      <c r="AO489" s="39"/>
      <c r="AP489" s="39"/>
      <c r="AQ489" s="39">
        <v>0</v>
      </c>
      <c r="AR489" s="39">
        <v>0</v>
      </c>
      <c r="AS489" s="39"/>
      <c r="AT489" s="39">
        <v>0</v>
      </c>
      <c r="AU489" s="39"/>
      <c r="AV489" s="39"/>
      <c r="AW489" s="39"/>
      <c r="AX489" s="39">
        <v>0</v>
      </c>
      <c r="AY489" s="39">
        <v>0</v>
      </c>
      <c r="AZ489" s="39">
        <v>0</v>
      </c>
      <c r="BA489" s="39">
        <v>0</v>
      </c>
      <c r="BB489" s="39">
        <v>0</v>
      </c>
      <c r="BC489" s="39">
        <v>0</v>
      </c>
      <c r="BD489" s="39">
        <v>0</v>
      </c>
      <c r="BE489" s="39">
        <v>0</v>
      </c>
      <c r="BF489" s="39">
        <v>0</v>
      </c>
      <c r="BG489" s="39">
        <v>0</v>
      </c>
      <c r="BH489" s="39">
        <v>0</v>
      </c>
      <c r="BI489" s="36" t="s">
        <v>453</v>
      </c>
      <c r="BJ489" s="36">
        <v>1900</v>
      </c>
      <c r="BK489" s="36"/>
      <c r="BL489" s="36"/>
      <c r="BM489" s="36"/>
    </row>
    <row r="490" spans="1:65" x14ac:dyDescent="0.25">
      <c r="A490" s="40" t="s">
        <v>2771</v>
      </c>
      <c r="B490" s="41">
        <v>44824.333333333336</v>
      </c>
      <c r="C490" s="40" t="s">
        <v>297</v>
      </c>
      <c r="D490" s="40" t="s">
        <v>298</v>
      </c>
      <c r="E490" s="40" t="s">
        <v>2032</v>
      </c>
      <c r="F490" s="40" t="s">
        <v>2033</v>
      </c>
      <c r="G490" s="40" t="s">
        <v>2034</v>
      </c>
      <c r="H490" s="40" t="s">
        <v>301</v>
      </c>
      <c r="I490" s="40">
        <v>3880</v>
      </c>
      <c r="J490" s="40" t="s">
        <v>2035</v>
      </c>
      <c r="K490" s="40">
        <v>19734</v>
      </c>
      <c r="L490" s="40">
        <v>23614</v>
      </c>
      <c r="M490" s="40">
        <v>781754</v>
      </c>
      <c r="N490" s="40" t="s">
        <v>2036</v>
      </c>
      <c r="O490" s="40" t="s">
        <v>92</v>
      </c>
      <c r="P490" s="40" t="s">
        <v>93</v>
      </c>
      <c r="Q490" s="40" t="s">
        <v>152</v>
      </c>
      <c r="R490" s="42" t="s">
        <v>153</v>
      </c>
      <c r="S490" s="42" t="s">
        <v>154</v>
      </c>
      <c r="T490" s="40" t="s">
        <v>409</v>
      </c>
      <c r="U490" s="41">
        <v>44823.645833333336</v>
      </c>
      <c r="V490" s="41">
        <v>44824.375</v>
      </c>
      <c r="W490" s="41">
        <v>44824.666666666664</v>
      </c>
      <c r="X490" s="40" t="s">
        <v>410</v>
      </c>
      <c r="Y490" s="41">
        <v>44824.818749999999</v>
      </c>
      <c r="Z490" s="41">
        <v>44824.541666666664</v>
      </c>
      <c r="AA490" s="41">
        <v>44824.625</v>
      </c>
      <c r="AB490" s="41" t="s">
        <v>2037</v>
      </c>
      <c r="AC490" s="40" t="s">
        <v>308</v>
      </c>
      <c r="AD490" s="40">
        <v>13851</v>
      </c>
      <c r="AE490" s="40" t="s">
        <v>125</v>
      </c>
      <c r="AF490" s="40" t="s">
        <v>125</v>
      </c>
      <c r="AG490" s="40" t="s">
        <v>2038</v>
      </c>
      <c r="AH490" s="40"/>
      <c r="AI490" s="41"/>
      <c r="AJ490" s="40"/>
      <c r="AK490" s="43"/>
      <c r="AL490" s="40"/>
      <c r="AM490" s="43">
        <v>0</v>
      </c>
      <c r="AN490" s="43"/>
      <c r="AO490" s="43"/>
      <c r="AP490" s="43"/>
      <c r="AQ490" s="43">
        <v>0</v>
      </c>
      <c r="AR490" s="43">
        <v>22.881999999999998</v>
      </c>
      <c r="AS490" s="43"/>
      <c r="AT490" s="43">
        <v>340</v>
      </c>
      <c r="AU490" s="43"/>
      <c r="AV490" s="43"/>
      <c r="AW490" s="43"/>
      <c r="AX490" s="43">
        <v>0</v>
      </c>
      <c r="AY490" s="43">
        <v>0</v>
      </c>
      <c r="AZ490" s="43">
        <v>0</v>
      </c>
      <c r="BA490" s="43">
        <v>0</v>
      </c>
      <c r="BB490" s="43">
        <v>0</v>
      </c>
      <c r="BC490" s="43">
        <v>0</v>
      </c>
      <c r="BD490" s="43">
        <v>0</v>
      </c>
      <c r="BE490" s="43">
        <v>0</v>
      </c>
      <c r="BF490" s="43">
        <v>0</v>
      </c>
      <c r="BG490" s="43">
        <v>0</v>
      </c>
      <c r="BH490" s="43">
        <v>340</v>
      </c>
      <c r="BI490" s="40" t="s">
        <v>1975</v>
      </c>
      <c r="BJ490" s="40">
        <v>2022</v>
      </c>
      <c r="BK490" s="40" t="s">
        <v>2768</v>
      </c>
      <c r="BL490" s="40" t="s">
        <v>2768</v>
      </c>
      <c r="BM490" s="40" t="s">
        <v>2768</v>
      </c>
    </row>
    <row r="491" spans="1:65" x14ac:dyDescent="0.25">
      <c r="A491" s="40" t="s">
        <v>2771</v>
      </c>
      <c r="B491" s="41">
        <v>44824.375</v>
      </c>
      <c r="C491" s="40" t="s">
        <v>297</v>
      </c>
      <c r="D491" s="40" t="s">
        <v>298</v>
      </c>
      <c r="E491" s="40" t="s">
        <v>2032</v>
      </c>
      <c r="F491" s="40" t="s">
        <v>2033</v>
      </c>
      <c r="G491" s="40" t="s">
        <v>2039</v>
      </c>
      <c r="H491" s="40" t="s">
        <v>301</v>
      </c>
      <c r="I491" s="40">
        <v>3880</v>
      </c>
      <c r="J491" s="40" t="s">
        <v>2040</v>
      </c>
      <c r="K491" s="40">
        <v>19734</v>
      </c>
      <c r="L491" s="40">
        <v>23614</v>
      </c>
      <c r="M491" s="40">
        <v>782197</v>
      </c>
      <c r="N491" s="40" t="s">
        <v>2036</v>
      </c>
      <c r="O491" s="40" t="s">
        <v>1961</v>
      </c>
      <c r="P491" s="40" t="s">
        <v>179</v>
      </c>
      <c r="Q491" s="40" t="s">
        <v>1482</v>
      </c>
      <c r="R491" s="42" t="s">
        <v>1483</v>
      </c>
      <c r="S491" s="42" t="s">
        <v>1484</v>
      </c>
      <c r="T491" s="40" t="s">
        <v>409</v>
      </c>
      <c r="U491" s="41">
        <v>44823.666666666664</v>
      </c>
      <c r="V491" s="41">
        <v>44824.208333333336</v>
      </c>
      <c r="W491" s="41">
        <v>44824.708333333336</v>
      </c>
      <c r="X491" s="40" t="s">
        <v>410</v>
      </c>
      <c r="Y491" s="41">
        <v>44825.206250000003</v>
      </c>
      <c r="Z491" s="41">
        <v>44824.541666666664</v>
      </c>
      <c r="AA491" s="41">
        <v>44824.625</v>
      </c>
      <c r="AB491" s="41" t="s">
        <v>2037</v>
      </c>
      <c r="AC491" s="40" t="s">
        <v>308</v>
      </c>
      <c r="AD491" s="40">
        <v>13858</v>
      </c>
      <c r="AE491" s="40" t="s">
        <v>125</v>
      </c>
      <c r="AF491" s="40" t="s">
        <v>125</v>
      </c>
      <c r="AG491" s="40" t="s">
        <v>2041</v>
      </c>
      <c r="AH491" s="40"/>
      <c r="AI491" s="41"/>
      <c r="AJ491" s="40"/>
      <c r="AK491" s="43"/>
      <c r="AL491" s="40"/>
      <c r="AM491" s="43">
        <v>0</v>
      </c>
      <c r="AN491" s="43"/>
      <c r="AO491" s="43"/>
      <c r="AP491" s="43"/>
      <c r="AQ491" s="43">
        <v>0</v>
      </c>
      <c r="AR491" s="43">
        <v>22.881999999999998</v>
      </c>
      <c r="AS491" s="43"/>
      <c r="AT491" s="43">
        <v>340</v>
      </c>
      <c r="AU491" s="43"/>
      <c r="AV491" s="43"/>
      <c r="AW491" s="43"/>
      <c r="AX491" s="43">
        <v>0</v>
      </c>
      <c r="AY491" s="43">
        <v>0</v>
      </c>
      <c r="AZ491" s="43">
        <v>0</v>
      </c>
      <c r="BA491" s="43">
        <v>0</v>
      </c>
      <c r="BB491" s="43">
        <v>0</v>
      </c>
      <c r="BC491" s="43">
        <v>0</v>
      </c>
      <c r="BD491" s="43">
        <v>0</v>
      </c>
      <c r="BE491" s="43">
        <v>0</v>
      </c>
      <c r="BF491" s="43">
        <v>0</v>
      </c>
      <c r="BG491" s="43">
        <v>0</v>
      </c>
      <c r="BH491" s="43">
        <v>340</v>
      </c>
      <c r="BI491" s="40" t="s">
        <v>1975</v>
      </c>
      <c r="BJ491" s="40">
        <v>2022</v>
      </c>
      <c r="BK491" s="40" t="s">
        <v>2768</v>
      </c>
      <c r="BL491" s="40" t="s">
        <v>2768</v>
      </c>
      <c r="BM491" s="40" t="s">
        <v>2768</v>
      </c>
    </row>
    <row r="492" spans="1:65" x14ac:dyDescent="0.25">
      <c r="A492" s="40" t="s">
        <v>2771</v>
      </c>
      <c r="B492" s="41">
        <v>44824.416666666664</v>
      </c>
      <c r="C492" s="40" t="s">
        <v>297</v>
      </c>
      <c r="D492" s="40" t="s">
        <v>298</v>
      </c>
      <c r="E492" s="40" t="s">
        <v>2032</v>
      </c>
      <c r="F492" s="40" t="s">
        <v>2033</v>
      </c>
      <c r="G492" s="40" t="s">
        <v>2042</v>
      </c>
      <c r="H492" s="40" t="s">
        <v>301</v>
      </c>
      <c r="I492" s="40">
        <v>3880</v>
      </c>
      <c r="J492" s="40" t="s">
        <v>2043</v>
      </c>
      <c r="K492" s="40">
        <v>19734</v>
      </c>
      <c r="L492" s="40">
        <v>23614</v>
      </c>
      <c r="M492" s="40">
        <v>781756</v>
      </c>
      <c r="N492" s="40" t="s">
        <v>2036</v>
      </c>
      <c r="O492" s="40" t="s">
        <v>155</v>
      </c>
      <c r="P492" s="40" t="s">
        <v>312</v>
      </c>
      <c r="Q492" s="40" t="s">
        <v>156</v>
      </c>
      <c r="R492" s="42" t="s">
        <v>2044</v>
      </c>
      <c r="S492" s="42" t="s">
        <v>158</v>
      </c>
      <c r="T492" s="40" t="s">
        <v>409</v>
      </c>
      <c r="U492" s="41">
        <v>44823.729166666664</v>
      </c>
      <c r="V492" s="41">
        <v>44824.375</v>
      </c>
      <c r="W492" s="41">
        <v>44824.833333333336</v>
      </c>
      <c r="X492" s="40" t="s">
        <v>410</v>
      </c>
      <c r="Y492" s="41">
        <v>44824.999305555553</v>
      </c>
      <c r="Z492" s="41">
        <v>44824.541666666664</v>
      </c>
      <c r="AA492" s="41">
        <v>44824.625</v>
      </c>
      <c r="AB492" s="41" t="s">
        <v>2037</v>
      </c>
      <c r="AC492" s="40" t="s">
        <v>308</v>
      </c>
      <c r="AD492" s="40">
        <v>13855</v>
      </c>
      <c r="AE492" s="40" t="s">
        <v>125</v>
      </c>
      <c r="AF492" s="40" t="s">
        <v>125</v>
      </c>
      <c r="AG492" s="40" t="s">
        <v>2045</v>
      </c>
      <c r="AH492" s="40"/>
      <c r="AI492" s="41"/>
      <c r="AJ492" s="40"/>
      <c r="AK492" s="43"/>
      <c r="AL492" s="40"/>
      <c r="AM492" s="43">
        <v>0</v>
      </c>
      <c r="AN492" s="43"/>
      <c r="AO492" s="43"/>
      <c r="AP492" s="43"/>
      <c r="AQ492" s="43">
        <v>0</v>
      </c>
      <c r="AR492" s="43">
        <v>22.881999999999998</v>
      </c>
      <c r="AS492" s="43"/>
      <c r="AT492" s="43">
        <v>340</v>
      </c>
      <c r="AU492" s="43"/>
      <c r="AV492" s="43"/>
      <c r="AW492" s="43"/>
      <c r="AX492" s="43">
        <v>0</v>
      </c>
      <c r="AY492" s="43">
        <v>0</v>
      </c>
      <c r="AZ492" s="43">
        <v>0</v>
      </c>
      <c r="BA492" s="43">
        <v>0</v>
      </c>
      <c r="BB492" s="43">
        <v>0</v>
      </c>
      <c r="BC492" s="43">
        <v>0</v>
      </c>
      <c r="BD492" s="43">
        <v>0</v>
      </c>
      <c r="BE492" s="43">
        <v>0</v>
      </c>
      <c r="BF492" s="43">
        <v>0</v>
      </c>
      <c r="BG492" s="43">
        <v>0</v>
      </c>
      <c r="BH492" s="43">
        <v>340</v>
      </c>
      <c r="BI492" s="40" t="s">
        <v>1975</v>
      </c>
      <c r="BJ492" s="40">
        <v>2022</v>
      </c>
      <c r="BK492" s="40" t="s">
        <v>2768</v>
      </c>
      <c r="BL492" s="40" t="s">
        <v>2768</v>
      </c>
      <c r="BM492" s="40" t="s">
        <v>2768</v>
      </c>
    </row>
    <row r="493" spans="1:65" x14ac:dyDescent="0.25">
      <c r="A493" s="40" t="s">
        <v>2771</v>
      </c>
      <c r="B493" s="41">
        <v>44824.458333333336</v>
      </c>
      <c r="C493" s="40" t="s">
        <v>297</v>
      </c>
      <c r="D493" s="40" t="s">
        <v>298</v>
      </c>
      <c r="E493" s="40" t="s">
        <v>2032</v>
      </c>
      <c r="F493" s="40" t="s">
        <v>2033</v>
      </c>
      <c r="G493" s="40" t="s">
        <v>2046</v>
      </c>
      <c r="H493" s="40" t="s">
        <v>301</v>
      </c>
      <c r="I493" s="40">
        <v>3810</v>
      </c>
      <c r="J493" s="40" t="s">
        <v>2047</v>
      </c>
      <c r="K493" s="40">
        <v>19734</v>
      </c>
      <c r="L493" s="40">
        <v>23544</v>
      </c>
      <c r="M493" s="40">
        <v>781755</v>
      </c>
      <c r="N493" s="40" t="s">
        <v>2036</v>
      </c>
      <c r="O493" s="40" t="s">
        <v>106</v>
      </c>
      <c r="P493" s="40" t="s">
        <v>107</v>
      </c>
      <c r="Q493" s="40" t="s">
        <v>108</v>
      </c>
      <c r="R493" s="42" t="s">
        <v>109</v>
      </c>
      <c r="S493" s="42" t="s">
        <v>110</v>
      </c>
      <c r="T493" s="40" t="s">
        <v>409</v>
      </c>
      <c r="U493" s="41">
        <v>44823.708333333336</v>
      </c>
      <c r="V493" s="41">
        <v>44824.291666666664</v>
      </c>
      <c r="W493" s="41">
        <v>44824.791666666664</v>
      </c>
      <c r="X493" s="40" t="s">
        <v>410</v>
      </c>
      <c r="Y493" s="41">
        <v>44824.88958333333</v>
      </c>
      <c r="Z493" s="41">
        <v>44824.541666666664</v>
      </c>
      <c r="AA493" s="41">
        <v>44824.625</v>
      </c>
      <c r="AB493" s="41" t="s">
        <v>2037</v>
      </c>
      <c r="AC493" s="40" t="s">
        <v>308</v>
      </c>
      <c r="AD493" s="40">
        <v>13854</v>
      </c>
      <c r="AE493" s="40" t="s">
        <v>125</v>
      </c>
      <c r="AF493" s="40" t="s">
        <v>125</v>
      </c>
      <c r="AG493" s="40" t="s">
        <v>2048</v>
      </c>
      <c r="AH493" s="40"/>
      <c r="AI493" s="41"/>
      <c r="AJ493" s="40"/>
      <c r="AK493" s="43"/>
      <c r="AL493" s="40"/>
      <c r="AM493" s="43">
        <v>0</v>
      </c>
      <c r="AN493" s="43"/>
      <c r="AO493" s="43"/>
      <c r="AP493" s="43"/>
      <c r="AQ493" s="43">
        <v>0</v>
      </c>
      <c r="AR493" s="43">
        <v>22.881999999999998</v>
      </c>
      <c r="AS493" s="43"/>
      <c r="AT493" s="43">
        <v>340</v>
      </c>
      <c r="AU493" s="43"/>
      <c r="AV493" s="43"/>
      <c r="AW493" s="43"/>
      <c r="AX493" s="43">
        <v>0</v>
      </c>
      <c r="AY493" s="43">
        <v>0</v>
      </c>
      <c r="AZ493" s="43">
        <v>0</v>
      </c>
      <c r="BA493" s="43">
        <v>0</v>
      </c>
      <c r="BB493" s="43">
        <v>0</v>
      </c>
      <c r="BC493" s="43">
        <v>0</v>
      </c>
      <c r="BD493" s="43">
        <v>0</v>
      </c>
      <c r="BE493" s="43">
        <v>0</v>
      </c>
      <c r="BF493" s="43">
        <v>0</v>
      </c>
      <c r="BG493" s="43">
        <v>0</v>
      </c>
      <c r="BH493" s="43">
        <v>340</v>
      </c>
      <c r="BI493" s="40" t="s">
        <v>1975</v>
      </c>
      <c r="BJ493" s="40">
        <v>2022</v>
      </c>
      <c r="BK493" s="40" t="s">
        <v>2768</v>
      </c>
      <c r="BL493" s="40" t="s">
        <v>2768</v>
      </c>
      <c r="BM493" s="40" t="s">
        <v>2768</v>
      </c>
    </row>
    <row r="494" spans="1:65" x14ac:dyDescent="0.25">
      <c r="A494" s="40" t="s">
        <v>2771</v>
      </c>
      <c r="B494" s="41">
        <v>44824.541666666664</v>
      </c>
      <c r="C494" s="40" t="s">
        <v>297</v>
      </c>
      <c r="D494" s="40" t="s">
        <v>298</v>
      </c>
      <c r="E494" s="40" t="s">
        <v>2032</v>
      </c>
      <c r="F494" s="40" t="s">
        <v>2033</v>
      </c>
      <c r="G494" s="40" t="s">
        <v>2049</v>
      </c>
      <c r="H494" s="40" t="s">
        <v>301</v>
      </c>
      <c r="I494" s="40">
        <v>3810</v>
      </c>
      <c r="J494" s="40" t="s">
        <v>2050</v>
      </c>
      <c r="K494" s="40">
        <v>19734</v>
      </c>
      <c r="L494" s="40">
        <v>23544</v>
      </c>
      <c r="M494" s="40">
        <v>781967</v>
      </c>
      <c r="N494" s="40" t="s">
        <v>2036</v>
      </c>
      <c r="O494" s="40" t="s">
        <v>140</v>
      </c>
      <c r="P494" s="40" t="s">
        <v>141</v>
      </c>
      <c r="Q494" s="40" t="s">
        <v>2051</v>
      </c>
      <c r="R494" s="42" t="s">
        <v>2052</v>
      </c>
      <c r="S494" s="42" t="s">
        <v>2053</v>
      </c>
      <c r="T494" s="40" t="s">
        <v>409</v>
      </c>
      <c r="U494" s="41">
        <v>44823.898611111108</v>
      </c>
      <c r="V494" s="41">
        <v>44824.375</v>
      </c>
      <c r="W494" s="41">
        <v>44824.895833333336</v>
      </c>
      <c r="X494" s="40" t="s">
        <v>410</v>
      </c>
      <c r="Y494" s="41">
        <v>44824.977083333331</v>
      </c>
      <c r="Z494" s="41">
        <v>44824.541666666664</v>
      </c>
      <c r="AA494" s="41">
        <v>44824.625</v>
      </c>
      <c r="AB494" s="41" t="s">
        <v>2037</v>
      </c>
      <c r="AC494" s="40" t="s">
        <v>308</v>
      </c>
      <c r="AD494" s="40">
        <v>13856</v>
      </c>
      <c r="AE494" s="40" t="s">
        <v>125</v>
      </c>
      <c r="AF494" s="40" t="s">
        <v>125</v>
      </c>
      <c r="AG494" s="40" t="s">
        <v>2054</v>
      </c>
      <c r="AH494" s="40"/>
      <c r="AI494" s="41"/>
      <c r="AJ494" s="40"/>
      <c r="AK494" s="43"/>
      <c r="AL494" s="40"/>
      <c r="AM494" s="43">
        <v>0</v>
      </c>
      <c r="AN494" s="43"/>
      <c r="AO494" s="43"/>
      <c r="AP494" s="43"/>
      <c r="AQ494" s="43">
        <v>0</v>
      </c>
      <c r="AR494" s="43">
        <v>17.1615</v>
      </c>
      <c r="AS494" s="43"/>
      <c r="AT494" s="43">
        <v>255</v>
      </c>
      <c r="AU494" s="43"/>
      <c r="AV494" s="43"/>
      <c r="AW494" s="43"/>
      <c r="AX494" s="43">
        <v>0</v>
      </c>
      <c r="AY494" s="43">
        <v>0</v>
      </c>
      <c r="AZ494" s="43">
        <v>0</v>
      </c>
      <c r="BA494" s="43">
        <v>0</v>
      </c>
      <c r="BB494" s="43">
        <v>0</v>
      </c>
      <c r="BC494" s="43">
        <v>0</v>
      </c>
      <c r="BD494" s="43">
        <v>0</v>
      </c>
      <c r="BE494" s="43">
        <v>0</v>
      </c>
      <c r="BF494" s="43">
        <v>0</v>
      </c>
      <c r="BG494" s="43">
        <v>0</v>
      </c>
      <c r="BH494" s="43">
        <v>255</v>
      </c>
      <c r="BI494" s="40" t="s">
        <v>1975</v>
      </c>
      <c r="BJ494" s="40">
        <v>2022</v>
      </c>
      <c r="BK494" s="40" t="s">
        <v>2768</v>
      </c>
      <c r="BL494" s="40" t="s">
        <v>2768</v>
      </c>
      <c r="BM494" s="40" t="s">
        <v>2768</v>
      </c>
    </row>
    <row r="495" spans="1:65" x14ac:dyDescent="0.25">
      <c r="A495" s="40" t="s">
        <v>2771</v>
      </c>
      <c r="B495" s="41">
        <v>44824.541666666664</v>
      </c>
      <c r="C495" s="40" t="s">
        <v>297</v>
      </c>
      <c r="D495" s="40" t="s">
        <v>298</v>
      </c>
      <c r="E495" s="40" t="s">
        <v>2032</v>
      </c>
      <c r="F495" s="40" t="s">
        <v>2033</v>
      </c>
      <c r="G495" s="40" t="s">
        <v>2055</v>
      </c>
      <c r="H495" s="40" t="s">
        <v>301</v>
      </c>
      <c r="I495" s="40">
        <v>3880</v>
      </c>
      <c r="J495" s="40" t="s">
        <v>2056</v>
      </c>
      <c r="K495" s="40">
        <v>19734</v>
      </c>
      <c r="L495" s="40">
        <v>23614</v>
      </c>
      <c r="M495" s="40">
        <v>782198</v>
      </c>
      <c r="N495" s="40" t="s">
        <v>2036</v>
      </c>
      <c r="O495" s="40" t="s">
        <v>210</v>
      </c>
      <c r="P495" s="40" t="s">
        <v>1968</v>
      </c>
      <c r="Q495" s="40" t="s">
        <v>212</v>
      </c>
      <c r="R495" s="42" t="s">
        <v>213</v>
      </c>
      <c r="S495" s="42" t="s">
        <v>214</v>
      </c>
      <c r="T495" s="40" t="s">
        <v>521</v>
      </c>
      <c r="U495" s="41">
        <v>44823.833333333336</v>
      </c>
      <c r="V495" s="41">
        <v>44824.5</v>
      </c>
      <c r="W495" s="41">
        <v>44824.989583333336</v>
      </c>
      <c r="X495" s="40" t="s">
        <v>410</v>
      </c>
      <c r="Y495" s="41">
        <v>44825.227777777778</v>
      </c>
      <c r="Z495" s="41">
        <v>44824.541666666664</v>
      </c>
      <c r="AA495" s="41">
        <v>44824.625</v>
      </c>
      <c r="AB495" s="41" t="s">
        <v>2037</v>
      </c>
      <c r="AC495" s="40" t="s">
        <v>308</v>
      </c>
      <c r="AD495" s="40">
        <v>13859</v>
      </c>
      <c r="AE495" s="40" t="s">
        <v>125</v>
      </c>
      <c r="AF495" s="40" t="s">
        <v>125</v>
      </c>
      <c r="AG495" s="40" t="s">
        <v>2057</v>
      </c>
      <c r="AH495" s="40"/>
      <c r="AI495" s="41"/>
      <c r="AJ495" s="40"/>
      <c r="AK495" s="43"/>
      <c r="AL495" s="40" t="s">
        <v>2058</v>
      </c>
      <c r="AM495" s="43">
        <v>300</v>
      </c>
      <c r="AN495" s="43"/>
      <c r="AO495" s="43"/>
      <c r="AP495" s="43"/>
      <c r="AQ495" s="43">
        <v>0</v>
      </c>
      <c r="AR495" s="43">
        <v>28.602499999999999</v>
      </c>
      <c r="AS495" s="43"/>
      <c r="AT495" s="43">
        <v>425</v>
      </c>
      <c r="AU495" s="43"/>
      <c r="AV495" s="43"/>
      <c r="AW495" s="43"/>
      <c r="AX495" s="43">
        <v>0</v>
      </c>
      <c r="AY495" s="43">
        <v>0</v>
      </c>
      <c r="AZ495" s="43">
        <v>0</v>
      </c>
      <c r="BA495" s="43">
        <v>0</v>
      </c>
      <c r="BB495" s="43">
        <v>0</v>
      </c>
      <c r="BC495" s="43">
        <v>0</v>
      </c>
      <c r="BD495" s="43">
        <v>0</v>
      </c>
      <c r="BE495" s="43">
        <v>0</v>
      </c>
      <c r="BF495" s="43">
        <v>0</v>
      </c>
      <c r="BG495" s="43">
        <v>0</v>
      </c>
      <c r="BH495" s="43">
        <v>425</v>
      </c>
      <c r="BI495" s="40" t="s">
        <v>1975</v>
      </c>
      <c r="BJ495" s="40">
        <v>2022</v>
      </c>
      <c r="BK495" s="40" t="s">
        <v>2768</v>
      </c>
      <c r="BL495" s="40" t="s">
        <v>2768</v>
      </c>
      <c r="BM495" s="40" t="s">
        <v>2768</v>
      </c>
    </row>
    <row r="496" spans="1:65" x14ac:dyDescent="0.25">
      <c r="A496" s="40" t="s">
        <v>2771</v>
      </c>
      <c r="B496" s="41">
        <v>44825.333333333336</v>
      </c>
      <c r="C496" s="40" t="s">
        <v>2059</v>
      </c>
      <c r="D496" s="40" t="s">
        <v>2060</v>
      </c>
      <c r="E496" s="40" t="s">
        <v>2061</v>
      </c>
      <c r="F496" s="40" t="s">
        <v>2062</v>
      </c>
      <c r="G496" s="40" t="s">
        <v>2063</v>
      </c>
      <c r="H496" s="40" t="s">
        <v>301</v>
      </c>
      <c r="I496" s="40"/>
      <c r="J496" s="40"/>
      <c r="K496" s="40">
        <v>8866</v>
      </c>
      <c r="L496" s="40">
        <v>8866</v>
      </c>
      <c r="M496" s="40">
        <v>10305</v>
      </c>
      <c r="N496" s="40"/>
      <c r="O496" s="40" t="s">
        <v>2064</v>
      </c>
      <c r="P496" s="40" t="s">
        <v>107</v>
      </c>
      <c r="Q496" s="40" t="s">
        <v>108</v>
      </c>
      <c r="R496" s="42" t="s">
        <v>109</v>
      </c>
      <c r="S496" s="42" t="s">
        <v>110</v>
      </c>
      <c r="T496" s="40" t="s">
        <v>2065</v>
      </c>
      <c r="U496" s="41">
        <v>44825.083333333336</v>
      </c>
      <c r="V496" s="41">
        <v>44825.3125</v>
      </c>
      <c r="W496" s="41">
        <v>44825.444444444445</v>
      </c>
      <c r="X496" s="40" t="s">
        <v>2066</v>
      </c>
      <c r="Y496" s="41">
        <v>44826.34375</v>
      </c>
      <c r="Z496" s="41"/>
      <c r="AA496" s="41"/>
      <c r="AB496" s="41"/>
      <c r="AC496" s="40" t="s">
        <v>708</v>
      </c>
      <c r="AD496" s="40" t="s">
        <v>2067</v>
      </c>
      <c r="AE496" s="40" t="s">
        <v>125</v>
      </c>
      <c r="AF496" s="40" t="s">
        <v>125</v>
      </c>
      <c r="AG496" s="40"/>
      <c r="AH496" s="40"/>
      <c r="AI496" s="41"/>
      <c r="AJ496" s="40"/>
      <c r="AK496" s="43"/>
      <c r="AL496" s="40"/>
      <c r="AM496" s="43">
        <v>0</v>
      </c>
      <c r="AN496" s="43"/>
      <c r="AO496" s="43"/>
      <c r="AP496" s="43"/>
      <c r="AQ496" s="43">
        <v>0</v>
      </c>
      <c r="AR496" s="43">
        <v>0</v>
      </c>
      <c r="AS496" s="43"/>
      <c r="AT496" s="43">
        <v>0</v>
      </c>
      <c r="AU496" s="43"/>
      <c r="AV496" s="43"/>
      <c r="AW496" s="43"/>
      <c r="AX496" s="43">
        <v>0</v>
      </c>
      <c r="AY496" s="43">
        <v>0</v>
      </c>
      <c r="AZ496" s="43">
        <v>0</v>
      </c>
      <c r="BA496" s="43">
        <v>0</v>
      </c>
      <c r="BB496" s="43">
        <v>0</v>
      </c>
      <c r="BC496" s="43">
        <v>0</v>
      </c>
      <c r="BD496" s="43">
        <v>0</v>
      </c>
      <c r="BE496" s="43">
        <v>0</v>
      </c>
      <c r="BF496" s="43">
        <v>0</v>
      </c>
      <c r="BG496" s="43">
        <v>0</v>
      </c>
      <c r="BH496" s="43">
        <v>0</v>
      </c>
      <c r="BI496" s="40" t="s">
        <v>1975</v>
      </c>
      <c r="BJ496" s="40">
        <v>2022</v>
      </c>
      <c r="BK496" s="40" t="s">
        <v>2768</v>
      </c>
      <c r="BL496" s="40" t="s">
        <v>2768</v>
      </c>
      <c r="BM496" s="40" t="s">
        <v>2768</v>
      </c>
    </row>
    <row r="497" spans="1:65" x14ac:dyDescent="0.25">
      <c r="A497" s="40" t="s">
        <v>2771</v>
      </c>
      <c r="B497" s="41">
        <v>44826.25</v>
      </c>
      <c r="C497" s="40" t="s">
        <v>353</v>
      </c>
      <c r="D497" s="40" t="s">
        <v>354</v>
      </c>
      <c r="E497" s="40">
        <v>8088995</v>
      </c>
      <c r="F497" s="40">
        <v>65167076</v>
      </c>
      <c r="G497" s="40" t="s">
        <v>2068</v>
      </c>
      <c r="H497" s="40" t="s">
        <v>301</v>
      </c>
      <c r="I497" s="40">
        <v>3800</v>
      </c>
      <c r="J497" s="40" t="s">
        <v>2069</v>
      </c>
      <c r="K497" s="40">
        <v>23943</v>
      </c>
      <c r="L497" s="40">
        <v>27743</v>
      </c>
      <c r="M497" s="40">
        <v>636383</v>
      </c>
      <c r="N497" s="40" t="s">
        <v>2070</v>
      </c>
      <c r="O497" s="40" t="s">
        <v>1941</v>
      </c>
      <c r="P497" s="40" t="s">
        <v>2071</v>
      </c>
      <c r="Q497" s="40" t="s">
        <v>1943</v>
      </c>
      <c r="R497" s="42" t="s">
        <v>2072</v>
      </c>
      <c r="S497" s="42" t="s">
        <v>1945</v>
      </c>
      <c r="T497" s="40" t="s">
        <v>537</v>
      </c>
      <c r="U497" s="41"/>
      <c r="V497" s="41">
        <v>44825.919444444444</v>
      </c>
      <c r="W497" s="41">
        <v>44827.420138888891</v>
      </c>
      <c r="X497" s="40" t="s">
        <v>410</v>
      </c>
      <c r="Y497" s="41">
        <v>44827.970138888886</v>
      </c>
      <c r="Z497" s="41"/>
      <c r="AA497" s="41">
        <v>44827.5</v>
      </c>
      <c r="AB497" s="41">
        <v>44828.5</v>
      </c>
      <c r="AC497" s="40" t="s">
        <v>835</v>
      </c>
      <c r="AD497" s="40">
        <v>13878</v>
      </c>
      <c r="AE497" s="40" t="s">
        <v>125</v>
      </c>
      <c r="AF497" s="40" t="s">
        <v>125</v>
      </c>
      <c r="AG497" s="40" t="s">
        <v>2073</v>
      </c>
      <c r="AH497" s="40"/>
      <c r="AI497" s="41"/>
      <c r="AJ497" s="40"/>
      <c r="AK497" s="43"/>
      <c r="AL497" s="40" t="s">
        <v>2058</v>
      </c>
      <c r="AM497" s="43">
        <v>0</v>
      </c>
      <c r="AN497" s="43"/>
      <c r="AO497" s="43"/>
      <c r="AP497" s="43"/>
      <c r="AQ497" s="43">
        <v>0</v>
      </c>
      <c r="AR497" s="43">
        <v>0</v>
      </c>
      <c r="AS497" s="43"/>
      <c r="AT497" s="43">
        <v>0</v>
      </c>
      <c r="AU497" s="43"/>
      <c r="AV497" s="43"/>
      <c r="AW497" s="43"/>
      <c r="AX497" s="43">
        <v>0</v>
      </c>
      <c r="AY497" s="43">
        <v>0</v>
      </c>
      <c r="AZ497" s="43">
        <v>0</v>
      </c>
      <c r="BA497" s="43">
        <v>0</v>
      </c>
      <c r="BB497" s="43">
        <v>0</v>
      </c>
      <c r="BC497" s="43">
        <v>0</v>
      </c>
      <c r="BD497" s="43">
        <v>0</v>
      </c>
      <c r="BE497" s="43">
        <v>0</v>
      </c>
      <c r="BF497" s="43">
        <v>0</v>
      </c>
      <c r="BG497" s="43">
        <v>0</v>
      </c>
      <c r="BH497" s="43">
        <v>0</v>
      </c>
      <c r="BI497" s="40" t="s">
        <v>1975</v>
      </c>
      <c r="BJ497" s="40">
        <v>2022</v>
      </c>
      <c r="BK497" s="40" t="s">
        <v>2768</v>
      </c>
      <c r="BL497" s="40" t="s">
        <v>2768</v>
      </c>
      <c r="BM497" s="40" t="s">
        <v>2768</v>
      </c>
    </row>
    <row r="498" spans="1:65" x14ac:dyDescent="0.25">
      <c r="A498" s="40" t="s">
        <v>2771</v>
      </c>
      <c r="B498" s="41">
        <v>44826.25</v>
      </c>
      <c r="C498" s="40" t="s">
        <v>353</v>
      </c>
      <c r="D498" s="40" t="s">
        <v>354</v>
      </c>
      <c r="E498" s="40">
        <v>8088995</v>
      </c>
      <c r="F498" s="40">
        <v>65167076</v>
      </c>
      <c r="G498" s="40" t="s">
        <v>2074</v>
      </c>
      <c r="H498" s="40" t="s">
        <v>301</v>
      </c>
      <c r="I498" s="40">
        <v>3900</v>
      </c>
      <c r="J498" s="40" t="s">
        <v>2075</v>
      </c>
      <c r="K498" s="40">
        <v>23943</v>
      </c>
      <c r="L498" s="40">
        <v>27843</v>
      </c>
      <c r="M498" s="40">
        <v>636582</v>
      </c>
      <c r="N498" s="40" t="s">
        <v>2070</v>
      </c>
      <c r="O498" s="40" t="s">
        <v>1941</v>
      </c>
      <c r="P498" s="40" t="s">
        <v>2076</v>
      </c>
      <c r="Q498" s="40" t="s">
        <v>1943</v>
      </c>
      <c r="R498" s="42" t="s">
        <v>2072</v>
      </c>
      <c r="S498" s="42" t="s">
        <v>1945</v>
      </c>
      <c r="T498" s="40" t="s">
        <v>537</v>
      </c>
      <c r="U498" s="41"/>
      <c r="V498" s="41">
        <v>44825.919444444444</v>
      </c>
      <c r="W498" s="41">
        <v>44827.420138888891</v>
      </c>
      <c r="X498" s="40" t="s">
        <v>410</v>
      </c>
      <c r="Y498" s="41">
        <v>44828.054166666669</v>
      </c>
      <c r="Z498" s="41"/>
      <c r="AA498" s="41">
        <v>44827.5</v>
      </c>
      <c r="AB498" s="41">
        <v>44828.5</v>
      </c>
      <c r="AC498" s="40" t="s">
        <v>835</v>
      </c>
      <c r="AD498" s="40">
        <v>13879</v>
      </c>
      <c r="AE498" s="40" t="s">
        <v>125</v>
      </c>
      <c r="AF498" s="40" t="s">
        <v>125</v>
      </c>
      <c r="AG498" s="40" t="s">
        <v>2077</v>
      </c>
      <c r="AH498" s="40"/>
      <c r="AI498" s="41"/>
      <c r="AJ498" s="40"/>
      <c r="AK498" s="43"/>
      <c r="AL498" s="40" t="s">
        <v>2058</v>
      </c>
      <c r="AM498" s="43">
        <v>0</v>
      </c>
      <c r="AN498" s="43"/>
      <c r="AO498" s="43"/>
      <c r="AP498" s="43"/>
      <c r="AQ498" s="43">
        <v>0</v>
      </c>
      <c r="AR498" s="43">
        <v>0</v>
      </c>
      <c r="AS498" s="43"/>
      <c r="AT498" s="43">
        <v>0</v>
      </c>
      <c r="AU498" s="43"/>
      <c r="AV498" s="43"/>
      <c r="AW498" s="43"/>
      <c r="AX498" s="43">
        <v>0</v>
      </c>
      <c r="AY498" s="43">
        <v>0</v>
      </c>
      <c r="AZ498" s="43">
        <v>0</v>
      </c>
      <c r="BA498" s="43">
        <v>0</v>
      </c>
      <c r="BB498" s="43">
        <v>0</v>
      </c>
      <c r="BC498" s="43">
        <v>0</v>
      </c>
      <c r="BD498" s="43">
        <v>0</v>
      </c>
      <c r="BE498" s="43">
        <v>0</v>
      </c>
      <c r="BF498" s="43">
        <v>0</v>
      </c>
      <c r="BG498" s="43">
        <v>0</v>
      </c>
      <c r="BH498" s="43">
        <v>0</v>
      </c>
      <c r="BI498" s="40" t="s">
        <v>1975</v>
      </c>
      <c r="BJ498" s="40">
        <v>2022</v>
      </c>
      <c r="BK498" s="40" t="s">
        <v>2768</v>
      </c>
      <c r="BL498" s="40" t="s">
        <v>2768</v>
      </c>
      <c r="BM498" s="40" t="s">
        <v>2768</v>
      </c>
    </row>
    <row r="499" spans="1:65" x14ac:dyDescent="0.25">
      <c r="A499" s="40" t="s">
        <v>2771</v>
      </c>
      <c r="B499" s="41">
        <v>44826.25</v>
      </c>
      <c r="C499" s="40" t="s">
        <v>353</v>
      </c>
      <c r="D499" s="40" t="s">
        <v>354</v>
      </c>
      <c r="E499" s="40">
        <v>8088995</v>
      </c>
      <c r="F499" s="40">
        <v>65167076</v>
      </c>
      <c r="G499" s="40" t="s">
        <v>2078</v>
      </c>
      <c r="H499" s="40" t="s">
        <v>301</v>
      </c>
      <c r="I499" s="40">
        <v>3700</v>
      </c>
      <c r="J499" s="40" t="s">
        <v>2079</v>
      </c>
      <c r="K499" s="40">
        <v>23943</v>
      </c>
      <c r="L499" s="40">
        <v>27643</v>
      </c>
      <c r="M499" s="40">
        <v>636515</v>
      </c>
      <c r="N499" s="40" t="s">
        <v>2070</v>
      </c>
      <c r="O499" s="40" t="s">
        <v>2080</v>
      </c>
      <c r="P499" s="40" t="s">
        <v>2081</v>
      </c>
      <c r="Q499" s="40" t="s">
        <v>2082</v>
      </c>
      <c r="R499" s="42" t="s">
        <v>2083</v>
      </c>
      <c r="S499" s="42" t="s">
        <v>2084</v>
      </c>
      <c r="T499" s="40" t="s">
        <v>537</v>
      </c>
      <c r="U499" s="41"/>
      <c r="V499" s="41">
        <v>44827.875</v>
      </c>
      <c r="W499" s="41">
        <v>44827.275694444441</v>
      </c>
      <c r="X499" s="40" t="s">
        <v>410</v>
      </c>
      <c r="Y499" s="41">
        <v>44827.591666666667</v>
      </c>
      <c r="Z499" s="41"/>
      <c r="AA499" s="41">
        <v>44827.5</v>
      </c>
      <c r="AB499" s="41">
        <v>44828.5</v>
      </c>
      <c r="AC499" s="40" t="s">
        <v>835</v>
      </c>
      <c r="AD499" s="40">
        <v>13875</v>
      </c>
      <c r="AE499" s="40" t="s">
        <v>125</v>
      </c>
      <c r="AF499" s="40" t="s">
        <v>125</v>
      </c>
      <c r="AG499" s="40" t="s">
        <v>2085</v>
      </c>
      <c r="AH499" s="40"/>
      <c r="AI499" s="41"/>
      <c r="AJ499" s="40"/>
      <c r="AK499" s="43"/>
      <c r="AL499" s="40" t="s">
        <v>2058</v>
      </c>
      <c r="AM499" s="43">
        <v>0</v>
      </c>
      <c r="AN499" s="43"/>
      <c r="AO499" s="43"/>
      <c r="AP499" s="43"/>
      <c r="AQ499" s="43">
        <v>0</v>
      </c>
      <c r="AR499" s="43">
        <v>0</v>
      </c>
      <c r="AS499" s="43"/>
      <c r="AT499" s="43">
        <v>0</v>
      </c>
      <c r="AU499" s="43"/>
      <c r="AV499" s="43"/>
      <c r="AW499" s="43"/>
      <c r="AX499" s="43">
        <v>0</v>
      </c>
      <c r="AY499" s="43">
        <v>0</v>
      </c>
      <c r="AZ499" s="43">
        <v>0</v>
      </c>
      <c r="BA499" s="43">
        <v>0</v>
      </c>
      <c r="BB499" s="43">
        <v>0</v>
      </c>
      <c r="BC499" s="43">
        <v>0</v>
      </c>
      <c r="BD499" s="43">
        <v>0</v>
      </c>
      <c r="BE499" s="43">
        <v>0</v>
      </c>
      <c r="BF499" s="43">
        <v>0</v>
      </c>
      <c r="BG499" s="43">
        <v>0</v>
      </c>
      <c r="BH499" s="43">
        <v>0</v>
      </c>
      <c r="BI499" s="40" t="s">
        <v>1975</v>
      </c>
      <c r="BJ499" s="40">
        <v>2022</v>
      </c>
      <c r="BK499" s="40" t="s">
        <v>2768</v>
      </c>
      <c r="BL499" s="40" t="s">
        <v>2768</v>
      </c>
      <c r="BM499" s="40" t="s">
        <v>2768</v>
      </c>
    </row>
    <row r="500" spans="1:65" x14ac:dyDescent="0.25">
      <c r="A500" s="40" t="s">
        <v>2771</v>
      </c>
      <c r="B500" s="41">
        <v>44826.25</v>
      </c>
      <c r="C500" s="40" t="s">
        <v>353</v>
      </c>
      <c r="D500" s="40" t="s">
        <v>354</v>
      </c>
      <c r="E500" s="40">
        <v>8088995</v>
      </c>
      <c r="F500" s="40">
        <v>65167076</v>
      </c>
      <c r="G500" s="40" t="s">
        <v>2086</v>
      </c>
      <c r="H500" s="40" t="s">
        <v>301</v>
      </c>
      <c r="I500" s="40">
        <v>3840</v>
      </c>
      <c r="J500" s="40" t="s">
        <v>2087</v>
      </c>
      <c r="K500" s="40">
        <v>23943</v>
      </c>
      <c r="L500" s="40">
        <v>27783</v>
      </c>
      <c r="M500" s="40">
        <v>636373</v>
      </c>
      <c r="N500" s="40" t="s">
        <v>2070</v>
      </c>
      <c r="O500" s="40" t="s">
        <v>2080</v>
      </c>
      <c r="P500" s="40" t="s">
        <v>2088</v>
      </c>
      <c r="Q500" s="40" t="s">
        <v>2082</v>
      </c>
      <c r="R500" s="42" t="s">
        <v>2083</v>
      </c>
      <c r="S500" s="42" t="s">
        <v>2084</v>
      </c>
      <c r="T500" s="40" t="s">
        <v>537</v>
      </c>
      <c r="U500" s="41"/>
      <c r="V500" s="41">
        <v>44827.875</v>
      </c>
      <c r="W500" s="41">
        <v>44827.275694444441</v>
      </c>
      <c r="X500" s="40" t="s">
        <v>410</v>
      </c>
      <c r="Y500" s="41">
        <v>44827.863888888889</v>
      </c>
      <c r="Z500" s="41"/>
      <c r="AA500" s="41">
        <v>44827.5</v>
      </c>
      <c r="AB500" s="41">
        <v>44828.5</v>
      </c>
      <c r="AC500" s="40" t="s">
        <v>835</v>
      </c>
      <c r="AD500" s="40">
        <v>13874</v>
      </c>
      <c r="AE500" s="40" t="s">
        <v>125</v>
      </c>
      <c r="AF500" s="40" t="s">
        <v>125</v>
      </c>
      <c r="AG500" s="40" t="s">
        <v>2089</v>
      </c>
      <c r="AH500" s="40"/>
      <c r="AI500" s="41"/>
      <c r="AJ500" s="40"/>
      <c r="AK500" s="43"/>
      <c r="AL500" s="40" t="s">
        <v>2090</v>
      </c>
      <c r="AM500" s="43">
        <v>0</v>
      </c>
      <c r="AN500" s="43"/>
      <c r="AO500" s="43"/>
      <c r="AP500" s="43"/>
      <c r="AQ500" s="43">
        <v>0</v>
      </c>
      <c r="AR500" s="43">
        <v>0</v>
      </c>
      <c r="AS500" s="43"/>
      <c r="AT500" s="43">
        <v>0</v>
      </c>
      <c r="AU500" s="43"/>
      <c r="AV500" s="43"/>
      <c r="AW500" s="43"/>
      <c r="AX500" s="43">
        <v>0</v>
      </c>
      <c r="AY500" s="43">
        <v>0</v>
      </c>
      <c r="AZ500" s="43">
        <v>0</v>
      </c>
      <c r="BA500" s="43">
        <v>0</v>
      </c>
      <c r="BB500" s="43">
        <v>0</v>
      </c>
      <c r="BC500" s="43">
        <v>0</v>
      </c>
      <c r="BD500" s="43">
        <v>0</v>
      </c>
      <c r="BE500" s="43">
        <v>0</v>
      </c>
      <c r="BF500" s="43">
        <v>0</v>
      </c>
      <c r="BG500" s="43">
        <v>0</v>
      </c>
      <c r="BH500" s="43">
        <v>0</v>
      </c>
      <c r="BI500" s="40" t="s">
        <v>1975</v>
      </c>
      <c r="BJ500" s="40">
        <v>2022</v>
      </c>
      <c r="BK500" s="40" t="s">
        <v>2768</v>
      </c>
      <c r="BL500" s="40" t="s">
        <v>2768</v>
      </c>
      <c r="BM500" s="40" t="s">
        <v>2768</v>
      </c>
    </row>
    <row r="501" spans="1:65" x14ac:dyDescent="0.25">
      <c r="A501" s="40" t="s">
        <v>2771</v>
      </c>
      <c r="B501" s="41">
        <v>44826.25</v>
      </c>
      <c r="C501" s="40" t="s">
        <v>353</v>
      </c>
      <c r="D501" s="40" t="s">
        <v>354</v>
      </c>
      <c r="E501" s="40">
        <v>8088995</v>
      </c>
      <c r="F501" s="40">
        <v>65167076</v>
      </c>
      <c r="G501" s="40" t="s">
        <v>2091</v>
      </c>
      <c r="H501" s="40" t="s">
        <v>301</v>
      </c>
      <c r="I501" s="40">
        <v>3890</v>
      </c>
      <c r="J501" s="40" t="s">
        <v>2092</v>
      </c>
      <c r="K501" s="40">
        <v>23943</v>
      </c>
      <c r="L501" s="40">
        <v>27833</v>
      </c>
      <c r="M501" s="40">
        <v>636384</v>
      </c>
      <c r="N501" s="40" t="s">
        <v>2070</v>
      </c>
      <c r="O501" s="40" t="s">
        <v>2093</v>
      </c>
      <c r="P501" s="40" t="s">
        <v>2094</v>
      </c>
      <c r="Q501" s="40" t="s">
        <v>2095</v>
      </c>
      <c r="R501" s="42" t="s">
        <v>2096</v>
      </c>
      <c r="S501" s="42" t="s">
        <v>2097</v>
      </c>
      <c r="T501" s="40" t="s">
        <v>537</v>
      </c>
      <c r="U501" s="41"/>
      <c r="V501" s="41">
        <v>44825.89166666667</v>
      </c>
      <c r="W501" s="41">
        <v>44827.293749999997</v>
      </c>
      <c r="X501" s="40" t="s">
        <v>410</v>
      </c>
      <c r="Y501" s="41">
        <v>44827.90625</v>
      </c>
      <c r="Z501" s="41"/>
      <c r="AA501" s="41">
        <v>44827.5</v>
      </c>
      <c r="AB501" s="41">
        <v>44828.5</v>
      </c>
      <c r="AC501" s="40" t="s">
        <v>835</v>
      </c>
      <c r="AD501" s="40">
        <v>13876</v>
      </c>
      <c r="AE501" s="40" t="s">
        <v>125</v>
      </c>
      <c r="AF501" s="40" t="s">
        <v>125</v>
      </c>
      <c r="AG501" s="40" t="s">
        <v>2098</v>
      </c>
      <c r="AH501" s="40"/>
      <c r="AI501" s="41"/>
      <c r="AJ501" s="40"/>
      <c r="AK501" s="43"/>
      <c r="AL501" s="40" t="s">
        <v>2090</v>
      </c>
      <c r="AM501" s="43">
        <v>0</v>
      </c>
      <c r="AN501" s="43"/>
      <c r="AO501" s="43"/>
      <c r="AP501" s="43"/>
      <c r="AQ501" s="43">
        <v>0</v>
      </c>
      <c r="AR501" s="43">
        <v>0</v>
      </c>
      <c r="AS501" s="43"/>
      <c r="AT501" s="43">
        <v>0</v>
      </c>
      <c r="AU501" s="43"/>
      <c r="AV501" s="43"/>
      <c r="AW501" s="43"/>
      <c r="AX501" s="43">
        <v>0</v>
      </c>
      <c r="AY501" s="43">
        <v>0</v>
      </c>
      <c r="AZ501" s="43">
        <v>0</v>
      </c>
      <c r="BA501" s="43">
        <v>0</v>
      </c>
      <c r="BB501" s="43">
        <v>0</v>
      </c>
      <c r="BC501" s="43">
        <v>0</v>
      </c>
      <c r="BD501" s="43">
        <v>0</v>
      </c>
      <c r="BE501" s="43">
        <v>0</v>
      </c>
      <c r="BF501" s="43">
        <v>0</v>
      </c>
      <c r="BG501" s="43">
        <v>0</v>
      </c>
      <c r="BH501" s="43">
        <v>0</v>
      </c>
      <c r="BI501" s="40" t="s">
        <v>1975</v>
      </c>
      <c r="BJ501" s="40">
        <v>2022</v>
      </c>
      <c r="BK501" s="40" t="s">
        <v>2768</v>
      </c>
      <c r="BL501" s="40" t="s">
        <v>2768</v>
      </c>
      <c r="BM501" s="40" t="s">
        <v>2768</v>
      </c>
    </row>
    <row r="502" spans="1:65" x14ac:dyDescent="0.25">
      <c r="A502" s="40" t="s">
        <v>2771</v>
      </c>
      <c r="B502" s="41">
        <v>44826.25</v>
      </c>
      <c r="C502" s="40" t="s">
        <v>353</v>
      </c>
      <c r="D502" s="40" t="s">
        <v>354</v>
      </c>
      <c r="E502" s="40">
        <v>8088995</v>
      </c>
      <c r="F502" s="40">
        <v>65167076</v>
      </c>
      <c r="G502" s="40" t="s">
        <v>2099</v>
      </c>
      <c r="H502" s="40" t="s">
        <v>301</v>
      </c>
      <c r="I502" s="40">
        <v>3840</v>
      </c>
      <c r="J502" s="40" t="s">
        <v>2100</v>
      </c>
      <c r="K502" s="40">
        <v>23943</v>
      </c>
      <c r="L502" s="40">
        <v>27783</v>
      </c>
      <c r="M502" s="40">
        <v>636537</v>
      </c>
      <c r="N502" s="40" t="s">
        <v>2070</v>
      </c>
      <c r="O502" s="40" t="s">
        <v>2093</v>
      </c>
      <c r="P502" s="40" t="s">
        <v>2101</v>
      </c>
      <c r="Q502" s="40" t="s">
        <v>2095</v>
      </c>
      <c r="R502" s="42" t="s">
        <v>2096</v>
      </c>
      <c r="S502" s="42" t="s">
        <v>2097</v>
      </c>
      <c r="T502" s="40" t="s">
        <v>537</v>
      </c>
      <c r="U502" s="41"/>
      <c r="V502" s="41">
        <v>44825.89166666667</v>
      </c>
      <c r="W502" s="41">
        <v>44827.293749999997</v>
      </c>
      <c r="X502" s="40" t="s">
        <v>410</v>
      </c>
      <c r="Y502" s="41">
        <v>44827.98541666667</v>
      </c>
      <c r="Z502" s="41"/>
      <c r="AA502" s="41">
        <v>44827.5</v>
      </c>
      <c r="AB502" s="41">
        <v>44828.5</v>
      </c>
      <c r="AC502" s="40" t="s">
        <v>835</v>
      </c>
      <c r="AD502" s="40">
        <v>13877</v>
      </c>
      <c r="AE502" s="40" t="s">
        <v>125</v>
      </c>
      <c r="AF502" s="40" t="s">
        <v>125</v>
      </c>
      <c r="AG502" s="40" t="s">
        <v>2077</v>
      </c>
      <c r="AH502" s="40"/>
      <c r="AI502" s="41"/>
      <c r="AJ502" s="40"/>
      <c r="AK502" s="43"/>
      <c r="AL502" s="40" t="s">
        <v>2090</v>
      </c>
      <c r="AM502" s="43">
        <v>0</v>
      </c>
      <c r="AN502" s="43"/>
      <c r="AO502" s="43"/>
      <c r="AP502" s="43"/>
      <c r="AQ502" s="43">
        <v>0</v>
      </c>
      <c r="AR502" s="43">
        <v>0</v>
      </c>
      <c r="AS502" s="43"/>
      <c r="AT502" s="43">
        <v>0</v>
      </c>
      <c r="AU502" s="43"/>
      <c r="AV502" s="43"/>
      <c r="AW502" s="43"/>
      <c r="AX502" s="43">
        <v>0</v>
      </c>
      <c r="AY502" s="43">
        <v>0</v>
      </c>
      <c r="AZ502" s="43">
        <v>0</v>
      </c>
      <c r="BA502" s="43">
        <v>0</v>
      </c>
      <c r="BB502" s="43">
        <v>0</v>
      </c>
      <c r="BC502" s="43">
        <v>0</v>
      </c>
      <c r="BD502" s="43">
        <v>0</v>
      </c>
      <c r="BE502" s="43">
        <v>0</v>
      </c>
      <c r="BF502" s="43">
        <v>0</v>
      </c>
      <c r="BG502" s="43">
        <v>0</v>
      </c>
      <c r="BH502" s="43">
        <v>0</v>
      </c>
      <c r="BI502" s="40" t="s">
        <v>1975</v>
      </c>
      <c r="BJ502" s="40">
        <v>2022</v>
      </c>
      <c r="BK502" s="40" t="s">
        <v>2768</v>
      </c>
      <c r="BL502" s="40" t="s">
        <v>2768</v>
      </c>
      <c r="BM502" s="40" t="s">
        <v>2768</v>
      </c>
    </row>
    <row r="503" spans="1:65" x14ac:dyDescent="0.25">
      <c r="A503" s="40" t="s">
        <v>2771</v>
      </c>
      <c r="B503" s="41">
        <v>44826.25</v>
      </c>
      <c r="C503" s="40" t="s">
        <v>353</v>
      </c>
      <c r="D503" s="40" t="s">
        <v>354</v>
      </c>
      <c r="E503" s="40">
        <v>8088995</v>
      </c>
      <c r="F503" s="40">
        <v>65167076</v>
      </c>
      <c r="G503" s="40" t="s">
        <v>2102</v>
      </c>
      <c r="H503" s="40" t="s">
        <v>301</v>
      </c>
      <c r="I503" s="40">
        <v>3900</v>
      </c>
      <c r="J503" s="40" t="s">
        <v>2103</v>
      </c>
      <c r="K503" s="40">
        <v>23943</v>
      </c>
      <c r="L503" s="40">
        <v>27843</v>
      </c>
      <c r="M503" s="40">
        <v>636260</v>
      </c>
      <c r="N503" s="40" t="s">
        <v>2070</v>
      </c>
      <c r="O503" s="40" t="s">
        <v>210</v>
      </c>
      <c r="P503" s="40" t="s">
        <v>1968</v>
      </c>
      <c r="Q503" s="40" t="s">
        <v>212</v>
      </c>
      <c r="R503" s="42" t="s">
        <v>213</v>
      </c>
      <c r="S503" s="42" t="s">
        <v>214</v>
      </c>
      <c r="T503" s="40" t="s">
        <v>537</v>
      </c>
      <c r="U503" s="41">
        <v>44825.364583333336</v>
      </c>
      <c r="V503" s="41">
        <v>44825.541666666664</v>
      </c>
      <c r="W503" s="41">
        <v>44826.375</v>
      </c>
      <c r="X503" s="40" t="s">
        <v>410</v>
      </c>
      <c r="Y503" s="41">
        <v>44826.569444444445</v>
      </c>
      <c r="Z503" s="41"/>
      <c r="AA503" s="41">
        <v>44827.5</v>
      </c>
      <c r="AB503" s="41">
        <v>44828.5</v>
      </c>
      <c r="AC503" s="40" t="s">
        <v>835</v>
      </c>
      <c r="AD503" s="40">
        <v>13868</v>
      </c>
      <c r="AE503" s="40" t="s">
        <v>125</v>
      </c>
      <c r="AF503" s="40" t="s">
        <v>125</v>
      </c>
      <c r="AG503" s="40" t="s">
        <v>2104</v>
      </c>
      <c r="AH503" s="40"/>
      <c r="AI503" s="41"/>
      <c r="AJ503" s="40"/>
      <c r="AK503" s="43"/>
      <c r="AL503" s="40"/>
      <c r="AM503" s="43">
        <v>0</v>
      </c>
      <c r="AN503" s="43"/>
      <c r="AO503" s="43"/>
      <c r="AP503" s="43"/>
      <c r="AQ503" s="43">
        <v>0</v>
      </c>
      <c r="AR503" s="43">
        <v>0</v>
      </c>
      <c r="AS503" s="43"/>
      <c r="AT503" s="43">
        <v>0</v>
      </c>
      <c r="AU503" s="43"/>
      <c r="AV503" s="43"/>
      <c r="AW503" s="43"/>
      <c r="AX503" s="43">
        <v>0</v>
      </c>
      <c r="AY503" s="43">
        <v>0</v>
      </c>
      <c r="AZ503" s="43">
        <v>0</v>
      </c>
      <c r="BA503" s="43">
        <v>0</v>
      </c>
      <c r="BB503" s="43">
        <v>0</v>
      </c>
      <c r="BC503" s="43">
        <v>0</v>
      </c>
      <c r="BD503" s="43">
        <v>0</v>
      </c>
      <c r="BE503" s="43">
        <v>0</v>
      </c>
      <c r="BF503" s="43">
        <v>0</v>
      </c>
      <c r="BG503" s="43">
        <v>0</v>
      </c>
      <c r="BH503" s="43">
        <v>0</v>
      </c>
      <c r="BI503" s="40" t="s">
        <v>1975</v>
      </c>
      <c r="BJ503" s="40">
        <v>2022</v>
      </c>
      <c r="BK503" s="40" t="s">
        <v>2768</v>
      </c>
      <c r="BL503" s="40" t="s">
        <v>2768</v>
      </c>
      <c r="BM503" s="40" t="s">
        <v>2768</v>
      </c>
    </row>
    <row r="504" spans="1:65" x14ac:dyDescent="0.25">
      <c r="A504" s="36" t="s">
        <v>836</v>
      </c>
      <c r="B504" s="37"/>
      <c r="C504" s="36" t="s">
        <v>2105</v>
      </c>
      <c r="D504" s="36" t="s">
        <v>1177</v>
      </c>
      <c r="E504" s="36" t="s">
        <v>2106</v>
      </c>
      <c r="F504" s="36" t="s">
        <v>2107</v>
      </c>
      <c r="G504" s="36"/>
      <c r="H504" s="36" t="s">
        <v>301</v>
      </c>
      <c r="I504" s="36"/>
      <c r="J504" s="36"/>
      <c r="K504" s="36"/>
      <c r="L504" s="36">
        <v>0</v>
      </c>
      <c r="M504" s="36"/>
      <c r="N504" s="36" t="s">
        <v>2108</v>
      </c>
      <c r="O504" s="36" t="s">
        <v>106</v>
      </c>
      <c r="P504" s="36" t="s">
        <v>107</v>
      </c>
      <c r="Q504" s="36" t="s">
        <v>108</v>
      </c>
      <c r="R504" s="38" t="s">
        <v>109</v>
      </c>
      <c r="S504" s="38" t="s">
        <v>110</v>
      </c>
      <c r="T504" s="36" t="s">
        <v>741</v>
      </c>
      <c r="U504" s="37"/>
      <c r="V504" s="37"/>
      <c r="W504" s="37"/>
      <c r="X504" s="36" t="s">
        <v>293</v>
      </c>
      <c r="Y504" s="37"/>
      <c r="Z504" s="37"/>
      <c r="AA504" s="37">
        <v>44827.5</v>
      </c>
      <c r="AB504" s="37">
        <v>44806.75</v>
      </c>
      <c r="AC504" s="36" t="s">
        <v>777</v>
      </c>
      <c r="AD504" s="36"/>
      <c r="AE504" s="36" t="s">
        <v>125</v>
      </c>
      <c r="AF504" s="36" t="s">
        <v>125</v>
      </c>
      <c r="AG504" s="36"/>
      <c r="AH504" s="36"/>
      <c r="AI504" s="37"/>
      <c r="AJ504" s="36"/>
      <c r="AK504" s="39"/>
      <c r="AL504" s="36"/>
      <c r="AM504" s="39">
        <v>0</v>
      </c>
      <c r="AN504" s="39"/>
      <c r="AO504" s="39"/>
      <c r="AP504" s="39"/>
      <c r="AQ504" s="39">
        <v>0</v>
      </c>
      <c r="AR504" s="39">
        <v>0</v>
      </c>
      <c r="AS504" s="39"/>
      <c r="AT504" s="39">
        <v>0</v>
      </c>
      <c r="AU504" s="39"/>
      <c r="AV504" s="39"/>
      <c r="AW504" s="39"/>
      <c r="AX504" s="39">
        <v>0</v>
      </c>
      <c r="AY504" s="39">
        <v>0</v>
      </c>
      <c r="AZ504" s="39">
        <v>0</v>
      </c>
      <c r="BA504" s="39">
        <v>0</v>
      </c>
      <c r="BB504" s="39">
        <v>0</v>
      </c>
      <c r="BC504" s="39">
        <v>0</v>
      </c>
      <c r="BD504" s="39">
        <v>0</v>
      </c>
      <c r="BE504" s="39">
        <v>0</v>
      </c>
      <c r="BF504" s="39">
        <v>0</v>
      </c>
      <c r="BG504" s="39">
        <v>0</v>
      </c>
      <c r="BH504" s="39">
        <v>0</v>
      </c>
      <c r="BI504" s="36" t="s">
        <v>453</v>
      </c>
      <c r="BJ504" s="36">
        <v>1900</v>
      </c>
      <c r="BK504" s="36"/>
      <c r="BL504" s="36"/>
      <c r="BM504" s="36"/>
    </row>
    <row r="505" spans="1:65" x14ac:dyDescent="0.25">
      <c r="A505" s="40" t="s">
        <v>2771</v>
      </c>
      <c r="B505" s="41">
        <v>44831.333333333336</v>
      </c>
      <c r="C505" s="40" t="s">
        <v>449</v>
      </c>
      <c r="D505" s="40" t="s">
        <v>450</v>
      </c>
      <c r="E505" s="40" t="s">
        <v>2109</v>
      </c>
      <c r="F505" s="40" t="s">
        <v>2110</v>
      </c>
      <c r="G505" s="40" t="s">
        <v>2111</v>
      </c>
      <c r="H505" s="40" t="s">
        <v>288</v>
      </c>
      <c r="I505" s="40">
        <v>2170</v>
      </c>
      <c r="J505" s="40" t="s">
        <v>2112</v>
      </c>
      <c r="K505" s="40">
        <v>26440</v>
      </c>
      <c r="L505" s="40">
        <v>28610</v>
      </c>
      <c r="M505" s="40" t="s">
        <v>2113</v>
      </c>
      <c r="N505" s="40" t="s">
        <v>2114</v>
      </c>
      <c r="O505" s="40" t="s">
        <v>2115</v>
      </c>
      <c r="P505" s="40" t="s">
        <v>2116</v>
      </c>
      <c r="Q505" s="40" t="s">
        <v>2117</v>
      </c>
      <c r="R505" s="42" t="s">
        <v>2118</v>
      </c>
      <c r="S505" s="42" t="s">
        <v>2119</v>
      </c>
      <c r="T505" s="40" t="s">
        <v>526</v>
      </c>
      <c r="U505" s="41">
        <v>44830.895833333336</v>
      </c>
      <c r="V505" s="41">
        <v>44831.208333333336</v>
      </c>
      <c r="W505" s="41">
        <v>44831.75</v>
      </c>
      <c r="X505" s="40" t="s">
        <v>306</v>
      </c>
      <c r="Y505" s="41">
        <v>44832.104861111111</v>
      </c>
      <c r="Z505" s="41">
        <v>44831.791666666664</v>
      </c>
      <c r="AA505" s="41">
        <v>44831.583333333336</v>
      </c>
      <c r="AB505" s="41">
        <v>44833.75</v>
      </c>
      <c r="AC505" s="40" t="s">
        <v>452</v>
      </c>
      <c r="AD505" s="40">
        <v>785</v>
      </c>
      <c r="AE505" s="40" t="s">
        <v>125</v>
      </c>
      <c r="AF505" s="40" t="s">
        <v>125</v>
      </c>
      <c r="AG505" s="40"/>
      <c r="AH505" s="40"/>
      <c r="AI505" s="41"/>
      <c r="AJ505" s="40"/>
      <c r="AK505" s="43"/>
      <c r="AL505" s="40"/>
      <c r="AM505" s="43">
        <v>0</v>
      </c>
      <c r="AN505" s="43">
        <v>2900</v>
      </c>
      <c r="AO505" s="43">
        <v>1100</v>
      </c>
      <c r="AP505" s="43"/>
      <c r="AQ505" s="43">
        <v>4000</v>
      </c>
      <c r="AR505" s="43">
        <v>0</v>
      </c>
      <c r="AS505" s="43"/>
      <c r="AT505" s="43">
        <v>0</v>
      </c>
      <c r="AU505" s="43"/>
      <c r="AV505" s="43"/>
      <c r="AW505" s="43"/>
      <c r="AX505" s="43">
        <v>0</v>
      </c>
      <c r="AY505" s="43">
        <v>0</v>
      </c>
      <c r="AZ505" s="43">
        <v>0</v>
      </c>
      <c r="BA505" s="43">
        <v>0</v>
      </c>
      <c r="BB505" s="43">
        <v>0</v>
      </c>
      <c r="BC505" s="43">
        <v>0</v>
      </c>
      <c r="BD505" s="43">
        <v>0</v>
      </c>
      <c r="BE505" s="43">
        <v>0</v>
      </c>
      <c r="BF505" s="43">
        <v>0</v>
      </c>
      <c r="BG505" s="43">
        <v>0</v>
      </c>
      <c r="BH505" s="43">
        <v>0</v>
      </c>
      <c r="BI505" s="40" t="s">
        <v>1975</v>
      </c>
      <c r="BJ505" s="40">
        <v>2022</v>
      </c>
      <c r="BK505" s="40" t="s">
        <v>2768</v>
      </c>
      <c r="BL505" s="40" t="s">
        <v>2768</v>
      </c>
      <c r="BM505" s="40" t="s">
        <v>2768</v>
      </c>
    </row>
    <row r="506" spans="1:65" x14ac:dyDescent="0.25">
      <c r="A506" s="40" t="s">
        <v>2771</v>
      </c>
      <c r="B506" s="41">
        <v>44831.333333333336</v>
      </c>
      <c r="C506" s="40" t="s">
        <v>449</v>
      </c>
      <c r="D506" s="40" t="s">
        <v>450</v>
      </c>
      <c r="E506" s="40" t="s">
        <v>2120</v>
      </c>
      <c r="F506" s="40" t="s">
        <v>2121</v>
      </c>
      <c r="G506" s="40" t="s">
        <v>2122</v>
      </c>
      <c r="H506" s="40" t="s">
        <v>288</v>
      </c>
      <c r="I506" s="40">
        <v>2280</v>
      </c>
      <c r="J506" s="40" t="s">
        <v>2123</v>
      </c>
      <c r="K506" s="40">
        <v>26995</v>
      </c>
      <c r="L506" s="40">
        <v>29275</v>
      </c>
      <c r="M506" s="40">
        <v>35525</v>
      </c>
      <c r="N506" s="40" t="s">
        <v>2114</v>
      </c>
      <c r="O506" s="40" t="s">
        <v>2124</v>
      </c>
      <c r="P506" s="40" t="s">
        <v>2125</v>
      </c>
      <c r="Q506" s="40" t="s">
        <v>39</v>
      </c>
      <c r="R506" s="42" t="s">
        <v>40</v>
      </c>
      <c r="S506" s="42" t="s">
        <v>41</v>
      </c>
      <c r="T506" s="40" t="s">
        <v>526</v>
      </c>
      <c r="U506" s="41">
        <v>44830.902777777781</v>
      </c>
      <c r="V506" s="41">
        <v>44831.208333333336</v>
      </c>
      <c r="W506" s="41" t="s">
        <v>2126</v>
      </c>
      <c r="X506" s="40" t="s">
        <v>306</v>
      </c>
      <c r="Y506" s="41">
        <v>44832.104861111111</v>
      </c>
      <c r="Z506" s="41">
        <v>44831.791666666664</v>
      </c>
      <c r="AA506" s="41">
        <v>44831.583333333336</v>
      </c>
      <c r="AB506" s="41">
        <v>44833.75</v>
      </c>
      <c r="AC506" s="40" t="s">
        <v>452</v>
      </c>
      <c r="AD506" s="40" t="s">
        <v>2127</v>
      </c>
      <c r="AE506" s="40" t="s">
        <v>125</v>
      </c>
      <c r="AF506" s="40" t="s">
        <v>125</v>
      </c>
      <c r="AG506" s="40"/>
      <c r="AH506" s="40"/>
      <c r="AI506" s="41"/>
      <c r="AJ506" s="40"/>
      <c r="AK506" s="43"/>
      <c r="AL506" s="40"/>
      <c r="AM506" s="43">
        <v>0</v>
      </c>
      <c r="AN506" s="43">
        <v>2900</v>
      </c>
      <c r="AO506" s="43">
        <v>1100</v>
      </c>
      <c r="AP506" s="43"/>
      <c r="AQ506" s="43">
        <v>4000</v>
      </c>
      <c r="AR506" s="43">
        <v>0</v>
      </c>
      <c r="AS506" s="43"/>
      <c r="AT506" s="43">
        <v>0</v>
      </c>
      <c r="AU506" s="43"/>
      <c r="AV506" s="43"/>
      <c r="AW506" s="43"/>
      <c r="AX506" s="43">
        <v>0</v>
      </c>
      <c r="AY506" s="43">
        <v>0</v>
      </c>
      <c r="AZ506" s="43">
        <v>0</v>
      </c>
      <c r="BA506" s="43">
        <v>0</v>
      </c>
      <c r="BB506" s="43">
        <v>0</v>
      </c>
      <c r="BC506" s="43">
        <v>0</v>
      </c>
      <c r="BD506" s="43">
        <v>0</v>
      </c>
      <c r="BE506" s="43">
        <v>0</v>
      </c>
      <c r="BF506" s="43">
        <v>0</v>
      </c>
      <c r="BG506" s="43">
        <v>0</v>
      </c>
      <c r="BH506" s="43">
        <v>0</v>
      </c>
      <c r="BI506" s="40" t="s">
        <v>1975</v>
      </c>
      <c r="BJ506" s="40">
        <v>2022</v>
      </c>
      <c r="BK506" s="40" t="s">
        <v>2768</v>
      </c>
      <c r="BL506" s="40" t="s">
        <v>2768</v>
      </c>
      <c r="BM506" s="40" t="s">
        <v>2768</v>
      </c>
    </row>
    <row r="507" spans="1:65" x14ac:dyDescent="0.25">
      <c r="A507" s="40" t="s">
        <v>2771</v>
      </c>
      <c r="B507" s="41">
        <v>44832.25</v>
      </c>
      <c r="C507" s="40" t="s">
        <v>353</v>
      </c>
      <c r="D507" s="40" t="s">
        <v>354</v>
      </c>
      <c r="E507" s="40">
        <v>8072233</v>
      </c>
      <c r="F507" s="40">
        <v>66840332</v>
      </c>
      <c r="G507" s="40" t="s">
        <v>2128</v>
      </c>
      <c r="H507" s="40" t="s">
        <v>301</v>
      </c>
      <c r="I507" s="40">
        <v>3840</v>
      </c>
      <c r="J507" s="40" t="s">
        <v>2129</v>
      </c>
      <c r="K507" s="40">
        <v>26070</v>
      </c>
      <c r="L507" s="40">
        <v>29910</v>
      </c>
      <c r="M507" s="40">
        <v>638183</v>
      </c>
      <c r="N507" s="40" t="s">
        <v>2114</v>
      </c>
      <c r="O507" s="40" t="s">
        <v>111</v>
      </c>
      <c r="P507" s="40" t="s">
        <v>112</v>
      </c>
      <c r="Q507" s="40" t="s">
        <v>113</v>
      </c>
      <c r="R507" s="42" t="s">
        <v>1487</v>
      </c>
      <c r="S507" s="42" t="s">
        <v>333</v>
      </c>
      <c r="T507" s="40" t="s">
        <v>537</v>
      </c>
      <c r="U507" s="41">
        <v>44831.875</v>
      </c>
      <c r="V507" s="41">
        <v>44832.395833333336</v>
      </c>
      <c r="W507" s="41">
        <v>44801.875</v>
      </c>
      <c r="X507" s="40" t="s">
        <v>306</v>
      </c>
      <c r="Y507" s="41">
        <v>44833.246527777781</v>
      </c>
      <c r="Z507" s="41">
        <v>44831.791666666664</v>
      </c>
      <c r="AA507" s="41">
        <v>44832.5</v>
      </c>
      <c r="AB507" s="41">
        <v>44833.75</v>
      </c>
      <c r="AC507" s="40" t="s">
        <v>452</v>
      </c>
      <c r="AD507" s="40">
        <v>13921</v>
      </c>
      <c r="AE507" s="40" t="s">
        <v>125</v>
      </c>
      <c r="AF507" s="40" t="s">
        <v>125</v>
      </c>
      <c r="AG507" s="40"/>
      <c r="AH507" s="40"/>
      <c r="AI507" s="41"/>
      <c r="AJ507" s="40"/>
      <c r="AK507" s="43"/>
      <c r="AL507" s="40"/>
      <c r="AM507" s="43">
        <v>0</v>
      </c>
      <c r="AN507" s="43"/>
      <c r="AO507" s="43"/>
      <c r="AP507" s="43"/>
      <c r="AQ507" s="43">
        <v>0</v>
      </c>
      <c r="AR507" s="43">
        <v>0</v>
      </c>
      <c r="AS507" s="43"/>
      <c r="AT507" s="43">
        <v>0</v>
      </c>
      <c r="AU507" s="43"/>
      <c r="AV507" s="43"/>
      <c r="AW507" s="43"/>
      <c r="AX507" s="43">
        <v>0</v>
      </c>
      <c r="AY507" s="43">
        <v>0</v>
      </c>
      <c r="AZ507" s="43">
        <v>0</v>
      </c>
      <c r="BA507" s="43">
        <v>0</v>
      </c>
      <c r="BB507" s="43">
        <v>0</v>
      </c>
      <c r="BC507" s="43">
        <v>0</v>
      </c>
      <c r="BD507" s="43">
        <v>0</v>
      </c>
      <c r="BE507" s="43">
        <v>0</v>
      </c>
      <c r="BF507" s="43">
        <v>0</v>
      </c>
      <c r="BG507" s="43">
        <v>0</v>
      </c>
      <c r="BH507" s="43">
        <v>0</v>
      </c>
      <c r="BI507" s="40" t="s">
        <v>1975</v>
      </c>
      <c r="BJ507" s="40">
        <v>2022</v>
      </c>
      <c r="BK507" s="40" t="s">
        <v>2768</v>
      </c>
      <c r="BL507" s="40" t="s">
        <v>2768</v>
      </c>
      <c r="BM507" s="40" t="s">
        <v>2768</v>
      </c>
    </row>
    <row r="508" spans="1:65" x14ac:dyDescent="0.25">
      <c r="A508" s="40" t="s">
        <v>2771</v>
      </c>
      <c r="B508" s="41">
        <v>44832.25</v>
      </c>
      <c r="C508" s="40" t="s">
        <v>353</v>
      </c>
      <c r="D508" s="40" t="s">
        <v>354</v>
      </c>
      <c r="E508" s="40">
        <v>8072233</v>
      </c>
      <c r="F508" s="40">
        <v>66840332</v>
      </c>
      <c r="G508" s="40" t="s">
        <v>2130</v>
      </c>
      <c r="H508" s="40" t="s">
        <v>301</v>
      </c>
      <c r="I508" s="40">
        <v>3840</v>
      </c>
      <c r="J508" s="40" t="s">
        <v>2131</v>
      </c>
      <c r="K508" s="40">
        <v>26070</v>
      </c>
      <c r="L508" s="40">
        <v>29910</v>
      </c>
      <c r="M508" s="40">
        <v>637988</v>
      </c>
      <c r="N508" s="40" t="s">
        <v>2114</v>
      </c>
      <c r="O508" s="40" t="s">
        <v>890</v>
      </c>
      <c r="P508" s="40" t="s">
        <v>891</v>
      </c>
      <c r="Q508" s="40" t="s">
        <v>892</v>
      </c>
      <c r="R508" s="42" t="s">
        <v>893</v>
      </c>
      <c r="S508" s="42" t="s">
        <v>894</v>
      </c>
      <c r="T508" s="40" t="s">
        <v>537</v>
      </c>
      <c r="U508" s="41">
        <v>44831.875</v>
      </c>
      <c r="V508" s="41">
        <v>44832.125</v>
      </c>
      <c r="W508" s="41">
        <v>44832.375</v>
      </c>
      <c r="X508" s="40" t="s">
        <v>306</v>
      </c>
      <c r="Y508" s="41">
        <v>44832.612500000003</v>
      </c>
      <c r="Z508" s="41">
        <v>44831.791666666664</v>
      </c>
      <c r="AA508" s="41">
        <v>44832.5</v>
      </c>
      <c r="AB508" s="41">
        <v>44823.75</v>
      </c>
      <c r="AC508" s="40" t="s">
        <v>452</v>
      </c>
      <c r="AD508" s="40">
        <v>13912</v>
      </c>
      <c r="AE508" s="40" t="s">
        <v>125</v>
      </c>
      <c r="AF508" s="40" t="s">
        <v>125</v>
      </c>
      <c r="AG508" s="40"/>
      <c r="AH508" s="40"/>
      <c r="AI508" s="41"/>
      <c r="AJ508" s="40"/>
      <c r="AK508" s="43"/>
      <c r="AL508" s="40"/>
      <c r="AM508" s="43">
        <v>0</v>
      </c>
      <c r="AN508" s="43"/>
      <c r="AO508" s="43"/>
      <c r="AP508" s="43"/>
      <c r="AQ508" s="43">
        <v>0</v>
      </c>
      <c r="AR508" s="43">
        <v>0</v>
      </c>
      <c r="AS508" s="43"/>
      <c r="AT508" s="43">
        <v>0</v>
      </c>
      <c r="AU508" s="43"/>
      <c r="AV508" s="43"/>
      <c r="AW508" s="43"/>
      <c r="AX508" s="43">
        <v>0</v>
      </c>
      <c r="AY508" s="43">
        <v>0</v>
      </c>
      <c r="AZ508" s="43">
        <v>0</v>
      </c>
      <c r="BA508" s="43">
        <v>0</v>
      </c>
      <c r="BB508" s="43">
        <v>0</v>
      </c>
      <c r="BC508" s="43">
        <v>0</v>
      </c>
      <c r="BD508" s="43">
        <v>0</v>
      </c>
      <c r="BE508" s="43">
        <v>0</v>
      </c>
      <c r="BF508" s="43">
        <v>0</v>
      </c>
      <c r="BG508" s="43">
        <v>0</v>
      </c>
      <c r="BH508" s="43">
        <v>0</v>
      </c>
      <c r="BI508" s="40" t="s">
        <v>1975</v>
      </c>
      <c r="BJ508" s="40">
        <v>2022</v>
      </c>
      <c r="BK508" s="40" t="s">
        <v>2768</v>
      </c>
      <c r="BL508" s="40" t="s">
        <v>2768</v>
      </c>
      <c r="BM508" s="40" t="s">
        <v>2768</v>
      </c>
    </row>
    <row r="509" spans="1:65" x14ac:dyDescent="0.25">
      <c r="A509" s="40" t="s">
        <v>2771</v>
      </c>
      <c r="B509" s="41">
        <v>44832.25</v>
      </c>
      <c r="C509" s="40" t="s">
        <v>353</v>
      </c>
      <c r="D509" s="40" t="s">
        <v>354</v>
      </c>
      <c r="E509" s="40">
        <v>8072233</v>
      </c>
      <c r="F509" s="40">
        <v>66840332</v>
      </c>
      <c r="G509" s="40" t="s">
        <v>2132</v>
      </c>
      <c r="H509" s="40" t="s">
        <v>301</v>
      </c>
      <c r="I509" s="40">
        <v>3880</v>
      </c>
      <c r="J509" s="40" t="s">
        <v>2133</v>
      </c>
      <c r="K509" s="40">
        <v>26070</v>
      </c>
      <c r="L509" s="40">
        <v>29950</v>
      </c>
      <c r="M509" s="40">
        <v>638055</v>
      </c>
      <c r="N509" s="40" t="s">
        <v>2114</v>
      </c>
      <c r="O509" s="40" t="s">
        <v>106</v>
      </c>
      <c r="P509" s="40" t="s">
        <v>107</v>
      </c>
      <c r="Q509" s="40" t="s">
        <v>108</v>
      </c>
      <c r="R509" s="42" t="s">
        <v>109</v>
      </c>
      <c r="S509" s="42" t="s">
        <v>110</v>
      </c>
      <c r="T509" s="40" t="s">
        <v>537</v>
      </c>
      <c r="U509" s="41">
        <v>44831.875</v>
      </c>
      <c r="V509" s="41">
        <v>44832.1875</v>
      </c>
      <c r="W509" s="41">
        <v>44832.618055555555</v>
      </c>
      <c r="X509" s="40" t="s">
        <v>306</v>
      </c>
      <c r="Y509" s="41">
        <v>44833.359722222223</v>
      </c>
      <c r="Z509" s="41">
        <v>44831.791666666664</v>
      </c>
      <c r="AA509" s="41">
        <v>44832.5</v>
      </c>
      <c r="AB509" s="41">
        <v>44823.75</v>
      </c>
      <c r="AC509" s="40" t="s">
        <v>452</v>
      </c>
      <c r="AD509" s="40">
        <v>13918</v>
      </c>
      <c r="AE509" s="40" t="s">
        <v>125</v>
      </c>
      <c r="AF509" s="40" t="s">
        <v>125</v>
      </c>
      <c r="AG509" s="40"/>
      <c r="AH509" s="40"/>
      <c r="AI509" s="41"/>
      <c r="AJ509" s="40"/>
      <c r="AK509" s="43"/>
      <c r="AL509" s="40"/>
      <c r="AM509" s="43">
        <v>0</v>
      </c>
      <c r="AN509" s="43"/>
      <c r="AO509" s="43"/>
      <c r="AP509" s="43"/>
      <c r="AQ509" s="43">
        <v>0</v>
      </c>
      <c r="AR509" s="43">
        <v>0</v>
      </c>
      <c r="AS509" s="43"/>
      <c r="AT509" s="43">
        <v>0</v>
      </c>
      <c r="AU509" s="43"/>
      <c r="AV509" s="43"/>
      <c r="AW509" s="43"/>
      <c r="AX509" s="43">
        <v>0</v>
      </c>
      <c r="AY509" s="43">
        <v>0</v>
      </c>
      <c r="AZ509" s="43">
        <v>0</v>
      </c>
      <c r="BA509" s="43">
        <v>0</v>
      </c>
      <c r="BB509" s="43">
        <v>0</v>
      </c>
      <c r="BC509" s="43">
        <v>0</v>
      </c>
      <c r="BD509" s="43">
        <v>0</v>
      </c>
      <c r="BE509" s="43">
        <v>0</v>
      </c>
      <c r="BF509" s="43">
        <v>0</v>
      </c>
      <c r="BG509" s="43">
        <v>0</v>
      </c>
      <c r="BH509" s="43">
        <v>0</v>
      </c>
      <c r="BI509" s="40" t="s">
        <v>1975</v>
      </c>
      <c r="BJ509" s="40">
        <v>2022</v>
      </c>
      <c r="BK509" s="40" t="s">
        <v>2768</v>
      </c>
      <c r="BL509" s="40" t="s">
        <v>2768</v>
      </c>
      <c r="BM509" s="40" t="s">
        <v>2768</v>
      </c>
    </row>
    <row r="510" spans="1:65" x14ac:dyDescent="0.25">
      <c r="A510" s="40" t="s">
        <v>2771</v>
      </c>
      <c r="B510" s="41">
        <v>44832.25</v>
      </c>
      <c r="C510" s="40" t="s">
        <v>353</v>
      </c>
      <c r="D510" s="40" t="s">
        <v>354</v>
      </c>
      <c r="E510" s="40">
        <v>8072233</v>
      </c>
      <c r="F510" s="40">
        <v>66840332</v>
      </c>
      <c r="G510" s="40" t="s">
        <v>2134</v>
      </c>
      <c r="H510" s="40" t="s">
        <v>301</v>
      </c>
      <c r="I510" s="40">
        <v>3900</v>
      </c>
      <c r="J510" s="40" t="s">
        <v>2135</v>
      </c>
      <c r="K510" s="40">
        <v>26070</v>
      </c>
      <c r="L510" s="40">
        <v>29970</v>
      </c>
      <c r="M510" s="40">
        <v>638269</v>
      </c>
      <c r="N510" s="40" t="s">
        <v>2114</v>
      </c>
      <c r="O510" s="40" t="s">
        <v>31</v>
      </c>
      <c r="P510" s="40" t="s">
        <v>32</v>
      </c>
      <c r="Q510" s="40" t="s">
        <v>33</v>
      </c>
      <c r="R510" s="42" t="s">
        <v>34</v>
      </c>
      <c r="S510" s="42" t="s">
        <v>35</v>
      </c>
      <c r="T510" s="40" t="s">
        <v>537</v>
      </c>
      <c r="U510" s="41">
        <v>44831.875</v>
      </c>
      <c r="V510" s="41">
        <v>44832.333333333336</v>
      </c>
      <c r="W510" s="41">
        <v>44832.833333333336</v>
      </c>
      <c r="X510" s="40" t="s">
        <v>306</v>
      </c>
      <c r="Y510" s="41">
        <v>44833.363888888889</v>
      </c>
      <c r="Z510" s="41">
        <v>44831.791666666664</v>
      </c>
      <c r="AA510" s="41">
        <v>44832.5</v>
      </c>
      <c r="AB510" s="41">
        <v>44823.75</v>
      </c>
      <c r="AC510" s="40" t="s">
        <v>452</v>
      </c>
      <c r="AD510" s="40">
        <v>13923</v>
      </c>
      <c r="AE510" s="40" t="s">
        <v>125</v>
      </c>
      <c r="AF510" s="40" t="s">
        <v>125</v>
      </c>
      <c r="AG510" s="40"/>
      <c r="AH510" s="40"/>
      <c r="AI510" s="41"/>
      <c r="AJ510" s="40"/>
      <c r="AK510" s="43"/>
      <c r="AL510" s="40"/>
      <c r="AM510" s="43">
        <v>0</v>
      </c>
      <c r="AN510" s="43"/>
      <c r="AO510" s="43"/>
      <c r="AP510" s="43"/>
      <c r="AQ510" s="43">
        <v>0</v>
      </c>
      <c r="AR510" s="43">
        <v>0</v>
      </c>
      <c r="AS510" s="43"/>
      <c r="AT510" s="43">
        <v>0</v>
      </c>
      <c r="AU510" s="43"/>
      <c r="AV510" s="43"/>
      <c r="AW510" s="43"/>
      <c r="AX510" s="43">
        <v>0</v>
      </c>
      <c r="AY510" s="43">
        <v>0</v>
      </c>
      <c r="AZ510" s="43">
        <v>0</v>
      </c>
      <c r="BA510" s="43">
        <v>0</v>
      </c>
      <c r="BB510" s="43">
        <v>0</v>
      </c>
      <c r="BC510" s="43">
        <v>0</v>
      </c>
      <c r="BD510" s="43">
        <v>0</v>
      </c>
      <c r="BE510" s="43">
        <v>0</v>
      </c>
      <c r="BF510" s="43">
        <v>0</v>
      </c>
      <c r="BG510" s="43">
        <v>0</v>
      </c>
      <c r="BH510" s="43">
        <v>0</v>
      </c>
      <c r="BI510" s="40" t="s">
        <v>1975</v>
      </c>
      <c r="BJ510" s="40">
        <v>2022</v>
      </c>
      <c r="BK510" s="40" t="s">
        <v>2768</v>
      </c>
      <c r="BL510" s="40" t="s">
        <v>2768</v>
      </c>
      <c r="BM510" s="40" t="s">
        <v>2768</v>
      </c>
    </row>
    <row r="511" spans="1:65" x14ac:dyDescent="0.25">
      <c r="A511" s="40" t="s">
        <v>2771</v>
      </c>
      <c r="B511" s="41">
        <v>44832.25</v>
      </c>
      <c r="C511" s="40" t="s">
        <v>353</v>
      </c>
      <c r="D511" s="40" t="s">
        <v>354</v>
      </c>
      <c r="E511" s="40">
        <v>8072225</v>
      </c>
      <c r="F511" s="40">
        <v>64849876</v>
      </c>
      <c r="G511" s="40" t="s">
        <v>2136</v>
      </c>
      <c r="H511" s="40" t="s">
        <v>301</v>
      </c>
      <c r="I511" s="40">
        <v>3700</v>
      </c>
      <c r="J511" s="40" t="s">
        <v>2137</v>
      </c>
      <c r="K511" s="40">
        <v>26070</v>
      </c>
      <c r="L511" s="40">
        <v>29770</v>
      </c>
      <c r="M511" s="40">
        <v>638000</v>
      </c>
      <c r="N511" s="40" t="s">
        <v>2114</v>
      </c>
      <c r="O511" s="40" t="s">
        <v>178</v>
      </c>
      <c r="P511" s="40" t="s">
        <v>179</v>
      </c>
      <c r="Q511" s="40" t="s">
        <v>180</v>
      </c>
      <c r="R511" s="42" t="s">
        <v>1657</v>
      </c>
      <c r="S511" s="42" t="s">
        <v>181</v>
      </c>
      <c r="T511" s="40" t="s">
        <v>292</v>
      </c>
      <c r="U511" s="41">
        <v>44831.875</v>
      </c>
      <c r="V511" s="41">
        <v>44832.125</v>
      </c>
      <c r="W511" s="41">
        <v>44832.458333333336</v>
      </c>
      <c r="X511" s="40" t="s">
        <v>306</v>
      </c>
      <c r="Y511" s="41">
        <v>44833.120138888888</v>
      </c>
      <c r="Z511" s="41">
        <v>44831.791666666664</v>
      </c>
      <c r="AA511" s="41">
        <v>44832.5</v>
      </c>
      <c r="AB511" s="41">
        <v>44833.75</v>
      </c>
      <c r="AC511" s="40" t="s">
        <v>452</v>
      </c>
      <c r="AD511" s="40">
        <v>13914</v>
      </c>
      <c r="AE511" s="40" t="s">
        <v>125</v>
      </c>
      <c r="AF511" s="40" t="s">
        <v>125</v>
      </c>
      <c r="AG511" s="40"/>
      <c r="AH511" s="40"/>
      <c r="AI511" s="41"/>
      <c r="AJ511" s="40"/>
      <c r="AK511" s="43"/>
      <c r="AL511" s="40"/>
      <c r="AM511" s="43">
        <v>0</v>
      </c>
      <c r="AN511" s="43"/>
      <c r="AO511" s="43"/>
      <c r="AP511" s="43"/>
      <c r="AQ511" s="43">
        <v>0</v>
      </c>
      <c r="AR511" s="43">
        <v>0</v>
      </c>
      <c r="AS511" s="43"/>
      <c r="AT511" s="43">
        <v>0</v>
      </c>
      <c r="AU511" s="43"/>
      <c r="AV511" s="43"/>
      <c r="AW511" s="43"/>
      <c r="AX511" s="43">
        <v>0</v>
      </c>
      <c r="AY511" s="43">
        <v>0</v>
      </c>
      <c r="AZ511" s="43">
        <v>0</v>
      </c>
      <c r="BA511" s="43">
        <v>0</v>
      </c>
      <c r="BB511" s="43">
        <v>0</v>
      </c>
      <c r="BC511" s="43">
        <v>0</v>
      </c>
      <c r="BD511" s="43">
        <v>0</v>
      </c>
      <c r="BE511" s="43">
        <v>0</v>
      </c>
      <c r="BF511" s="43">
        <v>0</v>
      </c>
      <c r="BG511" s="43">
        <v>0</v>
      </c>
      <c r="BH511" s="43">
        <v>0</v>
      </c>
      <c r="BI511" s="40" t="s">
        <v>1975</v>
      </c>
      <c r="BJ511" s="40">
        <v>2022</v>
      </c>
      <c r="BK511" s="40" t="s">
        <v>2768</v>
      </c>
      <c r="BL511" s="40" t="s">
        <v>2768</v>
      </c>
      <c r="BM511" s="40" t="s">
        <v>2768</v>
      </c>
    </row>
    <row r="512" spans="1:65" x14ac:dyDescent="0.25">
      <c r="A512" s="40" t="s">
        <v>2771</v>
      </c>
      <c r="B512" s="41">
        <v>44832.25</v>
      </c>
      <c r="C512" s="40" t="s">
        <v>353</v>
      </c>
      <c r="D512" s="40" t="s">
        <v>354</v>
      </c>
      <c r="E512" s="40">
        <v>8072225</v>
      </c>
      <c r="F512" s="40">
        <v>64849876</v>
      </c>
      <c r="G512" s="40" t="s">
        <v>2138</v>
      </c>
      <c r="H512" s="40" t="s">
        <v>301</v>
      </c>
      <c r="I512" s="40">
        <v>3830</v>
      </c>
      <c r="J512" s="40" t="s">
        <v>2139</v>
      </c>
      <c r="K512" s="40">
        <v>26070</v>
      </c>
      <c r="L512" s="40">
        <v>29900</v>
      </c>
      <c r="M512" s="40">
        <v>637997</v>
      </c>
      <c r="N512" s="40" t="s">
        <v>2114</v>
      </c>
      <c r="O512" s="40" t="s">
        <v>1765</v>
      </c>
      <c r="P512" s="40" t="s">
        <v>1766</v>
      </c>
      <c r="Q512" s="40" t="s">
        <v>2140</v>
      </c>
      <c r="R512" s="42" t="s">
        <v>1768</v>
      </c>
      <c r="S512" s="42" t="s">
        <v>1769</v>
      </c>
      <c r="T512" s="40" t="s">
        <v>292</v>
      </c>
      <c r="U512" s="41">
        <v>44831.875</v>
      </c>
      <c r="V512" s="41">
        <v>44832.083333333336</v>
      </c>
      <c r="W512" s="41">
        <v>44832.416666666664</v>
      </c>
      <c r="X512" s="40" t="s">
        <v>306</v>
      </c>
      <c r="Y512" s="41" t="s">
        <v>2141</v>
      </c>
      <c r="Z512" s="41">
        <v>44831.791666666664</v>
      </c>
      <c r="AA512" s="41">
        <v>44832.5</v>
      </c>
      <c r="AB512" s="41">
        <v>44833.75</v>
      </c>
      <c r="AC512" s="40" t="s">
        <v>452</v>
      </c>
      <c r="AD512" s="40">
        <v>13913</v>
      </c>
      <c r="AE512" s="40" t="s">
        <v>125</v>
      </c>
      <c r="AF512" s="40" t="s">
        <v>125</v>
      </c>
      <c r="AG512" s="40"/>
      <c r="AH512" s="40"/>
      <c r="AI512" s="41"/>
      <c r="AJ512" s="40"/>
      <c r="AK512" s="43"/>
      <c r="AL512" s="40"/>
      <c r="AM512" s="43">
        <v>0</v>
      </c>
      <c r="AN512" s="43"/>
      <c r="AO512" s="43"/>
      <c r="AP512" s="43"/>
      <c r="AQ512" s="43">
        <v>0</v>
      </c>
      <c r="AR512" s="43">
        <v>0</v>
      </c>
      <c r="AS512" s="43"/>
      <c r="AT512" s="43">
        <v>0</v>
      </c>
      <c r="AU512" s="43"/>
      <c r="AV512" s="43"/>
      <c r="AW512" s="43"/>
      <c r="AX512" s="43">
        <v>0</v>
      </c>
      <c r="AY512" s="43">
        <v>0</v>
      </c>
      <c r="AZ512" s="43">
        <v>0</v>
      </c>
      <c r="BA512" s="43">
        <v>0</v>
      </c>
      <c r="BB512" s="43">
        <v>0</v>
      </c>
      <c r="BC512" s="43">
        <v>0</v>
      </c>
      <c r="BD512" s="43">
        <v>0</v>
      </c>
      <c r="BE512" s="43">
        <v>0</v>
      </c>
      <c r="BF512" s="43">
        <v>0</v>
      </c>
      <c r="BG512" s="43">
        <v>0</v>
      </c>
      <c r="BH512" s="43">
        <v>0</v>
      </c>
      <c r="BI512" s="40" t="s">
        <v>1975</v>
      </c>
      <c r="BJ512" s="40">
        <v>2022</v>
      </c>
      <c r="BK512" s="40" t="s">
        <v>2768</v>
      </c>
      <c r="BL512" s="40" t="s">
        <v>2768</v>
      </c>
      <c r="BM512" s="40" t="s">
        <v>2768</v>
      </c>
    </row>
    <row r="513" spans="1:65" x14ac:dyDescent="0.25">
      <c r="A513" s="40" t="s">
        <v>2771</v>
      </c>
      <c r="B513" s="41">
        <v>44832.25</v>
      </c>
      <c r="C513" s="40" t="s">
        <v>353</v>
      </c>
      <c r="D513" s="40" t="s">
        <v>354</v>
      </c>
      <c r="E513" s="40">
        <v>8072225</v>
      </c>
      <c r="F513" s="40">
        <v>64849876</v>
      </c>
      <c r="G513" s="40" t="s">
        <v>2142</v>
      </c>
      <c r="H513" s="40" t="s">
        <v>301</v>
      </c>
      <c r="I513" s="40">
        <v>3800</v>
      </c>
      <c r="J513" s="40" t="s">
        <v>2143</v>
      </c>
      <c r="K513" s="40">
        <v>26070</v>
      </c>
      <c r="L513" s="40">
        <v>29870</v>
      </c>
      <c r="M513" s="40">
        <v>638270</v>
      </c>
      <c r="N513" s="40" t="s">
        <v>2114</v>
      </c>
      <c r="O513" s="40" t="s">
        <v>87</v>
      </c>
      <c r="P513" s="40" t="s">
        <v>2144</v>
      </c>
      <c r="Q513" s="40" t="s">
        <v>89</v>
      </c>
      <c r="R513" s="42" t="s">
        <v>90</v>
      </c>
      <c r="S513" s="42"/>
      <c r="T513" s="40" t="s">
        <v>292</v>
      </c>
      <c r="U513" s="41">
        <v>44831.875</v>
      </c>
      <c r="V513" s="41">
        <v>44832.395833333336</v>
      </c>
      <c r="W513" s="41">
        <v>44801.875</v>
      </c>
      <c r="X513" s="40" t="s">
        <v>306</v>
      </c>
      <c r="Y513" s="41">
        <v>44833.361805555556</v>
      </c>
      <c r="Z513" s="41">
        <v>44831.791666666664</v>
      </c>
      <c r="AA513" s="41">
        <v>44832.5</v>
      </c>
      <c r="AB513" s="41">
        <v>44833.75</v>
      </c>
      <c r="AC513" s="40" t="s">
        <v>452</v>
      </c>
      <c r="AD513" s="40">
        <v>13924</v>
      </c>
      <c r="AE513" s="40" t="s">
        <v>125</v>
      </c>
      <c r="AF513" s="40" t="s">
        <v>125</v>
      </c>
      <c r="AG513" s="40"/>
      <c r="AH513" s="40"/>
      <c r="AI513" s="41"/>
      <c r="AJ513" s="40"/>
      <c r="AK513" s="43"/>
      <c r="AL513" s="40"/>
      <c r="AM513" s="43">
        <v>0</v>
      </c>
      <c r="AN513" s="43"/>
      <c r="AO513" s="43"/>
      <c r="AP513" s="43"/>
      <c r="AQ513" s="43">
        <v>0</v>
      </c>
      <c r="AR513" s="43">
        <v>0</v>
      </c>
      <c r="AS513" s="43"/>
      <c r="AT513" s="43">
        <v>0</v>
      </c>
      <c r="AU513" s="43"/>
      <c r="AV513" s="43"/>
      <c r="AW513" s="43"/>
      <c r="AX513" s="43">
        <v>0</v>
      </c>
      <c r="AY513" s="43">
        <v>0</v>
      </c>
      <c r="AZ513" s="43">
        <v>0</v>
      </c>
      <c r="BA513" s="43">
        <v>0</v>
      </c>
      <c r="BB513" s="43">
        <v>0</v>
      </c>
      <c r="BC513" s="43">
        <v>0</v>
      </c>
      <c r="BD513" s="43">
        <v>0</v>
      </c>
      <c r="BE513" s="43">
        <v>0</v>
      </c>
      <c r="BF513" s="43">
        <v>0</v>
      </c>
      <c r="BG513" s="43">
        <v>0</v>
      </c>
      <c r="BH513" s="43">
        <v>0</v>
      </c>
      <c r="BI513" s="40" t="s">
        <v>1975</v>
      </c>
      <c r="BJ513" s="40">
        <v>2022</v>
      </c>
      <c r="BK513" s="40" t="s">
        <v>2768</v>
      </c>
      <c r="BL513" s="40" t="s">
        <v>2768</v>
      </c>
      <c r="BM513" s="40" t="s">
        <v>2768</v>
      </c>
    </row>
    <row r="514" spans="1:65" x14ac:dyDescent="0.25">
      <c r="A514" s="40" t="s">
        <v>2771</v>
      </c>
      <c r="B514" s="41">
        <v>44832.25</v>
      </c>
      <c r="C514" s="40" t="s">
        <v>353</v>
      </c>
      <c r="D514" s="40" t="s">
        <v>354</v>
      </c>
      <c r="E514" s="40">
        <v>8072225</v>
      </c>
      <c r="F514" s="40">
        <v>64849876</v>
      </c>
      <c r="G514" s="40" t="s">
        <v>2145</v>
      </c>
      <c r="H514" s="40" t="s">
        <v>301</v>
      </c>
      <c r="I514" s="40">
        <v>3900</v>
      </c>
      <c r="J514" s="40" t="s">
        <v>2146</v>
      </c>
      <c r="K514" s="40">
        <v>26070</v>
      </c>
      <c r="L514" s="40">
        <v>29970</v>
      </c>
      <c r="M514" s="40">
        <v>638164</v>
      </c>
      <c r="N514" s="40" t="s">
        <v>2114</v>
      </c>
      <c r="O514" s="40" t="s">
        <v>1961</v>
      </c>
      <c r="P514" s="40" t="s">
        <v>1962</v>
      </c>
      <c r="Q514" s="40" t="s">
        <v>1482</v>
      </c>
      <c r="R514" s="42" t="s">
        <v>1483</v>
      </c>
      <c r="S514" s="42" t="s">
        <v>1484</v>
      </c>
      <c r="T514" s="40" t="s">
        <v>292</v>
      </c>
      <c r="U514" s="41">
        <v>44831.875</v>
      </c>
      <c r="V514" s="41">
        <v>44832.395833333336</v>
      </c>
      <c r="W514" s="41">
        <v>44832.770833333336</v>
      </c>
      <c r="X514" s="40" t="s">
        <v>306</v>
      </c>
      <c r="Y514" s="41">
        <v>44833.213194444441</v>
      </c>
      <c r="Z514" s="41">
        <v>44831.791666666664</v>
      </c>
      <c r="AA514" s="41">
        <v>44832.5</v>
      </c>
      <c r="AB514" s="41">
        <v>44833.75</v>
      </c>
      <c r="AC514" s="40" t="s">
        <v>452</v>
      </c>
      <c r="AD514" s="40">
        <v>13920</v>
      </c>
      <c r="AE514" s="40" t="s">
        <v>125</v>
      </c>
      <c r="AF514" s="40" t="s">
        <v>125</v>
      </c>
      <c r="AG514" s="40"/>
      <c r="AH514" s="40"/>
      <c r="AI514" s="41"/>
      <c r="AJ514" s="40"/>
      <c r="AK514" s="43"/>
      <c r="AL514" s="40"/>
      <c r="AM514" s="43">
        <v>0</v>
      </c>
      <c r="AN514" s="43"/>
      <c r="AO514" s="43"/>
      <c r="AP514" s="43"/>
      <c r="AQ514" s="43">
        <v>0</v>
      </c>
      <c r="AR514" s="43">
        <v>0</v>
      </c>
      <c r="AS514" s="43"/>
      <c r="AT514" s="43">
        <v>0</v>
      </c>
      <c r="AU514" s="43"/>
      <c r="AV514" s="43"/>
      <c r="AW514" s="43"/>
      <c r="AX514" s="43">
        <v>0</v>
      </c>
      <c r="AY514" s="43">
        <v>0</v>
      </c>
      <c r="AZ514" s="43">
        <v>0</v>
      </c>
      <c r="BA514" s="43">
        <v>0</v>
      </c>
      <c r="BB514" s="43">
        <v>0</v>
      </c>
      <c r="BC514" s="43">
        <v>0</v>
      </c>
      <c r="BD514" s="43">
        <v>0</v>
      </c>
      <c r="BE514" s="43">
        <v>0</v>
      </c>
      <c r="BF514" s="43">
        <v>0</v>
      </c>
      <c r="BG514" s="43">
        <v>0</v>
      </c>
      <c r="BH514" s="43">
        <v>0</v>
      </c>
      <c r="BI514" s="40" t="s">
        <v>1975</v>
      </c>
      <c r="BJ514" s="40">
        <v>2022</v>
      </c>
      <c r="BK514" s="40" t="s">
        <v>2768</v>
      </c>
      <c r="BL514" s="40" t="s">
        <v>2768</v>
      </c>
      <c r="BM514" s="40" t="s">
        <v>2768</v>
      </c>
    </row>
    <row r="515" spans="1:65" x14ac:dyDescent="0.25">
      <c r="A515" s="40" t="s">
        <v>2771</v>
      </c>
      <c r="B515" s="41">
        <v>44832.291666666664</v>
      </c>
      <c r="C515" s="40" t="s">
        <v>456</v>
      </c>
      <c r="D515" s="40" t="s">
        <v>457</v>
      </c>
      <c r="E515" s="40" t="s">
        <v>125</v>
      </c>
      <c r="F515" s="40">
        <v>66849913</v>
      </c>
      <c r="G515" s="40" t="s">
        <v>2147</v>
      </c>
      <c r="H515" s="40" t="s">
        <v>301</v>
      </c>
      <c r="I515" s="40">
        <v>4640</v>
      </c>
      <c r="J515" s="40" t="s">
        <v>2148</v>
      </c>
      <c r="K515" s="40">
        <v>20087</v>
      </c>
      <c r="L515" s="40">
        <v>24727</v>
      </c>
      <c r="M515" s="40">
        <v>178401</v>
      </c>
      <c r="N515" s="40" t="s">
        <v>2149</v>
      </c>
      <c r="O515" s="40" t="s">
        <v>210</v>
      </c>
      <c r="P515" s="40" t="s">
        <v>1968</v>
      </c>
      <c r="Q515" s="40" t="s">
        <v>212</v>
      </c>
      <c r="R515" s="42" t="s">
        <v>213</v>
      </c>
      <c r="S515" s="42" t="s">
        <v>214</v>
      </c>
      <c r="T515" s="40" t="s">
        <v>292</v>
      </c>
      <c r="U515" s="41">
        <v>44830.541666666664</v>
      </c>
      <c r="V515" s="41">
        <v>44832.270833333336</v>
      </c>
      <c r="W515" s="41">
        <v>44832.458333333336</v>
      </c>
      <c r="X515" s="40" t="s">
        <v>293</v>
      </c>
      <c r="Y515" s="41">
        <v>44837.404861111114</v>
      </c>
      <c r="Z515" s="41">
        <v>44831.791666666664</v>
      </c>
      <c r="AA515" s="41">
        <v>44832.5</v>
      </c>
      <c r="AB515" s="41">
        <v>44839.5</v>
      </c>
      <c r="AC515" s="40" t="s">
        <v>452</v>
      </c>
      <c r="AD515" s="40">
        <v>790</v>
      </c>
      <c r="AE515" s="40" t="s">
        <v>125</v>
      </c>
      <c r="AF515" s="40" t="s">
        <v>125</v>
      </c>
      <c r="AG515" s="40"/>
      <c r="AH515" s="40" t="s">
        <v>523</v>
      </c>
      <c r="AI515" s="41">
        <v>44832.833333333336</v>
      </c>
      <c r="AJ515" s="40">
        <v>1</v>
      </c>
      <c r="AK515" s="43">
        <v>2559.0700000000002</v>
      </c>
      <c r="AL515" s="40" t="s">
        <v>2150</v>
      </c>
      <c r="AM515" s="43">
        <v>0</v>
      </c>
      <c r="AN515" s="43"/>
      <c r="AO515" s="43"/>
      <c r="AP515" s="43"/>
      <c r="AQ515" s="43">
        <v>0</v>
      </c>
      <c r="AR515" s="43">
        <v>0</v>
      </c>
      <c r="AS515" s="43"/>
      <c r="AT515" s="43">
        <v>0</v>
      </c>
      <c r="AU515" s="43"/>
      <c r="AV515" s="43"/>
      <c r="AW515" s="43"/>
      <c r="AX515" s="43">
        <v>0</v>
      </c>
      <c r="AY515" s="43">
        <v>0</v>
      </c>
      <c r="AZ515" s="43">
        <v>0</v>
      </c>
      <c r="BA515" s="43">
        <v>0</v>
      </c>
      <c r="BB515" s="43">
        <v>0</v>
      </c>
      <c r="BC515" s="43">
        <v>0</v>
      </c>
      <c r="BD515" s="43">
        <v>0</v>
      </c>
      <c r="BE515" s="43">
        <v>0</v>
      </c>
      <c r="BF515" s="43">
        <v>0</v>
      </c>
      <c r="BG515" s="43">
        <v>0</v>
      </c>
      <c r="BH515" s="43">
        <v>0</v>
      </c>
      <c r="BI515" s="40" t="s">
        <v>1975</v>
      </c>
      <c r="BJ515" s="40">
        <v>2022</v>
      </c>
      <c r="BK515" s="40" t="s">
        <v>2768</v>
      </c>
      <c r="BL515" s="40" t="s">
        <v>2768</v>
      </c>
      <c r="BM515" s="40" t="s">
        <v>2768</v>
      </c>
    </row>
    <row r="516" spans="1:65" x14ac:dyDescent="0.25">
      <c r="A516" s="40" t="s">
        <v>2771</v>
      </c>
      <c r="B516" s="41">
        <v>44832.333333333336</v>
      </c>
      <c r="C516" s="40" t="s">
        <v>353</v>
      </c>
      <c r="D516" s="40" t="s">
        <v>400</v>
      </c>
      <c r="E516" s="40" t="s">
        <v>2151</v>
      </c>
      <c r="F516" s="40">
        <v>221669052</v>
      </c>
      <c r="G516" s="40" t="s">
        <v>2152</v>
      </c>
      <c r="H516" s="40" t="s">
        <v>288</v>
      </c>
      <c r="I516" s="40">
        <v>2170</v>
      </c>
      <c r="J516" s="40" t="s">
        <v>2153</v>
      </c>
      <c r="K516" s="40">
        <v>10102</v>
      </c>
      <c r="L516" s="40">
        <v>12272</v>
      </c>
      <c r="M516" s="40" t="s">
        <v>2154</v>
      </c>
      <c r="N516" s="40" t="s">
        <v>2155</v>
      </c>
      <c r="O516" s="40" t="s">
        <v>2156</v>
      </c>
      <c r="P516" s="40" t="s">
        <v>2157</v>
      </c>
      <c r="Q516" s="40" t="s">
        <v>2158</v>
      </c>
      <c r="R516" s="42" t="s">
        <v>2159</v>
      </c>
      <c r="S516" s="42" t="s">
        <v>2160</v>
      </c>
      <c r="T516" s="40" t="s">
        <v>409</v>
      </c>
      <c r="U516" s="41">
        <v>44831.638888888891</v>
      </c>
      <c r="V516" s="41">
        <v>44832.291666666664</v>
      </c>
      <c r="W516" s="41">
        <v>44832.583333333336</v>
      </c>
      <c r="X516" s="40" t="s">
        <v>306</v>
      </c>
      <c r="Y516" s="41">
        <v>44839.990277777775</v>
      </c>
      <c r="Z516" s="41">
        <v>44838.791666666664</v>
      </c>
      <c r="AA516" s="41">
        <v>44837.5</v>
      </c>
      <c r="AB516" s="41">
        <v>44840.75</v>
      </c>
      <c r="AC516" s="40" t="s">
        <v>2161</v>
      </c>
      <c r="AD516" s="40">
        <v>13917</v>
      </c>
      <c r="AE516" s="40" t="s">
        <v>125</v>
      </c>
      <c r="AF516" s="40" t="s">
        <v>125</v>
      </c>
      <c r="AG516" s="40"/>
      <c r="AH516" s="40" t="s">
        <v>309</v>
      </c>
      <c r="AI516" s="41">
        <v>44832.791666666664</v>
      </c>
      <c r="AJ516" s="40"/>
      <c r="AK516" s="43">
        <v>950</v>
      </c>
      <c r="AL516" s="40"/>
      <c r="AM516" s="43">
        <v>0</v>
      </c>
      <c r="AN516" s="43"/>
      <c r="AO516" s="43"/>
      <c r="AP516" s="43"/>
      <c r="AQ516" s="43">
        <v>0</v>
      </c>
      <c r="AR516" s="43">
        <v>0</v>
      </c>
      <c r="AS516" s="43"/>
      <c r="AT516" s="43">
        <v>0</v>
      </c>
      <c r="AU516" s="43"/>
      <c r="AV516" s="43"/>
      <c r="AW516" s="43"/>
      <c r="AX516" s="43">
        <v>0</v>
      </c>
      <c r="AY516" s="43">
        <v>0</v>
      </c>
      <c r="AZ516" s="43">
        <v>0</v>
      </c>
      <c r="BA516" s="43">
        <v>0</v>
      </c>
      <c r="BB516" s="43">
        <v>0</v>
      </c>
      <c r="BC516" s="43">
        <v>0</v>
      </c>
      <c r="BD516" s="43">
        <v>0</v>
      </c>
      <c r="BE516" s="43">
        <v>0</v>
      </c>
      <c r="BF516" s="43">
        <v>0</v>
      </c>
      <c r="BG516" s="43">
        <v>0</v>
      </c>
      <c r="BH516" s="43">
        <v>0</v>
      </c>
      <c r="BI516" s="40" t="s">
        <v>1975</v>
      </c>
      <c r="BJ516" s="40">
        <v>2022</v>
      </c>
      <c r="BK516" s="40" t="s">
        <v>2768</v>
      </c>
      <c r="BL516" s="40" t="s">
        <v>2768</v>
      </c>
      <c r="BM516" s="40" t="s">
        <v>2768</v>
      </c>
    </row>
    <row r="517" spans="1:65" x14ac:dyDescent="0.25">
      <c r="A517" s="40" t="s">
        <v>2771</v>
      </c>
      <c r="B517" s="41">
        <v>44834.291666666664</v>
      </c>
      <c r="C517" s="40" t="s">
        <v>449</v>
      </c>
      <c r="D517" s="40" t="s">
        <v>450</v>
      </c>
      <c r="E517" s="40" t="s">
        <v>2162</v>
      </c>
      <c r="F517" s="40" t="s">
        <v>2163</v>
      </c>
      <c r="G517" s="40" t="s">
        <v>2164</v>
      </c>
      <c r="H517" s="40" t="s">
        <v>288</v>
      </c>
      <c r="I517" s="40">
        <v>2180</v>
      </c>
      <c r="J517" s="40" t="s">
        <v>2165</v>
      </c>
      <c r="K517" s="40">
        <v>21348</v>
      </c>
      <c r="L517" s="40">
        <v>23528</v>
      </c>
      <c r="M517" s="40" t="s">
        <v>2166</v>
      </c>
      <c r="N517" s="40" t="s">
        <v>2167</v>
      </c>
      <c r="O517" s="40" t="s">
        <v>2124</v>
      </c>
      <c r="P517" s="40" t="s">
        <v>2125</v>
      </c>
      <c r="Q517" s="40" t="s">
        <v>39</v>
      </c>
      <c r="R517" s="42" t="s">
        <v>40</v>
      </c>
      <c r="S517" s="42" t="s">
        <v>41</v>
      </c>
      <c r="T517" s="40" t="s">
        <v>469</v>
      </c>
      <c r="U517" s="41">
        <v>44833.611111111109</v>
      </c>
      <c r="V517" s="41">
        <v>44834.1875</v>
      </c>
      <c r="W517" s="41">
        <v>44834.625</v>
      </c>
      <c r="X517" s="40" t="s">
        <v>410</v>
      </c>
      <c r="Y517" s="41">
        <v>44835.714583333334</v>
      </c>
      <c r="Z517" s="41">
        <v>44834.541666666664</v>
      </c>
      <c r="AA517" s="41">
        <v>44833.75</v>
      </c>
      <c r="AB517" s="41">
        <v>44837.5</v>
      </c>
      <c r="AC517" s="40" t="s">
        <v>2168</v>
      </c>
      <c r="AD517" s="40">
        <v>796</v>
      </c>
      <c r="AE517" s="40" t="s">
        <v>125</v>
      </c>
      <c r="AF517" s="40" t="s">
        <v>125</v>
      </c>
      <c r="AG517" s="40" t="s">
        <v>2169</v>
      </c>
      <c r="AH517" s="40"/>
      <c r="AI517" s="41"/>
      <c r="AJ517" s="40"/>
      <c r="AK517" s="43"/>
      <c r="AL517" s="40"/>
      <c r="AM517" s="43">
        <v>0</v>
      </c>
      <c r="AN517" s="43"/>
      <c r="AO517" s="43"/>
      <c r="AP517" s="43"/>
      <c r="AQ517" s="43">
        <v>0</v>
      </c>
      <c r="AR517" s="43">
        <v>0</v>
      </c>
      <c r="AS517" s="43"/>
      <c r="AT517" s="43">
        <v>0</v>
      </c>
      <c r="AU517" s="43"/>
      <c r="AV517" s="43"/>
      <c r="AW517" s="43"/>
      <c r="AX517" s="43">
        <v>0</v>
      </c>
      <c r="AY517" s="43">
        <v>0</v>
      </c>
      <c r="AZ517" s="43">
        <v>0</v>
      </c>
      <c r="BA517" s="43">
        <v>0</v>
      </c>
      <c r="BB517" s="43">
        <v>0</v>
      </c>
      <c r="BC517" s="43">
        <v>0</v>
      </c>
      <c r="BD517" s="43">
        <v>0</v>
      </c>
      <c r="BE517" s="43">
        <v>0</v>
      </c>
      <c r="BF517" s="43">
        <v>0</v>
      </c>
      <c r="BG517" s="43">
        <v>0</v>
      </c>
      <c r="BH517" s="43">
        <v>0</v>
      </c>
      <c r="BI517" s="40" t="s">
        <v>1975</v>
      </c>
      <c r="BJ517" s="40">
        <v>2022</v>
      </c>
      <c r="BK517" s="40" t="s">
        <v>2768</v>
      </c>
      <c r="BL517" s="40" t="s">
        <v>2768</v>
      </c>
      <c r="BM517" s="40" t="s">
        <v>2768</v>
      </c>
    </row>
    <row r="518" spans="1:65" x14ac:dyDescent="0.25">
      <c r="A518" s="40" t="s">
        <v>2771</v>
      </c>
      <c r="B518" s="41">
        <v>44834.333333333336</v>
      </c>
      <c r="C518" s="40" t="s">
        <v>2105</v>
      </c>
      <c r="D518" s="40" t="s">
        <v>1177</v>
      </c>
      <c r="E518" s="40" t="s">
        <v>2106</v>
      </c>
      <c r="F518" s="40" t="s">
        <v>2170</v>
      </c>
      <c r="G518" s="40" t="s">
        <v>2171</v>
      </c>
      <c r="H518" s="40" t="s">
        <v>301</v>
      </c>
      <c r="I518" s="40">
        <v>3840</v>
      </c>
      <c r="J518" s="40" t="s">
        <v>2172</v>
      </c>
      <c r="K518" s="40">
        <v>26349</v>
      </c>
      <c r="L518" s="40">
        <v>30189</v>
      </c>
      <c r="M518" s="40">
        <v>11</v>
      </c>
      <c r="N518" s="40" t="s">
        <v>2173</v>
      </c>
      <c r="O518" s="40" t="s">
        <v>178</v>
      </c>
      <c r="P518" s="40" t="s">
        <v>179</v>
      </c>
      <c r="Q518" s="40" t="s">
        <v>180</v>
      </c>
      <c r="R518" s="42" t="s">
        <v>1657</v>
      </c>
      <c r="S518" s="42" t="s">
        <v>181</v>
      </c>
      <c r="T518" s="40" t="s">
        <v>537</v>
      </c>
      <c r="U518" s="41">
        <v>44833.625</v>
      </c>
      <c r="V518" s="41">
        <v>44834.270833333336</v>
      </c>
      <c r="W518" s="41">
        <v>44834.75</v>
      </c>
      <c r="X518" s="40" t="s">
        <v>293</v>
      </c>
      <c r="Y518" s="41">
        <v>44837.614583333336</v>
      </c>
      <c r="Z518" s="41">
        <v>44837.291666666664</v>
      </c>
      <c r="AA518" s="41">
        <v>44834.75</v>
      </c>
      <c r="AB518" s="41">
        <v>44838.75</v>
      </c>
      <c r="AC518" s="40" t="s">
        <v>777</v>
      </c>
      <c r="AD518" s="40">
        <v>13960</v>
      </c>
      <c r="AE518" s="40" t="s">
        <v>125</v>
      </c>
      <c r="AF518" s="40" t="s">
        <v>125</v>
      </c>
      <c r="AG518" s="40"/>
      <c r="AH518" s="40" t="s">
        <v>393</v>
      </c>
      <c r="AI518" s="41">
        <v>44834.979166666664</v>
      </c>
      <c r="AJ518" s="40"/>
      <c r="AK518" s="43">
        <v>1000</v>
      </c>
      <c r="AL518" s="40"/>
      <c r="AM518" s="43">
        <v>0</v>
      </c>
      <c r="AN518" s="43"/>
      <c r="AO518" s="43"/>
      <c r="AP518" s="43"/>
      <c r="AQ518" s="43">
        <v>0</v>
      </c>
      <c r="AR518" s="43">
        <v>0</v>
      </c>
      <c r="AS518" s="43"/>
      <c r="AT518" s="43">
        <v>0</v>
      </c>
      <c r="AU518" s="43"/>
      <c r="AV518" s="43"/>
      <c r="AW518" s="43"/>
      <c r="AX518" s="43">
        <v>0</v>
      </c>
      <c r="AY518" s="43">
        <v>0</v>
      </c>
      <c r="AZ518" s="43">
        <v>0</v>
      </c>
      <c r="BA518" s="43">
        <v>0</v>
      </c>
      <c r="BB518" s="43">
        <v>0</v>
      </c>
      <c r="BC518" s="43">
        <v>0</v>
      </c>
      <c r="BD518" s="43">
        <v>0</v>
      </c>
      <c r="BE518" s="43">
        <v>0</v>
      </c>
      <c r="BF518" s="43">
        <v>0</v>
      </c>
      <c r="BG518" s="43">
        <v>0</v>
      </c>
      <c r="BH518" s="43">
        <v>0</v>
      </c>
      <c r="BI518" s="40" t="s">
        <v>1975</v>
      </c>
      <c r="BJ518" s="40">
        <v>2022</v>
      </c>
      <c r="BK518" s="40" t="s">
        <v>2768</v>
      </c>
      <c r="BL518" s="40" t="s">
        <v>2768</v>
      </c>
      <c r="BM518" s="40" t="s">
        <v>2768</v>
      </c>
    </row>
    <row r="519" spans="1:65" x14ac:dyDescent="0.25">
      <c r="A519" s="40" t="s">
        <v>2771</v>
      </c>
      <c r="B519" s="41">
        <v>44834.333333333336</v>
      </c>
      <c r="C519" s="40" t="s">
        <v>1110</v>
      </c>
      <c r="D519" s="40" t="s">
        <v>1111</v>
      </c>
      <c r="E519" s="40" t="s">
        <v>2174</v>
      </c>
      <c r="F519" s="40" t="s">
        <v>2175</v>
      </c>
      <c r="G519" s="40" t="s">
        <v>2176</v>
      </c>
      <c r="H519" s="40" t="s">
        <v>301</v>
      </c>
      <c r="I519" s="40">
        <v>3780</v>
      </c>
      <c r="J519" s="40">
        <v>1328026</v>
      </c>
      <c r="K519" s="40">
        <v>25090</v>
      </c>
      <c r="L519" s="40">
        <v>28870</v>
      </c>
      <c r="M519" s="40">
        <v>321070</v>
      </c>
      <c r="N519" s="40" t="s">
        <v>2177</v>
      </c>
      <c r="O519" s="40" t="s">
        <v>92</v>
      </c>
      <c r="P519" s="40" t="s">
        <v>93</v>
      </c>
      <c r="Q519" s="40" t="s">
        <v>152</v>
      </c>
      <c r="R519" s="42" t="s">
        <v>153</v>
      </c>
      <c r="S519" s="42" t="s">
        <v>154</v>
      </c>
      <c r="T519" s="40" t="s">
        <v>857</v>
      </c>
      <c r="U519" s="41">
        <v>44834.333333333336</v>
      </c>
      <c r="V519" s="41">
        <v>44834.3125</v>
      </c>
      <c r="W519" s="41">
        <v>44834.75</v>
      </c>
      <c r="X519" s="40" t="s">
        <v>293</v>
      </c>
      <c r="Y519" s="41">
        <v>44834.886111111111</v>
      </c>
      <c r="Z519" s="41">
        <v>44834.5</v>
      </c>
      <c r="AA519" s="41">
        <v>44834.75</v>
      </c>
      <c r="AB519" s="41">
        <v>44808.333333333336</v>
      </c>
      <c r="AC519" s="40" t="s">
        <v>294</v>
      </c>
      <c r="AD519" s="40">
        <v>13949</v>
      </c>
      <c r="AE519" s="40" t="s">
        <v>125</v>
      </c>
      <c r="AF519" s="40" t="s">
        <v>125</v>
      </c>
      <c r="AG519" s="40"/>
      <c r="AH519" s="40"/>
      <c r="AI519" s="41"/>
      <c r="AJ519" s="40"/>
      <c r="AK519" s="43"/>
      <c r="AL519" s="40"/>
      <c r="AM519" s="43">
        <v>0</v>
      </c>
      <c r="AN519" s="43"/>
      <c r="AO519" s="43"/>
      <c r="AP519" s="43"/>
      <c r="AQ519" s="43">
        <v>0</v>
      </c>
      <c r="AR519" s="43">
        <v>0</v>
      </c>
      <c r="AS519" s="43"/>
      <c r="AT519" s="43">
        <v>0</v>
      </c>
      <c r="AU519" s="43"/>
      <c r="AV519" s="43"/>
      <c r="AW519" s="43"/>
      <c r="AX519" s="43">
        <v>0</v>
      </c>
      <c r="AY519" s="43">
        <v>0</v>
      </c>
      <c r="AZ519" s="43">
        <v>0</v>
      </c>
      <c r="BA519" s="43">
        <v>0</v>
      </c>
      <c r="BB519" s="43">
        <v>0</v>
      </c>
      <c r="BC519" s="43">
        <v>0</v>
      </c>
      <c r="BD519" s="43">
        <v>0</v>
      </c>
      <c r="BE519" s="43">
        <v>0</v>
      </c>
      <c r="BF519" s="43">
        <v>0</v>
      </c>
      <c r="BG519" s="43">
        <v>0</v>
      </c>
      <c r="BH519" s="43">
        <v>0</v>
      </c>
      <c r="BI519" s="40" t="s">
        <v>1975</v>
      </c>
      <c r="BJ519" s="40">
        <v>2022</v>
      </c>
      <c r="BK519" s="40" t="s">
        <v>2768</v>
      </c>
      <c r="BL519" s="40" t="s">
        <v>2768</v>
      </c>
      <c r="BM519" s="40" t="s">
        <v>2768</v>
      </c>
    </row>
    <row r="520" spans="1:65" x14ac:dyDescent="0.25">
      <c r="A520" s="40" t="s">
        <v>2771</v>
      </c>
      <c r="B520" s="41">
        <v>44837.291666666664</v>
      </c>
      <c r="C520" s="40" t="s">
        <v>1414</v>
      </c>
      <c r="D520" s="40" t="s">
        <v>2020</v>
      </c>
      <c r="E520" s="40" t="s">
        <v>2178</v>
      </c>
      <c r="F520" s="40">
        <v>61183716</v>
      </c>
      <c r="G520" s="40" t="s">
        <v>2179</v>
      </c>
      <c r="H520" s="40" t="s">
        <v>1418</v>
      </c>
      <c r="I520" s="40">
        <v>3880</v>
      </c>
      <c r="J520" s="40">
        <v>1549150</v>
      </c>
      <c r="K520" s="40">
        <v>19690</v>
      </c>
      <c r="L520" s="40">
        <v>23570</v>
      </c>
      <c r="M520" s="40">
        <v>513703</v>
      </c>
      <c r="N520" s="40" t="s">
        <v>2180</v>
      </c>
      <c r="O520" s="40" t="s">
        <v>106</v>
      </c>
      <c r="P520" s="40" t="s">
        <v>107</v>
      </c>
      <c r="Q520" s="40" t="s">
        <v>108</v>
      </c>
      <c r="R520" s="42" t="s">
        <v>109</v>
      </c>
      <c r="S520" s="42" t="s">
        <v>110</v>
      </c>
      <c r="T520" s="40" t="s">
        <v>1421</v>
      </c>
      <c r="U520" s="41">
        <v>44835.375</v>
      </c>
      <c r="V520" s="41">
        <v>44837.354166666664</v>
      </c>
      <c r="W520" s="41">
        <v>44837.682638888888</v>
      </c>
      <c r="X520" s="40" t="s">
        <v>410</v>
      </c>
      <c r="Y520" s="41">
        <v>44839.840277777781</v>
      </c>
      <c r="Z520" s="41">
        <v>44839.541666666664</v>
      </c>
      <c r="AA520" s="41">
        <v>44838.75</v>
      </c>
      <c r="AB520" s="41">
        <v>44842.5</v>
      </c>
      <c r="AC520" s="40" t="s">
        <v>522</v>
      </c>
      <c r="AD520" s="40">
        <v>798</v>
      </c>
      <c r="AE520" s="40" t="s">
        <v>125</v>
      </c>
      <c r="AF520" s="40" t="s">
        <v>125</v>
      </c>
      <c r="AG520" s="40"/>
      <c r="AH520" s="40" t="s">
        <v>393</v>
      </c>
      <c r="AI520" s="41">
        <v>44838.916666666664</v>
      </c>
      <c r="AJ520" s="40">
        <v>1</v>
      </c>
      <c r="AK520" s="43">
        <v>950</v>
      </c>
      <c r="AL520" s="40"/>
      <c r="AM520" s="43">
        <v>0</v>
      </c>
      <c r="AN520" s="43"/>
      <c r="AO520" s="43"/>
      <c r="AP520" s="43"/>
      <c r="AQ520" s="43">
        <v>0</v>
      </c>
      <c r="AR520" s="43">
        <v>0</v>
      </c>
      <c r="AS520" s="43"/>
      <c r="AT520" s="43">
        <v>0</v>
      </c>
      <c r="AU520" s="43"/>
      <c r="AV520" s="43"/>
      <c r="AW520" s="43"/>
      <c r="AX520" s="43">
        <v>0</v>
      </c>
      <c r="AY520" s="43">
        <v>0</v>
      </c>
      <c r="AZ520" s="43">
        <v>0</v>
      </c>
      <c r="BA520" s="43">
        <v>0</v>
      </c>
      <c r="BB520" s="43">
        <v>0</v>
      </c>
      <c r="BC520" s="43">
        <v>0</v>
      </c>
      <c r="BD520" s="43">
        <v>0</v>
      </c>
      <c r="BE520" s="43">
        <v>0</v>
      </c>
      <c r="BF520" s="43">
        <v>0</v>
      </c>
      <c r="BG520" s="43">
        <v>0</v>
      </c>
      <c r="BH520" s="43">
        <v>0</v>
      </c>
      <c r="BI520" s="40" t="s">
        <v>2181</v>
      </c>
      <c r="BJ520" s="40">
        <v>2022</v>
      </c>
      <c r="BK520" s="40" t="s">
        <v>2768</v>
      </c>
      <c r="BL520" s="40" t="s">
        <v>2768</v>
      </c>
      <c r="BM520" s="40" t="s">
        <v>2768</v>
      </c>
    </row>
    <row r="521" spans="1:65" x14ac:dyDescent="0.25">
      <c r="A521" s="40" t="s">
        <v>2771</v>
      </c>
      <c r="B521" s="41">
        <v>44838.583333333336</v>
      </c>
      <c r="C521" s="40" t="s">
        <v>353</v>
      </c>
      <c r="D521" s="40" t="s">
        <v>400</v>
      </c>
      <c r="E521" s="40">
        <v>8117700</v>
      </c>
      <c r="F521" s="40">
        <v>68187986</v>
      </c>
      <c r="G521" s="40" t="s">
        <v>2182</v>
      </c>
      <c r="H521" s="40" t="s">
        <v>2183</v>
      </c>
      <c r="I521" s="40">
        <v>3750</v>
      </c>
      <c r="J521" s="40" t="s">
        <v>2184</v>
      </c>
      <c r="K521" s="40">
        <v>9500</v>
      </c>
      <c r="L521" s="40">
        <v>13250</v>
      </c>
      <c r="M521" s="40">
        <v>1654541</v>
      </c>
      <c r="N521" s="40" t="s">
        <v>2185</v>
      </c>
      <c r="O521" s="40" t="s">
        <v>155</v>
      </c>
      <c r="P521" s="40" t="s">
        <v>312</v>
      </c>
      <c r="Q521" s="40" t="s">
        <v>156</v>
      </c>
      <c r="R521" s="42" t="s">
        <v>157</v>
      </c>
      <c r="S521" s="42" t="s">
        <v>158</v>
      </c>
      <c r="T521" s="40" t="s">
        <v>292</v>
      </c>
      <c r="U521" s="41">
        <v>44838.423611111109</v>
      </c>
      <c r="V521" s="41">
        <v>44838.5625</v>
      </c>
      <c r="W521" s="41">
        <v>44838.791666666664</v>
      </c>
      <c r="X521" s="40" t="s">
        <v>306</v>
      </c>
      <c r="Y521" s="41">
        <v>44840.82708333333</v>
      </c>
      <c r="Z521" s="41">
        <v>44839.541666666664</v>
      </c>
      <c r="AA521" s="41">
        <v>44838.75</v>
      </c>
      <c r="AB521" s="41">
        <v>44841.75</v>
      </c>
      <c r="AC521" s="40" t="s">
        <v>586</v>
      </c>
      <c r="AD521" s="40">
        <v>13970</v>
      </c>
      <c r="AE521" s="40" t="s">
        <v>125</v>
      </c>
      <c r="AF521" s="40" t="s">
        <v>125</v>
      </c>
      <c r="AG521" s="40"/>
      <c r="AH521" s="40" t="s">
        <v>309</v>
      </c>
      <c r="AI521" s="41">
        <v>44838.916666666664</v>
      </c>
      <c r="AJ521" s="40">
        <v>1</v>
      </c>
      <c r="AK521" s="43">
        <v>950</v>
      </c>
      <c r="AL521" s="40"/>
      <c r="AM521" s="43">
        <v>0</v>
      </c>
      <c r="AN521" s="43"/>
      <c r="AO521" s="43"/>
      <c r="AP521" s="43"/>
      <c r="AQ521" s="43">
        <v>0</v>
      </c>
      <c r="AR521" s="43">
        <v>0</v>
      </c>
      <c r="AS521" s="43"/>
      <c r="AT521" s="43">
        <v>0</v>
      </c>
      <c r="AU521" s="43"/>
      <c r="AV521" s="43"/>
      <c r="AW521" s="43"/>
      <c r="AX521" s="43">
        <v>0</v>
      </c>
      <c r="AY521" s="43">
        <v>0</v>
      </c>
      <c r="AZ521" s="43">
        <v>0</v>
      </c>
      <c r="BA521" s="43">
        <v>0</v>
      </c>
      <c r="BB521" s="43">
        <v>0</v>
      </c>
      <c r="BC521" s="43">
        <v>0</v>
      </c>
      <c r="BD521" s="43">
        <v>0</v>
      </c>
      <c r="BE521" s="43">
        <v>0</v>
      </c>
      <c r="BF521" s="43">
        <v>0</v>
      </c>
      <c r="BG521" s="43">
        <v>0</v>
      </c>
      <c r="BH521" s="43">
        <v>0</v>
      </c>
      <c r="BI521" s="40" t="s">
        <v>2181</v>
      </c>
      <c r="BJ521" s="40">
        <v>2022</v>
      </c>
      <c r="BK521" s="40" t="s">
        <v>2768</v>
      </c>
      <c r="BL521" s="40" t="s">
        <v>2768</v>
      </c>
      <c r="BM521" s="40" t="s">
        <v>2768</v>
      </c>
    </row>
    <row r="522" spans="1:65" x14ac:dyDescent="0.25">
      <c r="A522" s="40" t="s">
        <v>2771</v>
      </c>
      <c r="B522" s="41">
        <v>44845.416666666664</v>
      </c>
      <c r="C522" s="40" t="s">
        <v>353</v>
      </c>
      <c r="D522" s="40" t="s">
        <v>354</v>
      </c>
      <c r="E522" s="40">
        <v>8072234</v>
      </c>
      <c r="F522" s="40">
        <v>62847769</v>
      </c>
      <c r="G522" s="40" t="s">
        <v>2186</v>
      </c>
      <c r="H522" s="40" t="s">
        <v>301</v>
      </c>
      <c r="I522" s="40">
        <v>3840</v>
      </c>
      <c r="J522" s="40" t="s">
        <v>2187</v>
      </c>
      <c r="K522" s="40">
        <v>26070</v>
      </c>
      <c r="L522" s="40">
        <v>29910</v>
      </c>
      <c r="M522" s="40">
        <v>641171</v>
      </c>
      <c r="N522" s="40" t="s">
        <v>2188</v>
      </c>
      <c r="O522" s="40" t="s">
        <v>140</v>
      </c>
      <c r="P522" s="40" t="s">
        <v>141</v>
      </c>
      <c r="Q522" s="40" t="s">
        <v>2189</v>
      </c>
      <c r="R522" s="42" t="s">
        <v>2190</v>
      </c>
      <c r="S522" s="42" t="s">
        <v>2191</v>
      </c>
      <c r="T522" s="40" t="s">
        <v>537</v>
      </c>
      <c r="U522" s="41">
        <v>44844.833333333336</v>
      </c>
      <c r="V522" s="41">
        <v>44845.208333333336</v>
      </c>
      <c r="W522" s="41">
        <v>44845.658333333333</v>
      </c>
      <c r="X522" s="40" t="s">
        <v>293</v>
      </c>
      <c r="Y522" s="41">
        <v>44851.210416666669</v>
      </c>
      <c r="Z522" s="41">
        <v>44849.833333333336</v>
      </c>
      <c r="AA522" s="41">
        <v>44845.5</v>
      </c>
      <c r="AB522" s="41">
        <v>44851.5</v>
      </c>
      <c r="AC522" s="40" t="s">
        <v>452</v>
      </c>
      <c r="AD522" s="40">
        <v>14024</v>
      </c>
      <c r="AE522" s="40" t="s">
        <v>125</v>
      </c>
      <c r="AF522" s="40" t="s">
        <v>125</v>
      </c>
      <c r="AG522" s="40"/>
      <c r="AH522" s="40" t="s">
        <v>393</v>
      </c>
      <c r="AI522" s="41">
        <v>44845.75</v>
      </c>
      <c r="AJ522" s="40"/>
      <c r="AK522" s="43">
        <v>950</v>
      </c>
      <c r="AL522" s="40"/>
      <c r="AM522" s="43">
        <v>0</v>
      </c>
      <c r="AN522" s="43"/>
      <c r="AO522" s="43"/>
      <c r="AP522" s="43"/>
      <c r="AQ522" s="43">
        <v>0</v>
      </c>
      <c r="AR522" s="43">
        <v>0</v>
      </c>
      <c r="AS522" s="43"/>
      <c r="AT522" s="43">
        <v>0</v>
      </c>
      <c r="AU522" s="43"/>
      <c r="AV522" s="43"/>
      <c r="AW522" s="43"/>
      <c r="AX522" s="43">
        <v>0</v>
      </c>
      <c r="AY522" s="43">
        <v>0</v>
      </c>
      <c r="AZ522" s="43">
        <v>0</v>
      </c>
      <c r="BA522" s="43">
        <v>0</v>
      </c>
      <c r="BB522" s="43">
        <v>0</v>
      </c>
      <c r="BC522" s="43">
        <v>0</v>
      </c>
      <c r="BD522" s="43">
        <v>0</v>
      </c>
      <c r="BE522" s="43">
        <v>0</v>
      </c>
      <c r="BF522" s="43">
        <v>0</v>
      </c>
      <c r="BG522" s="43">
        <v>0</v>
      </c>
      <c r="BH522" s="43">
        <v>0</v>
      </c>
      <c r="BI522" s="40" t="s">
        <v>2181</v>
      </c>
      <c r="BJ522" s="40">
        <v>2022</v>
      </c>
      <c r="BK522" s="40" t="s">
        <v>2768</v>
      </c>
      <c r="BL522" s="40" t="s">
        <v>2768</v>
      </c>
      <c r="BM522" s="40" t="s">
        <v>2768</v>
      </c>
    </row>
    <row r="523" spans="1:65" x14ac:dyDescent="0.25">
      <c r="A523" s="40" t="s">
        <v>2771</v>
      </c>
      <c r="B523" s="41">
        <v>44845.416666666664</v>
      </c>
      <c r="C523" s="40" t="s">
        <v>353</v>
      </c>
      <c r="D523" s="40" t="s">
        <v>354</v>
      </c>
      <c r="E523" s="40">
        <v>8072234</v>
      </c>
      <c r="F523" s="40">
        <v>62847769</v>
      </c>
      <c r="G523" s="40" t="s">
        <v>2192</v>
      </c>
      <c r="H523" s="40" t="s">
        <v>301</v>
      </c>
      <c r="I523" s="40">
        <v>3680</v>
      </c>
      <c r="J523" s="40" t="s">
        <v>2193</v>
      </c>
      <c r="K523" s="40">
        <v>26070</v>
      </c>
      <c r="L523" s="40">
        <v>29750</v>
      </c>
      <c r="M523" s="40">
        <v>641162</v>
      </c>
      <c r="N523" s="40" t="s">
        <v>2188</v>
      </c>
      <c r="O523" s="40" t="s">
        <v>87</v>
      </c>
      <c r="P523" s="40" t="s">
        <v>88</v>
      </c>
      <c r="Q523" s="40" t="s">
        <v>89</v>
      </c>
      <c r="R523" s="42" t="s">
        <v>90</v>
      </c>
      <c r="S523" s="42" t="s">
        <v>2194</v>
      </c>
      <c r="T523" s="40" t="s">
        <v>537</v>
      </c>
      <c r="U523" s="41">
        <v>44844.833333333336</v>
      </c>
      <c r="V523" s="41">
        <v>44845.208333333336</v>
      </c>
      <c r="W523" s="41">
        <v>44845.590277777781</v>
      </c>
      <c r="X523" s="40" t="s">
        <v>293</v>
      </c>
      <c r="Y523" s="41">
        <v>44851.244444444441</v>
      </c>
      <c r="Z523" s="41">
        <v>44849.833333333336</v>
      </c>
      <c r="AA523" s="41">
        <v>44845.5</v>
      </c>
      <c r="AB523" s="41">
        <v>44851.5</v>
      </c>
      <c r="AC523" s="40" t="s">
        <v>452</v>
      </c>
      <c r="AD523" s="40">
        <v>14022</v>
      </c>
      <c r="AE523" s="40" t="s">
        <v>125</v>
      </c>
      <c r="AF523" s="40" t="s">
        <v>125</v>
      </c>
      <c r="AG523" s="40"/>
      <c r="AH523" s="40" t="s">
        <v>393</v>
      </c>
      <c r="AI523" s="41">
        <v>44845.75</v>
      </c>
      <c r="AJ523" s="40"/>
      <c r="AK523" s="43">
        <v>950</v>
      </c>
      <c r="AL523" s="40"/>
      <c r="AM523" s="43">
        <v>0</v>
      </c>
      <c r="AN523" s="43"/>
      <c r="AO523" s="43"/>
      <c r="AP523" s="43"/>
      <c r="AQ523" s="43">
        <v>0</v>
      </c>
      <c r="AR523" s="43">
        <v>0</v>
      </c>
      <c r="AS523" s="43"/>
      <c r="AT523" s="43">
        <v>0</v>
      </c>
      <c r="AU523" s="43"/>
      <c r="AV523" s="43"/>
      <c r="AW523" s="43"/>
      <c r="AX523" s="43">
        <v>0</v>
      </c>
      <c r="AY523" s="43">
        <v>0</v>
      </c>
      <c r="AZ523" s="43">
        <v>0</v>
      </c>
      <c r="BA523" s="43">
        <v>0</v>
      </c>
      <c r="BB523" s="43">
        <v>0</v>
      </c>
      <c r="BC523" s="43">
        <v>0</v>
      </c>
      <c r="BD523" s="43">
        <v>0</v>
      </c>
      <c r="BE523" s="43">
        <v>0</v>
      </c>
      <c r="BF523" s="43">
        <v>0</v>
      </c>
      <c r="BG523" s="43">
        <v>0</v>
      </c>
      <c r="BH523" s="43">
        <v>0</v>
      </c>
      <c r="BI523" s="40" t="s">
        <v>2181</v>
      </c>
      <c r="BJ523" s="40">
        <v>2022</v>
      </c>
      <c r="BK523" s="40" t="s">
        <v>2768</v>
      </c>
      <c r="BL523" s="40" t="s">
        <v>2768</v>
      </c>
      <c r="BM523" s="40" t="s">
        <v>2768</v>
      </c>
    </row>
    <row r="524" spans="1:65" x14ac:dyDescent="0.25">
      <c r="A524" s="40" t="s">
        <v>2771</v>
      </c>
      <c r="B524" s="41">
        <v>44845.416666666664</v>
      </c>
      <c r="C524" s="40" t="s">
        <v>353</v>
      </c>
      <c r="D524" s="40" t="s">
        <v>354</v>
      </c>
      <c r="E524" s="40">
        <v>8072234</v>
      </c>
      <c r="F524" s="40">
        <v>62847769</v>
      </c>
      <c r="G524" s="40" t="s">
        <v>2195</v>
      </c>
      <c r="H524" s="40" t="s">
        <v>301</v>
      </c>
      <c r="I524" s="40">
        <v>3700</v>
      </c>
      <c r="J524" s="40" t="s">
        <v>2196</v>
      </c>
      <c r="K524" s="40">
        <v>26070</v>
      </c>
      <c r="L524" s="40">
        <v>29770</v>
      </c>
      <c r="M524" s="40">
        <v>641295</v>
      </c>
      <c r="N524" s="40" t="s">
        <v>2188</v>
      </c>
      <c r="O524" s="40" t="s">
        <v>111</v>
      </c>
      <c r="P524" s="40" t="s">
        <v>112</v>
      </c>
      <c r="Q524" s="40" t="s">
        <v>113</v>
      </c>
      <c r="R524" s="42" t="s">
        <v>1487</v>
      </c>
      <c r="S524" s="42" t="s">
        <v>333</v>
      </c>
      <c r="T524" s="40" t="s">
        <v>537</v>
      </c>
      <c r="U524" s="41">
        <v>44844.833333333336</v>
      </c>
      <c r="V524" s="41">
        <v>44845.395833333336</v>
      </c>
      <c r="W524" s="41">
        <v>44845.833333333336</v>
      </c>
      <c r="X524" s="40" t="s">
        <v>293</v>
      </c>
      <c r="Y524" s="41">
        <v>44851.213888888888</v>
      </c>
      <c r="Z524" s="41">
        <v>44849.833333333336</v>
      </c>
      <c r="AA524" s="41">
        <v>44845.5</v>
      </c>
      <c r="AB524" s="41">
        <v>44851.5</v>
      </c>
      <c r="AC524" s="40" t="s">
        <v>452</v>
      </c>
      <c r="AD524" s="40">
        <v>14038</v>
      </c>
      <c r="AE524" s="40" t="s">
        <v>125</v>
      </c>
      <c r="AF524" s="40" t="s">
        <v>125</v>
      </c>
      <c r="AG524" s="40"/>
      <c r="AH524" s="40" t="s">
        <v>393</v>
      </c>
      <c r="AI524" s="41">
        <v>44845.75</v>
      </c>
      <c r="AJ524" s="40"/>
      <c r="AK524" s="43">
        <v>950</v>
      </c>
      <c r="AL524" s="40"/>
      <c r="AM524" s="43">
        <v>0</v>
      </c>
      <c r="AN524" s="43"/>
      <c r="AO524" s="43"/>
      <c r="AP524" s="43"/>
      <c r="AQ524" s="43">
        <v>0</v>
      </c>
      <c r="AR524" s="43">
        <v>0</v>
      </c>
      <c r="AS524" s="43"/>
      <c r="AT524" s="43">
        <v>0</v>
      </c>
      <c r="AU524" s="43"/>
      <c r="AV524" s="43"/>
      <c r="AW524" s="43"/>
      <c r="AX524" s="43">
        <v>0</v>
      </c>
      <c r="AY524" s="43">
        <v>0</v>
      </c>
      <c r="AZ524" s="43">
        <v>0</v>
      </c>
      <c r="BA524" s="43">
        <v>0</v>
      </c>
      <c r="BB524" s="43">
        <v>0</v>
      </c>
      <c r="BC524" s="43">
        <v>0</v>
      </c>
      <c r="BD524" s="43">
        <v>0</v>
      </c>
      <c r="BE524" s="43">
        <v>0</v>
      </c>
      <c r="BF524" s="43">
        <v>0</v>
      </c>
      <c r="BG524" s="43">
        <v>0</v>
      </c>
      <c r="BH524" s="43">
        <v>0</v>
      </c>
      <c r="BI524" s="40" t="s">
        <v>2181</v>
      </c>
      <c r="BJ524" s="40">
        <v>2022</v>
      </c>
      <c r="BK524" s="40" t="s">
        <v>2768</v>
      </c>
      <c r="BL524" s="40" t="s">
        <v>2768</v>
      </c>
      <c r="BM524" s="40" t="s">
        <v>2768</v>
      </c>
    </row>
    <row r="525" spans="1:65" x14ac:dyDescent="0.25">
      <c r="A525" s="40" t="s">
        <v>2771</v>
      </c>
      <c r="B525" s="41">
        <v>44845.416666666664</v>
      </c>
      <c r="C525" s="40" t="s">
        <v>353</v>
      </c>
      <c r="D525" s="40" t="s">
        <v>354</v>
      </c>
      <c r="E525" s="40">
        <v>8072234</v>
      </c>
      <c r="F525" s="40">
        <v>62847769</v>
      </c>
      <c r="G525" s="40" t="s">
        <v>2197</v>
      </c>
      <c r="H525" s="40" t="s">
        <v>301</v>
      </c>
      <c r="I525" s="40">
        <v>3840</v>
      </c>
      <c r="J525" s="40" t="s">
        <v>2198</v>
      </c>
      <c r="K525" s="40">
        <v>26070</v>
      </c>
      <c r="L525" s="40">
        <v>29910</v>
      </c>
      <c r="M525" s="40">
        <v>641109</v>
      </c>
      <c r="N525" s="40" t="s">
        <v>2188</v>
      </c>
      <c r="O525" s="40" t="s">
        <v>890</v>
      </c>
      <c r="P525" s="40" t="s">
        <v>891</v>
      </c>
      <c r="Q525" s="40" t="s">
        <v>892</v>
      </c>
      <c r="R525" s="42" t="s">
        <v>893</v>
      </c>
      <c r="S525" s="42" t="s">
        <v>894</v>
      </c>
      <c r="T525" s="40" t="s">
        <v>537</v>
      </c>
      <c r="U525" s="41">
        <v>44844.833333333336</v>
      </c>
      <c r="V525" s="41">
        <v>44845.208333333336</v>
      </c>
      <c r="W525" s="41">
        <v>44845.451388888891</v>
      </c>
      <c r="X525" s="40" t="s">
        <v>293</v>
      </c>
      <c r="Y525" s="41">
        <v>44851.257638888892</v>
      </c>
      <c r="Z525" s="41">
        <v>44849.833333333336</v>
      </c>
      <c r="AA525" s="41">
        <v>44845.5</v>
      </c>
      <c r="AB525" s="41">
        <v>44851.5</v>
      </c>
      <c r="AC525" s="40" t="s">
        <v>452</v>
      </c>
      <c r="AD525" s="40">
        <v>14019</v>
      </c>
      <c r="AE525" s="40" t="s">
        <v>125</v>
      </c>
      <c r="AF525" s="40" t="s">
        <v>125</v>
      </c>
      <c r="AG525" s="40"/>
      <c r="AH525" s="40" t="s">
        <v>393</v>
      </c>
      <c r="AI525" s="41">
        <v>44845.75</v>
      </c>
      <c r="AJ525" s="40"/>
      <c r="AK525" s="43">
        <v>950</v>
      </c>
      <c r="AL525" s="40"/>
      <c r="AM525" s="43">
        <v>0</v>
      </c>
      <c r="AN525" s="43"/>
      <c r="AO525" s="43"/>
      <c r="AP525" s="43"/>
      <c r="AQ525" s="43">
        <v>0</v>
      </c>
      <c r="AR525" s="43">
        <v>0</v>
      </c>
      <c r="AS525" s="43"/>
      <c r="AT525" s="43">
        <v>0</v>
      </c>
      <c r="AU525" s="43"/>
      <c r="AV525" s="43"/>
      <c r="AW525" s="43"/>
      <c r="AX525" s="43">
        <v>0</v>
      </c>
      <c r="AY525" s="43">
        <v>0</v>
      </c>
      <c r="AZ525" s="43">
        <v>0</v>
      </c>
      <c r="BA525" s="43">
        <v>0</v>
      </c>
      <c r="BB525" s="43">
        <v>0</v>
      </c>
      <c r="BC525" s="43">
        <v>0</v>
      </c>
      <c r="BD525" s="43">
        <v>0</v>
      </c>
      <c r="BE525" s="43">
        <v>0</v>
      </c>
      <c r="BF525" s="43">
        <v>0</v>
      </c>
      <c r="BG525" s="43">
        <v>0</v>
      </c>
      <c r="BH525" s="43">
        <v>0</v>
      </c>
      <c r="BI525" s="40" t="s">
        <v>2181</v>
      </c>
      <c r="BJ525" s="40">
        <v>2022</v>
      </c>
      <c r="BK525" s="40" t="s">
        <v>2768</v>
      </c>
      <c r="BL525" s="40" t="s">
        <v>2768</v>
      </c>
      <c r="BM525" s="40" t="s">
        <v>2768</v>
      </c>
    </row>
    <row r="526" spans="1:65" x14ac:dyDescent="0.25">
      <c r="A526" s="40" t="s">
        <v>2771</v>
      </c>
      <c r="B526" s="41">
        <v>44845.583333333336</v>
      </c>
      <c r="C526" s="40" t="s">
        <v>353</v>
      </c>
      <c r="D526" s="40" t="s">
        <v>354</v>
      </c>
      <c r="E526" s="40">
        <v>8072239</v>
      </c>
      <c r="F526" s="40">
        <v>61514437</v>
      </c>
      <c r="G526" s="40" t="s">
        <v>2199</v>
      </c>
      <c r="H526" s="40" t="s">
        <v>301</v>
      </c>
      <c r="I526" s="40">
        <v>3880</v>
      </c>
      <c r="J526" s="40" t="s">
        <v>2200</v>
      </c>
      <c r="K526" s="40">
        <v>26070</v>
      </c>
      <c r="L526" s="40">
        <v>29950</v>
      </c>
      <c r="M526" s="40">
        <v>641293</v>
      </c>
      <c r="N526" s="40" t="s">
        <v>2188</v>
      </c>
      <c r="O526" s="40" t="s">
        <v>150</v>
      </c>
      <c r="P526" s="40" t="s">
        <v>151</v>
      </c>
      <c r="Q526" s="40" t="s">
        <v>152</v>
      </c>
      <c r="R526" s="42" t="s">
        <v>153</v>
      </c>
      <c r="S526" s="42" t="s">
        <v>154</v>
      </c>
      <c r="T526" s="40" t="s">
        <v>537</v>
      </c>
      <c r="U526" s="41">
        <v>44845.3125</v>
      </c>
      <c r="V526" s="41">
        <v>44845.520833333336</v>
      </c>
      <c r="W526" s="41">
        <v>44845.895833333336</v>
      </c>
      <c r="X526" s="40" t="s">
        <v>293</v>
      </c>
      <c r="Y526" s="41">
        <v>44851.211805555555</v>
      </c>
      <c r="Z526" s="41">
        <v>44849.833333333336</v>
      </c>
      <c r="AA526" s="41">
        <v>44845.5</v>
      </c>
      <c r="AB526" s="41">
        <v>44851.5</v>
      </c>
      <c r="AC526" s="40" t="s">
        <v>452</v>
      </c>
      <c r="AD526" s="40">
        <v>14030</v>
      </c>
      <c r="AE526" s="40" t="s">
        <v>125</v>
      </c>
      <c r="AF526" s="40" t="s">
        <v>125</v>
      </c>
      <c r="AG526" s="40"/>
      <c r="AH526" s="40" t="s">
        <v>393</v>
      </c>
      <c r="AI526" s="41">
        <v>44846.020833333336</v>
      </c>
      <c r="AJ526" s="40"/>
      <c r="AK526" s="43">
        <v>950</v>
      </c>
      <c r="AL526" s="40"/>
      <c r="AM526" s="43">
        <v>0</v>
      </c>
      <c r="AN526" s="43"/>
      <c r="AO526" s="43"/>
      <c r="AP526" s="43"/>
      <c r="AQ526" s="43">
        <v>0</v>
      </c>
      <c r="AR526" s="43">
        <v>0</v>
      </c>
      <c r="AS526" s="43"/>
      <c r="AT526" s="43">
        <v>0</v>
      </c>
      <c r="AU526" s="43"/>
      <c r="AV526" s="43"/>
      <c r="AW526" s="43"/>
      <c r="AX526" s="43">
        <v>0</v>
      </c>
      <c r="AY526" s="43">
        <v>0</v>
      </c>
      <c r="AZ526" s="43">
        <v>0</v>
      </c>
      <c r="BA526" s="43">
        <v>0</v>
      </c>
      <c r="BB526" s="43">
        <v>0</v>
      </c>
      <c r="BC526" s="43">
        <v>0</v>
      </c>
      <c r="BD526" s="43">
        <v>0</v>
      </c>
      <c r="BE526" s="43">
        <v>0</v>
      </c>
      <c r="BF526" s="43">
        <v>0</v>
      </c>
      <c r="BG526" s="43">
        <v>0</v>
      </c>
      <c r="BH526" s="43">
        <v>0</v>
      </c>
      <c r="BI526" s="40" t="s">
        <v>2181</v>
      </c>
      <c r="BJ526" s="40">
        <v>2022</v>
      </c>
      <c r="BK526" s="40" t="s">
        <v>2768</v>
      </c>
      <c r="BL526" s="40" t="s">
        <v>2768</v>
      </c>
      <c r="BM526" s="40" t="s">
        <v>2768</v>
      </c>
    </row>
    <row r="527" spans="1:65" x14ac:dyDescent="0.25">
      <c r="A527" s="40" t="s">
        <v>2771</v>
      </c>
      <c r="B527" s="41">
        <v>44845.583333333336</v>
      </c>
      <c r="C527" s="40" t="s">
        <v>353</v>
      </c>
      <c r="D527" s="40" t="s">
        <v>354</v>
      </c>
      <c r="E527" s="40">
        <v>8072239</v>
      </c>
      <c r="F527" s="40">
        <v>61514437</v>
      </c>
      <c r="G527" s="40" t="s">
        <v>2201</v>
      </c>
      <c r="H527" s="40" t="s">
        <v>301</v>
      </c>
      <c r="I527" s="40">
        <v>3810</v>
      </c>
      <c r="J527" s="40" t="s">
        <v>2202</v>
      </c>
      <c r="K527" s="40">
        <v>26070</v>
      </c>
      <c r="L527" s="40">
        <v>29880</v>
      </c>
      <c r="M527" s="40">
        <v>641330</v>
      </c>
      <c r="N527" s="40" t="s">
        <v>2188</v>
      </c>
      <c r="O527" s="40" t="s">
        <v>102</v>
      </c>
      <c r="P527" s="40" t="s">
        <v>27</v>
      </c>
      <c r="Q527" s="40" t="s">
        <v>103</v>
      </c>
      <c r="R527" s="42" t="s">
        <v>104</v>
      </c>
      <c r="S527" s="42" t="s">
        <v>105</v>
      </c>
      <c r="T527" s="40" t="s">
        <v>537</v>
      </c>
      <c r="U527" s="41">
        <v>44845.395833333336</v>
      </c>
      <c r="V527" s="41">
        <v>44845.5625</v>
      </c>
      <c r="W527" s="41">
        <v>44845.895833333336</v>
      </c>
      <c r="X527" s="40" t="s">
        <v>293</v>
      </c>
      <c r="Y527" s="41">
        <v>44851.208333333336</v>
      </c>
      <c r="Z527" s="41">
        <v>44849.833333333336</v>
      </c>
      <c r="AA527" s="41">
        <v>44845.5</v>
      </c>
      <c r="AB527" s="41">
        <v>44851.5</v>
      </c>
      <c r="AC527" s="40" t="s">
        <v>452</v>
      </c>
      <c r="AD527" s="40">
        <v>14029</v>
      </c>
      <c r="AE527" s="40" t="s">
        <v>125</v>
      </c>
      <c r="AF527" s="40" t="s">
        <v>125</v>
      </c>
      <c r="AG527" s="40"/>
      <c r="AH527" s="40" t="s">
        <v>393</v>
      </c>
      <c r="AI527" s="41">
        <v>44846.020833333336</v>
      </c>
      <c r="AJ527" s="40"/>
      <c r="AK527" s="43">
        <v>950</v>
      </c>
      <c r="AL527" s="40"/>
      <c r="AM527" s="43">
        <v>0</v>
      </c>
      <c r="AN527" s="43"/>
      <c r="AO527" s="43"/>
      <c r="AP527" s="43"/>
      <c r="AQ527" s="43">
        <v>0</v>
      </c>
      <c r="AR527" s="43">
        <v>0</v>
      </c>
      <c r="AS527" s="43"/>
      <c r="AT527" s="43">
        <v>0</v>
      </c>
      <c r="AU527" s="43"/>
      <c r="AV527" s="43"/>
      <c r="AW527" s="43"/>
      <c r="AX527" s="43">
        <v>0</v>
      </c>
      <c r="AY527" s="43">
        <v>0</v>
      </c>
      <c r="AZ527" s="43">
        <v>0</v>
      </c>
      <c r="BA527" s="43">
        <v>0</v>
      </c>
      <c r="BB527" s="43">
        <v>0</v>
      </c>
      <c r="BC527" s="43">
        <v>0</v>
      </c>
      <c r="BD527" s="43">
        <v>0</v>
      </c>
      <c r="BE527" s="43">
        <v>0</v>
      </c>
      <c r="BF527" s="43">
        <v>0</v>
      </c>
      <c r="BG527" s="43">
        <v>0</v>
      </c>
      <c r="BH527" s="43">
        <v>0</v>
      </c>
      <c r="BI527" s="40" t="s">
        <v>2181</v>
      </c>
      <c r="BJ527" s="40">
        <v>2022</v>
      </c>
      <c r="BK527" s="40" t="s">
        <v>2768</v>
      </c>
      <c r="BL527" s="40" t="s">
        <v>2768</v>
      </c>
      <c r="BM527" s="40" t="s">
        <v>2768</v>
      </c>
    </row>
    <row r="528" spans="1:65" x14ac:dyDescent="0.25">
      <c r="A528" s="40" t="s">
        <v>2771</v>
      </c>
      <c r="B528" s="41">
        <v>44845.583333333336</v>
      </c>
      <c r="C528" s="40" t="s">
        <v>353</v>
      </c>
      <c r="D528" s="40" t="s">
        <v>354</v>
      </c>
      <c r="E528" s="40">
        <v>8072239</v>
      </c>
      <c r="F528" s="40">
        <v>61514437</v>
      </c>
      <c r="G528" s="40" t="s">
        <v>2203</v>
      </c>
      <c r="H528" s="40" t="s">
        <v>301</v>
      </c>
      <c r="I528" s="40">
        <v>3700</v>
      </c>
      <c r="J528" s="40" t="s">
        <v>2204</v>
      </c>
      <c r="K528" s="40">
        <v>26070</v>
      </c>
      <c r="L528" s="40">
        <v>29770</v>
      </c>
      <c r="M528" s="40">
        <v>641291</v>
      </c>
      <c r="N528" s="40" t="s">
        <v>2188</v>
      </c>
      <c r="O528" s="40" t="s">
        <v>1888</v>
      </c>
      <c r="P528" s="40" t="s">
        <v>1889</v>
      </c>
      <c r="Q528" s="40" t="s">
        <v>1890</v>
      </c>
      <c r="R528" s="42" t="s">
        <v>1891</v>
      </c>
      <c r="S528" s="42" t="s">
        <v>2205</v>
      </c>
      <c r="T528" s="40" t="s">
        <v>537</v>
      </c>
      <c r="U528" s="41">
        <v>44845.347222222219</v>
      </c>
      <c r="V528" s="41">
        <v>44845.541666666664</v>
      </c>
      <c r="W528" s="41">
        <v>44845.791666666664</v>
      </c>
      <c r="X528" s="40" t="s">
        <v>293</v>
      </c>
      <c r="Y528" s="41">
        <v>44850.996527777781</v>
      </c>
      <c r="Z528" s="41">
        <v>44849.833333333336</v>
      </c>
      <c r="AA528" s="41">
        <v>44845.5</v>
      </c>
      <c r="AB528" s="41">
        <v>44851.5</v>
      </c>
      <c r="AC528" s="40" t="s">
        <v>452</v>
      </c>
      <c r="AD528" s="40">
        <v>14025</v>
      </c>
      <c r="AE528" s="40" t="s">
        <v>125</v>
      </c>
      <c r="AF528" s="40" t="s">
        <v>125</v>
      </c>
      <c r="AG528" s="40"/>
      <c r="AH528" s="40" t="s">
        <v>393</v>
      </c>
      <c r="AI528" s="41">
        <v>44847.583333333336</v>
      </c>
      <c r="AJ528" s="40"/>
      <c r="AK528" s="43">
        <v>950</v>
      </c>
      <c r="AL528" s="40"/>
      <c r="AM528" s="43">
        <v>0</v>
      </c>
      <c r="AN528" s="43"/>
      <c r="AO528" s="43"/>
      <c r="AP528" s="43"/>
      <c r="AQ528" s="43">
        <v>0</v>
      </c>
      <c r="AR528" s="43">
        <v>0</v>
      </c>
      <c r="AS528" s="43"/>
      <c r="AT528" s="43">
        <v>0</v>
      </c>
      <c r="AU528" s="43"/>
      <c r="AV528" s="43"/>
      <c r="AW528" s="43"/>
      <c r="AX528" s="43">
        <v>0</v>
      </c>
      <c r="AY528" s="43">
        <v>0</v>
      </c>
      <c r="AZ528" s="43">
        <v>0</v>
      </c>
      <c r="BA528" s="43">
        <v>0</v>
      </c>
      <c r="BB528" s="43">
        <v>0</v>
      </c>
      <c r="BC528" s="43">
        <v>0</v>
      </c>
      <c r="BD528" s="43">
        <v>0</v>
      </c>
      <c r="BE528" s="43">
        <v>0</v>
      </c>
      <c r="BF528" s="43">
        <v>0</v>
      </c>
      <c r="BG528" s="43">
        <v>0</v>
      </c>
      <c r="BH528" s="43">
        <v>0</v>
      </c>
      <c r="BI528" s="40" t="s">
        <v>2181</v>
      </c>
      <c r="BJ528" s="40">
        <v>2022</v>
      </c>
      <c r="BK528" s="40" t="s">
        <v>2768</v>
      </c>
      <c r="BL528" s="40" t="s">
        <v>2768</v>
      </c>
      <c r="BM528" s="40" t="s">
        <v>2768</v>
      </c>
    </row>
    <row r="529" spans="1:65" x14ac:dyDescent="0.25">
      <c r="A529" s="40" t="s">
        <v>2771</v>
      </c>
      <c r="B529" s="41">
        <v>44845.583333333336</v>
      </c>
      <c r="C529" s="40" t="s">
        <v>353</v>
      </c>
      <c r="D529" s="40" t="s">
        <v>354</v>
      </c>
      <c r="E529" s="40">
        <v>8072239</v>
      </c>
      <c r="F529" s="40">
        <v>61514437</v>
      </c>
      <c r="G529" s="40" t="s">
        <v>2206</v>
      </c>
      <c r="H529" s="40" t="s">
        <v>301</v>
      </c>
      <c r="I529" s="40">
        <v>3800</v>
      </c>
      <c r="J529" s="40" t="s">
        <v>2207</v>
      </c>
      <c r="K529" s="40">
        <v>26070</v>
      </c>
      <c r="L529" s="40">
        <v>29870</v>
      </c>
      <c r="M529" s="40">
        <v>641359</v>
      </c>
      <c r="N529" s="40" t="s">
        <v>2188</v>
      </c>
      <c r="O529" s="40" t="s">
        <v>210</v>
      </c>
      <c r="P529" s="40" t="s">
        <v>1968</v>
      </c>
      <c r="Q529" s="40" t="s">
        <v>212</v>
      </c>
      <c r="R529" s="42" t="s">
        <v>213</v>
      </c>
      <c r="S529" s="42" t="s">
        <v>214</v>
      </c>
      <c r="T529" s="40" t="s">
        <v>537</v>
      </c>
      <c r="U529" s="41">
        <v>44835.444444444445</v>
      </c>
      <c r="V529" s="41">
        <v>44845.645833333336</v>
      </c>
      <c r="W529" s="41">
        <v>44845.993055555555</v>
      </c>
      <c r="X529" s="40" t="s">
        <v>293</v>
      </c>
      <c r="Y529" s="41">
        <v>44851.033333333333</v>
      </c>
      <c r="Z529" s="41">
        <v>44849.833333333336</v>
      </c>
      <c r="AA529" s="41">
        <v>44845.5</v>
      </c>
      <c r="AB529" s="41">
        <v>44851.5</v>
      </c>
      <c r="AC529" s="40" t="s">
        <v>452</v>
      </c>
      <c r="AD529" s="40">
        <v>14031</v>
      </c>
      <c r="AE529" s="40" t="s">
        <v>125</v>
      </c>
      <c r="AF529" s="40" t="s">
        <v>125</v>
      </c>
      <c r="AG529" s="40"/>
      <c r="AH529" s="40" t="s">
        <v>393</v>
      </c>
      <c r="AI529" s="41">
        <v>44847.583333333336</v>
      </c>
      <c r="AJ529" s="40"/>
      <c r="AK529" s="43">
        <v>950</v>
      </c>
      <c r="AL529" s="40"/>
      <c r="AM529" s="43">
        <v>0</v>
      </c>
      <c r="AN529" s="43"/>
      <c r="AO529" s="43"/>
      <c r="AP529" s="43"/>
      <c r="AQ529" s="43">
        <v>0</v>
      </c>
      <c r="AR529" s="43">
        <v>0</v>
      </c>
      <c r="AS529" s="43"/>
      <c r="AT529" s="43">
        <v>0</v>
      </c>
      <c r="AU529" s="43"/>
      <c r="AV529" s="43"/>
      <c r="AW529" s="43"/>
      <c r="AX529" s="43">
        <v>0</v>
      </c>
      <c r="AY529" s="43">
        <v>0</v>
      </c>
      <c r="AZ529" s="43">
        <v>0</v>
      </c>
      <c r="BA529" s="43">
        <v>0</v>
      </c>
      <c r="BB529" s="43">
        <v>0</v>
      </c>
      <c r="BC529" s="43">
        <v>0</v>
      </c>
      <c r="BD529" s="43">
        <v>0</v>
      </c>
      <c r="BE529" s="43">
        <v>0</v>
      </c>
      <c r="BF529" s="43">
        <v>0</v>
      </c>
      <c r="BG529" s="43">
        <v>0</v>
      </c>
      <c r="BH529" s="43">
        <v>0</v>
      </c>
      <c r="BI529" s="40" t="s">
        <v>2181</v>
      </c>
      <c r="BJ529" s="40">
        <v>2022</v>
      </c>
      <c r="BK529" s="40" t="s">
        <v>2768</v>
      </c>
      <c r="BL529" s="40" t="s">
        <v>2768</v>
      </c>
      <c r="BM529" s="40" t="s">
        <v>2768</v>
      </c>
    </row>
    <row r="530" spans="1:65" x14ac:dyDescent="0.25">
      <c r="A530" s="36" t="s">
        <v>836</v>
      </c>
      <c r="B530" s="37">
        <v>44847.291666666664</v>
      </c>
      <c r="C530" s="36" t="s">
        <v>1169</v>
      </c>
      <c r="D530" s="36" t="s">
        <v>457</v>
      </c>
      <c r="E530" s="36"/>
      <c r="F530" s="36">
        <v>221817394</v>
      </c>
      <c r="G530" s="36"/>
      <c r="H530" s="36" t="s">
        <v>288</v>
      </c>
      <c r="I530" s="36"/>
      <c r="J530" s="36"/>
      <c r="K530" s="36"/>
      <c r="L530" s="36">
        <v>0</v>
      </c>
      <c r="M530" s="36"/>
      <c r="N530" s="36" t="s">
        <v>2208</v>
      </c>
      <c r="O530" s="36"/>
      <c r="P530" s="36"/>
      <c r="Q530" s="36"/>
      <c r="R530" s="38"/>
      <c r="S530" s="38"/>
      <c r="T530" s="36"/>
      <c r="U530" s="37"/>
      <c r="V530" s="37"/>
      <c r="W530" s="37"/>
      <c r="X530" s="36" t="s">
        <v>410</v>
      </c>
      <c r="Y530" s="37"/>
      <c r="Z530" s="37">
        <v>44852.75</v>
      </c>
      <c r="AA530" s="37">
        <v>44846.5</v>
      </c>
      <c r="AB530" s="37">
        <v>44849.5</v>
      </c>
      <c r="AC530" s="36" t="s">
        <v>2209</v>
      </c>
      <c r="AD530" s="36"/>
      <c r="AE530" s="36" t="s">
        <v>125</v>
      </c>
      <c r="AF530" s="36" t="s">
        <v>125</v>
      </c>
      <c r="AG530" s="36"/>
      <c r="AH530" s="36"/>
      <c r="AI530" s="37"/>
      <c r="AJ530" s="36"/>
      <c r="AK530" s="39"/>
      <c r="AL530" s="36"/>
      <c r="AM530" s="39">
        <v>0</v>
      </c>
      <c r="AN530" s="39"/>
      <c r="AO530" s="39"/>
      <c r="AP530" s="39"/>
      <c r="AQ530" s="39">
        <v>0</v>
      </c>
      <c r="AR530" s="39">
        <v>356.017</v>
      </c>
      <c r="AS530" s="39"/>
      <c r="AT530" s="39">
        <v>5290</v>
      </c>
      <c r="AU530" s="39">
        <v>5290</v>
      </c>
      <c r="AV530" s="39"/>
      <c r="AW530" s="39"/>
      <c r="AX530" s="39">
        <v>0</v>
      </c>
      <c r="AY530" s="39">
        <v>0</v>
      </c>
      <c r="AZ530" s="39">
        <v>0</v>
      </c>
      <c r="BA530" s="39">
        <v>0</v>
      </c>
      <c r="BB530" s="39">
        <v>0</v>
      </c>
      <c r="BC530" s="39">
        <v>0</v>
      </c>
      <c r="BD530" s="39">
        <v>0</v>
      </c>
      <c r="BE530" s="39">
        <v>0</v>
      </c>
      <c r="BF530" s="39">
        <v>0</v>
      </c>
      <c r="BG530" s="39">
        <v>0</v>
      </c>
      <c r="BH530" s="39">
        <v>0</v>
      </c>
      <c r="BI530" s="36" t="s">
        <v>453</v>
      </c>
      <c r="BJ530" s="36">
        <v>1900</v>
      </c>
      <c r="BK530" s="36"/>
      <c r="BL530" s="36"/>
      <c r="BM530" s="36"/>
    </row>
    <row r="531" spans="1:65" x14ac:dyDescent="0.25">
      <c r="A531" s="40" t="s">
        <v>2771</v>
      </c>
      <c r="B531" s="41">
        <v>44848.666666666664</v>
      </c>
      <c r="C531" s="40" t="s">
        <v>2210</v>
      </c>
      <c r="D531" s="40" t="s">
        <v>1801</v>
      </c>
      <c r="E531" s="40"/>
      <c r="F531" s="40" t="s">
        <v>2211</v>
      </c>
      <c r="G531" s="40" t="s">
        <v>2212</v>
      </c>
      <c r="H531" s="40" t="s">
        <v>301</v>
      </c>
      <c r="I531" s="40">
        <v>3810</v>
      </c>
      <c r="J531" s="40" t="s">
        <v>2213</v>
      </c>
      <c r="K531" s="40">
        <v>9500</v>
      </c>
      <c r="L531" s="40">
        <v>13310</v>
      </c>
      <c r="M531" s="40"/>
      <c r="N531" s="40" t="s">
        <v>2214</v>
      </c>
      <c r="O531" s="40" t="s">
        <v>72</v>
      </c>
      <c r="P531" s="40" t="s">
        <v>73</v>
      </c>
      <c r="Q531" s="40" t="s">
        <v>203</v>
      </c>
      <c r="R531" s="42" t="s">
        <v>204</v>
      </c>
      <c r="S531" s="42" t="s">
        <v>205</v>
      </c>
      <c r="T531" s="40" t="s">
        <v>306</v>
      </c>
      <c r="U531" s="41">
        <v>44848.291666666664</v>
      </c>
      <c r="V531" s="41">
        <v>44848.833333333336</v>
      </c>
      <c r="W531" s="41">
        <v>44853.6875</v>
      </c>
      <c r="X531" s="40" t="s">
        <v>292</v>
      </c>
      <c r="Y531" s="41">
        <v>44855.491666666669</v>
      </c>
      <c r="Z531" s="41" t="s">
        <v>2215</v>
      </c>
      <c r="AA531" s="41" t="s">
        <v>2215</v>
      </c>
      <c r="AB531" s="41" t="s">
        <v>2215</v>
      </c>
      <c r="AC531" s="40" t="s">
        <v>708</v>
      </c>
      <c r="AD531" s="40" t="s">
        <v>2216</v>
      </c>
      <c r="AE531" s="40" t="s">
        <v>125</v>
      </c>
      <c r="AF531" s="40" t="s">
        <v>125</v>
      </c>
      <c r="AG531" s="40"/>
      <c r="AH531" s="40"/>
      <c r="AI531" s="41"/>
      <c r="AJ531" s="40"/>
      <c r="AK531" s="43"/>
      <c r="AL531" s="40"/>
      <c r="AM531" s="43">
        <v>0</v>
      </c>
      <c r="AN531" s="43"/>
      <c r="AO531" s="43"/>
      <c r="AP531" s="43"/>
      <c r="AQ531" s="43">
        <v>0</v>
      </c>
      <c r="AR531" s="43">
        <v>663.61683210000001</v>
      </c>
      <c r="AS531" s="43"/>
      <c r="AT531" s="43">
        <v>9860.5770000000011</v>
      </c>
      <c r="AU531" s="43">
        <v>5536.4</v>
      </c>
      <c r="AV531" s="43">
        <v>156027</v>
      </c>
      <c r="AW531" s="43">
        <v>156.02700000000002</v>
      </c>
      <c r="AX531" s="43">
        <v>0</v>
      </c>
      <c r="AY531" s="43">
        <v>363.6</v>
      </c>
      <c r="AZ531" s="43">
        <v>0</v>
      </c>
      <c r="BA531" s="43">
        <v>0</v>
      </c>
      <c r="BB531" s="43">
        <v>0</v>
      </c>
      <c r="BC531" s="43">
        <v>0</v>
      </c>
      <c r="BD531" s="43">
        <v>804.55</v>
      </c>
      <c r="BE531" s="43">
        <v>0</v>
      </c>
      <c r="BF531" s="43">
        <v>0</v>
      </c>
      <c r="BG531" s="43">
        <v>0</v>
      </c>
      <c r="BH531" s="43">
        <v>3000</v>
      </c>
      <c r="BI531" s="40" t="s">
        <v>2181</v>
      </c>
      <c r="BJ531" s="40">
        <v>2022</v>
      </c>
      <c r="BK531" s="40" t="s">
        <v>2768</v>
      </c>
      <c r="BL531" s="40" t="s">
        <v>2768</v>
      </c>
      <c r="BM531" s="40" t="s">
        <v>2768</v>
      </c>
    </row>
    <row r="532" spans="1:65" x14ac:dyDescent="0.25">
      <c r="A532" s="40" t="s">
        <v>2771</v>
      </c>
      <c r="B532" s="41">
        <v>44848.333333333336</v>
      </c>
      <c r="C532" s="40" t="s">
        <v>1110</v>
      </c>
      <c r="D532" s="40" t="s">
        <v>1111</v>
      </c>
      <c r="E532" s="40" t="s">
        <v>2217</v>
      </c>
      <c r="F532" s="40" t="s">
        <v>2218</v>
      </c>
      <c r="G532" s="40" t="s">
        <v>2219</v>
      </c>
      <c r="H532" s="40" t="s">
        <v>301</v>
      </c>
      <c r="I532" s="40">
        <v>3700</v>
      </c>
      <c r="J532" s="40">
        <v>1360948</v>
      </c>
      <c r="K532" s="40">
        <v>26090</v>
      </c>
      <c r="L532" s="40">
        <v>29790</v>
      </c>
      <c r="M532" s="40"/>
      <c r="N532" s="40" t="s">
        <v>2220</v>
      </c>
      <c r="O532" s="40" t="s">
        <v>102</v>
      </c>
      <c r="P532" s="40" t="s">
        <v>27</v>
      </c>
      <c r="Q532" s="40" t="s">
        <v>103</v>
      </c>
      <c r="R532" s="42" t="s">
        <v>104</v>
      </c>
      <c r="S532" s="42" t="s">
        <v>105</v>
      </c>
      <c r="T532" s="40" t="s">
        <v>526</v>
      </c>
      <c r="U532" s="41">
        <v>44848.333333333336</v>
      </c>
      <c r="V532" s="41">
        <v>44848.493055555555</v>
      </c>
      <c r="W532" s="41">
        <v>44851.416666666664</v>
      </c>
      <c r="X532" s="40" t="s">
        <v>293</v>
      </c>
      <c r="Y532" s="41">
        <v>44851.527083333334</v>
      </c>
      <c r="Z532" s="41">
        <v>44848.333333333336</v>
      </c>
      <c r="AA532" s="41">
        <v>44848.75</v>
      </c>
      <c r="AB532" s="41">
        <v>44852.75</v>
      </c>
      <c r="AC532" s="40" t="s">
        <v>294</v>
      </c>
      <c r="AD532" s="40">
        <v>14057</v>
      </c>
      <c r="AE532" s="40" t="s">
        <v>125</v>
      </c>
      <c r="AF532" s="40" t="s">
        <v>125</v>
      </c>
      <c r="AG532" s="40"/>
      <c r="AH532" s="40"/>
      <c r="AI532" s="41"/>
      <c r="AJ532" s="40"/>
      <c r="AK532" s="43"/>
      <c r="AL532" s="40"/>
      <c r="AM532" s="43">
        <v>0</v>
      </c>
      <c r="AN532" s="43"/>
      <c r="AO532" s="43"/>
      <c r="AP532" s="43"/>
      <c r="AQ532" s="43">
        <v>0</v>
      </c>
      <c r="AR532" s="43">
        <v>444.71839999999997</v>
      </c>
      <c r="AS532" s="43"/>
      <c r="AT532" s="43">
        <v>6608</v>
      </c>
      <c r="AU532" s="43">
        <v>5900</v>
      </c>
      <c r="AV532" s="43"/>
      <c r="AW532" s="43"/>
      <c r="AX532" s="43">
        <v>0</v>
      </c>
      <c r="AY532" s="43">
        <v>0</v>
      </c>
      <c r="AZ532" s="43">
        <v>0</v>
      </c>
      <c r="BA532" s="43">
        <v>0</v>
      </c>
      <c r="BB532" s="43">
        <v>0</v>
      </c>
      <c r="BC532" s="43">
        <v>0</v>
      </c>
      <c r="BD532" s="43">
        <v>708</v>
      </c>
      <c r="BE532" s="43">
        <v>0</v>
      </c>
      <c r="BF532" s="43">
        <v>0</v>
      </c>
      <c r="BG532" s="43">
        <v>0</v>
      </c>
      <c r="BH532" s="43">
        <v>0</v>
      </c>
      <c r="BI532" s="40" t="s">
        <v>2181</v>
      </c>
      <c r="BJ532" s="40">
        <v>2022</v>
      </c>
      <c r="BK532" s="40" t="s">
        <v>2768</v>
      </c>
      <c r="BL532" s="40" t="s">
        <v>2768</v>
      </c>
      <c r="BM532" s="40" t="s">
        <v>2768</v>
      </c>
    </row>
    <row r="533" spans="1:65" x14ac:dyDescent="0.25">
      <c r="A533" s="40" t="s">
        <v>2771</v>
      </c>
      <c r="B533" s="41">
        <v>44851.583333333336</v>
      </c>
      <c r="C533" s="40" t="s">
        <v>353</v>
      </c>
      <c r="D533" s="40" t="s">
        <v>354</v>
      </c>
      <c r="E533" s="40">
        <v>8364821</v>
      </c>
      <c r="F533" s="40">
        <v>6344443630</v>
      </c>
      <c r="G533" s="40" t="s">
        <v>2221</v>
      </c>
      <c r="H533" s="40" t="s">
        <v>301</v>
      </c>
      <c r="I533" s="40">
        <v>3700</v>
      </c>
      <c r="J533" s="40">
        <v>448970</v>
      </c>
      <c r="K533" s="40">
        <v>25467</v>
      </c>
      <c r="L533" s="40">
        <v>29167</v>
      </c>
      <c r="M533" s="40">
        <v>642050</v>
      </c>
      <c r="N533" s="40" t="s">
        <v>2222</v>
      </c>
      <c r="O533" s="40" t="s">
        <v>119</v>
      </c>
      <c r="P533" s="40" t="s">
        <v>120</v>
      </c>
      <c r="Q533" s="40" t="s">
        <v>121</v>
      </c>
      <c r="R533" s="42" t="s">
        <v>122</v>
      </c>
      <c r="S533" s="42" t="s">
        <v>123</v>
      </c>
      <c r="T533" s="40" t="s">
        <v>537</v>
      </c>
      <c r="U533" s="41">
        <v>44851.333333333336</v>
      </c>
      <c r="V533" s="41">
        <v>44851.520833333336</v>
      </c>
      <c r="W533" s="41">
        <v>44851.875</v>
      </c>
      <c r="X533" s="40" t="s">
        <v>293</v>
      </c>
      <c r="Y533" s="41">
        <v>44858.14166666667</v>
      </c>
      <c r="Z533" s="41">
        <v>44857.833333333336</v>
      </c>
      <c r="AA533" s="41">
        <v>44851.666666666664</v>
      </c>
      <c r="AB533" s="41">
        <v>44855.75</v>
      </c>
      <c r="AC533" s="40" t="s">
        <v>616</v>
      </c>
      <c r="AD533" s="40">
        <v>14070</v>
      </c>
      <c r="AE533" s="40" t="s">
        <v>125</v>
      </c>
      <c r="AF533" s="40" t="s">
        <v>125</v>
      </c>
      <c r="AG533" s="40"/>
      <c r="AH533" s="40" t="s">
        <v>393</v>
      </c>
      <c r="AI533" s="41">
        <v>44852.000694444447</v>
      </c>
      <c r="AJ533" s="40"/>
      <c r="AK533" s="43">
        <v>950</v>
      </c>
      <c r="AL533" s="40"/>
      <c r="AM533" s="43">
        <v>0</v>
      </c>
      <c r="AN533" s="43"/>
      <c r="AO533" s="43"/>
      <c r="AP533" s="43"/>
      <c r="AQ533" s="43">
        <v>0</v>
      </c>
      <c r="AR533" s="43">
        <v>0</v>
      </c>
      <c r="AS533" s="43"/>
      <c r="AT533" s="43">
        <v>0</v>
      </c>
      <c r="AU533" s="43"/>
      <c r="AV533" s="43"/>
      <c r="AW533" s="43"/>
      <c r="AX533" s="43">
        <v>0</v>
      </c>
      <c r="AY533" s="43">
        <v>0</v>
      </c>
      <c r="AZ533" s="43">
        <v>0</v>
      </c>
      <c r="BA533" s="43">
        <v>0</v>
      </c>
      <c r="BB533" s="43">
        <v>0</v>
      </c>
      <c r="BC533" s="43">
        <v>0</v>
      </c>
      <c r="BD533" s="43">
        <v>0</v>
      </c>
      <c r="BE533" s="43">
        <v>0</v>
      </c>
      <c r="BF533" s="43">
        <v>0</v>
      </c>
      <c r="BG533" s="43">
        <v>0</v>
      </c>
      <c r="BH533" s="43">
        <v>0</v>
      </c>
      <c r="BI533" s="40" t="s">
        <v>2181</v>
      </c>
      <c r="BJ533" s="40">
        <v>2022</v>
      </c>
      <c r="BK533" s="40" t="s">
        <v>2768</v>
      </c>
      <c r="BL533" s="40" t="s">
        <v>2768</v>
      </c>
      <c r="BM533" s="40" t="s">
        <v>2768</v>
      </c>
    </row>
    <row r="534" spans="1:65" x14ac:dyDescent="0.25">
      <c r="A534" s="40" t="s">
        <v>2771</v>
      </c>
      <c r="B534" s="41">
        <v>44851.583333333336</v>
      </c>
      <c r="C534" s="40" t="s">
        <v>353</v>
      </c>
      <c r="D534" s="40" t="s">
        <v>354</v>
      </c>
      <c r="E534" s="40">
        <v>8364821</v>
      </c>
      <c r="F534" s="40">
        <v>6344443630</v>
      </c>
      <c r="G534" s="40" t="s">
        <v>2223</v>
      </c>
      <c r="H534" s="40" t="s">
        <v>301</v>
      </c>
      <c r="I534" s="40">
        <v>3700</v>
      </c>
      <c r="J534" s="40">
        <v>448962</v>
      </c>
      <c r="K534" s="40">
        <v>25467</v>
      </c>
      <c r="L534" s="40">
        <v>29167</v>
      </c>
      <c r="M534" s="40">
        <v>642092</v>
      </c>
      <c r="N534" s="40" t="s">
        <v>2222</v>
      </c>
      <c r="O534" s="40" t="s">
        <v>2224</v>
      </c>
      <c r="P534" s="40" t="s">
        <v>794</v>
      </c>
      <c r="Q534" s="40" t="s">
        <v>49</v>
      </c>
      <c r="R534" s="42" t="s">
        <v>50</v>
      </c>
      <c r="S534" s="42" t="s">
        <v>51</v>
      </c>
      <c r="T534" s="40" t="s">
        <v>537</v>
      </c>
      <c r="U534" s="41">
        <v>44851.4375</v>
      </c>
      <c r="V534" s="41">
        <v>44851.708333333336</v>
      </c>
      <c r="W534" s="41">
        <v>44851.996527777781</v>
      </c>
      <c r="X534" s="40" t="s">
        <v>293</v>
      </c>
      <c r="Y534" s="41">
        <v>44858.082638888889</v>
      </c>
      <c r="Z534" s="41">
        <v>44857.833333333336</v>
      </c>
      <c r="AA534" s="41">
        <v>44851.666666666664</v>
      </c>
      <c r="AB534" s="41">
        <v>44855.75</v>
      </c>
      <c r="AC534" s="40" t="s">
        <v>616</v>
      </c>
      <c r="AD534" s="40">
        <v>14074</v>
      </c>
      <c r="AE534" s="40" t="s">
        <v>125</v>
      </c>
      <c r="AF534" s="40" t="s">
        <v>125</v>
      </c>
      <c r="AG534" s="40"/>
      <c r="AH534" s="40" t="s">
        <v>393</v>
      </c>
      <c r="AI534" s="41">
        <v>44852.326388888891</v>
      </c>
      <c r="AJ534" s="40"/>
      <c r="AK534" s="43">
        <v>950</v>
      </c>
      <c r="AL534" s="40"/>
      <c r="AM534" s="43">
        <v>0</v>
      </c>
      <c r="AN534" s="43"/>
      <c r="AO534" s="43"/>
      <c r="AP534" s="43"/>
      <c r="AQ534" s="43">
        <v>0</v>
      </c>
      <c r="AR534" s="43">
        <v>0</v>
      </c>
      <c r="AS534" s="43"/>
      <c r="AT534" s="43">
        <v>0</v>
      </c>
      <c r="AU534" s="43"/>
      <c r="AV534" s="43"/>
      <c r="AW534" s="43"/>
      <c r="AX534" s="43">
        <v>0</v>
      </c>
      <c r="AY534" s="43">
        <v>0</v>
      </c>
      <c r="AZ534" s="43">
        <v>0</v>
      </c>
      <c r="BA534" s="43">
        <v>0</v>
      </c>
      <c r="BB534" s="43">
        <v>0</v>
      </c>
      <c r="BC534" s="43">
        <v>0</v>
      </c>
      <c r="BD534" s="43">
        <v>0</v>
      </c>
      <c r="BE534" s="43">
        <v>0</v>
      </c>
      <c r="BF534" s="43">
        <v>0</v>
      </c>
      <c r="BG534" s="43">
        <v>0</v>
      </c>
      <c r="BH534" s="43">
        <v>0</v>
      </c>
      <c r="BI534" s="40" t="s">
        <v>2181</v>
      </c>
      <c r="BJ534" s="40">
        <v>2022</v>
      </c>
      <c r="BK534" s="40" t="s">
        <v>2768</v>
      </c>
      <c r="BL534" s="40" t="s">
        <v>2768</v>
      </c>
      <c r="BM534" s="40" t="s">
        <v>2768</v>
      </c>
    </row>
    <row r="535" spans="1:65" x14ac:dyDescent="0.25">
      <c r="A535" s="40" t="s">
        <v>2771</v>
      </c>
      <c r="B535" s="41">
        <v>44851.583333333336</v>
      </c>
      <c r="C535" s="40" t="s">
        <v>353</v>
      </c>
      <c r="D535" s="40" t="s">
        <v>354</v>
      </c>
      <c r="E535" s="40">
        <v>8364821</v>
      </c>
      <c r="F535" s="40">
        <v>6344443630</v>
      </c>
      <c r="G535" s="40" t="s">
        <v>2225</v>
      </c>
      <c r="H535" s="40" t="s">
        <v>301</v>
      </c>
      <c r="I535" s="40">
        <v>3800</v>
      </c>
      <c r="J535" s="40">
        <v>449011</v>
      </c>
      <c r="K535" s="40">
        <v>25467</v>
      </c>
      <c r="L535" s="40">
        <v>29267</v>
      </c>
      <c r="M535" s="40">
        <v>642093</v>
      </c>
      <c r="N535" s="40" t="s">
        <v>2222</v>
      </c>
      <c r="O535" s="40" t="s">
        <v>140</v>
      </c>
      <c r="P535" s="40" t="s">
        <v>141</v>
      </c>
      <c r="Q535" s="40" t="s">
        <v>2051</v>
      </c>
      <c r="R535" s="42" t="s">
        <v>2052</v>
      </c>
      <c r="S535" s="42" t="s">
        <v>2053</v>
      </c>
      <c r="T535" s="40" t="s">
        <v>537</v>
      </c>
      <c r="U535" s="41">
        <v>44851.318749999999</v>
      </c>
      <c r="V535" s="41">
        <v>44851.5625</v>
      </c>
      <c r="W535" s="41">
        <v>44851.958333333336</v>
      </c>
      <c r="X535" s="40" t="s">
        <v>293</v>
      </c>
      <c r="Y535" s="41">
        <v>44858.143750000003</v>
      </c>
      <c r="Z535" s="41">
        <v>44857.833333333336</v>
      </c>
      <c r="AA535" s="41">
        <v>44851.666666666664</v>
      </c>
      <c r="AB535" s="41">
        <v>44855.75</v>
      </c>
      <c r="AC535" s="40" t="s">
        <v>616</v>
      </c>
      <c r="AD535" s="40">
        <v>14075</v>
      </c>
      <c r="AE535" s="40" t="s">
        <v>125</v>
      </c>
      <c r="AF535" s="40" t="s">
        <v>125</v>
      </c>
      <c r="AG535" s="40"/>
      <c r="AH535" s="40" t="s">
        <v>393</v>
      </c>
      <c r="AI535" s="41">
        <v>44852.125</v>
      </c>
      <c r="AJ535" s="40"/>
      <c r="AK535" s="43">
        <v>950</v>
      </c>
      <c r="AL535" s="40"/>
      <c r="AM535" s="43">
        <v>0</v>
      </c>
      <c r="AN535" s="43"/>
      <c r="AO535" s="43"/>
      <c r="AP535" s="43"/>
      <c r="AQ535" s="43">
        <v>0</v>
      </c>
      <c r="AR535" s="43">
        <v>0</v>
      </c>
      <c r="AS535" s="43"/>
      <c r="AT535" s="43">
        <v>0</v>
      </c>
      <c r="AU535" s="43"/>
      <c r="AV535" s="43"/>
      <c r="AW535" s="43"/>
      <c r="AX535" s="43">
        <v>0</v>
      </c>
      <c r="AY535" s="43">
        <v>0</v>
      </c>
      <c r="AZ535" s="43">
        <v>0</v>
      </c>
      <c r="BA535" s="43">
        <v>0</v>
      </c>
      <c r="BB535" s="43">
        <v>0</v>
      </c>
      <c r="BC535" s="43">
        <v>0</v>
      </c>
      <c r="BD535" s="43">
        <v>0</v>
      </c>
      <c r="BE535" s="43">
        <v>0</v>
      </c>
      <c r="BF535" s="43">
        <v>0</v>
      </c>
      <c r="BG535" s="43">
        <v>0</v>
      </c>
      <c r="BH535" s="43">
        <v>0</v>
      </c>
      <c r="BI535" s="40" t="s">
        <v>2181</v>
      </c>
      <c r="BJ535" s="40">
        <v>2022</v>
      </c>
      <c r="BK535" s="40" t="s">
        <v>2768</v>
      </c>
      <c r="BL535" s="40" t="s">
        <v>2768</v>
      </c>
      <c r="BM535" s="40" t="s">
        <v>2768</v>
      </c>
    </row>
    <row r="536" spans="1:65" x14ac:dyDescent="0.25">
      <c r="A536" s="40" t="s">
        <v>2771</v>
      </c>
      <c r="B536" s="41">
        <v>44853.458333333336</v>
      </c>
      <c r="C536" s="40" t="s">
        <v>297</v>
      </c>
      <c r="D536" s="40" t="s">
        <v>298</v>
      </c>
      <c r="E536" s="40" t="s">
        <v>2226</v>
      </c>
      <c r="F536" s="40">
        <v>60849917</v>
      </c>
      <c r="G536" s="40" t="s">
        <v>2227</v>
      </c>
      <c r="H536" s="40" t="s">
        <v>301</v>
      </c>
      <c r="I536" s="40">
        <v>3910</v>
      </c>
      <c r="J536" s="40" t="s">
        <v>2228</v>
      </c>
      <c r="K536" s="40">
        <v>23547</v>
      </c>
      <c r="L536" s="40">
        <v>27457</v>
      </c>
      <c r="M536" s="40">
        <v>792193</v>
      </c>
      <c r="N536" s="40" t="s">
        <v>2229</v>
      </c>
      <c r="O536" s="40" t="s">
        <v>1961</v>
      </c>
      <c r="P536" s="40" t="s">
        <v>1962</v>
      </c>
      <c r="Q536" s="40" t="s">
        <v>1482</v>
      </c>
      <c r="R536" s="42" t="s">
        <v>1483</v>
      </c>
      <c r="S536" s="42" t="s">
        <v>1484</v>
      </c>
      <c r="T536" s="40" t="s">
        <v>292</v>
      </c>
      <c r="U536" s="41">
        <v>44852.815972222219</v>
      </c>
      <c r="V536" s="41">
        <v>44853.395833333336</v>
      </c>
      <c r="W536" s="41">
        <v>44854.5625</v>
      </c>
      <c r="X536" s="40" t="s">
        <v>293</v>
      </c>
      <c r="Y536" s="41">
        <v>44854.905555555553</v>
      </c>
      <c r="Z536" s="41"/>
      <c r="AA536" s="41">
        <v>44853.5</v>
      </c>
      <c r="AB536" s="41">
        <v>44855.5</v>
      </c>
      <c r="AC536" s="40" t="s">
        <v>1995</v>
      </c>
      <c r="AD536" s="40">
        <v>14103</v>
      </c>
      <c r="AE536" s="40" t="s">
        <v>125</v>
      </c>
      <c r="AF536" s="40" t="s">
        <v>125</v>
      </c>
      <c r="AG536" s="40"/>
      <c r="AH536" s="40"/>
      <c r="AI536" s="41"/>
      <c r="AJ536" s="40"/>
      <c r="AK536" s="43"/>
      <c r="AL536" s="40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>
        <v>1810.5</v>
      </c>
      <c r="BI536" s="40"/>
      <c r="BJ536" s="40"/>
      <c r="BK536" s="40" t="s">
        <v>2768</v>
      </c>
      <c r="BL536" s="40" t="s">
        <v>2768</v>
      </c>
      <c r="BM536" s="40" t="s">
        <v>2768</v>
      </c>
    </row>
    <row r="537" spans="1:65" x14ac:dyDescent="0.25">
      <c r="A537" s="40" t="s">
        <v>2771</v>
      </c>
      <c r="B537" s="41">
        <v>44853.375</v>
      </c>
      <c r="C537" s="40" t="s">
        <v>297</v>
      </c>
      <c r="D537" s="40" t="s">
        <v>298</v>
      </c>
      <c r="E537" s="40" t="s">
        <v>2230</v>
      </c>
      <c r="F537" s="40">
        <v>60849917</v>
      </c>
      <c r="G537" s="40" t="s">
        <v>2231</v>
      </c>
      <c r="H537" s="40" t="s">
        <v>301</v>
      </c>
      <c r="I537" s="40">
        <v>3890</v>
      </c>
      <c r="J537" s="40" t="s">
        <v>2232</v>
      </c>
      <c r="K537" s="40">
        <v>23547</v>
      </c>
      <c r="L537" s="40">
        <v>27437</v>
      </c>
      <c r="M537" s="40">
        <v>791939</v>
      </c>
      <c r="N537" s="40" t="s">
        <v>2229</v>
      </c>
      <c r="O537" s="40" t="s">
        <v>140</v>
      </c>
      <c r="P537" s="40" t="s">
        <v>141</v>
      </c>
      <c r="Q537" s="40" t="s">
        <v>2051</v>
      </c>
      <c r="R537" s="42" t="s">
        <v>2052</v>
      </c>
      <c r="S537" s="42" t="s">
        <v>2053</v>
      </c>
      <c r="T537" s="40" t="s">
        <v>292</v>
      </c>
      <c r="U537" s="41">
        <v>44852.784722222219</v>
      </c>
      <c r="V537" s="41">
        <v>44853.291666666664</v>
      </c>
      <c r="W537" s="41">
        <v>44853.729166666664</v>
      </c>
      <c r="X537" s="40" t="s">
        <v>293</v>
      </c>
      <c r="Y537" s="41">
        <v>44854.174305555556</v>
      </c>
      <c r="Z537" s="41"/>
      <c r="AA537" s="41">
        <v>44853.5</v>
      </c>
      <c r="AB537" s="41">
        <v>44855.5</v>
      </c>
      <c r="AC537" s="40" t="s">
        <v>1995</v>
      </c>
      <c r="AD537" s="40">
        <v>14085</v>
      </c>
      <c r="AE537" s="40" t="s">
        <v>125</v>
      </c>
      <c r="AF537" s="40" t="s">
        <v>125</v>
      </c>
      <c r="AG537" s="40"/>
      <c r="AH537" s="40"/>
      <c r="AI537" s="41"/>
      <c r="AJ537" s="40"/>
      <c r="AK537" s="43"/>
      <c r="AL537" s="40"/>
      <c r="AM537" s="43">
        <v>0</v>
      </c>
      <c r="AN537" s="43"/>
      <c r="AO537" s="43"/>
      <c r="AP537" s="43"/>
      <c r="AQ537" s="43">
        <v>0</v>
      </c>
      <c r="AR537" s="43">
        <v>18.877649999999999</v>
      </c>
      <c r="AS537" s="43"/>
      <c r="AT537" s="43">
        <v>280.5</v>
      </c>
      <c r="AU537" s="43"/>
      <c r="AV537" s="43"/>
      <c r="AW537" s="43"/>
      <c r="AX537" s="43">
        <v>0</v>
      </c>
      <c r="AY537" s="43">
        <v>0</v>
      </c>
      <c r="AZ537" s="43">
        <v>0</v>
      </c>
      <c r="BA537" s="43">
        <v>0</v>
      </c>
      <c r="BB537" s="43">
        <v>0</v>
      </c>
      <c r="BC537" s="43">
        <v>0</v>
      </c>
      <c r="BD537" s="43">
        <v>0</v>
      </c>
      <c r="BE537" s="43">
        <v>0</v>
      </c>
      <c r="BF537" s="43">
        <v>0</v>
      </c>
      <c r="BG537" s="43">
        <v>0</v>
      </c>
      <c r="BH537" s="43">
        <v>280.5</v>
      </c>
      <c r="BI537" s="40" t="s">
        <v>2181</v>
      </c>
      <c r="BJ537" s="40">
        <v>2022</v>
      </c>
      <c r="BK537" s="40" t="s">
        <v>2768</v>
      </c>
      <c r="BL537" s="40" t="s">
        <v>2768</v>
      </c>
      <c r="BM537" s="40" t="s">
        <v>2768</v>
      </c>
    </row>
    <row r="538" spans="1:65" x14ac:dyDescent="0.25">
      <c r="A538" s="40" t="s">
        <v>2771</v>
      </c>
      <c r="B538" s="41">
        <v>44853.333333333336</v>
      </c>
      <c r="C538" s="40" t="s">
        <v>2233</v>
      </c>
      <c r="D538" s="40" t="s">
        <v>2234</v>
      </c>
      <c r="E538" s="40" t="s">
        <v>2235</v>
      </c>
      <c r="F538" s="40" t="s">
        <v>2236</v>
      </c>
      <c r="G538" s="40" t="s">
        <v>2237</v>
      </c>
      <c r="H538" s="40" t="s">
        <v>459</v>
      </c>
      <c r="I538" s="40">
        <v>4540</v>
      </c>
      <c r="J538" s="40" t="s">
        <v>2238</v>
      </c>
      <c r="K538" s="40">
        <v>26498</v>
      </c>
      <c r="L538" s="40">
        <v>31038</v>
      </c>
      <c r="M538" s="40">
        <v>95982</v>
      </c>
      <c r="N538" s="40" t="s">
        <v>2239</v>
      </c>
      <c r="O538" s="40" t="s">
        <v>155</v>
      </c>
      <c r="P538" s="40" t="s">
        <v>312</v>
      </c>
      <c r="Q538" s="40" t="s">
        <v>156</v>
      </c>
      <c r="R538" s="42" t="s">
        <v>157</v>
      </c>
      <c r="S538" s="42" t="s">
        <v>158</v>
      </c>
      <c r="T538" s="40" t="s">
        <v>1569</v>
      </c>
      <c r="U538" s="41">
        <v>44852.875</v>
      </c>
      <c r="V538" s="41">
        <v>44853.381944444445</v>
      </c>
      <c r="W538" s="41">
        <v>44853.583333333336</v>
      </c>
      <c r="X538" s="40" t="s">
        <v>292</v>
      </c>
      <c r="Y538" s="41">
        <v>44854.4375</v>
      </c>
      <c r="Z538" s="41"/>
      <c r="AA538" s="41"/>
      <c r="AB538" s="41"/>
      <c r="AC538" s="40" t="s">
        <v>708</v>
      </c>
      <c r="AD538" s="40">
        <v>14068</v>
      </c>
      <c r="AE538" s="40" t="s">
        <v>125</v>
      </c>
      <c r="AF538" s="40" t="s">
        <v>125</v>
      </c>
      <c r="AG538" s="40"/>
      <c r="AH538" s="40"/>
      <c r="AI538" s="41"/>
      <c r="AJ538" s="40"/>
      <c r="AK538" s="43"/>
      <c r="AL538" s="40"/>
      <c r="AM538" s="43">
        <v>0</v>
      </c>
      <c r="AN538" s="43"/>
      <c r="AO538" s="43"/>
      <c r="AP538" s="43"/>
      <c r="AQ538" s="43">
        <v>0</v>
      </c>
      <c r="AR538" s="43">
        <v>0</v>
      </c>
      <c r="AS538" s="43"/>
      <c r="AT538" s="43">
        <v>0</v>
      </c>
      <c r="AU538" s="43"/>
      <c r="AV538" s="43"/>
      <c r="AW538" s="43"/>
      <c r="AX538" s="43">
        <v>0</v>
      </c>
      <c r="AY538" s="43">
        <v>0</v>
      </c>
      <c r="AZ538" s="43">
        <v>0</v>
      </c>
      <c r="BA538" s="43">
        <v>0</v>
      </c>
      <c r="BB538" s="43">
        <v>0</v>
      </c>
      <c r="BC538" s="43">
        <v>0</v>
      </c>
      <c r="BD538" s="43">
        <v>0</v>
      </c>
      <c r="BE538" s="43">
        <v>0</v>
      </c>
      <c r="BF538" s="43">
        <v>0</v>
      </c>
      <c r="BG538" s="43">
        <v>0</v>
      </c>
      <c r="BH538" s="43">
        <v>0</v>
      </c>
      <c r="BI538" s="40" t="s">
        <v>2181</v>
      </c>
      <c r="BJ538" s="40">
        <v>2022</v>
      </c>
      <c r="BK538" s="40" t="s">
        <v>2768</v>
      </c>
      <c r="BL538" s="40" t="s">
        <v>2768</v>
      </c>
      <c r="BM538" s="40" t="s">
        <v>2768</v>
      </c>
    </row>
    <row r="539" spans="1:65" x14ac:dyDescent="0.25">
      <c r="A539" s="40" t="s">
        <v>2771</v>
      </c>
      <c r="B539" s="41">
        <v>44854.291666666664</v>
      </c>
      <c r="C539" s="40" t="s">
        <v>1414</v>
      </c>
      <c r="D539" s="40" t="s">
        <v>2020</v>
      </c>
      <c r="E539" s="40" t="s">
        <v>2240</v>
      </c>
      <c r="F539" s="40">
        <v>89920137</v>
      </c>
      <c r="G539" s="40" t="s">
        <v>2241</v>
      </c>
      <c r="H539" s="40" t="s">
        <v>1418</v>
      </c>
      <c r="I539" s="40">
        <v>3800</v>
      </c>
      <c r="J539" s="40" t="s">
        <v>2242</v>
      </c>
      <c r="K539" s="40">
        <v>19640</v>
      </c>
      <c r="L539" s="40">
        <v>23440</v>
      </c>
      <c r="M539" s="40">
        <v>515528</v>
      </c>
      <c r="N539" s="40" t="s">
        <v>2243</v>
      </c>
      <c r="O539" s="40" t="s">
        <v>129</v>
      </c>
      <c r="P539" s="40" t="s">
        <v>2244</v>
      </c>
      <c r="Q539" s="40" t="s">
        <v>131</v>
      </c>
      <c r="R539" s="42" t="s">
        <v>132</v>
      </c>
      <c r="S539" s="42" t="s">
        <v>133</v>
      </c>
      <c r="T539" s="40" t="s">
        <v>1421</v>
      </c>
      <c r="U539" s="41">
        <v>44852.416666666664</v>
      </c>
      <c r="V539" s="41">
        <v>44853.791666666664</v>
      </c>
      <c r="W539" s="41">
        <v>44854.666666666664</v>
      </c>
      <c r="X539" s="40" t="s">
        <v>410</v>
      </c>
      <c r="Y539" s="41">
        <v>44856.25277777778</v>
      </c>
      <c r="Z539" s="41">
        <v>44854.541666666664</v>
      </c>
      <c r="AA539" s="41">
        <v>44854.583333333336</v>
      </c>
      <c r="AB539" s="41" t="s">
        <v>2245</v>
      </c>
      <c r="AC539" s="40" t="s">
        <v>522</v>
      </c>
      <c r="AD539" s="40">
        <v>849</v>
      </c>
      <c r="AE539" s="40" t="s">
        <v>125</v>
      </c>
      <c r="AF539" s="40" t="s">
        <v>125</v>
      </c>
      <c r="AG539" s="40" t="s">
        <v>2246</v>
      </c>
      <c r="AH539" s="40"/>
      <c r="AI539" s="41"/>
      <c r="AJ539" s="40"/>
      <c r="AK539" s="43"/>
      <c r="AL539" s="40"/>
      <c r="AM539" s="43">
        <v>0</v>
      </c>
      <c r="AN539" s="43"/>
      <c r="AO539" s="43"/>
      <c r="AP539" s="43"/>
      <c r="AQ539" s="43">
        <v>0</v>
      </c>
      <c r="AR539" s="43">
        <v>0</v>
      </c>
      <c r="AS539" s="43"/>
      <c r="AT539" s="43">
        <v>0</v>
      </c>
      <c r="AU539" s="43"/>
      <c r="AV539" s="43"/>
      <c r="AW539" s="43"/>
      <c r="AX539" s="43">
        <v>0</v>
      </c>
      <c r="AY539" s="43">
        <v>0</v>
      </c>
      <c r="AZ539" s="43">
        <v>0</v>
      </c>
      <c r="BA539" s="43">
        <v>0</v>
      </c>
      <c r="BB539" s="43">
        <v>0</v>
      </c>
      <c r="BC539" s="43">
        <v>0</v>
      </c>
      <c r="BD539" s="43">
        <v>0</v>
      </c>
      <c r="BE539" s="43">
        <v>0</v>
      </c>
      <c r="BF539" s="43">
        <v>0</v>
      </c>
      <c r="BG539" s="43">
        <v>0</v>
      </c>
      <c r="BH539" s="43">
        <v>0</v>
      </c>
      <c r="BI539" s="40" t="s">
        <v>2181</v>
      </c>
      <c r="BJ539" s="40">
        <v>2022</v>
      </c>
      <c r="BK539" s="40" t="s">
        <v>2768</v>
      </c>
      <c r="BL539" s="40" t="s">
        <v>2768</v>
      </c>
      <c r="BM539" s="40" t="s">
        <v>2768</v>
      </c>
    </row>
    <row r="540" spans="1:65" x14ac:dyDescent="0.25">
      <c r="A540" s="40" t="s">
        <v>2771</v>
      </c>
      <c r="B540" s="41">
        <v>44854.291666666664</v>
      </c>
      <c r="C540" s="40" t="s">
        <v>1414</v>
      </c>
      <c r="D540" s="40" t="s">
        <v>2020</v>
      </c>
      <c r="E540" s="40" t="s">
        <v>2247</v>
      </c>
      <c r="F540" s="40">
        <v>19755412</v>
      </c>
      <c r="G540" s="40" t="s">
        <v>2248</v>
      </c>
      <c r="H540" s="40" t="s">
        <v>1418</v>
      </c>
      <c r="I540" s="40">
        <v>3700</v>
      </c>
      <c r="J540" s="40" t="s">
        <v>2249</v>
      </c>
      <c r="K540" s="40">
        <v>19580</v>
      </c>
      <c r="L540" s="40">
        <v>23280</v>
      </c>
      <c r="M540" s="40">
        <v>515550</v>
      </c>
      <c r="N540" s="40" t="s">
        <v>2243</v>
      </c>
      <c r="O540" s="40" t="s">
        <v>129</v>
      </c>
      <c r="P540" s="40" t="s">
        <v>2250</v>
      </c>
      <c r="Q540" s="40" t="s">
        <v>131</v>
      </c>
      <c r="R540" s="42" t="s">
        <v>132</v>
      </c>
      <c r="S540" s="42" t="s">
        <v>133</v>
      </c>
      <c r="T540" s="40" t="s">
        <v>1421</v>
      </c>
      <c r="U540" s="41">
        <v>44852.416666666664</v>
      </c>
      <c r="V540" s="41">
        <v>44853.791666666664</v>
      </c>
      <c r="W540" s="41">
        <v>44854.666666666664</v>
      </c>
      <c r="X540" s="40" t="s">
        <v>410</v>
      </c>
      <c r="Y540" s="41">
        <v>44856.163194444445</v>
      </c>
      <c r="Z540" s="41">
        <v>44854.541666666664</v>
      </c>
      <c r="AA540" s="41">
        <v>44854.583333333336</v>
      </c>
      <c r="AB540" s="41" t="s">
        <v>2245</v>
      </c>
      <c r="AC540" s="40" t="s">
        <v>522</v>
      </c>
      <c r="AD540" s="40">
        <v>850</v>
      </c>
      <c r="AE540" s="40" t="s">
        <v>125</v>
      </c>
      <c r="AF540" s="40" t="s">
        <v>125</v>
      </c>
      <c r="AG540" s="40" t="s">
        <v>2251</v>
      </c>
      <c r="AH540" s="40">
        <v>6</v>
      </c>
      <c r="AI540" s="41"/>
      <c r="AJ540" s="40"/>
      <c r="AK540" s="43"/>
      <c r="AL540" s="40"/>
      <c r="AM540" s="43">
        <v>0</v>
      </c>
      <c r="AN540" s="43"/>
      <c r="AO540" s="43"/>
      <c r="AP540" s="43"/>
      <c r="AQ540" s="43">
        <v>0</v>
      </c>
      <c r="AR540" s="43">
        <v>0</v>
      </c>
      <c r="AS540" s="43"/>
      <c r="AT540" s="43">
        <v>0</v>
      </c>
      <c r="AU540" s="43"/>
      <c r="AV540" s="43"/>
      <c r="AW540" s="43"/>
      <c r="AX540" s="43">
        <v>0</v>
      </c>
      <c r="AY540" s="43">
        <v>0</v>
      </c>
      <c r="AZ540" s="43">
        <v>0</v>
      </c>
      <c r="BA540" s="43">
        <v>0</v>
      </c>
      <c r="BB540" s="43">
        <v>0</v>
      </c>
      <c r="BC540" s="43">
        <v>0</v>
      </c>
      <c r="BD540" s="43">
        <v>0</v>
      </c>
      <c r="BE540" s="43">
        <v>0</v>
      </c>
      <c r="BF540" s="43">
        <v>0</v>
      </c>
      <c r="BG540" s="43">
        <v>0</v>
      </c>
      <c r="BH540" s="43">
        <v>0</v>
      </c>
      <c r="BI540" s="40" t="s">
        <v>2181</v>
      </c>
      <c r="BJ540" s="40">
        <v>2022</v>
      </c>
      <c r="BK540" s="40" t="s">
        <v>2768</v>
      </c>
      <c r="BL540" s="40" t="s">
        <v>2768</v>
      </c>
      <c r="BM540" s="40" t="s">
        <v>2768</v>
      </c>
    </row>
    <row r="541" spans="1:65" x14ac:dyDescent="0.25">
      <c r="A541" s="40" t="s">
        <v>2771</v>
      </c>
      <c r="B541" s="41">
        <v>44855.333333333336</v>
      </c>
      <c r="C541" s="40" t="s">
        <v>1110</v>
      </c>
      <c r="D541" s="40" t="s">
        <v>1111</v>
      </c>
      <c r="E541" s="40" t="s">
        <v>2252</v>
      </c>
      <c r="F541" s="40" t="s">
        <v>2253</v>
      </c>
      <c r="G541" s="40" t="s">
        <v>2254</v>
      </c>
      <c r="H541" s="40" t="s">
        <v>301</v>
      </c>
      <c r="I541" s="40">
        <v>3840</v>
      </c>
      <c r="J541" s="40">
        <v>1360904</v>
      </c>
      <c r="K541" s="40">
        <v>25880</v>
      </c>
      <c r="L541" s="40">
        <v>29720</v>
      </c>
      <c r="M541" s="40">
        <v>322572</v>
      </c>
      <c r="N541" s="40" t="s">
        <v>2255</v>
      </c>
      <c r="O541" s="40" t="s">
        <v>106</v>
      </c>
      <c r="P541" s="40" t="s">
        <v>107</v>
      </c>
      <c r="Q541" s="40" t="s">
        <v>108</v>
      </c>
      <c r="R541" s="42" t="s">
        <v>109</v>
      </c>
      <c r="S541" s="42" t="s">
        <v>110</v>
      </c>
      <c r="T541" s="40" t="s">
        <v>526</v>
      </c>
      <c r="U541" s="41">
        <v>44855.354166666664</v>
      </c>
      <c r="V541" s="41">
        <v>44855.416666666664</v>
      </c>
      <c r="W541" s="41">
        <v>44858.48541666667</v>
      </c>
      <c r="X541" s="40" t="s">
        <v>293</v>
      </c>
      <c r="Y541" s="41">
        <v>44858.277083333334</v>
      </c>
      <c r="Z541" s="41">
        <v>44859.000694444447</v>
      </c>
      <c r="AA541" s="41">
        <v>44859.000694444447</v>
      </c>
      <c r="AB541" s="41">
        <v>44859.000694444447</v>
      </c>
      <c r="AC541" s="40" t="s">
        <v>294</v>
      </c>
      <c r="AD541" s="40">
        <v>14104</v>
      </c>
      <c r="AE541" s="40" t="s">
        <v>125</v>
      </c>
      <c r="AF541" s="40" t="s">
        <v>125</v>
      </c>
      <c r="AG541" s="40"/>
      <c r="AH541" s="40"/>
      <c r="AI541" s="41"/>
      <c r="AJ541" s="40"/>
      <c r="AK541" s="43"/>
      <c r="AL541" s="40"/>
      <c r="AM541" s="43">
        <v>0</v>
      </c>
      <c r="AN541" s="43"/>
      <c r="AO541" s="43"/>
      <c r="AP541" s="43"/>
      <c r="AQ541" s="43">
        <v>0</v>
      </c>
      <c r="AR541" s="43">
        <v>0</v>
      </c>
      <c r="AS541" s="43"/>
      <c r="AT541" s="43">
        <v>0</v>
      </c>
      <c r="AU541" s="43"/>
      <c r="AV541" s="43"/>
      <c r="AW541" s="43"/>
      <c r="AX541" s="43">
        <v>0</v>
      </c>
      <c r="AY541" s="43">
        <v>0</v>
      </c>
      <c r="AZ541" s="43">
        <v>0</v>
      </c>
      <c r="BA541" s="43">
        <v>0</v>
      </c>
      <c r="BB541" s="43">
        <v>0</v>
      </c>
      <c r="BC541" s="43">
        <v>0</v>
      </c>
      <c r="BD541" s="43">
        <v>0</v>
      </c>
      <c r="BE541" s="43">
        <v>0</v>
      </c>
      <c r="BF541" s="43">
        <v>0</v>
      </c>
      <c r="BG541" s="43">
        <v>0</v>
      </c>
      <c r="BH541" s="43">
        <v>0</v>
      </c>
      <c r="BI541" s="40" t="s">
        <v>2181</v>
      </c>
      <c r="BJ541" s="40">
        <v>2022</v>
      </c>
      <c r="BK541" s="40" t="s">
        <v>2768</v>
      </c>
      <c r="BL541" s="40" t="s">
        <v>2768</v>
      </c>
      <c r="BM541" s="40" t="s">
        <v>2768</v>
      </c>
    </row>
    <row r="542" spans="1:65" x14ac:dyDescent="0.25">
      <c r="A542" s="40" t="s">
        <v>2771</v>
      </c>
      <c r="B542" s="41">
        <v>44858.333333333336</v>
      </c>
      <c r="C542" s="40" t="s">
        <v>696</v>
      </c>
      <c r="D542" s="40" t="s">
        <v>697</v>
      </c>
      <c r="E542" s="40" t="s">
        <v>2256</v>
      </c>
      <c r="F542" s="40">
        <v>87416</v>
      </c>
      <c r="G542" s="40" t="s">
        <v>2257</v>
      </c>
      <c r="H542" s="40" t="s">
        <v>288</v>
      </c>
      <c r="I542" s="40"/>
      <c r="J542" s="40"/>
      <c r="K542" s="40"/>
      <c r="L542" s="40">
        <v>0</v>
      </c>
      <c r="M542" s="40" t="s">
        <v>2258</v>
      </c>
      <c r="N542" s="40" t="s">
        <v>2259</v>
      </c>
      <c r="O542" s="40" t="s">
        <v>2260</v>
      </c>
      <c r="P542" s="40" t="s">
        <v>2261</v>
      </c>
      <c r="Q542" s="40" t="s">
        <v>2262</v>
      </c>
      <c r="R542" s="42" t="s">
        <v>2263</v>
      </c>
      <c r="S542" s="42" t="s">
        <v>2264</v>
      </c>
      <c r="T542" s="40" t="s">
        <v>293</v>
      </c>
      <c r="U542" s="41">
        <v>44858.025000000001</v>
      </c>
      <c r="V542" s="41">
        <v>44858.208333333336</v>
      </c>
      <c r="W542" s="41">
        <v>44858.333333333336</v>
      </c>
      <c r="X542" s="40" t="s">
        <v>292</v>
      </c>
      <c r="Y542" s="41">
        <v>44858.635416666664</v>
      </c>
      <c r="Z542" s="41">
        <v>44859.75</v>
      </c>
      <c r="AA542" s="41">
        <v>44859.75</v>
      </c>
      <c r="AB542" s="41">
        <v>44859.75</v>
      </c>
      <c r="AC542" s="40" t="s">
        <v>708</v>
      </c>
      <c r="AD542" s="40" t="s">
        <v>2265</v>
      </c>
      <c r="AE542" s="40" t="s">
        <v>125</v>
      </c>
      <c r="AF542" s="40" t="s">
        <v>125</v>
      </c>
      <c r="AG542" s="40"/>
      <c r="AH542" s="40"/>
      <c r="AI542" s="41"/>
      <c r="AJ542" s="40"/>
      <c r="AK542" s="43"/>
      <c r="AL542" s="40"/>
      <c r="AM542" s="43">
        <v>0</v>
      </c>
      <c r="AN542" s="43"/>
      <c r="AO542" s="43"/>
      <c r="AP542" s="43"/>
      <c r="AQ542" s="43">
        <v>0</v>
      </c>
      <c r="AR542" s="43">
        <v>0</v>
      </c>
      <c r="AS542" s="43"/>
      <c r="AT542" s="43">
        <v>0</v>
      </c>
      <c r="AU542" s="43"/>
      <c r="AV542" s="43"/>
      <c r="AW542" s="43"/>
      <c r="AX542" s="43">
        <v>0</v>
      </c>
      <c r="AY542" s="43">
        <v>0</v>
      </c>
      <c r="AZ542" s="43">
        <v>0</v>
      </c>
      <c r="BA542" s="43">
        <v>0</v>
      </c>
      <c r="BB542" s="43">
        <v>0</v>
      </c>
      <c r="BC542" s="43">
        <v>0</v>
      </c>
      <c r="BD542" s="43">
        <v>0</v>
      </c>
      <c r="BE542" s="43">
        <v>0</v>
      </c>
      <c r="BF542" s="43">
        <v>0</v>
      </c>
      <c r="BG542" s="43">
        <v>0</v>
      </c>
      <c r="BH542" s="43">
        <v>0</v>
      </c>
      <c r="BI542" s="40" t="s">
        <v>2181</v>
      </c>
      <c r="BJ542" s="40">
        <v>2022</v>
      </c>
      <c r="BK542" s="40" t="s">
        <v>2768</v>
      </c>
      <c r="BL542" s="40"/>
      <c r="BM542" s="40" t="s">
        <v>2768</v>
      </c>
    </row>
    <row r="543" spans="1:65" x14ac:dyDescent="0.25">
      <c r="A543" s="40" t="s">
        <v>2771</v>
      </c>
      <c r="B543" s="41">
        <v>44859.25</v>
      </c>
      <c r="C543" s="40" t="s">
        <v>353</v>
      </c>
      <c r="D543" s="40" t="s">
        <v>354</v>
      </c>
      <c r="E543" s="40">
        <v>8072206</v>
      </c>
      <c r="F543" s="40">
        <v>65524632</v>
      </c>
      <c r="G543" s="40" t="s">
        <v>2266</v>
      </c>
      <c r="H543" s="40" t="s">
        <v>301</v>
      </c>
      <c r="I543" s="40">
        <v>3900</v>
      </c>
      <c r="J543" s="40" t="s">
        <v>2267</v>
      </c>
      <c r="K543" s="40">
        <v>26070</v>
      </c>
      <c r="L543" s="40">
        <v>29970</v>
      </c>
      <c r="M543" s="40">
        <v>644147</v>
      </c>
      <c r="N543" s="40" t="s">
        <v>2268</v>
      </c>
      <c r="O543" s="40" t="s">
        <v>119</v>
      </c>
      <c r="P543" s="40" t="s">
        <v>120</v>
      </c>
      <c r="Q543" s="40" t="s">
        <v>121</v>
      </c>
      <c r="R543" s="42" t="s">
        <v>122</v>
      </c>
      <c r="S543" s="42" t="s">
        <v>123</v>
      </c>
      <c r="T543" s="40" t="s">
        <v>292</v>
      </c>
      <c r="U543" s="41">
        <v>44858.708333333336</v>
      </c>
      <c r="V543" s="41">
        <v>44859.25</v>
      </c>
      <c r="W543" s="41">
        <v>44859.666666666664</v>
      </c>
      <c r="X543" s="40" t="s">
        <v>306</v>
      </c>
      <c r="Y543" s="41">
        <v>44861.005555555559</v>
      </c>
      <c r="Z543" s="41">
        <v>44858.791666666664</v>
      </c>
      <c r="AA543" s="41">
        <v>44859.75</v>
      </c>
      <c r="AB543" s="41">
        <v>44861.75</v>
      </c>
      <c r="AC543" s="40" t="s">
        <v>452</v>
      </c>
      <c r="AD543" s="40">
        <v>14127</v>
      </c>
      <c r="AE543" s="40" t="s">
        <v>125</v>
      </c>
      <c r="AF543" s="40" t="s">
        <v>125</v>
      </c>
      <c r="AG543" s="40"/>
      <c r="AH543" s="40" t="s">
        <v>2269</v>
      </c>
      <c r="AI543" s="41">
        <v>44859.958333333336</v>
      </c>
      <c r="AJ543" s="40"/>
      <c r="AK543" s="43">
        <v>950</v>
      </c>
      <c r="AL543" s="40"/>
      <c r="AM543" s="43">
        <v>0</v>
      </c>
      <c r="AN543" s="43"/>
      <c r="AO543" s="43"/>
      <c r="AP543" s="43"/>
      <c r="AQ543" s="43">
        <v>0</v>
      </c>
      <c r="AR543" s="43">
        <v>0</v>
      </c>
      <c r="AS543" s="43"/>
      <c r="AT543" s="43">
        <v>0</v>
      </c>
      <c r="AU543" s="43"/>
      <c r="AV543" s="43"/>
      <c r="AW543" s="43"/>
      <c r="AX543" s="43">
        <v>0</v>
      </c>
      <c r="AY543" s="43">
        <v>0</v>
      </c>
      <c r="AZ543" s="43">
        <v>0</v>
      </c>
      <c r="BA543" s="43">
        <v>0</v>
      </c>
      <c r="BB543" s="43">
        <v>0</v>
      </c>
      <c r="BC543" s="43">
        <v>0</v>
      </c>
      <c r="BD543" s="43">
        <v>0</v>
      </c>
      <c r="BE543" s="43">
        <v>0</v>
      </c>
      <c r="BF543" s="43">
        <v>0</v>
      </c>
      <c r="BG543" s="43">
        <v>0</v>
      </c>
      <c r="BH543" s="43">
        <v>0</v>
      </c>
      <c r="BI543" s="40" t="s">
        <v>2181</v>
      </c>
      <c r="BJ543" s="40">
        <v>2022</v>
      </c>
      <c r="BK543" s="40" t="s">
        <v>2768</v>
      </c>
      <c r="BL543" s="40" t="s">
        <v>2768</v>
      </c>
      <c r="BM543" s="40" t="s">
        <v>2768</v>
      </c>
    </row>
    <row r="544" spans="1:65" x14ac:dyDescent="0.25">
      <c r="A544" s="40" t="s">
        <v>2771</v>
      </c>
      <c r="B544" s="41">
        <v>44859.25</v>
      </c>
      <c r="C544" s="40" t="s">
        <v>353</v>
      </c>
      <c r="D544" s="40" t="s">
        <v>354</v>
      </c>
      <c r="E544" s="40">
        <v>8072206</v>
      </c>
      <c r="F544" s="40">
        <v>65524632</v>
      </c>
      <c r="G544" s="40" t="s">
        <v>2270</v>
      </c>
      <c r="H544" s="40" t="s">
        <v>301</v>
      </c>
      <c r="I544" s="40">
        <v>3720</v>
      </c>
      <c r="J544" s="40" t="s">
        <v>2271</v>
      </c>
      <c r="K544" s="40">
        <v>26070</v>
      </c>
      <c r="L544" s="40">
        <v>29790</v>
      </c>
      <c r="M544" s="40">
        <v>644053</v>
      </c>
      <c r="N544" s="40" t="s">
        <v>2268</v>
      </c>
      <c r="O544" s="40" t="s">
        <v>192</v>
      </c>
      <c r="P544" s="40" t="s">
        <v>193</v>
      </c>
      <c r="Q544" s="40" t="s">
        <v>194</v>
      </c>
      <c r="R544" s="42" t="s">
        <v>195</v>
      </c>
      <c r="S544" s="42" t="s">
        <v>196</v>
      </c>
      <c r="T544" s="40" t="s">
        <v>292</v>
      </c>
      <c r="U544" s="41">
        <v>44858.708333333336</v>
      </c>
      <c r="V544" s="41">
        <v>44859.25</v>
      </c>
      <c r="W544" s="41">
        <v>44859.541666666664</v>
      </c>
      <c r="X544" s="40" t="s">
        <v>306</v>
      </c>
      <c r="Y544" s="41">
        <v>44860.944444444445</v>
      </c>
      <c r="Z544" s="41">
        <v>44858.791666666664</v>
      </c>
      <c r="AA544" s="41">
        <v>44859.75</v>
      </c>
      <c r="AB544" s="41">
        <v>44861.75</v>
      </c>
      <c r="AC544" s="40" t="s">
        <v>452</v>
      </c>
      <c r="AD544" s="40">
        <v>14125</v>
      </c>
      <c r="AE544" s="40" t="s">
        <v>125</v>
      </c>
      <c r="AF544" s="40" t="s">
        <v>125</v>
      </c>
      <c r="AG544" s="40"/>
      <c r="AH544" s="40" t="s">
        <v>2269</v>
      </c>
      <c r="AI544" s="41">
        <v>44859.833333333336</v>
      </c>
      <c r="AJ544" s="40"/>
      <c r="AK544" s="43">
        <v>950</v>
      </c>
      <c r="AL544" s="40"/>
      <c r="AM544" s="43">
        <v>0</v>
      </c>
      <c r="AN544" s="43"/>
      <c r="AO544" s="43"/>
      <c r="AP544" s="43"/>
      <c r="AQ544" s="43">
        <v>0</v>
      </c>
      <c r="AR544" s="43">
        <v>0</v>
      </c>
      <c r="AS544" s="43"/>
      <c r="AT544" s="43">
        <v>0</v>
      </c>
      <c r="AU544" s="43"/>
      <c r="AV544" s="43"/>
      <c r="AW544" s="43"/>
      <c r="AX544" s="43">
        <v>0</v>
      </c>
      <c r="AY544" s="43">
        <v>0</v>
      </c>
      <c r="AZ544" s="43">
        <v>0</v>
      </c>
      <c r="BA544" s="43">
        <v>0</v>
      </c>
      <c r="BB544" s="43">
        <v>0</v>
      </c>
      <c r="BC544" s="43">
        <v>0</v>
      </c>
      <c r="BD544" s="43">
        <v>0</v>
      </c>
      <c r="BE544" s="43">
        <v>0</v>
      </c>
      <c r="BF544" s="43">
        <v>0</v>
      </c>
      <c r="BG544" s="43">
        <v>0</v>
      </c>
      <c r="BH544" s="43">
        <v>0</v>
      </c>
      <c r="BI544" s="40" t="s">
        <v>2181</v>
      </c>
      <c r="BJ544" s="40">
        <v>2022</v>
      </c>
      <c r="BK544" s="40" t="s">
        <v>2768</v>
      </c>
      <c r="BL544" s="40" t="s">
        <v>2768</v>
      </c>
      <c r="BM544" s="40" t="s">
        <v>2768</v>
      </c>
    </row>
    <row r="545" spans="1:65" x14ac:dyDescent="0.25">
      <c r="A545" s="40" t="s">
        <v>2771</v>
      </c>
      <c r="B545" s="41">
        <v>44859.25</v>
      </c>
      <c r="C545" s="40" t="s">
        <v>353</v>
      </c>
      <c r="D545" s="40" t="s">
        <v>354</v>
      </c>
      <c r="E545" s="40">
        <v>8072206</v>
      </c>
      <c r="F545" s="40">
        <v>65524632</v>
      </c>
      <c r="G545" s="40" t="s">
        <v>2272</v>
      </c>
      <c r="H545" s="40" t="s">
        <v>301</v>
      </c>
      <c r="I545" s="40">
        <v>3800</v>
      </c>
      <c r="J545" s="40" t="s">
        <v>2273</v>
      </c>
      <c r="K545" s="40">
        <v>26070</v>
      </c>
      <c r="L545" s="40">
        <v>29870</v>
      </c>
      <c r="M545" s="40">
        <v>644230</v>
      </c>
      <c r="N545" s="40" t="s">
        <v>2268</v>
      </c>
      <c r="O545" s="40" t="s">
        <v>890</v>
      </c>
      <c r="P545" s="40" t="s">
        <v>891</v>
      </c>
      <c r="Q545" s="40" t="s">
        <v>2189</v>
      </c>
      <c r="R545" s="42" t="s">
        <v>2052</v>
      </c>
      <c r="S545" s="42" t="s">
        <v>2053</v>
      </c>
      <c r="T545" s="40" t="s">
        <v>292</v>
      </c>
      <c r="U545" s="41">
        <v>44858.833333333336</v>
      </c>
      <c r="V545" s="41">
        <v>44859.25</v>
      </c>
      <c r="W545" s="41">
        <v>44859.854166666664</v>
      </c>
      <c r="X545" s="40" t="s">
        <v>306</v>
      </c>
      <c r="Y545" s="41">
        <v>44860.910416666666</v>
      </c>
      <c r="Z545" s="41">
        <v>44858.791666666664</v>
      </c>
      <c r="AA545" s="41">
        <v>44859.75</v>
      </c>
      <c r="AB545" s="41">
        <v>44861.75</v>
      </c>
      <c r="AC545" s="40" t="s">
        <v>452</v>
      </c>
      <c r="AD545" s="40">
        <v>14131</v>
      </c>
      <c r="AE545" s="40" t="s">
        <v>125</v>
      </c>
      <c r="AF545" s="40" t="s">
        <v>125</v>
      </c>
      <c r="AG545" s="40"/>
      <c r="AH545" s="40" t="s">
        <v>2269</v>
      </c>
      <c r="AI545" s="41">
        <v>44860.125</v>
      </c>
      <c r="AJ545" s="40"/>
      <c r="AK545" s="43">
        <v>950</v>
      </c>
      <c r="AL545" s="40"/>
      <c r="AM545" s="43">
        <v>0</v>
      </c>
      <c r="AN545" s="43"/>
      <c r="AO545" s="43"/>
      <c r="AP545" s="43"/>
      <c r="AQ545" s="43">
        <v>0</v>
      </c>
      <c r="AR545" s="43">
        <v>0</v>
      </c>
      <c r="AS545" s="43"/>
      <c r="AT545" s="43">
        <v>0</v>
      </c>
      <c r="AU545" s="43"/>
      <c r="AV545" s="43"/>
      <c r="AW545" s="43"/>
      <c r="AX545" s="43">
        <v>0</v>
      </c>
      <c r="AY545" s="43">
        <v>0</v>
      </c>
      <c r="AZ545" s="43">
        <v>0</v>
      </c>
      <c r="BA545" s="43">
        <v>0</v>
      </c>
      <c r="BB545" s="43">
        <v>0</v>
      </c>
      <c r="BC545" s="43">
        <v>0</v>
      </c>
      <c r="BD545" s="43">
        <v>0</v>
      </c>
      <c r="BE545" s="43">
        <v>0</v>
      </c>
      <c r="BF545" s="43">
        <v>0</v>
      </c>
      <c r="BG545" s="43">
        <v>0</v>
      </c>
      <c r="BH545" s="43">
        <v>0</v>
      </c>
      <c r="BI545" s="40" t="s">
        <v>2181</v>
      </c>
      <c r="BJ545" s="40">
        <v>2022</v>
      </c>
      <c r="BK545" s="40" t="s">
        <v>2768</v>
      </c>
      <c r="BL545" s="40" t="s">
        <v>2768</v>
      </c>
      <c r="BM545" s="40" t="s">
        <v>2768</v>
      </c>
    </row>
    <row r="546" spans="1:65" x14ac:dyDescent="0.25">
      <c r="A546" s="40" t="s">
        <v>2771</v>
      </c>
      <c r="B546" s="41">
        <v>44859.25</v>
      </c>
      <c r="C546" s="40" t="s">
        <v>353</v>
      </c>
      <c r="D546" s="40" t="s">
        <v>354</v>
      </c>
      <c r="E546" s="40">
        <v>8072206</v>
      </c>
      <c r="F546" s="40">
        <v>65524632</v>
      </c>
      <c r="G546" s="40" t="s">
        <v>2274</v>
      </c>
      <c r="H546" s="40" t="s">
        <v>301</v>
      </c>
      <c r="I546" s="40">
        <v>3770</v>
      </c>
      <c r="J546" s="40" t="s">
        <v>2275</v>
      </c>
      <c r="K546" s="40">
        <v>26070</v>
      </c>
      <c r="L546" s="40">
        <v>29840</v>
      </c>
      <c r="M546" s="40">
        <v>644113</v>
      </c>
      <c r="N546" s="40" t="s">
        <v>2268</v>
      </c>
      <c r="O546" s="40" t="s">
        <v>178</v>
      </c>
      <c r="P546" s="40" t="s">
        <v>179</v>
      </c>
      <c r="Q546" s="40" t="s">
        <v>180</v>
      </c>
      <c r="R546" s="42" t="s">
        <v>1657</v>
      </c>
      <c r="S546" s="42" t="s">
        <v>181</v>
      </c>
      <c r="T546" s="40" t="s">
        <v>292</v>
      </c>
      <c r="U546" s="41">
        <v>44858.833333333336</v>
      </c>
      <c r="V546" s="41">
        <v>44859.25</v>
      </c>
      <c r="W546" s="41">
        <v>44859.645833333336</v>
      </c>
      <c r="X546" s="40" t="s">
        <v>306</v>
      </c>
      <c r="Y546" s="41">
        <v>44860.895833333336</v>
      </c>
      <c r="Z546" s="41">
        <v>44858.791666666664</v>
      </c>
      <c r="AA546" s="41">
        <v>44859.75</v>
      </c>
      <c r="AB546" s="41">
        <v>44861.75</v>
      </c>
      <c r="AC546" s="40" t="s">
        <v>452</v>
      </c>
      <c r="AD546" s="40">
        <v>14126</v>
      </c>
      <c r="AE546" s="40" t="s">
        <v>125</v>
      </c>
      <c r="AF546" s="40" t="s">
        <v>125</v>
      </c>
      <c r="AG546" s="40"/>
      <c r="AH546" s="40" t="s">
        <v>2269</v>
      </c>
      <c r="AI546" s="41">
        <v>44860.125</v>
      </c>
      <c r="AJ546" s="40"/>
      <c r="AK546" s="43">
        <v>950</v>
      </c>
      <c r="AL546" s="40"/>
      <c r="AM546" s="43">
        <v>0</v>
      </c>
      <c r="AN546" s="43"/>
      <c r="AO546" s="43"/>
      <c r="AP546" s="43"/>
      <c r="AQ546" s="43">
        <v>0</v>
      </c>
      <c r="AR546" s="43">
        <v>0</v>
      </c>
      <c r="AS546" s="43"/>
      <c r="AT546" s="43">
        <v>0</v>
      </c>
      <c r="AU546" s="43"/>
      <c r="AV546" s="43"/>
      <c r="AW546" s="43"/>
      <c r="AX546" s="43">
        <v>0</v>
      </c>
      <c r="AY546" s="43">
        <v>0</v>
      </c>
      <c r="AZ546" s="43">
        <v>0</v>
      </c>
      <c r="BA546" s="43">
        <v>0</v>
      </c>
      <c r="BB546" s="43">
        <v>0</v>
      </c>
      <c r="BC546" s="43">
        <v>0</v>
      </c>
      <c r="BD546" s="43">
        <v>0</v>
      </c>
      <c r="BE546" s="43">
        <v>0</v>
      </c>
      <c r="BF546" s="43">
        <v>0</v>
      </c>
      <c r="BG546" s="43">
        <v>0</v>
      </c>
      <c r="BH546" s="43">
        <v>0</v>
      </c>
      <c r="BI546" s="40" t="s">
        <v>2181</v>
      </c>
      <c r="BJ546" s="40">
        <v>2022</v>
      </c>
      <c r="BK546" s="40" t="s">
        <v>2768</v>
      </c>
      <c r="BL546" s="40" t="s">
        <v>2768</v>
      </c>
      <c r="BM546" s="40" t="s">
        <v>2768</v>
      </c>
    </row>
    <row r="547" spans="1:65" x14ac:dyDescent="0.25">
      <c r="A547" s="40" t="s">
        <v>2771</v>
      </c>
      <c r="B547" s="41">
        <v>44860.291666666664</v>
      </c>
      <c r="C547" s="40" t="s">
        <v>1414</v>
      </c>
      <c r="D547" s="40" t="s">
        <v>2020</v>
      </c>
      <c r="E547" s="40" t="s">
        <v>2276</v>
      </c>
      <c r="F547" s="40">
        <v>34672139</v>
      </c>
      <c r="G547" s="40" t="s">
        <v>2277</v>
      </c>
      <c r="H547" s="40" t="s">
        <v>1418</v>
      </c>
      <c r="I547" s="40">
        <v>3750</v>
      </c>
      <c r="J547" s="40" t="s">
        <v>2278</v>
      </c>
      <c r="K547" s="40">
        <v>19700</v>
      </c>
      <c r="L547" s="40">
        <v>23450</v>
      </c>
      <c r="M547" s="40">
        <v>516143</v>
      </c>
      <c r="N547" s="40" t="s">
        <v>2279</v>
      </c>
      <c r="O547" s="40" t="s">
        <v>155</v>
      </c>
      <c r="P547" s="40" t="s">
        <v>209</v>
      </c>
      <c r="Q547" s="40" t="s">
        <v>156</v>
      </c>
      <c r="R547" s="42" t="s">
        <v>157</v>
      </c>
      <c r="S547" s="42" t="s">
        <v>158</v>
      </c>
      <c r="T547" s="40" t="s">
        <v>1421</v>
      </c>
      <c r="U547" s="41">
        <v>44857.770833333336</v>
      </c>
      <c r="V547" s="41">
        <v>44859.729166666664</v>
      </c>
      <c r="W547" s="41" t="s">
        <v>2280</v>
      </c>
      <c r="X547" s="40" t="s">
        <v>410</v>
      </c>
      <c r="Y547" s="41">
        <v>44865.489583333336</v>
      </c>
      <c r="Z547" s="41">
        <v>44864.75</v>
      </c>
      <c r="AA547" s="41">
        <v>44861.75</v>
      </c>
      <c r="AB547" s="41">
        <v>44866.75</v>
      </c>
      <c r="AC547" s="40" t="s">
        <v>522</v>
      </c>
      <c r="AD547" s="40">
        <v>875</v>
      </c>
      <c r="AE547" s="40" t="s">
        <v>125</v>
      </c>
      <c r="AF547" s="40" t="s">
        <v>125</v>
      </c>
      <c r="AG547" s="40"/>
      <c r="AH547" s="40" t="s">
        <v>393</v>
      </c>
      <c r="AI547" s="41">
        <v>44861.708333333336</v>
      </c>
      <c r="AJ547" s="40"/>
      <c r="AK547" s="43">
        <v>950</v>
      </c>
      <c r="AL547" s="40"/>
      <c r="AM547" s="43">
        <v>0</v>
      </c>
      <c r="AN547" s="43"/>
      <c r="AO547" s="43"/>
      <c r="AP547" s="43"/>
      <c r="AQ547" s="43">
        <v>0</v>
      </c>
      <c r="AR547" s="43">
        <v>0</v>
      </c>
      <c r="AS547" s="43"/>
      <c r="AT547" s="43">
        <v>0</v>
      </c>
      <c r="AU547" s="43"/>
      <c r="AV547" s="43"/>
      <c r="AW547" s="43"/>
      <c r="AX547" s="43">
        <v>0</v>
      </c>
      <c r="AY547" s="43">
        <v>0</v>
      </c>
      <c r="AZ547" s="43">
        <v>0</v>
      </c>
      <c r="BA547" s="43">
        <v>0</v>
      </c>
      <c r="BB547" s="43">
        <v>0</v>
      </c>
      <c r="BC547" s="43">
        <v>0</v>
      </c>
      <c r="BD547" s="43">
        <v>0</v>
      </c>
      <c r="BE547" s="43">
        <v>0</v>
      </c>
      <c r="BF547" s="43">
        <v>0</v>
      </c>
      <c r="BG547" s="43">
        <v>0</v>
      </c>
      <c r="BH547" s="43">
        <v>0</v>
      </c>
      <c r="BI547" s="40" t="s">
        <v>2181</v>
      </c>
      <c r="BJ547" s="40">
        <v>2022</v>
      </c>
      <c r="BK547" s="40" t="s">
        <v>2768</v>
      </c>
      <c r="BL547" s="40" t="s">
        <v>2768</v>
      </c>
      <c r="BM547" s="40"/>
    </row>
    <row r="548" spans="1:65" x14ac:dyDescent="0.25">
      <c r="A548" s="40" t="s">
        <v>2771</v>
      </c>
      <c r="B548" s="41">
        <v>44860.291666666664</v>
      </c>
      <c r="C548" s="40" t="s">
        <v>2281</v>
      </c>
      <c r="D548" s="40" t="s">
        <v>2282</v>
      </c>
      <c r="E548" s="40"/>
      <c r="F548" s="40">
        <v>222234939</v>
      </c>
      <c r="G548" s="40" t="s">
        <v>2283</v>
      </c>
      <c r="H548" s="40" t="s">
        <v>301</v>
      </c>
      <c r="I548" s="40">
        <v>3720</v>
      </c>
      <c r="J548" s="40" t="s">
        <v>2284</v>
      </c>
      <c r="K548" s="40">
        <v>5620</v>
      </c>
      <c r="L548" s="40">
        <v>9340</v>
      </c>
      <c r="M548" s="40" t="s">
        <v>2285</v>
      </c>
      <c r="N548" s="40" t="s">
        <v>2286</v>
      </c>
      <c r="O548" s="40" t="s">
        <v>2287</v>
      </c>
      <c r="P548" s="40" t="s">
        <v>2288</v>
      </c>
      <c r="Q548" s="40" t="s">
        <v>795</v>
      </c>
      <c r="R548" s="42" t="s">
        <v>796</v>
      </c>
      <c r="S548" s="42">
        <v>2479809718</v>
      </c>
      <c r="T548" s="40" t="s">
        <v>857</v>
      </c>
      <c r="U548" s="41">
        <v>44859.333333333336</v>
      </c>
      <c r="V548" s="41" t="s">
        <v>2289</v>
      </c>
      <c r="W548" s="41">
        <v>44860.8125</v>
      </c>
      <c r="X548" s="40" t="s">
        <v>410</v>
      </c>
      <c r="Y548" s="41">
        <v>44862.227777777778</v>
      </c>
      <c r="Z548" s="41">
        <v>44861.541666666664</v>
      </c>
      <c r="AA548" s="41">
        <v>44860.5</v>
      </c>
      <c r="AB548" s="41">
        <v>44863.5</v>
      </c>
      <c r="AC548" s="40" t="s">
        <v>944</v>
      </c>
      <c r="AD548" s="40"/>
      <c r="AE548" s="40" t="s">
        <v>125</v>
      </c>
      <c r="AF548" s="40" t="s">
        <v>125</v>
      </c>
      <c r="AG548" s="40" t="s">
        <v>2290</v>
      </c>
      <c r="AH548" s="40"/>
      <c r="AI548" s="41"/>
      <c r="AJ548" s="40"/>
      <c r="AK548" s="43"/>
      <c r="AL548" s="40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0"/>
      <c r="BJ548" s="40"/>
      <c r="BK548" s="40" t="s">
        <v>2768</v>
      </c>
      <c r="BL548" s="40" t="s">
        <v>2768</v>
      </c>
      <c r="BM548" s="40" t="s">
        <v>2768</v>
      </c>
    </row>
    <row r="549" spans="1:65" x14ac:dyDescent="0.25">
      <c r="A549" s="40" t="s">
        <v>2771</v>
      </c>
      <c r="B549" s="41">
        <v>44860.291666666664</v>
      </c>
      <c r="C549" s="40" t="s">
        <v>2281</v>
      </c>
      <c r="D549" s="40" t="s">
        <v>2282</v>
      </c>
      <c r="E549" s="40"/>
      <c r="F549" s="40">
        <v>914641098</v>
      </c>
      <c r="G549" s="40" t="s">
        <v>2291</v>
      </c>
      <c r="H549" s="40" t="s">
        <v>2292</v>
      </c>
      <c r="I549" s="40">
        <v>4100</v>
      </c>
      <c r="J549" s="40" t="s">
        <v>2293</v>
      </c>
      <c r="K549" s="40">
        <v>30981</v>
      </c>
      <c r="L549" s="40">
        <v>35081</v>
      </c>
      <c r="M549" s="40" t="s">
        <v>2294</v>
      </c>
      <c r="N549" s="40" t="s">
        <v>2286</v>
      </c>
      <c r="O549" s="40" t="s">
        <v>2295</v>
      </c>
      <c r="P549" s="40" t="s">
        <v>2296</v>
      </c>
      <c r="Q549" s="40" t="s">
        <v>795</v>
      </c>
      <c r="R549" s="42" t="s">
        <v>796</v>
      </c>
      <c r="S549" s="42">
        <v>2479809718</v>
      </c>
      <c r="T549" s="40" t="s">
        <v>292</v>
      </c>
      <c r="U549" s="41">
        <v>44859.854166666664</v>
      </c>
      <c r="V549" s="41" t="s">
        <v>2289</v>
      </c>
      <c r="W549" s="41">
        <v>44860.8125</v>
      </c>
      <c r="X549" s="40" t="s">
        <v>410</v>
      </c>
      <c r="Y549" s="41">
        <v>44862.15625</v>
      </c>
      <c r="Z549" s="41">
        <v>44861.541666666664</v>
      </c>
      <c r="AA549" s="41">
        <v>44860.5</v>
      </c>
      <c r="AB549" s="41">
        <v>44863.5</v>
      </c>
      <c r="AC549" s="40" t="s">
        <v>944</v>
      </c>
      <c r="AD549" s="40"/>
      <c r="AE549" s="40" t="s">
        <v>125</v>
      </c>
      <c r="AF549" s="40" t="s">
        <v>125</v>
      </c>
      <c r="AG549" s="40" t="s">
        <v>2297</v>
      </c>
      <c r="AH549" s="40"/>
      <c r="AI549" s="41"/>
      <c r="AJ549" s="40"/>
      <c r="AK549" s="43"/>
      <c r="AL549" s="40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0"/>
      <c r="BJ549" s="40"/>
      <c r="BK549" s="40" t="s">
        <v>2768</v>
      </c>
      <c r="BL549" s="40" t="s">
        <v>2768</v>
      </c>
      <c r="BM549" s="40" t="s">
        <v>2768</v>
      </c>
    </row>
    <row r="550" spans="1:65" x14ac:dyDescent="0.25">
      <c r="A550" s="40" t="s">
        <v>2771</v>
      </c>
      <c r="B550" s="41">
        <v>44860.333333333336</v>
      </c>
      <c r="C550" s="40" t="s">
        <v>2059</v>
      </c>
      <c r="D550" s="40" t="s">
        <v>2060</v>
      </c>
      <c r="E550" s="40" t="s">
        <v>2298</v>
      </c>
      <c r="F550" s="40" t="s">
        <v>2299</v>
      </c>
      <c r="G550" s="40" t="s">
        <v>2300</v>
      </c>
      <c r="H550" s="40">
        <v>2180</v>
      </c>
      <c r="I550" s="40">
        <v>2180</v>
      </c>
      <c r="J550" s="40" t="s">
        <v>2301</v>
      </c>
      <c r="K550" s="40">
        <v>3084</v>
      </c>
      <c r="L550" s="40">
        <v>5264</v>
      </c>
      <c r="M550" s="40">
        <v>10544</v>
      </c>
      <c r="N550" s="40" t="s">
        <v>2286</v>
      </c>
      <c r="O550" s="40" t="s">
        <v>845</v>
      </c>
      <c r="P550" s="40" t="s">
        <v>125</v>
      </c>
      <c r="Q550" s="40" t="s">
        <v>847</v>
      </c>
      <c r="R550" s="42" t="s">
        <v>848</v>
      </c>
      <c r="S550" s="42" t="s">
        <v>849</v>
      </c>
      <c r="T550" s="40" t="s">
        <v>1569</v>
      </c>
      <c r="U550" s="41">
        <v>44860.083333333336</v>
      </c>
      <c r="V550" s="41" t="s">
        <v>2289</v>
      </c>
      <c r="W550" s="41">
        <v>44860.416666666664</v>
      </c>
      <c r="X550" s="40" t="s">
        <v>639</v>
      </c>
      <c r="Y550" s="41">
        <v>44860.617361111108</v>
      </c>
      <c r="Z550" s="41">
        <v>44865.999305555553</v>
      </c>
      <c r="AA550" s="41">
        <v>44865.999305555553</v>
      </c>
      <c r="AB550" s="41">
        <v>44865.999305555553</v>
      </c>
      <c r="AC550" s="40" t="s">
        <v>708</v>
      </c>
      <c r="AD550" s="40">
        <v>14124</v>
      </c>
      <c r="AE550" s="40" t="s">
        <v>125</v>
      </c>
      <c r="AF550" s="40" t="s">
        <v>125</v>
      </c>
      <c r="AG550" s="40"/>
      <c r="AH550" s="40"/>
      <c r="AI550" s="41"/>
      <c r="AJ550" s="40"/>
      <c r="AK550" s="43"/>
      <c r="AL550" s="40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0"/>
      <c r="BJ550" s="40"/>
      <c r="BK550" s="40" t="s">
        <v>2768</v>
      </c>
      <c r="BL550" s="40" t="s">
        <v>2768</v>
      </c>
      <c r="BM550" s="40" t="s">
        <v>2768</v>
      </c>
    </row>
    <row r="551" spans="1:65" x14ac:dyDescent="0.25">
      <c r="A551" s="40" t="s">
        <v>2771</v>
      </c>
      <c r="B551" s="41">
        <v>44860.625</v>
      </c>
      <c r="C551" s="40" t="s">
        <v>2302</v>
      </c>
      <c r="D551" s="40" t="s">
        <v>529</v>
      </c>
      <c r="E551" s="40"/>
      <c r="F551" s="40" t="s">
        <v>2303</v>
      </c>
      <c r="G551" s="40" t="s">
        <v>2304</v>
      </c>
      <c r="H551" s="40" t="s">
        <v>301</v>
      </c>
      <c r="I551" s="40">
        <v>3840</v>
      </c>
      <c r="J551" s="40" t="s">
        <v>2305</v>
      </c>
      <c r="K551" s="40">
        <v>6470</v>
      </c>
      <c r="L551" s="40">
        <v>10310</v>
      </c>
      <c r="M551" s="40" t="s">
        <v>2306</v>
      </c>
      <c r="N551" s="40" t="s">
        <v>2307</v>
      </c>
      <c r="O551" s="40" t="s">
        <v>210</v>
      </c>
      <c r="P551" s="40" t="s">
        <v>1968</v>
      </c>
      <c r="Q551" s="40" t="s">
        <v>212</v>
      </c>
      <c r="R551" s="42" t="s">
        <v>213</v>
      </c>
      <c r="S551" s="42" t="s">
        <v>214</v>
      </c>
      <c r="T551" s="40" t="s">
        <v>292</v>
      </c>
      <c r="U551" s="41">
        <v>44860.5</v>
      </c>
      <c r="V551" s="41">
        <v>44860.701388888891</v>
      </c>
      <c r="W551" s="41">
        <v>44860.736111111109</v>
      </c>
      <c r="X551" s="40" t="s">
        <v>293</v>
      </c>
      <c r="Y551" s="41">
        <v>44861.998611111114</v>
      </c>
      <c r="Z551" s="41">
        <v>44864.833333333336</v>
      </c>
      <c r="AA551" s="41">
        <v>44860.416666666664</v>
      </c>
      <c r="AB551" s="41">
        <v>44863.375</v>
      </c>
      <c r="AC551" s="40" t="s">
        <v>1629</v>
      </c>
      <c r="AD551" s="40">
        <v>14143</v>
      </c>
      <c r="AE551" s="40" t="s">
        <v>125</v>
      </c>
      <c r="AF551" s="40" t="s">
        <v>125</v>
      </c>
      <c r="AG551" s="40"/>
      <c r="AH551" s="40" t="s">
        <v>393</v>
      </c>
      <c r="AI551" s="41" t="s">
        <v>2308</v>
      </c>
      <c r="AJ551" s="40"/>
      <c r="AK551" s="43">
        <v>950</v>
      </c>
      <c r="AL551" s="40"/>
      <c r="AM551" s="43">
        <v>0</v>
      </c>
      <c r="AN551" s="43"/>
      <c r="AO551" s="43"/>
      <c r="AP551" s="43"/>
      <c r="AQ551" s="43">
        <v>0</v>
      </c>
      <c r="AR551" s="43">
        <v>0</v>
      </c>
      <c r="AS551" s="43"/>
      <c r="AT551" s="43">
        <v>0</v>
      </c>
      <c r="AU551" s="43"/>
      <c r="AV551" s="43"/>
      <c r="AW551" s="43"/>
      <c r="AX551" s="43">
        <v>0</v>
      </c>
      <c r="AY551" s="43">
        <v>0</v>
      </c>
      <c r="AZ551" s="43">
        <v>0</v>
      </c>
      <c r="BA551" s="43">
        <v>0</v>
      </c>
      <c r="BB551" s="43">
        <v>0</v>
      </c>
      <c r="BC551" s="43">
        <v>0</v>
      </c>
      <c r="BD551" s="43">
        <v>0</v>
      </c>
      <c r="BE551" s="43">
        <v>0</v>
      </c>
      <c r="BF551" s="43">
        <v>0</v>
      </c>
      <c r="BG551" s="43">
        <v>0</v>
      </c>
      <c r="BH551" s="43">
        <v>0</v>
      </c>
      <c r="BI551" s="40" t="s">
        <v>2181</v>
      </c>
      <c r="BJ551" s="40">
        <v>2022</v>
      </c>
      <c r="BK551" s="40" t="s">
        <v>2768</v>
      </c>
      <c r="BL551" s="40" t="s">
        <v>2768</v>
      </c>
      <c r="BM551" s="40" t="s">
        <v>2768</v>
      </c>
    </row>
    <row r="552" spans="1:65" x14ac:dyDescent="0.25">
      <c r="A552" s="40" t="s">
        <v>2771</v>
      </c>
      <c r="B552" s="41">
        <v>44865.416666666664</v>
      </c>
      <c r="C552" s="40" t="s">
        <v>297</v>
      </c>
      <c r="D552" s="40" t="s">
        <v>298</v>
      </c>
      <c r="E552" s="40" t="s">
        <v>2309</v>
      </c>
      <c r="F552" s="40">
        <v>67183781</v>
      </c>
      <c r="G552" s="40" t="s">
        <v>2310</v>
      </c>
      <c r="H552" s="40" t="s">
        <v>301</v>
      </c>
      <c r="I552" s="40">
        <v>3700</v>
      </c>
      <c r="J552" s="40" t="s">
        <v>2311</v>
      </c>
      <c r="K552" s="40">
        <v>25468</v>
      </c>
      <c r="L552" s="40">
        <v>29168</v>
      </c>
      <c r="M552" s="40">
        <v>796358</v>
      </c>
      <c r="N552" s="40" t="s">
        <v>2312</v>
      </c>
      <c r="O552" s="40" t="s">
        <v>82</v>
      </c>
      <c r="P552" s="40" t="s">
        <v>83</v>
      </c>
      <c r="Q552" s="40" t="s">
        <v>84</v>
      </c>
      <c r="R552" s="42" t="s">
        <v>85</v>
      </c>
      <c r="S552" s="42" t="s">
        <v>86</v>
      </c>
      <c r="T552" s="40" t="s">
        <v>293</v>
      </c>
      <c r="U552" s="41">
        <v>44863.458333333336</v>
      </c>
      <c r="V552" s="41">
        <v>44865.291666666664</v>
      </c>
      <c r="W552" s="41">
        <v>44865.604166666664</v>
      </c>
      <c r="X552" s="40" t="s">
        <v>293</v>
      </c>
      <c r="Y552" s="41">
        <v>44865.884027777778</v>
      </c>
      <c r="Z552" s="41">
        <v>44863.833333333336</v>
      </c>
      <c r="AA552" s="41">
        <v>44865.5</v>
      </c>
      <c r="AB552" s="41">
        <v>44866.708333333336</v>
      </c>
      <c r="AC552" s="40" t="s">
        <v>308</v>
      </c>
      <c r="AD552" s="40">
        <v>14167</v>
      </c>
      <c r="AE552" s="40" t="s">
        <v>125</v>
      </c>
      <c r="AF552" s="40" t="s">
        <v>125</v>
      </c>
      <c r="AG552" s="40"/>
      <c r="AH552" s="40"/>
      <c r="AI552" s="41"/>
      <c r="AJ552" s="40"/>
      <c r="AK552" s="43"/>
      <c r="AL552" s="40"/>
      <c r="AM552" s="43">
        <v>0</v>
      </c>
      <c r="AN552" s="43"/>
      <c r="AO552" s="43"/>
      <c r="AP552" s="43"/>
      <c r="AQ552" s="43">
        <v>0</v>
      </c>
      <c r="AR552" s="43">
        <v>0</v>
      </c>
      <c r="AS552" s="43"/>
      <c r="AT552" s="43">
        <v>0</v>
      </c>
      <c r="AU552" s="43"/>
      <c r="AV552" s="43"/>
      <c r="AW552" s="43"/>
      <c r="AX552" s="43">
        <v>0</v>
      </c>
      <c r="AY552" s="43">
        <v>0</v>
      </c>
      <c r="AZ552" s="43">
        <v>0</v>
      </c>
      <c r="BA552" s="43">
        <v>0</v>
      </c>
      <c r="BB552" s="43">
        <v>0</v>
      </c>
      <c r="BC552" s="43">
        <v>0</v>
      </c>
      <c r="BD552" s="43">
        <v>0</v>
      </c>
      <c r="BE552" s="43">
        <v>0</v>
      </c>
      <c r="BF552" s="43">
        <v>0</v>
      </c>
      <c r="BG552" s="43">
        <v>0</v>
      </c>
      <c r="BH552" s="43">
        <v>0</v>
      </c>
      <c r="BI552" s="40" t="s">
        <v>2181</v>
      </c>
      <c r="BJ552" s="40">
        <v>2022</v>
      </c>
      <c r="BK552" s="40" t="s">
        <v>2768</v>
      </c>
      <c r="BL552" s="40" t="s">
        <v>2768</v>
      </c>
      <c r="BM552" s="40" t="s">
        <v>2768</v>
      </c>
    </row>
    <row r="553" spans="1:65" x14ac:dyDescent="0.25">
      <c r="A553" s="40" t="s">
        <v>2771</v>
      </c>
      <c r="B553" s="41">
        <v>44865.541666666664</v>
      </c>
      <c r="C553" s="40" t="s">
        <v>297</v>
      </c>
      <c r="D553" s="40" t="s">
        <v>298</v>
      </c>
      <c r="E553" s="40" t="s">
        <v>2309</v>
      </c>
      <c r="F553" s="40">
        <v>67183781</v>
      </c>
      <c r="G553" s="40" t="s">
        <v>2313</v>
      </c>
      <c r="H553" s="40" t="s">
        <v>301</v>
      </c>
      <c r="I553" s="40">
        <v>3840</v>
      </c>
      <c r="J553" s="40" t="s">
        <v>2314</v>
      </c>
      <c r="K553" s="40">
        <v>19734</v>
      </c>
      <c r="L553" s="40">
        <v>23574</v>
      </c>
      <c r="M553" s="40">
        <v>796630</v>
      </c>
      <c r="N553" s="40" t="s">
        <v>2312</v>
      </c>
      <c r="O553" s="40" t="s">
        <v>106</v>
      </c>
      <c r="P553" s="40" t="s">
        <v>107</v>
      </c>
      <c r="Q553" s="40" t="s">
        <v>108</v>
      </c>
      <c r="R553" s="42" t="s">
        <v>109</v>
      </c>
      <c r="S553" s="42" t="s">
        <v>110</v>
      </c>
      <c r="T553" s="40" t="s">
        <v>293</v>
      </c>
      <c r="U553" s="41">
        <v>44863.458333333336</v>
      </c>
      <c r="V553" s="41">
        <v>44865.291666666664</v>
      </c>
      <c r="W553" s="41">
        <v>44865.708333333336</v>
      </c>
      <c r="X553" s="40" t="s">
        <v>293</v>
      </c>
      <c r="Y553" s="41">
        <v>44865.989583333336</v>
      </c>
      <c r="Z553" s="41">
        <v>44863.833333333336</v>
      </c>
      <c r="AA553" s="41">
        <v>44865.5</v>
      </c>
      <c r="AB553" s="41">
        <v>44866.708333333336</v>
      </c>
      <c r="AC553" s="40" t="s">
        <v>308</v>
      </c>
      <c r="AD553" s="40">
        <v>14168</v>
      </c>
      <c r="AE553" s="40" t="s">
        <v>125</v>
      </c>
      <c r="AF553" s="40" t="s">
        <v>125</v>
      </c>
      <c r="AG553" s="40"/>
      <c r="AH553" s="40"/>
      <c r="AI553" s="41"/>
      <c r="AJ553" s="40"/>
      <c r="AK553" s="43"/>
      <c r="AL553" s="40"/>
      <c r="AM553" s="43">
        <v>0</v>
      </c>
      <c r="AN553" s="43"/>
      <c r="AO553" s="43"/>
      <c r="AP553" s="43"/>
      <c r="AQ553" s="43">
        <v>0</v>
      </c>
      <c r="AR553" s="43">
        <v>0</v>
      </c>
      <c r="AS553" s="43"/>
      <c r="AT553" s="43">
        <v>0</v>
      </c>
      <c r="AU553" s="43"/>
      <c r="AV553" s="43"/>
      <c r="AW553" s="43"/>
      <c r="AX553" s="43">
        <v>0</v>
      </c>
      <c r="AY553" s="43">
        <v>0</v>
      </c>
      <c r="AZ553" s="43">
        <v>0</v>
      </c>
      <c r="BA553" s="43">
        <v>0</v>
      </c>
      <c r="BB553" s="43">
        <v>0</v>
      </c>
      <c r="BC553" s="43">
        <v>0</v>
      </c>
      <c r="BD553" s="43">
        <v>0</v>
      </c>
      <c r="BE553" s="43">
        <v>0</v>
      </c>
      <c r="BF553" s="43">
        <v>0</v>
      </c>
      <c r="BG553" s="43">
        <v>0</v>
      </c>
      <c r="BH553" s="43">
        <v>0</v>
      </c>
      <c r="BI553" s="40" t="s">
        <v>2181</v>
      </c>
      <c r="BJ553" s="40">
        <v>2022</v>
      </c>
      <c r="BK553" s="40" t="s">
        <v>2768</v>
      </c>
      <c r="BL553" s="40" t="s">
        <v>2768</v>
      </c>
      <c r="BM553" s="40" t="s">
        <v>2768</v>
      </c>
    </row>
    <row r="554" spans="1:65" x14ac:dyDescent="0.25">
      <c r="A554" s="40" t="s">
        <v>2771</v>
      </c>
      <c r="B554" s="41">
        <v>44865.666666666664</v>
      </c>
      <c r="C554" s="40" t="s">
        <v>297</v>
      </c>
      <c r="D554" s="40" t="s">
        <v>298</v>
      </c>
      <c r="E554" s="40" t="s">
        <v>2309</v>
      </c>
      <c r="F554" s="40">
        <v>63193716</v>
      </c>
      <c r="G554" s="40" t="s">
        <v>2315</v>
      </c>
      <c r="H554" s="40" t="s">
        <v>301</v>
      </c>
      <c r="I554" s="40">
        <v>3700</v>
      </c>
      <c r="J554" s="40" t="s">
        <v>2316</v>
      </c>
      <c r="K554" s="40">
        <v>22547</v>
      </c>
      <c r="L554" s="40">
        <v>26247</v>
      </c>
      <c r="M554" s="40">
        <v>797021</v>
      </c>
      <c r="N554" s="40" t="s">
        <v>2317</v>
      </c>
      <c r="O554" s="40" t="s">
        <v>31</v>
      </c>
      <c r="P554" s="40" t="s">
        <v>32</v>
      </c>
      <c r="Q554" s="40" t="s">
        <v>33</v>
      </c>
      <c r="R554" s="42" t="s">
        <v>34</v>
      </c>
      <c r="S554" s="42" t="s">
        <v>35</v>
      </c>
      <c r="T554" s="40" t="s">
        <v>537</v>
      </c>
      <c r="U554" s="41">
        <v>44865.34375</v>
      </c>
      <c r="V554" s="41">
        <v>44865.5</v>
      </c>
      <c r="W554" s="41">
        <v>44865.958333333336</v>
      </c>
      <c r="X554" s="40" t="s">
        <v>293</v>
      </c>
      <c r="Y554" s="41">
        <v>44879.898611111108</v>
      </c>
      <c r="Z554" s="41">
        <v>44878.833333333336</v>
      </c>
      <c r="AA554" s="41">
        <v>44881.5</v>
      </c>
      <c r="AB554" s="41">
        <v>44881.5</v>
      </c>
      <c r="AC554" s="40" t="s">
        <v>308</v>
      </c>
      <c r="AD554" s="40">
        <v>14171</v>
      </c>
      <c r="AE554" s="40" t="s">
        <v>125</v>
      </c>
      <c r="AF554" s="40" t="s">
        <v>125</v>
      </c>
      <c r="AG554" s="40"/>
      <c r="AH554" s="40" t="s">
        <v>393</v>
      </c>
      <c r="AI554" s="41">
        <v>44868.326388888891</v>
      </c>
      <c r="AJ554" s="40"/>
      <c r="AK554" s="43">
        <v>950</v>
      </c>
      <c r="AL554" s="40"/>
      <c r="AM554" s="43">
        <v>0</v>
      </c>
      <c r="AN554" s="43"/>
      <c r="AO554" s="43"/>
      <c r="AP554" s="43"/>
      <c r="AQ554" s="43">
        <v>0</v>
      </c>
      <c r="AR554" s="43">
        <v>0</v>
      </c>
      <c r="AS554" s="43"/>
      <c r="AT554" s="43">
        <v>0</v>
      </c>
      <c r="AU554" s="43"/>
      <c r="AV554" s="43"/>
      <c r="AW554" s="43"/>
      <c r="AX554" s="43">
        <v>0</v>
      </c>
      <c r="AY554" s="43">
        <v>0</v>
      </c>
      <c r="AZ554" s="43">
        <v>0</v>
      </c>
      <c r="BA554" s="43">
        <v>0</v>
      </c>
      <c r="BB554" s="43">
        <v>0</v>
      </c>
      <c r="BC554" s="43">
        <v>0</v>
      </c>
      <c r="BD554" s="43">
        <v>0</v>
      </c>
      <c r="BE554" s="43">
        <v>0</v>
      </c>
      <c r="BF554" s="43">
        <v>0</v>
      </c>
      <c r="BG554" s="43">
        <v>0</v>
      </c>
      <c r="BH554" s="43">
        <v>0</v>
      </c>
      <c r="BI554" s="40" t="s">
        <v>2181</v>
      </c>
      <c r="BJ554" s="40">
        <v>2022</v>
      </c>
      <c r="BK554" s="40" t="s">
        <v>2768</v>
      </c>
      <c r="BL554" s="40" t="s">
        <v>2768</v>
      </c>
      <c r="BM554" s="40" t="s">
        <v>2768</v>
      </c>
    </row>
    <row r="555" spans="1:65" x14ac:dyDescent="0.25">
      <c r="A555" s="40" t="s">
        <v>2771</v>
      </c>
      <c r="B555" s="41">
        <v>44865.333333333336</v>
      </c>
      <c r="C555" s="40" t="s">
        <v>353</v>
      </c>
      <c r="D555" s="40" t="s">
        <v>400</v>
      </c>
      <c r="E555" s="40" t="s">
        <v>2318</v>
      </c>
      <c r="F555" s="40">
        <v>222733409</v>
      </c>
      <c r="G555" s="40" t="s">
        <v>2319</v>
      </c>
      <c r="H555" s="40" t="s">
        <v>2183</v>
      </c>
      <c r="I555" s="40">
        <v>3700</v>
      </c>
      <c r="J555" s="40" t="s">
        <v>2320</v>
      </c>
      <c r="K555" s="40">
        <v>12554</v>
      </c>
      <c r="L555" s="40">
        <v>16254</v>
      </c>
      <c r="M555" s="40" t="s">
        <v>2321</v>
      </c>
      <c r="N555" s="40" t="s">
        <v>2322</v>
      </c>
      <c r="O555" s="40" t="s">
        <v>150</v>
      </c>
      <c r="P555" s="40" t="s">
        <v>151</v>
      </c>
      <c r="Q555" s="40" t="s">
        <v>152</v>
      </c>
      <c r="R555" s="42" t="s">
        <v>153</v>
      </c>
      <c r="S555" s="42" t="s">
        <v>154</v>
      </c>
      <c r="T555" s="40" t="s">
        <v>292</v>
      </c>
      <c r="U555" s="41">
        <v>44863.345138888886</v>
      </c>
      <c r="V555" s="41">
        <v>44865.291666666664</v>
      </c>
      <c r="W555" s="41">
        <v>44865.864583333336</v>
      </c>
      <c r="X555" s="40" t="s">
        <v>410</v>
      </c>
      <c r="Y555" s="41">
        <v>44873.855555555558</v>
      </c>
      <c r="Z555" s="41">
        <v>44872.541666666664</v>
      </c>
      <c r="AA555" s="41">
        <v>44869.75</v>
      </c>
      <c r="AB555" s="41">
        <v>44875.5</v>
      </c>
      <c r="AC555" s="40" t="s">
        <v>418</v>
      </c>
      <c r="AD555" s="40" t="s">
        <v>2323</v>
      </c>
      <c r="AE555" s="40" t="s">
        <v>125</v>
      </c>
      <c r="AF555" s="40" t="s">
        <v>125</v>
      </c>
      <c r="AG555" s="40"/>
      <c r="AH555" s="40" t="s">
        <v>393</v>
      </c>
      <c r="AI555" s="41">
        <v>44866.006944444445</v>
      </c>
      <c r="AJ555" s="40"/>
      <c r="AK555" s="43">
        <v>950</v>
      </c>
      <c r="AL555" s="40"/>
      <c r="AM555" s="43">
        <v>0</v>
      </c>
      <c r="AN555" s="43"/>
      <c r="AO555" s="43"/>
      <c r="AP555" s="43"/>
      <c r="AQ555" s="43">
        <v>0</v>
      </c>
      <c r="AR555" s="43">
        <v>0</v>
      </c>
      <c r="AS555" s="43"/>
      <c r="AT555" s="43">
        <v>0</v>
      </c>
      <c r="AU555" s="43"/>
      <c r="AV555" s="43"/>
      <c r="AW555" s="43"/>
      <c r="AX555" s="43">
        <v>0</v>
      </c>
      <c r="AY555" s="43">
        <v>0</v>
      </c>
      <c r="AZ555" s="43">
        <v>0</v>
      </c>
      <c r="BA555" s="43">
        <v>0</v>
      </c>
      <c r="BB555" s="43">
        <v>0</v>
      </c>
      <c r="BC555" s="43">
        <v>0</v>
      </c>
      <c r="BD555" s="43">
        <v>0</v>
      </c>
      <c r="BE555" s="43">
        <v>0</v>
      </c>
      <c r="BF555" s="43">
        <v>0</v>
      </c>
      <c r="BG555" s="43">
        <v>0</v>
      </c>
      <c r="BH555" s="43">
        <v>0</v>
      </c>
      <c r="BI555" s="40" t="s">
        <v>2181</v>
      </c>
      <c r="BJ555" s="40">
        <v>2022</v>
      </c>
      <c r="BK555" s="40" t="s">
        <v>2768</v>
      </c>
      <c r="BL555" s="40" t="s">
        <v>2768</v>
      </c>
      <c r="BM555" s="40" t="s">
        <v>2768</v>
      </c>
    </row>
    <row r="556" spans="1:65" x14ac:dyDescent="0.25">
      <c r="A556" s="40" t="s">
        <v>2771</v>
      </c>
      <c r="B556" s="41">
        <v>44873.291666666664</v>
      </c>
      <c r="C556" s="40" t="s">
        <v>2059</v>
      </c>
      <c r="D556" s="40" t="s">
        <v>2060</v>
      </c>
      <c r="E556" s="40" t="s">
        <v>2324</v>
      </c>
      <c r="F556" s="40">
        <v>63191775</v>
      </c>
      <c r="G556" s="40" t="s">
        <v>2325</v>
      </c>
      <c r="H556" s="40" t="s">
        <v>288</v>
      </c>
      <c r="I556" s="40">
        <v>2350</v>
      </c>
      <c r="J556" s="40" t="s">
        <v>2326</v>
      </c>
      <c r="K556" s="40">
        <v>7503</v>
      </c>
      <c r="L556" s="40">
        <v>9853</v>
      </c>
      <c r="M556" s="40">
        <v>1500104</v>
      </c>
      <c r="N556" s="40" t="s">
        <v>2327</v>
      </c>
      <c r="O556" s="40" t="s">
        <v>2124</v>
      </c>
      <c r="P556" s="40" t="s">
        <v>2125</v>
      </c>
      <c r="Q556" s="40" t="s">
        <v>39</v>
      </c>
      <c r="R556" s="42" t="s">
        <v>40</v>
      </c>
      <c r="S556" s="42" t="s">
        <v>41</v>
      </c>
      <c r="T556" s="40" t="s">
        <v>537</v>
      </c>
      <c r="U556" s="41">
        <v>44872.548611111109</v>
      </c>
      <c r="V556" s="41">
        <v>44873.25</v>
      </c>
      <c r="W556" s="41">
        <v>44873.576388888891</v>
      </c>
      <c r="X556" s="40" t="s">
        <v>410</v>
      </c>
      <c r="Y556" s="41">
        <v>44875.578472222223</v>
      </c>
      <c r="Z556" s="41">
        <v>44874.541666666664</v>
      </c>
      <c r="AA556" s="41">
        <v>44874.5</v>
      </c>
      <c r="AB556" s="41">
        <v>44877.5</v>
      </c>
      <c r="AC556" s="40" t="s">
        <v>2328</v>
      </c>
      <c r="AD556" s="40">
        <v>14227</v>
      </c>
      <c r="AE556" s="40" t="s">
        <v>125</v>
      </c>
      <c r="AF556" s="40" t="s">
        <v>125</v>
      </c>
      <c r="AG556" s="40"/>
      <c r="AH556" s="40" t="s">
        <v>393</v>
      </c>
      <c r="AI556" s="41">
        <v>44873.875</v>
      </c>
      <c r="AJ556" s="40"/>
      <c r="AK556" s="43">
        <v>950</v>
      </c>
      <c r="AL556" s="40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0"/>
      <c r="BJ556" s="40"/>
      <c r="BK556" s="40" t="s">
        <v>2768</v>
      </c>
      <c r="BL556" s="40" t="s">
        <v>2768</v>
      </c>
      <c r="BM556" s="40" t="s">
        <v>2768</v>
      </c>
    </row>
    <row r="557" spans="1:65" x14ac:dyDescent="0.25">
      <c r="A557" s="40" t="s">
        <v>2771</v>
      </c>
      <c r="B557" s="41">
        <v>44873.333333333336</v>
      </c>
      <c r="C557" s="40" t="s">
        <v>456</v>
      </c>
      <c r="D557" s="40" t="s">
        <v>457</v>
      </c>
      <c r="E557" s="40"/>
      <c r="F557" s="40">
        <v>61191066</v>
      </c>
      <c r="G557" s="40" t="s">
        <v>2329</v>
      </c>
      <c r="H557" s="40" t="s">
        <v>459</v>
      </c>
      <c r="I557" s="40">
        <v>4410</v>
      </c>
      <c r="J557" s="40" t="s">
        <v>2330</v>
      </c>
      <c r="K557" s="40">
        <v>20780</v>
      </c>
      <c r="L557" s="40">
        <v>25190</v>
      </c>
      <c r="M557" s="40">
        <v>184360</v>
      </c>
      <c r="N557" s="40" t="s">
        <v>2331</v>
      </c>
      <c r="O557" s="40" t="s">
        <v>210</v>
      </c>
      <c r="P557" s="40" t="s">
        <v>1968</v>
      </c>
      <c r="Q557" s="40" t="s">
        <v>212</v>
      </c>
      <c r="R557" s="42" t="s">
        <v>213</v>
      </c>
      <c r="S557" s="42" t="s">
        <v>214</v>
      </c>
      <c r="T557" s="40" t="s">
        <v>537</v>
      </c>
      <c r="U557" s="41">
        <v>44872.832638888889</v>
      </c>
      <c r="V557" s="41">
        <v>44873.284722222219</v>
      </c>
      <c r="W557" s="41">
        <v>44873.416666666664</v>
      </c>
      <c r="X557" s="40" t="s">
        <v>306</v>
      </c>
      <c r="Y557" s="41">
        <v>44873.657638888886</v>
      </c>
      <c r="Z557" s="41">
        <v>44872.791666666664</v>
      </c>
      <c r="AA557" s="41">
        <v>44873.75</v>
      </c>
      <c r="AB557" s="41">
        <v>44875.75</v>
      </c>
      <c r="AC557" s="40" t="s">
        <v>452</v>
      </c>
      <c r="AD557" s="40">
        <v>880</v>
      </c>
      <c r="AE557" s="40" t="s">
        <v>125</v>
      </c>
      <c r="AF557" s="40" t="s">
        <v>125</v>
      </c>
      <c r="AG557" s="40"/>
      <c r="AH557" s="40"/>
      <c r="AI557" s="41"/>
      <c r="AJ557" s="40"/>
      <c r="AK557" s="43"/>
      <c r="AL557" s="40"/>
      <c r="AM557" s="43">
        <v>0</v>
      </c>
      <c r="AN557" s="43"/>
      <c r="AO557" s="43"/>
      <c r="AP557" s="43"/>
      <c r="AQ557" s="43">
        <v>0</v>
      </c>
      <c r="AR557" s="43">
        <v>0</v>
      </c>
      <c r="AS557" s="43"/>
      <c r="AT557" s="43">
        <v>0</v>
      </c>
      <c r="AU557" s="43"/>
      <c r="AV557" s="43"/>
      <c r="AW557" s="43"/>
      <c r="AX557" s="43">
        <v>0</v>
      </c>
      <c r="AY557" s="43">
        <v>0</v>
      </c>
      <c r="AZ557" s="43">
        <v>0</v>
      </c>
      <c r="BA557" s="43">
        <v>0</v>
      </c>
      <c r="BB557" s="43">
        <v>0</v>
      </c>
      <c r="BC557" s="43">
        <v>0</v>
      </c>
      <c r="BD557" s="43">
        <v>0</v>
      </c>
      <c r="BE557" s="43">
        <v>0</v>
      </c>
      <c r="BF557" s="43">
        <v>0</v>
      </c>
      <c r="BG557" s="43">
        <v>0</v>
      </c>
      <c r="BH557" s="43">
        <v>0</v>
      </c>
      <c r="BI557" s="40" t="s">
        <v>2332</v>
      </c>
      <c r="BJ557" s="40">
        <v>2022</v>
      </c>
      <c r="BK557" s="40" t="s">
        <v>2768</v>
      </c>
      <c r="BL557" s="40" t="s">
        <v>2768</v>
      </c>
      <c r="BM557" s="40" t="s">
        <v>2768</v>
      </c>
    </row>
    <row r="558" spans="1:65" x14ac:dyDescent="0.25">
      <c r="A558" s="40" t="s">
        <v>2771</v>
      </c>
      <c r="B558" s="41">
        <v>44873.291666666664</v>
      </c>
      <c r="C558" s="40" t="s">
        <v>2333</v>
      </c>
      <c r="D558" s="40" t="s">
        <v>1639</v>
      </c>
      <c r="E558" s="40" t="s">
        <v>2334</v>
      </c>
      <c r="F558" s="40" t="s">
        <v>2335</v>
      </c>
      <c r="G558" s="40" t="s">
        <v>2336</v>
      </c>
      <c r="H558" s="40" t="s">
        <v>301</v>
      </c>
      <c r="I558" s="40">
        <v>3810</v>
      </c>
      <c r="J558" s="40" t="s">
        <v>2337</v>
      </c>
      <c r="K558" s="40">
        <v>20654</v>
      </c>
      <c r="L558" s="40">
        <v>24464</v>
      </c>
      <c r="M558" s="40" t="s">
        <v>2338</v>
      </c>
      <c r="N558" s="40" t="s">
        <v>2339</v>
      </c>
      <c r="O558" s="40" t="s">
        <v>150</v>
      </c>
      <c r="P558" s="40" t="s">
        <v>151</v>
      </c>
      <c r="Q558" s="40" t="s">
        <v>152</v>
      </c>
      <c r="R558" s="42" t="s">
        <v>153</v>
      </c>
      <c r="S558" s="42" t="s">
        <v>154</v>
      </c>
      <c r="T558" s="40" t="s">
        <v>1805</v>
      </c>
      <c r="U558" s="41">
        <v>44873.402777777781</v>
      </c>
      <c r="V558" s="41">
        <v>44873.979166666664</v>
      </c>
      <c r="W558" s="41">
        <v>44873.541666666664</v>
      </c>
      <c r="X558" s="40" t="s">
        <v>537</v>
      </c>
      <c r="Y558" s="41">
        <v>44875.694444444445</v>
      </c>
      <c r="Z558" s="41"/>
      <c r="AA558" s="41"/>
      <c r="AB558" s="41"/>
      <c r="AC558" s="40" t="s">
        <v>708</v>
      </c>
      <c r="AD558" s="40" t="s">
        <v>2340</v>
      </c>
      <c r="AE558" s="40" t="s">
        <v>125</v>
      </c>
      <c r="AF558" s="40" t="s">
        <v>125</v>
      </c>
      <c r="AG558" s="40"/>
      <c r="AH558" s="40"/>
      <c r="AI558" s="41"/>
      <c r="AJ558" s="40"/>
      <c r="AK558" s="43"/>
      <c r="AL558" s="40"/>
      <c r="AM558" s="43">
        <v>0</v>
      </c>
      <c r="AN558" s="43"/>
      <c r="AO558" s="43"/>
      <c r="AP558" s="43"/>
      <c r="AQ558" s="43">
        <v>0</v>
      </c>
      <c r="AR558" s="43">
        <v>0</v>
      </c>
      <c r="AS558" s="43"/>
      <c r="AT558" s="43">
        <v>0</v>
      </c>
      <c r="AU558" s="43"/>
      <c r="AV558" s="43"/>
      <c r="AW558" s="43"/>
      <c r="AX558" s="43">
        <v>0</v>
      </c>
      <c r="AY558" s="43">
        <v>0</v>
      </c>
      <c r="AZ558" s="43">
        <v>0</v>
      </c>
      <c r="BA558" s="43">
        <v>0</v>
      </c>
      <c r="BB558" s="43">
        <v>0</v>
      </c>
      <c r="BC558" s="43">
        <v>0</v>
      </c>
      <c r="BD558" s="43">
        <v>0</v>
      </c>
      <c r="BE558" s="43">
        <v>0</v>
      </c>
      <c r="BF558" s="43">
        <v>0</v>
      </c>
      <c r="BG558" s="43">
        <v>0</v>
      </c>
      <c r="BH558" s="43">
        <v>0</v>
      </c>
      <c r="BI558" s="40" t="s">
        <v>2332</v>
      </c>
      <c r="BJ558" s="40">
        <v>2022</v>
      </c>
      <c r="BK558" s="40" t="s">
        <v>2768</v>
      </c>
      <c r="BL558" s="40" t="s">
        <v>2768</v>
      </c>
      <c r="BM558" s="40" t="s">
        <v>2768</v>
      </c>
    </row>
    <row r="559" spans="1:65" x14ac:dyDescent="0.25">
      <c r="A559" s="40" t="s">
        <v>2771</v>
      </c>
      <c r="B559" s="41">
        <v>44876.333333333336</v>
      </c>
      <c r="C559" s="40" t="s">
        <v>1110</v>
      </c>
      <c r="D559" s="40" t="s">
        <v>1111</v>
      </c>
      <c r="E559" s="40" t="s">
        <v>2341</v>
      </c>
      <c r="F559" s="40" t="s">
        <v>2342</v>
      </c>
      <c r="G559" s="40" t="s">
        <v>2343</v>
      </c>
      <c r="H559" s="40" t="s">
        <v>301</v>
      </c>
      <c r="I559" s="40">
        <v>3810</v>
      </c>
      <c r="J559" s="40">
        <v>1361338</v>
      </c>
      <c r="K559" s="40">
        <v>25990</v>
      </c>
      <c r="L559" s="40">
        <v>29800</v>
      </c>
      <c r="M559" s="40">
        <v>323839</v>
      </c>
      <c r="N559" s="40" t="s">
        <v>2344</v>
      </c>
      <c r="O559" s="40" t="s">
        <v>150</v>
      </c>
      <c r="P559" s="40" t="s">
        <v>151</v>
      </c>
      <c r="Q559" s="40" t="s">
        <v>152</v>
      </c>
      <c r="R559" s="42" t="s">
        <v>153</v>
      </c>
      <c r="S559" s="42" t="s">
        <v>154</v>
      </c>
      <c r="T559" s="40" t="s">
        <v>526</v>
      </c>
      <c r="U559" s="41">
        <v>44875.82916666667</v>
      </c>
      <c r="V559" s="41">
        <v>44876.25</v>
      </c>
      <c r="W559" s="41">
        <v>44876.388888888891</v>
      </c>
      <c r="X559" s="40" t="s">
        <v>293</v>
      </c>
      <c r="Y559" s="41">
        <v>44876.527777777781</v>
      </c>
      <c r="Z559" s="41">
        <v>44875.333333333336</v>
      </c>
      <c r="AA559" s="41">
        <v>44879.333333333336</v>
      </c>
      <c r="AB559" s="41">
        <v>44879.333333333336</v>
      </c>
      <c r="AC559" s="40" t="s">
        <v>294</v>
      </c>
      <c r="AD559" s="40"/>
      <c r="AE559" s="40"/>
      <c r="AF559" s="40"/>
      <c r="AG559" s="40"/>
      <c r="AH559" s="40"/>
      <c r="AI559" s="41"/>
      <c r="AJ559" s="40"/>
      <c r="AK559" s="43"/>
      <c r="AL559" s="40"/>
      <c r="AM559" s="43">
        <v>0</v>
      </c>
      <c r="AN559" s="43"/>
      <c r="AO559" s="43"/>
      <c r="AP559" s="43"/>
      <c r="AQ559" s="43">
        <v>0</v>
      </c>
      <c r="AR559" s="43">
        <v>0</v>
      </c>
      <c r="AS559" s="43"/>
      <c r="AT559" s="43">
        <v>0</v>
      </c>
      <c r="AU559" s="43"/>
      <c r="AV559" s="43"/>
      <c r="AW559" s="43"/>
      <c r="AX559" s="43">
        <v>0</v>
      </c>
      <c r="AY559" s="43">
        <v>0</v>
      </c>
      <c r="AZ559" s="43">
        <v>0</v>
      </c>
      <c r="BA559" s="43">
        <v>0</v>
      </c>
      <c r="BB559" s="43">
        <v>0</v>
      </c>
      <c r="BC559" s="43">
        <v>0</v>
      </c>
      <c r="BD559" s="43">
        <v>0</v>
      </c>
      <c r="BE559" s="43">
        <v>0</v>
      </c>
      <c r="BF559" s="43">
        <v>0</v>
      </c>
      <c r="BG559" s="43">
        <v>0</v>
      </c>
      <c r="BH559" s="43">
        <v>0</v>
      </c>
      <c r="BI559" s="40" t="s">
        <v>2332</v>
      </c>
      <c r="BJ559" s="40">
        <v>2022</v>
      </c>
      <c r="BK559" s="40" t="s">
        <v>2768</v>
      </c>
      <c r="BL559" s="40" t="s">
        <v>2768</v>
      </c>
      <c r="BM559" s="40" t="s">
        <v>2768</v>
      </c>
    </row>
    <row r="560" spans="1:65" x14ac:dyDescent="0.25">
      <c r="A560" s="40" t="s">
        <v>2771</v>
      </c>
      <c r="B560" s="41">
        <v>44879.25</v>
      </c>
      <c r="C560" s="40" t="s">
        <v>353</v>
      </c>
      <c r="D560" s="40" t="s">
        <v>354</v>
      </c>
      <c r="E560" s="40">
        <v>8666147</v>
      </c>
      <c r="F560" s="40">
        <v>68861197</v>
      </c>
      <c r="G560" s="40" t="s">
        <v>2345</v>
      </c>
      <c r="H560" s="40" t="s">
        <v>301</v>
      </c>
      <c r="I560" s="40">
        <v>3700</v>
      </c>
      <c r="J560" s="40" t="s">
        <v>2346</v>
      </c>
      <c r="K560" s="40">
        <v>25628</v>
      </c>
      <c r="L560" s="40">
        <v>29328</v>
      </c>
      <c r="M560" s="40">
        <v>648346</v>
      </c>
      <c r="N560" s="40" t="s">
        <v>2347</v>
      </c>
      <c r="O560" s="40" t="s">
        <v>2080</v>
      </c>
      <c r="P560" s="40" t="s">
        <v>2088</v>
      </c>
      <c r="Q560" s="40" t="s">
        <v>2348</v>
      </c>
      <c r="R560" s="42" t="s">
        <v>2349</v>
      </c>
      <c r="S560" s="42" t="s">
        <v>2084</v>
      </c>
      <c r="T560" s="40" t="s">
        <v>292</v>
      </c>
      <c r="U560" s="41">
        <v>44877.541666666664</v>
      </c>
      <c r="V560" s="41">
        <v>44879.25</v>
      </c>
      <c r="W560" s="41">
        <v>44879.5</v>
      </c>
      <c r="X560" s="40" t="s">
        <v>293</v>
      </c>
      <c r="Y560" s="41">
        <v>44881.202777777777</v>
      </c>
      <c r="Z560" s="41">
        <v>44878.833333333336</v>
      </c>
      <c r="AA560" s="41">
        <v>44879.5</v>
      </c>
      <c r="AB560" s="41">
        <v>44881.5</v>
      </c>
      <c r="AC560" s="40" t="s">
        <v>2350</v>
      </c>
      <c r="AD560" s="40">
        <v>14289</v>
      </c>
      <c r="AE560" s="40"/>
      <c r="AF560" s="40"/>
      <c r="AG560" s="40"/>
      <c r="AH560" s="40"/>
      <c r="AI560" s="41"/>
      <c r="AJ560" s="40"/>
      <c r="AK560" s="43"/>
      <c r="AL560" s="40"/>
      <c r="AM560" s="43">
        <v>0</v>
      </c>
      <c r="AN560" s="43"/>
      <c r="AO560" s="43"/>
      <c r="AP560" s="43"/>
      <c r="AQ560" s="43">
        <v>0</v>
      </c>
      <c r="AR560" s="43">
        <v>0</v>
      </c>
      <c r="AS560" s="43"/>
      <c r="AT560" s="43">
        <v>0</v>
      </c>
      <c r="AU560" s="43"/>
      <c r="AV560" s="43"/>
      <c r="AW560" s="43"/>
      <c r="AX560" s="43">
        <v>0</v>
      </c>
      <c r="AY560" s="43">
        <v>0</v>
      </c>
      <c r="AZ560" s="43">
        <v>0</v>
      </c>
      <c r="BA560" s="43">
        <v>0</v>
      </c>
      <c r="BB560" s="43">
        <v>0</v>
      </c>
      <c r="BC560" s="43">
        <v>0</v>
      </c>
      <c r="BD560" s="43">
        <v>0</v>
      </c>
      <c r="BE560" s="43">
        <v>0</v>
      </c>
      <c r="BF560" s="43">
        <v>0</v>
      </c>
      <c r="BG560" s="43">
        <v>0</v>
      </c>
      <c r="BH560" s="43">
        <v>0</v>
      </c>
      <c r="BI560" s="40" t="s">
        <v>2332</v>
      </c>
      <c r="BJ560" s="40">
        <v>2022</v>
      </c>
      <c r="BK560" s="40" t="s">
        <v>2768</v>
      </c>
      <c r="BL560" s="40" t="s">
        <v>2768</v>
      </c>
      <c r="BM560" s="40" t="s">
        <v>2768</v>
      </c>
    </row>
    <row r="561" spans="1:65" x14ac:dyDescent="0.25">
      <c r="A561" s="40" t="s">
        <v>2771</v>
      </c>
      <c r="B561" s="41">
        <v>44879.25</v>
      </c>
      <c r="C561" s="40" t="s">
        <v>353</v>
      </c>
      <c r="D561" s="40" t="s">
        <v>354</v>
      </c>
      <c r="E561" s="40">
        <v>8666147</v>
      </c>
      <c r="F561" s="40">
        <v>68861197</v>
      </c>
      <c r="G561" s="40" t="s">
        <v>2351</v>
      </c>
      <c r="H561" s="40" t="s">
        <v>301</v>
      </c>
      <c r="I561" s="40">
        <v>3900</v>
      </c>
      <c r="J561" s="40" t="s">
        <v>2352</v>
      </c>
      <c r="K561" s="40">
        <v>25628</v>
      </c>
      <c r="L561" s="40">
        <v>29528</v>
      </c>
      <c r="M561" s="40">
        <v>648368</v>
      </c>
      <c r="N561" s="40" t="s">
        <v>2347</v>
      </c>
      <c r="O561" s="40" t="s">
        <v>2080</v>
      </c>
      <c r="P561" s="40" t="s">
        <v>2081</v>
      </c>
      <c r="Q561" s="40" t="s">
        <v>2348</v>
      </c>
      <c r="R561" s="42" t="s">
        <v>2349</v>
      </c>
      <c r="S561" s="42" t="s">
        <v>2084</v>
      </c>
      <c r="T561" s="40" t="s">
        <v>292</v>
      </c>
      <c r="U561" s="41">
        <v>44877.541666666664</v>
      </c>
      <c r="V561" s="41">
        <v>44879.25</v>
      </c>
      <c r="W561" s="41">
        <v>44879.5</v>
      </c>
      <c r="X561" s="40" t="s">
        <v>293</v>
      </c>
      <c r="Y561" s="41" t="s">
        <v>2353</v>
      </c>
      <c r="Z561" s="41">
        <v>44878.833333333336</v>
      </c>
      <c r="AA561" s="41">
        <v>44879.5</v>
      </c>
      <c r="AB561" s="41">
        <v>44881.5</v>
      </c>
      <c r="AC561" s="40" t="s">
        <v>2350</v>
      </c>
      <c r="AD561" s="40">
        <v>14290</v>
      </c>
      <c r="AE561" s="40"/>
      <c r="AF561" s="40"/>
      <c r="AG561" s="40"/>
      <c r="AH561" s="40"/>
      <c r="AI561" s="41"/>
      <c r="AJ561" s="40"/>
      <c r="AK561" s="43"/>
      <c r="AL561" s="40"/>
      <c r="AM561" s="43">
        <v>0</v>
      </c>
      <c r="AN561" s="43"/>
      <c r="AO561" s="43"/>
      <c r="AP561" s="43"/>
      <c r="AQ561" s="43">
        <v>0</v>
      </c>
      <c r="AR561" s="43">
        <v>0</v>
      </c>
      <c r="AS561" s="43"/>
      <c r="AT561" s="43">
        <v>0</v>
      </c>
      <c r="AU561" s="43"/>
      <c r="AV561" s="43"/>
      <c r="AW561" s="43"/>
      <c r="AX561" s="43">
        <v>0</v>
      </c>
      <c r="AY561" s="43">
        <v>0</v>
      </c>
      <c r="AZ561" s="43">
        <v>0</v>
      </c>
      <c r="BA561" s="43">
        <v>0</v>
      </c>
      <c r="BB561" s="43">
        <v>0</v>
      </c>
      <c r="BC561" s="43">
        <v>0</v>
      </c>
      <c r="BD561" s="43">
        <v>0</v>
      </c>
      <c r="BE561" s="43">
        <v>0</v>
      </c>
      <c r="BF561" s="43">
        <v>0</v>
      </c>
      <c r="BG561" s="43">
        <v>0</v>
      </c>
      <c r="BH561" s="43">
        <v>0</v>
      </c>
      <c r="BI561" s="40" t="s">
        <v>2332</v>
      </c>
      <c r="BJ561" s="40">
        <v>2022</v>
      </c>
      <c r="BK561" s="40" t="s">
        <v>2768</v>
      </c>
      <c r="BL561" s="40" t="s">
        <v>2768</v>
      </c>
      <c r="BM561" s="40" t="s">
        <v>2768</v>
      </c>
    </row>
    <row r="562" spans="1:65" x14ac:dyDescent="0.25">
      <c r="A562" s="40" t="s">
        <v>2771</v>
      </c>
      <c r="B562" s="41">
        <v>44879.25</v>
      </c>
      <c r="C562" s="40" t="s">
        <v>353</v>
      </c>
      <c r="D562" s="40" t="s">
        <v>354</v>
      </c>
      <c r="E562" s="40">
        <v>8666147</v>
      </c>
      <c r="F562" s="40">
        <v>68861197</v>
      </c>
      <c r="G562" s="40" t="s">
        <v>2354</v>
      </c>
      <c r="H562" s="40" t="s">
        <v>301</v>
      </c>
      <c r="I562" s="40">
        <v>3900</v>
      </c>
      <c r="J562" s="40" t="s">
        <v>2355</v>
      </c>
      <c r="K562" s="40">
        <v>25628</v>
      </c>
      <c r="L562" s="40">
        <v>29528</v>
      </c>
      <c r="M562" s="40">
        <v>648336</v>
      </c>
      <c r="N562" s="40" t="s">
        <v>2347</v>
      </c>
      <c r="O562" s="40" t="s">
        <v>87</v>
      </c>
      <c r="P562" s="40" t="s">
        <v>88</v>
      </c>
      <c r="Q562" s="40" t="s">
        <v>89</v>
      </c>
      <c r="R562" s="42" t="s">
        <v>90</v>
      </c>
      <c r="S562" s="42" t="s">
        <v>91</v>
      </c>
      <c r="T562" s="40" t="s">
        <v>292</v>
      </c>
      <c r="U562" s="41" t="s">
        <v>2356</v>
      </c>
      <c r="V562" s="41">
        <v>44879.041666666664</v>
      </c>
      <c r="W562" s="41">
        <v>44879.347222222219</v>
      </c>
      <c r="X562" s="40" t="s">
        <v>293</v>
      </c>
      <c r="Y562" s="41">
        <v>44879.729166666664</v>
      </c>
      <c r="Z562" s="41">
        <v>44878.833333333336</v>
      </c>
      <c r="AA562" s="41">
        <v>44879.5</v>
      </c>
      <c r="AB562" s="41">
        <v>44881.5</v>
      </c>
      <c r="AC562" s="40" t="s">
        <v>2350</v>
      </c>
      <c r="AD562" s="40">
        <v>14273</v>
      </c>
      <c r="AE562" s="40"/>
      <c r="AF562" s="40"/>
      <c r="AG562" s="40"/>
      <c r="AH562" s="40"/>
      <c r="AI562" s="41"/>
      <c r="AJ562" s="40"/>
      <c r="AK562" s="43"/>
      <c r="AL562" s="40"/>
      <c r="AM562" s="43">
        <v>0</v>
      </c>
      <c r="AN562" s="43"/>
      <c r="AO562" s="43"/>
      <c r="AP562" s="43"/>
      <c r="AQ562" s="43">
        <v>0</v>
      </c>
      <c r="AR562" s="43">
        <v>0</v>
      </c>
      <c r="AS562" s="43"/>
      <c r="AT562" s="43">
        <v>0</v>
      </c>
      <c r="AU562" s="43"/>
      <c r="AV562" s="43"/>
      <c r="AW562" s="43"/>
      <c r="AX562" s="43">
        <v>0</v>
      </c>
      <c r="AY562" s="43">
        <v>0</v>
      </c>
      <c r="AZ562" s="43">
        <v>0</v>
      </c>
      <c r="BA562" s="43">
        <v>0</v>
      </c>
      <c r="BB562" s="43">
        <v>0</v>
      </c>
      <c r="BC562" s="43">
        <v>0</v>
      </c>
      <c r="BD562" s="43">
        <v>0</v>
      </c>
      <c r="BE562" s="43">
        <v>0</v>
      </c>
      <c r="BF562" s="43">
        <v>0</v>
      </c>
      <c r="BG562" s="43">
        <v>0</v>
      </c>
      <c r="BH562" s="43">
        <v>0</v>
      </c>
      <c r="BI562" s="40" t="s">
        <v>2332</v>
      </c>
      <c r="BJ562" s="40">
        <v>2022</v>
      </c>
      <c r="BK562" s="40" t="s">
        <v>2768</v>
      </c>
      <c r="BL562" s="40" t="s">
        <v>2768</v>
      </c>
      <c r="BM562" s="40" t="s">
        <v>2768</v>
      </c>
    </row>
    <row r="563" spans="1:65" x14ac:dyDescent="0.25">
      <c r="A563" s="40" t="s">
        <v>2771</v>
      </c>
      <c r="B563" s="41">
        <v>44879.25</v>
      </c>
      <c r="C563" s="40" t="s">
        <v>353</v>
      </c>
      <c r="D563" s="40" t="s">
        <v>354</v>
      </c>
      <c r="E563" s="40">
        <v>8666147</v>
      </c>
      <c r="F563" s="40">
        <v>68861197</v>
      </c>
      <c r="G563" s="40" t="s">
        <v>2357</v>
      </c>
      <c r="H563" s="40" t="s">
        <v>301</v>
      </c>
      <c r="I563" s="40">
        <v>3840</v>
      </c>
      <c r="J563" s="40" t="s">
        <v>2358</v>
      </c>
      <c r="K563" s="40">
        <v>25628</v>
      </c>
      <c r="L563" s="40">
        <v>29468</v>
      </c>
      <c r="M563" s="40">
        <v>648338</v>
      </c>
      <c r="N563" s="40" t="s">
        <v>2347</v>
      </c>
      <c r="O563" s="40" t="s">
        <v>2359</v>
      </c>
      <c r="P563" s="40" t="s">
        <v>2360</v>
      </c>
      <c r="Q563" s="40" t="s">
        <v>2361</v>
      </c>
      <c r="R563" s="42" t="s">
        <v>2362</v>
      </c>
      <c r="S563" s="42" t="s">
        <v>2363</v>
      </c>
      <c r="T563" s="40" t="s">
        <v>292</v>
      </c>
      <c r="U563" s="41">
        <v>44877.541666666664</v>
      </c>
      <c r="V563" s="41">
        <v>44879.25</v>
      </c>
      <c r="W563" s="41">
        <v>44879.486111111109</v>
      </c>
      <c r="X563" s="40" t="s">
        <v>293</v>
      </c>
      <c r="Y563" s="41">
        <v>44880.020833333336</v>
      </c>
      <c r="Z563" s="41">
        <v>44878.833333333336</v>
      </c>
      <c r="AA563" s="41">
        <v>44879.5</v>
      </c>
      <c r="AB563" s="41">
        <v>44881.5</v>
      </c>
      <c r="AC563" s="40" t="s">
        <v>2350</v>
      </c>
      <c r="AD563" s="40">
        <v>14278</v>
      </c>
      <c r="AE563" s="40"/>
      <c r="AF563" s="40"/>
      <c r="AG563" s="40"/>
      <c r="AH563" s="40"/>
      <c r="AI563" s="41"/>
      <c r="AJ563" s="40"/>
      <c r="AK563" s="43"/>
      <c r="AL563" s="40"/>
      <c r="AM563" s="43">
        <v>0</v>
      </c>
      <c r="AN563" s="43"/>
      <c r="AO563" s="43"/>
      <c r="AP563" s="43"/>
      <c r="AQ563" s="43">
        <v>0</v>
      </c>
      <c r="AR563" s="43">
        <v>0</v>
      </c>
      <c r="AS563" s="43"/>
      <c r="AT563" s="43">
        <v>0</v>
      </c>
      <c r="AU563" s="43"/>
      <c r="AV563" s="43"/>
      <c r="AW563" s="43"/>
      <c r="AX563" s="43">
        <v>0</v>
      </c>
      <c r="AY563" s="43">
        <v>0</v>
      </c>
      <c r="AZ563" s="43">
        <v>0</v>
      </c>
      <c r="BA563" s="43">
        <v>0</v>
      </c>
      <c r="BB563" s="43">
        <v>0</v>
      </c>
      <c r="BC563" s="43">
        <v>0</v>
      </c>
      <c r="BD563" s="43">
        <v>0</v>
      </c>
      <c r="BE563" s="43">
        <v>0</v>
      </c>
      <c r="BF563" s="43">
        <v>0</v>
      </c>
      <c r="BG563" s="43">
        <v>0</v>
      </c>
      <c r="BH563" s="43">
        <v>0</v>
      </c>
      <c r="BI563" s="40" t="s">
        <v>2332</v>
      </c>
      <c r="BJ563" s="40">
        <v>2022</v>
      </c>
      <c r="BK563" s="40" t="s">
        <v>2768</v>
      </c>
      <c r="BL563" s="40" t="s">
        <v>2768</v>
      </c>
      <c r="BM563" s="40" t="s">
        <v>2768</v>
      </c>
    </row>
    <row r="564" spans="1:65" x14ac:dyDescent="0.25">
      <c r="A564" s="40" t="s">
        <v>2771</v>
      </c>
      <c r="B564" s="41">
        <v>44879.25</v>
      </c>
      <c r="C564" s="40" t="s">
        <v>353</v>
      </c>
      <c r="D564" s="40" t="s">
        <v>354</v>
      </c>
      <c r="E564" s="40">
        <v>8666147</v>
      </c>
      <c r="F564" s="40">
        <v>68861197</v>
      </c>
      <c r="G564" s="40" t="s">
        <v>2364</v>
      </c>
      <c r="H564" s="40" t="s">
        <v>301</v>
      </c>
      <c r="I564" s="40">
        <v>3680</v>
      </c>
      <c r="J564" s="40" t="s">
        <v>2365</v>
      </c>
      <c r="K564" s="40">
        <v>25628</v>
      </c>
      <c r="L564" s="40">
        <v>29308</v>
      </c>
      <c r="M564" s="40">
        <v>648348</v>
      </c>
      <c r="N564" s="40" t="s">
        <v>2347</v>
      </c>
      <c r="O564" s="40" t="s">
        <v>2359</v>
      </c>
      <c r="P564" s="40" t="s">
        <v>2366</v>
      </c>
      <c r="Q564" s="40" t="s">
        <v>2361</v>
      </c>
      <c r="R564" s="42" t="s">
        <v>2362</v>
      </c>
      <c r="S564" s="42" t="s">
        <v>2363</v>
      </c>
      <c r="T564" s="40" t="s">
        <v>292</v>
      </c>
      <c r="U564" s="41">
        <v>44877.541666666664</v>
      </c>
      <c r="V564" s="41">
        <v>44879.25</v>
      </c>
      <c r="W564" s="41">
        <v>44879.486111111109</v>
      </c>
      <c r="X564" s="40" t="s">
        <v>293</v>
      </c>
      <c r="Y564" s="41">
        <v>44879.939583333333</v>
      </c>
      <c r="Z564" s="41">
        <v>44878.833333333336</v>
      </c>
      <c r="AA564" s="41">
        <v>44879.5</v>
      </c>
      <c r="AB564" s="41">
        <v>44881.5</v>
      </c>
      <c r="AC564" s="40" t="s">
        <v>2350</v>
      </c>
      <c r="AD564" s="40">
        <v>14277</v>
      </c>
      <c r="AE564" s="40"/>
      <c r="AF564" s="40"/>
      <c r="AG564" s="40"/>
      <c r="AH564" s="40"/>
      <c r="AI564" s="41"/>
      <c r="AJ564" s="40"/>
      <c r="AK564" s="43"/>
      <c r="AL564" s="40"/>
      <c r="AM564" s="43">
        <v>0</v>
      </c>
      <c r="AN564" s="43"/>
      <c r="AO564" s="43"/>
      <c r="AP564" s="43"/>
      <c r="AQ564" s="43">
        <v>0</v>
      </c>
      <c r="AR564" s="43">
        <v>0</v>
      </c>
      <c r="AS564" s="43"/>
      <c r="AT564" s="43">
        <v>0</v>
      </c>
      <c r="AU564" s="43"/>
      <c r="AV564" s="43"/>
      <c r="AW564" s="43"/>
      <c r="AX564" s="43">
        <v>0</v>
      </c>
      <c r="AY564" s="43">
        <v>0</v>
      </c>
      <c r="AZ564" s="43">
        <v>0</v>
      </c>
      <c r="BA564" s="43">
        <v>0</v>
      </c>
      <c r="BB564" s="43">
        <v>0</v>
      </c>
      <c r="BC564" s="43">
        <v>0</v>
      </c>
      <c r="BD564" s="43">
        <v>0</v>
      </c>
      <c r="BE564" s="43">
        <v>0</v>
      </c>
      <c r="BF564" s="43">
        <v>0</v>
      </c>
      <c r="BG564" s="43">
        <v>0</v>
      </c>
      <c r="BH564" s="43">
        <v>0</v>
      </c>
      <c r="BI564" s="40" t="s">
        <v>2332</v>
      </c>
      <c r="BJ564" s="40">
        <v>2022</v>
      </c>
      <c r="BK564" s="40" t="s">
        <v>2768</v>
      </c>
      <c r="BL564" s="40" t="s">
        <v>2768</v>
      </c>
      <c r="BM564" s="40" t="s">
        <v>2768</v>
      </c>
    </row>
    <row r="565" spans="1:65" x14ac:dyDescent="0.25">
      <c r="A565" s="40" t="s">
        <v>2771</v>
      </c>
      <c r="B565" s="41">
        <v>44879.458333333336</v>
      </c>
      <c r="C565" s="40" t="s">
        <v>353</v>
      </c>
      <c r="D565" s="40" t="s">
        <v>354</v>
      </c>
      <c r="E565" s="40">
        <v>8666159</v>
      </c>
      <c r="F565" s="40">
        <v>64527869</v>
      </c>
      <c r="G565" s="40" t="s">
        <v>2367</v>
      </c>
      <c r="H565" s="40" t="s">
        <v>301</v>
      </c>
      <c r="I565" s="40">
        <v>3830</v>
      </c>
      <c r="J565" s="40" t="s">
        <v>2368</v>
      </c>
      <c r="K565" s="40">
        <v>25642</v>
      </c>
      <c r="L565" s="40">
        <v>29472</v>
      </c>
      <c r="M565" s="40">
        <v>648360</v>
      </c>
      <c r="N565" s="40" t="s">
        <v>2347</v>
      </c>
      <c r="O565" s="40" t="s">
        <v>1917</v>
      </c>
      <c r="P565" s="40" t="s">
        <v>1925</v>
      </c>
      <c r="Q565" s="40" t="s">
        <v>1919</v>
      </c>
      <c r="R565" s="42" t="s">
        <v>1920</v>
      </c>
      <c r="S565" s="42" t="s">
        <v>1921</v>
      </c>
      <c r="T565" s="40" t="s">
        <v>292</v>
      </c>
      <c r="U565" s="41">
        <v>44877.541666666664</v>
      </c>
      <c r="V565" s="41">
        <v>44879.25</v>
      </c>
      <c r="W565" s="41">
        <v>44879.618055555555</v>
      </c>
      <c r="X565" s="40" t="s">
        <v>293</v>
      </c>
      <c r="Y565" s="41">
        <v>44879.977083333331</v>
      </c>
      <c r="Z565" s="41">
        <v>44878.833333333336</v>
      </c>
      <c r="AA565" s="41">
        <v>44879.5</v>
      </c>
      <c r="AB565" s="41">
        <v>44881.5</v>
      </c>
      <c r="AC565" s="40" t="s">
        <v>2350</v>
      </c>
      <c r="AD565" s="40">
        <v>14285</v>
      </c>
      <c r="AE565" s="40"/>
      <c r="AF565" s="40"/>
      <c r="AG565" s="40"/>
      <c r="AH565" s="40"/>
      <c r="AI565" s="41"/>
      <c r="AJ565" s="40"/>
      <c r="AK565" s="43"/>
      <c r="AL565" s="40"/>
      <c r="AM565" s="43">
        <v>0</v>
      </c>
      <c r="AN565" s="43"/>
      <c r="AO565" s="43"/>
      <c r="AP565" s="43"/>
      <c r="AQ565" s="43">
        <v>0</v>
      </c>
      <c r="AR565" s="43">
        <v>0</v>
      </c>
      <c r="AS565" s="43"/>
      <c r="AT565" s="43">
        <v>0</v>
      </c>
      <c r="AU565" s="43"/>
      <c r="AV565" s="43"/>
      <c r="AW565" s="43"/>
      <c r="AX565" s="43">
        <v>0</v>
      </c>
      <c r="AY565" s="43">
        <v>0</v>
      </c>
      <c r="AZ565" s="43">
        <v>0</v>
      </c>
      <c r="BA565" s="43">
        <v>0</v>
      </c>
      <c r="BB565" s="43">
        <v>0</v>
      </c>
      <c r="BC565" s="43">
        <v>0</v>
      </c>
      <c r="BD565" s="43">
        <v>0</v>
      </c>
      <c r="BE565" s="43">
        <v>0</v>
      </c>
      <c r="BF565" s="43">
        <v>0</v>
      </c>
      <c r="BG565" s="43">
        <v>0</v>
      </c>
      <c r="BH565" s="43">
        <v>0</v>
      </c>
      <c r="BI565" s="40" t="s">
        <v>2332</v>
      </c>
      <c r="BJ565" s="40">
        <v>2022</v>
      </c>
      <c r="BK565" s="40" t="s">
        <v>2768</v>
      </c>
      <c r="BL565" s="40" t="s">
        <v>2768</v>
      </c>
      <c r="BM565" s="40" t="s">
        <v>2768</v>
      </c>
    </row>
    <row r="566" spans="1:65" x14ac:dyDescent="0.25">
      <c r="A566" s="40" t="s">
        <v>2771</v>
      </c>
      <c r="B566" s="41">
        <v>44879.458333333336</v>
      </c>
      <c r="C566" s="40" t="s">
        <v>353</v>
      </c>
      <c r="D566" s="40" t="s">
        <v>354</v>
      </c>
      <c r="E566" s="40">
        <v>8666159</v>
      </c>
      <c r="F566" s="40">
        <v>64527869</v>
      </c>
      <c r="G566" s="40" t="s">
        <v>2369</v>
      </c>
      <c r="H566" s="40" t="s">
        <v>301</v>
      </c>
      <c r="I566" s="40">
        <v>3680</v>
      </c>
      <c r="J566" s="40" t="s">
        <v>2370</v>
      </c>
      <c r="K566" s="40">
        <v>25642</v>
      </c>
      <c r="L566" s="40">
        <v>29322</v>
      </c>
      <c r="M566" s="40">
        <v>648343</v>
      </c>
      <c r="N566" s="40" t="s">
        <v>2347</v>
      </c>
      <c r="O566" s="40" t="s">
        <v>1917</v>
      </c>
      <c r="P566" s="40" t="s">
        <v>1918</v>
      </c>
      <c r="Q566" s="40" t="s">
        <v>1919</v>
      </c>
      <c r="R566" s="42" t="s">
        <v>1920</v>
      </c>
      <c r="S566" s="42" t="s">
        <v>1921</v>
      </c>
      <c r="T566" s="40" t="s">
        <v>292</v>
      </c>
      <c r="U566" s="41">
        <v>44877.541666666664</v>
      </c>
      <c r="V566" s="41">
        <v>44879.25</v>
      </c>
      <c r="W566" s="41">
        <v>44879.618055555555</v>
      </c>
      <c r="X566" s="40" t="s">
        <v>293</v>
      </c>
      <c r="Y566" s="41">
        <v>44881.05972222222</v>
      </c>
      <c r="Z566" s="41">
        <v>44878.833333333336</v>
      </c>
      <c r="AA566" s="41">
        <v>44879.5</v>
      </c>
      <c r="AB566" s="41">
        <v>44881.5</v>
      </c>
      <c r="AC566" s="40" t="s">
        <v>2350</v>
      </c>
      <c r="AD566" s="40">
        <v>14287</v>
      </c>
      <c r="AE566" s="40"/>
      <c r="AF566" s="40"/>
      <c r="AG566" s="40"/>
      <c r="AH566" s="40"/>
      <c r="AI566" s="41"/>
      <c r="AJ566" s="40"/>
      <c r="AK566" s="43"/>
      <c r="AL566" s="40"/>
      <c r="AM566" s="43">
        <v>0</v>
      </c>
      <c r="AN566" s="43"/>
      <c r="AO566" s="43"/>
      <c r="AP566" s="43"/>
      <c r="AQ566" s="43">
        <v>0</v>
      </c>
      <c r="AR566" s="43">
        <v>0</v>
      </c>
      <c r="AS566" s="43"/>
      <c r="AT566" s="43">
        <v>0</v>
      </c>
      <c r="AU566" s="43"/>
      <c r="AV566" s="43"/>
      <c r="AW566" s="43"/>
      <c r="AX566" s="43">
        <v>0</v>
      </c>
      <c r="AY566" s="43">
        <v>0</v>
      </c>
      <c r="AZ566" s="43">
        <v>0</v>
      </c>
      <c r="BA566" s="43">
        <v>0</v>
      </c>
      <c r="BB566" s="43">
        <v>0</v>
      </c>
      <c r="BC566" s="43">
        <v>0</v>
      </c>
      <c r="BD566" s="43">
        <v>0</v>
      </c>
      <c r="BE566" s="43">
        <v>0</v>
      </c>
      <c r="BF566" s="43">
        <v>0</v>
      </c>
      <c r="BG566" s="43">
        <v>0</v>
      </c>
      <c r="BH566" s="43">
        <v>0</v>
      </c>
      <c r="BI566" s="40" t="s">
        <v>2332</v>
      </c>
      <c r="BJ566" s="40">
        <v>2022</v>
      </c>
      <c r="BK566" s="40" t="s">
        <v>2768</v>
      </c>
      <c r="BL566" s="40" t="s">
        <v>2768</v>
      </c>
      <c r="BM566" s="40" t="s">
        <v>2768</v>
      </c>
    </row>
    <row r="567" spans="1:65" x14ac:dyDescent="0.25">
      <c r="A567" s="40" t="s">
        <v>2771</v>
      </c>
      <c r="B567" s="41">
        <v>44879.458333333336</v>
      </c>
      <c r="C567" s="40" t="s">
        <v>353</v>
      </c>
      <c r="D567" s="40" t="s">
        <v>354</v>
      </c>
      <c r="E567" s="40">
        <v>8666159</v>
      </c>
      <c r="F567" s="40">
        <v>64527869</v>
      </c>
      <c r="G567" s="40" t="s">
        <v>2371</v>
      </c>
      <c r="H567" s="40" t="s">
        <v>301</v>
      </c>
      <c r="I567" s="40">
        <v>3870</v>
      </c>
      <c r="J567" s="40" t="s">
        <v>2372</v>
      </c>
      <c r="K567" s="40">
        <v>25642</v>
      </c>
      <c r="L567" s="40">
        <v>29512</v>
      </c>
      <c r="M567" s="40">
        <v>648349</v>
      </c>
      <c r="N567" s="40" t="s">
        <v>2347</v>
      </c>
      <c r="O567" s="40" t="s">
        <v>2093</v>
      </c>
      <c r="P567" s="40" t="s">
        <v>2101</v>
      </c>
      <c r="Q567" s="40" t="s">
        <v>2095</v>
      </c>
      <c r="R567" s="42" t="s">
        <v>2096</v>
      </c>
      <c r="S567" s="42" t="s">
        <v>2097</v>
      </c>
      <c r="T567" s="40" t="s">
        <v>292</v>
      </c>
      <c r="U567" s="41">
        <v>44877.541666666664</v>
      </c>
      <c r="V567" s="41">
        <v>44879.25</v>
      </c>
      <c r="W567" s="41">
        <v>44879.5</v>
      </c>
      <c r="X567" s="40" t="s">
        <v>293</v>
      </c>
      <c r="Y567" s="41">
        <v>44880.018055555556</v>
      </c>
      <c r="Z567" s="41">
        <v>44878.833333333336</v>
      </c>
      <c r="AA567" s="41">
        <v>44879.5</v>
      </c>
      <c r="AB567" s="41">
        <v>44881.5</v>
      </c>
      <c r="AC567" s="40" t="s">
        <v>2350</v>
      </c>
      <c r="AD567" s="40">
        <v>14281</v>
      </c>
      <c r="AE567" s="40"/>
      <c r="AF567" s="40"/>
      <c r="AG567" s="40"/>
      <c r="AH567" s="40"/>
      <c r="AI567" s="41"/>
      <c r="AJ567" s="40"/>
      <c r="AK567" s="43"/>
      <c r="AL567" s="40"/>
      <c r="AM567" s="43">
        <v>0</v>
      </c>
      <c r="AN567" s="43"/>
      <c r="AO567" s="43"/>
      <c r="AP567" s="43"/>
      <c r="AQ567" s="43">
        <v>0</v>
      </c>
      <c r="AR567" s="43">
        <v>0</v>
      </c>
      <c r="AS567" s="43"/>
      <c r="AT567" s="43">
        <v>0</v>
      </c>
      <c r="AU567" s="43"/>
      <c r="AV567" s="43"/>
      <c r="AW567" s="43"/>
      <c r="AX567" s="43">
        <v>0</v>
      </c>
      <c r="AY567" s="43">
        <v>0</v>
      </c>
      <c r="AZ567" s="43">
        <v>0</v>
      </c>
      <c r="BA567" s="43">
        <v>0</v>
      </c>
      <c r="BB567" s="43">
        <v>0</v>
      </c>
      <c r="BC567" s="43">
        <v>0</v>
      </c>
      <c r="BD567" s="43">
        <v>0</v>
      </c>
      <c r="BE567" s="43">
        <v>0</v>
      </c>
      <c r="BF567" s="43">
        <v>0</v>
      </c>
      <c r="BG567" s="43">
        <v>0</v>
      </c>
      <c r="BH567" s="43">
        <v>0</v>
      </c>
      <c r="BI567" s="40" t="s">
        <v>2332</v>
      </c>
      <c r="BJ567" s="40">
        <v>2022</v>
      </c>
      <c r="BK567" s="40" t="s">
        <v>2768</v>
      </c>
      <c r="BL567" s="40" t="s">
        <v>2768</v>
      </c>
      <c r="BM567" s="40" t="s">
        <v>2768</v>
      </c>
    </row>
    <row r="568" spans="1:65" x14ac:dyDescent="0.25">
      <c r="A568" s="40" t="s">
        <v>2771</v>
      </c>
      <c r="B568" s="41">
        <v>44879.458333333336</v>
      </c>
      <c r="C568" s="40" t="s">
        <v>353</v>
      </c>
      <c r="D568" s="40" t="s">
        <v>354</v>
      </c>
      <c r="E568" s="40">
        <v>8666159</v>
      </c>
      <c r="F568" s="40">
        <v>64527869</v>
      </c>
      <c r="G568" s="40" t="s">
        <v>2373</v>
      </c>
      <c r="H568" s="40" t="s">
        <v>301</v>
      </c>
      <c r="I568" s="40">
        <v>3840</v>
      </c>
      <c r="J568" s="40" t="s">
        <v>2374</v>
      </c>
      <c r="K568" s="40">
        <v>25642</v>
      </c>
      <c r="L568" s="40">
        <v>29482</v>
      </c>
      <c r="M568" s="40">
        <v>648340</v>
      </c>
      <c r="N568" s="40" t="s">
        <v>2347</v>
      </c>
      <c r="O568" s="40" t="s">
        <v>2093</v>
      </c>
      <c r="P568" s="40" t="s">
        <v>2094</v>
      </c>
      <c r="Q568" s="40" t="s">
        <v>2095</v>
      </c>
      <c r="R568" s="42" t="s">
        <v>2096</v>
      </c>
      <c r="S568" s="42" t="s">
        <v>2097</v>
      </c>
      <c r="T568" s="40" t="s">
        <v>292</v>
      </c>
      <c r="U568" s="41">
        <v>44877.541666666664</v>
      </c>
      <c r="V568" s="41">
        <v>44879.25</v>
      </c>
      <c r="W568" s="41">
        <v>44879.59375</v>
      </c>
      <c r="X568" s="40" t="s">
        <v>293</v>
      </c>
      <c r="Y568" s="41">
        <v>44879.890972222223</v>
      </c>
      <c r="Z568" s="41">
        <v>44878.833333333336</v>
      </c>
      <c r="AA568" s="41">
        <v>44879.5</v>
      </c>
      <c r="AB568" s="41">
        <v>44881.5</v>
      </c>
      <c r="AC568" s="40" t="s">
        <v>2350</v>
      </c>
      <c r="AD568" s="40">
        <v>14282</v>
      </c>
      <c r="AE568" s="40"/>
      <c r="AF568" s="40"/>
      <c r="AG568" s="40"/>
      <c r="AH568" s="40"/>
      <c r="AI568" s="41"/>
      <c r="AJ568" s="40"/>
      <c r="AK568" s="43"/>
      <c r="AL568" s="40"/>
      <c r="AM568" s="43">
        <v>0</v>
      </c>
      <c r="AN568" s="43"/>
      <c r="AO568" s="43"/>
      <c r="AP568" s="43"/>
      <c r="AQ568" s="43">
        <v>0</v>
      </c>
      <c r="AR568" s="43">
        <v>0</v>
      </c>
      <c r="AS568" s="43"/>
      <c r="AT568" s="43">
        <v>0</v>
      </c>
      <c r="AU568" s="43"/>
      <c r="AV568" s="43"/>
      <c r="AW568" s="43"/>
      <c r="AX568" s="43">
        <v>0</v>
      </c>
      <c r="AY568" s="43">
        <v>0</v>
      </c>
      <c r="AZ568" s="43">
        <v>0</v>
      </c>
      <c r="BA568" s="43">
        <v>0</v>
      </c>
      <c r="BB568" s="43">
        <v>0</v>
      </c>
      <c r="BC568" s="43">
        <v>0</v>
      </c>
      <c r="BD568" s="43">
        <v>0</v>
      </c>
      <c r="BE568" s="43">
        <v>0</v>
      </c>
      <c r="BF568" s="43">
        <v>0</v>
      </c>
      <c r="BG568" s="43">
        <v>0</v>
      </c>
      <c r="BH568" s="43">
        <v>0</v>
      </c>
      <c r="BI568" s="40" t="s">
        <v>2332</v>
      </c>
      <c r="BJ568" s="40">
        <v>2022</v>
      </c>
      <c r="BK568" s="40" t="s">
        <v>2768</v>
      </c>
      <c r="BL568" s="40" t="s">
        <v>2768</v>
      </c>
      <c r="BM568" s="40" t="s">
        <v>2768</v>
      </c>
    </row>
    <row r="569" spans="1:65" x14ac:dyDescent="0.25">
      <c r="A569" s="40" t="s">
        <v>2771</v>
      </c>
      <c r="B569" s="41">
        <v>44880.333333333336</v>
      </c>
      <c r="C569" s="40" t="s">
        <v>353</v>
      </c>
      <c r="D569" s="40" t="s">
        <v>400</v>
      </c>
      <c r="E569" s="40" t="s">
        <v>2375</v>
      </c>
      <c r="F569" s="40">
        <v>66529255</v>
      </c>
      <c r="G569" s="40" t="s">
        <v>2376</v>
      </c>
      <c r="H569" s="40" t="s">
        <v>301</v>
      </c>
      <c r="I569" s="40">
        <v>3900</v>
      </c>
      <c r="J569" s="40" t="s">
        <v>2377</v>
      </c>
      <c r="K569" s="40">
        <v>7820</v>
      </c>
      <c r="L569" s="40">
        <v>11720</v>
      </c>
      <c r="M569" s="40" t="s">
        <v>2378</v>
      </c>
      <c r="N569" s="40" t="s">
        <v>2379</v>
      </c>
      <c r="O569" s="40" t="s">
        <v>68</v>
      </c>
      <c r="P569" s="40" t="s">
        <v>36</v>
      </c>
      <c r="Q569" s="40" t="s">
        <v>69</v>
      </c>
      <c r="R569" s="42" t="s">
        <v>70</v>
      </c>
      <c r="S569" s="42" t="s">
        <v>71</v>
      </c>
      <c r="T569" s="40" t="s">
        <v>537</v>
      </c>
      <c r="U569" s="41">
        <v>44879.729166666664</v>
      </c>
      <c r="V569" s="41">
        <v>44880.224305555559</v>
      </c>
      <c r="W569" s="41">
        <v>44880.895833333336</v>
      </c>
      <c r="X569" s="40" t="s">
        <v>293</v>
      </c>
      <c r="Y569" s="41">
        <v>44881.031944444447</v>
      </c>
      <c r="Z569" s="41">
        <v>44879.791666666664</v>
      </c>
      <c r="AA569" s="41">
        <v>44881.5</v>
      </c>
      <c r="AB569" s="41">
        <v>44883.5</v>
      </c>
      <c r="AC569" s="40" t="s">
        <v>624</v>
      </c>
      <c r="AD569" s="40">
        <v>14294</v>
      </c>
      <c r="AE569" s="40"/>
      <c r="AF569" s="40"/>
      <c r="AG569" s="40"/>
      <c r="AH569" s="40"/>
      <c r="AI569" s="41"/>
      <c r="AJ569" s="40"/>
      <c r="AK569" s="43"/>
      <c r="AL569" s="40"/>
      <c r="AM569" s="43">
        <v>0</v>
      </c>
      <c r="AN569" s="43"/>
      <c r="AO569" s="43"/>
      <c r="AP569" s="43"/>
      <c r="AQ569" s="43">
        <v>0</v>
      </c>
      <c r="AR569" s="43">
        <v>0</v>
      </c>
      <c r="AS569" s="43"/>
      <c r="AT569" s="43">
        <v>0</v>
      </c>
      <c r="AU569" s="43"/>
      <c r="AV569" s="43"/>
      <c r="AW569" s="43"/>
      <c r="AX569" s="43">
        <v>0</v>
      </c>
      <c r="AY569" s="43">
        <v>0</v>
      </c>
      <c r="AZ569" s="43">
        <v>0</v>
      </c>
      <c r="BA569" s="43">
        <v>0</v>
      </c>
      <c r="BB569" s="43">
        <v>0</v>
      </c>
      <c r="BC569" s="43">
        <v>0</v>
      </c>
      <c r="BD569" s="43">
        <v>0</v>
      </c>
      <c r="BE569" s="43">
        <v>0</v>
      </c>
      <c r="BF569" s="43">
        <v>0</v>
      </c>
      <c r="BG569" s="43">
        <v>0</v>
      </c>
      <c r="BH569" s="43">
        <v>0</v>
      </c>
      <c r="BI569" s="40" t="s">
        <v>2332</v>
      </c>
      <c r="BJ569" s="40">
        <v>2022</v>
      </c>
      <c r="BK569" s="40" t="s">
        <v>2768</v>
      </c>
      <c r="BL569" s="40" t="s">
        <v>2768</v>
      </c>
      <c r="BM569" s="40" t="s">
        <v>2768</v>
      </c>
    </row>
    <row r="570" spans="1:65" x14ac:dyDescent="0.25">
      <c r="A570" s="40" t="s">
        <v>2771</v>
      </c>
      <c r="B570" s="41">
        <v>44881.375</v>
      </c>
      <c r="C570" s="40" t="s">
        <v>1110</v>
      </c>
      <c r="D570" s="40" t="s">
        <v>1111</v>
      </c>
      <c r="E570" s="40" t="s">
        <v>2380</v>
      </c>
      <c r="F570" s="40" t="s">
        <v>2381</v>
      </c>
      <c r="G570" s="40" t="s">
        <v>2382</v>
      </c>
      <c r="H570" s="40" t="s">
        <v>301</v>
      </c>
      <c r="I570" s="40">
        <v>3840</v>
      </c>
      <c r="J570" s="40">
        <v>1328027</v>
      </c>
      <c r="K570" s="40">
        <v>25920</v>
      </c>
      <c r="L570" s="40">
        <v>29760</v>
      </c>
      <c r="M570" s="40">
        <v>324078</v>
      </c>
      <c r="N570" s="40" t="s">
        <v>2383</v>
      </c>
      <c r="O570" s="40" t="s">
        <v>31</v>
      </c>
      <c r="P570" s="40" t="s">
        <v>211</v>
      </c>
      <c r="Q570" s="40" t="s">
        <v>33</v>
      </c>
      <c r="R570" s="42" t="s">
        <v>34</v>
      </c>
      <c r="S570" s="42" t="s">
        <v>35</v>
      </c>
      <c r="T570" s="40" t="s">
        <v>857</v>
      </c>
      <c r="U570" s="41">
        <v>44881.333333333336</v>
      </c>
      <c r="V570" s="41">
        <v>44881.378472222219</v>
      </c>
      <c r="W570" s="41">
        <v>44881.625</v>
      </c>
      <c r="X570" s="40" t="s">
        <v>306</v>
      </c>
      <c r="Y570" s="41">
        <v>44882.135416666664</v>
      </c>
      <c r="Z570" s="41">
        <v>44877.708333333336</v>
      </c>
      <c r="AA570" s="41">
        <v>44882.5</v>
      </c>
      <c r="AB570" s="41">
        <v>44882.5</v>
      </c>
      <c r="AC570" s="40" t="s">
        <v>294</v>
      </c>
      <c r="AD570" s="40"/>
      <c r="AE570" s="40"/>
      <c r="AF570" s="40"/>
      <c r="AG570" s="40"/>
      <c r="AH570" s="40"/>
      <c r="AI570" s="41"/>
      <c r="AJ570" s="40"/>
      <c r="AK570" s="43"/>
      <c r="AL570" s="40"/>
      <c r="AM570" s="43">
        <v>0</v>
      </c>
      <c r="AN570" s="43"/>
      <c r="AO570" s="43"/>
      <c r="AP570" s="43"/>
      <c r="AQ570" s="43">
        <v>0</v>
      </c>
      <c r="AR570" s="43">
        <v>0</v>
      </c>
      <c r="AS570" s="43"/>
      <c r="AT570" s="43">
        <v>0</v>
      </c>
      <c r="AU570" s="43"/>
      <c r="AV570" s="43"/>
      <c r="AW570" s="43"/>
      <c r="AX570" s="43">
        <v>0</v>
      </c>
      <c r="AY570" s="43">
        <v>0</v>
      </c>
      <c r="AZ570" s="43">
        <v>0</v>
      </c>
      <c r="BA570" s="43">
        <v>0</v>
      </c>
      <c r="BB570" s="43">
        <v>0</v>
      </c>
      <c r="BC570" s="43">
        <v>0</v>
      </c>
      <c r="BD570" s="43">
        <v>0</v>
      </c>
      <c r="BE570" s="43">
        <v>0</v>
      </c>
      <c r="BF570" s="43">
        <v>0</v>
      </c>
      <c r="BG570" s="43">
        <v>0</v>
      </c>
      <c r="BH570" s="43">
        <v>0</v>
      </c>
      <c r="BI570" s="40" t="s">
        <v>2332</v>
      </c>
      <c r="BJ570" s="40">
        <v>2022</v>
      </c>
      <c r="BK570" s="40" t="s">
        <v>2768</v>
      </c>
      <c r="BL570" s="40"/>
      <c r="BM570" s="40"/>
    </row>
    <row r="571" spans="1:65" x14ac:dyDescent="0.25">
      <c r="A571" s="40" t="s">
        <v>2771</v>
      </c>
      <c r="B571" s="41">
        <v>44881.375</v>
      </c>
      <c r="C571" s="40" t="s">
        <v>1110</v>
      </c>
      <c r="D571" s="40" t="s">
        <v>1111</v>
      </c>
      <c r="E571" s="40" t="s">
        <v>2380</v>
      </c>
      <c r="F571" s="40" t="s">
        <v>2381</v>
      </c>
      <c r="G571" s="40" t="s">
        <v>2384</v>
      </c>
      <c r="H571" s="40" t="s">
        <v>301</v>
      </c>
      <c r="I571" s="40">
        <v>3690</v>
      </c>
      <c r="J571" s="40">
        <v>1328028</v>
      </c>
      <c r="K571" s="40">
        <v>25850</v>
      </c>
      <c r="L571" s="40">
        <v>29540</v>
      </c>
      <c r="M571" s="40">
        <v>324101</v>
      </c>
      <c r="N571" s="40" t="s">
        <v>2383</v>
      </c>
      <c r="O571" s="40" t="s">
        <v>92</v>
      </c>
      <c r="P571" s="40" t="s">
        <v>93</v>
      </c>
      <c r="Q571" s="40" t="s">
        <v>94</v>
      </c>
      <c r="R571" s="42" t="s">
        <v>95</v>
      </c>
      <c r="S571" s="42" t="s">
        <v>96</v>
      </c>
      <c r="T571" s="40" t="s">
        <v>857</v>
      </c>
      <c r="U571" s="41">
        <v>44881.333333333336</v>
      </c>
      <c r="V571" s="41">
        <v>44881.427083333336</v>
      </c>
      <c r="W571" s="41">
        <v>44881.75</v>
      </c>
      <c r="X571" s="40" t="s">
        <v>306</v>
      </c>
      <c r="Y571" s="41">
        <v>44882.167361111111</v>
      </c>
      <c r="Z571" s="41">
        <v>44877.708333333336</v>
      </c>
      <c r="AA571" s="41">
        <v>44882.5</v>
      </c>
      <c r="AB571" s="41">
        <v>44882.5</v>
      </c>
      <c r="AC571" s="40" t="s">
        <v>294</v>
      </c>
      <c r="AD571" s="40"/>
      <c r="AE571" s="40"/>
      <c r="AF571" s="40"/>
      <c r="AG571" s="40"/>
      <c r="AH571" s="40"/>
      <c r="AI571" s="41"/>
      <c r="AJ571" s="40"/>
      <c r="AK571" s="43"/>
      <c r="AL571" s="40"/>
      <c r="AM571" s="43">
        <v>0</v>
      </c>
      <c r="AN571" s="43"/>
      <c r="AO571" s="43"/>
      <c r="AP571" s="43"/>
      <c r="AQ571" s="43">
        <v>0</v>
      </c>
      <c r="AR571" s="43">
        <v>0</v>
      </c>
      <c r="AS571" s="43"/>
      <c r="AT571" s="43">
        <v>0</v>
      </c>
      <c r="AU571" s="43"/>
      <c r="AV571" s="43"/>
      <c r="AW571" s="43"/>
      <c r="AX571" s="43">
        <v>0</v>
      </c>
      <c r="AY571" s="43">
        <v>0</v>
      </c>
      <c r="AZ571" s="43">
        <v>0</v>
      </c>
      <c r="BA571" s="43">
        <v>0</v>
      </c>
      <c r="BB571" s="43">
        <v>0</v>
      </c>
      <c r="BC571" s="43">
        <v>0</v>
      </c>
      <c r="BD571" s="43">
        <v>0</v>
      </c>
      <c r="BE571" s="43">
        <v>0</v>
      </c>
      <c r="BF571" s="43">
        <v>0</v>
      </c>
      <c r="BG571" s="43">
        <v>0</v>
      </c>
      <c r="BH571" s="43">
        <v>0</v>
      </c>
      <c r="BI571" s="40" t="s">
        <v>2332</v>
      </c>
      <c r="BJ571" s="40">
        <v>2022</v>
      </c>
      <c r="BK571" s="40" t="s">
        <v>2768</v>
      </c>
      <c r="BL571" s="40"/>
      <c r="BM571" s="40"/>
    </row>
    <row r="572" spans="1:65" x14ac:dyDescent="0.25">
      <c r="A572" s="40" t="s">
        <v>2771</v>
      </c>
      <c r="B572" s="41">
        <v>44881.333333333336</v>
      </c>
      <c r="C572" s="40" t="s">
        <v>297</v>
      </c>
      <c r="D572" s="40" t="s">
        <v>298</v>
      </c>
      <c r="E572" s="40" t="s">
        <v>2385</v>
      </c>
      <c r="F572" s="40">
        <v>222938544</v>
      </c>
      <c r="G572" s="40" t="s">
        <v>2386</v>
      </c>
      <c r="H572" s="40" t="s">
        <v>301</v>
      </c>
      <c r="I572" s="40">
        <v>4000</v>
      </c>
      <c r="J572" s="40" t="s">
        <v>2387</v>
      </c>
      <c r="K572" s="40">
        <v>17552</v>
      </c>
      <c r="L572" s="40">
        <v>21552</v>
      </c>
      <c r="M572" s="40">
        <v>801428</v>
      </c>
      <c r="N572" s="40" t="s">
        <v>2388</v>
      </c>
      <c r="O572" s="40" t="s">
        <v>2389</v>
      </c>
      <c r="P572" s="40" t="s">
        <v>2390</v>
      </c>
      <c r="Q572" s="40" t="s">
        <v>892</v>
      </c>
      <c r="R572" s="42" t="s">
        <v>893</v>
      </c>
      <c r="S572" s="42" t="s">
        <v>894</v>
      </c>
      <c r="T572" s="40" t="s">
        <v>526</v>
      </c>
      <c r="U572" s="41">
        <v>44879.729166666664</v>
      </c>
      <c r="V572" s="41">
        <v>44881.291666666664</v>
      </c>
      <c r="W572" s="41">
        <v>44881.510416666664</v>
      </c>
      <c r="X572" s="40" t="s">
        <v>410</v>
      </c>
      <c r="Y572" s="41">
        <v>44881.722916666666</v>
      </c>
      <c r="Z572" s="41"/>
      <c r="AA572" s="41">
        <v>44881.375</v>
      </c>
      <c r="AB572" s="41">
        <v>44883.75</v>
      </c>
      <c r="AC572" s="40" t="s">
        <v>1673</v>
      </c>
      <c r="AD572" s="40">
        <v>14308</v>
      </c>
      <c r="AE572" s="40"/>
      <c r="AF572" s="40"/>
      <c r="AG572" s="40">
        <v>6070843</v>
      </c>
      <c r="AH572" s="40"/>
      <c r="AI572" s="41"/>
      <c r="AJ572" s="40"/>
      <c r="AK572" s="43"/>
      <c r="AL572" s="40"/>
      <c r="AM572" s="43">
        <v>0</v>
      </c>
      <c r="AN572" s="43"/>
      <c r="AO572" s="43"/>
      <c r="AP572" s="43"/>
      <c r="AQ572" s="43">
        <v>0</v>
      </c>
      <c r="AR572" s="43">
        <v>0</v>
      </c>
      <c r="AS572" s="43"/>
      <c r="AT572" s="43">
        <v>0</v>
      </c>
      <c r="AU572" s="43"/>
      <c r="AV572" s="43"/>
      <c r="AW572" s="43"/>
      <c r="AX572" s="43">
        <v>0</v>
      </c>
      <c r="AY572" s="43">
        <v>0</v>
      </c>
      <c r="AZ572" s="43">
        <v>0</v>
      </c>
      <c r="BA572" s="43">
        <v>0</v>
      </c>
      <c r="BB572" s="43">
        <v>0</v>
      </c>
      <c r="BC572" s="43">
        <v>0</v>
      </c>
      <c r="BD572" s="43">
        <v>0</v>
      </c>
      <c r="BE572" s="43">
        <v>0</v>
      </c>
      <c r="BF572" s="43">
        <v>0</v>
      </c>
      <c r="BG572" s="43">
        <v>0</v>
      </c>
      <c r="BH572" s="43">
        <v>0</v>
      </c>
      <c r="BI572" s="40" t="s">
        <v>2332</v>
      </c>
      <c r="BJ572" s="40">
        <v>2022</v>
      </c>
      <c r="BK572" s="40" t="s">
        <v>2768</v>
      </c>
      <c r="BL572" s="40" t="s">
        <v>2770</v>
      </c>
      <c r="BM572" s="40" t="s">
        <v>2768</v>
      </c>
    </row>
    <row r="573" spans="1:65" x14ac:dyDescent="0.25">
      <c r="A573" s="40" t="s">
        <v>2771</v>
      </c>
      <c r="B573" s="41">
        <v>44881.333333333336</v>
      </c>
      <c r="C573" s="40" t="s">
        <v>2391</v>
      </c>
      <c r="D573" s="40" t="s">
        <v>2392</v>
      </c>
      <c r="E573" s="40">
        <v>7121891</v>
      </c>
      <c r="F573" s="40">
        <v>222945967</v>
      </c>
      <c r="G573" s="40" t="s">
        <v>2393</v>
      </c>
      <c r="H573" s="40" t="s">
        <v>301</v>
      </c>
      <c r="I573" s="40">
        <v>3860</v>
      </c>
      <c r="J573" s="40" t="s">
        <v>2394</v>
      </c>
      <c r="K573" s="40">
        <v>25800</v>
      </c>
      <c r="L573" s="40">
        <v>29660</v>
      </c>
      <c r="M573" s="40">
        <v>81773</v>
      </c>
      <c r="N573" s="40" t="s">
        <v>2395</v>
      </c>
      <c r="O573" s="40" t="s">
        <v>210</v>
      </c>
      <c r="P573" s="40" t="s">
        <v>1968</v>
      </c>
      <c r="Q573" s="40" t="s">
        <v>212</v>
      </c>
      <c r="R573" s="42" t="s">
        <v>213</v>
      </c>
      <c r="S573" s="42" t="s">
        <v>214</v>
      </c>
      <c r="T573" s="40" t="s">
        <v>409</v>
      </c>
      <c r="U573" s="41">
        <v>44879.729166666664</v>
      </c>
      <c r="V573" s="41">
        <v>44881.208333333336</v>
      </c>
      <c r="W573" s="41" t="s">
        <v>2396</v>
      </c>
      <c r="X573" s="40" t="s">
        <v>306</v>
      </c>
      <c r="Y573" s="41">
        <v>44882.191666666666</v>
      </c>
      <c r="Z573" s="41">
        <v>44879.791666666664</v>
      </c>
      <c r="AA573" s="41">
        <v>44879.75</v>
      </c>
      <c r="AB573" s="41">
        <v>44883.791666666664</v>
      </c>
      <c r="AC573" s="40" t="s">
        <v>586</v>
      </c>
      <c r="AD573" s="40">
        <v>14311</v>
      </c>
      <c r="AE573" s="40"/>
      <c r="AF573" s="40"/>
      <c r="AG573" s="40"/>
      <c r="AH573" s="40"/>
      <c r="AI573" s="41"/>
      <c r="AJ573" s="40"/>
      <c r="AK573" s="43"/>
      <c r="AL573" s="40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0"/>
      <c r="BJ573" s="40"/>
      <c r="BK573" s="40" t="s">
        <v>2768</v>
      </c>
      <c r="BL573" s="40" t="s">
        <v>2768</v>
      </c>
      <c r="BM573" s="40" t="s">
        <v>2768</v>
      </c>
    </row>
    <row r="574" spans="1:65" x14ac:dyDescent="0.25">
      <c r="A574" s="40" t="s">
        <v>2771</v>
      </c>
      <c r="B574" s="41">
        <v>44881.291666666664</v>
      </c>
      <c r="C574" s="40" t="s">
        <v>353</v>
      </c>
      <c r="D574" s="40" t="s">
        <v>354</v>
      </c>
      <c r="E574" s="40">
        <v>8710135</v>
      </c>
      <c r="F574" s="40" t="s">
        <v>2397</v>
      </c>
      <c r="G574" s="40" t="s">
        <v>2398</v>
      </c>
      <c r="H574" s="40" t="s">
        <v>301</v>
      </c>
      <c r="I574" s="40">
        <v>3810</v>
      </c>
      <c r="J574" s="40" t="s">
        <v>2399</v>
      </c>
      <c r="K574" s="40">
        <v>25388</v>
      </c>
      <c r="L574" s="40">
        <v>29198</v>
      </c>
      <c r="M574" s="40">
        <v>648690</v>
      </c>
      <c r="N574" s="40" t="s">
        <v>2400</v>
      </c>
      <c r="O574" s="40" t="s">
        <v>119</v>
      </c>
      <c r="P574" s="40" t="s">
        <v>120</v>
      </c>
      <c r="Q574" s="40" t="s">
        <v>121</v>
      </c>
      <c r="R574" s="42" t="s">
        <v>122</v>
      </c>
      <c r="S574" s="42" t="s">
        <v>123</v>
      </c>
      <c r="T574" s="40" t="s">
        <v>469</v>
      </c>
      <c r="U574" s="41">
        <v>44879.729166666664</v>
      </c>
      <c r="V574" s="41">
        <v>44881.208333333336</v>
      </c>
      <c r="W574" s="41">
        <v>44881.395833333336</v>
      </c>
      <c r="X574" s="40" t="s">
        <v>410</v>
      </c>
      <c r="Y574" s="41">
        <v>44883.526388888888</v>
      </c>
      <c r="Z574" s="41">
        <v>44880.291666666664</v>
      </c>
      <c r="AA574" s="41">
        <v>44879.5</v>
      </c>
      <c r="AB574" s="41">
        <v>44883.708333333336</v>
      </c>
      <c r="AC574" s="40" t="s">
        <v>1391</v>
      </c>
      <c r="AD574" s="40">
        <v>14296</v>
      </c>
      <c r="AE574" s="40"/>
      <c r="AF574" s="40"/>
      <c r="AG574" s="40" t="s">
        <v>2401</v>
      </c>
      <c r="AH574" s="40" t="s">
        <v>393</v>
      </c>
      <c r="AI574" s="41">
        <v>44881.791666666664</v>
      </c>
      <c r="AJ574" s="40"/>
      <c r="AK574" s="43">
        <v>950</v>
      </c>
      <c r="AL574" s="40"/>
      <c r="AM574" s="43">
        <v>0</v>
      </c>
      <c r="AN574" s="43"/>
      <c r="AO574" s="43"/>
      <c r="AP574" s="43"/>
      <c r="AQ574" s="43">
        <v>0</v>
      </c>
      <c r="AR574" s="43">
        <v>0</v>
      </c>
      <c r="AS574" s="43"/>
      <c r="AT574" s="43">
        <v>0</v>
      </c>
      <c r="AU574" s="43"/>
      <c r="AV574" s="43"/>
      <c r="AW574" s="43"/>
      <c r="AX574" s="43">
        <v>0</v>
      </c>
      <c r="AY574" s="43">
        <v>0</v>
      </c>
      <c r="AZ574" s="43">
        <v>0</v>
      </c>
      <c r="BA574" s="43">
        <v>0</v>
      </c>
      <c r="BB574" s="43">
        <v>0</v>
      </c>
      <c r="BC574" s="43">
        <v>0</v>
      </c>
      <c r="BD574" s="43">
        <v>0</v>
      </c>
      <c r="BE574" s="43">
        <v>0</v>
      </c>
      <c r="BF574" s="43">
        <v>0</v>
      </c>
      <c r="BG574" s="43">
        <v>0</v>
      </c>
      <c r="BH574" s="43">
        <v>0</v>
      </c>
      <c r="BI574" s="40" t="s">
        <v>2332</v>
      </c>
      <c r="BJ574" s="40">
        <v>2022</v>
      </c>
      <c r="BK574" s="40" t="s">
        <v>2768</v>
      </c>
      <c r="BL574" s="40" t="s">
        <v>2768</v>
      </c>
      <c r="BM574" s="40" t="s">
        <v>2768</v>
      </c>
    </row>
    <row r="575" spans="1:65" x14ac:dyDescent="0.25">
      <c r="A575" s="40" t="s">
        <v>2771</v>
      </c>
      <c r="B575" s="41">
        <v>44881.25</v>
      </c>
      <c r="C575" s="40" t="s">
        <v>353</v>
      </c>
      <c r="D575" s="40" t="s">
        <v>354</v>
      </c>
      <c r="E575" s="40">
        <v>8710166</v>
      </c>
      <c r="F575" s="40" t="s">
        <v>2402</v>
      </c>
      <c r="G575" s="40" t="s">
        <v>2403</v>
      </c>
      <c r="H575" s="40" t="s">
        <v>301</v>
      </c>
      <c r="I575" s="40">
        <v>3700</v>
      </c>
      <c r="J575" s="40" t="s">
        <v>2404</v>
      </c>
      <c r="K575" s="40">
        <v>23721</v>
      </c>
      <c r="L575" s="40">
        <v>27421</v>
      </c>
      <c r="M575" s="40">
        <v>648691</v>
      </c>
      <c r="N575" s="40" t="s">
        <v>2400</v>
      </c>
      <c r="O575" s="40" t="s">
        <v>192</v>
      </c>
      <c r="P575" s="40" t="s">
        <v>193</v>
      </c>
      <c r="Q575" s="40" t="s">
        <v>194</v>
      </c>
      <c r="R575" s="42" t="s">
        <v>195</v>
      </c>
      <c r="S575" s="42" t="s">
        <v>196</v>
      </c>
      <c r="T575" s="40" t="s">
        <v>469</v>
      </c>
      <c r="U575" s="41">
        <v>44879.729166666664</v>
      </c>
      <c r="V575" s="41">
        <v>44881.208333333336</v>
      </c>
      <c r="W575" s="41">
        <v>44881.541666666664</v>
      </c>
      <c r="X575" s="40" t="s">
        <v>410</v>
      </c>
      <c r="Y575" s="41">
        <v>44881.819444444445</v>
      </c>
      <c r="Z575" s="41">
        <v>44880.291666666664</v>
      </c>
      <c r="AA575" s="41">
        <v>44879.5</v>
      </c>
      <c r="AB575" s="41">
        <v>44882.5</v>
      </c>
      <c r="AC575" s="40" t="s">
        <v>1391</v>
      </c>
      <c r="AD575" s="40">
        <v>14310</v>
      </c>
      <c r="AE575" s="40"/>
      <c r="AF575" s="40"/>
      <c r="AG575" s="40">
        <v>6070110</v>
      </c>
      <c r="AH575" s="40"/>
      <c r="AI575" s="41"/>
      <c r="AJ575" s="40"/>
      <c r="AK575" s="43"/>
      <c r="AL575" s="40"/>
      <c r="AM575" s="43">
        <v>0</v>
      </c>
      <c r="AN575" s="43"/>
      <c r="AO575" s="43"/>
      <c r="AP575" s="43"/>
      <c r="AQ575" s="43">
        <v>0</v>
      </c>
      <c r="AR575" s="43">
        <v>0</v>
      </c>
      <c r="AS575" s="43"/>
      <c r="AT575" s="43">
        <v>0</v>
      </c>
      <c r="AU575" s="43"/>
      <c r="AV575" s="43"/>
      <c r="AW575" s="43"/>
      <c r="AX575" s="43">
        <v>0</v>
      </c>
      <c r="AY575" s="43">
        <v>0</v>
      </c>
      <c r="AZ575" s="43">
        <v>0</v>
      </c>
      <c r="BA575" s="43">
        <v>0</v>
      </c>
      <c r="BB575" s="43">
        <v>0</v>
      </c>
      <c r="BC575" s="43">
        <v>0</v>
      </c>
      <c r="BD575" s="43">
        <v>0</v>
      </c>
      <c r="BE575" s="43">
        <v>0</v>
      </c>
      <c r="BF575" s="43">
        <v>0</v>
      </c>
      <c r="BG575" s="43">
        <v>0</v>
      </c>
      <c r="BH575" s="43">
        <v>0</v>
      </c>
      <c r="BI575" s="40" t="s">
        <v>2332</v>
      </c>
      <c r="BJ575" s="40">
        <v>2022</v>
      </c>
      <c r="BK575" s="40" t="s">
        <v>2768</v>
      </c>
      <c r="BL575" s="40" t="s">
        <v>2768</v>
      </c>
      <c r="BM575" s="40" t="s">
        <v>2768</v>
      </c>
    </row>
    <row r="576" spans="1:65" x14ac:dyDescent="0.25">
      <c r="A576" s="40" t="s">
        <v>2771</v>
      </c>
      <c r="B576" s="41">
        <v>44881.291666666664</v>
      </c>
      <c r="C576" s="40" t="s">
        <v>2059</v>
      </c>
      <c r="D576" s="40" t="s">
        <v>2060</v>
      </c>
      <c r="E576" s="40" t="s">
        <v>2405</v>
      </c>
      <c r="F576" s="40">
        <v>64193164</v>
      </c>
      <c r="G576" s="40" t="s">
        <v>2406</v>
      </c>
      <c r="H576" s="40" t="s">
        <v>301</v>
      </c>
      <c r="I576" s="40">
        <v>3850</v>
      </c>
      <c r="J576" s="40" t="s">
        <v>2407</v>
      </c>
      <c r="K576" s="40">
        <v>26869</v>
      </c>
      <c r="L576" s="40">
        <v>30719</v>
      </c>
      <c r="M576" s="40"/>
      <c r="N576" s="40" t="s">
        <v>2379</v>
      </c>
      <c r="O576" s="40" t="s">
        <v>72</v>
      </c>
      <c r="P576" s="40" t="s">
        <v>73</v>
      </c>
      <c r="Q576" s="40" t="s">
        <v>203</v>
      </c>
      <c r="R576" s="42" t="s">
        <v>204</v>
      </c>
      <c r="S576" s="42" t="s">
        <v>205</v>
      </c>
      <c r="T576" s="40" t="s">
        <v>292</v>
      </c>
      <c r="U576" s="41">
        <v>44879.583333333336</v>
      </c>
      <c r="V576" s="41">
        <v>44881.208333333336</v>
      </c>
      <c r="W576" s="41"/>
      <c r="X576" s="40" t="s">
        <v>293</v>
      </c>
      <c r="Y576" s="41">
        <v>44881.936805555553</v>
      </c>
      <c r="Z576" s="41">
        <v>44880.291666666664</v>
      </c>
      <c r="AA576" s="41">
        <v>44881.5</v>
      </c>
      <c r="AB576" s="41">
        <v>44883.5</v>
      </c>
      <c r="AC576" s="40" t="s">
        <v>418</v>
      </c>
      <c r="AD576" s="40">
        <v>14312</v>
      </c>
      <c r="AE576" s="40"/>
      <c r="AF576" s="40"/>
      <c r="AG576" s="40"/>
      <c r="AH576" s="40"/>
      <c r="AI576" s="41"/>
      <c r="AJ576" s="40"/>
      <c r="AK576" s="43"/>
      <c r="AL576" s="40"/>
      <c r="AM576" s="43">
        <v>0</v>
      </c>
      <c r="AN576" s="43"/>
      <c r="AO576" s="43"/>
      <c r="AP576" s="43"/>
      <c r="AQ576" s="43">
        <v>0</v>
      </c>
      <c r="AR576" s="43">
        <v>0</v>
      </c>
      <c r="AS576" s="43"/>
      <c r="AT576" s="43">
        <v>0</v>
      </c>
      <c r="AU576" s="43"/>
      <c r="AV576" s="43"/>
      <c r="AW576" s="43"/>
      <c r="AX576" s="43">
        <v>0</v>
      </c>
      <c r="AY576" s="43">
        <v>0</v>
      </c>
      <c r="AZ576" s="43">
        <v>0</v>
      </c>
      <c r="BA576" s="43">
        <v>0</v>
      </c>
      <c r="BB576" s="43">
        <v>0</v>
      </c>
      <c r="BC576" s="43">
        <v>0</v>
      </c>
      <c r="BD576" s="43">
        <v>0</v>
      </c>
      <c r="BE576" s="43">
        <v>0</v>
      </c>
      <c r="BF576" s="43">
        <v>0</v>
      </c>
      <c r="BG576" s="43">
        <v>0</v>
      </c>
      <c r="BH576" s="43">
        <v>0</v>
      </c>
      <c r="BI576" s="40" t="s">
        <v>2332</v>
      </c>
      <c r="BJ576" s="40">
        <v>2022</v>
      </c>
      <c r="BK576" s="40" t="s">
        <v>2768</v>
      </c>
      <c r="BL576" s="40" t="s">
        <v>2768</v>
      </c>
      <c r="BM576" s="40" t="s">
        <v>2768</v>
      </c>
    </row>
    <row r="577" spans="1:65" x14ac:dyDescent="0.25">
      <c r="A577" s="40" t="s">
        <v>2771</v>
      </c>
      <c r="B577" s="41">
        <v>44887.291666666664</v>
      </c>
      <c r="C577" s="40" t="s">
        <v>2059</v>
      </c>
      <c r="D577" s="40" t="s">
        <v>2060</v>
      </c>
      <c r="E577" s="40" t="s">
        <v>2408</v>
      </c>
      <c r="F577" s="40">
        <v>60193331</v>
      </c>
      <c r="G577" s="40" t="s">
        <v>2409</v>
      </c>
      <c r="H577" s="40" t="s">
        <v>301</v>
      </c>
      <c r="I577" s="40">
        <v>3700</v>
      </c>
      <c r="J577" s="40" t="s">
        <v>2410</v>
      </c>
      <c r="K577" s="40">
        <v>26873</v>
      </c>
      <c r="L577" s="40">
        <v>30573</v>
      </c>
      <c r="M577" s="40">
        <v>1511517</v>
      </c>
      <c r="N577" s="40" t="s">
        <v>2411</v>
      </c>
      <c r="O577" s="40" t="s">
        <v>106</v>
      </c>
      <c r="P577" s="40" t="s">
        <v>107</v>
      </c>
      <c r="Q577" s="40" t="s">
        <v>206</v>
      </c>
      <c r="R577" s="42" t="s">
        <v>207</v>
      </c>
      <c r="S577" s="42" t="s">
        <v>208</v>
      </c>
      <c r="T577" s="40" t="s">
        <v>292</v>
      </c>
      <c r="U577" s="41">
        <v>44887.645833333336</v>
      </c>
      <c r="V577" s="41">
        <v>44888.302083333336</v>
      </c>
      <c r="W577" s="41">
        <v>44888.611111111109</v>
      </c>
      <c r="X577" s="40" t="s">
        <v>293</v>
      </c>
      <c r="Y577" s="41">
        <v>44889.054166666669</v>
      </c>
      <c r="Z577" s="41">
        <v>44887.791666666664</v>
      </c>
      <c r="AA577" s="41">
        <v>44887.75</v>
      </c>
      <c r="AB577" s="41">
        <v>44890.708333333336</v>
      </c>
      <c r="AC577" s="40" t="s">
        <v>418</v>
      </c>
      <c r="AD577" s="40">
        <v>14379</v>
      </c>
      <c r="AE577" s="40"/>
      <c r="AF577" s="40"/>
      <c r="AG577" s="40"/>
      <c r="AH577" s="40"/>
      <c r="AI577" s="41"/>
      <c r="AJ577" s="40"/>
      <c r="AK577" s="43"/>
      <c r="AL577" s="40"/>
      <c r="AM577" s="43">
        <v>0</v>
      </c>
      <c r="AN577" s="43"/>
      <c r="AO577" s="43"/>
      <c r="AP577" s="43"/>
      <c r="AQ577" s="43">
        <v>0</v>
      </c>
      <c r="AR577" s="43">
        <v>0</v>
      </c>
      <c r="AS577" s="43"/>
      <c r="AT577" s="43">
        <v>0</v>
      </c>
      <c r="AU577" s="43"/>
      <c r="AV577" s="43"/>
      <c r="AW577" s="43"/>
      <c r="AX577" s="43">
        <v>0</v>
      </c>
      <c r="AY577" s="43">
        <v>0</v>
      </c>
      <c r="AZ577" s="43">
        <v>0</v>
      </c>
      <c r="BA577" s="43">
        <v>0</v>
      </c>
      <c r="BB577" s="43">
        <v>0</v>
      </c>
      <c r="BC577" s="43">
        <v>0</v>
      </c>
      <c r="BD577" s="43">
        <v>0</v>
      </c>
      <c r="BE577" s="43">
        <v>0</v>
      </c>
      <c r="BF577" s="43">
        <v>0</v>
      </c>
      <c r="BG577" s="43">
        <v>0</v>
      </c>
      <c r="BH577" s="43">
        <v>0</v>
      </c>
      <c r="BI577" s="40" t="s">
        <v>2332</v>
      </c>
      <c r="BJ577" s="40">
        <v>2022</v>
      </c>
      <c r="BK577" s="40" t="s">
        <v>2768</v>
      </c>
      <c r="BL577" s="40" t="s">
        <v>2768</v>
      </c>
      <c r="BM577" s="40" t="s">
        <v>2768</v>
      </c>
    </row>
    <row r="578" spans="1:65" x14ac:dyDescent="0.25">
      <c r="A578" s="40" t="s">
        <v>2771</v>
      </c>
      <c r="B578" s="41">
        <v>44887.25</v>
      </c>
      <c r="C578" s="40" t="s">
        <v>353</v>
      </c>
      <c r="D578" s="40" t="s">
        <v>354</v>
      </c>
      <c r="E578" s="40" t="s">
        <v>2412</v>
      </c>
      <c r="F578" s="40">
        <v>69196573</v>
      </c>
      <c r="G578" s="40" t="s">
        <v>2413</v>
      </c>
      <c r="H578" s="40" t="s">
        <v>301</v>
      </c>
      <c r="I578" s="40">
        <v>3950</v>
      </c>
      <c r="J578" s="40" t="s">
        <v>2414</v>
      </c>
      <c r="K578" s="40">
        <v>27065</v>
      </c>
      <c r="L578" s="40">
        <v>31015</v>
      </c>
      <c r="M578" s="40">
        <v>649896</v>
      </c>
      <c r="N578" s="40" t="s">
        <v>2415</v>
      </c>
      <c r="O578" s="40" t="s">
        <v>2416</v>
      </c>
      <c r="P578" s="40" t="s">
        <v>2417</v>
      </c>
      <c r="Q578" s="40" t="s">
        <v>2418</v>
      </c>
      <c r="R578" s="42" t="s">
        <v>2419</v>
      </c>
      <c r="S578" s="42" t="s">
        <v>2420</v>
      </c>
      <c r="T578" s="40" t="s">
        <v>292</v>
      </c>
      <c r="U578" s="41">
        <v>44886.625</v>
      </c>
      <c r="V578" s="41">
        <v>44887.25</v>
      </c>
      <c r="W578" s="41">
        <v>44887.541666666664</v>
      </c>
      <c r="X578" s="40" t="s">
        <v>306</v>
      </c>
      <c r="Y578" s="41">
        <v>44888.015972222223</v>
      </c>
      <c r="Z578" s="41" t="s">
        <v>2421</v>
      </c>
      <c r="AA578" s="41">
        <v>44887.75</v>
      </c>
      <c r="AB578" s="41">
        <v>44890.75</v>
      </c>
      <c r="AC578" s="40" t="s">
        <v>586</v>
      </c>
      <c r="AD578" s="40">
        <v>14369</v>
      </c>
      <c r="AE578" s="40"/>
      <c r="AF578" s="40"/>
      <c r="AG578" s="40"/>
      <c r="AH578" s="40"/>
      <c r="AI578" s="41"/>
      <c r="AJ578" s="40"/>
      <c r="AK578" s="43"/>
      <c r="AL578" s="40"/>
      <c r="AM578" s="43">
        <v>0</v>
      </c>
      <c r="AN578" s="43"/>
      <c r="AO578" s="43"/>
      <c r="AP578" s="43"/>
      <c r="AQ578" s="43">
        <v>0</v>
      </c>
      <c r="AR578" s="43">
        <v>0</v>
      </c>
      <c r="AS578" s="43"/>
      <c r="AT578" s="43">
        <v>0</v>
      </c>
      <c r="AU578" s="43"/>
      <c r="AV578" s="43"/>
      <c r="AW578" s="43"/>
      <c r="AX578" s="43">
        <v>0</v>
      </c>
      <c r="AY578" s="43">
        <v>0</v>
      </c>
      <c r="AZ578" s="43">
        <v>0</v>
      </c>
      <c r="BA578" s="43">
        <v>0</v>
      </c>
      <c r="BB578" s="43">
        <v>0</v>
      </c>
      <c r="BC578" s="43">
        <v>0</v>
      </c>
      <c r="BD578" s="43">
        <v>0</v>
      </c>
      <c r="BE578" s="43">
        <v>0</v>
      </c>
      <c r="BF578" s="43">
        <v>0</v>
      </c>
      <c r="BG578" s="43">
        <v>0</v>
      </c>
      <c r="BH578" s="43">
        <v>0</v>
      </c>
      <c r="BI578" s="40" t="s">
        <v>2332</v>
      </c>
      <c r="BJ578" s="40">
        <v>2022</v>
      </c>
      <c r="BK578" s="40" t="s">
        <v>2768</v>
      </c>
      <c r="BL578" s="40" t="s">
        <v>2768</v>
      </c>
      <c r="BM578" s="40" t="s">
        <v>2768</v>
      </c>
    </row>
    <row r="579" spans="1:65" x14ac:dyDescent="0.25">
      <c r="A579" s="40" t="s">
        <v>2771</v>
      </c>
      <c r="B579" s="41">
        <v>44887.25</v>
      </c>
      <c r="C579" s="40" t="s">
        <v>353</v>
      </c>
      <c r="D579" s="40" t="s">
        <v>354</v>
      </c>
      <c r="E579" s="40" t="s">
        <v>2412</v>
      </c>
      <c r="F579" s="40">
        <v>69196573</v>
      </c>
      <c r="G579" s="40" t="s">
        <v>2422</v>
      </c>
      <c r="H579" s="40" t="s">
        <v>301</v>
      </c>
      <c r="I579" s="40">
        <v>3900</v>
      </c>
      <c r="J579" s="40" t="s">
        <v>2423</v>
      </c>
      <c r="K579" s="40">
        <v>27065</v>
      </c>
      <c r="L579" s="40">
        <v>30965</v>
      </c>
      <c r="M579" s="40">
        <v>649815</v>
      </c>
      <c r="N579" s="40" t="s">
        <v>2415</v>
      </c>
      <c r="O579" s="40" t="s">
        <v>2416</v>
      </c>
      <c r="P579" s="40" t="s">
        <v>2424</v>
      </c>
      <c r="Q579" s="40" t="s">
        <v>2418</v>
      </c>
      <c r="R579" s="42" t="s">
        <v>2419</v>
      </c>
      <c r="S579" s="42" t="s">
        <v>2420</v>
      </c>
      <c r="T579" s="40" t="s">
        <v>292</v>
      </c>
      <c r="U579" s="41">
        <v>44886.625</v>
      </c>
      <c r="V579" s="41">
        <v>44887.25</v>
      </c>
      <c r="W579" s="41">
        <v>44887.541666666664</v>
      </c>
      <c r="X579" s="40" t="s">
        <v>306</v>
      </c>
      <c r="Y579" s="41">
        <v>44888.466666666667</v>
      </c>
      <c r="Z579" s="41" t="s">
        <v>2421</v>
      </c>
      <c r="AA579" s="41">
        <v>44887.75</v>
      </c>
      <c r="AB579" s="41">
        <v>44890.75</v>
      </c>
      <c r="AC579" s="40" t="s">
        <v>586</v>
      </c>
      <c r="AD579" s="40">
        <v>14370</v>
      </c>
      <c r="AE579" s="40"/>
      <c r="AF579" s="40"/>
      <c r="AG579" s="40"/>
      <c r="AH579" s="40"/>
      <c r="AI579" s="41"/>
      <c r="AJ579" s="40"/>
      <c r="AK579" s="43"/>
      <c r="AL579" s="40"/>
      <c r="AM579" s="43">
        <v>0</v>
      </c>
      <c r="AN579" s="43"/>
      <c r="AO579" s="43"/>
      <c r="AP579" s="43"/>
      <c r="AQ579" s="43">
        <v>0</v>
      </c>
      <c r="AR579" s="43">
        <v>0</v>
      </c>
      <c r="AS579" s="43"/>
      <c r="AT579" s="43">
        <v>0</v>
      </c>
      <c r="AU579" s="43"/>
      <c r="AV579" s="43"/>
      <c r="AW579" s="43"/>
      <c r="AX579" s="43">
        <v>0</v>
      </c>
      <c r="AY579" s="43">
        <v>0</v>
      </c>
      <c r="AZ579" s="43">
        <v>0</v>
      </c>
      <c r="BA579" s="43">
        <v>0</v>
      </c>
      <c r="BB579" s="43">
        <v>0</v>
      </c>
      <c r="BC579" s="43">
        <v>0</v>
      </c>
      <c r="BD579" s="43">
        <v>0</v>
      </c>
      <c r="BE579" s="43">
        <v>0</v>
      </c>
      <c r="BF579" s="43">
        <v>0</v>
      </c>
      <c r="BG579" s="43">
        <v>0</v>
      </c>
      <c r="BH579" s="43">
        <v>0</v>
      </c>
      <c r="BI579" s="40" t="s">
        <v>2332</v>
      </c>
      <c r="BJ579" s="40">
        <v>2022</v>
      </c>
      <c r="BK579" s="40" t="s">
        <v>2768</v>
      </c>
      <c r="BL579" s="40" t="s">
        <v>2768</v>
      </c>
      <c r="BM579" s="40" t="s">
        <v>2768</v>
      </c>
    </row>
    <row r="580" spans="1:65" x14ac:dyDescent="0.25">
      <c r="A580" s="40" t="s">
        <v>2771</v>
      </c>
      <c r="B580" s="41">
        <v>44887.25</v>
      </c>
      <c r="C580" s="40" t="s">
        <v>353</v>
      </c>
      <c r="D580" s="40" t="s">
        <v>354</v>
      </c>
      <c r="E580" s="40" t="s">
        <v>2412</v>
      </c>
      <c r="F580" s="40">
        <v>69196573</v>
      </c>
      <c r="G580" s="40" t="s">
        <v>2425</v>
      </c>
      <c r="H580" s="40" t="s">
        <v>301</v>
      </c>
      <c r="I580" s="40">
        <v>3700</v>
      </c>
      <c r="J580" s="40" t="s">
        <v>2426</v>
      </c>
      <c r="K580" s="40">
        <v>25958</v>
      </c>
      <c r="L580" s="40">
        <v>29658</v>
      </c>
      <c r="M580" s="40">
        <v>649899</v>
      </c>
      <c r="N580" s="40" t="s">
        <v>2415</v>
      </c>
      <c r="O580" s="40" t="s">
        <v>2427</v>
      </c>
      <c r="P580" s="40" t="s">
        <v>2428</v>
      </c>
      <c r="Q580" s="40" t="s">
        <v>2429</v>
      </c>
      <c r="R580" s="42" t="s">
        <v>2430</v>
      </c>
      <c r="S580" s="42" t="s">
        <v>2431</v>
      </c>
      <c r="T580" s="40" t="s">
        <v>292</v>
      </c>
      <c r="U580" s="41">
        <v>44886.625</v>
      </c>
      <c r="V580" s="41">
        <v>44887.25</v>
      </c>
      <c r="W580" s="41">
        <v>44887.541666666664</v>
      </c>
      <c r="X580" s="40" t="s">
        <v>306</v>
      </c>
      <c r="Y580" s="41">
        <v>44888.011111111111</v>
      </c>
      <c r="Z580" s="41" t="s">
        <v>2421</v>
      </c>
      <c r="AA580" s="41">
        <v>44887.75</v>
      </c>
      <c r="AB580" s="41">
        <v>44890.75</v>
      </c>
      <c r="AC580" s="40" t="s">
        <v>586</v>
      </c>
      <c r="AD580" s="40">
        <v>14371</v>
      </c>
      <c r="AE580" s="40"/>
      <c r="AF580" s="40"/>
      <c r="AG580" s="40"/>
      <c r="AH580" s="40"/>
      <c r="AI580" s="41"/>
      <c r="AJ580" s="40"/>
      <c r="AK580" s="43"/>
      <c r="AL580" s="40"/>
      <c r="AM580" s="43">
        <v>0</v>
      </c>
      <c r="AN580" s="43"/>
      <c r="AO580" s="43"/>
      <c r="AP580" s="43"/>
      <c r="AQ580" s="43">
        <v>0</v>
      </c>
      <c r="AR580" s="43">
        <v>0</v>
      </c>
      <c r="AS580" s="43"/>
      <c r="AT580" s="43">
        <v>0</v>
      </c>
      <c r="AU580" s="43"/>
      <c r="AV580" s="43"/>
      <c r="AW580" s="43"/>
      <c r="AX580" s="43">
        <v>0</v>
      </c>
      <c r="AY580" s="43">
        <v>0</v>
      </c>
      <c r="AZ580" s="43">
        <v>0</v>
      </c>
      <c r="BA580" s="43">
        <v>0</v>
      </c>
      <c r="BB580" s="43">
        <v>0</v>
      </c>
      <c r="BC580" s="43">
        <v>0</v>
      </c>
      <c r="BD580" s="43">
        <v>0</v>
      </c>
      <c r="BE580" s="43">
        <v>0</v>
      </c>
      <c r="BF580" s="43">
        <v>0</v>
      </c>
      <c r="BG580" s="43">
        <v>0</v>
      </c>
      <c r="BH580" s="43">
        <v>0</v>
      </c>
      <c r="BI580" s="40" t="s">
        <v>2332</v>
      </c>
      <c r="BJ580" s="40">
        <v>2022</v>
      </c>
      <c r="BK580" s="40" t="s">
        <v>2768</v>
      </c>
      <c r="BL580" s="40" t="s">
        <v>2768</v>
      </c>
      <c r="BM580" s="40" t="s">
        <v>2768</v>
      </c>
    </row>
    <row r="581" spans="1:65" x14ac:dyDescent="0.25">
      <c r="A581" s="40" t="s">
        <v>2771</v>
      </c>
      <c r="B581" s="41">
        <v>44887.25</v>
      </c>
      <c r="C581" s="40" t="s">
        <v>353</v>
      </c>
      <c r="D581" s="40" t="s">
        <v>354</v>
      </c>
      <c r="E581" s="40" t="s">
        <v>2412</v>
      </c>
      <c r="F581" s="40">
        <v>69196573</v>
      </c>
      <c r="G581" s="40" t="s">
        <v>2432</v>
      </c>
      <c r="H581" s="40" t="s">
        <v>301</v>
      </c>
      <c r="I581" s="40">
        <v>3900</v>
      </c>
      <c r="J581" s="40" t="s">
        <v>2433</v>
      </c>
      <c r="K581" s="40">
        <v>25958</v>
      </c>
      <c r="L581" s="40">
        <v>29858</v>
      </c>
      <c r="M581" s="40">
        <v>649885</v>
      </c>
      <c r="N581" s="40" t="s">
        <v>2415</v>
      </c>
      <c r="O581" s="40" t="s">
        <v>2427</v>
      </c>
      <c r="P581" s="40" t="s">
        <v>2434</v>
      </c>
      <c r="Q581" s="40" t="s">
        <v>2429</v>
      </c>
      <c r="R581" s="42" t="s">
        <v>2430</v>
      </c>
      <c r="S581" s="42" t="s">
        <v>2431</v>
      </c>
      <c r="T581" s="40" t="s">
        <v>292</v>
      </c>
      <c r="U581" s="41">
        <v>44886.625</v>
      </c>
      <c r="V581" s="41">
        <v>44887.25</v>
      </c>
      <c r="W581" s="41">
        <v>44887.541666666664</v>
      </c>
      <c r="X581" s="40" t="s">
        <v>306</v>
      </c>
      <c r="Y581" s="41">
        <v>44888.386805555558</v>
      </c>
      <c r="Z581" s="41" t="s">
        <v>2421</v>
      </c>
      <c r="AA581" s="41">
        <v>44887.75</v>
      </c>
      <c r="AB581" s="41">
        <v>44890.75</v>
      </c>
      <c r="AC581" s="40" t="s">
        <v>586</v>
      </c>
      <c r="AD581" s="40">
        <v>14372</v>
      </c>
      <c r="AE581" s="40"/>
      <c r="AF581" s="40"/>
      <c r="AG581" s="40"/>
      <c r="AH581" s="40"/>
      <c r="AI581" s="41"/>
      <c r="AJ581" s="40"/>
      <c r="AK581" s="43"/>
      <c r="AL581" s="40"/>
      <c r="AM581" s="43">
        <v>0</v>
      </c>
      <c r="AN581" s="43"/>
      <c r="AO581" s="43"/>
      <c r="AP581" s="43"/>
      <c r="AQ581" s="43">
        <v>0</v>
      </c>
      <c r="AR581" s="43">
        <v>0</v>
      </c>
      <c r="AS581" s="43"/>
      <c r="AT581" s="43">
        <v>0</v>
      </c>
      <c r="AU581" s="43"/>
      <c r="AV581" s="43"/>
      <c r="AW581" s="43"/>
      <c r="AX581" s="43">
        <v>0</v>
      </c>
      <c r="AY581" s="43">
        <v>0</v>
      </c>
      <c r="AZ581" s="43">
        <v>0</v>
      </c>
      <c r="BA581" s="43">
        <v>0</v>
      </c>
      <c r="BB581" s="43">
        <v>0</v>
      </c>
      <c r="BC581" s="43">
        <v>0</v>
      </c>
      <c r="BD581" s="43">
        <v>0</v>
      </c>
      <c r="BE581" s="43">
        <v>0</v>
      </c>
      <c r="BF581" s="43">
        <v>0</v>
      </c>
      <c r="BG581" s="43">
        <v>0</v>
      </c>
      <c r="BH581" s="43">
        <v>0</v>
      </c>
      <c r="BI581" s="40" t="s">
        <v>2332</v>
      </c>
      <c r="BJ581" s="40">
        <v>2022</v>
      </c>
      <c r="BK581" s="40" t="s">
        <v>2768</v>
      </c>
      <c r="BL581" s="40" t="s">
        <v>2768</v>
      </c>
      <c r="BM581" s="40" t="s">
        <v>2768</v>
      </c>
    </row>
    <row r="582" spans="1:65" x14ac:dyDescent="0.25">
      <c r="A582" s="40" t="s">
        <v>2771</v>
      </c>
      <c r="B582" s="41">
        <v>44888.291666666664</v>
      </c>
      <c r="C582" s="40" t="s">
        <v>2435</v>
      </c>
      <c r="D582" s="40" t="s">
        <v>2436</v>
      </c>
      <c r="E582" s="40" t="s">
        <v>2437</v>
      </c>
      <c r="F582" s="40" t="s">
        <v>2438</v>
      </c>
      <c r="G582" s="40" t="s">
        <v>2439</v>
      </c>
      <c r="H582" s="40" t="s">
        <v>288</v>
      </c>
      <c r="I582" s="40">
        <v>2300</v>
      </c>
      <c r="J582" s="40"/>
      <c r="K582" s="40">
        <v>1976</v>
      </c>
      <c r="L582" s="40">
        <v>4276</v>
      </c>
      <c r="M582" s="40">
        <v>731</v>
      </c>
      <c r="N582" s="40" t="s">
        <v>2440</v>
      </c>
      <c r="O582" s="40" t="s">
        <v>845</v>
      </c>
      <c r="P582" s="40" t="s">
        <v>846</v>
      </c>
      <c r="Q582" s="40" t="s">
        <v>847</v>
      </c>
      <c r="R582" s="42" t="s">
        <v>848</v>
      </c>
      <c r="S582" s="42" t="s">
        <v>849</v>
      </c>
      <c r="T582" s="40" t="s">
        <v>1569</v>
      </c>
      <c r="U582" s="41">
        <v>44887.834027777775</v>
      </c>
      <c r="V582" s="41">
        <v>44888.364583333336</v>
      </c>
      <c r="W582" s="41">
        <v>44888.416666666664</v>
      </c>
      <c r="X582" s="40" t="s">
        <v>292</v>
      </c>
      <c r="Y582" s="41">
        <v>44888.770833333336</v>
      </c>
      <c r="Z582" s="41">
        <v>44888.75</v>
      </c>
      <c r="AA582" s="41">
        <v>44888.75</v>
      </c>
      <c r="AB582" s="41">
        <v>44888.75</v>
      </c>
      <c r="AC582" s="40" t="s">
        <v>708</v>
      </c>
      <c r="AD582" s="40">
        <v>14367</v>
      </c>
      <c r="AE582" s="40"/>
      <c r="AF582" s="40"/>
      <c r="AG582" s="40"/>
      <c r="AH582" s="40"/>
      <c r="AI582" s="41"/>
      <c r="AJ582" s="40"/>
      <c r="AK582" s="43"/>
      <c r="AL582" s="40"/>
      <c r="AM582" s="43">
        <v>0</v>
      </c>
      <c r="AN582" s="43"/>
      <c r="AO582" s="43"/>
      <c r="AP582" s="43"/>
      <c r="AQ582" s="43">
        <v>0</v>
      </c>
      <c r="AR582" s="43">
        <v>0</v>
      </c>
      <c r="AS582" s="43"/>
      <c r="AT582" s="43">
        <v>0</v>
      </c>
      <c r="AU582" s="43"/>
      <c r="AV582" s="43"/>
      <c r="AW582" s="43"/>
      <c r="AX582" s="43">
        <v>0</v>
      </c>
      <c r="AY582" s="43">
        <v>0</v>
      </c>
      <c r="AZ582" s="43">
        <v>0</v>
      </c>
      <c r="BA582" s="43">
        <v>0</v>
      </c>
      <c r="BB582" s="43">
        <v>0</v>
      </c>
      <c r="BC582" s="43">
        <v>0</v>
      </c>
      <c r="BD582" s="43">
        <v>0</v>
      </c>
      <c r="BE582" s="43">
        <v>0</v>
      </c>
      <c r="BF582" s="43">
        <v>0</v>
      </c>
      <c r="BG582" s="43">
        <v>0</v>
      </c>
      <c r="BH582" s="43">
        <v>0</v>
      </c>
      <c r="BI582" s="40" t="s">
        <v>2332</v>
      </c>
      <c r="BJ582" s="40">
        <v>2022</v>
      </c>
      <c r="BK582" s="40" t="s">
        <v>2768</v>
      </c>
      <c r="BL582" s="40" t="s">
        <v>2768</v>
      </c>
      <c r="BM582" s="40" t="s">
        <v>2768</v>
      </c>
    </row>
    <row r="583" spans="1:65" x14ac:dyDescent="0.25">
      <c r="A583" s="40" t="s">
        <v>2771</v>
      </c>
      <c r="B583" s="41">
        <v>44893.25</v>
      </c>
      <c r="C583" s="40" t="s">
        <v>353</v>
      </c>
      <c r="D583" s="40" t="s">
        <v>354</v>
      </c>
      <c r="E583" s="40">
        <v>8644865</v>
      </c>
      <c r="F583" s="40">
        <v>66195535</v>
      </c>
      <c r="G583" s="40" t="s">
        <v>2441</v>
      </c>
      <c r="H583" s="40" t="s">
        <v>301</v>
      </c>
      <c r="I583" s="40">
        <v>3900</v>
      </c>
      <c r="J583" s="40" t="s">
        <v>2442</v>
      </c>
      <c r="K583" s="40">
        <v>25352</v>
      </c>
      <c r="L583" s="40">
        <v>29252</v>
      </c>
      <c r="M583" s="40">
        <v>651296</v>
      </c>
      <c r="N583" s="40" t="s">
        <v>2443</v>
      </c>
      <c r="O583" s="40" t="s">
        <v>1961</v>
      </c>
      <c r="P583" s="40" t="s">
        <v>1962</v>
      </c>
      <c r="Q583" s="40" t="s">
        <v>1482</v>
      </c>
      <c r="R583" s="42" t="s">
        <v>1483</v>
      </c>
      <c r="S583" s="42" t="s">
        <v>1484</v>
      </c>
      <c r="T583" s="40" t="s">
        <v>537</v>
      </c>
      <c r="U583" s="41">
        <v>44890.875</v>
      </c>
      <c r="V583" s="41">
        <v>44893.395833333336</v>
      </c>
      <c r="W583" s="41">
        <v>44894.402777777781</v>
      </c>
      <c r="X583" s="40" t="s">
        <v>293</v>
      </c>
      <c r="Y583" s="41">
        <v>44894.75277777778</v>
      </c>
      <c r="Z583" s="41">
        <v>44893.166666666664</v>
      </c>
      <c r="AA583" s="41">
        <v>44890.75</v>
      </c>
      <c r="AB583" s="41">
        <v>44895.5</v>
      </c>
      <c r="AC583" s="40" t="s">
        <v>308</v>
      </c>
      <c r="AD583" s="40">
        <v>14471</v>
      </c>
      <c r="AE583" s="40"/>
      <c r="AF583" s="40"/>
      <c r="AG583" s="40"/>
      <c r="AH583" s="40"/>
      <c r="AI583" s="41"/>
      <c r="AJ583" s="40"/>
      <c r="AK583" s="43"/>
      <c r="AL583" s="40"/>
      <c r="AM583" s="43">
        <v>0</v>
      </c>
      <c r="AN583" s="43">
        <v>3300</v>
      </c>
      <c r="AO583" s="43"/>
      <c r="AP583" s="43">
        <v>200</v>
      </c>
      <c r="AQ583" s="43">
        <v>3500</v>
      </c>
      <c r="AR583" s="43">
        <v>70.429450000000003</v>
      </c>
      <c r="AS583" s="43"/>
      <c r="AT583" s="43">
        <v>1046.5</v>
      </c>
      <c r="AU583" s="43"/>
      <c r="AV583" s="43"/>
      <c r="AW583" s="43"/>
      <c r="AX583" s="43">
        <v>0</v>
      </c>
      <c r="AY583" s="43">
        <v>0</v>
      </c>
      <c r="AZ583" s="43">
        <v>0</v>
      </c>
      <c r="BA583" s="43">
        <v>0</v>
      </c>
      <c r="BB583" s="43">
        <v>0</v>
      </c>
      <c r="BC583" s="43">
        <v>0</v>
      </c>
      <c r="BD583" s="43">
        <v>0</v>
      </c>
      <c r="BE583" s="43">
        <v>0</v>
      </c>
      <c r="BF583" s="43">
        <v>0</v>
      </c>
      <c r="BG583" s="43">
        <v>0</v>
      </c>
      <c r="BH583" s="43">
        <v>1046.5</v>
      </c>
      <c r="BI583" s="40" t="s">
        <v>2332</v>
      </c>
      <c r="BJ583" s="40">
        <v>2022</v>
      </c>
      <c r="BK583" s="40" t="s">
        <v>2768</v>
      </c>
      <c r="BL583" s="40" t="s">
        <v>2768</v>
      </c>
      <c r="BM583" s="40" t="s">
        <v>2768</v>
      </c>
    </row>
    <row r="584" spans="1:65" x14ac:dyDescent="0.25">
      <c r="A584" s="40" t="s">
        <v>2771</v>
      </c>
      <c r="B584" s="41">
        <v>44893.333333333336</v>
      </c>
      <c r="C584" s="40" t="s">
        <v>696</v>
      </c>
      <c r="D584" s="40" t="s">
        <v>697</v>
      </c>
      <c r="E584" s="40"/>
      <c r="F584" s="40" t="s">
        <v>2444</v>
      </c>
      <c r="G584" s="40" t="s">
        <v>2445</v>
      </c>
      <c r="H584" s="40" t="s">
        <v>288</v>
      </c>
      <c r="I584" s="40"/>
      <c r="J584" s="40"/>
      <c r="K584" s="40"/>
      <c r="L584" s="40">
        <v>0</v>
      </c>
      <c r="M584" s="40" t="s">
        <v>2446</v>
      </c>
      <c r="N584" s="40" t="s">
        <v>2447</v>
      </c>
      <c r="O584" s="40" t="s">
        <v>845</v>
      </c>
      <c r="P584" s="40" t="s">
        <v>846</v>
      </c>
      <c r="Q584" s="40" t="s">
        <v>847</v>
      </c>
      <c r="R584" s="42" t="s">
        <v>848</v>
      </c>
      <c r="S584" s="42" t="s">
        <v>849</v>
      </c>
      <c r="T584" s="40" t="s">
        <v>293</v>
      </c>
      <c r="U584" s="41">
        <v>44893.224305555559</v>
      </c>
      <c r="V584" s="41">
        <v>44893.378472222219</v>
      </c>
      <c r="W584" s="41">
        <v>44893.874305555553</v>
      </c>
      <c r="X584" s="40" t="s">
        <v>469</v>
      </c>
      <c r="Y584" s="41">
        <v>44893.874305555553</v>
      </c>
      <c r="Z584" s="41">
        <v>44888.5</v>
      </c>
      <c r="AA584" s="41">
        <v>44888.5</v>
      </c>
      <c r="AB584" s="41"/>
      <c r="AC584" s="40">
        <v>44888.5</v>
      </c>
      <c r="AD584" s="40" t="s">
        <v>2448</v>
      </c>
      <c r="AE584" s="40"/>
      <c r="AF584" s="40"/>
      <c r="AG584" s="40"/>
      <c r="AH584" s="40"/>
      <c r="AI584" s="41"/>
      <c r="AJ584" s="40"/>
      <c r="AK584" s="43"/>
      <c r="AL584" s="40"/>
      <c r="AM584" s="43">
        <v>0</v>
      </c>
      <c r="AN584" s="43"/>
      <c r="AO584" s="43"/>
      <c r="AP584" s="43"/>
      <c r="AQ584" s="43">
        <v>0</v>
      </c>
      <c r="AR584" s="43">
        <v>0</v>
      </c>
      <c r="AS584" s="43"/>
      <c r="AT584" s="43">
        <v>0</v>
      </c>
      <c r="AU584" s="43"/>
      <c r="AV584" s="43"/>
      <c r="AW584" s="43"/>
      <c r="AX584" s="43">
        <v>0</v>
      </c>
      <c r="AY584" s="43">
        <v>0</v>
      </c>
      <c r="AZ584" s="43">
        <v>0</v>
      </c>
      <c r="BA584" s="43">
        <v>0</v>
      </c>
      <c r="BB584" s="43">
        <v>0</v>
      </c>
      <c r="BC584" s="43">
        <v>0</v>
      </c>
      <c r="BD584" s="43">
        <v>0</v>
      </c>
      <c r="BE584" s="43">
        <v>0</v>
      </c>
      <c r="BF584" s="43">
        <v>0</v>
      </c>
      <c r="BG584" s="43">
        <v>0</v>
      </c>
      <c r="BH584" s="43">
        <v>0</v>
      </c>
      <c r="BI584" s="40" t="s">
        <v>2332</v>
      </c>
      <c r="BJ584" s="40">
        <v>2022</v>
      </c>
      <c r="BK584" s="40" t="s">
        <v>2768</v>
      </c>
      <c r="BL584" s="40"/>
      <c r="BM584" s="40" t="s">
        <v>2768</v>
      </c>
    </row>
    <row r="585" spans="1:65" x14ac:dyDescent="0.25">
      <c r="A585" s="40" t="s">
        <v>2771</v>
      </c>
      <c r="B585" s="41">
        <v>44893.291666666664</v>
      </c>
      <c r="C585" s="40" t="s">
        <v>2059</v>
      </c>
      <c r="D585" s="40" t="s">
        <v>2060</v>
      </c>
      <c r="E585" s="40" t="s">
        <v>2449</v>
      </c>
      <c r="F585" s="40">
        <v>223262846</v>
      </c>
      <c r="G585" s="40" t="s">
        <v>2450</v>
      </c>
      <c r="H585" s="40" t="s">
        <v>288</v>
      </c>
      <c r="I585" s="40">
        <v>2170</v>
      </c>
      <c r="J585" s="40" t="s">
        <v>2451</v>
      </c>
      <c r="K585" s="40">
        <v>11546</v>
      </c>
      <c r="L585" s="40">
        <v>13716</v>
      </c>
      <c r="M585" s="40">
        <v>1516670</v>
      </c>
      <c r="N585" s="40" t="s">
        <v>2452</v>
      </c>
      <c r="O585" s="40" t="s">
        <v>1069</v>
      </c>
      <c r="P585" s="40" t="s">
        <v>1070</v>
      </c>
      <c r="Q585" s="40" t="s">
        <v>1071</v>
      </c>
      <c r="R585" s="42" t="s">
        <v>1072</v>
      </c>
      <c r="S585" s="42" t="s">
        <v>2453</v>
      </c>
      <c r="T585" s="40" t="s">
        <v>409</v>
      </c>
      <c r="U585" s="41">
        <v>44893.6875</v>
      </c>
      <c r="V585" s="41">
        <v>44894.270833333336</v>
      </c>
      <c r="W585" s="41">
        <v>44894.458333333336</v>
      </c>
      <c r="X585" s="40" t="s">
        <v>306</v>
      </c>
      <c r="Y585" s="41">
        <v>44894.629166666666</v>
      </c>
      <c r="Z585" s="41">
        <v>44894.291666666664</v>
      </c>
      <c r="AA585" s="41">
        <v>44894.5</v>
      </c>
      <c r="AB585" s="41">
        <v>44897.5</v>
      </c>
      <c r="AC585" s="40" t="s">
        <v>2454</v>
      </c>
      <c r="AD585" s="40">
        <v>14470</v>
      </c>
      <c r="AE585" s="40" t="s">
        <v>846</v>
      </c>
      <c r="AF585" s="40"/>
      <c r="AG585" s="40"/>
      <c r="AH585" s="40"/>
      <c r="AI585" s="41"/>
      <c r="AJ585" s="40"/>
      <c r="AK585" s="43"/>
      <c r="AL585" s="40"/>
      <c r="AM585" s="43">
        <v>0</v>
      </c>
      <c r="AN585" s="43"/>
      <c r="AO585" s="43"/>
      <c r="AP585" s="43"/>
      <c r="AQ585" s="43">
        <v>0</v>
      </c>
      <c r="AR585" s="43">
        <v>0</v>
      </c>
      <c r="AS585" s="43"/>
      <c r="AT585" s="43">
        <v>0</v>
      </c>
      <c r="AU585" s="43"/>
      <c r="AV585" s="43"/>
      <c r="AW585" s="43"/>
      <c r="AX585" s="43">
        <v>0</v>
      </c>
      <c r="AY585" s="43">
        <v>0</v>
      </c>
      <c r="AZ585" s="43">
        <v>0</v>
      </c>
      <c r="BA585" s="43">
        <v>0</v>
      </c>
      <c r="BB585" s="43">
        <v>0</v>
      </c>
      <c r="BC585" s="43">
        <v>0</v>
      </c>
      <c r="BD585" s="43">
        <v>0</v>
      </c>
      <c r="BE585" s="43">
        <v>0</v>
      </c>
      <c r="BF585" s="43">
        <v>0</v>
      </c>
      <c r="BG585" s="43">
        <v>0</v>
      </c>
      <c r="BH585" s="43">
        <v>0</v>
      </c>
      <c r="BI585" s="40" t="s">
        <v>2332</v>
      </c>
      <c r="BJ585" s="40">
        <v>2022</v>
      </c>
      <c r="BK585" s="40" t="s">
        <v>2768</v>
      </c>
      <c r="BL585" s="40" t="s">
        <v>2768</v>
      </c>
      <c r="BM585" s="40" t="s">
        <v>2768</v>
      </c>
    </row>
    <row r="586" spans="1:65" x14ac:dyDescent="0.25">
      <c r="A586" s="40" t="s">
        <v>2771</v>
      </c>
      <c r="B586" s="41">
        <v>44893.333333333336</v>
      </c>
      <c r="C586" s="40" t="s">
        <v>1110</v>
      </c>
      <c r="D586" s="40" t="s">
        <v>1111</v>
      </c>
      <c r="E586" s="40" t="s">
        <v>2455</v>
      </c>
      <c r="F586" s="40" t="s">
        <v>2456</v>
      </c>
      <c r="G586" s="40" t="s">
        <v>2457</v>
      </c>
      <c r="H586" s="40" t="s">
        <v>301</v>
      </c>
      <c r="I586" s="40">
        <v>3700</v>
      </c>
      <c r="J586" s="40">
        <v>1352104</v>
      </c>
      <c r="K586" s="40">
        <v>25700</v>
      </c>
      <c r="L586" s="40">
        <v>29400</v>
      </c>
      <c r="M586" s="40">
        <v>325017</v>
      </c>
      <c r="N586" s="40" t="s">
        <v>2458</v>
      </c>
      <c r="O586" s="40" t="s">
        <v>155</v>
      </c>
      <c r="P586" s="40" t="s">
        <v>209</v>
      </c>
      <c r="Q586" s="40" t="s">
        <v>156</v>
      </c>
      <c r="R586" s="42" t="s">
        <v>157</v>
      </c>
      <c r="S586" s="42" t="s">
        <v>158</v>
      </c>
      <c r="T586" s="40" t="s">
        <v>292</v>
      </c>
      <c r="U586" s="41">
        <v>44891.416666666664</v>
      </c>
      <c r="V586" s="41">
        <v>44893.378472222219</v>
      </c>
      <c r="W586" s="41">
        <v>44893.775694444441</v>
      </c>
      <c r="X586" s="40" t="s">
        <v>293</v>
      </c>
      <c r="Y586" s="41"/>
      <c r="Z586" s="41"/>
      <c r="AA586" s="41"/>
      <c r="AB586" s="41">
        <v>44894.5</v>
      </c>
      <c r="AC586" s="40" t="s">
        <v>294</v>
      </c>
      <c r="AD586" s="40">
        <v>14464</v>
      </c>
      <c r="AE586" s="40"/>
      <c r="AF586" s="40"/>
      <c r="AG586" s="40"/>
      <c r="AH586" s="40"/>
      <c r="AI586" s="41"/>
      <c r="AJ586" s="40"/>
      <c r="AK586" s="43"/>
      <c r="AL586" s="40"/>
      <c r="AM586" s="43">
        <v>0</v>
      </c>
      <c r="AN586" s="43"/>
      <c r="AO586" s="43"/>
      <c r="AP586" s="43"/>
      <c r="AQ586" s="43">
        <v>0</v>
      </c>
      <c r="AR586" s="43">
        <v>0</v>
      </c>
      <c r="AS586" s="43"/>
      <c r="AT586" s="43">
        <v>0</v>
      </c>
      <c r="AU586" s="43"/>
      <c r="AV586" s="43"/>
      <c r="AW586" s="43"/>
      <c r="AX586" s="43">
        <v>0</v>
      </c>
      <c r="AY586" s="43">
        <v>0</v>
      </c>
      <c r="AZ586" s="43">
        <v>0</v>
      </c>
      <c r="BA586" s="43">
        <v>0</v>
      </c>
      <c r="BB586" s="43">
        <v>0</v>
      </c>
      <c r="BC586" s="43">
        <v>0</v>
      </c>
      <c r="BD586" s="43">
        <v>0</v>
      </c>
      <c r="BE586" s="43">
        <v>0</v>
      </c>
      <c r="BF586" s="43">
        <v>0</v>
      </c>
      <c r="BG586" s="43">
        <v>0</v>
      </c>
      <c r="BH586" s="43">
        <v>0</v>
      </c>
      <c r="BI586" s="40" t="s">
        <v>2332</v>
      </c>
      <c r="BJ586" s="40">
        <v>2022</v>
      </c>
      <c r="BK586" s="40" t="s">
        <v>2768</v>
      </c>
      <c r="BL586" s="40"/>
      <c r="BM586" s="40" t="s">
        <v>2768</v>
      </c>
    </row>
    <row r="587" spans="1:65" x14ac:dyDescent="0.25">
      <c r="A587" s="40" t="s">
        <v>2771</v>
      </c>
      <c r="B587" s="41">
        <v>44894.333333333336</v>
      </c>
      <c r="C587" s="40" t="s">
        <v>353</v>
      </c>
      <c r="D587" s="40" t="s">
        <v>400</v>
      </c>
      <c r="E587" s="40" t="s">
        <v>2459</v>
      </c>
      <c r="F587" s="40">
        <v>223007413</v>
      </c>
      <c r="G587" s="40" t="s">
        <v>2460</v>
      </c>
      <c r="H587" s="40" t="s">
        <v>288</v>
      </c>
      <c r="I587" s="40">
        <v>2170</v>
      </c>
      <c r="J587" s="40" t="s">
        <v>2461</v>
      </c>
      <c r="K587" s="40">
        <v>6708</v>
      </c>
      <c r="L587" s="40">
        <v>8878</v>
      </c>
      <c r="M587" s="40" t="s">
        <v>2462</v>
      </c>
      <c r="N587" s="40" t="s">
        <v>2463</v>
      </c>
      <c r="O587" s="40" t="s">
        <v>2156</v>
      </c>
      <c r="P587" s="40" t="s">
        <v>2464</v>
      </c>
      <c r="Q587" s="40" t="s">
        <v>2158</v>
      </c>
      <c r="R587" s="42" t="s">
        <v>2159</v>
      </c>
      <c r="S587" s="42" t="s">
        <v>2160</v>
      </c>
      <c r="T587" s="40" t="s">
        <v>292</v>
      </c>
      <c r="U587" s="41">
        <v>44893.5</v>
      </c>
      <c r="V587" s="41">
        <v>44894.291666666664</v>
      </c>
      <c r="W587" s="41">
        <v>44894.4375</v>
      </c>
      <c r="X587" s="40" t="s">
        <v>410</v>
      </c>
      <c r="Y587" s="41">
        <v>44901.640972222223</v>
      </c>
      <c r="Z587" s="41">
        <v>44900.791666666664</v>
      </c>
      <c r="AA587" s="41">
        <v>44900.416666666664</v>
      </c>
      <c r="AB587" s="41">
        <v>44903.75</v>
      </c>
      <c r="AC587" s="40" t="s">
        <v>1391</v>
      </c>
      <c r="AD587" s="40" t="s">
        <v>2465</v>
      </c>
      <c r="AE587" s="40"/>
      <c r="AF587" s="40"/>
      <c r="AG587" s="40"/>
      <c r="AH587" s="40" t="s">
        <v>393</v>
      </c>
      <c r="AI587" s="41">
        <v>44894.666666666664</v>
      </c>
      <c r="AJ587" s="40"/>
      <c r="AK587" s="43">
        <v>950</v>
      </c>
      <c r="AL587" s="40"/>
      <c r="AM587" s="43">
        <v>0</v>
      </c>
      <c r="AN587" s="43"/>
      <c r="AO587" s="43"/>
      <c r="AP587" s="43"/>
      <c r="AQ587" s="43">
        <v>0</v>
      </c>
      <c r="AR587" s="43">
        <v>0</v>
      </c>
      <c r="AS587" s="43"/>
      <c r="AT587" s="43">
        <v>0</v>
      </c>
      <c r="AU587" s="43"/>
      <c r="AV587" s="43"/>
      <c r="AW587" s="43"/>
      <c r="AX587" s="43">
        <v>0</v>
      </c>
      <c r="AY587" s="43">
        <v>0</v>
      </c>
      <c r="AZ587" s="43">
        <v>0</v>
      </c>
      <c r="BA587" s="43">
        <v>0</v>
      </c>
      <c r="BB587" s="43">
        <v>0</v>
      </c>
      <c r="BC587" s="43">
        <v>0</v>
      </c>
      <c r="BD587" s="43">
        <v>0</v>
      </c>
      <c r="BE587" s="43">
        <v>0</v>
      </c>
      <c r="BF587" s="43">
        <v>0</v>
      </c>
      <c r="BG587" s="43">
        <v>0</v>
      </c>
      <c r="BH587" s="43">
        <v>0</v>
      </c>
      <c r="BI587" s="40" t="s">
        <v>2332</v>
      </c>
      <c r="BJ587" s="40">
        <v>2022</v>
      </c>
      <c r="BK587" s="40" t="s">
        <v>2768</v>
      </c>
      <c r="BL587" s="40" t="s">
        <v>2768</v>
      </c>
      <c r="BM587" s="40" t="s">
        <v>2768</v>
      </c>
    </row>
    <row r="588" spans="1:65" x14ac:dyDescent="0.25">
      <c r="A588" s="40" t="s">
        <v>2771</v>
      </c>
      <c r="B588" s="41">
        <v>44894.375</v>
      </c>
      <c r="C588" s="40" t="s">
        <v>297</v>
      </c>
      <c r="D588" s="40" t="s">
        <v>298</v>
      </c>
      <c r="E588" s="40" t="s">
        <v>2466</v>
      </c>
      <c r="F588" s="40">
        <v>223034599</v>
      </c>
      <c r="G588" s="40" t="s">
        <v>2467</v>
      </c>
      <c r="H588" s="40" t="s">
        <v>301</v>
      </c>
      <c r="I588" s="40">
        <v>3890</v>
      </c>
      <c r="J588" s="40" t="s">
        <v>2468</v>
      </c>
      <c r="K588" s="40">
        <v>19734</v>
      </c>
      <c r="L588" s="40">
        <v>23624</v>
      </c>
      <c r="M588" s="40">
        <v>806483</v>
      </c>
      <c r="N588" s="40" t="s">
        <v>2469</v>
      </c>
      <c r="O588" s="40" t="s">
        <v>150</v>
      </c>
      <c r="P588" s="40" t="s">
        <v>151</v>
      </c>
      <c r="Q588" s="40" t="s">
        <v>152</v>
      </c>
      <c r="R588" s="42" t="s">
        <v>153</v>
      </c>
      <c r="S588" s="42" t="s">
        <v>154</v>
      </c>
      <c r="T588" s="40" t="s">
        <v>292</v>
      </c>
      <c r="U588" s="41">
        <v>44893.875</v>
      </c>
      <c r="V588" s="41">
        <v>44894.25</v>
      </c>
      <c r="W588" s="41">
        <v>44894.652777777781</v>
      </c>
      <c r="X588" s="40" t="s">
        <v>410</v>
      </c>
      <c r="Y588" s="41">
        <v>44896.898611111108</v>
      </c>
      <c r="Z588" s="41">
        <v>44894.791666666664</v>
      </c>
      <c r="AA588" s="41">
        <v>44894.75</v>
      </c>
      <c r="AB588" s="41">
        <v>44897.75</v>
      </c>
      <c r="AC588" s="40" t="s">
        <v>308</v>
      </c>
      <c r="AD588" s="40">
        <v>14477</v>
      </c>
      <c r="AE588" s="40"/>
      <c r="AF588" s="40"/>
      <c r="AG588" s="40"/>
      <c r="AH588" s="40" t="s">
        <v>393</v>
      </c>
      <c r="AI588" s="41">
        <v>44894.791666666664</v>
      </c>
      <c r="AJ588" s="40"/>
      <c r="AK588" s="43">
        <v>950</v>
      </c>
      <c r="AL588" s="40" t="s">
        <v>2150</v>
      </c>
      <c r="AM588" s="43">
        <v>0</v>
      </c>
      <c r="AN588" s="43"/>
      <c r="AO588" s="43"/>
      <c r="AP588" s="43"/>
      <c r="AQ588" s="43">
        <v>0</v>
      </c>
      <c r="AR588" s="43">
        <v>0</v>
      </c>
      <c r="AS588" s="43"/>
      <c r="AT588" s="43">
        <v>0</v>
      </c>
      <c r="AU588" s="43"/>
      <c r="AV588" s="43"/>
      <c r="AW588" s="43"/>
      <c r="AX588" s="43">
        <v>0</v>
      </c>
      <c r="AY588" s="43">
        <v>0</v>
      </c>
      <c r="AZ588" s="43">
        <v>0</v>
      </c>
      <c r="BA588" s="43">
        <v>0</v>
      </c>
      <c r="BB588" s="43">
        <v>0</v>
      </c>
      <c r="BC588" s="43">
        <v>0</v>
      </c>
      <c r="BD588" s="43">
        <v>0</v>
      </c>
      <c r="BE588" s="43">
        <v>0</v>
      </c>
      <c r="BF588" s="43">
        <v>0</v>
      </c>
      <c r="BG588" s="43">
        <v>0</v>
      </c>
      <c r="BH588" s="43">
        <v>0</v>
      </c>
      <c r="BI588" s="40" t="s">
        <v>2332</v>
      </c>
      <c r="BJ588" s="40">
        <v>2022</v>
      </c>
      <c r="BK588" s="40" t="s">
        <v>2768</v>
      </c>
      <c r="BL588" s="40" t="s">
        <v>2768</v>
      </c>
      <c r="BM588" s="40" t="s">
        <v>2768</v>
      </c>
    </row>
    <row r="589" spans="1:65" x14ac:dyDescent="0.25">
      <c r="A589" s="40" t="s">
        <v>2771</v>
      </c>
      <c r="B589" s="41">
        <v>44894.416666666664</v>
      </c>
      <c r="C589" s="40" t="s">
        <v>297</v>
      </c>
      <c r="D589" s="40" t="s">
        <v>298</v>
      </c>
      <c r="E589" s="40" t="s">
        <v>2466</v>
      </c>
      <c r="F589" s="40">
        <v>223034599</v>
      </c>
      <c r="G589" s="40" t="s">
        <v>2470</v>
      </c>
      <c r="H589" s="40" t="s">
        <v>301</v>
      </c>
      <c r="I589" s="40">
        <v>3880</v>
      </c>
      <c r="J589" s="40" t="s">
        <v>2471</v>
      </c>
      <c r="K589" s="40">
        <v>25469</v>
      </c>
      <c r="L589" s="40">
        <v>29349</v>
      </c>
      <c r="M589" s="40">
        <v>806707</v>
      </c>
      <c r="N589" s="40" t="s">
        <v>2469</v>
      </c>
      <c r="O589" s="40" t="s">
        <v>68</v>
      </c>
      <c r="P589" s="40" t="s">
        <v>36</v>
      </c>
      <c r="Q589" s="40" t="s">
        <v>69</v>
      </c>
      <c r="R589" s="42" t="s">
        <v>70</v>
      </c>
      <c r="S589" s="42" t="s">
        <v>71</v>
      </c>
      <c r="T589" s="40" t="s">
        <v>292</v>
      </c>
      <c r="U589" s="41">
        <v>44893.875</v>
      </c>
      <c r="V589" s="41">
        <v>44894.291666666664</v>
      </c>
      <c r="W589" s="41">
        <v>44894.916666666664</v>
      </c>
      <c r="X589" s="40" t="s">
        <v>410</v>
      </c>
      <c r="Y589" s="41">
        <v>44896.638888888891</v>
      </c>
      <c r="Z589" s="41">
        <v>44894.791666666664</v>
      </c>
      <c r="AA589" s="41">
        <v>44894.75</v>
      </c>
      <c r="AB589" s="41">
        <v>44897.75</v>
      </c>
      <c r="AC589" s="40" t="s">
        <v>308</v>
      </c>
      <c r="AD589" s="40">
        <v>14481</v>
      </c>
      <c r="AE589" s="40"/>
      <c r="AF589" s="40"/>
      <c r="AG589" s="40"/>
      <c r="AH589" s="40" t="s">
        <v>393</v>
      </c>
      <c r="AI589" s="41">
        <v>44895.027777777781</v>
      </c>
      <c r="AJ589" s="40"/>
      <c r="AK589" s="43">
        <v>950</v>
      </c>
      <c r="AL589" s="40" t="s">
        <v>2150</v>
      </c>
      <c r="AM589" s="43">
        <v>0</v>
      </c>
      <c r="AN589" s="43"/>
      <c r="AO589" s="43"/>
      <c r="AP589" s="43"/>
      <c r="AQ589" s="43">
        <v>0</v>
      </c>
      <c r="AR589" s="43">
        <v>40.043500000000002</v>
      </c>
      <c r="AS589" s="43"/>
      <c r="AT589" s="43">
        <v>595</v>
      </c>
      <c r="AU589" s="43"/>
      <c r="AV589" s="43"/>
      <c r="AW589" s="43"/>
      <c r="AX589" s="43">
        <v>0</v>
      </c>
      <c r="AY589" s="43">
        <v>0</v>
      </c>
      <c r="AZ589" s="43">
        <v>0</v>
      </c>
      <c r="BA589" s="43">
        <v>0</v>
      </c>
      <c r="BB589" s="43">
        <v>0</v>
      </c>
      <c r="BC589" s="43">
        <v>0</v>
      </c>
      <c r="BD589" s="43">
        <v>0</v>
      </c>
      <c r="BE589" s="43">
        <v>0</v>
      </c>
      <c r="BF589" s="43">
        <v>0</v>
      </c>
      <c r="BG589" s="43">
        <v>0</v>
      </c>
      <c r="BH589" s="43">
        <v>595</v>
      </c>
      <c r="BI589" s="40" t="s">
        <v>2332</v>
      </c>
      <c r="BJ589" s="40">
        <v>2022</v>
      </c>
      <c r="BK589" s="40" t="s">
        <v>2768</v>
      </c>
      <c r="BL589" s="40" t="s">
        <v>2768</v>
      </c>
      <c r="BM589" s="40" t="s">
        <v>2768</v>
      </c>
    </row>
    <row r="590" spans="1:65" x14ac:dyDescent="0.25">
      <c r="A590" s="40" t="s">
        <v>2771</v>
      </c>
      <c r="B590" s="41">
        <v>44894.458333333336</v>
      </c>
      <c r="C590" s="40" t="s">
        <v>297</v>
      </c>
      <c r="D590" s="40" t="s">
        <v>298</v>
      </c>
      <c r="E590" s="40" t="s">
        <v>2466</v>
      </c>
      <c r="F590" s="40">
        <v>223034599</v>
      </c>
      <c r="G590" s="40" t="s">
        <v>2472</v>
      </c>
      <c r="H590" s="40" t="s">
        <v>301</v>
      </c>
      <c r="I590" s="40">
        <v>3880</v>
      </c>
      <c r="J590" s="40" t="s">
        <v>2473</v>
      </c>
      <c r="K590" s="40">
        <v>25469</v>
      </c>
      <c r="L590" s="40">
        <v>29349</v>
      </c>
      <c r="M590" s="40">
        <v>806705</v>
      </c>
      <c r="N590" s="40" t="s">
        <v>2469</v>
      </c>
      <c r="O590" s="40" t="s">
        <v>102</v>
      </c>
      <c r="P590" s="40" t="s">
        <v>27</v>
      </c>
      <c r="Q590" s="40" t="s">
        <v>103</v>
      </c>
      <c r="R590" s="42" t="s">
        <v>104</v>
      </c>
      <c r="S590" s="42" t="s">
        <v>105</v>
      </c>
      <c r="T590" s="40" t="s">
        <v>292</v>
      </c>
      <c r="U590" s="41">
        <v>44893.875</v>
      </c>
      <c r="V590" s="41">
        <v>44894.291666666664</v>
      </c>
      <c r="W590" s="41">
        <v>44894.916666666664</v>
      </c>
      <c r="X590" s="40" t="s">
        <v>410</v>
      </c>
      <c r="Y590" s="41">
        <v>44896.419444444444</v>
      </c>
      <c r="Z590" s="41">
        <v>44894.791666666664</v>
      </c>
      <c r="AA590" s="41">
        <v>44894.75</v>
      </c>
      <c r="AB590" s="41">
        <v>44897.75</v>
      </c>
      <c r="AC590" s="40" t="s">
        <v>308</v>
      </c>
      <c r="AD590" s="40" t="s">
        <v>2474</v>
      </c>
      <c r="AE590" s="40"/>
      <c r="AF590" s="40"/>
      <c r="AG590" s="40"/>
      <c r="AH590" s="40" t="s">
        <v>393</v>
      </c>
      <c r="AI590" s="41">
        <v>44895.041666666664</v>
      </c>
      <c r="AJ590" s="40"/>
      <c r="AK590" s="43">
        <v>950</v>
      </c>
      <c r="AL590" s="40" t="s">
        <v>2150</v>
      </c>
      <c r="AM590" s="43">
        <v>0</v>
      </c>
      <c r="AN590" s="43"/>
      <c r="AO590" s="43"/>
      <c r="AP590" s="43"/>
      <c r="AQ590" s="43">
        <v>0</v>
      </c>
      <c r="AR590" s="43">
        <v>34.323</v>
      </c>
      <c r="AS590" s="43"/>
      <c r="AT590" s="43">
        <v>510</v>
      </c>
      <c r="AU590" s="43"/>
      <c r="AV590" s="43"/>
      <c r="AW590" s="43"/>
      <c r="AX590" s="43">
        <v>0</v>
      </c>
      <c r="AY590" s="43">
        <v>0</v>
      </c>
      <c r="AZ590" s="43">
        <v>0</v>
      </c>
      <c r="BA590" s="43">
        <v>0</v>
      </c>
      <c r="BB590" s="43">
        <v>0</v>
      </c>
      <c r="BC590" s="43">
        <v>0</v>
      </c>
      <c r="BD590" s="43">
        <v>0</v>
      </c>
      <c r="BE590" s="43">
        <v>0</v>
      </c>
      <c r="BF590" s="43">
        <v>0</v>
      </c>
      <c r="BG590" s="43">
        <v>0</v>
      </c>
      <c r="BH590" s="43">
        <v>510</v>
      </c>
      <c r="BI590" s="40" t="s">
        <v>2332</v>
      </c>
      <c r="BJ590" s="40">
        <v>2022</v>
      </c>
      <c r="BK590" s="40" t="s">
        <v>2768</v>
      </c>
      <c r="BL590" s="40" t="s">
        <v>2768</v>
      </c>
      <c r="BM590" s="40" t="s">
        <v>2768</v>
      </c>
    </row>
    <row r="591" spans="1:65" x14ac:dyDescent="0.25">
      <c r="A591" s="40" t="s">
        <v>2771</v>
      </c>
      <c r="B591" s="41">
        <v>44894.541666666664</v>
      </c>
      <c r="C591" s="40" t="s">
        <v>297</v>
      </c>
      <c r="D591" s="40" t="s">
        <v>298</v>
      </c>
      <c r="E591" s="40" t="s">
        <v>2466</v>
      </c>
      <c r="F591" s="40">
        <v>223034599</v>
      </c>
      <c r="G591" s="40" t="s">
        <v>2475</v>
      </c>
      <c r="H591" s="40" t="s">
        <v>301</v>
      </c>
      <c r="I591" s="40">
        <v>3810</v>
      </c>
      <c r="J591" s="40" t="s">
        <v>2476</v>
      </c>
      <c r="K591" s="40">
        <v>19734</v>
      </c>
      <c r="L591" s="40">
        <v>23544</v>
      </c>
      <c r="M591" s="40">
        <v>806708</v>
      </c>
      <c r="N591" s="40" t="s">
        <v>2469</v>
      </c>
      <c r="O591" s="40" t="s">
        <v>92</v>
      </c>
      <c r="P591" s="40" t="s">
        <v>93</v>
      </c>
      <c r="Q591" s="40" t="s">
        <v>94</v>
      </c>
      <c r="R591" s="42" t="s">
        <v>95</v>
      </c>
      <c r="S591" s="42" t="s">
        <v>96</v>
      </c>
      <c r="T591" s="40" t="s">
        <v>292</v>
      </c>
      <c r="U591" s="41">
        <v>44893.875</v>
      </c>
      <c r="V591" s="41">
        <v>44894.5</v>
      </c>
      <c r="W591" s="41">
        <v>44894.9375</v>
      </c>
      <c r="X591" s="40" t="s">
        <v>410</v>
      </c>
      <c r="Y591" s="41">
        <v>44896.64166666667</v>
      </c>
      <c r="Z591" s="41">
        <v>44894.791666666664</v>
      </c>
      <c r="AA591" s="41">
        <v>44894.75</v>
      </c>
      <c r="AB591" s="41">
        <v>44897.75</v>
      </c>
      <c r="AC591" s="40" t="s">
        <v>308</v>
      </c>
      <c r="AD591" s="40">
        <v>14483</v>
      </c>
      <c r="AE591" s="40"/>
      <c r="AF591" s="40"/>
      <c r="AG591" s="40"/>
      <c r="AH591" s="40" t="s">
        <v>393</v>
      </c>
      <c r="AI591" s="41">
        <v>44895.052083333336</v>
      </c>
      <c r="AJ591" s="40"/>
      <c r="AK591" s="43">
        <v>950</v>
      </c>
      <c r="AL591" s="40" t="s">
        <v>2150</v>
      </c>
      <c r="AM591" s="43">
        <v>0</v>
      </c>
      <c r="AN591" s="43"/>
      <c r="AO591" s="43"/>
      <c r="AP591" s="43"/>
      <c r="AQ591" s="43">
        <v>0</v>
      </c>
      <c r="AR591" s="43">
        <v>22.881999999999998</v>
      </c>
      <c r="AS591" s="43"/>
      <c r="AT591" s="43">
        <v>340</v>
      </c>
      <c r="AU591" s="43"/>
      <c r="AV591" s="43"/>
      <c r="AW591" s="43"/>
      <c r="AX591" s="43">
        <v>0</v>
      </c>
      <c r="AY591" s="43">
        <v>0</v>
      </c>
      <c r="AZ591" s="43">
        <v>0</v>
      </c>
      <c r="BA591" s="43">
        <v>0</v>
      </c>
      <c r="BB591" s="43">
        <v>0</v>
      </c>
      <c r="BC591" s="43">
        <v>0</v>
      </c>
      <c r="BD591" s="43">
        <v>0</v>
      </c>
      <c r="BE591" s="43">
        <v>0</v>
      </c>
      <c r="BF591" s="43">
        <v>0</v>
      </c>
      <c r="BG591" s="43">
        <v>0</v>
      </c>
      <c r="BH591" s="43">
        <v>340</v>
      </c>
      <c r="BI591" s="40" t="s">
        <v>2332</v>
      </c>
      <c r="BJ591" s="40">
        <v>2022</v>
      </c>
      <c r="BK591" s="40" t="s">
        <v>2768</v>
      </c>
      <c r="BL591" s="40" t="s">
        <v>2768</v>
      </c>
      <c r="BM591" s="40" t="s">
        <v>2768</v>
      </c>
    </row>
    <row r="592" spans="1:65" x14ac:dyDescent="0.25">
      <c r="A592" s="40" t="s">
        <v>2771</v>
      </c>
      <c r="B592" s="41">
        <v>44894.541666666664</v>
      </c>
      <c r="C592" s="40" t="s">
        <v>297</v>
      </c>
      <c r="D592" s="40" t="s">
        <v>298</v>
      </c>
      <c r="E592" s="40" t="s">
        <v>2466</v>
      </c>
      <c r="F592" s="40">
        <v>223034599</v>
      </c>
      <c r="G592" s="40" t="s">
        <v>2477</v>
      </c>
      <c r="H592" s="40" t="s">
        <v>301</v>
      </c>
      <c r="I592" s="40">
        <v>3850</v>
      </c>
      <c r="J592" s="40" t="s">
        <v>2478</v>
      </c>
      <c r="K592" s="40">
        <v>19734</v>
      </c>
      <c r="L592" s="40">
        <v>23584</v>
      </c>
      <c r="M592" s="40">
        <v>806709</v>
      </c>
      <c r="N592" s="40" t="s">
        <v>2469</v>
      </c>
      <c r="O592" s="40" t="s">
        <v>72</v>
      </c>
      <c r="P592" s="40" t="s">
        <v>73</v>
      </c>
      <c r="Q592" s="40" t="s">
        <v>203</v>
      </c>
      <c r="R592" s="42" t="s">
        <v>204</v>
      </c>
      <c r="S592" s="42" t="s">
        <v>205</v>
      </c>
      <c r="T592" s="40" t="s">
        <v>292</v>
      </c>
      <c r="U592" s="41">
        <v>44894.5</v>
      </c>
      <c r="V592" s="41">
        <v>44894.734722222223</v>
      </c>
      <c r="W592" s="41">
        <v>44894.979166666664</v>
      </c>
      <c r="X592" s="40" t="s">
        <v>410</v>
      </c>
      <c r="Y592" s="41">
        <v>44896.640277777777</v>
      </c>
      <c r="Z592" s="41">
        <v>44894.791666666664</v>
      </c>
      <c r="AA592" s="41">
        <v>44894.75</v>
      </c>
      <c r="AB592" s="41">
        <v>44897.75</v>
      </c>
      <c r="AC592" s="40" t="s">
        <v>308</v>
      </c>
      <c r="AD592" s="40">
        <v>14484</v>
      </c>
      <c r="AE592" s="40"/>
      <c r="AF592" s="40"/>
      <c r="AG592" s="40"/>
      <c r="AH592" s="40" t="s">
        <v>393</v>
      </c>
      <c r="AI592" s="41">
        <v>44895.104166666664</v>
      </c>
      <c r="AJ592" s="40"/>
      <c r="AK592" s="43">
        <v>950</v>
      </c>
      <c r="AL592" s="40" t="s">
        <v>2150</v>
      </c>
      <c r="AM592" s="43">
        <v>0</v>
      </c>
      <c r="AN592" s="43"/>
      <c r="AO592" s="43"/>
      <c r="AP592" s="43"/>
      <c r="AQ592" s="43">
        <v>0</v>
      </c>
      <c r="AR592" s="43">
        <v>0</v>
      </c>
      <c r="AS592" s="43"/>
      <c r="AT592" s="43">
        <v>0</v>
      </c>
      <c r="AU592" s="43"/>
      <c r="AV592" s="43"/>
      <c r="AW592" s="43"/>
      <c r="AX592" s="43">
        <v>0</v>
      </c>
      <c r="AY592" s="43">
        <v>0</v>
      </c>
      <c r="AZ592" s="43">
        <v>0</v>
      </c>
      <c r="BA592" s="43">
        <v>0</v>
      </c>
      <c r="BB592" s="43">
        <v>0</v>
      </c>
      <c r="BC592" s="43">
        <v>0</v>
      </c>
      <c r="BD592" s="43">
        <v>0</v>
      </c>
      <c r="BE592" s="43">
        <v>0</v>
      </c>
      <c r="BF592" s="43">
        <v>0</v>
      </c>
      <c r="BG592" s="43">
        <v>0</v>
      </c>
      <c r="BH592" s="43">
        <v>0</v>
      </c>
      <c r="BI592" s="40" t="s">
        <v>2332</v>
      </c>
      <c r="BJ592" s="40">
        <v>2022</v>
      </c>
      <c r="BK592" s="40" t="s">
        <v>2768</v>
      </c>
      <c r="BL592" s="40" t="s">
        <v>2768</v>
      </c>
      <c r="BM592" s="40" t="s">
        <v>2768</v>
      </c>
    </row>
    <row r="593" spans="1:65" x14ac:dyDescent="0.25">
      <c r="A593" s="40" t="s">
        <v>2771</v>
      </c>
      <c r="B593" s="41">
        <v>44895.291666666664</v>
      </c>
      <c r="C593" s="40" t="s">
        <v>2479</v>
      </c>
      <c r="D593" s="40" t="s">
        <v>2480</v>
      </c>
      <c r="E593" s="40" t="s">
        <v>2481</v>
      </c>
      <c r="F593" s="40" t="s">
        <v>2482</v>
      </c>
      <c r="G593" s="40" t="s">
        <v>2483</v>
      </c>
      <c r="H593" s="40" t="s">
        <v>459</v>
      </c>
      <c r="I593" s="40">
        <v>4420</v>
      </c>
      <c r="J593" s="40" t="s">
        <v>2484</v>
      </c>
      <c r="K593" s="40">
        <v>14140</v>
      </c>
      <c r="L593" s="40">
        <v>18560</v>
      </c>
      <c r="M593" s="40"/>
      <c r="N593" s="40" t="s">
        <v>2485</v>
      </c>
      <c r="O593" s="40" t="s">
        <v>106</v>
      </c>
      <c r="P593" s="40" t="s">
        <v>107</v>
      </c>
      <c r="Q593" s="40" t="s">
        <v>206</v>
      </c>
      <c r="R593" s="42" t="s">
        <v>207</v>
      </c>
      <c r="S593" s="42" t="s">
        <v>208</v>
      </c>
      <c r="T593" s="40" t="s">
        <v>306</v>
      </c>
      <c r="U593" s="41">
        <v>44896.333333333336</v>
      </c>
      <c r="V593" s="41">
        <v>44897.354166666664</v>
      </c>
      <c r="W593" s="41">
        <v>44897.5</v>
      </c>
      <c r="X593" s="40"/>
      <c r="Y593" s="41"/>
      <c r="Z593" s="41"/>
      <c r="AA593" s="41"/>
      <c r="AB593" s="41"/>
      <c r="AC593" s="40"/>
      <c r="AD593" s="40">
        <v>14499</v>
      </c>
      <c r="AE593" s="40"/>
      <c r="AF593" s="40"/>
      <c r="AG593" s="40"/>
      <c r="AH593" s="40"/>
      <c r="AI593" s="41"/>
      <c r="AJ593" s="40"/>
      <c r="AK593" s="43"/>
      <c r="AL593" s="40"/>
      <c r="AM593" s="43">
        <v>0</v>
      </c>
      <c r="AN593" s="43"/>
      <c r="AO593" s="43"/>
      <c r="AP593" s="43"/>
      <c r="AQ593" s="43">
        <v>0</v>
      </c>
      <c r="AR593" s="43">
        <v>1513.9712055437501</v>
      </c>
      <c r="AS593" s="43"/>
      <c r="AT593" s="43">
        <v>22495.857437500003</v>
      </c>
      <c r="AU593" s="43">
        <v>17800</v>
      </c>
      <c r="AV593" s="43">
        <v>541466.495</v>
      </c>
      <c r="AW593" s="43">
        <v>1082.93299</v>
      </c>
      <c r="AX593" s="43">
        <v>270.7332475</v>
      </c>
      <c r="AY593" s="43">
        <v>940.5</v>
      </c>
      <c r="AZ593" s="43">
        <v>450</v>
      </c>
      <c r="BA593" s="43">
        <v>0</v>
      </c>
      <c r="BB593" s="43">
        <v>0</v>
      </c>
      <c r="BC593" s="43">
        <v>30</v>
      </c>
      <c r="BD593" s="43">
        <v>0</v>
      </c>
      <c r="BE593" s="43">
        <v>0</v>
      </c>
      <c r="BF593" s="43">
        <v>450</v>
      </c>
      <c r="BG593" s="43">
        <v>0</v>
      </c>
      <c r="BH593" s="43">
        <v>1471.6912000000002</v>
      </c>
      <c r="BI593" s="40" t="s">
        <v>2486</v>
      </c>
      <c r="BJ593" s="40">
        <v>2022</v>
      </c>
      <c r="BK593" s="40" t="s">
        <v>2768</v>
      </c>
      <c r="BL593" s="40" t="s">
        <v>2768</v>
      </c>
      <c r="BM593" s="40" t="s">
        <v>2768</v>
      </c>
    </row>
    <row r="594" spans="1:65" x14ac:dyDescent="0.25">
      <c r="A594" s="40" t="s">
        <v>2771</v>
      </c>
      <c r="B594" s="41">
        <v>44895.291666666664</v>
      </c>
      <c r="C594" s="40" t="s">
        <v>2479</v>
      </c>
      <c r="D594" s="40" t="s">
        <v>2480</v>
      </c>
      <c r="E594" s="40" t="s">
        <v>2481</v>
      </c>
      <c r="F594" s="40" t="s">
        <v>2482</v>
      </c>
      <c r="G594" s="40" t="s">
        <v>2487</v>
      </c>
      <c r="H594" s="40" t="s">
        <v>459</v>
      </c>
      <c r="I594" s="40">
        <v>4420</v>
      </c>
      <c r="J594" s="40" t="s">
        <v>2488</v>
      </c>
      <c r="K594" s="40">
        <v>14140</v>
      </c>
      <c r="L594" s="40">
        <v>18560</v>
      </c>
      <c r="M594" s="40"/>
      <c r="N594" s="40" t="s">
        <v>2485</v>
      </c>
      <c r="O594" s="40" t="s">
        <v>92</v>
      </c>
      <c r="P594" s="40" t="s">
        <v>93</v>
      </c>
      <c r="Q594" s="40" t="s">
        <v>94</v>
      </c>
      <c r="R594" s="42" t="s">
        <v>95</v>
      </c>
      <c r="S594" s="42" t="s">
        <v>96</v>
      </c>
      <c r="T594" s="40" t="s">
        <v>306</v>
      </c>
      <c r="U594" s="41">
        <v>44896.375</v>
      </c>
      <c r="V594" s="41">
        <v>44897.354166666664</v>
      </c>
      <c r="W594" s="41">
        <v>44897.5</v>
      </c>
      <c r="X594" s="40"/>
      <c r="Y594" s="41"/>
      <c r="Z594" s="41"/>
      <c r="AA594" s="41"/>
      <c r="AB594" s="41"/>
      <c r="AC594" s="40"/>
      <c r="AD594" s="40">
        <v>14498</v>
      </c>
      <c r="AE594" s="40"/>
      <c r="AF594" s="40"/>
      <c r="AG594" s="40"/>
      <c r="AH594" s="40"/>
      <c r="AI594" s="41"/>
      <c r="AJ594" s="40"/>
      <c r="AK594" s="43"/>
      <c r="AL594" s="40"/>
      <c r="AM594" s="43">
        <v>0</v>
      </c>
      <c r="AN594" s="43"/>
      <c r="AO594" s="43"/>
      <c r="AP594" s="43"/>
      <c r="AQ594" s="43">
        <v>0</v>
      </c>
      <c r="AR594" s="43">
        <v>1584.7175577837502</v>
      </c>
      <c r="AS594" s="43"/>
      <c r="AT594" s="43">
        <v>23547.066237500003</v>
      </c>
      <c r="AU594" s="43">
        <v>17800</v>
      </c>
      <c r="AV594" s="43">
        <v>541466.495</v>
      </c>
      <c r="AW594" s="43">
        <v>1082.93299</v>
      </c>
      <c r="AX594" s="43">
        <v>270.7332475</v>
      </c>
      <c r="AY594" s="43">
        <v>940.5</v>
      </c>
      <c r="AZ594" s="43">
        <v>450</v>
      </c>
      <c r="BA594" s="43">
        <v>0</v>
      </c>
      <c r="BB594" s="43">
        <v>0</v>
      </c>
      <c r="BC594" s="43">
        <v>30</v>
      </c>
      <c r="BD594" s="43">
        <v>0</v>
      </c>
      <c r="BE594" s="43">
        <v>0</v>
      </c>
      <c r="BF594" s="43">
        <v>450</v>
      </c>
      <c r="BG594" s="43">
        <v>0</v>
      </c>
      <c r="BH594" s="43">
        <v>2522.9</v>
      </c>
      <c r="BI594" s="40" t="s">
        <v>2486</v>
      </c>
      <c r="BJ594" s="40">
        <v>2022</v>
      </c>
      <c r="BK594" s="40" t="s">
        <v>2768</v>
      </c>
      <c r="BL594" s="40" t="s">
        <v>2768</v>
      </c>
      <c r="BM594" s="40" t="s">
        <v>2768</v>
      </c>
    </row>
    <row r="595" spans="1:65" x14ac:dyDescent="0.25">
      <c r="A595" s="40" t="s">
        <v>2771</v>
      </c>
      <c r="B595" s="41">
        <v>44895.333333333336</v>
      </c>
      <c r="C595" s="40" t="s">
        <v>353</v>
      </c>
      <c r="D595" s="40" t="s">
        <v>400</v>
      </c>
      <c r="E595" s="40">
        <v>8625709</v>
      </c>
      <c r="F595" s="40" t="s">
        <v>2489</v>
      </c>
      <c r="G595" s="40" t="s">
        <v>2490</v>
      </c>
      <c r="H595" s="40" t="s">
        <v>301</v>
      </c>
      <c r="I595" s="40">
        <v>3890</v>
      </c>
      <c r="J595" s="40" t="s">
        <v>2491</v>
      </c>
      <c r="K595" s="40">
        <v>13530</v>
      </c>
      <c r="L595" s="40">
        <v>17420</v>
      </c>
      <c r="M595" s="40">
        <v>1673980</v>
      </c>
      <c r="N595" s="40" t="s">
        <v>2492</v>
      </c>
      <c r="O595" s="40" t="s">
        <v>140</v>
      </c>
      <c r="P595" s="40" t="s">
        <v>141</v>
      </c>
      <c r="Q595" s="40" t="s">
        <v>2051</v>
      </c>
      <c r="R595" s="42" t="s">
        <v>2052</v>
      </c>
      <c r="S595" s="42" t="s">
        <v>2053</v>
      </c>
      <c r="T595" s="40" t="s">
        <v>293</v>
      </c>
      <c r="U595" s="41">
        <v>44894.9375</v>
      </c>
      <c r="V595" s="41">
        <v>44895.25</v>
      </c>
      <c r="W595" s="41">
        <v>44895.520833333336</v>
      </c>
      <c r="X595" s="40" t="s">
        <v>293</v>
      </c>
      <c r="Y595" s="41">
        <v>44908.993750000001</v>
      </c>
      <c r="Z595" s="41">
        <v>44907.5</v>
      </c>
      <c r="AA595" s="41">
        <v>44901.5</v>
      </c>
      <c r="AB595" s="41">
        <v>44904.75</v>
      </c>
      <c r="AC595" s="40" t="s">
        <v>1345</v>
      </c>
      <c r="AD595" s="40">
        <v>14500</v>
      </c>
      <c r="AE595" s="40"/>
      <c r="AF595" s="40"/>
      <c r="AG595" s="40"/>
      <c r="AH595" s="40" t="s">
        <v>393</v>
      </c>
      <c r="AI595" s="41">
        <v>44895.708333333336</v>
      </c>
      <c r="AJ595" s="40"/>
      <c r="AK595" s="43">
        <v>950</v>
      </c>
      <c r="AL595" s="40"/>
      <c r="AM595" s="43">
        <v>0</v>
      </c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0"/>
      <c r="BJ595" s="40"/>
      <c r="BK595" s="40" t="s">
        <v>2768</v>
      </c>
      <c r="BL595" s="40" t="s">
        <v>2768</v>
      </c>
      <c r="BM595" s="40" t="s">
        <v>2768</v>
      </c>
    </row>
    <row r="596" spans="1:65" x14ac:dyDescent="0.25">
      <c r="A596" s="40" t="s">
        <v>2771</v>
      </c>
      <c r="B596" s="41">
        <v>44901.291666666664</v>
      </c>
      <c r="C596" s="40" t="s">
        <v>449</v>
      </c>
      <c r="D596" s="40" t="s">
        <v>450</v>
      </c>
      <c r="E596" s="40" t="s">
        <v>2493</v>
      </c>
      <c r="F596" s="40" t="s">
        <v>2494</v>
      </c>
      <c r="G596" s="40" t="s">
        <v>2495</v>
      </c>
      <c r="H596" s="40" t="s">
        <v>288</v>
      </c>
      <c r="I596" s="40">
        <v>2170</v>
      </c>
      <c r="J596" s="40" t="s">
        <v>2496</v>
      </c>
      <c r="K596" s="40">
        <v>26787</v>
      </c>
      <c r="L596" s="40">
        <v>28957</v>
      </c>
      <c r="M596" s="40">
        <v>36106</v>
      </c>
      <c r="N596" s="40" t="s">
        <v>2497</v>
      </c>
      <c r="O596" s="40" t="s">
        <v>2498</v>
      </c>
      <c r="P596" s="40" t="s">
        <v>2499</v>
      </c>
      <c r="Q596" s="40" t="s">
        <v>2500</v>
      </c>
      <c r="R596" s="42" t="s">
        <v>2501</v>
      </c>
      <c r="S596" s="42" t="s">
        <v>2502</v>
      </c>
      <c r="T596" s="40" t="s">
        <v>526</v>
      </c>
      <c r="U596" s="41">
        <v>44900.333333333336</v>
      </c>
      <c r="V596" s="41">
        <v>44902.347222222219</v>
      </c>
      <c r="W596" s="41">
        <v>44872.75</v>
      </c>
      <c r="X596" s="40" t="s">
        <v>306</v>
      </c>
      <c r="Y596" s="41">
        <v>44903.270138888889</v>
      </c>
      <c r="Z596" s="41">
        <v>44899.791666666664</v>
      </c>
      <c r="AA596" s="41">
        <v>44901.5</v>
      </c>
      <c r="AB596" s="41">
        <v>44903.75</v>
      </c>
      <c r="AC596" s="40" t="s">
        <v>452</v>
      </c>
      <c r="AD596" s="40" t="s">
        <v>2503</v>
      </c>
      <c r="AE596" s="40"/>
      <c r="AF596" s="40"/>
      <c r="AG596" s="40"/>
      <c r="AH596" s="40"/>
      <c r="AI596" s="41"/>
      <c r="AJ596" s="40"/>
      <c r="AK596" s="43"/>
      <c r="AL596" s="40" t="s">
        <v>2150</v>
      </c>
      <c r="AM596" s="43">
        <v>520</v>
      </c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0"/>
      <c r="BJ596" s="40"/>
      <c r="BK596" s="40" t="s">
        <v>2768</v>
      </c>
      <c r="BL596" s="40" t="s">
        <v>2768</v>
      </c>
      <c r="BM596" s="40" t="s">
        <v>2768</v>
      </c>
    </row>
    <row r="597" spans="1:65" x14ac:dyDescent="0.25">
      <c r="A597" s="40" t="s">
        <v>2771</v>
      </c>
      <c r="B597" s="41">
        <v>44901.291666666664</v>
      </c>
      <c r="C597" s="40" t="s">
        <v>449</v>
      </c>
      <c r="D597" s="40" t="s">
        <v>450</v>
      </c>
      <c r="E597" s="40" t="s">
        <v>2504</v>
      </c>
      <c r="F597" s="40" t="s">
        <v>2505</v>
      </c>
      <c r="G597" s="40" t="s">
        <v>2506</v>
      </c>
      <c r="H597" s="40" t="s">
        <v>288</v>
      </c>
      <c r="I597" s="40">
        <v>2180</v>
      </c>
      <c r="J597" s="40" t="s">
        <v>2507</v>
      </c>
      <c r="K597" s="40">
        <v>26730</v>
      </c>
      <c r="L597" s="40">
        <v>28910</v>
      </c>
      <c r="M597" s="40">
        <v>36107</v>
      </c>
      <c r="N597" s="40" t="s">
        <v>2497</v>
      </c>
      <c r="O597" s="40" t="s">
        <v>2508</v>
      </c>
      <c r="P597" s="40" t="s">
        <v>2509</v>
      </c>
      <c r="Q597" s="40" t="s">
        <v>2510</v>
      </c>
      <c r="R597" s="42" t="s">
        <v>2511</v>
      </c>
      <c r="S597" s="42" t="s">
        <v>2512</v>
      </c>
      <c r="T597" s="40" t="s">
        <v>526</v>
      </c>
      <c r="U597" s="41">
        <v>44900.333333333336</v>
      </c>
      <c r="V597" s="41">
        <v>44902.347222222219</v>
      </c>
      <c r="W597" s="41">
        <v>44902.5625</v>
      </c>
      <c r="X597" s="40" t="s">
        <v>306</v>
      </c>
      <c r="Y597" s="41">
        <v>44903.592361111114</v>
      </c>
      <c r="Z597" s="41">
        <v>44899.791666666664</v>
      </c>
      <c r="AA597" s="41">
        <v>44901.5</v>
      </c>
      <c r="AB597" s="41">
        <v>44903.75</v>
      </c>
      <c r="AC597" s="40" t="s">
        <v>452</v>
      </c>
      <c r="AD597" s="40">
        <v>936</v>
      </c>
      <c r="AE597" s="40" t="s">
        <v>125</v>
      </c>
      <c r="AF597" s="40" t="s">
        <v>125</v>
      </c>
      <c r="AG597" s="40"/>
      <c r="AH597" s="40"/>
      <c r="AI597" s="41"/>
      <c r="AJ597" s="40"/>
      <c r="AK597" s="43"/>
      <c r="AL597" s="40" t="s">
        <v>2150</v>
      </c>
      <c r="AM597" s="43">
        <v>520</v>
      </c>
      <c r="AN597" s="43"/>
      <c r="AO597" s="43"/>
      <c r="AP597" s="43"/>
      <c r="AQ597" s="43">
        <v>0</v>
      </c>
      <c r="AR597" s="43">
        <v>0</v>
      </c>
      <c r="AS597" s="43"/>
      <c r="AT597" s="43">
        <v>0</v>
      </c>
      <c r="AU597" s="43"/>
      <c r="AV597" s="43"/>
      <c r="AW597" s="43"/>
      <c r="AX597" s="43">
        <v>0</v>
      </c>
      <c r="AY597" s="43">
        <v>0</v>
      </c>
      <c r="AZ597" s="43">
        <v>0</v>
      </c>
      <c r="BA597" s="43">
        <v>0</v>
      </c>
      <c r="BB597" s="43">
        <v>0</v>
      </c>
      <c r="BC597" s="43">
        <v>0</v>
      </c>
      <c r="BD597" s="43">
        <v>0</v>
      </c>
      <c r="BE597" s="43">
        <v>0</v>
      </c>
      <c r="BF597" s="43">
        <v>0</v>
      </c>
      <c r="BG597" s="43">
        <v>0</v>
      </c>
      <c r="BH597" s="43">
        <v>0</v>
      </c>
      <c r="BI597" s="40" t="s">
        <v>2486</v>
      </c>
      <c r="BJ597" s="40">
        <v>2022</v>
      </c>
      <c r="BK597" s="40" t="s">
        <v>2768</v>
      </c>
      <c r="BL597" s="40" t="s">
        <v>2768</v>
      </c>
      <c r="BM597" s="40" t="s">
        <v>2768</v>
      </c>
    </row>
    <row r="598" spans="1:65" x14ac:dyDescent="0.25">
      <c r="A598" s="40" t="s">
        <v>2771</v>
      </c>
      <c r="B598" s="41">
        <v>44901.333333333336</v>
      </c>
      <c r="C598" s="40" t="s">
        <v>297</v>
      </c>
      <c r="D598" s="40" t="s">
        <v>298</v>
      </c>
      <c r="E598" s="40" t="s">
        <v>2513</v>
      </c>
      <c r="F598" s="40">
        <v>223518130</v>
      </c>
      <c r="G598" s="40" t="s">
        <v>2514</v>
      </c>
      <c r="H598" s="40" t="s">
        <v>301</v>
      </c>
      <c r="I598" s="40">
        <v>3720</v>
      </c>
      <c r="J598" s="40" t="s">
        <v>2515</v>
      </c>
      <c r="K598" s="40">
        <v>16089</v>
      </c>
      <c r="L598" s="40">
        <v>19809</v>
      </c>
      <c r="M598" s="40">
        <v>808905</v>
      </c>
      <c r="N598" s="40" t="s">
        <v>2516</v>
      </c>
      <c r="O598" s="40" t="s">
        <v>1729</v>
      </c>
      <c r="P598" s="40" t="s">
        <v>2517</v>
      </c>
      <c r="Q598" s="40" t="s">
        <v>1731</v>
      </c>
      <c r="R598" s="42" t="s">
        <v>1732</v>
      </c>
      <c r="S598" s="42" t="s">
        <v>1733</v>
      </c>
      <c r="T598" s="40" t="s">
        <v>292</v>
      </c>
      <c r="U598" s="41">
        <v>44900.875</v>
      </c>
      <c r="V598" s="41">
        <v>44901.25</v>
      </c>
      <c r="W598" s="41">
        <v>44901.875</v>
      </c>
      <c r="X598" s="40" t="s">
        <v>410</v>
      </c>
      <c r="Y598" s="41">
        <v>44902.079861111109</v>
      </c>
      <c r="Z598" s="41">
        <v>44901.791666666664</v>
      </c>
      <c r="AA598" s="41" t="s">
        <v>2518</v>
      </c>
      <c r="AB598" s="41">
        <v>44905.5</v>
      </c>
      <c r="AC598" s="40" t="s">
        <v>308</v>
      </c>
      <c r="AD598" s="40">
        <v>14523</v>
      </c>
      <c r="AE598" s="40"/>
      <c r="AF598" s="40"/>
      <c r="AG598" s="40" t="s">
        <v>2519</v>
      </c>
      <c r="AH598" s="40"/>
      <c r="AI598" s="41"/>
      <c r="AJ598" s="40"/>
      <c r="AK598" s="43"/>
      <c r="AL598" s="40"/>
      <c r="AM598" s="43">
        <v>0</v>
      </c>
      <c r="AN598" s="43"/>
      <c r="AO598" s="43"/>
      <c r="AP598" s="43"/>
      <c r="AQ598" s="43">
        <v>0</v>
      </c>
      <c r="AR598" s="43">
        <v>51.484499999999997</v>
      </c>
      <c r="AS598" s="43"/>
      <c r="AT598" s="43">
        <v>765</v>
      </c>
      <c r="AU598" s="43"/>
      <c r="AV598" s="43"/>
      <c r="AW598" s="43"/>
      <c r="AX598" s="43">
        <v>0</v>
      </c>
      <c r="AY598" s="43">
        <v>0</v>
      </c>
      <c r="AZ598" s="43">
        <v>0</v>
      </c>
      <c r="BA598" s="43">
        <v>0</v>
      </c>
      <c r="BB598" s="43">
        <v>0</v>
      </c>
      <c r="BC598" s="43">
        <v>0</v>
      </c>
      <c r="BD598" s="43">
        <v>0</v>
      </c>
      <c r="BE598" s="43">
        <v>0</v>
      </c>
      <c r="BF598" s="43">
        <v>0</v>
      </c>
      <c r="BG598" s="43">
        <v>0</v>
      </c>
      <c r="BH598" s="43">
        <v>765</v>
      </c>
      <c r="BI598" s="40" t="s">
        <v>2486</v>
      </c>
      <c r="BJ598" s="40">
        <v>2022</v>
      </c>
      <c r="BK598" s="40" t="s">
        <v>2768</v>
      </c>
      <c r="BL598" s="40" t="s">
        <v>2768</v>
      </c>
      <c r="BM598" s="40" t="s">
        <v>2768</v>
      </c>
    </row>
    <row r="599" spans="1:65" x14ac:dyDescent="0.25">
      <c r="A599" s="36" t="s">
        <v>836</v>
      </c>
      <c r="B599" s="37">
        <v>44871.333333333336</v>
      </c>
      <c r="C599" s="36" t="s">
        <v>2520</v>
      </c>
      <c r="D599" s="36" t="s">
        <v>697</v>
      </c>
      <c r="E599" s="36"/>
      <c r="F599" s="36" t="s">
        <v>2521</v>
      </c>
      <c r="G599" s="36"/>
      <c r="H599" s="36" t="s">
        <v>288</v>
      </c>
      <c r="I599" s="36"/>
      <c r="J599" s="36"/>
      <c r="K599" s="36"/>
      <c r="L599" s="36">
        <v>0</v>
      </c>
      <c r="M599" s="36"/>
      <c r="N599" s="36" t="s">
        <v>2522</v>
      </c>
      <c r="O599" s="36"/>
      <c r="P599" s="36"/>
      <c r="Q599" s="36"/>
      <c r="R599" s="38"/>
      <c r="S599" s="38"/>
      <c r="T599" s="36"/>
      <c r="U599" s="37"/>
      <c r="V599" s="37"/>
      <c r="W599" s="37"/>
      <c r="X599" s="36" t="s">
        <v>1569</v>
      </c>
      <c r="Y599" s="37"/>
      <c r="Z599" s="37"/>
      <c r="AA599" s="37">
        <v>44901.5</v>
      </c>
      <c r="AB599" s="37">
        <v>44903.5</v>
      </c>
      <c r="AC599" s="36" t="s">
        <v>1221</v>
      </c>
      <c r="AD599" s="36"/>
      <c r="AE599" s="36"/>
      <c r="AF599" s="36"/>
      <c r="AG599" s="36"/>
      <c r="AH599" s="36"/>
      <c r="AI599" s="37"/>
      <c r="AJ599" s="36"/>
      <c r="AK599" s="39"/>
      <c r="AL599" s="36"/>
      <c r="AM599" s="39">
        <v>0</v>
      </c>
      <c r="AN599" s="39"/>
      <c r="AO599" s="39"/>
      <c r="AP599" s="39"/>
      <c r="AQ599" s="39">
        <v>0</v>
      </c>
      <c r="AR599" s="39">
        <v>0</v>
      </c>
      <c r="AS599" s="39"/>
      <c r="AT599" s="39">
        <v>0</v>
      </c>
      <c r="AU599" s="39"/>
      <c r="AV599" s="39"/>
      <c r="AW599" s="39"/>
      <c r="AX599" s="39">
        <v>0</v>
      </c>
      <c r="AY599" s="39">
        <v>0</v>
      </c>
      <c r="AZ599" s="39">
        <v>0</v>
      </c>
      <c r="BA599" s="39">
        <v>0</v>
      </c>
      <c r="BB599" s="39">
        <v>0</v>
      </c>
      <c r="BC599" s="39">
        <v>0</v>
      </c>
      <c r="BD599" s="39">
        <v>0</v>
      </c>
      <c r="BE599" s="39">
        <v>0</v>
      </c>
      <c r="BF599" s="39">
        <v>0</v>
      </c>
      <c r="BG599" s="39">
        <v>0</v>
      </c>
      <c r="BH599" s="39">
        <v>0</v>
      </c>
      <c r="BI599" s="36" t="s">
        <v>453</v>
      </c>
      <c r="BJ599" s="36">
        <v>1900</v>
      </c>
      <c r="BK599" s="36"/>
      <c r="BL599" s="36"/>
      <c r="BM599" s="36"/>
    </row>
    <row r="600" spans="1:65" x14ac:dyDescent="0.25">
      <c r="A600" s="40" t="s">
        <v>2771</v>
      </c>
      <c r="B600" s="41">
        <v>44902.291666666664</v>
      </c>
      <c r="C600" s="40" t="s">
        <v>456</v>
      </c>
      <c r="D600" s="40" t="s">
        <v>457</v>
      </c>
      <c r="E600" s="40" t="s">
        <v>2523</v>
      </c>
      <c r="F600" s="40">
        <v>66532085</v>
      </c>
      <c r="G600" s="40" t="s">
        <v>2524</v>
      </c>
      <c r="H600" s="40" t="s">
        <v>459</v>
      </c>
      <c r="I600" s="40">
        <v>4585</v>
      </c>
      <c r="J600" s="40" t="s">
        <v>2525</v>
      </c>
      <c r="K600" s="40">
        <v>17310</v>
      </c>
      <c r="L600" s="40">
        <v>21895</v>
      </c>
      <c r="M600" s="40">
        <v>188659</v>
      </c>
      <c r="N600" s="40" t="s">
        <v>2497</v>
      </c>
      <c r="O600" s="40" t="s">
        <v>210</v>
      </c>
      <c r="P600" s="40" t="s">
        <v>211</v>
      </c>
      <c r="Q600" s="40" t="s">
        <v>212</v>
      </c>
      <c r="R600" s="42" t="s">
        <v>213</v>
      </c>
      <c r="S600" s="42" t="s">
        <v>214</v>
      </c>
      <c r="T600" s="40" t="s">
        <v>292</v>
      </c>
      <c r="U600" s="41">
        <v>44901.95416666667</v>
      </c>
      <c r="V600" s="41">
        <v>44902.3125</v>
      </c>
      <c r="W600" s="41">
        <v>44902.548611111109</v>
      </c>
      <c r="X600" s="40" t="s">
        <v>306</v>
      </c>
      <c r="Y600" s="41">
        <v>44902.779166666667</v>
      </c>
      <c r="Z600" s="41">
        <v>44899.791666666664</v>
      </c>
      <c r="AA600" s="41" t="s">
        <v>2526</v>
      </c>
      <c r="AB600" s="41" t="s">
        <v>2527</v>
      </c>
      <c r="AC600" s="40" t="s">
        <v>452</v>
      </c>
      <c r="AD600" s="40">
        <v>937</v>
      </c>
      <c r="AE600" s="40"/>
      <c r="AF600" s="40"/>
      <c r="AG600" s="40"/>
      <c r="AH600" s="40"/>
      <c r="AI600" s="41"/>
      <c r="AJ600" s="40"/>
      <c r="AK600" s="43"/>
      <c r="AL600" s="40"/>
      <c r="AM600" s="43">
        <v>0</v>
      </c>
      <c r="AN600" s="43"/>
      <c r="AO600" s="43"/>
      <c r="AP600" s="43"/>
      <c r="AQ600" s="43">
        <v>0</v>
      </c>
      <c r="AR600" s="43">
        <v>0</v>
      </c>
      <c r="AS600" s="43"/>
      <c r="AT600" s="43">
        <v>0</v>
      </c>
      <c r="AU600" s="43"/>
      <c r="AV600" s="43"/>
      <c r="AW600" s="43"/>
      <c r="AX600" s="43">
        <v>0</v>
      </c>
      <c r="AY600" s="43">
        <v>0</v>
      </c>
      <c r="AZ600" s="43">
        <v>0</v>
      </c>
      <c r="BA600" s="43">
        <v>0</v>
      </c>
      <c r="BB600" s="43">
        <v>0</v>
      </c>
      <c r="BC600" s="43">
        <v>0</v>
      </c>
      <c r="BD600" s="43">
        <v>0</v>
      </c>
      <c r="BE600" s="43">
        <v>0</v>
      </c>
      <c r="BF600" s="43">
        <v>0</v>
      </c>
      <c r="BG600" s="43">
        <v>0</v>
      </c>
      <c r="BH600" s="43">
        <v>0</v>
      </c>
      <c r="BI600" s="40" t="s">
        <v>2486</v>
      </c>
      <c r="BJ600" s="40">
        <v>2022</v>
      </c>
      <c r="BK600" s="40" t="s">
        <v>2768</v>
      </c>
      <c r="BL600" s="40" t="s">
        <v>2768</v>
      </c>
      <c r="BM600" s="40" t="s">
        <v>2768</v>
      </c>
    </row>
    <row r="601" spans="1:65" x14ac:dyDescent="0.25">
      <c r="A601" s="40" t="s">
        <v>2771</v>
      </c>
      <c r="B601" s="41">
        <v>44907.291666666664</v>
      </c>
      <c r="C601" s="40" t="s">
        <v>2528</v>
      </c>
      <c r="D601" s="40" t="s">
        <v>284</v>
      </c>
      <c r="E601" s="40" t="s">
        <v>2529</v>
      </c>
      <c r="F601" s="40" t="s">
        <v>2530</v>
      </c>
      <c r="G601" s="40" t="s">
        <v>2531</v>
      </c>
      <c r="H601" s="40" t="s">
        <v>301</v>
      </c>
      <c r="I601" s="40">
        <v>3840</v>
      </c>
      <c r="J601" s="40">
        <v>1328029</v>
      </c>
      <c r="K601" s="40">
        <v>26347</v>
      </c>
      <c r="L601" s="40">
        <v>30187</v>
      </c>
      <c r="M601" s="40"/>
      <c r="N601" s="40" t="s">
        <v>2532</v>
      </c>
      <c r="O601" s="40" t="s">
        <v>210</v>
      </c>
      <c r="P601" s="40" t="s">
        <v>211</v>
      </c>
      <c r="Q601" s="40" t="s">
        <v>212</v>
      </c>
      <c r="R601" s="42" t="s">
        <v>213</v>
      </c>
      <c r="S601" s="42" t="s">
        <v>214</v>
      </c>
      <c r="T601" s="40" t="s">
        <v>857</v>
      </c>
      <c r="U601" s="41">
        <v>44907.541666666664</v>
      </c>
      <c r="V601" s="41">
        <v>44907.25</v>
      </c>
      <c r="W601" s="41">
        <v>44907.583333333336</v>
      </c>
      <c r="X601" s="40" t="s">
        <v>293</v>
      </c>
      <c r="Y601" s="41">
        <v>44907.979166666664</v>
      </c>
      <c r="Z601" s="41">
        <v>44905.291666666664</v>
      </c>
      <c r="AA601" s="41">
        <v>44908.333333333336</v>
      </c>
      <c r="AB601" s="41">
        <v>44908.333333333336</v>
      </c>
      <c r="AC601" s="40" t="s">
        <v>294</v>
      </c>
      <c r="AD601" s="40"/>
      <c r="AE601" s="40"/>
      <c r="AF601" s="40"/>
      <c r="AG601" s="40"/>
      <c r="AH601" s="40"/>
      <c r="AI601" s="41"/>
      <c r="AJ601" s="40"/>
      <c r="AK601" s="43"/>
      <c r="AL601" s="40" t="s">
        <v>610</v>
      </c>
      <c r="AM601" s="43">
        <v>0</v>
      </c>
      <c r="AN601" s="43"/>
      <c r="AO601" s="43"/>
      <c r="AP601" s="43"/>
      <c r="AQ601" s="43">
        <v>0</v>
      </c>
      <c r="AR601" s="43">
        <v>0</v>
      </c>
      <c r="AS601" s="43"/>
      <c r="AT601" s="43">
        <v>0</v>
      </c>
      <c r="AU601" s="43"/>
      <c r="AV601" s="43"/>
      <c r="AW601" s="43"/>
      <c r="AX601" s="43">
        <v>0</v>
      </c>
      <c r="AY601" s="43">
        <v>0</v>
      </c>
      <c r="AZ601" s="43">
        <v>0</v>
      </c>
      <c r="BA601" s="43">
        <v>0</v>
      </c>
      <c r="BB601" s="43">
        <v>0</v>
      </c>
      <c r="BC601" s="43">
        <v>0</v>
      </c>
      <c r="BD601" s="43">
        <v>0</v>
      </c>
      <c r="BE601" s="43">
        <v>0</v>
      </c>
      <c r="BF601" s="43">
        <v>0</v>
      </c>
      <c r="BG601" s="43">
        <v>0</v>
      </c>
      <c r="BH601" s="43">
        <v>0</v>
      </c>
      <c r="BI601" s="40" t="s">
        <v>2486</v>
      </c>
      <c r="BJ601" s="40">
        <v>2022</v>
      </c>
      <c r="BK601" s="40" t="s">
        <v>2768</v>
      </c>
      <c r="BL601" s="40" t="s">
        <v>2768</v>
      </c>
      <c r="BM601" s="40" t="s">
        <v>2768</v>
      </c>
    </row>
    <row r="602" spans="1:65" x14ac:dyDescent="0.25">
      <c r="A602" s="40" t="s">
        <v>2771</v>
      </c>
      <c r="B602" s="41">
        <v>44908.291666666664</v>
      </c>
      <c r="C602" s="40" t="s">
        <v>2533</v>
      </c>
      <c r="D602" s="40" t="s">
        <v>2534</v>
      </c>
      <c r="E602" s="40" t="s">
        <v>2535</v>
      </c>
      <c r="F602" s="40">
        <v>223592994</v>
      </c>
      <c r="G602" s="40" t="s">
        <v>2536</v>
      </c>
      <c r="H602" s="40" t="s">
        <v>301</v>
      </c>
      <c r="I602" s="40">
        <v>3800</v>
      </c>
      <c r="J602" s="40" t="s">
        <v>2537</v>
      </c>
      <c r="K602" s="40">
        <v>3899</v>
      </c>
      <c r="L602" s="40">
        <v>7699</v>
      </c>
      <c r="M602" s="40">
        <v>48041</v>
      </c>
      <c r="N602" s="40" t="s">
        <v>2538</v>
      </c>
      <c r="O602" s="40" t="s">
        <v>72</v>
      </c>
      <c r="P602" s="40" t="s">
        <v>73</v>
      </c>
      <c r="Q602" s="40" t="s">
        <v>203</v>
      </c>
      <c r="R602" s="42" t="s">
        <v>204</v>
      </c>
      <c r="S602" s="42" t="s">
        <v>205</v>
      </c>
      <c r="T602" s="40" t="s">
        <v>292</v>
      </c>
      <c r="U602" s="41">
        <v>44907.791666666664</v>
      </c>
      <c r="V602" s="41">
        <v>44908.270833333336</v>
      </c>
      <c r="W602" s="41">
        <v>44908.409722222219</v>
      </c>
      <c r="X602" s="40" t="s">
        <v>306</v>
      </c>
      <c r="Y602" s="41">
        <v>44908.578472222223</v>
      </c>
      <c r="Z602" s="41">
        <v>44907.791666666664</v>
      </c>
      <c r="AA602" s="41">
        <v>44908.5</v>
      </c>
      <c r="AB602" s="41">
        <v>44911.75</v>
      </c>
      <c r="AC602" s="40" t="s">
        <v>586</v>
      </c>
      <c r="AD602" s="40">
        <v>14576</v>
      </c>
      <c r="AE602" s="40"/>
      <c r="AF602" s="40"/>
      <c r="AG602" s="40"/>
      <c r="AH602" s="40"/>
      <c r="AI602" s="41"/>
      <c r="AJ602" s="40"/>
      <c r="AK602" s="43"/>
      <c r="AL602" s="40"/>
      <c r="AM602" s="43">
        <v>0</v>
      </c>
      <c r="AN602" s="43"/>
      <c r="AO602" s="43"/>
      <c r="AP602" s="43"/>
      <c r="AQ602" s="43">
        <v>0</v>
      </c>
      <c r="AR602" s="43">
        <v>0</v>
      </c>
      <c r="AS602" s="43"/>
      <c r="AT602" s="43">
        <v>0</v>
      </c>
      <c r="AU602" s="43"/>
      <c r="AV602" s="43"/>
      <c r="AW602" s="43"/>
      <c r="AX602" s="43">
        <v>0</v>
      </c>
      <c r="AY602" s="43">
        <v>0</v>
      </c>
      <c r="AZ602" s="43">
        <v>0</v>
      </c>
      <c r="BA602" s="43">
        <v>0</v>
      </c>
      <c r="BB602" s="43">
        <v>0</v>
      </c>
      <c r="BC602" s="43">
        <v>0</v>
      </c>
      <c r="BD602" s="43">
        <v>0</v>
      </c>
      <c r="BE602" s="43">
        <v>0</v>
      </c>
      <c r="BF602" s="43">
        <v>0</v>
      </c>
      <c r="BG602" s="43">
        <v>0</v>
      </c>
      <c r="BH602" s="43">
        <v>0</v>
      </c>
      <c r="BI602" s="40" t="s">
        <v>2486</v>
      </c>
      <c r="BJ602" s="40">
        <v>2022</v>
      </c>
      <c r="BK602" s="40" t="s">
        <v>2768</v>
      </c>
      <c r="BL602" s="40" t="s">
        <v>2768</v>
      </c>
      <c r="BM602" s="40" t="s">
        <v>2768</v>
      </c>
    </row>
    <row r="603" spans="1:65" x14ac:dyDescent="0.25">
      <c r="A603" s="40" t="s">
        <v>2771</v>
      </c>
      <c r="B603" s="41">
        <v>44908.291666666664</v>
      </c>
      <c r="C603" s="40" t="s">
        <v>2539</v>
      </c>
      <c r="D603" s="40" t="s">
        <v>2540</v>
      </c>
      <c r="E603" s="40" t="s">
        <v>2541</v>
      </c>
      <c r="F603" s="40">
        <v>6348018480</v>
      </c>
      <c r="G603" s="40" t="s">
        <v>2542</v>
      </c>
      <c r="H603" s="40" t="s">
        <v>301</v>
      </c>
      <c r="I603" s="40">
        <v>3800</v>
      </c>
      <c r="J603" s="40">
        <v>439473</v>
      </c>
      <c r="K603" s="40">
        <v>4684</v>
      </c>
      <c r="L603" s="40">
        <v>8484</v>
      </c>
      <c r="M603" s="40">
        <v>39759</v>
      </c>
      <c r="N603" s="40" t="s">
        <v>2543</v>
      </c>
      <c r="O603" s="40" t="s">
        <v>150</v>
      </c>
      <c r="P603" s="40" t="s">
        <v>151</v>
      </c>
      <c r="Q603" s="40" t="s">
        <v>152</v>
      </c>
      <c r="R603" s="42" t="s">
        <v>153</v>
      </c>
      <c r="S603" s="42" t="s">
        <v>154</v>
      </c>
      <c r="T603" s="40" t="s">
        <v>2544</v>
      </c>
      <c r="U603" s="41">
        <v>44907.798611111109</v>
      </c>
      <c r="V603" s="41">
        <v>44908.020833333336</v>
      </c>
      <c r="W603" s="41">
        <v>44908.354166666664</v>
      </c>
      <c r="X603" s="40" t="s">
        <v>293</v>
      </c>
      <c r="Y603" s="41">
        <v>44917.098611111112</v>
      </c>
      <c r="Z603" s="41">
        <v>44916.541666666664</v>
      </c>
      <c r="AA603" s="41">
        <v>44908.75</v>
      </c>
      <c r="AB603" s="41">
        <v>44911.75</v>
      </c>
      <c r="AC603" s="40" t="s">
        <v>418</v>
      </c>
      <c r="AD603" s="40" t="s">
        <v>2545</v>
      </c>
      <c r="AE603" s="40"/>
      <c r="AF603" s="40"/>
      <c r="AG603" s="40"/>
      <c r="AH603" s="40" t="s">
        <v>393</v>
      </c>
      <c r="AI603" s="41">
        <v>44908.541666666664</v>
      </c>
      <c r="AJ603" s="40"/>
      <c r="AK603" s="43">
        <v>950</v>
      </c>
      <c r="AL603" s="40"/>
      <c r="AM603" s="43">
        <v>0</v>
      </c>
      <c r="AN603" s="43"/>
      <c r="AO603" s="43"/>
      <c r="AP603" s="43"/>
      <c r="AQ603" s="43">
        <v>0</v>
      </c>
      <c r="AR603" s="43">
        <v>0</v>
      </c>
      <c r="AS603" s="43"/>
      <c r="AT603" s="43">
        <v>0</v>
      </c>
      <c r="AU603" s="43"/>
      <c r="AV603" s="43"/>
      <c r="AW603" s="43"/>
      <c r="AX603" s="43">
        <v>0</v>
      </c>
      <c r="AY603" s="43">
        <v>0</v>
      </c>
      <c r="AZ603" s="43">
        <v>0</v>
      </c>
      <c r="BA603" s="43">
        <v>0</v>
      </c>
      <c r="BB603" s="43">
        <v>0</v>
      </c>
      <c r="BC603" s="43">
        <v>0</v>
      </c>
      <c r="BD603" s="43">
        <v>0</v>
      </c>
      <c r="BE603" s="43">
        <v>0</v>
      </c>
      <c r="BF603" s="43">
        <v>0</v>
      </c>
      <c r="BG603" s="43">
        <v>0</v>
      </c>
      <c r="BH603" s="43">
        <v>0</v>
      </c>
      <c r="BI603" s="40" t="s">
        <v>2486</v>
      </c>
      <c r="BJ603" s="40">
        <v>2022</v>
      </c>
      <c r="BK603" s="40" t="s">
        <v>2768</v>
      </c>
      <c r="BL603" s="40" t="s">
        <v>2768</v>
      </c>
      <c r="BM603" s="40" t="s">
        <v>2768</v>
      </c>
    </row>
    <row r="604" spans="1:65" x14ac:dyDescent="0.25">
      <c r="A604" s="40" t="s">
        <v>2771</v>
      </c>
      <c r="B604" s="41">
        <v>44908.291666666664</v>
      </c>
      <c r="C604" s="40" t="s">
        <v>2391</v>
      </c>
      <c r="D604" s="40" t="s">
        <v>2392</v>
      </c>
      <c r="E604" s="40">
        <v>7121899</v>
      </c>
      <c r="F604" s="40">
        <v>223591908</v>
      </c>
      <c r="G604" s="40" t="s">
        <v>2546</v>
      </c>
      <c r="H604" s="40" t="s">
        <v>301</v>
      </c>
      <c r="I604" s="40">
        <v>3860</v>
      </c>
      <c r="J604" s="40" t="s">
        <v>2547</v>
      </c>
      <c r="K604" s="40">
        <v>25800</v>
      </c>
      <c r="L604" s="40">
        <v>29660</v>
      </c>
      <c r="M604" s="40"/>
      <c r="N604" s="40" t="s">
        <v>2538</v>
      </c>
      <c r="O604" s="40" t="s">
        <v>210</v>
      </c>
      <c r="P604" s="40" t="s">
        <v>211</v>
      </c>
      <c r="Q604" s="40" t="s">
        <v>212</v>
      </c>
      <c r="R604" s="42" t="s">
        <v>213</v>
      </c>
      <c r="S604" s="42" t="s">
        <v>214</v>
      </c>
      <c r="T604" s="40" t="s">
        <v>292</v>
      </c>
      <c r="U604" s="41">
        <v>44907.916666666664</v>
      </c>
      <c r="V604" s="41">
        <v>44908.520833333336</v>
      </c>
      <c r="W604" s="41">
        <v>44908.75</v>
      </c>
      <c r="X604" s="40" t="s">
        <v>306</v>
      </c>
      <c r="Y604" s="41">
        <v>44909.320138888892</v>
      </c>
      <c r="Z604" s="41">
        <v>44907.791666666664</v>
      </c>
      <c r="AA604" s="41">
        <v>44908.5</v>
      </c>
      <c r="AB604" s="41">
        <v>44911.75</v>
      </c>
      <c r="AC604" s="40" t="s">
        <v>586</v>
      </c>
      <c r="AD604" s="40" t="s">
        <v>2548</v>
      </c>
      <c r="AE604" s="40"/>
      <c r="AF604" s="40"/>
      <c r="AG604" s="40"/>
      <c r="AH604" s="40"/>
      <c r="AI604" s="41"/>
      <c r="AJ604" s="40"/>
      <c r="AK604" s="43"/>
      <c r="AL604" s="40" t="s">
        <v>2150</v>
      </c>
      <c r="AM604" s="43">
        <v>0</v>
      </c>
      <c r="AN604" s="43"/>
      <c r="AO604" s="43"/>
      <c r="AP604" s="43"/>
      <c r="AQ604" s="43">
        <v>0</v>
      </c>
      <c r="AR604" s="43">
        <v>0</v>
      </c>
      <c r="AS604" s="43"/>
      <c r="AT604" s="43">
        <v>0</v>
      </c>
      <c r="AU604" s="43"/>
      <c r="AV604" s="43"/>
      <c r="AW604" s="43"/>
      <c r="AX604" s="43">
        <v>0</v>
      </c>
      <c r="AY604" s="43">
        <v>0</v>
      </c>
      <c r="AZ604" s="43">
        <v>0</v>
      </c>
      <c r="BA604" s="43">
        <v>0</v>
      </c>
      <c r="BB604" s="43">
        <v>0</v>
      </c>
      <c r="BC604" s="43">
        <v>0</v>
      </c>
      <c r="BD604" s="43">
        <v>0</v>
      </c>
      <c r="BE604" s="43">
        <v>0</v>
      </c>
      <c r="BF604" s="43">
        <v>0</v>
      </c>
      <c r="BG604" s="43">
        <v>0</v>
      </c>
      <c r="BH604" s="43">
        <v>0</v>
      </c>
      <c r="BI604" s="40" t="s">
        <v>2486</v>
      </c>
      <c r="BJ604" s="40">
        <v>2022</v>
      </c>
      <c r="BK604" s="40" t="s">
        <v>2768</v>
      </c>
      <c r="BL604" s="40" t="s">
        <v>2768</v>
      </c>
      <c r="BM604" s="40" t="s">
        <v>2768</v>
      </c>
    </row>
    <row r="605" spans="1:65" x14ac:dyDescent="0.25">
      <c r="A605" s="40" t="s">
        <v>2771</v>
      </c>
      <c r="B605" s="41">
        <v>44908.25</v>
      </c>
      <c r="C605" s="40" t="s">
        <v>2549</v>
      </c>
      <c r="D605" s="40" t="s">
        <v>2550</v>
      </c>
      <c r="E605" s="40" t="s">
        <v>2551</v>
      </c>
      <c r="F605" s="40" t="s">
        <v>2552</v>
      </c>
      <c r="G605" s="40" t="s">
        <v>2553</v>
      </c>
      <c r="H605" s="40" t="s">
        <v>301</v>
      </c>
      <c r="I605" s="40">
        <v>3840</v>
      </c>
      <c r="J605" s="40" t="s">
        <v>2554</v>
      </c>
      <c r="K605" s="40">
        <v>25050</v>
      </c>
      <c r="L605" s="40">
        <v>28890</v>
      </c>
      <c r="M605" s="40">
        <v>13720</v>
      </c>
      <c r="N605" s="40" t="s">
        <v>2555</v>
      </c>
      <c r="O605" s="40" t="s">
        <v>31</v>
      </c>
      <c r="P605" s="40" t="s">
        <v>32</v>
      </c>
      <c r="Q605" s="40" t="s">
        <v>33</v>
      </c>
      <c r="R605" s="42" t="s">
        <v>34</v>
      </c>
      <c r="S605" s="42" t="s">
        <v>35</v>
      </c>
      <c r="T605" s="40" t="s">
        <v>469</v>
      </c>
      <c r="U605" s="41">
        <v>44907.440972222219</v>
      </c>
      <c r="V605" s="41">
        <v>44907.910416666666</v>
      </c>
      <c r="W605" s="41">
        <v>44908.520833333336</v>
      </c>
      <c r="X605" s="40" t="s">
        <v>410</v>
      </c>
      <c r="Y605" s="41">
        <v>44921.367361111108</v>
      </c>
      <c r="Z605" s="41">
        <v>44912.791666666664</v>
      </c>
      <c r="AA605" s="41">
        <v>44910.666666666664</v>
      </c>
      <c r="AB605" s="41">
        <v>44917.708333333336</v>
      </c>
      <c r="AC605" s="40" t="s">
        <v>2556</v>
      </c>
      <c r="AD605" s="40">
        <v>14580</v>
      </c>
      <c r="AE605" s="40"/>
      <c r="AF605" s="40"/>
      <c r="AG605" s="40"/>
      <c r="AH605" s="40" t="s">
        <v>2557</v>
      </c>
      <c r="AI605" s="41">
        <v>44908.993750000001</v>
      </c>
      <c r="AJ605" s="40"/>
      <c r="AK605" s="43">
        <v>930</v>
      </c>
      <c r="AL605" s="40"/>
      <c r="AM605" s="43">
        <v>0</v>
      </c>
      <c r="AN605" s="43"/>
      <c r="AO605" s="43"/>
      <c r="AP605" s="43"/>
      <c r="AQ605" s="43">
        <v>0</v>
      </c>
      <c r="AR605" s="43">
        <v>0</v>
      </c>
      <c r="AS605" s="43"/>
      <c r="AT605" s="43">
        <v>0</v>
      </c>
      <c r="AU605" s="43"/>
      <c r="AV605" s="43"/>
      <c r="AW605" s="43"/>
      <c r="AX605" s="43">
        <v>0</v>
      </c>
      <c r="AY605" s="43">
        <v>0</v>
      </c>
      <c r="AZ605" s="43">
        <v>0</v>
      </c>
      <c r="BA605" s="43">
        <v>0</v>
      </c>
      <c r="BB605" s="43">
        <v>0</v>
      </c>
      <c r="BC605" s="43">
        <v>0</v>
      </c>
      <c r="BD605" s="43">
        <v>0</v>
      </c>
      <c r="BE605" s="43">
        <v>0</v>
      </c>
      <c r="BF605" s="43">
        <v>0</v>
      </c>
      <c r="BG605" s="43">
        <v>0</v>
      </c>
      <c r="BH605" s="43">
        <v>0</v>
      </c>
      <c r="BI605" s="40" t="s">
        <v>2486</v>
      </c>
      <c r="BJ605" s="40">
        <v>2022</v>
      </c>
      <c r="BK605" s="40" t="s">
        <v>2768</v>
      </c>
      <c r="BL605" s="40" t="s">
        <v>2768</v>
      </c>
      <c r="BM605" s="40" t="s">
        <v>2768</v>
      </c>
    </row>
    <row r="606" spans="1:65" x14ac:dyDescent="0.25">
      <c r="A606" s="40" t="s">
        <v>2771</v>
      </c>
      <c r="B606" s="41">
        <v>44908.25</v>
      </c>
      <c r="C606" s="40" t="s">
        <v>2549</v>
      </c>
      <c r="D606" s="40" t="s">
        <v>2550</v>
      </c>
      <c r="E606" s="40" t="s">
        <v>2551</v>
      </c>
      <c r="F606" s="40" t="s">
        <v>2552</v>
      </c>
      <c r="G606" s="40" t="s">
        <v>2558</v>
      </c>
      <c r="H606" s="40" t="s">
        <v>301</v>
      </c>
      <c r="I606" s="40">
        <v>3840</v>
      </c>
      <c r="J606" s="40" t="s">
        <v>2559</v>
      </c>
      <c r="K606" s="40">
        <v>25050</v>
      </c>
      <c r="L606" s="40">
        <v>28890</v>
      </c>
      <c r="M606" s="40">
        <v>13722</v>
      </c>
      <c r="N606" s="40" t="s">
        <v>2560</v>
      </c>
      <c r="O606" s="40" t="s">
        <v>92</v>
      </c>
      <c r="P606" s="40" t="s">
        <v>93</v>
      </c>
      <c r="Q606" s="40" t="s">
        <v>94</v>
      </c>
      <c r="R606" s="42" t="s">
        <v>95</v>
      </c>
      <c r="S606" s="42" t="s">
        <v>96</v>
      </c>
      <c r="T606" s="40" t="s">
        <v>469</v>
      </c>
      <c r="U606" s="41">
        <v>44907.45416666667</v>
      </c>
      <c r="V606" s="41">
        <v>44907.895833333336</v>
      </c>
      <c r="W606" s="41">
        <v>44908.75</v>
      </c>
      <c r="X606" s="40" t="s">
        <v>410</v>
      </c>
      <c r="Y606" s="41">
        <v>44915.720138888886</v>
      </c>
      <c r="Z606" s="41">
        <v>44912.791666666664</v>
      </c>
      <c r="AA606" s="41">
        <v>44910.666666666664</v>
      </c>
      <c r="AB606" s="41">
        <v>44917.708333333336</v>
      </c>
      <c r="AC606" s="40" t="s">
        <v>2556</v>
      </c>
      <c r="AD606" s="40">
        <v>14587</v>
      </c>
      <c r="AE606" s="40"/>
      <c r="AF606" s="40"/>
      <c r="AG606" s="40"/>
      <c r="AH606" s="40" t="s">
        <v>2557</v>
      </c>
      <c r="AI606" s="41">
        <v>44909.158333333333</v>
      </c>
      <c r="AJ606" s="40"/>
      <c r="AK606" s="43">
        <v>930</v>
      </c>
      <c r="AL606" s="40"/>
      <c r="AM606" s="43">
        <v>0</v>
      </c>
      <c r="AN606" s="43"/>
      <c r="AO606" s="43"/>
      <c r="AP606" s="43"/>
      <c r="AQ606" s="43">
        <v>0</v>
      </c>
      <c r="AR606" s="43">
        <v>0</v>
      </c>
      <c r="AS606" s="43"/>
      <c r="AT606" s="43">
        <v>0</v>
      </c>
      <c r="AU606" s="43"/>
      <c r="AV606" s="43"/>
      <c r="AW606" s="43"/>
      <c r="AX606" s="43">
        <v>0</v>
      </c>
      <c r="AY606" s="43">
        <v>0</v>
      </c>
      <c r="AZ606" s="43">
        <v>0</v>
      </c>
      <c r="BA606" s="43">
        <v>0</v>
      </c>
      <c r="BB606" s="43">
        <v>0</v>
      </c>
      <c r="BC606" s="43">
        <v>0</v>
      </c>
      <c r="BD606" s="43">
        <v>0</v>
      </c>
      <c r="BE606" s="43">
        <v>0</v>
      </c>
      <c r="BF606" s="43">
        <v>0</v>
      </c>
      <c r="BG606" s="43">
        <v>0</v>
      </c>
      <c r="BH606" s="43">
        <v>0</v>
      </c>
      <c r="BI606" s="40" t="s">
        <v>2486</v>
      </c>
      <c r="BJ606" s="40">
        <v>2022</v>
      </c>
      <c r="BK606" s="40" t="s">
        <v>2768</v>
      </c>
      <c r="BL606" s="40" t="s">
        <v>2768</v>
      </c>
      <c r="BM606" s="40" t="s">
        <v>2768</v>
      </c>
    </row>
    <row r="607" spans="1:65" x14ac:dyDescent="0.25">
      <c r="A607" s="40" t="s">
        <v>2771</v>
      </c>
      <c r="B607" s="41">
        <v>44908.25</v>
      </c>
      <c r="C607" s="40" t="s">
        <v>2549</v>
      </c>
      <c r="D607" s="40" t="s">
        <v>2550</v>
      </c>
      <c r="E607" s="40" t="s">
        <v>2551</v>
      </c>
      <c r="F607" s="40" t="s">
        <v>2552</v>
      </c>
      <c r="G607" s="40" t="s">
        <v>2561</v>
      </c>
      <c r="H607" s="40" t="s">
        <v>301</v>
      </c>
      <c r="I607" s="40">
        <v>3700</v>
      </c>
      <c r="J607" s="40" t="s">
        <v>2562</v>
      </c>
      <c r="K607" s="40">
        <v>25050</v>
      </c>
      <c r="L607" s="40">
        <v>28750</v>
      </c>
      <c r="M607" s="40">
        <v>13724</v>
      </c>
      <c r="N607" s="40" t="s">
        <v>2560</v>
      </c>
      <c r="O607" s="40" t="s">
        <v>106</v>
      </c>
      <c r="P607" s="40" t="s">
        <v>107</v>
      </c>
      <c r="Q607" s="40" t="s">
        <v>108</v>
      </c>
      <c r="R607" s="42" t="s">
        <v>109</v>
      </c>
      <c r="S607" s="42" t="s">
        <v>110</v>
      </c>
      <c r="T607" s="40" t="s">
        <v>469</v>
      </c>
      <c r="U607" s="41">
        <v>44907.434027777781</v>
      </c>
      <c r="V607" s="41">
        <v>44907.909722222219</v>
      </c>
      <c r="W607" s="41">
        <v>44908.520833333336</v>
      </c>
      <c r="X607" s="40" t="s">
        <v>410</v>
      </c>
      <c r="Y607" s="41">
        <v>44915.643055555556</v>
      </c>
      <c r="Z607" s="41">
        <v>44912.791666666664</v>
      </c>
      <c r="AA607" s="41">
        <v>44910.666666666664</v>
      </c>
      <c r="AB607" s="41">
        <v>44917.708333333336</v>
      </c>
      <c r="AC607" s="40" t="s">
        <v>2556</v>
      </c>
      <c r="AD607" s="40">
        <v>14581</v>
      </c>
      <c r="AE607" s="40"/>
      <c r="AF607" s="40"/>
      <c r="AG607" s="40"/>
      <c r="AH607" s="40" t="s">
        <v>2557</v>
      </c>
      <c r="AI607" s="41">
        <v>44908.986805555556</v>
      </c>
      <c r="AJ607" s="40"/>
      <c r="AK607" s="43">
        <v>930</v>
      </c>
      <c r="AL607" s="40"/>
      <c r="AM607" s="43">
        <v>0</v>
      </c>
      <c r="AN607" s="43"/>
      <c r="AO607" s="43"/>
      <c r="AP607" s="43"/>
      <c r="AQ607" s="43">
        <v>0</v>
      </c>
      <c r="AR607" s="43">
        <v>0</v>
      </c>
      <c r="AS607" s="43"/>
      <c r="AT607" s="43">
        <v>0</v>
      </c>
      <c r="AU607" s="43"/>
      <c r="AV607" s="43"/>
      <c r="AW607" s="43"/>
      <c r="AX607" s="43">
        <v>0</v>
      </c>
      <c r="AY607" s="43">
        <v>0</v>
      </c>
      <c r="AZ607" s="43">
        <v>0</v>
      </c>
      <c r="BA607" s="43">
        <v>0</v>
      </c>
      <c r="BB607" s="43">
        <v>0</v>
      </c>
      <c r="BC607" s="43">
        <v>0</v>
      </c>
      <c r="BD607" s="43">
        <v>0</v>
      </c>
      <c r="BE607" s="43">
        <v>0</v>
      </c>
      <c r="BF607" s="43">
        <v>0</v>
      </c>
      <c r="BG607" s="43">
        <v>0</v>
      </c>
      <c r="BH607" s="43">
        <v>0</v>
      </c>
      <c r="BI607" s="40" t="s">
        <v>2486</v>
      </c>
      <c r="BJ607" s="40">
        <v>2022</v>
      </c>
      <c r="BK607" s="40" t="s">
        <v>2768</v>
      </c>
      <c r="BL607" s="40" t="s">
        <v>2768</v>
      </c>
      <c r="BM607" s="40" t="s">
        <v>2768</v>
      </c>
    </row>
    <row r="608" spans="1:65" x14ac:dyDescent="0.25">
      <c r="A608" s="40" t="s">
        <v>2771</v>
      </c>
      <c r="B608" s="41">
        <v>44908.25</v>
      </c>
      <c r="C608" s="40" t="s">
        <v>2549</v>
      </c>
      <c r="D608" s="40" t="s">
        <v>2550</v>
      </c>
      <c r="E608" s="40" t="s">
        <v>2551</v>
      </c>
      <c r="F608" s="40" t="s">
        <v>2552</v>
      </c>
      <c r="G608" s="40" t="s">
        <v>2563</v>
      </c>
      <c r="H608" s="40" t="s">
        <v>301</v>
      </c>
      <c r="I608" s="40">
        <v>3700</v>
      </c>
      <c r="J608" s="40" t="s">
        <v>2564</v>
      </c>
      <c r="K608" s="40">
        <v>25050</v>
      </c>
      <c r="L608" s="40">
        <v>28750</v>
      </c>
      <c r="M608" s="40">
        <v>13721</v>
      </c>
      <c r="N608" s="40" t="s">
        <v>2560</v>
      </c>
      <c r="O608" s="40" t="s">
        <v>155</v>
      </c>
      <c r="P608" s="40" t="s">
        <v>209</v>
      </c>
      <c r="Q608" s="40" t="s">
        <v>156</v>
      </c>
      <c r="R608" s="42" t="s">
        <v>157</v>
      </c>
      <c r="S608" s="42" t="s">
        <v>158</v>
      </c>
      <c r="T608" s="40" t="s">
        <v>469</v>
      </c>
      <c r="U608" s="41">
        <v>44907.452777777777</v>
      </c>
      <c r="V608" s="41">
        <v>44907.921527777777</v>
      </c>
      <c r="W608" s="41">
        <v>44908.520833333336</v>
      </c>
      <c r="X608" s="40" t="s">
        <v>410</v>
      </c>
      <c r="Y608" s="41">
        <v>44915.72152777778</v>
      </c>
      <c r="Z608" s="41">
        <v>44912.791666666664</v>
      </c>
      <c r="AA608" s="41">
        <v>44910.666666666664</v>
      </c>
      <c r="AB608" s="41">
        <v>44917.708333333336</v>
      </c>
      <c r="AC608" s="40" t="s">
        <v>2556</v>
      </c>
      <c r="AD608" s="40">
        <v>14582</v>
      </c>
      <c r="AE608" s="40"/>
      <c r="AF608" s="40"/>
      <c r="AG608" s="40"/>
      <c r="AH608" s="40" t="s">
        <v>2557</v>
      </c>
      <c r="AI608" s="41">
        <v>44908.998611111114</v>
      </c>
      <c r="AJ608" s="40"/>
      <c r="AK608" s="43">
        <v>930</v>
      </c>
      <c r="AL608" s="40"/>
      <c r="AM608" s="43">
        <v>0</v>
      </c>
      <c r="AN608" s="43"/>
      <c r="AO608" s="43"/>
      <c r="AP608" s="43"/>
      <c r="AQ608" s="43">
        <v>0</v>
      </c>
      <c r="AR608" s="43">
        <v>0</v>
      </c>
      <c r="AS608" s="43"/>
      <c r="AT608" s="43">
        <v>0</v>
      </c>
      <c r="AU608" s="43"/>
      <c r="AV608" s="43"/>
      <c r="AW608" s="43"/>
      <c r="AX608" s="43">
        <v>0</v>
      </c>
      <c r="AY608" s="43">
        <v>0</v>
      </c>
      <c r="AZ608" s="43">
        <v>0</v>
      </c>
      <c r="BA608" s="43">
        <v>0</v>
      </c>
      <c r="BB608" s="43">
        <v>0</v>
      </c>
      <c r="BC608" s="43">
        <v>0</v>
      </c>
      <c r="BD608" s="43">
        <v>0</v>
      </c>
      <c r="BE608" s="43">
        <v>0</v>
      </c>
      <c r="BF608" s="43">
        <v>0</v>
      </c>
      <c r="BG608" s="43">
        <v>0</v>
      </c>
      <c r="BH608" s="43">
        <v>0</v>
      </c>
      <c r="BI608" s="40" t="s">
        <v>2486</v>
      </c>
      <c r="BJ608" s="40">
        <v>2022</v>
      </c>
      <c r="BK608" s="40" t="s">
        <v>2768</v>
      </c>
      <c r="BL608" s="40" t="s">
        <v>2768</v>
      </c>
      <c r="BM608" s="40" t="s">
        <v>2768</v>
      </c>
    </row>
    <row r="609" spans="1:65" x14ac:dyDescent="0.25">
      <c r="A609" s="40" t="s">
        <v>2771</v>
      </c>
      <c r="B609" s="41">
        <v>44908.25</v>
      </c>
      <c r="C609" s="40" t="s">
        <v>2549</v>
      </c>
      <c r="D609" s="40" t="s">
        <v>2550</v>
      </c>
      <c r="E609" s="40" t="s">
        <v>2551</v>
      </c>
      <c r="F609" s="40" t="s">
        <v>2552</v>
      </c>
      <c r="G609" s="40" t="s">
        <v>2565</v>
      </c>
      <c r="H609" s="40" t="s">
        <v>301</v>
      </c>
      <c r="I609" s="40">
        <v>3840</v>
      </c>
      <c r="J609" s="40" t="s">
        <v>2566</v>
      </c>
      <c r="K609" s="40">
        <v>25050</v>
      </c>
      <c r="L609" s="40">
        <v>28890</v>
      </c>
      <c r="M609" s="40">
        <v>13723</v>
      </c>
      <c r="N609" s="40" t="s">
        <v>2560</v>
      </c>
      <c r="O609" s="40" t="s">
        <v>68</v>
      </c>
      <c r="P609" s="40" t="s">
        <v>36</v>
      </c>
      <c r="Q609" s="40" t="s">
        <v>69</v>
      </c>
      <c r="R609" s="42" t="s">
        <v>70</v>
      </c>
      <c r="S609" s="42" t="s">
        <v>71</v>
      </c>
      <c r="T609" s="40" t="s">
        <v>469</v>
      </c>
      <c r="U609" s="41">
        <v>44907.432638888888</v>
      </c>
      <c r="V609" s="41">
        <v>44907.921527777777</v>
      </c>
      <c r="W609" s="41">
        <v>44908.520833333336</v>
      </c>
      <c r="X609" s="40" t="s">
        <v>410</v>
      </c>
      <c r="Y609" s="41">
        <v>44915.719444444447</v>
      </c>
      <c r="Z609" s="41">
        <v>44912.791666666664</v>
      </c>
      <c r="AA609" s="41">
        <v>44910.666666666664</v>
      </c>
      <c r="AB609" s="41">
        <v>44917.708333333336</v>
      </c>
      <c r="AC609" s="40" t="s">
        <v>2556</v>
      </c>
      <c r="AD609" s="40">
        <v>14583</v>
      </c>
      <c r="AE609" s="40"/>
      <c r="AF609" s="40"/>
      <c r="AG609" s="40"/>
      <c r="AH609" s="40" t="s">
        <v>2557</v>
      </c>
      <c r="AI609" s="41">
        <v>44909.003472222219</v>
      </c>
      <c r="AJ609" s="40"/>
      <c r="AK609" s="43">
        <v>930</v>
      </c>
      <c r="AL609" s="40"/>
      <c r="AM609" s="43">
        <v>0</v>
      </c>
      <c r="AN609" s="43"/>
      <c r="AO609" s="43"/>
      <c r="AP609" s="43"/>
      <c r="AQ609" s="43">
        <v>0</v>
      </c>
      <c r="AR609" s="43">
        <v>0</v>
      </c>
      <c r="AS609" s="43"/>
      <c r="AT609" s="43">
        <v>0</v>
      </c>
      <c r="AU609" s="43"/>
      <c r="AV609" s="43"/>
      <c r="AW609" s="43"/>
      <c r="AX609" s="43">
        <v>0</v>
      </c>
      <c r="AY609" s="43">
        <v>0</v>
      </c>
      <c r="AZ609" s="43">
        <v>0</v>
      </c>
      <c r="BA609" s="43">
        <v>0</v>
      </c>
      <c r="BB609" s="43">
        <v>0</v>
      </c>
      <c r="BC609" s="43">
        <v>0</v>
      </c>
      <c r="BD609" s="43">
        <v>0</v>
      </c>
      <c r="BE609" s="43">
        <v>0</v>
      </c>
      <c r="BF609" s="43">
        <v>0</v>
      </c>
      <c r="BG609" s="43">
        <v>0</v>
      </c>
      <c r="BH609" s="43">
        <v>0</v>
      </c>
      <c r="BI609" s="40" t="s">
        <v>2486</v>
      </c>
      <c r="BJ609" s="40">
        <v>2022</v>
      </c>
      <c r="BK609" s="40" t="s">
        <v>2768</v>
      </c>
      <c r="BL609" s="40" t="s">
        <v>2768</v>
      </c>
      <c r="BM609" s="40" t="s">
        <v>2768</v>
      </c>
    </row>
    <row r="610" spans="1:65" x14ac:dyDescent="0.25">
      <c r="A610" s="40" t="s">
        <v>2771</v>
      </c>
      <c r="B610" s="41">
        <v>44908.75</v>
      </c>
      <c r="C610" s="40" t="s">
        <v>353</v>
      </c>
      <c r="D610" s="40" t="s">
        <v>354</v>
      </c>
      <c r="E610" s="40">
        <v>8665543</v>
      </c>
      <c r="F610" s="40">
        <v>223518140</v>
      </c>
      <c r="G610" s="40" t="s">
        <v>2567</v>
      </c>
      <c r="H610" s="40" t="s">
        <v>301</v>
      </c>
      <c r="I610" s="40">
        <v>3810</v>
      </c>
      <c r="J610" s="40" t="s">
        <v>2568</v>
      </c>
      <c r="K610" s="40"/>
      <c r="L610" s="40">
        <v>3810</v>
      </c>
      <c r="M610" s="40">
        <v>654183</v>
      </c>
      <c r="N610" s="40" t="s">
        <v>2569</v>
      </c>
      <c r="O610" s="40" t="s">
        <v>1961</v>
      </c>
      <c r="P610" s="40" t="s">
        <v>1962</v>
      </c>
      <c r="Q610" s="40" t="s">
        <v>1482</v>
      </c>
      <c r="R610" s="42" t="s">
        <v>1483</v>
      </c>
      <c r="S610" s="42" t="s">
        <v>1484</v>
      </c>
      <c r="T610" s="40" t="s">
        <v>292</v>
      </c>
      <c r="U610" s="41">
        <v>44907.875</v>
      </c>
      <c r="V610" s="41">
        <v>44908.354166666664</v>
      </c>
      <c r="W610" s="41">
        <v>44908.541666666664</v>
      </c>
      <c r="X610" s="40" t="s">
        <v>410</v>
      </c>
      <c r="Y610" s="41">
        <v>44908.953472222223</v>
      </c>
      <c r="Z610" s="41">
        <v>44907.791666666664</v>
      </c>
      <c r="AA610" s="41">
        <v>44908.5</v>
      </c>
      <c r="AB610" s="41">
        <v>44911.75</v>
      </c>
      <c r="AC610" s="40" t="s">
        <v>308</v>
      </c>
      <c r="AD610" s="40">
        <v>14579</v>
      </c>
      <c r="AE610" s="40"/>
      <c r="AF610" s="40"/>
      <c r="AG610" s="40" t="s">
        <v>2570</v>
      </c>
      <c r="AH610" s="40"/>
      <c r="AI610" s="41"/>
      <c r="AJ610" s="40"/>
      <c r="AK610" s="43"/>
      <c r="AL610" s="40"/>
      <c r="AM610" s="43">
        <v>0</v>
      </c>
      <c r="AN610" s="43"/>
      <c r="AO610" s="43"/>
      <c r="AP610" s="43"/>
      <c r="AQ610" s="43">
        <v>0</v>
      </c>
      <c r="AR610" s="43">
        <v>0</v>
      </c>
      <c r="AS610" s="43"/>
      <c r="AT610" s="43">
        <v>0</v>
      </c>
      <c r="AU610" s="43"/>
      <c r="AV610" s="43"/>
      <c r="AW610" s="43"/>
      <c r="AX610" s="43">
        <v>0</v>
      </c>
      <c r="AY610" s="43">
        <v>0</v>
      </c>
      <c r="AZ610" s="43">
        <v>0</v>
      </c>
      <c r="BA610" s="43">
        <v>0</v>
      </c>
      <c r="BB610" s="43">
        <v>0</v>
      </c>
      <c r="BC610" s="43">
        <v>0</v>
      </c>
      <c r="BD610" s="43">
        <v>0</v>
      </c>
      <c r="BE610" s="43">
        <v>0</v>
      </c>
      <c r="BF610" s="43">
        <v>0</v>
      </c>
      <c r="BG610" s="43">
        <v>0</v>
      </c>
      <c r="BH610" s="43">
        <v>0</v>
      </c>
      <c r="BI610" s="40" t="s">
        <v>2486</v>
      </c>
      <c r="BJ610" s="40">
        <v>2022</v>
      </c>
      <c r="BK610" s="40" t="s">
        <v>2768</v>
      </c>
      <c r="BL610" s="40" t="s">
        <v>2768</v>
      </c>
      <c r="BM610" s="40" t="s">
        <v>2768</v>
      </c>
    </row>
    <row r="611" spans="1:65" x14ac:dyDescent="0.25">
      <c r="A611" s="40" t="s">
        <v>2771</v>
      </c>
      <c r="B611" s="41">
        <v>44908.25</v>
      </c>
      <c r="C611" s="40" t="s">
        <v>353</v>
      </c>
      <c r="D611" s="40" t="s">
        <v>354</v>
      </c>
      <c r="E611" s="40">
        <v>8775487</v>
      </c>
      <c r="F611" s="40">
        <v>223553350</v>
      </c>
      <c r="G611" s="40" t="s">
        <v>2571</v>
      </c>
      <c r="H611" s="40" t="s">
        <v>301</v>
      </c>
      <c r="I611" s="40">
        <v>3790</v>
      </c>
      <c r="J611" s="40" t="s">
        <v>2572</v>
      </c>
      <c r="K611" s="40">
        <v>25273</v>
      </c>
      <c r="L611" s="40">
        <v>29063</v>
      </c>
      <c r="M611" s="40">
        <v>654288</v>
      </c>
      <c r="N611" s="40" t="s">
        <v>2573</v>
      </c>
      <c r="O611" s="40" t="s">
        <v>119</v>
      </c>
      <c r="P611" s="40" t="s">
        <v>120</v>
      </c>
      <c r="Q611" s="40" t="s">
        <v>121</v>
      </c>
      <c r="R611" s="42" t="s">
        <v>122</v>
      </c>
      <c r="S611" s="42" t="s">
        <v>123</v>
      </c>
      <c r="T611" s="40" t="s">
        <v>409</v>
      </c>
      <c r="U611" s="41">
        <v>44907.71875</v>
      </c>
      <c r="V611" s="41">
        <v>44908.520833333336</v>
      </c>
      <c r="W611" s="41">
        <v>44908.75</v>
      </c>
      <c r="X611" s="40" t="s">
        <v>410</v>
      </c>
      <c r="Y611" s="41" t="s">
        <v>2574</v>
      </c>
      <c r="Z611" s="41">
        <v>44907.791666666664</v>
      </c>
      <c r="AA611" s="41">
        <v>44909.416666666664</v>
      </c>
      <c r="AB611" s="41">
        <v>44911.75</v>
      </c>
      <c r="AC611" s="40" t="s">
        <v>308</v>
      </c>
      <c r="AD611" s="40">
        <v>14586</v>
      </c>
      <c r="AE611" s="40"/>
      <c r="AF611" s="40"/>
      <c r="AG611" s="40" t="s">
        <v>2575</v>
      </c>
      <c r="AH611" s="40"/>
      <c r="AI611" s="41"/>
      <c r="AJ611" s="40"/>
      <c r="AK611" s="43"/>
      <c r="AL611" s="40"/>
      <c r="AM611" s="43">
        <v>0</v>
      </c>
      <c r="AN611" s="43"/>
      <c r="AO611" s="43"/>
      <c r="AP611" s="43"/>
      <c r="AQ611" s="43">
        <v>0</v>
      </c>
      <c r="AR611" s="43">
        <v>0</v>
      </c>
      <c r="AS611" s="43"/>
      <c r="AT611" s="43">
        <v>0</v>
      </c>
      <c r="AU611" s="43"/>
      <c r="AV611" s="43"/>
      <c r="AW611" s="43"/>
      <c r="AX611" s="43">
        <v>0</v>
      </c>
      <c r="AY611" s="43">
        <v>0</v>
      </c>
      <c r="AZ611" s="43">
        <v>0</v>
      </c>
      <c r="BA611" s="43">
        <v>0</v>
      </c>
      <c r="BB611" s="43">
        <v>0</v>
      </c>
      <c r="BC611" s="43">
        <v>0</v>
      </c>
      <c r="BD611" s="43">
        <v>0</v>
      </c>
      <c r="BE611" s="43">
        <v>0</v>
      </c>
      <c r="BF611" s="43">
        <v>0</v>
      </c>
      <c r="BG611" s="43">
        <v>0</v>
      </c>
      <c r="BH611" s="43">
        <v>0</v>
      </c>
      <c r="BI611" s="40" t="s">
        <v>2486</v>
      </c>
      <c r="BJ611" s="40">
        <v>2022</v>
      </c>
      <c r="BK611" s="40" t="s">
        <v>2768</v>
      </c>
      <c r="BL611" s="40" t="s">
        <v>2768</v>
      </c>
      <c r="BM611" s="40" t="s">
        <v>2768</v>
      </c>
    </row>
    <row r="612" spans="1:65" x14ac:dyDescent="0.25">
      <c r="A612" s="40" t="s">
        <v>2771</v>
      </c>
      <c r="B612" s="41">
        <v>44908.25</v>
      </c>
      <c r="C612" s="40" t="s">
        <v>353</v>
      </c>
      <c r="D612" s="40" t="s">
        <v>354</v>
      </c>
      <c r="E612" s="40">
        <v>8678381</v>
      </c>
      <c r="F612" s="40">
        <v>223491548</v>
      </c>
      <c r="G612" s="40" t="s">
        <v>2576</v>
      </c>
      <c r="H612" s="40" t="s">
        <v>301</v>
      </c>
      <c r="I612" s="40">
        <v>3880</v>
      </c>
      <c r="J612" s="40" t="s">
        <v>2577</v>
      </c>
      <c r="K612" s="40">
        <v>25541</v>
      </c>
      <c r="L612" s="40">
        <v>29421</v>
      </c>
      <c r="M612" s="40">
        <v>654188</v>
      </c>
      <c r="N612" s="40" t="s">
        <v>2573</v>
      </c>
      <c r="O612" s="40" t="s">
        <v>178</v>
      </c>
      <c r="P612" s="40" t="s">
        <v>112</v>
      </c>
      <c r="Q612" s="40" t="s">
        <v>180</v>
      </c>
      <c r="R612" s="42" t="s">
        <v>1657</v>
      </c>
      <c r="S612" s="42" t="s">
        <v>181</v>
      </c>
      <c r="T612" s="40" t="s">
        <v>409</v>
      </c>
      <c r="U612" s="41">
        <v>44907.71875</v>
      </c>
      <c r="V612" s="41">
        <v>44908.25</v>
      </c>
      <c r="W612" s="41">
        <v>44908.520833333336</v>
      </c>
      <c r="X612" s="40" t="s">
        <v>410</v>
      </c>
      <c r="Y612" s="41">
        <v>44908.861111111109</v>
      </c>
      <c r="Z612" s="41">
        <v>44907.791666666664</v>
      </c>
      <c r="AA612" s="41">
        <v>44909.416666666664</v>
      </c>
      <c r="AB612" s="41">
        <v>44911.75</v>
      </c>
      <c r="AC612" s="40" t="s">
        <v>308</v>
      </c>
      <c r="AD612" s="40">
        <v>14578</v>
      </c>
      <c r="AE612" s="40"/>
      <c r="AF612" s="40"/>
      <c r="AG612" s="40" t="s">
        <v>2578</v>
      </c>
      <c r="AH612" s="40"/>
      <c r="AI612" s="41"/>
      <c r="AJ612" s="40"/>
      <c r="AK612" s="43"/>
      <c r="AL612" s="40"/>
      <c r="AM612" s="43">
        <v>0</v>
      </c>
      <c r="AN612" s="43"/>
      <c r="AO612" s="43"/>
      <c r="AP612" s="43"/>
      <c r="AQ612" s="43">
        <v>0</v>
      </c>
      <c r="AR612" s="43">
        <v>0</v>
      </c>
      <c r="AS612" s="43"/>
      <c r="AT612" s="43">
        <v>0</v>
      </c>
      <c r="AU612" s="43"/>
      <c r="AV612" s="43"/>
      <c r="AW612" s="43"/>
      <c r="AX612" s="43">
        <v>0</v>
      </c>
      <c r="AY612" s="43">
        <v>0</v>
      </c>
      <c r="AZ612" s="43">
        <v>0</v>
      </c>
      <c r="BA612" s="43">
        <v>0</v>
      </c>
      <c r="BB612" s="43">
        <v>0</v>
      </c>
      <c r="BC612" s="43">
        <v>0</v>
      </c>
      <c r="BD612" s="43">
        <v>0</v>
      </c>
      <c r="BE612" s="43">
        <v>0</v>
      </c>
      <c r="BF612" s="43">
        <v>0</v>
      </c>
      <c r="BG612" s="43">
        <v>0</v>
      </c>
      <c r="BH612" s="43">
        <v>0</v>
      </c>
      <c r="BI612" s="40" t="s">
        <v>2486</v>
      </c>
      <c r="BJ612" s="40">
        <v>2022</v>
      </c>
      <c r="BK612" s="40" t="s">
        <v>2768</v>
      </c>
      <c r="BL612" s="40" t="s">
        <v>2768</v>
      </c>
      <c r="BM612" s="40" t="s">
        <v>2768</v>
      </c>
    </row>
    <row r="613" spans="1:65" x14ac:dyDescent="0.25">
      <c r="A613" s="36" t="s">
        <v>836</v>
      </c>
      <c r="B613" s="37">
        <v>44909.5</v>
      </c>
      <c r="C613" s="36" t="s">
        <v>353</v>
      </c>
      <c r="D613" s="36" t="s">
        <v>354</v>
      </c>
      <c r="E613" s="36">
        <v>8830933</v>
      </c>
      <c r="F613" s="36">
        <v>63866691</v>
      </c>
      <c r="G613" s="36"/>
      <c r="H613" s="36" t="s">
        <v>301</v>
      </c>
      <c r="I613" s="36"/>
      <c r="J613" s="36"/>
      <c r="K613" s="36"/>
      <c r="L613" s="36">
        <v>0</v>
      </c>
      <c r="M613" s="36"/>
      <c r="N613" s="36" t="s">
        <v>2579</v>
      </c>
      <c r="O613" s="36"/>
      <c r="P613" s="36"/>
      <c r="Q613" s="36"/>
      <c r="R613" s="38"/>
      <c r="S613" s="38"/>
      <c r="T613" s="36" t="s">
        <v>537</v>
      </c>
      <c r="U613" s="37"/>
      <c r="V613" s="37"/>
      <c r="W613" s="37"/>
      <c r="X613" s="36" t="s">
        <v>293</v>
      </c>
      <c r="Y613" s="37"/>
      <c r="Z613" s="37"/>
      <c r="AA613" s="37">
        <v>44909.5</v>
      </c>
      <c r="AB613" s="37">
        <v>44911.5</v>
      </c>
      <c r="AC613" s="36" t="s">
        <v>590</v>
      </c>
      <c r="AD613" s="36"/>
      <c r="AE613" s="36"/>
      <c r="AF613" s="36"/>
      <c r="AG613" s="36"/>
      <c r="AH613" s="36"/>
      <c r="AI613" s="37"/>
      <c r="AJ613" s="36"/>
      <c r="AK613" s="39"/>
      <c r="AL613" s="36"/>
      <c r="AM613" s="39">
        <v>0</v>
      </c>
      <c r="AN613" s="39"/>
      <c r="AO613" s="39"/>
      <c r="AP613" s="39"/>
      <c r="AQ613" s="39">
        <v>0</v>
      </c>
      <c r="AR613" s="39">
        <v>0</v>
      </c>
      <c r="AS613" s="39"/>
      <c r="AT613" s="39">
        <v>0</v>
      </c>
      <c r="AU613" s="39"/>
      <c r="AV613" s="39"/>
      <c r="AW613" s="39"/>
      <c r="AX613" s="39">
        <v>0</v>
      </c>
      <c r="AY613" s="39">
        <v>0</v>
      </c>
      <c r="AZ613" s="39">
        <v>0</v>
      </c>
      <c r="BA613" s="39">
        <v>0</v>
      </c>
      <c r="BB613" s="39">
        <v>0</v>
      </c>
      <c r="BC613" s="39">
        <v>0</v>
      </c>
      <c r="BD613" s="39">
        <v>0</v>
      </c>
      <c r="BE613" s="39">
        <v>0</v>
      </c>
      <c r="BF613" s="39">
        <v>0</v>
      </c>
      <c r="BG613" s="39">
        <v>0</v>
      </c>
      <c r="BH613" s="39">
        <v>0</v>
      </c>
      <c r="BI613" s="36" t="s">
        <v>453</v>
      </c>
      <c r="BJ613" s="36">
        <v>1900</v>
      </c>
      <c r="BK613" s="36"/>
      <c r="BL613" s="36"/>
      <c r="BM613" s="36"/>
    </row>
    <row r="614" spans="1:65" x14ac:dyDescent="0.25">
      <c r="A614" s="36" t="s">
        <v>836</v>
      </c>
      <c r="B614" s="37">
        <v>44909.5</v>
      </c>
      <c r="C614" s="36" t="s">
        <v>353</v>
      </c>
      <c r="D614" s="36" t="s">
        <v>354</v>
      </c>
      <c r="E614" s="36">
        <v>8830933</v>
      </c>
      <c r="F614" s="36">
        <v>63866691</v>
      </c>
      <c r="G614" s="36"/>
      <c r="H614" s="36" t="s">
        <v>301</v>
      </c>
      <c r="I614" s="36"/>
      <c r="J614" s="36"/>
      <c r="K614" s="36"/>
      <c r="L614" s="36">
        <v>0</v>
      </c>
      <c r="M614" s="36"/>
      <c r="N614" s="36" t="s">
        <v>2579</v>
      </c>
      <c r="O614" s="36"/>
      <c r="P614" s="36"/>
      <c r="Q614" s="36"/>
      <c r="R614" s="38"/>
      <c r="S614" s="38"/>
      <c r="T614" s="36" t="s">
        <v>537</v>
      </c>
      <c r="U614" s="37"/>
      <c r="V614" s="37"/>
      <c r="W614" s="37"/>
      <c r="X614" s="36" t="s">
        <v>293</v>
      </c>
      <c r="Y614" s="37"/>
      <c r="Z614" s="37"/>
      <c r="AA614" s="37">
        <v>44909.5</v>
      </c>
      <c r="AB614" s="37">
        <v>44911.5</v>
      </c>
      <c r="AC614" s="36" t="s">
        <v>590</v>
      </c>
      <c r="AD614" s="36"/>
      <c r="AE614" s="36"/>
      <c r="AF614" s="36"/>
      <c r="AG614" s="36"/>
      <c r="AH614" s="36"/>
      <c r="AI614" s="37"/>
      <c r="AJ614" s="36"/>
      <c r="AK614" s="39"/>
      <c r="AL614" s="36"/>
      <c r="AM614" s="39">
        <v>0</v>
      </c>
      <c r="AN614" s="39"/>
      <c r="AO614" s="39"/>
      <c r="AP614" s="39"/>
      <c r="AQ614" s="39">
        <v>0</v>
      </c>
      <c r="AR614" s="39">
        <v>0</v>
      </c>
      <c r="AS614" s="39"/>
      <c r="AT614" s="39">
        <v>0</v>
      </c>
      <c r="AU614" s="39"/>
      <c r="AV614" s="39"/>
      <c r="AW614" s="39"/>
      <c r="AX614" s="39">
        <v>0</v>
      </c>
      <c r="AY614" s="39">
        <v>0</v>
      </c>
      <c r="AZ614" s="39">
        <v>0</v>
      </c>
      <c r="BA614" s="39">
        <v>0</v>
      </c>
      <c r="BB614" s="39">
        <v>0</v>
      </c>
      <c r="BC614" s="39">
        <v>0</v>
      </c>
      <c r="BD614" s="39">
        <v>0</v>
      </c>
      <c r="BE614" s="39">
        <v>0</v>
      </c>
      <c r="BF614" s="39">
        <v>0</v>
      </c>
      <c r="BG614" s="39">
        <v>0</v>
      </c>
      <c r="BH614" s="39">
        <v>0</v>
      </c>
      <c r="BI614" s="36" t="s">
        <v>453</v>
      </c>
      <c r="BJ614" s="36">
        <v>1900</v>
      </c>
      <c r="BK614" s="36"/>
      <c r="BL614" s="36"/>
      <c r="BM614" s="36"/>
    </row>
    <row r="615" spans="1:65" x14ac:dyDescent="0.25">
      <c r="A615" s="36" t="s">
        <v>836</v>
      </c>
      <c r="B615" s="37">
        <v>44909.5</v>
      </c>
      <c r="C615" s="36" t="s">
        <v>353</v>
      </c>
      <c r="D615" s="36" t="s">
        <v>354</v>
      </c>
      <c r="E615" s="36">
        <v>8830933</v>
      </c>
      <c r="F615" s="36">
        <v>63866691</v>
      </c>
      <c r="G615" s="36"/>
      <c r="H615" s="36" t="s">
        <v>301</v>
      </c>
      <c r="I615" s="36"/>
      <c r="J615" s="36"/>
      <c r="K615" s="36"/>
      <c r="L615" s="36">
        <v>0</v>
      </c>
      <c r="M615" s="36"/>
      <c r="N615" s="36" t="s">
        <v>2579</v>
      </c>
      <c r="O615" s="36"/>
      <c r="P615" s="36"/>
      <c r="Q615" s="36"/>
      <c r="R615" s="38"/>
      <c r="S615" s="38"/>
      <c r="T615" s="36" t="s">
        <v>537</v>
      </c>
      <c r="U615" s="37"/>
      <c r="V615" s="37"/>
      <c r="W615" s="37"/>
      <c r="X615" s="36" t="s">
        <v>293</v>
      </c>
      <c r="Y615" s="37"/>
      <c r="Z615" s="37"/>
      <c r="AA615" s="37">
        <v>44909.5</v>
      </c>
      <c r="AB615" s="37">
        <v>44911.5</v>
      </c>
      <c r="AC615" s="36" t="s">
        <v>590</v>
      </c>
      <c r="AD615" s="36"/>
      <c r="AE615" s="36"/>
      <c r="AF615" s="36"/>
      <c r="AG615" s="36"/>
      <c r="AH615" s="36"/>
      <c r="AI615" s="37"/>
      <c r="AJ615" s="36"/>
      <c r="AK615" s="39"/>
      <c r="AL615" s="36"/>
      <c r="AM615" s="39">
        <v>0</v>
      </c>
      <c r="AN615" s="39"/>
      <c r="AO615" s="39"/>
      <c r="AP615" s="39"/>
      <c r="AQ615" s="39">
        <v>0</v>
      </c>
      <c r="AR615" s="39">
        <v>0</v>
      </c>
      <c r="AS615" s="39"/>
      <c r="AT615" s="39">
        <v>0</v>
      </c>
      <c r="AU615" s="39"/>
      <c r="AV615" s="39"/>
      <c r="AW615" s="39"/>
      <c r="AX615" s="39">
        <v>0</v>
      </c>
      <c r="AY615" s="39">
        <v>0</v>
      </c>
      <c r="AZ615" s="39">
        <v>0</v>
      </c>
      <c r="BA615" s="39">
        <v>0</v>
      </c>
      <c r="BB615" s="39">
        <v>0</v>
      </c>
      <c r="BC615" s="39">
        <v>0</v>
      </c>
      <c r="BD615" s="39">
        <v>0</v>
      </c>
      <c r="BE615" s="39">
        <v>0</v>
      </c>
      <c r="BF615" s="39">
        <v>0</v>
      </c>
      <c r="BG615" s="39">
        <v>0</v>
      </c>
      <c r="BH615" s="39">
        <v>0</v>
      </c>
      <c r="BI615" s="36" t="s">
        <v>453</v>
      </c>
      <c r="BJ615" s="36">
        <v>1900</v>
      </c>
      <c r="BK615" s="36"/>
      <c r="BL615" s="36"/>
      <c r="BM615" s="36"/>
    </row>
    <row r="616" spans="1:65" x14ac:dyDescent="0.25">
      <c r="A616" s="36" t="s">
        <v>836</v>
      </c>
      <c r="B616" s="37">
        <v>44909.5</v>
      </c>
      <c r="C616" s="36" t="s">
        <v>353</v>
      </c>
      <c r="D616" s="36" t="s">
        <v>354</v>
      </c>
      <c r="E616" s="36">
        <v>8830933</v>
      </c>
      <c r="F616" s="36">
        <v>63866691</v>
      </c>
      <c r="G616" s="36"/>
      <c r="H616" s="36" t="s">
        <v>301</v>
      </c>
      <c r="I616" s="36"/>
      <c r="J616" s="36"/>
      <c r="K616" s="36"/>
      <c r="L616" s="36">
        <v>0</v>
      </c>
      <c r="M616" s="36"/>
      <c r="N616" s="36" t="s">
        <v>2579</v>
      </c>
      <c r="O616" s="36"/>
      <c r="P616" s="36"/>
      <c r="Q616" s="36"/>
      <c r="R616" s="38"/>
      <c r="S616" s="38"/>
      <c r="T616" s="36" t="s">
        <v>537</v>
      </c>
      <c r="U616" s="37"/>
      <c r="V616" s="37"/>
      <c r="W616" s="37"/>
      <c r="X616" s="36" t="s">
        <v>293</v>
      </c>
      <c r="Y616" s="37"/>
      <c r="Z616" s="37"/>
      <c r="AA616" s="37">
        <v>44909.5</v>
      </c>
      <c r="AB616" s="37">
        <v>44911.5</v>
      </c>
      <c r="AC616" s="36" t="s">
        <v>590</v>
      </c>
      <c r="AD616" s="36"/>
      <c r="AE616" s="36"/>
      <c r="AF616" s="36"/>
      <c r="AG616" s="36"/>
      <c r="AH616" s="36"/>
      <c r="AI616" s="37"/>
      <c r="AJ616" s="36"/>
      <c r="AK616" s="39"/>
      <c r="AL616" s="36"/>
      <c r="AM616" s="39">
        <v>0</v>
      </c>
      <c r="AN616" s="39"/>
      <c r="AO616" s="39"/>
      <c r="AP616" s="39"/>
      <c r="AQ616" s="39">
        <v>0</v>
      </c>
      <c r="AR616" s="39">
        <v>0</v>
      </c>
      <c r="AS616" s="39"/>
      <c r="AT616" s="39">
        <v>0</v>
      </c>
      <c r="AU616" s="39"/>
      <c r="AV616" s="39"/>
      <c r="AW616" s="39"/>
      <c r="AX616" s="39">
        <v>0</v>
      </c>
      <c r="AY616" s="39">
        <v>0</v>
      </c>
      <c r="AZ616" s="39">
        <v>0</v>
      </c>
      <c r="BA616" s="39">
        <v>0</v>
      </c>
      <c r="BB616" s="39">
        <v>0</v>
      </c>
      <c r="BC616" s="39">
        <v>0</v>
      </c>
      <c r="BD616" s="39">
        <v>0</v>
      </c>
      <c r="BE616" s="39">
        <v>0</v>
      </c>
      <c r="BF616" s="39">
        <v>0</v>
      </c>
      <c r="BG616" s="39">
        <v>0</v>
      </c>
      <c r="BH616" s="39">
        <v>0</v>
      </c>
      <c r="BI616" s="36" t="s">
        <v>453</v>
      </c>
      <c r="BJ616" s="36">
        <v>1900</v>
      </c>
      <c r="BK616" s="36"/>
      <c r="BL616" s="36"/>
      <c r="BM616" s="36"/>
    </row>
    <row r="617" spans="1:65" x14ac:dyDescent="0.25">
      <c r="A617" s="36" t="s">
        <v>836</v>
      </c>
      <c r="B617" s="37">
        <v>44909.5</v>
      </c>
      <c r="C617" s="36" t="s">
        <v>353</v>
      </c>
      <c r="D617" s="36" t="s">
        <v>354</v>
      </c>
      <c r="E617" s="36">
        <v>8830933</v>
      </c>
      <c r="F617" s="36">
        <v>63866691</v>
      </c>
      <c r="G617" s="36"/>
      <c r="H617" s="36" t="s">
        <v>301</v>
      </c>
      <c r="I617" s="36"/>
      <c r="J617" s="36"/>
      <c r="K617" s="36"/>
      <c r="L617" s="36">
        <v>0</v>
      </c>
      <c r="M617" s="36"/>
      <c r="N617" s="36" t="s">
        <v>2579</v>
      </c>
      <c r="O617" s="36"/>
      <c r="P617" s="36"/>
      <c r="Q617" s="36"/>
      <c r="R617" s="38"/>
      <c r="S617" s="38"/>
      <c r="T617" s="36" t="s">
        <v>537</v>
      </c>
      <c r="U617" s="37"/>
      <c r="V617" s="37"/>
      <c r="W617" s="37"/>
      <c r="X617" s="36" t="s">
        <v>293</v>
      </c>
      <c r="Y617" s="37"/>
      <c r="Z617" s="37"/>
      <c r="AA617" s="37">
        <v>44909.5</v>
      </c>
      <c r="AB617" s="37">
        <v>44911.5</v>
      </c>
      <c r="AC617" s="36" t="s">
        <v>590</v>
      </c>
      <c r="AD617" s="36"/>
      <c r="AE617" s="36"/>
      <c r="AF617" s="36"/>
      <c r="AG617" s="36"/>
      <c r="AH617" s="36"/>
      <c r="AI617" s="37"/>
      <c r="AJ617" s="36"/>
      <c r="AK617" s="39"/>
      <c r="AL617" s="36"/>
      <c r="AM617" s="39">
        <v>0</v>
      </c>
      <c r="AN617" s="39"/>
      <c r="AO617" s="39"/>
      <c r="AP617" s="39"/>
      <c r="AQ617" s="39">
        <v>0</v>
      </c>
      <c r="AR617" s="39">
        <v>0</v>
      </c>
      <c r="AS617" s="39"/>
      <c r="AT617" s="39">
        <v>0</v>
      </c>
      <c r="AU617" s="39"/>
      <c r="AV617" s="39"/>
      <c r="AW617" s="39"/>
      <c r="AX617" s="39">
        <v>0</v>
      </c>
      <c r="AY617" s="39">
        <v>0</v>
      </c>
      <c r="AZ617" s="39">
        <v>0</v>
      </c>
      <c r="BA617" s="39">
        <v>0</v>
      </c>
      <c r="BB617" s="39">
        <v>0</v>
      </c>
      <c r="BC617" s="39">
        <v>0</v>
      </c>
      <c r="BD617" s="39">
        <v>0</v>
      </c>
      <c r="BE617" s="39">
        <v>0</v>
      </c>
      <c r="BF617" s="39">
        <v>0</v>
      </c>
      <c r="BG617" s="39">
        <v>0</v>
      </c>
      <c r="BH617" s="39">
        <v>0</v>
      </c>
      <c r="BI617" s="36" t="s">
        <v>453</v>
      </c>
      <c r="BJ617" s="36">
        <v>1900</v>
      </c>
      <c r="BK617" s="36"/>
      <c r="BL617" s="36"/>
      <c r="BM617" s="36"/>
    </row>
    <row r="618" spans="1:65" x14ac:dyDescent="0.25">
      <c r="A618" s="36" t="s">
        <v>836</v>
      </c>
      <c r="B618" s="37">
        <v>44909.5</v>
      </c>
      <c r="C618" s="36" t="s">
        <v>353</v>
      </c>
      <c r="D618" s="36" t="s">
        <v>354</v>
      </c>
      <c r="E618" s="36">
        <v>8830933</v>
      </c>
      <c r="F618" s="36">
        <v>63866691</v>
      </c>
      <c r="G618" s="36"/>
      <c r="H618" s="36" t="s">
        <v>301</v>
      </c>
      <c r="I618" s="36"/>
      <c r="J618" s="36"/>
      <c r="K618" s="36"/>
      <c r="L618" s="36">
        <v>0</v>
      </c>
      <c r="M618" s="36"/>
      <c r="N618" s="36" t="s">
        <v>2579</v>
      </c>
      <c r="O618" s="36"/>
      <c r="P618" s="36"/>
      <c r="Q618" s="36"/>
      <c r="R618" s="38"/>
      <c r="S618" s="38"/>
      <c r="T618" s="36" t="s">
        <v>537</v>
      </c>
      <c r="U618" s="37"/>
      <c r="V618" s="37"/>
      <c r="W618" s="37"/>
      <c r="X618" s="36" t="s">
        <v>293</v>
      </c>
      <c r="Y618" s="37"/>
      <c r="Z618" s="37"/>
      <c r="AA618" s="37">
        <v>44909.5</v>
      </c>
      <c r="AB618" s="37">
        <v>44911.5</v>
      </c>
      <c r="AC618" s="36" t="s">
        <v>590</v>
      </c>
      <c r="AD618" s="36"/>
      <c r="AE618" s="36"/>
      <c r="AF618" s="36"/>
      <c r="AG618" s="36"/>
      <c r="AH618" s="36"/>
      <c r="AI618" s="37"/>
      <c r="AJ618" s="36"/>
      <c r="AK618" s="39"/>
      <c r="AL618" s="36"/>
      <c r="AM618" s="39"/>
      <c r="AN618" s="39"/>
      <c r="AO618" s="39"/>
      <c r="AP618" s="39"/>
      <c r="AQ618" s="39">
        <v>0</v>
      </c>
      <c r="AR618" s="39">
        <v>0</v>
      </c>
      <c r="AS618" s="39"/>
      <c r="AT618" s="39">
        <v>0</v>
      </c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6" t="s">
        <v>453</v>
      </c>
      <c r="BJ618" s="36">
        <v>1900</v>
      </c>
      <c r="BK618" s="36"/>
      <c r="BL618" s="36"/>
      <c r="BM618" s="36"/>
    </row>
    <row r="619" spans="1:65" x14ac:dyDescent="0.25">
      <c r="A619" s="40" t="s">
        <v>2771</v>
      </c>
      <c r="B619" s="41">
        <v>44910.291666666664</v>
      </c>
      <c r="C619" s="40" t="s">
        <v>1414</v>
      </c>
      <c r="D619" s="40" t="s">
        <v>2020</v>
      </c>
      <c r="E619" s="40" t="s">
        <v>2580</v>
      </c>
      <c r="F619" s="40">
        <v>62864413</v>
      </c>
      <c r="G619" s="40" t="s">
        <v>2581</v>
      </c>
      <c r="H619" s="40" t="s">
        <v>1418</v>
      </c>
      <c r="I619" s="40">
        <v>3750</v>
      </c>
      <c r="J619" s="40" t="s">
        <v>2582</v>
      </c>
      <c r="K619" s="40">
        <v>19570</v>
      </c>
      <c r="L619" s="40">
        <v>23320</v>
      </c>
      <c r="M619" s="40">
        <v>520432</v>
      </c>
      <c r="N619" s="40" t="s">
        <v>2583</v>
      </c>
      <c r="O619" s="40" t="s">
        <v>2584</v>
      </c>
      <c r="P619" s="40" t="s">
        <v>2585</v>
      </c>
      <c r="Q619" s="40" t="s">
        <v>2586</v>
      </c>
      <c r="R619" s="42" t="s">
        <v>2587</v>
      </c>
      <c r="S619" s="42" t="s">
        <v>2588</v>
      </c>
      <c r="T619" s="40" t="s">
        <v>1421</v>
      </c>
      <c r="U619" s="41">
        <v>44908.645833333336</v>
      </c>
      <c r="V619" s="41">
        <v>44909.833333333336</v>
      </c>
      <c r="W619" s="41">
        <v>44910.666666666664</v>
      </c>
      <c r="X619" s="40" t="s">
        <v>410</v>
      </c>
      <c r="Y619" s="41">
        <v>44912.111805555556</v>
      </c>
      <c r="Z619" s="41">
        <v>44909.791666666664</v>
      </c>
      <c r="AA619" s="41">
        <v>44910.75</v>
      </c>
      <c r="AB619" s="41">
        <v>44914.416666666664</v>
      </c>
      <c r="AC619" s="40" t="s">
        <v>522</v>
      </c>
      <c r="AD619" s="40">
        <v>981</v>
      </c>
      <c r="AE619" s="40"/>
      <c r="AF619" s="40"/>
      <c r="AG619" s="40" t="s">
        <v>2589</v>
      </c>
      <c r="AH619" s="40"/>
      <c r="AI619" s="41"/>
      <c r="AJ619" s="40"/>
      <c r="AK619" s="43"/>
      <c r="AL619" s="40"/>
      <c r="AM619" s="43">
        <v>0</v>
      </c>
      <c r="AN619" s="43"/>
      <c r="AO619" s="43"/>
      <c r="AP619" s="43"/>
      <c r="AQ619" s="43">
        <v>0</v>
      </c>
      <c r="AR619" s="43">
        <v>0</v>
      </c>
      <c r="AS619" s="43"/>
      <c r="AT619" s="43">
        <v>0</v>
      </c>
      <c r="AU619" s="43"/>
      <c r="AV619" s="43"/>
      <c r="AW619" s="43"/>
      <c r="AX619" s="43">
        <v>0</v>
      </c>
      <c r="AY619" s="43">
        <v>0</v>
      </c>
      <c r="AZ619" s="43">
        <v>0</v>
      </c>
      <c r="BA619" s="43">
        <v>0</v>
      </c>
      <c r="BB619" s="43">
        <v>0</v>
      </c>
      <c r="BC619" s="43">
        <v>0</v>
      </c>
      <c r="BD619" s="43">
        <v>0</v>
      </c>
      <c r="BE619" s="43">
        <v>0</v>
      </c>
      <c r="BF619" s="43">
        <v>0</v>
      </c>
      <c r="BG619" s="43">
        <v>0</v>
      </c>
      <c r="BH619" s="43">
        <v>0</v>
      </c>
      <c r="BI619" s="40" t="s">
        <v>2486</v>
      </c>
      <c r="BJ619" s="40">
        <v>2022</v>
      </c>
      <c r="BK619" s="40" t="s">
        <v>2768</v>
      </c>
      <c r="BL619" s="40" t="s">
        <v>2768</v>
      </c>
      <c r="BM619" s="40" t="s">
        <v>2768</v>
      </c>
    </row>
    <row r="620" spans="1:65" x14ac:dyDescent="0.25">
      <c r="A620" s="40" t="s">
        <v>2771</v>
      </c>
      <c r="B620" s="41">
        <v>44910.25</v>
      </c>
      <c r="C620" s="40" t="s">
        <v>2549</v>
      </c>
      <c r="D620" s="40" t="s">
        <v>2550</v>
      </c>
      <c r="E620" s="40" t="s">
        <v>2590</v>
      </c>
      <c r="F620" s="40" t="s">
        <v>2591</v>
      </c>
      <c r="G620" s="40" t="s">
        <v>2592</v>
      </c>
      <c r="H620" s="40" t="s">
        <v>301</v>
      </c>
      <c r="I620" s="40">
        <v>3840</v>
      </c>
      <c r="J620" s="40" t="s">
        <v>2593</v>
      </c>
      <c r="K620" s="40">
        <v>25050</v>
      </c>
      <c r="L620" s="40">
        <v>28890</v>
      </c>
      <c r="M620" s="40">
        <v>13731</v>
      </c>
      <c r="N620" s="40" t="s">
        <v>2555</v>
      </c>
      <c r="O620" s="40" t="s">
        <v>102</v>
      </c>
      <c r="P620" s="40" t="s">
        <v>27</v>
      </c>
      <c r="Q620" s="40" t="s">
        <v>206</v>
      </c>
      <c r="R620" s="42" t="s">
        <v>207</v>
      </c>
      <c r="S620" s="42" t="s">
        <v>208</v>
      </c>
      <c r="T620" s="40" t="s">
        <v>469</v>
      </c>
      <c r="U620" s="41">
        <v>44909.650694444441</v>
      </c>
      <c r="V620" s="41">
        <v>44910.076388888891</v>
      </c>
      <c r="W620" s="41">
        <v>44910.479166666664</v>
      </c>
      <c r="X620" s="40" t="s">
        <v>410</v>
      </c>
      <c r="Y620" s="41">
        <v>44923.029861111114</v>
      </c>
      <c r="Z620" s="41">
        <v>44920.291666666664</v>
      </c>
      <c r="AA620" s="41">
        <v>44917.666666666664</v>
      </c>
      <c r="AB620" s="41">
        <v>44922.708333333336</v>
      </c>
      <c r="AC620" s="40" t="s">
        <v>2556</v>
      </c>
      <c r="AD620" s="40">
        <v>14611</v>
      </c>
      <c r="AE620" s="40"/>
      <c r="AF620" s="40"/>
      <c r="AG620" s="40"/>
      <c r="AH620" s="40" t="s">
        <v>2557</v>
      </c>
      <c r="AI620" s="41">
        <v>44911.125</v>
      </c>
      <c r="AJ620" s="40"/>
      <c r="AK620" s="43">
        <v>930</v>
      </c>
      <c r="AL620" s="40"/>
      <c r="AM620" s="43">
        <v>0</v>
      </c>
      <c r="AN620" s="43"/>
      <c r="AO620" s="43"/>
      <c r="AP620" s="43"/>
      <c r="AQ620" s="43">
        <v>0</v>
      </c>
      <c r="AR620" s="43">
        <v>0</v>
      </c>
      <c r="AS620" s="43"/>
      <c r="AT620" s="43">
        <v>0</v>
      </c>
      <c r="AU620" s="43"/>
      <c r="AV620" s="43"/>
      <c r="AW620" s="43"/>
      <c r="AX620" s="43">
        <v>0</v>
      </c>
      <c r="AY620" s="43">
        <v>0</v>
      </c>
      <c r="AZ620" s="43">
        <v>0</v>
      </c>
      <c r="BA620" s="43">
        <v>0</v>
      </c>
      <c r="BB620" s="43">
        <v>0</v>
      </c>
      <c r="BC620" s="43">
        <v>0</v>
      </c>
      <c r="BD620" s="43">
        <v>0</v>
      </c>
      <c r="BE620" s="43">
        <v>0</v>
      </c>
      <c r="BF620" s="43">
        <v>0</v>
      </c>
      <c r="BG620" s="43">
        <v>0</v>
      </c>
      <c r="BH620" s="43">
        <v>0</v>
      </c>
      <c r="BI620" s="40" t="s">
        <v>2486</v>
      </c>
      <c r="BJ620" s="40">
        <v>2022</v>
      </c>
      <c r="BK620" s="40" t="s">
        <v>2768</v>
      </c>
      <c r="BL620" s="40" t="s">
        <v>2768</v>
      </c>
      <c r="BM620" s="40" t="s">
        <v>2768</v>
      </c>
    </row>
    <row r="621" spans="1:65" x14ac:dyDescent="0.25">
      <c r="A621" s="40" t="s">
        <v>2771</v>
      </c>
      <c r="B621" s="41">
        <v>44910.25</v>
      </c>
      <c r="C621" s="40" t="s">
        <v>2549</v>
      </c>
      <c r="D621" s="40" t="s">
        <v>2550</v>
      </c>
      <c r="E621" s="40" t="s">
        <v>2590</v>
      </c>
      <c r="F621" s="40" t="s">
        <v>2591</v>
      </c>
      <c r="G621" s="40" t="s">
        <v>2594</v>
      </c>
      <c r="H621" s="40" t="s">
        <v>301</v>
      </c>
      <c r="I621" s="40">
        <v>3700</v>
      </c>
      <c r="J621" s="40" t="s">
        <v>2595</v>
      </c>
      <c r="K621" s="40">
        <v>25050</v>
      </c>
      <c r="L621" s="40">
        <v>28750</v>
      </c>
      <c r="M621" s="40">
        <v>13732</v>
      </c>
      <c r="N621" s="40" t="s">
        <v>2555</v>
      </c>
      <c r="O621" s="40" t="s">
        <v>155</v>
      </c>
      <c r="P621" s="40" t="s">
        <v>209</v>
      </c>
      <c r="Q621" s="40" t="s">
        <v>156</v>
      </c>
      <c r="R621" s="42" t="s">
        <v>157</v>
      </c>
      <c r="S621" s="42" t="s">
        <v>158</v>
      </c>
      <c r="T621" s="40" t="s">
        <v>469</v>
      </c>
      <c r="U621" s="41">
        <v>44909.638194444444</v>
      </c>
      <c r="V621" s="41">
        <v>44910.076388888891</v>
      </c>
      <c r="W621" s="41">
        <v>44910.479166666664</v>
      </c>
      <c r="X621" s="40" t="s">
        <v>410</v>
      </c>
      <c r="Y621" s="41">
        <v>44923.018055555556</v>
      </c>
      <c r="Z621" s="41">
        <v>44920.291666666664</v>
      </c>
      <c r="AA621" s="41">
        <v>44917.666666666664</v>
      </c>
      <c r="AB621" s="41">
        <v>44922.708333333336</v>
      </c>
      <c r="AC621" s="40" t="s">
        <v>2556</v>
      </c>
      <c r="AD621" s="40">
        <v>14612</v>
      </c>
      <c r="AE621" s="40"/>
      <c r="AF621" s="40"/>
      <c r="AG621" s="40"/>
      <c r="AH621" s="40" t="s">
        <v>2557</v>
      </c>
      <c r="AI621" s="41">
        <v>44911.125</v>
      </c>
      <c r="AJ621" s="40"/>
      <c r="AK621" s="43">
        <v>930</v>
      </c>
      <c r="AL621" s="40"/>
      <c r="AM621" s="43">
        <v>0</v>
      </c>
      <c r="AN621" s="43"/>
      <c r="AO621" s="43"/>
      <c r="AP621" s="43"/>
      <c r="AQ621" s="43">
        <v>0</v>
      </c>
      <c r="AR621" s="43">
        <v>0</v>
      </c>
      <c r="AS621" s="43"/>
      <c r="AT621" s="43">
        <v>0</v>
      </c>
      <c r="AU621" s="43"/>
      <c r="AV621" s="43"/>
      <c r="AW621" s="43"/>
      <c r="AX621" s="43">
        <v>0</v>
      </c>
      <c r="AY621" s="43">
        <v>0</v>
      </c>
      <c r="AZ621" s="43">
        <v>0</v>
      </c>
      <c r="BA621" s="43">
        <v>0</v>
      </c>
      <c r="BB621" s="43">
        <v>0</v>
      </c>
      <c r="BC621" s="43">
        <v>0</v>
      </c>
      <c r="BD621" s="43">
        <v>0</v>
      </c>
      <c r="BE621" s="43">
        <v>0</v>
      </c>
      <c r="BF621" s="43">
        <v>0</v>
      </c>
      <c r="BG621" s="43">
        <v>0</v>
      </c>
      <c r="BH621" s="43">
        <v>0</v>
      </c>
      <c r="BI621" s="40" t="s">
        <v>2486</v>
      </c>
      <c r="BJ621" s="40">
        <v>2022</v>
      </c>
      <c r="BK621" s="40" t="s">
        <v>2768</v>
      </c>
      <c r="BL621" s="40" t="s">
        <v>2768</v>
      </c>
      <c r="BM621" s="40" t="s">
        <v>2768</v>
      </c>
    </row>
    <row r="622" spans="1:65" x14ac:dyDescent="0.25">
      <c r="A622" s="40" t="s">
        <v>2771</v>
      </c>
      <c r="B622" s="41">
        <v>44910.25</v>
      </c>
      <c r="C622" s="40" t="s">
        <v>2549</v>
      </c>
      <c r="D622" s="40" t="s">
        <v>2550</v>
      </c>
      <c r="E622" s="40" t="s">
        <v>2590</v>
      </c>
      <c r="F622" s="40" t="s">
        <v>2591</v>
      </c>
      <c r="G622" s="40" t="s">
        <v>2596</v>
      </c>
      <c r="H622" s="40" t="s">
        <v>301</v>
      </c>
      <c r="I622" s="40">
        <v>3840</v>
      </c>
      <c r="J622" s="40" t="s">
        <v>2597</v>
      </c>
      <c r="K622" s="40">
        <v>25050</v>
      </c>
      <c r="L622" s="40">
        <v>28890</v>
      </c>
      <c r="M622" s="40">
        <v>13733</v>
      </c>
      <c r="N622" s="40" t="s">
        <v>2555</v>
      </c>
      <c r="O622" s="40" t="s">
        <v>68</v>
      </c>
      <c r="P622" s="40" t="s">
        <v>36</v>
      </c>
      <c r="Q622" s="40" t="s">
        <v>69</v>
      </c>
      <c r="R622" s="42" t="s">
        <v>70</v>
      </c>
      <c r="S622" s="42" t="s">
        <v>71</v>
      </c>
      <c r="T622" s="40" t="s">
        <v>469</v>
      </c>
      <c r="U622" s="41">
        <v>44909.637499999997</v>
      </c>
      <c r="V622" s="41">
        <v>44910.076388888891</v>
      </c>
      <c r="W622" s="41">
        <v>44910.479166666664</v>
      </c>
      <c r="X622" s="40" t="s">
        <v>410</v>
      </c>
      <c r="Y622" s="41">
        <v>44923.030555555553</v>
      </c>
      <c r="Z622" s="41">
        <v>44920.291666666664</v>
      </c>
      <c r="AA622" s="41">
        <v>44917.666666666664</v>
      </c>
      <c r="AB622" s="41">
        <v>44922.708333333336</v>
      </c>
      <c r="AC622" s="40" t="s">
        <v>2556</v>
      </c>
      <c r="AD622" s="40">
        <v>14613</v>
      </c>
      <c r="AE622" s="40"/>
      <c r="AF622" s="40"/>
      <c r="AG622" s="40"/>
      <c r="AH622" s="40" t="s">
        <v>2557</v>
      </c>
      <c r="AI622" s="41">
        <v>44911.125</v>
      </c>
      <c r="AJ622" s="40"/>
      <c r="AK622" s="43">
        <v>930</v>
      </c>
      <c r="AL622" s="40"/>
      <c r="AM622" s="43">
        <v>0</v>
      </c>
      <c r="AN622" s="43"/>
      <c r="AO622" s="43"/>
      <c r="AP622" s="43"/>
      <c r="AQ622" s="43">
        <v>0</v>
      </c>
      <c r="AR622" s="43">
        <v>0</v>
      </c>
      <c r="AS622" s="43"/>
      <c r="AT622" s="43">
        <v>0</v>
      </c>
      <c r="AU622" s="43"/>
      <c r="AV622" s="43"/>
      <c r="AW622" s="43"/>
      <c r="AX622" s="43">
        <v>0</v>
      </c>
      <c r="AY622" s="43">
        <v>0</v>
      </c>
      <c r="AZ622" s="43">
        <v>0</v>
      </c>
      <c r="BA622" s="43">
        <v>0</v>
      </c>
      <c r="BB622" s="43">
        <v>0</v>
      </c>
      <c r="BC622" s="43">
        <v>0</v>
      </c>
      <c r="BD622" s="43">
        <v>0</v>
      </c>
      <c r="BE622" s="43">
        <v>0</v>
      </c>
      <c r="BF622" s="43">
        <v>0</v>
      </c>
      <c r="BG622" s="43">
        <v>0</v>
      </c>
      <c r="BH622" s="43">
        <v>0</v>
      </c>
      <c r="BI622" s="40" t="s">
        <v>2486</v>
      </c>
      <c r="BJ622" s="40">
        <v>2022</v>
      </c>
      <c r="BK622" s="40" t="s">
        <v>2768</v>
      </c>
      <c r="BL622" s="40" t="s">
        <v>2768</v>
      </c>
      <c r="BM622" s="40" t="s">
        <v>2768</v>
      </c>
    </row>
    <row r="623" spans="1:65" x14ac:dyDescent="0.25">
      <c r="A623" s="40" t="s">
        <v>2771</v>
      </c>
      <c r="B623" s="41">
        <v>44910.25</v>
      </c>
      <c r="C623" s="40" t="s">
        <v>2549</v>
      </c>
      <c r="D623" s="40" t="s">
        <v>2550</v>
      </c>
      <c r="E623" s="40" t="s">
        <v>2590</v>
      </c>
      <c r="F623" s="40" t="s">
        <v>2591</v>
      </c>
      <c r="G623" s="40" t="s">
        <v>2598</v>
      </c>
      <c r="H623" s="40" t="s">
        <v>301</v>
      </c>
      <c r="I623" s="40">
        <v>3700</v>
      </c>
      <c r="J623" s="40" t="s">
        <v>2599</v>
      </c>
      <c r="K623" s="40">
        <v>25050</v>
      </c>
      <c r="L623" s="40">
        <v>28750</v>
      </c>
      <c r="M623" s="40">
        <v>13734</v>
      </c>
      <c r="N623" s="40" t="s">
        <v>2555</v>
      </c>
      <c r="O623" s="40" t="s">
        <v>106</v>
      </c>
      <c r="P623" s="40" t="s">
        <v>107</v>
      </c>
      <c r="Q623" s="40" t="s">
        <v>108</v>
      </c>
      <c r="R623" s="42" t="s">
        <v>109</v>
      </c>
      <c r="S623" s="42" t="s">
        <v>110</v>
      </c>
      <c r="T623" s="40" t="s">
        <v>469</v>
      </c>
      <c r="U623" s="41">
        <v>44909.642361111109</v>
      </c>
      <c r="V623" s="41">
        <v>44910.076388888891</v>
      </c>
      <c r="W623" s="41">
        <v>44910.479166666664</v>
      </c>
      <c r="X623" s="40" t="s">
        <v>410</v>
      </c>
      <c r="Y623" s="41">
        <v>44923.061111111114</v>
      </c>
      <c r="Z623" s="41">
        <v>44920.291666666664</v>
      </c>
      <c r="AA623" s="41">
        <v>44917.666666666664</v>
      </c>
      <c r="AB623" s="41">
        <v>44922.708333333336</v>
      </c>
      <c r="AC623" s="40" t="s">
        <v>2556</v>
      </c>
      <c r="AD623" s="40">
        <v>14614</v>
      </c>
      <c r="AE623" s="40"/>
      <c r="AF623" s="40"/>
      <c r="AG623" s="40"/>
      <c r="AH623" s="40" t="s">
        <v>2557</v>
      </c>
      <c r="AI623" s="41">
        <v>44911.072916666664</v>
      </c>
      <c r="AJ623" s="40"/>
      <c r="AK623" s="43">
        <v>930</v>
      </c>
      <c r="AL623" s="40"/>
      <c r="AM623" s="43">
        <v>0</v>
      </c>
      <c r="AN623" s="43"/>
      <c r="AO623" s="43"/>
      <c r="AP623" s="43"/>
      <c r="AQ623" s="43">
        <v>0</v>
      </c>
      <c r="AR623" s="43">
        <v>0</v>
      </c>
      <c r="AS623" s="43"/>
      <c r="AT623" s="43">
        <v>0</v>
      </c>
      <c r="AU623" s="43"/>
      <c r="AV623" s="43"/>
      <c r="AW623" s="43"/>
      <c r="AX623" s="43">
        <v>0</v>
      </c>
      <c r="AY623" s="43">
        <v>0</v>
      </c>
      <c r="AZ623" s="43">
        <v>0</v>
      </c>
      <c r="BA623" s="43">
        <v>0</v>
      </c>
      <c r="BB623" s="43">
        <v>0</v>
      </c>
      <c r="BC623" s="43">
        <v>0</v>
      </c>
      <c r="BD623" s="43">
        <v>0</v>
      </c>
      <c r="BE623" s="43">
        <v>0</v>
      </c>
      <c r="BF623" s="43">
        <v>0</v>
      </c>
      <c r="BG623" s="43">
        <v>0</v>
      </c>
      <c r="BH623" s="43">
        <v>0</v>
      </c>
      <c r="BI623" s="40" t="s">
        <v>2486</v>
      </c>
      <c r="BJ623" s="40">
        <v>2022</v>
      </c>
      <c r="BK623" s="40" t="s">
        <v>2768</v>
      </c>
      <c r="BL623" s="40" t="s">
        <v>2768</v>
      </c>
      <c r="BM623" s="40" t="s">
        <v>2768</v>
      </c>
    </row>
    <row r="624" spans="1:65" x14ac:dyDescent="0.25">
      <c r="A624" s="40" t="s">
        <v>2771</v>
      </c>
      <c r="B624" s="41">
        <v>44910.25</v>
      </c>
      <c r="C624" s="40" t="s">
        <v>2549</v>
      </c>
      <c r="D624" s="40" t="s">
        <v>2550</v>
      </c>
      <c r="E624" s="40" t="s">
        <v>2590</v>
      </c>
      <c r="F624" s="40" t="s">
        <v>2591</v>
      </c>
      <c r="G624" s="40" t="s">
        <v>2600</v>
      </c>
      <c r="H624" s="40" t="s">
        <v>301</v>
      </c>
      <c r="I624" s="40">
        <v>3840</v>
      </c>
      <c r="J624" s="40" t="s">
        <v>2601</v>
      </c>
      <c r="K624" s="40">
        <v>25050</v>
      </c>
      <c r="L624" s="40">
        <v>28890</v>
      </c>
      <c r="M624" s="40">
        <v>13735</v>
      </c>
      <c r="N624" s="40" t="s">
        <v>2555</v>
      </c>
      <c r="O624" s="40" t="s">
        <v>210</v>
      </c>
      <c r="P624" s="40" t="s">
        <v>211</v>
      </c>
      <c r="Q624" s="40" t="s">
        <v>212</v>
      </c>
      <c r="R624" s="42" t="s">
        <v>213</v>
      </c>
      <c r="S624" s="42" t="s">
        <v>214</v>
      </c>
      <c r="T624" s="40" t="s">
        <v>469</v>
      </c>
      <c r="U624" s="41">
        <v>44909.703472222223</v>
      </c>
      <c r="V624" s="41">
        <v>44910.083333333336</v>
      </c>
      <c r="W624" s="41">
        <v>44910.479166666664</v>
      </c>
      <c r="X624" s="40" t="s">
        <v>410</v>
      </c>
      <c r="Y624" s="41">
        <v>44923.049305555556</v>
      </c>
      <c r="Z624" s="41">
        <v>44920.291666666664</v>
      </c>
      <c r="AA624" s="41">
        <v>44917.666666666664</v>
      </c>
      <c r="AB624" s="41">
        <v>44922.708333333336</v>
      </c>
      <c r="AC624" s="40" t="s">
        <v>2556</v>
      </c>
      <c r="AD624" s="40">
        <v>14615</v>
      </c>
      <c r="AE624" s="40"/>
      <c r="AF624" s="40"/>
      <c r="AG624" s="40"/>
      <c r="AH624" s="40" t="s">
        <v>2557</v>
      </c>
      <c r="AI624" s="41">
        <v>44911.958333333336</v>
      </c>
      <c r="AJ624" s="40"/>
      <c r="AK624" s="43">
        <v>930</v>
      </c>
      <c r="AL624" s="40"/>
      <c r="AM624" s="43">
        <v>0</v>
      </c>
      <c r="AN624" s="43"/>
      <c r="AO624" s="43"/>
      <c r="AP624" s="43"/>
      <c r="AQ624" s="43">
        <v>0</v>
      </c>
      <c r="AR624" s="43">
        <v>0</v>
      </c>
      <c r="AS624" s="43"/>
      <c r="AT624" s="43">
        <v>0</v>
      </c>
      <c r="AU624" s="43"/>
      <c r="AV624" s="43"/>
      <c r="AW624" s="43"/>
      <c r="AX624" s="43">
        <v>0</v>
      </c>
      <c r="AY624" s="43">
        <v>0</v>
      </c>
      <c r="AZ624" s="43">
        <v>0</v>
      </c>
      <c r="BA624" s="43">
        <v>0</v>
      </c>
      <c r="BB624" s="43">
        <v>0</v>
      </c>
      <c r="BC624" s="43">
        <v>0</v>
      </c>
      <c r="BD624" s="43">
        <v>0</v>
      </c>
      <c r="BE624" s="43">
        <v>0</v>
      </c>
      <c r="BF624" s="43">
        <v>0</v>
      </c>
      <c r="BG624" s="43">
        <v>0</v>
      </c>
      <c r="BH624" s="43">
        <v>0</v>
      </c>
      <c r="BI624" s="40" t="s">
        <v>2486</v>
      </c>
      <c r="BJ624" s="40">
        <v>2022</v>
      </c>
      <c r="BK624" s="40" t="s">
        <v>2768</v>
      </c>
      <c r="BL624" s="40" t="s">
        <v>2768</v>
      </c>
      <c r="BM624" s="40" t="s">
        <v>2768</v>
      </c>
    </row>
    <row r="625" spans="1:65" x14ac:dyDescent="0.25">
      <c r="A625" s="40" t="s">
        <v>2771</v>
      </c>
      <c r="B625" s="41">
        <v>44911.25</v>
      </c>
      <c r="C625" s="40" t="s">
        <v>2549</v>
      </c>
      <c r="D625" s="40" t="s">
        <v>2550</v>
      </c>
      <c r="E625" s="40" t="s">
        <v>2590</v>
      </c>
      <c r="F625" s="40" t="s">
        <v>2591</v>
      </c>
      <c r="G625" s="40" t="s">
        <v>2602</v>
      </c>
      <c r="H625" s="40" t="s">
        <v>301</v>
      </c>
      <c r="I625" s="40">
        <v>3700</v>
      </c>
      <c r="J625" s="40" t="s">
        <v>2603</v>
      </c>
      <c r="K625" s="40">
        <v>25050</v>
      </c>
      <c r="L625" s="40">
        <v>28750</v>
      </c>
      <c r="M625" s="40">
        <v>13741</v>
      </c>
      <c r="N625" s="40" t="s">
        <v>2555</v>
      </c>
      <c r="O625" s="40" t="s">
        <v>2604</v>
      </c>
      <c r="P625" s="40" t="s">
        <v>2605</v>
      </c>
      <c r="Q625" s="40" t="s">
        <v>2606</v>
      </c>
      <c r="R625" s="42" t="s">
        <v>2607</v>
      </c>
      <c r="S625" s="42" t="s">
        <v>2608</v>
      </c>
      <c r="T625" s="40" t="s">
        <v>526</v>
      </c>
      <c r="U625" s="41"/>
      <c r="V625" s="41">
        <v>44911.083333333336</v>
      </c>
      <c r="W625" s="41">
        <v>44911.541666666664</v>
      </c>
      <c r="X625" s="40" t="s">
        <v>410</v>
      </c>
      <c r="Y625" s="41">
        <v>44922.923611111109</v>
      </c>
      <c r="Z625" s="41">
        <v>44920.291666666664</v>
      </c>
      <c r="AA625" s="41">
        <v>44917.666666666664</v>
      </c>
      <c r="AB625" s="41">
        <v>44922.708333333336</v>
      </c>
      <c r="AC625" s="40" t="s">
        <v>2556</v>
      </c>
      <c r="AD625" s="40">
        <v>14626</v>
      </c>
      <c r="AE625" s="40"/>
      <c r="AF625" s="40"/>
      <c r="AG625" s="40"/>
      <c r="AH625" s="40" t="s">
        <v>2557</v>
      </c>
      <c r="AI625" s="41">
        <v>44911.947916666664</v>
      </c>
      <c r="AJ625" s="40"/>
      <c r="AK625" s="43">
        <v>930</v>
      </c>
      <c r="AL625" s="40"/>
      <c r="AM625" s="43">
        <v>0</v>
      </c>
      <c r="AN625" s="43"/>
      <c r="AO625" s="43"/>
      <c r="AP625" s="43"/>
      <c r="AQ625" s="43">
        <v>0</v>
      </c>
      <c r="AR625" s="43">
        <v>0</v>
      </c>
      <c r="AS625" s="43"/>
      <c r="AT625" s="43">
        <v>0</v>
      </c>
      <c r="AU625" s="43"/>
      <c r="AV625" s="43"/>
      <c r="AW625" s="43"/>
      <c r="AX625" s="43">
        <v>0</v>
      </c>
      <c r="AY625" s="43">
        <v>0</v>
      </c>
      <c r="AZ625" s="43">
        <v>0</v>
      </c>
      <c r="BA625" s="43">
        <v>0</v>
      </c>
      <c r="BB625" s="43">
        <v>0</v>
      </c>
      <c r="BC625" s="43">
        <v>0</v>
      </c>
      <c r="BD625" s="43">
        <v>0</v>
      </c>
      <c r="BE625" s="43">
        <v>0</v>
      </c>
      <c r="BF625" s="43">
        <v>0</v>
      </c>
      <c r="BG625" s="43">
        <v>0</v>
      </c>
      <c r="BH625" s="43">
        <v>0</v>
      </c>
      <c r="BI625" s="40" t="s">
        <v>2486</v>
      </c>
      <c r="BJ625" s="40">
        <v>2022</v>
      </c>
      <c r="BK625" s="40" t="s">
        <v>2768</v>
      </c>
      <c r="BL625" s="40" t="s">
        <v>2768</v>
      </c>
      <c r="BM625" s="40" t="s">
        <v>2768</v>
      </c>
    </row>
    <row r="626" spans="1:65" x14ac:dyDescent="0.25">
      <c r="A626" s="40" t="s">
        <v>2771</v>
      </c>
      <c r="B626" s="41">
        <v>44911.25</v>
      </c>
      <c r="C626" s="40" t="s">
        <v>2549</v>
      </c>
      <c r="D626" s="40" t="s">
        <v>2550</v>
      </c>
      <c r="E626" s="40" t="s">
        <v>2590</v>
      </c>
      <c r="F626" s="40" t="s">
        <v>2591</v>
      </c>
      <c r="G626" s="40" t="s">
        <v>2609</v>
      </c>
      <c r="H626" s="40" t="s">
        <v>301</v>
      </c>
      <c r="I626" s="40">
        <v>3840</v>
      </c>
      <c r="J626" s="40" t="s">
        <v>2610</v>
      </c>
      <c r="K626" s="40">
        <v>25050</v>
      </c>
      <c r="L626" s="40">
        <v>28890</v>
      </c>
      <c r="M626" s="40">
        <v>13740</v>
      </c>
      <c r="N626" s="40" t="s">
        <v>2555</v>
      </c>
      <c r="O626" s="40" t="s">
        <v>2611</v>
      </c>
      <c r="P626" s="40" t="s">
        <v>2612</v>
      </c>
      <c r="Q626" s="40" t="s">
        <v>2613</v>
      </c>
      <c r="R626" s="42" t="s">
        <v>2614</v>
      </c>
      <c r="S626" s="42" t="s">
        <v>2615</v>
      </c>
      <c r="T626" s="40" t="s">
        <v>526</v>
      </c>
      <c r="U626" s="41"/>
      <c r="V626" s="41">
        <v>44911.083333333336</v>
      </c>
      <c r="W626" s="41">
        <v>44911.541666666664</v>
      </c>
      <c r="X626" s="40" t="s">
        <v>410</v>
      </c>
      <c r="Y626" s="41">
        <v>44922.92291666667</v>
      </c>
      <c r="Z626" s="41">
        <v>44920.291666666664</v>
      </c>
      <c r="AA626" s="41">
        <v>44917.666666666664</v>
      </c>
      <c r="AB626" s="41">
        <v>44922.708333333336</v>
      </c>
      <c r="AC626" s="40" t="s">
        <v>2556</v>
      </c>
      <c r="AD626" s="40">
        <v>14627</v>
      </c>
      <c r="AE626" s="40"/>
      <c r="AF626" s="40"/>
      <c r="AG626" s="40"/>
      <c r="AH626" s="40" t="s">
        <v>2557</v>
      </c>
      <c r="AI626" s="41">
        <v>44911.972222222219</v>
      </c>
      <c r="AJ626" s="40"/>
      <c r="AK626" s="43">
        <v>930</v>
      </c>
      <c r="AL626" s="40"/>
      <c r="AM626" s="43">
        <v>0</v>
      </c>
      <c r="AN626" s="43"/>
      <c r="AO626" s="43"/>
      <c r="AP626" s="43"/>
      <c r="AQ626" s="43">
        <v>0</v>
      </c>
      <c r="AR626" s="43">
        <v>0</v>
      </c>
      <c r="AS626" s="43"/>
      <c r="AT626" s="43">
        <v>0</v>
      </c>
      <c r="AU626" s="43"/>
      <c r="AV626" s="43"/>
      <c r="AW626" s="43"/>
      <c r="AX626" s="43">
        <v>0</v>
      </c>
      <c r="AY626" s="43">
        <v>0</v>
      </c>
      <c r="AZ626" s="43">
        <v>0</v>
      </c>
      <c r="BA626" s="43">
        <v>0</v>
      </c>
      <c r="BB626" s="43">
        <v>0</v>
      </c>
      <c r="BC626" s="43">
        <v>0</v>
      </c>
      <c r="BD626" s="43">
        <v>0</v>
      </c>
      <c r="BE626" s="43">
        <v>0</v>
      </c>
      <c r="BF626" s="43">
        <v>0</v>
      </c>
      <c r="BG626" s="43">
        <v>0</v>
      </c>
      <c r="BH626" s="43">
        <v>0</v>
      </c>
      <c r="BI626" s="40" t="s">
        <v>2486</v>
      </c>
      <c r="BJ626" s="40">
        <v>2022</v>
      </c>
      <c r="BK626" s="40" t="s">
        <v>2768</v>
      </c>
      <c r="BL626" s="40" t="s">
        <v>2768</v>
      </c>
      <c r="BM626" s="40" t="s">
        <v>2768</v>
      </c>
    </row>
    <row r="627" spans="1:65" x14ac:dyDescent="0.25">
      <c r="A627" s="40" t="s">
        <v>2771</v>
      </c>
      <c r="B627" s="41">
        <v>44911.25</v>
      </c>
      <c r="C627" s="40" t="s">
        <v>2549</v>
      </c>
      <c r="D627" s="40" t="s">
        <v>2550</v>
      </c>
      <c r="E627" s="40" t="s">
        <v>2590</v>
      </c>
      <c r="F627" s="40" t="s">
        <v>2591</v>
      </c>
      <c r="G627" s="40" t="s">
        <v>2616</v>
      </c>
      <c r="H627" s="40" t="s">
        <v>301</v>
      </c>
      <c r="I627" s="40">
        <v>3700</v>
      </c>
      <c r="J627" s="40" t="s">
        <v>2617</v>
      </c>
      <c r="K627" s="40">
        <v>25050</v>
      </c>
      <c r="L627" s="40">
        <v>28750</v>
      </c>
      <c r="M627" s="40">
        <v>13742</v>
      </c>
      <c r="N627" s="40" t="s">
        <v>2555</v>
      </c>
      <c r="O627" s="40" t="s">
        <v>1729</v>
      </c>
      <c r="P627" s="40" t="s">
        <v>2517</v>
      </c>
      <c r="Q627" s="40" t="s">
        <v>1731</v>
      </c>
      <c r="R627" s="42" t="s">
        <v>1732</v>
      </c>
      <c r="S627" s="42" t="s">
        <v>1733</v>
      </c>
      <c r="T627" s="40" t="s">
        <v>526</v>
      </c>
      <c r="U627" s="41">
        <v>44910.367361111108</v>
      </c>
      <c r="V627" s="41">
        <v>44911.083333333336</v>
      </c>
      <c r="W627" s="41">
        <v>44911.541666666664</v>
      </c>
      <c r="X627" s="40" t="s">
        <v>410</v>
      </c>
      <c r="Y627" s="41">
        <v>44922.922222222223</v>
      </c>
      <c r="Z627" s="41">
        <v>44920.291666666664</v>
      </c>
      <c r="AA627" s="41">
        <v>44917.666666666664</v>
      </c>
      <c r="AB627" s="41">
        <v>44922.708333333336</v>
      </c>
      <c r="AC627" s="40" t="s">
        <v>2556</v>
      </c>
      <c r="AD627" s="40">
        <v>14630</v>
      </c>
      <c r="AE627" s="40"/>
      <c r="AF627" s="40"/>
      <c r="AG627" s="40"/>
      <c r="AH627" s="40" t="s">
        <v>2557</v>
      </c>
      <c r="AI627" s="41">
        <v>44912.020833333336</v>
      </c>
      <c r="AJ627" s="40"/>
      <c r="AK627" s="43">
        <v>930</v>
      </c>
      <c r="AL627" s="40"/>
      <c r="AM627" s="43">
        <v>0</v>
      </c>
      <c r="AN627" s="43"/>
      <c r="AO627" s="43"/>
      <c r="AP627" s="43"/>
      <c r="AQ627" s="43">
        <v>0</v>
      </c>
      <c r="AR627" s="43">
        <v>0</v>
      </c>
      <c r="AS627" s="43"/>
      <c r="AT627" s="43">
        <v>0</v>
      </c>
      <c r="AU627" s="43"/>
      <c r="AV627" s="43"/>
      <c r="AW627" s="43"/>
      <c r="AX627" s="43">
        <v>0</v>
      </c>
      <c r="AY627" s="43">
        <v>0</v>
      </c>
      <c r="AZ627" s="43">
        <v>0</v>
      </c>
      <c r="BA627" s="43">
        <v>0</v>
      </c>
      <c r="BB627" s="43">
        <v>0</v>
      </c>
      <c r="BC627" s="43">
        <v>0</v>
      </c>
      <c r="BD627" s="43">
        <v>0</v>
      </c>
      <c r="BE627" s="43">
        <v>0</v>
      </c>
      <c r="BF627" s="43">
        <v>0</v>
      </c>
      <c r="BG627" s="43">
        <v>0</v>
      </c>
      <c r="BH627" s="43">
        <v>0</v>
      </c>
      <c r="BI627" s="40" t="s">
        <v>2486</v>
      </c>
      <c r="BJ627" s="40">
        <v>2022</v>
      </c>
      <c r="BK627" s="40" t="s">
        <v>2768</v>
      </c>
      <c r="BL627" s="40" t="s">
        <v>2768</v>
      </c>
      <c r="BM627" s="40" t="s">
        <v>2768</v>
      </c>
    </row>
    <row r="628" spans="1:65" x14ac:dyDescent="0.25">
      <c r="A628" s="40" t="s">
        <v>2771</v>
      </c>
      <c r="B628" s="41">
        <v>44911.25</v>
      </c>
      <c r="C628" s="40" t="s">
        <v>2549</v>
      </c>
      <c r="D628" s="40" t="s">
        <v>2550</v>
      </c>
      <c r="E628" s="40" t="s">
        <v>2590</v>
      </c>
      <c r="F628" s="40" t="s">
        <v>2591</v>
      </c>
      <c r="G628" s="40" t="s">
        <v>2618</v>
      </c>
      <c r="H628" s="40" t="s">
        <v>301</v>
      </c>
      <c r="I628" s="40">
        <v>3840</v>
      </c>
      <c r="J628" s="40" t="s">
        <v>2619</v>
      </c>
      <c r="K628" s="40">
        <v>25050</v>
      </c>
      <c r="L628" s="40">
        <v>28890</v>
      </c>
      <c r="M628" s="40">
        <v>13743</v>
      </c>
      <c r="N628" s="40" t="s">
        <v>2555</v>
      </c>
      <c r="O628" s="40" t="s">
        <v>192</v>
      </c>
      <c r="P628" s="40" t="s">
        <v>193</v>
      </c>
      <c r="Q628" s="40" t="s">
        <v>194</v>
      </c>
      <c r="R628" s="42" t="s">
        <v>195</v>
      </c>
      <c r="S628" s="42" t="s">
        <v>196</v>
      </c>
      <c r="T628" s="40" t="s">
        <v>526</v>
      </c>
      <c r="U628" s="41"/>
      <c r="V628" s="41">
        <v>44911.083333333336</v>
      </c>
      <c r="W628" s="41">
        <v>44911.541666666664</v>
      </c>
      <c r="X628" s="40" t="s">
        <v>410</v>
      </c>
      <c r="Y628" s="41">
        <v>44922.953472222223</v>
      </c>
      <c r="Z628" s="41">
        <v>44920.291666666664</v>
      </c>
      <c r="AA628" s="41">
        <v>44917.666666666664</v>
      </c>
      <c r="AB628" s="41">
        <v>44922.708333333336</v>
      </c>
      <c r="AC628" s="40" t="s">
        <v>2556</v>
      </c>
      <c r="AD628" s="40">
        <v>14629</v>
      </c>
      <c r="AE628" s="40"/>
      <c r="AF628" s="40"/>
      <c r="AG628" s="40"/>
      <c r="AH628" s="40" t="s">
        <v>2557</v>
      </c>
      <c r="AI628" s="41">
        <v>44912.25</v>
      </c>
      <c r="AJ628" s="40"/>
      <c r="AK628" s="43">
        <v>930</v>
      </c>
      <c r="AL628" s="40"/>
      <c r="AM628" s="43">
        <v>0</v>
      </c>
      <c r="AN628" s="43"/>
      <c r="AO628" s="43"/>
      <c r="AP628" s="43"/>
      <c r="AQ628" s="43">
        <v>0</v>
      </c>
      <c r="AR628" s="43">
        <v>0</v>
      </c>
      <c r="AS628" s="43"/>
      <c r="AT628" s="43">
        <v>0</v>
      </c>
      <c r="AU628" s="43"/>
      <c r="AV628" s="43"/>
      <c r="AW628" s="43"/>
      <c r="AX628" s="43">
        <v>0</v>
      </c>
      <c r="AY628" s="43">
        <v>0</v>
      </c>
      <c r="AZ628" s="43">
        <v>0</v>
      </c>
      <c r="BA628" s="43">
        <v>0</v>
      </c>
      <c r="BB628" s="43">
        <v>0</v>
      </c>
      <c r="BC628" s="43">
        <v>0</v>
      </c>
      <c r="BD628" s="43">
        <v>0</v>
      </c>
      <c r="BE628" s="43">
        <v>0</v>
      </c>
      <c r="BF628" s="43">
        <v>0</v>
      </c>
      <c r="BG628" s="43">
        <v>0</v>
      </c>
      <c r="BH628" s="43">
        <v>0</v>
      </c>
      <c r="BI628" s="40" t="s">
        <v>2486</v>
      </c>
      <c r="BJ628" s="40">
        <v>2022</v>
      </c>
      <c r="BK628" s="40" t="s">
        <v>2768</v>
      </c>
      <c r="BL628" s="40" t="s">
        <v>2768</v>
      </c>
      <c r="BM628" s="40" t="s">
        <v>2768</v>
      </c>
    </row>
    <row r="629" spans="1:65" x14ac:dyDescent="0.25">
      <c r="A629" s="40" t="s">
        <v>2771</v>
      </c>
      <c r="B629" s="41">
        <v>44911.25</v>
      </c>
      <c r="C629" s="40" t="s">
        <v>2549</v>
      </c>
      <c r="D629" s="40" t="s">
        <v>2550</v>
      </c>
      <c r="E629" s="40" t="s">
        <v>2590</v>
      </c>
      <c r="F629" s="40" t="s">
        <v>2591</v>
      </c>
      <c r="G629" s="40" t="s">
        <v>2620</v>
      </c>
      <c r="H629" s="40" t="s">
        <v>301</v>
      </c>
      <c r="I629" s="40">
        <v>3840</v>
      </c>
      <c r="J629" s="40" t="s">
        <v>2621</v>
      </c>
      <c r="K629" s="40">
        <v>25050</v>
      </c>
      <c r="L629" s="40">
        <v>28890</v>
      </c>
      <c r="M629" s="40">
        <v>13739</v>
      </c>
      <c r="N629" s="40" t="s">
        <v>2555</v>
      </c>
      <c r="O629" s="40" t="s">
        <v>2622</v>
      </c>
      <c r="P629" s="40" t="s">
        <v>2623</v>
      </c>
      <c r="Q629" s="40" t="s">
        <v>2624</v>
      </c>
      <c r="R629" s="42" t="s">
        <v>2625</v>
      </c>
      <c r="S629" s="42" t="s">
        <v>2626</v>
      </c>
      <c r="T629" s="40" t="s">
        <v>526</v>
      </c>
      <c r="U629" s="41">
        <v>44910.359722222223</v>
      </c>
      <c r="V629" s="41">
        <v>44911.083333333336</v>
      </c>
      <c r="W629" s="41">
        <v>44911.458333333336</v>
      </c>
      <c r="X629" s="40" t="s">
        <v>410</v>
      </c>
      <c r="Y629" s="41">
        <v>44922.925000000003</v>
      </c>
      <c r="Z629" s="41">
        <v>44920.291666666664</v>
      </c>
      <c r="AA629" s="41">
        <v>44917.666666666664</v>
      </c>
      <c r="AB629" s="41">
        <v>44922.708333333336</v>
      </c>
      <c r="AC629" s="40" t="s">
        <v>2556</v>
      </c>
      <c r="AD629" s="40">
        <v>14628</v>
      </c>
      <c r="AE629" s="40"/>
      <c r="AF629" s="40"/>
      <c r="AG629" s="40"/>
      <c r="AH629" s="40" t="s">
        <v>2557</v>
      </c>
      <c r="AI629" s="41">
        <v>44912.25</v>
      </c>
      <c r="AJ629" s="40"/>
      <c r="AK629" s="43">
        <v>930</v>
      </c>
      <c r="AL629" s="40"/>
      <c r="AM629" s="43">
        <v>0</v>
      </c>
      <c r="AN629" s="43"/>
      <c r="AO629" s="43"/>
      <c r="AP629" s="43"/>
      <c r="AQ629" s="43">
        <v>0</v>
      </c>
      <c r="AR629" s="43">
        <v>0</v>
      </c>
      <c r="AS629" s="43"/>
      <c r="AT629" s="43">
        <v>0</v>
      </c>
      <c r="AU629" s="43"/>
      <c r="AV629" s="43"/>
      <c r="AW629" s="43"/>
      <c r="AX629" s="43">
        <v>0</v>
      </c>
      <c r="AY629" s="43">
        <v>0</v>
      </c>
      <c r="AZ629" s="43">
        <v>0</v>
      </c>
      <c r="BA629" s="43">
        <v>0</v>
      </c>
      <c r="BB629" s="43">
        <v>0</v>
      </c>
      <c r="BC629" s="43">
        <v>0</v>
      </c>
      <c r="BD629" s="43">
        <v>0</v>
      </c>
      <c r="BE629" s="43">
        <v>0</v>
      </c>
      <c r="BF629" s="43">
        <v>0</v>
      </c>
      <c r="BG629" s="43">
        <v>0</v>
      </c>
      <c r="BH629" s="43">
        <v>0</v>
      </c>
      <c r="BI629" s="40" t="s">
        <v>2486</v>
      </c>
      <c r="BJ629" s="40">
        <v>2022</v>
      </c>
      <c r="BK629" s="40" t="s">
        <v>2768</v>
      </c>
      <c r="BL629" s="40" t="s">
        <v>2768</v>
      </c>
      <c r="BM629" s="40" t="s">
        <v>2768</v>
      </c>
    </row>
    <row r="630" spans="1:65" x14ac:dyDescent="0.25">
      <c r="A630" s="40" t="s">
        <v>2771</v>
      </c>
      <c r="B630" s="41">
        <v>44914.25</v>
      </c>
      <c r="C630" s="40" t="s">
        <v>2549</v>
      </c>
      <c r="D630" s="40" t="s">
        <v>2550</v>
      </c>
      <c r="E630" s="40" t="s">
        <v>2627</v>
      </c>
      <c r="F630" s="40" t="s">
        <v>2628</v>
      </c>
      <c r="G630" s="40" t="s">
        <v>2629</v>
      </c>
      <c r="H630" s="40" t="s">
        <v>301</v>
      </c>
      <c r="I630" s="40">
        <v>3620</v>
      </c>
      <c r="J630" s="40" t="s">
        <v>2630</v>
      </c>
      <c r="K630" s="40">
        <v>25050</v>
      </c>
      <c r="L630" s="40">
        <v>28670</v>
      </c>
      <c r="M630" s="40">
        <v>13745</v>
      </c>
      <c r="N630" s="40" t="s">
        <v>2555</v>
      </c>
      <c r="O630" s="40" t="s">
        <v>2604</v>
      </c>
      <c r="P630" s="40" t="s">
        <v>2605</v>
      </c>
      <c r="Q630" s="40" t="s">
        <v>2606</v>
      </c>
      <c r="R630" s="42" t="s">
        <v>2607</v>
      </c>
      <c r="S630" s="42" t="s">
        <v>2608</v>
      </c>
      <c r="T630" s="40" t="s">
        <v>469</v>
      </c>
      <c r="U630" s="41"/>
      <c r="V630" s="41">
        <v>44914.25</v>
      </c>
      <c r="W630" s="41" t="s">
        <v>2631</v>
      </c>
      <c r="X630" s="40" t="s">
        <v>410</v>
      </c>
      <c r="Y630" s="41">
        <v>44923.15902777778</v>
      </c>
      <c r="Z630" s="41">
        <v>44920.291666666664</v>
      </c>
      <c r="AA630" s="41">
        <v>44917.666666666664</v>
      </c>
      <c r="AB630" s="41">
        <v>44923.5</v>
      </c>
      <c r="AC630" s="40" t="s">
        <v>2556</v>
      </c>
      <c r="AD630" s="40">
        <v>14648</v>
      </c>
      <c r="AE630" s="40"/>
      <c r="AF630" s="40"/>
      <c r="AG630" s="40"/>
      <c r="AH630" s="40" t="s">
        <v>2557</v>
      </c>
      <c r="AI630" s="41">
        <v>44915.122916666667</v>
      </c>
      <c r="AJ630" s="40"/>
      <c r="AK630" s="43">
        <v>930</v>
      </c>
      <c r="AL630" s="40"/>
      <c r="AM630" s="43">
        <v>0</v>
      </c>
      <c r="AN630" s="43"/>
      <c r="AO630" s="43"/>
      <c r="AP630" s="43"/>
      <c r="AQ630" s="43">
        <v>0</v>
      </c>
      <c r="AR630" s="43">
        <v>0</v>
      </c>
      <c r="AS630" s="43"/>
      <c r="AT630" s="43">
        <v>0</v>
      </c>
      <c r="AU630" s="43"/>
      <c r="AV630" s="43"/>
      <c r="AW630" s="43"/>
      <c r="AX630" s="43">
        <v>0</v>
      </c>
      <c r="AY630" s="43">
        <v>0</v>
      </c>
      <c r="AZ630" s="43">
        <v>0</v>
      </c>
      <c r="BA630" s="43">
        <v>0</v>
      </c>
      <c r="BB630" s="43">
        <v>0</v>
      </c>
      <c r="BC630" s="43">
        <v>0</v>
      </c>
      <c r="BD630" s="43">
        <v>0</v>
      </c>
      <c r="BE630" s="43">
        <v>0</v>
      </c>
      <c r="BF630" s="43">
        <v>0</v>
      </c>
      <c r="BG630" s="43">
        <v>0</v>
      </c>
      <c r="BH630" s="43">
        <v>0</v>
      </c>
      <c r="BI630" s="40" t="s">
        <v>2486</v>
      </c>
      <c r="BJ630" s="40">
        <v>2022</v>
      </c>
      <c r="BK630" s="40" t="s">
        <v>2768</v>
      </c>
      <c r="BL630" s="40" t="s">
        <v>2768</v>
      </c>
      <c r="BM630" s="40" t="s">
        <v>2768</v>
      </c>
    </row>
    <row r="631" spans="1:65" x14ac:dyDescent="0.25">
      <c r="A631" s="40" t="s">
        <v>2771</v>
      </c>
      <c r="B631" s="41">
        <v>44914.25</v>
      </c>
      <c r="C631" s="40" t="s">
        <v>2549</v>
      </c>
      <c r="D631" s="40" t="s">
        <v>2550</v>
      </c>
      <c r="E631" s="40" t="s">
        <v>2627</v>
      </c>
      <c r="F631" s="40" t="s">
        <v>2628</v>
      </c>
      <c r="G631" s="40" t="s">
        <v>2632</v>
      </c>
      <c r="H631" s="40" t="s">
        <v>301</v>
      </c>
      <c r="I631" s="40">
        <v>3700</v>
      </c>
      <c r="J631" s="40" t="s">
        <v>2633</v>
      </c>
      <c r="K631" s="40">
        <v>25050</v>
      </c>
      <c r="L631" s="40">
        <v>28750</v>
      </c>
      <c r="M631" s="40">
        <v>13746</v>
      </c>
      <c r="N631" s="40" t="s">
        <v>2555</v>
      </c>
      <c r="O631" s="40" t="s">
        <v>2611</v>
      </c>
      <c r="P631" s="40" t="s">
        <v>2612</v>
      </c>
      <c r="Q631" s="40" t="s">
        <v>2613</v>
      </c>
      <c r="R631" s="42" t="s">
        <v>2614</v>
      </c>
      <c r="S631" s="42" t="s">
        <v>2615</v>
      </c>
      <c r="T631" s="40" t="s">
        <v>469</v>
      </c>
      <c r="U631" s="41"/>
      <c r="V631" s="41">
        <v>44914.25</v>
      </c>
      <c r="W631" s="41" t="s">
        <v>2631</v>
      </c>
      <c r="X631" s="40" t="s">
        <v>410</v>
      </c>
      <c r="Y631" s="41">
        <v>44923.120833333334</v>
      </c>
      <c r="Z631" s="41">
        <v>44920.291666666664</v>
      </c>
      <c r="AA631" s="41">
        <v>44917.666666666664</v>
      </c>
      <c r="AB631" s="41">
        <v>44923.5</v>
      </c>
      <c r="AC631" s="40" t="s">
        <v>2556</v>
      </c>
      <c r="AD631" s="40">
        <v>14649</v>
      </c>
      <c r="AE631" s="40"/>
      <c r="AF631" s="40"/>
      <c r="AG631" s="40"/>
      <c r="AH631" s="40" t="s">
        <v>2557</v>
      </c>
      <c r="AI631" s="41">
        <v>44915.208333333336</v>
      </c>
      <c r="AJ631" s="40"/>
      <c r="AK631" s="43">
        <v>930</v>
      </c>
      <c r="AL631" s="40"/>
      <c r="AM631" s="43">
        <v>0</v>
      </c>
      <c r="AN631" s="43"/>
      <c r="AO631" s="43"/>
      <c r="AP631" s="43"/>
      <c r="AQ631" s="43">
        <v>0</v>
      </c>
      <c r="AR631" s="43">
        <v>0</v>
      </c>
      <c r="AS631" s="43"/>
      <c r="AT631" s="43">
        <v>0</v>
      </c>
      <c r="AU631" s="43"/>
      <c r="AV631" s="43"/>
      <c r="AW631" s="43"/>
      <c r="AX631" s="43">
        <v>0</v>
      </c>
      <c r="AY631" s="43">
        <v>0</v>
      </c>
      <c r="AZ631" s="43">
        <v>0</v>
      </c>
      <c r="BA631" s="43">
        <v>0</v>
      </c>
      <c r="BB631" s="43">
        <v>0</v>
      </c>
      <c r="BC631" s="43">
        <v>0</v>
      </c>
      <c r="BD631" s="43">
        <v>0</v>
      </c>
      <c r="BE631" s="43">
        <v>0</v>
      </c>
      <c r="BF631" s="43">
        <v>0</v>
      </c>
      <c r="BG631" s="43">
        <v>0</v>
      </c>
      <c r="BH631" s="43">
        <v>0</v>
      </c>
      <c r="BI631" s="40" t="s">
        <v>2486</v>
      </c>
      <c r="BJ631" s="40">
        <v>2022</v>
      </c>
      <c r="BK631" s="40" t="s">
        <v>2768</v>
      </c>
      <c r="BL631" s="40" t="s">
        <v>2768</v>
      </c>
      <c r="BM631" s="40" t="s">
        <v>2768</v>
      </c>
    </row>
    <row r="632" spans="1:65" x14ac:dyDescent="0.25">
      <c r="A632" s="40" t="s">
        <v>2771</v>
      </c>
      <c r="B632" s="41">
        <v>44914.25</v>
      </c>
      <c r="C632" s="40" t="s">
        <v>2549</v>
      </c>
      <c r="D632" s="40" t="s">
        <v>2550</v>
      </c>
      <c r="E632" s="40" t="s">
        <v>2627</v>
      </c>
      <c r="F632" s="40" t="s">
        <v>2628</v>
      </c>
      <c r="G632" s="40" t="s">
        <v>2634</v>
      </c>
      <c r="H632" s="40" t="s">
        <v>301</v>
      </c>
      <c r="I632" s="40">
        <v>3840</v>
      </c>
      <c r="J632" s="40" t="s">
        <v>2635</v>
      </c>
      <c r="K632" s="40">
        <v>25050</v>
      </c>
      <c r="L632" s="40">
        <v>28890</v>
      </c>
      <c r="M632" s="40">
        <v>13747</v>
      </c>
      <c r="N632" s="40" t="s">
        <v>2555</v>
      </c>
      <c r="O632" s="40" t="s">
        <v>1729</v>
      </c>
      <c r="P632" s="40" t="s">
        <v>2517</v>
      </c>
      <c r="Q632" s="40" t="s">
        <v>1731</v>
      </c>
      <c r="R632" s="42" t="s">
        <v>1732</v>
      </c>
      <c r="S632" s="42" t="s">
        <v>1733</v>
      </c>
      <c r="T632" s="40" t="s">
        <v>469</v>
      </c>
      <c r="U632" s="41"/>
      <c r="V632" s="41">
        <v>44914.25</v>
      </c>
      <c r="W632" s="41" t="s">
        <v>2631</v>
      </c>
      <c r="X632" s="40" t="s">
        <v>410</v>
      </c>
      <c r="Y632" s="41">
        <v>44923.159722222219</v>
      </c>
      <c r="Z632" s="41">
        <v>44920.291666666664</v>
      </c>
      <c r="AA632" s="41">
        <v>44917.666666666664</v>
      </c>
      <c r="AB632" s="41">
        <v>44923.5</v>
      </c>
      <c r="AC632" s="40" t="s">
        <v>2556</v>
      </c>
      <c r="AD632" s="40">
        <v>14650</v>
      </c>
      <c r="AE632" s="40"/>
      <c r="AF632" s="40"/>
      <c r="AG632" s="40"/>
      <c r="AH632" s="40" t="s">
        <v>2557</v>
      </c>
      <c r="AI632" s="41">
        <v>44915.390972222223</v>
      </c>
      <c r="AJ632" s="40"/>
      <c r="AK632" s="43">
        <v>930</v>
      </c>
      <c r="AL632" s="40"/>
      <c r="AM632" s="43">
        <v>0</v>
      </c>
      <c r="AN632" s="43"/>
      <c r="AO632" s="43"/>
      <c r="AP632" s="43"/>
      <c r="AQ632" s="43">
        <v>0</v>
      </c>
      <c r="AR632" s="43">
        <v>0</v>
      </c>
      <c r="AS632" s="43"/>
      <c r="AT632" s="43">
        <v>0</v>
      </c>
      <c r="AU632" s="43"/>
      <c r="AV632" s="43"/>
      <c r="AW632" s="43"/>
      <c r="AX632" s="43">
        <v>0</v>
      </c>
      <c r="AY632" s="43">
        <v>0</v>
      </c>
      <c r="AZ632" s="43">
        <v>0</v>
      </c>
      <c r="BA632" s="43">
        <v>0</v>
      </c>
      <c r="BB632" s="43">
        <v>0</v>
      </c>
      <c r="BC632" s="43">
        <v>0</v>
      </c>
      <c r="BD632" s="43">
        <v>0</v>
      </c>
      <c r="BE632" s="43">
        <v>0</v>
      </c>
      <c r="BF632" s="43">
        <v>0</v>
      </c>
      <c r="BG632" s="43">
        <v>0</v>
      </c>
      <c r="BH632" s="43">
        <v>0</v>
      </c>
      <c r="BI632" s="40" t="s">
        <v>2486</v>
      </c>
      <c r="BJ632" s="40">
        <v>2022</v>
      </c>
      <c r="BK632" s="40" t="s">
        <v>2768</v>
      </c>
      <c r="BL632" s="40" t="s">
        <v>2768</v>
      </c>
      <c r="BM632" s="40" t="s">
        <v>2768</v>
      </c>
    </row>
    <row r="633" spans="1:65" x14ac:dyDescent="0.25">
      <c r="A633" s="40" t="s">
        <v>2771</v>
      </c>
      <c r="B633" s="41">
        <v>44914.25</v>
      </c>
      <c r="C633" s="40" t="s">
        <v>2549</v>
      </c>
      <c r="D633" s="40" t="s">
        <v>2550</v>
      </c>
      <c r="E633" s="40" t="s">
        <v>2627</v>
      </c>
      <c r="F633" s="40" t="s">
        <v>2628</v>
      </c>
      <c r="G633" s="40" t="s">
        <v>2636</v>
      </c>
      <c r="H633" s="40" t="s">
        <v>301</v>
      </c>
      <c r="I633" s="40">
        <v>3700</v>
      </c>
      <c r="J633" s="40" t="s">
        <v>2637</v>
      </c>
      <c r="K633" s="40">
        <v>25050</v>
      </c>
      <c r="L633" s="40">
        <v>28750</v>
      </c>
      <c r="M633" s="40">
        <v>13748</v>
      </c>
      <c r="N633" s="40" t="s">
        <v>2555</v>
      </c>
      <c r="O633" s="40" t="s">
        <v>2622</v>
      </c>
      <c r="P633" s="40" t="s">
        <v>2623</v>
      </c>
      <c r="Q633" s="40" t="s">
        <v>2624</v>
      </c>
      <c r="R633" s="42" t="s">
        <v>2625</v>
      </c>
      <c r="S633" s="42" t="s">
        <v>2626</v>
      </c>
      <c r="T633" s="40" t="s">
        <v>469</v>
      </c>
      <c r="U633" s="41"/>
      <c r="V633" s="41">
        <v>44914.25</v>
      </c>
      <c r="W633" s="41">
        <v>44914.625</v>
      </c>
      <c r="X633" s="40" t="s">
        <v>410</v>
      </c>
      <c r="Y633" s="41">
        <v>44923.120833333334</v>
      </c>
      <c r="Z633" s="41">
        <v>44920.291666666664</v>
      </c>
      <c r="AA633" s="41">
        <v>44917.666666666664</v>
      </c>
      <c r="AB633" s="41">
        <v>44923.5</v>
      </c>
      <c r="AC633" s="40" t="s">
        <v>2556</v>
      </c>
      <c r="AD633" s="40">
        <v>14651</v>
      </c>
      <c r="AE633" s="40"/>
      <c r="AF633" s="40"/>
      <c r="AG633" s="40"/>
      <c r="AH633" s="40" t="s">
        <v>2557</v>
      </c>
      <c r="AI633" s="41">
        <v>44915.484722222223</v>
      </c>
      <c r="AJ633" s="40"/>
      <c r="AK633" s="43">
        <v>930</v>
      </c>
      <c r="AL633" s="40"/>
      <c r="AM633" s="43">
        <v>0</v>
      </c>
      <c r="AN633" s="43"/>
      <c r="AO633" s="43"/>
      <c r="AP633" s="43"/>
      <c r="AQ633" s="43">
        <v>0</v>
      </c>
      <c r="AR633" s="43">
        <v>0</v>
      </c>
      <c r="AS633" s="43"/>
      <c r="AT633" s="43">
        <v>0</v>
      </c>
      <c r="AU633" s="43"/>
      <c r="AV633" s="43"/>
      <c r="AW633" s="43"/>
      <c r="AX633" s="43">
        <v>0</v>
      </c>
      <c r="AY633" s="43">
        <v>0</v>
      </c>
      <c r="AZ633" s="43">
        <v>0</v>
      </c>
      <c r="BA633" s="43">
        <v>0</v>
      </c>
      <c r="BB633" s="43">
        <v>0</v>
      </c>
      <c r="BC633" s="43">
        <v>0</v>
      </c>
      <c r="BD633" s="43">
        <v>0</v>
      </c>
      <c r="BE633" s="43">
        <v>0</v>
      </c>
      <c r="BF633" s="43">
        <v>0</v>
      </c>
      <c r="BG633" s="43">
        <v>0</v>
      </c>
      <c r="BH633" s="43">
        <v>0</v>
      </c>
      <c r="BI633" s="40" t="s">
        <v>2486</v>
      </c>
      <c r="BJ633" s="40">
        <v>2022</v>
      </c>
      <c r="BK633" s="40" t="s">
        <v>2768</v>
      </c>
      <c r="BL633" s="40" t="s">
        <v>2768</v>
      </c>
      <c r="BM633" s="40" t="s">
        <v>2768</v>
      </c>
    </row>
    <row r="634" spans="1:65" x14ac:dyDescent="0.25">
      <c r="A634" s="40" t="s">
        <v>2771</v>
      </c>
      <c r="B634" s="41">
        <v>44914.25</v>
      </c>
      <c r="C634" s="40" t="s">
        <v>2549</v>
      </c>
      <c r="D634" s="40" t="s">
        <v>2550</v>
      </c>
      <c r="E634" s="40" t="s">
        <v>2627</v>
      </c>
      <c r="F634" s="40" t="s">
        <v>2628</v>
      </c>
      <c r="G634" s="40" t="s">
        <v>2638</v>
      </c>
      <c r="H634" s="40" t="s">
        <v>301</v>
      </c>
      <c r="I634" s="40">
        <v>3840</v>
      </c>
      <c r="J634" s="40" t="s">
        <v>2639</v>
      </c>
      <c r="K634" s="40">
        <v>25050</v>
      </c>
      <c r="L634" s="40">
        <v>28890</v>
      </c>
      <c r="M634" s="40">
        <v>13749</v>
      </c>
      <c r="N634" s="40" t="s">
        <v>2555</v>
      </c>
      <c r="O634" s="40" t="s">
        <v>2640</v>
      </c>
      <c r="P634" s="40" t="s">
        <v>2641</v>
      </c>
      <c r="Q634" s="40" t="s">
        <v>2642</v>
      </c>
      <c r="R634" s="42" t="s">
        <v>2643</v>
      </c>
      <c r="S634" s="42" t="s">
        <v>2644</v>
      </c>
      <c r="T634" s="40" t="s">
        <v>469</v>
      </c>
      <c r="U634" s="41"/>
      <c r="V634" s="41">
        <v>44914.25</v>
      </c>
      <c r="W634" s="41" t="s">
        <v>2631</v>
      </c>
      <c r="X634" s="40" t="s">
        <v>410</v>
      </c>
      <c r="Y634" s="41">
        <v>44923.154166666667</v>
      </c>
      <c r="Z634" s="41">
        <v>44920.291666666664</v>
      </c>
      <c r="AA634" s="41">
        <v>44917.666666666664</v>
      </c>
      <c r="AB634" s="41">
        <v>44923.5</v>
      </c>
      <c r="AC634" s="40" t="s">
        <v>2556</v>
      </c>
      <c r="AD634" s="40">
        <v>14652</v>
      </c>
      <c r="AE634" s="40"/>
      <c r="AF634" s="40"/>
      <c r="AG634" s="40"/>
      <c r="AH634" s="40" t="s">
        <v>2557</v>
      </c>
      <c r="AI634" s="41">
        <v>44915.208333333336</v>
      </c>
      <c r="AJ634" s="40"/>
      <c r="AK634" s="43">
        <v>930</v>
      </c>
      <c r="AL634" s="40"/>
      <c r="AM634" s="43">
        <v>0</v>
      </c>
      <c r="AN634" s="43"/>
      <c r="AO634" s="43"/>
      <c r="AP634" s="43"/>
      <c r="AQ634" s="43">
        <v>0</v>
      </c>
      <c r="AR634" s="43">
        <v>0</v>
      </c>
      <c r="AS634" s="43"/>
      <c r="AT634" s="43">
        <v>0</v>
      </c>
      <c r="AU634" s="43"/>
      <c r="AV634" s="43"/>
      <c r="AW634" s="43"/>
      <c r="AX634" s="43">
        <v>0</v>
      </c>
      <c r="AY634" s="43">
        <v>0</v>
      </c>
      <c r="AZ634" s="43">
        <v>0</v>
      </c>
      <c r="BA634" s="43">
        <v>0</v>
      </c>
      <c r="BB634" s="43">
        <v>0</v>
      </c>
      <c r="BC634" s="43">
        <v>0</v>
      </c>
      <c r="BD634" s="43">
        <v>0</v>
      </c>
      <c r="BE634" s="43">
        <v>0</v>
      </c>
      <c r="BF634" s="43">
        <v>0</v>
      </c>
      <c r="BG634" s="43">
        <v>0</v>
      </c>
      <c r="BH634" s="43">
        <v>0</v>
      </c>
      <c r="BI634" s="40" t="s">
        <v>2486</v>
      </c>
      <c r="BJ634" s="40">
        <v>2022</v>
      </c>
      <c r="BK634" s="40" t="s">
        <v>2768</v>
      </c>
      <c r="BL634" s="40" t="s">
        <v>2768</v>
      </c>
      <c r="BM634" s="40" t="s">
        <v>2768</v>
      </c>
    </row>
    <row r="635" spans="1:65" x14ac:dyDescent="0.25">
      <c r="A635" s="40" t="s">
        <v>2771</v>
      </c>
      <c r="B635" s="41">
        <v>44914.25</v>
      </c>
      <c r="C635" s="40" t="s">
        <v>2549</v>
      </c>
      <c r="D635" s="40" t="s">
        <v>2550</v>
      </c>
      <c r="E635" s="40" t="s">
        <v>2627</v>
      </c>
      <c r="F635" s="40" t="s">
        <v>2628</v>
      </c>
      <c r="G635" s="40" t="s">
        <v>2645</v>
      </c>
      <c r="H635" s="40" t="s">
        <v>301</v>
      </c>
      <c r="I635" s="40">
        <v>3840</v>
      </c>
      <c r="J635" s="40" t="s">
        <v>2646</v>
      </c>
      <c r="K635" s="40">
        <v>25050</v>
      </c>
      <c r="L635" s="40">
        <v>28890</v>
      </c>
      <c r="M635" s="40">
        <v>13750</v>
      </c>
      <c r="N635" s="40" t="s">
        <v>2555</v>
      </c>
      <c r="O635" s="40" t="s">
        <v>210</v>
      </c>
      <c r="P635" s="40" t="s">
        <v>211</v>
      </c>
      <c r="Q635" s="40" t="s">
        <v>212</v>
      </c>
      <c r="R635" s="42" t="s">
        <v>213</v>
      </c>
      <c r="S635" s="42" t="s">
        <v>214</v>
      </c>
      <c r="T635" s="40" t="s">
        <v>469</v>
      </c>
      <c r="U635" s="41"/>
      <c r="V635" s="41">
        <v>44914.25</v>
      </c>
      <c r="W635" s="41" t="s">
        <v>2631</v>
      </c>
      <c r="X635" s="40" t="s">
        <v>410</v>
      </c>
      <c r="Y635" s="41">
        <v>44923.15347222222</v>
      </c>
      <c r="Z635" s="41">
        <v>44920.291666666664</v>
      </c>
      <c r="AA635" s="41">
        <v>44917.666666666664</v>
      </c>
      <c r="AB635" s="41">
        <v>44923.5</v>
      </c>
      <c r="AC635" s="40" t="s">
        <v>2556</v>
      </c>
      <c r="AD635" s="40">
        <v>14653</v>
      </c>
      <c r="AE635" s="40"/>
      <c r="AF635" s="40"/>
      <c r="AG635" s="40"/>
      <c r="AH635" s="40" t="s">
        <v>2557</v>
      </c>
      <c r="AI635" s="41">
        <v>44915.006944444445</v>
      </c>
      <c r="AJ635" s="40"/>
      <c r="AK635" s="43">
        <v>930</v>
      </c>
      <c r="AL635" s="40"/>
      <c r="AM635" s="43">
        <v>0</v>
      </c>
      <c r="AN635" s="43"/>
      <c r="AO635" s="43"/>
      <c r="AP635" s="43"/>
      <c r="AQ635" s="43">
        <v>0</v>
      </c>
      <c r="AR635" s="43">
        <v>0</v>
      </c>
      <c r="AS635" s="43"/>
      <c r="AT635" s="43">
        <v>0</v>
      </c>
      <c r="AU635" s="43"/>
      <c r="AV635" s="43"/>
      <c r="AW635" s="43"/>
      <c r="AX635" s="43">
        <v>0</v>
      </c>
      <c r="AY635" s="43">
        <v>0</v>
      </c>
      <c r="AZ635" s="43">
        <v>0</v>
      </c>
      <c r="BA635" s="43">
        <v>0</v>
      </c>
      <c r="BB635" s="43">
        <v>0</v>
      </c>
      <c r="BC635" s="43">
        <v>0</v>
      </c>
      <c r="BD635" s="43">
        <v>0</v>
      </c>
      <c r="BE635" s="43">
        <v>0</v>
      </c>
      <c r="BF635" s="43">
        <v>0</v>
      </c>
      <c r="BG635" s="43">
        <v>0</v>
      </c>
      <c r="BH635" s="43">
        <v>0</v>
      </c>
      <c r="BI635" s="40" t="s">
        <v>2486</v>
      </c>
      <c r="BJ635" s="40">
        <v>2022</v>
      </c>
      <c r="BK635" s="40" t="s">
        <v>2768</v>
      </c>
      <c r="BL635" s="40" t="s">
        <v>2768</v>
      </c>
      <c r="BM635" s="40" t="s">
        <v>2768</v>
      </c>
    </row>
    <row r="636" spans="1:65" x14ac:dyDescent="0.25">
      <c r="A636" s="40" t="s">
        <v>2771</v>
      </c>
      <c r="B636" s="41">
        <v>44914.25</v>
      </c>
      <c r="C636" s="40" t="s">
        <v>2549</v>
      </c>
      <c r="D636" s="40" t="s">
        <v>2550</v>
      </c>
      <c r="E636" s="40" t="s">
        <v>2627</v>
      </c>
      <c r="F636" s="40" t="s">
        <v>2628</v>
      </c>
      <c r="G636" s="40" t="s">
        <v>2647</v>
      </c>
      <c r="H636" s="40" t="s">
        <v>301</v>
      </c>
      <c r="I636" s="40">
        <v>3780</v>
      </c>
      <c r="J636" s="40" t="s">
        <v>2648</v>
      </c>
      <c r="K636" s="40">
        <v>25050</v>
      </c>
      <c r="L636" s="40">
        <v>28830</v>
      </c>
      <c r="M636" s="40">
        <v>13751</v>
      </c>
      <c r="N636" s="40" t="s">
        <v>2555</v>
      </c>
      <c r="O636" s="40" t="s">
        <v>192</v>
      </c>
      <c r="P636" s="40" t="s">
        <v>193</v>
      </c>
      <c r="Q636" s="40" t="s">
        <v>194</v>
      </c>
      <c r="R636" s="42" t="s">
        <v>195</v>
      </c>
      <c r="S636" s="42" t="s">
        <v>196</v>
      </c>
      <c r="T636" s="40" t="s">
        <v>469</v>
      </c>
      <c r="U636" s="41"/>
      <c r="V636" s="41">
        <v>44914.25</v>
      </c>
      <c r="W636" s="41" t="s">
        <v>2631</v>
      </c>
      <c r="X636" s="40" t="s">
        <v>410</v>
      </c>
      <c r="Y636" s="41">
        <v>44923.121527777781</v>
      </c>
      <c r="Z636" s="41">
        <v>44920.291666666664</v>
      </c>
      <c r="AA636" s="41">
        <v>44917.666666666664</v>
      </c>
      <c r="AB636" s="41">
        <v>44923.5</v>
      </c>
      <c r="AC636" s="40" t="s">
        <v>2556</v>
      </c>
      <c r="AD636" s="40">
        <v>14654</v>
      </c>
      <c r="AE636" s="40"/>
      <c r="AF636" s="40"/>
      <c r="AG636" s="40"/>
      <c r="AH636" s="40" t="s">
        <v>2557</v>
      </c>
      <c r="AI636" s="41">
        <v>44915.25</v>
      </c>
      <c r="AJ636" s="40"/>
      <c r="AK636" s="43">
        <v>930</v>
      </c>
      <c r="AL636" s="40"/>
      <c r="AM636" s="43">
        <v>0</v>
      </c>
      <c r="AN636" s="43"/>
      <c r="AO636" s="43"/>
      <c r="AP636" s="43"/>
      <c r="AQ636" s="43">
        <v>0</v>
      </c>
      <c r="AR636" s="43">
        <v>0</v>
      </c>
      <c r="AS636" s="43"/>
      <c r="AT636" s="43">
        <v>0</v>
      </c>
      <c r="AU636" s="43"/>
      <c r="AV636" s="43"/>
      <c r="AW636" s="43"/>
      <c r="AX636" s="43">
        <v>0</v>
      </c>
      <c r="AY636" s="43">
        <v>0</v>
      </c>
      <c r="AZ636" s="43">
        <v>0</v>
      </c>
      <c r="BA636" s="43">
        <v>0</v>
      </c>
      <c r="BB636" s="43">
        <v>0</v>
      </c>
      <c r="BC636" s="43">
        <v>0</v>
      </c>
      <c r="BD636" s="43">
        <v>0</v>
      </c>
      <c r="BE636" s="43">
        <v>0</v>
      </c>
      <c r="BF636" s="43">
        <v>0</v>
      </c>
      <c r="BG636" s="43">
        <v>0</v>
      </c>
      <c r="BH636" s="43">
        <v>0</v>
      </c>
      <c r="BI636" s="40" t="s">
        <v>2486</v>
      </c>
      <c r="BJ636" s="40">
        <v>2022</v>
      </c>
      <c r="BK636" s="40" t="s">
        <v>2768</v>
      </c>
      <c r="BL636" s="40" t="s">
        <v>2768</v>
      </c>
      <c r="BM636" s="40" t="s">
        <v>2768</v>
      </c>
    </row>
    <row r="637" spans="1:65" x14ac:dyDescent="0.25">
      <c r="A637" s="40" t="s">
        <v>2771</v>
      </c>
      <c r="B637" s="41">
        <v>44914.25</v>
      </c>
      <c r="C637" s="40" t="s">
        <v>2549</v>
      </c>
      <c r="D637" s="40" t="s">
        <v>2550</v>
      </c>
      <c r="E637" s="40" t="s">
        <v>2627</v>
      </c>
      <c r="F637" s="40" t="s">
        <v>2628</v>
      </c>
      <c r="G637" s="40" t="s">
        <v>2649</v>
      </c>
      <c r="H637" s="40" t="s">
        <v>301</v>
      </c>
      <c r="I637" s="40">
        <v>3840</v>
      </c>
      <c r="J637" s="40" t="s">
        <v>2650</v>
      </c>
      <c r="K637" s="40">
        <v>25050</v>
      </c>
      <c r="L637" s="40">
        <v>28890</v>
      </c>
      <c r="M637" s="40">
        <v>13752</v>
      </c>
      <c r="N637" s="40" t="s">
        <v>2555</v>
      </c>
      <c r="O637" s="40" t="s">
        <v>1292</v>
      </c>
      <c r="P637" s="40" t="s">
        <v>1293</v>
      </c>
      <c r="Q637" s="40" t="s">
        <v>2651</v>
      </c>
      <c r="R637" s="42" t="s">
        <v>2652</v>
      </c>
      <c r="S637" s="42" t="s">
        <v>2653</v>
      </c>
      <c r="T637" s="40" t="s">
        <v>469</v>
      </c>
      <c r="U637" s="41"/>
      <c r="V637" s="41">
        <v>44914.25</v>
      </c>
      <c r="W637" s="41" t="s">
        <v>2631</v>
      </c>
      <c r="X637" s="40" t="s">
        <v>410</v>
      </c>
      <c r="Y637" s="41">
        <v>44923.10833333333</v>
      </c>
      <c r="Z637" s="41">
        <v>44920.291666666664</v>
      </c>
      <c r="AA637" s="41">
        <v>44917.666666666664</v>
      </c>
      <c r="AB637" s="41">
        <v>44923.5</v>
      </c>
      <c r="AC637" s="40" t="s">
        <v>2556</v>
      </c>
      <c r="AD637" s="40">
        <v>14655</v>
      </c>
      <c r="AE637" s="40"/>
      <c r="AF637" s="40"/>
      <c r="AG637" s="40"/>
      <c r="AH637" s="40" t="s">
        <v>2557</v>
      </c>
      <c r="AI637" s="41">
        <v>44915.78125</v>
      </c>
      <c r="AJ637" s="40"/>
      <c r="AK637" s="43">
        <v>930</v>
      </c>
      <c r="AL637" s="40"/>
      <c r="AM637" s="43">
        <v>0</v>
      </c>
      <c r="AN637" s="43"/>
      <c r="AO637" s="43"/>
      <c r="AP637" s="43"/>
      <c r="AQ637" s="43">
        <v>0</v>
      </c>
      <c r="AR637" s="43">
        <v>0</v>
      </c>
      <c r="AS637" s="43"/>
      <c r="AT637" s="43">
        <v>0</v>
      </c>
      <c r="AU637" s="43"/>
      <c r="AV637" s="43"/>
      <c r="AW637" s="43"/>
      <c r="AX637" s="43">
        <v>0</v>
      </c>
      <c r="AY637" s="43">
        <v>0</v>
      </c>
      <c r="AZ637" s="43">
        <v>0</v>
      </c>
      <c r="BA637" s="43">
        <v>0</v>
      </c>
      <c r="BB637" s="43">
        <v>0</v>
      </c>
      <c r="BC637" s="43">
        <v>0</v>
      </c>
      <c r="BD637" s="43">
        <v>0</v>
      </c>
      <c r="BE637" s="43">
        <v>0</v>
      </c>
      <c r="BF637" s="43">
        <v>0</v>
      </c>
      <c r="BG637" s="43">
        <v>0</v>
      </c>
      <c r="BH637" s="43">
        <v>0</v>
      </c>
      <c r="BI637" s="40" t="s">
        <v>2486</v>
      </c>
      <c r="BJ637" s="40">
        <v>2022</v>
      </c>
      <c r="BK637" s="40" t="s">
        <v>2768</v>
      </c>
      <c r="BL637" s="40" t="s">
        <v>2768</v>
      </c>
      <c r="BM637" s="40" t="s">
        <v>2768</v>
      </c>
    </row>
    <row r="638" spans="1:65" x14ac:dyDescent="0.25">
      <c r="A638" s="40" t="s">
        <v>2771</v>
      </c>
      <c r="B638" s="41">
        <v>44914.25</v>
      </c>
      <c r="C638" s="40" t="s">
        <v>2549</v>
      </c>
      <c r="D638" s="40" t="s">
        <v>2550</v>
      </c>
      <c r="E638" s="40" t="s">
        <v>2627</v>
      </c>
      <c r="F638" s="40" t="s">
        <v>2628</v>
      </c>
      <c r="G638" s="40" t="s">
        <v>2654</v>
      </c>
      <c r="H638" s="40" t="s">
        <v>301</v>
      </c>
      <c r="I638" s="40">
        <v>3700</v>
      </c>
      <c r="J638" s="40" t="s">
        <v>2655</v>
      </c>
      <c r="K638" s="40">
        <v>25050</v>
      </c>
      <c r="L638" s="40">
        <v>28750</v>
      </c>
      <c r="M638" s="40">
        <v>13753</v>
      </c>
      <c r="N638" s="40" t="s">
        <v>2555</v>
      </c>
      <c r="O638" s="40" t="s">
        <v>119</v>
      </c>
      <c r="P638" s="40" t="s">
        <v>120</v>
      </c>
      <c r="Q638" s="40" t="s">
        <v>121</v>
      </c>
      <c r="R638" s="42" t="s">
        <v>122</v>
      </c>
      <c r="S638" s="42" t="s">
        <v>123</v>
      </c>
      <c r="T638" s="40" t="s">
        <v>469</v>
      </c>
      <c r="U638" s="41"/>
      <c r="V638" s="41">
        <v>44914.25</v>
      </c>
      <c r="W638" s="41" t="s">
        <v>2631</v>
      </c>
      <c r="X638" s="40" t="s">
        <v>410</v>
      </c>
      <c r="Y638" s="41">
        <v>44923.12222222222</v>
      </c>
      <c r="Z638" s="41">
        <v>44920.291666666664</v>
      </c>
      <c r="AA638" s="41">
        <v>44917.666666666664</v>
      </c>
      <c r="AB638" s="41">
        <v>44923.5</v>
      </c>
      <c r="AC638" s="40" t="s">
        <v>2556</v>
      </c>
      <c r="AD638" s="40">
        <v>14656</v>
      </c>
      <c r="AE638" s="40"/>
      <c r="AF638" s="40"/>
      <c r="AG638" s="40"/>
      <c r="AH638" s="40" t="s">
        <v>2557</v>
      </c>
      <c r="AI638" s="41">
        <v>44915.25</v>
      </c>
      <c r="AJ638" s="40"/>
      <c r="AK638" s="43">
        <v>930</v>
      </c>
      <c r="AL638" s="40"/>
      <c r="AM638" s="43">
        <v>0</v>
      </c>
      <c r="AN638" s="43"/>
      <c r="AO638" s="43"/>
      <c r="AP638" s="43"/>
      <c r="AQ638" s="43">
        <v>0</v>
      </c>
      <c r="AR638" s="43">
        <v>0</v>
      </c>
      <c r="AS638" s="43"/>
      <c r="AT638" s="43">
        <v>0</v>
      </c>
      <c r="AU638" s="43"/>
      <c r="AV638" s="43"/>
      <c r="AW638" s="43"/>
      <c r="AX638" s="43">
        <v>0</v>
      </c>
      <c r="AY638" s="43">
        <v>0</v>
      </c>
      <c r="AZ638" s="43">
        <v>0</v>
      </c>
      <c r="BA638" s="43">
        <v>0</v>
      </c>
      <c r="BB638" s="43">
        <v>0</v>
      </c>
      <c r="BC638" s="43">
        <v>0</v>
      </c>
      <c r="BD638" s="43">
        <v>0</v>
      </c>
      <c r="BE638" s="43">
        <v>0</v>
      </c>
      <c r="BF638" s="43">
        <v>0</v>
      </c>
      <c r="BG638" s="43">
        <v>0</v>
      </c>
      <c r="BH638" s="43">
        <v>0</v>
      </c>
      <c r="BI638" s="40" t="s">
        <v>2486</v>
      </c>
      <c r="BJ638" s="40">
        <v>2022</v>
      </c>
      <c r="BK638" s="40" t="s">
        <v>2768</v>
      </c>
      <c r="BL638" s="40" t="s">
        <v>2768</v>
      </c>
      <c r="BM638" s="40" t="s">
        <v>2768</v>
      </c>
    </row>
    <row r="639" spans="1:65" x14ac:dyDescent="0.25">
      <c r="A639" s="40" t="s">
        <v>2771</v>
      </c>
      <c r="B639" s="41">
        <v>44914.25</v>
      </c>
      <c r="C639" s="40" t="s">
        <v>2549</v>
      </c>
      <c r="D639" s="40" t="s">
        <v>2550</v>
      </c>
      <c r="E639" s="40" t="s">
        <v>2627</v>
      </c>
      <c r="F639" s="40" t="s">
        <v>2628</v>
      </c>
      <c r="G639" s="40" t="s">
        <v>2656</v>
      </c>
      <c r="H639" s="40" t="s">
        <v>301</v>
      </c>
      <c r="I639" s="40">
        <v>3700</v>
      </c>
      <c r="J639" s="40" t="s">
        <v>2657</v>
      </c>
      <c r="K639" s="40">
        <v>25050</v>
      </c>
      <c r="L639" s="40">
        <v>28750</v>
      </c>
      <c r="M639" s="40">
        <v>13754</v>
      </c>
      <c r="N639" s="40" t="s">
        <v>2555</v>
      </c>
      <c r="O639" s="40" t="s">
        <v>2658</v>
      </c>
      <c r="P639" s="40" t="s">
        <v>2659</v>
      </c>
      <c r="Q639" s="40" t="s">
        <v>2660</v>
      </c>
      <c r="R639" s="42" t="s">
        <v>2661</v>
      </c>
      <c r="S639" s="42" t="s">
        <v>2662</v>
      </c>
      <c r="T639" s="40" t="s">
        <v>469</v>
      </c>
      <c r="U639" s="41"/>
      <c r="V639" s="41">
        <v>44914.25</v>
      </c>
      <c r="W639" s="41">
        <v>44914.625</v>
      </c>
      <c r="X639" s="40" t="s">
        <v>410</v>
      </c>
      <c r="Y639" s="41">
        <v>44922.986805555556</v>
      </c>
      <c r="Z639" s="41">
        <v>44920.291666666664</v>
      </c>
      <c r="AA639" s="41">
        <v>44917.666666666664</v>
      </c>
      <c r="AB639" s="41">
        <v>44923.5</v>
      </c>
      <c r="AC639" s="40" t="s">
        <v>2556</v>
      </c>
      <c r="AD639" s="40">
        <v>14657</v>
      </c>
      <c r="AE639" s="40"/>
      <c r="AF639" s="40"/>
      <c r="AG639" s="40"/>
      <c r="AH639" s="40" t="s">
        <v>2557</v>
      </c>
      <c r="AI639" s="41">
        <v>44915.482638888891</v>
      </c>
      <c r="AJ639" s="40"/>
      <c r="AK639" s="43">
        <v>930</v>
      </c>
      <c r="AL639" s="40"/>
      <c r="AM639" s="43">
        <v>0</v>
      </c>
      <c r="AN639" s="43"/>
      <c r="AO639" s="43"/>
      <c r="AP639" s="43"/>
      <c r="AQ639" s="43">
        <v>0</v>
      </c>
      <c r="AR639" s="43">
        <v>0</v>
      </c>
      <c r="AS639" s="43"/>
      <c r="AT639" s="43">
        <v>0</v>
      </c>
      <c r="AU639" s="43"/>
      <c r="AV639" s="43"/>
      <c r="AW639" s="43"/>
      <c r="AX639" s="43">
        <v>0</v>
      </c>
      <c r="AY639" s="43">
        <v>0</v>
      </c>
      <c r="AZ639" s="43">
        <v>0</v>
      </c>
      <c r="BA639" s="43">
        <v>0</v>
      </c>
      <c r="BB639" s="43">
        <v>0</v>
      </c>
      <c r="BC639" s="43">
        <v>0</v>
      </c>
      <c r="BD639" s="43">
        <v>0</v>
      </c>
      <c r="BE639" s="43">
        <v>0</v>
      </c>
      <c r="BF639" s="43">
        <v>0</v>
      </c>
      <c r="BG639" s="43">
        <v>0</v>
      </c>
      <c r="BH639" s="43">
        <v>0</v>
      </c>
      <c r="BI639" s="40" t="s">
        <v>2486</v>
      </c>
      <c r="BJ639" s="40">
        <v>2022</v>
      </c>
      <c r="BK639" s="40" t="s">
        <v>2768</v>
      </c>
      <c r="BL639" s="40" t="s">
        <v>2768</v>
      </c>
      <c r="BM639" s="40" t="s">
        <v>2768</v>
      </c>
    </row>
    <row r="640" spans="1:65" x14ac:dyDescent="0.25">
      <c r="A640" s="40" t="s">
        <v>2771</v>
      </c>
      <c r="B640" s="41">
        <v>44914.25</v>
      </c>
      <c r="C640" s="40" t="s">
        <v>353</v>
      </c>
      <c r="D640" s="40" t="s">
        <v>354</v>
      </c>
      <c r="E640" s="40">
        <v>8816249</v>
      </c>
      <c r="F640" s="40">
        <v>60200394</v>
      </c>
      <c r="G640" s="40" t="s">
        <v>2663</v>
      </c>
      <c r="H640" s="40" t="s">
        <v>301</v>
      </c>
      <c r="I640" s="40">
        <v>3680</v>
      </c>
      <c r="J640" s="40" t="s">
        <v>2664</v>
      </c>
      <c r="K640" s="40">
        <v>26222</v>
      </c>
      <c r="L640" s="40">
        <v>29902</v>
      </c>
      <c r="M640" s="40">
        <v>655443</v>
      </c>
      <c r="N640" s="40" t="s">
        <v>2579</v>
      </c>
      <c r="O640" s="40" t="s">
        <v>150</v>
      </c>
      <c r="P640" s="40" t="s">
        <v>151</v>
      </c>
      <c r="Q640" s="40" t="s">
        <v>152</v>
      </c>
      <c r="R640" s="42" t="s">
        <v>153</v>
      </c>
      <c r="S640" s="42" t="s">
        <v>154</v>
      </c>
      <c r="T640" s="40" t="s">
        <v>292</v>
      </c>
      <c r="U640" s="41">
        <v>44912.420138888891</v>
      </c>
      <c r="V640" s="41">
        <v>44914.125</v>
      </c>
      <c r="W640" s="41">
        <v>44914.457638888889</v>
      </c>
      <c r="X640" s="40" t="s">
        <v>293</v>
      </c>
      <c r="Y640" s="41">
        <v>44914.914583333331</v>
      </c>
      <c r="Z640" s="41"/>
      <c r="AA640" s="41">
        <v>44914.5</v>
      </c>
      <c r="AB640" s="41">
        <v>44916.5</v>
      </c>
      <c r="AC640" s="40" t="s">
        <v>590</v>
      </c>
      <c r="AD640" s="40">
        <v>14645</v>
      </c>
      <c r="AE640" s="40"/>
      <c r="AF640" s="40"/>
      <c r="AG640" s="40"/>
      <c r="AH640" s="40"/>
      <c r="AI640" s="41"/>
      <c r="AJ640" s="40"/>
      <c r="AK640" s="43"/>
      <c r="AL640" s="40"/>
      <c r="AM640" s="43">
        <v>0</v>
      </c>
      <c r="AN640" s="43"/>
      <c r="AO640" s="43"/>
      <c r="AP640" s="43"/>
      <c r="AQ640" s="43">
        <v>0</v>
      </c>
      <c r="AR640" s="43">
        <v>0</v>
      </c>
      <c r="AS640" s="43"/>
      <c r="AT640" s="43">
        <v>0</v>
      </c>
      <c r="AU640" s="43"/>
      <c r="AV640" s="43"/>
      <c r="AW640" s="43"/>
      <c r="AX640" s="43">
        <v>0</v>
      </c>
      <c r="AY640" s="43">
        <v>0</v>
      </c>
      <c r="AZ640" s="43">
        <v>0</v>
      </c>
      <c r="BA640" s="43">
        <v>0</v>
      </c>
      <c r="BB640" s="43">
        <v>0</v>
      </c>
      <c r="BC640" s="43">
        <v>0</v>
      </c>
      <c r="BD640" s="43">
        <v>0</v>
      </c>
      <c r="BE640" s="43">
        <v>0</v>
      </c>
      <c r="BF640" s="43">
        <v>0</v>
      </c>
      <c r="BG640" s="43">
        <v>0</v>
      </c>
      <c r="BH640" s="43">
        <v>0</v>
      </c>
      <c r="BI640" s="40" t="s">
        <v>2486</v>
      </c>
      <c r="BJ640" s="40">
        <v>2022</v>
      </c>
      <c r="BK640" s="40" t="s">
        <v>2768</v>
      </c>
      <c r="BL640" s="40" t="s">
        <v>2768</v>
      </c>
      <c r="BM640" s="40" t="s">
        <v>2768</v>
      </c>
    </row>
    <row r="641" spans="1:65" x14ac:dyDescent="0.25">
      <c r="A641" s="40" t="s">
        <v>2771</v>
      </c>
      <c r="B641" s="41">
        <v>44914.25</v>
      </c>
      <c r="C641" s="40" t="s">
        <v>353</v>
      </c>
      <c r="D641" s="40" t="s">
        <v>354</v>
      </c>
      <c r="E641" s="40">
        <v>8816249</v>
      </c>
      <c r="F641" s="40">
        <v>60200394</v>
      </c>
      <c r="G641" s="40" t="s">
        <v>2665</v>
      </c>
      <c r="H641" s="40" t="s">
        <v>301</v>
      </c>
      <c r="I641" s="40">
        <v>3900</v>
      </c>
      <c r="J641" s="40" t="s">
        <v>2666</v>
      </c>
      <c r="K641" s="40">
        <v>26222</v>
      </c>
      <c r="L641" s="40">
        <v>30122</v>
      </c>
      <c r="M641" s="40">
        <v>655454</v>
      </c>
      <c r="N641" s="40" t="s">
        <v>2579</v>
      </c>
      <c r="O641" s="40" t="s">
        <v>72</v>
      </c>
      <c r="P641" s="40" t="s">
        <v>73</v>
      </c>
      <c r="Q641" s="40" t="s">
        <v>203</v>
      </c>
      <c r="R641" s="42" t="s">
        <v>204</v>
      </c>
      <c r="S641" s="42" t="s">
        <v>205</v>
      </c>
      <c r="T641" s="40" t="s">
        <v>292</v>
      </c>
      <c r="U641" s="41"/>
      <c r="V641" s="41">
        <v>44914.3125</v>
      </c>
      <c r="W641" s="41">
        <v>44914.659722222219</v>
      </c>
      <c r="X641" s="40" t="s">
        <v>293</v>
      </c>
      <c r="Y641" s="41">
        <v>44914.935416666667</v>
      </c>
      <c r="Z641" s="41"/>
      <c r="AA641" s="41">
        <v>44914.5</v>
      </c>
      <c r="AB641" s="41">
        <v>44916.5</v>
      </c>
      <c r="AC641" s="40" t="s">
        <v>590</v>
      </c>
      <c r="AD641" s="40">
        <v>14646</v>
      </c>
      <c r="AE641" s="40"/>
      <c r="AF641" s="40"/>
      <c r="AG641" s="40"/>
      <c r="AH641" s="40"/>
      <c r="AI641" s="41"/>
      <c r="AJ641" s="40"/>
      <c r="AK641" s="43"/>
      <c r="AL641" s="40"/>
      <c r="AM641" s="43">
        <v>0</v>
      </c>
      <c r="AN641" s="43"/>
      <c r="AO641" s="43"/>
      <c r="AP641" s="43"/>
      <c r="AQ641" s="43">
        <v>0</v>
      </c>
      <c r="AR641" s="43">
        <v>0</v>
      </c>
      <c r="AS641" s="43"/>
      <c r="AT641" s="43">
        <v>0</v>
      </c>
      <c r="AU641" s="43"/>
      <c r="AV641" s="43"/>
      <c r="AW641" s="43"/>
      <c r="AX641" s="43">
        <v>0</v>
      </c>
      <c r="AY641" s="43">
        <v>0</v>
      </c>
      <c r="AZ641" s="43">
        <v>0</v>
      </c>
      <c r="BA641" s="43">
        <v>0</v>
      </c>
      <c r="BB641" s="43">
        <v>0</v>
      </c>
      <c r="BC641" s="43">
        <v>0</v>
      </c>
      <c r="BD641" s="43">
        <v>0</v>
      </c>
      <c r="BE641" s="43">
        <v>0</v>
      </c>
      <c r="BF641" s="43">
        <v>0</v>
      </c>
      <c r="BG641" s="43">
        <v>0</v>
      </c>
      <c r="BH641" s="43">
        <v>0</v>
      </c>
      <c r="BI641" s="40" t="s">
        <v>2486</v>
      </c>
      <c r="BJ641" s="40">
        <v>2022</v>
      </c>
      <c r="BK641" s="40" t="s">
        <v>2768</v>
      </c>
      <c r="BL641" s="40" t="s">
        <v>2768</v>
      </c>
      <c r="BM641" s="40" t="s">
        <v>2768</v>
      </c>
    </row>
    <row r="642" spans="1:65" x14ac:dyDescent="0.25">
      <c r="A642" s="40" t="s">
        <v>2771</v>
      </c>
      <c r="B642" s="41">
        <v>44914.25</v>
      </c>
      <c r="C642" s="40" t="s">
        <v>353</v>
      </c>
      <c r="D642" s="40" t="s">
        <v>354</v>
      </c>
      <c r="E642" s="40">
        <v>8666132</v>
      </c>
      <c r="F642" s="40">
        <v>67533352</v>
      </c>
      <c r="G642" s="40" t="s">
        <v>2667</v>
      </c>
      <c r="H642" s="40" t="s">
        <v>301</v>
      </c>
      <c r="I642" s="40">
        <v>3850</v>
      </c>
      <c r="J642" s="40" t="s">
        <v>2668</v>
      </c>
      <c r="K642" s="40">
        <v>25628</v>
      </c>
      <c r="L642" s="40">
        <v>29478</v>
      </c>
      <c r="M642" s="40">
        <v>655501</v>
      </c>
      <c r="N642" s="40" t="s">
        <v>2579</v>
      </c>
      <c r="O642" s="40" t="s">
        <v>111</v>
      </c>
      <c r="P642" s="40" t="s">
        <v>891</v>
      </c>
      <c r="Q642" s="40" t="s">
        <v>113</v>
      </c>
      <c r="R642" s="42" t="s">
        <v>1487</v>
      </c>
      <c r="S642" s="42" t="s">
        <v>333</v>
      </c>
      <c r="T642" s="40" t="s">
        <v>537</v>
      </c>
      <c r="U642" s="41"/>
      <c r="V642" s="41">
        <v>44914.25</v>
      </c>
      <c r="W642" s="41">
        <v>44914.625</v>
      </c>
      <c r="X642" s="40" t="s">
        <v>293</v>
      </c>
      <c r="Y642" s="41">
        <v>44915.592361111114</v>
      </c>
      <c r="Z642" s="41"/>
      <c r="AA642" s="41">
        <v>44914.5</v>
      </c>
      <c r="AB642" s="41">
        <v>44916.5</v>
      </c>
      <c r="AC642" s="40" t="s">
        <v>590</v>
      </c>
      <c r="AD642" s="40" t="s">
        <v>2669</v>
      </c>
      <c r="AE642" s="40"/>
      <c r="AF642" s="40"/>
      <c r="AG642" s="40"/>
      <c r="AH642" s="40"/>
      <c r="AI642" s="41"/>
      <c r="AJ642" s="40"/>
      <c r="AK642" s="43"/>
      <c r="AL642" s="40"/>
      <c r="AM642" s="43">
        <v>0</v>
      </c>
      <c r="AN642" s="43"/>
      <c r="AO642" s="43"/>
      <c r="AP642" s="43"/>
      <c r="AQ642" s="43">
        <v>0</v>
      </c>
      <c r="AR642" s="43">
        <v>0</v>
      </c>
      <c r="AS642" s="43"/>
      <c r="AT642" s="43">
        <v>0</v>
      </c>
      <c r="AU642" s="43"/>
      <c r="AV642" s="43"/>
      <c r="AW642" s="43"/>
      <c r="AX642" s="43">
        <v>0</v>
      </c>
      <c r="AY642" s="43">
        <v>0</v>
      </c>
      <c r="AZ642" s="43">
        <v>0</v>
      </c>
      <c r="BA642" s="43">
        <v>0</v>
      </c>
      <c r="BB642" s="43">
        <v>0</v>
      </c>
      <c r="BC642" s="43">
        <v>0</v>
      </c>
      <c r="BD642" s="43">
        <v>0</v>
      </c>
      <c r="BE642" s="43">
        <v>0</v>
      </c>
      <c r="BF642" s="43">
        <v>0</v>
      </c>
      <c r="BG642" s="43">
        <v>0</v>
      </c>
      <c r="BH642" s="43">
        <v>0</v>
      </c>
      <c r="BI642" s="40" t="s">
        <v>2486</v>
      </c>
      <c r="BJ642" s="40">
        <v>2022</v>
      </c>
      <c r="BK642" s="40" t="s">
        <v>2768</v>
      </c>
      <c r="BL642" s="40" t="s">
        <v>2768</v>
      </c>
      <c r="BM642" s="40" t="s">
        <v>2768</v>
      </c>
    </row>
    <row r="643" spans="1:65" x14ac:dyDescent="0.25">
      <c r="A643" s="40" t="s">
        <v>2771</v>
      </c>
      <c r="B643" s="41">
        <v>44914.25</v>
      </c>
      <c r="C643" s="40" t="s">
        <v>353</v>
      </c>
      <c r="D643" s="40" t="s">
        <v>354</v>
      </c>
      <c r="E643" s="40">
        <v>8666132</v>
      </c>
      <c r="F643" s="40">
        <v>67533352</v>
      </c>
      <c r="G643" s="40" t="s">
        <v>2670</v>
      </c>
      <c r="H643" s="40" t="s">
        <v>301</v>
      </c>
      <c r="I643" s="40">
        <v>3900</v>
      </c>
      <c r="J643" s="40" t="s">
        <v>2671</v>
      </c>
      <c r="K643" s="40"/>
      <c r="L643" s="40">
        <v>3900</v>
      </c>
      <c r="M643" s="40"/>
      <c r="N643" s="40" t="s">
        <v>2579</v>
      </c>
      <c r="O643" s="40" t="s">
        <v>1961</v>
      </c>
      <c r="P643" s="40" t="s">
        <v>1962</v>
      </c>
      <c r="Q643" s="40" t="s">
        <v>1482</v>
      </c>
      <c r="R643" s="42" t="s">
        <v>1483</v>
      </c>
      <c r="S643" s="42" t="s">
        <v>1484</v>
      </c>
      <c r="T643" s="40" t="s">
        <v>537</v>
      </c>
      <c r="U643" s="41"/>
      <c r="V643" s="41">
        <v>44914.25</v>
      </c>
      <c r="W643" s="41">
        <v>44914.75</v>
      </c>
      <c r="X643" s="40" t="s">
        <v>293</v>
      </c>
      <c r="Y643" s="41">
        <v>44915.318749999999</v>
      </c>
      <c r="Z643" s="41"/>
      <c r="AA643" s="41">
        <v>44914.5</v>
      </c>
      <c r="AB643" s="41">
        <v>44916.5</v>
      </c>
      <c r="AC643" s="40" t="s">
        <v>590</v>
      </c>
      <c r="AD643" s="40">
        <v>14660</v>
      </c>
      <c r="AE643" s="40"/>
      <c r="AF643" s="40"/>
      <c r="AG643" s="40"/>
      <c r="AH643" s="40"/>
      <c r="AI643" s="41"/>
      <c r="AJ643" s="40"/>
      <c r="AK643" s="43"/>
      <c r="AL643" s="40"/>
      <c r="AM643" s="43">
        <v>0</v>
      </c>
      <c r="AN643" s="43"/>
      <c r="AO643" s="43"/>
      <c r="AP643" s="43"/>
      <c r="AQ643" s="43">
        <v>0</v>
      </c>
      <c r="AR643" s="43">
        <v>0</v>
      </c>
      <c r="AS643" s="43"/>
      <c r="AT643" s="43">
        <v>0</v>
      </c>
      <c r="AU643" s="43"/>
      <c r="AV643" s="43"/>
      <c r="AW643" s="43"/>
      <c r="AX643" s="43">
        <v>0</v>
      </c>
      <c r="AY643" s="43">
        <v>0</v>
      </c>
      <c r="AZ643" s="43">
        <v>0</v>
      </c>
      <c r="BA643" s="43">
        <v>0</v>
      </c>
      <c r="BB643" s="43">
        <v>0</v>
      </c>
      <c r="BC643" s="43">
        <v>0</v>
      </c>
      <c r="BD643" s="43">
        <v>0</v>
      </c>
      <c r="BE643" s="43">
        <v>0</v>
      </c>
      <c r="BF643" s="43">
        <v>0</v>
      </c>
      <c r="BG643" s="43">
        <v>0</v>
      </c>
      <c r="BH643" s="43">
        <v>0</v>
      </c>
      <c r="BI643" s="40" t="s">
        <v>2486</v>
      </c>
      <c r="BJ643" s="40">
        <v>2022</v>
      </c>
      <c r="BK643" s="40" t="s">
        <v>2768</v>
      </c>
      <c r="BL643" s="40" t="s">
        <v>2768</v>
      </c>
      <c r="BM643" s="40" t="s">
        <v>2768</v>
      </c>
    </row>
    <row r="644" spans="1:65" x14ac:dyDescent="0.25">
      <c r="A644" s="40" t="s">
        <v>2771</v>
      </c>
      <c r="B644" s="41">
        <v>44914.25</v>
      </c>
      <c r="C644" s="40" t="s">
        <v>353</v>
      </c>
      <c r="D644" s="40" t="s">
        <v>354</v>
      </c>
      <c r="E644" s="40">
        <v>8666132</v>
      </c>
      <c r="F644" s="40">
        <v>67533352</v>
      </c>
      <c r="G644" s="40" t="s">
        <v>2672</v>
      </c>
      <c r="H644" s="40" t="s">
        <v>301</v>
      </c>
      <c r="I644" s="40">
        <v>3770</v>
      </c>
      <c r="J644" s="40" t="s">
        <v>2673</v>
      </c>
      <c r="K644" s="40">
        <v>25628</v>
      </c>
      <c r="L644" s="40">
        <v>29398</v>
      </c>
      <c r="M644" s="40">
        <v>655415</v>
      </c>
      <c r="N644" s="40" t="s">
        <v>2579</v>
      </c>
      <c r="O644" s="40" t="s">
        <v>87</v>
      </c>
      <c r="P644" s="40" t="s">
        <v>88</v>
      </c>
      <c r="Q644" s="40" t="s">
        <v>89</v>
      </c>
      <c r="R644" s="42" t="s">
        <v>90</v>
      </c>
      <c r="S644" s="42"/>
      <c r="T644" s="40" t="s">
        <v>537</v>
      </c>
      <c r="U644" s="41"/>
      <c r="V644" s="41">
        <v>44914.25</v>
      </c>
      <c r="W644" s="41">
        <v>44914.4375</v>
      </c>
      <c r="X644" s="40" t="s">
        <v>293</v>
      </c>
      <c r="Y644" s="41">
        <v>44914.731944444444</v>
      </c>
      <c r="Z644" s="41"/>
      <c r="AA644" s="41">
        <v>44914.5</v>
      </c>
      <c r="AB644" s="41">
        <v>44916.5</v>
      </c>
      <c r="AC644" s="40" t="s">
        <v>590</v>
      </c>
      <c r="AD644" s="40">
        <v>14638</v>
      </c>
      <c r="AE644" s="40"/>
      <c r="AF644" s="40"/>
      <c r="AG644" s="40"/>
      <c r="AH644" s="40"/>
      <c r="AI644" s="41"/>
      <c r="AJ644" s="40"/>
      <c r="AK644" s="43"/>
      <c r="AL644" s="40"/>
      <c r="AM644" s="43">
        <v>0</v>
      </c>
      <c r="AN644" s="43"/>
      <c r="AO644" s="43"/>
      <c r="AP644" s="43"/>
      <c r="AQ644" s="43">
        <v>0</v>
      </c>
      <c r="AR644" s="43">
        <v>0</v>
      </c>
      <c r="AS644" s="43"/>
      <c r="AT644" s="43">
        <v>0</v>
      </c>
      <c r="AU644" s="43"/>
      <c r="AV644" s="43"/>
      <c r="AW644" s="43"/>
      <c r="AX644" s="43">
        <v>0</v>
      </c>
      <c r="AY644" s="43">
        <v>0</v>
      </c>
      <c r="AZ644" s="43">
        <v>0</v>
      </c>
      <c r="BA644" s="43">
        <v>0</v>
      </c>
      <c r="BB644" s="43">
        <v>0</v>
      </c>
      <c r="BC644" s="43">
        <v>0</v>
      </c>
      <c r="BD644" s="43">
        <v>0</v>
      </c>
      <c r="BE644" s="43">
        <v>0</v>
      </c>
      <c r="BF644" s="43">
        <v>0</v>
      </c>
      <c r="BG644" s="43">
        <v>0</v>
      </c>
      <c r="BH644" s="43">
        <v>0</v>
      </c>
      <c r="BI644" s="40" t="s">
        <v>2486</v>
      </c>
      <c r="BJ644" s="40">
        <v>2022</v>
      </c>
      <c r="BK644" s="40" t="s">
        <v>2768</v>
      </c>
      <c r="BL644" s="40" t="s">
        <v>2768</v>
      </c>
      <c r="BM644" s="40" t="s">
        <v>2768</v>
      </c>
    </row>
    <row r="645" spans="1:65" x14ac:dyDescent="0.25">
      <c r="A645" s="40" t="s">
        <v>2771</v>
      </c>
      <c r="B645" s="41">
        <v>44914.25</v>
      </c>
      <c r="C645" s="40" t="s">
        <v>353</v>
      </c>
      <c r="D645" s="40" t="s">
        <v>354</v>
      </c>
      <c r="E645" s="40">
        <v>8666132</v>
      </c>
      <c r="F645" s="40">
        <v>67533352</v>
      </c>
      <c r="G645" s="40" t="s">
        <v>2674</v>
      </c>
      <c r="H645" s="40" t="s">
        <v>301</v>
      </c>
      <c r="I645" s="40">
        <v>3910</v>
      </c>
      <c r="J645" s="40" t="s">
        <v>2675</v>
      </c>
      <c r="K645" s="40">
        <v>25628</v>
      </c>
      <c r="L645" s="40">
        <v>29538</v>
      </c>
      <c r="M645" s="40">
        <v>655450</v>
      </c>
      <c r="N645" s="40" t="s">
        <v>2579</v>
      </c>
      <c r="O645" s="40" t="s">
        <v>178</v>
      </c>
      <c r="P645" s="40" t="s">
        <v>112</v>
      </c>
      <c r="Q645" s="40" t="s">
        <v>180</v>
      </c>
      <c r="R645" s="42" t="s">
        <v>1657</v>
      </c>
      <c r="S645" s="42" t="s">
        <v>181</v>
      </c>
      <c r="T645" s="40" t="s">
        <v>537</v>
      </c>
      <c r="U645" s="41"/>
      <c r="V645" s="41">
        <v>44914.25</v>
      </c>
      <c r="W645" s="41">
        <v>44914.583333333336</v>
      </c>
      <c r="X645" s="40" t="s">
        <v>293</v>
      </c>
      <c r="Y645" s="41">
        <v>44915.109027777777</v>
      </c>
      <c r="Z645" s="41"/>
      <c r="AA645" s="41">
        <v>44914.5</v>
      </c>
      <c r="AB645" s="41">
        <v>44916.5</v>
      </c>
      <c r="AC645" s="40" t="s">
        <v>590</v>
      </c>
      <c r="AD645" s="40">
        <v>14644</v>
      </c>
      <c r="AE645" s="40"/>
      <c r="AF645" s="40"/>
      <c r="AG645" s="40"/>
      <c r="AH645" s="40"/>
      <c r="AI645" s="41"/>
      <c r="AJ645" s="40"/>
      <c r="AK645" s="43"/>
      <c r="AL645" s="40"/>
      <c r="AM645" s="43">
        <v>0</v>
      </c>
      <c r="AN645" s="43"/>
      <c r="AO645" s="43"/>
      <c r="AP645" s="43"/>
      <c r="AQ645" s="43">
        <v>0</v>
      </c>
      <c r="AR645" s="43">
        <v>0</v>
      </c>
      <c r="AS645" s="43"/>
      <c r="AT645" s="43">
        <v>0</v>
      </c>
      <c r="AU645" s="43"/>
      <c r="AV645" s="43"/>
      <c r="AW645" s="43"/>
      <c r="AX645" s="43">
        <v>0</v>
      </c>
      <c r="AY645" s="43">
        <v>0</v>
      </c>
      <c r="AZ645" s="43">
        <v>0</v>
      </c>
      <c r="BA645" s="43">
        <v>0</v>
      </c>
      <c r="BB645" s="43">
        <v>0</v>
      </c>
      <c r="BC645" s="43">
        <v>0</v>
      </c>
      <c r="BD645" s="43">
        <v>0</v>
      </c>
      <c r="BE645" s="43">
        <v>0</v>
      </c>
      <c r="BF645" s="43">
        <v>0</v>
      </c>
      <c r="BG645" s="43">
        <v>0</v>
      </c>
      <c r="BH645" s="43">
        <v>0</v>
      </c>
      <c r="BI645" s="40" t="s">
        <v>2486</v>
      </c>
      <c r="BJ645" s="40">
        <v>2022</v>
      </c>
      <c r="BK645" s="40" t="s">
        <v>2768</v>
      </c>
      <c r="BL645" s="40" t="s">
        <v>2768</v>
      </c>
      <c r="BM645" s="40" t="s">
        <v>2768</v>
      </c>
    </row>
    <row r="646" spans="1:65" x14ac:dyDescent="0.25">
      <c r="A646" s="40" t="s">
        <v>2771</v>
      </c>
      <c r="B646" s="41">
        <v>44914.25</v>
      </c>
      <c r="C646" s="40" t="s">
        <v>353</v>
      </c>
      <c r="D646" s="40" t="s">
        <v>354</v>
      </c>
      <c r="E646" s="40">
        <v>8666132</v>
      </c>
      <c r="F646" s="40">
        <v>67533352</v>
      </c>
      <c r="G646" s="40" t="s">
        <v>2676</v>
      </c>
      <c r="H646" s="40" t="s">
        <v>301</v>
      </c>
      <c r="I646" s="40">
        <v>3900</v>
      </c>
      <c r="J646" s="40" t="s">
        <v>2677</v>
      </c>
      <c r="K646" s="40">
        <v>25628</v>
      </c>
      <c r="L646" s="40">
        <v>29528</v>
      </c>
      <c r="M646" s="40">
        <v>655422</v>
      </c>
      <c r="N646" s="40" t="s">
        <v>2579</v>
      </c>
      <c r="O646" s="40" t="s">
        <v>2389</v>
      </c>
      <c r="P646" s="40" t="s">
        <v>2390</v>
      </c>
      <c r="Q646" s="40" t="s">
        <v>2678</v>
      </c>
      <c r="R646" s="42" t="s">
        <v>2679</v>
      </c>
      <c r="S646" s="42" t="s">
        <v>2680</v>
      </c>
      <c r="T646" s="40" t="s">
        <v>537</v>
      </c>
      <c r="U646" s="41"/>
      <c r="V646" s="41">
        <v>44914.25</v>
      </c>
      <c r="W646" s="41">
        <v>44914.458333333336</v>
      </c>
      <c r="X646" s="40" t="s">
        <v>293</v>
      </c>
      <c r="Y646" s="41">
        <v>44914.857638888891</v>
      </c>
      <c r="Z646" s="41"/>
      <c r="AA646" s="41">
        <v>44914.5</v>
      </c>
      <c r="AB646" s="41">
        <v>44916.5</v>
      </c>
      <c r="AC646" s="40" t="s">
        <v>590</v>
      </c>
      <c r="AD646" s="40">
        <v>14640</v>
      </c>
      <c r="AE646" s="40"/>
      <c r="AF646" s="40"/>
      <c r="AG646" s="40"/>
      <c r="AH646" s="40"/>
      <c r="AI646" s="41"/>
      <c r="AJ646" s="40"/>
      <c r="AK646" s="43"/>
      <c r="AL646" s="40"/>
      <c r="AM646" s="43">
        <v>0</v>
      </c>
      <c r="AN646" s="43"/>
      <c r="AO646" s="43"/>
      <c r="AP646" s="43"/>
      <c r="AQ646" s="43">
        <v>0</v>
      </c>
      <c r="AR646" s="43">
        <v>0</v>
      </c>
      <c r="AS646" s="43"/>
      <c r="AT646" s="43">
        <v>0</v>
      </c>
      <c r="AU646" s="43"/>
      <c r="AV646" s="43"/>
      <c r="AW646" s="43"/>
      <c r="AX646" s="43">
        <v>0</v>
      </c>
      <c r="AY646" s="43">
        <v>0</v>
      </c>
      <c r="AZ646" s="43">
        <v>0</v>
      </c>
      <c r="BA646" s="43">
        <v>0</v>
      </c>
      <c r="BB646" s="43">
        <v>0</v>
      </c>
      <c r="BC646" s="43">
        <v>0</v>
      </c>
      <c r="BD646" s="43">
        <v>0</v>
      </c>
      <c r="BE646" s="43">
        <v>0</v>
      </c>
      <c r="BF646" s="43">
        <v>0</v>
      </c>
      <c r="BG646" s="43">
        <v>0</v>
      </c>
      <c r="BH646" s="43">
        <v>0</v>
      </c>
      <c r="BI646" s="40" t="s">
        <v>2486</v>
      </c>
      <c r="BJ646" s="40">
        <v>2022</v>
      </c>
      <c r="BK646" s="40" t="s">
        <v>2768</v>
      </c>
      <c r="BL646" s="40" t="s">
        <v>2768</v>
      </c>
      <c r="BM646" s="40" t="s">
        <v>2768</v>
      </c>
    </row>
    <row r="647" spans="1:65" x14ac:dyDescent="0.25">
      <c r="A647" s="40" t="s">
        <v>2771</v>
      </c>
      <c r="B647" s="41">
        <v>44915.25</v>
      </c>
      <c r="C647" s="40" t="s">
        <v>2549</v>
      </c>
      <c r="D647" s="40" t="s">
        <v>2550</v>
      </c>
      <c r="E647" s="40" t="s">
        <v>2627</v>
      </c>
      <c r="F647" s="40" t="s">
        <v>2628</v>
      </c>
      <c r="G647" s="40" t="s">
        <v>2681</v>
      </c>
      <c r="H647" s="40" t="s">
        <v>301</v>
      </c>
      <c r="I647" s="40">
        <v>3700</v>
      </c>
      <c r="J647" s="40" t="s">
        <v>2682</v>
      </c>
      <c r="K647" s="40">
        <v>25050</v>
      </c>
      <c r="L647" s="40">
        <v>28750</v>
      </c>
      <c r="M647" s="40">
        <v>13790</v>
      </c>
      <c r="N647" s="40" t="s">
        <v>2555</v>
      </c>
      <c r="O647" s="40" t="s">
        <v>31</v>
      </c>
      <c r="P647" s="40" t="s">
        <v>32</v>
      </c>
      <c r="Q647" s="40" t="s">
        <v>33</v>
      </c>
      <c r="R647" s="42" t="s">
        <v>34</v>
      </c>
      <c r="S647" s="42" t="s">
        <v>35</v>
      </c>
      <c r="T647" s="40" t="s">
        <v>469</v>
      </c>
      <c r="U647" s="41"/>
      <c r="V647" s="41">
        <v>44915.291666666664</v>
      </c>
      <c r="W647" s="41">
        <v>44915.625</v>
      </c>
      <c r="X647" s="40" t="s">
        <v>410</v>
      </c>
      <c r="Y647" s="41">
        <v>44923.12222222222</v>
      </c>
      <c r="Z647" s="41">
        <v>44920.291666666664</v>
      </c>
      <c r="AA647" s="41">
        <v>44917.666666666664</v>
      </c>
      <c r="AB647" s="41">
        <v>44923.5</v>
      </c>
      <c r="AC647" s="40" t="s">
        <v>2556</v>
      </c>
      <c r="AD647" s="40">
        <v>14665</v>
      </c>
      <c r="AE647" s="40"/>
      <c r="AF647" s="40"/>
      <c r="AG647" s="40"/>
      <c r="AH647" s="40" t="s">
        <v>2557</v>
      </c>
      <c r="AI647" s="41">
        <v>44916.269444444442</v>
      </c>
      <c r="AJ647" s="40"/>
      <c r="AK647" s="43">
        <v>930</v>
      </c>
      <c r="AL647" s="40"/>
      <c r="AM647" s="43">
        <v>0</v>
      </c>
      <c r="AN647" s="43"/>
      <c r="AO647" s="43"/>
      <c r="AP647" s="43"/>
      <c r="AQ647" s="43">
        <v>0</v>
      </c>
      <c r="AR647" s="43">
        <v>0</v>
      </c>
      <c r="AS647" s="43"/>
      <c r="AT647" s="43">
        <v>0</v>
      </c>
      <c r="AU647" s="43"/>
      <c r="AV647" s="43"/>
      <c r="AW647" s="43"/>
      <c r="AX647" s="43">
        <v>0</v>
      </c>
      <c r="AY647" s="43">
        <v>0</v>
      </c>
      <c r="AZ647" s="43">
        <v>0</v>
      </c>
      <c r="BA647" s="43">
        <v>0</v>
      </c>
      <c r="BB647" s="43">
        <v>0</v>
      </c>
      <c r="BC647" s="43">
        <v>0</v>
      </c>
      <c r="BD647" s="43">
        <v>0</v>
      </c>
      <c r="BE647" s="43">
        <v>0</v>
      </c>
      <c r="BF647" s="43">
        <v>0</v>
      </c>
      <c r="BG647" s="43">
        <v>0</v>
      </c>
      <c r="BH647" s="43">
        <v>0</v>
      </c>
      <c r="BI647" s="40" t="s">
        <v>2486</v>
      </c>
      <c r="BJ647" s="40">
        <v>2022</v>
      </c>
      <c r="BK647" s="40" t="s">
        <v>2768</v>
      </c>
      <c r="BL647" s="40" t="s">
        <v>2768</v>
      </c>
      <c r="BM647" s="40" t="s">
        <v>2768</v>
      </c>
    </row>
    <row r="648" spans="1:65" x14ac:dyDescent="0.25">
      <c r="A648" s="40" t="s">
        <v>2771</v>
      </c>
      <c r="B648" s="41">
        <v>44915.25</v>
      </c>
      <c r="C648" s="40" t="s">
        <v>2549</v>
      </c>
      <c r="D648" s="40" t="s">
        <v>2550</v>
      </c>
      <c r="E648" s="40" t="s">
        <v>2627</v>
      </c>
      <c r="F648" s="40" t="s">
        <v>2628</v>
      </c>
      <c r="G648" s="40" t="s">
        <v>2683</v>
      </c>
      <c r="H648" s="40" t="s">
        <v>301</v>
      </c>
      <c r="I648" s="40">
        <v>3700</v>
      </c>
      <c r="J648" s="40" t="s">
        <v>2684</v>
      </c>
      <c r="K648" s="40">
        <v>25050</v>
      </c>
      <c r="L648" s="40">
        <v>28750</v>
      </c>
      <c r="M648" s="40">
        <v>13788</v>
      </c>
      <c r="N648" s="40" t="s">
        <v>2555</v>
      </c>
      <c r="O648" s="40" t="s">
        <v>2685</v>
      </c>
      <c r="P648" s="40" t="s">
        <v>2686</v>
      </c>
      <c r="Q648" s="40" t="s">
        <v>2687</v>
      </c>
      <c r="R648" s="42" t="s">
        <v>19</v>
      </c>
      <c r="S648" s="42"/>
      <c r="T648" s="40" t="s">
        <v>469</v>
      </c>
      <c r="U648" s="41"/>
      <c r="V648" s="41">
        <v>44915.291666666664</v>
      </c>
      <c r="W648" s="41">
        <v>44915.625</v>
      </c>
      <c r="X648" s="40" t="s">
        <v>410</v>
      </c>
      <c r="Y648" s="41">
        <v>44923.160416666666</v>
      </c>
      <c r="Z648" s="41">
        <v>44920.291666666664</v>
      </c>
      <c r="AA648" s="41">
        <v>44917.666666666664</v>
      </c>
      <c r="AB648" s="41">
        <v>44923.5</v>
      </c>
      <c r="AC648" s="40" t="s">
        <v>2556</v>
      </c>
      <c r="AD648" s="40">
        <v>14667</v>
      </c>
      <c r="AE648" s="40"/>
      <c r="AF648" s="40"/>
      <c r="AG648" s="40"/>
      <c r="AH648" s="40" t="s">
        <v>2557</v>
      </c>
      <c r="AI648" s="41">
        <v>44916.486111111109</v>
      </c>
      <c r="AJ648" s="40"/>
      <c r="AK648" s="43">
        <v>930</v>
      </c>
      <c r="AL648" s="40"/>
      <c r="AM648" s="43">
        <v>0</v>
      </c>
      <c r="AN648" s="43"/>
      <c r="AO648" s="43"/>
      <c r="AP648" s="43"/>
      <c r="AQ648" s="43">
        <v>0</v>
      </c>
      <c r="AR648" s="43">
        <v>0</v>
      </c>
      <c r="AS648" s="43"/>
      <c r="AT648" s="43">
        <v>0</v>
      </c>
      <c r="AU648" s="43"/>
      <c r="AV648" s="43"/>
      <c r="AW648" s="43"/>
      <c r="AX648" s="43">
        <v>0</v>
      </c>
      <c r="AY648" s="43">
        <v>0</v>
      </c>
      <c r="AZ648" s="43">
        <v>0</v>
      </c>
      <c r="BA648" s="43">
        <v>0</v>
      </c>
      <c r="BB648" s="43">
        <v>0</v>
      </c>
      <c r="BC648" s="43">
        <v>0</v>
      </c>
      <c r="BD648" s="43">
        <v>0</v>
      </c>
      <c r="BE648" s="43">
        <v>0</v>
      </c>
      <c r="BF648" s="43">
        <v>0</v>
      </c>
      <c r="BG648" s="43">
        <v>0</v>
      </c>
      <c r="BH648" s="43">
        <v>0</v>
      </c>
      <c r="BI648" s="40" t="s">
        <v>2486</v>
      </c>
      <c r="BJ648" s="40">
        <v>2022</v>
      </c>
      <c r="BK648" s="40" t="s">
        <v>2768</v>
      </c>
      <c r="BL648" s="40" t="s">
        <v>2768</v>
      </c>
      <c r="BM648" s="40" t="s">
        <v>2768</v>
      </c>
    </row>
    <row r="649" spans="1:65" x14ac:dyDescent="0.25">
      <c r="A649" s="40" t="s">
        <v>2771</v>
      </c>
      <c r="B649" s="41">
        <v>44915.25</v>
      </c>
      <c r="C649" s="40" t="s">
        <v>2549</v>
      </c>
      <c r="D649" s="40" t="s">
        <v>2550</v>
      </c>
      <c r="E649" s="40" t="s">
        <v>2627</v>
      </c>
      <c r="F649" s="40" t="s">
        <v>2628</v>
      </c>
      <c r="G649" s="40" t="s">
        <v>2688</v>
      </c>
      <c r="H649" s="40" t="s">
        <v>301</v>
      </c>
      <c r="I649" s="40">
        <v>3700</v>
      </c>
      <c r="J649" s="40" t="s">
        <v>2689</v>
      </c>
      <c r="K649" s="40">
        <v>25050</v>
      </c>
      <c r="L649" s="40">
        <v>28750</v>
      </c>
      <c r="M649" s="40">
        <v>13791</v>
      </c>
      <c r="N649" s="40" t="s">
        <v>2555</v>
      </c>
      <c r="O649" s="40" t="s">
        <v>102</v>
      </c>
      <c r="P649" s="40" t="s">
        <v>27</v>
      </c>
      <c r="Q649" s="40" t="s">
        <v>206</v>
      </c>
      <c r="R649" s="42" t="s">
        <v>207</v>
      </c>
      <c r="S649" s="42" t="s">
        <v>208</v>
      </c>
      <c r="T649" s="40" t="s">
        <v>469</v>
      </c>
      <c r="U649" s="41"/>
      <c r="V649" s="41">
        <v>44915.729166666664</v>
      </c>
      <c r="W649" s="41">
        <v>44915.875</v>
      </c>
      <c r="X649" s="40" t="s">
        <v>410</v>
      </c>
      <c r="Y649" s="41">
        <v>44923.175000000003</v>
      </c>
      <c r="Z649" s="41">
        <v>44920.291666666664</v>
      </c>
      <c r="AA649" s="41">
        <v>44917.666666666664</v>
      </c>
      <c r="AB649" s="41">
        <v>44923.5</v>
      </c>
      <c r="AC649" s="40" t="s">
        <v>2556</v>
      </c>
      <c r="AD649" s="40">
        <v>14666</v>
      </c>
      <c r="AE649" s="40"/>
      <c r="AF649" s="40"/>
      <c r="AG649" s="40"/>
      <c r="AH649" s="40" t="s">
        <v>2557</v>
      </c>
      <c r="AI649" s="41">
        <v>44916.076388888891</v>
      </c>
      <c r="AJ649" s="40"/>
      <c r="AK649" s="43">
        <v>930</v>
      </c>
      <c r="AL649" s="40"/>
      <c r="AM649" s="43">
        <v>0</v>
      </c>
      <c r="AN649" s="43"/>
      <c r="AO649" s="43"/>
      <c r="AP649" s="43"/>
      <c r="AQ649" s="43">
        <v>0</v>
      </c>
      <c r="AR649" s="43">
        <v>0</v>
      </c>
      <c r="AS649" s="43"/>
      <c r="AT649" s="43">
        <v>0</v>
      </c>
      <c r="AU649" s="43"/>
      <c r="AV649" s="43"/>
      <c r="AW649" s="43"/>
      <c r="AX649" s="43">
        <v>0</v>
      </c>
      <c r="AY649" s="43">
        <v>0</v>
      </c>
      <c r="AZ649" s="43">
        <v>0</v>
      </c>
      <c r="BA649" s="43">
        <v>0</v>
      </c>
      <c r="BB649" s="43">
        <v>0</v>
      </c>
      <c r="BC649" s="43">
        <v>0</v>
      </c>
      <c r="BD649" s="43">
        <v>0</v>
      </c>
      <c r="BE649" s="43">
        <v>0</v>
      </c>
      <c r="BF649" s="43">
        <v>0</v>
      </c>
      <c r="BG649" s="43">
        <v>0</v>
      </c>
      <c r="BH649" s="43">
        <v>0</v>
      </c>
      <c r="BI649" s="40" t="s">
        <v>2486</v>
      </c>
      <c r="BJ649" s="40">
        <v>2022</v>
      </c>
      <c r="BK649" s="40" t="s">
        <v>2768</v>
      </c>
      <c r="BL649" s="40" t="s">
        <v>2768</v>
      </c>
      <c r="BM649" s="40" t="s">
        <v>2768</v>
      </c>
    </row>
    <row r="650" spans="1:65" x14ac:dyDescent="0.25">
      <c r="A650" s="40" t="s">
        <v>2771</v>
      </c>
      <c r="B650" s="41">
        <v>44915.25</v>
      </c>
      <c r="C650" s="40" t="s">
        <v>2549</v>
      </c>
      <c r="D650" s="40" t="s">
        <v>2550</v>
      </c>
      <c r="E650" s="40" t="s">
        <v>2627</v>
      </c>
      <c r="F650" s="40" t="s">
        <v>2628</v>
      </c>
      <c r="G650" s="40" t="s">
        <v>2690</v>
      </c>
      <c r="H650" s="40" t="s">
        <v>301</v>
      </c>
      <c r="I650" s="40">
        <v>3620</v>
      </c>
      <c r="J650" s="40" t="s">
        <v>2691</v>
      </c>
      <c r="K650" s="40">
        <v>25050</v>
      </c>
      <c r="L650" s="40">
        <v>28670</v>
      </c>
      <c r="M650" s="40">
        <v>13792</v>
      </c>
      <c r="N650" s="40" t="s">
        <v>2555</v>
      </c>
      <c r="O650" s="40" t="s">
        <v>68</v>
      </c>
      <c r="P650" s="40" t="s">
        <v>36</v>
      </c>
      <c r="Q650" s="40" t="s">
        <v>69</v>
      </c>
      <c r="R650" s="42" t="s">
        <v>70</v>
      </c>
      <c r="S650" s="42" t="s">
        <v>71</v>
      </c>
      <c r="T650" s="40" t="s">
        <v>469</v>
      </c>
      <c r="U650" s="41"/>
      <c r="V650" s="41">
        <v>44915.291666666664</v>
      </c>
      <c r="W650" s="41">
        <v>44915.625</v>
      </c>
      <c r="X650" s="40" t="s">
        <v>410</v>
      </c>
      <c r="Y650" s="41">
        <v>44923.161111111112</v>
      </c>
      <c r="Z650" s="41">
        <v>44920.291666666664</v>
      </c>
      <c r="AA650" s="41">
        <v>44917.666666666664</v>
      </c>
      <c r="AB650" s="41">
        <v>44923.5</v>
      </c>
      <c r="AC650" s="40" t="s">
        <v>2556</v>
      </c>
      <c r="AD650" s="40">
        <v>14668</v>
      </c>
      <c r="AE650" s="40"/>
      <c r="AF650" s="40"/>
      <c r="AG650" s="40"/>
      <c r="AH650" s="40" t="s">
        <v>2557</v>
      </c>
      <c r="AI650" s="41">
        <v>44916.076388888891</v>
      </c>
      <c r="AJ650" s="40"/>
      <c r="AK650" s="43">
        <v>930</v>
      </c>
      <c r="AL650" s="40"/>
      <c r="AM650" s="43">
        <v>0</v>
      </c>
      <c r="AN650" s="43"/>
      <c r="AO650" s="43"/>
      <c r="AP650" s="43"/>
      <c r="AQ650" s="43">
        <v>0</v>
      </c>
      <c r="AR650" s="43">
        <v>0</v>
      </c>
      <c r="AS650" s="43"/>
      <c r="AT650" s="43">
        <v>0</v>
      </c>
      <c r="AU650" s="43"/>
      <c r="AV650" s="43"/>
      <c r="AW650" s="43"/>
      <c r="AX650" s="43">
        <v>0</v>
      </c>
      <c r="AY650" s="43">
        <v>0</v>
      </c>
      <c r="AZ650" s="43">
        <v>0</v>
      </c>
      <c r="BA650" s="43">
        <v>0</v>
      </c>
      <c r="BB650" s="43">
        <v>0</v>
      </c>
      <c r="BC650" s="43">
        <v>0</v>
      </c>
      <c r="BD650" s="43">
        <v>0</v>
      </c>
      <c r="BE650" s="43">
        <v>0</v>
      </c>
      <c r="BF650" s="43">
        <v>0</v>
      </c>
      <c r="BG650" s="43">
        <v>0</v>
      </c>
      <c r="BH650" s="43">
        <v>0</v>
      </c>
      <c r="BI650" s="40" t="s">
        <v>2486</v>
      </c>
      <c r="BJ650" s="40">
        <v>2022</v>
      </c>
      <c r="BK650" s="40" t="s">
        <v>2768</v>
      </c>
      <c r="BL650" s="40" t="s">
        <v>2768</v>
      </c>
      <c r="BM650" s="40" t="s">
        <v>2768</v>
      </c>
    </row>
    <row r="651" spans="1:65" x14ac:dyDescent="0.25">
      <c r="A651" s="40" t="s">
        <v>2771</v>
      </c>
      <c r="B651" s="41">
        <v>44915.25</v>
      </c>
      <c r="C651" s="40" t="s">
        <v>2549</v>
      </c>
      <c r="D651" s="40" t="s">
        <v>2550</v>
      </c>
      <c r="E651" s="40" t="s">
        <v>2627</v>
      </c>
      <c r="F651" s="40" t="s">
        <v>2628</v>
      </c>
      <c r="G651" s="40" t="s">
        <v>2692</v>
      </c>
      <c r="H651" s="40" t="s">
        <v>301</v>
      </c>
      <c r="I651" s="40">
        <v>3700</v>
      </c>
      <c r="J651" s="40" t="s">
        <v>2693</v>
      </c>
      <c r="K651" s="40">
        <v>25050</v>
      </c>
      <c r="L651" s="40">
        <v>28750</v>
      </c>
      <c r="M651" s="40">
        <v>13797</v>
      </c>
      <c r="N651" s="40" t="s">
        <v>2555</v>
      </c>
      <c r="O651" s="40" t="s">
        <v>72</v>
      </c>
      <c r="P651" s="40" t="s">
        <v>73</v>
      </c>
      <c r="Q651" s="40" t="s">
        <v>203</v>
      </c>
      <c r="R651" s="42" t="s">
        <v>153</v>
      </c>
      <c r="S651" s="42" t="s">
        <v>154</v>
      </c>
      <c r="T651" s="40" t="s">
        <v>469</v>
      </c>
      <c r="U651" s="41"/>
      <c r="V651" s="41">
        <v>44915.291666666664</v>
      </c>
      <c r="W651" s="41">
        <v>44915.625</v>
      </c>
      <c r="X651" s="40" t="s">
        <v>410</v>
      </c>
      <c r="Y651" s="41">
        <v>44923.15625</v>
      </c>
      <c r="Z651" s="41">
        <v>44920.291666666664</v>
      </c>
      <c r="AA651" s="41">
        <v>44917.666666666664</v>
      </c>
      <c r="AB651" s="41">
        <v>44923.5</v>
      </c>
      <c r="AC651" s="40" t="s">
        <v>2556</v>
      </c>
      <c r="AD651" s="40">
        <v>14678</v>
      </c>
      <c r="AE651" s="40"/>
      <c r="AF651" s="40"/>
      <c r="AG651" s="40"/>
      <c r="AH651" s="40" t="s">
        <v>2557</v>
      </c>
      <c r="AI651" s="41">
        <v>44916.708333333336</v>
      </c>
      <c r="AJ651" s="40"/>
      <c r="AK651" s="43">
        <v>930</v>
      </c>
      <c r="AL651" s="40"/>
      <c r="AM651" s="43">
        <v>0</v>
      </c>
      <c r="AN651" s="43"/>
      <c r="AO651" s="43"/>
      <c r="AP651" s="43"/>
      <c r="AQ651" s="43">
        <v>0</v>
      </c>
      <c r="AR651" s="43">
        <v>0</v>
      </c>
      <c r="AS651" s="43"/>
      <c r="AT651" s="43">
        <v>0</v>
      </c>
      <c r="AU651" s="43"/>
      <c r="AV651" s="43"/>
      <c r="AW651" s="43"/>
      <c r="AX651" s="43">
        <v>0</v>
      </c>
      <c r="AY651" s="43">
        <v>0</v>
      </c>
      <c r="AZ651" s="43">
        <v>0</v>
      </c>
      <c r="BA651" s="43">
        <v>0</v>
      </c>
      <c r="BB651" s="43">
        <v>0</v>
      </c>
      <c r="BC651" s="43">
        <v>0</v>
      </c>
      <c r="BD651" s="43">
        <v>0</v>
      </c>
      <c r="BE651" s="43">
        <v>0</v>
      </c>
      <c r="BF651" s="43">
        <v>0</v>
      </c>
      <c r="BG651" s="43">
        <v>0</v>
      </c>
      <c r="BH651" s="43">
        <v>0</v>
      </c>
      <c r="BI651" s="40" t="s">
        <v>2486</v>
      </c>
      <c r="BJ651" s="40">
        <v>2022</v>
      </c>
      <c r="BK651" s="40" t="s">
        <v>2768</v>
      </c>
      <c r="BL651" s="40" t="s">
        <v>2768</v>
      </c>
      <c r="BM651" s="40" t="s">
        <v>2768</v>
      </c>
    </row>
    <row r="652" spans="1:65" x14ac:dyDescent="0.25">
      <c r="A652" s="40" t="s">
        <v>2771</v>
      </c>
      <c r="B652" s="41">
        <v>44915.25</v>
      </c>
      <c r="C652" s="40" t="s">
        <v>2549</v>
      </c>
      <c r="D652" s="40" t="s">
        <v>2550</v>
      </c>
      <c r="E652" s="40" t="s">
        <v>2627</v>
      </c>
      <c r="F652" s="40" t="s">
        <v>2628</v>
      </c>
      <c r="G652" s="40" t="s">
        <v>2694</v>
      </c>
      <c r="H652" s="40" t="s">
        <v>301</v>
      </c>
      <c r="I652" s="40">
        <v>3700</v>
      </c>
      <c r="J652" s="40" t="s">
        <v>2695</v>
      </c>
      <c r="K652" s="40">
        <v>25050</v>
      </c>
      <c r="L652" s="40">
        <v>28750</v>
      </c>
      <c r="M652" s="40">
        <v>13794</v>
      </c>
      <c r="N652" s="40" t="s">
        <v>2555</v>
      </c>
      <c r="O652" s="40" t="s">
        <v>155</v>
      </c>
      <c r="P652" s="40" t="s">
        <v>107</v>
      </c>
      <c r="Q652" s="40" t="s">
        <v>156</v>
      </c>
      <c r="R652" s="42" t="s">
        <v>157</v>
      </c>
      <c r="S652" s="42" t="s">
        <v>158</v>
      </c>
      <c r="T652" s="40" t="s">
        <v>469</v>
      </c>
      <c r="U652" s="41"/>
      <c r="V652" s="41">
        <v>44915.291666666664</v>
      </c>
      <c r="W652" s="41">
        <v>44915.625</v>
      </c>
      <c r="X652" s="40" t="s">
        <v>410</v>
      </c>
      <c r="Y652" s="41">
        <v>44922.984722222223</v>
      </c>
      <c r="Z652" s="41">
        <v>44920.291666666664</v>
      </c>
      <c r="AA652" s="41">
        <v>44917.666666666664</v>
      </c>
      <c r="AB652" s="41">
        <v>44923.5</v>
      </c>
      <c r="AC652" s="40" t="s">
        <v>2556</v>
      </c>
      <c r="AD652" s="40">
        <v>14669</v>
      </c>
      <c r="AE652" s="40"/>
      <c r="AF652" s="40"/>
      <c r="AG652" s="40"/>
      <c r="AH652" s="40" t="s">
        <v>2557</v>
      </c>
      <c r="AI652" s="41">
        <v>44916.270833333336</v>
      </c>
      <c r="AJ652" s="40"/>
      <c r="AK652" s="43">
        <v>930</v>
      </c>
      <c r="AL652" s="40"/>
      <c r="AM652" s="43">
        <v>0</v>
      </c>
      <c r="AN652" s="43"/>
      <c r="AO652" s="43"/>
      <c r="AP652" s="43"/>
      <c r="AQ652" s="43">
        <v>0</v>
      </c>
      <c r="AR652" s="43">
        <v>0</v>
      </c>
      <c r="AS652" s="43"/>
      <c r="AT652" s="43">
        <v>0</v>
      </c>
      <c r="AU652" s="43"/>
      <c r="AV652" s="43"/>
      <c r="AW652" s="43"/>
      <c r="AX652" s="43">
        <v>0</v>
      </c>
      <c r="AY652" s="43">
        <v>0</v>
      </c>
      <c r="AZ652" s="43">
        <v>0</v>
      </c>
      <c r="BA652" s="43">
        <v>0</v>
      </c>
      <c r="BB652" s="43">
        <v>0</v>
      </c>
      <c r="BC652" s="43">
        <v>0</v>
      </c>
      <c r="BD652" s="43">
        <v>0</v>
      </c>
      <c r="BE652" s="43">
        <v>0</v>
      </c>
      <c r="BF652" s="43">
        <v>0</v>
      </c>
      <c r="BG652" s="43">
        <v>0</v>
      </c>
      <c r="BH652" s="43">
        <v>0</v>
      </c>
      <c r="BI652" s="40" t="s">
        <v>2486</v>
      </c>
      <c r="BJ652" s="40">
        <v>2022</v>
      </c>
      <c r="BK652" s="40" t="s">
        <v>2768</v>
      </c>
      <c r="BL652" s="40" t="s">
        <v>2768</v>
      </c>
      <c r="BM652" s="40" t="s">
        <v>2768</v>
      </c>
    </row>
    <row r="653" spans="1:65" x14ac:dyDescent="0.25">
      <c r="A653" s="40" t="s">
        <v>2771</v>
      </c>
      <c r="B653" s="41">
        <v>44915.25</v>
      </c>
      <c r="C653" s="40" t="s">
        <v>2549</v>
      </c>
      <c r="D653" s="40" t="s">
        <v>2550</v>
      </c>
      <c r="E653" s="40" t="s">
        <v>2627</v>
      </c>
      <c r="F653" s="40" t="s">
        <v>2628</v>
      </c>
      <c r="G653" s="40" t="s">
        <v>2696</v>
      </c>
      <c r="H653" s="40" t="s">
        <v>301</v>
      </c>
      <c r="I653" s="40">
        <v>3840</v>
      </c>
      <c r="J653" s="40" t="s">
        <v>2697</v>
      </c>
      <c r="K653" s="40">
        <v>25050</v>
      </c>
      <c r="L653" s="40">
        <v>28890</v>
      </c>
      <c r="M653" s="40">
        <v>13796</v>
      </c>
      <c r="N653" s="40" t="s">
        <v>2555</v>
      </c>
      <c r="O653" s="40" t="s">
        <v>16</v>
      </c>
      <c r="P653" s="40" t="s">
        <v>17</v>
      </c>
      <c r="Q653" s="40" t="s">
        <v>18</v>
      </c>
      <c r="R653" s="42" t="s">
        <v>19</v>
      </c>
      <c r="S653" s="42" t="s">
        <v>20</v>
      </c>
      <c r="T653" s="40" t="s">
        <v>469</v>
      </c>
      <c r="U653" s="41"/>
      <c r="V653" s="41">
        <v>44915.291666666664</v>
      </c>
      <c r="W653" s="41">
        <v>44915.625</v>
      </c>
      <c r="X653" s="40" t="s">
        <v>410</v>
      </c>
      <c r="Y653" s="41">
        <v>44923.159722222219</v>
      </c>
      <c r="Z653" s="41">
        <v>44920.291666666664</v>
      </c>
      <c r="AA653" s="41">
        <v>44917.666666666664</v>
      </c>
      <c r="AB653" s="41">
        <v>44923.5</v>
      </c>
      <c r="AC653" s="40" t="s">
        <v>2556</v>
      </c>
      <c r="AD653" s="40">
        <v>14670</v>
      </c>
      <c r="AE653" s="40"/>
      <c r="AF653" s="40"/>
      <c r="AG653" s="40"/>
      <c r="AH653" s="40" t="s">
        <v>2557</v>
      </c>
      <c r="AI653" s="41">
        <v>44916.152777777781</v>
      </c>
      <c r="AJ653" s="40"/>
      <c r="AK653" s="43">
        <v>930</v>
      </c>
      <c r="AL653" s="40"/>
      <c r="AM653" s="43">
        <v>0</v>
      </c>
      <c r="AN653" s="43"/>
      <c r="AO653" s="43"/>
      <c r="AP653" s="43"/>
      <c r="AQ653" s="43">
        <v>0</v>
      </c>
      <c r="AR653" s="43">
        <v>0</v>
      </c>
      <c r="AS653" s="43"/>
      <c r="AT653" s="43">
        <v>0</v>
      </c>
      <c r="AU653" s="43"/>
      <c r="AV653" s="43"/>
      <c r="AW653" s="43"/>
      <c r="AX653" s="43">
        <v>0</v>
      </c>
      <c r="AY653" s="43">
        <v>0</v>
      </c>
      <c r="AZ653" s="43">
        <v>0</v>
      </c>
      <c r="BA653" s="43">
        <v>0</v>
      </c>
      <c r="BB653" s="43">
        <v>0</v>
      </c>
      <c r="BC653" s="43">
        <v>0</v>
      </c>
      <c r="BD653" s="43">
        <v>0</v>
      </c>
      <c r="BE653" s="43">
        <v>0</v>
      </c>
      <c r="BF653" s="43">
        <v>0</v>
      </c>
      <c r="BG653" s="43">
        <v>0</v>
      </c>
      <c r="BH653" s="43">
        <v>0</v>
      </c>
      <c r="BI653" s="40" t="s">
        <v>2486</v>
      </c>
      <c r="BJ653" s="40">
        <v>2022</v>
      </c>
      <c r="BK653" s="40" t="s">
        <v>2768</v>
      </c>
      <c r="BL653" s="40" t="s">
        <v>2768</v>
      </c>
      <c r="BM653" s="40" t="s">
        <v>2768</v>
      </c>
    </row>
    <row r="654" spans="1:65" x14ac:dyDescent="0.25">
      <c r="A654" s="40" t="s">
        <v>2771</v>
      </c>
      <c r="B654" s="41">
        <v>44915.25</v>
      </c>
      <c r="C654" s="40" t="s">
        <v>2549</v>
      </c>
      <c r="D654" s="40" t="s">
        <v>2550</v>
      </c>
      <c r="E654" s="40" t="s">
        <v>2627</v>
      </c>
      <c r="F654" s="40" t="s">
        <v>2628</v>
      </c>
      <c r="G654" s="40" t="s">
        <v>2698</v>
      </c>
      <c r="H654" s="40" t="s">
        <v>301</v>
      </c>
      <c r="I654" s="40">
        <v>3820</v>
      </c>
      <c r="J654" s="40" t="s">
        <v>2699</v>
      </c>
      <c r="K654" s="40">
        <v>25050</v>
      </c>
      <c r="L654" s="40">
        <v>28870</v>
      </c>
      <c r="M654" s="40">
        <v>13795</v>
      </c>
      <c r="N654" s="40" t="s">
        <v>2555</v>
      </c>
      <c r="O654" s="40" t="s">
        <v>2700</v>
      </c>
      <c r="P654" s="40" t="s">
        <v>2701</v>
      </c>
      <c r="Q654" s="40" t="s">
        <v>2702</v>
      </c>
      <c r="R654" s="42" t="s">
        <v>2703</v>
      </c>
      <c r="S654" s="42" t="s">
        <v>2704</v>
      </c>
      <c r="T654" s="40" t="s">
        <v>469</v>
      </c>
      <c r="U654" s="41"/>
      <c r="V654" s="41">
        <v>44915.291666666664</v>
      </c>
      <c r="W654" s="41">
        <v>44915.625</v>
      </c>
      <c r="X654" s="40" t="s">
        <v>410</v>
      </c>
      <c r="Y654" s="41">
        <v>44922.981249999997</v>
      </c>
      <c r="Z654" s="41">
        <v>44920.291666666664</v>
      </c>
      <c r="AA654" s="41">
        <v>44917.666666666664</v>
      </c>
      <c r="AB654" s="41">
        <v>44923.5</v>
      </c>
      <c r="AC654" s="40" t="s">
        <v>2556</v>
      </c>
      <c r="AD654" s="40">
        <v>14671</v>
      </c>
      <c r="AE654" s="40"/>
      <c r="AF654" s="40"/>
      <c r="AG654" s="40"/>
      <c r="AH654" s="40" t="s">
        <v>2557</v>
      </c>
      <c r="AI654" s="41">
        <v>44916.020833333336</v>
      </c>
      <c r="AJ654" s="40"/>
      <c r="AK654" s="43">
        <v>930</v>
      </c>
      <c r="AL654" s="40"/>
      <c r="AM654" s="43">
        <v>0</v>
      </c>
      <c r="AN654" s="43"/>
      <c r="AO654" s="43"/>
      <c r="AP654" s="43"/>
      <c r="AQ654" s="43">
        <v>0</v>
      </c>
      <c r="AR654" s="43">
        <v>0</v>
      </c>
      <c r="AS654" s="43"/>
      <c r="AT654" s="43">
        <v>0</v>
      </c>
      <c r="AU654" s="43"/>
      <c r="AV654" s="43"/>
      <c r="AW654" s="43"/>
      <c r="AX654" s="43">
        <v>0</v>
      </c>
      <c r="AY654" s="43">
        <v>0</v>
      </c>
      <c r="AZ654" s="43">
        <v>0</v>
      </c>
      <c r="BA654" s="43">
        <v>0</v>
      </c>
      <c r="BB654" s="43">
        <v>0</v>
      </c>
      <c r="BC654" s="43">
        <v>0</v>
      </c>
      <c r="BD654" s="43">
        <v>0</v>
      </c>
      <c r="BE654" s="43">
        <v>0</v>
      </c>
      <c r="BF654" s="43">
        <v>0</v>
      </c>
      <c r="BG654" s="43">
        <v>0</v>
      </c>
      <c r="BH654" s="43">
        <v>0</v>
      </c>
      <c r="BI654" s="40" t="s">
        <v>2486</v>
      </c>
      <c r="BJ654" s="40">
        <v>2022</v>
      </c>
      <c r="BK654" s="40" t="s">
        <v>2768</v>
      </c>
      <c r="BL654" s="40" t="s">
        <v>2768</v>
      </c>
      <c r="BM654" s="40" t="s">
        <v>2768</v>
      </c>
    </row>
    <row r="655" spans="1:65" x14ac:dyDescent="0.25">
      <c r="A655" s="40" t="s">
        <v>2771</v>
      </c>
      <c r="B655" s="41">
        <v>44915.25</v>
      </c>
      <c r="C655" s="40" t="s">
        <v>2549</v>
      </c>
      <c r="D655" s="40" t="s">
        <v>2550</v>
      </c>
      <c r="E655" s="40" t="s">
        <v>2627</v>
      </c>
      <c r="F655" s="40" t="s">
        <v>2628</v>
      </c>
      <c r="G655" s="40" t="s">
        <v>2705</v>
      </c>
      <c r="H655" s="40" t="s">
        <v>301</v>
      </c>
      <c r="I655" s="40">
        <v>3830</v>
      </c>
      <c r="J655" s="40" t="s">
        <v>2706</v>
      </c>
      <c r="K655" s="40">
        <v>25050</v>
      </c>
      <c r="L655" s="40">
        <v>28880</v>
      </c>
      <c r="M655" s="40">
        <v>13789</v>
      </c>
      <c r="N655" s="40" t="s">
        <v>2555</v>
      </c>
      <c r="O655" s="40" t="s">
        <v>2707</v>
      </c>
      <c r="P655" s="40" t="s">
        <v>2708</v>
      </c>
      <c r="Q655" s="40" t="s">
        <v>2709</v>
      </c>
      <c r="R655" s="42" t="s">
        <v>2710</v>
      </c>
      <c r="S655" s="42" t="s">
        <v>2711</v>
      </c>
      <c r="T655" s="40" t="s">
        <v>469</v>
      </c>
      <c r="U655" s="41"/>
      <c r="V655" s="41">
        <v>44915.291666666664</v>
      </c>
      <c r="W655" s="41">
        <v>44915.75</v>
      </c>
      <c r="X655" s="40" t="s">
        <v>410</v>
      </c>
      <c r="Y655" s="41">
        <v>44923.116666666669</v>
      </c>
      <c r="Z655" s="41">
        <v>44920.291666666664</v>
      </c>
      <c r="AA655" s="41">
        <v>44917.666666666664</v>
      </c>
      <c r="AB655" s="41">
        <v>44923.5</v>
      </c>
      <c r="AC655" s="40" t="s">
        <v>2556</v>
      </c>
      <c r="AD655" s="40">
        <v>14672</v>
      </c>
      <c r="AE655" s="40"/>
      <c r="AF655" s="40"/>
      <c r="AG655" s="40"/>
      <c r="AH655" s="40" t="s">
        <v>2557</v>
      </c>
      <c r="AI655" s="41">
        <v>44916.125</v>
      </c>
      <c r="AJ655" s="40"/>
      <c r="AK655" s="43">
        <v>930</v>
      </c>
      <c r="AL655" s="40"/>
      <c r="AM655" s="43">
        <v>0</v>
      </c>
      <c r="AN655" s="43"/>
      <c r="AO655" s="43"/>
      <c r="AP655" s="43"/>
      <c r="AQ655" s="43">
        <v>0</v>
      </c>
      <c r="AR655" s="43">
        <v>0</v>
      </c>
      <c r="AS655" s="43"/>
      <c r="AT655" s="43">
        <v>0</v>
      </c>
      <c r="AU655" s="43"/>
      <c r="AV655" s="43"/>
      <c r="AW655" s="43"/>
      <c r="AX655" s="43">
        <v>0</v>
      </c>
      <c r="AY655" s="43">
        <v>0</v>
      </c>
      <c r="AZ655" s="43">
        <v>0</v>
      </c>
      <c r="BA655" s="43">
        <v>0</v>
      </c>
      <c r="BB655" s="43">
        <v>0</v>
      </c>
      <c r="BC655" s="43">
        <v>0</v>
      </c>
      <c r="BD655" s="43">
        <v>0</v>
      </c>
      <c r="BE655" s="43">
        <v>0</v>
      </c>
      <c r="BF655" s="43">
        <v>0</v>
      </c>
      <c r="BG655" s="43">
        <v>0</v>
      </c>
      <c r="BH655" s="43">
        <v>0</v>
      </c>
      <c r="BI655" s="40" t="s">
        <v>2486</v>
      </c>
      <c r="BJ655" s="40">
        <v>2022</v>
      </c>
      <c r="BK655" s="40" t="s">
        <v>2768</v>
      </c>
      <c r="BL655" s="40" t="s">
        <v>2768</v>
      </c>
      <c r="BM655" s="40" t="s">
        <v>2768</v>
      </c>
    </row>
    <row r="656" spans="1:65" x14ac:dyDescent="0.25">
      <c r="A656" s="40" t="s">
        <v>2771</v>
      </c>
      <c r="B656" s="41">
        <v>44915.25</v>
      </c>
      <c r="C656" s="40" t="s">
        <v>2549</v>
      </c>
      <c r="D656" s="40" t="s">
        <v>2550</v>
      </c>
      <c r="E656" s="40" t="s">
        <v>2627</v>
      </c>
      <c r="F656" s="40" t="s">
        <v>2628</v>
      </c>
      <c r="G656" s="40" t="s">
        <v>2712</v>
      </c>
      <c r="H656" s="40" t="s">
        <v>301</v>
      </c>
      <c r="I656" s="40">
        <v>3700</v>
      </c>
      <c r="J656" s="40" t="s">
        <v>2713</v>
      </c>
      <c r="K656" s="40">
        <v>25050</v>
      </c>
      <c r="L656" s="40">
        <v>28750</v>
      </c>
      <c r="M656" s="40">
        <v>13793</v>
      </c>
      <c r="N656" s="40" t="s">
        <v>2555</v>
      </c>
      <c r="O656" s="40" t="s">
        <v>2714</v>
      </c>
      <c r="P656" s="40" t="s">
        <v>2715</v>
      </c>
      <c r="Q656" s="40" t="s">
        <v>2716</v>
      </c>
      <c r="R656" s="42" t="s">
        <v>2717</v>
      </c>
      <c r="S656" s="42" t="s">
        <v>2718</v>
      </c>
      <c r="T656" s="40" t="s">
        <v>469</v>
      </c>
      <c r="U656" s="41"/>
      <c r="V656" s="41">
        <v>44915.291666666664</v>
      </c>
      <c r="W656" s="41">
        <v>44915.625</v>
      </c>
      <c r="X656" s="40" t="s">
        <v>410</v>
      </c>
      <c r="Y656" s="41">
        <v>44923.013194444444</v>
      </c>
      <c r="Z656" s="41">
        <v>44920.291666666664</v>
      </c>
      <c r="AA656" s="41">
        <v>44917.666666666664</v>
      </c>
      <c r="AB656" s="41">
        <v>44923.5</v>
      </c>
      <c r="AC656" s="40" t="s">
        <v>2556</v>
      </c>
      <c r="AD656" s="40">
        <v>14673</v>
      </c>
      <c r="AE656" s="40"/>
      <c r="AF656" s="40"/>
      <c r="AG656" s="40"/>
      <c r="AH656" s="40" t="s">
        <v>2557</v>
      </c>
      <c r="AI656" s="41">
        <v>44916.166666666664</v>
      </c>
      <c r="AJ656" s="40"/>
      <c r="AK656" s="43">
        <v>930</v>
      </c>
      <c r="AL656" s="40"/>
      <c r="AM656" s="43">
        <v>0</v>
      </c>
      <c r="AN656" s="43"/>
      <c r="AO656" s="43"/>
      <c r="AP656" s="43"/>
      <c r="AQ656" s="43">
        <v>0</v>
      </c>
      <c r="AR656" s="43">
        <v>0</v>
      </c>
      <c r="AS656" s="43"/>
      <c r="AT656" s="43">
        <v>0</v>
      </c>
      <c r="AU656" s="43"/>
      <c r="AV656" s="43"/>
      <c r="AW656" s="43"/>
      <c r="AX656" s="43">
        <v>0</v>
      </c>
      <c r="AY656" s="43">
        <v>0</v>
      </c>
      <c r="AZ656" s="43">
        <v>0</v>
      </c>
      <c r="BA656" s="43">
        <v>0</v>
      </c>
      <c r="BB656" s="43">
        <v>0</v>
      </c>
      <c r="BC656" s="43">
        <v>0</v>
      </c>
      <c r="BD656" s="43">
        <v>0</v>
      </c>
      <c r="BE656" s="43">
        <v>0</v>
      </c>
      <c r="BF656" s="43">
        <v>0</v>
      </c>
      <c r="BG656" s="43">
        <v>0</v>
      </c>
      <c r="BH656" s="43">
        <v>0</v>
      </c>
      <c r="BI656" s="40" t="s">
        <v>2486</v>
      </c>
      <c r="BJ656" s="40">
        <v>2022</v>
      </c>
      <c r="BK656" s="40" t="s">
        <v>2768</v>
      </c>
      <c r="BL656" s="40" t="s">
        <v>2768</v>
      </c>
      <c r="BM656" s="40" t="s">
        <v>2768</v>
      </c>
    </row>
    <row r="657" spans="1:65" x14ac:dyDescent="0.25">
      <c r="A657" s="40" t="s">
        <v>2771</v>
      </c>
      <c r="B657" s="41">
        <v>44915.375</v>
      </c>
      <c r="C657" s="40" t="s">
        <v>297</v>
      </c>
      <c r="D657" s="40" t="s">
        <v>298</v>
      </c>
      <c r="E657" s="40" t="s">
        <v>2719</v>
      </c>
      <c r="F657" s="40">
        <v>69526209</v>
      </c>
      <c r="G657" s="40" t="s">
        <v>2720</v>
      </c>
      <c r="H657" s="40" t="s">
        <v>301</v>
      </c>
      <c r="I657" s="40">
        <v>3890</v>
      </c>
      <c r="J657" s="40" t="s">
        <v>2721</v>
      </c>
      <c r="K657" s="40">
        <v>18287</v>
      </c>
      <c r="L657" s="40">
        <v>22177</v>
      </c>
      <c r="M657" s="40">
        <v>814795</v>
      </c>
      <c r="N657" s="40" t="s">
        <v>2722</v>
      </c>
      <c r="O657" s="40" t="s">
        <v>87</v>
      </c>
      <c r="P657" s="40" t="s">
        <v>88</v>
      </c>
      <c r="Q657" s="40" t="s">
        <v>89</v>
      </c>
      <c r="R657" s="42" t="s">
        <v>90</v>
      </c>
      <c r="S657" s="42"/>
      <c r="T657" s="40" t="s">
        <v>292</v>
      </c>
      <c r="U657" s="41"/>
      <c r="V657" s="41">
        <v>44915.361111111109</v>
      </c>
      <c r="W657" s="41">
        <v>44915.916666666664</v>
      </c>
      <c r="X657" s="40" t="s">
        <v>293</v>
      </c>
      <c r="Y657" s="41" t="s">
        <v>2723</v>
      </c>
      <c r="Z657" s="41"/>
      <c r="AA657" s="41">
        <v>44916.458333333336</v>
      </c>
      <c r="AB657" s="41">
        <v>44918.5</v>
      </c>
      <c r="AC657" s="40" t="s">
        <v>418</v>
      </c>
      <c r="AD657" s="40">
        <v>14677</v>
      </c>
      <c r="AE657" s="40"/>
      <c r="AF657" s="40"/>
      <c r="AG657" s="40"/>
      <c r="AH657" s="40" t="s">
        <v>393</v>
      </c>
      <c r="AI657" s="41">
        <v>44916.166666666664</v>
      </c>
      <c r="AJ657" s="40"/>
      <c r="AK657" s="43">
        <v>950</v>
      </c>
      <c r="AL657" s="40"/>
      <c r="AM657" s="43">
        <v>0</v>
      </c>
      <c r="AN657" s="43"/>
      <c r="AO657" s="43"/>
      <c r="AP657" s="43"/>
      <c r="AQ657" s="43">
        <v>0</v>
      </c>
      <c r="AR657" s="43">
        <v>45.763999999999996</v>
      </c>
      <c r="AS657" s="43"/>
      <c r="AT657" s="43">
        <v>680</v>
      </c>
      <c r="AU657" s="43"/>
      <c r="AV657" s="43"/>
      <c r="AW657" s="43"/>
      <c r="AX657" s="43">
        <v>0</v>
      </c>
      <c r="AY657" s="43">
        <v>0</v>
      </c>
      <c r="AZ657" s="43">
        <v>0</v>
      </c>
      <c r="BA657" s="43">
        <v>0</v>
      </c>
      <c r="BB657" s="43">
        <v>0</v>
      </c>
      <c r="BC657" s="43">
        <v>0</v>
      </c>
      <c r="BD657" s="43">
        <v>0</v>
      </c>
      <c r="BE657" s="43">
        <v>0</v>
      </c>
      <c r="BF657" s="43">
        <v>0</v>
      </c>
      <c r="BG657" s="43">
        <v>0</v>
      </c>
      <c r="BH657" s="43">
        <v>680</v>
      </c>
      <c r="BI657" s="40" t="s">
        <v>2486</v>
      </c>
      <c r="BJ657" s="40">
        <v>2022</v>
      </c>
      <c r="BK657" s="40" t="s">
        <v>2768</v>
      </c>
      <c r="BL657" s="40" t="s">
        <v>2768</v>
      </c>
      <c r="BM657" s="40" t="s">
        <v>2768</v>
      </c>
    </row>
    <row r="658" spans="1:65" x14ac:dyDescent="0.25">
      <c r="A658" s="40" t="s">
        <v>2771</v>
      </c>
      <c r="B658" s="41">
        <v>44915.333333333336</v>
      </c>
      <c r="C658" s="40" t="s">
        <v>2333</v>
      </c>
      <c r="D658" s="40" t="s">
        <v>1639</v>
      </c>
      <c r="E658" s="40">
        <v>4282</v>
      </c>
      <c r="F658" s="40" t="s">
        <v>2724</v>
      </c>
      <c r="G658" s="40" t="s">
        <v>2725</v>
      </c>
      <c r="H658" s="40" t="s">
        <v>301</v>
      </c>
      <c r="I658" s="40">
        <v>3770</v>
      </c>
      <c r="J658" s="40"/>
      <c r="K658" s="40">
        <v>20481</v>
      </c>
      <c r="L658" s="40">
        <v>24251</v>
      </c>
      <c r="M658" s="40">
        <v>6924</v>
      </c>
      <c r="N658" s="40" t="s">
        <v>2726</v>
      </c>
      <c r="O658" s="40" t="s">
        <v>92</v>
      </c>
      <c r="P658" s="40" t="s">
        <v>93</v>
      </c>
      <c r="Q658" s="40" t="s">
        <v>94</v>
      </c>
      <c r="R658" s="42" t="s">
        <v>95</v>
      </c>
      <c r="S658" s="42" t="s">
        <v>96</v>
      </c>
      <c r="T658" s="40" t="s">
        <v>1805</v>
      </c>
      <c r="U658" s="41">
        <v>44915.416666666664</v>
      </c>
      <c r="V658" s="41">
        <v>44916.25</v>
      </c>
      <c r="W658" s="41">
        <v>44916.625</v>
      </c>
      <c r="X658" s="40" t="s">
        <v>292</v>
      </c>
      <c r="Y658" s="41">
        <v>44917.502083333333</v>
      </c>
      <c r="Z658" s="41">
        <v>44914.333333333336</v>
      </c>
      <c r="AA658" s="41">
        <v>44914.333333333336</v>
      </c>
      <c r="AB658" s="41">
        <v>44914.333333333336</v>
      </c>
      <c r="AC658" s="40" t="s">
        <v>708</v>
      </c>
      <c r="AD658" s="40" t="s">
        <v>2727</v>
      </c>
      <c r="AE658" s="40"/>
      <c r="AF658" s="40"/>
      <c r="AG658" s="40"/>
      <c r="AH658" s="40"/>
      <c r="AI658" s="41"/>
      <c r="AJ658" s="40"/>
      <c r="AK658" s="43"/>
      <c r="AL658" s="40"/>
      <c r="AM658" s="43">
        <v>0</v>
      </c>
      <c r="AN658" s="43"/>
      <c r="AO658" s="43"/>
      <c r="AP658" s="43"/>
      <c r="AQ658" s="43">
        <v>0</v>
      </c>
      <c r="AR658" s="43">
        <v>0</v>
      </c>
      <c r="AS658" s="43"/>
      <c r="AT658" s="43">
        <v>0</v>
      </c>
      <c r="AU658" s="43"/>
      <c r="AV658" s="43"/>
      <c r="AW658" s="43"/>
      <c r="AX658" s="43">
        <v>0</v>
      </c>
      <c r="AY658" s="43">
        <v>0</v>
      </c>
      <c r="AZ658" s="43">
        <v>0</v>
      </c>
      <c r="BA658" s="43">
        <v>0</v>
      </c>
      <c r="BB658" s="43">
        <v>0</v>
      </c>
      <c r="BC658" s="43">
        <v>0</v>
      </c>
      <c r="BD658" s="43">
        <v>0</v>
      </c>
      <c r="BE658" s="43">
        <v>0</v>
      </c>
      <c r="BF658" s="43">
        <v>0</v>
      </c>
      <c r="BG658" s="43">
        <v>0</v>
      </c>
      <c r="BH658" s="43">
        <v>0</v>
      </c>
      <c r="BI658" s="40" t="s">
        <v>2486</v>
      </c>
      <c r="BJ658" s="40">
        <v>2022</v>
      </c>
      <c r="BK658" s="40" t="s">
        <v>2768</v>
      </c>
      <c r="BL658" s="40" t="s">
        <v>2768</v>
      </c>
      <c r="BM658" s="40" t="s">
        <v>2768</v>
      </c>
    </row>
    <row r="659" spans="1:65" x14ac:dyDescent="0.25">
      <c r="A659" s="40" t="s">
        <v>2771</v>
      </c>
      <c r="B659" s="41">
        <v>44918.333333333336</v>
      </c>
      <c r="C659" s="40" t="s">
        <v>1110</v>
      </c>
      <c r="D659" s="40" t="s">
        <v>1111</v>
      </c>
      <c r="E659" s="40" t="s">
        <v>2728</v>
      </c>
      <c r="F659" s="40" t="s">
        <v>2729</v>
      </c>
      <c r="G659" s="40" t="s">
        <v>2730</v>
      </c>
      <c r="H659" s="40" t="s">
        <v>301</v>
      </c>
      <c r="I659" s="40">
        <v>3840</v>
      </c>
      <c r="J659" s="40">
        <v>1353922</v>
      </c>
      <c r="K659" s="40">
        <v>25650</v>
      </c>
      <c r="L659" s="40">
        <v>29490</v>
      </c>
      <c r="M659" s="40">
        <v>326868</v>
      </c>
      <c r="N659" s="40" t="s">
        <v>2731</v>
      </c>
      <c r="O659" s="40" t="s">
        <v>106</v>
      </c>
      <c r="P659" s="40" t="s">
        <v>107</v>
      </c>
      <c r="Q659" s="40" t="s">
        <v>108</v>
      </c>
      <c r="R659" s="42" t="s">
        <v>109</v>
      </c>
      <c r="S659" s="42" t="s">
        <v>110</v>
      </c>
      <c r="T659" s="40" t="s">
        <v>857</v>
      </c>
      <c r="U659" s="41" t="s">
        <v>2732</v>
      </c>
      <c r="V659" s="41">
        <v>44918.333333333336</v>
      </c>
      <c r="W659" s="41">
        <v>44918.791666666664</v>
      </c>
      <c r="X659" s="40" t="s">
        <v>293</v>
      </c>
      <c r="Y659" s="41">
        <v>44921.268055555556</v>
      </c>
      <c r="Z659" s="41">
        <v>44918.291666666664</v>
      </c>
      <c r="AA659" s="41">
        <v>44922.5</v>
      </c>
      <c r="AB659" s="41">
        <v>44922.5</v>
      </c>
      <c r="AC659" s="40" t="s">
        <v>294</v>
      </c>
      <c r="AD659" s="40"/>
      <c r="AE659" s="40"/>
      <c r="AF659" s="40"/>
      <c r="AG659" s="40"/>
      <c r="AH659" s="40"/>
      <c r="AI659" s="41"/>
      <c r="AJ659" s="40"/>
      <c r="AK659" s="43"/>
      <c r="AL659" s="40"/>
      <c r="AM659" s="43">
        <v>0</v>
      </c>
      <c r="AN659" s="43"/>
      <c r="AO659" s="43"/>
      <c r="AP659" s="43"/>
      <c r="AQ659" s="43">
        <v>0</v>
      </c>
      <c r="AR659" s="43">
        <v>0</v>
      </c>
      <c r="AS659" s="43"/>
      <c r="AT659" s="43">
        <v>0</v>
      </c>
      <c r="AU659" s="43"/>
      <c r="AV659" s="43"/>
      <c r="AW659" s="43"/>
      <c r="AX659" s="43">
        <v>0</v>
      </c>
      <c r="AY659" s="43">
        <v>0</v>
      </c>
      <c r="AZ659" s="43">
        <v>0</v>
      </c>
      <c r="BA659" s="43">
        <v>0</v>
      </c>
      <c r="BB659" s="43">
        <v>0</v>
      </c>
      <c r="BC659" s="43">
        <v>0</v>
      </c>
      <c r="BD659" s="43">
        <v>0</v>
      </c>
      <c r="BE659" s="43">
        <v>0</v>
      </c>
      <c r="BF659" s="43">
        <v>0</v>
      </c>
      <c r="BG659" s="43">
        <v>0</v>
      </c>
      <c r="BH659" s="43">
        <v>0</v>
      </c>
      <c r="BI659" s="40" t="s">
        <v>2486</v>
      </c>
      <c r="BJ659" s="40">
        <v>2022</v>
      </c>
      <c r="BK659" s="40" t="s">
        <v>2768</v>
      </c>
      <c r="BL659" s="40"/>
      <c r="BM659" s="40"/>
    </row>
    <row r="660" spans="1:65" x14ac:dyDescent="0.25">
      <c r="A660" s="40" t="s">
        <v>2771</v>
      </c>
      <c r="B660" s="41">
        <v>44918.333333333336</v>
      </c>
      <c r="C660" s="40" t="s">
        <v>1110</v>
      </c>
      <c r="D660" s="40" t="s">
        <v>1111</v>
      </c>
      <c r="E660" s="40" t="s">
        <v>2728</v>
      </c>
      <c r="F660" s="40" t="s">
        <v>2729</v>
      </c>
      <c r="G660" s="40" t="s">
        <v>2733</v>
      </c>
      <c r="H660" s="40" t="s">
        <v>301</v>
      </c>
      <c r="I660" s="40">
        <v>3700</v>
      </c>
      <c r="J660" s="40">
        <v>1353921</v>
      </c>
      <c r="K660" s="40">
        <v>25920</v>
      </c>
      <c r="L660" s="40">
        <v>29620</v>
      </c>
      <c r="M660" s="40">
        <v>326855</v>
      </c>
      <c r="N660" s="40" t="s">
        <v>2731</v>
      </c>
      <c r="O660" s="40" t="s">
        <v>92</v>
      </c>
      <c r="P660" s="40" t="s">
        <v>93</v>
      </c>
      <c r="Q660" s="40" t="s">
        <v>94</v>
      </c>
      <c r="R660" s="42" t="s">
        <v>95</v>
      </c>
      <c r="S660" s="42" t="s">
        <v>96</v>
      </c>
      <c r="T660" s="40" t="s">
        <v>857</v>
      </c>
      <c r="U660" s="41" t="s">
        <v>2732</v>
      </c>
      <c r="V660" s="41">
        <v>44918.333333333336</v>
      </c>
      <c r="W660" s="41">
        <v>44918.666666666664</v>
      </c>
      <c r="X660" s="40" t="s">
        <v>293</v>
      </c>
      <c r="Y660" s="41">
        <v>44921.240972222222</v>
      </c>
      <c r="Z660" s="41">
        <v>44918.291666666664</v>
      </c>
      <c r="AA660" s="41">
        <v>44922.5</v>
      </c>
      <c r="AB660" s="41">
        <v>44922.5</v>
      </c>
      <c r="AC660" s="40" t="s">
        <v>294</v>
      </c>
      <c r="AD660" s="40"/>
      <c r="AE660" s="40"/>
      <c r="AF660" s="40"/>
      <c r="AG660" s="40"/>
      <c r="AH660" s="40"/>
      <c r="AI660" s="41"/>
      <c r="AJ660" s="40"/>
      <c r="AK660" s="43"/>
      <c r="AL660" s="40"/>
      <c r="AM660" s="43">
        <v>0</v>
      </c>
      <c r="AN660" s="43"/>
      <c r="AO660" s="43"/>
      <c r="AP660" s="43"/>
      <c r="AQ660" s="43">
        <v>0</v>
      </c>
      <c r="AR660" s="43">
        <v>0</v>
      </c>
      <c r="AS660" s="43"/>
      <c r="AT660" s="43">
        <v>0</v>
      </c>
      <c r="AU660" s="43"/>
      <c r="AV660" s="43"/>
      <c r="AW660" s="43"/>
      <c r="AX660" s="43">
        <v>0</v>
      </c>
      <c r="AY660" s="43">
        <v>0</v>
      </c>
      <c r="AZ660" s="43">
        <v>0</v>
      </c>
      <c r="BA660" s="43">
        <v>0</v>
      </c>
      <c r="BB660" s="43">
        <v>0</v>
      </c>
      <c r="BC660" s="43">
        <v>0</v>
      </c>
      <c r="BD660" s="43">
        <v>0</v>
      </c>
      <c r="BE660" s="43">
        <v>0</v>
      </c>
      <c r="BF660" s="43">
        <v>0</v>
      </c>
      <c r="BG660" s="43">
        <v>0</v>
      </c>
      <c r="BH660" s="43">
        <v>0</v>
      </c>
      <c r="BI660" s="40" t="s">
        <v>2486</v>
      </c>
      <c r="BJ660" s="40">
        <v>2022</v>
      </c>
      <c r="BK660" s="40" t="s">
        <v>2768</v>
      </c>
      <c r="BL660" s="40"/>
      <c r="BM660" s="40"/>
    </row>
    <row r="661" spans="1:65" x14ac:dyDescent="0.25">
      <c r="A661" s="40" t="s">
        <v>2771</v>
      </c>
      <c r="B661" s="41">
        <v>44921.333333333336</v>
      </c>
      <c r="C661" s="40" t="s">
        <v>696</v>
      </c>
      <c r="D661" s="40" t="s">
        <v>697</v>
      </c>
      <c r="E661" s="40" t="s">
        <v>2734</v>
      </c>
      <c r="F661" s="40" t="s">
        <v>2735</v>
      </c>
      <c r="G661" s="40" t="s">
        <v>2736</v>
      </c>
      <c r="H661" s="40" t="s">
        <v>301</v>
      </c>
      <c r="I661" s="40">
        <v>3700</v>
      </c>
      <c r="J661" s="40">
        <v>1193251</v>
      </c>
      <c r="K661" s="40"/>
      <c r="L661" s="40">
        <v>3700</v>
      </c>
      <c r="M661" s="40"/>
      <c r="N661" s="40" t="s">
        <v>2737</v>
      </c>
      <c r="O661" s="40" t="s">
        <v>92</v>
      </c>
      <c r="P661" s="40" t="s">
        <v>93</v>
      </c>
      <c r="Q661" s="40" t="s">
        <v>94</v>
      </c>
      <c r="R661" s="42" t="s">
        <v>95</v>
      </c>
      <c r="S661" s="42" t="s">
        <v>96</v>
      </c>
      <c r="T661" s="40" t="s">
        <v>293</v>
      </c>
      <c r="U661" s="41">
        <v>44921.25</v>
      </c>
      <c r="V661" s="41">
        <v>44921.402777777781</v>
      </c>
      <c r="W661" s="41">
        <v>44921.5</v>
      </c>
      <c r="X661" s="40" t="s">
        <v>526</v>
      </c>
      <c r="Y661" s="41">
        <v>44921.661805555559</v>
      </c>
      <c r="Z661" s="41">
        <v>44921.75</v>
      </c>
      <c r="AA661" s="41">
        <v>44921.75</v>
      </c>
      <c r="AB661" s="41">
        <v>44921.75</v>
      </c>
      <c r="AC661" s="40" t="s">
        <v>708</v>
      </c>
      <c r="AD661" s="40"/>
      <c r="AE661" s="40"/>
      <c r="AF661" s="40"/>
      <c r="AG661" s="40"/>
      <c r="AH661" s="40"/>
      <c r="AI661" s="41"/>
      <c r="AJ661" s="40"/>
      <c r="AK661" s="43"/>
      <c r="AL661" s="40"/>
      <c r="AM661" s="43">
        <v>0</v>
      </c>
      <c r="AN661" s="43"/>
      <c r="AO661" s="43"/>
      <c r="AP661" s="43"/>
      <c r="AQ661" s="43">
        <v>0</v>
      </c>
      <c r="AR661" s="43">
        <v>0</v>
      </c>
      <c r="AS661" s="43"/>
      <c r="AT661" s="43">
        <v>0</v>
      </c>
      <c r="AU661" s="43"/>
      <c r="AV661" s="43"/>
      <c r="AW661" s="43"/>
      <c r="AX661" s="43">
        <v>0</v>
      </c>
      <c r="AY661" s="43">
        <v>0</v>
      </c>
      <c r="AZ661" s="43">
        <v>0</v>
      </c>
      <c r="BA661" s="43">
        <v>0</v>
      </c>
      <c r="BB661" s="43">
        <v>0</v>
      </c>
      <c r="BC661" s="43">
        <v>0</v>
      </c>
      <c r="BD661" s="43">
        <v>0</v>
      </c>
      <c r="BE661" s="43">
        <v>0</v>
      </c>
      <c r="BF661" s="43">
        <v>0</v>
      </c>
      <c r="BG661" s="43">
        <v>0</v>
      </c>
      <c r="BH661" s="43">
        <v>0</v>
      </c>
      <c r="BI661" s="40" t="s">
        <v>2486</v>
      </c>
      <c r="BJ661" s="40">
        <v>2022</v>
      </c>
      <c r="BK661" s="40" t="s">
        <v>2768</v>
      </c>
      <c r="BL661" s="40"/>
      <c r="BM661" s="40"/>
    </row>
    <row r="662" spans="1:65" x14ac:dyDescent="0.25">
      <c r="A662" s="40" t="s">
        <v>2771</v>
      </c>
      <c r="B662" s="41">
        <v>44922.375</v>
      </c>
      <c r="C662" s="40" t="s">
        <v>297</v>
      </c>
      <c r="D662" s="40" t="s">
        <v>298</v>
      </c>
      <c r="E662" s="40" t="s">
        <v>2738</v>
      </c>
      <c r="F662" s="40" t="s">
        <v>2739</v>
      </c>
      <c r="G662" s="40" t="s">
        <v>2740</v>
      </c>
      <c r="H662" s="40" t="s">
        <v>301</v>
      </c>
      <c r="I662" s="40">
        <v>3300</v>
      </c>
      <c r="J662" s="40" t="s">
        <v>2741</v>
      </c>
      <c r="K662" s="40">
        <v>23464</v>
      </c>
      <c r="L662" s="40">
        <v>26764</v>
      </c>
      <c r="M662" s="40">
        <v>816359</v>
      </c>
      <c r="N662" s="40" t="s">
        <v>2742</v>
      </c>
      <c r="O662" s="40" t="s">
        <v>155</v>
      </c>
      <c r="P662" s="40" t="s">
        <v>209</v>
      </c>
      <c r="Q662" s="40" t="s">
        <v>156</v>
      </c>
      <c r="R662" s="42" t="s">
        <v>157</v>
      </c>
      <c r="S662" s="42" t="s">
        <v>158</v>
      </c>
      <c r="T662" s="40" t="s">
        <v>537</v>
      </c>
      <c r="U662" s="41">
        <v>44921.833333333336</v>
      </c>
      <c r="V662" s="41">
        <v>44922.3125</v>
      </c>
      <c r="W662" s="41">
        <v>44922.5625</v>
      </c>
      <c r="X662" s="40" t="s">
        <v>293</v>
      </c>
      <c r="Y662" s="41">
        <v>44924.392361111109</v>
      </c>
      <c r="Z662" s="41">
        <v>44923.5</v>
      </c>
      <c r="AA662" s="41">
        <v>44922.75</v>
      </c>
      <c r="AB662" s="41">
        <v>44562.75</v>
      </c>
      <c r="AC662" s="40" t="s">
        <v>2743</v>
      </c>
      <c r="AD662" s="40">
        <v>14721</v>
      </c>
      <c r="AE662" s="40"/>
      <c r="AF662" s="40"/>
      <c r="AG662" s="40"/>
      <c r="AH662" s="40" t="s">
        <v>393</v>
      </c>
      <c r="AI662" s="41">
        <v>44922.75</v>
      </c>
      <c r="AJ662" s="40"/>
      <c r="AK662" s="43">
        <v>950</v>
      </c>
      <c r="AL662" s="40"/>
      <c r="AM662" s="43">
        <v>0</v>
      </c>
      <c r="AN662" s="43"/>
      <c r="AO662" s="43"/>
      <c r="AP662" s="43"/>
      <c r="AQ662" s="43">
        <v>0</v>
      </c>
      <c r="AR662" s="43">
        <v>0</v>
      </c>
      <c r="AS662" s="43"/>
      <c r="AT662" s="43">
        <v>0</v>
      </c>
      <c r="AU662" s="43"/>
      <c r="AV662" s="43"/>
      <c r="AW662" s="43"/>
      <c r="AX662" s="43">
        <v>0</v>
      </c>
      <c r="AY662" s="43">
        <v>0</v>
      </c>
      <c r="AZ662" s="43">
        <v>0</v>
      </c>
      <c r="BA662" s="43">
        <v>0</v>
      </c>
      <c r="BB662" s="43">
        <v>0</v>
      </c>
      <c r="BC662" s="43">
        <v>0</v>
      </c>
      <c r="BD662" s="43">
        <v>0</v>
      </c>
      <c r="BE662" s="43">
        <v>0</v>
      </c>
      <c r="BF662" s="43">
        <v>0</v>
      </c>
      <c r="BG662" s="43">
        <v>0</v>
      </c>
      <c r="BH662" s="43">
        <v>0</v>
      </c>
      <c r="BI662" s="40" t="s">
        <v>2486</v>
      </c>
      <c r="BJ662" s="40">
        <v>2022</v>
      </c>
      <c r="BK662" s="40" t="s">
        <v>2768</v>
      </c>
      <c r="BL662" s="40" t="s">
        <v>2768</v>
      </c>
      <c r="BM662" s="40" t="s">
        <v>2768</v>
      </c>
    </row>
    <row r="663" spans="1:65" x14ac:dyDescent="0.25">
      <c r="A663" s="40" t="s">
        <v>2771</v>
      </c>
      <c r="B663" s="41">
        <v>44922.375</v>
      </c>
      <c r="C663" s="40" t="s">
        <v>297</v>
      </c>
      <c r="D663" s="40" t="s">
        <v>298</v>
      </c>
      <c r="E663" s="40" t="s">
        <v>2744</v>
      </c>
      <c r="F663" s="40" t="s">
        <v>2739</v>
      </c>
      <c r="G663" s="40" t="s">
        <v>2745</v>
      </c>
      <c r="H663" s="40" t="s">
        <v>301</v>
      </c>
      <c r="I663" s="40">
        <v>3700</v>
      </c>
      <c r="J663" s="40" t="s">
        <v>2746</v>
      </c>
      <c r="K663" s="40">
        <v>23493</v>
      </c>
      <c r="L663" s="40">
        <v>27193</v>
      </c>
      <c r="M663" s="40">
        <v>816358</v>
      </c>
      <c r="N663" s="40" t="s">
        <v>2742</v>
      </c>
      <c r="O663" s="40" t="s">
        <v>150</v>
      </c>
      <c r="P663" s="40" t="s">
        <v>151</v>
      </c>
      <c r="Q663" s="40" t="s">
        <v>152</v>
      </c>
      <c r="R663" s="42" t="s">
        <v>153</v>
      </c>
      <c r="S663" s="42" t="s">
        <v>154</v>
      </c>
      <c r="T663" s="40" t="s">
        <v>537</v>
      </c>
      <c r="U663" s="41">
        <v>44921.833333333336</v>
      </c>
      <c r="V663" s="41">
        <v>44922.3125</v>
      </c>
      <c r="W663" s="41">
        <v>44922.452777777777</v>
      </c>
      <c r="X663" s="40" t="s">
        <v>293</v>
      </c>
      <c r="Y663" s="41">
        <v>44924.397916666669</v>
      </c>
      <c r="Z663" s="41">
        <v>44923.5</v>
      </c>
      <c r="AA663" s="41">
        <v>44922.75</v>
      </c>
      <c r="AB663" s="41">
        <v>44562.75</v>
      </c>
      <c r="AC663" s="40" t="s">
        <v>2743</v>
      </c>
      <c r="AD663" s="40">
        <v>14720</v>
      </c>
      <c r="AE663" s="40"/>
      <c r="AF663" s="40"/>
      <c r="AG663" s="40"/>
      <c r="AH663" s="40" t="s">
        <v>393</v>
      </c>
      <c r="AI663" s="41">
        <v>44922.677083333336</v>
      </c>
      <c r="AJ663" s="40"/>
      <c r="AK663" s="43">
        <v>950</v>
      </c>
      <c r="AL663" s="40"/>
      <c r="AM663" s="43">
        <v>0</v>
      </c>
      <c r="AN663" s="43"/>
      <c r="AO663" s="43"/>
      <c r="AP663" s="43"/>
      <c r="AQ663" s="43">
        <v>0</v>
      </c>
      <c r="AR663" s="43">
        <v>0</v>
      </c>
      <c r="AS663" s="43"/>
      <c r="AT663" s="43">
        <v>0</v>
      </c>
      <c r="AU663" s="43"/>
      <c r="AV663" s="43"/>
      <c r="AW663" s="43"/>
      <c r="AX663" s="43">
        <v>0</v>
      </c>
      <c r="AY663" s="43">
        <v>0</v>
      </c>
      <c r="AZ663" s="43">
        <v>0</v>
      </c>
      <c r="BA663" s="43">
        <v>0</v>
      </c>
      <c r="BB663" s="43">
        <v>0</v>
      </c>
      <c r="BC663" s="43">
        <v>0</v>
      </c>
      <c r="BD663" s="43">
        <v>0</v>
      </c>
      <c r="BE663" s="43">
        <v>0</v>
      </c>
      <c r="BF663" s="43">
        <v>0</v>
      </c>
      <c r="BG663" s="43">
        <v>0</v>
      </c>
      <c r="BH663" s="43">
        <v>0</v>
      </c>
      <c r="BI663" s="40" t="s">
        <v>2486</v>
      </c>
      <c r="BJ663" s="40">
        <v>2022</v>
      </c>
      <c r="BK663" s="40" t="s">
        <v>2768</v>
      </c>
      <c r="BL663" s="40" t="s">
        <v>2768</v>
      </c>
      <c r="BM663" s="40" t="s">
        <v>2768</v>
      </c>
    </row>
    <row r="664" spans="1:65" x14ac:dyDescent="0.25">
      <c r="A664" s="40" t="s">
        <v>2771</v>
      </c>
      <c r="B664" s="41">
        <v>44922.375</v>
      </c>
      <c r="C664" s="40" t="s">
        <v>1110</v>
      </c>
      <c r="D664" s="40" t="s">
        <v>1111</v>
      </c>
      <c r="E664" s="40" t="s">
        <v>2747</v>
      </c>
      <c r="F664" s="40" t="s">
        <v>2748</v>
      </c>
      <c r="G664" s="40" t="s">
        <v>2749</v>
      </c>
      <c r="H664" s="40" t="s">
        <v>301</v>
      </c>
      <c r="I664" s="40">
        <v>3700</v>
      </c>
      <c r="J664" s="40">
        <v>1353923</v>
      </c>
      <c r="K664" s="40"/>
      <c r="L664" s="40">
        <v>3700</v>
      </c>
      <c r="M664" s="40"/>
      <c r="N664" s="40" t="s">
        <v>2750</v>
      </c>
      <c r="O664" s="40" t="s">
        <v>106</v>
      </c>
      <c r="P664" s="40" t="s">
        <v>107</v>
      </c>
      <c r="Q664" s="40" t="s">
        <v>108</v>
      </c>
      <c r="R664" s="42" t="s">
        <v>109</v>
      </c>
      <c r="S664" s="42" t="s">
        <v>110</v>
      </c>
      <c r="T664" s="40" t="s">
        <v>857</v>
      </c>
      <c r="U664" s="41">
        <v>44922.5</v>
      </c>
      <c r="V664" s="41">
        <v>44922.416666666664</v>
      </c>
      <c r="W664" s="41">
        <v>44922.791666666664</v>
      </c>
      <c r="X664" s="40" t="s">
        <v>306</v>
      </c>
      <c r="Y664" s="41">
        <v>44922.872916666667</v>
      </c>
      <c r="Z664" s="41">
        <v>44919.041666666664</v>
      </c>
      <c r="AA664" s="41">
        <v>44922.791666666664</v>
      </c>
      <c r="AB664" s="41">
        <v>44924.5</v>
      </c>
      <c r="AC664" s="40" t="s">
        <v>294</v>
      </c>
      <c r="AD664" s="40">
        <v>14724</v>
      </c>
      <c r="AE664" s="40"/>
      <c r="AF664" s="40"/>
      <c r="AG664" s="40"/>
      <c r="AH664" s="40"/>
      <c r="AI664" s="41"/>
      <c r="AJ664" s="40"/>
      <c r="AK664" s="43"/>
      <c r="AL664" s="40"/>
      <c r="AM664" s="43">
        <v>0</v>
      </c>
      <c r="AN664" s="43"/>
      <c r="AO664" s="43"/>
      <c r="AP664" s="43"/>
      <c r="AQ664" s="43">
        <v>0</v>
      </c>
      <c r="AR664" s="43">
        <v>0</v>
      </c>
      <c r="AS664" s="43"/>
      <c r="AT664" s="43">
        <v>0</v>
      </c>
      <c r="AU664" s="43"/>
      <c r="AV664" s="43"/>
      <c r="AW664" s="43"/>
      <c r="AX664" s="43">
        <v>0</v>
      </c>
      <c r="AY664" s="43">
        <v>0</v>
      </c>
      <c r="AZ664" s="43">
        <v>0</v>
      </c>
      <c r="BA664" s="43">
        <v>0</v>
      </c>
      <c r="BB664" s="43">
        <v>0</v>
      </c>
      <c r="BC664" s="43">
        <v>0</v>
      </c>
      <c r="BD664" s="43">
        <v>0</v>
      </c>
      <c r="BE664" s="43">
        <v>0</v>
      </c>
      <c r="BF664" s="43">
        <v>0</v>
      </c>
      <c r="BG664" s="43">
        <v>0</v>
      </c>
      <c r="BH664" s="43">
        <v>0</v>
      </c>
      <c r="BI664" s="40" t="s">
        <v>2486</v>
      </c>
      <c r="BJ664" s="40">
        <v>2022</v>
      </c>
      <c r="BK664" s="40" t="s">
        <v>2768</v>
      </c>
      <c r="BL664" s="40"/>
      <c r="BM664" s="40"/>
    </row>
    <row r="665" spans="1:65" x14ac:dyDescent="0.25">
      <c r="A665" s="40" t="s">
        <v>2771</v>
      </c>
      <c r="B665" s="41">
        <v>44922.625</v>
      </c>
      <c r="C665" s="40" t="s">
        <v>2751</v>
      </c>
      <c r="D665" s="40" t="s">
        <v>2752</v>
      </c>
      <c r="E665" s="40" t="s">
        <v>2753</v>
      </c>
      <c r="F665" s="40" t="s">
        <v>2754</v>
      </c>
      <c r="G665" s="40" t="s">
        <v>2755</v>
      </c>
      <c r="H665" s="40" t="s">
        <v>301</v>
      </c>
      <c r="I665" s="40">
        <v>3700</v>
      </c>
      <c r="J665" s="40">
        <v>699708</v>
      </c>
      <c r="K665" s="40">
        <v>16626</v>
      </c>
      <c r="L665" s="40">
        <v>20326</v>
      </c>
      <c r="M665" s="40"/>
      <c r="N665" s="40" t="s">
        <v>2440</v>
      </c>
      <c r="O665" s="40" t="s">
        <v>102</v>
      </c>
      <c r="P665" s="40" t="s">
        <v>27</v>
      </c>
      <c r="Q665" s="40" t="s">
        <v>206</v>
      </c>
      <c r="R665" s="42" t="s">
        <v>207</v>
      </c>
      <c r="S665" s="42" t="s">
        <v>208</v>
      </c>
      <c r="T665" s="40" t="s">
        <v>1848</v>
      </c>
      <c r="U665" s="41">
        <v>44922.5</v>
      </c>
      <c r="V665" s="41">
        <v>44922.583333333336</v>
      </c>
      <c r="W665" s="41">
        <v>44922.9375</v>
      </c>
      <c r="X665" s="40" t="s">
        <v>2756</v>
      </c>
      <c r="Y665" s="41">
        <v>44923.375</v>
      </c>
      <c r="Z665" s="41">
        <v>44923.5</v>
      </c>
      <c r="AA665" s="41">
        <v>44923.5</v>
      </c>
      <c r="AB665" s="41">
        <v>44923.5</v>
      </c>
      <c r="AC665" s="40" t="s">
        <v>708</v>
      </c>
      <c r="AD665" s="40" t="s">
        <v>2757</v>
      </c>
      <c r="AE665" s="40"/>
      <c r="AF665" s="40"/>
      <c r="AG665" s="40"/>
      <c r="AH665" s="40"/>
      <c r="AI665" s="41"/>
      <c r="AJ665" s="40"/>
      <c r="AK665" s="43"/>
      <c r="AL665" s="40"/>
      <c r="AM665" s="43">
        <v>0</v>
      </c>
      <c r="AN665" s="43"/>
      <c r="AO665" s="43"/>
      <c r="AP665" s="43"/>
      <c r="AQ665" s="43">
        <v>0</v>
      </c>
      <c r="AR665" s="43">
        <v>0</v>
      </c>
      <c r="AS665" s="43"/>
      <c r="AT665" s="43">
        <v>0</v>
      </c>
      <c r="AU665" s="43"/>
      <c r="AV665" s="43"/>
      <c r="AW665" s="43"/>
      <c r="AX665" s="43">
        <v>0</v>
      </c>
      <c r="AY665" s="43">
        <v>0</v>
      </c>
      <c r="AZ665" s="43">
        <v>0</v>
      </c>
      <c r="BA665" s="43">
        <v>0</v>
      </c>
      <c r="BB665" s="43">
        <v>0</v>
      </c>
      <c r="BC665" s="43">
        <v>0</v>
      </c>
      <c r="BD665" s="43">
        <v>0</v>
      </c>
      <c r="BE665" s="43">
        <v>0</v>
      </c>
      <c r="BF665" s="43">
        <v>0</v>
      </c>
      <c r="BG665" s="43">
        <v>0</v>
      </c>
      <c r="BH665" s="43">
        <v>0</v>
      </c>
      <c r="BI665" s="40" t="s">
        <v>2486</v>
      </c>
      <c r="BJ665" s="40">
        <v>2022</v>
      </c>
      <c r="BK665" s="40" t="s">
        <v>2768</v>
      </c>
      <c r="BL665" s="40" t="s">
        <v>2768</v>
      </c>
      <c r="BM665" s="40" t="s">
        <v>2768</v>
      </c>
    </row>
    <row r="666" spans="1:65" x14ac:dyDescent="0.25">
      <c r="A666" s="40" t="s">
        <v>2771</v>
      </c>
      <c r="B666" s="41">
        <v>44925.333333333336</v>
      </c>
      <c r="C666" s="40" t="s">
        <v>297</v>
      </c>
      <c r="D666" s="40" t="s">
        <v>298</v>
      </c>
      <c r="E666" s="40" t="s">
        <v>2758</v>
      </c>
      <c r="F666" s="40">
        <v>63867576</v>
      </c>
      <c r="G666" s="40" t="s">
        <v>2759</v>
      </c>
      <c r="H666" s="40" t="s">
        <v>301</v>
      </c>
      <c r="I666" s="40">
        <v>3700</v>
      </c>
      <c r="J666" s="40" t="s">
        <v>2760</v>
      </c>
      <c r="K666" s="40">
        <v>20572</v>
      </c>
      <c r="L666" s="40">
        <v>24272</v>
      </c>
      <c r="M666" s="40">
        <v>817090</v>
      </c>
      <c r="N666" s="40" t="s">
        <v>2761</v>
      </c>
      <c r="O666" s="40" t="s">
        <v>31</v>
      </c>
      <c r="P666" s="40" t="s">
        <v>32</v>
      </c>
      <c r="Q666" s="40" t="s">
        <v>33</v>
      </c>
      <c r="R666" s="42" t="s">
        <v>34</v>
      </c>
      <c r="S666" s="42" t="s">
        <v>35</v>
      </c>
      <c r="T666" s="40" t="s">
        <v>292</v>
      </c>
      <c r="U666" s="41">
        <v>44924.444444444445</v>
      </c>
      <c r="V666" s="41">
        <v>44925.125</v>
      </c>
      <c r="W666" s="41">
        <v>44925.75</v>
      </c>
      <c r="X666" s="40" t="s">
        <v>293</v>
      </c>
      <c r="Y666" s="41">
        <v>44564.101388888892</v>
      </c>
      <c r="Z666" s="41">
        <v>44927.791666666664</v>
      </c>
      <c r="AA666" s="41">
        <v>44563.5</v>
      </c>
      <c r="AB666" s="41" t="s">
        <v>2762</v>
      </c>
      <c r="AC666" s="40" t="s">
        <v>308</v>
      </c>
      <c r="AD666" s="40">
        <v>14734</v>
      </c>
      <c r="AE666" s="40"/>
      <c r="AF666" s="40"/>
      <c r="AG666" s="40"/>
      <c r="AH666" s="40" t="s">
        <v>393</v>
      </c>
      <c r="AI666" s="41">
        <v>44925.958333333336</v>
      </c>
      <c r="AJ666" s="40"/>
      <c r="AK666" s="43">
        <v>950</v>
      </c>
      <c r="AL666" s="40"/>
      <c r="AM666" s="43">
        <v>0</v>
      </c>
      <c r="AN666" s="43"/>
      <c r="AO666" s="43"/>
      <c r="AP666" s="43"/>
      <c r="AQ666" s="43">
        <v>0</v>
      </c>
      <c r="AR666" s="43">
        <v>287.70749999999998</v>
      </c>
      <c r="AS666" s="43"/>
      <c r="AT666" s="43">
        <v>4275</v>
      </c>
      <c r="AU666" s="43">
        <v>3850</v>
      </c>
      <c r="AV666" s="43"/>
      <c r="AW666" s="43"/>
      <c r="AX666" s="43">
        <v>0</v>
      </c>
      <c r="AY666" s="43">
        <v>0</v>
      </c>
      <c r="AZ666" s="43">
        <v>0</v>
      </c>
      <c r="BA666" s="43">
        <v>0</v>
      </c>
      <c r="BB666" s="43">
        <v>0</v>
      </c>
      <c r="BC666" s="43">
        <v>0</v>
      </c>
      <c r="BD666" s="43">
        <v>0</v>
      </c>
      <c r="BE666" s="43">
        <v>0</v>
      </c>
      <c r="BF666" s="43">
        <v>0</v>
      </c>
      <c r="BG666" s="43">
        <v>0</v>
      </c>
      <c r="BH666" s="43">
        <v>425</v>
      </c>
      <c r="BI666" s="40" t="s">
        <v>2486</v>
      </c>
      <c r="BJ666" s="40">
        <v>2022</v>
      </c>
      <c r="BK666" s="40" t="s">
        <v>2768</v>
      </c>
      <c r="BL666" s="40" t="s">
        <v>2768</v>
      </c>
      <c r="BM666" s="40" t="s">
        <v>2768</v>
      </c>
    </row>
    <row r="667" spans="1:65" x14ac:dyDescent="0.25">
      <c r="A667" s="40" t="s">
        <v>2771</v>
      </c>
      <c r="B667" s="41">
        <v>44925.333333333336</v>
      </c>
      <c r="C667" s="40" t="s">
        <v>297</v>
      </c>
      <c r="D667" s="40" t="s">
        <v>298</v>
      </c>
      <c r="E667" s="40" t="s">
        <v>2758</v>
      </c>
      <c r="F667" s="40">
        <v>63867576</v>
      </c>
      <c r="G667" s="40" t="s">
        <v>2763</v>
      </c>
      <c r="H667" s="40" t="s">
        <v>301</v>
      </c>
      <c r="I667" s="40">
        <v>3830</v>
      </c>
      <c r="J667" s="40" t="s">
        <v>2764</v>
      </c>
      <c r="K667" s="40">
        <v>21066</v>
      </c>
      <c r="L667" s="40">
        <v>24896</v>
      </c>
      <c r="M667" s="40">
        <v>817091</v>
      </c>
      <c r="N667" s="40" t="s">
        <v>2761</v>
      </c>
      <c r="O667" s="40" t="s">
        <v>92</v>
      </c>
      <c r="P667" s="40" t="s">
        <v>93</v>
      </c>
      <c r="Q667" s="40" t="s">
        <v>94</v>
      </c>
      <c r="R667" s="42" t="s">
        <v>95</v>
      </c>
      <c r="S667" s="42" t="s">
        <v>96</v>
      </c>
      <c r="T667" s="40" t="s">
        <v>292</v>
      </c>
      <c r="U667" s="41">
        <v>44924.375</v>
      </c>
      <c r="V667" s="41">
        <v>44925.125</v>
      </c>
      <c r="W667" s="41">
        <v>44925.75</v>
      </c>
      <c r="X667" s="40" t="s">
        <v>293</v>
      </c>
      <c r="Y667" s="41">
        <v>44564.103472222225</v>
      </c>
      <c r="Z667" s="41">
        <v>44927.791666666664</v>
      </c>
      <c r="AA667" s="41">
        <v>44563.5</v>
      </c>
      <c r="AB667" s="41" t="s">
        <v>2762</v>
      </c>
      <c r="AC667" s="40" t="s">
        <v>308</v>
      </c>
      <c r="AD667" s="40">
        <v>14735</v>
      </c>
      <c r="AE667" s="40"/>
      <c r="AF667" s="40"/>
      <c r="AG667" s="40"/>
      <c r="AH667" s="40" t="s">
        <v>393</v>
      </c>
      <c r="AI667" s="41">
        <v>44925.958333333336</v>
      </c>
      <c r="AJ667" s="40"/>
      <c r="AK667" s="43">
        <v>950</v>
      </c>
      <c r="AL667" s="40"/>
      <c r="AM667" s="43"/>
      <c r="AN667" s="43"/>
      <c r="AO667" s="43"/>
      <c r="AP667" s="43"/>
      <c r="AQ667" s="43">
        <v>0</v>
      </c>
      <c r="AR667" s="43">
        <v>287.70749999999998</v>
      </c>
      <c r="AS667" s="43"/>
      <c r="AT667" s="43">
        <v>4275</v>
      </c>
      <c r="AU667" s="43">
        <v>3850</v>
      </c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>
        <v>425</v>
      </c>
      <c r="BI667" s="40" t="s">
        <v>2486</v>
      </c>
      <c r="BJ667" s="40">
        <v>2022</v>
      </c>
      <c r="BK667" s="40" t="s">
        <v>2768</v>
      </c>
      <c r="BL667" s="40" t="s">
        <v>2768</v>
      </c>
      <c r="BM667" s="40" t="s">
        <v>2768</v>
      </c>
    </row>
    <row r="668" spans="1:65" x14ac:dyDescent="0.25">
      <c r="A668" s="40" t="s">
        <v>2771</v>
      </c>
      <c r="B668" s="41">
        <v>44925.458333333336</v>
      </c>
      <c r="C668" s="40" t="s">
        <v>297</v>
      </c>
      <c r="D668" s="40" t="s">
        <v>298</v>
      </c>
      <c r="E668" s="40" t="s">
        <v>2758</v>
      </c>
      <c r="F668" s="40">
        <v>63867576</v>
      </c>
      <c r="G668" s="40" t="s">
        <v>2765</v>
      </c>
      <c r="H668" s="40" t="s">
        <v>301</v>
      </c>
      <c r="I668" s="40">
        <v>3970</v>
      </c>
      <c r="J668" s="40" t="s">
        <v>2766</v>
      </c>
      <c r="K668" s="40">
        <v>20797</v>
      </c>
      <c r="L668" s="40">
        <v>24767</v>
      </c>
      <c r="M668" s="40">
        <v>817089</v>
      </c>
      <c r="N668" s="40" t="s">
        <v>2761</v>
      </c>
      <c r="O668" s="40" t="s">
        <v>106</v>
      </c>
      <c r="P668" s="40" t="s">
        <v>107</v>
      </c>
      <c r="Q668" s="40" t="s">
        <v>108</v>
      </c>
      <c r="R668" s="42" t="s">
        <v>109</v>
      </c>
      <c r="S668" s="42" t="s">
        <v>110</v>
      </c>
      <c r="T668" s="40" t="s">
        <v>292</v>
      </c>
      <c r="U668" s="41">
        <v>44924.541666666664</v>
      </c>
      <c r="V668" s="41">
        <v>44925.125</v>
      </c>
      <c r="W668" s="41">
        <v>44925.75</v>
      </c>
      <c r="X668" s="40" t="s">
        <v>293</v>
      </c>
      <c r="Y668" s="41">
        <v>44929.114583333336</v>
      </c>
      <c r="Z668" s="41">
        <v>44927.791666666664</v>
      </c>
      <c r="AA668" s="41">
        <v>44563.5</v>
      </c>
      <c r="AB668" s="41" t="s">
        <v>2762</v>
      </c>
      <c r="AC668" s="40" t="s">
        <v>308</v>
      </c>
      <c r="AD668" s="40">
        <v>14736</v>
      </c>
      <c r="AE668" s="40"/>
      <c r="AF668" s="40"/>
      <c r="AG668" s="40"/>
      <c r="AH668" s="40" t="s">
        <v>393</v>
      </c>
      <c r="AI668" s="41">
        <v>44925.958333333336</v>
      </c>
      <c r="AJ668" s="40"/>
      <c r="AK668" s="43">
        <v>950</v>
      </c>
      <c r="AL668" s="40"/>
      <c r="AM668" s="43">
        <v>0</v>
      </c>
      <c r="AN668" s="43"/>
      <c r="AO668" s="43"/>
      <c r="AP668" s="43"/>
      <c r="AQ668" s="43">
        <v>0</v>
      </c>
      <c r="AR668" s="43">
        <v>270.54599999999999</v>
      </c>
      <c r="AS668" s="43"/>
      <c r="AT668" s="43">
        <v>4020</v>
      </c>
      <c r="AU668" s="43">
        <v>3850</v>
      </c>
      <c r="AV668" s="43"/>
      <c r="AW668" s="43"/>
      <c r="AX668" s="43">
        <v>0</v>
      </c>
      <c r="AY668" s="43">
        <v>0</v>
      </c>
      <c r="AZ668" s="43">
        <v>0</v>
      </c>
      <c r="BA668" s="43">
        <v>0</v>
      </c>
      <c r="BB668" s="43">
        <v>0</v>
      </c>
      <c r="BC668" s="43">
        <v>0</v>
      </c>
      <c r="BD668" s="43">
        <v>0</v>
      </c>
      <c r="BE668" s="43">
        <v>0</v>
      </c>
      <c r="BF668" s="43">
        <v>0</v>
      </c>
      <c r="BG668" s="43">
        <v>0</v>
      </c>
      <c r="BH668" s="43">
        <v>170</v>
      </c>
      <c r="BI668" s="40" t="s">
        <v>2486</v>
      </c>
      <c r="BJ668" s="40">
        <v>2022</v>
      </c>
      <c r="BK668" s="40" t="s">
        <v>2768</v>
      </c>
      <c r="BL668" s="40" t="s">
        <v>2768</v>
      </c>
      <c r="BM668" s="40" t="s">
        <v>2768</v>
      </c>
    </row>
    <row r="669" spans="1:65" x14ac:dyDescent="0.25">
      <c r="U669" s="34"/>
      <c r="Z669" s="34"/>
      <c r="AA669" s="34"/>
      <c r="AB669" s="34"/>
      <c r="AI669" s="34"/>
      <c r="AK669" s="35"/>
      <c r="AM669" s="35"/>
      <c r="AN669" s="35"/>
      <c r="AO669" s="35"/>
      <c r="AP669" s="35"/>
      <c r="AQ669" s="35"/>
      <c r="AR669" s="35"/>
      <c r="AS669" s="35"/>
      <c r="AT669" s="35"/>
      <c r="AU669" s="35"/>
      <c r="AV669" s="35"/>
      <c r="AW669" s="35"/>
      <c r="AX669" s="35"/>
      <c r="AY669" s="35"/>
      <c r="AZ669" s="35"/>
      <c r="BA669" s="35"/>
      <c r="BB669" s="35"/>
      <c r="BC669" s="35"/>
      <c r="BD669" s="35"/>
      <c r="BE669" s="35"/>
      <c r="BF669" s="35"/>
      <c r="BG669" s="35"/>
      <c r="BH669" s="35"/>
    </row>
    <row r="670" spans="1:65" x14ac:dyDescent="0.25">
      <c r="U670" s="34"/>
      <c r="Z670" s="34"/>
      <c r="AA670" s="34"/>
      <c r="AB670" s="34"/>
      <c r="AI670" s="34"/>
      <c r="AK670" s="35"/>
      <c r="AM670" s="35"/>
      <c r="AN670" s="35"/>
      <c r="AO670" s="35"/>
      <c r="AP670" s="35"/>
      <c r="AQ670" s="35"/>
      <c r="AR670" s="35"/>
      <c r="AS670" s="35"/>
      <c r="AT670" s="35"/>
      <c r="AU670" s="35"/>
      <c r="AV670" s="35"/>
      <c r="AW670" s="35"/>
      <c r="AX670" s="35"/>
      <c r="AY670" s="35"/>
      <c r="AZ670" s="35"/>
      <c r="BA670" s="35"/>
      <c r="BB670" s="35"/>
      <c r="BC670" s="35"/>
      <c r="BD670" s="35"/>
      <c r="BE670" s="35"/>
      <c r="BF670" s="35"/>
      <c r="BG670" s="35"/>
      <c r="BH670" s="35"/>
    </row>
    <row r="671" spans="1:65" x14ac:dyDescent="0.25">
      <c r="AI671" s="34"/>
      <c r="AK671" s="35"/>
    </row>
    <row r="672" spans="1:65" x14ac:dyDescent="0.25">
      <c r="AK672" s="35"/>
    </row>
    <row r="673" spans="37:37" x14ac:dyDescent="0.25">
      <c r="AK673" s="35"/>
    </row>
  </sheetData>
  <conditionalFormatting sqref="G3:G4">
    <cfRule type="duplicateValues" dxfId="2543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71C8-103A-4575-A7D1-344AC323E6B8}">
  <sheetPr>
    <tabColor rgb="FF00B050"/>
  </sheetPr>
  <dimension ref="A1:BZ1580"/>
  <sheetViews>
    <sheetView zoomScaleNormal="100" workbookViewId="0">
      <pane xSplit="10" ySplit="2" topLeftCell="X24" activePane="bottomRight" state="frozen"/>
      <selection activeCell="B1" sqref="B1"/>
      <selection pane="topRight" activeCell="K1" sqref="K1"/>
      <selection pane="bottomLeft" activeCell="B3" sqref="B3"/>
      <selection pane="bottomRight" activeCell="K72" sqref="K72"/>
    </sheetView>
  </sheetViews>
  <sheetFormatPr defaultColWidth="15.42578125" defaultRowHeight="15" x14ac:dyDescent="0.25"/>
  <cols>
    <col min="1" max="1" width="16.28515625" style="84" hidden="1" customWidth="1"/>
    <col min="2" max="2" width="12" style="67" customWidth="1"/>
    <col min="3" max="3" width="10.28515625" style="91" customWidth="1"/>
    <col min="4" max="4" width="16.42578125" style="84" customWidth="1"/>
    <col min="5" max="5" width="14.140625" customWidth="1"/>
    <col min="6" max="6" width="22" bestFit="1" customWidth="1"/>
    <col min="7" max="7" width="15.28515625" customWidth="1"/>
    <col min="8" max="8" width="14.28515625" style="84" customWidth="1"/>
    <col min="9" max="9" width="15.140625" style="84" customWidth="1"/>
    <col min="10" max="10" width="6.42578125" customWidth="1"/>
    <col min="11" max="11" width="7.140625" customWidth="1"/>
    <col min="12" max="12" width="11.42578125" customWidth="1"/>
    <col min="13" max="13" width="6.140625" customWidth="1"/>
    <col min="14" max="14" width="7" customWidth="1"/>
    <col min="15" max="15" width="13.140625" style="84" customWidth="1"/>
    <col min="16" max="16" width="27.28515625" customWidth="1"/>
    <col min="17" max="18" width="10.7109375" customWidth="1"/>
    <col min="19" max="19" width="28.5703125" customWidth="1"/>
    <col min="20" max="20" width="14" customWidth="1"/>
    <col min="21" max="21" width="12" customWidth="1"/>
    <col min="22" max="22" width="17.42578125" customWidth="1"/>
    <col min="23" max="23" width="15.42578125" customWidth="1"/>
    <col min="24" max="25" width="15.7109375" customWidth="1"/>
    <col min="26" max="26" width="16.85546875" bestFit="1" customWidth="1"/>
    <col min="27" max="30" width="16.28515625" customWidth="1"/>
    <col min="31" max="31" width="15.140625" customWidth="1"/>
    <col min="32" max="32" width="12.42578125" style="84" customWidth="1"/>
    <col min="33" max="33" width="16.140625" style="84" customWidth="1"/>
    <col min="34" max="34" width="13.28515625" style="84" customWidth="1"/>
    <col min="35" max="35" width="14" customWidth="1"/>
    <col min="36" max="36" width="12.85546875" customWidth="1"/>
    <col min="37" max="37" width="12.140625" customWidth="1"/>
    <col min="38" max="38" width="19.85546875" customWidth="1"/>
    <col min="39" max="39" width="7.85546875" customWidth="1"/>
    <col min="40" max="40" width="10.140625" style="84" customWidth="1"/>
    <col min="41" max="41" width="12.28515625" customWidth="1"/>
    <col min="42" max="42" width="11" customWidth="1"/>
    <col min="43" max="43" width="11.5703125" customWidth="1"/>
    <col min="44" max="44" width="14" customWidth="1"/>
    <col min="45" max="45" width="11.28515625" customWidth="1"/>
    <col min="46" max="46" width="7.85546875" customWidth="1"/>
    <col min="47" max="47" width="8.28515625" customWidth="1"/>
    <col min="48" max="49" width="14" style="84" customWidth="1"/>
    <col min="50" max="50" width="15.42578125" customWidth="1"/>
    <col min="52" max="52" width="12.42578125" customWidth="1"/>
    <col min="53" max="53" width="11.85546875" customWidth="1"/>
    <col min="54" max="54" width="13.7109375" customWidth="1"/>
    <col min="55" max="55" width="11.42578125" customWidth="1"/>
    <col min="56" max="56" width="11.5703125" customWidth="1"/>
    <col min="57" max="57" width="8.28515625" customWidth="1"/>
    <col min="58" max="58" width="12" customWidth="1"/>
    <col min="59" max="59" width="11.7109375" customWidth="1"/>
    <col min="60" max="60" width="11.5703125" customWidth="1"/>
    <col min="61" max="61" width="10.42578125" customWidth="1"/>
    <col min="62" max="62" width="10.7109375" customWidth="1"/>
    <col min="63" max="63" width="11.42578125" bestFit="1" customWidth="1"/>
    <col min="64" max="64" width="11.140625" customWidth="1"/>
    <col min="65" max="65" width="8.140625" customWidth="1"/>
    <col min="66" max="66" width="8.85546875" customWidth="1"/>
    <col min="67" max="68" width="6.28515625" customWidth="1"/>
  </cols>
  <sheetData>
    <row r="1" spans="1:78" x14ac:dyDescent="0.25">
      <c r="A1" s="186"/>
      <c r="B1" s="263"/>
      <c r="C1" s="264"/>
      <c r="D1" s="265"/>
      <c r="E1" s="265"/>
      <c r="F1" s="265"/>
      <c r="G1" s="265"/>
      <c r="H1" s="265"/>
      <c r="I1" s="265"/>
      <c r="J1" s="266"/>
      <c r="K1" s="266"/>
      <c r="L1" s="266"/>
      <c r="M1" s="266"/>
      <c r="N1" s="267"/>
      <c r="O1" s="266"/>
      <c r="P1" s="267"/>
      <c r="Q1" s="268"/>
      <c r="R1" s="268"/>
      <c r="S1" s="268"/>
      <c r="T1" s="267"/>
      <c r="U1" s="268"/>
      <c r="V1" s="268"/>
      <c r="W1" s="268"/>
      <c r="X1" s="268"/>
      <c r="Y1" s="268"/>
      <c r="Z1" s="268"/>
      <c r="AA1" s="268"/>
      <c r="AB1" s="268"/>
      <c r="AC1" s="268"/>
      <c r="AD1" s="268"/>
      <c r="AE1" s="268"/>
      <c r="AF1" s="269"/>
      <c r="AG1" s="269"/>
      <c r="AH1" s="269"/>
      <c r="AI1" s="268"/>
      <c r="AJ1" s="268"/>
      <c r="AK1" s="268"/>
      <c r="AL1" s="268"/>
      <c r="AM1" s="268"/>
      <c r="AN1" s="270"/>
      <c r="AO1" s="271"/>
      <c r="AP1" s="271"/>
      <c r="AQ1" s="271"/>
      <c r="AR1" s="174" t="s">
        <v>215</v>
      </c>
      <c r="AS1" s="175"/>
      <c r="AT1" s="175"/>
      <c r="AU1" s="175"/>
      <c r="AV1" s="176"/>
      <c r="AW1" s="144" t="s">
        <v>216</v>
      </c>
      <c r="AX1" s="145"/>
      <c r="AY1" s="145"/>
      <c r="AZ1" s="145"/>
      <c r="BA1" s="145"/>
      <c r="BB1" s="145"/>
      <c r="BC1" s="145"/>
      <c r="BD1" s="145"/>
      <c r="BE1" s="145"/>
      <c r="BF1" s="145"/>
      <c r="BG1" s="145"/>
      <c r="BH1" s="145"/>
      <c r="BI1" s="145"/>
      <c r="BJ1" s="145"/>
      <c r="BK1" s="146"/>
      <c r="BL1" s="163" t="s">
        <v>274</v>
      </c>
      <c r="BM1" s="164"/>
      <c r="BN1" s="164"/>
      <c r="BO1" s="78" t="s">
        <v>2799</v>
      </c>
      <c r="BP1" s="78" t="s">
        <v>2802</v>
      </c>
    </row>
    <row r="2" spans="1:78" ht="51.75" customHeight="1" x14ac:dyDescent="0.25">
      <c r="A2" s="193" t="s">
        <v>222</v>
      </c>
      <c r="B2" s="272" t="s">
        <v>273</v>
      </c>
      <c r="C2" s="185" t="s">
        <v>2800</v>
      </c>
      <c r="D2" s="185" t="s">
        <v>217</v>
      </c>
      <c r="E2" s="192" t="s">
        <v>218</v>
      </c>
      <c r="F2" s="193" t="s">
        <v>219</v>
      </c>
      <c r="G2" s="193" t="s">
        <v>220</v>
      </c>
      <c r="H2" s="193" t="s">
        <v>221</v>
      </c>
      <c r="I2" s="193" t="s">
        <v>222</v>
      </c>
      <c r="J2" s="193" t="s">
        <v>223</v>
      </c>
      <c r="K2" s="193" t="s">
        <v>224</v>
      </c>
      <c r="L2" s="193" t="s">
        <v>225</v>
      </c>
      <c r="M2" s="193" t="s">
        <v>226</v>
      </c>
      <c r="N2" s="193" t="s">
        <v>227</v>
      </c>
      <c r="O2" s="193" t="s">
        <v>228</v>
      </c>
      <c r="P2" s="193" t="s">
        <v>229</v>
      </c>
      <c r="Q2" s="157" t="s">
        <v>1</v>
      </c>
      <c r="R2" s="157" t="s">
        <v>2</v>
      </c>
      <c r="S2" s="194" t="s">
        <v>3</v>
      </c>
      <c r="T2" s="195" t="s">
        <v>4</v>
      </c>
      <c r="U2" s="156" t="s">
        <v>5</v>
      </c>
      <c r="V2" s="143" t="s">
        <v>230</v>
      </c>
      <c r="W2" s="143" t="s">
        <v>231</v>
      </c>
      <c r="X2" s="154" t="s">
        <v>232</v>
      </c>
      <c r="Y2" s="154" t="s">
        <v>233</v>
      </c>
      <c r="Z2" s="143" t="s">
        <v>234</v>
      </c>
      <c r="AA2" s="143" t="s">
        <v>235</v>
      </c>
      <c r="AB2" s="169" t="s">
        <v>236</v>
      </c>
      <c r="AC2" s="170" t="s">
        <v>237</v>
      </c>
      <c r="AD2" s="171" t="s">
        <v>238</v>
      </c>
      <c r="AE2" s="142" t="s">
        <v>239</v>
      </c>
      <c r="AF2" s="156" t="s">
        <v>240</v>
      </c>
      <c r="AG2" s="157" t="s">
        <v>4840</v>
      </c>
      <c r="AH2" s="156" t="s">
        <v>3950</v>
      </c>
      <c r="AI2" s="157" t="s">
        <v>3651</v>
      </c>
      <c r="AJ2" s="172" t="s">
        <v>243</v>
      </c>
      <c r="AK2" s="14" t="s">
        <v>244</v>
      </c>
      <c r="AL2" s="14" t="s">
        <v>245</v>
      </c>
      <c r="AM2" s="15" t="s">
        <v>246</v>
      </c>
      <c r="AN2" s="14" t="s">
        <v>247</v>
      </c>
      <c r="AO2" s="139" t="s">
        <v>248</v>
      </c>
      <c r="AP2" s="139" t="s">
        <v>269</v>
      </c>
      <c r="AQ2" s="139" t="s">
        <v>249</v>
      </c>
      <c r="AR2" s="177" t="s">
        <v>250</v>
      </c>
      <c r="AS2" s="177" t="s">
        <v>251</v>
      </c>
      <c r="AT2" s="177" t="s">
        <v>252</v>
      </c>
      <c r="AU2" s="177" t="s">
        <v>4428</v>
      </c>
      <c r="AV2" s="173" t="s">
        <v>253</v>
      </c>
      <c r="AW2" s="143" t="s">
        <v>255</v>
      </c>
      <c r="AX2" s="155" t="s">
        <v>256</v>
      </c>
      <c r="AY2" s="155" t="s">
        <v>257</v>
      </c>
      <c r="AZ2" s="154" t="s">
        <v>270</v>
      </c>
      <c r="BA2" s="154" t="s">
        <v>271</v>
      </c>
      <c r="BB2" s="154" t="s">
        <v>258</v>
      </c>
      <c r="BC2" s="154" t="s">
        <v>272</v>
      </c>
      <c r="BD2" s="154" t="s">
        <v>259</v>
      </c>
      <c r="BE2" s="154" t="s">
        <v>260</v>
      </c>
      <c r="BF2" s="154" t="s">
        <v>261</v>
      </c>
      <c r="BG2" s="154" t="s">
        <v>262</v>
      </c>
      <c r="BH2" s="154" t="s">
        <v>263</v>
      </c>
      <c r="BI2" s="154" t="s">
        <v>264</v>
      </c>
      <c r="BJ2" s="154" t="s">
        <v>265</v>
      </c>
      <c r="BK2" s="154" t="s">
        <v>4429</v>
      </c>
      <c r="BL2" s="247" t="s">
        <v>266</v>
      </c>
      <c r="BM2" s="162" t="s">
        <v>267</v>
      </c>
      <c r="BN2" s="162" t="s">
        <v>268</v>
      </c>
      <c r="BO2" s="165" t="s">
        <v>281</v>
      </c>
      <c r="BP2" s="165" t="s">
        <v>282</v>
      </c>
      <c r="BX2" s="84" t="s">
        <v>4893</v>
      </c>
      <c r="BY2" s="84" t="s">
        <v>4894</v>
      </c>
      <c r="BZ2" s="84" t="s">
        <v>4895</v>
      </c>
    </row>
    <row r="3" spans="1:78" x14ac:dyDescent="0.25">
      <c r="A3" s="200" t="str">
        <f>Prog_236[[#This Row],[CONTEINER]]</f>
        <v>MRSU5745190</v>
      </c>
      <c r="B3" s="86" t="s">
        <v>2771</v>
      </c>
      <c r="C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" s="85">
        <v>45110.291666666664</v>
      </c>
      <c r="E3" s="66" t="s">
        <v>5333</v>
      </c>
      <c r="F3" s="66" t="s">
        <v>697</v>
      </c>
      <c r="G3" s="66" t="s">
        <v>5337</v>
      </c>
      <c r="H3" s="44" t="s">
        <v>5334</v>
      </c>
      <c r="I3" s="44" t="s">
        <v>5335</v>
      </c>
      <c r="J3" s="66" t="s">
        <v>301</v>
      </c>
      <c r="K3" s="66"/>
      <c r="L3" s="66">
        <v>2937919</v>
      </c>
      <c r="M3" s="66">
        <v>24696</v>
      </c>
      <c r="N3" s="66">
        <v>0</v>
      </c>
      <c r="O3" s="44">
        <v>31058</v>
      </c>
      <c r="P3" s="66" t="s">
        <v>5336</v>
      </c>
      <c r="Q3" s="66" t="s">
        <v>106</v>
      </c>
      <c r="R3" s="66" t="s">
        <v>107</v>
      </c>
      <c r="S3" s="66" t="s">
        <v>108</v>
      </c>
      <c r="T3" s="138" t="s">
        <v>109</v>
      </c>
      <c r="U3" s="138" t="s">
        <v>110</v>
      </c>
      <c r="V3" s="66" t="s">
        <v>306</v>
      </c>
      <c r="W3" s="66"/>
      <c r="X3" s="66"/>
      <c r="Y3" s="66"/>
      <c r="Z3" s="66"/>
      <c r="AA3" s="66"/>
      <c r="AB3" s="66"/>
      <c r="AC3" s="79">
        <v>45124.375</v>
      </c>
      <c r="AD3" s="79">
        <v>45127.375</v>
      </c>
      <c r="AE3" s="66" t="s">
        <v>708</v>
      </c>
      <c r="AF3" s="44">
        <v>16606</v>
      </c>
      <c r="AG3" s="254">
        <f>Prog_236[[#This Row],[SAÍDA DO CLIENTE]]-Prog_236[[#This Row],[PROGRAMAÇÃO CLIENTE]]</f>
        <v>-45110.291666666664</v>
      </c>
      <c r="AH3" s="44"/>
      <c r="AI3" s="66"/>
      <c r="AJ3" s="66"/>
      <c r="AK3" s="66"/>
      <c r="AL3" s="66"/>
      <c r="AM3" s="66"/>
      <c r="AN3" s="83"/>
      <c r="AO3" s="66"/>
      <c r="AP3" s="66"/>
      <c r="AQ3" s="66"/>
      <c r="AR3" s="81"/>
      <c r="AS3" s="81"/>
      <c r="AT3" s="81"/>
      <c r="AU3" s="81"/>
      <c r="AV3" s="83">
        <f>SUM(Prog_236[[#This Row],[ADIANTAMENTO]]+Prog_236[[#This Row],[SALDO]]+Prog_236[[#This Row],[MARGEM]]+Prog_236[[#This Row],[ESTADIA 1]])</f>
        <v>0</v>
      </c>
      <c r="AW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3450</v>
      </c>
      <c r="AX3" s="81">
        <v>2722.8</v>
      </c>
      <c r="AY3" s="81">
        <v>106613.75999999999</v>
      </c>
      <c r="AZ3" s="81">
        <v>0</v>
      </c>
      <c r="BA3" s="81">
        <v>0</v>
      </c>
      <c r="BB3" s="81">
        <v>313.2</v>
      </c>
      <c r="BC3" s="81"/>
      <c r="BD3" s="81"/>
      <c r="BE3" s="81"/>
      <c r="BF3" s="81"/>
      <c r="BG3" s="81">
        <v>414</v>
      </c>
      <c r="BH3" s="81"/>
      <c r="BI3" s="81"/>
      <c r="BJ3" s="81"/>
      <c r="BK3" s="81"/>
      <c r="BL3" s="66"/>
      <c r="BM3" s="66"/>
      <c r="BN3" s="66"/>
      <c r="BO3" s="66" t="str">
        <f>PROPER(TEXT(Prog_236[[#This Row],[PROGRAMAÇÃO CLIENTE]],"mmm"))</f>
        <v>Jul</v>
      </c>
      <c r="BP3" s="66">
        <f>YEAR(Prog_236[[#This Row],[PROGRAMAÇÃO CLIENTE]])</f>
        <v>2023</v>
      </c>
    </row>
    <row r="4" spans="1:78" x14ac:dyDescent="0.25">
      <c r="A4" s="200" t="str">
        <f>Prog_236[[#This Row],[CONTEINER]]</f>
        <v>TLLU5992121</v>
      </c>
      <c r="B4" s="86" t="s">
        <v>2771</v>
      </c>
      <c r="C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" s="85">
        <v>45110.291666666664</v>
      </c>
      <c r="E4" s="66" t="s">
        <v>5333</v>
      </c>
      <c r="F4" s="66" t="s">
        <v>697</v>
      </c>
      <c r="G4" s="66" t="s">
        <v>5351</v>
      </c>
      <c r="H4" s="44" t="s">
        <v>5349</v>
      </c>
      <c r="I4" s="44" t="s">
        <v>5350</v>
      </c>
      <c r="J4" s="66" t="s">
        <v>301</v>
      </c>
      <c r="K4" s="66"/>
      <c r="L4" s="80" t="s">
        <v>5352</v>
      </c>
      <c r="M4" s="66">
        <v>19506</v>
      </c>
      <c r="N4" s="66">
        <f>SUM(Prog_236[[#This Row],[TARA]]+Prog_236[[#This Row],[PESO]])</f>
        <v>19506</v>
      </c>
      <c r="O4" s="44">
        <v>31060</v>
      </c>
      <c r="P4" s="66" t="s">
        <v>5336</v>
      </c>
      <c r="Q4" s="66" t="s">
        <v>5354</v>
      </c>
      <c r="R4" s="66" t="s">
        <v>2880</v>
      </c>
      <c r="S4" s="66" t="s">
        <v>5355</v>
      </c>
      <c r="T4" s="138">
        <v>11698087861</v>
      </c>
      <c r="U4" s="199" t="s">
        <v>5356</v>
      </c>
      <c r="V4" s="66" t="s">
        <v>306</v>
      </c>
      <c r="W4" s="66"/>
      <c r="X4" s="66"/>
      <c r="Y4" s="66"/>
      <c r="Z4" s="66"/>
      <c r="AA4" s="66"/>
      <c r="AB4" s="66"/>
      <c r="AC4" s="66"/>
      <c r="AD4" s="66"/>
      <c r="AE4" s="66" t="s">
        <v>708</v>
      </c>
      <c r="AF4" s="44"/>
      <c r="AG4" s="254">
        <f>Prog_236[[#This Row],[SAÍDA DO CLIENTE]]-Prog_236[[#This Row],[PROGRAMAÇÃO CLIENTE]]</f>
        <v>-45110.291666666664</v>
      </c>
      <c r="AH4" s="44"/>
      <c r="AI4" s="66"/>
      <c r="AJ4" s="66"/>
      <c r="AK4" s="66"/>
      <c r="AL4" s="66"/>
      <c r="AM4" s="66"/>
      <c r="AN4" s="83"/>
      <c r="AO4" s="66"/>
      <c r="AP4" s="66"/>
      <c r="AQ4" s="66"/>
      <c r="AR4" s="81"/>
      <c r="AS4" s="81"/>
      <c r="AT4" s="81"/>
      <c r="AU4" s="81"/>
      <c r="AV4" s="83">
        <f>SUM(Prog_236[[#This Row],[ADIANTAMENTO]]+Prog_236[[#This Row],[SALDO]]+Prog_236[[#This Row],[MARGEM]]+Prog_236[[#This Row],[ESTADIA 1]])</f>
        <v>0</v>
      </c>
      <c r="AW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3450</v>
      </c>
      <c r="AX4" s="81">
        <v>2722.8</v>
      </c>
      <c r="AY4" s="81">
        <v>135084.74</v>
      </c>
      <c r="AZ4" s="81">
        <v>0</v>
      </c>
      <c r="BA4" s="81">
        <v>0</v>
      </c>
      <c r="BB4" s="81">
        <v>313.2</v>
      </c>
      <c r="BC4" s="81"/>
      <c r="BD4" s="81"/>
      <c r="BE4" s="81"/>
      <c r="BF4" s="81"/>
      <c r="BG4" s="81">
        <v>414</v>
      </c>
      <c r="BH4" s="81"/>
      <c r="BI4" s="81"/>
      <c r="BJ4" s="81"/>
      <c r="BK4" s="81"/>
      <c r="BL4" s="66"/>
      <c r="BM4" s="66"/>
      <c r="BN4" s="66"/>
      <c r="BO4" s="66" t="str">
        <f>PROPER(TEXT(Prog_236[[#This Row],[PROGRAMAÇÃO CLIENTE]],"mmm"))</f>
        <v>Jul</v>
      </c>
      <c r="BP4" s="66">
        <f>YEAR(Prog_236[[#This Row],[PROGRAMAÇÃO CLIENTE]])</f>
        <v>2023</v>
      </c>
    </row>
    <row r="5" spans="1:78" x14ac:dyDescent="0.25">
      <c r="A5" s="201" t="str">
        <f>Prog_236[[#This Row],[CONTEINER]]</f>
        <v>MSKU7979278</v>
      </c>
      <c r="B5" s="86" t="s">
        <v>3295</v>
      </c>
      <c r="C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" s="85">
        <v>45112.333333333336</v>
      </c>
      <c r="E5" s="66" t="s">
        <v>5338</v>
      </c>
      <c r="F5" s="66" t="s">
        <v>5339</v>
      </c>
      <c r="G5" s="66" t="s">
        <v>5459</v>
      </c>
      <c r="H5" s="44">
        <v>228663839</v>
      </c>
      <c r="I5" s="44" t="s">
        <v>5460</v>
      </c>
      <c r="J5" s="66" t="s">
        <v>288</v>
      </c>
      <c r="K5" s="66">
        <v>2170</v>
      </c>
      <c r="L5" s="66" t="s">
        <v>5461</v>
      </c>
      <c r="M5" s="66"/>
      <c r="N5" s="66">
        <f>SUM(Prog_236[[#This Row],[TARA]]+Prog_236[[#This Row],[PESO]])</f>
        <v>2170</v>
      </c>
      <c r="O5" s="44"/>
      <c r="P5" s="66" t="s">
        <v>5343</v>
      </c>
      <c r="Q5" s="66" t="s">
        <v>3168</v>
      </c>
      <c r="R5" s="66" t="s">
        <v>5468</v>
      </c>
      <c r="S5" s="66" t="s">
        <v>203</v>
      </c>
      <c r="T5" s="138">
        <v>10395859816</v>
      </c>
      <c r="U5" s="138" t="str">
        <f>IFERROR(LOOKUP($S5,MOTORISTAS!$D$3:$D$1048576,MOTORISTAS!F$3:$F$1048576),"")</f>
        <v>01965794851</v>
      </c>
      <c r="V5" s="66"/>
      <c r="W5" s="66"/>
      <c r="X5" s="66"/>
      <c r="Y5" s="66"/>
      <c r="Z5" s="66" t="s">
        <v>5341</v>
      </c>
      <c r="AA5" s="66"/>
      <c r="AB5" s="66"/>
      <c r="AC5" s="79">
        <v>45117.5</v>
      </c>
      <c r="AD5" s="79">
        <v>45120.5</v>
      </c>
      <c r="AE5" s="66"/>
      <c r="AF5" s="44"/>
      <c r="AG5" s="254">
        <f>Prog_236[[#This Row],[SAÍDA DO CLIENTE]]-Prog_236[[#This Row],[PROGRAMAÇÃO CLIENTE]]</f>
        <v>-45112.333333333336</v>
      </c>
      <c r="AH5" s="44"/>
      <c r="AI5" s="66"/>
      <c r="AJ5" s="66"/>
      <c r="AK5" s="66"/>
      <c r="AL5" s="66"/>
      <c r="AM5" s="66"/>
      <c r="AN5" s="83"/>
      <c r="AO5" s="66"/>
      <c r="AP5" s="66"/>
      <c r="AQ5" s="66"/>
      <c r="AR5" s="81"/>
      <c r="AS5" s="81"/>
      <c r="AT5" s="81"/>
      <c r="AU5" s="81"/>
      <c r="AV5" s="83">
        <f>SUM(Prog_236[[#This Row],[ADIANTAMENTO]]+Prog_236[[#This Row],[SALDO]]+Prog_236[[#This Row],[MARGEM]]+Prog_236[[#This Row],[ESTADIA 1]])</f>
        <v>0</v>
      </c>
      <c r="AW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" s="81"/>
      <c r="AY5" s="81"/>
      <c r="AZ5" s="81">
        <f>Prog_236[[#This Row],[VLR NF]]*0.1%</f>
        <v>0</v>
      </c>
      <c r="BA5" s="81">
        <f>Prog_236[[#This Row],[VLR NF]]*0.05%</f>
        <v>0</v>
      </c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66"/>
      <c r="BM5" s="66"/>
      <c r="BN5" s="66"/>
      <c r="BO5" s="66" t="str">
        <f>PROPER(TEXT(Prog_236[[#This Row],[PROGRAMAÇÃO CLIENTE]],"mmm"))</f>
        <v>Jul</v>
      </c>
      <c r="BP5" s="66">
        <f>YEAR(Prog_236[[#This Row],[PROGRAMAÇÃO CLIENTE]])</f>
        <v>2023</v>
      </c>
    </row>
    <row r="6" spans="1:78" x14ac:dyDescent="0.25">
      <c r="A6" s="200" t="str">
        <f>Prog_236[[#This Row],[CONTEINER]]</f>
        <v>MSKU4467236</v>
      </c>
      <c r="B6" s="86" t="s">
        <v>3295</v>
      </c>
      <c r="C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" s="85">
        <v>45112.333333333336</v>
      </c>
      <c r="E6" s="66" t="s">
        <v>5338</v>
      </c>
      <c r="F6" s="66" t="s">
        <v>5339</v>
      </c>
      <c r="G6" s="66" t="s">
        <v>5459</v>
      </c>
      <c r="H6" s="44">
        <v>228663839</v>
      </c>
      <c r="I6" s="44" t="s">
        <v>5462</v>
      </c>
      <c r="J6" s="66" t="s">
        <v>288</v>
      </c>
      <c r="K6" s="66">
        <v>2170</v>
      </c>
      <c r="L6" s="66" t="s">
        <v>5463</v>
      </c>
      <c r="M6" s="66"/>
      <c r="N6" s="66">
        <f>SUM(Prog_236[[#This Row],[TARA]]+Prog_236[[#This Row],[PESO]])</f>
        <v>2170</v>
      </c>
      <c r="O6" s="44"/>
      <c r="P6" s="66" t="s">
        <v>5343</v>
      </c>
      <c r="Q6" s="66" t="s">
        <v>150</v>
      </c>
      <c r="R6" s="66" t="s">
        <v>5469</v>
      </c>
      <c r="S6" s="66" t="s">
        <v>4901</v>
      </c>
      <c r="T6" s="138">
        <v>25538214842</v>
      </c>
      <c r="U6" s="138" t="str">
        <f>IFERROR(LOOKUP($S6,MOTORISTAS!$D$3:$D$1048576,MOTORISTAS!F$3:$F$1048576),"")</f>
        <v>01845110101</v>
      </c>
      <c r="V6" s="66"/>
      <c r="W6" s="66"/>
      <c r="X6" s="66"/>
      <c r="Y6" s="66"/>
      <c r="Z6" s="66" t="s">
        <v>5341</v>
      </c>
      <c r="AA6" s="66"/>
      <c r="AB6" s="66"/>
      <c r="AC6" s="79">
        <v>45117.5</v>
      </c>
      <c r="AD6" s="79">
        <v>45120.5</v>
      </c>
      <c r="AE6" s="66"/>
      <c r="AF6" s="44"/>
      <c r="AG6" s="254">
        <f>Prog_236[[#This Row],[SAÍDA DO CLIENTE]]-Prog_236[[#This Row],[PROGRAMAÇÃO CLIENTE]]</f>
        <v>-45112.333333333336</v>
      </c>
      <c r="AH6" s="44"/>
      <c r="AI6" s="66"/>
      <c r="AJ6" s="66"/>
      <c r="AK6" s="66"/>
      <c r="AL6" s="66"/>
      <c r="AM6" s="66"/>
      <c r="AN6" s="83"/>
      <c r="AO6" s="66"/>
      <c r="AP6" s="66"/>
      <c r="AQ6" s="66"/>
      <c r="AR6" s="81"/>
      <c r="AS6" s="81"/>
      <c r="AT6" s="81"/>
      <c r="AU6" s="81"/>
      <c r="AV6" s="83">
        <f>SUM(Prog_236[[#This Row],[ADIANTAMENTO]]+Prog_236[[#This Row],[SALDO]]+Prog_236[[#This Row],[MARGEM]]+Prog_236[[#This Row],[ESTADIA 1]])</f>
        <v>0</v>
      </c>
      <c r="AW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" s="81"/>
      <c r="AY6" s="81"/>
      <c r="AZ6" s="81">
        <f>Prog_236[[#This Row],[VLR NF]]*0.1%</f>
        <v>0</v>
      </c>
      <c r="BA6" s="81">
        <f>Prog_236[[#This Row],[VLR NF]]*0.05%</f>
        <v>0</v>
      </c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66"/>
      <c r="BM6" s="66"/>
      <c r="BN6" s="66"/>
      <c r="BO6" s="66" t="str">
        <f>PROPER(TEXT(Prog_236[[#This Row],[PROGRAMAÇÃO CLIENTE]],"mmm"))</f>
        <v>Jul</v>
      </c>
      <c r="BP6" s="66">
        <f>YEAR(Prog_236[[#This Row],[PROGRAMAÇÃO CLIENTE]])</f>
        <v>2023</v>
      </c>
    </row>
    <row r="7" spans="1:78" x14ac:dyDescent="0.25">
      <c r="A7" s="201" t="str">
        <f>Prog_236[[#This Row],[CONTEINER]]</f>
        <v>TTNU1245557</v>
      </c>
      <c r="B7" s="86" t="s">
        <v>3295</v>
      </c>
      <c r="C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" s="85">
        <v>45112.333333333336</v>
      </c>
      <c r="E7" s="66" t="s">
        <v>5338</v>
      </c>
      <c r="F7" s="66" t="s">
        <v>5339</v>
      </c>
      <c r="G7" s="66" t="s">
        <v>5459</v>
      </c>
      <c r="H7" s="44">
        <v>228663839</v>
      </c>
      <c r="I7" s="44" t="s">
        <v>5464</v>
      </c>
      <c r="J7" s="66" t="s">
        <v>288</v>
      </c>
      <c r="K7" s="66">
        <v>2100</v>
      </c>
      <c r="L7" s="66" t="s">
        <v>5465</v>
      </c>
      <c r="M7" s="66"/>
      <c r="N7" s="66">
        <f>SUM(Prog_236[[#This Row],[TARA]]+Prog_236[[#This Row],[PESO]])</f>
        <v>2100</v>
      </c>
      <c r="O7" s="44"/>
      <c r="P7" s="66" t="s">
        <v>5343</v>
      </c>
      <c r="Q7" s="66" t="s">
        <v>210</v>
      </c>
      <c r="R7" s="66" t="s">
        <v>5470</v>
      </c>
      <c r="S7" s="66" t="s">
        <v>212</v>
      </c>
      <c r="T7" s="138">
        <v>38029906846</v>
      </c>
      <c r="U7" s="138" t="str">
        <f>IFERROR(LOOKUP($S7,MOTORISTAS!$D$3:$D$1048576,MOTORISTAS!F$3:$F$1048576),"")</f>
        <v>04946846842</v>
      </c>
      <c r="V7" s="66"/>
      <c r="W7" s="66"/>
      <c r="X7" s="66"/>
      <c r="Y7" s="66"/>
      <c r="Z7" s="66" t="s">
        <v>5341</v>
      </c>
      <c r="AA7" s="66"/>
      <c r="AB7" s="66"/>
      <c r="AC7" s="79">
        <v>45117.5</v>
      </c>
      <c r="AD7" s="79">
        <v>45120.5</v>
      </c>
      <c r="AE7" s="66"/>
      <c r="AF7" s="44"/>
      <c r="AG7" s="254">
        <f>Prog_236[[#This Row],[SAÍDA DO CLIENTE]]-Prog_236[[#This Row],[PROGRAMAÇÃO CLIENTE]]</f>
        <v>-45112.333333333336</v>
      </c>
      <c r="AH7" s="44"/>
      <c r="AI7" s="66"/>
      <c r="AJ7" s="66"/>
      <c r="AK7" s="66"/>
      <c r="AL7" s="66"/>
      <c r="AM7" s="66"/>
      <c r="AN7" s="83"/>
      <c r="AO7" s="66"/>
      <c r="AP7" s="66"/>
      <c r="AQ7" s="66"/>
      <c r="AR7" s="81"/>
      <c r="AS7" s="81"/>
      <c r="AT7" s="81"/>
      <c r="AU7" s="81"/>
      <c r="AV7" s="83">
        <f>SUM(Prog_236[[#This Row],[ADIANTAMENTO]]+Prog_236[[#This Row],[SALDO]]+Prog_236[[#This Row],[MARGEM]]+Prog_236[[#This Row],[ESTADIA 1]])</f>
        <v>0</v>
      </c>
      <c r="AW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" s="81"/>
      <c r="AY7" s="81"/>
      <c r="AZ7" s="81">
        <f>Prog_236[[#This Row],[VLR NF]]*0.1%</f>
        <v>0</v>
      </c>
      <c r="BA7" s="81">
        <f>Prog_236[[#This Row],[VLR NF]]*0.05%</f>
        <v>0</v>
      </c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66"/>
      <c r="BM7" s="66"/>
      <c r="BN7" s="66"/>
      <c r="BO7" s="66" t="str">
        <f>PROPER(TEXT(Prog_236[[#This Row],[PROGRAMAÇÃO CLIENTE]],"mmm"))</f>
        <v>Jul</v>
      </c>
      <c r="BP7" s="66">
        <f>YEAR(Prog_236[[#This Row],[PROGRAMAÇÃO CLIENTE]])</f>
        <v>2023</v>
      </c>
    </row>
    <row r="8" spans="1:78" x14ac:dyDescent="0.25">
      <c r="A8" s="200" t="str">
        <f>Prog_236[[#This Row],[CONTEINER]]</f>
        <v>MSKU5183722</v>
      </c>
      <c r="B8" s="86" t="s">
        <v>3295</v>
      </c>
      <c r="C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" s="85">
        <v>45112.333333333336</v>
      </c>
      <c r="E8" s="66" t="s">
        <v>5338</v>
      </c>
      <c r="F8" s="66" t="s">
        <v>5339</v>
      </c>
      <c r="G8" s="66" t="s">
        <v>5459</v>
      </c>
      <c r="H8" s="44">
        <v>228663839</v>
      </c>
      <c r="I8" s="44" t="s">
        <v>5466</v>
      </c>
      <c r="J8" s="66" t="s">
        <v>288</v>
      </c>
      <c r="K8" s="66">
        <v>2170</v>
      </c>
      <c r="L8" s="66" t="s">
        <v>5467</v>
      </c>
      <c r="M8" s="66"/>
      <c r="N8" s="66">
        <f>SUM(Prog_236[[#This Row],[TARA]]+Prog_236[[#This Row],[PESO]])</f>
        <v>2170</v>
      </c>
      <c r="O8" s="44"/>
      <c r="P8" s="66" t="s">
        <v>5343</v>
      </c>
      <c r="Q8" s="66" t="s">
        <v>72</v>
      </c>
      <c r="R8" s="66" t="s">
        <v>3246</v>
      </c>
      <c r="S8" s="66" t="s">
        <v>69</v>
      </c>
      <c r="T8" s="138">
        <v>92693377404</v>
      </c>
      <c r="U8" s="138" t="str">
        <f>IFERROR(LOOKUP($S8,MOTORISTAS!$D$3:$D$1048576,MOTORISTAS!F$3:$F$1048576),"")</f>
        <v>03264365790</v>
      </c>
      <c r="V8" s="66"/>
      <c r="W8" s="66"/>
      <c r="X8" s="66"/>
      <c r="Y8" s="66"/>
      <c r="Z8" s="66" t="s">
        <v>5341</v>
      </c>
      <c r="AA8" s="66"/>
      <c r="AB8" s="66"/>
      <c r="AC8" s="79">
        <v>45117.5</v>
      </c>
      <c r="AD8" s="79">
        <v>45120.5</v>
      </c>
      <c r="AE8" s="66"/>
      <c r="AF8" s="44"/>
      <c r="AG8" s="254">
        <f>Prog_236[[#This Row],[SAÍDA DO CLIENTE]]-Prog_236[[#This Row],[PROGRAMAÇÃO CLIENTE]]</f>
        <v>-45112.333333333336</v>
      </c>
      <c r="AH8" s="44"/>
      <c r="AI8" s="66"/>
      <c r="AJ8" s="66"/>
      <c r="AK8" s="66"/>
      <c r="AL8" s="66"/>
      <c r="AM8" s="66"/>
      <c r="AN8" s="83"/>
      <c r="AO8" s="66"/>
      <c r="AP8" s="66"/>
      <c r="AQ8" s="66"/>
      <c r="AR8" s="81"/>
      <c r="AS8" s="81"/>
      <c r="AT8" s="81"/>
      <c r="AU8" s="81"/>
      <c r="AV8" s="83">
        <f>SUM(Prog_236[[#This Row],[ADIANTAMENTO]]+Prog_236[[#This Row],[SALDO]]+Prog_236[[#This Row],[MARGEM]]+Prog_236[[#This Row],[ESTADIA 1]])</f>
        <v>0</v>
      </c>
      <c r="AW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" s="81"/>
      <c r="AY8" s="81"/>
      <c r="AZ8" s="81">
        <f>Prog_236[[#This Row],[VLR NF]]*0.1%</f>
        <v>0</v>
      </c>
      <c r="BA8" s="81">
        <f>Prog_236[[#This Row],[VLR NF]]*0.05%</f>
        <v>0</v>
      </c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66"/>
      <c r="BM8" s="66"/>
      <c r="BN8" s="66"/>
      <c r="BO8" s="66" t="str">
        <f>PROPER(TEXT(Prog_236[[#This Row],[PROGRAMAÇÃO CLIENTE]],"mmm"))</f>
        <v>Jul</v>
      </c>
      <c r="BP8" s="66">
        <f>YEAR(Prog_236[[#This Row],[PROGRAMAÇÃO CLIENTE]])</f>
        <v>2023</v>
      </c>
    </row>
    <row r="9" spans="1:78" x14ac:dyDescent="0.25">
      <c r="A9" s="201">
        <f>Prog_236[[#This Row],[CONTEINER]]</f>
        <v>0</v>
      </c>
      <c r="B9" s="86"/>
      <c r="C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" s="85">
        <v>45113.333333333336</v>
      </c>
      <c r="E9" s="66" t="s">
        <v>5338</v>
      </c>
      <c r="F9" s="66" t="s">
        <v>5339</v>
      </c>
      <c r="G9" s="66" t="s">
        <v>5459</v>
      </c>
      <c r="H9" s="44">
        <v>228663839</v>
      </c>
      <c r="I9" s="44"/>
      <c r="J9" s="66" t="s">
        <v>288</v>
      </c>
      <c r="K9" s="66"/>
      <c r="L9" s="66"/>
      <c r="M9" s="66"/>
      <c r="N9" s="66">
        <f>SUM(Prog_236[[#This Row],[TARA]]+Prog_236[[#This Row],[PESO]])</f>
        <v>0</v>
      </c>
      <c r="O9" s="44"/>
      <c r="P9" s="66" t="s">
        <v>5343</v>
      </c>
      <c r="Q9" s="66"/>
      <c r="R9" s="66"/>
      <c r="S9" s="66"/>
      <c r="T9" s="138" t="str">
        <f>IFERROR(LOOKUP($S9,MOTORISTAS!$D$3:$D$1048576,MOTORISTAS!E$3:$E$1048576),"")</f>
        <v/>
      </c>
      <c r="U9" s="138" t="str">
        <f>IFERROR(LOOKUP($S9,MOTORISTAS!$D$3:$D$1048576,MOTORISTAS!F$3:$F$1048576),"")</f>
        <v/>
      </c>
      <c r="V9" s="66"/>
      <c r="W9" s="66"/>
      <c r="X9" s="66"/>
      <c r="Y9" s="66"/>
      <c r="Z9" s="66" t="s">
        <v>5341</v>
      </c>
      <c r="AA9" s="66"/>
      <c r="AB9" s="66"/>
      <c r="AC9" s="79">
        <v>45117.5</v>
      </c>
      <c r="AD9" s="79">
        <v>45120.5</v>
      </c>
      <c r="AE9" s="66"/>
      <c r="AF9" s="44"/>
      <c r="AG9" s="254">
        <f>Prog_236[[#This Row],[SAÍDA DO CLIENTE]]-Prog_236[[#This Row],[PROGRAMAÇÃO CLIENTE]]</f>
        <v>-45113.333333333336</v>
      </c>
      <c r="AH9" s="44"/>
      <c r="AI9" s="66"/>
      <c r="AJ9" s="66"/>
      <c r="AK9" s="66"/>
      <c r="AL9" s="66"/>
      <c r="AM9" s="66"/>
      <c r="AN9" s="83"/>
      <c r="AO9" s="66"/>
      <c r="AP9" s="66"/>
      <c r="AQ9" s="66"/>
      <c r="AR9" s="81"/>
      <c r="AS9" s="81"/>
      <c r="AT9" s="81"/>
      <c r="AU9" s="81"/>
      <c r="AV9" s="83">
        <f>SUM(Prog_236[[#This Row],[ADIANTAMENTO]]+Prog_236[[#This Row],[SALDO]]+Prog_236[[#This Row],[MARGEM]]+Prog_236[[#This Row],[ESTADIA 1]])</f>
        <v>0</v>
      </c>
      <c r="AW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" s="81"/>
      <c r="AY9" s="81"/>
      <c r="AZ9" s="81">
        <f>Prog_236[[#This Row],[VLR NF]]*0.1%</f>
        <v>0</v>
      </c>
      <c r="BA9" s="81">
        <f>Prog_236[[#This Row],[VLR NF]]*0.05%</f>
        <v>0</v>
      </c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66"/>
      <c r="BM9" s="66"/>
      <c r="BN9" s="66"/>
      <c r="BO9" s="66" t="str">
        <f>PROPER(TEXT(Prog_236[[#This Row],[PROGRAMAÇÃO CLIENTE]],"mmm"))</f>
        <v>Jul</v>
      </c>
      <c r="BP9" s="66">
        <f>YEAR(Prog_236[[#This Row],[PROGRAMAÇÃO CLIENTE]])</f>
        <v>2023</v>
      </c>
    </row>
    <row r="10" spans="1:78" x14ac:dyDescent="0.25">
      <c r="A10" s="200">
        <f>Prog_236[[#This Row],[CONTEINER]]</f>
        <v>0</v>
      </c>
      <c r="B10" s="86"/>
      <c r="C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" s="85">
        <v>45113.333333333336</v>
      </c>
      <c r="E10" s="66" t="s">
        <v>5338</v>
      </c>
      <c r="F10" s="66" t="s">
        <v>5339</v>
      </c>
      <c r="G10" s="66" t="s">
        <v>5459</v>
      </c>
      <c r="H10" s="44">
        <v>228663839</v>
      </c>
      <c r="I10" s="44"/>
      <c r="J10" s="66" t="s">
        <v>288</v>
      </c>
      <c r="K10" s="66"/>
      <c r="L10" s="66"/>
      <c r="M10" s="66"/>
      <c r="N10" s="66">
        <f>SUM(Prog_236[[#This Row],[TARA]]+Prog_236[[#This Row],[PESO]])</f>
        <v>0</v>
      </c>
      <c r="O10" s="44"/>
      <c r="P10" s="66" t="s">
        <v>5343</v>
      </c>
      <c r="Q10" s="66"/>
      <c r="R10" s="66"/>
      <c r="S10" s="66"/>
      <c r="T10" s="138" t="str">
        <f>IFERROR(LOOKUP($S10,MOTORISTAS!$D$3:$D$1048576,MOTORISTAS!E$3:$E$1048576),"")</f>
        <v/>
      </c>
      <c r="U10" s="138" t="str">
        <f>IFERROR(LOOKUP($S10,MOTORISTAS!$D$3:$D$1048576,MOTORISTAS!F$3:$F$1048576),"")</f>
        <v/>
      </c>
      <c r="V10" s="66"/>
      <c r="W10" s="66"/>
      <c r="X10" s="66"/>
      <c r="Y10" s="66"/>
      <c r="Z10" s="66" t="s">
        <v>5341</v>
      </c>
      <c r="AA10" s="66"/>
      <c r="AB10" s="66"/>
      <c r="AC10" s="79">
        <v>45117.5</v>
      </c>
      <c r="AD10" s="79">
        <v>45120.5</v>
      </c>
      <c r="AE10" s="66"/>
      <c r="AF10" s="44"/>
      <c r="AG10" s="254">
        <f>Prog_236[[#This Row],[SAÍDA DO CLIENTE]]-Prog_236[[#This Row],[PROGRAMAÇÃO CLIENTE]]</f>
        <v>-45113.333333333336</v>
      </c>
      <c r="AH10" s="44"/>
      <c r="AI10" s="66"/>
      <c r="AJ10" s="66"/>
      <c r="AK10" s="66"/>
      <c r="AL10" s="66"/>
      <c r="AM10" s="66"/>
      <c r="AN10" s="83"/>
      <c r="AO10" s="66"/>
      <c r="AP10" s="66"/>
      <c r="AQ10" s="66"/>
      <c r="AR10" s="81"/>
      <c r="AS10" s="81"/>
      <c r="AT10" s="81"/>
      <c r="AU10" s="81"/>
      <c r="AV10" s="83">
        <f>SUM(Prog_236[[#This Row],[ADIANTAMENTO]]+Prog_236[[#This Row],[SALDO]]+Prog_236[[#This Row],[MARGEM]]+Prog_236[[#This Row],[ESTADIA 1]])</f>
        <v>0</v>
      </c>
      <c r="AW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" s="81"/>
      <c r="AY10" s="81"/>
      <c r="AZ10" s="81">
        <f>Prog_236[[#This Row],[VLR NF]]*0.1%</f>
        <v>0</v>
      </c>
      <c r="BA10" s="81">
        <f>Prog_236[[#This Row],[VLR NF]]*0.05%</f>
        <v>0</v>
      </c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66"/>
      <c r="BM10" s="66"/>
      <c r="BN10" s="66"/>
      <c r="BO10" s="66" t="str">
        <f>PROPER(TEXT(Prog_236[[#This Row],[PROGRAMAÇÃO CLIENTE]],"mmm"))</f>
        <v>Jul</v>
      </c>
      <c r="BP10" s="66">
        <f>YEAR(Prog_236[[#This Row],[PROGRAMAÇÃO CLIENTE]])</f>
        <v>2023</v>
      </c>
    </row>
    <row r="11" spans="1:78" x14ac:dyDescent="0.25">
      <c r="A11" s="201">
        <f>Prog_236[[#This Row],[CONTEINER]]</f>
        <v>0</v>
      </c>
      <c r="B11" s="86"/>
      <c r="C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" s="85">
        <v>45113.333333333336</v>
      </c>
      <c r="E11" s="66" t="s">
        <v>5338</v>
      </c>
      <c r="F11" s="66" t="s">
        <v>5339</v>
      </c>
      <c r="G11" s="66" t="s">
        <v>5459</v>
      </c>
      <c r="H11" s="44">
        <v>228663839</v>
      </c>
      <c r="I11" s="44"/>
      <c r="J11" s="66" t="s">
        <v>288</v>
      </c>
      <c r="K11" s="66"/>
      <c r="L11" s="66"/>
      <c r="M11" s="66"/>
      <c r="N11" s="66">
        <f>SUM(Prog_236[[#This Row],[TARA]]+Prog_236[[#This Row],[PESO]])</f>
        <v>0</v>
      </c>
      <c r="O11" s="44"/>
      <c r="P11" s="66" t="s">
        <v>5343</v>
      </c>
      <c r="Q11" s="66"/>
      <c r="R11" s="66"/>
      <c r="S11" s="66"/>
      <c r="T11" s="138" t="str">
        <f>IFERROR(LOOKUP($S11,MOTORISTAS!$D$3:$D$1048576,MOTORISTAS!E$3:$E$1048576),"")</f>
        <v/>
      </c>
      <c r="U11" s="138" t="str">
        <f>IFERROR(LOOKUP($S11,MOTORISTAS!$D$3:$D$1048576,MOTORISTAS!F$3:$F$1048576),"")</f>
        <v/>
      </c>
      <c r="V11" s="66"/>
      <c r="W11" s="66"/>
      <c r="X11" s="66"/>
      <c r="Y11" s="66"/>
      <c r="Z11" s="66" t="s">
        <v>5341</v>
      </c>
      <c r="AA11" s="66"/>
      <c r="AB11" s="66"/>
      <c r="AC11" s="79">
        <v>45117.5</v>
      </c>
      <c r="AD11" s="79">
        <v>45120.5</v>
      </c>
      <c r="AE11" s="66"/>
      <c r="AF11" s="44"/>
      <c r="AG11" s="254">
        <f>Prog_236[[#This Row],[SAÍDA DO CLIENTE]]-Prog_236[[#This Row],[PROGRAMAÇÃO CLIENTE]]</f>
        <v>-45113.333333333336</v>
      </c>
      <c r="AH11" s="44"/>
      <c r="AI11" s="66"/>
      <c r="AJ11" s="66"/>
      <c r="AK11" s="66"/>
      <c r="AL11" s="66"/>
      <c r="AM11" s="66"/>
      <c r="AN11" s="83"/>
      <c r="AO11" s="66"/>
      <c r="AP11" s="66"/>
      <c r="AQ11" s="66"/>
      <c r="AR11" s="81"/>
      <c r="AS11" s="81"/>
      <c r="AT11" s="81"/>
      <c r="AU11" s="81"/>
      <c r="AV11" s="83">
        <f>SUM(Prog_236[[#This Row],[ADIANTAMENTO]]+Prog_236[[#This Row],[SALDO]]+Prog_236[[#This Row],[MARGEM]]+Prog_236[[#This Row],[ESTADIA 1]])</f>
        <v>0</v>
      </c>
      <c r="AW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" s="81"/>
      <c r="AY11" s="81"/>
      <c r="AZ11" s="81">
        <f>Prog_236[[#This Row],[VLR NF]]*0.1%</f>
        <v>0</v>
      </c>
      <c r="BA11" s="81">
        <f>Prog_236[[#This Row],[VLR NF]]*0.05%</f>
        <v>0</v>
      </c>
      <c r="BB11" s="81"/>
      <c r="BC11" s="81"/>
      <c r="BD11" s="81"/>
      <c r="BE11" s="81"/>
      <c r="BF11" s="81"/>
      <c r="BG11" s="81"/>
      <c r="BH11" s="81"/>
      <c r="BI11" s="81"/>
      <c r="BJ11" s="81"/>
      <c r="BK11" s="81"/>
      <c r="BL11" s="66"/>
      <c r="BM11" s="66"/>
      <c r="BN11" s="66"/>
      <c r="BO11" s="66" t="str">
        <f>PROPER(TEXT(Prog_236[[#This Row],[PROGRAMAÇÃO CLIENTE]],"mmm"))</f>
        <v>Jul</v>
      </c>
      <c r="BP11" s="66">
        <f>YEAR(Prog_236[[#This Row],[PROGRAMAÇÃO CLIENTE]])</f>
        <v>2023</v>
      </c>
    </row>
    <row r="12" spans="1:78" x14ac:dyDescent="0.25">
      <c r="A12" s="200">
        <f>Prog_236[[#This Row],[CONTEINER]]</f>
        <v>0</v>
      </c>
      <c r="B12" s="86"/>
      <c r="C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" s="85">
        <v>45113.333333333336</v>
      </c>
      <c r="E12" s="66" t="s">
        <v>5338</v>
      </c>
      <c r="F12" s="66" t="s">
        <v>5339</v>
      </c>
      <c r="G12" s="66" t="s">
        <v>5459</v>
      </c>
      <c r="H12" s="44">
        <v>228663839</v>
      </c>
      <c r="I12" s="44"/>
      <c r="J12" s="66" t="s">
        <v>288</v>
      </c>
      <c r="K12" s="66"/>
      <c r="L12" s="66"/>
      <c r="M12" s="66"/>
      <c r="N12" s="66">
        <f>SUM(Prog_236[[#This Row],[TARA]]+Prog_236[[#This Row],[PESO]])</f>
        <v>0</v>
      </c>
      <c r="O12" s="44"/>
      <c r="P12" s="66" t="s">
        <v>5343</v>
      </c>
      <c r="Q12" s="66"/>
      <c r="R12" s="66"/>
      <c r="S12" s="66"/>
      <c r="T12" s="138" t="str">
        <f>IFERROR(LOOKUP($S12,MOTORISTAS!$D$3:$D$1048576,MOTORISTAS!E$3:$E$1048576),"")</f>
        <v/>
      </c>
      <c r="U12" s="138" t="str">
        <f>IFERROR(LOOKUP($S12,MOTORISTAS!$D$3:$D$1048576,MOTORISTAS!F$3:$F$1048576),"")</f>
        <v/>
      </c>
      <c r="V12" s="66"/>
      <c r="W12" s="66"/>
      <c r="X12" s="66"/>
      <c r="Y12" s="66"/>
      <c r="Z12" s="66" t="s">
        <v>5341</v>
      </c>
      <c r="AA12" s="66"/>
      <c r="AB12" s="66"/>
      <c r="AC12" s="79">
        <v>45117.5</v>
      </c>
      <c r="AD12" s="79">
        <v>45120.5</v>
      </c>
      <c r="AE12" s="66"/>
      <c r="AF12" s="44"/>
      <c r="AG12" s="254">
        <f>Prog_236[[#This Row],[SAÍDA DO CLIENTE]]-Prog_236[[#This Row],[PROGRAMAÇÃO CLIENTE]]</f>
        <v>-45113.333333333336</v>
      </c>
      <c r="AH12" s="44"/>
      <c r="AI12" s="66"/>
      <c r="AJ12" s="66"/>
      <c r="AK12" s="66"/>
      <c r="AL12" s="66"/>
      <c r="AM12" s="66"/>
      <c r="AN12" s="83"/>
      <c r="AO12" s="66"/>
      <c r="AP12" s="66"/>
      <c r="AQ12" s="66"/>
      <c r="AR12" s="81"/>
      <c r="AS12" s="81"/>
      <c r="AT12" s="81"/>
      <c r="AU12" s="81"/>
      <c r="AV12" s="83">
        <f>SUM(Prog_236[[#This Row],[ADIANTAMENTO]]+Prog_236[[#This Row],[SALDO]]+Prog_236[[#This Row],[MARGEM]]+Prog_236[[#This Row],[ESTADIA 1]])</f>
        <v>0</v>
      </c>
      <c r="AW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" s="81"/>
      <c r="AY12" s="81"/>
      <c r="AZ12" s="81">
        <f>Prog_236[[#This Row],[VLR NF]]*0.1%</f>
        <v>0</v>
      </c>
      <c r="BA12" s="81">
        <f>Prog_236[[#This Row],[VLR NF]]*0.05%</f>
        <v>0</v>
      </c>
      <c r="BB12" s="81"/>
      <c r="BC12" s="81"/>
      <c r="BD12" s="81"/>
      <c r="BE12" s="81"/>
      <c r="BF12" s="81"/>
      <c r="BG12" s="81"/>
      <c r="BH12" s="81"/>
      <c r="BI12" s="81"/>
      <c r="BJ12" s="81"/>
      <c r="BK12" s="81"/>
      <c r="BL12" s="66"/>
      <c r="BM12" s="66"/>
      <c r="BN12" s="66"/>
      <c r="BO12" s="66" t="str">
        <f>PROPER(TEXT(Prog_236[[#This Row],[PROGRAMAÇÃO CLIENTE]],"mmm"))</f>
        <v>Jul</v>
      </c>
      <c r="BP12" s="66">
        <f>YEAR(Prog_236[[#This Row],[PROGRAMAÇÃO CLIENTE]])</f>
        <v>2023</v>
      </c>
    </row>
    <row r="13" spans="1:78" x14ac:dyDescent="0.25">
      <c r="A13" s="201">
        <f>Prog_236[[#This Row],[CONTEINER]]</f>
        <v>0</v>
      </c>
      <c r="B13" s="86"/>
      <c r="C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" s="85">
        <v>45114.333333333336</v>
      </c>
      <c r="E13" s="66" t="s">
        <v>5338</v>
      </c>
      <c r="F13" s="66" t="s">
        <v>5339</v>
      </c>
      <c r="G13" s="66"/>
      <c r="H13" s="44">
        <v>228663839</v>
      </c>
      <c r="I13" s="44"/>
      <c r="J13" s="66" t="s">
        <v>288</v>
      </c>
      <c r="K13" s="66"/>
      <c r="L13" s="66"/>
      <c r="M13" s="66"/>
      <c r="N13" s="66">
        <f>SUM(Prog_236[[#This Row],[TARA]]+Prog_236[[#This Row],[PESO]])</f>
        <v>0</v>
      </c>
      <c r="O13" s="44"/>
      <c r="P13" s="66" t="s">
        <v>5343</v>
      </c>
      <c r="Q13" s="66"/>
      <c r="R13" s="66"/>
      <c r="S13" s="66"/>
      <c r="T13" s="138" t="str">
        <f>IFERROR(LOOKUP($S13,MOTORISTAS!$D$3:$D$1048576,MOTORISTAS!E$3:$E$1048576),"")</f>
        <v/>
      </c>
      <c r="U13" s="138" t="str">
        <f>IFERROR(LOOKUP($S13,MOTORISTAS!$D$3:$D$1048576,MOTORISTAS!F$3:$F$1048576),"")</f>
        <v/>
      </c>
      <c r="V13" s="66"/>
      <c r="W13" s="66"/>
      <c r="X13" s="66"/>
      <c r="Y13" s="66"/>
      <c r="Z13" s="66" t="s">
        <v>5341</v>
      </c>
      <c r="AA13" s="66"/>
      <c r="AB13" s="66"/>
      <c r="AC13" s="79">
        <v>45117.5</v>
      </c>
      <c r="AD13" s="79">
        <v>45120.5</v>
      </c>
      <c r="AE13" s="66"/>
      <c r="AF13" s="44"/>
      <c r="AG13" s="254">
        <f>Prog_236[[#This Row],[SAÍDA DO CLIENTE]]-Prog_236[[#This Row],[PROGRAMAÇÃO CLIENTE]]</f>
        <v>-45114.333333333336</v>
      </c>
      <c r="AH13" s="44"/>
      <c r="AI13" s="66"/>
      <c r="AJ13" s="66"/>
      <c r="AK13" s="66"/>
      <c r="AL13" s="66"/>
      <c r="AM13" s="66"/>
      <c r="AN13" s="83"/>
      <c r="AO13" s="66"/>
      <c r="AP13" s="66"/>
      <c r="AQ13" s="66"/>
      <c r="AR13" s="81"/>
      <c r="AS13" s="81"/>
      <c r="AT13" s="81"/>
      <c r="AU13" s="81"/>
      <c r="AV13" s="83">
        <f>SUM(Prog_236[[#This Row],[ADIANTAMENTO]]+Prog_236[[#This Row],[SALDO]]+Prog_236[[#This Row],[MARGEM]]+Prog_236[[#This Row],[ESTADIA 1]])</f>
        <v>0</v>
      </c>
      <c r="AW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" s="81"/>
      <c r="AY13" s="81"/>
      <c r="AZ13" s="81">
        <f>Prog_236[[#This Row],[VLR NF]]*0.1%</f>
        <v>0</v>
      </c>
      <c r="BA13" s="81">
        <f>Prog_236[[#This Row],[VLR NF]]*0.05%</f>
        <v>0</v>
      </c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66"/>
      <c r="BM13" s="66"/>
      <c r="BN13" s="66"/>
      <c r="BO13" s="66" t="str">
        <f>PROPER(TEXT(Prog_236[[#This Row],[PROGRAMAÇÃO CLIENTE]],"mmm"))</f>
        <v>Jul</v>
      </c>
      <c r="BP13" s="66">
        <f>YEAR(Prog_236[[#This Row],[PROGRAMAÇÃO CLIENTE]])</f>
        <v>2023</v>
      </c>
    </row>
    <row r="14" spans="1:78" x14ac:dyDescent="0.25">
      <c r="A14" s="200">
        <f>Prog_236[[#This Row],[CONTEINER]]</f>
        <v>0</v>
      </c>
      <c r="B14" s="86"/>
      <c r="C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" s="85">
        <v>45114.333333333336</v>
      </c>
      <c r="E14" s="66" t="s">
        <v>5338</v>
      </c>
      <c r="F14" s="66" t="s">
        <v>5339</v>
      </c>
      <c r="G14" s="66"/>
      <c r="H14" s="44">
        <v>228663839</v>
      </c>
      <c r="I14" s="44"/>
      <c r="J14" s="66" t="s">
        <v>288</v>
      </c>
      <c r="K14" s="66"/>
      <c r="L14" s="66"/>
      <c r="M14" s="66"/>
      <c r="N14" s="66">
        <f>SUM(Prog_236[[#This Row],[TARA]]+Prog_236[[#This Row],[PESO]])</f>
        <v>0</v>
      </c>
      <c r="O14" s="44"/>
      <c r="P14" s="66" t="s">
        <v>5343</v>
      </c>
      <c r="Q14" s="66"/>
      <c r="R14" s="66"/>
      <c r="S14" s="66"/>
      <c r="T14" s="138" t="str">
        <f>IFERROR(LOOKUP($S14,MOTORISTAS!$D$3:$D$1048576,MOTORISTAS!E$3:$E$1048576),"")</f>
        <v/>
      </c>
      <c r="U14" s="138" t="str">
        <f>IFERROR(LOOKUP($S14,MOTORISTAS!$D$3:$D$1048576,MOTORISTAS!F$3:$F$1048576),"")</f>
        <v/>
      </c>
      <c r="V14" s="66"/>
      <c r="W14" s="66"/>
      <c r="X14" s="66"/>
      <c r="Y14" s="66"/>
      <c r="Z14" s="66" t="s">
        <v>5341</v>
      </c>
      <c r="AA14" s="66"/>
      <c r="AB14" s="66"/>
      <c r="AC14" s="79">
        <v>45117.5</v>
      </c>
      <c r="AD14" s="79">
        <v>45120.5</v>
      </c>
      <c r="AE14" s="66"/>
      <c r="AF14" s="44"/>
      <c r="AG14" s="254">
        <f>Prog_236[[#This Row],[SAÍDA DO CLIENTE]]-Prog_236[[#This Row],[PROGRAMAÇÃO CLIENTE]]</f>
        <v>-45114.333333333336</v>
      </c>
      <c r="AH14" s="44"/>
      <c r="AI14" s="66"/>
      <c r="AJ14" s="66"/>
      <c r="AK14" s="66"/>
      <c r="AL14" s="66"/>
      <c r="AM14" s="66"/>
      <c r="AN14" s="83"/>
      <c r="AO14" s="66"/>
      <c r="AP14" s="66"/>
      <c r="AQ14" s="66"/>
      <c r="AR14" s="81"/>
      <c r="AS14" s="81"/>
      <c r="AT14" s="81"/>
      <c r="AU14" s="81"/>
      <c r="AV14" s="83">
        <f>SUM(Prog_236[[#This Row],[ADIANTAMENTO]]+Prog_236[[#This Row],[SALDO]]+Prog_236[[#This Row],[MARGEM]]+Prog_236[[#This Row],[ESTADIA 1]])</f>
        <v>0</v>
      </c>
      <c r="AW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" s="81"/>
      <c r="AY14" s="81"/>
      <c r="AZ14" s="81">
        <f>Prog_236[[#This Row],[VLR NF]]*0.1%</f>
        <v>0</v>
      </c>
      <c r="BA14" s="81">
        <f>Prog_236[[#This Row],[VLR NF]]*0.05%</f>
        <v>0</v>
      </c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66"/>
      <c r="BM14" s="66"/>
      <c r="BN14" s="66"/>
      <c r="BO14" s="66" t="str">
        <f>PROPER(TEXT(Prog_236[[#This Row],[PROGRAMAÇÃO CLIENTE]],"mmm"))</f>
        <v>Jul</v>
      </c>
      <c r="BP14" s="66">
        <f>YEAR(Prog_236[[#This Row],[PROGRAMAÇÃO CLIENTE]])</f>
        <v>2023</v>
      </c>
    </row>
    <row r="15" spans="1:78" x14ac:dyDescent="0.25">
      <c r="A15" s="201">
        <f>Prog_236[[#This Row],[CONTEINER]]</f>
        <v>0</v>
      </c>
      <c r="B15" s="86"/>
      <c r="C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" s="85">
        <v>45114.333333333336</v>
      </c>
      <c r="E15" s="66" t="s">
        <v>5338</v>
      </c>
      <c r="F15" s="66" t="s">
        <v>5339</v>
      </c>
      <c r="G15" s="66"/>
      <c r="H15" s="44">
        <v>228663839</v>
      </c>
      <c r="I15" s="44"/>
      <c r="J15" s="66" t="s">
        <v>288</v>
      </c>
      <c r="K15" s="66"/>
      <c r="L15" s="66"/>
      <c r="M15" s="66"/>
      <c r="N15" s="66">
        <f>SUM(Prog_236[[#This Row],[TARA]]+Prog_236[[#This Row],[PESO]])</f>
        <v>0</v>
      </c>
      <c r="O15" s="44"/>
      <c r="P15" s="66" t="s">
        <v>5343</v>
      </c>
      <c r="Q15" s="66"/>
      <c r="R15" s="66"/>
      <c r="S15" s="66"/>
      <c r="T15" s="138" t="str">
        <f>IFERROR(LOOKUP($S15,MOTORISTAS!$D$3:$D$1048576,MOTORISTAS!E$3:$E$1048576),"")</f>
        <v/>
      </c>
      <c r="U15" s="138" t="str">
        <f>IFERROR(LOOKUP($S15,MOTORISTAS!$D$3:$D$1048576,MOTORISTAS!F$3:$F$1048576),"")</f>
        <v/>
      </c>
      <c r="V15" s="66"/>
      <c r="W15" s="66"/>
      <c r="X15" s="66"/>
      <c r="Y15" s="66"/>
      <c r="Z15" s="66" t="s">
        <v>5341</v>
      </c>
      <c r="AA15" s="66"/>
      <c r="AB15" s="66"/>
      <c r="AC15" s="79">
        <v>45117.5</v>
      </c>
      <c r="AD15" s="79">
        <v>45120.5</v>
      </c>
      <c r="AE15" s="66"/>
      <c r="AF15" s="44"/>
      <c r="AG15" s="254">
        <f>Prog_236[[#This Row],[SAÍDA DO CLIENTE]]-Prog_236[[#This Row],[PROGRAMAÇÃO CLIENTE]]</f>
        <v>-45114.333333333336</v>
      </c>
      <c r="AH15" s="44"/>
      <c r="AI15" s="66"/>
      <c r="AJ15" s="66"/>
      <c r="AK15" s="66"/>
      <c r="AL15" s="66"/>
      <c r="AM15" s="66"/>
      <c r="AN15" s="83"/>
      <c r="AO15" s="66"/>
      <c r="AP15" s="66"/>
      <c r="AQ15" s="66"/>
      <c r="AR15" s="81"/>
      <c r="AS15" s="81"/>
      <c r="AT15" s="81"/>
      <c r="AU15" s="81"/>
      <c r="AV15" s="83">
        <f>SUM(Prog_236[[#This Row],[ADIANTAMENTO]]+Prog_236[[#This Row],[SALDO]]+Prog_236[[#This Row],[MARGEM]]+Prog_236[[#This Row],[ESTADIA 1]])</f>
        <v>0</v>
      </c>
      <c r="AW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" s="81"/>
      <c r="AY15" s="81"/>
      <c r="AZ15" s="81">
        <f>Prog_236[[#This Row],[VLR NF]]*0.1%</f>
        <v>0</v>
      </c>
      <c r="BA15" s="81">
        <f>Prog_236[[#This Row],[VLR NF]]*0.05%</f>
        <v>0</v>
      </c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66"/>
      <c r="BM15" s="66"/>
      <c r="BN15" s="66"/>
      <c r="BO15" s="66" t="str">
        <f>PROPER(TEXT(Prog_236[[#This Row],[PROGRAMAÇÃO CLIENTE]],"mmm"))</f>
        <v>Jul</v>
      </c>
      <c r="BP15" s="66">
        <f>YEAR(Prog_236[[#This Row],[PROGRAMAÇÃO CLIENTE]])</f>
        <v>2023</v>
      </c>
    </row>
    <row r="16" spans="1:78" x14ac:dyDescent="0.25">
      <c r="A16" s="200">
        <f>Prog_236[[#This Row],[CONTEINER]]</f>
        <v>0</v>
      </c>
      <c r="B16" s="86"/>
      <c r="C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" s="85">
        <v>45114.333333333336</v>
      </c>
      <c r="E16" s="66" t="s">
        <v>5338</v>
      </c>
      <c r="F16" s="66" t="s">
        <v>5339</v>
      </c>
      <c r="G16" s="66"/>
      <c r="H16" s="44">
        <v>228663839</v>
      </c>
      <c r="I16" s="44"/>
      <c r="J16" s="66" t="s">
        <v>288</v>
      </c>
      <c r="K16" s="66"/>
      <c r="L16" s="66"/>
      <c r="M16" s="66"/>
      <c r="N16" s="66">
        <f>SUM(Prog_236[[#This Row],[TARA]]+Prog_236[[#This Row],[PESO]])</f>
        <v>0</v>
      </c>
      <c r="O16" s="44"/>
      <c r="P16" s="66" t="s">
        <v>5343</v>
      </c>
      <c r="Q16" s="66"/>
      <c r="R16" s="66"/>
      <c r="S16" s="66"/>
      <c r="T16" s="138" t="str">
        <f>IFERROR(LOOKUP($S16,MOTORISTAS!$D$3:$D$1048576,MOTORISTAS!E$3:$E$1048576),"")</f>
        <v/>
      </c>
      <c r="U16" s="138" t="str">
        <f>IFERROR(LOOKUP($S16,MOTORISTAS!$D$3:$D$1048576,MOTORISTAS!F$3:$F$1048576),"")</f>
        <v/>
      </c>
      <c r="V16" s="66"/>
      <c r="W16" s="66"/>
      <c r="X16" s="66"/>
      <c r="Y16" s="66"/>
      <c r="Z16" s="66" t="s">
        <v>5341</v>
      </c>
      <c r="AA16" s="66"/>
      <c r="AB16" s="66"/>
      <c r="AC16" s="79">
        <v>45117.5</v>
      </c>
      <c r="AD16" s="79">
        <v>45120.5</v>
      </c>
      <c r="AE16" s="66"/>
      <c r="AF16" s="44"/>
      <c r="AG16" s="254">
        <f>Prog_236[[#This Row],[SAÍDA DO CLIENTE]]-Prog_236[[#This Row],[PROGRAMAÇÃO CLIENTE]]</f>
        <v>-45114.333333333336</v>
      </c>
      <c r="AH16" s="44"/>
      <c r="AI16" s="66"/>
      <c r="AJ16" s="66"/>
      <c r="AK16" s="66"/>
      <c r="AL16" s="66"/>
      <c r="AM16" s="66"/>
      <c r="AN16" s="83"/>
      <c r="AO16" s="66"/>
      <c r="AP16" s="66"/>
      <c r="AQ16" s="66"/>
      <c r="AR16" s="81"/>
      <c r="AS16" s="81"/>
      <c r="AT16" s="81"/>
      <c r="AU16" s="81"/>
      <c r="AV16" s="83">
        <f>SUM(Prog_236[[#This Row],[ADIANTAMENTO]]+Prog_236[[#This Row],[SALDO]]+Prog_236[[#This Row],[MARGEM]]+Prog_236[[#This Row],[ESTADIA 1]])</f>
        <v>0</v>
      </c>
      <c r="AW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" s="81"/>
      <c r="AY16" s="81"/>
      <c r="AZ16" s="81">
        <f>Prog_236[[#This Row],[VLR NF]]*0.1%</f>
        <v>0</v>
      </c>
      <c r="BA16" s="81">
        <f>Prog_236[[#This Row],[VLR NF]]*0.05%</f>
        <v>0</v>
      </c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66"/>
      <c r="BM16" s="66"/>
      <c r="BN16" s="66"/>
      <c r="BO16" s="66" t="str">
        <f>PROPER(TEXT(Prog_236[[#This Row],[PROGRAMAÇÃO CLIENTE]],"mmm"))</f>
        <v>Jul</v>
      </c>
      <c r="BP16" s="66">
        <f>YEAR(Prog_236[[#This Row],[PROGRAMAÇÃO CLIENTE]])</f>
        <v>2023</v>
      </c>
    </row>
    <row r="17" spans="1:68" x14ac:dyDescent="0.25">
      <c r="A17" s="201">
        <f>Prog_236[[#This Row],[CONTEINER]]</f>
        <v>0</v>
      </c>
      <c r="B17" s="86"/>
      <c r="C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" s="85">
        <v>45117.333333333336</v>
      </c>
      <c r="E17" s="66" t="s">
        <v>5338</v>
      </c>
      <c r="F17" s="66" t="s">
        <v>5339</v>
      </c>
      <c r="G17" s="66"/>
      <c r="H17" s="44">
        <v>228663839</v>
      </c>
      <c r="I17" s="44"/>
      <c r="J17" s="66" t="s">
        <v>288</v>
      </c>
      <c r="K17" s="66"/>
      <c r="L17" s="66"/>
      <c r="M17" s="66"/>
      <c r="N17" s="66">
        <f>SUM(Prog_236[[#This Row],[TARA]]+Prog_236[[#This Row],[PESO]])</f>
        <v>0</v>
      </c>
      <c r="O17" s="44"/>
      <c r="P17" s="66" t="s">
        <v>5343</v>
      </c>
      <c r="Q17" s="66"/>
      <c r="R17" s="66"/>
      <c r="S17" s="66"/>
      <c r="T17" s="138" t="str">
        <f>IFERROR(LOOKUP($S17,MOTORISTAS!$D$3:$D$1048576,MOTORISTAS!E$3:$E$1048576),"")</f>
        <v/>
      </c>
      <c r="U17" s="138" t="str">
        <f>IFERROR(LOOKUP($S17,MOTORISTAS!$D$3:$D$1048576,MOTORISTAS!F$3:$F$1048576),"")</f>
        <v/>
      </c>
      <c r="V17" s="66"/>
      <c r="W17" s="66"/>
      <c r="X17" s="66"/>
      <c r="Y17" s="66"/>
      <c r="Z17" s="66" t="s">
        <v>5341</v>
      </c>
      <c r="AA17" s="66"/>
      <c r="AB17" s="66"/>
      <c r="AC17" s="79">
        <v>45117.5</v>
      </c>
      <c r="AD17" s="79">
        <v>45120.5</v>
      </c>
      <c r="AE17" s="66"/>
      <c r="AF17" s="44"/>
      <c r="AG17" s="254">
        <f>Prog_236[[#This Row],[SAÍDA DO CLIENTE]]-Prog_236[[#This Row],[PROGRAMAÇÃO CLIENTE]]</f>
        <v>-45117.333333333336</v>
      </c>
      <c r="AH17" s="44"/>
      <c r="AI17" s="66"/>
      <c r="AJ17" s="66"/>
      <c r="AK17" s="66"/>
      <c r="AL17" s="66"/>
      <c r="AM17" s="66"/>
      <c r="AN17" s="83"/>
      <c r="AO17" s="66"/>
      <c r="AP17" s="66"/>
      <c r="AQ17" s="66"/>
      <c r="AR17" s="81"/>
      <c r="AS17" s="81"/>
      <c r="AT17" s="81"/>
      <c r="AU17" s="81"/>
      <c r="AV17" s="83">
        <f>SUM(Prog_236[[#This Row],[ADIANTAMENTO]]+Prog_236[[#This Row],[SALDO]]+Prog_236[[#This Row],[MARGEM]]+Prog_236[[#This Row],[ESTADIA 1]])</f>
        <v>0</v>
      </c>
      <c r="AW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" s="81"/>
      <c r="AY17" s="81"/>
      <c r="AZ17" s="81">
        <f>Prog_236[[#This Row],[VLR NF]]*0.1%</f>
        <v>0</v>
      </c>
      <c r="BA17" s="81">
        <f>Prog_236[[#This Row],[VLR NF]]*0.05%</f>
        <v>0</v>
      </c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66"/>
      <c r="BM17" s="66"/>
      <c r="BN17" s="66"/>
      <c r="BO17" s="66" t="str">
        <f>PROPER(TEXT(Prog_236[[#This Row],[PROGRAMAÇÃO CLIENTE]],"mmm"))</f>
        <v>Jul</v>
      </c>
      <c r="BP17" s="66">
        <f>YEAR(Prog_236[[#This Row],[PROGRAMAÇÃO CLIENTE]])</f>
        <v>2023</v>
      </c>
    </row>
    <row r="18" spans="1:68" x14ac:dyDescent="0.25">
      <c r="A18" s="200">
        <f>Prog_236[[#This Row],[CONTEINER]]</f>
        <v>0</v>
      </c>
      <c r="B18" s="86"/>
      <c r="C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" s="85">
        <v>45117.333333333336</v>
      </c>
      <c r="E18" s="66" t="s">
        <v>5338</v>
      </c>
      <c r="F18" s="66" t="s">
        <v>5339</v>
      </c>
      <c r="G18" s="66"/>
      <c r="H18" s="44">
        <v>228663839</v>
      </c>
      <c r="I18" s="44"/>
      <c r="J18" s="66" t="s">
        <v>288</v>
      </c>
      <c r="K18" s="66"/>
      <c r="L18" s="66"/>
      <c r="M18" s="66"/>
      <c r="N18" s="66">
        <f>SUM(Prog_236[[#This Row],[TARA]]+Prog_236[[#This Row],[PESO]])</f>
        <v>0</v>
      </c>
      <c r="O18" s="44"/>
      <c r="P18" s="66" t="s">
        <v>5343</v>
      </c>
      <c r="Q18" s="66"/>
      <c r="R18" s="66"/>
      <c r="S18" s="66"/>
      <c r="T18" s="138" t="str">
        <f>IFERROR(LOOKUP($S18,MOTORISTAS!$D$3:$D$1048576,MOTORISTAS!E$3:$E$1048576),"")</f>
        <v/>
      </c>
      <c r="U18" s="138" t="str">
        <f>IFERROR(LOOKUP($S18,MOTORISTAS!$D$3:$D$1048576,MOTORISTAS!F$3:$F$1048576),"")</f>
        <v/>
      </c>
      <c r="V18" s="66"/>
      <c r="W18" s="66"/>
      <c r="X18" s="66"/>
      <c r="Y18" s="66"/>
      <c r="Z18" s="66" t="s">
        <v>5341</v>
      </c>
      <c r="AA18" s="66"/>
      <c r="AB18" s="66"/>
      <c r="AC18" s="79">
        <v>45117.5</v>
      </c>
      <c r="AD18" s="79">
        <v>45120.5</v>
      </c>
      <c r="AE18" s="66"/>
      <c r="AF18" s="44"/>
      <c r="AG18" s="254">
        <f>Prog_236[[#This Row],[SAÍDA DO CLIENTE]]-Prog_236[[#This Row],[PROGRAMAÇÃO CLIENTE]]</f>
        <v>-45117.333333333336</v>
      </c>
      <c r="AH18" s="44"/>
      <c r="AI18" s="66"/>
      <c r="AJ18" s="66"/>
      <c r="AK18" s="66"/>
      <c r="AL18" s="66"/>
      <c r="AM18" s="66"/>
      <c r="AN18" s="83"/>
      <c r="AO18" s="66"/>
      <c r="AP18" s="66"/>
      <c r="AQ18" s="66"/>
      <c r="AR18" s="81"/>
      <c r="AS18" s="81"/>
      <c r="AT18" s="81"/>
      <c r="AU18" s="81"/>
      <c r="AV18" s="83">
        <f>SUM(Prog_236[[#This Row],[ADIANTAMENTO]]+Prog_236[[#This Row],[SALDO]]+Prog_236[[#This Row],[MARGEM]]+Prog_236[[#This Row],[ESTADIA 1]])</f>
        <v>0</v>
      </c>
      <c r="AW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" s="81"/>
      <c r="AY18" s="81"/>
      <c r="AZ18" s="81">
        <f>Prog_236[[#This Row],[VLR NF]]*0.1%</f>
        <v>0</v>
      </c>
      <c r="BA18" s="81">
        <f>Prog_236[[#This Row],[VLR NF]]*0.05%</f>
        <v>0</v>
      </c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66"/>
      <c r="BM18" s="66"/>
      <c r="BN18" s="66"/>
      <c r="BO18" s="66" t="str">
        <f>PROPER(TEXT(Prog_236[[#This Row],[PROGRAMAÇÃO CLIENTE]],"mmm"))</f>
        <v>Jul</v>
      </c>
      <c r="BP18" s="66">
        <f>YEAR(Prog_236[[#This Row],[PROGRAMAÇÃO CLIENTE]])</f>
        <v>2023</v>
      </c>
    </row>
    <row r="19" spans="1:68" x14ac:dyDescent="0.25">
      <c r="A19" s="201">
        <f>Prog_236[[#This Row],[CONTEINER]]</f>
        <v>0</v>
      </c>
      <c r="B19" s="86"/>
      <c r="C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" s="85">
        <v>45117.333333333336</v>
      </c>
      <c r="E19" s="66" t="s">
        <v>5338</v>
      </c>
      <c r="F19" s="66" t="s">
        <v>5339</v>
      </c>
      <c r="G19" s="66"/>
      <c r="H19" s="44">
        <v>228663839</v>
      </c>
      <c r="I19" s="44"/>
      <c r="J19" s="66" t="s">
        <v>288</v>
      </c>
      <c r="K19" s="66"/>
      <c r="L19" s="66"/>
      <c r="M19" s="66"/>
      <c r="N19" s="66">
        <f>SUM(Prog_236[[#This Row],[TARA]]+Prog_236[[#This Row],[PESO]])</f>
        <v>0</v>
      </c>
      <c r="O19" s="44"/>
      <c r="P19" s="66" t="s">
        <v>5343</v>
      </c>
      <c r="Q19" s="66"/>
      <c r="R19" s="66"/>
      <c r="S19" s="66"/>
      <c r="T19" s="138" t="str">
        <f>IFERROR(LOOKUP($S19,MOTORISTAS!$D$3:$D$1048576,MOTORISTAS!E$3:$E$1048576),"")</f>
        <v/>
      </c>
      <c r="U19" s="138" t="str">
        <f>IFERROR(LOOKUP($S19,MOTORISTAS!$D$3:$D$1048576,MOTORISTAS!F$3:$F$1048576),"")</f>
        <v/>
      </c>
      <c r="V19" s="66"/>
      <c r="W19" s="66"/>
      <c r="X19" s="66"/>
      <c r="Y19" s="66"/>
      <c r="Z19" s="66" t="s">
        <v>5341</v>
      </c>
      <c r="AA19" s="66"/>
      <c r="AB19" s="66"/>
      <c r="AC19" s="79">
        <v>45117.5</v>
      </c>
      <c r="AD19" s="79">
        <v>45120.5</v>
      </c>
      <c r="AE19" s="66"/>
      <c r="AF19" s="44"/>
      <c r="AG19" s="254">
        <f>Prog_236[[#This Row],[SAÍDA DO CLIENTE]]-Prog_236[[#This Row],[PROGRAMAÇÃO CLIENTE]]</f>
        <v>-45117.333333333336</v>
      </c>
      <c r="AH19" s="44"/>
      <c r="AI19" s="66"/>
      <c r="AJ19" s="66"/>
      <c r="AK19" s="66"/>
      <c r="AL19" s="66"/>
      <c r="AM19" s="66"/>
      <c r="AN19" s="83"/>
      <c r="AO19" s="66"/>
      <c r="AP19" s="66"/>
      <c r="AQ19" s="66"/>
      <c r="AR19" s="81"/>
      <c r="AS19" s="81"/>
      <c r="AT19" s="81"/>
      <c r="AU19" s="81"/>
      <c r="AV19" s="83">
        <f>SUM(Prog_236[[#This Row],[ADIANTAMENTO]]+Prog_236[[#This Row],[SALDO]]+Prog_236[[#This Row],[MARGEM]]+Prog_236[[#This Row],[ESTADIA 1]])</f>
        <v>0</v>
      </c>
      <c r="AW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" s="81"/>
      <c r="AY19" s="81"/>
      <c r="AZ19" s="81">
        <f>Prog_236[[#This Row],[VLR NF]]*0.1%</f>
        <v>0</v>
      </c>
      <c r="BA19" s="81">
        <f>Prog_236[[#This Row],[VLR NF]]*0.05%</f>
        <v>0</v>
      </c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66"/>
      <c r="BM19" s="66"/>
      <c r="BN19" s="66"/>
      <c r="BO19" s="66" t="str">
        <f>PROPER(TEXT(Prog_236[[#This Row],[PROGRAMAÇÃO CLIENTE]],"mmm"))</f>
        <v>Jul</v>
      </c>
      <c r="BP19" s="66">
        <f>YEAR(Prog_236[[#This Row],[PROGRAMAÇÃO CLIENTE]])</f>
        <v>2023</v>
      </c>
    </row>
    <row r="20" spans="1:68" x14ac:dyDescent="0.25">
      <c r="A20" s="200">
        <f>Prog_236[[#This Row],[CONTEINER]]</f>
        <v>0</v>
      </c>
      <c r="B20" s="86"/>
      <c r="C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" s="85">
        <v>45117.333333333336</v>
      </c>
      <c r="E20" s="66" t="s">
        <v>5338</v>
      </c>
      <c r="F20" s="66" t="s">
        <v>5339</v>
      </c>
      <c r="G20" s="66"/>
      <c r="H20" s="44">
        <v>228663839</v>
      </c>
      <c r="I20" s="44"/>
      <c r="J20" s="66" t="s">
        <v>288</v>
      </c>
      <c r="K20" s="66"/>
      <c r="L20" s="66"/>
      <c r="M20" s="66"/>
      <c r="N20" s="66">
        <f>SUM(Prog_236[[#This Row],[TARA]]+Prog_236[[#This Row],[PESO]])</f>
        <v>0</v>
      </c>
      <c r="O20" s="44"/>
      <c r="P20" s="66" t="s">
        <v>5343</v>
      </c>
      <c r="Q20" s="66"/>
      <c r="R20" s="66"/>
      <c r="S20" s="66"/>
      <c r="T20" s="138" t="str">
        <f>IFERROR(LOOKUP($S20,MOTORISTAS!$D$3:$D$1048576,MOTORISTAS!E$3:$E$1048576),"")</f>
        <v/>
      </c>
      <c r="U20" s="138" t="str">
        <f>IFERROR(LOOKUP($S20,MOTORISTAS!$D$3:$D$1048576,MOTORISTAS!F$3:$F$1048576),"")</f>
        <v/>
      </c>
      <c r="V20" s="66"/>
      <c r="W20" s="66"/>
      <c r="X20" s="66"/>
      <c r="Y20" s="66"/>
      <c r="Z20" s="66" t="s">
        <v>5341</v>
      </c>
      <c r="AA20" s="66"/>
      <c r="AB20" s="66"/>
      <c r="AC20" s="79">
        <v>45117.5</v>
      </c>
      <c r="AD20" s="79">
        <v>45120.5</v>
      </c>
      <c r="AE20" s="66"/>
      <c r="AF20" s="44"/>
      <c r="AG20" s="254">
        <f>Prog_236[[#This Row],[SAÍDA DO CLIENTE]]-Prog_236[[#This Row],[PROGRAMAÇÃO CLIENTE]]</f>
        <v>-45117.333333333336</v>
      </c>
      <c r="AH20" s="44"/>
      <c r="AI20" s="66"/>
      <c r="AJ20" s="66"/>
      <c r="AK20" s="66"/>
      <c r="AL20" s="66"/>
      <c r="AM20" s="66"/>
      <c r="AN20" s="83"/>
      <c r="AO20" s="66"/>
      <c r="AP20" s="66"/>
      <c r="AQ20" s="66"/>
      <c r="AR20" s="81"/>
      <c r="AS20" s="81"/>
      <c r="AT20" s="81"/>
      <c r="AU20" s="81"/>
      <c r="AV20" s="83">
        <f>SUM(Prog_236[[#This Row],[ADIANTAMENTO]]+Prog_236[[#This Row],[SALDO]]+Prog_236[[#This Row],[MARGEM]]+Prog_236[[#This Row],[ESTADIA 1]])</f>
        <v>0</v>
      </c>
      <c r="AW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" s="81"/>
      <c r="AY20" s="81"/>
      <c r="AZ20" s="81">
        <f>Prog_236[[#This Row],[VLR NF]]*0.1%</f>
        <v>0</v>
      </c>
      <c r="BA20" s="81">
        <f>Prog_236[[#This Row],[VLR NF]]*0.05%</f>
        <v>0</v>
      </c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66"/>
      <c r="BM20" s="66"/>
      <c r="BN20" s="66"/>
      <c r="BO20" s="66" t="str">
        <f>PROPER(TEXT(Prog_236[[#This Row],[PROGRAMAÇÃO CLIENTE]],"mmm"))</f>
        <v>Jul</v>
      </c>
      <c r="BP20" s="66">
        <f>YEAR(Prog_236[[#This Row],[PROGRAMAÇÃO CLIENTE]])</f>
        <v>2023</v>
      </c>
    </row>
    <row r="21" spans="1:68" x14ac:dyDescent="0.25">
      <c r="A21" s="201">
        <f>Prog_236[[#This Row],[CONTEINER]]</f>
        <v>0</v>
      </c>
      <c r="B21" s="86"/>
      <c r="C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NO PRAZO</v>
      </c>
      <c r="D21" s="85">
        <v>45118.333333333336</v>
      </c>
      <c r="E21" s="66" t="s">
        <v>5338</v>
      </c>
      <c r="F21" s="66" t="s">
        <v>5339</v>
      </c>
      <c r="G21" s="66"/>
      <c r="H21" s="44">
        <v>228663839</v>
      </c>
      <c r="I21" s="44"/>
      <c r="J21" s="66" t="s">
        <v>288</v>
      </c>
      <c r="K21" s="66"/>
      <c r="L21" s="66"/>
      <c r="M21" s="66"/>
      <c r="N21" s="66">
        <f>SUM(Prog_236[[#This Row],[TARA]]+Prog_236[[#This Row],[PESO]])</f>
        <v>0</v>
      </c>
      <c r="O21" s="44"/>
      <c r="P21" s="66" t="s">
        <v>5343</v>
      </c>
      <c r="Q21" s="66"/>
      <c r="R21" s="66"/>
      <c r="S21" s="66"/>
      <c r="T21" s="138" t="str">
        <f>IFERROR(LOOKUP($S21,MOTORISTAS!$D$3:$D$1048576,MOTORISTAS!E$3:$E$1048576),"")</f>
        <v/>
      </c>
      <c r="U21" s="138" t="str">
        <f>IFERROR(LOOKUP($S21,MOTORISTAS!$D$3:$D$1048576,MOTORISTAS!F$3:$F$1048576),"")</f>
        <v/>
      </c>
      <c r="V21" s="66"/>
      <c r="W21" s="66"/>
      <c r="X21" s="66">
        <v>0</v>
      </c>
      <c r="Y21" s="66"/>
      <c r="Z21" s="66" t="s">
        <v>5341</v>
      </c>
      <c r="AA21" s="66"/>
      <c r="AB21" s="66"/>
      <c r="AC21" s="79">
        <v>45117.5</v>
      </c>
      <c r="AD21" s="79">
        <v>45120.5</v>
      </c>
      <c r="AE21" s="66"/>
      <c r="AF21" s="44"/>
      <c r="AG21" s="254">
        <f>Prog_236[[#This Row],[SAÍDA DO CLIENTE]]-Prog_236[[#This Row],[PROGRAMAÇÃO CLIENTE]]</f>
        <v>-45118.333333333336</v>
      </c>
      <c r="AH21" s="44"/>
      <c r="AI21" s="66"/>
      <c r="AJ21" s="66"/>
      <c r="AK21" s="66"/>
      <c r="AL21" s="66"/>
      <c r="AM21" s="66"/>
      <c r="AN21" s="83"/>
      <c r="AO21" s="66"/>
      <c r="AP21" s="66"/>
      <c r="AQ21" s="66"/>
      <c r="AR21" s="81"/>
      <c r="AS21" s="81"/>
      <c r="AT21" s="81"/>
      <c r="AU21" s="81"/>
      <c r="AV21" s="83">
        <f>SUM(Prog_236[[#This Row],[ADIANTAMENTO]]+Prog_236[[#This Row],[SALDO]]+Prog_236[[#This Row],[MARGEM]]+Prog_236[[#This Row],[ESTADIA 1]])</f>
        <v>0</v>
      </c>
      <c r="AW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" s="81"/>
      <c r="AY21" s="81"/>
      <c r="AZ21" s="81">
        <f>Prog_236[[#This Row],[VLR NF]]*0.1%</f>
        <v>0</v>
      </c>
      <c r="BA21" s="81">
        <f>Prog_236[[#This Row],[VLR NF]]*0.05%</f>
        <v>0</v>
      </c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66"/>
      <c r="BM21" s="66"/>
      <c r="BN21" s="66"/>
      <c r="BO21" s="66" t="str">
        <f>PROPER(TEXT(Prog_236[[#This Row],[PROGRAMAÇÃO CLIENTE]],"mmm"))</f>
        <v>Jul</v>
      </c>
      <c r="BP21" s="66">
        <f>YEAR(Prog_236[[#This Row],[PROGRAMAÇÃO CLIENTE]])</f>
        <v>2023</v>
      </c>
    </row>
    <row r="22" spans="1:68" x14ac:dyDescent="0.25">
      <c r="A22" s="200">
        <f>Prog_236[[#This Row],[CONTEINER]]</f>
        <v>0</v>
      </c>
      <c r="B22" s="86"/>
      <c r="C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" s="85">
        <v>45118.333333333336</v>
      </c>
      <c r="E22" s="66" t="s">
        <v>5338</v>
      </c>
      <c r="F22" s="66" t="s">
        <v>5339</v>
      </c>
      <c r="G22" s="66"/>
      <c r="H22" s="44">
        <v>228663839</v>
      </c>
      <c r="I22" s="44"/>
      <c r="J22" s="66" t="s">
        <v>288</v>
      </c>
      <c r="K22" s="66"/>
      <c r="L22" s="66"/>
      <c r="M22" s="66"/>
      <c r="N22" s="66">
        <f>SUM(Prog_236[[#This Row],[TARA]]+Prog_236[[#This Row],[PESO]])</f>
        <v>0</v>
      </c>
      <c r="O22" s="44"/>
      <c r="P22" s="66" t="s">
        <v>5343</v>
      </c>
      <c r="Q22" s="66"/>
      <c r="R22" s="66"/>
      <c r="S22" s="66"/>
      <c r="T22" s="138" t="str">
        <f>IFERROR(LOOKUP($S22,MOTORISTAS!$D$3:$D$1048576,MOTORISTAS!E$3:$E$1048576),"")</f>
        <v/>
      </c>
      <c r="U22" s="138" t="str">
        <f>IFERROR(LOOKUP($S22,MOTORISTAS!$D$3:$D$1048576,MOTORISTAS!F$3:$F$1048576),"")</f>
        <v/>
      </c>
      <c r="V22" s="66"/>
      <c r="W22" s="66"/>
      <c r="X22" s="66"/>
      <c r="Y22" s="66"/>
      <c r="Z22" s="66" t="s">
        <v>5341</v>
      </c>
      <c r="AA22" s="66"/>
      <c r="AB22" s="66"/>
      <c r="AC22" s="79">
        <v>45117.5</v>
      </c>
      <c r="AD22" s="79">
        <v>45120.5</v>
      </c>
      <c r="AE22" s="66"/>
      <c r="AF22" s="44"/>
      <c r="AG22" s="254">
        <f>Prog_236[[#This Row],[SAÍDA DO CLIENTE]]-Prog_236[[#This Row],[PROGRAMAÇÃO CLIENTE]]</f>
        <v>-45118.333333333336</v>
      </c>
      <c r="AH22" s="44"/>
      <c r="AI22" s="66"/>
      <c r="AJ22" s="66"/>
      <c r="AK22" s="66"/>
      <c r="AL22" s="66"/>
      <c r="AM22" s="66"/>
      <c r="AN22" s="83"/>
      <c r="AO22" s="66"/>
      <c r="AP22" s="66"/>
      <c r="AQ22" s="66"/>
      <c r="AR22" s="81"/>
      <c r="AS22" s="81"/>
      <c r="AT22" s="81"/>
      <c r="AU22" s="81"/>
      <c r="AV22" s="83">
        <f>SUM(Prog_236[[#This Row],[ADIANTAMENTO]]+Prog_236[[#This Row],[SALDO]]+Prog_236[[#This Row],[MARGEM]]+Prog_236[[#This Row],[ESTADIA 1]])</f>
        <v>0</v>
      </c>
      <c r="AW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" s="81"/>
      <c r="AY22" s="81"/>
      <c r="AZ22" s="81">
        <f>Prog_236[[#This Row],[VLR NF]]*0.1%</f>
        <v>0</v>
      </c>
      <c r="BA22" s="81">
        <f>Prog_236[[#This Row],[VLR NF]]*0.05%</f>
        <v>0</v>
      </c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66"/>
      <c r="BM22" s="66"/>
      <c r="BN22" s="66"/>
      <c r="BO22" s="66" t="str">
        <f>PROPER(TEXT(Prog_236[[#This Row],[PROGRAMAÇÃO CLIENTE]],"mmm"))</f>
        <v>Jul</v>
      </c>
      <c r="BP22" s="66">
        <f>YEAR(Prog_236[[#This Row],[PROGRAMAÇÃO CLIENTE]])</f>
        <v>2023</v>
      </c>
    </row>
    <row r="23" spans="1:68" x14ac:dyDescent="0.25">
      <c r="A23" s="201">
        <f>Prog_236[[#This Row],[CONTEINER]]</f>
        <v>0</v>
      </c>
      <c r="B23" s="86"/>
      <c r="C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" s="85">
        <v>45118.333333333336</v>
      </c>
      <c r="E23" s="66" t="s">
        <v>5338</v>
      </c>
      <c r="F23" s="66" t="s">
        <v>5339</v>
      </c>
      <c r="G23" s="66"/>
      <c r="H23" s="44">
        <v>228663839</v>
      </c>
      <c r="I23" s="44"/>
      <c r="J23" s="66" t="s">
        <v>288</v>
      </c>
      <c r="K23" s="66"/>
      <c r="L23" s="66"/>
      <c r="M23" s="66"/>
      <c r="N23" s="66">
        <f>SUM(Prog_236[[#This Row],[TARA]]+Prog_236[[#This Row],[PESO]])</f>
        <v>0</v>
      </c>
      <c r="O23" s="44"/>
      <c r="P23" s="66" t="s">
        <v>5343</v>
      </c>
      <c r="Q23" s="66"/>
      <c r="R23" s="66"/>
      <c r="S23" s="66"/>
      <c r="T23" s="138" t="str">
        <f>IFERROR(LOOKUP($S23,MOTORISTAS!$D$3:$D$1048576,MOTORISTAS!E$3:$E$1048576),"")</f>
        <v/>
      </c>
      <c r="U23" s="138" t="str">
        <f>IFERROR(LOOKUP($S23,MOTORISTAS!$D$3:$D$1048576,MOTORISTAS!F$3:$F$1048576),"")</f>
        <v/>
      </c>
      <c r="V23" s="66"/>
      <c r="W23" s="66"/>
      <c r="X23" s="66"/>
      <c r="Y23" s="66"/>
      <c r="Z23" s="66" t="s">
        <v>5341</v>
      </c>
      <c r="AA23" s="66"/>
      <c r="AB23" s="66"/>
      <c r="AC23" s="79">
        <v>45117.5</v>
      </c>
      <c r="AD23" s="79">
        <v>45120.5</v>
      </c>
      <c r="AE23" s="66"/>
      <c r="AF23" s="44"/>
      <c r="AG23" s="254">
        <f>Prog_236[[#This Row],[SAÍDA DO CLIENTE]]-Prog_236[[#This Row],[PROGRAMAÇÃO CLIENTE]]</f>
        <v>-45118.333333333336</v>
      </c>
      <c r="AH23" s="44"/>
      <c r="AI23" s="66"/>
      <c r="AJ23" s="66"/>
      <c r="AK23" s="66"/>
      <c r="AL23" s="66"/>
      <c r="AM23" s="66"/>
      <c r="AN23" s="83"/>
      <c r="AO23" s="66"/>
      <c r="AP23" s="66"/>
      <c r="AQ23" s="66"/>
      <c r="AR23" s="81"/>
      <c r="AS23" s="81"/>
      <c r="AT23" s="81"/>
      <c r="AU23" s="81"/>
      <c r="AV23" s="83">
        <f>SUM(Prog_236[[#This Row],[ADIANTAMENTO]]+Prog_236[[#This Row],[SALDO]]+Prog_236[[#This Row],[MARGEM]]+Prog_236[[#This Row],[ESTADIA 1]])</f>
        <v>0</v>
      </c>
      <c r="AW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" s="81"/>
      <c r="AY23" s="81"/>
      <c r="AZ23" s="81">
        <f>Prog_236[[#This Row],[VLR NF]]*0.1%</f>
        <v>0</v>
      </c>
      <c r="BA23" s="81">
        <f>Prog_236[[#This Row],[VLR NF]]*0.05%</f>
        <v>0</v>
      </c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66"/>
      <c r="BM23" s="66"/>
      <c r="BN23" s="66"/>
      <c r="BO23" s="66" t="str">
        <f>PROPER(TEXT(Prog_236[[#This Row],[PROGRAMAÇÃO CLIENTE]],"mmm"))</f>
        <v>Jul</v>
      </c>
      <c r="BP23" s="66">
        <f>YEAR(Prog_236[[#This Row],[PROGRAMAÇÃO CLIENTE]])</f>
        <v>2023</v>
      </c>
    </row>
    <row r="24" spans="1:68" x14ac:dyDescent="0.25">
      <c r="A24" s="200">
        <f>Prog_236[[#This Row],[CONTEINER]]</f>
        <v>0</v>
      </c>
      <c r="B24" s="86"/>
      <c r="C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" s="85">
        <v>45118.333333333336</v>
      </c>
      <c r="E24" s="66" t="s">
        <v>5338</v>
      </c>
      <c r="F24" s="66" t="s">
        <v>5339</v>
      </c>
      <c r="G24" s="66"/>
      <c r="H24" s="44">
        <v>228663839</v>
      </c>
      <c r="I24" s="44"/>
      <c r="J24" s="66" t="s">
        <v>288</v>
      </c>
      <c r="K24" s="66"/>
      <c r="L24" s="66"/>
      <c r="M24" s="66"/>
      <c r="N24" s="66">
        <f>SUM(Prog_236[[#This Row],[TARA]]+Prog_236[[#This Row],[PESO]])</f>
        <v>0</v>
      </c>
      <c r="O24" s="44"/>
      <c r="P24" s="66" t="s">
        <v>5343</v>
      </c>
      <c r="Q24" s="66"/>
      <c r="R24" s="66"/>
      <c r="S24" s="66"/>
      <c r="T24" s="138" t="str">
        <f>IFERROR(LOOKUP($S24,MOTORISTAS!$D$3:$D$1048576,MOTORISTAS!E$3:$E$1048576),"")</f>
        <v/>
      </c>
      <c r="U24" s="138" t="str">
        <f>IFERROR(LOOKUP($S24,MOTORISTAS!$D$3:$D$1048576,MOTORISTAS!F$3:$F$1048576),"")</f>
        <v/>
      </c>
      <c r="V24" s="66"/>
      <c r="W24" s="66"/>
      <c r="X24" s="66"/>
      <c r="Y24" s="66"/>
      <c r="Z24" s="66" t="s">
        <v>5341</v>
      </c>
      <c r="AA24" s="66"/>
      <c r="AB24" s="66"/>
      <c r="AC24" s="79">
        <v>45117.5</v>
      </c>
      <c r="AD24" s="79">
        <v>45120.5</v>
      </c>
      <c r="AE24" s="66"/>
      <c r="AF24" s="44"/>
      <c r="AG24" s="254">
        <f>Prog_236[[#This Row],[SAÍDA DO CLIENTE]]-Prog_236[[#This Row],[PROGRAMAÇÃO CLIENTE]]</f>
        <v>-45118.333333333336</v>
      </c>
      <c r="AH24" s="44"/>
      <c r="AI24" s="66"/>
      <c r="AJ24" s="66"/>
      <c r="AK24" s="66"/>
      <c r="AL24" s="66"/>
      <c r="AM24" s="66"/>
      <c r="AN24" s="83"/>
      <c r="AO24" s="66"/>
      <c r="AP24" s="66"/>
      <c r="AQ24" s="66"/>
      <c r="AR24" s="81"/>
      <c r="AS24" s="81"/>
      <c r="AT24" s="81"/>
      <c r="AU24" s="81"/>
      <c r="AV24" s="83">
        <f>SUM(Prog_236[[#This Row],[ADIANTAMENTO]]+Prog_236[[#This Row],[SALDO]]+Prog_236[[#This Row],[MARGEM]]+Prog_236[[#This Row],[ESTADIA 1]])</f>
        <v>0</v>
      </c>
      <c r="AW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" s="81"/>
      <c r="AY24" s="81"/>
      <c r="AZ24" s="81">
        <f>Prog_236[[#This Row],[VLR NF]]*0.1%</f>
        <v>0</v>
      </c>
      <c r="BA24" s="81">
        <f>Prog_236[[#This Row],[VLR NF]]*0.05%</f>
        <v>0</v>
      </c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66"/>
      <c r="BM24" s="66"/>
      <c r="BN24" s="66"/>
      <c r="BO24" s="66" t="str">
        <f>PROPER(TEXT(Prog_236[[#This Row],[PROGRAMAÇÃO CLIENTE]],"mmm"))</f>
        <v>Jul</v>
      </c>
      <c r="BP24" s="66">
        <f>YEAR(Prog_236[[#This Row],[PROGRAMAÇÃO CLIENTE]])</f>
        <v>2023</v>
      </c>
    </row>
    <row r="25" spans="1:68" x14ac:dyDescent="0.25">
      <c r="A25" s="201">
        <f>Prog_236[[#This Row],[CONTEINER]]</f>
        <v>0</v>
      </c>
      <c r="B25" s="86"/>
      <c r="C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" s="85"/>
      <c r="E25" s="66" t="s">
        <v>5338</v>
      </c>
      <c r="F25" s="66" t="s">
        <v>5339</v>
      </c>
      <c r="G25" s="66"/>
      <c r="H25" s="44">
        <v>228728545</v>
      </c>
      <c r="I25" s="44"/>
      <c r="J25" s="66" t="s">
        <v>288</v>
      </c>
      <c r="K25" s="66"/>
      <c r="L25" s="66"/>
      <c r="M25" s="66"/>
      <c r="N25" s="66">
        <f>SUM(Prog_236[[#This Row],[TARA]]+Prog_236[[#This Row],[PESO]])</f>
        <v>0</v>
      </c>
      <c r="O25" s="44"/>
      <c r="P25" s="66" t="s">
        <v>5344</v>
      </c>
      <c r="Q25" s="66"/>
      <c r="R25" s="66"/>
      <c r="S25" s="66"/>
      <c r="T25" s="138" t="str">
        <f>IFERROR(LOOKUP($S25,MOTORISTAS!$D$3:$D$1048576,MOTORISTAS!E$3:$E$1048576),"")</f>
        <v/>
      </c>
      <c r="U25" s="138" t="str">
        <f>IFERROR(LOOKUP($S25,MOTORISTAS!$D$3:$D$1048576,MOTORISTAS!F$3:$F$1048576),"")</f>
        <v/>
      </c>
      <c r="V25" s="66"/>
      <c r="W25" s="66"/>
      <c r="X25" s="66"/>
      <c r="Y25" s="66"/>
      <c r="Z25" s="66" t="s">
        <v>5341</v>
      </c>
      <c r="AA25" s="66"/>
      <c r="AB25" s="66"/>
      <c r="AC25" s="79">
        <v>45101.5</v>
      </c>
      <c r="AD25" s="79">
        <v>45104.5</v>
      </c>
      <c r="AE25" s="66"/>
      <c r="AF25" s="44"/>
      <c r="AG25" s="254">
        <f>Prog_236[[#This Row],[SAÍDA DO CLIENTE]]-Prog_236[[#This Row],[PROGRAMAÇÃO CLIENTE]]</f>
        <v>0</v>
      </c>
      <c r="AH25" s="44"/>
      <c r="AI25" s="66"/>
      <c r="AJ25" s="66"/>
      <c r="AK25" s="66"/>
      <c r="AL25" s="66"/>
      <c r="AM25" s="66"/>
      <c r="AN25" s="83"/>
      <c r="AO25" s="66"/>
      <c r="AP25" s="66"/>
      <c r="AQ25" s="66"/>
      <c r="AR25" s="81"/>
      <c r="AS25" s="81"/>
      <c r="AT25" s="81"/>
      <c r="AU25" s="81"/>
      <c r="AV25" s="83">
        <f>SUM(Prog_236[[#This Row],[ADIANTAMENTO]]+Prog_236[[#This Row],[SALDO]]+Prog_236[[#This Row],[MARGEM]]+Prog_236[[#This Row],[ESTADIA 1]])</f>
        <v>0</v>
      </c>
      <c r="AW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" s="81"/>
      <c r="AY25" s="81"/>
      <c r="AZ25" s="81">
        <f>Prog_236[[#This Row],[VLR NF]]*0.1%</f>
        <v>0</v>
      </c>
      <c r="BA25" s="81">
        <f>Prog_236[[#This Row],[VLR NF]]*0.05%</f>
        <v>0</v>
      </c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66"/>
      <c r="BM25" s="66"/>
      <c r="BN25" s="66"/>
      <c r="BO25" s="66" t="str">
        <f>PROPER(TEXT(Prog_236[[#This Row],[PROGRAMAÇÃO CLIENTE]],"mmm"))</f>
        <v>Jan</v>
      </c>
      <c r="BP25" s="66">
        <f>YEAR(Prog_236[[#This Row],[PROGRAMAÇÃO CLIENTE]])</f>
        <v>1900</v>
      </c>
    </row>
    <row r="26" spans="1:68" x14ac:dyDescent="0.25">
      <c r="A26" s="200">
        <f>Prog_236[[#This Row],[CONTEINER]]</f>
        <v>0</v>
      </c>
      <c r="B26" s="86"/>
      <c r="C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" s="85"/>
      <c r="E26" s="66" t="s">
        <v>5338</v>
      </c>
      <c r="F26" s="66" t="s">
        <v>5339</v>
      </c>
      <c r="G26" s="66"/>
      <c r="H26" s="44">
        <v>228728545</v>
      </c>
      <c r="I26" s="44"/>
      <c r="J26" s="66" t="s">
        <v>288</v>
      </c>
      <c r="K26" s="66"/>
      <c r="L26" s="66"/>
      <c r="M26" s="66"/>
      <c r="N26" s="66">
        <f>SUM(Prog_236[[#This Row],[TARA]]+Prog_236[[#This Row],[PESO]])</f>
        <v>0</v>
      </c>
      <c r="O26" s="44"/>
      <c r="P26" s="66" t="s">
        <v>5344</v>
      </c>
      <c r="Q26" s="66"/>
      <c r="R26" s="66"/>
      <c r="S26" s="66"/>
      <c r="T26" s="138" t="str">
        <f>IFERROR(LOOKUP($S26,MOTORISTAS!$D$3:$D$1048576,MOTORISTAS!E$3:$E$1048576),"")</f>
        <v/>
      </c>
      <c r="U26" s="138" t="str">
        <f>IFERROR(LOOKUP($S26,MOTORISTAS!$D$3:$D$1048576,MOTORISTAS!F$3:$F$1048576),"")</f>
        <v/>
      </c>
      <c r="V26" s="66"/>
      <c r="W26" s="66"/>
      <c r="X26" s="66"/>
      <c r="Y26" s="66"/>
      <c r="Z26" s="66" t="s">
        <v>5341</v>
      </c>
      <c r="AA26" s="66"/>
      <c r="AB26" s="66"/>
      <c r="AC26" s="79">
        <v>45101.5</v>
      </c>
      <c r="AD26" s="79">
        <v>45104.5</v>
      </c>
      <c r="AE26" s="66"/>
      <c r="AF26" s="44"/>
      <c r="AG26" s="254">
        <f>Prog_236[[#This Row],[SAÍDA DO CLIENTE]]-Prog_236[[#This Row],[PROGRAMAÇÃO CLIENTE]]</f>
        <v>0</v>
      </c>
      <c r="AH26" s="44"/>
      <c r="AI26" s="66"/>
      <c r="AJ26" s="66"/>
      <c r="AK26" s="66"/>
      <c r="AL26" s="66"/>
      <c r="AM26" s="66"/>
      <c r="AN26" s="83"/>
      <c r="AO26" s="66"/>
      <c r="AP26" s="66"/>
      <c r="AQ26" s="66"/>
      <c r="AR26" s="81"/>
      <c r="AS26" s="81"/>
      <c r="AT26" s="81"/>
      <c r="AU26" s="81"/>
      <c r="AV26" s="83">
        <f>SUM(Prog_236[[#This Row],[ADIANTAMENTO]]+Prog_236[[#This Row],[SALDO]]+Prog_236[[#This Row],[MARGEM]]+Prog_236[[#This Row],[ESTADIA 1]])</f>
        <v>0</v>
      </c>
      <c r="AW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" s="81"/>
      <c r="AY26" s="81"/>
      <c r="AZ26" s="81">
        <f>Prog_236[[#This Row],[VLR NF]]*0.1%</f>
        <v>0</v>
      </c>
      <c r="BA26" s="81">
        <f>Prog_236[[#This Row],[VLR NF]]*0.05%</f>
        <v>0</v>
      </c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66"/>
      <c r="BM26" s="66"/>
      <c r="BN26" s="66"/>
      <c r="BO26" s="66" t="str">
        <f>PROPER(TEXT(Prog_236[[#This Row],[PROGRAMAÇÃO CLIENTE]],"mmm"))</f>
        <v>Jan</v>
      </c>
      <c r="BP26" s="66">
        <f>YEAR(Prog_236[[#This Row],[PROGRAMAÇÃO CLIENTE]])</f>
        <v>1900</v>
      </c>
    </row>
    <row r="27" spans="1:68" x14ac:dyDescent="0.25">
      <c r="A27" s="201">
        <f>Prog_236[[#This Row],[CONTEINER]]</f>
        <v>0</v>
      </c>
      <c r="B27" s="86"/>
      <c r="C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" s="85"/>
      <c r="E27" s="66" t="s">
        <v>5338</v>
      </c>
      <c r="F27" s="66" t="s">
        <v>5339</v>
      </c>
      <c r="G27" s="66"/>
      <c r="H27" s="44">
        <v>228728545</v>
      </c>
      <c r="I27" s="44"/>
      <c r="J27" s="66" t="s">
        <v>288</v>
      </c>
      <c r="K27" s="66"/>
      <c r="L27" s="66"/>
      <c r="M27" s="66"/>
      <c r="N27" s="66">
        <f>SUM(Prog_236[[#This Row],[TARA]]+Prog_236[[#This Row],[PESO]])</f>
        <v>0</v>
      </c>
      <c r="O27" s="44"/>
      <c r="P27" s="66" t="s">
        <v>5344</v>
      </c>
      <c r="Q27" s="66"/>
      <c r="R27" s="66"/>
      <c r="S27" s="66"/>
      <c r="T27" s="138" t="str">
        <f>IFERROR(LOOKUP($S27,MOTORISTAS!$D$3:$D$1048576,MOTORISTAS!E$3:$E$1048576),"")</f>
        <v/>
      </c>
      <c r="U27" s="138" t="str">
        <f>IFERROR(LOOKUP($S27,MOTORISTAS!$D$3:$D$1048576,MOTORISTAS!F$3:$F$1048576),"")</f>
        <v/>
      </c>
      <c r="V27" s="66"/>
      <c r="W27" s="66"/>
      <c r="X27" s="66"/>
      <c r="Y27" s="66"/>
      <c r="Z27" s="66" t="s">
        <v>5341</v>
      </c>
      <c r="AA27" s="66"/>
      <c r="AB27" s="66"/>
      <c r="AC27" s="79">
        <v>45101.5</v>
      </c>
      <c r="AD27" s="79">
        <v>45104.5</v>
      </c>
      <c r="AE27" s="66"/>
      <c r="AF27" s="44"/>
      <c r="AG27" s="254">
        <f>Prog_236[[#This Row],[SAÍDA DO CLIENTE]]-Prog_236[[#This Row],[PROGRAMAÇÃO CLIENTE]]</f>
        <v>0</v>
      </c>
      <c r="AH27" s="44"/>
      <c r="AI27" s="66"/>
      <c r="AJ27" s="66"/>
      <c r="AK27" s="66"/>
      <c r="AL27" s="66"/>
      <c r="AM27" s="66"/>
      <c r="AN27" s="83"/>
      <c r="AO27" s="66"/>
      <c r="AP27" s="66"/>
      <c r="AQ27" s="66"/>
      <c r="AR27" s="81"/>
      <c r="AS27" s="81"/>
      <c r="AT27" s="81"/>
      <c r="AU27" s="81"/>
      <c r="AV27" s="83">
        <f>SUM(Prog_236[[#This Row],[ADIANTAMENTO]]+Prog_236[[#This Row],[SALDO]]+Prog_236[[#This Row],[MARGEM]]+Prog_236[[#This Row],[ESTADIA 1]])</f>
        <v>0</v>
      </c>
      <c r="AW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" s="81"/>
      <c r="AY27" s="81"/>
      <c r="AZ27" s="81">
        <f>Prog_236[[#This Row],[VLR NF]]*0.1%</f>
        <v>0</v>
      </c>
      <c r="BA27" s="81">
        <f>Prog_236[[#This Row],[VLR NF]]*0.05%</f>
        <v>0</v>
      </c>
      <c r="BB27" s="81"/>
      <c r="BC27" s="81"/>
      <c r="BD27" s="81"/>
      <c r="BE27" s="81"/>
      <c r="BF27" s="81"/>
      <c r="BG27" s="81"/>
      <c r="BH27" s="81"/>
      <c r="BI27" s="81"/>
      <c r="BJ27" s="81"/>
      <c r="BK27" s="81"/>
      <c r="BL27" s="66"/>
      <c r="BM27" s="66"/>
      <c r="BN27" s="66"/>
      <c r="BO27" s="66" t="str">
        <f>PROPER(TEXT(Prog_236[[#This Row],[PROGRAMAÇÃO CLIENTE]],"mmm"))</f>
        <v>Jan</v>
      </c>
      <c r="BP27" s="66">
        <f>YEAR(Prog_236[[#This Row],[PROGRAMAÇÃO CLIENTE]])</f>
        <v>1900</v>
      </c>
    </row>
    <row r="28" spans="1:68" x14ac:dyDescent="0.25">
      <c r="A28" s="200">
        <f>Prog_236[[#This Row],[CONTEINER]]</f>
        <v>0</v>
      </c>
      <c r="B28" s="86"/>
      <c r="C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" s="85"/>
      <c r="E28" s="66" t="s">
        <v>5338</v>
      </c>
      <c r="F28" s="66" t="s">
        <v>5339</v>
      </c>
      <c r="G28" s="66"/>
      <c r="H28" s="44">
        <v>228728545</v>
      </c>
      <c r="I28" s="44"/>
      <c r="J28" s="66" t="s">
        <v>288</v>
      </c>
      <c r="K28" s="66"/>
      <c r="L28" s="66"/>
      <c r="M28" s="66"/>
      <c r="N28" s="66">
        <f>SUM(Prog_236[[#This Row],[TARA]]+Prog_236[[#This Row],[PESO]])</f>
        <v>0</v>
      </c>
      <c r="O28" s="44"/>
      <c r="P28" s="66" t="s">
        <v>5344</v>
      </c>
      <c r="Q28" s="66"/>
      <c r="R28" s="66"/>
      <c r="S28" s="66"/>
      <c r="T28" s="138" t="str">
        <f>IFERROR(LOOKUP($S28,MOTORISTAS!$D$3:$D$1048576,MOTORISTAS!E$3:$E$1048576),"")</f>
        <v/>
      </c>
      <c r="U28" s="138" t="str">
        <f>IFERROR(LOOKUP($S28,MOTORISTAS!$D$3:$D$1048576,MOTORISTAS!F$3:$F$1048576),"")</f>
        <v/>
      </c>
      <c r="V28" s="66"/>
      <c r="W28" s="66"/>
      <c r="X28" s="66"/>
      <c r="Y28" s="66"/>
      <c r="Z28" s="66" t="s">
        <v>5341</v>
      </c>
      <c r="AA28" s="66"/>
      <c r="AB28" s="66"/>
      <c r="AC28" s="79">
        <v>45101.5</v>
      </c>
      <c r="AD28" s="79">
        <v>45104.5</v>
      </c>
      <c r="AE28" s="66"/>
      <c r="AF28" s="44"/>
      <c r="AG28" s="254">
        <f>Prog_236[[#This Row],[SAÍDA DO CLIENTE]]-Prog_236[[#This Row],[PROGRAMAÇÃO CLIENTE]]</f>
        <v>0</v>
      </c>
      <c r="AH28" s="44"/>
      <c r="AI28" s="66"/>
      <c r="AJ28" s="66"/>
      <c r="AK28" s="66"/>
      <c r="AL28" s="66"/>
      <c r="AM28" s="66"/>
      <c r="AN28" s="83"/>
      <c r="AO28" s="66"/>
      <c r="AP28" s="66"/>
      <c r="AQ28" s="66"/>
      <c r="AR28" s="81"/>
      <c r="AS28" s="81"/>
      <c r="AT28" s="81"/>
      <c r="AU28" s="81"/>
      <c r="AV28" s="83">
        <f>SUM(Prog_236[[#This Row],[ADIANTAMENTO]]+Prog_236[[#This Row],[SALDO]]+Prog_236[[#This Row],[MARGEM]]+Prog_236[[#This Row],[ESTADIA 1]])</f>
        <v>0</v>
      </c>
      <c r="AW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" s="81"/>
      <c r="AY28" s="81"/>
      <c r="AZ28" s="81">
        <f>Prog_236[[#This Row],[VLR NF]]*0.1%</f>
        <v>0</v>
      </c>
      <c r="BA28" s="81">
        <f>Prog_236[[#This Row],[VLR NF]]*0.05%</f>
        <v>0</v>
      </c>
      <c r="BB28" s="81"/>
      <c r="BC28" s="81"/>
      <c r="BD28" s="81"/>
      <c r="BE28" s="81"/>
      <c r="BF28" s="81"/>
      <c r="BG28" s="81"/>
      <c r="BH28" s="81"/>
      <c r="BI28" s="81"/>
      <c r="BJ28" s="81"/>
      <c r="BK28" s="81"/>
      <c r="BL28" s="66"/>
      <c r="BM28" s="66"/>
      <c r="BN28" s="66"/>
      <c r="BO28" s="66" t="str">
        <f>PROPER(TEXT(Prog_236[[#This Row],[PROGRAMAÇÃO CLIENTE]],"mmm"))</f>
        <v>Jan</v>
      </c>
      <c r="BP28" s="66">
        <f>YEAR(Prog_236[[#This Row],[PROGRAMAÇÃO CLIENTE]])</f>
        <v>1900</v>
      </c>
    </row>
    <row r="29" spans="1:68" x14ac:dyDescent="0.25">
      <c r="A29" s="201">
        <f>Prog_236[[#This Row],[CONTEINER]]</f>
        <v>0</v>
      </c>
      <c r="B29" s="86"/>
      <c r="C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" s="85"/>
      <c r="E29" s="66" t="s">
        <v>5338</v>
      </c>
      <c r="F29" s="66" t="s">
        <v>5339</v>
      </c>
      <c r="G29" s="66"/>
      <c r="H29" s="44">
        <v>228728545</v>
      </c>
      <c r="I29" s="44"/>
      <c r="J29" s="66" t="s">
        <v>288</v>
      </c>
      <c r="K29" s="66"/>
      <c r="L29" s="66"/>
      <c r="M29" s="66"/>
      <c r="N29" s="66">
        <f>SUM(Prog_236[[#This Row],[TARA]]+Prog_236[[#This Row],[PESO]])</f>
        <v>0</v>
      </c>
      <c r="O29" s="44"/>
      <c r="P29" s="66" t="s">
        <v>5344</v>
      </c>
      <c r="Q29" s="66"/>
      <c r="R29" s="66"/>
      <c r="S29" s="66"/>
      <c r="T29" s="138" t="str">
        <f>IFERROR(LOOKUP($S29,MOTORISTAS!$D$3:$D$1048576,MOTORISTAS!E$3:$E$1048576),"")</f>
        <v/>
      </c>
      <c r="U29" s="138" t="str">
        <f>IFERROR(LOOKUP($S29,MOTORISTAS!$D$3:$D$1048576,MOTORISTAS!F$3:$F$1048576),"")</f>
        <v/>
      </c>
      <c r="V29" s="66"/>
      <c r="W29" s="66"/>
      <c r="X29" s="66"/>
      <c r="Y29" s="66"/>
      <c r="Z29" s="66" t="s">
        <v>5341</v>
      </c>
      <c r="AA29" s="66"/>
      <c r="AB29" s="66"/>
      <c r="AC29" s="79">
        <v>45101.5</v>
      </c>
      <c r="AD29" s="79">
        <v>45104.5</v>
      </c>
      <c r="AE29" s="66"/>
      <c r="AF29" s="44"/>
      <c r="AG29" s="254">
        <f>Prog_236[[#This Row],[SAÍDA DO CLIENTE]]-Prog_236[[#This Row],[PROGRAMAÇÃO CLIENTE]]</f>
        <v>0</v>
      </c>
      <c r="AH29" s="44"/>
      <c r="AI29" s="66"/>
      <c r="AJ29" s="66"/>
      <c r="AK29" s="66"/>
      <c r="AL29" s="66"/>
      <c r="AM29" s="66"/>
      <c r="AN29" s="83"/>
      <c r="AO29" s="66"/>
      <c r="AP29" s="66"/>
      <c r="AQ29" s="66"/>
      <c r="AR29" s="81"/>
      <c r="AS29" s="81"/>
      <c r="AT29" s="81"/>
      <c r="AU29" s="81"/>
      <c r="AV29" s="83">
        <f>SUM(Prog_236[[#This Row],[ADIANTAMENTO]]+Prog_236[[#This Row],[SALDO]]+Prog_236[[#This Row],[MARGEM]]+Prog_236[[#This Row],[ESTADIA 1]])</f>
        <v>0</v>
      </c>
      <c r="AW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" s="81"/>
      <c r="AY29" s="81"/>
      <c r="AZ29" s="81">
        <f>Prog_236[[#This Row],[VLR NF]]*0.1%</f>
        <v>0</v>
      </c>
      <c r="BA29" s="81">
        <f>Prog_236[[#This Row],[VLR NF]]*0.05%</f>
        <v>0</v>
      </c>
      <c r="BB29" s="81"/>
      <c r="BC29" s="81"/>
      <c r="BD29" s="81"/>
      <c r="BE29" s="81"/>
      <c r="BF29" s="81"/>
      <c r="BG29" s="81"/>
      <c r="BH29" s="81"/>
      <c r="BI29" s="81"/>
      <c r="BJ29" s="81"/>
      <c r="BK29" s="81"/>
      <c r="BL29" s="66"/>
      <c r="BM29" s="66"/>
      <c r="BN29" s="66"/>
      <c r="BO29" s="66" t="str">
        <f>PROPER(TEXT(Prog_236[[#This Row],[PROGRAMAÇÃO CLIENTE]],"mmm"))</f>
        <v>Jan</v>
      </c>
      <c r="BP29" s="66">
        <f>YEAR(Prog_236[[#This Row],[PROGRAMAÇÃO CLIENTE]])</f>
        <v>1900</v>
      </c>
    </row>
    <row r="30" spans="1:68" x14ac:dyDescent="0.25">
      <c r="A30" s="200">
        <f>Prog_236[[#This Row],[CONTEINER]]</f>
        <v>0</v>
      </c>
      <c r="B30" s="86"/>
      <c r="C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" s="85"/>
      <c r="E30" s="66" t="s">
        <v>5338</v>
      </c>
      <c r="F30" s="66" t="s">
        <v>5339</v>
      </c>
      <c r="G30" s="66"/>
      <c r="H30" s="44">
        <v>228728545</v>
      </c>
      <c r="I30" s="44"/>
      <c r="J30" s="66" t="s">
        <v>288</v>
      </c>
      <c r="K30" s="66"/>
      <c r="L30" s="66"/>
      <c r="M30" s="66"/>
      <c r="N30" s="66">
        <f>SUM(Prog_236[[#This Row],[TARA]]+Prog_236[[#This Row],[PESO]])</f>
        <v>0</v>
      </c>
      <c r="O30" s="44"/>
      <c r="P30" s="66" t="s">
        <v>5344</v>
      </c>
      <c r="Q30" s="66"/>
      <c r="R30" s="66"/>
      <c r="S30" s="66"/>
      <c r="T30" s="138" t="str">
        <f>IFERROR(LOOKUP($S30,MOTORISTAS!$D$3:$D$1048576,MOTORISTAS!E$3:$E$1048576),"")</f>
        <v/>
      </c>
      <c r="U30" s="138" t="str">
        <f>IFERROR(LOOKUP($S30,MOTORISTAS!$D$3:$D$1048576,MOTORISTAS!F$3:$F$1048576),"")</f>
        <v/>
      </c>
      <c r="V30" s="66"/>
      <c r="W30" s="66"/>
      <c r="X30" s="66"/>
      <c r="Y30" s="66"/>
      <c r="Z30" s="66" t="s">
        <v>5341</v>
      </c>
      <c r="AA30" s="66"/>
      <c r="AB30" s="66"/>
      <c r="AC30" s="79">
        <v>45101.5</v>
      </c>
      <c r="AD30" s="79">
        <v>45104.5</v>
      </c>
      <c r="AE30" s="66"/>
      <c r="AF30" s="44"/>
      <c r="AG30" s="254">
        <f>Prog_236[[#This Row],[SAÍDA DO CLIENTE]]-Prog_236[[#This Row],[PROGRAMAÇÃO CLIENTE]]</f>
        <v>0</v>
      </c>
      <c r="AH30" s="44"/>
      <c r="AI30" s="66"/>
      <c r="AJ30" s="66"/>
      <c r="AK30" s="66"/>
      <c r="AL30" s="66"/>
      <c r="AM30" s="66"/>
      <c r="AN30" s="83"/>
      <c r="AO30" s="66"/>
      <c r="AP30" s="66"/>
      <c r="AQ30" s="66"/>
      <c r="AR30" s="81"/>
      <c r="AS30" s="81"/>
      <c r="AT30" s="81"/>
      <c r="AU30" s="81"/>
      <c r="AV30" s="83">
        <f>SUM(Prog_236[[#This Row],[ADIANTAMENTO]]+Prog_236[[#This Row],[SALDO]]+Prog_236[[#This Row],[MARGEM]]+Prog_236[[#This Row],[ESTADIA 1]])</f>
        <v>0</v>
      </c>
      <c r="AW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" s="81"/>
      <c r="AY30" s="81"/>
      <c r="AZ30" s="81">
        <f>Prog_236[[#This Row],[VLR NF]]*0.1%</f>
        <v>0</v>
      </c>
      <c r="BA30" s="81">
        <f>Prog_236[[#This Row],[VLR NF]]*0.05%</f>
        <v>0</v>
      </c>
      <c r="BB30" s="81"/>
      <c r="BC30" s="81"/>
      <c r="BD30" s="81"/>
      <c r="BE30" s="81"/>
      <c r="BF30" s="81"/>
      <c r="BG30" s="81"/>
      <c r="BH30" s="81"/>
      <c r="BI30" s="81"/>
      <c r="BJ30" s="81"/>
      <c r="BK30" s="81"/>
      <c r="BL30" s="66"/>
      <c r="BM30" s="66"/>
      <c r="BN30" s="66"/>
      <c r="BO30" s="66" t="str">
        <f>PROPER(TEXT(Prog_236[[#This Row],[PROGRAMAÇÃO CLIENTE]],"mmm"))</f>
        <v>Jan</v>
      </c>
      <c r="BP30" s="66">
        <f>YEAR(Prog_236[[#This Row],[PROGRAMAÇÃO CLIENTE]])</f>
        <v>1900</v>
      </c>
    </row>
    <row r="31" spans="1:68" x14ac:dyDescent="0.25">
      <c r="A31" s="201">
        <f>Prog_236[[#This Row],[CONTEINER]]</f>
        <v>0</v>
      </c>
      <c r="B31" s="86"/>
      <c r="C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" s="85"/>
      <c r="E31" s="66" t="s">
        <v>5338</v>
      </c>
      <c r="F31" s="66" t="s">
        <v>5339</v>
      </c>
      <c r="G31" s="66"/>
      <c r="H31" s="44">
        <v>228728545</v>
      </c>
      <c r="I31" s="44"/>
      <c r="J31" s="66" t="s">
        <v>288</v>
      </c>
      <c r="K31" s="66"/>
      <c r="L31" s="66"/>
      <c r="M31" s="66"/>
      <c r="N31" s="66">
        <f>SUM(Prog_236[[#This Row],[TARA]]+Prog_236[[#This Row],[PESO]])</f>
        <v>0</v>
      </c>
      <c r="O31" s="44"/>
      <c r="P31" s="66" t="s">
        <v>5344</v>
      </c>
      <c r="Q31" s="66"/>
      <c r="R31" s="66"/>
      <c r="S31" s="66"/>
      <c r="T31" s="138" t="str">
        <f>IFERROR(LOOKUP($S31,MOTORISTAS!$D$3:$D$1048576,MOTORISTAS!E$3:$E$1048576),"")</f>
        <v/>
      </c>
      <c r="U31" s="138" t="str">
        <f>IFERROR(LOOKUP($S31,MOTORISTAS!$D$3:$D$1048576,MOTORISTAS!F$3:$F$1048576),"")</f>
        <v/>
      </c>
      <c r="V31" s="66"/>
      <c r="W31" s="66"/>
      <c r="X31" s="66"/>
      <c r="Y31" s="66"/>
      <c r="Z31" s="66" t="s">
        <v>5341</v>
      </c>
      <c r="AA31" s="66"/>
      <c r="AB31" s="66"/>
      <c r="AC31" s="79">
        <v>45101.5</v>
      </c>
      <c r="AD31" s="79">
        <v>45104.5</v>
      </c>
      <c r="AE31" s="66"/>
      <c r="AF31" s="44"/>
      <c r="AG31" s="254">
        <f>Prog_236[[#This Row],[SAÍDA DO CLIENTE]]-Prog_236[[#This Row],[PROGRAMAÇÃO CLIENTE]]</f>
        <v>0</v>
      </c>
      <c r="AH31" s="44"/>
      <c r="AI31" s="66"/>
      <c r="AJ31" s="66"/>
      <c r="AK31" s="66"/>
      <c r="AL31" s="66"/>
      <c r="AM31" s="66"/>
      <c r="AN31" s="83"/>
      <c r="AO31" s="66"/>
      <c r="AP31" s="66"/>
      <c r="AQ31" s="66"/>
      <c r="AR31" s="81"/>
      <c r="AS31" s="81"/>
      <c r="AT31" s="81"/>
      <c r="AU31" s="81"/>
      <c r="AV31" s="83">
        <f>SUM(Prog_236[[#This Row],[ADIANTAMENTO]]+Prog_236[[#This Row],[SALDO]]+Prog_236[[#This Row],[MARGEM]]+Prog_236[[#This Row],[ESTADIA 1]])</f>
        <v>0</v>
      </c>
      <c r="AW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" s="81"/>
      <c r="AY31" s="81"/>
      <c r="AZ31" s="81">
        <f>Prog_236[[#This Row],[VLR NF]]*0.1%</f>
        <v>0</v>
      </c>
      <c r="BA31" s="81">
        <f>Prog_236[[#This Row],[VLR NF]]*0.05%</f>
        <v>0</v>
      </c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66"/>
      <c r="BM31" s="66"/>
      <c r="BN31" s="66"/>
      <c r="BO31" s="66" t="str">
        <f>PROPER(TEXT(Prog_236[[#This Row],[PROGRAMAÇÃO CLIENTE]],"mmm"))</f>
        <v>Jan</v>
      </c>
      <c r="BP31" s="66">
        <f>YEAR(Prog_236[[#This Row],[PROGRAMAÇÃO CLIENTE]])</f>
        <v>1900</v>
      </c>
    </row>
    <row r="32" spans="1:68" x14ac:dyDescent="0.25">
      <c r="A32" s="200">
        <f>Prog_236[[#This Row],[CONTEINER]]</f>
        <v>0</v>
      </c>
      <c r="B32" s="86"/>
      <c r="C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" s="85"/>
      <c r="E32" s="66" t="s">
        <v>5338</v>
      </c>
      <c r="F32" s="66" t="s">
        <v>5339</v>
      </c>
      <c r="G32" s="66"/>
      <c r="H32" s="44">
        <v>228728545</v>
      </c>
      <c r="I32" s="44"/>
      <c r="J32" s="66" t="s">
        <v>288</v>
      </c>
      <c r="K32" s="66"/>
      <c r="L32" s="66"/>
      <c r="M32" s="66"/>
      <c r="N32" s="66">
        <f>SUM(Prog_236[[#This Row],[TARA]]+Prog_236[[#This Row],[PESO]])</f>
        <v>0</v>
      </c>
      <c r="O32" s="44"/>
      <c r="P32" s="66" t="s">
        <v>5344</v>
      </c>
      <c r="Q32" s="66"/>
      <c r="R32" s="66"/>
      <c r="S32" s="66"/>
      <c r="T32" s="138" t="str">
        <f>IFERROR(LOOKUP($S32,MOTORISTAS!$D$3:$D$1048576,MOTORISTAS!E$3:$E$1048576),"")</f>
        <v/>
      </c>
      <c r="U32" s="138" t="str">
        <f>IFERROR(LOOKUP($S32,MOTORISTAS!$D$3:$D$1048576,MOTORISTAS!F$3:$F$1048576),"")</f>
        <v/>
      </c>
      <c r="V32" s="66"/>
      <c r="W32" s="66"/>
      <c r="X32" s="66"/>
      <c r="Y32" s="66"/>
      <c r="Z32" s="66" t="s">
        <v>5341</v>
      </c>
      <c r="AA32" s="66"/>
      <c r="AB32" s="66"/>
      <c r="AC32" s="79">
        <v>45101.5</v>
      </c>
      <c r="AD32" s="79">
        <v>45104.5</v>
      </c>
      <c r="AE32" s="66"/>
      <c r="AF32" s="44"/>
      <c r="AG32" s="254">
        <f>Prog_236[[#This Row],[SAÍDA DO CLIENTE]]-Prog_236[[#This Row],[PROGRAMAÇÃO CLIENTE]]</f>
        <v>0</v>
      </c>
      <c r="AH32" s="44"/>
      <c r="AI32" s="66"/>
      <c r="AJ32" s="66"/>
      <c r="AK32" s="66"/>
      <c r="AL32" s="66"/>
      <c r="AM32" s="66"/>
      <c r="AN32" s="83"/>
      <c r="AO32" s="66"/>
      <c r="AP32" s="66"/>
      <c r="AQ32" s="66"/>
      <c r="AR32" s="81"/>
      <c r="AS32" s="81"/>
      <c r="AT32" s="81"/>
      <c r="AU32" s="81"/>
      <c r="AV32" s="83">
        <f>SUM(Prog_236[[#This Row],[ADIANTAMENTO]]+Prog_236[[#This Row],[SALDO]]+Prog_236[[#This Row],[MARGEM]]+Prog_236[[#This Row],[ESTADIA 1]])</f>
        <v>0</v>
      </c>
      <c r="AW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" s="81"/>
      <c r="AY32" s="81"/>
      <c r="AZ32" s="81">
        <f>Prog_236[[#This Row],[VLR NF]]*0.1%</f>
        <v>0</v>
      </c>
      <c r="BA32" s="81">
        <f>Prog_236[[#This Row],[VLR NF]]*0.05%</f>
        <v>0</v>
      </c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66"/>
      <c r="BM32" s="66"/>
      <c r="BN32" s="66"/>
      <c r="BO32" s="66" t="str">
        <f>PROPER(TEXT(Prog_236[[#This Row],[PROGRAMAÇÃO CLIENTE]],"mmm"))</f>
        <v>Jan</v>
      </c>
      <c r="BP32" s="66">
        <f>YEAR(Prog_236[[#This Row],[PROGRAMAÇÃO CLIENTE]])</f>
        <v>1900</v>
      </c>
    </row>
    <row r="33" spans="1:68" x14ac:dyDescent="0.25">
      <c r="A33" s="201">
        <f>Prog_236[[#This Row],[CONTEINER]]</f>
        <v>0</v>
      </c>
      <c r="B33" s="86"/>
      <c r="C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" s="85"/>
      <c r="E33" s="66" t="s">
        <v>5338</v>
      </c>
      <c r="F33" s="66" t="s">
        <v>5339</v>
      </c>
      <c r="G33" s="66"/>
      <c r="H33" s="44">
        <v>228728545</v>
      </c>
      <c r="I33" s="44"/>
      <c r="J33" s="66" t="s">
        <v>288</v>
      </c>
      <c r="K33" s="66"/>
      <c r="L33" s="66"/>
      <c r="M33" s="66"/>
      <c r="N33" s="66">
        <f>SUM(Prog_236[[#This Row],[TARA]]+Prog_236[[#This Row],[PESO]])</f>
        <v>0</v>
      </c>
      <c r="O33" s="44"/>
      <c r="P33" s="66" t="s">
        <v>5344</v>
      </c>
      <c r="Q33" s="66"/>
      <c r="R33" s="66"/>
      <c r="S33" s="66"/>
      <c r="T33" s="138" t="str">
        <f>IFERROR(LOOKUP($S33,MOTORISTAS!$D$3:$D$1048576,MOTORISTAS!E$3:$E$1048576),"")</f>
        <v/>
      </c>
      <c r="U33" s="138" t="str">
        <f>IFERROR(LOOKUP($S33,MOTORISTAS!$D$3:$D$1048576,MOTORISTAS!F$3:$F$1048576),"")</f>
        <v/>
      </c>
      <c r="V33" s="66"/>
      <c r="W33" s="66"/>
      <c r="X33" s="66"/>
      <c r="Y33" s="66"/>
      <c r="Z33" s="66" t="s">
        <v>5341</v>
      </c>
      <c r="AA33" s="66"/>
      <c r="AB33" s="66"/>
      <c r="AC33" s="79">
        <v>45101.5</v>
      </c>
      <c r="AD33" s="79">
        <v>45104.5</v>
      </c>
      <c r="AE33" s="66"/>
      <c r="AF33" s="44"/>
      <c r="AG33" s="254">
        <f>Prog_236[[#This Row],[SAÍDA DO CLIENTE]]-Prog_236[[#This Row],[PROGRAMAÇÃO CLIENTE]]</f>
        <v>0</v>
      </c>
      <c r="AH33" s="44"/>
      <c r="AI33" s="66"/>
      <c r="AJ33" s="66"/>
      <c r="AK33" s="66"/>
      <c r="AL33" s="66"/>
      <c r="AM33" s="66"/>
      <c r="AN33" s="83"/>
      <c r="AO33" s="66"/>
      <c r="AP33" s="66"/>
      <c r="AQ33" s="66"/>
      <c r="AR33" s="81"/>
      <c r="AS33" s="81"/>
      <c r="AT33" s="81"/>
      <c r="AU33" s="81"/>
      <c r="AV33" s="83">
        <f>SUM(Prog_236[[#This Row],[ADIANTAMENTO]]+Prog_236[[#This Row],[SALDO]]+Prog_236[[#This Row],[MARGEM]]+Prog_236[[#This Row],[ESTADIA 1]])</f>
        <v>0</v>
      </c>
      <c r="AW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" s="81"/>
      <c r="AY33" s="81"/>
      <c r="AZ33" s="81">
        <f>Prog_236[[#This Row],[VLR NF]]*0.1%</f>
        <v>0</v>
      </c>
      <c r="BA33" s="81">
        <f>Prog_236[[#This Row],[VLR NF]]*0.05%</f>
        <v>0</v>
      </c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66"/>
      <c r="BM33" s="66"/>
      <c r="BN33" s="66"/>
      <c r="BO33" s="66" t="str">
        <f>PROPER(TEXT(Prog_236[[#This Row],[PROGRAMAÇÃO CLIENTE]],"mmm"))</f>
        <v>Jan</v>
      </c>
      <c r="BP33" s="66">
        <f>YEAR(Prog_236[[#This Row],[PROGRAMAÇÃO CLIENTE]])</f>
        <v>1900</v>
      </c>
    </row>
    <row r="34" spans="1:68" x14ac:dyDescent="0.25">
      <c r="A34" s="200">
        <f>Prog_236[[#This Row],[CONTEINER]]</f>
        <v>0</v>
      </c>
      <c r="B34" s="86"/>
      <c r="C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" s="85"/>
      <c r="E34" s="66" t="s">
        <v>5338</v>
      </c>
      <c r="F34" s="66" t="s">
        <v>5339</v>
      </c>
      <c r="G34" s="66"/>
      <c r="H34" s="44">
        <v>228728545</v>
      </c>
      <c r="I34" s="44"/>
      <c r="J34" s="66" t="s">
        <v>288</v>
      </c>
      <c r="K34" s="66"/>
      <c r="L34" s="66"/>
      <c r="M34" s="66"/>
      <c r="N34" s="66">
        <f>SUM(Prog_236[[#This Row],[TARA]]+Prog_236[[#This Row],[PESO]])</f>
        <v>0</v>
      </c>
      <c r="O34" s="44"/>
      <c r="P34" s="66" t="s">
        <v>5344</v>
      </c>
      <c r="Q34" s="66"/>
      <c r="R34" s="66"/>
      <c r="S34" s="66"/>
      <c r="T34" s="138" t="str">
        <f>IFERROR(LOOKUP($S34,MOTORISTAS!$D$3:$D$1048576,MOTORISTAS!E$3:$E$1048576),"")</f>
        <v/>
      </c>
      <c r="U34" s="138" t="str">
        <f>IFERROR(LOOKUP($S34,MOTORISTAS!$D$3:$D$1048576,MOTORISTAS!F$3:$F$1048576),"")</f>
        <v/>
      </c>
      <c r="V34" s="66"/>
      <c r="W34" s="66"/>
      <c r="X34" s="66"/>
      <c r="Y34" s="66"/>
      <c r="Z34" s="66" t="s">
        <v>5341</v>
      </c>
      <c r="AA34" s="66"/>
      <c r="AB34" s="66"/>
      <c r="AC34" s="79">
        <v>45101.5</v>
      </c>
      <c r="AD34" s="79">
        <v>45104.5</v>
      </c>
      <c r="AE34" s="66"/>
      <c r="AF34" s="44"/>
      <c r="AG34" s="254">
        <f>Prog_236[[#This Row],[SAÍDA DO CLIENTE]]-Prog_236[[#This Row],[PROGRAMAÇÃO CLIENTE]]</f>
        <v>0</v>
      </c>
      <c r="AH34" s="44"/>
      <c r="AI34" s="66"/>
      <c r="AJ34" s="66"/>
      <c r="AK34" s="66"/>
      <c r="AL34" s="66"/>
      <c r="AM34" s="66"/>
      <c r="AN34" s="83"/>
      <c r="AO34" s="66"/>
      <c r="AP34" s="66"/>
      <c r="AQ34" s="66"/>
      <c r="AR34" s="81"/>
      <c r="AS34" s="81"/>
      <c r="AT34" s="81"/>
      <c r="AU34" s="81"/>
      <c r="AV34" s="83">
        <f>SUM(Prog_236[[#This Row],[ADIANTAMENTO]]+Prog_236[[#This Row],[SALDO]]+Prog_236[[#This Row],[MARGEM]]+Prog_236[[#This Row],[ESTADIA 1]])</f>
        <v>0</v>
      </c>
      <c r="AW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" s="81"/>
      <c r="AY34" s="81"/>
      <c r="AZ34" s="81">
        <f>Prog_236[[#This Row],[VLR NF]]*0.1%</f>
        <v>0</v>
      </c>
      <c r="BA34" s="81">
        <f>Prog_236[[#This Row],[VLR NF]]*0.05%</f>
        <v>0</v>
      </c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66"/>
      <c r="BM34" s="66"/>
      <c r="BN34" s="66"/>
      <c r="BO34" s="66" t="str">
        <f>PROPER(TEXT(Prog_236[[#This Row],[PROGRAMAÇÃO CLIENTE]],"mmm"))</f>
        <v>Jan</v>
      </c>
      <c r="BP34" s="66">
        <f>YEAR(Prog_236[[#This Row],[PROGRAMAÇÃO CLIENTE]])</f>
        <v>1900</v>
      </c>
    </row>
    <row r="35" spans="1:68" x14ac:dyDescent="0.25">
      <c r="A35" s="201">
        <f>Prog_236[[#This Row],[CONTEINER]]</f>
        <v>0</v>
      </c>
      <c r="B35" s="86"/>
      <c r="C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" s="85"/>
      <c r="E35" s="66" t="s">
        <v>5338</v>
      </c>
      <c r="F35" s="66" t="s">
        <v>5339</v>
      </c>
      <c r="G35" s="66"/>
      <c r="H35" s="44">
        <v>228728545</v>
      </c>
      <c r="I35" s="44"/>
      <c r="J35" s="66" t="s">
        <v>288</v>
      </c>
      <c r="K35" s="66"/>
      <c r="L35" s="66"/>
      <c r="M35" s="66"/>
      <c r="N35" s="66">
        <f>SUM(Prog_236[[#This Row],[TARA]]+Prog_236[[#This Row],[PESO]])</f>
        <v>0</v>
      </c>
      <c r="O35" s="44"/>
      <c r="P35" s="66" t="s">
        <v>5344</v>
      </c>
      <c r="Q35" s="66"/>
      <c r="R35" s="66"/>
      <c r="S35" s="66"/>
      <c r="T35" s="138" t="str">
        <f>IFERROR(LOOKUP($S35,MOTORISTAS!$D$3:$D$1048576,MOTORISTAS!E$3:$E$1048576),"")</f>
        <v/>
      </c>
      <c r="U35" s="138" t="str">
        <f>IFERROR(LOOKUP($S35,MOTORISTAS!$D$3:$D$1048576,MOTORISTAS!F$3:$F$1048576),"")</f>
        <v/>
      </c>
      <c r="V35" s="66"/>
      <c r="W35" s="66"/>
      <c r="X35" s="66"/>
      <c r="Y35" s="66"/>
      <c r="Z35" s="66" t="s">
        <v>5341</v>
      </c>
      <c r="AA35" s="66"/>
      <c r="AB35" s="66"/>
      <c r="AC35" s="79">
        <v>45101.5</v>
      </c>
      <c r="AD35" s="79">
        <v>45104.5</v>
      </c>
      <c r="AE35" s="66"/>
      <c r="AF35" s="44"/>
      <c r="AG35" s="254">
        <f>Prog_236[[#This Row],[SAÍDA DO CLIENTE]]-Prog_236[[#This Row],[PROGRAMAÇÃO CLIENTE]]</f>
        <v>0</v>
      </c>
      <c r="AH35" s="44"/>
      <c r="AI35" s="66"/>
      <c r="AJ35" s="66"/>
      <c r="AK35" s="66"/>
      <c r="AL35" s="66"/>
      <c r="AM35" s="66"/>
      <c r="AN35" s="83"/>
      <c r="AO35" s="66"/>
      <c r="AP35" s="66"/>
      <c r="AQ35" s="66"/>
      <c r="AR35" s="81"/>
      <c r="AS35" s="81"/>
      <c r="AT35" s="81"/>
      <c r="AU35" s="81"/>
      <c r="AV35" s="83">
        <f>SUM(Prog_236[[#This Row],[ADIANTAMENTO]]+Prog_236[[#This Row],[SALDO]]+Prog_236[[#This Row],[MARGEM]]+Prog_236[[#This Row],[ESTADIA 1]])</f>
        <v>0</v>
      </c>
      <c r="AW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" s="81"/>
      <c r="AY35" s="81"/>
      <c r="AZ35" s="81">
        <f>Prog_236[[#This Row],[VLR NF]]*0.1%</f>
        <v>0</v>
      </c>
      <c r="BA35" s="81">
        <f>Prog_236[[#This Row],[VLR NF]]*0.05%</f>
        <v>0</v>
      </c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66"/>
      <c r="BM35" s="66"/>
      <c r="BN35" s="66"/>
      <c r="BO35" s="66" t="str">
        <f>PROPER(TEXT(Prog_236[[#This Row],[PROGRAMAÇÃO CLIENTE]],"mmm"))</f>
        <v>Jan</v>
      </c>
      <c r="BP35" s="66">
        <f>YEAR(Prog_236[[#This Row],[PROGRAMAÇÃO CLIENTE]])</f>
        <v>1900</v>
      </c>
    </row>
    <row r="36" spans="1:68" x14ac:dyDescent="0.25">
      <c r="A36" s="200">
        <f>Prog_236[[#This Row],[CONTEINER]]</f>
        <v>0</v>
      </c>
      <c r="B36" s="86"/>
      <c r="C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" s="85"/>
      <c r="E36" s="66" t="s">
        <v>5338</v>
      </c>
      <c r="F36" s="66" t="s">
        <v>5339</v>
      </c>
      <c r="G36" s="66"/>
      <c r="H36" s="44">
        <v>228728545</v>
      </c>
      <c r="I36" s="44"/>
      <c r="J36" s="66" t="s">
        <v>288</v>
      </c>
      <c r="K36" s="66"/>
      <c r="L36" s="66"/>
      <c r="M36" s="66"/>
      <c r="N36" s="66">
        <f>SUM(Prog_236[[#This Row],[TARA]]+Prog_236[[#This Row],[PESO]])</f>
        <v>0</v>
      </c>
      <c r="O36" s="44"/>
      <c r="P36" s="66" t="s">
        <v>5344</v>
      </c>
      <c r="Q36" s="66"/>
      <c r="R36" s="66"/>
      <c r="S36" s="66"/>
      <c r="T36" s="138" t="str">
        <f>IFERROR(LOOKUP($S36,MOTORISTAS!$D$3:$D$1048576,MOTORISTAS!E$3:$E$1048576),"")</f>
        <v/>
      </c>
      <c r="U36" s="138" t="str">
        <f>IFERROR(LOOKUP($S36,MOTORISTAS!$D$3:$D$1048576,MOTORISTAS!F$3:$F$1048576),"")</f>
        <v/>
      </c>
      <c r="V36" s="66"/>
      <c r="W36" s="66"/>
      <c r="X36" s="66"/>
      <c r="Y36" s="66"/>
      <c r="Z36" s="66" t="s">
        <v>5341</v>
      </c>
      <c r="AA36" s="66"/>
      <c r="AB36" s="66"/>
      <c r="AC36" s="79">
        <v>45101.5</v>
      </c>
      <c r="AD36" s="79">
        <v>45104.5</v>
      </c>
      <c r="AE36" s="66"/>
      <c r="AF36" s="44"/>
      <c r="AG36" s="254">
        <f>Prog_236[[#This Row],[SAÍDA DO CLIENTE]]-Prog_236[[#This Row],[PROGRAMAÇÃO CLIENTE]]</f>
        <v>0</v>
      </c>
      <c r="AH36" s="44"/>
      <c r="AI36" s="66"/>
      <c r="AJ36" s="66"/>
      <c r="AK36" s="66"/>
      <c r="AL36" s="66"/>
      <c r="AM36" s="66"/>
      <c r="AN36" s="83"/>
      <c r="AO36" s="66"/>
      <c r="AP36" s="66"/>
      <c r="AQ36" s="66"/>
      <c r="AR36" s="81"/>
      <c r="AS36" s="81"/>
      <c r="AT36" s="81"/>
      <c r="AU36" s="81"/>
      <c r="AV36" s="83">
        <f>SUM(Prog_236[[#This Row],[ADIANTAMENTO]]+Prog_236[[#This Row],[SALDO]]+Prog_236[[#This Row],[MARGEM]]+Prog_236[[#This Row],[ESTADIA 1]])</f>
        <v>0</v>
      </c>
      <c r="AW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" s="81"/>
      <c r="AY36" s="81"/>
      <c r="AZ36" s="81">
        <f>Prog_236[[#This Row],[VLR NF]]*0.1%</f>
        <v>0</v>
      </c>
      <c r="BA36" s="81">
        <f>Prog_236[[#This Row],[VLR NF]]*0.05%</f>
        <v>0</v>
      </c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66"/>
      <c r="BM36" s="66"/>
      <c r="BN36" s="66"/>
      <c r="BO36" s="66" t="str">
        <f>PROPER(TEXT(Prog_236[[#This Row],[PROGRAMAÇÃO CLIENTE]],"mmm"))</f>
        <v>Jan</v>
      </c>
      <c r="BP36" s="66">
        <f>YEAR(Prog_236[[#This Row],[PROGRAMAÇÃO CLIENTE]])</f>
        <v>1900</v>
      </c>
    </row>
    <row r="37" spans="1:68" x14ac:dyDescent="0.25">
      <c r="A37" s="201">
        <f>Prog_236[[#This Row],[CONTEINER]]</f>
        <v>0</v>
      </c>
      <c r="B37" s="86"/>
      <c r="C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" s="85"/>
      <c r="E37" s="66" t="s">
        <v>5338</v>
      </c>
      <c r="F37" s="66" t="s">
        <v>5339</v>
      </c>
      <c r="G37" s="66"/>
      <c r="H37" s="44">
        <v>228728545</v>
      </c>
      <c r="I37" s="44"/>
      <c r="J37" s="66" t="s">
        <v>288</v>
      </c>
      <c r="K37" s="66"/>
      <c r="L37" s="66"/>
      <c r="M37" s="66"/>
      <c r="N37" s="66">
        <f>SUM(Prog_236[[#This Row],[TARA]]+Prog_236[[#This Row],[PESO]])</f>
        <v>0</v>
      </c>
      <c r="O37" s="44"/>
      <c r="P37" s="66" t="s">
        <v>5344</v>
      </c>
      <c r="Q37" s="66"/>
      <c r="R37" s="66"/>
      <c r="S37" s="66"/>
      <c r="T37" s="138" t="str">
        <f>IFERROR(LOOKUP($S37,MOTORISTAS!$D$3:$D$1048576,MOTORISTAS!E$3:$E$1048576),"")</f>
        <v/>
      </c>
      <c r="U37" s="138" t="str">
        <f>IFERROR(LOOKUP($S37,MOTORISTAS!$D$3:$D$1048576,MOTORISTAS!F$3:$F$1048576),"")</f>
        <v/>
      </c>
      <c r="V37" s="66"/>
      <c r="W37" s="66"/>
      <c r="X37" s="66"/>
      <c r="Y37" s="66"/>
      <c r="Z37" s="66" t="s">
        <v>5341</v>
      </c>
      <c r="AA37" s="66"/>
      <c r="AB37" s="66"/>
      <c r="AC37" s="79">
        <v>45101.5</v>
      </c>
      <c r="AD37" s="79">
        <v>45104.5</v>
      </c>
      <c r="AE37" s="66"/>
      <c r="AF37" s="44"/>
      <c r="AG37" s="254">
        <f>Prog_236[[#This Row],[SAÍDA DO CLIENTE]]-Prog_236[[#This Row],[PROGRAMAÇÃO CLIENTE]]</f>
        <v>0</v>
      </c>
      <c r="AH37" s="44"/>
      <c r="AI37" s="66"/>
      <c r="AJ37" s="66"/>
      <c r="AK37" s="66"/>
      <c r="AL37" s="66"/>
      <c r="AM37" s="66"/>
      <c r="AN37" s="83"/>
      <c r="AO37" s="66"/>
      <c r="AP37" s="66"/>
      <c r="AQ37" s="66"/>
      <c r="AR37" s="81"/>
      <c r="AS37" s="81"/>
      <c r="AT37" s="81"/>
      <c r="AU37" s="81"/>
      <c r="AV37" s="83">
        <f>SUM(Prog_236[[#This Row],[ADIANTAMENTO]]+Prog_236[[#This Row],[SALDO]]+Prog_236[[#This Row],[MARGEM]]+Prog_236[[#This Row],[ESTADIA 1]])</f>
        <v>0</v>
      </c>
      <c r="AW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" s="81"/>
      <c r="AY37" s="81"/>
      <c r="AZ37" s="81">
        <f>Prog_236[[#This Row],[VLR NF]]*0.1%</f>
        <v>0</v>
      </c>
      <c r="BA37" s="81">
        <f>Prog_236[[#This Row],[VLR NF]]*0.05%</f>
        <v>0</v>
      </c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66"/>
      <c r="BM37" s="66"/>
      <c r="BN37" s="66"/>
      <c r="BO37" s="66" t="str">
        <f>PROPER(TEXT(Prog_236[[#This Row],[PROGRAMAÇÃO CLIENTE]],"mmm"))</f>
        <v>Jan</v>
      </c>
      <c r="BP37" s="66">
        <f>YEAR(Prog_236[[#This Row],[PROGRAMAÇÃO CLIENTE]])</f>
        <v>1900</v>
      </c>
    </row>
    <row r="38" spans="1:68" x14ac:dyDescent="0.25">
      <c r="A38" s="200">
        <f>Prog_236[[#This Row],[CONTEINER]]</f>
        <v>0</v>
      </c>
      <c r="B38" s="86"/>
      <c r="C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" s="85"/>
      <c r="E38" s="66" t="s">
        <v>5338</v>
      </c>
      <c r="F38" s="66" t="s">
        <v>5339</v>
      </c>
      <c r="G38" s="66"/>
      <c r="H38" s="44">
        <v>228728545</v>
      </c>
      <c r="I38" s="44"/>
      <c r="J38" s="66" t="s">
        <v>288</v>
      </c>
      <c r="K38" s="66"/>
      <c r="L38" s="66"/>
      <c r="M38" s="66"/>
      <c r="N38" s="66">
        <f>SUM(Prog_236[[#This Row],[TARA]]+Prog_236[[#This Row],[PESO]])</f>
        <v>0</v>
      </c>
      <c r="O38" s="44"/>
      <c r="P38" s="66" t="s">
        <v>5344</v>
      </c>
      <c r="Q38" s="66"/>
      <c r="R38" s="66"/>
      <c r="S38" s="66"/>
      <c r="T38" s="138" t="str">
        <f>IFERROR(LOOKUP($S38,MOTORISTAS!$D$3:$D$1048576,MOTORISTAS!E$3:$E$1048576),"")</f>
        <v/>
      </c>
      <c r="U38" s="138" t="str">
        <f>IFERROR(LOOKUP($S38,MOTORISTAS!$D$3:$D$1048576,MOTORISTAS!F$3:$F$1048576),"")</f>
        <v/>
      </c>
      <c r="V38" s="66"/>
      <c r="W38" s="66"/>
      <c r="X38" s="66"/>
      <c r="Y38" s="66"/>
      <c r="Z38" s="66" t="s">
        <v>5341</v>
      </c>
      <c r="AA38" s="66"/>
      <c r="AB38" s="66"/>
      <c r="AC38" s="79">
        <v>45101.5</v>
      </c>
      <c r="AD38" s="79">
        <v>45104.5</v>
      </c>
      <c r="AE38" s="66"/>
      <c r="AF38" s="44"/>
      <c r="AG38" s="254">
        <f>Prog_236[[#This Row],[SAÍDA DO CLIENTE]]-Prog_236[[#This Row],[PROGRAMAÇÃO CLIENTE]]</f>
        <v>0</v>
      </c>
      <c r="AH38" s="44"/>
      <c r="AI38" s="66"/>
      <c r="AJ38" s="66"/>
      <c r="AK38" s="66"/>
      <c r="AL38" s="66"/>
      <c r="AM38" s="66"/>
      <c r="AN38" s="83"/>
      <c r="AO38" s="66"/>
      <c r="AP38" s="66"/>
      <c r="AQ38" s="66"/>
      <c r="AR38" s="81"/>
      <c r="AS38" s="81"/>
      <c r="AT38" s="81"/>
      <c r="AU38" s="81"/>
      <c r="AV38" s="83">
        <f>SUM(Prog_236[[#This Row],[ADIANTAMENTO]]+Prog_236[[#This Row],[SALDO]]+Prog_236[[#This Row],[MARGEM]]+Prog_236[[#This Row],[ESTADIA 1]])</f>
        <v>0</v>
      </c>
      <c r="AW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" s="81"/>
      <c r="AY38" s="81"/>
      <c r="AZ38" s="81">
        <f>Prog_236[[#This Row],[VLR NF]]*0.1%</f>
        <v>0</v>
      </c>
      <c r="BA38" s="81">
        <f>Prog_236[[#This Row],[VLR NF]]*0.05%</f>
        <v>0</v>
      </c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66"/>
      <c r="BM38" s="66"/>
      <c r="BN38" s="66"/>
      <c r="BO38" s="66" t="str">
        <f>PROPER(TEXT(Prog_236[[#This Row],[PROGRAMAÇÃO CLIENTE]],"mmm"))</f>
        <v>Jan</v>
      </c>
      <c r="BP38" s="66">
        <f>YEAR(Prog_236[[#This Row],[PROGRAMAÇÃO CLIENTE]])</f>
        <v>1900</v>
      </c>
    </row>
    <row r="39" spans="1:68" x14ac:dyDescent="0.25">
      <c r="A39" s="201">
        <f>Prog_236[[#This Row],[CONTEINER]]</f>
        <v>0</v>
      </c>
      <c r="B39" s="86"/>
      <c r="C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" s="85"/>
      <c r="E39" s="66" t="s">
        <v>5338</v>
      </c>
      <c r="F39" s="66" t="s">
        <v>5339</v>
      </c>
      <c r="G39" s="66"/>
      <c r="H39" s="44">
        <v>228728545</v>
      </c>
      <c r="I39" s="44"/>
      <c r="J39" s="66" t="s">
        <v>288</v>
      </c>
      <c r="K39" s="66"/>
      <c r="L39" s="66"/>
      <c r="M39" s="66"/>
      <c r="N39" s="66">
        <f>SUM(Prog_236[[#This Row],[TARA]]+Prog_236[[#This Row],[PESO]])</f>
        <v>0</v>
      </c>
      <c r="O39" s="44"/>
      <c r="P39" s="66" t="s">
        <v>5344</v>
      </c>
      <c r="Q39" s="66"/>
      <c r="R39" s="66"/>
      <c r="S39" s="66"/>
      <c r="T39" s="138" t="str">
        <f>IFERROR(LOOKUP($S39,MOTORISTAS!$D$3:$D$1048576,MOTORISTAS!E$3:$E$1048576),"")</f>
        <v/>
      </c>
      <c r="U39" s="138" t="str">
        <f>IFERROR(LOOKUP($S39,MOTORISTAS!$D$3:$D$1048576,MOTORISTAS!F$3:$F$1048576),"")</f>
        <v/>
      </c>
      <c r="V39" s="66"/>
      <c r="W39" s="66"/>
      <c r="X39" s="66"/>
      <c r="Y39" s="66"/>
      <c r="Z39" s="66" t="s">
        <v>5341</v>
      </c>
      <c r="AA39" s="66"/>
      <c r="AB39" s="66"/>
      <c r="AC39" s="79">
        <v>45101.5</v>
      </c>
      <c r="AD39" s="79">
        <v>45104.5</v>
      </c>
      <c r="AE39" s="66"/>
      <c r="AF39" s="44"/>
      <c r="AG39" s="254">
        <f>Prog_236[[#This Row],[SAÍDA DO CLIENTE]]-Prog_236[[#This Row],[PROGRAMAÇÃO CLIENTE]]</f>
        <v>0</v>
      </c>
      <c r="AH39" s="44"/>
      <c r="AI39" s="66"/>
      <c r="AJ39" s="66"/>
      <c r="AK39" s="66"/>
      <c r="AL39" s="66"/>
      <c r="AM39" s="66"/>
      <c r="AN39" s="83"/>
      <c r="AO39" s="66"/>
      <c r="AP39" s="66"/>
      <c r="AQ39" s="66"/>
      <c r="AR39" s="81"/>
      <c r="AS39" s="81"/>
      <c r="AT39" s="81"/>
      <c r="AU39" s="81"/>
      <c r="AV39" s="83">
        <f>SUM(Prog_236[[#This Row],[ADIANTAMENTO]]+Prog_236[[#This Row],[SALDO]]+Prog_236[[#This Row],[MARGEM]]+Prog_236[[#This Row],[ESTADIA 1]])</f>
        <v>0</v>
      </c>
      <c r="AW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" s="81"/>
      <c r="AY39" s="81"/>
      <c r="AZ39" s="81">
        <f>Prog_236[[#This Row],[VLR NF]]*0.1%</f>
        <v>0</v>
      </c>
      <c r="BA39" s="81">
        <f>Prog_236[[#This Row],[VLR NF]]*0.05%</f>
        <v>0</v>
      </c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66"/>
      <c r="BM39" s="66"/>
      <c r="BN39" s="66"/>
      <c r="BO39" s="66" t="str">
        <f>PROPER(TEXT(Prog_236[[#This Row],[PROGRAMAÇÃO CLIENTE]],"mmm"))</f>
        <v>Jan</v>
      </c>
      <c r="BP39" s="66">
        <f>YEAR(Prog_236[[#This Row],[PROGRAMAÇÃO CLIENTE]])</f>
        <v>1900</v>
      </c>
    </row>
    <row r="40" spans="1:68" x14ac:dyDescent="0.25">
      <c r="A40" s="200">
        <f>Prog_236[[#This Row],[CONTEINER]]</f>
        <v>0</v>
      </c>
      <c r="B40" s="86"/>
      <c r="C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" s="85"/>
      <c r="E40" s="66" t="s">
        <v>5338</v>
      </c>
      <c r="F40" s="66" t="s">
        <v>5339</v>
      </c>
      <c r="G40" s="66"/>
      <c r="H40" s="44">
        <v>228728545</v>
      </c>
      <c r="I40" s="44"/>
      <c r="J40" s="66" t="s">
        <v>288</v>
      </c>
      <c r="K40" s="66"/>
      <c r="L40" s="66"/>
      <c r="M40" s="66"/>
      <c r="N40" s="66">
        <f>SUM(Prog_236[[#This Row],[TARA]]+Prog_236[[#This Row],[PESO]])</f>
        <v>0</v>
      </c>
      <c r="O40" s="44"/>
      <c r="P40" s="66" t="s">
        <v>5344</v>
      </c>
      <c r="Q40" s="66"/>
      <c r="R40" s="66"/>
      <c r="S40" s="66"/>
      <c r="T40" s="138" t="str">
        <f>IFERROR(LOOKUP($S40,MOTORISTAS!$D$3:$D$1048576,MOTORISTAS!E$3:$E$1048576),"")</f>
        <v/>
      </c>
      <c r="U40" s="138" t="str">
        <f>IFERROR(LOOKUP($S40,MOTORISTAS!$D$3:$D$1048576,MOTORISTAS!F$3:$F$1048576),"")</f>
        <v/>
      </c>
      <c r="V40" s="66"/>
      <c r="W40" s="66"/>
      <c r="X40" s="66"/>
      <c r="Y40" s="66"/>
      <c r="Z40" s="66" t="s">
        <v>5341</v>
      </c>
      <c r="AA40" s="66"/>
      <c r="AB40" s="66"/>
      <c r="AC40" s="79">
        <v>45101.5</v>
      </c>
      <c r="AD40" s="79">
        <v>45104.5</v>
      </c>
      <c r="AE40" s="66"/>
      <c r="AF40" s="44"/>
      <c r="AG40" s="254">
        <f>Prog_236[[#This Row],[SAÍDA DO CLIENTE]]-Prog_236[[#This Row],[PROGRAMAÇÃO CLIENTE]]</f>
        <v>0</v>
      </c>
      <c r="AH40" s="44"/>
      <c r="AI40" s="66"/>
      <c r="AJ40" s="66"/>
      <c r="AK40" s="66"/>
      <c r="AL40" s="66"/>
      <c r="AM40" s="66"/>
      <c r="AN40" s="83"/>
      <c r="AO40" s="66"/>
      <c r="AP40" s="66"/>
      <c r="AQ40" s="66"/>
      <c r="AR40" s="81"/>
      <c r="AS40" s="81"/>
      <c r="AT40" s="81"/>
      <c r="AU40" s="81"/>
      <c r="AV40" s="83">
        <f>SUM(Prog_236[[#This Row],[ADIANTAMENTO]]+Prog_236[[#This Row],[SALDO]]+Prog_236[[#This Row],[MARGEM]]+Prog_236[[#This Row],[ESTADIA 1]])</f>
        <v>0</v>
      </c>
      <c r="AW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" s="81"/>
      <c r="AY40" s="81"/>
      <c r="AZ40" s="81">
        <f>Prog_236[[#This Row],[VLR NF]]*0.1%</f>
        <v>0</v>
      </c>
      <c r="BA40" s="81">
        <f>Prog_236[[#This Row],[VLR NF]]*0.05%</f>
        <v>0</v>
      </c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66"/>
      <c r="BM40" s="66"/>
      <c r="BN40" s="66"/>
      <c r="BO40" s="66" t="str">
        <f>PROPER(TEXT(Prog_236[[#This Row],[PROGRAMAÇÃO CLIENTE]],"mmm"))</f>
        <v>Jan</v>
      </c>
      <c r="BP40" s="66">
        <f>YEAR(Prog_236[[#This Row],[PROGRAMAÇÃO CLIENTE]])</f>
        <v>1900</v>
      </c>
    </row>
    <row r="41" spans="1:68" x14ac:dyDescent="0.25">
      <c r="A41" s="201">
        <f>Prog_236[[#This Row],[CONTEINER]]</f>
        <v>0</v>
      </c>
      <c r="B41" s="86"/>
      <c r="C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" s="85"/>
      <c r="E41" s="66" t="s">
        <v>5338</v>
      </c>
      <c r="F41" s="66" t="s">
        <v>5339</v>
      </c>
      <c r="G41" s="66"/>
      <c r="H41" s="44">
        <v>228728545</v>
      </c>
      <c r="I41" s="44"/>
      <c r="J41" s="66" t="s">
        <v>288</v>
      </c>
      <c r="K41" s="66"/>
      <c r="L41" s="66"/>
      <c r="M41" s="66"/>
      <c r="N41" s="66">
        <f>SUM(Prog_236[[#This Row],[TARA]]+Prog_236[[#This Row],[PESO]])</f>
        <v>0</v>
      </c>
      <c r="O41" s="44"/>
      <c r="P41" s="66" t="s">
        <v>5344</v>
      </c>
      <c r="Q41" s="66"/>
      <c r="R41" s="66"/>
      <c r="S41" s="66"/>
      <c r="T41" s="138" t="str">
        <f>IFERROR(LOOKUP($S41,MOTORISTAS!$D$3:$D$1048576,MOTORISTAS!E$3:$E$1048576),"")</f>
        <v/>
      </c>
      <c r="U41" s="138" t="str">
        <f>IFERROR(LOOKUP($S41,MOTORISTAS!$D$3:$D$1048576,MOTORISTAS!F$3:$F$1048576),"")</f>
        <v/>
      </c>
      <c r="V41" s="66"/>
      <c r="W41" s="66"/>
      <c r="X41" s="66"/>
      <c r="Y41" s="66"/>
      <c r="Z41" s="66" t="s">
        <v>5341</v>
      </c>
      <c r="AA41" s="66"/>
      <c r="AB41" s="66"/>
      <c r="AC41" s="79">
        <v>45101.5</v>
      </c>
      <c r="AD41" s="79">
        <v>45104.5</v>
      </c>
      <c r="AE41" s="66"/>
      <c r="AF41" s="44"/>
      <c r="AG41" s="254">
        <f>Prog_236[[#This Row],[SAÍDA DO CLIENTE]]-Prog_236[[#This Row],[PROGRAMAÇÃO CLIENTE]]</f>
        <v>0</v>
      </c>
      <c r="AH41" s="44"/>
      <c r="AI41" s="66"/>
      <c r="AJ41" s="66"/>
      <c r="AK41" s="66"/>
      <c r="AL41" s="66"/>
      <c r="AM41" s="66"/>
      <c r="AN41" s="83"/>
      <c r="AO41" s="66"/>
      <c r="AP41" s="66"/>
      <c r="AQ41" s="66"/>
      <c r="AR41" s="81"/>
      <c r="AS41" s="81"/>
      <c r="AT41" s="81"/>
      <c r="AU41" s="81"/>
      <c r="AV41" s="83">
        <f>SUM(Prog_236[[#This Row],[ADIANTAMENTO]]+Prog_236[[#This Row],[SALDO]]+Prog_236[[#This Row],[MARGEM]]+Prog_236[[#This Row],[ESTADIA 1]])</f>
        <v>0</v>
      </c>
      <c r="AW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" s="81"/>
      <c r="AY41" s="81"/>
      <c r="AZ41" s="81">
        <f>Prog_236[[#This Row],[VLR NF]]*0.1%</f>
        <v>0</v>
      </c>
      <c r="BA41" s="81">
        <f>Prog_236[[#This Row],[VLR NF]]*0.05%</f>
        <v>0</v>
      </c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66"/>
      <c r="BM41" s="66"/>
      <c r="BN41" s="66"/>
      <c r="BO41" s="66" t="str">
        <f>PROPER(TEXT(Prog_236[[#This Row],[PROGRAMAÇÃO CLIENTE]],"mmm"))</f>
        <v>Jan</v>
      </c>
      <c r="BP41" s="66">
        <f>YEAR(Prog_236[[#This Row],[PROGRAMAÇÃO CLIENTE]])</f>
        <v>1900</v>
      </c>
    </row>
    <row r="42" spans="1:68" x14ac:dyDescent="0.25">
      <c r="A42" s="200">
        <f>Prog_236[[#This Row],[CONTEINER]]</f>
        <v>0</v>
      </c>
      <c r="B42" s="86"/>
      <c r="C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" s="85"/>
      <c r="E42" s="66" t="s">
        <v>5338</v>
      </c>
      <c r="F42" s="66" t="s">
        <v>5339</v>
      </c>
      <c r="G42" s="66"/>
      <c r="H42" s="44">
        <v>228728545</v>
      </c>
      <c r="I42" s="44"/>
      <c r="J42" s="66" t="s">
        <v>288</v>
      </c>
      <c r="K42" s="66"/>
      <c r="L42" s="66"/>
      <c r="M42" s="66"/>
      <c r="N42" s="66">
        <f>SUM(Prog_236[[#This Row],[TARA]]+Prog_236[[#This Row],[PESO]])</f>
        <v>0</v>
      </c>
      <c r="O42" s="44"/>
      <c r="P42" s="66" t="s">
        <v>5344</v>
      </c>
      <c r="Q42" s="66"/>
      <c r="R42" s="66"/>
      <c r="S42" s="66"/>
      <c r="T42" s="138" t="str">
        <f>IFERROR(LOOKUP($S42,MOTORISTAS!$D$3:$D$1048576,MOTORISTAS!E$3:$E$1048576),"")</f>
        <v/>
      </c>
      <c r="U42" s="138" t="str">
        <f>IFERROR(LOOKUP($S42,MOTORISTAS!$D$3:$D$1048576,MOTORISTAS!F$3:$F$1048576),"")</f>
        <v/>
      </c>
      <c r="V42" s="66"/>
      <c r="W42" s="66"/>
      <c r="X42" s="66"/>
      <c r="Y42" s="66"/>
      <c r="Z42" s="66" t="s">
        <v>5341</v>
      </c>
      <c r="AA42" s="66"/>
      <c r="AB42" s="66"/>
      <c r="AC42" s="79">
        <v>45101.5</v>
      </c>
      <c r="AD42" s="79">
        <v>45104.5</v>
      </c>
      <c r="AE42" s="66"/>
      <c r="AF42" s="44"/>
      <c r="AG42" s="254">
        <f>Prog_236[[#This Row],[SAÍDA DO CLIENTE]]-Prog_236[[#This Row],[PROGRAMAÇÃO CLIENTE]]</f>
        <v>0</v>
      </c>
      <c r="AH42" s="44"/>
      <c r="AI42" s="66"/>
      <c r="AJ42" s="66"/>
      <c r="AK42" s="66"/>
      <c r="AL42" s="66"/>
      <c r="AM42" s="66"/>
      <c r="AN42" s="83"/>
      <c r="AO42" s="66"/>
      <c r="AP42" s="66"/>
      <c r="AQ42" s="66"/>
      <c r="AR42" s="81"/>
      <c r="AS42" s="81"/>
      <c r="AT42" s="81"/>
      <c r="AU42" s="81"/>
      <c r="AV42" s="83">
        <f>SUM(Prog_236[[#This Row],[ADIANTAMENTO]]+Prog_236[[#This Row],[SALDO]]+Prog_236[[#This Row],[MARGEM]]+Prog_236[[#This Row],[ESTADIA 1]])</f>
        <v>0</v>
      </c>
      <c r="AW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" s="81"/>
      <c r="AY42" s="81"/>
      <c r="AZ42" s="81">
        <f>Prog_236[[#This Row],[VLR NF]]*0.1%</f>
        <v>0</v>
      </c>
      <c r="BA42" s="81">
        <f>Prog_236[[#This Row],[VLR NF]]*0.05%</f>
        <v>0</v>
      </c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66"/>
      <c r="BM42" s="66"/>
      <c r="BN42" s="66"/>
      <c r="BO42" s="66" t="str">
        <f>PROPER(TEXT(Prog_236[[#This Row],[PROGRAMAÇÃO CLIENTE]],"mmm"))</f>
        <v>Jan</v>
      </c>
      <c r="BP42" s="66">
        <f>YEAR(Prog_236[[#This Row],[PROGRAMAÇÃO CLIENTE]])</f>
        <v>1900</v>
      </c>
    </row>
    <row r="43" spans="1:68" x14ac:dyDescent="0.25">
      <c r="A43" s="201">
        <f>Prog_236[[#This Row],[CONTEINER]]</f>
        <v>0</v>
      </c>
      <c r="B43" s="86"/>
      <c r="C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" s="85"/>
      <c r="E43" s="66" t="s">
        <v>5338</v>
      </c>
      <c r="F43" s="66" t="s">
        <v>5339</v>
      </c>
      <c r="G43" s="66"/>
      <c r="H43" s="44">
        <v>228728545</v>
      </c>
      <c r="I43" s="44"/>
      <c r="J43" s="66" t="s">
        <v>288</v>
      </c>
      <c r="K43" s="66"/>
      <c r="L43" s="66"/>
      <c r="M43" s="66"/>
      <c r="N43" s="66">
        <f>SUM(Prog_236[[#This Row],[TARA]]+Prog_236[[#This Row],[PESO]])</f>
        <v>0</v>
      </c>
      <c r="O43" s="44"/>
      <c r="P43" s="66" t="s">
        <v>5344</v>
      </c>
      <c r="Q43" s="66"/>
      <c r="R43" s="66"/>
      <c r="S43" s="66"/>
      <c r="T43" s="138" t="str">
        <f>IFERROR(LOOKUP($S43,MOTORISTAS!$D$3:$D$1048576,MOTORISTAS!E$3:$E$1048576),"")</f>
        <v/>
      </c>
      <c r="U43" s="138" t="str">
        <f>IFERROR(LOOKUP($S43,MOTORISTAS!$D$3:$D$1048576,MOTORISTAS!F$3:$F$1048576),"")</f>
        <v/>
      </c>
      <c r="V43" s="66"/>
      <c r="W43" s="66"/>
      <c r="X43" s="66"/>
      <c r="Y43" s="66"/>
      <c r="Z43" s="66" t="s">
        <v>5341</v>
      </c>
      <c r="AA43" s="66"/>
      <c r="AB43" s="66"/>
      <c r="AC43" s="79">
        <v>45101.5</v>
      </c>
      <c r="AD43" s="79">
        <v>45104.5</v>
      </c>
      <c r="AE43" s="66"/>
      <c r="AF43" s="44"/>
      <c r="AG43" s="254">
        <f>Prog_236[[#This Row],[SAÍDA DO CLIENTE]]-Prog_236[[#This Row],[PROGRAMAÇÃO CLIENTE]]</f>
        <v>0</v>
      </c>
      <c r="AH43" s="44"/>
      <c r="AI43" s="66"/>
      <c r="AJ43" s="66"/>
      <c r="AK43" s="66"/>
      <c r="AL43" s="66"/>
      <c r="AM43" s="66"/>
      <c r="AN43" s="83"/>
      <c r="AO43" s="66"/>
      <c r="AP43" s="66"/>
      <c r="AQ43" s="66"/>
      <c r="AR43" s="81"/>
      <c r="AS43" s="81"/>
      <c r="AT43" s="81"/>
      <c r="AU43" s="81"/>
      <c r="AV43" s="83">
        <f>SUM(Prog_236[[#This Row],[ADIANTAMENTO]]+Prog_236[[#This Row],[SALDO]]+Prog_236[[#This Row],[MARGEM]]+Prog_236[[#This Row],[ESTADIA 1]])</f>
        <v>0</v>
      </c>
      <c r="AW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" s="81"/>
      <c r="AY43" s="81"/>
      <c r="AZ43" s="81">
        <f>Prog_236[[#This Row],[VLR NF]]*0.1%</f>
        <v>0</v>
      </c>
      <c r="BA43" s="81">
        <f>Prog_236[[#This Row],[VLR NF]]*0.05%</f>
        <v>0</v>
      </c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66"/>
      <c r="BM43" s="66"/>
      <c r="BN43" s="66"/>
      <c r="BO43" s="66" t="str">
        <f>PROPER(TEXT(Prog_236[[#This Row],[PROGRAMAÇÃO CLIENTE]],"mmm"))</f>
        <v>Jan</v>
      </c>
      <c r="BP43" s="66">
        <f>YEAR(Prog_236[[#This Row],[PROGRAMAÇÃO CLIENTE]])</f>
        <v>1900</v>
      </c>
    </row>
    <row r="44" spans="1:68" x14ac:dyDescent="0.25">
      <c r="A44" s="200">
        <f>Prog_236[[#This Row],[CONTEINER]]</f>
        <v>0</v>
      </c>
      <c r="B44" s="86"/>
      <c r="C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" s="85"/>
      <c r="E44" s="66" t="s">
        <v>5338</v>
      </c>
      <c r="F44" s="66" t="s">
        <v>5339</v>
      </c>
      <c r="G44" s="66"/>
      <c r="H44" s="44">
        <v>228728545</v>
      </c>
      <c r="I44" s="44"/>
      <c r="J44" s="66" t="s">
        <v>288</v>
      </c>
      <c r="K44" s="66"/>
      <c r="L44" s="66"/>
      <c r="M44" s="66"/>
      <c r="N44" s="66">
        <f>SUM(Prog_236[[#This Row],[TARA]]+Prog_236[[#This Row],[PESO]])</f>
        <v>0</v>
      </c>
      <c r="O44" s="44"/>
      <c r="P44" s="66" t="s">
        <v>5344</v>
      </c>
      <c r="Q44" s="66"/>
      <c r="R44" s="66"/>
      <c r="S44" s="66"/>
      <c r="T44" s="138" t="str">
        <f>IFERROR(LOOKUP($S44,MOTORISTAS!$D$3:$D$1048576,MOTORISTAS!E$3:$E$1048576),"")</f>
        <v/>
      </c>
      <c r="U44" s="138" t="str">
        <f>IFERROR(LOOKUP($S44,MOTORISTAS!$D$3:$D$1048576,MOTORISTAS!F$3:$F$1048576),"")</f>
        <v/>
      </c>
      <c r="V44" s="66"/>
      <c r="W44" s="66"/>
      <c r="X44" s="66"/>
      <c r="Y44" s="66"/>
      <c r="Z44" s="66" t="s">
        <v>5341</v>
      </c>
      <c r="AA44" s="66"/>
      <c r="AB44" s="66"/>
      <c r="AC44" s="79">
        <v>45101.5</v>
      </c>
      <c r="AD44" s="79">
        <v>45104.5</v>
      </c>
      <c r="AE44" s="66"/>
      <c r="AF44" s="44"/>
      <c r="AG44" s="254">
        <f>Prog_236[[#This Row],[SAÍDA DO CLIENTE]]-Prog_236[[#This Row],[PROGRAMAÇÃO CLIENTE]]</f>
        <v>0</v>
      </c>
      <c r="AH44" s="44"/>
      <c r="AI44" s="66"/>
      <c r="AJ44" s="66"/>
      <c r="AK44" s="66"/>
      <c r="AL44" s="66"/>
      <c r="AM44" s="66"/>
      <c r="AN44" s="83"/>
      <c r="AO44" s="66"/>
      <c r="AP44" s="66"/>
      <c r="AQ44" s="66"/>
      <c r="AR44" s="81"/>
      <c r="AS44" s="81"/>
      <c r="AT44" s="81"/>
      <c r="AU44" s="81"/>
      <c r="AV44" s="83">
        <f>SUM(Prog_236[[#This Row],[ADIANTAMENTO]]+Prog_236[[#This Row],[SALDO]]+Prog_236[[#This Row],[MARGEM]]+Prog_236[[#This Row],[ESTADIA 1]])</f>
        <v>0</v>
      </c>
      <c r="AW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" s="81"/>
      <c r="AY44" s="81"/>
      <c r="AZ44" s="81">
        <f>Prog_236[[#This Row],[VLR NF]]*0.1%</f>
        <v>0</v>
      </c>
      <c r="BA44" s="81">
        <f>Prog_236[[#This Row],[VLR NF]]*0.05%</f>
        <v>0</v>
      </c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66"/>
      <c r="BM44" s="66"/>
      <c r="BN44" s="66"/>
      <c r="BO44" s="66" t="str">
        <f>PROPER(TEXT(Prog_236[[#This Row],[PROGRAMAÇÃO CLIENTE]],"mmm"))</f>
        <v>Jan</v>
      </c>
      <c r="BP44" s="66">
        <f>YEAR(Prog_236[[#This Row],[PROGRAMAÇÃO CLIENTE]])</f>
        <v>1900</v>
      </c>
    </row>
    <row r="45" spans="1:68" x14ac:dyDescent="0.25">
      <c r="A45" s="201" t="str">
        <f>Prog_236[[#This Row],[CONTEINER]]</f>
        <v xml:space="preserve">TEMU1673803   </v>
      </c>
      <c r="B45" s="86" t="s">
        <v>2798</v>
      </c>
      <c r="C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" s="85">
        <v>45112.333333333336</v>
      </c>
      <c r="E45" s="66" t="s">
        <v>737</v>
      </c>
      <c r="F45" s="66" t="s">
        <v>450</v>
      </c>
      <c r="G45" s="66" t="s">
        <v>5347</v>
      </c>
      <c r="H45" s="44" t="s">
        <v>5340</v>
      </c>
      <c r="I45" s="44" t="s">
        <v>5376</v>
      </c>
      <c r="J45" s="66" t="s">
        <v>288</v>
      </c>
      <c r="K45" s="66">
        <v>2100</v>
      </c>
      <c r="L45" s="66" t="s">
        <v>5377</v>
      </c>
      <c r="M45" s="66"/>
      <c r="N45" s="66">
        <f>SUM(Prog_236[[#This Row],[TARA]]+Prog_236[[#This Row],[PESO]])</f>
        <v>2100</v>
      </c>
      <c r="O45" s="44"/>
      <c r="P45" s="66" t="s">
        <v>5345</v>
      </c>
      <c r="Q45" s="66"/>
      <c r="R45" s="66"/>
      <c r="S45" s="66"/>
      <c r="T45" s="138" t="str">
        <f>IFERROR(LOOKUP($S45,MOTORISTAS!$D$3:$D$1048576,MOTORISTAS!E$3:$E$1048576),"")</f>
        <v/>
      </c>
      <c r="U45" s="138" t="str">
        <f>IFERROR(LOOKUP($S45,MOTORISTAS!$D$3:$D$1048576,MOTORISTAS!F$3:$F$1048576),"")</f>
        <v/>
      </c>
      <c r="V45" s="66" t="s">
        <v>5346</v>
      </c>
      <c r="W45" s="66"/>
      <c r="X45" s="66"/>
      <c r="Y45" s="66"/>
      <c r="Z45" s="66" t="s">
        <v>5342</v>
      </c>
      <c r="AA45" s="66"/>
      <c r="AB45" s="66"/>
      <c r="AC45" s="79">
        <v>45080.5</v>
      </c>
      <c r="AD45" s="79">
        <v>45084.5</v>
      </c>
      <c r="AE45" s="66"/>
      <c r="AF45" s="44"/>
      <c r="AG45" s="254">
        <f>Prog_236[[#This Row],[SAÍDA DO CLIENTE]]-Prog_236[[#This Row],[PROGRAMAÇÃO CLIENTE]]</f>
        <v>-45112.333333333336</v>
      </c>
      <c r="AH45" s="44"/>
      <c r="AI45" s="66"/>
      <c r="AJ45" s="66"/>
      <c r="AK45" s="66"/>
      <c r="AL45" s="66"/>
      <c r="AM45" s="66"/>
      <c r="AN45" s="83"/>
      <c r="AO45" s="66"/>
      <c r="AP45" s="66"/>
      <c r="AQ45" s="66"/>
      <c r="AR45" s="81"/>
      <c r="AS45" s="81"/>
      <c r="AT45" s="81"/>
      <c r="AU45" s="81"/>
      <c r="AV45" s="83">
        <f>SUM(Prog_236[[#This Row],[ADIANTAMENTO]]+Prog_236[[#This Row],[SALDO]]+Prog_236[[#This Row],[MARGEM]]+Prog_236[[#This Row],[ESTADIA 1]])</f>
        <v>0</v>
      </c>
      <c r="AW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" s="81"/>
      <c r="AY45" s="81"/>
      <c r="AZ45" s="81">
        <f>Prog_236[[#This Row],[VLR NF]]*0.1%</f>
        <v>0</v>
      </c>
      <c r="BA45" s="81">
        <f>Prog_236[[#This Row],[VLR NF]]*0.05%</f>
        <v>0</v>
      </c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66"/>
      <c r="BM45" s="66"/>
      <c r="BN45" s="66"/>
      <c r="BO45" s="66" t="str">
        <f>PROPER(TEXT(Prog_236[[#This Row],[PROGRAMAÇÃO CLIENTE]],"mmm"))</f>
        <v>Jul</v>
      </c>
      <c r="BP45" s="66">
        <f>YEAR(Prog_236[[#This Row],[PROGRAMAÇÃO CLIENTE]])</f>
        <v>2023</v>
      </c>
    </row>
    <row r="46" spans="1:68" x14ac:dyDescent="0.25">
      <c r="A46" s="200" t="str">
        <f>Prog_236[[#This Row],[CONTEINER]]</f>
        <v xml:space="preserve">HDMU2783756  </v>
      </c>
      <c r="B46" s="86" t="s">
        <v>2798</v>
      </c>
      <c r="C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" s="85">
        <v>45112.333333333336</v>
      </c>
      <c r="E46" s="66" t="s">
        <v>737</v>
      </c>
      <c r="F46" s="66" t="s">
        <v>450</v>
      </c>
      <c r="G46" s="66" t="s">
        <v>5347</v>
      </c>
      <c r="H46" s="44" t="s">
        <v>5340</v>
      </c>
      <c r="I46" s="44" t="s">
        <v>5378</v>
      </c>
      <c r="J46" s="66" t="s">
        <v>288</v>
      </c>
      <c r="K46" s="66">
        <v>2100</v>
      </c>
      <c r="L46" s="66" t="s">
        <v>5379</v>
      </c>
      <c r="M46" s="66"/>
      <c r="N46" s="66">
        <f>SUM(Prog_236[[#This Row],[TARA]]+Prog_236[[#This Row],[PESO]])</f>
        <v>2100</v>
      </c>
      <c r="O46" s="44"/>
      <c r="P46" s="66" t="s">
        <v>5345</v>
      </c>
      <c r="Q46" s="66"/>
      <c r="R46" s="66"/>
      <c r="S46" s="66"/>
      <c r="T46" s="138" t="str">
        <f>IFERROR(LOOKUP($S46,MOTORISTAS!$D$3:$D$1048576,MOTORISTAS!E$3:$E$1048576),"")</f>
        <v/>
      </c>
      <c r="U46" s="138" t="str">
        <f>IFERROR(LOOKUP($S46,MOTORISTAS!$D$3:$D$1048576,MOTORISTAS!F$3:$F$1048576),"")</f>
        <v/>
      </c>
      <c r="V46" s="66" t="s">
        <v>5346</v>
      </c>
      <c r="W46" s="66"/>
      <c r="X46" s="66"/>
      <c r="Y46" s="66"/>
      <c r="Z46" s="66" t="s">
        <v>5342</v>
      </c>
      <c r="AA46" s="66"/>
      <c r="AB46" s="66"/>
      <c r="AC46" s="79">
        <v>45080.5</v>
      </c>
      <c r="AD46" s="79">
        <v>45084.5</v>
      </c>
      <c r="AE46" s="66"/>
      <c r="AF46" s="44"/>
      <c r="AG46" s="254">
        <f>Prog_236[[#This Row],[SAÍDA DO CLIENTE]]-Prog_236[[#This Row],[PROGRAMAÇÃO CLIENTE]]</f>
        <v>-45112.333333333336</v>
      </c>
      <c r="AH46" s="44"/>
      <c r="AI46" s="66"/>
      <c r="AJ46" s="66"/>
      <c r="AK46" s="66"/>
      <c r="AL46" s="66"/>
      <c r="AM46" s="66"/>
      <c r="AN46" s="83"/>
      <c r="AO46" s="66"/>
      <c r="AP46" s="66"/>
      <c r="AQ46" s="66"/>
      <c r="AR46" s="81"/>
      <c r="AS46" s="81"/>
      <c r="AT46" s="81"/>
      <c r="AU46" s="81"/>
      <c r="AV46" s="83">
        <f>SUM(Prog_236[[#This Row],[ADIANTAMENTO]]+Prog_236[[#This Row],[SALDO]]+Prog_236[[#This Row],[MARGEM]]+Prog_236[[#This Row],[ESTADIA 1]])</f>
        <v>0</v>
      </c>
      <c r="AW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" s="81"/>
      <c r="AY46" s="81"/>
      <c r="AZ46" s="81">
        <f>Prog_236[[#This Row],[VLR NF]]*0.1%</f>
        <v>0</v>
      </c>
      <c r="BA46" s="81">
        <f>Prog_236[[#This Row],[VLR NF]]*0.05%</f>
        <v>0</v>
      </c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66"/>
      <c r="BM46" s="66"/>
      <c r="BN46" s="66"/>
      <c r="BO46" s="66" t="str">
        <f>PROPER(TEXT(Prog_236[[#This Row],[PROGRAMAÇÃO CLIENTE]],"mmm"))</f>
        <v>Jul</v>
      </c>
      <c r="BP46" s="66">
        <f>YEAR(Prog_236[[#This Row],[PROGRAMAÇÃO CLIENTE]])</f>
        <v>2023</v>
      </c>
    </row>
    <row r="47" spans="1:68" x14ac:dyDescent="0.25">
      <c r="A47" s="201" t="str">
        <f>Prog_236[[#This Row],[CONTEINER]]</f>
        <v xml:space="preserve">DFSU2819378  </v>
      </c>
      <c r="B47" s="86" t="s">
        <v>2909</v>
      </c>
      <c r="C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" s="85">
        <v>45112.333333333336</v>
      </c>
      <c r="E47" s="66" t="s">
        <v>737</v>
      </c>
      <c r="F47" s="66" t="s">
        <v>450</v>
      </c>
      <c r="G47" s="66" t="s">
        <v>5347</v>
      </c>
      <c r="H47" s="44" t="s">
        <v>5340</v>
      </c>
      <c r="I47" s="44" t="s">
        <v>5380</v>
      </c>
      <c r="J47" s="66" t="s">
        <v>288</v>
      </c>
      <c r="K47" s="66">
        <v>2160</v>
      </c>
      <c r="L47" s="66" t="s">
        <v>5381</v>
      </c>
      <c r="M47" s="66"/>
      <c r="N47" s="66">
        <f>SUM(Prog_236[[#This Row],[TARA]]+Prog_236[[#This Row],[PESO]])</f>
        <v>2160</v>
      </c>
      <c r="O47" s="44"/>
      <c r="P47" s="66" t="s">
        <v>5345</v>
      </c>
      <c r="Q47" s="66"/>
      <c r="R47" s="66"/>
      <c r="S47" s="66"/>
      <c r="T47" s="138" t="str">
        <f>IFERROR(LOOKUP($S47,MOTORISTAS!$D$3:$D$1048576,MOTORISTAS!E$3:$E$1048576),"")</f>
        <v/>
      </c>
      <c r="U47" s="138" t="str">
        <f>IFERROR(LOOKUP($S47,MOTORISTAS!$D$3:$D$1048576,MOTORISTAS!F$3:$F$1048576),"")</f>
        <v/>
      </c>
      <c r="V47" s="66" t="s">
        <v>5346</v>
      </c>
      <c r="W47" s="66"/>
      <c r="X47" s="66"/>
      <c r="Y47" s="66"/>
      <c r="Z47" s="66" t="s">
        <v>5342</v>
      </c>
      <c r="AA47" s="66"/>
      <c r="AB47" s="66"/>
      <c r="AC47" s="79">
        <v>45080.5</v>
      </c>
      <c r="AD47" s="79">
        <v>45084.5</v>
      </c>
      <c r="AE47" s="66"/>
      <c r="AF47" s="44"/>
      <c r="AG47" s="254">
        <f>Prog_236[[#This Row],[SAÍDA DO CLIENTE]]-Prog_236[[#This Row],[PROGRAMAÇÃO CLIENTE]]</f>
        <v>-45112.333333333336</v>
      </c>
      <c r="AH47" s="44"/>
      <c r="AI47" s="66"/>
      <c r="AJ47" s="66"/>
      <c r="AK47" s="66"/>
      <c r="AL47" s="66"/>
      <c r="AM47" s="66"/>
      <c r="AN47" s="83"/>
      <c r="AO47" s="66"/>
      <c r="AP47" s="66"/>
      <c r="AQ47" s="66"/>
      <c r="AR47" s="81"/>
      <c r="AS47" s="81"/>
      <c r="AT47" s="81"/>
      <c r="AU47" s="81"/>
      <c r="AV47" s="83">
        <f>SUM(Prog_236[[#This Row],[ADIANTAMENTO]]+Prog_236[[#This Row],[SALDO]]+Prog_236[[#This Row],[MARGEM]]+Prog_236[[#This Row],[ESTADIA 1]])</f>
        <v>0</v>
      </c>
      <c r="AW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" s="81"/>
      <c r="AY47" s="81"/>
      <c r="AZ47" s="81">
        <f>Prog_236[[#This Row],[VLR NF]]*0.1%</f>
        <v>0</v>
      </c>
      <c r="BA47" s="81">
        <f>Prog_236[[#This Row],[VLR NF]]*0.05%</f>
        <v>0</v>
      </c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66"/>
      <c r="BM47" s="66"/>
      <c r="BN47" s="66"/>
      <c r="BO47" s="66" t="str">
        <f>PROPER(TEXT(Prog_236[[#This Row],[PROGRAMAÇÃO CLIENTE]],"mmm"))</f>
        <v>Jul</v>
      </c>
      <c r="BP47" s="66">
        <f>YEAR(Prog_236[[#This Row],[PROGRAMAÇÃO CLIENTE]])</f>
        <v>2023</v>
      </c>
    </row>
    <row r="48" spans="1:68" x14ac:dyDescent="0.25">
      <c r="A48" s="200" t="str">
        <f>Prog_236[[#This Row],[CONTEINER]]</f>
        <v xml:space="preserve">TLLU2581261  </v>
      </c>
      <c r="B48" s="86" t="s">
        <v>2798</v>
      </c>
      <c r="C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" s="85">
        <v>45112.333333333336</v>
      </c>
      <c r="E48" s="66" t="s">
        <v>737</v>
      </c>
      <c r="F48" s="66" t="s">
        <v>450</v>
      </c>
      <c r="G48" s="66" t="s">
        <v>5347</v>
      </c>
      <c r="H48" s="44" t="s">
        <v>5340</v>
      </c>
      <c r="I48" s="44" t="s">
        <v>5382</v>
      </c>
      <c r="J48" s="66" t="s">
        <v>288</v>
      </c>
      <c r="K48" s="66">
        <v>2100</v>
      </c>
      <c r="L48" s="66" t="s">
        <v>5383</v>
      </c>
      <c r="M48" s="66"/>
      <c r="N48" s="66">
        <f>SUM(Prog_236[[#This Row],[TARA]]+Prog_236[[#This Row],[PESO]])</f>
        <v>2100</v>
      </c>
      <c r="O48" s="44"/>
      <c r="P48" s="66" t="s">
        <v>5345</v>
      </c>
      <c r="Q48" s="66"/>
      <c r="R48" s="66"/>
      <c r="S48" s="66"/>
      <c r="T48" s="138" t="str">
        <f>IFERROR(LOOKUP($S48,MOTORISTAS!$D$3:$D$1048576,MOTORISTAS!E$3:$E$1048576),"")</f>
        <v/>
      </c>
      <c r="U48" s="138" t="str">
        <f>IFERROR(LOOKUP($S48,MOTORISTAS!$D$3:$D$1048576,MOTORISTAS!F$3:$F$1048576),"")</f>
        <v/>
      </c>
      <c r="V48" s="66" t="s">
        <v>5346</v>
      </c>
      <c r="W48" s="66"/>
      <c r="X48" s="66"/>
      <c r="Y48" s="66"/>
      <c r="Z48" s="66" t="s">
        <v>5342</v>
      </c>
      <c r="AA48" s="66"/>
      <c r="AB48" s="66"/>
      <c r="AC48" s="79">
        <v>45080.5</v>
      </c>
      <c r="AD48" s="79">
        <v>45084.5</v>
      </c>
      <c r="AE48" s="66"/>
      <c r="AF48" s="44"/>
      <c r="AG48" s="254">
        <f>Prog_236[[#This Row],[SAÍDA DO CLIENTE]]-Prog_236[[#This Row],[PROGRAMAÇÃO CLIENTE]]</f>
        <v>-45112.333333333336</v>
      </c>
      <c r="AH48" s="44"/>
      <c r="AI48" s="66"/>
      <c r="AJ48" s="66"/>
      <c r="AK48" s="66"/>
      <c r="AL48" s="66"/>
      <c r="AM48" s="66"/>
      <c r="AN48" s="83"/>
      <c r="AO48" s="66"/>
      <c r="AP48" s="66"/>
      <c r="AQ48" s="66"/>
      <c r="AR48" s="81"/>
      <c r="AS48" s="81"/>
      <c r="AT48" s="81"/>
      <c r="AU48" s="81"/>
      <c r="AV48" s="83">
        <f>SUM(Prog_236[[#This Row],[ADIANTAMENTO]]+Prog_236[[#This Row],[SALDO]]+Prog_236[[#This Row],[MARGEM]]+Prog_236[[#This Row],[ESTADIA 1]])</f>
        <v>0</v>
      </c>
      <c r="AW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" s="81"/>
      <c r="AY48" s="81"/>
      <c r="AZ48" s="81">
        <f>Prog_236[[#This Row],[VLR NF]]*0.1%</f>
        <v>0</v>
      </c>
      <c r="BA48" s="81">
        <f>Prog_236[[#This Row],[VLR NF]]*0.05%</f>
        <v>0</v>
      </c>
      <c r="BB48" s="81"/>
      <c r="BC48" s="81"/>
      <c r="BD48" s="81"/>
      <c r="BE48" s="81"/>
      <c r="BF48" s="81"/>
      <c r="BG48" s="81"/>
      <c r="BH48" s="81"/>
      <c r="BI48" s="81"/>
      <c r="BJ48" s="81"/>
      <c r="BK48" s="81"/>
      <c r="BL48" s="66"/>
      <c r="BM48" s="66"/>
      <c r="BN48" s="66"/>
      <c r="BO48" s="66" t="str">
        <f>PROPER(TEXT(Prog_236[[#This Row],[PROGRAMAÇÃO CLIENTE]],"mmm"))</f>
        <v>Jul</v>
      </c>
      <c r="BP48" s="66">
        <f>YEAR(Prog_236[[#This Row],[PROGRAMAÇÃO CLIENTE]])</f>
        <v>2023</v>
      </c>
    </row>
    <row r="49" spans="1:68" x14ac:dyDescent="0.25">
      <c r="A49" s="201" t="str">
        <f>Prog_236[[#This Row],[CONTEINER]]</f>
        <v>GCXU2135728</v>
      </c>
      <c r="B49" s="86" t="s">
        <v>2798</v>
      </c>
      <c r="C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" s="85">
        <v>45112.333333333336</v>
      </c>
      <c r="E49" s="66" t="s">
        <v>737</v>
      </c>
      <c r="F49" s="66" t="s">
        <v>450</v>
      </c>
      <c r="G49" s="66" t="s">
        <v>5347</v>
      </c>
      <c r="H49" s="44" t="s">
        <v>5340</v>
      </c>
      <c r="I49" s="44" t="s">
        <v>5384</v>
      </c>
      <c r="J49" s="66" t="s">
        <v>288</v>
      </c>
      <c r="K49" s="66">
        <v>2100</v>
      </c>
      <c r="L49" s="66" t="s">
        <v>5385</v>
      </c>
      <c r="M49" s="66"/>
      <c r="N49" s="66">
        <f>SUM(Prog_236[[#This Row],[TARA]]+Prog_236[[#This Row],[PESO]])</f>
        <v>2100</v>
      </c>
      <c r="O49" s="44"/>
      <c r="P49" s="66" t="s">
        <v>5345</v>
      </c>
      <c r="Q49" s="66"/>
      <c r="R49" s="66"/>
      <c r="S49" s="66"/>
      <c r="T49" s="138" t="str">
        <f>IFERROR(LOOKUP($S49,MOTORISTAS!$D$3:$D$1048576,MOTORISTAS!E$3:$E$1048576),"")</f>
        <v/>
      </c>
      <c r="U49" s="138" t="str">
        <f>IFERROR(LOOKUP($S49,MOTORISTAS!$D$3:$D$1048576,MOTORISTAS!F$3:$F$1048576),"")</f>
        <v/>
      </c>
      <c r="V49" s="66" t="s">
        <v>5346</v>
      </c>
      <c r="W49" s="66"/>
      <c r="X49" s="66"/>
      <c r="Y49" s="66"/>
      <c r="Z49" s="66" t="s">
        <v>5342</v>
      </c>
      <c r="AA49" s="66"/>
      <c r="AB49" s="66"/>
      <c r="AC49" s="79">
        <v>45080.5</v>
      </c>
      <c r="AD49" s="79">
        <v>45084.5</v>
      </c>
      <c r="AE49" s="66"/>
      <c r="AF49" s="44"/>
      <c r="AG49" s="254">
        <f>Prog_236[[#This Row],[SAÍDA DO CLIENTE]]-Prog_236[[#This Row],[PROGRAMAÇÃO CLIENTE]]</f>
        <v>-45112.333333333336</v>
      </c>
      <c r="AH49" s="44"/>
      <c r="AI49" s="66"/>
      <c r="AJ49" s="66"/>
      <c r="AK49" s="66"/>
      <c r="AL49" s="66"/>
      <c r="AM49" s="66"/>
      <c r="AN49" s="83"/>
      <c r="AO49" s="66"/>
      <c r="AP49" s="66"/>
      <c r="AQ49" s="66"/>
      <c r="AR49" s="81"/>
      <c r="AS49" s="81"/>
      <c r="AT49" s="81"/>
      <c r="AU49" s="81"/>
      <c r="AV49" s="83">
        <f>SUM(Prog_236[[#This Row],[ADIANTAMENTO]]+Prog_236[[#This Row],[SALDO]]+Prog_236[[#This Row],[MARGEM]]+Prog_236[[#This Row],[ESTADIA 1]])</f>
        <v>0</v>
      </c>
      <c r="AW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" s="81"/>
      <c r="AY49" s="81"/>
      <c r="AZ49" s="81">
        <f>Prog_236[[#This Row],[VLR NF]]*0.1%</f>
        <v>0</v>
      </c>
      <c r="BA49" s="81">
        <f>Prog_236[[#This Row],[VLR NF]]*0.05%</f>
        <v>0</v>
      </c>
      <c r="BB49" s="81"/>
      <c r="BC49" s="81"/>
      <c r="BD49" s="81"/>
      <c r="BE49" s="81"/>
      <c r="BF49" s="81"/>
      <c r="BG49" s="81"/>
      <c r="BH49" s="81"/>
      <c r="BI49" s="81"/>
      <c r="BJ49" s="81"/>
      <c r="BK49" s="81"/>
      <c r="BL49" s="66"/>
      <c r="BM49" s="66"/>
      <c r="BN49" s="66"/>
      <c r="BO49" s="66" t="str">
        <f>PROPER(TEXT(Prog_236[[#This Row],[PROGRAMAÇÃO CLIENTE]],"mmm"))</f>
        <v>Jul</v>
      </c>
      <c r="BP49" s="66">
        <f>YEAR(Prog_236[[#This Row],[PROGRAMAÇÃO CLIENTE]])</f>
        <v>2023</v>
      </c>
    </row>
    <row r="50" spans="1:68" x14ac:dyDescent="0.25">
      <c r="A50" s="200" t="str">
        <f>Prog_236[[#This Row],[CONTEINER]]</f>
        <v>FCIU5459590</v>
      </c>
      <c r="B50" s="86" t="s">
        <v>2909</v>
      </c>
      <c r="C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" s="85">
        <v>45112.333333333336</v>
      </c>
      <c r="E50" s="66" t="s">
        <v>737</v>
      </c>
      <c r="F50" s="66" t="s">
        <v>450</v>
      </c>
      <c r="G50" s="66" t="s">
        <v>5347</v>
      </c>
      <c r="H50" s="44" t="s">
        <v>5340</v>
      </c>
      <c r="I50" s="44" t="s">
        <v>5386</v>
      </c>
      <c r="J50" s="66" t="s">
        <v>288</v>
      </c>
      <c r="K50" s="66">
        <v>2180</v>
      </c>
      <c r="L50" s="66" t="s">
        <v>5387</v>
      </c>
      <c r="M50" s="66"/>
      <c r="N50" s="66">
        <f>SUM(Prog_236[[#This Row],[TARA]]+Prog_236[[#This Row],[PESO]])</f>
        <v>2180</v>
      </c>
      <c r="O50" s="44"/>
      <c r="P50" s="66" t="s">
        <v>5345</v>
      </c>
      <c r="Q50" s="66"/>
      <c r="R50" s="66"/>
      <c r="S50" s="66"/>
      <c r="T50" s="138" t="str">
        <f>IFERROR(LOOKUP($S50,MOTORISTAS!$D$3:$D$1048576,MOTORISTAS!E$3:$E$1048576),"")</f>
        <v/>
      </c>
      <c r="U50" s="138" t="str">
        <f>IFERROR(LOOKUP($S50,MOTORISTAS!$D$3:$D$1048576,MOTORISTAS!F$3:$F$1048576),"")</f>
        <v/>
      </c>
      <c r="V50" s="66" t="s">
        <v>5346</v>
      </c>
      <c r="W50" s="66"/>
      <c r="X50" s="66"/>
      <c r="Y50" s="66"/>
      <c r="Z50" s="66" t="s">
        <v>5342</v>
      </c>
      <c r="AA50" s="66"/>
      <c r="AB50" s="66"/>
      <c r="AC50" s="79">
        <v>45080.5</v>
      </c>
      <c r="AD50" s="79">
        <v>45084.5</v>
      </c>
      <c r="AE50" s="66"/>
      <c r="AF50" s="44"/>
      <c r="AG50" s="254">
        <f>Prog_236[[#This Row],[SAÍDA DO CLIENTE]]-Prog_236[[#This Row],[PROGRAMAÇÃO CLIENTE]]</f>
        <v>-45112.333333333336</v>
      </c>
      <c r="AH50" s="44"/>
      <c r="AI50" s="66"/>
      <c r="AJ50" s="66"/>
      <c r="AK50" s="66"/>
      <c r="AL50" s="66"/>
      <c r="AM50" s="66"/>
      <c r="AN50" s="83"/>
      <c r="AO50" s="66"/>
      <c r="AP50" s="66"/>
      <c r="AQ50" s="66"/>
      <c r="AR50" s="81"/>
      <c r="AS50" s="81"/>
      <c r="AT50" s="81"/>
      <c r="AU50" s="81"/>
      <c r="AV50" s="83">
        <f>SUM(Prog_236[[#This Row],[ADIANTAMENTO]]+Prog_236[[#This Row],[SALDO]]+Prog_236[[#This Row],[MARGEM]]+Prog_236[[#This Row],[ESTADIA 1]])</f>
        <v>0</v>
      </c>
      <c r="AW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" s="81"/>
      <c r="AY50" s="81"/>
      <c r="AZ50" s="81">
        <f>Prog_236[[#This Row],[VLR NF]]*0.1%</f>
        <v>0</v>
      </c>
      <c r="BA50" s="81">
        <f>Prog_236[[#This Row],[VLR NF]]*0.05%</f>
        <v>0</v>
      </c>
      <c r="BB50" s="81"/>
      <c r="BC50" s="81"/>
      <c r="BD50" s="81"/>
      <c r="BE50" s="81"/>
      <c r="BF50" s="81"/>
      <c r="BG50" s="81"/>
      <c r="BH50" s="81"/>
      <c r="BI50" s="81"/>
      <c r="BJ50" s="81"/>
      <c r="BK50" s="81"/>
      <c r="BL50" s="66"/>
      <c r="BM50" s="66"/>
      <c r="BN50" s="66"/>
      <c r="BO50" s="66" t="str">
        <f>PROPER(TEXT(Prog_236[[#This Row],[PROGRAMAÇÃO CLIENTE]],"mmm"))</f>
        <v>Jul</v>
      </c>
      <c r="BP50" s="66">
        <f>YEAR(Prog_236[[#This Row],[PROGRAMAÇÃO CLIENTE]])</f>
        <v>2023</v>
      </c>
    </row>
    <row r="51" spans="1:68" x14ac:dyDescent="0.25">
      <c r="A51" s="201" t="str">
        <f>Prog_236[[#This Row],[CONTEINER]]</f>
        <v xml:space="preserve">GCXU2121154    </v>
      </c>
      <c r="B51" s="86" t="s">
        <v>2909</v>
      </c>
      <c r="C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" s="85">
        <v>45112.333333333336</v>
      </c>
      <c r="E51" s="66" t="s">
        <v>737</v>
      </c>
      <c r="F51" s="66" t="s">
        <v>450</v>
      </c>
      <c r="G51" s="66" t="s">
        <v>5347</v>
      </c>
      <c r="H51" s="44" t="s">
        <v>5340</v>
      </c>
      <c r="I51" s="44" t="s">
        <v>5388</v>
      </c>
      <c r="J51" s="66" t="s">
        <v>288</v>
      </c>
      <c r="K51" s="66">
        <v>2100</v>
      </c>
      <c r="L51" s="66" t="s">
        <v>5389</v>
      </c>
      <c r="M51" s="66"/>
      <c r="N51" s="66">
        <f>SUM(Prog_236[[#This Row],[TARA]]+Prog_236[[#This Row],[PESO]])</f>
        <v>2100</v>
      </c>
      <c r="O51" s="44"/>
      <c r="P51" s="66" t="s">
        <v>5345</v>
      </c>
      <c r="Q51" s="66"/>
      <c r="R51" s="66"/>
      <c r="S51" s="66"/>
      <c r="T51" s="138" t="str">
        <f>IFERROR(LOOKUP($S51,MOTORISTAS!$D$3:$D$1048576,MOTORISTAS!E$3:$E$1048576),"")</f>
        <v/>
      </c>
      <c r="U51" s="138" t="str">
        <f>IFERROR(LOOKUP($S51,MOTORISTAS!$D$3:$D$1048576,MOTORISTAS!F$3:$F$1048576),"")</f>
        <v/>
      </c>
      <c r="V51" s="66" t="s">
        <v>5346</v>
      </c>
      <c r="W51" s="66"/>
      <c r="X51" s="66"/>
      <c r="Y51" s="66"/>
      <c r="Z51" s="66" t="s">
        <v>5342</v>
      </c>
      <c r="AA51" s="66"/>
      <c r="AB51" s="66"/>
      <c r="AC51" s="79">
        <v>45080.5</v>
      </c>
      <c r="AD51" s="79">
        <v>45084.5</v>
      </c>
      <c r="AE51" s="66"/>
      <c r="AF51" s="44"/>
      <c r="AG51" s="254">
        <f>Prog_236[[#This Row],[SAÍDA DO CLIENTE]]-Prog_236[[#This Row],[PROGRAMAÇÃO CLIENTE]]</f>
        <v>-45112.333333333336</v>
      </c>
      <c r="AH51" s="44"/>
      <c r="AI51" s="66"/>
      <c r="AJ51" s="66"/>
      <c r="AK51" s="66"/>
      <c r="AL51" s="66"/>
      <c r="AM51" s="66"/>
      <c r="AN51" s="83"/>
      <c r="AO51" s="66"/>
      <c r="AP51" s="66"/>
      <c r="AQ51" s="66"/>
      <c r="AR51" s="81"/>
      <c r="AS51" s="81"/>
      <c r="AT51" s="81"/>
      <c r="AU51" s="81"/>
      <c r="AV51" s="83">
        <f>SUM(Prog_236[[#This Row],[ADIANTAMENTO]]+Prog_236[[#This Row],[SALDO]]+Prog_236[[#This Row],[MARGEM]]+Prog_236[[#This Row],[ESTADIA 1]])</f>
        <v>0</v>
      </c>
      <c r="AW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" s="81"/>
      <c r="AY51" s="81"/>
      <c r="AZ51" s="81">
        <f>Prog_236[[#This Row],[VLR NF]]*0.1%</f>
        <v>0</v>
      </c>
      <c r="BA51" s="81">
        <f>Prog_236[[#This Row],[VLR NF]]*0.05%</f>
        <v>0</v>
      </c>
      <c r="BB51" s="81"/>
      <c r="BC51" s="81"/>
      <c r="BD51" s="81"/>
      <c r="BE51" s="81"/>
      <c r="BF51" s="81"/>
      <c r="BG51" s="81"/>
      <c r="BH51" s="81"/>
      <c r="BI51" s="81"/>
      <c r="BJ51" s="81"/>
      <c r="BK51" s="81"/>
      <c r="BL51" s="66"/>
      <c r="BM51" s="66"/>
      <c r="BN51" s="66"/>
      <c r="BO51" s="66" t="str">
        <f>PROPER(TEXT(Prog_236[[#This Row],[PROGRAMAÇÃO CLIENTE]],"mmm"))</f>
        <v>Jul</v>
      </c>
      <c r="BP51" s="66">
        <f>YEAR(Prog_236[[#This Row],[PROGRAMAÇÃO CLIENTE]])</f>
        <v>2023</v>
      </c>
    </row>
    <row r="52" spans="1:68" x14ac:dyDescent="0.25">
      <c r="A52" s="200" t="str">
        <f>Prog_236[[#This Row],[CONTEINER]]</f>
        <v xml:space="preserve">BSIU3214092    </v>
      </c>
      <c r="B52" s="86" t="s">
        <v>2909</v>
      </c>
      <c r="C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" s="85">
        <v>45112.333333333336</v>
      </c>
      <c r="E52" s="66" t="s">
        <v>737</v>
      </c>
      <c r="F52" s="66" t="s">
        <v>450</v>
      </c>
      <c r="G52" s="66" t="s">
        <v>5347</v>
      </c>
      <c r="H52" s="44" t="s">
        <v>5340</v>
      </c>
      <c r="I52" s="44" t="s">
        <v>5390</v>
      </c>
      <c r="J52" s="66" t="s">
        <v>288</v>
      </c>
      <c r="K52" s="66">
        <v>2150</v>
      </c>
      <c r="L52" s="66" t="s">
        <v>5391</v>
      </c>
      <c r="M52" s="66"/>
      <c r="N52" s="66">
        <f>SUM(Prog_236[[#This Row],[TARA]]+Prog_236[[#This Row],[PESO]])</f>
        <v>2150</v>
      </c>
      <c r="O52" s="44"/>
      <c r="P52" s="66" t="s">
        <v>5345</v>
      </c>
      <c r="Q52" s="66"/>
      <c r="R52" s="66"/>
      <c r="S52" s="66"/>
      <c r="T52" s="138" t="str">
        <f>IFERROR(LOOKUP($S52,MOTORISTAS!$D$3:$D$1048576,MOTORISTAS!E$3:$E$1048576),"")</f>
        <v/>
      </c>
      <c r="U52" s="138" t="str">
        <f>IFERROR(LOOKUP($S52,MOTORISTAS!$D$3:$D$1048576,MOTORISTAS!F$3:$F$1048576),"")</f>
        <v/>
      </c>
      <c r="V52" s="66" t="s">
        <v>5346</v>
      </c>
      <c r="W52" s="66"/>
      <c r="X52" s="66"/>
      <c r="Y52" s="66"/>
      <c r="Z52" s="66" t="s">
        <v>5342</v>
      </c>
      <c r="AA52" s="66"/>
      <c r="AB52" s="66"/>
      <c r="AC52" s="79">
        <v>45080.5</v>
      </c>
      <c r="AD52" s="79">
        <v>45084.5</v>
      </c>
      <c r="AE52" s="66"/>
      <c r="AF52" s="44"/>
      <c r="AG52" s="254">
        <f>Prog_236[[#This Row],[SAÍDA DO CLIENTE]]-Prog_236[[#This Row],[PROGRAMAÇÃO CLIENTE]]</f>
        <v>-45112.333333333336</v>
      </c>
      <c r="AH52" s="44"/>
      <c r="AI52" s="66"/>
      <c r="AJ52" s="66"/>
      <c r="AK52" s="66"/>
      <c r="AL52" s="66"/>
      <c r="AM52" s="66"/>
      <c r="AN52" s="83"/>
      <c r="AO52" s="66"/>
      <c r="AP52" s="66"/>
      <c r="AQ52" s="66"/>
      <c r="AR52" s="81"/>
      <c r="AS52" s="81"/>
      <c r="AT52" s="81"/>
      <c r="AU52" s="81"/>
      <c r="AV52" s="83">
        <f>SUM(Prog_236[[#This Row],[ADIANTAMENTO]]+Prog_236[[#This Row],[SALDO]]+Prog_236[[#This Row],[MARGEM]]+Prog_236[[#This Row],[ESTADIA 1]])</f>
        <v>0</v>
      </c>
      <c r="AW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" s="81"/>
      <c r="AY52" s="81"/>
      <c r="AZ52" s="81">
        <f>Prog_236[[#This Row],[VLR NF]]*0.1%</f>
        <v>0</v>
      </c>
      <c r="BA52" s="81">
        <f>Prog_236[[#This Row],[VLR NF]]*0.05%</f>
        <v>0</v>
      </c>
      <c r="BB52" s="81"/>
      <c r="BC52" s="81"/>
      <c r="BD52" s="81"/>
      <c r="BE52" s="81"/>
      <c r="BF52" s="81"/>
      <c r="BG52" s="81"/>
      <c r="BH52" s="81"/>
      <c r="BI52" s="81"/>
      <c r="BJ52" s="81"/>
      <c r="BK52" s="81"/>
      <c r="BL52" s="66"/>
      <c r="BM52" s="66"/>
      <c r="BN52" s="66"/>
      <c r="BO52" s="66" t="str">
        <f>PROPER(TEXT(Prog_236[[#This Row],[PROGRAMAÇÃO CLIENTE]],"mmm"))</f>
        <v>Jul</v>
      </c>
      <c r="BP52" s="66">
        <f>YEAR(Prog_236[[#This Row],[PROGRAMAÇÃO CLIENTE]])</f>
        <v>2023</v>
      </c>
    </row>
    <row r="53" spans="1:68" x14ac:dyDescent="0.25">
      <c r="A53" s="201" t="str">
        <f>Prog_236[[#This Row],[CONTEINER]]</f>
        <v>FCIU5179809</v>
      </c>
      <c r="B53" s="86" t="s">
        <v>2909</v>
      </c>
      <c r="C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" s="85">
        <v>45112.333333333336</v>
      </c>
      <c r="E53" s="66" t="s">
        <v>737</v>
      </c>
      <c r="F53" s="66" t="s">
        <v>450</v>
      </c>
      <c r="G53" s="66" t="s">
        <v>5347</v>
      </c>
      <c r="H53" s="44" t="s">
        <v>5340</v>
      </c>
      <c r="I53" s="44" t="s">
        <v>5392</v>
      </c>
      <c r="J53" s="66" t="s">
        <v>288</v>
      </c>
      <c r="K53" s="66">
        <v>2180</v>
      </c>
      <c r="L53" s="66" t="s">
        <v>5393</v>
      </c>
      <c r="M53" s="66"/>
      <c r="N53" s="66">
        <f>SUM(Prog_236[[#This Row],[TARA]]+Prog_236[[#This Row],[PESO]])</f>
        <v>2180</v>
      </c>
      <c r="O53" s="44"/>
      <c r="P53" s="66" t="s">
        <v>5345</v>
      </c>
      <c r="Q53" s="66"/>
      <c r="R53" s="66"/>
      <c r="S53" s="66"/>
      <c r="T53" s="138" t="str">
        <f>IFERROR(LOOKUP($S53,MOTORISTAS!$D$3:$D$1048576,MOTORISTAS!E$3:$E$1048576),"")</f>
        <v/>
      </c>
      <c r="U53" s="138" t="str">
        <f>IFERROR(LOOKUP($S53,MOTORISTAS!$D$3:$D$1048576,MOTORISTAS!F$3:$F$1048576),"")</f>
        <v/>
      </c>
      <c r="V53" s="66" t="s">
        <v>5346</v>
      </c>
      <c r="W53" s="66"/>
      <c r="X53" s="66"/>
      <c r="Y53" s="66"/>
      <c r="Z53" s="66" t="s">
        <v>5342</v>
      </c>
      <c r="AA53" s="66"/>
      <c r="AB53" s="66"/>
      <c r="AC53" s="79">
        <v>45080.5</v>
      </c>
      <c r="AD53" s="79">
        <v>45084.5</v>
      </c>
      <c r="AE53" s="66"/>
      <c r="AF53" s="44"/>
      <c r="AG53" s="254">
        <f>Prog_236[[#This Row],[SAÍDA DO CLIENTE]]-Prog_236[[#This Row],[PROGRAMAÇÃO CLIENTE]]</f>
        <v>-45112.333333333336</v>
      </c>
      <c r="AH53" s="44"/>
      <c r="AI53" s="66"/>
      <c r="AJ53" s="66"/>
      <c r="AK53" s="66"/>
      <c r="AL53" s="66"/>
      <c r="AM53" s="66"/>
      <c r="AN53" s="83"/>
      <c r="AO53" s="66"/>
      <c r="AP53" s="66"/>
      <c r="AQ53" s="66"/>
      <c r="AR53" s="81"/>
      <c r="AS53" s="81"/>
      <c r="AT53" s="81"/>
      <c r="AU53" s="81"/>
      <c r="AV53" s="83">
        <f>SUM(Prog_236[[#This Row],[ADIANTAMENTO]]+Prog_236[[#This Row],[SALDO]]+Prog_236[[#This Row],[MARGEM]]+Prog_236[[#This Row],[ESTADIA 1]])</f>
        <v>0</v>
      </c>
      <c r="AW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" s="81"/>
      <c r="AY53" s="81"/>
      <c r="AZ53" s="81">
        <f>Prog_236[[#This Row],[VLR NF]]*0.1%</f>
        <v>0</v>
      </c>
      <c r="BA53" s="81">
        <f>Prog_236[[#This Row],[VLR NF]]*0.05%</f>
        <v>0</v>
      </c>
      <c r="BB53" s="81"/>
      <c r="BC53" s="81"/>
      <c r="BD53" s="81"/>
      <c r="BE53" s="81"/>
      <c r="BF53" s="81"/>
      <c r="BG53" s="81"/>
      <c r="BH53" s="81"/>
      <c r="BI53" s="81"/>
      <c r="BJ53" s="81"/>
      <c r="BK53" s="81"/>
      <c r="BL53" s="66"/>
      <c r="BM53" s="66"/>
      <c r="BN53" s="66"/>
      <c r="BO53" s="66" t="str">
        <f>PROPER(TEXT(Prog_236[[#This Row],[PROGRAMAÇÃO CLIENTE]],"mmm"))</f>
        <v>Jul</v>
      </c>
      <c r="BP53" s="66">
        <f>YEAR(Prog_236[[#This Row],[PROGRAMAÇÃO CLIENTE]])</f>
        <v>2023</v>
      </c>
    </row>
    <row r="54" spans="1:68" x14ac:dyDescent="0.25">
      <c r="A54" s="200" t="str">
        <f>Prog_236[[#This Row],[CONTEINER]]</f>
        <v>TGBU2321073</v>
      </c>
      <c r="B54" s="86" t="s">
        <v>2798</v>
      </c>
      <c r="C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" s="85">
        <v>45112.333333333336</v>
      </c>
      <c r="E54" s="66" t="s">
        <v>737</v>
      </c>
      <c r="F54" s="66" t="s">
        <v>450</v>
      </c>
      <c r="G54" s="66" t="s">
        <v>5347</v>
      </c>
      <c r="H54" s="44" t="s">
        <v>5340</v>
      </c>
      <c r="I54" s="44" t="s">
        <v>5394</v>
      </c>
      <c r="J54" s="66" t="s">
        <v>288</v>
      </c>
      <c r="K54" s="66">
        <v>2060</v>
      </c>
      <c r="L54" s="66" t="s">
        <v>5395</v>
      </c>
      <c r="M54" s="66"/>
      <c r="N54" s="66">
        <f>SUM(Prog_236[[#This Row],[TARA]]+Prog_236[[#This Row],[PESO]])</f>
        <v>2060</v>
      </c>
      <c r="O54" s="44"/>
      <c r="P54" s="66" t="s">
        <v>5345</v>
      </c>
      <c r="Q54" s="66"/>
      <c r="R54" s="66"/>
      <c r="S54" s="66"/>
      <c r="T54" s="138" t="str">
        <f>IFERROR(LOOKUP($S54,MOTORISTAS!$D$3:$D$1048576,MOTORISTAS!E$3:$E$1048576),"")</f>
        <v/>
      </c>
      <c r="U54" s="138" t="str">
        <f>IFERROR(LOOKUP($S54,MOTORISTAS!$D$3:$D$1048576,MOTORISTAS!F$3:$F$1048576),"")</f>
        <v/>
      </c>
      <c r="V54" s="66" t="s">
        <v>5346</v>
      </c>
      <c r="W54" s="66"/>
      <c r="X54" s="66"/>
      <c r="Y54" s="66"/>
      <c r="Z54" s="66" t="s">
        <v>5342</v>
      </c>
      <c r="AA54" s="66"/>
      <c r="AB54" s="66"/>
      <c r="AC54" s="79">
        <v>45080.5</v>
      </c>
      <c r="AD54" s="79">
        <v>45084.5</v>
      </c>
      <c r="AE54" s="66"/>
      <c r="AF54" s="44"/>
      <c r="AG54" s="254">
        <f>Prog_236[[#This Row],[SAÍDA DO CLIENTE]]-Prog_236[[#This Row],[PROGRAMAÇÃO CLIENTE]]</f>
        <v>-45112.333333333336</v>
      </c>
      <c r="AH54" s="44"/>
      <c r="AI54" s="66"/>
      <c r="AJ54" s="66"/>
      <c r="AK54" s="66"/>
      <c r="AL54" s="66"/>
      <c r="AM54" s="66"/>
      <c r="AN54" s="83"/>
      <c r="AO54" s="66"/>
      <c r="AP54" s="66"/>
      <c r="AQ54" s="66"/>
      <c r="AR54" s="81"/>
      <c r="AS54" s="81"/>
      <c r="AT54" s="81"/>
      <c r="AU54" s="81"/>
      <c r="AV54" s="83">
        <f>SUM(Prog_236[[#This Row],[ADIANTAMENTO]]+Prog_236[[#This Row],[SALDO]]+Prog_236[[#This Row],[MARGEM]]+Prog_236[[#This Row],[ESTADIA 1]])</f>
        <v>0</v>
      </c>
      <c r="AW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" s="81"/>
      <c r="AY54" s="81"/>
      <c r="AZ54" s="81">
        <f>Prog_236[[#This Row],[VLR NF]]*0.1%</f>
        <v>0</v>
      </c>
      <c r="BA54" s="81">
        <f>Prog_236[[#This Row],[VLR NF]]*0.05%</f>
        <v>0</v>
      </c>
      <c r="BB54" s="81"/>
      <c r="BC54" s="81"/>
      <c r="BD54" s="81"/>
      <c r="BE54" s="81"/>
      <c r="BF54" s="81"/>
      <c r="BG54" s="81"/>
      <c r="BH54" s="81"/>
      <c r="BI54" s="81"/>
      <c r="BJ54" s="81"/>
      <c r="BK54" s="81"/>
      <c r="BL54" s="66"/>
      <c r="BM54" s="66"/>
      <c r="BN54" s="66"/>
      <c r="BO54" s="66" t="str">
        <f>PROPER(TEXT(Prog_236[[#This Row],[PROGRAMAÇÃO CLIENTE]],"mmm"))</f>
        <v>Jul</v>
      </c>
      <c r="BP54" s="66">
        <f>YEAR(Prog_236[[#This Row],[PROGRAMAÇÃO CLIENTE]])</f>
        <v>2023</v>
      </c>
    </row>
    <row r="55" spans="1:68" x14ac:dyDescent="0.25">
      <c r="A55" s="201" t="str">
        <f>Prog_236[[#This Row],[CONTEINER]]</f>
        <v xml:space="preserve">TLLU2363819   </v>
      </c>
      <c r="B55" s="86" t="s">
        <v>2798</v>
      </c>
      <c r="C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" s="85">
        <v>45112.333333333336</v>
      </c>
      <c r="E55" s="66" t="s">
        <v>737</v>
      </c>
      <c r="F55" s="66" t="s">
        <v>450</v>
      </c>
      <c r="G55" s="66" t="s">
        <v>5347</v>
      </c>
      <c r="H55" s="44" t="s">
        <v>5340</v>
      </c>
      <c r="I55" s="44" t="s">
        <v>5396</v>
      </c>
      <c r="J55" s="66" t="s">
        <v>288</v>
      </c>
      <c r="K55" s="66">
        <v>2100</v>
      </c>
      <c r="L55" s="66" t="s">
        <v>5397</v>
      </c>
      <c r="M55" s="66"/>
      <c r="N55" s="66">
        <f>SUM(Prog_236[[#This Row],[TARA]]+Prog_236[[#This Row],[PESO]])</f>
        <v>2100</v>
      </c>
      <c r="O55" s="44"/>
      <c r="P55" s="66" t="s">
        <v>5345</v>
      </c>
      <c r="Q55" s="66"/>
      <c r="R55" s="66"/>
      <c r="S55" s="66"/>
      <c r="T55" s="138" t="str">
        <f>IFERROR(LOOKUP($S55,MOTORISTAS!$D$3:$D$1048576,MOTORISTAS!E$3:$E$1048576),"")</f>
        <v/>
      </c>
      <c r="U55" s="138" t="str">
        <f>IFERROR(LOOKUP($S55,MOTORISTAS!$D$3:$D$1048576,MOTORISTAS!F$3:$F$1048576),"")</f>
        <v/>
      </c>
      <c r="V55" s="66" t="s">
        <v>5346</v>
      </c>
      <c r="W55" s="66"/>
      <c r="X55" s="66"/>
      <c r="Y55" s="66"/>
      <c r="Z55" s="66" t="s">
        <v>5342</v>
      </c>
      <c r="AA55" s="66"/>
      <c r="AB55" s="66"/>
      <c r="AC55" s="79">
        <v>45080.5</v>
      </c>
      <c r="AD55" s="79">
        <v>45084.5</v>
      </c>
      <c r="AE55" s="66"/>
      <c r="AF55" s="44"/>
      <c r="AG55" s="254">
        <f>Prog_236[[#This Row],[SAÍDA DO CLIENTE]]-Prog_236[[#This Row],[PROGRAMAÇÃO CLIENTE]]</f>
        <v>-45112.333333333336</v>
      </c>
      <c r="AH55" s="44"/>
      <c r="AI55" s="66"/>
      <c r="AJ55" s="66"/>
      <c r="AK55" s="66"/>
      <c r="AL55" s="66"/>
      <c r="AM55" s="66"/>
      <c r="AN55" s="83"/>
      <c r="AO55" s="66"/>
      <c r="AP55" s="66"/>
      <c r="AQ55" s="66"/>
      <c r="AR55" s="81"/>
      <c r="AS55" s="81"/>
      <c r="AT55" s="81"/>
      <c r="AU55" s="81"/>
      <c r="AV55" s="83">
        <f>SUM(Prog_236[[#This Row],[ADIANTAMENTO]]+Prog_236[[#This Row],[SALDO]]+Prog_236[[#This Row],[MARGEM]]+Prog_236[[#This Row],[ESTADIA 1]])</f>
        <v>0</v>
      </c>
      <c r="AW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" s="81"/>
      <c r="AY55" s="81"/>
      <c r="AZ55" s="81">
        <f>Prog_236[[#This Row],[VLR NF]]*0.1%</f>
        <v>0</v>
      </c>
      <c r="BA55" s="81">
        <f>Prog_236[[#This Row],[VLR NF]]*0.05%</f>
        <v>0</v>
      </c>
      <c r="BB55" s="81"/>
      <c r="BC55" s="81"/>
      <c r="BD55" s="81"/>
      <c r="BE55" s="81"/>
      <c r="BF55" s="81"/>
      <c r="BG55" s="81"/>
      <c r="BH55" s="81"/>
      <c r="BI55" s="81"/>
      <c r="BJ55" s="81"/>
      <c r="BK55" s="81"/>
      <c r="BL55" s="66"/>
      <c r="BM55" s="66"/>
      <c r="BN55" s="66"/>
      <c r="BO55" s="66" t="str">
        <f>PROPER(TEXT(Prog_236[[#This Row],[PROGRAMAÇÃO CLIENTE]],"mmm"))</f>
        <v>Jul</v>
      </c>
      <c r="BP55" s="66">
        <f>YEAR(Prog_236[[#This Row],[PROGRAMAÇÃO CLIENTE]])</f>
        <v>2023</v>
      </c>
    </row>
    <row r="56" spans="1:68" x14ac:dyDescent="0.25">
      <c r="A56" s="200" t="str">
        <f>Prog_236[[#This Row],[CONTEINER]]</f>
        <v xml:space="preserve">GCXU2108677   </v>
      </c>
      <c r="B56" s="86" t="s">
        <v>2909</v>
      </c>
      <c r="C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" s="85">
        <v>45112.333333333336</v>
      </c>
      <c r="E56" s="66" t="s">
        <v>737</v>
      </c>
      <c r="F56" s="66" t="s">
        <v>450</v>
      </c>
      <c r="G56" s="66" t="s">
        <v>5347</v>
      </c>
      <c r="H56" s="44" t="s">
        <v>5340</v>
      </c>
      <c r="I56" s="44" t="s">
        <v>5398</v>
      </c>
      <c r="J56" s="66" t="s">
        <v>288</v>
      </c>
      <c r="K56" s="66">
        <v>2100</v>
      </c>
      <c r="L56" s="66" t="s">
        <v>5399</v>
      </c>
      <c r="M56" s="66"/>
      <c r="N56" s="66">
        <f>SUM(Prog_236[[#This Row],[TARA]]+Prog_236[[#This Row],[PESO]])</f>
        <v>2100</v>
      </c>
      <c r="O56" s="44"/>
      <c r="P56" s="66" t="s">
        <v>5345</v>
      </c>
      <c r="Q56" s="66"/>
      <c r="R56" s="66"/>
      <c r="S56" s="66"/>
      <c r="T56" s="138" t="str">
        <f>IFERROR(LOOKUP($S56,MOTORISTAS!$D$3:$D$1048576,MOTORISTAS!E$3:$E$1048576),"")</f>
        <v/>
      </c>
      <c r="U56" s="138" t="str">
        <f>IFERROR(LOOKUP($S56,MOTORISTAS!$D$3:$D$1048576,MOTORISTAS!F$3:$F$1048576),"")</f>
        <v/>
      </c>
      <c r="V56" s="66" t="s">
        <v>5346</v>
      </c>
      <c r="W56" s="66"/>
      <c r="X56" s="66"/>
      <c r="Y56" s="66"/>
      <c r="Z56" s="66" t="s">
        <v>5342</v>
      </c>
      <c r="AA56" s="66"/>
      <c r="AB56" s="66"/>
      <c r="AC56" s="79">
        <v>45080.5</v>
      </c>
      <c r="AD56" s="79">
        <v>45084.5</v>
      </c>
      <c r="AE56" s="66"/>
      <c r="AF56" s="44"/>
      <c r="AG56" s="254">
        <f>Prog_236[[#This Row],[SAÍDA DO CLIENTE]]-Prog_236[[#This Row],[PROGRAMAÇÃO CLIENTE]]</f>
        <v>-45112.333333333336</v>
      </c>
      <c r="AH56" s="44"/>
      <c r="AI56" s="66"/>
      <c r="AJ56" s="66"/>
      <c r="AK56" s="66"/>
      <c r="AL56" s="66"/>
      <c r="AM56" s="66"/>
      <c r="AN56" s="83"/>
      <c r="AO56" s="66"/>
      <c r="AP56" s="66"/>
      <c r="AQ56" s="66"/>
      <c r="AR56" s="81"/>
      <c r="AS56" s="81"/>
      <c r="AT56" s="81"/>
      <c r="AU56" s="81"/>
      <c r="AV56" s="83">
        <f>SUM(Prog_236[[#This Row],[ADIANTAMENTO]]+Prog_236[[#This Row],[SALDO]]+Prog_236[[#This Row],[MARGEM]]+Prog_236[[#This Row],[ESTADIA 1]])</f>
        <v>0</v>
      </c>
      <c r="AW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" s="81"/>
      <c r="AY56" s="81"/>
      <c r="AZ56" s="81">
        <f>Prog_236[[#This Row],[VLR NF]]*0.1%</f>
        <v>0</v>
      </c>
      <c r="BA56" s="81">
        <f>Prog_236[[#This Row],[VLR NF]]*0.05%</f>
        <v>0</v>
      </c>
      <c r="BB56" s="81"/>
      <c r="BC56" s="81"/>
      <c r="BD56" s="81"/>
      <c r="BE56" s="81"/>
      <c r="BF56" s="81"/>
      <c r="BG56" s="81"/>
      <c r="BH56" s="81"/>
      <c r="BI56" s="81"/>
      <c r="BJ56" s="81"/>
      <c r="BK56" s="81"/>
      <c r="BL56" s="66"/>
      <c r="BM56" s="66"/>
      <c r="BN56" s="66"/>
      <c r="BO56" s="66" t="str">
        <f>PROPER(TEXT(Prog_236[[#This Row],[PROGRAMAÇÃO CLIENTE]],"mmm"))</f>
        <v>Jul</v>
      </c>
      <c r="BP56" s="66">
        <f>YEAR(Prog_236[[#This Row],[PROGRAMAÇÃO CLIENTE]])</f>
        <v>2023</v>
      </c>
    </row>
    <row r="57" spans="1:68" x14ac:dyDescent="0.25">
      <c r="A57" s="201" t="str">
        <f>Prog_236[[#This Row],[CONTEINER]]</f>
        <v>FCIU5387607</v>
      </c>
      <c r="B57" s="86" t="s">
        <v>2909</v>
      </c>
      <c r="C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" s="85">
        <v>45112.333333333336</v>
      </c>
      <c r="E57" s="66" t="s">
        <v>737</v>
      </c>
      <c r="F57" s="66" t="s">
        <v>450</v>
      </c>
      <c r="G57" s="66" t="s">
        <v>5347</v>
      </c>
      <c r="H57" s="44" t="s">
        <v>5340</v>
      </c>
      <c r="I57" s="44" t="s">
        <v>5400</v>
      </c>
      <c r="J57" s="66" t="s">
        <v>288</v>
      </c>
      <c r="K57" s="66">
        <v>2180</v>
      </c>
      <c r="L57" s="66" t="s">
        <v>5401</v>
      </c>
      <c r="M57" s="66"/>
      <c r="N57" s="66">
        <f>SUM(Prog_236[[#This Row],[TARA]]+Prog_236[[#This Row],[PESO]])</f>
        <v>2180</v>
      </c>
      <c r="O57" s="44"/>
      <c r="P57" s="66" t="s">
        <v>5345</v>
      </c>
      <c r="Q57" s="66"/>
      <c r="R57" s="66"/>
      <c r="S57" s="66"/>
      <c r="T57" s="138" t="str">
        <f>IFERROR(LOOKUP($S57,MOTORISTAS!$D$3:$D$1048576,MOTORISTAS!E$3:$E$1048576),"")</f>
        <v/>
      </c>
      <c r="U57" s="138" t="str">
        <f>IFERROR(LOOKUP($S57,MOTORISTAS!$D$3:$D$1048576,MOTORISTAS!F$3:$F$1048576),"")</f>
        <v/>
      </c>
      <c r="V57" s="66" t="s">
        <v>5346</v>
      </c>
      <c r="W57" s="66"/>
      <c r="X57" s="66"/>
      <c r="Y57" s="66"/>
      <c r="Z57" s="66" t="s">
        <v>5342</v>
      </c>
      <c r="AA57" s="66"/>
      <c r="AB57" s="66"/>
      <c r="AC57" s="79">
        <v>45080.5</v>
      </c>
      <c r="AD57" s="79">
        <v>45084.5</v>
      </c>
      <c r="AE57" s="66"/>
      <c r="AF57" s="44"/>
      <c r="AG57" s="254">
        <f>Prog_236[[#This Row],[SAÍDA DO CLIENTE]]-Prog_236[[#This Row],[PROGRAMAÇÃO CLIENTE]]</f>
        <v>-45112.333333333336</v>
      </c>
      <c r="AH57" s="44"/>
      <c r="AI57" s="66"/>
      <c r="AJ57" s="66"/>
      <c r="AK57" s="66"/>
      <c r="AL57" s="66"/>
      <c r="AM57" s="66"/>
      <c r="AN57" s="83"/>
      <c r="AO57" s="66"/>
      <c r="AP57" s="66"/>
      <c r="AQ57" s="66"/>
      <c r="AR57" s="81"/>
      <c r="AS57" s="81"/>
      <c r="AT57" s="81"/>
      <c r="AU57" s="81"/>
      <c r="AV57" s="83">
        <f>SUM(Prog_236[[#This Row],[ADIANTAMENTO]]+Prog_236[[#This Row],[SALDO]]+Prog_236[[#This Row],[MARGEM]]+Prog_236[[#This Row],[ESTADIA 1]])</f>
        <v>0</v>
      </c>
      <c r="AW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" s="81"/>
      <c r="AY57" s="81"/>
      <c r="AZ57" s="81">
        <f>Prog_236[[#This Row],[VLR NF]]*0.1%</f>
        <v>0</v>
      </c>
      <c r="BA57" s="81">
        <f>Prog_236[[#This Row],[VLR NF]]*0.05%</f>
        <v>0</v>
      </c>
      <c r="BB57" s="81"/>
      <c r="BC57" s="81"/>
      <c r="BD57" s="81"/>
      <c r="BE57" s="81"/>
      <c r="BF57" s="81"/>
      <c r="BG57" s="81"/>
      <c r="BH57" s="81"/>
      <c r="BI57" s="81"/>
      <c r="BJ57" s="81"/>
      <c r="BK57" s="81"/>
      <c r="BL57" s="66"/>
      <c r="BM57" s="66"/>
      <c r="BN57" s="66"/>
      <c r="BO57" s="66" t="str">
        <f>PROPER(TEXT(Prog_236[[#This Row],[PROGRAMAÇÃO CLIENTE]],"mmm"))</f>
        <v>Jul</v>
      </c>
      <c r="BP57" s="66">
        <f>YEAR(Prog_236[[#This Row],[PROGRAMAÇÃO CLIENTE]])</f>
        <v>2023</v>
      </c>
    </row>
    <row r="58" spans="1:68" x14ac:dyDescent="0.25">
      <c r="A58" s="200" t="str">
        <f>Prog_236[[#This Row],[CONTEINER]]</f>
        <v>HDMU2588960</v>
      </c>
      <c r="B58" s="86" t="s">
        <v>2798</v>
      </c>
      <c r="C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" s="85">
        <v>45112.333333333336</v>
      </c>
      <c r="E58" s="66" t="s">
        <v>737</v>
      </c>
      <c r="F58" s="66" t="s">
        <v>450</v>
      </c>
      <c r="G58" s="66" t="s">
        <v>5347</v>
      </c>
      <c r="H58" s="44" t="s">
        <v>5340</v>
      </c>
      <c r="I58" s="44" t="s">
        <v>5402</v>
      </c>
      <c r="J58" s="66" t="s">
        <v>288</v>
      </c>
      <c r="K58" s="66">
        <v>2180</v>
      </c>
      <c r="L58" s="66" t="s">
        <v>5403</v>
      </c>
      <c r="M58" s="66"/>
      <c r="N58" s="66">
        <f>SUM(Prog_236[[#This Row],[TARA]]+Prog_236[[#This Row],[PESO]])</f>
        <v>2180</v>
      </c>
      <c r="O58" s="44"/>
      <c r="P58" s="66" t="s">
        <v>5345</v>
      </c>
      <c r="Q58" s="66"/>
      <c r="R58" s="66"/>
      <c r="S58" s="66"/>
      <c r="T58" s="138" t="str">
        <f>IFERROR(LOOKUP($S58,MOTORISTAS!$D$3:$D$1048576,MOTORISTAS!E$3:$E$1048576),"")</f>
        <v/>
      </c>
      <c r="U58" s="138" t="str">
        <f>IFERROR(LOOKUP($S58,MOTORISTAS!$D$3:$D$1048576,MOTORISTAS!F$3:$F$1048576),"")</f>
        <v/>
      </c>
      <c r="V58" s="66" t="s">
        <v>5346</v>
      </c>
      <c r="W58" s="66"/>
      <c r="X58" s="66"/>
      <c r="Y58" s="66"/>
      <c r="Z58" s="66" t="s">
        <v>5342</v>
      </c>
      <c r="AA58" s="66"/>
      <c r="AB58" s="66"/>
      <c r="AC58" s="79">
        <v>45080.5</v>
      </c>
      <c r="AD58" s="79">
        <v>45084.5</v>
      </c>
      <c r="AE58" s="66"/>
      <c r="AF58" s="44"/>
      <c r="AG58" s="254">
        <f>Prog_236[[#This Row],[SAÍDA DO CLIENTE]]-Prog_236[[#This Row],[PROGRAMAÇÃO CLIENTE]]</f>
        <v>-45112.333333333336</v>
      </c>
      <c r="AH58" s="44"/>
      <c r="AI58" s="66"/>
      <c r="AJ58" s="66"/>
      <c r="AK58" s="66"/>
      <c r="AL58" s="66"/>
      <c r="AM58" s="66"/>
      <c r="AN58" s="83"/>
      <c r="AO58" s="66"/>
      <c r="AP58" s="66"/>
      <c r="AQ58" s="66"/>
      <c r="AR58" s="81"/>
      <c r="AS58" s="81"/>
      <c r="AT58" s="81"/>
      <c r="AU58" s="81"/>
      <c r="AV58" s="83">
        <f>SUM(Prog_236[[#This Row],[ADIANTAMENTO]]+Prog_236[[#This Row],[SALDO]]+Prog_236[[#This Row],[MARGEM]]+Prog_236[[#This Row],[ESTADIA 1]])</f>
        <v>0</v>
      </c>
      <c r="AW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" s="81"/>
      <c r="AY58" s="81"/>
      <c r="AZ58" s="81">
        <f>Prog_236[[#This Row],[VLR NF]]*0.1%</f>
        <v>0</v>
      </c>
      <c r="BA58" s="81">
        <f>Prog_236[[#This Row],[VLR NF]]*0.05%</f>
        <v>0</v>
      </c>
      <c r="BB58" s="81"/>
      <c r="BC58" s="81"/>
      <c r="BD58" s="81"/>
      <c r="BE58" s="81"/>
      <c r="BF58" s="81"/>
      <c r="BG58" s="81"/>
      <c r="BH58" s="81"/>
      <c r="BI58" s="81"/>
      <c r="BJ58" s="81"/>
      <c r="BK58" s="81"/>
      <c r="BL58" s="66"/>
      <c r="BM58" s="66"/>
      <c r="BN58" s="66"/>
      <c r="BO58" s="66" t="str">
        <f>PROPER(TEXT(Prog_236[[#This Row],[PROGRAMAÇÃO CLIENTE]],"mmm"))</f>
        <v>Jul</v>
      </c>
      <c r="BP58" s="66">
        <f>YEAR(Prog_236[[#This Row],[PROGRAMAÇÃO CLIENTE]])</f>
        <v>2023</v>
      </c>
    </row>
    <row r="59" spans="1:68" x14ac:dyDescent="0.25">
      <c r="A59" s="201" t="str">
        <f>Prog_236[[#This Row],[CONTEINER]]</f>
        <v xml:space="preserve">HDMU2685507  </v>
      </c>
      <c r="B59" s="86" t="s">
        <v>2798</v>
      </c>
      <c r="C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" s="85">
        <v>45113.333333333336</v>
      </c>
      <c r="E59" s="66" t="s">
        <v>737</v>
      </c>
      <c r="F59" s="66" t="s">
        <v>450</v>
      </c>
      <c r="G59" s="66" t="s">
        <v>5347</v>
      </c>
      <c r="H59" s="44" t="s">
        <v>5340</v>
      </c>
      <c r="I59" s="44" t="s">
        <v>5404</v>
      </c>
      <c r="J59" s="66" t="s">
        <v>288</v>
      </c>
      <c r="K59" s="66">
        <v>2180</v>
      </c>
      <c r="L59" s="66" t="s">
        <v>5405</v>
      </c>
      <c r="M59" s="66"/>
      <c r="N59" s="66">
        <f>SUM(Prog_236[[#This Row],[TARA]]+Prog_236[[#This Row],[PESO]])</f>
        <v>2180</v>
      </c>
      <c r="O59" s="44"/>
      <c r="P59" s="66" t="s">
        <v>5345</v>
      </c>
      <c r="Q59" s="66"/>
      <c r="R59" s="66"/>
      <c r="S59" s="66"/>
      <c r="T59" s="138" t="str">
        <f>IFERROR(LOOKUP($S59,MOTORISTAS!$D$3:$D$1048576,MOTORISTAS!E$3:$E$1048576),"")</f>
        <v/>
      </c>
      <c r="U59" s="138" t="str">
        <f>IFERROR(LOOKUP($S59,MOTORISTAS!$D$3:$D$1048576,MOTORISTAS!F$3:$F$1048576),"")</f>
        <v/>
      </c>
      <c r="V59" s="66" t="s">
        <v>5346</v>
      </c>
      <c r="W59" s="66"/>
      <c r="X59" s="66"/>
      <c r="Y59" s="66"/>
      <c r="Z59" s="66" t="s">
        <v>5342</v>
      </c>
      <c r="AA59" s="66"/>
      <c r="AB59" s="66"/>
      <c r="AC59" s="79">
        <v>45080.5</v>
      </c>
      <c r="AD59" s="79">
        <v>45084.5</v>
      </c>
      <c r="AE59" s="66"/>
      <c r="AF59" s="44"/>
      <c r="AG59" s="254">
        <f>Prog_236[[#This Row],[SAÍDA DO CLIENTE]]-Prog_236[[#This Row],[PROGRAMAÇÃO CLIENTE]]</f>
        <v>-45113.333333333336</v>
      </c>
      <c r="AH59" s="44"/>
      <c r="AI59" s="66"/>
      <c r="AJ59" s="66"/>
      <c r="AK59" s="66"/>
      <c r="AL59" s="66"/>
      <c r="AM59" s="66"/>
      <c r="AN59" s="83"/>
      <c r="AO59" s="66"/>
      <c r="AP59" s="66"/>
      <c r="AQ59" s="66"/>
      <c r="AR59" s="81"/>
      <c r="AS59" s="81"/>
      <c r="AT59" s="81"/>
      <c r="AU59" s="81"/>
      <c r="AV59" s="83">
        <f>SUM(Prog_236[[#This Row],[ADIANTAMENTO]]+Prog_236[[#This Row],[SALDO]]+Prog_236[[#This Row],[MARGEM]]+Prog_236[[#This Row],[ESTADIA 1]])</f>
        <v>0</v>
      </c>
      <c r="AW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" s="81"/>
      <c r="AY59" s="81"/>
      <c r="AZ59" s="81">
        <f>Prog_236[[#This Row],[VLR NF]]*0.1%</f>
        <v>0</v>
      </c>
      <c r="BA59" s="81">
        <f>Prog_236[[#This Row],[VLR NF]]*0.05%</f>
        <v>0</v>
      </c>
      <c r="BB59" s="81"/>
      <c r="BC59" s="81"/>
      <c r="BD59" s="81"/>
      <c r="BE59" s="81"/>
      <c r="BF59" s="81"/>
      <c r="BG59" s="81"/>
      <c r="BH59" s="81"/>
      <c r="BI59" s="81"/>
      <c r="BJ59" s="81"/>
      <c r="BK59" s="81"/>
      <c r="BL59" s="66"/>
      <c r="BM59" s="66"/>
      <c r="BN59" s="66"/>
      <c r="BO59" s="66" t="str">
        <f>PROPER(TEXT(Prog_236[[#This Row],[PROGRAMAÇÃO CLIENTE]],"mmm"))</f>
        <v>Jul</v>
      </c>
      <c r="BP59" s="66">
        <f>YEAR(Prog_236[[#This Row],[PROGRAMAÇÃO CLIENTE]])</f>
        <v>2023</v>
      </c>
    </row>
    <row r="60" spans="1:68" x14ac:dyDescent="0.25">
      <c r="A60" s="200" t="str">
        <f>Prog_236[[#This Row],[CONTEINER]]</f>
        <v xml:space="preserve">CAIU6058779   </v>
      </c>
      <c r="B60" s="86" t="s">
        <v>2798</v>
      </c>
      <c r="C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" s="85">
        <v>45113.333333333336</v>
      </c>
      <c r="E60" s="66" t="s">
        <v>737</v>
      </c>
      <c r="F60" s="66" t="s">
        <v>450</v>
      </c>
      <c r="G60" s="66" t="s">
        <v>5347</v>
      </c>
      <c r="H60" s="44" t="s">
        <v>5340</v>
      </c>
      <c r="I60" s="44" t="s">
        <v>5406</v>
      </c>
      <c r="J60" s="66" t="s">
        <v>288</v>
      </c>
      <c r="K60" s="66">
        <v>2200</v>
      </c>
      <c r="L60" s="66" t="s">
        <v>5407</v>
      </c>
      <c r="M60" s="66"/>
      <c r="N60" s="66">
        <f>SUM(Prog_236[[#This Row],[TARA]]+Prog_236[[#This Row],[PESO]])</f>
        <v>2200</v>
      </c>
      <c r="O60" s="44"/>
      <c r="P60" s="66" t="s">
        <v>5345</v>
      </c>
      <c r="Q60" s="66"/>
      <c r="R60" s="66"/>
      <c r="S60" s="66"/>
      <c r="T60" s="138" t="str">
        <f>IFERROR(LOOKUP($S60,MOTORISTAS!$D$3:$D$1048576,MOTORISTAS!E$3:$E$1048576),"")</f>
        <v/>
      </c>
      <c r="U60" s="138" t="str">
        <f>IFERROR(LOOKUP($S60,MOTORISTAS!$D$3:$D$1048576,MOTORISTAS!F$3:$F$1048576),"")</f>
        <v/>
      </c>
      <c r="V60" s="66" t="s">
        <v>5346</v>
      </c>
      <c r="W60" s="66"/>
      <c r="X60" s="66"/>
      <c r="Y60" s="66"/>
      <c r="Z60" s="66" t="s">
        <v>5342</v>
      </c>
      <c r="AA60" s="66"/>
      <c r="AB60" s="66"/>
      <c r="AC60" s="79">
        <v>45080.5</v>
      </c>
      <c r="AD60" s="79">
        <v>45084.5</v>
      </c>
      <c r="AE60" s="66"/>
      <c r="AF60" s="44"/>
      <c r="AG60" s="254">
        <f>Prog_236[[#This Row],[SAÍDA DO CLIENTE]]-Prog_236[[#This Row],[PROGRAMAÇÃO CLIENTE]]</f>
        <v>-45113.333333333336</v>
      </c>
      <c r="AH60" s="44"/>
      <c r="AI60" s="66"/>
      <c r="AJ60" s="66"/>
      <c r="AK60" s="66"/>
      <c r="AL60" s="66"/>
      <c r="AM60" s="66"/>
      <c r="AN60" s="83"/>
      <c r="AO60" s="66"/>
      <c r="AP60" s="66"/>
      <c r="AQ60" s="66"/>
      <c r="AR60" s="81"/>
      <c r="AS60" s="81"/>
      <c r="AT60" s="81"/>
      <c r="AU60" s="81"/>
      <c r="AV60" s="83">
        <f>SUM(Prog_236[[#This Row],[ADIANTAMENTO]]+Prog_236[[#This Row],[SALDO]]+Prog_236[[#This Row],[MARGEM]]+Prog_236[[#This Row],[ESTADIA 1]])</f>
        <v>0</v>
      </c>
      <c r="AW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" s="81"/>
      <c r="AY60" s="81"/>
      <c r="AZ60" s="81">
        <f>Prog_236[[#This Row],[VLR NF]]*0.1%</f>
        <v>0</v>
      </c>
      <c r="BA60" s="81">
        <f>Prog_236[[#This Row],[VLR NF]]*0.05%</f>
        <v>0</v>
      </c>
      <c r="BB60" s="81"/>
      <c r="BC60" s="81"/>
      <c r="BD60" s="81"/>
      <c r="BE60" s="81"/>
      <c r="BF60" s="81"/>
      <c r="BG60" s="81"/>
      <c r="BH60" s="81"/>
      <c r="BI60" s="81"/>
      <c r="BJ60" s="81"/>
      <c r="BK60" s="81"/>
      <c r="BL60" s="66"/>
      <c r="BM60" s="66"/>
      <c r="BN60" s="66"/>
      <c r="BO60" s="66" t="str">
        <f>PROPER(TEXT(Prog_236[[#This Row],[PROGRAMAÇÃO CLIENTE]],"mmm"))</f>
        <v>Jul</v>
      </c>
      <c r="BP60" s="66">
        <f>YEAR(Prog_236[[#This Row],[PROGRAMAÇÃO CLIENTE]])</f>
        <v>2023</v>
      </c>
    </row>
    <row r="61" spans="1:68" x14ac:dyDescent="0.25">
      <c r="A61" s="201" t="str">
        <f>Prog_236[[#This Row],[CONTEINER]]</f>
        <v xml:space="preserve">HDMU2809697  </v>
      </c>
      <c r="B61" s="86" t="s">
        <v>2798</v>
      </c>
      <c r="C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" s="85">
        <v>45113.333333333336</v>
      </c>
      <c r="E61" s="66" t="s">
        <v>737</v>
      </c>
      <c r="F61" s="66" t="s">
        <v>450</v>
      </c>
      <c r="G61" s="66" t="s">
        <v>5347</v>
      </c>
      <c r="H61" s="44" t="s">
        <v>5340</v>
      </c>
      <c r="I61" s="44" t="s">
        <v>5408</v>
      </c>
      <c r="J61" s="66" t="s">
        <v>288</v>
      </c>
      <c r="K61" s="66">
        <v>2100</v>
      </c>
      <c r="L61" s="66" t="s">
        <v>5409</v>
      </c>
      <c r="M61" s="66"/>
      <c r="N61" s="66">
        <f>SUM(Prog_236[[#This Row],[TARA]]+Prog_236[[#This Row],[PESO]])</f>
        <v>2100</v>
      </c>
      <c r="O61" s="44"/>
      <c r="P61" s="66" t="s">
        <v>5345</v>
      </c>
      <c r="Q61" s="66"/>
      <c r="R61" s="66"/>
      <c r="S61" s="66"/>
      <c r="T61" s="138" t="str">
        <f>IFERROR(LOOKUP($S61,MOTORISTAS!$D$3:$D$1048576,MOTORISTAS!E$3:$E$1048576),"")</f>
        <v/>
      </c>
      <c r="U61" s="138" t="str">
        <f>IFERROR(LOOKUP($S61,MOTORISTAS!$D$3:$D$1048576,MOTORISTAS!F$3:$F$1048576),"")</f>
        <v/>
      </c>
      <c r="V61" s="66" t="s">
        <v>5346</v>
      </c>
      <c r="W61" s="66"/>
      <c r="X61" s="66"/>
      <c r="Y61" s="66"/>
      <c r="Z61" s="66" t="s">
        <v>5342</v>
      </c>
      <c r="AA61" s="66"/>
      <c r="AB61" s="66"/>
      <c r="AC61" s="79">
        <v>45080.5</v>
      </c>
      <c r="AD61" s="79">
        <v>45084.5</v>
      </c>
      <c r="AE61" s="66"/>
      <c r="AF61" s="44"/>
      <c r="AG61" s="254">
        <f>Prog_236[[#This Row],[SAÍDA DO CLIENTE]]-Prog_236[[#This Row],[PROGRAMAÇÃO CLIENTE]]</f>
        <v>-45113.333333333336</v>
      </c>
      <c r="AH61" s="44"/>
      <c r="AI61" s="66"/>
      <c r="AJ61" s="66"/>
      <c r="AK61" s="66"/>
      <c r="AL61" s="66"/>
      <c r="AM61" s="66"/>
      <c r="AN61" s="83"/>
      <c r="AO61" s="66"/>
      <c r="AP61" s="66"/>
      <c r="AQ61" s="66"/>
      <c r="AR61" s="81"/>
      <c r="AS61" s="81"/>
      <c r="AT61" s="81"/>
      <c r="AU61" s="81"/>
      <c r="AV61" s="83">
        <f>SUM(Prog_236[[#This Row],[ADIANTAMENTO]]+Prog_236[[#This Row],[SALDO]]+Prog_236[[#This Row],[MARGEM]]+Prog_236[[#This Row],[ESTADIA 1]])</f>
        <v>0</v>
      </c>
      <c r="AW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" s="81"/>
      <c r="AY61" s="81"/>
      <c r="AZ61" s="81">
        <f>Prog_236[[#This Row],[VLR NF]]*0.1%</f>
        <v>0</v>
      </c>
      <c r="BA61" s="81">
        <f>Prog_236[[#This Row],[VLR NF]]*0.05%</f>
        <v>0</v>
      </c>
      <c r="BB61" s="81"/>
      <c r="BC61" s="81"/>
      <c r="BD61" s="81"/>
      <c r="BE61" s="81"/>
      <c r="BF61" s="81"/>
      <c r="BG61" s="81"/>
      <c r="BH61" s="81"/>
      <c r="BI61" s="81"/>
      <c r="BJ61" s="81"/>
      <c r="BK61" s="81"/>
      <c r="BL61" s="66"/>
      <c r="BM61" s="66"/>
      <c r="BN61" s="66"/>
      <c r="BO61" s="66" t="str">
        <f>PROPER(TEXT(Prog_236[[#This Row],[PROGRAMAÇÃO CLIENTE]],"mmm"))</f>
        <v>Jul</v>
      </c>
      <c r="BP61" s="66">
        <f>YEAR(Prog_236[[#This Row],[PROGRAMAÇÃO CLIENTE]])</f>
        <v>2023</v>
      </c>
    </row>
    <row r="62" spans="1:68" x14ac:dyDescent="0.25">
      <c r="A62" s="200" t="str">
        <f>Prog_236[[#This Row],[CONTEINER]]</f>
        <v xml:space="preserve">HMMU2052370  </v>
      </c>
      <c r="B62" s="86" t="s">
        <v>2798</v>
      </c>
      <c r="C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" s="85">
        <v>45113.333333333336</v>
      </c>
      <c r="E62" s="66" t="s">
        <v>737</v>
      </c>
      <c r="F62" s="66" t="s">
        <v>450</v>
      </c>
      <c r="G62" s="66" t="s">
        <v>5347</v>
      </c>
      <c r="H62" s="44" t="s">
        <v>5340</v>
      </c>
      <c r="I62" s="44" t="s">
        <v>5410</v>
      </c>
      <c r="J62" s="66" t="s">
        <v>288</v>
      </c>
      <c r="K62" s="66">
        <v>2100</v>
      </c>
      <c r="L62" s="66" t="s">
        <v>5411</v>
      </c>
      <c r="M62" s="66"/>
      <c r="N62" s="66">
        <f>SUM(Prog_236[[#This Row],[TARA]]+Prog_236[[#This Row],[PESO]])</f>
        <v>2100</v>
      </c>
      <c r="O62" s="44"/>
      <c r="P62" s="66" t="s">
        <v>5345</v>
      </c>
      <c r="Q62" s="66"/>
      <c r="R62" s="66"/>
      <c r="S62" s="66"/>
      <c r="T62" s="138" t="str">
        <f>IFERROR(LOOKUP($S62,MOTORISTAS!$D$3:$D$1048576,MOTORISTAS!E$3:$E$1048576),"")</f>
        <v/>
      </c>
      <c r="U62" s="138" t="str">
        <f>IFERROR(LOOKUP($S62,MOTORISTAS!$D$3:$D$1048576,MOTORISTAS!F$3:$F$1048576),"")</f>
        <v/>
      </c>
      <c r="V62" s="66" t="s">
        <v>5346</v>
      </c>
      <c r="W62" s="66"/>
      <c r="X62" s="66"/>
      <c r="Y62" s="66"/>
      <c r="Z62" s="66" t="s">
        <v>5342</v>
      </c>
      <c r="AA62" s="66"/>
      <c r="AB62" s="66"/>
      <c r="AC62" s="79">
        <v>45080.5</v>
      </c>
      <c r="AD62" s="79">
        <v>45084.5</v>
      </c>
      <c r="AE62" s="66"/>
      <c r="AF62" s="44"/>
      <c r="AG62" s="254">
        <f>Prog_236[[#This Row],[SAÍDA DO CLIENTE]]-Prog_236[[#This Row],[PROGRAMAÇÃO CLIENTE]]</f>
        <v>-45113.333333333336</v>
      </c>
      <c r="AH62" s="44"/>
      <c r="AI62" s="66"/>
      <c r="AJ62" s="66"/>
      <c r="AK62" s="66"/>
      <c r="AL62" s="66"/>
      <c r="AM62" s="66"/>
      <c r="AN62" s="83"/>
      <c r="AO62" s="66"/>
      <c r="AP62" s="66"/>
      <c r="AQ62" s="66"/>
      <c r="AR62" s="81"/>
      <c r="AS62" s="81"/>
      <c r="AT62" s="81"/>
      <c r="AU62" s="81"/>
      <c r="AV62" s="83">
        <f>SUM(Prog_236[[#This Row],[ADIANTAMENTO]]+Prog_236[[#This Row],[SALDO]]+Prog_236[[#This Row],[MARGEM]]+Prog_236[[#This Row],[ESTADIA 1]])</f>
        <v>0</v>
      </c>
      <c r="AW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" s="81"/>
      <c r="AY62" s="81"/>
      <c r="AZ62" s="81">
        <f>Prog_236[[#This Row],[VLR NF]]*0.1%</f>
        <v>0</v>
      </c>
      <c r="BA62" s="81">
        <f>Prog_236[[#This Row],[VLR NF]]*0.05%</f>
        <v>0</v>
      </c>
      <c r="BB62" s="81"/>
      <c r="BC62" s="81"/>
      <c r="BD62" s="81"/>
      <c r="BE62" s="81"/>
      <c r="BF62" s="81"/>
      <c r="BG62" s="81"/>
      <c r="BH62" s="81"/>
      <c r="BI62" s="81"/>
      <c r="BJ62" s="81"/>
      <c r="BK62" s="81"/>
      <c r="BL62" s="66"/>
      <c r="BM62" s="66"/>
      <c r="BN62" s="66"/>
      <c r="BO62" s="66" t="str">
        <f>PROPER(TEXT(Prog_236[[#This Row],[PROGRAMAÇÃO CLIENTE]],"mmm"))</f>
        <v>Jul</v>
      </c>
      <c r="BP62" s="66">
        <f>YEAR(Prog_236[[#This Row],[PROGRAMAÇÃO CLIENTE]])</f>
        <v>2023</v>
      </c>
    </row>
    <row r="63" spans="1:68" x14ac:dyDescent="0.25">
      <c r="A63" s="201" t="str">
        <f>Prog_236[[#This Row],[CONTEINER]]</f>
        <v>FCIU5133834</v>
      </c>
      <c r="B63" s="86" t="s">
        <v>2798</v>
      </c>
      <c r="C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" s="85">
        <v>45113.333333333336</v>
      </c>
      <c r="E63" s="66" t="s">
        <v>737</v>
      </c>
      <c r="F63" s="66" t="s">
        <v>450</v>
      </c>
      <c r="G63" s="66" t="s">
        <v>5347</v>
      </c>
      <c r="H63" s="44" t="s">
        <v>5340</v>
      </c>
      <c r="I63" s="44" t="s">
        <v>5412</v>
      </c>
      <c r="J63" s="66" t="s">
        <v>288</v>
      </c>
      <c r="K63" s="66">
        <v>2180</v>
      </c>
      <c r="L63" s="66" t="s">
        <v>5413</v>
      </c>
      <c r="M63" s="66"/>
      <c r="N63" s="66">
        <f>SUM(Prog_236[[#This Row],[TARA]]+Prog_236[[#This Row],[PESO]])</f>
        <v>2180</v>
      </c>
      <c r="O63" s="44"/>
      <c r="P63" s="66" t="s">
        <v>5345</v>
      </c>
      <c r="Q63" s="66"/>
      <c r="R63" s="66"/>
      <c r="S63" s="66"/>
      <c r="T63" s="138" t="str">
        <f>IFERROR(LOOKUP($S63,MOTORISTAS!$D$3:$D$1048576,MOTORISTAS!E$3:$E$1048576),"")</f>
        <v/>
      </c>
      <c r="U63" s="138" t="str">
        <f>IFERROR(LOOKUP($S63,MOTORISTAS!$D$3:$D$1048576,MOTORISTAS!F$3:$F$1048576),"")</f>
        <v/>
      </c>
      <c r="V63" s="66" t="s">
        <v>5346</v>
      </c>
      <c r="W63" s="66"/>
      <c r="X63" s="66"/>
      <c r="Y63" s="66"/>
      <c r="Z63" s="66" t="s">
        <v>5342</v>
      </c>
      <c r="AA63" s="66"/>
      <c r="AB63" s="66"/>
      <c r="AC63" s="79">
        <v>45080.5</v>
      </c>
      <c r="AD63" s="79">
        <v>45084.5</v>
      </c>
      <c r="AE63" s="66"/>
      <c r="AF63" s="44"/>
      <c r="AG63" s="254">
        <f>Prog_236[[#This Row],[SAÍDA DO CLIENTE]]-Prog_236[[#This Row],[PROGRAMAÇÃO CLIENTE]]</f>
        <v>-45113.333333333336</v>
      </c>
      <c r="AH63" s="44"/>
      <c r="AI63" s="66"/>
      <c r="AJ63" s="66"/>
      <c r="AK63" s="66"/>
      <c r="AL63" s="66"/>
      <c r="AM63" s="66"/>
      <c r="AN63" s="83"/>
      <c r="AO63" s="66"/>
      <c r="AP63" s="66"/>
      <c r="AQ63" s="66"/>
      <c r="AR63" s="81"/>
      <c r="AS63" s="81"/>
      <c r="AT63" s="81"/>
      <c r="AU63" s="81"/>
      <c r="AV63" s="83">
        <f>SUM(Prog_236[[#This Row],[ADIANTAMENTO]]+Prog_236[[#This Row],[SALDO]]+Prog_236[[#This Row],[MARGEM]]+Prog_236[[#This Row],[ESTADIA 1]])</f>
        <v>0</v>
      </c>
      <c r="AW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" s="81"/>
      <c r="AY63" s="81"/>
      <c r="AZ63" s="81">
        <f>Prog_236[[#This Row],[VLR NF]]*0.1%</f>
        <v>0</v>
      </c>
      <c r="BA63" s="81">
        <f>Prog_236[[#This Row],[VLR NF]]*0.05%</f>
        <v>0</v>
      </c>
      <c r="BB63" s="81"/>
      <c r="BC63" s="81"/>
      <c r="BD63" s="81"/>
      <c r="BE63" s="81"/>
      <c r="BF63" s="81"/>
      <c r="BG63" s="81"/>
      <c r="BH63" s="81"/>
      <c r="BI63" s="81"/>
      <c r="BJ63" s="81"/>
      <c r="BK63" s="81"/>
      <c r="BL63" s="66"/>
      <c r="BM63" s="66"/>
      <c r="BN63" s="66"/>
      <c r="BO63" s="66" t="str">
        <f>PROPER(TEXT(Prog_236[[#This Row],[PROGRAMAÇÃO CLIENTE]],"mmm"))</f>
        <v>Jul</v>
      </c>
      <c r="BP63" s="66">
        <f>YEAR(Prog_236[[#This Row],[PROGRAMAÇÃO CLIENTE]])</f>
        <v>2023</v>
      </c>
    </row>
    <row r="64" spans="1:68" x14ac:dyDescent="0.25">
      <c r="A64" s="200" t="str">
        <f>Prog_236[[#This Row],[CONTEINER]]</f>
        <v>BSIU2481788</v>
      </c>
      <c r="B64" s="86" t="s">
        <v>2798</v>
      </c>
      <c r="C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" s="85">
        <v>45113.333333333336</v>
      </c>
      <c r="E64" s="66" t="s">
        <v>737</v>
      </c>
      <c r="F64" s="66" t="s">
        <v>450</v>
      </c>
      <c r="G64" s="66" t="s">
        <v>5347</v>
      </c>
      <c r="H64" s="44" t="s">
        <v>5340</v>
      </c>
      <c r="I64" s="44" t="s">
        <v>5414</v>
      </c>
      <c r="J64" s="66" t="s">
        <v>288</v>
      </c>
      <c r="K64" s="66">
        <v>2185</v>
      </c>
      <c r="L64" s="66" t="s">
        <v>5415</v>
      </c>
      <c r="M64" s="66"/>
      <c r="N64" s="66">
        <f>SUM(Prog_236[[#This Row],[TARA]]+Prog_236[[#This Row],[PESO]])</f>
        <v>2185</v>
      </c>
      <c r="O64" s="44"/>
      <c r="P64" s="66" t="s">
        <v>5345</v>
      </c>
      <c r="Q64" s="66"/>
      <c r="R64" s="66"/>
      <c r="S64" s="66"/>
      <c r="T64" s="138" t="str">
        <f>IFERROR(LOOKUP($S64,MOTORISTAS!$D$3:$D$1048576,MOTORISTAS!E$3:$E$1048576),"")</f>
        <v/>
      </c>
      <c r="U64" s="138" t="str">
        <f>IFERROR(LOOKUP($S64,MOTORISTAS!$D$3:$D$1048576,MOTORISTAS!F$3:$F$1048576),"")</f>
        <v/>
      </c>
      <c r="V64" s="66" t="s">
        <v>5346</v>
      </c>
      <c r="W64" s="66"/>
      <c r="X64" s="66"/>
      <c r="Y64" s="66"/>
      <c r="Z64" s="66" t="s">
        <v>5342</v>
      </c>
      <c r="AA64" s="66"/>
      <c r="AB64" s="66"/>
      <c r="AC64" s="79">
        <v>45080.5</v>
      </c>
      <c r="AD64" s="79">
        <v>45084.5</v>
      </c>
      <c r="AE64" s="66"/>
      <c r="AF64" s="44"/>
      <c r="AG64" s="254">
        <f>Prog_236[[#This Row],[SAÍDA DO CLIENTE]]-Prog_236[[#This Row],[PROGRAMAÇÃO CLIENTE]]</f>
        <v>-45113.333333333336</v>
      </c>
      <c r="AH64" s="44"/>
      <c r="AI64" s="66"/>
      <c r="AJ64" s="66"/>
      <c r="AK64" s="66"/>
      <c r="AL64" s="66"/>
      <c r="AM64" s="66"/>
      <c r="AN64" s="83"/>
      <c r="AO64" s="66"/>
      <c r="AP64" s="66"/>
      <c r="AQ64" s="66"/>
      <c r="AR64" s="81"/>
      <c r="AS64" s="81"/>
      <c r="AT64" s="81"/>
      <c r="AU64" s="81"/>
      <c r="AV64" s="83">
        <f>SUM(Prog_236[[#This Row],[ADIANTAMENTO]]+Prog_236[[#This Row],[SALDO]]+Prog_236[[#This Row],[MARGEM]]+Prog_236[[#This Row],[ESTADIA 1]])</f>
        <v>0</v>
      </c>
      <c r="AW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" s="81"/>
      <c r="AY64" s="81"/>
      <c r="AZ64" s="81">
        <f>Prog_236[[#This Row],[VLR NF]]*0.1%</f>
        <v>0</v>
      </c>
      <c r="BA64" s="81">
        <f>Prog_236[[#This Row],[VLR NF]]*0.05%</f>
        <v>0</v>
      </c>
      <c r="BB64" s="81"/>
      <c r="BC64" s="81"/>
      <c r="BD64" s="81"/>
      <c r="BE64" s="81"/>
      <c r="BF64" s="81"/>
      <c r="BG64" s="81"/>
      <c r="BH64" s="81"/>
      <c r="BI64" s="81"/>
      <c r="BJ64" s="81"/>
      <c r="BK64" s="81"/>
      <c r="BL64" s="66"/>
      <c r="BM64" s="66"/>
      <c r="BN64" s="66"/>
      <c r="BO64" s="66" t="str">
        <f>PROPER(TEXT(Prog_236[[#This Row],[PROGRAMAÇÃO CLIENTE]],"mmm"))</f>
        <v>Jul</v>
      </c>
      <c r="BP64" s="66">
        <f>YEAR(Prog_236[[#This Row],[PROGRAMAÇÃO CLIENTE]])</f>
        <v>2023</v>
      </c>
    </row>
    <row r="65" spans="1:68" x14ac:dyDescent="0.25">
      <c r="A65" s="201" t="str">
        <f>Prog_236[[#This Row],[CONTEINER]]</f>
        <v xml:space="preserve">OCGU2008717     </v>
      </c>
      <c r="B65" s="86" t="s">
        <v>2798</v>
      </c>
      <c r="C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" s="85">
        <v>45113.333333333336</v>
      </c>
      <c r="E65" s="66" t="s">
        <v>737</v>
      </c>
      <c r="F65" s="66" t="s">
        <v>450</v>
      </c>
      <c r="G65" s="66" t="s">
        <v>5347</v>
      </c>
      <c r="H65" s="44" t="s">
        <v>5340</v>
      </c>
      <c r="I65" s="44" t="s">
        <v>5416</v>
      </c>
      <c r="J65" s="66" t="s">
        <v>288</v>
      </c>
      <c r="K65" s="66">
        <v>2180</v>
      </c>
      <c r="L65" s="66" t="s">
        <v>5417</v>
      </c>
      <c r="M65" s="66"/>
      <c r="N65" s="66">
        <f>SUM(Prog_236[[#This Row],[TARA]]+Prog_236[[#This Row],[PESO]])</f>
        <v>2180</v>
      </c>
      <c r="O65" s="44"/>
      <c r="P65" s="66" t="s">
        <v>5345</v>
      </c>
      <c r="Q65" s="66"/>
      <c r="R65" s="66"/>
      <c r="S65" s="66"/>
      <c r="T65" s="138" t="str">
        <f>IFERROR(LOOKUP($S65,MOTORISTAS!$D$3:$D$1048576,MOTORISTAS!E$3:$E$1048576),"")</f>
        <v/>
      </c>
      <c r="U65" s="138" t="str">
        <f>IFERROR(LOOKUP($S65,MOTORISTAS!$D$3:$D$1048576,MOTORISTAS!F$3:$F$1048576),"")</f>
        <v/>
      </c>
      <c r="V65" s="66" t="s">
        <v>5346</v>
      </c>
      <c r="W65" s="66"/>
      <c r="X65" s="66"/>
      <c r="Y65" s="66"/>
      <c r="Z65" s="66" t="s">
        <v>5342</v>
      </c>
      <c r="AA65" s="66"/>
      <c r="AB65" s="66"/>
      <c r="AC65" s="79">
        <v>45080.5</v>
      </c>
      <c r="AD65" s="79">
        <v>45084.5</v>
      </c>
      <c r="AE65" s="66"/>
      <c r="AF65" s="44"/>
      <c r="AG65" s="254">
        <f>Prog_236[[#This Row],[SAÍDA DO CLIENTE]]-Prog_236[[#This Row],[PROGRAMAÇÃO CLIENTE]]</f>
        <v>-45113.333333333336</v>
      </c>
      <c r="AH65" s="44"/>
      <c r="AI65" s="66"/>
      <c r="AJ65" s="66"/>
      <c r="AK65" s="66"/>
      <c r="AL65" s="66"/>
      <c r="AM65" s="66"/>
      <c r="AN65" s="83"/>
      <c r="AO65" s="66"/>
      <c r="AP65" s="66"/>
      <c r="AQ65" s="66"/>
      <c r="AR65" s="81"/>
      <c r="AS65" s="81"/>
      <c r="AT65" s="81"/>
      <c r="AU65" s="81"/>
      <c r="AV65" s="83">
        <f>SUM(Prog_236[[#This Row],[ADIANTAMENTO]]+Prog_236[[#This Row],[SALDO]]+Prog_236[[#This Row],[MARGEM]]+Prog_236[[#This Row],[ESTADIA 1]])</f>
        <v>0</v>
      </c>
      <c r="AW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" s="81"/>
      <c r="AY65" s="81"/>
      <c r="AZ65" s="81">
        <f>Prog_236[[#This Row],[VLR NF]]*0.1%</f>
        <v>0</v>
      </c>
      <c r="BA65" s="81">
        <f>Prog_236[[#This Row],[VLR NF]]*0.05%</f>
        <v>0</v>
      </c>
      <c r="BB65" s="81"/>
      <c r="BC65" s="81"/>
      <c r="BD65" s="81"/>
      <c r="BE65" s="81"/>
      <c r="BF65" s="81"/>
      <c r="BG65" s="81"/>
      <c r="BH65" s="81"/>
      <c r="BI65" s="81"/>
      <c r="BJ65" s="81"/>
      <c r="BK65" s="81"/>
      <c r="BL65" s="66"/>
      <c r="BM65" s="66"/>
      <c r="BN65" s="66"/>
      <c r="BO65" s="66" t="str">
        <f>PROPER(TEXT(Prog_236[[#This Row],[PROGRAMAÇÃO CLIENTE]],"mmm"))</f>
        <v>Jul</v>
      </c>
      <c r="BP65" s="66">
        <f>YEAR(Prog_236[[#This Row],[PROGRAMAÇÃO CLIENTE]])</f>
        <v>2023</v>
      </c>
    </row>
    <row r="66" spans="1:68" x14ac:dyDescent="0.25">
      <c r="A66" s="200" t="str">
        <f>Prog_236[[#This Row],[CONTEINER]]</f>
        <v xml:space="preserve">HDMU2721693     </v>
      </c>
      <c r="B66" s="86" t="s">
        <v>2798</v>
      </c>
      <c r="C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" s="85">
        <v>45113.333333333336</v>
      </c>
      <c r="E66" s="66" t="s">
        <v>737</v>
      </c>
      <c r="F66" s="66" t="s">
        <v>450</v>
      </c>
      <c r="G66" s="66" t="s">
        <v>5347</v>
      </c>
      <c r="H66" s="44" t="s">
        <v>5340</v>
      </c>
      <c r="I66" s="44" t="s">
        <v>5418</v>
      </c>
      <c r="J66" s="66" t="s">
        <v>288</v>
      </c>
      <c r="K66" s="66">
        <v>2100</v>
      </c>
      <c r="L66" s="66" t="s">
        <v>5419</v>
      </c>
      <c r="M66" s="66"/>
      <c r="N66" s="66">
        <f>SUM(Prog_236[[#This Row],[TARA]]+Prog_236[[#This Row],[PESO]])</f>
        <v>2100</v>
      </c>
      <c r="O66" s="44"/>
      <c r="P66" s="66" t="s">
        <v>5345</v>
      </c>
      <c r="Q66" s="66"/>
      <c r="R66" s="66"/>
      <c r="S66" s="66"/>
      <c r="T66" s="138" t="str">
        <f>IFERROR(LOOKUP($S66,MOTORISTAS!$D$3:$D$1048576,MOTORISTAS!E$3:$E$1048576),"")</f>
        <v/>
      </c>
      <c r="U66" s="138" t="str">
        <f>IFERROR(LOOKUP($S66,MOTORISTAS!$D$3:$D$1048576,MOTORISTAS!F$3:$F$1048576),"")</f>
        <v/>
      </c>
      <c r="V66" s="66" t="s">
        <v>5346</v>
      </c>
      <c r="W66" s="66"/>
      <c r="X66" s="66"/>
      <c r="Y66" s="66"/>
      <c r="Z66" s="66" t="s">
        <v>5342</v>
      </c>
      <c r="AA66" s="66"/>
      <c r="AB66" s="66"/>
      <c r="AC66" s="79">
        <v>45080.5</v>
      </c>
      <c r="AD66" s="79">
        <v>45084.5</v>
      </c>
      <c r="AE66" s="66"/>
      <c r="AF66" s="44"/>
      <c r="AG66" s="254">
        <f>Prog_236[[#This Row],[SAÍDA DO CLIENTE]]-Prog_236[[#This Row],[PROGRAMAÇÃO CLIENTE]]</f>
        <v>-45113.333333333336</v>
      </c>
      <c r="AH66" s="44"/>
      <c r="AI66" s="66"/>
      <c r="AJ66" s="66"/>
      <c r="AK66" s="66"/>
      <c r="AL66" s="66"/>
      <c r="AM66" s="66"/>
      <c r="AN66" s="83"/>
      <c r="AO66" s="66"/>
      <c r="AP66" s="66"/>
      <c r="AQ66" s="66"/>
      <c r="AR66" s="81"/>
      <c r="AS66" s="81"/>
      <c r="AT66" s="81"/>
      <c r="AU66" s="81"/>
      <c r="AV66" s="83">
        <f>SUM(Prog_236[[#This Row],[ADIANTAMENTO]]+Prog_236[[#This Row],[SALDO]]+Prog_236[[#This Row],[MARGEM]]+Prog_236[[#This Row],[ESTADIA 1]])</f>
        <v>0</v>
      </c>
      <c r="AW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" s="81"/>
      <c r="AY66" s="81"/>
      <c r="AZ66" s="81">
        <f>Prog_236[[#This Row],[VLR NF]]*0.1%</f>
        <v>0</v>
      </c>
      <c r="BA66" s="81">
        <f>Prog_236[[#This Row],[VLR NF]]*0.05%</f>
        <v>0</v>
      </c>
      <c r="BB66" s="81"/>
      <c r="BC66" s="81"/>
      <c r="BD66" s="81"/>
      <c r="BE66" s="81"/>
      <c r="BF66" s="81"/>
      <c r="BG66" s="81"/>
      <c r="BH66" s="81"/>
      <c r="BI66" s="81"/>
      <c r="BJ66" s="81"/>
      <c r="BK66" s="81"/>
      <c r="BL66" s="66"/>
      <c r="BM66" s="66"/>
      <c r="BN66" s="66"/>
      <c r="BO66" s="66" t="str">
        <f>PROPER(TEXT(Prog_236[[#This Row],[PROGRAMAÇÃO CLIENTE]],"mmm"))</f>
        <v>Jul</v>
      </c>
      <c r="BP66" s="66">
        <f>YEAR(Prog_236[[#This Row],[PROGRAMAÇÃO CLIENTE]])</f>
        <v>2023</v>
      </c>
    </row>
    <row r="67" spans="1:68" x14ac:dyDescent="0.25">
      <c r="A67" s="201" t="str">
        <f>Prog_236[[#This Row],[CONTEINER]]</f>
        <v>TGBU2504285</v>
      </c>
      <c r="B67" s="86" t="s">
        <v>2798</v>
      </c>
      <c r="C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" s="85">
        <v>45113.333333333336</v>
      </c>
      <c r="E67" s="66" t="s">
        <v>737</v>
      </c>
      <c r="F67" s="66" t="s">
        <v>450</v>
      </c>
      <c r="G67" s="66" t="s">
        <v>5347</v>
      </c>
      <c r="H67" s="44" t="s">
        <v>5340</v>
      </c>
      <c r="I67" s="44" t="s">
        <v>5420</v>
      </c>
      <c r="J67" s="66" t="s">
        <v>288</v>
      </c>
      <c r="K67" s="66">
        <v>2120</v>
      </c>
      <c r="L67" s="66" t="s">
        <v>5421</v>
      </c>
      <c r="M67" s="66"/>
      <c r="N67" s="66">
        <f>SUM(Prog_236[[#This Row],[TARA]]+Prog_236[[#This Row],[PESO]])</f>
        <v>2120</v>
      </c>
      <c r="O67" s="44"/>
      <c r="P67" s="66" t="s">
        <v>5345</v>
      </c>
      <c r="Q67" s="66"/>
      <c r="R67" s="66"/>
      <c r="S67" s="66"/>
      <c r="T67" s="138" t="str">
        <f>IFERROR(LOOKUP($S67,MOTORISTAS!$D$3:$D$1048576,MOTORISTAS!E$3:$E$1048576),"")</f>
        <v/>
      </c>
      <c r="U67" s="138" t="str">
        <f>IFERROR(LOOKUP($S67,MOTORISTAS!$D$3:$D$1048576,MOTORISTAS!F$3:$F$1048576),"")</f>
        <v/>
      </c>
      <c r="V67" s="66" t="s">
        <v>5346</v>
      </c>
      <c r="W67" s="66"/>
      <c r="X67" s="66"/>
      <c r="Y67" s="66"/>
      <c r="Z67" s="66" t="s">
        <v>5342</v>
      </c>
      <c r="AA67" s="66"/>
      <c r="AB67" s="66"/>
      <c r="AC67" s="79">
        <v>45080.5</v>
      </c>
      <c r="AD67" s="79">
        <v>45084.5</v>
      </c>
      <c r="AE67" s="66"/>
      <c r="AF67" s="44"/>
      <c r="AG67" s="254">
        <f>Prog_236[[#This Row],[SAÍDA DO CLIENTE]]-Prog_236[[#This Row],[PROGRAMAÇÃO CLIENTE]]</f>
        <v>-45113.333333333336</v>
      </c>
      <c r="AH67" s="44"/>
      <c r="AI67" s="66"/>
      <c r="AJ67" s="66"/>
      <c r="AK67" s="66"/>
      <c r="AL67" s="66"/>
      <c r="AM67" s="66"/>
      <c r="AN67" s="83"/>
      <c r="AO67" s="66"/>
      <c r="AP67" s="66"/>
      <c r="AQ67" s="66"/>
      <c r="AR67" s="81"/>
      <c r="AS67" s="81"/>
      <c r="AT67" s="81"/>
      <c r="AU67" s="81"/>
      <c r="AV67" s="83">
        <f>SUM(Prog_236[[#This Row],[ADIANTAMENTO]]+Prog_236[[#This Row],[SALDO]]+Prog_236[[#This Row],[MARGEM]]+Prog_236[[#This Row],[ESTADIA 1]])</f>
        <v>0</v>
      </c>
      <c r="AW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" s="81"/>
      <c r="AY67" s="81"/>
      <c r="AZ67" s="81">
        <f>Prog_236[[#This Row],[VLR NF]]*0.1%</f>
        <v>0</v>
      </c>
      <c r="BA67" s="81">
        <f>Prog_236[[#This Row],[VLR NF]]*0.05%</f>
        <v>0</v>
      </c>
      <c r="BB67" s="81"/>
      <c r="BC67" s="81"/>
      <c r="BD67" s="81"/>
      <c r="BE67" s="81"/>
      <c r="BF67" s="81"/>
      <c r="BG67" s="81"/>
      <c r="BH67" s="81"/>
      <c r="BI67" s="81"/>
      <c r="BJ67" s="81"/>
      <c r="BK67" s="81"/>
      <c r="BL67" s="66"/>
      <c r="BM67" s="66"/>
      <c r="BN67" s="66"/>
      <c r="BO67" s="66" t="str">
        <f>PROPER(TEXT(Prog_236[[#This Row],[PROGRAMAÇÃO CLIENTE]],"mmm"))</f>
        <v>Jul</v>
      </c>
      <c r="BP67" s="66">
        <f>YEAR(Prog_236[[#This Row],[PROGRAMAÇÃO CLIENTE]])</f>
        <v>2023</v>
      </c>
    </row>
    <row r="68" spans="1:68" x14ac:dyDescent="0.25">
      <c r="A68" s="200" t="str">
        <f>Prog_236[[#This Row],[CONTEINER]]</f>
        <v>HDMU2642742</v>
      </c>
      <c r="B68" s="86" t="s">
        <v>2798</v>
      </c>
      <c r="C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" s="85">
        <v>45113.333333333336</v>
      </c>
      <c r="E68" s="66" t="s">
        <v>737</v>
      </c>
      <c r="F68" s="66" t="s">
        <v>450</v>
      </c>
      <c r="G68" s="66" t="s">
        <v>5347</v>
      </c>
      <c r="H68" s="44" t="s">
        <v>5340</v>
      </c>
      <c r="I68" s="44" t="s">
        <v>5422</v>
      </c>
      <c r="J68" s="66" t="s">
        <v>288</v>
      </c>
      <c r="K68" s="66">
        <v>2180</v>
      </c>
      <c r="L68" s="66" t="s">
        <v>5423</v>
      </c>
      <c r="M68" s="66"/>
      <c r="N68" s="66">
        <f>SUM(Prog_236[[#This Row],[TARA]]+Prog_236[[#This Row],[PESO]])</f>
        <v>2180</v>
      </c>
      <c r="O68" s="44"/>
      <c r="P68" s="66" t="s">
        <v>5345</v>
      </c>
      <c r="Q68" s="66"/>
      <c r="R68" s="66"/>
      <c r="S68" s="66"/>
      <c r="T68" s="138" t="str">
        <f>IFERROR(LOOKUP($S68,MOTORISTAS!$D$3:$D$1048576,MOTORISTAS!E$3:$E$1048576),"")</f>
        <v/>
      </c>
      <c r="U68" s="138" t="str">
        <f>IFERROR(LOOKUP($S68,MOTORISTAS!$D$3:$D$1048576,MOTORISTAS!F$3:$F$1048576),"")</f>
        <v/>
      </c>
      <c r="V68" s="66" t="s">
        <v>5346</v>
      </c>
      <c r="W68" s="66"/>
      <c r="X68" s="66"/>
      <c r="Y68" s="66"/>
      <c r="Z68" s="66" t="s">
        <v>5342</v>
      </c>
      <c r="AA68" s="66"/>
      <c r="AB68" s="66"/>
      <c r="AC68" s="79">
        <v>45080.5</v>
      </c>
      <c r="AD68" s="79">
        <v>45084.5</v>
      </c>
      <c r="AE68" s="66"/>
      <c r="AF68" s="44"/>
      <c r="AG68" s="254">
        <f>Prog_236[[#This Row],[SAÍDA DO CLIENTE]]-Prog_236[[#This Row],[PROGRAMAÇÃO CLIENTE]]</f>
        <v>-45113.333333333336</v>
      </c>
      <c r="AH68" s="44"/>
      <c r="AI68" s="66"/>
      <c r="AJ68" s="66"/>
      <c r="AK68" s="66"/>
      <c r="AL68" s="66"/>
      <c r="AM68" s="66"/>
      <c r="AN68" s="83"/>
      <c r="AO68" s="66"/>
      <c r="AP68" s="66"/>
      <c r="AQ68" s="66"/>
      <c r="AR68" s="81"/>
      <c r="AS68" s="81"/>
      <c r="AT68" s="81"/>
      <c r="AU68" s="81"/>
      <c r="AV68" s="83">
        <f>SUM(Prog_236[[#This Row],[ADIANTAMENTO]]+Prog_236[[#This Row],[SALDO]]+Prog_236[[#This Row],[MARGEM]]+Prog_236[[#This Row],[ESTADIA 1]])</f>
        <v>0</v>
      </c>
      <c r="AW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" s="81"/>
      <c r="AY68" s="81"/>
      <c r="AZ68" s="81">
        <f>Prog_236[[#This Row],[VLR NF]]*0.1%</f>
        <v>0</v>
      </c>
      <c r="BA68" s="81">
        <f>Prog_236[[#This Row],[VLR NF]]*0.05%</f>
        <v>0</v>
      </c>
      <c r="BB68" s="81"/>
      <c r="BC68" s="81"/>
      <c r="BD68" s="81"/>
      <c r="BE68" s="81"/>
      <c r="BF68" s="81"/>
      <c r="BG68" s="81"/>
      <c r="BH68" s="81"/>
      <c r="BI68" s="81"/>
      <c r="BJ68" s="81"/>
      <c r="BK68" s="81"/>
      <c r="BL68" s="66"/>
      <c r="BM68" s="66"/>
      <c r="BN68" s="66"/>
      <c r="BO68" s="66" t="str">
        <f>PROPER(TEXT(Prog_236[[#This Row],[PROGRAMAÇÃO CLIENTE]],"mmm"))</f>
        <v>Jul</v>
      </c>
      <c r="BP68" s="66">
        <f>YEAR(Prog_236[[#This Row],[PROGRAMAÇÃO CLIENTE]])</f>
        <v>2023</v>
      </c>
    </row>
    <row r="69" spans="1:68" x14ac:dyDescent="0.25">
      <c r="A69" s="201" t="str">
        <f>Prog_236[[#This Row],[CONTEINER]]</f>
        <v xml:space="preserve">KOCU2194302  </v>
      </c>
      <c r="B69" s="86" t="s">
        <v>2798</v>
      </c>
      <c r="C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" s="85">
        <v>45113.333333333336</v>
      </c>
      <c r="E69" s="66" t="s">
        <v>737</v>
      </c>
      <c r="F69" s="66" t="s">
        <v>450</v>
      </c>
      <c r="G69" s="66" t="s">
        <v>5347</v>
      </c>
      <c r="H69" s="44" t="s">
        <v>5340</v>
      </c>
      <c r="I69" s="44" t="s">
        <v>5424</v>
      </c>
      <c r="J69" s="66" t="s">
        <v>288</v>
      </c>
      <c r="K69" s="66">
        <v>2100</v>
      </c>
      <c r="L69" s="66" t="s">
        <v>5425</v>
      </c>
      <c r="M69" s="66"/>
      <c r="N69" s="66">
        <f>SUM(Prog_236[[#This Row],[TARA]]+Prog_236[[#This Row],[PESO]])</f>
        <v>2100</v>
      </c>
      <c r="O69" s="44"/>
      <c r="P69" s="66" t="s">
        <v>5345</v>
      </c>
      <c r="Q69" s="66"/>
      <c r="R69" s="66"/>
      <c r="S69" s="66"/>
      <c r="T69" s="138" t="str">
        <f>IFERROR(LOOKUP($S69,MOTORISTAS!$D$3:$D$1048576,MOTORISTAS!E$3:$E$1048576),"")</f>
        <v/>
      </c>
      <c r="U69" s="138" t="str">
        <f>IFERROR(LOOKUP($S69,MOTORISTAS!$D$3:$D$1048576,MOTORISTAS!F$3:$F$1048576),"")</f>
        <v/>
      </c>
      <c r="V69" s="66" t="s">
        <v>5346</v>
      </c>
      <c r="W69" s="66"/>
      <c r="X69" s="66"/>
      <c r="Y69" s="66"/>
      <c r="Z69" s="66" t="s">
        <v>5342</v>
      </c>
      <c r="AA69" s="66"/>
      <c r="AB69" s="66"/>
      <c r="AC69" s="79">
        <v>45080.5</v>
      </c>
      <c r="AD69" s="79">
        <v>45084.5</v>
      </c>
      <c r="AE69" s="66"/>
      <c r="AF69" s="44"/>
      <c r="AG69" s="254">
        <f>Prog_236[[#This Row],[SAÍDA DO CLIENTE]]-Prog_236[[#This Row],[PROGRAMAÇÃO CLIENTE]]</f>
        <v>-45113.333333333336</v>
      </c>
      <c r="AH69" s="44"/>
      <c r="AI69" s="66"/>
      <c r="AJ69" s="66"/>
      <c r="AK69" s="66"/>
      <c r="AL69" s="66"/>
      <c r="AM69" s="66"/>
      <c r="AN69" s="83"/>
      <c r="AO69" s="66"/>
      <c r="AP69" s="66"/>
      <c r="AQ69" s="66"/>
      <c r="AR69" s="81"/>
      <c r="AS69" s="81"/>
      <c r="AT69" s="81"/>
      <c r="AU69" s="81"/>
      <c r="AV69" s="83">
        <f>SUM(Prog_236[[#This Row],[ADIANTAMENTO]]+Prog_236[[#This Row],[SALDO]]+Prog_236[[#This Row],[MARGEM]]+Prog_236[[#This Row],[ESTADIA 1]])</f>
        <v>0</v>
      </c>
      <c r="AW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" s="81"/>
      <c r="AY69" s="81"/>
      <c r="AZ69" s="81">
        <f>Prog_236[[#This Row],[VLR NF]]*0.1%</f>
        <v>0</v>
      </c>
      <c r="BA69" s="81">
        <f>Prog_236[[#This Row],[VLR NF]]*0.05%</f>
        <v>0</v>
      </c>
      <c r="BB69" s="81"/>
      <c r="BC69" s="81"/>
      <c r="BD69" s="81"/>
      <c r="BE69" s="81"/>
      <c r="BF69" s="81"/>
      <c r="BG69" s="81"/>
      <c r="BH69" s="81"/>
      <c r="BI69" s="81"/>
      <c r="BJ69" s="81"/>
      <c r="BK69" s="81"/>
      <c r="BL69" s="66"/>
      <c r="BM69" s="66"/>
      <c r="BN69" s="66"/>
      <c r="BO69" s="66" t="str">
        <f>PROPER(TEXT(Prog_236[[#This Row],[PROGRAMAÇÃO CLIENTE]],"mmm"))</f>
        <v>Jul</v>
      </c>
      <c r="BP69" s="66">
        <f>YEAR(Prog_236[[#This Row],[PROGRAMAÇÃO CLIENTE]])</f>
        <v>2023</v>
      </c>
    </row>
    <row r="70" spans="1:68" x14ac:dyDescent="0.25">
      <c r="A70" s="200" t="str">
        <f>Prog_236[[#This Row],[CONTEINER]]</f>
        <v xml:space="preserve">TRHU2155973  </v>
      </c>
      <c r="B70" s="86" t="s">
        <v>2798</v>
      </c>
      <c r="C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" s="85">
        <v>45113.333333333336</v>
      </c>
      <c r="E70" s="66" t="s">
        <v>737</v>
      </c>
      <c r="F70" s="66" t="s">
        <v>450</v>
      </c>
      <c r="G70" s="66" t="s">
        <v>5347</v>
      </c>
      <c r="H70" s="44" t="s">
        <v>5340</v>
      </c>
      <c r="I70" s="44" t="s">
        <v>5426</v>
      </c>
      <c r="J70" s="66" t="s">
        <v>288</v>
      </c>
      <c r="K70" s="66">
        <v>2180</v>
      </c>
      <c r="L70" s="66" t="s">
        <v>5427</v>
      </c>
      <c r="M70" s="66"/>
      <c r="N70" s="66">
        <f>SUM(Prog_236[[#This Row],[TARA]]+Prog_236[[#This Row],[PESO]])</f>
        <v>2180</v>
      </c>
      <c r="O70" s="44"/>
      <c r="P70" s="66" t="s">
        <v>5345</v>
      </c>
      <c r="Q70" s="66"/>
      <c r="R70" s="66"/>
      <c r="S70" s="66"/>
      <c r="T70" s="138" t="str">
        <f>IFERROR(LOOKUP($S70,MOTORISTAS!$D$3:$D$1048576,MOTORISTAS!E$3:$E$1048576),"")</f>
        <v/>
      </c>
      <c r="U70" s="138" t="str">
        <f>IFERROR(LOOKUP($S70,MOTORISTAS!$D$3:$D$1048576,MOTORISTAS!F$3:$F$1048576),"")</f>
        <v/>
      </c>
      <c r="V70" s="66" t="s">
        <v>5346</v>
      </c>
      <c r="W70" s="66"/>
      <c r="X70" s="66"/>
      <c r="Y70" s="66"/>
      <c r="Z70" s="66" t="s">
        <v>5342</v>
      </c>
      <c r="AA70" s="66"/>
      <c r="AB70" s="66"/>
      <c r="AC70" s="79">
        <v>45080.5</v>
      </c>
      <c r="AD70" s="79">
        <v>45084.5</v>
      </c>
      <c r="AE70" s="66"/>
      <c r="AF70" s="44"/>
      <c r="AG70" s="254">
        <f>Prog_236[[#This Row],[SAÍDA DO CLIENTE]]-Prog_236[[#This Row],[PROGRAMAÇÃO CLIENTE]]</f>
        <v>-45113.333333333336</v>
      </c>
      <c r="AH70" s="44"/>
      <c r="AI70" s="66"/>
      <c r="AJ70" s="66"/>
      <c r="AK70" s="66"/>
      <c r="AL70" s="66"/>
      <c r="AM70" s="66"/>
      <c r="AN70" s="83"/>
      <c r="AO70" s="66"/>
      <c r="AP70" s="66"/>
      <c r="AQ70" s="66"/>
      <c r="AR70" s="81"/>
      <c r="AS70" s="81"/>
      <c r="AT70" s="81"/>
      <c r="AU70" s="81"/>
      <c r="AV70" s="83">
        <f>SUM(Prog_236[[#This Row],[ADIANTAMENTO]]+Prog_236[[#This Row],[SALDO]]+Prog_236[[#This Row],[MARGEM]]+Prog_236[[#This Row],[ESTADIA 1]])</f>
        <v>0</v>
      </c>
      <c r="AW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" s="81"/>
      <c r="AY70" s="81"/>
      <c r="AZ70" s="81">
        <f>Prog_236[[#This Row],[VLR NF]]*0.1%</f>
        <v>0</v>
      </c>
      <c r="BA70" s="81">
        <f>Prog_236[[#This Row],[VLR NF]]*0.05%</f>
        <v>0</v>
      </c>
      <c r="BB70" s="81"/>
      <c r="BC70" s="81"/>
      <c r="BD70" s="81"/>
      <c r="BE70" s="81"/>
      <c r="BF70" s="81"/>
      <c r="BG70" s="81"/>
      <c r="BH70" s="81"/>
      <c r="BI70" s="81"/>
      <c r="BJ70" s="81"/>
      <c r="BK70" s="81"/>
      <c r="BL70" s="66"/>
      <c r="BM70" s="66"/>
      <c r="BN70" s="66"/>
      <c r="BO70" s="66" t="str">
        <f>PROPER(TEXT(Prog_236[[#This Row],[PROGRAMAÇÃO CLIENTE]],"mmm"))</f>
        <v>Jul</v>
      </c>
      <c r="BP70" s="66">
        <f>YEAR(Prog_236[[#This Row],[PROGRAMAÇÃO CLIENTE]])</f>
        <v>2023</v>
      </c>
    </row>
    <row r="71" spans="1:68" x14ac:dyDescent="0.25">
      <c r="A71" s="201" t="str">
        <f>Prog_236[[#This Row],[CONTEINER]]</f>
        <v>HMMU2096866</v>
      </c>
      <c r="B71" s="86" t="s">
        <v>2798</v>
      </c>
      <c r="C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" s="85">
        <v>45113.333333333336</v>
      </c>
      <c r="E71" s="66" t="s">
        <v>737</v>
      </c>
      <c r="F71" s="66" t="s">
        <v>450</v>
      </c>
      <c r="G71" s="66" t="s">
        <v>5347</v>
      </c>
      <c r="H71" s="44" t="s">
        <v>5340</v>
      </c>
      <c r="I71" s="44" t="s">
        <v>5428</v>
      </c>
      <c r="J71" s="66" t="s">
        <v>288</v>
      </c>
      <c r="K71" s="66">
        <v>2100</v>
      </c>
      <c r="L71" s="66" t="s">
        <v>5429</v>
      </c>
      <c r="M71" s="66"/>
      <c r="N71" s="66">
        <f>SUM(Prog_236[[#This Row],[TARA]]+Prog_236[[#This Row],[PESO]])</f>
        <v>2100</v>
      </c>
      <c r="O71" s="44"/>
      <c r="P71" s="66" t="s">
        <v>5345</v>
      </c>
      <c r="Q71" s="66"/>
      <c r="R71" s="66"/>
      <c r="S71" s="66"/>
      <c r="T71" s="138" t="str">
        <f>IFERROR(LOOKUP($S71,MOTORISTAS!$D$3:$D$1048576,MOTORISTAS!E$3:$E$1048576),"")</f>
        <v/>
      </c>
      <c r="U71" s="138" t="str">
        <f>IFERROR(LOOKUP($S71,MOTORISTAS!$D$3:$D$1048576,MOTORISTAS!F$3:$F$1048576),"")</f>
        <v/>
      </c>
      <c r="V71" s="66" t="s">
        <v>5346</v>
      </c>
      <c r="W71" s="66"/>
      <c r="X71" s="66"/>
      <c r="Y71" s="66"/>
      <c r="Z71" s="66" t="s">
        <v>5342</v>
      </c>
      <c r="AA71" s="66"/>
      <c r="AB71" s="66"/>
      <c r="AC71" s="79">
        <v>45080.5</v>
      </c>
      <c r="AD71" s="79">
        <v>45084.5</v>
      </c>
      <c r="AE71" s="66"/>
      <c r="AF71" s="44"/>
      <c r="AG71" s="254">
        <f>Prog_236[[#This Row],[SAÍDA DO CLIENTE]]-Prog_236[[#This Row],[PROGRAMAÇÃO CLIENTE]]</f>
        <v>-45113.333333333336</v>
      </c>
      <c r="AH71" s="44"/>
      <c r="AI71" s="66"/>
      <c r="AJ71" s="66"/>
      <c r="AK71" s="66"/>
      <c r="AL71" s="66"/>
      <c r="AM71" s="66"/>
      <c r="AN71" s="83"/>
      <c r="AO71" s="66"/>
      <c r="AP71" s="66"/>
      <c r="AQ71" s="66"/>
      <c r="AR71" s="81"/>
      <c r="AS71" s="81"/>
      <c r="AT71" s="81"/>
      <c r="AU71" s="81"/>
      <c r="AV71" s="83">
        <f>SUM(Prog_236[[#This Row],[ADIANTAMENTO]]+Prog_236[[#This Row],[SALDO]]+Prog_236[[#This Row],[MARGEM]]+Prog_236[[#This Row],[ESTADIA 1]])</f>
        <v>0</v>
      </c>
      <c r="AW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" s="81"/>
      <c r="AY71" s="81"/>
      <c r="AZ71" s="81">
        <f>Prog_236[[#This Row],[VLR NF]]*0.1%</f>
        <v>0</v>
      </c>
      <c r="BA71" s="81">
        <f>Prog_236[[#This Row],[VLR NF]]*0.05%</f>
        <v>0</v>
      </c>
      <c r="BB71" s="81"/>
      <c r="BC71" s="81"/>
      <c r="BD71" s="81"/>
      <c r="BE71" s="81"/>
      <c r="BF71" s="81"/>
      <c r="BG71" s="81"/>
      <c r="BH71" s="81"/>
      <c r="BI71" s="81"/>
      <c r="BJ71" s="81"/>
      <c r="BK71" s="81"/>
      <c r="BL71" s="66"/>
      <c r="BM71" s="66"/>
      <c r="BN71" s="66"/>
      <c r="BO71" s="66" t="str">
        <f>PROPER(TEXT(Prog_236[[#This Row],[PROGRAMAÇÃO CLIENTE]],"mmm"))</f>
        <v>Jul</v>
      </c>
      <c r="BP71" s="66">
        <f>YEAR(Prog_236[[#This Row],[PROGRAMAÇÃO CLIENTE]])</f>
        <v>2023</v>
      </c>
    </row>
    <row r="72" spans="1:68" x14ac:dyDescent="0.25">
      <c r="A72" s="201" t="str">
        <f>Prog_236[[#This Row],[CONTEINER]]</f>
        <v>MRSU4185676</v>
      </c>
      <c r="B72" s="86"/>
      <c r="C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" s="85"/>
      <c r="E72" s="66" t="s">
        <v>5333</v>
      </c>
      <c r="F72" s="66" t="s">
        <v>697</v>
      </c>
      <c r="G72" s="66"/>
      <c r="H72" s="44" t="s">
        <v>5544</v>
      </c>
      <c r="I72" s="44" t="s">
        <v>5546</v>
      </c>
      <c r="J72" s="66" t="s">
        <v>301</v>
      </c>
      <c r="K72" s="66">
        <v>3900</v>
      </c>
      <c r="L72" s="66">
        <v>2937840</v>
      </c>
      <c r="M72" s="66"/>
      <c r="N72" s="66">
        <f>SUM(Prog_236[[#This Row],[TARA]]+Prog_236[[#This Row],[PESO]])</f>
        <v>3900</v>
      </c>
      <c r="O72" s="44"/>
      <c r="P72" s="66" t="s">
        <v>5545</v>
      </c>
      <c r="Q72" s="66"/>
      <c r="R72" s="66"/>
      <c r="S72" s="66"/>
      <c r="T72" s="138" t="str">
        <f>IFERROR(LOOKUP($S72,MOTORISTAS!$D$3:$D$1048576,MOTORISTAS!E$3:$E$1048576),"")</f>
        <v/>
      </c>
      <c r="U72" s="138" t="str">
        <f>IFERROR(LOOKUP($S72,MOTORISTAS!$D$3:$D$1048576,MOTORISTAS!F$3:$F$1048576),"")</f>
        <v/>
      </c>
      <c r="V72" s="66" t="s">
        <v>306</v>
      </c>
      <c r="W72" s="66"/>
      <c r="X72" s="66"/>
      <c r="Y72" s="66"/>
      <c r="Z72" s="66"/>
      <c r="AA72" s="66"/>
      <c r="AB72" s="66"/>
      <c r="AC72" s="66"/>
      <c r="AD72" s="66"/>
      <c r="AE72" s="66"/>
      <c r="AF72" s="44"/>
      <c r="AG72" s="254">
        <f>Prog_236[[#This Row],[SAÍDA DO CLIENTE]]-Prog_236[[#This Row],[PROGRAMAÇÃO CLIENTE]]</f>
        <v>0</v>
      </c>
      <c r="AH72" s="44"/>
      <c r="AI72" s="66"/>
      <c r="AJ72" s="66"/>
      <c r="AK72" s="66"/>
      <c r="AL72" s="66"/>
      <c r="AM72" s="66"/>
      <c r="AN72" s="83"/>
      <c r="AO72" s="66"/>
      <c r="AP72" s="66"/>
      <c r="AQ72" s="66"/>
      <c r="AR72" s="81"/>
      <c r="AS72" s="81"/>
      <c r="AT72" s="81"/>
      <c r="AU72" s="81"/>
      <c r="AV72" s="83">
        <f>SUM(Prog_236[[#This Row],[ADIANTAMENTO]]+Prog_236[[#This Row],[SALDO]]+Prog_236[[#This Row],[MARGEM]]+Prog_236[[#This Row],[ESTADIA 1]])</f>
        <v>0</v>
      </c>
      <c r="AW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" s="81"/>
      <c r="AY72" s="81"/>
      <c r="AZ72" s="81">
        <f>Prog_236[[#This Row],[VLR NF]]*0.1%</f>
        <v>0</v>
      </c>
      <c r="BA72" s="81">
        <f>Prog_236[[#This Row],[VLR NF]]*0.05%</f>
        <v>0</v>
      </c>
      <c r="BB72" s="81"/>
      <c r="BC72" s="81"/>
      <c r="BD72" s="81"/>
      <c r="BE72" s="81"/>
      <c r="BF72" s="81"/>
      <c r="BG72" s="81"/>
      <c r="BH72" s="81"/>
      <c r="BI72" s="81"/>
      <c r="BJ72" s="81"/>
      <c r="BK72" s="81"/>
      <c r="BL72" s="66"/>
      <c r="BM72" s="66"/>
      <c r="BN72" s="66"/>
      <c r="BO72" s="66" t="str">
        <f>PROPER(TEXT(Prog_236[[#This Row],[PROGRAMAÇÃO CLIENTE]],"mmm"))</f>
        <v>Jan</v>
      </c>
      <c r="BP72" s="66">
        <f>YEAR(Prog_236[[#This Row],[PROGRAMAÇÃO CLIENTE]])</f>
        <v>1900</v>
      </c>
    </row>
    <row r="73" spans="1:68" x14ac:dyDescent="0.25">
      <c r="A73" s="200">
        <f>Prog_236[[#This Row],[CONTEINER]]</f>
        <v>0</v>
      </c>
      <c r="B73" s="86"/>
      <c r="C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" s="85"/>
      <c r="E73" s="66"/>
      <c r="F73" s="66"/>
      <c r="G73" s="66"/>
      <c r="H73" s="44"/>
      <c r="I73" s="44"/>
      <c r="J73" s="66"/>
      <c r="K73" s="66"/>
      <c r="L73" s="66"/>
      <c r="M73" s="66"/>
      <c r="N73" s="66">
        <f>SUM(Prog_236[[#This Row],[TARA]]+Prog_236[[#This Row],[PESO]])</f>
        <v>0</v>
      </c>
      <c r="O73" s="44"/>
      <c r="P73" s="66"/>
      <c r="Q73" s="66"/>
      <c r="R73" s="66"/>
      <c r="S73" s="66"/>
      <c r="T73" s="138" t="str">
        <f>IFERROR(LOOKUP($S73,MOTORISTAS!$D$3:$D$1048576,MOTORISTAS!E$3:$E$1048576),"")</f>
        <v/>
      </c>
      <c r="U73" s="138" t="str">
        <f>IFERROR(LOOKUP($S73,MOTORISTAS!$D$3:$D$1048576,MOTORISTAS!F$3:$F$1048576),"")</f>
        <v/>
      </c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44"/>
      <c r="AG73" s="254">
        <f>Prog_236[[#This Row],[SAÍDA DO CLIENTE]]-Prog_236[[#This Row],[PROGRAMAÇÃO CLIENTE]]</f>
        <v>0</v>
      </c>
      <c r="AH73" s="44"/>
      <c r="AI73" s="66"/>
      <c r="AJ73" s="66"/>
      <c r="AK73" s="66"/>
      <c r="AL73" s="66"/>
      <c r="AM73" s="66"/>
      <c r="AN73" s="83"/>
      <c r="AO73" s="66"/>
      <c r="AP73" s="66"/>
      <c r="AQ73" s="66"/>
      <c r="AR73" s="81"/>
      <c r="AS73" s="81"/>
      <c r="AT73" s="81"/>
      <c r="AU73" s="81"/>
      <c r="AV73" s="83">
        <f>SUM(Prog_236[[#This Row],[ADIANTAMENTO]]+Prog_236[[#This Row],[SALDO]]+Prog_236[[#This Row],[MARGEM]]+Prog_236[[#This Row],[ESTADIA 1]])</f>
        <v>0</v>
      </c>
      <c r="AW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" s="81"/>
      <c r="AY73" s="81"/>
      <c r="AZ73" s="81">
        <f>Prog_236[[#This Row],[VLR NF]]*0.1%</f>
        <v>0</v>
      </c>
      <c r="BA73" s="81">
        <f>Prog_236[[#This Row],[VLR NF]]*0.05%</f>
        <v>0</v>
      </c>
      <c r="BB73" s="81"/>
      <c r="BC73" s="81"/>
      <c r="BD73" s="81"/>
      <c r="BE73" s="81"/>
      <c r="BF73" s="81"/>
      <c r="BG73" s="81"/>
      <c r="BH73" s="81"/>
      <c r="BI73" s="81"/>
      <c r="BJ73" s="81"/>
      <c r="BK73" s="81"/>
      <c r="BL73" s="66"/>
      <c r="BM73" s="66"/>
      <c r="BN73" s="66"/>
      <c r="BO73" s="66" t="str">
        <f>PROPER(TEXT(Prog_236[[#This Row],[PROGRAMAÇÃO CLIENTE]],"mmm"))</f>
        <v>Jan</v>
      </c>
      <c r="BP73" s="66">
        <f>YEAR(Prog_236[[#This Row],[PROGRAMAÇÃO CLIENTE]])</f>
        <v>1900</v>
      </c>
    </row>
    <row r="74" spans="1:68" x14ac:dyDescent="0.25">
      <c r="A74" s="201">
        <f>Prog_236[[#This Row],[CONTEINER]]</f>
        <v>0</v>
      </c>
      <c r="B74" s="86"/>
      <c r="C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" s="85"/>
      <c r="E74" s="66"/>
      <c r="F74" s="66"/>
      <c r="G74" s="66"/>
      <c r="H74" s="44"/>
      <c r="I74" s="44"/>
      <c r="J74" s="66"/>
      <c r="K74" s="66"/>
      <c r="L74" s="66"/>
      <c r="M74" s="66"/>
      <c r="N74" s="66">
        <f>SUM(Prog_236[[#This Row],[TARA]]+Prog_236[[#This Row],[PESO]])</f>
        <v>0</v>
      </c>
      <c r="O74" s="44"/>
      <c r="P74" s="66"/>
      <c r="Q74" s="66"/>
      <c r="R74" s="66"/>
      <c r="S74" s="66"/>
      <c r="T74" s="138" t="str">
        <f>IFERROR(LOOKUP($S74,MOTORISTAS!$D$3:$D$1048576,MOTORISTAS!E$3:$E$1048576),"")</f>
        <v/>
      </c>
      <c r="U74" s="138" t="str">
        <f>IFERROR(LOOKUP($S74,MOTORISTAS!$D$3:$D$1048576,MOTORISTAS!F$3:$F$1048576),"")</f>
        <v/>
      </c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44"/>
      <c r="AG74" s="254">
        <f>Prog_236[[#This Row],[SAÍDA DO CLIENTE]]-Prog_236[[#This Row],[PROGRAMAÇÃO CLIENTE]]</f>
        <v>0</v>
      </c>
      <c r="AH74" s="44"/>
      <c r="AI74" s="66"/>
      <c r="AJ74" s="66"/>
      <c r="AK74" s="66"/>
      <c r="AL74" s="66"/>
      <c r="AM74" s="66"/>
      <c r="AN74" s="83"/>
      <c r="AO74" s="66"/>
      <c r="AP74" s="66"/>
      <c r="AQ74" s="66"/>
      <c r="AR74" s="81"/>
      <c r="AS74" s="81"/>
      <c r="AT74" s="81"/>
      <c r="AU74" s="81"/>
      <c r="AV74" s="83">
        <f>SUM(Prog_236[[#This Row],[ADIANTAMENTO]]+Prog_236[[#This Row],[SALDO]]+Prog_236[[#This Row],[MARGEM]]+Prog_236[[#This Row],[ESTADIA 1]])</f>
        <v>0</v>
      </c>
      <c r="AW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" s="81"/>
      <c r="AY74" s="81"/>
      <c r="AZ74" s="81">
        <f>Prog_236[[#This Row],[VLR NF]]*0.1%</f>
        <v>0</v>
      </c>
      <c r="BA74" s="81">
        <f>Prog_236[[#This Row],[VLR NF]]*0.05%</f>
        <v>0</v>
      </c>
      <c r="BB74" s="81"/>
      <c r="BC74" s="81"/>
      <c r="BD74" s="81"/>
      <c r="BE74" s="81"/>
      <c r="BF74" s="81"/>
      <c r="BG74" s="81"/>
      <c r="BH74" s="81"/>
      <c r="BI74" s="81"/>
      <c r="BJ74" s="81"/>
      <c r="BK74" s="81"/>
      <c r="BL74" s="66"/>
      <c r="BM74" s="66"/>
      <c r="BN74" s="66"/>
      <c r="BO74" s="66" t="str">
        <f>PROPER(TEXT(Prog_236[[#This Row],[PROGRAMAÇÃO CLIENTE]],"mmm"))</f>
        <v>Jan</v>
      </c>
      <c r="BP74" s="66">
        <f>YEAR(Prog_236[[#This Row],[PROGRAMAÇÃO CLIENTE]])</f>
        <v>1900</v>
      </c>
    </row>
    <row r="75" spans="1:68" x14ac:dyDescent="0.25">
      <c r="A75" s="200">
        <f>Prog_236[[#This Row],[CONTEINER]]</f>
        <v>0</v>
      </c>
      <c r="B75" s="86"/>
      <c r="C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" s="85"/>
      <c r="E75" s="66"/>
      <c r="F75" s="66"/>
      <c r="G75" s="66"/>
      <c r="H75" s="44"/>
      <c r="I75" s="44"/>
      <c r="J75" s="66"/>
      <c r="K75" s="66"/>
      <c r="L75" s="66"/>
      <c r="M75" s="66"/>
      <c r="N75" s="66">
        <f>SUM(Prog_236[[#This Row],[TARA]]+Prog_236[[#This Row],[PESO]])</f>
        <v>0</v>
      </c>
      <c r="O75" s="44"/>
      <c r="P75" s="66"/>
      <c r="Q75" s="66"/>
      <c r="R75" s="66"/>
      <c r="S75" s="66"/>
      <c r="T75" s="138" t="str">
        <f>IFERROR(LOOKUP($S75,MOTORISTAS!$D$3:$D$1048576,MOTORISTAS!E$3:$E$1048576),"")</f>
        <v/>
      </c>
      <c r="U75" s="138" t="str">
        <f>IFERROR(LOOKUP($S75,MOTORISTAS!$D$3:$D$1048576,MOTORISTAS!F$3:$F$1048576),"")</f>
        <v/>
      </c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44"/>
      <c r="AG75" s="254">
        <f>Prog_236[[#This Row],[SAÍDA DO CLIENTE]]-Prog_236[[#This Row],[PROGRAMAÇÃO CLIENTE]]</f>
        <v>0</v>
      </c>
      <c r="AH75" s="44"/>
      <c r="AI75" s="66"/>
      <c r="AJ75" s="66"/>
      <c r="AK75" s="66"/>
      <c r="AL75" s="66"/>
      <c r="AM75" s="66"/>
      <c r="AN75" s="83"/>
      <c r="AO75" s="66"/>
      <c r="AP75" s="66"/>
      <c r="AQ75" s="66"/>
      <c r="AR75" s="81"/>
      <c r="AS75" s="81"/>
      <c r="AT75" s="81"/>
      <c r="AU75" s="81"/>
      <c r="AV75" s="83">
        <f>SUM(Prog_236[[#This Row],[ADIANTAMENTO]]+Prog_236[[#This Row],[SALDO]]+Prog_236[[#This Row],[MARGEM]]+Prog_236[[#This Row],[ESTADIA 1]])</f>
        <v>0</v>
      </c>
      <c r="AW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" s="81"/>
      <c r="AY75" s="81"/>
      <c r="AZ75" s="81">
        <f>Prog_236[[#This Row],[VLR NF]]*0.1%</f>
        <v>0</v>
      </c>
      <c r="BA75" s="81">
        <f>Prog_236[[#This Row],[VLR NF]]*0.05%</f>
        <v>0</v>
      </c>
      <c r="BB75" s="81"/>
      <c r="BC75" s="81"/>
      <c r="BD75" s="81"/>
      <c r="BE75" s="81"/>
      <c r="BF75" s="81"/>
      <c r="BG75" s="81"/>
      <c r="BH75" s="81"/>
      <c r="BI75" s="81"/>
      <c r="BJ75" s="81"/>
      <c r="BK75" s="81"/>
      <c r="BL75" s="66"/>
      <c r="BM75" s="66"/>
      <c r="BN75" s="66"/>
      <c r="BO75" s="66" t="str">
        <f>PROPER(TEXT(Prog_236[[#This Row],[PROGRAMAÇÃO CLIENTE]],"mmm"))</f>
        <v>Jan</v>
      </c>
      <c r="BP75" s="66">
        <f>YEAR(Prog_236[[#This Row],[PROGRAMAÇÃO CLIENTE]])</f>
        <v>1900</v>
      </c>
    </row>
    <row r="76" spans="1:68" x14ac:dyDescent="0.25">
      <c r="A76" s="201">
        <f>Prog_236[[#This Row],[CONTEINER]]</f>
        <v>0</v>
      </c>
      <c r="B76" s="86"/>
      <c r="C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" s="85"/>
      <c r="E76" s="66"/>
      <c r="F76" s="66"/>
      <c r="G76" s="66"/>
      <c r="H76" s="44"/>
      <c r="I76" s="44"/>
      <c r="J76" s="66"/>
      <c r="K76" s="66"/>
      <c r="L76" s="66"/>
      <c r="M76" s="66"/>
      <c r="N76" s="66">
        <f>SUM(Prog_236[[#This Row],[TARA]]+Prog_236[[#This Row],[PESO]])</f>
        <v>0</v>
      </c>
      <c r="O76" s="44"/>
      <c r="P76" s="66"/>
      <c r="Q76" s="66"/>
      <c r="R76" s="66"/>
      <c r="S76" s="66"/>
      <c r="T76" s="138" t="str">
        <f>IFERROR(LOOKUP($S76,MOTORISTAS!$D$3:$D$1048576,MOTORISTAS!E$3:$E$1048576),"")</f>
        <v/>
      </c>
      <c r="U76" s="138" t="str">
        <f>IFERROR(LOOKUP($S76,MOTORISTAS!$D$3:$D$1048576,MOTORISTAS!F$3:$F$1048576),"")</f>
        <v/>
      </c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44"/>
      <c r="AG76" s="254">
        <f>Prog_236[[#This Row],[SAÍDA DO CLIENTE]]-Prog_236[[#This Row],[PROGRAMAÇÃO CLIENTE]]</f>
        <v>0</v>
      </c>
      <c r="AH76" s="44"/>
      <c r="AI76" s="66"/>
      <c r="AJ76" s="66"/>
      <c r="AK76" s="66"/>
      <c r="AL76" s="66"/>
      <c r="AM76" s="66"/>
      <c r="AN76" s="83"/>
      <c r="AO76" s="66"/>
      <c r="AP76" s="66"/>
      <c r="AQ76" s="66"/>
      <c r="AR76" s="81"/>
      <c r="AS76" s="81"/>
      <c r="AT76" s="81"/>
      <c r="AU76" s="81"/>
      <c r="AV76" s="83">
        <f>SUM(Prog_236[[#This Row],[ADIANTAMENTO]]+Prog_236[[#This Row],[SALDO]]+Prog_236[[#This Row],[MARGEM]]+Prog_236[[#This Row],[ESTADIA 1]])</f>
        <v>0</v>
      </c>
      <c r="AW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" s="81"/>
      <c r="AY76" s="81"/>
      <c r="AZ76" s="81">
        <f>Prog_236[[#This Row],[VLR NF]]*0.1%</f>
        <v>0</v>
      </c>
      <c r="BA76" s="81">
        <f>Prog_236[[#This Row],[VLR NF]]*0.05%</f>
        <v>0</v>
      </c>
      <c r="BB76" s="81"/>
      <c r="BC76" s="81"/>
      <c r="BD76" s="81"/>
      <c r="BE76" s="81"/>
      <c r="BF76" s="81"/>
      <c r="BG76" s="81"/>
      <c r="BH76" s="81"/>
      <c r="BI76" s="81"/>
      <c r="BJ76" s="81"/>
      <c r="BK76" s="81"/>
      <c r="BL76" s="66"/>
      <c r="BM76" s="66"/>
      <c r="BN76" s="66"/>
      <c r="BO76" s="66" t="str">
        <f>PROPER(TEXT(Prog_236[[#This Row],[PROGRAMAÇÃO CLIENTE]],"mmm"))</f>
        <v>Jan</v>
      </c>
      <c r="BP76" s="66">
        <f>YEAR(Prog_236[[#This Row],[PROGRAMAÇÃO CLIENTE]])</f>
        <v>1900</v>
      </c>
    </row>
    <row r="77" spans="1:68" x14ac:dyDescent="0.25">
      <c r="A77" s="200">
        <f>Prog_236[[#This Row],[CONTEINER]]</f>
        <v>0</v>
      </c>
      <c r="B77" s="86"/>
      <c r="C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" s="85"/>
      <c r="E77" s="66"/>
      <c r="F77" s="66"/>
      <c r="G77" s="66"/>
      <c r="H77" s="44"/>
      <c r="I77" s="44"/>
      <c r="J77" s="66"/>
      <c r="K77" s="66"/>
      <c r="L77" s="66"/>
      <c r="M77" s="66"/>
      <c r="N77" s="66">
        <f>SUM(Prog_236[[#This Row],[TARA]]+Prog_236[[#This Row],[PESO]])</f>
        <v>0</v>
      </c>
      <c r="O77" s="44"/>
      <c r="P77" s="66"/>
      <c r="Q77" s="66"/>
      <c r="R77" s="66"/>
      <c r="S77" s="66"/>
      <c r="T77" s="138" t="str">
        <f>IFERROR(LOOKUP($S77,MOTORISTAS!$D$3:$D$1048576,MOTORISTAS!E$3:$E$1048576),"")</f>
        <v/>
      </c>
      <c r="U77" s="138" t="str">
        <f>IFERROR(LOOKUP($S77,MOTORISTAS!$D$3:$D$1048576,MOTORISTAS!F$3:$F$1048576),"")</f>
        <v/>
      </c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44"/>
      <c r="AG77" s="254">
        <f>Prog_236[[#This Row],[SAÍDA DO CLIENTE]]-Prog_236[[#This Row],[PROGRAMAÇÃO CLIENTE]]</f>
        <v>0</v>
      </c>
      <c r="AH77" s="44"/>
      <c r="AI77" s="66"/>
      <c r="AJ77" s="66"/>
      <c r="AK77" s="66"/>
      <c r="AL77" s="66"/>
      <c r="AM77" s="66"/>
      <c r="AN77" s="83"/>
      <c r="AO77" s="66"/>
      <c r="AP77" s="66"/>
      <c r="AQ77" s="66"/>
      <c r="AR77" s="81"/>
      <c r="AS77" s="81"/>
      <c r="AT77" s="81"/>
      <c r="AU77" s="81"/>
      <c r="AV77" s="83">
        <f>SUM(Prog_236[[#This Row],[ADIANTAMENTO]]+Prog_236[[#This Row],[SALDO]]+Prog_236[[#This Row],[MARGEM]]+Prog_236[[#This Row],[ESTADIA 1]])</f>
        <v>0</v>
      </c>
      <c r="AW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" s="81"/>
      <c r="AY77" s="81"/>
      <c r="AZ77" s="81">
        <f>Prog_236[[#This Row],[VLR NF]]*0.1%</f>
        <v>0</v>
      </c>
      <c r="BA77" s="81">
        <f>Prog_236[[#This Row],[VLR NF]]*0.05%</f>
        <v>0</v>
      </c>
      <c r="BB77" s="81"/>
      <c r="BC77" s="81"/>
      <c r="BD77" s="81"/>
      <c r="BE77" s="81"/>
      <c r="BF77" s="81"/>
      <c r="BG77" s="81"/>
      <c r="BH77" s="81"/>
      <c r="BI77" s="81"/>
      <c r="BJ77" s="81"/>
      <c r="BK77" s="81"/>
      <c r="BL77" s="66"/>
      <c r="BM77" s="66"/>
      <c r="BN77" s="66"/>
      <c r="BO77" s="66" t="str">
        <f>PROPER(TEXT(Prog_236[[#This Row],[PROGRAMAÇÃO CLIENTE]],"mmm"))</f>
        <v>Jan</v>
      </c>
      <c r="BP77" s="66">
        <f>YEAR(Prog_236[[#This Row],[PROGRAMAÇÃO CLIENTE]])</f>
        <v>1900</v>
      </c>
    </row>
    <row r="78" spans="1:68" x14ac:dyDescent="0.25">
      <c r="A78" s="201">
        <f>Prog_236[[#This Row],[CONTEINER]]</f>
        <v>0</v>
      </c>
      <c r="B78" s="86"/>
      <c r="C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" s="85"/>
      <c r="E78" s="66"/>
      <c r="F78" s="66"/>
      <c r="G78" s="66"/>
      <c r="H78" s="44"/>
      <c r="I78" s="44"/>
      <c r="J78" s="66"/>
      <c r="K78" s="66"/>
      <c r="L78" s="66"/>
      <c r="M78" s="66"/>
      <c r="N78" s="66">
        <f>SUM(Prog_236[[#This Row],[TARA]]+Prog_236[[#This Row],[PESO]])</f>
        <v>0</v>
      </c>
      <c r="O78" s="44"/>
      <c r="P78" s="66"/>
      <c r="Q78" s="66"/>
      <c r="R78" s="66"/>
      <c r="S78" s="66"/>
      <c r="T78" s="138" t="str">
        <f>IFERROR(LOOKUP($S78,MOTORISTAS!$D$3:$D$1048576,MOTORISTAS!E$3:$E$1048576),"")</f>
        <v/>
      </c>
      <c r="U78" s="138" t="str">
        <f>IFERROR(LOOKUP($S78,MOTORISTAS!$D$3:$D$1048576,MOTORISTAS!F$3:$F$1048576),"")</f>
        <v/>
      </c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44"/>
      <c r="AG78" s="254">
        <f>Prog_236[[#This Row],[SAÍDA DO CLIENTE]]-Prog_236[[#This Row],[PROGRAMAÇÃO CLIENTE]]</f>
        <v>0</v>
      </c>
      <c r="AH78" s="44"/>
      <c r="AI78" s="66"/>
      <c r="AJ78" s="66"/>
      <c r="AK78" s="66"/>
      <c r="AL78" s="66"/>
      <c r="AM78" s="66"/>
      <c r="AN78" s="83"/>
      <c r="AO78" s="66"/>
      <c r="AP78" s="66"/>
      <c r="AQ78" s="66"/>
      <c r="AR78" s="81"/>
      <c r="AS78" s="81"/>
      <c r="AT78" s="81"/>
      <c r="AU78" s="81"/>
      <c r="AV78" s="83">
        <f>SUM(Prog_236[[#This Row],[ADIANTAMENTO]]+Prog_236[[#This Row],[SALDO]]+Prog_236[[#This Row],[MARGEM]]+Prog_236[[#This Row],[ESTADIA 1]])</f>
        <v>0</v>
      </c>
      <c r="AW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" s="81"/>
      <c r="AY78" s="81"/>
      <c r="AZ78" s="81">
        <f>Prog_236[[#This Row],[VLR NF]]*0.1%</f>
        <v>0</v>
      </c>
      <c r="BA78" s="81">
        <f>Prog_236[[#This Row],[VLR NF]]*0.05%</f>
        <v>0</v>
      </c>
      <c r="BB78" s="81"/>
      <c r="BC78" s="81"/>
      <c r="BD78" s="81"/>
      <c r="BE78" s="81"/>
      <c r="BF78" s="81"/>
      <c r="BG78" s="81"/>
      <c r="BH78" s="81"/>
      <c r="BI78" s="81"/>
      <c r="BJ78" s="81"/>
      <c r="BK78" s="81"/>
      <c r="BL78" s="66"/>
      <c r="BM78" s="66"/>
      <c r="BN78" s="66"/>
      <c r="BO78" s="66" t="str">
        <f>PROPER(TEXT(Prog_236[[#This Row],[PROGRAMAÇÃO CLIENTE]],"mmm"))</f>
        <v>Jan</v>
      </c>
      <c r="BP78" s="66">
        <f>YEAR(Prog_236[[#This Row],[PROGRAMAÇÃO CLIENTE]])</f>
        <v>1900</v>
      </c>
    </row>
    <row r="79" spans="1:68" x14ac:dyDescent="0.25">
      <c r="A79" s="200">
        <f>Prog_236[[#This Row],[CONTEINER]]</f>
        <v>0</v>
      </c>
      <c r="B79" s="86"/>
      <c r="C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" s="85"/>
      <c r="E79" s="66"/>
      <c r="F79" s="66"/>
      <c r="G79" s="66"/>
      <c r="H79" s="44"/>
      <c r="I79" s="44"/>
      <c r="J79" s="66"/>
      <c r="K79" s="66"/>
      <c r="L79" s="66"/>
      <c r="M79" s="66"/>
      <c r="N79" s="66">
        <f>SUM(Prog_236[[#This Row],[TARA]]+Prog_236[[#This Row],[PESO]])</f>
        <v>0</v>
      </c>
      <c r="O79" s="44"/>
      <c r="P79" s="66"/>
      <c r="Q79" s="66"/>
      <c r="R79" s="66"/>
      <c r="S79" s="66"/>
      <c r="T79" s="138" t="str">
        <f>IFERROR(LOOKUP($S79,MOTORISTAS!$D$3:$D$1048576,MOTORISTAS!E$3:$E$1048576),"")</f>
        <v/>
      </c>
      <c r="U79" s="138" t="str">
        <f>IFERROR(LOOKUP($S79,MOTORISTAS!$D$3:$D$1048576,MOTORISTAS!F$3:$F$1048576),"")</f>
        <v/>
      </c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44"/>
      <c r="AG79" s="254">
        <f>Prog_236[[#This Row],[SAÍDA DO CLIENTE]]-Prog_236[[#This Row],[PROGRAMAÇÃO CLIENTE]]</f>
        <v>0</v>
      </c>
      <c r="AH79" s="44"/>
      <c r="AI79" s="66"/>
      <c r="AJ79" s="66"/>
      <c r="AK79" s="66"/>
      <c r="AL79" s="66"/>
      <c r="AM79" s="66"/>
      <c r="AN79" s="83"/>
      <c r="AO79" s="66"/>
      <c r="AP79" s="66"/>
      <c r="AQ79" s="66"/>
      <c r="AR79" s="81"/>
      <c r="AS79" s="81"/>
      <c r="AT79" s="81"/>
      <c r="AU79" s="81"/>
      <c r="AV79" s="83">
        <f>SUM(Prog_236[[#This Row],[ADIANTAMENTO]]+Prog_236[[#This Row],[SALDO]]+Prog_236[[#This Row],[MARGEM]]+Prog_236[[#This Row],[ESTADIA 1]])</f>
        <v>0</v>
      </c>
      <c r="AW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" s="81"/>
      <c r="AY79" s="81"/>
      <c r="AZ79" s="81">
        <f>Prog_236[[#This Row],[VLR NF]]*0.1%</f>
        <v>0</v>
      </c>
      <c r="BA79" s="81">
        <f>Prog_236[[#This Row],[VLR NF]]*0.05%</f>
        <v>0</v>
      </c>
      <c r="BB79" s="81"/>
      <c r="BC79" s="81"/>
      <c r="BD79" s="81"/>
      <c r="BE79" s="81"/>
      <c r="BF79" s="81"/>
      <c r="BG79" s="81"/>
      <c r="BH79" s="81"/>
      <c r="BI79" s="81"/>
      <c r="BJ79" s="81"/>
      <c r="BK79" s="81"/>
      <c r="BL79" s="66"/>
      <c r="BM79" s="66"/>
      <c r="BN79" s="66"/>
      <c r="BO79" s="66" t="str">
        <f>PROPER(TEXT(Prog_236[[#This Row],[PROGRAMAÇÃO CLIENTE]],"mmm"))</f>
        <v>Jan</v>
      </c>
      <c r="BP79" s="66">
        <f>YEAR(Prog_236[[#This Row],[PROGRAMAÇÃO CLIENTE]])</f>
        <v>1900</v>
      </c>
    </row>
    <row r="80" spans="1:68" x14ac:dyDescent="0.25">
      <c r="A80" s="201">
        <f>Prog_236[[#This Row],[CONTEINER]]</f>
        <v>0</v>
      </c>
      <c r="B80" s="86"/>
      <c r="C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" s="85"/>
      <c r="E80" s="66"/>
      <c r="F80" s="66"/>
      <c r="G80" s="66"/>
      <c r="H80" s="44"/>
      <c r="I80" s="44"/>
      <c r="J80" s="66"/>
      <c r="K80" s="66"/>
      <c r="L80" s="66"/>
      <c r="M80" s="66"/>
      <c r="N80" s="66">
        <f>SUM(Prog_236[[#This Row],[TARA]]+Prog_236[[#This Row],[PESO]])</f>
        <v>0</v>
      </c>
      <c r="O80" s="44"/>
      <c r="P80" s="66"/>
      <c r="Q80" s="66"/>
      <c r="R80" s="66"/>
      <c r="S80" s="66"/>
      <c r="T80" s="138" t="str">
        <f>IFERROR(LOOKUP($S80,MOTORISTAS!$D$3:$D$1048576,MOTORISTAS!E$3:$E$1048576),"")</f>
        <v/>
      </c>
      <c r="U80" s="138" t="str">
        <f>IFERROR(LOOKUP($S80,MOTORISTAS!$D$3:$D$1048576,MOTORISTAS!F$3:$F$1048576),"")</f>
        <v/>
      </c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44"/>
      <c r="AG80" s="254">
        <f>Prog_236[[#This Row],[SAÍDA DO CLIENTE]]-Prog_236[[#This Row],[PROGRAMAÇÃO CLIENTE]]</f>
        <v>0</v>
      </c>
      <c r="AH80" s="44"/>
      <c r="AI80" s="66"/>
      <c r="AJ80" s="66"/>
      <c r="AK80" s="66"/>
      <c r="AL80" s="66"/>
      <c r="AM80" s="66"/>
      <c r="AN80" s="83"/>
      <c r="AO80" s="66"/>
      <c r="AP80" s="66"/>
      <c r="AQ80" s="66"/>
      <c r="AR80" s="81"/>
      <c r="AS80" s="81"/>
      <c r="AT80" s="81"/>
      <c r="AU80" s="81"/>
      <c r="AV80" s="83">
        <f>SUM(Prog_236[[#This Row],[ADIANTAMENTO]]+Prog_236[[#This Row],[SALDO]]+Prog_236[[#This Row],[MARGEM]]+Prog_236[[#This Row],[ESTADIA 1]])</f>
        <v>0</v>
      </c>
      <c r="AW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" s="81"/>
      <c r="AY80" s="81"/>
      <c r="AZ80" s="81">
        <f>Prog_236[[#This Row],[VLR NF]]*0.1%</f>
        <v>0</v>
      </c>
      <c r="BA80" s="81">
        <f>Prog_236[[#This Row],[VLR NF]]*0.05%</f>
        <v>0</v>
      </c>
      <c r="BB80" s="81"/>
      <c r="BC80" s="81"/>
      <c r="BD80" s="81"/>
      <c r="BE80" s="81"/>
      <c r="BF80" s="81"/>
      <c r="BG80" s="81"/>
      <c r="BH80" s="81"/>
      <c r="BI80" s="81"/>
      <c r="BJ80" s="81"/>
      <c r="BK80" s="81"/>
      <c r="BL80" s="66"/>
      <c r="BM80" s="66"/>
      <c r="BN80" s="66"/>
      <c r="BO80" s="66" t="str">
        <f>PROPER(TEXT(Prog_236[[#This Row],[PROGRAMAÇÃO CLIENTE]],"mmm"))</f>
        <v>Jan</v>
      </c>
      <c r="BP80" s="66">
        <f>YEAR(Prog_236[[#This Row],[PROGRAMAÇÃO CLIENTE]])</f>
        <v>1900</v>
      </c>
    </row>
    <row r="81" spans="1:68" x14ac:dyDescent="0.25">
      <c r="A81" s="200">
        <f>Prog_236[[#This Row],[CONTEINER]]</f>
        <v>0</v>
      </c>
      <c r="B81" s="86"/>
      <c r="C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" s="85"/>
      <c r="E81" s="66"/>
      <c r="F81" s="66"/>
      <c r="G81" s="66"/>
      <c r="H81" s="44"/>
      <c r="I81" s="44"/>
      <c r="J81" s="66"/>
      <c r="K81" s="66"/>
      <c r="L81" s="66"/>
      <c r="M81" s="66"/>
      <c r="N81" s="66">
        <f>SUM(Prog_236[[#This Row],[TARA]]+Prog_236[[#This Row],[PESO]])</f>
        <v>0</v>
      </c>
      <c r="O81" s="44"/>
      <c r="P81" s="66"/>
      <c r="Q81" s="66"/>
      <c r="R81" s="66"/>
      <c r="S81" s="66"/>
      <c r="T81" s="138" t="str">
        <f>IFERROR(LOOKUP($S81,MOTORISTAS!$D$3:$D$1048576,MOTORISTAS!E$3:$E$1048576),"")</f>
        <v/>
      </c>
      <c r="U81" s="138" t="str">
        <f>IFERROR(LOOKUP($S81,MOTORISTAS!$D$3:$D$1048576,MOTORISTAS!F$3:$F$1048576),"")</f>
        <v/>
      </c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44"/>
      <c r="AG81" s="254">
        <f>Prog_236[[#This Row],[SAÍDA DO CLIENTE]]-Prog_236[[#This Row],[PROGRAMAÇÃO CLIENTE]]</f>
        <v>0</v>
      </c>
      <c r="AH81" s="44"/>
      <c r="AI81" s="66"/>
      <c r="AJ81" s="66"/>
      <c r="AK81" s="66"/>
      <c r="AL81" s="66"/>
      <c r="AM81" s="66"/>
      <c r="AN81" s="83"/>
      <c r="AO81" s="66"/>
      <c r="AP81" s="66"/>
      <c r="AQ81" s="66"/>
      <c r="AR81" s="81"/>
      <c r="AS81" s="81"/>
      <c r="AT81" s="81"/>
      <c r="AU81" s="81"/>
      <c r="AV81" s="83">
        <f>SUM(Prog_236[[#This Row],[ADIANTAMENTO]]+Prog_236[[#This Row],[SALDO]]+Prog_236[[#This Row],[MARGEM]]+Prog_236[[#This Row],[ESTADIA 1]])</f>
        <v>0</v>
      </c>
      <c r="AW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" s="81"/>
      <c r="AY81" s="81"/>
      <c r="AZ81" s="81">
        <f>Prog_236[[#This Row],[VLR NF]]*0.1%</f>
        <v>0</v>
      </c>
      <c r="BA81" s="81">
        <f>Prog_236[[#This Row],[VLR NF]]*0.05%</f>
        <v>0</v>
      </c>
      <c r="BB81" s="81"/>
      <c r="BC81" s="81"/>
      <c r="BD81" s="81"/>
      <c r="BE81" s="81"/>
      <c r="BF81" s="81"/>
      <c r="BG81" s="81"/>
      <c r="BH81" s="81"/>
      <c r="BI81" s="81"/>
      <c r="BJ81" s="81"/>
      <c r="BK81" s="81"/>
      <c r="BL81" s="66"/>
      <c r="BM81" s="66"/>
      <c r="BN81" s="66"/>
      <c r="BO81" s="66" t="str">
        <f>PROPER(TEXT(Prog_236[[#This Row],[PROGRAMAÇÃO CLIENTE]],"mmm"))</f>
        <v>Jan</v>
      </c>
      <c r="BP81" s="66">
        <f>YEAR(Prog_236[[#This Row],[PROGRAMAÇÃO CLIENTE]])</f>
        <v>1900</v>
      </c>
    </row>
    <row r="82" spans="1:68" x14ac:dyDescent="0.25">
      <c r="A82" s="201">
        <f>Prog_236[[#This Row],[CONTEINER]]</f>
        <v>0</v>
      </c>
      <c r="B82" s="86"/>
      <c r="C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" s="85"/>
      <c r="E82" s="66"/>
      <c r="F82" s="66"/>
      <c r="G82" s="66"/>
      <c r="H82" s="44"/>
      <c r="I82" s="44"/>
      <c r="J82" s="66"/>
      <c r="K82" s="66"/>
      <c r="L82" s="66"/>
      <c r="M82" s="66"/>
      <c r="N82" s="66">
        <f>SUM(Prog_236[[#This Row],[TARA]]+Prog_236[[#This Row],[PESO]])</f>
        <v>0</v>
      </c>
      <c r="O82" s="44"/>
      <c r="P82" s="66"/>
      <c r="Q82" s="66"/>
      <c r="R82" s="66"/>
      <c r="S82" s="66"/>
      <c r="T82" s="138" t="str">
        <f>IFERROR(LOOKUP($S82,MOTORISTAS!$D$3:$D$1048576,MOTORISTAS!E$3:$E$1048576),"")</f>
        <v/>
      </c>
      <c r="U82" s="138" t="str">
        <f>IFERROR(LOOKUP($S82,MOTORISTAS!$D$3:$D$1048576,MOTORISTAS!F$3:$F$1048576),"")</f>
        <v/>
      </c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44"/>
      <c r="AG82" s="254">
        <f>Prog_236[[#This Row],[SAÍDA DO CLIENTE]]-Prog_236[[#This Row],[PROGRAMAÇÃO CLIENTE]]</f>
        <v>0</v>
      </c>
      <c r="AH82" s="44"/>
      <c r="AI82" s="66"/>
      <c r="AJ82" s="66"/>
      <c r="AK82" s="66"/>
      <c r="AL82" s="66"/>
      <c r="AM82" s="66"/>
      <c r="AN82" s="83"/>
      <c r="AO82" s="66"/>
      <c r="AP82" s="66"/>
      <c r="AQ82" s="66"/>
      <c r="AR82" s="81"/>
      <c r="AS82" s="81"/>
      <c r="AT82" s="81"/>
      <c r="AU82" s="81"/>
      <c r="AV82" s="83">
        <f>SUM(Prog_236[[#This Row],[ADIANTAMENTO]]+Prog_236[[#This Row],[SALDO]]+Prog_236[[#This Row],[MARGEM]]+Prog_236[[#This Row],[ESTADIA 1]])</f>
        <v>0</v>
      </c>
      <c r="AW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" s="81"/>
      <c r="AY82" s="81"/>
      <c r="AZ82" s="81">
        <f>Prog_236[[#This Row],[VLR NF]]*0.1%</f>
        <v>0</v>
      </c>
      <c r="BA82" s="81">
        <f>Prog_236[[#This Row],[VLR NF]]*0.05%</f>
        <v>0</v>
      </c>
      <c r="BB82" s="81"/>
      <c r="BC82" s="81"/>
      <c r="BD82" s="81"/>
      <c r="BE82" s="81"/>
      <c r="BF82" s="81"/>
      <c r="BG82" s="81"/>
      <c r="BH82" s="81"/>
      <c r="BI82" s="81"/>
      <c r="BJ82" s="81"/>
      <c r="BK82" s="81"/>
      <c r="BL82" s="66"/>
      <c r="BM82" s="66"/>
      <c r="BN82" s="66"/>
      <c r="BO82" s="66" t="str">
        <f>PROPER(TEXT(Prog_236[[#This Row],[PROGRAMAÇÃO CLIENTE]],"mmm"))</f>
        <v>Jan</v>
      </c>
      <c r="BP82" s="66">
        <f>YEAR(Prog_236[[#This Row],[PROGRAMAÇÃO CLIENTE]])</f>
        <v>1900</v>
      </c>
    </row>
    <row r="83" spans="1:68" x14ac:dyDescent="0.25">
      <c r="A83" s="200">
        <f>Prog_236[[#This Row],[CONTEINER]]</f>
        <v>0</v>
      </c>
      <c r="B83" s="86"/>
      <c r="C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" s="85"/>
      <c r="E83" s="66"/>
      <c r="F83" s="66"/>
      <c r="G83" s="66"/>
      <c r="H83" s="44"/>
      <c r="I83" s="44"/>
      <c r="J83" s="66"/>
      <c r="K83" s="66"/>
      <c r="L83" s="66"/>
      <c r="M83" s="66"/>
      <c r="N83" s="66">
        <f>SUM(Prog_236[[#This Row],[TARA]]+Prog_236[[#This Row],[PESO]])</f>
        <v>0</v>
      </c>
      <c r="O83" s="44"/>
      <c r="P83" s="66"/>
      <c r="Q83" s="66"/>
      <c r="R83" s="66"/>
      <c r="S83" s="66"/>
      <c r="T83" s="138" t="str">
        <f>IFERROR(LOOKUP($S83,MOTORISTAS!$D$3:$D$1048576,MOTORISTAS!E$3:$E$1048576),"")</f>
        <v/>
      </c>
      <c r="U83" s="138" t="str">
        <f>IFERROR(LOOKUP($S83,MOTORISTAS!$D$3:$D$1048576,MOTORISTAS!F$3:$F$1048576),"")</f>
        <v/>
      </c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44"/>
      <c r="AG83" s="254">
        <f>Prog_236[[#This Row],[SAÍDA DO CLIENTE]]-Prog_236[[#This Row],[PROGRAMAÇÃO CLIENTE]]</f>
        <v>0</v>
      </c>
      <c r="AH83" s="44"/>
      <c r="AI83" s="66"/>
      <c r="AJ83" s="66"/>
      <c r="AK83" s="66"/>
      <c r="AL83" s="66"/>
      <c r="AM83" s="66"/>
      <c r="AN83" s="83"/>
      <c r="AO83" s="66"/>
      <c r="AP83" s="66"/>
      <c r="AQ83" s="66"/>
      <c r="AR83" s="81"/>
      <c r="AS83" s="81"/>
      <c r="AT83" s="81"/>
      <c r="AU83" s="81"/>
      <c r="AV83" s="83">
        <f>SUM(Prog_236[[#This Row],[ADIANTAMENTO]]+Prog_236[[#This Row],[SALDO]]+Prog_236[[#This Row],[MARGEM]]+Prog_236[[#This Row],[ESTADIA 1]])</f>
        <v>0</v>
      </c>
      <c r="AW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" s="81"/>
      <c r="AY83" s="81"/>
      <c r="AZ83" s="81">
        <f>Prog_236[[#This Row],[VLR NF]]*0.1%</f>
        <v>0</v>
      </c>
      <c r="BA83" s="81">
        <f>Prog_236[[#This Row],[VLR NF]]*0.05%</f>
        <v>0</v>
      </c>
      <c r="BB83" s="81"/>
      <c r="BC83" s="81"/>
      <c r="BD83" s="81"/>
      <c r="BE83" s="81"/>
      <c r="BF83" s="81"/>
      <c r="BG83" s="81"/>
      <c r="BH83" s="81"/>
      <c r="BI83" s="81"/>
      <c r="BJ83" s="81"/>
      <c r="BK83" s="81"/>
      <c r="BL83" s="66"/>
      <c r="BM83" s="66"/>
      <c r="BN83" s="66"/>
      <c r="BO83" s="66" t="str">
        <f>PROPER(TEXT(Prog_236[[#This Row],[PROGRAMAÇÃO CLIENTE]],"mmm"))</f>
        <v>Jan</v>
      </c>
      <c r="BP83" s="66">
        <f>YEAR(Prog_236[[#This Row],[PROGRAMAÇÃO CLIENTE]])</f>
        <v>1900</v>
      </c>
    </row>
    <row r="84" spans="1:68" x14ac:dyDescent="0.25">
      <c r="A84" s="201">
        <f>Prog_236[[#This Row],[CONTEINER]]</f>
        <v>0</v>
      </c>
      <c r="B84" s="86"/>
      <c r="C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" s="85"/>
      <c r="E84" s="66"/>
      <c r="F84" s="66"/>
      <c r="G84" s="66"/>
      <c r="H84" s="44"/>
      <c r="I84" s="44"/>
      <c r="J84" s="66"/>
      <c r="K84" s="66"/>
      <c r="L84" s="66"/>
      <c r="M84" s="66"/>
      <c r="N84" s="66">
        <f>SUM(Prog_236[[#This Row],[TARA]]+Prog_236[[#This Row],[PESO]])</f>
        <v>0</v>
      </c>
      <c r="O84" s="44"/>
      <c r="P84" s="66"/>
      <c r="Q84" s="66"/>
      <c r="R84" s="66"/>
      <c r="S84" s="66"/>
      <c r="T84" s="138" t="str">
        <f>IFERROR(LOOKUP($S84,MOTORISTAS!$D$3:$D$1048576,MOTORISTAS!E$3:$E$1048576),"")</f>
        <v/>
      </c>
      <c r="U84" s="138" t="str">
        <f>IFERROR(LOOKUP($S84,MOTORISTAS!$D$3:$D$1048576,MOTORISTAS!F$3:$F$1048576),"")</f>
        <v/>
      </c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44"/>
      <c r="AG84" s="254">
        <f>Prog_236[[#This Row],[SAÍDA DO CLIENTE]]-Prog_236[[#This Row],[PROGRAMAÇÃO CLIENTE]]</f>
        <v>0</v>
      </c>
      <c r="AH84" s="44"/>
      <c r="AI84" s="66"/>
      <c r="AJ84" s="66"/>
      <c r="AK84" s="66"/>
      <c r="AL84" s="66"/>
      <c r="AM84" s="66"/>
      <c r="AN84" s="83"/>
      <c r="AO84" s="66"/>
      <c r="AP84" s="66"/>
      <c r="AQ84" s="66"/>
      <c r="AR84" s="81"/>
      <c r="AS84" s="81"/>
      <c r="AT84" s="81"/>
      <c r="AU84" s="81"/>
      <c r="AV84" s="83">
        <f>SUM(Prog_236[[#This Row],[ADIANTAMENTO]]+Prog_236[[#This Row],[SALDO]]+Prog_236[[#This Row],[MARGEM]]+Prog_236[[#This Row],[ESTADIA 1]])</f>
        <v>0</v>
      </c>
      <c r="AW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" s="81"/>
      <c r="AY84" s="81"/>
      <c r="AZ84" s="81">
        <f>Prog_236[[#This Row],[VLR NF]]*0.1%</f>
        <v>0</v>
      </c>
      <c r="BA84" s="81">
        <f>Prog_236[[#This Row],[VLR NF]]*0.05%</f>
        <v>0</v>
      </c>
      <c r="BB84" s="81"/>
      <c r="BC84" s="81"/>
      <c r="BD84" s="81"/>
      <c r="BE84" s="81"/>
      <c r="BF84" s="81"/>
      <c r="BG84" s="81"/>
      <c r="BH84" s="81"/>
      <c r="BI84" s="81"/>
      <c r="BJ84" s="81"/>
      <c r="BK84" s="81"/>
      <c r="BL84" s="66"/>
      <c r="BM84" s="66"/>
      <c r="BN84" s="66"/>
      <c r="BO84" s="66" t="str">
        <f>PROPER(TEXT(Prog_236[[#This Row],[PROGRAMAÇÃO CLIENTE]],"mmm"))</f>
        <v>Jan</v>
      </c>
      <c r="BP84" s="66">
        <f>YEAR(Prog_236[[#This Row],[PROGRAMAÇÃO CLIENTE]])</f>
        <v>1900</v>
      </c>
    </row>
    <row r="85" spans="1:68" x14ac:dyDescent="0.25">
      <c r="A85" s="200">
        <f>Prog_236[[#This Row],[CONTEINER]]</f>
        <v>0</v>
      </c>
      <c r="B85" s="86"/>
      <c r="C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" s="85"/>
      <c r="E85" s="66"/>
      <c r="F85" s="66"/>
      <c r="G85" s="66"/>
      <c r="H85" s="44"/>
      <c r="I85" s="44"/>
      <c r="J85" s="66"/>
      <c r="K85" s="66"/>
      <c r="L85" s="66"/>
      <c r="M85" s="66"/>
      <c r="N85" s="66">
        <f>SUM(Prog_236[[#This Row],[TARA]]+Prog_236[[#This Row],[PESO]])</f>
        <v>0</v>
      </c>
      <c r="O85" s="44"/>
      <c r="P85" s="66"/>
      <c r="Q85" s="66"/>
      <c r="R85" s="66"/>
      <c r="S85" s="66"/>
      <c r="T85" s="138" t="str">
        <f>IFERROR(LOOKUP($S85,MOTORISTAS!$D$3:$D$1048576,MOTORISTAS!E$3:$E$1048576),"")</f>
        <v/>
      </c>
      <c r="U85" s="138" t="str">
        <f>IFERROR(LOOKUP($S85,MOTORISTAS!$D$3:$D$1048576,MOTORISTAS!F$3:$F$1048576),"")</f>
        <v/>
      </c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44"/>
      <c r="AG85" s="254">
        <f>Prog_236[[#This Row],[SAÍDA DO CLIENTE]]-Prog_236[[#This Row],[PROGRAMAÇÃO CLIENTE]]</f>
        <v>0</v>
      </c>
      <c r="AH85" s="44"/>
      <c r="AI85" s="66"/>
      <c r="AJ85" s="66"/>
      <c r="AK85" s="66"/>
      <c r="AL85" s="66"/>
      <c r="AM85" s="66"/>
      <c r="AN85" s="83"/>
      <c r="AO85" s="66"/>
      <c r="AP85" s="66"/>
      <c r="AQ85" s="66"/>
      <c r="AR85" s="81"/>
      <c r="AS85" s="81"/>
      <c r="AT85" s="81"/>
      <c r="AU85" s="81"/>
      <c r="AV85" s="83">
        <f>SUM(Prog_236[[#This Row],[ADIANTAMENTO]]+Prog_236[[#This Row],[SALDO]]+Prog_236[[#This Row],[MARGEM]]+Prog_236[[#This Row],[ESTADIA 1]])</f>
        <v>0</v>
      </c>
      <c r="AW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" s="81"/>
      <c r="AY85" s="81"/>
      <c r="AZ85" s="81">
        <f>Prog_236[[#This Row],[VLR NF]]*0.1%</f>
        <v>0</v>
      </c>
      <c r="BA85" s="81">
        <f>Prog_236[[#This Row],[VLR NF]]*0.05%</f>
        <v>0</v>
      </c>
      <c r="BB85" s="81"/>
      <c r="BC85" s="81"/>
      <c r="BD85" s="81"/>
      <c r="BE85" s="81"/>
      <c r="BF85" s="81"/>
      <c r="BG85" s="81"/>
      <c r="BH85" s="81"/>
      <c r="BI85" s="81"/>
      <c r="BJ85" s="81"/>
      <c r="BK85" s="81"/>
      <c r="BL85" s="66"/>
      <c r="BM85" s="66"/>
      <c r="BN85" s="66"/>
      <c r="BO85" s="66" t="str">
        <f>PROPER(TEXT(Prog_236[[#This Row],[PROGRAMAÇÃO CLIENTE]],"mmm"))</f>
        <v>Jan</v>
      </c>
      <c r="BP85" s="66">
        <f>YEAR(Prog_236[[#This Row],[PROGRAMAÇÃO CLIENTE]])</f>
        <v>1900</v>
      </c>
    </row>
    <row r="86" spans="1:68" x14ac:dyDescent="0.25">
      <c r="A86" s="201">
        <f>Prog_236[[#This Row],[CONTEINER]]</f>
        <v>0</v>
      </c>
      <c r="B86" s="86"/>
      <c r="C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" s="85"/>
      <c r="E86" s="66"/>
      <c r="F86" s="66"/>
      <c r="G86" s="66"/>
      <c r="H86" s="44"/>
      <c r="I86" s="44"/>
      <c r="J86" s="66"/>
      <c r="K86" s="66"/>
      <c r="L86" s="66"/>
      <c r="M86" s="66"/>
      <c r="N86" s="66">
        <f>SUM(Prog_236[[#This Row],[TARA]]+Prog_236[[#This Row],[PESO]])</f>
        <v>0</v>
      </c>
      <c r="O86" s="44"/>
      <c r="P86" s="66"/>
      <c r="Q86" s="66"/>
      <c r="R86" s="66"/>
      <c r="S86" s="66"/>
      <c r="T86" s="138" t="str">
        <f>IFERROR(LOOKUP($S86,MOTORISTAS!$D$3:$D$1048576,MOTORISTAS!E$3:$E$1048576),"")</f>
        <v/>
      </c>
      <c r="U86" s="138" t="str">
        <f>IFERROR(LOOKUP($S86,MOTORISTAS!$D$3:$D$1048576,MOTORISTAS!F$3:$F$1048576),"")</f>
        <v/>
      </c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44"/>
      <c r="AG86" s="254">
        <f>Prog_236[[#This Row],[SAÍDA DO CLIENTE]]-Prog_236[[#This Row],[PROGRAMAÇÃO CLIENTE]]</f>
        <v>0</v>
      </c>
      <c r="AH86" s="44"/>
      <c r="AI86" s="66"/>
      <c r="AJ86" s="66"/>
      <c r="AK86" s="66"/>
      <c r="AL86" s="66"/>
      <c r="AM86" s="66"/>
      <c r="AN86" s="83"/>
      <c r="AO86" s="66"/>
      <c r="AP86" s="66"/>
      <c r="AQ86" s="66"/>
      <c r="AR86" s="81"/>
      <c r="AS86" s="81"/>
      <c r="AT86" s="81"/>
      <c r="AU86" s="81"/>
      <c r="AV86" s="83">
        <f>SUM(Prog_236[[#This Row],[ADIANTAMENTO]]+Prog_236[[#This Row],[SALDO]]+Prog_236[[#This Row],[MARGEM]]+Prog_236[[#This Row],[ESTADIA 1]])</f>
        <v>0</v>
      </c>
      <c r="AW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" s="81"/>
      <c r="AY86" s="81"/>
      <c r="AZ86" s="81">
        <f>Prog_236[[#This Row],[VLR NF]]*0.1%</f>
        <v>0</v>
      </c>
      <c r="BA86" s="81">
        <f>Prog_236[[#This Row],[VLR NF]]*0.05%</f>
        <v>0</v>
      </c>
      <c r="BB86" s="81"/>
      <c r="BC86" s="81"/>
      <c r="BD86" s="81"/>
      <c r="BE86" s="81"/>
      <c r="BF86" s="81"/>
      <c r="BG86" s="81"/>
      <c r="BH86" s="81"/>
      <c r="BI86" s="81"/>
      <c r="BJ86" s="81"/>
      <c r="BK86" s="81"/>
      <c r="BL86" s="66"/>
      <c r="BM86" s="66"/>
      <c r="BN86" s="66"/>
      <c r="BO86" s="66" t="str">
        <f>PROPER(TEXT(Prog_236[[#This Row],[PROGRAMAÇÃO CLIENTE]],"mmm"))</f>
        <v>Jan</v>
      </c>
      <c r="BP86" s="66">
        <f>YEAR(Prog_236[[#This Row],[PROGRAMAÇÃO CLIENTE]])</f>
        <v>1900</v>
      </c>
    </row>
    <row r="87" spans="1:68" x14ac:dyDescent="0.25">
      <c r="A87" s="200">
        <f>Prog_236[[#This Row],[CONTEINER]]</f>
        <v>0</v>
      </c>
      <c r="B87" s="86"/>
      <c r="C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" s="85"/>
      <c r="E87" s="66"/>
      <c r="F87" s="66"/>
      <c r="G87" s="66"/>
      <c r="H87" s="44"/>
      <c r="I87" s="44"/>
      <c r="J87" s="66"/>
      <c r="K87" s="66"/>
      <c r="L87" s="66"/>
      <c r="M87" s="66"/>
      <c r="N87" s="66">
        <f>SUM(Prog_236[[#This Row],[TARA]]+Prog_236[[#This Row],[PESO]])</f>
        <v>0</v>
      </c>
      <c r="O87" s="44"/>
      <c r="P87" s="66"/>
      <c r="Q87" s="66"/>
      <c r="R87" s="66"/>
      <c r="S87" s="66"/>
      <c r="T87" s="138" t="str">
        <f>IFERROR(LOOKUP($S87,MOTORISTAS!$D$3:$D$1048576,MOTORISTAS!E$3:$E$1048576),"")</f>
        <v/>
      </c>
      <c r="U87" s="138" t="str">
        <f>IFERROR(LOOKUP($S87,MOTORISTAS!$D$3:$D$1048576,MOTORISTAS!F$3:$F$1048576),"")</f>
        <v/>
      </c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44"/>
      <c r="AG87" s="254">
        <f>Prog_236[[#This Row],[SAÍDA DO CLIENTE]]-Prog_236[[#This Row],[PROGRAMAÇÃO CLIENTE]]</f>
        <v>0</v>
      </c>
      <c r="AH87" s="44"/>
      <c r="AI87" s="66"/>
      <c r="AJ87" s="66"/>
      <c r="AK87" s="66"/>
      <c r="AL87" s="66"/>
      <c r="AM87" s="66"/>
      <c r="AN87" s="83"/>
      <c r="AO87" s="66"/>
      <c r="AP87" s="66"/>
      <c r="AQ87" s="66"/>
      <c r="AR87" s="81"/>
      <c r="AS87" s="81"/>
      <c r="AT87" s="81"/>
      <c r="AU87" s="81"/>
      <c r="AV87" s="83">
        <f>SUM(Prog_236[[#This Row],[ADIANTAMENTO]]+Prog_236[[#This Row],[SALDO]]+Prog_236[[#This Row],[MARGEM]]+Prog_236[[#This Row],[ESTADIA 1]])</f>
        <v>0</v>
      </c>
      <c r="AW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" s="81"/>
      <c r="AY87" s="81"/>
      <c r="AZ87" s="81">
        <f>Prog_236[[#This Row],[VLR NF]]*0.1%</f>
        <v>0</v>
      </c>
      <c r="BA87" s="81">
        <f>Prog_236[[#This Row],[VLR NF]]*0.05%</f>
        <v>0</v>
      </c>
      <c r="BB87" s="81"/>
      <c r="BC87" s="81"/>
      <c r="BD87" s="81"/>
      <c r="BE87" s="81"/>
      <c r="BF87" s="81"/>
      <c r="BG87" s="81"/>
      <c r="BH87" s="81"/>
      <c r="BI87" s="81"/>
      <c r="BJ87" s="81"/>
      <c r="BK87" s="81"/>
      <c r="BL87" s="66"/>
      <c r="BM87" s="66"/>
      <c r="BN87" s="66"/>
      <c r="BO87" s="66" t="str">
        <f>PROPER(TEXT(Prog_236[[#This Row],[PROGRAMAÇÃO CLIENTE]],"mmm"))</f>
        <v>Jan</v>
      </c>
      <c r="BP87" s="66">
        <f>YEAR(Prog_236[[#This Row],[PROGRAMAÇÃO CLIENTE]])</f>
        <v>1900</v>
      </c>
    </row>
    <row r="88" spans="1:68" x14ac:dyDescent="0.25">
      <c r="A88" s="201">
        <f>Prog_236[[#This Row],[CONTEINER]]</f>
        <v>0</v>
      </c>
      <c r="B88" s="86"/>
      <c r="C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" s="85"/>
      <c r="E88" s="66"/>
      <c r="F88" s="66"/>
      <c r="G88" s="66"/>
      <c r="H88" s="44"/>
      <c r="I88" s="44"/>
      <c r="J88" s="66"/>
      <c r="K88" s="66"/>
      <c r="L88" s="66"/>
      <c r="M88" s="66"/>
      <c r="N88" s="66">
        <f>SUM(Prog_236[[#This Row],[TARA]]+Prog_236[[#This Row],[PESO]])</f>
        <v>0</v>
      </c>
      <c r="O88" s="44"/>
      <c r="P88" s="66"/>
      <c r="Q88" s="66"/>
      <c r="R88" s="66"/>
      <c r="S88" s="66"/>
      <c r="T88" s="138" t="str">
        <f>IFERROR(LOOKUP($S88,MOTORISTAS!$D$3:$D$1048576,MOTORISTAS!E$3:$E$1048576),"")</f>
        <v/>
      </c>
      <c r="U88" s="138" t="str">
        <f>IFERROR(LOOKUP($S88,MOTORISTAS!$D$3:$D$1048576,MOTORISTAS!F$3:$F$1048576),"")</f>
        <v/>
      </c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44"/>
      <c r="AG88" s="254">
        <f>Prog_236[[#This Row],[SAÍDA DO CLIENTE]]-Prog_236[[#This Row],[PROGRAMAÇÃO CLIENTE]]</f>
        <v>0</v>
      </c>
      <c r="AH88" s="44"/>
      <c r="AI88" s="66"/>
      <c r="AJ88" s="66"/>
      <c r="AK88" s="66"/>
      <c r="AL88" s="66"/>
      <c r="AM88" s="66"/>
      <c r="AN88" s="83"/>
      <c r="AO88" s="66"/>
      <c r="AP88" s="66"/>
      <c r="AQ88" s="66"/>
      <c r="AR88" s="81"/>
      <c r="AS88" s="81"/>
      <c r="AT88" s="81"/>
      <c r="AU88" s="81"/>
      <c r="AV88" s="83">
        <f>SUM(Prog_236[[#This Row],[ADIANTAMENTO]]+Prog_236[[#This Row],[SALDO]]+Prog_236[[#This Row],[MARGEM]]+Prog_236[[#This Row],[ESTADIA 1]])</f>
        <v>0</v>
      </c>
      <c r="AW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" s="81"/>
      <c r="AY88" s="81"/>
      <c r="AZ88" s="81">
        <f>Prog_236[[#This Row],[VLR NF]]*0.1%</f>
        <v>0</v>
      </c>
      <c r="BA88" s="81">
        <f>Prog_236[[#This Row],[VLR NF]]*0.05%</f>
        <v>0</v>
      </c>
      <c r="BB88" s="81"/>
      <c r="BC88" s="81"/>
      <c r="BD88" s="81"/>
      <c r="BE88" s="81"/>
      <c r="BF88" s="81"/>
      <c r="BG88" s="81"/>
      <c r="BH88" s="81"/>
      <c r="BI88" s="81"/>
      <c r="BJ88" s="81"/>
      <c r="BK88" s="81"/>
      <c r="BL88" s="66"/>
      <c r="BM88" s="66"/>
      <c r="BN88" s="66"/>
      <c r="BO88" s="66" t="str">
        <f>PROPER(TEXT(Prog_236[[#This Row],[PROGRAMAÇÃO CLIENTE]],"mmm"))</f>
        <v>Jan</v>
      </c>
      <c r="BP88" s="66">
        <f>YEAR(Prog_236[[#This Row],[PROGRAMAÇÃO CLIENTE]])</f>
        <v>1900</v>
      </c>
    </row>
    <row r="89" spans="1:68" x14ac:dyDescent="0.25">
      <c r="A89" s="200">
        <f>Prog_236[[#This Row],[CONTEINER]]</f>
        <v>0</v>
      </c>
      <c r="B89" s="86"/>
      <c r="C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" s="85"/>
      <c r="E89" s="66"/>
      <c r="F89" s="66"/>
      <c r="G89" s="66"/>
      <c r="H89" s="44"/>
      <c r="I89" s="44"/>
      <c r="J89" s="66"/>
      <c r="K89" s="66"/>
      <c r="L89" s="66"/>
      <c r="M89" s="66"/>
      <c r="N89" s="66">
        <f>SUM(Prog_236[[#This Row],[TARA]]+Prog_236[[#This Row],[PESO]])</f>
        <v>0</v>
      </c>
      <c r="O89" s="44"/>
      <c r="P89" s="66"/>
      <c r="Q89" s="66"/>
      <c r="R89" s="66"/>
      <c r="S89" s="66"/>
      <c r="T89" s="138" t="str">
        <f>IFERROR(LOOKUP($S89,MOTORISTAS!$D$3:$D$1048576,MOTORISTAS!E$3:$E$1048576),"")</f>
        <v/>
      </c>
      <c r="U89" s="138" t="str">
        <f>IFERROR(LOOKUP($S89,MOTORISTAS!$D$3:$D$1048576,MOTORISTAS!F$3:$F$1048576),"")</f>
        <v/>
      </c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44"/>
      <c r="AG89" s="254">
        <f>Prog_236[[#This Row],[SAÍDA DO CLIENTE]]-Prog_236[[#This Row],[PROGRAMAÇÃO CLIENTE]]</f>
        <v>0</v>
      </c>
      <c r="AH89" s="44"/>
      <c r="AI89" s="66"/>
      <c r="AJ89" s="66"/>
      <c r="AK89" s="66"/>
      <c r="AL89" s="66"/>
      <c r="AM89" s="66"/>
      <c r="AN89" s="83"/>
      <c r="AO89" s="66"/>
      <c r="AP89" s="66"/>
      <c r="AQ89" s="66"/>
      <c r="AR89" s="81"/>
      <c r="AS89" s="81"/>
      <c r="AT89" s="81"/>
      <c r="AU89" s="81"/>
      <c r="AV89" s="83">
        <f>SUM(Prog_236[[#This Row],[ADIANTAMENTO]]+Prog_236[[#This Row],[SALDO]]+Prog_236[[#This Row],[MARGEM]]+Prog_236[[#This Row],[ESTADIA 1]])</f>
        <v>0</v>
      </c>
      <c r="AW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" s="81"/>
      <c r="AY89" s="81"/>
      <c r="AZ89" s="81">
        <f>Prog_236[[#This Row],[VLR NF]]*0.1%</f>
        <v>0</v>
      </c>
      <c r="BA89" s="81">
        <f>Prog_236[[#This Row],[VLR NF]]*0.05%</f>
        <v>0</v>
      </c>
      <c r="BB89" s="81"/>
      <c r="BC89" s="81"/>
      <c r="BD89" s="81"/>
      <c r="BE89" s="81"/>
      <c r="BF89" s="81"/>
      <c r="BG89" s="81"/>
      <c r="BH89" s="81"/>
      <c r="BI89" s="81"/>
      <c r="BJ89" s="81"/>
      <c r="BK89" s="81"/>
      <c r="BL89" s="66"/>
      <c r="BM89" s="66"/>
      <c r="BN89" s="66"/>
      <c r="BO89" s="66" t="str">
        <f>PROPER(TEXT(Prog_236[[#This Row],[PROGRAMAÇÃO CLIENTE]],"mmm"))</f>
        <v>Jan</v>
      </c>
      <c r="BP89" s="66">
        <f>YEAR(Prog_236[[#This Row],[PROGRAMAÇÃO CLIENTE]])</f>
        <v>1900</v>
      </c>
    </row>
    <row r="90" spans="1:68" x14ac:dyDescent="0.25">
      <c r="A90" s="201">
        <f>Prog_236[[#This Row],[CONTEINER]]</f>
        <v>0</v>
      </c>
      <c r="B90" s="86"/>
      <c r="C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" s="85"/>
      <c r="E90" s="66"/>
      <c r="F90" s="66"/>
      <c r="G90" s="66"/>
      <c r="H90" s="44"/>
      <c r="I90" s="44"/>
      <c r="J90" s="66"/>
      <c r="K90" s="66"/>
      <c r="L90" s="66"/>
      <c r="M90" s="66"/>
      <c r="N90" s="66">
        <f>SUM(Prog_236[[#This Row],[TARA]]+Prog_236[[#This Row],[PESO]])</f>
        <v>0</v>
      </c>
      <c r="O90" s="44"/>
      <c r="P90" s="66"/>
      <c r="Q90" s="66"/>
      <c r="R90" s="66"/>
      <c r="S90" s="66"/>
      <c r="T90" s="138" t="str">
        <f>IFERROR(LOOKUP($S90,MOTORISTAS!$D$3:$D$1048576,MOTORISTAS!E$3:$E$1048576),"")</f>
        <v/>
      </c>
      <c r="U90" s="138" t="str">
        <f>IFERROR(LOOKUP($S90,MOTORISTAS!$D$3:$D$1048576,MOTORISTAS!F$3:$F$1048576),"")</f>
        <v/>
      </c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44"/>
      <c r="AG90" s="254">
        <f>Prog_236[[#This Row],[SAÍDA DO CLIENTE]]-Prog_236[[#This Row],[PROGRAMAÇÃO CLIENTE]]</f>
        <v>0</v>
      </c>
      <c r="AH90" s="44"/>
      <c r="AI90" s="66"/>
      <c r="AJ90" s="66"/>
      <c r="AK90" s="66"/>
      <c r="AL90" s="66"/>
      <c r="AM90" s="66"/>
      <c r="AN90" s="83"/>
      <c r="AO90" s="66"/>
      <c r="AP90" s="66"/>
      <c r="AQ90" s="66"/>
      <c r="AR90" s="81"/>
      <c r="AS90" s="81"/>
      <c r="AT90" s="81"/>
      <c r="AU90" s="81"/>
      <c r="AV90" s="83">
        <f>SUM(Prog_236[[#This Row],[ADIANTAMENTO]]+Prog_236[[#This Row],[SALDO]]+Prog_236[[#This Row],[MARGEM]]+Prog_236[[#This Row],[ESTADIA 1]])</f>
        <v>0</v>
      </c>
      <c r="AW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" s="81"/>
      <c r="AY90" s="81"/>
      <c r="AZ90" s="81">
        <f>Prog_236[[#This Row],[VLR NF]]*0.1%</f>
        <v>0</v>
      </c>
      <c r="BA90" s="81">
        <f>Prog_236[[#This Row],[VLR NF]]*0.05%</f>
        <v>0</v>
      </c>
      <c r="BB90" s="81"/>
      <c r="BC90" s="81"/>
      <c r="BD90" s="81"/>
      <c r="BE90" s="81"/>
      <c r="BF90" s="81"/>
      <c r="BG90" s="81"/>
      <c r="BH90" s="81"/>
      <c r="BI90" s="81"/>
      <c r="BJ90" s="81"/>
      <c r="BK90" s="81"/>
      <c r="BL90" s="66"/>
      <c r="BM90" s="66"/>
      <c r="BN90" s="66"/>
      <c r="BO90" s="66" t="str">
        <f>PROPER(TEXT(Prog_236[[#This Row],[PROGRAMAÇÃO CLIENTE]],"mmm"))</f>
        <v>Jan</v>
      </c>
      <c r="BP90" s="66">
        <f>YEAR(Prog_236[[#This Row],[PROGRAMAÇÃO CLIENTE]])</f>
        <v>1900</v>
      </c>
    </row>
    <row r="91" spans="1:68" x14ac:dyDescent="0.25">
      <c r="A91" s="200">
        <f>Prog_236[[#This Row],[CONTEINER]]</f>
        <v>0</v>
      </c>
      <c r="B91" s="86"/>
      <c r="C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" s="85"/>
      <c r="E91" s="66"/>
      <c r="F91" s="66"/>
      <c r="G91" s="66"/>
      <c r="H91" s="44"/>
      <c r="I91" s="44"/>
      <c r="J91" s="66"/>
      <c r="K91" s="66"/>
      <c r="L91" s="66"/>
      <c r="M91" s="66"/>
      <c r="N91" s="66">
        <f>SUM(Prog_236[[#This Row],[TARA]]+Prog_236[[#This Row],[PESO]])</f>
        <v>0</v>
      </c>
      <c r="O91" s="44"/>
      <c r="P91" s="66"/>
      <c r="Q91" s="66"/>
      <c r="R91" s="66"/>
      <c r="S91" s="66"/>
      <c r="T91" s="138" t="str">
        <f>IFERROR(LOOKUP($S91,MOTORISTAS!$D$3:$D$1048576,MOTORISTAS!E$3:$E$1048576),"")</f>
        <v/>
      </c>
      <c r="U91" s="138" t="str">
        <f>IFERROR(LOOKUP($S91,MOTORISTAS!$D$3:$D$1048576,MOTORISTAS!F$3:$F$1048576),"")</f>
        <v/>
      </c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44"/>
      <c r="AG91" s="254">
        <f>Prog_236[[#This Row],[SAÍDA DO CLIENTE]]-Prog_236[[#This Row],[PROGRAMAÇÃO CLIENTE]]</f>
        <v>0</v>
      </c>
      <c r="AH91" s="44"/>
      <c r="AI91" s="66"/>
      <c r="AJ91" s="66"/>
      <c r="AK91" s="66"/>
      <c r="AL91" s="66"/>
      <c r="AM91" s="66"/>
      <c r="AN91" s="83"/>
      <c r="AO91" s="66"/>
      <c r="AP91" s="66"/>
      <c r="AQ91" s="66"/>
      <c r="AR91" s="81"/>
      <c r="AS91" s="81"/>
      <c r="AT91" s="81"/>
      <c r="AU91" s="81"/>
      <c r="AV91" s="83">
        <f>SUM(Prog_236[[#This Row],[ADIANTAMENTO]]+Prog_236[[#This Row],[SALDO]]+Prog_236[[#This Row],[MARGEM]]+Prog_236[[#This Row],[ESTADIA 1]])</f>
        <v>0</v>
      </c>
      <c r="AW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" s="81"/>
      <c r="AY91" s="81"/>
      <c r="AZ91" s="81">
        <f>Prog_236[[#This Row],[VLR NF]]*0.1%</f>
        <v>0</v>
      </c>
      <c r="BA91" s="81">
        <f>Prog_236[[#This Row],[VLR NF]]*0.05%</f>
        <v>0</v>
      </c>
      <c r="BB91" s="81"/>
      <c r="BC91" s="81"/>
      <c r="BD91" s="81"/>
      <c r="BE91" s="81"/>
      <c r="BF91" s="81"/>
      <c r="BG91" s="81"/>
      <c r="BH91" s="81"/>
      <c r="BI91" s="81"/>
      <c r="BJ91" s="81"/>
      <c r="BK91" s="81"/>
      <c r="BL91" s="66"/>
      <c r="BM91" s="66"/>
      <c r="BN91" s="66"/>
      <c r="BO91" s="66" t="str">
        <f>PROPER(TEXT(Prog_236[[#This Row],[PROGRAMAÇÃO CLIENTE]],"mmm"))</f>
        <v>Jan</v>
      </c>
      <c r="BP91" s="66">
        <f>YEAR(Prog_236[[#This Row],[PROGRAMAÇÃO CLIENTE]])</f>
        <v>1900</v>
      </c>
    </row>
    <row r="92" spans="1:68" x14ac:dyDescent="0.25">
      <c r="A92" s="201">
        <f>Prog_236[[#This Row],[CONTEINER]]</f>
        <v>0</v>
      </c>
      <c r="B92" s="86"/>
      <c r="C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" s="85"/>
      <c r="E92" s="66"/>
      <c r="F92" s="66"/>
      <c r="G92" s="66"/>
      <c r="H92" s="44"/>
      <c r="I92" s="44"/>
      <c r="J92" s="66"/>
      <c r="K92" s="66"/>
      <c r="L92" s="66"/>
      <c r="M92" s="66"/>
      <c r="N92" s="66">
        <f>SUM(Prog_236[[#This Row],[TARA]]+Prog_236[[#This Row],[PESO]])</f>
        <v>0</v>
      </c>
      <c r="O92" s="44"/>
      <c r="P92" s="66"/>
      <c r="Q92" s="66"/>
      <c r="R92" s="66"/>
      <c r="S92" s="66"/>
      <c r="T92" s="138" t="str">
        <f>IFERROR(LOOKUP($S92,MOTORISTAS!$D$3:$D$1048576,MOTORISTAS!E$3:$E$1048576),"")</f>
        <v/>
      </c>
      <c r="U92" s="138" t="str">
        <f>IFERROR(LOOKUP($S92,MOTORISTAS!$D$3:$D$1048576,MOTORISTAS!F$3:$F$1048576),"")</f>
        <v/>
      </c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44"/>
      <c r="AG92" s="254">
        <f>Prog_236[[#This Row],[SAÍDA DO CLIENTE]]-Prog_236[[#This Row],[PROGRAMAÇÃO CLIENTE]]</f>
        <v>0</v>
      </c>
      <c r="AH92" s="44"/>
      <c r="AI92" s="66"/>
      <c r="AJ92" s="66"/>
      <c r="AK92" s="66"/>
      <c r="AL92" s="66"/>
      <c r="AM92" s="66"/>
      <c r="AN92" s="83"/>
      <c r="AO92" s="66"/>
      <c r="AP92" s="66"/>
      <c r="AQ92" s="66"/>
      <c r="AR92" s="81"/>
      <c r="AS92" s="81"/>
      <c r="AT92" s="81"/>
      <c r="AU92" s="81"/>
      <c r="AV92" s="83">
        <f>SUM(Prog_236[[#This Row],[ADIANTAMENTO]]+Prog_236[[#This Row],[SALDO]]+Prog_236[[#This Row],[MARGEM]]+Prog_236[[#This Row],[ESTADIA 1]])</f>
        <v>0</v>
      </c>
      <c r="AW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" s="81"/>
      <c r="AY92" s="81"/>
      <c r="AZ92" s="81">
        <f>Prog_236[[#This Row],[VLR NF]]*0.1%</f>
        <v>0</v>
      </c>
      <c r="BA92" s="81">
        <f>Prog_236[[#This Row],[VLR NF]]*0.05%</f>
        <v>0</v>
      </c>
      <c r="BB92" s="81"/>
      <c r="BC92" s="81"/>
      <c r="BD92" s="81"/>
      <c r="BE92" s="81"/>
      <c r="BF92" s="81"/>
      <c r="BG92" s="81"/>
      <c r="BH92" s="81"/>
      <c r="BI92" s="81"/>
      <c r="BJ92" s="81"/>
      <c r="BK92" s="81"/>
      <c r="BL92" s="66"/>
      <c r="BM92" s="66"/>
      <c r="BN92" s="66"/>
      <c r="BO92" s="66" t="str">
        <f>PROPER(TEXT(Prog_236[[#This Row],[PROGRAMAÇÃO CLIENTE]],"mmm"))</f>
        <v>Jan</v>
      </c>
      <c r="BP92" s="66">
        <f>YEAR(Prog_236[[#This Row],[PROGRAMAÇÃO CLIENTE]])</f>
        <v>1900</v>
      </c>
    </row>
    <row r="93" spans="1:68" x14ac:dyDescent="0.25">
      <c r="A93" s="200">
        <f>Prog_236[[#This Row],[CONTEINER]]</f>
        <v>0</v>
      </c>
      <c r="B93" s="86"/>
      <c r="C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" s="85"/>
      <c r="E93" s="66"/>
      <c r="F93" s="66"/>
      <c r="G93" s="66"/>
      <c r="H93" s="44"/>
      <c r="I93" s="44"/>
      <c r="J93" s="66"/>
      <c r="K93" s="66"/>
      <c r="L93" s="66"/>
      <c r="M93" s="66"/>
      <c r="N93" s="66">
        <f>SUM(Prog_236[[#This Row],[TARA]]+Prog_236[[#This Row],[PESO]])</f>
        <v>0</v>
      </c>
      <c r="O93" s="44"/>
      <c r="P93" s="66"/>
      <c r="Q93" s="66"/>
      <c r="R93" s="66"/>
      <c r="S93" s="66"/>
      <c r="T93" s="138" t="str">
        <f>IFERROR(LOOKUP($S93,MOTORISTAS!$D$3:$D$1048576,MOTORISTAS!E$3:$E$1048576),"")</f>
        <v/>
      </c>
      <c r="U93" s="138" t="str">
        <f>IFERROR(LOOKUP($S93,MOTORISTAS!$D$3:$D$1048576,MOTORISTAS!F$3:$F$1048576),"")</f>
        <v/>
      </c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44"/>
      <c r="AG93" s="254">
        <f>Prog_236[[#This Row],[SAÍDA DO CLIENTE]]-Prog_236[[#This Row],[PROGRAMAÇÃO CLIENTE]]</f>
        <v>0</v>
      </c>
      <c r="AH93" s="44"/>
      <c r="AI93" s="66"/>
      <c r="AJ93" s="66"/>
      <c r="AK93" s="66"/>
      <c r="AL93" s="66"/>
      <c r="AM93" s="66"/>
      <c r="AN93" s="83"/>
      <c r="AO93" s="66"/>
      <c r="AP93" s="66"/>
      <c r="AQ93" s="66"/>
      <c r="AR93" s="81"/>
      <c r="AS93" s="81"/>
      <c r="AT93" s="81"/>
      <c r="AU93" s="81"/>
      <c r="AV93" s="83">
        <f>SUM(Prog_236[[#This Row],[ADIANTAMENTO]]+Prog_236[[#This Row],[SALDO]]+Prog_236[[#This Row],[MARGEM]]+Prog_236[[#This Row],[ESTADIA 1]])</f>
        <v>0</v>
      </c>
      <c r="AW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" s="81"/>
      <c r="AY93" s="81"/>
      <c r="AZ93" s="81">
        <f>Prog_236[[#This Row],[VLR NF]]*0.1%</f>
        <v>0</v>
      </c>
      <c r="BA93" s="81">
        <f>Prog_236[[#This Row],[VLR NF]]*0.05%</f>
        <v>0</v>
      </c>
      <c r="BB93" s="81"/>
      <c r="BC93" s="81"/>
      <c r="BD93" s="81"/>
      <c r="BE93" s="81"/>
      <c r="BF93" s="81"/>
      <c r="BG93" s="81"/>
      <c r="BH93" s="81"/>
      <c r="BI93" s="81"/>
      <c r="BJ93" s="81"/>
      <c r="BK93" s="81"/>
      <c r="BL93" s="66"/>
      <c r="BM93" s="66"/>
      <c r="BN93" s="66"/>
      <c r="BO93" s="66" t="str">
        <f>PROPER(TEXT(Prog_236[[#This Row],[PROGRAMAÇÃO CLIENTE]],"mmm"))</f>
        <v>Jan</v>
      </c>
      <c r="BP93" s="66">
        <f>YEAR(Prog_236[[#This Row],[PROGRAMAÇÃO CLIENTE]])</f>
        <v>1900</v>
      </c>
    </row>
    <row r="94" spans="1:68" x14ac:dyDescent="0.25">
      <c r="A94" s="201">
        <f>Prog_236[[#This Row],[CONTEINER]]</f>
        <v>0</v>
      </c>
      <c r="B94" s="86"/>
      <c r="C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" s="85"/>
      <c r="E94" s="66"/>
      <c r="F94" s="66"/>
      <c r="G94" s="66"/>
      <c r="H94" s="44"/>
      <c r="I94" s="44"/>
      <c r="J94" s="66"/>
      <c r="K94" s="66"/>
      <c r="L94" s="66"/>
      <c r="M94" s="66"/>
      <c r="N94" s="66">
        <f>SUM(Prog_236[[#This Row],[TARA]]+Prog_236[[#This Row],[PESO]])</f>
        <v>0</v>
      </c>
      <c r="O94" s="44"/>
      <c r="P94" s="66"/>
      <c r="Q94" s="66"/>
      <c r="R94" s="66"/>
      <c r="S94" s="66"/>
      <c r="T94" s="138" t="str">
        <f>IFERROR(LOOKUP($S94,MOTORISTAS!$D$3:$D$1048576,MOTORISTAS!E$3:$E$1048576),"")</f>
        <v/>
      </c>
      <c r="U94" s="138" t="str">
        <f>IFERROR(LOOKUP($S94,MOTORISTAS!$D$3:$D$1048576,MOTORISTAS!F$3:$F$1048576),"")</f>
        <v/>
      </c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44"/>
      <c r="AG94" s="254">
        <f>Prog_236[[#This Row],[SAÍDA DO CLIENTE]]-Prog_236[[#This Row],[PROGRAMAÇÃO CLIENTE]]</f>
        <v>0</v>
      </c>
      <c r="AH94" s="44"/>
      <c r="AI94" s="66"/>
      <c r="AJ94" s="66"/>
      <c r="AK94" s="66"/>
      <c r="AL94" s="66"/>
      <c r="AM94" s="66"/>
      <c r="AN94" s="83"/>
      <c r="AO94" s="66"/>
      <c r="AP94" s="66"/>
      <c r="AQ94" s="66"/>
      <c r="AR94" s="81"/>
      <c r="AS94" s="81"/>
      <c r="AT94" s="81"/>
      <c r="AU94" s="81"/>
      <c r="AV94" s="83">
        <f>SUM(Prog_236[[#This Row],[ADIANTAMENTO]]+Prog_236[[#This Row],[SALDO]]+Prog_236[[#This Row],[MARGEM]]+Prog_236[[#This Row],[ESTADIA 1]])</f>
        <v>0</v>
      </c>
      <c r="AW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" s="81"/>
      <c r="AY94" s="81"/>
      <c r="AZ94" s="81">
        <f>Prog_236[[#This Row],[VLR NF]]*0.1%</f>
        <v>0</v>
      </c>
      <c r="BA94" s="81">
        <f>Prog_236[[#This Row],[VLR NF]]*0.05%</f>
        <v>0</v>
      </c>
      <c r="BB94" s="81"/>
      <c r="BC94" s="81"/>
      <c r="BD94" s="81"/>
      <c r="BE94" s="81"/>
      <c r="BF94" s="81"/>
      <c r="BG94" s="81"/>
      <c r="BH94" s="81"/>
      <c r="BI94" s="81"/>
      <c r="BJ94" s="81"/>
      <c r="BK94" s="81"/>
      <c r="BL94" s="66"/>
      <c r="BM94" s="66"/>
      <c r="BN94" s="66"/>
      <c r="BO94" s="66" t="str">
        <f>PROPER(TEXT(Prog_236[[#This Row],[PROGRAMAÇÃO CLIENTE]],"mmm"))</f>
        <v>Jan</v>
      </c>
      <c r="BP94" s="66">
        <f>YEAR(Prog_236[[#This Row],[PROGRAMAÇÃO CLIENTE]])</f>
        <v>1900</v>
      </c>
    </row>
    <row r="95" spans="1:68" x14ac:dyDescent="0.25">
      <c r="A95" s="200">
        <f>Prog_236[[#This Row],[CONTEINER]]</f>
        <v>0</v>
      </c>
      <c r="B95" s="86"/>
      <c r="C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" s="85"/>
      <c r="E95" s="66"/>
      <c r="F95" s="66"/>
      <c r="G95" s="66"/>
      <c r="H95" s="44"/>
      <c r="I95" s="44"/>
      <c r="J95" s="66"/>
      <c r="K95" s="66"/>
      <c r="L95" s="66"/>
      <c r="M95" s="66"/>
      <c r="N95" s="66">
        <f>SUM(Prog_236[[#This Row],[TARA]]+Prog_236[[#This Row],[PESO]])</f>
        <v>0</v>
      </c>
      <c r="O95" s="44"/>
      <c r="P95" s="66"/>
      <c r="Q95" s="66"/>
      <c r="R95" s="66"/>
      <c r="S95" s="66"/>
      <c r="T95" s="138" t="str">
        <f>IFERROR(LOOKUP($S95,MOTORISTAS!$D$3:$D$1048576,MOTORISTAS!E$3:$E$1048576),"")</f>
        <v/>
      </c>
      <c r="U95" s="138" t="str">
        <f>IFERROR(LOOKUP($S95,MOTORISTAS!$D$3:$D$1048576,MOTORISTAS!F$3:$F$1048576),"")</f>
        <v/>
      </c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44"/>
      <c r="AG95" s="254">
        <f>Prog_236[[#This Row],[SAÍDA DO CLIENTE]]-Prog_236[[#This Row],[PROGRAMAÇÃO CLIENTE]]</f>
        <v>0</v>
      </c>
      <c r="AH95" s="44"/>
      <c r="AI95" s="66"/>
      <c r="AJ95" s="66"/>
      <c r="AK95" s="66"/>
      <c r="AL95" s="66"/>
      <c r="AM95" s="66"/>
      <c r="AN95" s="83"/>
      <c r="AO95" s="66"/>
      <c r="AP95" s="66"/>
      <c r="AQ95" s="66"/>
      <c r="AR95" s="81"/>
      <c r="AS95" s="81"/>
      <c r="AT95" s="81"/>
      <c r="AU95" s="81"/>
      <c r="AV95" s="83">
        <f>SUM(Prog_236[[#This Row],[ADIANTAMENTO]]+Prog_236[[#This Row],[SALDO]]+Prog_236[[#This Row],[MARGEM]]+Prog_236[[#This Row],[ESTADIA 1]])</f>
        <v>0</v>
      </c>
      <c r="AW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" s="81"/>
      <c r="AY95" s="81"/>
      <c r="AZ95" s="81">
        <f>Prog_236[[#This Row],[VLR NF]]*0.1%</f>
        <v>0</v>
      </c>
      <c r="BA95" s="81">
        <f>Prog_236[[#This Row],[VLR NF]]*0.05%</f>
        <v>0</v>
      </c>
      <c r="BB95" s="81"/>
      <c r="BC95" s="81"/>
      <c r="BD95" s="81"/>
      <c r="BE95" s="81"/>
      <c r="BF95" s="81"/>
      <c r="BG95" s="81"/>
      <c r="BH95" s="81"/>
      <c r="BI95" s="81"/>
      <c r="BJ95" s="81"/>
      <c r="BK95" s="81"/>
      <c r="BL95" s="66"/>
      <c r="BM95" s="66"/>
      <c r="BN95" s="66"/>
      <c r="BO95" s="66" t="str">
        <f>PROPER(TEXT(Prog_236[[#This Row],[PROGRAMAÇÃO CLIENTE]],"mmm"))</f>
        <v>Jan</v>
      </c>
      <c r="BP95" s="66">
        <f>YEAR(Prog_236[[#This Row],[PROGRAMAÇÃO CLIENTE]])</f>
        <v>1900</v>
      </c>
    </row>
    <row r="96" spans="1:68" x14ac:dyDescent="0.25">
      <c r="A96" s="201">
        <f>Prog_236[[#This Row],[CONTEINER]]</f>
        <v>0</v>
      </c>
      <c r="B96" s="86"/>
      <c r="C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" s="85"/>
      <c r="E96" s="66"/>
      <c r="F96" s="66"/>
      <c r="G96" s="66"/>
      <c r="H96" s="44"/>
      <c r="I96" s="44"/>
      <c r="J96" s="66"/>
      <c r="K96" s="66"/>
      <c r="L96" s="66"/>
      <c r="M96" s="66"/>
      <c r="N96" s="66">
        <f>SUM(Prog_236[[#This Row],[TARA]]+Prog_236[[#This Row],[PESO]])</f>
        <v>0</v>
      </c>
      <c r="O96" s="44"/>
      <c r="P96" s="66"/>
      <c r="Q96" s="66"/>
      <c r="R96" s="66"/>
      <c r="S96" s="66"/>
      <c r="T96" s="138" t="str">
        <f>IFERROR(LOOKUP($S96,MOTORISTAS!$D$3:$D$1048576,MOTORISTAS!E$3:$E$1048576),"")</f>
        <v/>
      </c>
      <c r="U96" s="138" t="str">
        <f>IFERROR(LOOKUP($S96,MOTORISTAS!$D$3:$D$1048576,MOTORISTAS!F$3:$F$1048576),"")</f>
        <v/>
      </c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44"/>
      <c r="AG96" s="254">
        <f>Prog_236[[#This Row],[SAÍDA DO CLIENTE]]-Prog_236[[#This Row],[PROGRAMAÇÃO CLIENTE]]</f>
        <v>0</v>
      </c>
      <c r="AH96" s="44"/>
      <c r="AI96" s="66"/>
      <c r="AJ96" s="66"/>
      <c r="AK96" s="66"/>
      <c r="AL96" s="66"/>
      <c r="AM96" s="66"/>
      <c r="AN96" s="83"/>
      <c r="AO96" s="66"/>
      <c r="AP96" s="66"/>
      <c r="AQ96" s="66"/>
      <c r="AR96" s="81"/>
      <c r="AS96" s="81"/>
      <c r="AT96" s="81"/>
      <c r="AU96" s="81"/>
      <c r="AV96" s="83">
        <f>SUM(Prog_236[[#This Row],[ADIANTAMENTO]]+Prog_236[[#This Row],[SALDO]]+Prog_236[[#This Row],[MARGEM]]+Prog_236[[#This Row],[ESTADIA 1]])</f>
        <v>0</v>
      </c>
      <c r="AW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" s="81"/>
      <c r="AY96" s="81"/>
      <c r="AZ96" s="81">
        <f>Prog_236[[#This Row],[VLR NF]]*0.1%</f>
        <v>0</v>
      </c>
      <c r="BA96" s="81">
        <f>Prog_236[[#This Row],[VLR NF]]*0.05%</f>
        <v>0</v>
      </c>
      <c r="BB96" s="81"/>
      <c r="BC96" s="81"/>
      <c r="BD96" s="81"/>
      <c r="BE96" s="81"/>
      <c r="BF96" s="81"/>
      <c r="BG96" s="81"/>
      <c r="BH96" s="81"/>
      <c r="BI96" s="81"/>
      <c r="BJ96" s="81"/>
      <c r="BK96" s="81"/>
      <c r="BL96" s="66"/>
      <c r="BM96" s="66"/>
      <c r="BN96" s="66"/>
      <c r="BO96" s="66" t="str">
        <f>PROPER(TEXT(Prog_236[[#This Row],[PROGRAMAÇÃO CLIENTE]],"mmm"))</f>
        <v>Jan</v>
      </c>
      <c r="BP96" s="66">
        <f>YEAR(Prog_236[[#This Row],[PROGRAMAÇÃO CLIENTE]])</f>
        <v>1900</v>
      </c>
    </row>
    <row r="97" spans="1:68" x14ac:dyDescent="0.25">
      <c r="A97" s="200">
        <f>Prog_236[[#This Row],[CONTEINER]]</f>
        <v>0</v>
      </c>
      <c r="B97" s="86"/>
      <c r="C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" s="85"/>
      <c r="E97" s="66"/>
      <c r="F97" s="66"/>
      <c r="G97" s="66"/>
      <c r="H97" s="44"/>
      <c r="I97" s="44"/>
      <c r="J97" s="66"/>
      <c r="K97" s="66"/>
      <c r="L97" s="66"/>
      <c r="M97" s="66"/>
      <c r="N97" s="66">
        <f>SUM(Prog_236[[#This Row],[TARA]]+Prog_236[[#This Row],[PESO]])</f>
        <v>0</v>
      </c>
      <c r="O97" s="44"/>
      <c r="P97" s="66"/>
      <c r="Q97" s="66"/>
      <c r="R97" s="66"/>
      <c r="S97" s="66"/>
      <c r="T97" s="138" t="str">
        <f>IFERROR(LOOKUP($S97,MOTORISTAS!$D$3:$D$1048576,MOTORISTAS!E$3:$E$1048576),"")</f>
        <v/>
      </c>
      <c r="U97" s="138" t="str">
        <f>IFERROR(LOOKUP($S97,MOTORISTAS!$D$3:$D$1048576,MOTORISTAS!F$3:$F$1048576),"")</f>
        <v/>
      </c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44"/>
      <c r="AG97" s="254">
        <f>Prog_236[[#This Row],[SAÍDA DO CLIENTE]]-Prog_236[[#This Row],[PROGRAMAÇÃO CLIENTE]]</f>
        <v>0</v>
      </c>
      <c r="AH97" s="44"/>
      <c r="AI97" s="66"/>
      <c r="AJ97" s="66"/>
      <c r="AK97" s="66"/>
      <c r="AL97" s="66"/>
      <c r="AM97" s="66"/>
      <c r="AN97" s="83"/>
      <c r="AO97" s="66"/>
      <c r="AP97" s="66"/>
      <c r="AQ97" s="66"/>
      <c r="AR97" s="81"/>
      <c r="AS97" s="81"/>
      <c r="AT97" s="81"/>
      <c r="AU97" s="81"/>
      <c r="AV97" s="83">
        <f>SUM(Prog_236[[#This Row],[ADIANTAMENTO]]+Prog_236[[#This Row],[SALDO]]+Prog_236[[#This Row],[MARGEM]]+Prog_236[[#This Row],[ESTADIA 1]])</f>
        <v>0</v>
      </c>
      <c r="AW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" s="81"/>
      <c r="AY97" s="81"/>
      <c r="AZ97" s="81">
        <f>Prog_236[[#This Row],[VLR NF]]*0.1%</f>
        <v>0</v>
      </c>
      <c r="BA97" s="81">
        <f>Prog_236[[#This Row],[VLR NF]]*0.05%</f>
        <v>0</v>
      </c>
      <c r="BB97" s="81"/>
      <c r="BC97" s="81"/>
      <c r="BD97" s="81"/>
      <c r="BE97" s="81"/>
      <c r="BF97" s="81"/>
      <c r="BG97" s="81"/>
      <c r="BH97" s="81"/>
      <c r="BI97" s="81"/>
      <c r="BJ97" s="81"/>
      <c r="BK97" s="81"/>
      <c r="BL97" s="66"/>
      <c r="BM97" s="66"/>
      <c r="BN97" s="66"/>
      <c r="BO97" s="66" t="str">
        <f>PROPER(TEXT(Prog_236[[#This Row],[PROGRAMAÇÃO CLIENTE]],"mmm"))</f>
        <v>Jan</v>
      </c>
      <c r="BP97" s="66">
        <f>YEAR(Prog_236[[#This Row],[PROGRAMAÇÃO CLIENTE]])</f>
        <v>1900</v>
      </c>
    </row>
    <row r="98" spans="1:68" x14ac:dyDescent="0.25">
      <c r="A98" s="201">
        <f>Prog_236[[#This Row],[CONTEINER]]</f>
        <v>0</v>
      </c>
      <c r="B98" s="86"/>
      <c r="C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" s="85"/>
      <c r="E98" s="66"/>
      <c r="F98" s="66"/>
      <c r="G98" s="66"/>
      <c r="H98" s="44"/>
      <c r="I98" s="44"/>
      <c r="J98" s="66"/>
      <c r="K98" s="66"/>
      <c r="L98" s="66"/>
      <c r="M98" s="66"/>
      <c r="N98" s="66">
        <f>SUM(Prog_236[[#This Row],[TARA]]+Prog_236[[#This Row],[PESO]])</f>
        <v>0</v>
      </c>
      <c r="O98" s="44"/>
      <c r="P98" s="66"/>
      <c r="Q98" s="66"/>
      <c r="R98" s="66"/>
      <c r="S98" s="66"/>
      <c r="T98" s="138" t="str">
        <f>IFERROR(LOOKUP($S98,MOTORISTAS!$D$3:$D$1048576,MOTORISTAS!E$3:$E$1048576),"")</f>
        <v/>
      </c>
      <c r="U98" s="138" t="str">
        <f>IFERROR(LOOKUP($S98,MOTORISTAS!$D$3:$D$1048576,MOTORISTAS!F$3:$F$1048576),"")</f>
        <v/>
      </c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44"/>
      <c r="AG98" s="254">
        <f>Prog_236[[#This Row],[SAÍDA DO CLIENTE]]-Prog_236[[#This Row],[PROGRAMAÇÃO CLIENTE]]</f>
        <v>0</v>
      </c>
      <c r="AH98" s="44"/>
      <c r="AI98" s="66"/>
      <c r="AJ98" s="66"/>
      <c r="AK98" s="66"/>
      <c r="AL98" s="66"/>
      <c r="AM98" s="66"/>
      <c r="AN98" s="83"/>
      <c r="AO98" s="66"/>
      <c r="AP98" s="66"/>
      <c r="AQ98" s="66"/>
      <c r="AR98" s="81"/>
      <c r="AS98" s="81"/>
      <c r="AT98" s="81"/>
      <c r="AU98" s="81"/>
      <c r="AV98" s="83">
        <f>SUM(Prog_236[[#This Row],[ADIANTAMENTO]]+Prog_236[[#This Row],[SALDO]]+Prog_236[[#This Row],[MARGEM]]+Prog_236[[#This Row],[ESTADIA 1]])</f>
        <v>0</v>
      </c>
      <c r="AW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" s="81"/>
      <c r="AY98" s="81"/>
      <c r="AZ98" s="81">
        <f>Prog_236[[#This Row],[VLR NF]]*0.1%</f>
        <v>0</v>
      </c>
      <c r="BA98" s="81">
        <f>Prog_236[[#This Row],[VLR NF]]*0.05%</f>
        <v>0</v>
      </c>
      <c r="BB98" s="81"/>
      <c r="BC98" s="81"/>
      <c r="BD98" s="81"/>
      <c r="BE98" s="81"/>
      <c r="BF98" s="81"/>
      <c r="BG98" s="81"/>
      <c r="BH98" s="81"/>
      <c r="BI98" s="81"/>
      <c r="BJ98" s="81"/>
      <c r="BK98" s="81"/>
      <c r="BL98" s="66"/>
      <c r="BM98" s="66"/>
      <c r="BN98" s="66"/>
      <c r="BO98" s="66" t="str">
        <f>PROPER(TEXT(Prog_236[[#This Row],[PROGRAMAÇÃO CLIENTE]],"mmm"))</f>
        <v>Jan</v>
      </c>
      <c r="BP98" s="66">
        <f>YEAR(Prog_236[[#This Row],[PROGRAMAÇÃO CLIENTE]])</f>
        <v>1900</v>
      </c>
    </row>
    <row r="99" spans="1:68" x14ac:dyDescent="0.25">
      <c r="A99" s="200">
        <f>Prog_236[[#This Row],[CONTEINER]]</f>
        <v>0</v>
      </c>
      <c r="B99" s="86"/>
      <c r="C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" s="85"/>
      <c r="E99" s="66"/>
      <c r="F99" s="66"/>
      <c r="G99" s="66"/>
      <c r="H99" s="44"/>
      <c r="I99" s="44"/>
      <c r="J99" s="66"/>
      <c r="K99" s="66"/>
      <c r="L99" s="66"/>
      <c r="M99" s="66"/>
      <c r="N99" s="66">
        <f>SUM(Prog_236[[#This Row],[TARA]]+Prog_236[[#This Row],[PESO]])</f>
        <v>0</v>
      </c>
      <c r="O99" s="44"/>
      <c r="P99" s="66"/>
      <c r="Q99" s="66"/>
      <c r="R99" s="66"/>
      <c r="S99" s="66"/>
      <c r="T99" s="138" t="str">
        <f>IFERROR(LOOKUP($S99,MOTORISTAS!$D$3:$D$1048576,MOTORISTAS!E$3:$E$1048576),"")</f>
        <v/>
      </c>
      <c r="U99" s="138" t="str">
        <f>IFERROR(LOOKUP($S99,MOTORISTAS!$D$3:$D$1048576,MOTORISTAS!F$3:$F$1048576),"")</f>
        <v/>
      </c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44"/>
      <c r="AG99" s="254">
        <f>Prog_236[[#This Row],[SAÍDA DO CLIENTE]]-Prog_236[[#This Row],[PROGRAMAÇÃO CLIENTE]]</f>
        <v>0</v>
      </c>
      <c r="AH99" s="44"/>
      <c r="AI99" s="66"/>
      <c r="AJ99" s="66"/>
      <c r="AK99" s="66"/>
      <c r="AL99" s="66"/>
      <c r="AM99" s="66"/>
      <c r="AN99" s="83"/>
      <c r="AO99" s="66"/>
      <c r="AP99" s="66"/>
      <c r="AQ99" s="66"/>
      <c r="AR99" s="81"/>
      <c r="AS99" s="81"/>
      <c r="AT99" s="81"/>
      <c r="AU99" s="81"/>
      <c r="AV99" s="83">
        <f>SUM(Prog_236[[#This Row],[ADIANTAMENTO]]+Prog_236[[#This Row],[SALDO]]+Prog_236[[#This Row],[MARGEM]]+Prog_236[[#This Row],[ESTADIA 1]])</f>
        <v>0</v>
      </c>
      <c r="AW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" s="81"/>
      <c r="AY99" s="81"/>
      <c r="AZ99" s="81">
        <f>Prog_236[[#This Row],[VLR NF]]*0.1%</f>
        <v>0</v>
      </c>
      <c r="BA99" s="81">
        <f>Prog_236[[#This Row],[VLR NF]]*0.05%</f>
        <v>0</v>
      </c>
      <c r="BB99" s="81"/>
      <c r="BC99" s="81"/>
      <c r="BD99" s="81"/>
      <c r="BE99" s="81"/>
      <c r="BF99" s="81"/>
      <c r="BG99" s="81"/>
      <c r="BH99" s="81"/>
      <c r="BI99" s="81"/>
      <c r="BJ99" s="81"/>
      <c r="BK99" s="81"/>
      <c r="BL99" s="66"/>
      <c r="BM99" s="66"/>
      <c r="BN99" s="66"/>
      <c r="BO99" s="66" t="str">
        <f>PROPER(TEXT(Prog_236[[#This Row],[PROGRAMAÇÃO CLIENTE]],"mmm"))</f>
        <v>Jan</v>
      </c>
      <c r="BP99" s="66">
        <f>YEAR(Prog_236[[#This Row],[PROGRAMAÇÃO CLIENTE]])</f>
        <v>1900</v>
      </c>
    </row>
    <row r="100" spans="1:68" x14ac:dyDescent="0.25">
      <c r="A100" s="201">
        <f>Prog_236[[#This Row],[CONTEINER]]</f>
        <v>0</v>
      </c>
      <c r="B100" s="86"/>
      <c r="C1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" s="85"/>
      <c r="E100" s="66"/>
      <c r="F100" s="66"/>
      <c r="G100" s="66"/>
      <c r="H100" s="44"/>
      <c r="I100" s="44"/>
      <c r="J100" s="66"/>
      <c r="K100" s="66"/>
      <c r="L100" s="66"/>
      <c r="M100" s="66"/>
      <c r="N100" s="66">
        <f>SUM(Prog_236[[#This Row],[TARA]]+Prog_236[[#This Row],[PESO]])</f>
        <v>0</v>
      </c>
      <c r="O100" s="44"/>
      <c r="P100" s="66"/>
      <c r="Q100" s="66"/>
      <c r="R100" s="66"/>
      <c r="S100" s="66"/>
      <c r="T100" s="138" t="str">
        <f>IFERROR(LOOKUP($S100,MOTORISTAS!$D$3:$D$1048576,MOTORISTAS!E$3:$E$1048576),"")</f>
        <v/>
      </c>
      <c r="U100" s="138" t="str">
        <f>IFERROR(LOOKUP($S100,MOTORISTAS!$D$3:$D$1048576,MOTORISTAS!F$3:$F$1048576),"")</f>
        <v/>
      </c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44"/>
      <c r="AG100" s="254">
        <f>Prog_236[[#This Row],[SAÍDA DO CLIENTE]]-Prog_236[[#This Row],[PROGRAMAÇÃO CLIENTE]]</f>
        <v>0</v>
      </c>
      <c r="AH100" s="44"/>
      <c r="AI100" s="66"/>
      <c r="AJ100" s="66"/>
      <c r="AK100" s="66"/>
      <c r="AL100" s="66"/>
      <c r="AM100" s="66"/>
      <c r="AN100" s="83"/>
      <c r="AO100" s="66"/>
      <c r="AP100" s="66"/>
      <c r="AQ100" s="66"/>
      <c r="AR100" s="81"/>
      <c r="AS100" s="81"/>
      <c r="AT100" s="81"/>
      <c r="AU100" s="81"/>
      <c r="AV100" s="83">
        <f>SUM(Prog_236[[#This Row],[ADIANTAMENTO]]+Prog_236[[#This Row],[SALDO]]+Prog_236[[#This Row],[MARGEM]]+Prog_236[[#This Row],[ESTADIA 1]])</f>
        <v>0</v>
      </c>
      <c r="AW1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" s="81"/>
      <c r="AY100" s="81"/>
      <c r="AZ100" s="81">
        <f>Prog_236[[#This Row],[VLR NF]]*0.1%</f>
        <v>0</v>
      </c>
      <c r="BA100" s="81">
        <f>Prog_236[[#This Row],[VLR NF]]*0.05%</f>
        <v>0</v>
      </c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66"/>
      <c r="BM100" s="66"/>
      <c r="BN100" s="66"/>
      <c r="BO100" s="66" t="str">
        <f>PROPER(TEXT(Prog_236[[#This Row],[PROGRAMAÇÃO CLIENTE]],"mmm"))</f>
        <v>Jan</v>
      </c>
      <c r="BP100" s="66">
        <f>YEAR(Prog_236[[#This Row],[PROGRAMAÇÃO CLIENTE]])</f>
        <v>1900</v>
      </c>
    </row>
    <row r="101" spans="1:68" x14ac:dyDescent="0.25">
      <c r="A101" s="200">
        <f>Prog_236[[#This Row],[CONTEINER]]</f>
        <v>0</v>
      </c>
      <c r="B101" s="86"/>
      <c r="C1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" s="85"/>
      <c r="E101" s="66"/>
      <c r="F101" s="66"/>
      <c r="G101" s="66"/>
      <c r="H101" s="44"/>
      <c r="I101" s="44"/>
      <c r="J101" s="66"/>
      <c r="K101" s="66"/>
      <c r="L101" s="66"/>
      <c r="M101" s="66"/>
      <c r="N101" s="66">
        <f>SUM(Prog_236[[#This Row],[TARA]]+Prog_236[[#This Row],[PESO]])</f>
        <v>0</v>
      </c>
      <c r="O101" s="44"/>
      <c r="P101" s="66"/>
      <c r="Q101" s="66"/>
      <c r="R101" s="66"/>
      <c r="S101" s="66"/>
      <c r="T101" s="138" t="str">
        <f>IFERROR(LOOKUP($S101,MOTORISTAS!$D$3:$D$1048576,MOTORISTAS!E$3:$E$1048576),"")</f>
        <v/>
      </c>
      <c r="U101" s="138" t="str">
        <f>IFERROR(LOOKUP($S101,MOTORISTAS!$D$3:$D$1048576,MOTORISTAS!F$3:$F$1048576),"")</f>
        <v/>
      </c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44"/>
      <c r="AG101" s="254">
        <f>Prog_236[[#This Row],[SAÍDA DO CLIENTE]]-Prog_236[[#This Row],[PROGRAMAÇÃO CLIENTE]]</f>
        <v>0</v>
      </c>
      <c r="AH101" s="44"/>
      <c r="AI101" s="66"/>
      <c r="AJ101" s="66"/>
      <c r="AK101" s="66"/>
      <c r="AL101" s="66"/>
      <c r="AM101" s="66"/>
      <c r="AN101" s="83"/>
      <c r="AO101" s="66"/>
      <c r="AP101" s="66"/>
      <c r="AQ101" s="66"/>
      <c r="AR101" s="81"/>
      <c r="AS101" s="81"/>
      <c r="AT101" s="81"/>
      <c r="AU101" s="81"/>
      <c r="AV101" s="83">
        <f>SUM(Prog_236[[#This Row],[ADIANTAMENTO]]+Prog_236[[#This Row],[SALDO]]+Prog_236[[#This Row],[MARGEM]]+Prog_236[[#This Row],[ESTADIA 1]])</f>
        <v>0</v>
      </c>
      <c r="AW1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" s="81"/>
      <c r="AY101" s="81"/>
      <c r="AZ101" s="81">
        <f>Prog_236[[#This Row],[VLR NF]]*0.1%</f>
        <v>0</v>
      </c>
      <c r="BA101" s="81">
        <f>Prog_236[[#This Row],[VLR NF]]*0.05%</f>
        <v>0</v>
      </c>
      <c r="BB101" s="81"/>
      <c r="BC101" s="81"/>
      <c r="BD101" s="81"/>
      <c r="BE101" s="81"/>
      <c r="BF101" s="81"/>
      <c r="BG101" s="81"/>
      <c r="BH101" s="81"/>
      <c r="BI101" s="81"/>
      <c r="BJ101" s="81"/>
      <c r="BK101" s="81"/>
      <c r="BL101" s="66"/>
      <c r="BM101" s="66"/>
      <c r="BN101" s="66"/>
      <c r="BO101" s="66" t="str">
        <f>PROPER(TEXT(Prog_236[[#This Row],[PROGRAMAÇÃO CLIENTE]],"mmm"))</f>
        <v>Jan</v>
      </c>
      <c r="BP101" s="66">
        <f>YEAR(Prog_236[[#This Row],[PROGRAMAÇÃO CLIENTE]])</f>
        <v>1900</v>
      </c>
    </row>
    <row r="102" spans="1:68" x14ac:dyDescent="0.25">
      <c r="A102" s="201">
        <f>Prog_236[[#This Row],[CONTEINER]]</f>
        <v>0</v>
      </c>
      <c r="B102" s="86"/>
      <c r="C1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" s="85"/>
      <c r="E102" s="66"/>
      <c r="F102" s="66"/>
      <c r="G102" s="66"/>
      <c r="H102" s="44"/>
      <c r="I102" s="44"/>
      <c r="J102" s="66"/>
      <c r="K102" s="66"/>
      <c r="L102" s="66"/>
      <c r="M102" s="66"/>
      <c r="N102" s="66">
        <f>SUM(Prog_236[[#This Row],[TARA]]+Prog_236[[#This Row],[PESO]])</f>
        <v>0</v>
      </c>
      <c r="O102" s="44"/>
      <c r="P102" s="66"/>
      <c r="Q102" s="66"/>
      <c r="R102" s="66"/>
      <c r="S102" s="66"/>
      <c r="T102" s="138" t="str">
        <f>IFERROR(LOOKUP($S102,MOTORISTAS!$D$3:$D$1048576,MOTORISTAS!E$3:$E$1048576),"")</f>
        <v/>
      </c>
      <c r="U102" s="138" t="str">
        <f>IFERROR(LOOKUP($S102,MOTORISTAS!$D$3:$D$1048576,MOTORISTAS!F$3:$F$1048576),"")</f>
        <v/>
      </c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44"/>
      <c r="AG102" s="254">
        <f>Prog_236[[#This Row],[SAÍDA DO CLIENTE]]-Prog_236[[#This Row],[PROGRAMAÇÃO CLIENTE]]</f>
        <v>0</v>
      </c>
      <c r="AH102" s="44"/>
      <c r="AI102" s="66"/>
      <c r="AJ102" s="66"/>
      <c r="AK102" s="66"/>
      <c r="AL102" s="66"/>
      <c r="AM102" s="66"/>
      <c r="AN102" s="83"/>
      <c r="AO102" s="66"/>
      <c r="AP102" s="66"/>
      <c r="AQ102" s="66"/>
      <c r="AR102" s="81"/>
      <c r="AS102" s="81"/>
      <c r="AT102" s="81"/>
      <c r="AU102" s="81"/>
      <c r="AV102" s="83">
        <f>SUM(Prog_236[[#This Row],[ADIANTAMENTO]]+Prog_236[[#This Row],[SALDO]]+Prog_236[[#This Row],[MARGEM]]+Prog_236[[#This Row],[ESTADIA 1]])</f>
        <v>0</v>
      </c>
      <c r="AW1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" s="81"/>
      <c r="AY102" s="81"/>
      <c r="AZ102" s="81">
        <f>Prog_236[[#This Row],[VLR NF]]*0.1%</f>
        <v>0</v>
      </c>
      <c r="BA102" s="81">
        <f>Prog_236[[#This Row],[VLR NF]]*0.05%</f>
        <v>0</v>
      </c>
      <c r="BB102" s="81"/>
      <c r="BC102" s="81"/>
      <c r="BD102" s="81"/>
      <c r="BE102" s="81"/>
      <c r="BF102" s="81"/>
      <c r="BG102" s="81"/>
      <c r="BH102" s="81"/>
      <c r="BI102" s="81"/>
      <c r="BJ102" s="81"/>
      <c r="BK102" s="81"/>
      <c r="BL102" s="66"/>
      <c r="BM102" s="66"/>
      <c r="BN102" s="66"/>
      <c r="BO102" s="66" t="str">
        <f>PROPER(TEXT(Prog_236[[#This Row],[PROGRAMAÇÃO CLIENTE]],"mmm"))</f>
        <v>Jan</v>
      </c>
      <c r="BP102" s="66">
        <f>YEAR(Prog_236[[#This Row],[PROGRAMAÇÃO CLIENTE]])</f>
        <v>1900</v>
      </c>
    </row>
    <row r="103" spans="1:68" x14ac:dyDescent="0.25">
      <c r="A103" s="200">
        <f>Prog_236[[#This Row],[CONTEINER]]</f>
        <v>0</v>
      </c>
      <c r="B103" s="86"/>
      <c r="C1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" s="85"/>
      <c r="E103" s="66"/>
      <c r="F103" s="66"/>
      <c r="G103" s="66"/>
      <c r="H103" s="44"/>
      <c r="I103" s="44"/>
      <c r="J103" s="66"/>
      <c r="K103" s="66"/>
      <c r="L103" s="66"/>
      <c r="M103" s="66"/>
      <c r="N103" s="66">
        <f>SUM(Prog_236[[#This Row],[TARA]]+Prog_236[[#This Row],[PESO]])</f>
        <v>0</v>
      </c>
      <c r="O103" s="44"/>
      <c r="P103" s="66"/>
      <c r="Q103" s="66"/>
      <c r="R103" s="66"/>
      <c r="S103" s="66"/>
      <c r="T103" s="138" t="str">
        <f>IFERROR(LOOKUP($S103,MOTORISTAS!$D$3:$D$1048576,MOTORISTAS!E$3:$E$1048576),"")</f>
        <v/>
      </c>
      <c r="U103" s="138" t="str">
        <f>IFERROR(LOOKUP($S103,MOTORISTAS!$D$3:$D$1048576,MOTORISTAS!F$3:$F$1048576),"")</f>
        <v/>
      </c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44"/>
      <c r="AG103" s="254">
        <f>Prog_236[[#This Row],[SAÍDA DO CLIENTE]]-Prog_236[[#This Row],[PROGRAMAÇÃO CLIENTE]]</f>
        <v>0</v>
      </c>
      <c r="AH103" s="44"/>
      <c r="AI103" s="66"/>
      <c r="AJ103" s="66"/>
      <c r="AK103" s="66"/>
      <c r="AL103" s="66"/>
      <c r="AM103" s="66"/>
      <c r="AN103" s="83"/>
      <c r="AO103" s="66"/>
      <c r="AP103" s="66"/>
      <c r="AQ103" s="66"/>
      <c r="AR103" s="81"/>
      <c r="AS103" s="81"/>
      <c r="AT103" s="81"/>
      <c r="AU103" s="81"/>
      <c r="AV103" s="83">
        <f>SUM(Prog_236[[#This Row],[ADIANTAMENTO]]+Prog_236[[#This Row],[SALDO]]+Prog_236[[#This Row],[MARGEM]]+Prog_236[[#This Row],[ESTADIA 1]])</f>
        <v>0</v>
      </c>
      <c r="AW1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" s="81"/>
      <c r="AY103" s="81"/>
      <c r="AZ103" s="81">
        <f>Prog_236[[#This Row],[VLR NF]]*0.1%</f>
        <v>0</v>
      </c>
      <c r="BA103" s="81">
        <f>Prog_236[[#This Row],[VLR NF]]*0.05%</f>
        <v>0</v>
      </c>
      <c r="BB103" s="81"/>
      <c r="BC103" s="81"/>
      <c r="BD103" s="81"/>
      <c r="BE103" s="81"/>
      <c r="BF103" s="81"/>
      <c r="BG103" s="81"/>
      <c r="BH103" s="81"/>
      <c r="BI103" s="81"/>
      <c r="BJ103" s="81"/>
      <c r="BK103" s="81"/>
      <c r="BL103" s="66"/>
      <c r="BM103" s="66"/>
      <c r="BN103" s="66"/>
      <c r="BO103" s="66" t="str">
        <f>PROPER(TEXT(Prog_236[[#This Row],[PROGRAMAÇÃO CLIENTE]],"mmm"))</f>
        <v>Jan</v>
      </c>
      <c r="BP103" s="66">
        <f>YEAR(Prog_236[[#This Row],[PROGRAMAÇÃO CLIENTE]])</f>
        <v>1900</v>
      </c>
    </row>
    <row r="104" spans="1:68" x14ac:dyDescent="0.25">
      <c r="A104" s="201">
        <f>Prog_236[[#This Row],[CONTEINER]]</f>
        <v>0</v>
      </c>
      <c r="B104" s="86"/>
      <c r="C1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" s="85"/>
      <c r="E104" s="66"/>
      <c r="F104" s="66"/>
      <c r="G104" s="66"/>
      <c r="H104" s="44"/>
      <c r="I104" s="44"/>
      <c r="J104" s="66"/>
      <c r="K104" s="66"/>
      <c r="L104" s="66"/>
      <c r="M104" s="66"/>
      <c r="N104" s="66">
        <f>SUM(Prog_236[[#This Row],[TARA]]+Prog_236[[#This Row],[PESO]])</f>
        <v>0</v>
      </c>
      <c r="O104" s="44"/>
      <c r="P104" s="66"/>
      <c r="Q104" s="66"/>
      <c r="R104" s="66"/>
      <c r="S104" s="66"/>
      <c r="T104" s="138" t="str">
        <f>IFERROR(LOOKUP($S104,MOTORISTAS!$D$3:$D$1048576,MOTORISTAS!E$3:$E$1048576),"")</f>
        <v/>
      </c>
      <c r="U104" s="138" t="str">
        <f>IFERROR(LOOKUP($S104,MOTORISTAS!$D$3:$D$1048576,MOTORISTAS!F$3:$F$1048576),"")</f>
        <v/>
      </c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44"/>
      <c r="AG104" s="254">
        <f>Prog_236[[#This Row],[SAÍDA DO CLIENTE]]-Prog_236[[#This Row],[PROGRAMAÇÃO CLIENTE]]</f>
        <v>0</v>
      </c>
      <c r="AH104" s="44"/>
      <c r="AI104" s="66"/>
      <c r="AJ104" s="66"/>
      <c r="AK104" s="66"/>
      <c r="AL104" s="66"/>
      <c r="AM104" s="66"/>
      <c r="AN104" s="83"/>
      <c r="AO104" s="66"/>
      <c r="AP104" s="66"/>
      <c r="AQ104" s="66"/>
      <c r="AR104" s="81"/>
      <c r="AS104" s="81"/>
      <c r="AT104" s="81"/>
      <c r="AU104" s="81"/>
      <c r="AV104" s="83">
        <f>SUM(Prog_236[[#This Row],[ADIANTAMENTO]]+Prog_236[[#This Row],[SALDO]]+Prog_236[[#This Row],[MARGEM]]+Prog_236[[#This Row],[ESTADIA 1]])</f>
        <v>0</v>
      </c>
      <c r="AW1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" s="81"/>
      <c r="AY104" s="81"/>
      <c r="AZ104" s="81">
        <f>Prog_236[[#This Row],[VLR NF]]*0.1%</f>
        <v>0</v>
      </c>
      <c r="BA104" s="81">
        <f>Prog_236[[#This Row],[VLR NF]]*0.05%</f>
        <v>0</v>
      </c>
      <c r="BB104" s="81"/>
      <c r="BC104" s="81"/>
      <c r="BD104" s="81"/>
      <c r="BE104" s="81"/>
      <c r="BF104" s="81"/>
      <c r="BG104" s="81"/>
      <c r="BH104" s="81"/>
      <c r="BI104" s="81"/>
      <c r="BJ104" s="81"/>
      <c r="BK104" s="81"/>
      <c r="BL104" s="66"/>
      <c r="BM104" s="66"/>
      <c r="BN104" s="66"/>
      <c r="BO104" s="66" t="str">
        <f>PROPER(TEXT(Prog_236[[#This Row],[PROGRAMAÇÃO CLIENTE]],"mmm"))</f>
        <v>Jan</v>
      </c>
      <c r="BP104" s="66">
        <f>YEAR(Prog_236[[#This Row],[PROGRAMAÇÃO CLIENTE]])</f>
        <v>1900</v>
      </c>
    </row>
    <row r="105" spans="1:68" x14ac:dyDescent="0.25">
      <c r="A105" s="200">
        <f>Prog_236[[#This Row],[CONTEINER]]</f>
        <v>0</v>
      </c>
      <c r="B105" s="86"/>
      <c r="C1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" s="44"/>
      <c r="E105" s="66"/>
      <c r="F105" s="66"/>
      <c r="G105" s="66"/>
      <c r="H105" s="44"/>
      <c r="I105" s="44"/>
      <c r="J105" s="66"/>
      <c r="K105" s="66"/>
      <c r="L105" s="66"/>
      <c r="M105" s="66"/>
      <c r="N105" s="66">
        <f>SUM(Prog_236[[#This Row],[TARA]]+Prog_236[[#This Row],[PESO]])</f>
        <v>0</v>
      </c>
      <c r="O105" s="44"/>
      <c r="P105" s="66"/>
      <c r="Q105" s="66"/>
      <c r="R105" s="66"/>
      <c r="S105" s="66"/>
      <c r="T105" s="138" t="str">
        <f>IFERROR(LOOKUP($S105,MOTORISTAS!$D$3:$D$1048576,MOTORISTAS!E$3:$E$1048576),"")</f>
        <v/>
      </c>
      <c r="U105" s="138" t="str">
        <f>IFERROR(LOOKUP($S105,MOTORISTAS!$D$3:$D$1048576,MOTORISTAS!F$3:$F$1048576),"")</f>
        <v/>
      </c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44"/>
      <c r="AG105" s="254">
        <f>Prog_236[[#This Row],[SAÍDA DO CLIENTE]]-Prog_236[[#This Row],[PROGRAMAÇÃO CLIENTE]]</f>
        <v>0</v>
      </c>
      <c r="AH105" s="44"/>
      <c r="AI105" s="66"/>
      <c r="AJ105" s="66"/>
      <c r="AK105" s="66"/>
      <c r="AL105" s="66"/>
      <c r="AM105" s="66"/>
      <c r="AN105" s="83"/>
      <c r="AO105" s="66"/>
      <c r="AP105" s="66"/>
      <c r="AQ105" s="66"/>
      <c r="AR105" s="81"/>
      <c r="AS105" s="81"/>
      <c r="AT105" s="81"/>
      <c r="AU105" s="81"/>
      <c r="AV105" s="83">
        <f>SUM(Prog_236[[#This Row],[ADIANTAMENTO]]+Prog_236[[#This Row],[SALDO]]+Prog_236[[#This Row],[MARGEM]]+Prog_236[[#This Row],[ESTADIA 1]])</f>
        <v>0</v>
      </c>
      <c r="AW1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" s="81"/>
      <c r="AY105" s="81"/>
      <c r="AZ105" s="81">
        <f>Prog_236[[#This Row],[VLR NF]]*0.1%</f>
        <v>0</v>
      </c>
      <c r="BA105" s="81">
        <f>Prog_236[[#This Row],[VLR NF]]*0.05%</f>
        <v>0</v>
      </c>
      <c r="BB105" s="81"/>
      <c r="BC105" s="81"/>
      <c r="BD105" s="81"/>
      <c r="BE105" s="81"/>
      <c r="BF105" s="81"/>
      <c r="BG105" s="81"/>
      <c r="BH105" s="81"/>
      <c r="BI105" s="81"/>
      <c r="BJ105" s="81"/>
      <c r="BK105" s="81"/>
      <c r="BL105" s="66"/>
      <c r="BM105" s="66"/>
      <c r="BN105" s="66"/>
      <c r="BO105" s="66" t="str">
        <f>PROPER(TEXT(Prog_236[[#This Row],[PROGRAMAÇÃO CLIENTE]],"mmm"))</f>
        <v>Jan</v>
      </c>
      <c r="BP105" s="66">
        <f>YEAR(Prog_236[[#This Row],[PROGRAMAÇÃO CLIENTE]])</f>
        <v>1900</v>
      </c>
    </row>
    <row r="106" spans="1:68" x14ac:dyDescent="0.25">
      <c r="A106" s="201">
        <f>Prog_236[[#This Row],[CONTEINER]]</f>
        <v>0</v>
      </c>
      <c r="B106" s="86"/>
      <c r="C1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" s="44"/>
      <c r="E106" s="66"/>
      <c r="F106" s="66"/>
      <c r="G106" s="66"/>
      <c r="H106" s="44"/>
      <c r="I106" s="44"/>
      <c r="J106" s="66"/>
      <c r="K106" s="66"/>
      <c r="L106" s="66"/>
      <c r="M106" s="66"/>
      <c r="N106" s="66">
        <f>SUM(Prog_236[[#This Row],[TARA]]+Prog_236[[#This Row],[PESO]])</f>
        <v>0</v>
      </c>
      <c r="O106" s="44"/>
      <c r="P106" s="66"/>
      <c r="Q106" s="66"/>
      <c r="R106" s="66"/>
      <c r="S106" s="66"/>
      <c r="T106" s="138" t="str">
        <f>IFERROR(LOOKUP($S106,MOTORISTAS!$D$3:$D$1048576,MOTORISTAS!E$3:$E$1048576),"")</f>
        <v/>
      </c>
      <c r="U106" s="138" t="str">
        <f>IFERROR(LOOKUP($S106,MOTORISTAS!$D$3:$D$1048576,MOTORISTAS!F$3:$F$1048576),"")</f>
        <v/>
      </c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44"/>
      <c r="AG106" s="254">
        <f>Prog_236[[#This Row],[SAÍDA DO CLIENTE]]-Prog_236[[#This Row],[PROGRAMAÇÃO CLIENTE]]</f>
        <v>0</v>
      </c>
      <c r="AH106" s="44"/>
      <c r="AI106" s="66"/>
      <c r="AJ106" s="66"/>
      <c r="AK106" s="66"/>
      <c r="AL106" s="66"/>
      <c r="AM106" s="66"/>
      <c r="AN106" s="83"/>
      <c r="AO106" s="66"/>
      <c r="AP106" s="66"/>
      <c r="AQ106" s="66"/>
      <c r="AR106" s="81"/>
      <c r="AS106" s="81"/>
      <c r="AT106" s="81"/>
      <c r="AU106" s="81"/>
      <c r="AV106" s="83">
        <f>SUM(Prog_236[[#This Row],[ADIANTAMENTO]]+Prog_236[[#This Row],[SALDO]]+Prog_236[[#This Row],[MARGEM]]+Prog_236[[#This Row],[ESTADIA 1]])</f>
        <v>0</v>
      </c>
      <c r="AW1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" s="81"/>
      <c r="AY106" s="81"/>
      <c r="AZ106" s="81">
        <f>Prog_236[[#This Row],[VLR NF]]*0.1%</f>
        <v>0</v>
      </c>
      <c r="BA106" s="81">
        <f>Prog_236[[#This Row],[VLR NF]]*0.05%</f>
        <v>0</v>
      </c>
      <c r="BB106" s="81"/>
      <c r="BC106" s="81"/>
      <c r="BD106" s="81"/>
      <c r="BE106" s="81"/>
      <c r="BF106" s="81"/>
      <c r="BG106" s="81"/>
      <c r="BH106" s="81"/>
      <c r="BI106" s="81"/>
      <c r="BJ106" s="81"/>
      <c r="BK106" s="81"/>
      <c r="BL106" s="66"/>
      <c r="BM106" s="66"/>
      <c r="BN106" s="66"/>
      <c r="BO106" s="66" t="str">
        <f>PROPER(TEXT(Prog_236[[#This Row],[PROGRAMAÇÃO CLIENTE]],"mmm"))</f>
        <v>Jan</v>
      </c>
      <c r="BP106" s="66">
        <f>YEAR(Prog_236[[#This Row],[PROGRAMAÇÃO CLIENTE]])</f>
        <v>1900</v>
      </c>
    </row>
    <row r="107" spans="1:68" x14ac:dyDescent="0.25">
      <c r="A107" s="200">
        <f>Prog_236[[#This Row],[CONTEINER]]</f>
        <v>0</v>
      </c>
      <c r="B107" s="86"/>
      <c r="C1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" s="44"/>
      <c r="E107" s="66"/>
      <c r="F107" s="66"/>
      <c r="G107" s="66"/>
      <c r="H107" s="44"/>
      <c r="I107" s="44"/>
      <c r="J107" s="66"/>
      <c r="K107" s="66"/>
      <c r="L107" s="66"/>
      <c r="M107" s="66"/>
      <c r="N107" s="66">
        <f>SUM(Prog_236[[#This Row],[TARA]]+Prog_236[[#This Row],[PESO]])</f>
        <v>0</v>
      </c>
      <c r="O107" s="44"/>
      <c r="P107" s="66"/>
      <c r="Q107" s="66"/>
      <c r="R107" s="66"/>
      <c r="S107" s="66"/>
      <c r="T107" s="138" t="str">
        <f>IFERROR(LOOKUP($S107,MOTORISTAS!$D$3:$D$1048576,MOTORISTAS!E$3:$E$1048576),"")</f>
        <v/>
      </c>
      <c r="U107" s="138" t="str">
        <f>IFERROR(LOOKUP($S107,MOTORISTAS!$D$3:$D$1048576,MOTORISTAS!F$3:$F$1048576),"")</f>
        <v/>
      </c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44"/>
      <c r="AG107" s="254">
        <f>Prog_236[[#This Row],[SAÍDA DO CLIENTE]]-Prog_236[[#This Row],[PROGRAMAÇÃO CLIENTE]]</f>
        <v>0</v>
      </c>
      <c r="AH107" s="44"/>
      <c r="AI107" s="66"/>
      <c r="AJ107" s="66"/>
      <c r="AK107" s="66"/>
      <c r="AL107" s="66"/>
      <c r="AM107" s="66"/>
      <c r="AN107" s="83"/>
      <c r="AO107" s="66"/>
      <c r="AP107" s="66"/>
      <c r="AQ107" s="66"/>
      <c r="AR107" s="81"/>
      <c r="AS107" s="81"/>
      <c r="AT107" s="81"/>
      <c r="AU107" s="81"/>
      <c r="AV107" s="83">
        <f>SUM(Prog_236[[#This Row],[ADIANTAMENTO]]+Prog_236[[#This Row],[SALDO]]+Prog_236[[#This Row],[MARGEM]]+Prog_236[[#This Row],[ESTADIA 1]])</f>
        <v>0</v>
      </c>
      <c r="AW1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" s="81"/>
      <c r="AY107" s="81"/>
      <c r="AZ107" s="81">
        <f>Prog_236[[#This Row],[VLR NF]]*0.1%</f>
        <v>0</v>
      </c>
      <c r="BA107" s="81">
        <f>Prog_236[[#This Row],[VLR NF]]*0.05%</f>
        <v>0</v>
      </c>
      <c r="BB107" s="81"/>
      <c r="BC107" s="81"/>
      <c r="BD107" s="81"/>
      <c r="BE107" s="81"/>
      <c r="BF107" s="81"/>
      <c r="BG107" s="81"/>
      <c r="BH107" s="81"/>
      <c r="BI107" s="81"/>
      <c r="BJ107" s="81"/>
      <c r="BK107" s="81"/>
      <c r="BL107" s="66"/>
      <c r="BM107" s="66"/>
      <c r="BN107" s="66"/>
      <c r="BO107" s="66" t="str">
        <f>PROPER(TEXT(Prog_236[[#This Row],[PROGRAMAÇÃO CLIENTE]],"mmm"))</f>
        <v>Jan</v>
      </c>
      <c r="BP107" s="66">
        <f>YEAR(Prog_236[[#This Row],[PROGRAMAÇÃO CLIENTE]])</f>
        <v>1900</v>
      </c>
    </row>
    <row r="108" spans="1:68" x14ac:dyDescent="0.25">
      <c r="A108" s="201">
        <f>Prog_236[[#This Row],[CONTEINER]]</f>
        <v>0</v>
      </c>
      <c r="B108" s="86"/>
      <c r="C1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" s="44"/>
      <c r="E108" s="66"/>
      <c r="F108" s="66"/>
      <c r="G108" s="66"/>
      <c r="H108" s="44"/>
      <c r="I108" s="44"/>
      <c r="J108" s="66"/>
      <c r="K108" s="66"/>
      <c r="L108" s="66"/>
      <c r="M108" s="66"/>
      <c r="N108" s="66">
        <f>SUM(Prog_236[[#This Row],[TARA]]+Prog_236[[#This Row],[PESO]])</f>
        <v>0</v>
      </c>
      <c r="O108" s="44"/>
      <c r="P108" s="66"/>
      <c r="Q108" s="66"/>
      <c r="R108" s="66"/>
      <c r="S108" s="66"/>
      <c r="T108" s="138" t="str">
        <f>IFERROR(LOOKUP($S108,MOTORISTAS!$D$3:$D$1048576,MOTORISTAS!E$3:$E$1048576),"")</f>
        <v/>
      </c>
      <c r="U108" s="138" t="str">
        <f>IFERROR(LOOKUP($S108,MOTORISTAS!$D$3:$D$1048576,MOTORISTAS!F$3:$F$1048576),"")</f>
        <v/>
      </c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44"/>
      <c r="AG108" s="254">
        <f>Prog_236[[#This Row],[SAÍDA DO CLIENTE]]-Prog_236[[#This Row],[PROGRAMAÇÃO CLIENTE]]</f>
        <v>0</v>
      </c>
      <c r="AH108" s="44"/>
      <c r="AI108" s="66"/>
      <c r="AJ108" s="66"/>
      <c r="AK108" s="66"/>
      <c r="AL108" s="66"/>
      <c r="AM108" s="66"/>
      <c r="AN108" s="83"/>
      <c r="AO108" s="66"/>
      <c r="AP108" s="66"/>
      <c r="AQ108" s="66"/>
      <c r="AR108" s="81"/>
      <c r="AS108" s="81"/>
      <c r="AT108" s="81"/>
      <c r="AU108" s="81"/>
      <c r="AV108" s="83">
        <f>SUM(Prog_236[[#This Row],[ADIANTAMENTO]]+Prog_236[[#This Row],[SALDO]]+Prog_236[[#This Row],[MARGEM]]+Prog_236[[#This Row],[ESTADIA 1]])</f>
        <v>0</v>
      </c>
      <c r="AW1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" s="81"/>
      <c r="AY108" s="81"/>
      <c r="AZ108" s="81">
        <f>Prog_236[[#This Row],[VLR NF]]*0.1%</f>
        <v>0</v>
      </c>
      <c r="BA108" s="81">
        <f>Prog_236[[#This Row],[VLR NF]]*0.05%</f>
        <v>0</v>
      </c>
      <c r="BB108" s="81"/>
      <c r="BC108" s="81"/>
      <c r="BD108" s="81"/>
      <c r="BE108" s="81"/>
      <c r="BF108" s="81"/>
      <c r="BG108" s="81"/>
      <c r="BH108" s="81"/>
      <c r="BI108" s="81"/>
      <c r="BJ108" s="81"/>
      <c r="BK108" s="81"/>
      <c r="BL108" s="66"/>
      <c r="BM108" s="66"/>
      <c r="BN108" s="66"/>
      <c r="BO108" s="66" t="str">
        <f>PROPER(TEXT(Prog_236[[#This Row],[PROGRAMAÇÃO CLIENTE]],"mmm"))</f>
        <v>Jan</v>
      </c>
      <c r="BP108" s="66">
        <f>YEAR(Prog_236[[#This Row],[PROGRAMAÇÃO CLIENTE]])</f>
        <v>1900</v>
      </c>
    </row>
    <row r="109" spans="1:68" x14ac:dyDescent="0.25">
      <c r="A109" s="200">
        <f>Prog_236[[#This Row],[CONTEINER]]</f>
        <v>0</v>
      </c>
      <c r="B109" s="86"/>
      <c r="C1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" s="44"/>
      <c r="E109" s="66"/>
      <c r="F109" s="66"/>
      <c r="G109" s="66"/>
      <c r="H109" s="44"/>
      <c r="I109" s="44"/>
      <c r="J109" s="66"/>
      <c r="K109" s="66"/>
      <c r="L109" s="66"/>
      <c r="M109" s="66"/>
      <c r="N109" s="66">
        <f>SUM(Prog_236[[#This Row],[TARA]]+Prog_236[[#This Row],[PESO]])</f>
        <v>0</v>
      </c>
      <c r="O109" s="44"/>
      <c r="P109" s="66"/>
      <c r="Q109" s="66"/>
      <c r="R109" s="66"/>
      <c r="S109" s="66"/>
      <c r="T109" s="138" t="str">
        <f>IFERROR(LOOKUP($S109,MOTORISTAS!$D$3:$D$1048576,MOTORISTAS!E$3:$E$1048576),"")</f>
        <v/>
      </c>
      <c r="U109" s="138" t="str">
        <f>IFERROR(LOOKUP($S109,MOTORISTAS!$D$3:$D$1048576,MOTORISTAS!F$3:$F$1048576),"")</f>
        <v/>
      </c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44"/>
      <c r="AG109" s="254">
        <f>Prog_236[[#This Row],[SAÍDA DO CLIENTE]]-Prog_236[[#This Row],[PROGRAMAÇÃO CLIENTE]]</f>
        <v>0</v>
      </c>
      <c r="AH109" s="44"/>
      <c r="AI109" s="66"/>
      <c r="AJ109" s="66"/>
      <c r="AK109" s="66"/>
      <c r="AL109" s="66"/>
      <c r="AM109" s="66"/>
      <c r="AN109" s="83"/>
      <c r="AO109" s="66"/>
      <c r="AP109" s="66"/>
      <c r="AQ109" s="66"/>
      <c r="AR109" s="81"/>
      <c r="AS109" s="81"/>
      <c r="AT109" s="81"/>
      <c r="AU109" s="81"/>
      <c r="AV109" s="83">
        <f>SUM(Prog_236[[#This Row],[ADIANTAMENTO]]+Prog_236[[#This Row],[SALDO]]+Prog_236[[#This Row],[MARGEM]]+Prog_236[[#This Row],[ESTADIA 1]])</f>
        <v>0</v>
      </c>
      <c r="AW1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" s="81"/>
      <c r="AY109" s="81"/>
      <c r="AZ109" s="81">
        <f>Prog_236[[#This Row],[VLR NF]]*0.1%</f>
        <v>0</v>
      </c>
      <c r="BA109" s="81">
        <f>Prog_236[[#This Row],[VLR NF]]*0.05%</f>
        <v>0</v>
      </c>
      <c r="BB109" s="81"/>
      <c r="BC109" s="81"/>
      <c r="BD109" s="81"/>
      <c r="BE109" s="81"/>
      <c r="BF109" s="81"/>
      <c r="BG109" s="81"/>
      <c r="BH109" s="81"/>
      <c r="BI109" s="81"/>
      <c r="BJ109" s="81"/>
      <c r="BK109" s="81"/>
      <c r="BL109" s="66"/>
      <c r="BM109" s="66"/>
      <c r="BN109" s="66"/>
      <c r="BO109" s="66" t="str">
        <f>PROPER(TEXT(Prog_236[[#This Row],[PROGRAMAÇÃO CLIENTE]],"mmm"))</f>
        <v>Jan</v>
      </c>
      <c r="BP109" s="66">
        <f>YEAR(Prog_236[[#This Row],[PROGRAMAÇÃO CLIENTE]])</f>
        <v>1900</v>
      </c>
    </row>
    <row r="110" spans="1:68" x14ac:dyDescent="0.25">
      <c r="A110" s="201">
        <f>Prog_236[[#This Row],[CONTEINER]]</f>
        <v>0</v>
      </c>
      <c r="B110" s="86"/>
      <c r="C1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" s="44"/>
      <c r="E110" s="66"/>
      <c r="F110" s="66"/>
      <c r="G110" s="66"/>
      <c r="H110" s="44"/>
      <c r="I110" s="44"/>
      <c r="J110" s="66"/>
      <c r="K110" s="66"/>
      <c r="L110" s="66"/>
      <c r="M110" s="66"/>
      <c r="N110" s="66">
        <f>SUM(Prog_236[[#This Row],[TARA]]+Prog_236[[#This Row],[PESO]])</f>
        <v>0</v>
      </c>
      <c r="O110" s="44"/>
      <c r="P110" s="66"/>
      <c r="Q110" s="66"/>
      <c r="R110" s="66"/>
      <c r="S110" s="66"/>
      <c r="T110" s="138" t="str">
        <f>IFERROR(LOOKUP($S110,MOTORISTAS!$D$3:$D$1048576,MOTORISTAS!E$3:$E$1048576),"")</f>
        <v/>
      </c>
      <c r="U110" s="138" t="str">
        <f>IFERROR(LOOKUP($S110,MOTORISTAS!$D$3:$D$1048576,MOTORISTAS!F$3:$F$1048576),"")</f>
        <v/>
      </c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44"/>
      <c r="AG110" s="254">
        <f>Prog_236[[#This Row],[SAÍDA DO CLIENTE]]-Prog_236[[#This Row],[PROGRAMAÇÃO CLIENTE]]</f>
        <v>0</v>
      </c>
      <c r="AH110" s="44"/>
      <c r="AI110" s="66"/>
      <c r="AJ110" s="66"/>
      <c r="AK110" s="66"/>
      <c r="AL110" s="66"/>
      <c r="AM110" s="66"/>
      <c r="AN110" s="83"/>
      <c r="AO110" s="66"/>
      <c r="AP110" s="66"/>
      <c r="AQ110" s="66"/>
      <c r="AR110" s="81"/>
      <c r="AS110" s="81"/>
      <c r="AT110" s="81"/>
      <c r="AU110" s="81"/>
      <c r="AV110" s="83">
        <f>SUM(Prog_236[[#This Row],[ADIANTAMENTO]]+Prog_236[[#This Row],[SALDO]]+Prog_236[[#This Row],[MARGEM]]+Prog_236[[#This Row],[ESTADIA 1]])</f>
        <v>0</v>
      </c>
      <c r="AW1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" s="81"/>
      <c r="AY110" s="81"/>
      <c r="AZ110" s="81">
        <f>Prog_236[[#This Row],[VLR NF]]*0.1%</f>
        <v>0</v>
      </c>
      <c r="BA110" s="81">
        <f>Prog_236[[#This Row],[VLR NF]]*0.05%</f>
        <v>0</v>
      </c>
      <c r="BB110" s="81"/>
      <c r="BC110" s="81"/>
      <c r="BD110" s="81"/>
      <c r="BE110" s="81"/>
      <c r="BF110" s="81"/>
      <c r="BG110" s="81"/>
      <c r="BH110" s="81"/>
      <c r="BI110" s="81"/>
      <c r="BJ110" s="81"/>
      <c r="BK110" s="81"/>
      <c r="BL110" s="66"/>
      <c r="BM110" s="66"/>
      <c r="BN110" s="66"/>
      <c r="BO110" s="66" t="str">
        <f>PROPER(TEXT(Prog_236[[#This Row],[PROGRAMAÇÃO CLIENTE]],"mmm"))</f>
        <v>Jan</v>
      </c>
      <c r="BP110" s="66">
        <f>YEAR(Prog_236[[#This Row],[PROGRAMAÇÃO CLIENTE]])</f>
        <v>1900</v>
      </c>
    </row>
    <row r="111" spans="1:68" x14ac:dyDescent="0.25">
      <c r="A111" s="200">
        <f>Prog_236[[#This Row],[CONTEINER]]</f>
        <v>0</v>
      </c>
      <c r="B111" s="86"/>
      <c r="C1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" s="44"/>
      <c r="E111" s="66"/>
      <c r="F111" s="66"/>
      <c r="G111" s="66"/>
      <c r="H111" s="44"/>
      <c r="I111" s="44"/>
      <c r="J111" s="66"/>
      <c r="K111" s="66"/>
      <c r="L111" s="66"/>
      <c r="M111" s="66"/>
      <c r="N111" s="66">
        <f>SUM(Prog_236[[#This Row],[TARA]]+Prog_236[[#This Row],[PESO]])</f>
        <v>0</v>
      </c>
      <c r="O111" s="44"/>
      <c r="P111" s="66"/>
      <c r="Q111" s="66"/>
      <c r="R111" s="66"/>
      <c r="S111" s="66"/>
      <c r="T111" s="138" t="str">
        <f>IFERROR(LOOKUP($S111,MOTORISTAS!$D$3:$D$1048576,MOTORISTAS!E$3:$E$1048576),"")</f>
        <v/>
      </c>
      <c r="U111" s="138" t="str">
        <f>IFERROR(LOOKUP($S111,MOTORISTAS!$D$3:$D$1048576,MOTORISTAS!F$3:$F$1048576),"")</f>
        <v/>
      </c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44"/>
      <c r="AG111" s="254">
        <f>Prog_236[[#This Row],[SAÍDA DO CLIENTE]]-Prog_236[[#This Row],[PROGRAMAÇÃO CLIENTE]]</f>
        <v>0</v>
      </c>
      <c r="AH111" s="44"/>
      <c r="AI111" s="66"/>
      <c r="AJ111" s="66"/>
      <c r="AK111" s="66"/>
      <c r="AL111" s="66"/>
      <c r="AM111" s="66"/>
      <c r="AN111" s="83"/>
      <c r="AO111" s="66"/>
      <c r="AP111" s="66"/>
      <c r="AQ111" s="66"/>
      <c r="AR111" s="81"/>
      <c r="AS111" s="81"/>
      <c r="AT111" s="81"/>
      <c r="AU111" s="81"/>
      <c r="AV111" s="83">
        <f>SUM(Prog_236[[#This Row],[ADIANTAMENTO]]+Prog_236[[#This Row],[SALDO]]+Prog_236[[#This Row],[MARGEM]]+Prog_236[[#This Row],[ESTADIA 1]])</f>
        <v>0</v>
      </c>
      <c r="AW1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" s="81"/>
      <c r="AY111" s="81"/>
      <c r="AZ111" s="81">
        <f>Prog_236[[#This Row],[VLR NF]]*0.1%</f>
        <v>0</v>
      </c>
      <c r="BA111" s="81">
        <f>Prog_236[[#This Row],[VLR NF]]*0.05%</f>
        <v>0</v>
      </c>
      <c r="BB111" s="81"/>
      <c r="BC111" s="81"/>
      <c r="BD111" s="81"/>
      <c r="BE111" s="81"/>
      <c r="BF111" s="81"/>
      <c r="BG111" s="81"/>
      <c r="BH111" s="81"/>
      <c r="BI111" s="81"/>
      <c r="BJ111" s="81"/>
      <c r="BK111" s="81"/>
      <c r="BL111" s="66"/>
      <c r="BM111" s="66"/>
      <c r="BN111" s="66"/>
      <c r="BO111" s="66" t="str">
        <f>PROPER(TEXT(Prog_236[[#This Row],[PROGRAMAÇÃO CLIENTE]],"mmm"))</f>
        <v>Jan</v>
      </c>
      <c r="BP111" s="66">
        <f>YEAR(Prog_236[[#This Row],[PROGRAMAÇÃO CLIENTE]])</f>
        <v>1900</v>
      </c>
    </row>
    <row r="112" spans="1:68" x14ac:dyDescent="0.25">
      <c r="A112" s="201">
        <f>Prog_236[[#This Row],[CONTEINER]]</f>
        <v>0</v>
      </c>
      <c r="B112" s="86"/>
      <c r="C1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" s="44"/>
      <c r="E112" s="66"/>
      <c r="F112" s="66"/>
      <c r="G112" s="66"/>
      <c r="H112" s="44"/>
      <c r="I112" s="44"/>
      <c r="J112" s="66"/>
      <c r="K112" s="66"/>
      <c r="L112" s="66"/>
      <c r="M112" s="66"/>
      <c r="N112" s="66">
        <f>SUM(Prog_236[[#This Row],[TARA]]+Prog_236[[#This Row],[PESO]])</f>
        <v>0</v>
      </c>
      <c r="O112" s="44"/>
      <c r="P112" s="66"/>
      <c r="Q112" s="66"/>
      <c r="R112" s="66"/>
      <c r="S112" s="66"/>
      <c r="T112" s="138" t="str">
        <f>IFERROR(LOOKUP($S112,MOTORISTAS!$D$3:$D$1048576,MOTORISTAS!E$3:$E$1048576),"")</f>
        <v/>
      </c>
      <c r="U112" s="138" t="str">
        <f>IFERROR(LOOKUP($S112,MOTORISTAS!$D$3:$D$1048576,MOTORISTAS!F$3:$F$1048576),"")</f>
        <v/>
      </c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44"/>
      <c r="AG112" s="254">
        <f>Prog_236[[#This Row],[SAÍDA DO CLIENTE]]-Prog_236[[#This Row],[PROGRAMAÇÃO CLIENTE]]</f>
        <v>0</v>
      </c>
      <c r="AH112" s="44"/>
      <c r="AI112" s="66"/>
      <c r="AJ112" s="66"/>
      <c r="AK112" s="66"/>
      <c r="AL112" s="66"/>
      <c r="AM112" s="66"/>
      <c r="AN112" s="83"/>
      <c r="AO112" s="66"/>
      <c r="AP112" s="66"/>
      <c r="AQ112" s="66"/>
      <c r="AR112" s="81"/>
      <c r="AS112" s="81"/>
      <c r="AT112" s="81"/>
      <c r="AU112" s="81"/>
      <c r="AV112" s="83">
        <f>SUM(Prog_236[[#This Row],[ADIANTAMENTO]]+Prog_236[[#This Row],[SALDO]]+Prog_236[[#This Row],[MARGEM]]+Prog_236[[#This Row],[ESTADIA 1]])</f>
        <v>0</v>
      </c>
      <c r="AW1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" s="81"/>
      <c r="AY112" s="81"/>
      <c r="AZ112" s="81">
        <f>Prog_236[[#This Row],[VLR NF]]*0.1%</f>
        <v>0</v>
      </c>
      <c r="BA112" s="81">
        <f>Prog_236[[#This Row],[VLR NF]]*0.05%</f>
        <v>0</v>
      </c>
      <c r="BB112" s="81"/>
      <c r="BC112" s="81"/>
      <c r="BD112" s="81"/>
      <c r="BE112" s="81"/>
      <c r="BF112" s="81"/>
      <c r="BG112" s="81"/>
      <c r="BH112" s="81"/>
      <c r="BI112" s="81"/>
      <c r="BJ112" s="81"/>
      <c r="BK112" s="81"/>
      <c r="BL112" s="66"/>
      <c r="BM112" s="66"/>
      <c r="BN112" s="66"/>
      <c r="BO112" s="66" t="str">
        <f>PROPER(TEXT(Prog_236[[#This Row],[PROGRAMAÇÃO CLIENTE]],"mmm"))</f>
        <v>Jan</v>
      </c>
      <c r="BP112" s="66">
        <f>YEAR(Prog_236[[#This Row],[PROGRAMAÇÃO CLIENTE]])</f>
        <v>1900</v>
      </c>
    </row>
    <row r="113" spans="1:68" x14ac:dyDescent="0.25">
      <c r="A113" s="200">
        <f>Prog_236[[#This Row],[CONTEINER]]</f>
        <v>0</v>
      </c>
      <c r="B113" s="86"/>
      <c r="C1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" s="44"/>
      <c r="E113" s="66"/>
      <c r="F113" s="66"/>
      <c r="G113" s="66"/>
      <c r="H113" s="44"/>
      <c r="I113" s="44"/>
      <c r="J113" s="66"/>
      <c r="K113" s="66"/>
      <c r="L113" s="66"/>
      <c r="M113" s="66"/>
      <c r="N113" s="66">
        <f>SUM(Prog_236[[#This Row],[TARA]]+Prog_236[[#This Row],[PESO]])</f>
        <v>0</v>
      </c>
      <c r="O113" s="44"/>
      <c r="P113" s="66"/>
      <c r="Q113" s="66"/>
      <c r="R113" s="66"/>
      <c r="S113" s="66"/>
      <c r="T113" s="138" t="str">
        <f>IFERROR(LOOKUP($S113,MOTORISTAS!$D$3:$D$1048576,MOTORISTAS!E$3:$E$1048576),"")</f>
        <v/>
      </c>
      <c r="U113" s="138" t="str">
        <f>IFERROR(LOOKUP($S113,MOTORISTAS!$D$3:$D$1048576,MOTORISTAS!F$3:$F$1048576),"")</f>
        <v/>
      </c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44"/>
      <c r="AG113" s="254">
        <f>Prog_236[[#This Row],[SAÍDA DO CLIENTE]]-Prog_236[[#This Row],[PROGRAMAÇÃO CLIENTE]]</f>
        <v>0</v>
      </c>
      <c r="AH113" s="44"/>
      <c r="AI113" s="66"/>
      <c r="AJ113" s="66"/>
      <c r="AK113" s="66"/>
      <c r="AL113" s="66"/>
      <c r="AM113" s="66"/>
      <c r="AN113" s="83"/>
      <c r="AO113" s="66"/>
      <c r="AP113" s="66"/>
      <c r="AQ113" s="66"/>
      <c r="AR113" s="81"/>
      <c r="AS113" s="81"/>
      <c r="AT113" s="81"/>
      <c r="AU113" s="81"/>
      <c r="AV113" s="83">
        <f>SUM(Prog_236[[#This Row],[ADIANTAMENTO]]+Prog_236[[#This Row],[SALDO]]+Prog_236[[#This Row],[MARGEM]]+Prog_236[[#This Row],[ESTADIA 1]])</f>
        <v>0</v>
      </c>
      <c r="AW1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" s="81"/>
      <c r="AY113" s="81"/>
      <c r="AZ113" s="81">
        <f>Prog_236[[#This Row],[VLR NF]]*0.1%</f>
        <v>0</v>
      </c>
      <c r="BA113" s="81">
        <f>Prog_236[[#This Row],[VLR NF]]*0.05%</f>
        <v>0</v>
      </c>
      <c r="BB113" s="81"/>
      <c r="BC113" s="81"/>
      <c r="BD113" s="81"/>
      <c r="BE113" s="81"/>
      <c r="BF113" s="81"/>
      <c r="BG113" s="81"/>
      <c r="BH113" s="81"/>
      <c r="BI113" s="81"/>
      <c r="BJ113" s="81"/>
      <c r="BK113" s="81"/>
      <c r="BL113" s="66"/>
      <c r="BM113" s="66"/>
      <c r="BN113" s="66"/>
      <c r="BO113" s="66" t="str">
        <f>PROPER(TEXT(Prog_236[[#This Row],[PROGRAMAÇÃO CLIENTE]],"mmm"))</f>
        <v>Jan</v>
      </c>
      <c r="BP113" s="66">
        <f>YEAR(Prog_236[[#This Row],[PROGRAMAÇÃO CLIENTE]])</f>
        <v>1900</v>
      </c>
    </row>
    <row r="114" spans="1:68" x14ac:dyDescent="0.25">
      <c r="A114" s="201">
        <f>Prog_236[[#This Row],[CONTEINER]]</f>
        <v>0</v>
      </c>
      <c r="B114" s="86"/>
      <c r="C1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" s="44"/>
      <c r="E114" s="66"/>
      <c r="F114" s="66"/>
      <c r="G114" s="66"/>
      <c r="H114" s="44"/>
      <c r="I114" s="44"/>
      <c r="J114" s="66"/>
      <c r="K114" s="66"/>
      <c r="L114" s="66"/>
      <c r="M114" s="66"/>
      <c r="N114" s="66">
        <f>SUM(Prog_236[[#This Row],[TARA]]+Prog_236[[#This Row],[PESO]])</f>
        <v>0</v>
      </c>
      <c r="O114" s="44"/>
      <c r="P114" s="66"/>
      <c r="Q114" s="66"/>
      <c r="R114" s="66"/>
      <c r="S114" s="66"/>
      <c r="T114" s="138" t="str">
        <f>IFERROR(LOOKUP($S114,MOTORISTAS!$D$3:$D$1048576,MOTORISTAS!E$3:$E$1048576),"")</f>
        <v/>
      </c>
      <c r="U114" s="138" t="str">
        <f>IFERROR(LOOKUP($S114,MOTORISTAS!$D$3:$D$1048576,MOTORISTAS!F$3:$F$1048576),"")</f>
        <v/>
      </c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44"/>
      <c r="AG114" s="254">
        <f>Prog_236[[#This Row],[SAÍDA DO CLIENTE]]-Prog_236[[#This Row],[PROGRAMAÇÃO CLIENTE]]</f>
        <v>0</v>
      </c>
      <c r="AH114" s="44"/>
      <c r="AI114" s="66"/>
      <c r="AJ114" s="66"/>
      <c r="AK114" s="66"/>
      <c r="AL114" s="66"/>
      <c r="AM114" s="66"/>
      <c r="AN114" s="83"/>
      <c r="AO114" s="66"/>
      <c r="AP114" s="66"/>
      <c r="AQ114" s="66"/>
      <c r="AR114" s="81"/>
      <c r="AS114" s="81"/>
      <c r="AT114" s="81"/>
      <c r="AU114" s="81"/>
      <c r="AV114" s="83">
        <f>SUM(Prog_236[[#This Row],[ADIANTAMENTO]]+Prog_236[[#This Row],[SALDO]]+Prog_236[[#This Row],[MARGEM]]+Prog_236[[#This Row],[ESTADIA 1]])</f>
        <v>0</v>
      </c>
      <c r="AW1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" s="81"/>
      <c r="AY114" s="81"/>
      <c r="AZ114" s="81">
        <f>Prog_236[[#This Row],[VLR NF]]*0.1%</f>
        <v>0</v>
      </c>
      <c r="BA114" s="81">
        <f>Prog_236[[#This Row],[VLR NF]]*0.05%</f>
        <v>0</v>
      </c>
      <c r="BB114" s="81"/>
      <c r="BC114" s="81"/>
      <c r="BD114" s="81"/>
      <c r="BE114" s="81"/>
      <c r="BF114" s="81"/>
      <c r="BG114" s="81"/>
      <c r="BH114" s="81"/>
      <c r="BI114" s="81"/>
      <c r="BJ114" s="81"/>
      <c r="BK114" s="81"/>
      <c r="BL114" s="66"/>
      <c r="BM114" s="66"/>
      <c r="BN114" s="66"/>
      <c r="BO114" s="66" t="str">
        <f>PROPER(TEXT(Prog_236[[#This Row],[PROGRAMAÇÃO CLIENTE]],"mmm"))</f>
        <v>Jan</v>
      </c>
      <c r="BP114" s="66">
        <f>YEAR(Prog_236[[#This Row],[PROGRAMAÇÃO CLIENTE]])</f>
        <v>1900</v>
      </c>
    </row>
    <row r="115" spans="1:68" x14ac:dyDescent="0.25">
      <c r="A115" s="200">
        <f>Prog_236[[#This Row],[CONTEINER]]</f>
        <v>0</v>
      </c>
      <c r="B115" s="86"/>
      <c r="C1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" s="44"/>
      <c r="E115" s="66"/>
      <c r="F115" s="66"/>
      <c r="G115" s="66"/>
      <c r="H115" s="44"/>
      <c r="I115" s="44"/>
      <c r="J115" s="66"/>
      <c r="K115" s="66"/>
      <c r="L115" s="66"/>
      <c r="M115" s="66"/>
      <c r="N115" s="66">
        <f>SUM(Prog_236[[#This Row],[TARA]]+Prog_236[[#This Row],[PESO]])</f>
        <v>0</v>
      </c>
      <c r="O115" s="44"/>
      <c r="P115" s="66"/>
      <c r="Q115" s="66"/>
      <c r="R115" s="66"/>
      <c r="S115" s="66"/>
      <c r="T115" s="138" t="str">
        <f>IFERROR(LOOKUP($S115,MOTORISTAS!$D$3:$D$1048576,MOTORISTAS!E$3:$E$1048576),"")</f>
        <v/>
      </c>
      <c r="U115" s="138" t="str">
        <f>IFERROR(LOOKUP($S115,MOTORISTAS!$D$3:$D$1048576,MOTORISTAS!F$3:$F$1048576),"")</f>
        <v/>
      </c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44"/>
      <c r="AG115" s="254">
        <f>Prog_236[[#This Row],[SAÍDA DO CLIENTE]]-Prog_236[[#This Row],[PROGRAMAÇÃO CLIENTE]]</f>
        <v>0</v>
      </c>
      <c r="AH115" s="44"/>
      <c r="AI115" s="66"/>
      <c r="AJ115" s="66"/>
      <c r="AK115" s="66"/>
      <c r="AL115" s="66"/>
      <c r="AM115" s="66"/>
      <c r="AN115" s="83"/>
      <c r="AO115" s="66"/>
      <c r="AP115" s="66"/>
      <c r="AQ115" s="66"/>
      <c r="AR115" s="81"/>
      <c r="AS115" s="81"/>
      <c r="AT115" s="81"/>
      <c r="AU115" s="81"/>
      <c r="AV115" s="83">
        <f>SUM(Prog_236[[#This Row],[ADIANTAMENTO]]+Prog_236[[#This Row],[SALDO]]+Prog_236[[#This Row],[MARGEM]]+Prog_236[[#This Row],[ESTADIA 1]])</f>
        <v>0</v>
      </c>
      <c r="AW1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" s="81"/>
      <c r="AY115" s="81"/>
      <c r="AZ115" s="81">
        <f>Prog_236[[#This Row],[VLR NF]]*0.1%</f>
        <v>0</v>
      </c>
      <c r="BA115" s="81">
        <f>Prog_236[[#This Row],[VLR NF]]*0.05%</f>
        <v>0</v>
      </c>
      <c r="BB115" s="81"/>
      <c r="BC115" s="81"/>
      <c r="BD115" s="81"/>
      <c r="BE115" s="81"/>
      <c r="BF115" s="81"/>
      <c r="BG115" s="81"/>
      <c r="BH115" s="81"/>
      <c r="BI115" s="81"/>
      <c r="BJ115" s="81"/>
      <c r="BK115" s="81"/>
      <c r="BL115" s="66"/>
      <c r="BM115" s="66"/>
      <c r="BN115" s="66"/>
      <c r="BO115" s="66" t="str">
        <f>PROPER(TEXT(Prog_236[[#This Row],[PROGRAMAÇÃO CLIENTE]],"mmm"))</f>
        <v>Jan</v>
      </c>
      <c r="BP115" s="66">
        <f>YEAR(Prog_236[[#This Row],[PROGRAMAÇÃO CLIENTE]])</f>
        <v>1900</v>
      </c>
    </row>
    <row r="116" spans="1:68" x14ac:dyDescent="0.25">
      <c r="A116" s="201">
        <f>Prog_236[[#This Row],[CONTEINER]]</f>
        <v>0</v>
      </c>
      <c r="B116" s="86"/>
      <c r="C1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" s="44"/>
      <c r="E116" s="66"/>
      <c r="F116" s="66"/>
      <c r="G116" s="66"/>
      <c r="H116" s="44"/>
      <c r="I116" s="44"/>
      <c r="J116" s="66"/>
      <c r="K116" s="66"/>
      <c r="L116" s="66"/>
      <c r="M116" s="66"/>
      <c r="N116" s="66">
        <f>SUM(Prog_236[[#This Row],[TARA]]+Prog_236[[#This Row],[PESO]])</f>
        <v>0</v>
      </c>
      <c r="O116" s="44"/>
      <c r="P116" s="66"/>
      <c r="Q116" s="66"/>
      <c r="R116" s="66"/>
      <c r="S116" s="66"/>
      <c r="T116" s="138" t="str">
        <f>IFERROR(LOOKUP($S116,MOTORISTAS!$D$3:$D$1048576,MOTORISTAS!E$3:$E$1048576),"")</f>
        <v/>
      </c>
      <c r="U116" s="138" t="str">
        <f>IFERROR(LOOKUP($S116,MOTORISTAS!$D$3:$D$1048576,MOTORISTAS!F$3:$F$1048576),"")</f>
        <v/>
      </c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44"/>
      <c r="AG116" s="254">
        <f>Prog_236[[#This Row],[SAÍDA DO CLIENTE]]-Prog_236[[#This Row],[PROGRAMAÇÃO CLIENTE]]</f>
        <v>0</v>
      </c>
      <c r="AH116" s="44"/>
      <c r="AI116" s="66"/>
      <c r="AJ116" s="66"/>
      <c r="AK116" s="66"/>
      <c r="AL116" s="66"/>
      <c r="AM116" s="66"/>
      <c r="AN116" s="83"/>
      <c r="AO116" s="66"/>
      <c r="AP116" s="66"/>
      <c r="AQ116" s="66"/>
      <c r="AR116" s="81"/>
      <c r="AS116" s="81"/>
      <c r="AT116" s="81"/>
      <c r="AU116" s="81"/>
      <c r="AV116" s="83">
        <f>SUM(Prog_236[[#This Row],[ADIANTAMENTO]]+Prog_236[[#This Row],[SALDO]]+Prog_236[[#This Row],[MARGEM]]+Prog_236[[#This Row],[ESTADIA 1]])</f>
        <v>0</v>
      </c>
      <c r="AW1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" s="81"/>
      <c r="AY116" s="81"/>
      <c r="AZ116" s="81">
        <f>Prog_236[[#This Row],[VLR NF]]*0.1%</f>
        <v>0</v>
      </c>
      <c r="BA116" s="81">
        <f>Prog_236[[#This Row],[VLR NF]]*0.05%</f>
        <v>0</v>
      </c>
      <c r="BB116" s="81"/>
      <c r="BC116" s="81"/>
      <c r="BD116" s="81"/>
      <c r="BE116" s="81"/>
      <c r="BF116" s="81"/>
      <c r="BG116" s="81"/>
      <c r="BH116" s="81"/>
      <c r="BI116" s="81"/>
      <c r="BJ116" s="81"/>
      <c r="BK116" s="81"/>
      <c r="BL116" s="66"/>
      <c r="BM116" s="66"/>
      <c r="BN116" s="66"/>
      <c r="BO116" s="66" t="str">
        <f>PROPER(TEXT(Prog_236[[#This Row],[PROGRAMAÇÃO CLIENTE]],"mmm"))</f>
        <v>Jan</v>
      </c>
      <c r="BP116" s="66">
        <f>YEAR(Prog_236[[#This Row],[PROGRAMAÇÃO CLIENTE]])</f>
        <v>1900</v>
      </c>
    </row>
    <row r="117" spans="1:68" x14ac:dyDescent="0.25">
      <c r="A117" s="200">
        <f>Prog_236[[#This Row],[CONTEINER]]</f>
        <v>0</v>
      </c>
      <c r="B117" s="86"/>
      <c r="C1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" s="44"/>
      <c r="E117" s="66"/>
      <c r="F117" s="66"/>
      <c r="G117" s="66"/>
      <c r="H117" s="44"/>
      <c r="I117" s="44"/>
      <c r="J117" s="66"/>
      <c r="K117" s="66"/>
      <c r="L117" s="66"/>
      <c r="M117" s="66"/>
      <c r="N117" s="66">
        <f>SUM(Prog_236[[#This Row],[TARA]]+Prog_236[[#This Row],[PESO]])</f>
        <v>0</v>
      </c>
      <c r="O117" s="44"/>
      <c r="P117" s="66"/>
      <c r="Q117" s="66"/>
      <c r="R117" s="66"/>
      <c r="S117" s="66"/>
      <c r="T117" s="138" t="str">
        <f>IFERROR(LOOKUP($S117,MOTORISTAS!$D$3:$D$1048576,MOTORISTAS!E$3:$E$1048576),"")</f>
        <v/>
      </c>
      <c r="U117" s="138" t="str">
        <f>IFERROR(LOOKUP($S117,MOTORISTAS!$D$3:$D$1048576,MOTORISTAS!F$3:$F$1048576),"")</f>
        <v/>
      </c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44"/>
      <c r="AG117" s="254">
        <f>Prog_236[[#This Row],[SAÍDA DO CLIENTE]]-Prog_236[[#This Row],[PROGRAMAÇÃO CLIENTE]]</f>
        <v>0</v>
      </c>
      <c r="AH117" s="44"/>
      <c r="AI117" s="66"/>
      <c r="AJ117" s="66"/>
      <c r="AK117" s="66"/>
      <c r="AL117" s="66"/>
      <c r="AM117" s="66"/>
      <c r="AN117" s="83"/>
      <c r="AO117" s="66"/>
      <c r="AP117" s="66"/>
      <c r="AQ117" s="66"/>
      <c r="AR117" s="81"/>
      <c r="AS117" s="81"/>
      <c r="AT117" s="81"/>
      <c r="AU117" s="81"/>
      <c r="AV117" s="83">
        <f>SUM(Prog_236[[#This Row],[ADIANTAMENTO]]+Prog_236[[#This Row],[SALDO]]+Prog_236[[#This Row],[MARGEM]]+Prog_236[[#This Row],[ESTADIA 1]])</f>
        <v>0</v>
      </c>
      <c r="AW1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" s="81"/>
      <c r="AY117" s="81"/>
      <c r="AZ117" s="81">
        <f>Prog_236[[#This Row],[VLR NF]]*0.1%</f>
        <v>0</v>
      </c>
      <c r="BA117" s="81">
        <f>Prog_236[[#This Row],[VLR NF]]*0.05%</f>
        <v>0</v>
      </c>
      <c r="BB117" s="81"/>
      <c r="BC117" s="81"/>
      <c r="BD117" s="81"/>
      <c r="BE117" s="81"/>
      <c r="BF117" s="81"/>
      <c r="BG117" s="81"/>
      <c r="BH117" s="81"/>
      <c r="BI117" s="81"/>
      <c r="BJ117" s="81"/>
      <c r="BK117" s="81"/>
      <c r="BL117" s="66"/>
      <c r="BM117" s="66"/>
      <c r="BN117" s="66"/>
      <c r="BO117" s="66" t="str">
        <f>PROPER(TEXT(Prog_236[[#This Row],[PROGRAMAÇÃO CLIENTE]],"mmm"))</f>
        <v>Jan</v>
      </c>
      <c r="BP117" s="66">
        <f>YEAR(Prog_236[[#This Row],[PROGRAMAÇÃO CLIENTE]])</f>
        <v>1900</v>
      </c>
    </row>
    <row r="118" spans="1:68" x14ac:dyDescent="0.25">
      <c r="A118" s="201">
        <f>Prog_236[[#This Row],[CONTEINER]]</f>
        <v>0</v>
      </c>
      <c r="B118" s="86"/>
      <c r="C1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" s="44"/>
      <c r="E118" s="66"/>
      <c r="F118" s="66"/>
      <c r="G118" s="66"/>
      <c r="H118" s="44"/>
      <c r="I118" s="44"/>
      <c r="J118" s="66"/>
      <c r="K118" s="66"/>
      <c r="L118" s="66"/>
      <c r="M118" s="66"/>
      <c r="N118" s="66">
        <f>SUM(Prog_236[[#This Row],[TARA]]+Prog_236[[#This Row],[PESO]])</f>
        <v>0</v>
      </c>
      <c r="O118" s="44"/>
      <c r="P118" s="66"/>
      <c r="Q118" s="66"/>
      <c r="R118" s="66"/>
      <c r="S118" s="66"/>
      <c r="T118" s="138" t="str">
        <f>IFERROR(LOOKUP($S118,MOTORISTAS!$D$3:$D$1048576,MOTORISTAS!E$3:$E$1048576),"")</f>
        <v/>
      </c>
      <c r="U118" s="138" t="str">
        <f>IFERROR(LOOKUP($S118,MOTORISTAS!$D$3:$D$1048576,MOTORISTAS!F$3:$F$1048576),"")</f>
        <v/>
      </c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44"/>
      <c r="AG118" s="254">
        <f>Prog_236[[#This Row],[SAÍDA DO CLIENTE]]-Prog_236[[#This Row],[PROGRAMAÇÃO CLIENTE]]</f>
        <v>0</v>
      </c>
      <c r="AH118" s="44"/>
      <c r="AI118" s="66"/>
      <c r="AJ118" s="66"/>
      <c r="AK118" s="66"/>
      <c r="AL118" s="66"/>
      <c r="AM118" s="66"/>
      <c r="AN118" s="83"/>
      <c r="AO118" s="66"/>
      <c r="AP118" s="66"/>
      <c r="AQ118" s="66"/>
      <c r="AR118" s="81"/>
      <c r="AS118" s="81"/>
      <c r="AT118" s="81"/>
      <c r="AU118" s="81"/>
      <c r="AV118" s="83">
        <f>SUM(Prog_236[[#This Row],[ADIANTAMENTO]]+Prog_236[[#This Row],[SALDO]]+Prog_236[[#This Row],[MARGEM]]+Prog_236[[#This Row],[ESTADIA 1]])</f>
        <v>0</v>
      </c>
      <c r="AW1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" s="81"/>
      <c r="AY118" s="81"/>
      <c r="AZ118" s="81">
        <f>Prog_236[[#This Row],[VLR NF]]*0.1%</f>
        <v>0</v>
      </c>
      <c r="BA118" s="81">
        <f>Prog_236[[#This Row],[VLR NF]]*0.05%</f>
        <v>0</v>
      </c>
      <c r="BB118" s="81"/>
      <c r="BC118" s="81"/>
      <c r="BD118" s="81"/>
      <c r="BE118" s="81"/>
      <c r="BF118" s="81"/>
      <c r="BG118" s="81"/>
      <c r="BH118" s="81"/>
      <c r="BI118" s="81"/>
      <c r="BJ118" s="81"/>
      <c r="BK118" s="81"/>
      <c r="BL118" s="66"/>
      <c r="BM118" s="66"/>
      <c r="BN118" s="66"/>
      <c r="BO118" s="66" t="str">
        <f>PROPER(TEXT(Prog_236[[#This Row],[PROGRAMAÇÃO CLIENTE]],"mmm"))</f>
        <v>Jan</v>
      </c>
      <c r="BP118" s="66">
        <f>YEAR(Prog_236[[#This Row],[PROGRAMAÇÃO CLIENTE]])</f>
        <v>1900</v>
      </c>
    </row>
    <row r="119" spans="1:68" x14ac:dyDescent="0.25">
      <c r="A119" s="200">
        <f>Prog_236[[#This Row],[CONTEINER]]</f>
        <v>0</v>
      </c>
      <c r="B119" s="86"/>
      <c r="C1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" s="44"/>
      <c r="E119" s="66"/>
      <c r="F119" s="66"/>
      <c r="G119" s="66"/>
      <c r="H119" s="44"/>
      <c r="I119" s="44"/>
      <c r="J119" s="66"/>
      <c r="K119" s="66"/>
      <c r="L119" s="66"/>
      <c r="M119" s="66"/>
      <c r="N119" s="66">
        <f>SUM(Prog_236[[#This Row],[TARA]]+Prog_236[[#This Row],[PESO]])</f>
        <v>0</v>
      </c>
      <c r="O119" s="44"/>
      <c r="P119" s="66"/>
      <c r="Q119" s="66"/>
      <c r="R119" s="66"/>
      <c r="S119" s="66"/>
      <c r="T119" s="138" t="str">
        <f>IFERROR(LOOKUP($S119,MOTORISTAS!$D$3:$D$1048576,MOTORISTAS!E$3:$E$1048576),"")</f>
        <v/>
      </c>
      <c r="U119" s="138" t="str">
        <f>IFERROR(LOOKUP($S119,MOTORISTAS!$D$3:$D$1048576,MOTORISTAS!F$3:$F$1048576),"")</f>
        <v/>
      </c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44"/>
      <c r="AG119" s="254">
        <f>Prog_236[[#This Row],[SAÍDA DO CLIENTE]]-Prog_236[[#This Row],[PROGRAMAÇÃO CLIENTE]]</f>
        <v>0</v>
      </c>
      <c r="AH119" s="44"/>
      <c r="AI119" s="66"/>
      <c r="AJ119" s="66"/>
      <c r="AK119" s="66"/>
      <c r="AL119" s="66"/>
      <c r="AM119" s="66"/>
      <c r="AN119" s="83"/>
      <c r="AO119" s="66"/>
      <c r="AP119" s="66"/>
      <c r="AQ119" s="66"/>
      <c r="AR119" s="81"/>
      <c r="AS119" s="81"/>
      <c r="AT119" s="81"/>
      <c r="AU119" s="81"/>
      <c r="AV119" s="83">
        <f>SUM(Prog_236[[#This Row],[ADIANTAMENTO]]+Prog_236[[#This Row],[SALDO]]+Prog_236[[#This Row],[MARGEM]]+Prog_236[[#This Row],[ESTADIA 1]])</f>
        <v>0</v>
      </c>
      <c r="AW1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" s="81"/>
      <c r="AY119" s="81"/>
      <c r="AZ119" s="81">
        <f>Prog_236[[#This Row],[VLR NF]]*0.1%</f>
        <v>0</v>
      </c>
      <c r="BA119" s="81">
        <f>Prog_236[[#This Row],[VLR NF]]*0.05%</f>
        <v>0</v>
      </c>
      <c r="BB119" s="81"/>
      <c r="BC119" s="81"/>
      <c r="BD119" s="81"/>
      <c r="BE119" s="81"/>
      <c r="BF119" s="81"/>
      <c r="BG119" s="81"/>
      <c r="BH119" s="81"/>
      <c r="BI119" s="81"/>
      <c r="BJ119" s="81"/>
      <c r="BK119" s="81"/>
      <c r="BL119" s="66"/>
      <c r="BM119" s="66"/>
      <c r="BN119" s="66"/>
      <c r="BO119" s="66" t="str">
        <f>PROPER(TEXT(Prog_236[[#This Row],[PROGRAMAÇÃO CLIENTE]],"mmm"))</f>
        <v>Jan</v>
      </c>
      <c r="BP119" s="66">
        <f>YEAR(Prog_236[[#This Row],[PROGRAMAÇÃO CLIENTE]])</f>
        <v>1900</v>
      </c>
    </row>
    <row r="120" spans="1:68" x14ac:dyDescent="0.25">
      <c r="A120" s="201">
        <f>Prog_236[[#This Row],[CONTEINER]]</f>
        <v>0</v>
      </c>
      <c r="B120" s="86"/>
      <c r="C1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" s="44"/>
      <c r="E120" s="66"/>
      <c r="F120" s="66"/>
      <c r="G120" s="66"/>
      <c r="H120" s="44"/>
      <c r="I120" s="44"/>
      <c r="J120" s="66"/>
      <c r="K120" s="66"/>
      <c r="L120" s="66"/>
      <c r="M120" s="66"/>
      <c r="N120" s="66">
        <f>SUM(Prog_236[[#This Row],[TARA]]+Prog_236[[#This Row],[PESO]])</f>
        <v>0</v>
      </c>
      <c r="O120" s="44"/>
      <c r="P120" s="66"/>
      <c r="Q120" s="66"/>
      <c r="R120" s="66"/>
      <c r="S120" s="66"/>
      <c r="T120" s="138" t="str">
        <f>IFERROR(LOOKUP($S120,MOTORISTAS!$D$3:$D$1048576,MOTORISTAS!E$3:$E$1048576),"")</f>
        <v/>
      </c>
      <c r="U120" s="138" t="str">
        <f>IFERROR(LOOKUP($S120,MOTORISTAS!$D$3:$D$1048576,MOTORISTAS!F$3:$F$1048576),"")</f>
        <v/>
      </c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44"/>
      <c r="AG120" s="254">
        <f>Prog_236[[#This Row],[SAÍDA DO CLIENTE]]-Prog_236[[#This Row],[PROGRAMAÇÃO CLIENTE]]</f>
        <v>0</v>
      </c>
      <c r="AH120" s="44"/>
      <c r="AI120" s="66"/>
      <c r="AJ120" s="66"/>
      <c r="AK120" s="66"/>
      <c r="AL120" s="66"/>
      <c r="AM120" s="66"/>
      <c r="AN120" s="83"/>
      <c r="AO120" s="66"/>
      <c r="AP120" s="66"/>
      <c r="AQ120" s="66"/>
      <c r="AR120" s="81"/>
      <c r="AS120" s="81"/>
      <c r="AT120" s="81"/>
      <c r="AU120" s="81"/>
      <c r="AV120" s="83">
        <f>SUM(Prog_236[[#This Row],[ADIANTAMENTO]]+Prog_236[[#This Row],[SALDO]]+Prog_236[[#This Row],[MARGEM]]+Prog_236[[#This Row],[ESTADIA 1]])</f>
        <v>0</v>
      </c>
      <c r="AW1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" s="81"/>
      <c r="AY120" s="81"/>
      <c r="AZ120" s="81">
        <f>Prog_236[[#This Row],[VLR NF]]*0.1%</f>
        <v>0</v>
      </c>
      <c r="BA120" s="81">
        <f>Prog_236[[#This Row],[VLR NF]]*0.05%</f>
        <v>0</v>
      </c>
      <c r="BB120" s="81"/>
      <c r="BC120" s="81"/>
      <c r="BD120" s="81"/>
      <c r="BE120" s="81"/>
      <c r="BF120" s="81"/>
      <c r="BG120" s="81"/>
      <c r="BH120" s="81"/>
      <c r="BI120" s="81"/>
      <c r="BJ120" s="81"/>
      <c r="BK120" s="81"/>
      <c r="BL120" s="66"/>
      <c r="BM120" s="66"/>
      <c r="BN120" s="66"/>
      <c r="BO120" s="66" t="str">
        <f>PROPER(TEXT(Prog_236[[#This Row],[PROGRAMAÇÃO CLIENTE]],"mmm"))</f>
        <v>Jan</v>
      </c>
      <c r="BP120" s="66">
        <f>YEAR(Prog_236[[#This Row],[PROGRAMAÇÃO CLIENTE]])</f>
        <v>1900</v>
      </c>
    </row>
    <row r="121" spans="1:68" x14ac:dyDescent="0.25">
      <c r="A121" s="200">
        <f>Prog_236[[#This Row],[CONTEINER]]</f>
        <v>0</v>
      </c>
      <c r="B121" s="86"/>
      <c r="C1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" s="44"/>
      <c r="E121" s="66"/>
      <c r="F121" s="66"/>
      <c r="G121" s="66"/>
      <c r="H121" s="44"/>
      <c r="I121" s="44"/>
      <c r="J121" s="66"/>
      <c r="K121" s="66"/>
      <c r="L121" s="66"/>
      <c r="M121" s="66"/>
      <c r="N121" s="66">
        <f>SUM(Prog_236[[#This Row],[TARA]]+Prog_236[[#This Row],[PESO]])</f>
        <v>0</v>
      </c>
      <c r="O121" s="44"/>
      <c r="P121" s="66"/>
      <c r="Q121" s="66"/>
      <c r="R121" s="66"/>
      <c r="S121" s="66"/>
      <c r="T121" s="138" t="str">
        <f>IFERROR(LOOKUP($S121,MOTORISTAS!$D$3:$D$1048576,MOTORISTAS!E$3:$E$1048576),"")</f>
        <v/>
      </c>
      <c r="U121" s="138" t="str">
        <f>IFERROR(LOOKUP($S121,MOTORISTAS!$D$3:$D$1048576,MOTORISTAS!F$3:$F$1048576),"")</f>
        <v/>
      </c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44"/>
      <c r="AG121" s="254">
        <f>Prog_236[[#This Row],[SAÍDA DO CLIENTE]]-Prog_236[[#This Row],[PROGRAMAÇÃO CLIENTE]]</f>
        <v>0</v>
      </c>
      <c r="AH121" s="44"/>
      <c r="AI121" s="66"/>
      <c r="AJ121" s="66"/>
      <c r="AK121" s="66"/>
      <c r="AL121" s="66"/>
      <c r="AM121" s="66"/>
      <c r="AN121" s="83"/>
      <c r="AO121" s="66"/>
      <c r="AP121" s="66"/>
      <c r="AQ121" s="66"/>
      <c r="AR121" s="81"/>
      <c r="AS121" s="81"/>
      <c r="AT121" s="81"/>
      <c r="AU121" s="81"/>
      <c r="AV121" s="83">
        <f>SUM(Prog_236[[#This Row],[ADIANTAMENTO]]+Prog_236[[#This Row],[SALDO]]+Prog_236[[#This Row],[MARGEM]]+Prog_236[[#This Row],[ESTADIA 1]])</f>
        <v>0</v>
      </c>
      <c r="AW1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" s="81"/>
      <c r="AY121" s="81"/>
      <c r="AZ121" s="81">
        <f>Prog_236[[#This Row],[VLR NF]]*0.1%</f>
        <v>0</v>
      </c>
      <c r="BA121" s="81">
        <f>Prog_236[[#This Row],[VLR NF]]*0.05%</f>
        <v>0</v>
      </c>
      <c r="BB121" s="81"/>
      <c r="BC121" s="81"/>
      <c r="BD121" s="81"/>
      <c r="BE121" s="81"/>
      <c r="BF121" s="81"/>
      <c r="BG121" s="81"/>
      <c r="BH121" s="81"/>
      <c r="BI121" s="81"/>
      <c r="BJ121" s="81"/>
      <c r="BK121" s="81"/>
      <c r="BL121" s="66"/>
      <c r="BM121" s="66"/>
      <c r="BN121" s="66"/>
      <c r="BO121" s="66" t="str">
        <f>PROPER(TEXT(Prog_236[[#This Row],[PROGRAMAÇÃO CLIENTE]],"mmm"))</f>
        <v>Jan</v>
      </c>
      <c r="BP121" s="66">
        <f>YEAR(Prog_236[[#This Row],[PROGRAMAÇÃO CLIENTE]])</f>
        <v>1900</v>
      </c>
    </row>
    <row r="122" spans="1:68" x14ac:dyDescent="0.25">
      <c r="A122" s="201">
        <f>Prog_236[[#This Row],[CONTEINER]]</f>
        <v>0</v>
      </c>
      <c r="B122" s="86"/>
      <c r="C1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" s="44"/>
      <c r="E122" s="66"/>
      <c r="F122" s="66"/>
      <c r="G122" s="66"/>
      <c r="H122" s="44"/>
      <c r="I122" s="44"/>
      <c r="J122" s="66"/>
      <c r="K122" s="66"/>
      <c r="L122" s="66"/>
      <c r="M122" s="66"/>
      <c r="N122" s="66">
        <f>SUM(Prog_236[[#This Row],[TARA]]+Prog_236[[#This Row],[PESO]])</f>
        <v>0</v>
      </c>
      <c r="O122" s="44"/>
      <c r="P122" s="66"/>
      <c r="Q122" s="66"/>
      <c r="R122" s="66"/>
      <c r="S122" s="66"/>
      <c r="T122" s="138" t="str">
        <f>IFERROR(LOOKUP($S122,MOTORISTAS!$D$3:$D$1048576,MOTORISTAS!E$3:$E$1048576),"")</f>
        <v/>
      </c>
      <c r="U122" s="138" t="str">
        <f>IFERROR(LOOKUP($S122,MOTORISTAS!$D$3:$D$1048576,MOTORISTAS!F$3:$F$1048576),"")</f>
        <v/>
      </c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44"/>
      <c r="AG122" s="254">
        <f>Prog_236[[#This Row],[SAÍDA DO CLIENTE]]-Prog_236[[#This Row],[PROGRAMAÇÃO CLIENTE]]</f>
        <v>0</v>
      </c>
      <c r="AH122" s="44"/>
      <c r="AI122" s="66"/>
      <c r="AJ122" s="66"/>
      <c r="AK122" s="66"/>
      <c r="AL122" s="66"/>
      <c r="AM122" s="66"/>
      <c r="AN122" s="83"/>
      <c r="AO122" s="66"/>
      <c r="AP122" s="66"/>
      <c r="AQ122" s="66"/>
      <c r="AR122" s="81"/>
      <c r="AS122" s="81"/>
      <c r="AT122" s="81"/>
      <c r="AU122" s="81"/>
      <c r="AV122" s="83">
        <f>SUM(Prog_236[[#This Row],[ADIANTAMENTO]]+Prog_236[[#This Row],[SALDO]]+Prog_236[[#This Row],[MARGEM]]+Prog_236[[#This Row],[ESTADIA 1]])</f>
        <v>0</v>
      </c>
      <c r="AW1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" s="81"/>
      <c r="AY122" s="81"/>
      <c r="AZ122" s="81">
        <f>Prog_236[[#This Row],[VLR NF]]*0.1%</f>
        <v>0</v>
      </c>
      <c r="BA122" s="81">
        <f>Prog_236[[#This Row],[VLR NF]]*0.05%</f>
        <v>0</v>
      </c>
      <c r="BB122" s="81"/>
      <c r="BC122" s="81"/>
      <c r="BD122" s="81"/>
      <c r="BE122" s="81"/>
      <c r="BF122" s="81"/>
      <c r="BG122" s="81"/>
      <c r="BH122" s="81"/>
      <c r="BI122" s="81"/>
      <c r="BJ122" s="81"/>
      <c r="BK122" s="81"/>
      <c r="BL122" s="66"/>
      <c r="BM122" s="66"/>
      <c r="BN122" s="66"/>
      <c r="BO122" s="66" t="str">
        <f>PROPER(TEXT(Prog_236[[#This Row],[PROGRAMAÇÃO CLIENTE]],"mmm"))</f>
        <v>Jan</v>
      </c>
      <c r="BP122" s="66">
        <f>YEAR(Prog_236[[#This Row],[PROGRAMAÇÃO CLIENTE]])</f>
        <v>1900</v>
      </c>
    </row>
    <row r="123" spans="1:68" x14ac:dyDescent="0.25">
      <c r="A123" s="200">
        <f>Prog_236[[#This Row],[CONTEINER]]</f>
        <v>0</v>
      </c>
      <c r="B123" s="86"/>
      <c r="C1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" s="44"/>
      <c r="E123" s="66"/>
      <c r="F123" s="66"/>
      <c r="G123" s="66"/>
      <c r="H123" s="44"/>
      <c r="I123" s="44"/>
      <c r="J123" s="66"/>
      <c r="K123" s="66"/>
      <c r="L123" s="66"/>
      <c r="M123" s="66"/>
      <c r="N123" s="66">
        <f>SUM(Prog_236[[#This Row],[TARA]]+Prog_236[[#This Row],[PESO]])</f>
        <v>0</v>
      </c>
      <c r="O123" s="44"/>
      <c r="P123" s="66"/>
      <c r="Q123" s="66"/>
      <c r="R123" s="66"/>
      <c r="S123" s="66"/>
      <c r="T123" s="138" t="str">
        <f>IFERROR(LOOKUP($S123,MOTORISTAS!$D$3:$D$1048576,MOTORISTAS!E$3:$E$1048576),"")</f>
        <v/>
      </c>
      <c r="U123" s="138" t="str">
        <f>IFERROR(LOOKUP($S123,MOTORISTAS!$D$3:$D$1048576,MOTORISTAS!F$3:$F$1048576),"")</f>
        <v/>
      </c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44"/>
      <c r="AG123" s="254">
        <f>Prog_236[[#This Row],[SAÍDA DO CLIENTE]]-Prog_236[[#This Row],[PROGRAMAÇÃO CLIENTE]]</f>
        <v>0</v>
      </c>
      <c r="AH123" s="44"/>
      <c r="AI123" s="66"/>
      <c r="AJ123" s="66"/>
      <c r="AK123" s="66"/>
      <c r="AL123" s="66"/>
      <c r="AM123" s="66"/>
      <c r="AN123" s="83"/>
      <c r="AO123" s="66"/>
      <c r="AP123" s="66"/>
      <c r="AQ123" s="66"/>
      <c r="AR123" s="81"/>
      <c r="AS123" s="81"/>
      <c r="AT123" s="81"/>
      <c r="AU123" s="81"/>
      <c r="AV123" s="83">
        <f>SUM(Prog_236[[#This Row],[ADIANTAMENTO]]+Prog_236[[#This Row],[SALDO]]+Prog_236[[#This Row],[MARGEM]]+Prog_236[[#This Row],[ESTADIA 1]])</f>
        <v>0</v>
      </c>
      <c r="AW1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" s="81"/>
      <c r="AY123" s="81"/>
      <c r="AZ123" s="81">
        <f>Prog_236[[#This Row],[VLR NF]]*0.1%</f>
        <v>0</v>
      </c>
      <c r="BA123" s="81">
        <f>Prog_236[[#This Row],[VLR NF]]*0.05%</f>
        <v>0</v>
      </c>
      <c r="BB123" s="81"/>
      <c r="BC123" s="81"/>
      <c r="BD123" s="81"/>
      <c r="BE123" s="81"/>
      <c r="BF123" s="81"/>
      <c r="BG123" s="81"/>
      <c r="BH123" s="81"/>
      <c r="BI123" s="81"/>
      <c r="BJ123" s="81"/>
      <c r="BK123" s="81"/>
      <c r="BL123" s="66"/>
      <c r="BM123" s="66"/>
      <c r="BN123" s="66"/>
      <c r="BO123" s="66" t="str">
        <f>PROPER(TEXT(Prog_236[[#This Row],[PROGRAMAÇÃO CLIENTE]],"mmm"))</f>
        <v>Jan</v>
      </c>
      <c r="BP123" s="66">
        <f>YEAR(Prog_236[[#This Row],[PROGRAMAÇÃO CLIENTE]])</f>
        <v>1900</v>
      </c>
    </row>
    <row r="124" spans="1:68" x14ac:dyDescent="0.25">
      <c r="A124" s="201">
        <f>Prog_236[[#This Row],[CONTEINER]]</f>
        <v>0</v>
      </c>
      <c r="B124" s="86"/>
      <c r="C1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" s="44"/>
      <c r="E124" s="66"/>
      <c r="F124" s="66"/>
      <c r="G124" s="66"/>
      <c r="H124" s="44"/>
      <c r="I124" s="44"/>
      <c r="J124" s="66"/>
      <c r="K124" s="66"/>
      <c r="L124" s="66"/>
      <c r="M124" s="66"/>
      <c r="N124" s="66">
        <f>SUM(Prog_236[[#This Row],[TARA]]+Prog_236[[#This Row],[PESO]])</f>
        <v>0</v>
      </c>
      <c r="O124" s="44"/>
      <c r="P124" s="66"/>
      <c r="Q124" s="66"/>
      <c r="R124" s="66"/>
      <c r="S124" s="66"/>
      <c r="T124" s="138" t="str">
        <f>IFERROR(LOOKUP($S124,MOTORISTAS!$D$3:$D$1048576,MOTORISTAS!E$3:$E$1048576),"")</f>
        <v/>
      </c>
      <c r="U124" s="138" t="str">
        <f>IFERROR(LOOKUP($S124,MOTORISTAS!$D$3:$D$1048576,MOTORISTAS!F$3:$F$1048576),"")</f>
        <v/>
      </c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44"/>
      <c r="AG124" s="254">
        <f>Prog_236[[#This Row],[SAÍDA DO CLIENTE]]-Prog_236[[#This Row],[PROGRAMAÇÃO CLIENTE]]</f>
        <v>0</v>
      </c>
      <c r="AH124" s="44"/>
      <c r="AI124" s="66"/>
      <c r="AJ124" s="66"/>
      <c r="AK124" s="66"/>
      <c r="AL124" s="66"/>
      <c r="AM124" s="66"/>
      <c r="AN124" s="83"/>
      <c r="AO124" s="66"/>
      <c r="AP124" s="66"/>
      <c r="AQ124" s="66"/>
      <c r="AR124" s="81"/>
      <c r="AS124" s="81"/>
      <c r="AT124" s="81"/>
      <c r="AU124" s="81"/>
      <c r="AV124" s="83">
        <f>SUM(Prog_236[[#This Row],[ADIANTAMENTO]]+Prog_236[[#This Row],[SALDO]]+Prog_236[[#This Row],[MARGEM]]+Prog_236[[#This Row],[ESTADIA 1]])</f>
        <v>0</v>
      </c>
      <c r="AW1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" s="81"/>
      <c r="AY124" s="81"/>
      <c r="AZ124" s="81">
        <f>Prog_236[[#This Row],[VLR NF]]*0.1%</f>
        <v>0</v>
      </c>
      <c r="BA124" s="81">
        <f>Prog_236[[#This Row],[VLR NF]]*0.05%</f>
        <v>0</v>
      </c>
      <c r="BB124" s="81"/>
      <c r="BC124" s="81"/>
      <c r="BD124" s="81"/>
      <c r="BE124" s="81"/>
      <c r="BF124" s="81"/>
      <c r="BG124" s="81"/>
      <c r="BH124" s="81"/>
      <c r="BI124" s="81"/>
      <c r="BJ124" s="81"/>
      <c r="BK124" s="81"/>
      <c r="BL124" s="66"/>
      <c r="BM124" s="66"/>
      <c r="BN124" s="66"/>
      <c r="BO124" s="66" t="str">
        <f>PROPER(TEXT(Prog_236[[#This Row],[PROGRAMAÇÃO CLIENTE]],"mmm"))</f>
        <v>Jan</v>
      </c>
      <c r="BP124" s="66">
        <f>YEAR(Prog_236[[#This Row],[PROGRAMAÇÃO CLIENTE]])</f>
        <v>1900</v>
      </c>
    </row>
    <row r="125" spans="1:68" x14ac:dyDescent="0.25">
      <c r="A125" s="200">
        <f>Prog_236[[#This Row],[CONTEINER]]</f>
        <v>0</v>
      </c>
      <c r="B125" s="86"/>
      <c r="C1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" s="44"/>
      <c r="E125" s="66"/>
      <c r="F125" s="66"/>
      <c r="G125" s="66"/>
      <c r="H125" s="44"/>
      <c r="I125" s="44"/>
      <c r="J125" s="66"/>
      <c r="K125" s="66"/>
      <c r="L125" s="66"/>
      <c r="M125" s="66"/>
      <c r="N125" s="66">
        <f>SUM(Prog_236[[#This Row],[TARA]]+Prog_236[[#This Row],[PESO]])</f>
        <v>0</v>
      </c>
      <c r="O125" s="44"/>
      <c r="P125" s="66"/>
      <c r="Q125" s="66"/>
      <c r="R125" s="66"/>
      <c r="S125" s="66"/>
      <c r="T125" s="138" t="str">
        <f>IFERROR(LOOKUP($S125,MOTORISTAS!$D$3:$D$1048576,MOTORISTAS!E$3:$E$1048576),"")</f>
        <v/>
      </c>
      <c r="U125" s="138" t="str">
        <f>IFERROR(LOOKUP($S125,MOTORISTAS!$D$3:$D$1048576,MOTORISTAS!F$3:$F$1048576),"")</f>
        <v/>
      </c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44"/>
      <c r="AG125" s="254">
        <f>Prog_236[[#This Row],[SAÍDA DO CLIENTE]]-Prog_236[[#This Row],[PROGRAMAÇÃO CLIENTE]]</f>
        <v>0</v>
      </c>
      <c r="AH125" s="44"/>
      <c r="AI125" s="66"/>
      <c r="AJ125" s="66"/>
      <c r="AK125" s="66"/>
      <c r="AL125" s="66"/>
      <c r="AM125" s="66"/>
      <c r="AN125" s="83"/>
      <c r="AO125" s="66"/>
      <c r="AP125" s="66"/>
      <c r="AQ125" s="66"/>
      <c r="AR125" s="81"/>
      <c r="AS125" s="81"/>
      <c r="AT125" s="81"/>
      <c r="AU125" s="81"/>
      <c r="AV125" s="83">
        <f>SUM(Prog_236[[#This Row],[ADIANTAMENTO]]+Prog_236[[#This Row],[SALDO]]+Prog_236[[#This Row],[MARGEM]]+Prog_236[[#This Row],[ESTADIA 1]])</f>
        <v>0</v>
      </c>
      <c r="AW1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" s="81"/>
      <c r="AY125" s="81"/>
      <c r="AZ125" s="81">
        <f>Prog_236[[#This Row],[VLR NF]]*0.1%</f>
        <v>0</v>
      </c>
      <c r="BA125" s="81">
        <f>Prog_236[[#This Row],[VLR NF]]*0.05%</f>
        <v>0</v>
      </c>
      <c r="BB125" s="81"/>
      <c r="BC125" s="81"/>
      <c r="BD125" s="81"/>
      <c r="BE125" s="81"/>
      <c r="BF125" s="81"/>
      <c r="BG125" s="81"/>
      <c r="BH125" s="81"/>
      <c r="BI125" s="81"/>
      <c r="BJ125" s="81"/>
      <c r="BK125" s="81"/>
      <c r="BL125" s="66"/>
      <c r="BM125" s="66"/>
      <c r="BN125" s="66"/>
      <c r="BO125" s="66" t="str">
        <f>PROPER(TEXT(Prog_236[[#This Row],[PROGRAMAÇÃO CLIENTE]],"mmm"))</f>
        <v>Jan</v>
      </c>
      <c r="BP125" s="66">
        <f>YEAR(Prog_236[[#This Row],[PROGRAMAÇÃO CLIENTE]])</f>
        <v>1900</v>
      </c>
    </row>
    <row r="126" spans="1:68" x14ac:dyDescent="0.25">
      <c r="A126" s="201">
        <f>Prog_236[[#This Row],[CONTEINER]]</f>
        <v>0</v>
      </c>
      <c r="B126" s="86"/>
      <c r="C1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" s="44"/>
      <c r="E126" s="66"/>
      <c r="F126" s="66"/>
      <c r="G126" s="66"/>
      <c r="H126" s="44"/>
      <c r="I126" s="44"/>
      <c r="J126" s="66"/>
      <c r="K126" s="66"/>
      <c r="L126" s="66"/>
      <c r="M126" s="66"/>
      <c r="N126" s="66">
        <f>SUM(Prog_236[[#This Row],[TARA]]+Prog_236[[#This Row],[PESO]])</f>
        <v>0</v>
      </c>
      <c r="O126" s="44"/>
      <c r="P126" s="66"/>
      <c r="Q126" s="66"/>
      <c r="R126" s="66"/>
      <c r="S126" s="66"/>
      <c r="T126" s="138" t="str">
        <f>IFERROR(LOOKUP($S126,MOTORISTAS!$D$3:$D$1048576,MOTORISTAS!E$3:$E$1048576),"")</f>
        <v/>
      </c>
      <c r="U126" s="138" t="str">
        <f>IFERROR(LOOKUP($S126,MOTORISTAS!$D$3:$D$1048576,MOTORISTAS!F$3:$F$1048576),"")</f>
        <v/>
      </c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44"/>
      <c r="AG126" s="254">
        <f>Prog_236[[#This Row],[SAÍDA DO CLIENTE]]-Prog_236[[#This Row],[PROGRAMAÇÃO CLIENTE]]</f>
        <v>0</v>
      </c>
      <c r="AH126" s="44"/>
      <c r="AI126" s="66"/>
      <c r="AJ126" s="66"/>
      <c r="AK126" s="66"/>
      <c r="AL126" s="66"/>
      <c r="AM126" s="66"/>
      <c r="AN126" s="83"/>
      <c r="AO126" s="66"/>
      <c r="AP126" s="66"/>
      <c r="AQ126" s="66"/>
      <c r="AR126" s="81"/>
      <c r="AS126" s="81"/>
      <c r="AT126" s="81"/>
      <c r="AU126" s="81"/>
      <c r="AV126" s="83">
        <f>SUM(Prog_236[[#This Row],[ADIANTAMENTO]]+Prog_236[[#This Row],[SALDO]]+Prog_236[[#This Row],[MARGEM]]+Prog_236[[#This Row],[ESTADIA 1]])</f>
        <v>0</v>
      </c>
      <c r="AW1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" s="81"/>
      <c r="AY126" s="81"/>
      <c r="AZ126" s="81">
        <f>Prog_236[[#This Row],[VLR NF]]*0.1%</f>
        <v>0</v>
      </c>
      <c r="BA126" s="81">
        <f>Prog_236[[#This Row],[VLR NF]]*0.05%</f>
        <v>0</v>
      </c>
      <c r="BB126" s="81"/>
      <c r="BC126" s="81"/>
      <c r="BD126" s="81"/>
      <c r="BE126" s="81"/>
      <c r="BF126" s="81"/>
      <c r="BG126" s="81"/>
      <c r="BH126" s="81"/>
      <c r="BI126" s="81"/>
      <c r="BJ126" s="81"/>
      <c r="BK126" s="81"/>
      <c r="BL126" s="66"/>
      <c r="BM126" s="66"/>
      <c r="BN126" s="66"/>
      <c r="BO126" s="66" t="str">
        <f>PROPER(TEXT(Prog_236[[#This Row],[PROGRAMAÇÃO CLIENTE]],"mmm"))</f>
        <v>Jan</v>
      </c>
      <c r="BP126" s="66">
        <f>YEAR(Prog_236[[#This Row],[PROGRAMAÇÃO CLIENTE]])</f>
        <v>1900</v>
      </c>
    </row>
    <row r="127" spans="1:68" x14ac:dyDescent="0.25">
      <c r="A127" s="200">
        <f>Prog_236[[#This Row],[CONTEINER]]</f>
        <v>0</v>
      </c>
      <c r="B127" s="86"/>
      <c r="C1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" s="44"/>
      <c r="E127" s="66"/>
      <c r="F127" s="66"/>
      <c r="G127" s="66"/>
      <c r="H127" s="44"/>
      <c r="I127" s="44"/>
      <c r="J127" s="66"/>
      <c r="K127" s="66"/>
      <c r="L127" s="66"/>
      <c r="M127" s="66"/>
      <c r="N127" s="66">
        <f>SUM(Prog_236[[#This Row],[TARA]]+Prog_236[[#This Row],[PESO]])</f>
        <v>0</v>
      </c>
      <c r="O127" s="44"/>
      <c r="P127" s="66"/>
      <c r="Q127" s="66"/>
      <c r="R127" s="66"/>
      <c r="S127" s="66"/>
      <c r="T127" s="138" t="str">
        <f>IFERROR(LOOKUP($S127,MOTORISTAS!$D$3:$D$1048576,MOTORISTAS!E$3:$E$1048576),"")</f>
        <v/>
      </c>
      <c r="U127" s="138" t="str">
        <f>IFERROR(LOOKUP($S127,MOTORISTAS!$D$3:$D$1048576,MOTORISTAS!F$3:$F$1048576),"")</f>
        <v/>
      </c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44"/>
      <c r="AG127" s="254">
        <f>Prog_236[[#This Row],[SAÍDA DO CLIENTE]]-Prog_236[[#This Row],[PROGRAMAÇÃO CLIENTE]]</f>
        <v>0</v>
      </c>
      <c r="AH127" s="44"/>
      <c r="AI127" s="66"/>
      <c r="AJ127" s="66"/>
      <c r="AK127" s="66"/>
      <c r="AL127" s="66"/>
      <c r="AM127" s="66"/>
      <c r="AN127" s="83"/>
      <c r="AO127" s="66"/>
      <c r="AP127" s="66"/>
      <c r="AQ127" s="66"/>
      <c r="AR127" s="81"/>
      <c r="AS127" s="81"/>
      <c r="AT127" s="81"/>
      <c r="AU127" s="81"/>
      <c r="AV127" s="83">
        <f>SUM(Prog_236[[#This Row],[ADIANTAMENTO]]+Prog_236[[#This Row],[SALDO]]+Prog_236[[#This Row],[MARGEM]]+Prog_236[[#This Row],[ESTADIA 1]])</f>
        <v>0</v>
      </c>
      <c r="AW1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" s="81"/>
      <c r="AY127" s="81"/>
      <c r="AZ127" s="81">
        <f>Prog_236[[#This Row],[VLR NF]]*0.1%</f>
        <v>0</v>
      </c>
      <c r="BA127" s="81">
        <f>Prog_236[[#This Row],[VLR NF]]*0.05%</f>
        <v>0</v>
      </c>
      <c r="BB127" s="81"/>
      <c r="BC127" s="81"/>
      <c r="BD127" s="81"/>
      <c r="BE127" s="81"/>
      <c r="BF127" s="81"/>
      <c r="BG127" s="81"/>
      <c r="BH127" s="81"/>
      <c r="BI127" s="81"/>
      <c r="BJ127" s="81"/>
      <c r="BK127" s="81"/>
      <c r="BL127" s="66"/>
      <c r="BM127" s="66"/>
      <c r="BN127" s="66"/>
      <c r="BO127" s="66" t="str">
        <f>PROPER(TEXT(Prog_236[[#This Row],[PROGRAMAÇÃO CLIENTE]],"mmm"))</f>
        <v>Jan</v>
      </c>
      <c r="BP127" s="66">
        <f>YEAR(Prog_236[[#This Row],[PROGRAMAÇÃO CLIENTE]])</f>
        <v>1900</v>
      </c>
    </row>
    <row r="128" spans="1:68" x14ac:dyDescent="0.25">
      <c r="A128" s="201">
        <f>Prog_236[[#This Row],[CONTEINER]]</f>
        <v>0</v>
      </c>
      <c r="B128" s="86"/>
      <c r="C1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" s="44"/>
      <c r="E128" s="66"/>
      <c r="F128" s="66"/>
      <c r="G128" s="66"/>
      <c r="H128" s="44"/>
      <c r="I128" s="44"/>
      <c r="J128" s="66"/>
      <c r="K128" s="66"/>
      <c r="L128" s="66"/>
      <c r="M128" s="66"/>
      <c r="N128" s="66">
        <f>SUM(Prog_236[[#This Row],[TARA]]+Prog_236[[#This Row],[PESO]])</f>
        <v>0</v>
      </c>
      <c r="O128" s="44"/>
      <c r="P128" s="66"/>
      <c r="Q128" s="66"/>
      <c r="R128" s="66"/>
      <c r="S128" s="66"/>
      <c r="T128" s="138" t="str">
        <f>IFERROR(LOOKUP($S128,MOTORISTAS!$D$3:$D$1048576,MOTORISTAS!E$3:$E$1048576),"")</f>
        <v/>
      </c>
      <c r="U128" s="138" t="str">
        <f>IFERROR(LOOKUP($S128,MOTORISTAS!$D$3:$D$1048576,MOTORISTAS!F$3:$F$1048576),"")</f>
        <v/>
      </c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44"/>
      <c r="AG128" s="254">
        <f>Prog_236[[#This Row],[SAÍDA DO CLIENTE]]-Prog_236[[#This Row],[PROGRAMAÇÃO CLIENTE]]</f>
        <v>0</v>
      </c>
      <c r="AH128" s="44"/>
      <c r="AI128" s="66"/>
      <c r="AJ128" s="66"/>
      <c r="AK128" s="66"/>
      <c r="AL128" s="66"/>
      <c r="AM128" s="66"/>
      <c r="AN128" s="83"/>
      <c r="AO128" s="66"/>
      <c r="AP128" s="66"/>
      <c r="AQ128" s="66"/>
      <c r="AR128" s="81"/>
      <c r="AS128" s="81"/>
      <c r="AT128" s="81"/>
      <c r="AU128" s="81"/>
      <c r="AV128" s="83">
        <f>SUM(Prog_236[[#This Row],[ADIANTAMENTO]]+Prog_236[[#This Row],[SALDO]]+Prog_236[[#This Row],[MARGEM]]+Prog_236[[#This Row],[ESTADIA 1]])</f>
        <v>0</v>
      </c>
      <c r="AW1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" s="81"/>
      <c r="AY128" s="81"/>
      <c r="AZ128" s="81">
        <f>Prog_236[[#This Row],[VLR NF]]*0.1%</f>
        <v>0</v>
      </c>
      <c r="BA128" s="81">
        <f>Prog_236[[#This Row],[VLR NF]]*0.05%</f>
        <v>0</v>
      </c>
      <c r="BB128" s="81"/>
      <c r="BC128" s="81"/>
      <c r="BD128" s="81"/>
      <c r="BE128" s="81"/>
      <c r="BF128" s="81"/>
      <c r="BG128" s="81"/>
      <c r="BH128" s="81"/>
      <c r="BI128" s="81"/>
      <c r="BJ128" s="81"/>
      <c r="BK128" s="81"/>
      <c r="BL128" s="66"/>
      <c r="BM128" s="66"/>
      <c r="BN128" s="66"/>
      <c r="BO128" s="66" t="str">
        <f>PROPER(TEXT(Prog_236[[#This Row],[PROGRAMAÇÃO CLIENTE]],"mmm"))</f>
        <v>Jan</v>
      </c>
      <c r="BP128" s="66">
        <f>YEAR(Prog_236[[#This Row],[PROGRAMAÇÃO CLIENTE]])</f>
        <v>1900</v>
      </c>
    </row>
    <row r="129" spans="1:68" x14ac:dyDescent="0.25">
      <c r="A129" s="200">
        <f>Prog_236[[#This Row],[CONTEINER]]</f>
        <v>0</v>
      </c>
      <c r="B129" s="86"/>
      <c r="C1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" s="44"/>
      <c r="E129" s="66"/>
      <c r="F129" s="66"/>
      <c r="G129" s="66"/>
      <c r="H129" s="44"/>
      <c r="I129" s="44"/>
      <c r="J129" s="66"/>
      <c r="K129" s="66"/>
      <c r="L129" s="66"/>
      <c r="M129" s="66"/>
      <c r="N129" s="66">
        <f>SUM(Prog_236[[#This Row],[TARA]]+Prog_236[[#This Row],[PESO]])</f>
        <v>0</v>
      </c>
      <c r="O129" s="44"/>
      <c r="P129" s="66"/>
      <c r="Q129" s="66"/>
      <c r="R129" s="66"/>
      <c r="S129" s="66"/>
      <c r="T129" s="138" t="str">
        <f>IFERROR(LOOKUP($S129,MOTORISTAS!$D$3:$D$1048576,MOTORISTAS!E$3:$E$1048576),"")</f>
        <v/>
      </c>
      <c r="U129" s="138" t="str">
        <f>IFERROR(LOOKUP($S129,MOTORISTAS!$D$3:$D$1048576,MOTORISTAS!F$3:$F$1048576),"")</f>
        <v/>
      </c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44"/>
      <c r="AG129" s="254">
        <f>Prog_236[[#This Row],[SAÍDA DO CLIENTE]]-Prog_236[[#This Row],[PROGRAMAÇÃO CLIENTE]]</f>
        <v>0</v>
      </c>
      <c r="AH129" s="44"/>
      <c r="AI129" s="66"/>
      <c r="AJ129" s="66"/>
      <c r="AK129" s="66"/>
      <c r="AL129" s="66"/>
      <c r="AM129" s="66"/>
      <c r="AN129" s="83"/>
      <c r="AO129" s="66"/>
      <c r="AP129" s="66"/>
      <c r="AQ129" s="66"/>
      <c r="AR129" s="81"/>
      <c r="AS129" s="81"/>
      <c r="AT129" s="81"/>
      <c r="AU129" s="81"/>
      <c r="AV129" s="83">
        <f>SUM(Prog_236[[#This Row],[ADIANTAMENTO]]+Prog_236[[#This Row],[SALDO]]+Prog_236[[#This Row],[MARGEM]]+Prog_236[[#This Row],[ESTADIA 1]])</f>
        <v>0</v>
      </c>
      <c r="AW1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" s="81"/>
      <c r="AY129" s="81"/>
      <c r="AZ129" s="81">
        <f>Prog_236[[#This Row],[VLR NF]]*0.1%</f>
        <v>0</v>
      </c>
      <c r="BA129" s="81">
        <f>Prog_236[[#This Row],[VLR NF]]*0.05%</f>
        <v>0</v>
      </c>
      <c r="BB129" s="81"/>
      <c r="BC129" s="81"/>
      <c r="BD129" s="81"/>
      <c r="BE129" s="81"/>
      <c r="BF129" s="81"/>
      <c r="BG129" s="81"/>
      <c r="BH129" s="81"/>
      <c r="BI129" s="81"/>
      <c r="BJ129" s="81"/>
      <c r="BK129" s="81"/>
      <c r="BL129" s="66"/>
      <c r="BM129" s="66"/>
      <c r="BN129" s="66"/>
      <c r="BO129" s="66" t="str">
        <f>PROPER(TEXT(Prog_236[[#This Row],[PROGRAMAÇÃO CLIENTE]],"mmm"))</f>
        <v>Jan</v>
      </c>
      <c r="BP129" s="66">
        <f>YEAR(Prog_236[[#This Row],[PROGRAMAÇÃO CLIENTE]])</f>
        <v>1900</v>
      </c>
    </row>
    <row r="130" spans="1:68" x14ac:dyDescent="0.25">
      <c r="A130" s="201">
        <f>Prog_236[[#This Row],[CONTEINER]]</f>
        <v>0</v>
      </c>
      <c r="B130" s="86"/>
      <c r="C1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" s="44"/>
      <c r="E130" s="66"/>
      <c r="F130" s="66"/>
      <c r="G130" s="66"/>
      <c r="H130" s="44"/>
      <c r="I130" s="44"/>
      <c r="J130" s="66"/>
      <c r="K130" s="66"/>
      <c r="L130" s="66"/>
      <c r="M130" s="66"/>
      <c r="N130" s="66">
        <f>SUM(Prog_236[[#This Row],[TARA]]+Prog_236[[#This Row],[PESO]])</f>
        <v>0</v>
      </c>
      <c r="O130" s="44"/>
      <c r="P130" s="66"/>
      <c r="Q130" s="66"/>
      <c r="R130" s="66"/>
      <c r="S130" s="66"/>
      <c r="T130" s="138" t="str">
        <f>IFERROR(LOOKUP($S130,MOTORISTAS!$D$3:$D$1048576,MOTORISTAS!E$3:$E$1048576),"")</f>
        <v/>
      </c>
      <c r="U130" s="138" t="str">
        <f>IFERROR(LOOKUP($S130,MOTORISTAS!$D$3:$D$1048576,MOTORISTAS!F$3:$F$1048576),"")</f>
        <v/>
      </c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44"/>
      <c r="AG130" s="254">
        <f>Prog_236[[#This Row],[SAÍDA DO CLIENTE]]-Prog_236[[#This Row],[PROGRAMAÇÃO CLIENTE]]</f>
        <v>0</v>
      </c>
      <c r="AH130" s="44"/>
      <c r="AI130" s="66"/>
      <c r="AJ130" s="66"/>
      <c r="AK130" s="66"/>
      <c r="AL130" s="66"/>
      <c r="AM130" s="66"/>
      <c r="AN130" s="83"/>
      <c r="AO130" s="66"/>
      <c r="AP130" s="66"/>
      <c r="AQ130" s="66"/>
      <c r="AR130" s="81"/>
      <c r="AS130" s="81"/>
      <c r="AT130" s="81"/>
      <c r="AU130" s="81"/>
      <c r="AV130" s="83">
        <f>SUM(Prog_236[[#This Row],[ADIANTAMENTO]]+Prog_236[[#This Row],[SALDO]]+Prog_236[[#This Row],[MARGEM]]+Prog_236[[#This Row],[ESTADIA 1]])</f>
        <v>0</v>
      </c>
      <c r="AW1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" s="81"/>
      <c r="AY130" s="81"/>
      <c r="AZ130" s="81">
        <f>Prog_236[[#This Row],[VLR NF]]*0.1%</f>
        <v>0</v>
      </c>
      <c r="BA130" s="81">
        <f>Prog_236[[#This Row],[VLR NF]]*0.05%</f>
        <v>0</v>
      </c>
      <c r="BB130" s="81"/>
      <c r="BC130" s="81"/>
      <c r="BD130" s="81"/>
      <c r="BE130" s="81"/>
      <c r="BF130" s="81"/>
      <c r="BG130" s="81"/>
      <c r="BH130" s="81"/>
      <c r="BI130" s="81"/>
      <c r="BJ130" s="81"/>
      <c r="BK130" s="81"/>
      <c r="BL130" s="66"/>
      <c r="BM130" s="66"/>
      <c r="BN130" s="66"/>
      <c r="BO130" s="66" t="str">
        <f>PROPER(TEXT(Prog_236[[#This Row],[PROGRAMAÇÃO CLIENTE]],"mmm"))</f>
        <v>Jan</v>
      </c>
      <c r="BP130" s="66">
        <f>YEAR(Prog_236[[#This Row],[PROGRAMAÇÃO CLIENTE]])</f>
        <v>1900</v>
      </c>
    </row>
    <row r="131" spans="1:68" x14ac:dyDescent="0.25">
      <c r="A131" s="200">
        <f>Prog_236[[#This Row],[CONTEINER]]</f>
        <v>0</v>
      </c>
      <c r="B131" s="86"/>
      <c r="C1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" s="44"/>
      <c r="E131" s="66"/>
      <c r="F131" s="66"/>
      <c r="G131" s="66"/>
      <c r="H131" s="44"/>
      <c r="I131" s="44"/>
      <c r="J131" s="66"/>
      <c r="K131" s="66"/>
      <c r="L131" s="66"/>
      <c r="M131" s="66"/>
      <c r="N131" s="66">
        <f>SUM(Prog_236[[#This Row],[TARA]]+Prog_236[[#This Row],[PESO]])</f>
        <v>0</v>
      </c>
      <c r="O131" s="44"/>
      <c r="P131" s="66"/>
      <c r="Q131" s="66"/>
      <c r="R131" s="66"/>
      <c r="S131" s="66"/>
      <c r="T131" s="138" t="str">
        <f>IFERROR(LOOKUP($S131,MOTORISTAS!$D$3:$D$1048576,MOTORISTAS!E$3:$E$1048576),"")</f>
        <v/>
      </c>
      <c r="U131" s="138" t="str">
        <f>IFERROR(LOOKUP($S131,MOTORISTAS!$D$3:$D$1048576,MOTORISTAS!F$3:$F$1048576),"")</f>
        <v/>
      </c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44"/>
      <c r="AG131" s="254">
        <f>Prog_236[[#This Row],[SAÍDA DO CLIENTE]]-Prog_236[[#This Row],[PROGRAMAÇÃO CLIENTE]]</f>
        <v>0</v>
      </c>
      <c r="AH131" s="44"/>
      <c r="AI131" s="66"/>
      <c r="AJ131" s="66"/>
      <c r="AK131" s="66"/>
      <c r="AL131" s="66"/>
      <c r="AM131" s="66"/>
      <c r="AN131" s="83"/>
      <c r="AO131" s="66"/>
      <c r="AP131" s="66"/>
      <c r="AQ131" s="66"/>
      <c r="AR131" s="81"/>
      <c r="AS131" s="81"/>
      <c r="AT131" s="81"/>
      <c r="AU131" s="81"/>
      <c r="AV131" s="83">
        <f>SUM(Prog_236[[#This Row],[ADIANTAMENTO]]+Prog_236[[#This Row],[SALDO]]+Prog_236[[#This Row],[MARGEM]]+Prog_236[[#This Row],[ESTADIA 1]])</f>
        <v>0</v>
      </c>
      <c r="AW1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" s="81"/>
      <c r="AY131" s="81"/>
      <c r="AZ131" s="81">
        <f>Prog_236[[#This Row],[VLR NF]]*0.1%</f>
        <v>0</v>
      </c>
      <c r="BA131" s="81">
        <f>Prog_236[[#This Row],[VLR NF]]*0.05%</f>
        <v>0</v>
      </c>
      <c r="BB131" s="81"/>
      <c r="BC131" s="81"/>
      <c r="BD131" s="81"/>
      <c r="BE131" s="81"/>
      <c r="BF131" s="81"/>
      <c r="BG131" s="81"/>
      <c r="BH131" s="81"/>
      <c r="BI131" s="81"/>
      <c r="BJ131" s="81"/>
      <c r="BK131" s="81"/>
      <c r="BL131" s="66"/>
      <c r="BM131" s="66"/>
      <c r="BN131" s="66"/>
      <c r="BO131" s="66" t="str">
        <f>PROPER(TEXT(Prog_236[[#This Row],[PROGRAMAÇÃO CLIENTE]],"mmm"))</f>
        <v>Jan</v>
      </c>
      <c r="BP131" s="66">
        <f>YEAR(Prog_236[[#This Row],[PROGRAMAÇÃO CLIENTE]])</f>
        <v>1900</v>
      </c>
    </row>
    <row r="132" spans="1:68" x14ac:dyDescent="0.25">
      <c r="A132" s="201">
        <f>Prog_236[[#This Row],[CONTEINER]]</f>
        <v>0</v>
      </c>
      <c r="B132" s="86"/>
      <c r="C1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" s="44"/>
      <c r="E132" s="66"/>
      <c r="F132" s="66"/>
      <c r="G132" s="66"/>
      <c r="H132" s="44"/>
      <c r="I132" s="44"/>
      <c r="J132" s="66"/>
      <c r="K132" s="66"/>
      <c r="L132" s="66"/>
      <c r="M132" s="66"/>
      <c r="N132" s="66">
        <f>SUM(Prog_236[[#This Row],[TARA]]+Prog_236[[#This Row],[PESO]])</f>
        <v>0</v>
      </c>
      <c r="O132" s="44"/>
      <c r="P132" s="66"/>
      <c r="Q132" s="66"/>
      <c r="R132" s="66"/>
      <c r="S132" s="66"/>
      <c r="T132" s="138" t="str">
        <f>IFERROR(LOOKUP($S132,MOTORISTAS!$D$3:$D$1048576,MOTORISTAS!E$3:$E$1048576),"")</f>
        <v/>
      </c>
      <c r="U132" s="138" t="str">
        <f>IFERROR(LOOKUP($S132,MOTORISTAS!$D$3:$D$1048576,MOTORISTAS!F$3:$F$1048576),"")</f>
        <v/>
      </c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44"/>
      <c r="AG132" s="254">
        <f>Prog_236[[#This Row],[SAÍDA DO CLIENTE]]-Prog_236[[#This Row],[PROGRAMAÇÃO CLIENTE]]</f>
        <v>0</v>
      </c>
      <c r="AH132" s="44"/>
      <c r="AI132" s="66"/>
      <c r="AJ132" s="66"/>
      <c r="AK132" s="66"/>
      <c r="AL132" s="66"/>
      <c r="AM132" s="66"/>
      <c r="AN132" s="83"/>
      <c r="AO132" s="66"/>
      <c r="AP132" s="66"/>
      <c r="AQ132" s="66"/>
      <c r="AR132" s="81"/>
      <c r="AS132" s="81"/>
      <c r="AT132" s="81"/>
      <c r="AU132" s="81"/>
      <c r="AV132" s="83">
        <f>SUM(Prog_236[[#This Row],[ADIANTAMENTO]]+Prog_236[[#This Row],[SALDO]]+Prog_236[[#This Row],[MARGEM]]+Prog_236[[#This Row],[ESTADIA 1]])</f>
        <v>0</v>
      </c>
      <c r="AW1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" s="81"/>
      <c r="AY132" s="81"/>
      <c r="AZ132" s="81">
        <f>Prog_236[[#This Row],[VLR NF]]*0.1%</f>
        <v>0</v>
      </c>
      <c r="BA132" s="81">
        <f>Prog_236[[#This Row],[VLR NF]]*0.05%</f>
        <v>0</v>
      </c>
      <c r="BB132" s="81"/>
      <c r="BC132" s="81"/>
      <c r="BD132" s="81"/>
      <c r="BE132" s="81"/>
      <c r="BF132" s="81"/>
      <c r="BG132" s="81"/>
      <c r="BH132" s="81"/>
      <c r="BI132" s="81"/>
      <c r="BJ132" s="81"/>
      <c r="BK132" s="81"/>
      <c r="BL132" s="66"/>
      <c r="BM132" s="66"/>
      <c r="BN132" s="66"/>
      <c r="BO132" s="66" t="str">
        <f>PROPER(TEXT(Prog_236[[#This Row],[PROGRAMAÇÃO CLIENTE]],"mmm"))</f>
        <v>Jan</v>
      </c>
      <c r="BP132" s="66">
        <f>YEAR(Prog_236[[#This Row],[PROGRAMAÇÃO CLIENTE]])</f>
        <v>1900</v>
      </c>
    </row>
    <row r="133" spans="1:68" x14ac:dyDescent="0.25">
      <c r="A133" s="200">
        <f>Prog_236[[#This Row],[CONTEINER]]</f>
        <v>0</v>
      </c>
      <c r="B133" s="86"/>
      <c r="C1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" s="44"/>
      <c r="E133" s="66"/>
      <c r="F133" s="66"/>
      <c r="G133" s="66"/>
      <c r="H133" s="44"/>
      <c r="I133" s="44"/>
      <c r="J133" s="66"/>
      <c r="K133" s="66"/>
      <c r="L133" s="66"/>
      <c r="M133" s="66"/>
      <c r="N133" s="66">
        <f>SUM(Prog_236[[#This Row],[TARA]]+Prog_236[[#This Row],[PESO]])</f>
        <v>0</v>
      </c>
      <c r="O133" s="44"/>
      <c r="P133" s="66"/>
      <c r="Q133" s="66"/>
      <c r="R133" s="66"/>
      <c r="S133" s="66"/>
      <c r="T133" s="138" t="str">
        <f>IFERROR(LOOKUP($S133,MOTORISTAS!$D$3:$D$1048576,MOTORISTAS!E$3:$E$1048576),"")</f>
        <v/>
      </c>
      <c r="U133" s="138" t="str">
        <f>IFERROR(LOOKUP($S133,MOTORISTAS!$D$3:$D$1048576,MOTORISTAS!F$3:$F$1048576),"")</f>
        <v/>
      </c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44"/>
      <c r="AG133" s="254">
        <f>Prog_236[[#This Row],[SAÍDA DO CLIENTE]]-Prog_236[[#This Row],[PROGRAMAÇÃO CLIENTE]]</f>
        <v>0</v>
      </c>
      <c r="AH133" s="44"/>
      <c r="AI133" s="66"/>
      <c r="AJ133" s="66"/>
      <c r="AK133" s="66"/>
      <c r="AL133" s="66"/>
      <c r="AM133" s="66"/>
      <c r="AN133" s="83"/>
      <c r="AO133" s="66"/>
      <c r="AP133" s="66"/>
      <c r="AQ133" s="66"/>
      <c r="AR133" s="81"/>
      <c r="AS133" s="81"/>
      <c r="AT133" s="81"/>
      <c r="AU133" s="81"/>
      <c r="AV133" s="83">
        <f>SUM(Prog_236[[#This Row],[ADIANTAMENTO]]+Prog_236[[#This Row],[SALDO]]+Prog_236[[#This Row],[MARGEM]]+Prog_236[[#This Row],[ESTADIA 1]])</f>
        <v>0</v>
      </c>
      <c r="AW1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" s="81"/>
      <c r="AY133" s="81"/>
      <c r="AZ133" s="81">
        <f>Prog_236[[#This Row],[VLR NF]]*0.1%</f>
        <v>0</v>
      </c>
      <c r="BA133" s="81">
        <f>Prog_236[[#This Row],[VLR NF]]*0.05%</f>
        <v>0</v>
      </c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66"/>
      <c r="BM133" s="66"/>
      <c r="BN133" s="66"/>
      <c r="BO133" s="66" t="str">
        <f>PROPER(TEXT(Prog_236[[#This Row],[PROGRAMAÇÃO CLIENTE]],"mmm"))</f>
        <v>Jan</v>
      </c>
      <c r="BP133" s="66">
        <f>YEAR(Prog_236[[#This Row],[PROGRAMAÇÃO CLIENTE]])</f>
        <v>1900</v>
      </c>
    </row>
    <row r="134" spans="1:68" x14ac:dyDescent="0.25">
      <c r="A134" s="201">
        <f>Prog_236[[#This Row],[CONTEINER]]</f>
        <v>0</v>
      </c>
      <c r="B134" s="86"/>
      <c r="C1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" s="44"/>
      <c r="E134" s="66"/>
      <c r="F134" s="66"/>
      <c r="G134" s="66"/>
      <c r="H134" s="44"/>
      <c r="I134" s="44"/>
      <c r="J134" s="66"/>
      <c r="K134" s="66"/>
      <c r="L134" s="66"/>
      <c r="M134" s="66"/>
      <c r="N134" s="66">
        <f>SUM(Prog_236[[#This Row],[TARA]]+Prog_236[[#This Row],[PESO]])</f>
        <v>0</v>
      </c>
      <c r="O134" s="44"/>
      <c r="P134" s="66"/>
      <c r="Q134" s="66"/>
      <c r="R134" s="66"/>
      <c r="S134" s="66"/>
      <c r="T134" s="138" t="str">
        <f>IFERROR(LOOKUP($S134,MOTORISTAS!$D$3:$D$1048576,MOTORISTAS!E$3:$E$1048576),"")</f>
        <v/>
      </c>
      <c r="U134" s="138" t="str">
        <f>IFERROR(LOOKUP($S134,MOTORISTAS!$D$3:$D$1048576,MOTORISTAS!F$3:$F$1048576),"")</f>
        <v/>
      </c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44"/>
      <c r="AG134" s="254">
        <f>Prog_236[[#This Row],[SAÍDA DO CLIENTE]]-Prog_236[[#This Row],[PROGRAMAÇÃO CLIENTE]]</f>
        <v>0</v>
      </c>
      <c r="AH134" s="44"/>
      <c r="AI134" s="66"/>
      <c r="AJ134" s="66"/>
      <c r="AK134" s="66"/>
      <c r="AL134" s="66"/>
      <c r="AM134" s="66"/>
      <c r="AN134" s="83"/>
      <c r="AO134" s="66"/>
      <c r="AP134" s="66"/>
      <c r="AQ134" s="66"/>
      <c r="AR134" s="81"/>
      <c r="AS134" s="81"/>
      <c r="AT134" s="81"/>
      <c r="AU134" s="81"/>
      <c r="AV134" s="83">
        <f>SUM(Prog_236[[#This Row],[ADIANTAMENTO]]+Prog_236[[#This Row],[SALDO]]+Prog_236[[#This Row],[MARGEM]]+Prog_236[[#This Row],[ESTADIA 1]])</f>
        <v>0</v>
      </c>
      <c r="AW1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" s="81"/>
      <c r="AY134" s="81"/>
      <c r="AZ134" s="81">
        <f>Prog_236[[#This Row],[VLR NF]]*0.1%</f>
        <v>0</v>
      </c>
      <c r="BA134" s="81">
        <f>Prog_236[[#This Row],[VLR NF]]*0.05%</f>
        <v>0</v>
      </c>
      <c r="BB134" s="81"/>
      <c r="BC134" s="81"/>
      <c r="BD134" s="81"/>
      <c r="BE134" s="81"/>
      <c r="BF134" s="81"/>
      <c r="BG134" s="81"/>
      <c r="BH134" s="81"/>
      <c r="BI134" s="81"/>
      <c r="BJ134" s="81"/>
      <c r="BK134" s="81"/>
      <c r="BL134" s="66"/>
      <c r="BM134" s="66"/>
      <c r="BN134" s="66"/>
      <c r="BO134" s="66" t="str">
        <f>PROPER(TEXT(Prog_236[[#This Row],[PROGRAMAÇÃO CLIENTE]],"mmm"))</f>
        <v>Jan</v>
      </c>
      <c r="BP134" s="66">
        <f>YEAR(Prog_236[[#This Row],[PROGRAMAÇÃO CLIENTE]])</f>
        <v>1900</v>
      </c>
    </row>
    <row r="135" spans="1:68" x14ac:dyDescent="0.25">
      <c r="A135" s="200">
        <f>Prog_236[[#This Row],[CONTEINER]]</f>
        <v>0</v>
      </c>
      <c r="B135" s="86"/>
      <c r="C1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" s="44"/>
      <c r="E135" s="66"/>
      <c r="F135" s="66"/>
      <c r="G135" s="66"/>
      <c r="H135" s="44"/>
      <c r="I135" s="44"/>
      <c r="J135" s="66"/>
      <c r="K135" s="66"/>
      <c r="L135" s="66"/>
      <c r="M135" s="66"/>
      <c r="N135" s="66">
        <f>SUM(Prog_236[[#This Row],[TARA]]+Prog_236[[#This Row],[PESO]])</f>
        <v>0</v>
      </c>
      <c r="O135" s="44"/>
      <c r="P135" s="66"/>
      <c r="Q135" s="66"/>
      <c r="R135" s="66"/>
      <c r="S135" s="66"/>
      <c r="T135" s="138" t="str">
        <f>IFERROR(LOOKUP($S135,MOTORISTAS!$D$3:$D$1048576,MOTORISTAS!E$3:$E$1048576),"")</f>
        <v/>
      </c>
      <c r="U135" s="138" t="str">
        <f>IFERROR(LOOKUP($S135,MOTORISTAS!$D$3:$D$1048576,MOTORISTAS!F$3:$F$1048576),"")</f>
        <v/>
      </c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44"/>
      <c r="AG135" s="254">
        <f>Prog_236[[#This Row],[SAÍDA DO CLIENTE]]-Prog_236[[#This Row],[PROGRAMAÇÃO CLIENTE]]</f>
        <v>0</v>
      </c>
      <c r="AH135" s="44"/>
      <c r="AI135" s="66"/>
      <c r="AJ135" s="66"/>
      <c r="AK135" s="66"/>
      <c r="AL135" s="66"/>
      <c r="AM135" s="66"/>
      <c r="AN135" s="83"/>
      <c r="AO135" s="66"/>
      <c r="AP135" s="66"/>
      <c r="AQ135" s="66"/>
      <c r="AR135" s="81"/>
      <c r="AS135" s="81"/>
      <c r="AT135" s="81"/>
      <c r="AU135" s="81"/>
      <c r="AV135" s="83">
        <f>SUM(Prog_236[[#This Row],[ADIANTAMENTO]]+Prog_236[[#This Row],[SALDO]]+Prog_236[[#This Row],[MARGEM]]+Prog_236[[#This Row],[ESTADIA 1]])</f>
        <v>0</v>
      </c>
      <c r="AW1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" s="81"/>
      <c r="AY135" s="81"/>
      <c r="AZ135" s="81">
        <f>Prog_236[[#This Row],[VLR NF]]*0.1%</f>
        <v>0</v>
      </c>
      <c r="BA135" s="81">
        <f>Prog_236[[#This Row],[VLR NF]]*0.05%</f>
        <v>0</v>
      </c>
      <c r="BB135" s="81"/>
      <c r="BC135" s="81"/>
      <c r="BD135" s="81"/>
      <c r="BE135" s="81"/>
      <c r="BF135" s="81"/>
      <c r="BG135" s="81"/>
      <c r="BH135" s="81"/>
      <c r="BI135" s="81"/>
      <c r="BJ135" s="81"/>
      <c r="BK135" s="81"/>
      <c r="BL135" s="66"/>
      <c r="BM135" s="66"/>
      <c r="BN135" s="66"/>
      <c r="BO135" s="66" t="str">
        <f>PROPER(TEXT(Prog_236[[#This Row],[PROGRAMAÇÃO CLIENTE]],"mmm"))</f>
        <v>Jan</v>
      </c>
      <c r="BP135" s="66">
        <f>YEAR(Prog_236[[#This Row],[PROGRAMAÇÃO CLIENTE]])</f>
        <v>1900</v>
      </c>
    </row>
    <row r="136" spans="1:68" x14ac:dyDescent="0.25">
      <c r="A136" s="201">
        <f>Prog_236[[#This Row],[CONTEINER]]</f>
        <v>0</v>
      </c>
      <c r="B136" s="86"/>
      <c r="C1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" s="44"/>
      <c r="E136" s="66"/>
      <c r="F136" s="66"/>
      <c r="G136" s="66"/>
      <c r="H136" s="44"/>
      <c r="I136" s="44"/>
      <c r="J136" s="66"/>
      <c r="K136" s="66"/>
      <c r="L136" s="66"/>
      <c r="M136" s="66"/>
      <c r="N136" s="66">
        <f>SUM(Prog_236[[#This Row],[TARA]]+Prog_236[[#This Row],[PESO]])</f>
        <v>0</v>
      </c>
      <c r="O136" s="44"/>
      <c r="P136" s="66"/>
      <c r="Q136" s="66"/>
      <c r="R136" s="66"/>
      <c r="S136" s="66"/>
      <c r="T136" s="138" t="str">
        <f>IFERROR(LOOKUP($S136,MOTORISTAS!$D$3:$D$1048576,MOTORISTAS!E$3:$E$1048576),"")</f>
        <v/>
      </c>
      <c r="U136" s="138" t="str">
        <f>IFERROR(LOOKUP($S136,MOTORISTAS!$D$3:$D$1048576,MOTORISTAS!F$3:$F$1048576),"")</f>
        <v/>
      </c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44"/>
      <c r="AG136" s="254">
        <f>Prog_236[[#This Row],[SAÍDA DO CLIENTE]]-Prog_236[[#This Row],[PROGRAMAÇÃO CLIENTE]]</f>
        <v>0</v>
      </c>
      <c r="AH136" s="44"/>
      <c r="AI136" s="66"/>
      <c r="AJ136" s="66"/>
      <c r="AK136" s="66"/>
      <c r="AL136" s="66"/>
      <c r="AM136" s="66"/>
      <c r="AN136" s="83"/>
      <c r="AO136" s="66"/>
      <c r="AP136" s="66"/>
      <c r="AQ136" s="66"/>
      <c r="AR136" s="81"/>
      <c r="AS136" s="81"/>
      <c r="AT136" s="81"/>
      <c r="AU136" s="81"/>
      <c r="AV136" s="83">
        <f>SUM(Prog_236[[#This Row],[ADIANTAMENTO]]+Prog_236[[#This Row],[SALDO]]+Prog_236[[#This Row],[MARGEM]]+Prog_236[[#This Row],[ESTADIA 1]])</f>
        <v>0</v>
      </c>
      <c r="AW1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" s="81"/>
      <c r="AY136" s="81"/>
      <c r="AZ136" s="81">
        <f>Prog_236[[#This Row],[VLR NF]]*0.1%</f>
        <v>0</v>
      </c>
      <c r="BA136" s="81">
        <f>Prog_236[[#This Row],[VLR NF]]*0.05%</f>
        <v>0</v>
      </c>
      <c r="BB136" s="81"/>
      <c r="BC136" s="81"/>
      <c r="BD136" s="81"/>
      <c r="BE136" s="81"/>
      <c r="BF136" s="81"/>
      <c r="BG136" s="81"/>
      <c r="BH136" s="81"/>
      <c r="BI136" s="81"/>
      <c r="BJ136" s="81"/>
      <c r="BK136" s="81"/>
      <c r="BL136" s="66"/>
      <c r="BM136" s="66"/>
      <c r="BN136" s="66"/>
      <c r="BO136" s="66" t="str">
        <f>PROPER(TEXT(Prog_236[[#This Row],[PROGRAMAÇÃO CLIENTE]],"mmm"))</f>
        <v>Jan</v>
      </c>
      <c r="BP136" s="66">
        <f>YEAR(Prog_236[[#This Row],[PROGRAMAÇÃO CLIENTE]])</f>
        <v>1900</v>
      </c>
    </row>
    <row r="137" spans="1:68" x14ac:dyDescent="0.25">
      <c r="A137" s="200">
        <f>Prog_236[[#This Row],[CONTEINER]]</f>
        <v>0</v>
      </c>
      <c r="B137" s="86"/>
      <c r="C1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" s="44"/>
      <c r="E137" s="66"/>
      <c r="F137" s="66"/>
      <c r="G137" s="66"/>
      <c r="H137" s="44"/>
      <c r="I137" s="44"/>
      <c r="J137" s="66"/>
      <c r="K137" s="66"/>
      <c r="L137" s="66"/>
      <c r="M137" s="66"/>
      <c r="N137" s="66">
        <f>SUM(Prog_236[[#This Row],[TARA]]+Prog_236[[#This Row],[PESO]])</f>
        <v>0</v>
      </c>
      <c r="O137" s="44"/>
      <c r="P137" s="66"/>
      <c r="Q137" s="66"/>
      <c r="R137" s="66"/>
      <c r="S137" s="66"/>
      <c r="T137" s="138" t="str">
        <f>IFERROR(LOOKUP($S137,MOTORISTAS!$D$3:$D$1048576,MOTORISTAS!E$3:$E$1048576),"")</f>
        <v/>
      </c>
      <c r="U137" s="138" t="str">
        <f>IFERROR(LOOKUP($S137,MOTORISTAS!$D$3:$D$1048576,MOTORISTAS!F$3:$F$1048576),"")</f>
        <v/>
      </c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44"/>
      <c r="AG137" s="254">
        <f>Prog_236[[#This Row],[SAÍDA DO CLIENTE]]-Prog_236[[#This Row],[PROGRAMAÇÃO CLIENTE]]</f>
        <v>0</v>
      </c>
      <c r="AH137" s="44"/>
      <c r="AI137" s="66"/>
      <c r="AJ137" s="66"/>
      <c r="AK137" s="66"/>
      <c r="AL137" s="66"/>
      <c r="AM137" s="66"/>
      <c r="AN137" s="83"/>
      <c r="AO137" s="66"/>
      <c r="AP137" s="66"/>
      <c r="AQ137" s="66"/>
      <c r="AR137" s="81"/>
      <c r="AS137" s="81"/>
      <c r="AT137" s="81"/>
      <c r="AU137" s="81"/>
      <c r="AV137" s="83">
        <f>SUM(Prog_236[[#This Row],[ADIANTAMENTO]]+Prog_236[[#This Row],[SALDO]]+Prog_236[[#This Row],[MARGEM]]+Prog_236[[#This Row],[ESTADIA 1]])</f>
        <v>0</v>
      </c>
      <c r="AW1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" s="81"/>
      <c r="AY137" s="81"/>
      <c r="AZ137" s="81">
        <f>Prog_236[[#This Row],[VLR NF]]*0.1%</f>
        <v>0</v>
      </c>
      <c r="BA137" s="81">
        <f>Prog_236[[#This Row],[VLR NF]]*0.05%</f>
        <v>0</v>
      </c>
      <c r="BB137" s="81"/>
      <c r="BC137" s="81"/>
      <c r="BD137" s="81"/>
      <c r="BE137" s="81"/>
      <c r="BF137" s="81"/>
      <c r="BG137" s="81"/>
      <c r="BH137" s="81"/>
      <c r="BI137" s="81"/>
      <c r="BJ137" s="81"/>
      <c r="BK137" s="81"/>
      <c r="BL137" s="66"/>
      <c r="BM137" s="66"/>
      <c r="BN137" s="66"/>
      <c r="BO137" s="66" t="str">
        <f>PROPER(TEXT(Prog_236[[#This Row],[PROGRAMAÇÃO CLIENTE]],"mmm"))</f>
        <v>Jan</v>
      </c>
      <c r="BP137" s="66">
        <f>YEAR(Prog_236[[#This Row],[PROGRAMAÇÃO CLIENTE]])</f>
        <v>1900</v>
      </c>
    </row>
    <row r="138" spans="1:68" x14ac:dyDescent="0.25">
      <c r="A138" s="201">
        <f>Prog_236[[#This Row],[CONTEINER]]</f>
        <v>0</v>
      </c>
      <c r="B138" s="86"/>
      <c r="C1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" s="44"/>
      <c r="E138" s="66"/>
      <c r="F138" s="66"/>
      <c r="G138" s="66"/>
      <c r="H138" s="44"/>
      <c r="I138" s="44"/>
      <c r="J138" s="66"/>
      <c r="K138" s="66"/>
      <c r="L138" s="66"/>
      <c r="M138" s="66"/>
      <c r="N138" s="66">
        <f>SUM(Prog_236[[#This Row],[TARA]]+Prog_236[[#This Row],[PESO]])</f>
        <v>0</v>
      </c>
      <c r="O138" s="44"/>
      <c r="P138" s="66"/>
      <c r="Q138" s="66"/>
      <c r="R138" s="66"/>
      <c r="S138" s="66"/>
      <c r="T138" s="138" t="str">
        <f>IFERROR(LOOKUP($S138,MOTORISTAS!$D$3:$D$1048576,MOTORISTAS!E$3:$E$1048576),"")</f>
        <v/>
      </c>
      <c r="U138" s="138" t="str">
        <f>IFERROR(LOOKUP($S138,MOTORISTAS!$D$3:$D$1048576,MOTORISTAS!F$3:$F$1048576),"")</f>
        <v/>
      </c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44"/>
      <c r="AG138" s="254">
        <f>Prog_236[[#This Row],[SAÍDA DO CLIENTE]]-Prog_236[[#This Row],[PROGRAMAÇÃO CLIENTE]]</f>
        <v>0</v>
      </c>
      <c r="AH138" s="44"/>
      <c r="AI138" s="66"/>
      <c r="AJ138" s="66"/>
      <c r="AK138" s="66"/>
      <c r="AL138" s="66"/>
      <c r="AM138" s="66"/>
      <c r="AN138" s="83"/>
      <c r="AO138" s="66"/>
      <c r="AP138" s="66"/>
      <c r="AQ138" s="66"/>
      <c r="AR138" s="81"/>
      <c r="AS138" s="81"/>
      <c r="AT138" s="81"/>
      <c r="AU138" s="81"/>
      <c r="AV138" s="83">
        <f>SUM(Prog_236[[#This Row],[ADIANTAMENTO]]+Prog_236[[#This Row],[SALDO]]+Prog_236[[#This Row],[MARGEM]]+Prog_236[[#This Row],[ESTADIA 1]])</f>
        <v>0</v>
      </c>
      <c r="AW1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" s="81"/>
      <c r="AY138" s="81"/>
      <c r="AZ138" s="81">
        <f>Prog_236[[#This Row],[VLR NF]]*0.1%</f>
        <v>0</v>
      </c>
      <c r="BA138" s="81">
        <f>Prog_236[[#This Row],[VLR NF]]*0.05%</f>
        <v>0</v>
      </c>
      <c r="BB138" s="81"/>
      <c r="BC138" s="81"/>
      <c r="BD138" s="81"/>
      <c r="BE138" s="81"/>
      <c r="BF138" s="81"/>
      <c r="BG138" s="81"/>
      <c r="BH138" s="81"/>
      <c r="BI138" s="81"/>
      <c r="BJ138" s="81"/>
      <c r="BK138" s="81"/>
      <c r="BL138" s="66"/>
      <c r="BM138" s="66"/>
      <c r="BN138" s="66"/>
      <c r="BO138" s="66" t="str">
        <f>PROPER(TEXT(Prog_236[[#This Row],[PROGRAMAÇÃO CLIENTE]],"mmm"))</f>
        <v>Jan</v>
      </c>
      <c r="BP138" s="66">
        <f>YEAR(Prog_236[[#This Row],[PROGRAMAÇÃO CLIENTE]])</f>
        <v>1900</v>
      </c>
    </row>
    <row r="139" spans="1:68" x14ac:dyDescent="0.25">
      <c r="A139" s="200">
        <f>Prog_236[[#This Row],[CONTEINER]]</f>
        <v>0</v>
      </c>
      <c r="B139" s="86"/>
      <c r="C1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" s="44"/>
      <c r="E139" s="66"/>
      <c r="F139" s="66"/>
      <c r="G139" s="66"/>
      <c r="H139" s="44"/>
      <c r="I139" s="44"/>
      <c r="J139" s="66"/>
      <c r="K139" s="66"/>
      <c r="L139" s="66"/>
      <c r="M139" s="66"/>
      <c r="N139" s="66">
        <f>SUM(Prog_236[[#This Row],[TARA]]+Prog_236[[#This Row],[PESO]])</f>
        <v>0</v>
      </c>
      <c r="O139" s="44"/>
      <c r="P139" s="66"/>
      <c r="Q139" s="66"/>
      <c r="R139" s="66"/>
      <c r="S139" s="66"/>
      <c r="T139" s="138" t="str">
        <f>IFERROR(LOOKUP($S139,MOTORISTAS!$D$3:$D$1048576,MOTORISTAS!E$3:$E$1048576),"")</f>
        <v/>
      </c>
      <c r="U139" s="138" t="str">
        <f>IFERROR(LOOKUP($S139,MOTORISTAS!$D$3:$D$1048576,MOTORISTAS!F$3:$F$1048576),"")</f>
        <v/>
      </c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44"/>
      <c r="AG139" s="254">
        <f>Prog_236[[#This Row],[SAÍDA DO CLIENTE]]-Prog_236[[#This Row],[PROGRAMAÇÃO CLIENTE]]</f>
        <v>0</v>
      </c>
      <c r="AH139" s="44"/>
      <c r="AI139" s="66"/>
      <c r="AJ139" s="66"/>
      <c r="AK139" s="66"/>
      <c r="AL139" s="66"/>
      <c r="AM139" s="66"/>
      <c r="AN139" s="83"/>
      <c r="AO139" s="66"/>
      <c r="AP139" s="66"/>
      <c r="AQ139" s="66"/>
      <c r="AR139" s="81"/>
      <c r="AS139" s="81"/>
      <c r="AT139" s="81"/>
      <c r="AU139" s="81"/>
      <c r="AV139" s="83">
        <f>SUM(Prog_236[[#This Row],[ADIANTAMENTO]]+Prog_236[[#This Row],[SALDO]]+Prog_236[[#This Row],[MARGEM]]+Prog_236[[#This Row],[ESTADIA 1]])</f>
        <v>0</v>
      </c>
      <c r="AW1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" s="81"/>
      <c r="AY139" s="81"/>
      <c r="AZ139" s="81">
        <f>Prog_236[[#This Row],[VLR NF]]*0.1%</f>
        <v>0</v>
      </c>
      <c r="BA139" s="81">
        <f>Prog_236[[#This Row],[VLR NF]]*0.05%</f>
        <v>0</v>
      </c>
      <c r="BB139" s="81"/>
      <c r="BC139" s="81"/>
      <c r="BD139" s="81"/>
      <c r="BE139" s="81"/>
      <c r="BF139" s="81"/>
      <c r="BG139" s="81"/>
      <c r="BH139" s="81"/>
      <c r="BI139" s="81"/>
      <c r="BJ139" s="81"/>
      <c r="BK139" s="81"/>
      <c r="BL139" s="66"/>
      <c r="BM139" s="66"/>
      <c r="BN139" s="66"/>
      <c r="BO139" s="66" t="str">
        <f>PROPER(TEXT(Prog_236[[#This Row],[PROGRAMAÇÃO CLIENTE]],"mmm"))</f>
        <v>Jan</v>
      </c>
      <c r="BP139" s="66">
        <f>YEAR(Prog_236[[#This Row],[PROGRAMAÇÃO CLIENTE]])</f>
        <v>1900</v>
      </c>
    </row>
    <row r="140" spans="1:68" x14ac:dyDescent="0.25">
      <c r="A140" s="201">
        <f>Prog_236[[#This Row],[CONTEINER]]</f>
        <v>0</v>
      </c>
      <c r="B140" s="86"/>
      <c r="C1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" s="44"/>
      <c r="E140" s="66"/>
      <c r="F140" s="66"/>
      <c r="G140" s="66"/>
      <c r="H140" s="44"/>
      <c r="I140" s="44"/>
      <c r="J140" s="66"/>
      <c r="K140" s="66"/>
      <c r="L140" s="66"/>
      <c r="M140" s="66"/>
      <c r="N140" s="66">
        <f>SUM(Prog_236[[#This Row],[TARA]]+Prog_236[[#This Row],[PESO]])</f>
        <v>0</v>
      </c>
      <c r="O140" s="44"/>
      <c r="P140" s="66"/>
      <c r="Q140" s="66"/>
      <c r="R140" s="66"/>
      <c r="S140" s="66"/>
      <c r="T140" s="138" t="str">
        <f>IFERROR(LOOKUP($S140,MOTORISTAS!$D$3:$D$1048576,MOTORISTAS!E$3:$E$1048576),"")</f>
        <v/>
      </c>
      <c r="U140" s="138" t="str">
        <f>IFERROR(LOOKUP($S140,MOTORISTAS!$D$3:$D$1048576,MOTORISTAS!F$3:$F$1048576),"")</f>
        <v/>
      </c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44"/>
      <c r="AG140" s="254">
        <f>Prog_236[[#This Row],[SAÍDA DO CLIENTE]]-Prog_236[[#This Row],[PROGRAMAÇÃO CLIENTE]]</f>
        <v>0</v>
      </c>
      <c r="AH140" s="44"/>
      <c r="AI140" s="66"/>
      <c r="AJ140" s="66"/>
      <c r="AK140" s="66"/>
      <c r="AL140" s="66"/>
      <c r="AM140" s="66"/>
      <c r="AN140" s="83"/>
      <c r="AO140" s="66"/>
      <c r="AP140" s="66"/>
      <c r="AQ140" s="66"/>
      <c r="AR140" s="81"/>
      <c r="AS140" s="81"/>
      <c r="AT140" s="81"/>
      <c r="AU140" s="81"/>
      <c r="AV140" s="83">
        <f>SUM(Prog_236[[#This Row],[ADIANTAMENTO]]+Prog_236[[#This Row],[SALDO]]+Prog_236[[#This Row],[MARGEM]]+Prog_236[[#This Row],[ESTADIA 1]])</f>
        <v>0</v>
      </c>
      <c r="AW1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" s="81"/>
      <c r="AY140" s="81"/>
      <c r="AZ140" s="81">
        <f>Prog_236[[#This Row],[VLR NF]]*0.1%</f>
        <v>0</v>
      </c>
      <c r="BA140" s="81">
        <f>Prog_236[[#This Row],[VLR NF]]*0.05%</f>
        <v>0</v>
      </c>
      <c r="BB140" s="81"/>
      <c r="BC140" s="81"/>
      <c r="BD140" s="81"/>
      <c r="BE140" s="81"/>
      <c r="BF140" s="81"/>
      <c r="BG140" s="81"/>
      <c r="BH140" s="81"/>
      <c r="BI140" s="81"/>
      <c r="BJ140" s="81"/>
      <c r="BK140" s="81"/>
      <c r="BL140" s="66"/>
      <c r="BM140" s="66"/>
      <c r="BN140" s="66"/>
      <c r="BO140" s="66" t="str">
        <f>PROPER(TEXT(Prog_236[[#This Row],[PROGRAMAÇÃO CLIENTE]],"mmm"))</f>
        <v>Jan</v>
      </c>
      <c r="BP140" s="66">
        <f>YEAR(Prog_236[[#This Row],[PROGRAMAÇÃO CLIENTE]])</f>
        <v>1900</v>
      </c>
    </row>
    <row r="141" spans="1:68" x14ac:dyDescent="0.25">
      <c r="A141" s="200">
        <f>Prog_236[[#This Row],[CONTEINER]]</f>
        <v>0</v>
      </c>
      <c r="B141" s="86"/>
      <c r="C1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" s="44"/>
      <c r="E141" s="66"/>
      <c r="F141" s="66"/>
      <c r="G141" s="66"/>
      <c r="H141" s="44"/>
      <c r="I141" s="44"/>
      <c r="J141" s="66"/>
      <c r="K141" s="66"/>
      <c r="L141" s="66"/>
      <c r="M141" s="66"/>
      <c r="N141" s="66">
        <f>SUM(Prog_236[[#This Row],[TARA]]+Prog_236[[#This Row],[PESO]])</f>
        <v>0</v>
      </c>
      <c r="O141" s="44"/>
      <c r="P141" s="66"/>
      <c r="Q141" s="66"/>
      <c r="R141" s="66"/>
      <c r="S141" s="66"/>
      <c r="T141" s="138" t="str">
        <f>IFERROR(LOOKUP($S141,MOTORISTAS!$D$3:$D$1048576,MOTORISTAS!E$3:$E$1048576),"")</f>
        <v/>
      </c>
      <c r="U141" s="138" t="str">
        <f>IFERROR(LOOKUP($S141,MOTORISTAS!$D$3:$D$1048576,MOTORISTAS!F$3:$F$1048576),"")</f>
        <v/>
      </c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44"/>
      <c r="AG141" s="254">
        <f>Prog_236[[#This Row],[SAÍDA DO CLIENTE]]-Prog_236[[#This Row],[PROGRAMAÇÃO CLIENTE]]</f>
        <v>0</v>
      </c>
      <c r="AH141" s="44"/>
      <c r="AI141" s="66"/>
      <c r="AJ141" s="66"/>
      <c r="AK141" s="66"/>
      <c r="AL141" s="66"/>
      <c r="AM141" s="66"/>
      <c r="AN141" s="83"/>
      <c r="AO141" s="66"/>
      <c r="AP141" s="66"/>
      <c r="AQ141" s="66"/>
      <c r="AR141" s="81"/>
      <c r="AS141" s="81"/>
      <c r="AT141" s="81"/>
      <c r="AU141" s="81"/>
      <c r="AV141" s="83">
        <f>SUM(Prog_236[[#This Row],[ADIANTAMENTO]]+Prog_236[[#This Row],[SALDO]]+Prog_236[[#This Row],[MARGEM]]+Prog_236[[#This Row],[ESTADIA 1]])</f>
        <v>0</v>
      </c>
      <c r="AW1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" s="81"/>
      <c r="AY141" s="81"/>
      <c r="AZ141" s="81">
        <f>Prog_236[[#This Row],[VLR NF]]*0.1%</f>
        <v>0</v>
      </c>
      <c r="BA141" s="81">
        <f>Prog_236[[#This Row],[VLR NF]]*0.05%</f>
        <v>0</v>
      </c>
      <c r="BB141" s="81"/>
      <c r="BC141" s="81"/>
      <c r="BD141" s="81"/>
      <c r="BE141" s="81"/>
      <c r="BF141" s="81"/>
      <c r="BG141" s="81"/>
      <c r="BH141" s="81"/>
      <c r="BI141" s="81"/>
      <c r="BJ141" s="81"/>
      <c r="BK141" s="81"/>
      <c r="BL141" s="66"/>
      <c r="BM141" s="66"/>
      <c r="BN141" s="66"/>
      <c r="BO141" s="66" t="str">
        <f>PROPER(TEXT(Prog_236[[#This Row],[PROGRAMAÇÃO CLIENTE]],"mmm"))</f>
        <v>Jan</v>
      </c>
      <c r="BP141" s="66">
        <f>YEAR(Prog_236[[#This Row],[PROGRAMAÇÃO CLIENTE]])</f>
        <v>1900</v>
      </c>
    </row>
    <row r="142" spans="1:68" x14ac:dyDescent="0.25">
      <c r="A142" s="201">
        <f>Prog_236[[#This Row],[CONTEINER]]</f>
        <v>0</v>
      </c>
      <c r="B142" s="86"/>
      <c r="C1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" s="44"/>
      <c r="E142" s="66"/>
      <c r="F142" s="66"/>
      <c r="G142" s="66"/>
      <c r="H142" s="44"/>
      <c r="I142" s="44"/>
      <c r="J142" s="66"/>
      <c r="K142" s="66"/>
      <c r="L142" s="66"/>
      <c r="M142" s="66"/>
      <c r="N142" s="66">
        <f>SUM(Prog_236[[#This Row],[TARA]]+Prog_236[[#This Row],[PESO]])</f>
        <v>0</v>
      </c>
      <c r="O142" s="44"/>
      <c r="P142" s="66"/>
      <c r="Q142" s="66"/>
      <c r="R142" s="66"/>
      <c r="S142" s="66"/>
      <c r="T142" s="138" t="str">
        <f>IFERROR(LOOKUP($S142,MOTORISTAS!$D$3:$D$1048576,MOTORISTAS!E$3:$E$1048576),"")</f>
        <v/>
      </c>
      <c r="U142" s="138" t="str">
        <f>IFERROR(LOOKUP($S142,MOTORISTAS!$D$3:$D$1048576,MOTORISTAS!F$3:$F$1048576),"")</f>
        <v/>
      </c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44"/>
      <c r="AG142" s="254">
        <f>Prog_236[[#This Row],[SAÍDA DO CLIENTE]]-Prog_236[[#This Row],[PROGRAMAÇÃO CLIENTE]]</f>
        <v>0</v>
      </c>
      <c r="AH142" s="44"/>
      <c r="AI142" s="66"/>
      <c r="AJ142" s="66"/>
      <c r="AK142" s="66"/>
      <c r="AL142" s="66"/>
      <c r="AM142" s="66"/>
      <c r="AN142" s="83"/>
      <c r="AO142" s="66"/>
      <c r="AP142" s="66"/>
      <c r="AQ142" s="66"/>
      <c r="AR142" s="81"/>
      <c r="AS142" s="81"/>
      <c r="AT142" s="81"/>
      <c r="AU142" s="81"/>
      <c r="AV142" s="83">
        <f>SUM(Prog_236[[#This Row],[ADIANTAMENTO]]+Prog_236[[#This Row],[SALDO]]+Prog_236[[#This Row],[MARGEM]]+Prog_236[[#This Row],[ESTADIA 1]])</f>
        <v>0</v>
      </c>
      <c r="AW1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" s="81"/>
      <c r="AY142" s="81"/>
      <c r="AZ142" s="81">
        <f>Prog_236[[#This Row],[VLR NF]]*0.1%</f>
        <v>0</v>
      </c>
      <c r="BA142" s="81">
        <f>Prog_236[[#This Row],[VLR NF]]*0.05%</f>
        <v>0</v>
      </c>
      <c r="BB142" s="81"/>
      <c r="BC142" s="81"/>
      <c r="BD142" s="81"/>
      <c r="BE142" s="81"/>
      <c r="BF142" s="81"/>
      <c r="BG142" s="81"/>
      <c r="BH142" s="81"/>
      <c r="BI142" s="81"/>
      <c r="BJ142" s="81"/>
      <c r="BK142" s="81"/>
      <c r="BL142" s="66"/>
      <c r="BM142" s="66"/>
      <c r="BN142" s="66"/>
      <c r="BO142" s="66" t="str">
        <f>PROPER(TEXT(Prog_236[[#This Row],[PROGRAMAÇÃO CLIENTE]],"mmm"))</f>
        <v>Jan</v>
      </c>
      <c r="BP142" s="66">
        <f>YEAR(Prog_236[[#This Row],[PROGRAMAÇÃO CLIENTE]])</f>
        <v>1900</v>
      </c>
    </row>
    <row r="143" spans="1:68" x14ac:dyDescent="0.25">
      <c r="A143" s="200">
        <f>Prog_236[[#This Row],[CONTEINER]]</f>
        <v>0</v>
      </c>
      <c r="B143" s="86"/>
      <c r="C1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" s="44"/>
      <c r="E143" s="66"/>
      <c r="F143" s="66"/>
      <c r="G143" s="66"/>
      <c r="H143" s="44"/>
      <c r="I143" s="44"/>
      <c r="J143" s="66"/>
      <c r="K143" s="66"/>
      <c r="L143" s="66"/>
      <c r="M143" s="66"/>
      <c r="N143" s="66">
        <f>SUM(Prog_236[[#This Row],[TARA]]+Prog_236[[#This Row],[PESO]])</f>
        <v>0</v>
      </c>
      <c r="O143" s="44"/>
      <c r="P143" s="66"/>
      <c r="Q143" s="66"/>
      <c r="R143" s="66"/>
      <c r="S143" s="66"/>
      <c r="T143" s="138" t="str">
        <f>IFERROR(LOOKUP($S143,MOTORISTAS!$D$3:$D$1048576,MOTORISTAS!E$3:$E$1048576),"")</f>
        <v/>
      </c>
      <c r="U143" s="138" t="str">
        <f>IFERROR(LOOKUP($S143,MOTORISTAS!$D$3:$D$1048576,MOTORISTAS!F$3:$F$1048576),"")</f>
        <v/>
      </c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44"/>
      <c r="AG143" s="254">
        <f>Prog_236[[#This Row],[SAÍDA DO CLIENTE]]-Prog_236[[#This Row],[PROGRAMAÇÃO CLIENTE]]</f>
        <v>0</v>
      </c>
      <c r="AH143" s="44"/>
      <c r="AI143" s="66"/>
      <c r="AJ143" s="66"/>
      <c r="AK143" s="66"/>
      <c r="AL143" s="66"/>
      <c r="AM143" s="66"/>
      <c r="AN143" s="83"/>
      <c r="AO143" s="66"/>
      <c r="AP143" s="66"/>
      <c r="AQ143" s="66"/>
      <c r="AR143" s="81"/>
      <c r="AS143" s="81"/>
      <c r="AT143" s="81"/>
      <c r="AU143" s="81"/>
      <c r="AV143" s="83">
        <f>SUM(Prog_236[[#This Row],[ADIANTAMENTO]]+Prog_236[[#This Row],[SALDO]]+Prog_236[[#This Row],[MARGEM]]+Prog_236[[#This Row],[ESTADIA 1]])</f>
        <v>0</v>
      </c>
      <c r="AW1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" s="81"/>
      <c r="AY143" s="81"/>
      <c r="AZ143" s="81">
        <f>Prog_236[[#This Row],[VLR NF]]*0.1%</f>
        <v>0</v>
      </c>
      <c r="BA143" s="81">
        <f>Prog_236[[#This Row],[VLR NF]]*0.05%</f>
        <v>0</v>
      </c>
      <c r="BB143" s="81"/>
      <c r="BC143" s="81"/>
      <c r="BD143" s="81"/>
      <c r="BE143" s="81"/>
      <c r="BF143" s="81"/>
      <c r="BG143" s="81"/>
      <c r="BH143" s="81"/>
      <c r="BI143" s="81"/>
      <c r="BJ143" s="81"/>
      <c r="BK143" s="81"/>
      <c r="BL143" s="66"/>
      <c r="BM143" s="66"/>
      <c r="BN143" s="66"/>
      <c r="BO143" s="66" t="str">
        <f>PROPER(TEXT(Prog_236[[#This Row],[PROGRAMAÇÃO CLIENTE]],"mmm"))</f>
        <v>Jan</v>
      </c>
      <c r="BP143" s="66">
        <f>YEAR(Prog_236[[#This Row],[PROGRAMAÇÃO CLIENTE]])</f>
        <v>1900</v>
      </c>
    </row>
    <row r="144" spans="1:68" x14ac:dyDescent="0.25">
      <c r="A144" s="201">
        <f>Prog_236[[#This Row],[CONTEINER]]</f>
        <v>0</v>
      </c>
      <c r="B144" s="86"/>
      <c r="C1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" s="44"/>
      <c r="E144" s="66"/>
      <c r="F144" s="66"/>
      <c r="G144" s="66"/>
      <c r="H144" s="44"/>
      <c r="I144" s="44"/>
      <c r="J144" s="66"/>
      <c r="K144" s="66"/>
      <c r="L144" s="66"/>
      <c r="M144" s="66"/>
      <c r="N144" s="66">
        <f>SUM(Prog_236[[#This Row],[TARA]]+Prog_236[[#This Row],[PESO]])</f>
        <v>0</v>
      </c>
      <c r="O144" s="44"/>
      <c r="P144" s="66"/>
      <c r="Q144" s="66"/>
      <c r="R144" s="66"/>
      <c r="S144" s="66"/>
      <c r="T144" s="138" t="str">
        <f>IFERROR(LOOKUP($S144,MOTORISTAS!$D$3:$D$1048576,MOTORISTAS!E$3:$E$1048576),"")</f>
        <v/>
      </c>
      <c r="U144" s="138" t="str">
        <f>IFERROR(LOOKUP($S144,MOTORISTAS!$D$3:$D$1048576,MOTORISTAS!F$3:$F$1048576),"")</f>
        <v/>
      </c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44"/>
      <c r="AG144" s="254">
        <f>Prog_236[[#This Row],[SAÍDA DO CLIENTE]]-Prog_236[[#This Row],[PROGRAMAÇÃO CLIENTE]]</f>
        <v>0</v>
      </c>
      <c r="AH144" s="44"/>
      <c r="AI144" s="66"/>
      <c r="AJ144" s="66"/>
      <c r="AK144" s="66"/>
      <c r="AL144" s="66"/>
      <c r="AM144" s="66"/>
      <c r="AN144" s="83"/>
      <c r="AO144" s="66"/>
      <c r="AP144" s="66"/>
      <c r="AQ144" s="66"/>
      <c r="AR144" s="81"/>
      <c r="AS144" s="81"/>
      <c r="AT144" s="81"/>
      <c r="AU144" s="81"/>
      <c r="AV144" s="83">
        <f>SUM(Prog_236[[#This Row],[ADIANTAMENTO]]+Prog_236[[#This Row],[SALDO]]+Prog_236[[#This Row],[MARGEM]]+Prog_236[[#This Row],[ESTADIA 1]])</f>
        <v>0</v>
      </c>
      <c r="AW1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" s="81"/>
      <c r="AY144" s="81"/>
      <c r="AZ144" s="81">
        <f>Prog_236[[#This Row],[VLR NF]]*0.1%</f>
        <v>0</v>
      </c>
      <c r="BA144" s="81">
        <f>Prog_236[[#This Row],[VLR NF]]*0.05%</f>
        <v>0</v>
      </c>
      <c r="BB144" s="81"/>
      <c r="BC144" s="81"/>
      <c r="BD144" s="81"/>
      <c r="BE144" s="81"/>
      <c r="BF144" s="81"/>
      <c r="BG144" s="81"/>
      <c r="BH144" s="81"/>
      <c r="BI144" s="81"/>
      <c r="BJ144" s="81"/>
      <c r="BK144" s="81"/>
      <c r="BL144" s="66"/>
      <c r="BM144" s="66"/>
      <c r="BN144" s="66"/>
      <c r="BO144" s="66" t="str">
        <f>PROPER(TEXT(Prog_236[[#This Row],[PROGRAMAÇÃO CLIENTE]],"mmm"))</f>
        <v>Jan</v>
      </c>
      <c r="BP144" s="66">
        <f>YEAR(Prog_236[[#This Row],[PROGRAMAÇÃO CLIENTE]])</f>
        <v>1900</v>
      </c>
    </row>
    <row r="145" spans="1:68" x14ac:dyDescent="0.25">
      <c r="A145" s="200">
        <f>Prog_236[[#This Row],[CONTEINER]]</f>
        <v>0</v>
      </c>
      <c r="B145" s="86"/>
      <c r="C1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" s="44"/>
      <c r="E145" s="66"/>
      <c r="F145" s="66"/>
      <c r="G145" s="66"/>
      <c r="H145" s="44"/>
      <c r="I145" s="44"/>
      <c r="J145" s="66"/>
      <c r="K145" s="66"/>
      <c r="L145" s="66"/>
      <c r="M145" s="66"/>
      <c r="N145" s="66">
        <f>SUM(Prog_236[[#This Row],[TARA]]+Prog_236[[#This Row],[PESO]])</f>
        <v>0</v>
      </c>
      <c r="O145" s="44"/>
      <c r="P145" s="66"/>
      <c r="Q145" s="66"/>
      <c r="R145" s="66"/>
      <c r="S145" s="66"/>
      <c r="T145" s="138" t="str">
        <f>IFERROR(LOOKUP($S145,MOTORISTAS!$D$3:$D$1048576,MOTORISTAS!E$3:$E$1048576),"")</f>
        <v/>
      </c>
      <c r="U145" s="138" t="str">
        <f>IFERROR(LOOKUP($S145,MOTORISTAS!$D$3:$D$1048576,MOTORISTAS!F$3:$F$1048576),"")</f>
        <v/>
      </c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44"/>
      <c r="AG145" s="254">
        <f>Prog_236[[#This Row],[SAÍDA DO CLIENTE]]-Prog_236[[#This Row],[PROGRAMAÇÃO CLIENTE]]</f>
        <v>0</v>
      </c>
      <c r="AH145" s="44"/>
      <c r="AI145" s="66"/>
      <c r="AJ145" s="66"/>
      <c r="AK145" s="66"/>
      <c r="AL145" s="66"/>
      <c r="AM145" s="66"/>
      <c r="AN145" s="83"/>
      <c r="AO145" s="66"/>
      <c r="AP145" s="66"/>
      <c r="AQ145" s="66"/>
      <c r="AR145" s="81"/>
      <c r="AS145" s="81"/>
      <c r="AT145" s="81"/>
      <c r="AU145" s="81"/>
      <c r="AV145" s="83">
        <f>SUM(Prog_236[[#This Row],[ADIANTAMENTO]]+Prog_236[[#This Row],[SALDO]]+Prog_236[[#This Row],[MARGEM]]+Prog_236[[#This Row],[ESTADIA 1]])</f>
        <v>0</v>
      </c>
      <c r="AW1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" s="81"/>
      <c r="AY145" s="81"/>
      <c r="AZ145" s="81">
        <f>Prog_236[[#This Row],[VLR NF]]*0.1%</f>
        <v>0</v>
      </c>
      <c r="BA145" s="81">
        <f>Prog_236[[#This Row],[VLR NF]]*0.05%</f>
        <v>0</v>
      </c>
      <c r="BB145" s="81"/>
      <c r="BC145" s="81"/>
      <c r="BD145" s="81"/>
      <c r="BE145" s="81"/>
      <c r="BF145" s="81"/>
      <c r="BG145" s="81"/>
      <c r="BH145" s="81"/>
      <c r="BI145" s="81"/>
      <c r="BJ145" s="81"/>
      <c r="BK145" s="81"/>
      <c r="BL145" s="66"/>
      <c r="BM145" s="66"/>
      <c r="BN145" s="66"/>
      <c r="BO145" s="66" t="str">
        <f>PROPER(TEXT(Prog_236[[#This Row],[PROGRAMAÇÃO CLIENTE]],"mmm"))</f>
        <v>Jan</v>
      </c>
      <c r="BP145" s="66">
        <f>YEAR(Prog_236[[#This Row],[PROGRAMAÇÃO CLIENTE]])</f>
        <v>1900</v>
      </c>
    </row>
    <row r="146" spans="1:68" x14ac:dyDescent="0.25">
      <c r="A146" s="201">
        <f>Prog_236[[#This Row],[CONTEINER]]</f>
        <v>0</v>
      </c>
      <c r="B146" s="86"/>
      <c r="C1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" s="44"/>
      <c r="E146" s="66"/>
      <c r="F146" s="66"/>
      <c r="G146" s="66"/>
      <c r="H146" s="44"/>
      <c r="I146" s="44"/>
      <c r="J146" s="66"/>
      <c r="K146" s="66"/>
      <c r="L146" s="66"/>
      <c r="M146" s="66"/>
      <c r="N146" s="66">
        <f>SUM(Prog_236[[#This Row],[TARA]]+Prog_236[[#This Row],[PESO]])</f>
        <v>0</v>
      </c>
      <c r="O146" s="44"/>
      <c r="P146" s="66"/>
      <c r="Q146" s="66"/>
      <c r="R146" s="66"/>
      <c r="S146" s="66"/>
      <c r="T146" s="138" t="str">
        <f>IFERROR(LOOKUP($S146,MOTORISTAS!$D$3:$D$1048576,MOTORISTAS!E$3:$E$1048576),"")</f>
        <v/>
      </c>
      <c r="U146" s="138" t="str">
        <f>IFERROR(LOOKUP($S146,MOTORISTAS!$D$3:$D$1048576,MOTORISTAS!F$3:$F$1048576),"")</f>
        <v/>
      </c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44"/>
      <c r="AG146" s="254">
        <f>Prog_236[[#This Row],[SAÍDA DO CLIENTE]]-Prog_236[[#This Row],[PROGRAMAÇÃO CLIENTE]]</f>
        <v>0</v>
      </c>
      <c r="AH146" s="44"/>
      <c r="AI146" s="66"/>
      <c r="AJ146" s="66"/>
      <c r="AK146" s="66"/>
      <c r="AL146" s="66"/>
      <c r="AM146" s="66"/>
      <c r="AN146" s="83"/>
      <c r="AO146" s="66"/>
      <c r="AP146" s="66"/>
      <c r="AQ146" s="66"/>
      <c r="AR146" s="81"/>
      <c r="AS146" s="81"/>
      <c r="AT146" s="81"/>
      <c r="AU146" s="81"/>
      <c r="AV146" s="83">
        <f>SUM(Prog_236[[#This Row],[ADIANTAMENTO]]+Prog_236[[#This Row],[SALDO]]+Prog_236[[#This Row],[MARGEM]]+Prog_236[[#This Row],[ESTADIA 1]])</f>
        <v>0</v>
      </c>
      <c r="AW1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" s="81"/>
      <c r="AY146" s="81"/>
      <c r="AZ146" s="81">
        <f>Prog_236[[#This Row],[VLR NF]]*0.1%</f>
        <v>0</v>
      </c>
      <c r="BA146" s="81">
        <f>Prog_236[[#This Row],[VLR NF]]*0.05%</f>
        <v>0</v>
      </c>
      <c r="BB146" s="81"/>
      <c r="BC146" s="81"/>
      <c r="BD146" s="81"/>
      <c r="BE146" s="81"/>
      <c r="BF146" s="81"/>
      <c r="BG146" s="81"/>
      <c r="BH146" s="81"/>
      <c r="BI146" s="81"/>
      <c r="BJ146" s="81"/>
      <c r="BK146" s="81"/>
      <c r="BL146" s="66"/>
      <c r="BM146" s="66"/>
      <c r="BN146" s="66"/>
      <c r="BO146" s="66" t="str">
        <f>PROPER(TEXT(Prog_236[[#This Row],[PROGRAMAÇÃO CLIENTE]],"mmm"))</f>
        <v>Jan</v>
      </c>
      <c r="BP146" s="66">
        <f>YEAR(Prog_236[[#This Row],[PROGRAMAÇÃO CLIENTE]])</f>
        <v>1900</v>
      </c>
    </row>
    <row r="147" spans="1:68" x14ac:dyDescent="0.25">
      <c r="A147" s="200">
        <f>Prog_236[[#This Row],[CONTEINER]]</f>
        <v>0</v>
      </c>
      <c r="B147" s="86"/>
      <c r="C1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" s="44"/>
      <c r="E147" s="66"/>
      <c r="F147" s="66"/>
      <c r="G147" s="66"/>
      <c r="H147" s="44"/>
      <c r="I147" s="44"/>
      <c r="J147" s="66"/>
      <c r="K147" s="66"/>
      <c r="L147" s="66"/>
      <c r="M147" s="66"/>
      <c r="N147" s="66">
        <f>SUM(Prog_236[[#This Row],[TARA]]+Prog_236[[#This Row],[PESO]])</f>
        <v>0</v>
      </c>
      <c r="O147" s="44"/>
      <c r="P147" s="66"/>
      <c r="Q147" s="66"/>
      <c r="R147" s="66"/>
      <c r="S147" s="66"/>
      <c r="T147" s="138" t="str">
        <f>IFERROR(LOOKUP($S147,MOTORISTAS!$D$3:$D$1048576,MOTORISTAS!E$3:$E$1048576),"")</f>
        <v/>
      </c>
      <c r="U147" s="138" t="str">
        <f>IFERROR(LOOKUP($S147,MOTORISTAS!$D$3:$D$1048576,MOTORISTAS!F$3:$F$1048576),"")</f>
        <v/>
      </c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44"/>
      <c r="AG147" s="254">
        <f>Prog_236[[#This Row],[SAÍDA DO CLIENTE]]-Prog_236[[#This Row],[PROGRAMAÇÃO CLIENTE]]</f>
        <v>0</v>
      </c>
      <c r="AH147" s="44"/>
      <c r="AI147" s="66"/>
      <c r="AJ147" s="66"/>
      <c r="AK147" s="66"/>
      <c r="AL147" s="66"/>
      <c r="AM147" s="66"/>
      <c r="AN147" s="83"/>
      <c r="AO147" s="66"/>
      <c r="AP147" s="66"/>
      <c r="AQ147" s="66"/>
      <c r="AR147" s="81"/>
      <c r="AS147" s="81"/>
      <c r="AT147" s="81"/>
      <c r="AU147" s="81"/>
      <c r="AV147" s="83">
        <f>SUM(Prog_236[[#This Row],[ADIANTAMENTO]]+Prog_236[[#This Row],[SALDO]]+Prog_236[[#This Row],[MARGEM]]+Prog_236[[#This Row],[ESTADIA 1]])</f>
        <v>0</v>
      </c>
      <c r="AW1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" s="81"/>
      <c r="AY147" s="81"/>
      <c r="AZ147" s="81">
        <f>Prog_236[[#This Row],[VLR NF]]*0.1%</f>
        <v>0</v>
      </c>
      <c r="BA147" s="81">
        <f>Prog_236[[#This Row],[VLR NF]]*0.05%</f>
        <v>0</v>
      </c>
      <c r="BB147" s="81"/>
      <c r="BC147" s="81"/>
      <c r="BD147" s="81"/>
      <c r="BE147" s="81"/>
      <c r="BF147" s="81"/>
      <c r="BG147" s="81"/>
      <c r="BH147" s="81"/>
      <c r="BI147" s="81"/>
      <c r="BJ147" s="81"/>
      <c r="BK147" s="81"/>
      <c r="BL147" s="66"/>
      <c r="BM147" s="66"/>
      <c r="BN147" s="66"/>
      <c r="BO147" s="66" t="str">
        <f>PROPER(TEXT(Prog_236[[#This Row],[PROGRAMAÇÃO CLIENTE]],"mmm"))</f>
        <v>Jan</v>
      </c>
      <c r="BP147" s="66">
        <f>YEAR(Prog_236[[#This Row],[PROGRAMAÇÃO CLIENTE]])</f>
        <v>1900</v>
      </c>
    </row>
    <row r="148" spans="1:68" x14ac:dyDescent="0.25">
      <c r="A148" s="201">
        <f>Prog_236[[#This Row],[CONTEINER]]</f>
        <v>0</v>
      </c>
      <c r="B148" s="86"/>
      <c r="C1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" s="44"/>
      <c r="E148" s="66"/>
      <c r="F148" s="66"/>
      <c r="G148" s="66"/>
      <c r="H148" s="44"/>
      <c r="I148" s="44"/>
      <c r="J148" s="66"/>
      <c r="K148" s="66"/>
      <c r="L148" s="66"/>
      <c r="M148" s="66"/>
      <c r="N148" s="66">
        <f>SUM(Prog_236[[#This Row],[TARA]]+Prog_236[[#This Row],[PESO]])</f>
        <v>0</v>
      </c>
      <c r="O148" s="44"/>
      <c r="P148" s="66"/>
      <c r="Q148" s="66"/>
      <c r="R148" s="66"/>
      <c r="S148" s="66"/>
      <c r="T148" s="138" t="str">
        <f>IFERROR(LOOKUP($S148,MOTORISTAS!$D$3:$D$1048576,MOTORISTAS!E$3:$E$1048576),"")</f>
        <v/>
      </c>
      <c r="U148" s="138" t="str">
        <f>IFERROR(LOOKUP($S148,MOTORISTAS!$D$3:$D$1048576,MOTORISTAS!F$3:$F$1048576),"")</f>
        <v/>
      </c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44"/>
      <c r="AG148" s="254">
        <f>Prog_236[[#This Row],[SAÍDA DO CLIENTE]]-Prog_236[[#This Row],[PROGRAMAÇÃO CLIENTE]]</f>
        <v>0</v>
      </c>
      <c r="AH148" s="44"/>
      <c r="AI148" s="66"/>
      <c r="AJ148" s="66"/>
      <c r="AK148" s="66"/>
      <c r="AL148" s="66"/>
      <c r="AM148" s="66"/>
      <c r="AN148" s="83"/>
      <c r="AO148" s="66"/>
      <c r="AP148" s="66"/>
      <c r="AQ148" s="66"/>
      <c r="AR148" s="81"/>
      <c r="AS148" s="81"/>
      <c r="AT148" s="81"/>
      <c r="AU148" s="81"/>
      <c r="AV148" s="83">
        <f>SUM(Prog_236[[#This Row],[ADIANTAMENTO]]+Prog_236[[#This Row],[SALDO]]+Prog_236[[#This Row],[MARGEM]]+Prog_236[[#This Row],[ESTADIA 1]])</f>
        <v>0</v>
      </c>
      <c r="AW1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" s="81"/>
      <c r="AY148" s="81"/>
      <c r="AZ148" s="81">
        <f>Prog_236[[#This Row],[VLR NF]]*0.1%</f>
        <v>0</v>
      </c>
      <c r="BA148" s="81">
        <f>Prog_236[[#This Row],[VLR NF]]*0.05%</f>
        <v>0</v>
      </c>
      <c r="BB148" s="81"/>
      <c r="BC148" s="81"/>
      <c r="BD148" s="81"/>
      <c r="BE148" s="81"/>
      <c r="BF148" s="81"/>
      <c r="BG148" s="81"/>
      <c r="BH148" s="81"/>
      <c r="BI148" s="81"/>
      <c r="BJ148" s="81"/>
      <c r="BK148" s="81"/>
      <c r="BL148" s="66"/>
      <c r="BM148" s="66"/>
      <c r="BN148" s="66"/>
      <c r="BO148" s="66" t="str">
        <f>PROPER(TEXT(Prog_236[[#This Row],[PROGRAMAÇÃO CLIENTE]],"mmm"))</f>
        <v>Jan</v>
      </c>
      <c r="BP148" s="66">
        <f>YEAR(Prog_236[[#This Row],[PROGRAMAÇÃO CLIENTE]])</f>
        <v>1900</v>
      </c>
    </row>
    <row r="149" spans="1:68" x14ac:dyDescent="0.25">
      <c r="A149" s="200">
        <f>Prog_236[[#This Row],[CONTEINER]]</f>
        <v>0</v>
      </c>
      <c r="B149" s="86"/>
      <c r="C1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" s="44"/>
      <c r="E149" s="66"/>
      <c r="F149" s="66"/>
      <c r="G149" s="66"/>
      <c r="H149" s="44"/>
      <c r="I149" s="44"/>
      <c r="J149" s="66"/>
      <c r="K149" s="66"/>
      <c r="L149" s="66"/>
      <c r="M149" s="66"/>
      <c r="N149" s="66">
        <f>SUM(Prog_236[[#This Row],[TARA]]+Prog_236[[#This Row],[PESO]])</f>
        <v>0</v>
      </c>
      <c r="O149" s="44"/>
      <c r="P149" s="66"/>
      <c r="Q149" s="66"/>
      <c r="R149" s="66"/>
      <c r="S149" s="66"/>
      <c r="T149" s="138" t="str">
        <f>IFERROR(LOOKUP($S149,MOTORISTAS!$D$3:$D$1048576,MOTORISTAS!E$3:$E$1048576),"")</f>
        <v/>
      </c>
      <c r="U149" s="138" t="str">
        <f>IFERROR(LOOKUP($S149,MOTORISTAS!$D$3:$D$1048576,MOTORISTAS!F$3:$F$1048576),"")</f>
        <v/>
      </c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44"/>
      <c r="AG149" s="254">
        <f>Prog_236[[#This Row],[SAÍDA DO CLIENTE]]-Prog_236[[#This Row],[PROGRAMAÇÃO CLIENTE]]</f>
        <v>0</v>
      </c>
      <c r="AH149" s="44"/>
      <c r="AI149" s="66"/>
      <c r="AJ149" s="66"/>
      <c r="AK149" s="66"/>
      <c r="AL149" s="66"/>
      <c r="AM149" s="66"/>
      <c r="AN149" s="83"/>
      <c r="AO149" s="66"/>
      <c r="AP149" s="66"/>
      <c r="AQ149" s="66"/>
      <c r="AR149" s="81"/>
      <c r="AS149" s="81"/>
      <c r="AT149" s="81"/>
      <c r="AU149" s="81"/>
      <c r="AV149" s="83">
        <f>SUM(Prog_236[[#This Row],[ADIANTAMENTO]]+Prog_236[[#This Row],[SALDO]]+Prog_236[[#This Row],[MARGEM]]+Prog_236[[#This Row],[ESTADIA 1]])</f>
        <v>0</v>
      </c>
      <c r="AW1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" s="81"/>
      <c r="AY149" s="81"/>
      <c r="AZ149" s="81">
        <f>Prog_236[[#This Row],[VLR NF]]*0.1%</f>
        <v>0</v>
      </c>
      <c r="BA149" s="81">
        <f>Prog_236[[#This Row],[VLR NF]]*0.05%</f>
        <v>0</v>
      </c>
      <c r="BB149" s="81"/>
      <c r="BC149" s="81"/>
      <c r="BD149" s="81"/>
      <c r="BE149" s="81"/>
      <c r="BF149" s="81"/>
      <c r="BG149" s="81"/>
      <c r="BH149" s="81"/>
      <c r="BI149" s="81"/>
      <c r="BJ149" s="81"/>
      <c r="BK149" s="81"/>
      <c r="BL149" s="66"/>
      <c r="BM149" s="66"/>
      <c r="BN149" s="66"/>
      <c r="BO149" s="66" t="str">
        <f>PROPER(TEXT(Prog_236[[#This Row],[PROGRAMAÇÃO CLIENTE]],"mmm"))</f>
        <v>Jan</v>
      </c>
      <c r="BP149" s="66">
        <f>YEAR(Prog_236[[#This Row],[PROGRAMAÇÃO CLIENTE]])</f>
        <v>1900</v>
      </c>
    </row>
    <row r="150" spans="1:68" x14ac:dyDescent="0.25">
      <c r="A150" s="201">
        <f>Prog_236[[#This Row],[CONTEINER]]</f>
        <v>0</v>
      </c>
      <c r="B150" s="86"/>
      <c r="C1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" s="44"/>
      <c r="E150" s="66"/>
      <c r="F150" s="66"/>
      <c r="G150" s="66"/>
      <c r="H150" s="44"/>
      <c r="I150" s="44"/>
      <c r="J150" s="66"/>
      <c r="K150" s="66"/>
      <c r="L150" s="66"/>
      <c r="M150" s="66"/>
      <c r="N150" s="66">
        <f>SUM(Prog_236[[#This Row],[TARA]]+Prog_236[[#This Row],[PESO]])</f>
        <v>0</v>
      </c>
      <c r="O150" s="44"/>
      <c r="P150" s="66"/>
      <c r="Q150" s="66"/>
      <c r="R150" s="66"/>
      <c r="S150" s="66"/>
      <c r="T150" s="138" t="str">
        <f>IFERROR(LOOKUP($S150,MOTORISTAS!$D$3:$D$1048576,MOTORISTAS!E$3:$E$1048576),"")</f>
        <v/>
      </c>
      <c r="U150" s="138" t="str">
        <f>IFERROR(LOOKUP($S150,MOTORISTAS!$D$3:$D$1048576,MOTORISTAS!F$3:$F$1048576),"")</f>
        <v/>
      </c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44"/>
      <c r="AG150" s="254">
        <f>Prog_236[[#This Row],[SAÍDA DO CLIENTE]]-Prog_236[[#This Row],[PROGRAMAÇÃO CLIENTE]]</f>
        <v>0</v>
      </c>
      <c r="AH150" s="44"/>
      <c r="AI150" s="66"/>
      <c r="AJ150" s="66"/>
      <c r="AK150" s="66"/>
      <c r="AL150" s="66"/>
      <c r="AM150" s="66"/>
      <c r="AN150" s="83"/>
      <c r="AO150" s="66"/>
      <c r="AP150" s="66"/>
      <c r="AQ150" s="66"/>
      <c r="AR150" s="81"/>
      <c r="AS150" s="81"/>
      <c r="AT150" s="81"/>
      <c r="AU150" s="81"/>
      <c r="AV150" s="83">
        <f>SUM(Prog_236[[#This Row],[ADIANTAMENTO]]+Prog_236[[#This Row],[SALDO]]+Prog_236[[#This Row],[MARGEM]]+Prog_236[[#This Row],[ESTADIA 1]])</f>
        <v>0</v>
      </c>
      <c r="AW1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" s="81"/>
      <c r="AY150" s="81"/>
      <c r="AZ150" s="81">
        <f>Prog_236[[#This Row],[VLR NF]]*0.1%</f>
        <v>0</v>
      </c>
      <c r="BA150" s="81">
        <f>Prog_236[[#This Row],[VLR NF]]*0.05%</f>
        <v>0</v>
      </c>
      <c r="BB150" s="81"/>
      <c r="BC150" s="81"/>
      <c r="BD150" s="81"/>
      <c r="BE150" s="81"/>
      <c r="BF150" s="81"/>
      <c r="BG150" s="81"/>
      <c r="BH150" s="81"/>
      <c r="BI150" s="81"/>
      <c r="BJ150" s="81"/>
      <c r="BK150" s="81"/>
      <c r="BL150" s="66"/>
      <c r="BM150" s="66"/>
      <c r="BN150" s="66"/>
      <c r="BO150" s="66" t="str">
        <f>PROPER(TEXT(Prog_236[[#This Row],[PROGRAMAÇÃO CLIENTE]],"mmm"))</f>
        <v>Jan</v>
      </c>
      <c r="BP150" s="66">
        <f>YEAR(Prog_236[[#This Row],[PROGRAMAÇÃO CLIENTE]])</f>
        <v>1900</v>
      </c>
    </row>
    <row r="151" spans="1:68" x14ac:dyDescent="0.25">
      <c r="A151" s="200">
        <f>Prog_236[[#This Row],[CONTEINER]]</f>
        <v>0</v>
      </c>
      <c r="B151" s="86"/>
      <c r="C1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" s="44"/>
      <c r="E151" s="66"/>
      <c r="F151" s="66"/>
      <c r="G151" s="66"/>
      <c r="H151" s="44"/>
      <c r="I151" s="44"/>
      <c r="J151" s="66"/>
      <c r="K151" s="66"/>
      <c r="L151" s="66"/>
      <c r="M151" s="66"/>
      <c r="N151" s="66">
        <f>SUM(Prog_236[[#This Row],[TARA]]+Prog_236[[#This Row],[PESO]])</f>
        <v>0</v>
      </c>
      <c r="O151" s="44"/>
      <c r="P151" s="66"/>
      <c r="Q151" s="66"/>
      <c r="R151" s="66"/>
      <c r="S151" s="66"/>
      <c r="T151" s="138" t="str">
        <f>IFERROR(LOOKUP($S151,MOTORISTAS!$D$3:$D$1048576,MOTORISTAS!E$3:$E$1048576),"")</f>
        <v/>
      </c>
      <c r="U151" s="138" t="str">
        <f>IFERROR(LOOKUP($S151,MOTORISTAS!$D$3:$D$1048576,MOTORISTAS!F$3:$F$1048576),"")</f>
        <v/>
      </c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44"/>
      <c r="AG151" s="254">
        <f>Prog_236[[#This Row],[SAÍDA DO CLIENTE]]-Prog_236[[#This Row],[PROGRAMAÇÃO CLIENTE]]</f>
        <v>0</v>
      </c>
      <c r="AH151" s="44"/>
      <c r="AI151" s="66"/>
      <c r="AJ151" s="66"/>
      <c r="AK151" s="66"/>
      <c r="AL151" s="66"/>
      <c r="AM151" s="66"/>
      <c r="AN151" s="83"/>
      <c r="AO151" s="66"/>
      <c r="AP151" s="66"/>
      <c r="AQ151" s="66"/>
      <c r="AR151" s="81"/>
      <c r="AS151" s="81"/>
      <c r="AT151" s="81"/>
      <c r="AU151" s="81"/>
      <c r="AV151" s="83">
        <f>SUM(Prog_236[[#This Row],[ADIANTAMENTO]]+Prog_236[[#This Row],[SALDO]]+Prog_236[[#This Row],[MARGEM]]+Prog_236[[#This Row],[ESTADIA 1]])</f>
        <v>0</v>
      </c>
      <c r="AW1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" s="81"/>
      <c r="AY151" s="81"/>
      <c r="AZ151" s="81">
        <f>Prog_236[[#This Row],[VLR NF]]*0.1%</f>
        <v>0</v>
      </c>
      <c r="BA151" s="81">
        <f>Prog_236[[#This Row],[VLR NF]]*0.05%</f>
        <v>0</v>
      </c>
      <c r="BB151" s="81"/>
      <c r="BC151" s="81"/>
      <c r="BD151" s="81"/>
      <c r="BE151" s="81"/>
      <c r="BF151" s="81"/>
      <c r="BG151" s="81"/>
      <c r="BH151" s="81"/>
      <c r="BI151" s="81"/>
      <c r="BJ151" s="81"/>
      <c r="BK151" s="81"/>
      <c r="BL151" s="66"/>
      <c r="BM151" s="66"/>
      <c r="BN151" s="66"/>
      <c r="BO151" s="66" t="str">
        <f>PROPER(TEXT(Prog_236[[#This Row],[PROGRAMAÇÃO CLIENTE]],"mmm"))</f>
        <v>Jan</v>
      </c>
      <c r="BP151" s="66">
        <f>YEAR(Prog_236[[#This Row],[PROGRAMAÇÃO CLIENTE]])</f>
        <v>1900</v>
      </c>
    </row>
    <row r="152" spans="1:68" x14ac:dyDescent="0.25">
      <c r="A152" s="201">
        <f>Prog_236[[#This Row],[CONTEINER]]</f>
        <v>0</v>
      </c>
      <c r="B152" s="86"/>
      <c r="C1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" s="44"/>
      <c r="E152" s="66"/>
      <c r="F152" s="66"/>
      <c r="G152" s="66"/>
      <c r="H152" s="44"/>
      <c r="I152" s="44"/>
      <c r="J152" s="66"/>
      <c r="K152" s="66"/>
      <c r="L152" s="66"/>
      <c r="M152" s="66"/>
      <c r="N152" s="66">
        <f>SUM(Prog_236[[#This Row],[TARA]]+Prog_236[[#This Row],[PESO]])</f>
        <v>0</v>
      </c>
      <c r="O152" s="44"/>
      <c r="P152" s="66"/>
      <c r="Q152" s="66"/>
      <c r="R152" s="66"/>
      <c r="S152" s="66"/>
      <c r="T152" s="138" t="str">
        <f>IFERROR(LOOKUP($S152,MOTORISTAS!$D$3:$D$1048576,MOTORISTAS!E$3:$E$1048576),"")</f>
        <v/>
      </c>
      <c r="U152" s="138" t="str">
        <f>IFERROR(LOOKUP($S152,MOTORISTAS!$D$3:$D$1048576,MOTORISTAS!F$3:$F$1048576),"")</f>
        <v/>
      </c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44"/>
      <c r="AG152" s="254">
        <f>Prog_236[[#This Row],[SAÍDA DO CLIENTE]]-Prog_236[[#This Row],[PROGRAMAÇÃO CLIENTE]]</f>
        <v>0</v>
      </c>
      <c r="AH152" s="44"/>
      <c r="AI152" s="66"/>
      <c r="AJ152" s="66"/>
      <c r="AK152" s="66"/>
      <c r="AL152" s="66"/>
      <c r="AM152" s="66"/>
      <c r="AN152" s="83"/>
      <c r="AO152" s="66"/>
      <c r="AP152" s="66"/>
      <c r="AQ152" s="66"/>
      <c r="AR152" s="81"/>
      <c r="AS152" s="81"/>
      <c r="AT152" s="81"/>
      <c r="AU152" s="81"/>
      <c r="AV152" s="83">
        <f>SUM(Prog_236[[#This Row],[ADIANTAMENTO]]+Prog_236[[#This Row],[SALDO]]+Prog_236[[#This Row],[MARGEM]]+Prog_236[[#This Row],[ESTADIA 1]])</f>
        <v>0</v>
      </c>
      <c r="AW1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" s="81"/>
      <c r="AY152" s="81"/>
      <c r="AZ152" s="81">
        <f>Prog_236[[#This Row],[VLR NF]]*0.1%</f>
        <v>0</v>
      </c>
      <c r="BA152" s="81">
        <f>Prog_236[[#This Row],[VLR NF]]*0.05%</f>
        <v>0</v>
      </c>
      <c r="BB152" s="81"/>
      <c r="BC152" s="81"/>
      <c r="BD152" s="81"/>
      <c r="BE152" s="81"/>
      <c r="BF152" s="81"/>
      <c r="BG152" s="81"/>
      <c r="BH152" s="81"/>
      <c r="BI152" s="81"/>
      <c r="BJ152" s="81"/>
      <c r="BK152" s="81"/>
      <c r="BL152" s="66"/>
      <c r="BM152" s="66"/>
      <c r="BN152" s="66"/>
      <c r="BO152" s="66" t="str">
        <f>PROPER(TEXT(Prog_236[[#This Row],[PROGRAMAÇÃO CLIENTE]],"mmm"))</f>
        <v>Jan</v>
      </c>
      <c r="BP152" s="66">
        <f>YEAR(Prog_236[[#This Row],[PROGRAMAÇÃO CLIENTE]])</f>
        <v>1900</v>
      </c>
    </row>
    <row r="153" spans="1:68" x14ac:dyDescent="0.25">
      <c r="A153" s="200">
        <f>Prog_236[[#This Row],[CONTEINER]]</f>
        <v>0</v>
      </c>
      <c r="B153" s="86"/>
      <c r="C1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" s="44"/>
      <c r="E153" s="66"/>
      <c r="F153" s="66"/>
      <c r="G153" s="66"/>
      <c r="H153" s="44"/>
      <c r="I153" s="44"/>
      <c r="J153" s="66"/>
      <c r="K153" s="66"/>
      <c r="L153" s="66"/>
      <c r="M153" s="66"/>
      <c r="N153" s="66">
        <f>SUM(Prog_236[[#This Row],[TARA]]+Prog_236[[#This Row],[PESO]])</f>
        <v>0</v>
      </c>
      <c r="O153" s="44"/>
      <c r="P153" s="66"/>
      <c r="Q153" s="66"/>
      <c r="R153" s="66"/>
      <c r="S153" s="66"/>
      <c r="T153" s="138" t="str">
        <f>IFERROR(LOOKUP($S153,MOTORISTAS!$D$3:$D$1048576,MOTORISTAS!E$3:$E$1048576),"")</f>
        <v/>
      </c>
      <c r="U153" s="138" t="str">
        <f>IFERROR(LOOKUP($S153,MOTORISTAS!$D$3:$D$1048576,MOTORISTAS!F$3:$F$1048576),"")</f>
        <v/>
      </c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44"/>
      <c r="AG153" s="254">
        <f>Prog_236[[#This Row],[SAÍDA DO CLIENTE]]-Prog_236[[#This Row],[PROGRAMAÇÃO CLIENTE]]</f>
        <v>0</v>
      </c>
      <c r="AH153" s="44"/>
      <c r="AI153" s="66"/>
      <c r="AJ153" s="66"/>
      <c r="AK153" s="66"/>
      <c r="AL153" s="66"/>
      <c r="AM153" s="66"/>
      <c r="AN153" s="83"/>
      <c r="AO153" s="66"/>
      <c r="AP153" s="66"/>
      <c r="AQ153" s="66"/>
      <c r="AR153" s="81"/>
      <c r="AS153" s="81"/>
      <c r="AT153" s="81"/>
      <c r="AU153" s="81"/>
      <c r="AV153" s="83">
        <f>SUM(Prog_236[[#This Row],[ADIANTAMENTO]]+Prog_236[[#This Row],[SALDO]]+Prog_236[[#This Row],[MARGEM]]+Prog_236[[#This Row],[ESTADIA 1]])</f>
        <v>0</v>
      </c>
      <c r="AW1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" s="81"/>
      <c r="AY153" s="81"/>
      <c r="AZ153" s="81">
        <f>Prog_236[[#This Row],[VLR NF]]*0.1%</f>
        <v>0</v>
      </c>
      <c r="BA153" s="81">
        <f>Prog_236[[#This Row],[VLR NF]]*0.05%</f>
        <v>0</v>
      </c>
      <c r="BB153" s="81"/>
      <c r="BC153" s="81"/>
      <c r="BD153" s="81"/>
      <c r="BE153" s="81"/>
      <c r="BF153" s="81"/>
      <c r="BG153" s="81"/>
      <c r="BH153" s="81"/>
      <c r="BI153" s="81"/>
      <c r="BJ153" s="81"/>
      <c r="BK153" s="81"/>
      <c r="BL153" s="66"/>
      <c r="BM153" s="66"/>
      <c r="BN153" s="66"/>
      <c r="BO153" s="66" t="str">
        <f>PROPER(TEXT(Prog_236[[#This Row],[PROGRAMAÇÃO CLIENTE]],"mmm"))</f>
        <v>Jan</v>
      </c>
      <c r="BP153" s="66">
        <f>YEAR(Prog_236[[#This Row],[PROGRAMAÇÃO CLIENTE]])</f>
        <v>1900</v>
      </c>
    </row>
    <row r="154" spans="1:68" x14ac:dyDescent="0.25">
      <c r="A154" s="201">
        <f>Prog_236[[#This Row],[CONTEINER]]</f>
        <v>0</v>
      </c>
      <c r="B154" s="86"/>
      <c r="C1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" s="44"/>
      <c r="E154" s="66"/>
      <c r="F154" s="66"/>
      <c r="G154" s="66"/>
      <c r="H154" s="44"/>
      <c r="I154" s="44"/>
      <c r="J154" s="66"/>
      <c r="K154" s="66"/>
      <c r="L154" s="66"/>
      <c r="M154" s="66"/>
      <c r="N154" s="66">
        <f>SUM(Prog_236[[#This Row],[TARA]]+Prog_236[[#This Row],[PESO]])</f>
        <v>0</v>
      </c>
      <c r="O154" s="44"/>
      <c r="P154" s="66"/>
      <c r="Q154" s="66"/>
      <c r="R154" s="66"/>
      <c r="S154" s="66"/>
      <c r="T154" s="138" t="str">
        <f>IFERROR(LOOKUP($S154,MOTORISTAS!$D$3:$D$1048576,MOTORISTAS!E$3:$E$1048576),"")</f>
        <v/>
      </c>
      <c r="U154" s="138" t="str">
        <f>IFERROR(LOOKUP($S154,MOTORISTAS!$D$3:$D$1048576,MOTORISTAS!F$3:$F$1048576),"")</f>
        <v/>
      </c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44"/>
      <c r="AG154" s="254">
        <f>Prog_236[[#This Row],[SAÍDA DO CLIENTE]]-Prog_236[[#This Row],[PROGRAMAÇÃO CLIENTE]]</f>
        <v>0</v>
      </c>
      <c r="AH154" s="44"/>
      <c r="AI154" s="66"/>
      <c r="AJ154" s="66"/>
      <c r="AK154" s="66"/>
      <c r="AL154" s="66"/>
      <c r="AM154" s="66"/>
      <c r="AN154" s="83"/>
      <c r="AO154" s="66"/>
      <c r="AP154" s="66"/>
      <c r="AQ154" s="66"/>
      <c r="AR154" s="81"/>
      <c r="AS154" s="81"/>
      <c r="AT154" s="81"/>
      <c r="AU154" s="81"/>
      <c r="AV154" s="83">
        <f>SUM(Prog_236[[#This Row],[ADIANTAMENTO]]+Prog_236[[#This Row],[SALDO]]+Prog_236[[#This Row],[MARGEM]]+Prog_236[[#This Row],[ESTADIA 1]])</f>
        <v>0</v>
      </c>
      <c r="AW1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" s="81"/>
      <c r="AY154" s="81"/>
      <c r="AZ154" s="81">
        <f>Prog_236[[#This Row],[VLR NF]]*0.1%</f>
        <v>0</v>
      </c>
      <c r="BA154" s="81">
        <f>Prog_236[[#This Row],[VLR NF]]*0.05%</f>
        <v>0</v>
      </c>
      <c r="BB154" s="81"/>
      <c r="BC154" s="81"/>
      <c r="BD154" s="81"/>
      <c r="BE154" s="81"/>
      <c r="BF154" s="81"/>
      <c r="BG154" s="81"/>
      <c r="BH154" s="81"/>
      <c r="BI154" s="81"/>
      <c r="BJ154" s="81"/>
      <c r="BK154" s="81"/>
      <c r="BL154" s="66"/>
      <c r="BM154" s="66"/>
      <c r="BN154" s="66"/>
      <c r="BO154" s="66" t="str">
        <f>PROPER(TEXT(Prog_236[[#This Row],[PROGRAMAÇÃO CLIENTE]],"mmm"))</f>
        <v>Jan</v>
      </c>
      <c r="BP154" s="66">
        <f>YEAR(Prog_236[[#This Row],[PROGRAMAÇÃO CLIENTE]])</f>
        <v>1900</v>
      </c>
    </row>
    <row r="155" spans="1:68" x14ac:dyDescent="0.25">
      <c r="A155" s="200">
        <f>Prog_236[[#This Row],[CONTEINER]]</f>
        <v>0</v>
      </c>
      <c r="B155" s="86"/>
      <c r="C1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" s="44"/>
      <c r="E155" s="66"/>
      <c r="F155" s="66"/>
      <c r="G155" s="66"/>
      <c r="H155" s="44"/>
      <c r="I155" s="44"/>
      <c r="J155" s="66"/>
      <c r="K155" s="66"/>
      <c r="L155" s="66"/>
      <c r="M155" s="66"/>
      <c r="N155" s="66">
        <f>SUM(Prog_236[[#This Row],[TARA]]+Prog_236[[#This Row],[PESO]])</f>
        <v>0</v>
      </c>
      <c r="O155" s="44"/>
      <c r="P155" s="66"/>
      <c r="Q155" s="66"/>
      <c r="R155" s="66"/>
      <c r="S155" s="66"/>
      <c r="T155" s="138" t="str">
        <f>IFERROR(LOOKUP($S155,MOTORISTAS!$D$3:$D$1048576,MOTORISTAS!E$3:$E$1048576),"")</f>
        <v/>
      </c>
      <c r="U155" s="138" t="str">
        <f>IFERROR(LOOKUP($S155,MOTORISTAS!$D$3:$D$1048576,MOTORISTAS!F$3:$F$1048576),"")</f>
        <v/>
      </c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44"/>
      <c r="AG155" s="254">
        <f>Prog_236[[#This Row],[SAÍDA DO CLIENTE]]-Prog_236[[#This Row],[PROGRAMAÇÃO CLIENTE]]</f>
        <v>0</v>
      </c>
      <c r="AH155" s="44"/>
      <c r="AI155" s="66"/>
      <c r="AJ155" s="66"/>
      <c r="AK155" s="66"/>
      <c r="AL155" s="66"/>
      <c r="AM155" s="66"/>
      <c r="AN155" s="83"/>
      <c r="AO155" s="66"/>
      <c r="AP155" s="66"/>
      <c r="AQ155" s="66"/>
      <c r="AR155" s="81"/>
      <c r="AS155" s="81"/>
      <c r="AT155" s="81"/>
      <c r="AU155" s="81"/>
      <c r="AV155" s="83">
        <f>SUM(Prog_236[[#This Row],[ADIANTAMENTO]]+Prog_236[[#This Row],[SALDO]]+Prog_236[[#This Row],[MARGEM]]+Prog_236[[#This Row],[ESTADIA 1]])</f>
        <v>0</v>
      </c>
      <c r="AW1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" s="81"/>
      <c r="AY155" s="81"/>
      <c r="AZ155" s="81">
        <f>Prog_236[[#This Row],[VLR NF]]*0.1%</f>
        <v>0</v>
      </c>
      <c r="BA155" s="81">
        <f>Prog_236[[#This Row],[VLR NF]]*0.05%</f>
        <v>0</v>
      </c>
      <c r="BB155" s="81"/>
      <c r="BC155" s="81"/>
      <c r="BD155" s="81"/>
      <c r="BE155" s="81"/>
      <c r="BF155" s="81"/>
      <c r="BG155" s="81"/>
      <c r="BH155" s="81"/>
      <c r="BI155" s="81"/>
      <c r="BJ155" s="81"/>
      <c r="BK155" s="81"/>
      <c r="BL155" s="66"/>
      <c r="BM155" s="66"/>
      <c r="BN155" s="66"/>
      <c r="BO155" s="66" t="str">
        <f>PROPER(TEXT(Prog_236[[#This Row],[PROGRAMAÇÃO CLIENTE]],"mmm"))</f>
        <v>Jan</v>
      </c>
      <c r="BP155" s="66">
        <f>YEAR(Prog_236[[#This Row],[PROGRAMAÇÃO CLIENTE]])</f>
        <v>1900</v>
      </c>
    </row>
    <row r="156" spans="1:68" x14ac:dyDescent="0.25">
      <c r="A156" s="201">
        <f>Prog_236[[#This Row],[CONTEINER]]</f>
        <v>0</v>
      </c>
      <c r="B156" s="86"/>
      <c r="C1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" s="44"/>
      <c r="E156" s="66"/>
      <c r="F156" s="66"/>
      <c r="G156" s="66"/>
      <c r="H156" s="44"/>
      <c r="I156" s="44"/>
      <c r="J156" s="66"/>
      <c r="K156" s="66"/>
      <c r="L156" s="66"/>
      <c r="M156" s="66"/>
      <c r="N156" s="66">
        <f>SUM(Prog_236[[#This Row],[TARA]]+Prog_236[[#This Row],[PESO]])</f>
        <v>0</v>
      </c>
      <c r="O156" s="44"/>
      <c r="P156" s="66"/>
      <c r="Q156" s="66"/>
      <c r="R156" s="66"/>
      <c r="S156" s="66"/>
      <c r="T156" s="138" t="str">
        <f>IFERROR(LOOKUP($S156,MOTORISTAS!$D$3:$D$1048576,MOTORISTAS!E$3:$E$1048576),"")</f>
        <v/>
      </c>
      <c r="U156" s="138" t="str">
        <f>IFERROR(LOOKUP($S156,MOTORISTAS!$D$3:$D$1048576,MOTORISTAS!F$3:$F$1048576),"")</f>
        <v/>
      </c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44"/>
      <c r="AG156" s="254">
        <f>Prog_236[[#This Row],[SAÍDA DO CLIENTE]]-Prog_236[[#This Row],[PROGRAMAÇÃO CLIENTE]]</f>
        <v>0</v>
      </c>
      <c r="AH156" s="44"/>
      <c r="AI156" s="66"/>
      <c r="AJ156" s="66"/>
      <c r="AK156" s="66"/>
      <c r="AL156" s="66"/>
      <c r="AM156" s="66"/>
      <c r="AN156" s="83"/>
      <c r="AO156" s="66"/>
      <c r="AP156" s="66"/>
      <c r="AQ156" s="66"/>
      <c r="AR156" s="81"/>
      <c r="AS156" s="81"/>
      <c r="AT156" s="81"/>
      <c r="AU156" s="81"/>
      <c r="AV156" s="83">
        <f>SUM(Prog_236[[#This Row],[ADIANTAMENTO]]+Prog_236[[#This Row],[SALDO]]+Prog_236[[#This Row],[MARGEM]]+Prog_236[[#This Row],[ESTADIA 1]])</f>
        <v>0</v>
      </c>
      <c r="AW1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" s="81"/>
      <c r="AY156" s="81"/>
      <c r="AZ156" s="81">
        <f>Prog_236[[#This Row],[VLR NF]]*0.1%</f>
        <v>0</v>
      </c>
      <c r="BA156" s="81">
        <f>Prog_236[[#This Row],[VLR NF]]*0.05%</f>
        <v>0</v>
      </c>
      <c r="BB156" s="81"/>
      <c r="BC156" s="81"/>
      <c r="BD156" s="81"/>
      <c r="BE156" s="81"/>
      <c r="BF156" s="81"/>
      <c r="BG156" s="81"/>
      <c r="BH156" s="81"/>
      <c r="BI156" s="81"/>
      <c r="BJ156" s="81"/>
      <c r="BK156" s="81"/>
      <c r="BL156" s="66"/>
      <c r="BM156" s="66"/>
      <c r="BN156" s="66"/>
      <c r="BO156" s="66" t="str">
        <f>PROPER(TEXT(Prog_236[[#This Row],[PROGRAMAÇÃO CLIENTE]],"mmm"))</f>
        <v>Jan</v>
      </c>
      <c r="BP156" s="66">
        <f>YEAR(Prog_236[[#This Row],[PROGRAMAÇÃO CLIENTE]])</f>
        <v>1900</v>
      </c>
    </row>
    <row r="157" spans="1:68" x14ac:dyDescent="0.25">
      <c r="A157" s="200">
        <f>Prog_236[[#This Row],[CONTEINER]]</f>
        <v>0</v>
      </c>
      <c r="B157" s="86"/>
      <c r="C1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" s="44"/>
      <c r="E157" s="66"/>
      <c r="F157" s="66"/>
      <c r="G157" s="66"/>
      <c r="H157" s="44"/>
      <c r="I157" s="44"/>
      <c r="J157" s="66"/>
      <c r="K157" s="66"/>
      <c r="L157" s="66"/>
      <c r="M157" s="66"/>
      <c r="N157" s="66">
        <f>SUM(Prog_236[[#This Row],[TARA]]+Prog_236[[#This Row],[PESO]])</f>
        <v>0</v>
      </c>
      <c r="O157" s="44"/>
      <c r="P157" s="66"/>
      <c r="Q157" s="66"/>
      <c r="R157" s="66"/>
      <c r="S157" s="66"/>
      <c r="T157" s="138" t="str">
        <f>IFERROR(LOOKUP($S157,MOTORISTAS!$D$3:$D$1048576,MOTORISTAS!E$3:$E$1048576),"")</f>
        <v/>
      </c>
      <c r="U157" s="138" t="str">
        <f>IFERROR(LOOKUP($S157,MOTORISTAS!$D$3:$D$1048576,MOTORISTAS!F$3:$F$1048576),"")</f>
        <v/>
      </c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44"/>
      <c r="AG157" s="254">
        <f>Prog_236[[#This Row],[SAÍDA DO CLIENTE]]-Prog_236[[#This Row],[PROGRAMAÇÃO CLIENTE]]</f>
        <v>0</v>
      </c>
      <c r="AH157" s="44"/>
      <c r="AI157" s="66"/>
      <c r="AJ157" s="66"/>
      <c r="AK157" s="66"/>
      <c r="AL157" s="66"/>
      <c r="AM157" s="66"/>
      <c r="AN157" s="83"/>
      <c r="AO157" s="66"/>
      <c r="AP157" s="66"/>
      <c r="AQ157" s="66"/>
      <c r="AR157" s="81"/>
      <c r="AS157" s="81"/>
      <c r="AT157" s="81"/>
      <c r="AU157" s="81"/>
      <c r="AV157" s="83">
        <f>SUM(Prog_236[[#This Row],[ADIANTAMENTO]]+Prog_236[[#This Row],[SALDO]]+Prog_236[[#This Row],[MARGEM]]+Prog_236[[#This Row],[ESTADIA 1]])</f>
        <v>0</v>
      </c>
      <c r="AW1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" s="81"/>
      <c r="AY157" s="81"/>
      <c r="AZ157" s="81">
        <f>Prog_236[[#This Row],[VLR NF]]*0.1%</f>
        <v>0</v>
      </c>
      <c r="BA157" s="81">
        <f>Prog_236[[#This Row],[VLR NF]]*0.05%</f>
        <v>0</v>
      </c>
      <c r="BB157" s="81"/>
      <c r="BC157" s="81"/>
      <c r="BD157" s="81"/>
      <c r="BE157" s="81"/>
      <c r="BF157" s="81"/>
      <c r="BG157" s="81"/>
      <c r="BH157" s="81"/>
      <c r="BI157" s="81"/>
      <c r="BJ157" s="81"/>
      <c r="BK157" s="81"/>
      <c r="BL157" s="66"/>
      <c r="BM157" s="66"/>
      <c r="BN157" s="66"/>
      <c r="BO157" s="66" t="str">
        <f>PROPER(TEXT(Prog_236[[#This Row],[PROGRAMAÇÃO CLIENTE]],"mmm"))</f>
        <v>Jan</v>
      </c>
      <c r="BP157" s="66">
        <f>YEAR(Prog_236[[#This Row],[PROGRAMAÇÃO CLIENTE]])</f>
        <v>1900</v>
      </c>
    </row>
    <row r="158" spans="1:68" x14ac:dyDescent="0.25">
      <c r="A158" s="201">
        <f>Prog_236[[#This Row],[CONTEINER]]</f>
        <v>0</v>
      </c>
      <c r="B158" s="86"/>
      <c r="C1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8" s="44"/>
      <c r="E158" s="66"/>
      <c r="F158" s="66"/>
      <c r="G158" s="66"/>
      <c r="H158" s="44"/>
      <c r="I158" s="44"/>
      <c r="J158" s="66"/>
      <c r="K158" s="66"/>
      <c r="L158" s="66"/>
      <c r="M158" s="66"/>
      <c r="N158" s="66">
        <f>SUM(Prog_236[[#This Row],[TARA]]+Prog_236[[#This Row],[PESO]])</f>
        <v>0</v>
      </c>
      <c r="O158" s="44"/>
      <c r="P158" s="66"/>
      <c r="Q158" s="66"/>
      <c r="R158" s="66"/>
      <c r="S158" s="66"/>
      <c r="T158" s="138" t="str">
        <f>IFERROR(LOOKUP($S158,MOTORISTAS!$D$3:$D$1048576,MOTORISTAS!E$3:$E$1048576),"")</f>
        <v/>
      </c>
      <c r="U158" s="138" t="str">
        <f>IFERROR(LOOKUP($S158,MOTORISTAS!$D$3:$D$1048576,MOTORISTAS!F$3:$F$1048576),"")</f>
        <v/>
      </c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44"/>
      <c r="AG158" s="254">
        <f>Prog_236[[#This Row],[SAÍDA DO CLIENTE]]-Prog_236[[#This Row],[PROGRAMAÇÃO CLIENTE]]</f>
        <v>0</v>
      </c>
      <c r="AH158" s="44"/>
      <c r="AI158" s="66"/>
      <c r="AJ158" s="66"/>
      <c r="AK158" s="66"/>
      <c r="AL158" s="66"/>
      <c r="AM158" s="66"/>
      <c r="AN158" s="83"/>
      <c r="AO158" s="66"/>
      <c r="AP158" s="66"/>
      <c r="AQ158" s="66"/>
      <c r="AR158" s="81"/>
      <c r="AS158" s="81"/>
      <c r="AT158" s="81"/>
      <c r="AU158" s="81"/>
      <c r="AV158" s="83">
        <f>SUM(Prog_236[[#This Row],[ADIANTAMENTO]]+Prog_236[[#This Row],[SALDO]]+Prog_236[[#This Row],[MARGEM]]+Prog_236[[#This Row],[ESTADIA 1]])</f>
        <v>0</v>
      </c>
      <c r="AW1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8" s="81"/>
      <c r="AY158" s="81"/>
      <c r="AZ158" s="81">
        <f>Prog_236[[#This Row],[VLR NF]]*0.1%</f>
        <v>0</v>
      </c>
      <c r="BA158" s="81">
        <f>Prog_236[[#This Row],[VLR NF]]*0.05%</f>
        <v>0</v>
      </c>
      <c r="BB158" s="81"/>
      <c r="BC158" s="81"/>
      <c r="BD158" s="81"/>
      <c r="BE158" s="81"/>
      <c r="BF158" s="81"/>
      <c r="BG158" s="81"/>
      <c r="BH158" s="81"/>
      <c r="BI158" s="81"/>
      <c r="BJ158" s="81"/>
      <c r="BK158" s="81"/>
      <c r="BL158" s="66"/>
      <c r="BM158" s="66"/>
      <c r="BN158" s="66"/>
      <c r="BO158" s="66" t="str">
        <f>PROPER(TEXT(Prog_236[[#This Row],[PROGRAMAÇÃO CLIENTE]],"mmm"))</f>
        <v>Jan</v>
      </c>
      <c r="BP158" s="66">
        <f>YEAR(Prog_236[[#This Row],[PROGRAMAÇÃO CLIENTE]])</f>
        <v>1900</v>
      </c>
    </row>
    <row r="159" spans="1:68" x14ac:dyDescent="0.25">
      <c r="A159" s="200">
        <f>Prog_236[[#This Row],[CONTEINER]]</f>
        <v>0</v>
      </c>
      <c r="B159" s="86"/>
      <c r="C1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9" s="44"/>
      <c r="E159" s="66"/>
      <c r="F159" s="66"/>
      <c r="G159" s="66"/>
      <c r="H159" s="44"/>
      <c r="I159" s="44"/>
      <c r="J159" s="66"/>
      <c r="K159" s="66"/>
      <c r="L159" s="66"/>
      <c r="M159" s="66"/>
      <c r="N159" s="66">
        <f>SUM(Prog_236[[#This Row],[TARA]]+Prog_236[[#This Row],[PESO]])</f>
        <v>0</v>
      </c>
      <c r="O159" s="44"/>
      <c r="P159" s="66"/>
      <c r="Q159" s="66"/>
      <c r="R159" s="66"/>
      <c r="S159" s="66"/>
      <c r="T159" s="138" t="str">
        <f>IFERROR(LOOKUP($S159,MOTORISTAS!$D$3:$D$1048576,MOTORISTAS!E$3:$E$1048576),"")</f>
        <v/>
      </c>
      <c r="U159" s="138" t="str">
        <f>IFERROR(LOOKUP($S159,MOTORISTAS!$D$3:$D$1048576,MOTORISTAS!F$3:$F$1048576),"")</f>
        <v/>
      </c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44"/>
      <c r="AG159" s="254">
        <f>Prog_236[[#This Row],[SAÍDA DO CLIENTE]]-Prog_236[[#This Row],[PROGRAMAÇÃO CLIENTE]]</f>
        <v>0</v>
      </c>
      <c r="AH159" s="44"/>
      <c r="AI159" s="66"/>
      <c r="AJ159" s="66"/>
      <c r="AK159" s="66"/>
      <c r="AL159" s="66"/>
      <c r="AM159" s="66"/>
      <c r="AN159" s="83"/>
      <c r="AO159" s="66"/>
      <c r="AP159" s="66"/>
      <c r="AQ159" s="66"/>
      <c r="AR159" s="81"/>
      <c r="AS159" s="81"/>
      <c r="AT159" s="81"/>
      <c r="AU159" s="81"/>
      <c r="AV159" s="83">
        <f>SUM(Prog_236[[#This Row],[ADIANTAMENTO]]+Prog_236[[#This Row],[SALDO]]+Prog_236[[#This Row],[MARGEM]]+Prog_236[[#This Row],[ESTADIA 1]])</f>
        <v>0</v>
      </c>
      <c r="AW1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9" s="81"/>
      <c r="AY159" s="81"/>
      <c r="AZ159" s="81">
        <f>Prog_236[[#This Row],[VLR NF]]*0.1%</f>
        <v>0</v>
      </c>
      <c r="BA159" s="81">
        <f>Prog_236[[#This Row],[VLR NF]]*0.05%</f>
        <v>0</v>
      </c>
      <c r="BB159" s="81"/>
      <c r="BC159" s="81"/>
      <c r="BD159" s="81"/>
      <c r="BE159" s="81"/>
      <c r="BF159" s="81"/>
      <c r="BG159" s="81"/>
      <c r="BH159" s="81"/>
      <c r="BI159" s="81"/>
      <c r="BJ159" s="81"/>
      <c r="BK159" s="81"/>
      <c r="BL159" s="66"/>
      <c r="BM159" s="66"/>
      <c r="BN159" s="66"/>
      <c r="BO159" s="66" t="str">
        <f>PROPER(TEXT(Prog_236[[#This Row],[PROGRAMAÇÃO CLIENTE]],"mmm"))</f>
        <v>Jan</v>
      </c>
      <c r="BP159" s="66">
        <f>YEAR(Prog_236[[#This Row],[PROGRAMAÇÃO CLIENTE]])</f>
        <v>1900</v>
      </c>
    </row>
    <row r="160" spans="1:68" x14ac:dyDescent="0.25">
      <c r="A160" s="201">
        <f>Prog_236[[#This Row],[CONTEINER]]</f>
        <v>0</v>
      </c>
      <c r="B160" s="86"/>
      <c r="C1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0" s="44"/>
      <c r="E160" s="66"/>
      <c r="F160" s="66"/>
      <c r="G160" s="66"/>
      <c r="H160" s="44"/>
      <c r="I160" s="44"/>
      <c r="J160" s="66"/>
      <c r="K160" s="66"/>
      <c r="L160" s="66"/>
      <c r="M160" s="66"/>
      <c r="N160" s="66">
        <f>SUM(Prog_236[[#This Row],[TARA]]+Prog_236[[#This Row],[PESO]])</f>
        <v>0</v>
      </c>
      <c r="O160" s="44"/>
      <c r="P160" s="66"/>
      <c r="Q160" s="66"/>
      <c r="R160" s="66"/>
      <c r="S160" s="66"/>
      <c r="T160" s="138" t="str">
        <f>IFERROR(LOOKUP($S160,MOTORISTAS!$D$3:$D$1048576,MOTORISTAS!E$3:$E$1048576),"")</f>
        <v/>
      </c>
      <c r="U160" s="138" t="str">
        <f>IFERROR(LOOKUP($S160,MOTORISTAS!$D$3:$D$1048576,MOTORISTAS!F$3:$F$1048576),"")</f>
        <v/>
      </c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44"/>
      <c r="AG160" s="254">
        <f>Prog_236[[#This Row],[SAÍDA DO CLIENTE]]-Prog_236[[#This Row],[PROGRAMAÇÃO CLIENTE]]</f>
        <v>0</v>
      </c>
      <c r="AH160" s="44"/>
      <c r="AI160" s="66"/>
      <c r="AJ160" s="66"/>
      <c r="AK160" s="66"/>
      <c r="AL160" s="66"/>
      <c r="AM160" s="66"/>
      <c r="AN160" s="83"/>
      <c r="AO160" s="66"/>
      <c r="AP160" s="66"/>
      <c r="AQ160" s="66"/>
      <c r="AR160" s="81"/>
      <c r="AS160" s="81"/>
      <c r="AT160" s="81"/>
      <c r="AU160" s="81"/>
      <c r="AV160" s="83">
        <f>SUM(Prog_236[[#This Row],[ADIANTAMENTO]]+Prog_236[[#This Row],[SALDO]]+Prog_236[[#This Row],[MARGEM]]+Prog_236[[#This Row],[ESTADIA 1]])</f>
        <v>0</v>
      </c>
      <c r="AW1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0" s="81"/>
      <c r="AY160" s="81"/>
      <c r="AZ160" s="81">
        <f>Prog_236[[#This Row],[VLR NF]]*0.1%</f>
        <v>0</v>
      </c>
      <c r="BA160" s="81">
        <f>Prog_236[[#This Row],[VLR NF]]*0.05%</f>
        <v>0</v>
      </c>
      <c r="BB160" s="81"/>
      <c r="BC160" s="81"/>
      <c r="BD160" s="81"/>
      <c r="BE160" s="81"/>
      <c r="BF160" s="81"/>
      <c r="BG160" s="81"/>
      <c r="BH160" s="81"/>
      <c r="BI160" s="81"/>
      <c r="BJ160" s="81"/>
      <c r="BK160" s="81"/>
      <c r="BL160" s="66"/>
      <c r="BM160" s="66"/>
      <c r="BN160" s="66"/>
      <c r="BO160" s="66" t="str">
        <f>PROPER(TEXT(Prog_236[[#This Row],[PROGRAMAÇÃO CLIENTE]],"mmm"))</f>
        <v>Jan</v>
      </c>
      <c r="BP160" s="66">
        <f>YEAR(Prog_236[[#This Row],[PROGRAMAÇÃO CLIENTE]])</f>
        <v>1900</v>
      </c>
    </row>
    <row r="161" spans="1:68" x14ac:dyDescent="0.25">
      <c r="A161" s="200">
        <f>Prog_236[[#This Row],[CONTEINER]]</f>
        <v>0</v>
      </c>
      <c r="B161" s="86"/>
      <c r="C1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1" s="44"/>
      <c r="E161" s="66"/>
      <c r="F161" s="66"/>
      <c r="G161" s="66"/>
      <c r="H161" s="44"/>
      <c r="I161" s="44"/>
      <c r="J161" s="66"/>
      <c r="K161" s="66"/>
      <c r="L161" s="66"/>
      <c r="M161" s="66"/>
      <c r="N161" s="66">
        <f>SUM(Prog_236[[#This Row],[TARA]]+Prog_236[[#This Row],[PESO]])</f>
        <v>0</v>
      </c>
      <c r="O161" s="44"/>
      <c r="P161" s="66"/>
      <c r="Q161" s="66"/>
      <c r="R161" s="66"/>
      <c r="S161" s="66"/>
      <c r="T161" s="138" t="str">
        <f>IFERROR(LOOKUP($S161,MOTORISTAS!$D$3:$D$1048576,MOTORISTAS!E$3:$E$1048576),"")</f>
        <v/>
      </c>
      <c r="U161" s="138" t="str">
        <f>IFERROR(LOOKUP($S161,MOTORISTAS!$D$3:$D$1048576,MOTORISTAS!F$3:$F$1048576),"")</f>
        <v/>
      </c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44"/>
      <c r="AG161" s="254">
        <f>Prog_236[[#This Row],[SAÍDA DO CLIENTE]]-Prog_236[[#This Row],[PROGRAMAÇÃO CLIENTE]]</f>
        <v>0</v>
      </c>
      <c r="AH161" s="44"/>
      <c r="AI161" s="66"/>
      <c r="AJ161" s="66"/>
      <c r="AK161" s="66"/>
      <c r="AL161" s="66"/>
      <c r="AM161" s="66"/>
      <c r="AN161" s="83"/>
      <c r="AO161" s="66"/>
      <c r="AP161" s="66"/>
      <c r="AQ161" s="66"/>
      <c r="AR161" s="81"/>
      <c r="AS161" s="81"/>
      <c r="AT161" s="81"/>
      <c r="AU161" s="81"/>
      <c r="AV161" s="83">
        <f>SUM(Prog_236[[#This Row],[ADIANTAMENTO]]+Prog_236[[#This Row],[SALDO]]+Prog_236[[#This Row],[MARGEM]]+Prog_236[[#This Row],[ESTADIA 1]])</f>
        <v>0</v>
      </c>
      <c r="AW1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1" s="81"/>
      <c r="AY161" s="81"/>
      <c r="AZ161" s="81">
        <f>Prog_236[[#This Row],[VLR NF]]*0.1%</f>
        <v>0</v>
      </c>
      <c r="BA161" s="81">
        <f>Prog_236[[#This Row],[VLR NF]]*0.05%</f>
        <v>0</v>
      </c>
      <c r="BB161" s="81"/>
      <c r="BC161" s="81"/>
      <c r="BD161" s="81"/>
      <c r="BE161" s="81"/>
      <c r="BF161" s="81"/>
      <c r="BG161" s="81"/>
      <c r="BH161" s="81"/>
      <c r="BI161" s="81"/>
      <c r="BJ161" s="81"/>
      <c r="BK161" s="81"/>
      <c r="BL161" s="66"/>
      <c r="BM161" s="66"/>
      <c r="BN161" s="66"/>
      <c r="BO161" s="66" t="str">
        <f>PROPER(TEXT(Prog_236[[#This Row],[PROGRAMAÇÃO CLIENTE]],"mmm"))</f>
        <v>Jan</v>
      </c>
      <c r="BP161" s="66">
        <f>YEAR(Prog_236[[#This Row],[PROGRAMAÇÃO CLIENTE]])</f>
        <v>1900</v>
      </c>
    </row>
    <row r="162" spans="1:68" x14ac:dyDescent="0.25">
      <c r="A162" s="201">
        <f>Prog_236[[#This Row],[CONTEINER]]</f>
        <v>0</v>
      </c>
      <c r="B162" s="86"/>
      <c r="C1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2" s="44"/>
      <c r="E162" s="66"/>
      <c r="F162" s="66"/>
      <c r="G162" s="66"/>
      <c r="H162" s="44"/>
      <c r="I162" s="44"/>
      <c r="J162" s="66"/>
      <c r="K162" s="66"/>
      <c r="L162" s="66"/>
      <c r="M162" s="66"/>
      <c r="N162" s="66">
        <f>SUM(Prog_236[[#This Row],[TARA]]+Prog_236[[#This Row],[PESO]])</f>
        <v>0</v>
      </c>
      <c r="O162" s="44"/>
      <c r="P162" s="66"/>
      <c r="Q162" s="66"/>
      <c r="R162" s="66"/>
      <c r="S162" s="66"/>
      <c r="T162" s="138" t="str">
        <f>IFERROR(LOOKUP($S162,MOTORISTAS!$D$3:$D$1048576,MOTORISTAS!E$3:$E$1048576),"")</f>
        <v/>
      </c>
      <c r="U162" s="138" t="str">
        <f>IFERROR(LOOKUP($S162,MOTORISTAS!$D$3:$D$1048576,MOTORISTAS!F$3:$F$1048576),"")</f>
        <v/>
      </c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44"/>
      <c r="AG162" s="254">
        <f>Prog_236[[#This Row],[SAÍDA DO CLIENTE]]-Prog_236[[#This Row],[PROGRAMAÇÃO CLIENTE]]</f>
        <v>0</v>
      </c>
      <c r="AH162" s="44"/>
      <c r="AI162" s="66"/>
      <c r="AJ162" s="66"/>
      <c r="AK162" s="66"/>
      <c r="AL162" s="66"/>
      <c r="AM162" s="66"/>
      <c r="AN162" s="83"/>
      <c r="AO162" s="66"/>
      <c r="AP162" s="66"/>
      <c r="AQ162" s="66"/>
      <c r="AR162" s="81"/>
      <c r="AS162" s="81"/>
      <c r="AT162" s="81"/>
      <c r="AU162" s="81"/>
      <c r="AV162" s="83">
        <f>SUM(Prog_236[[#This Row],[ADIANTAMENTO]]+Prog_236[[#This Row],[SALDO]]+Prog_236[[#This Row],[MARGEM]]+Prog_236[[#This Row],[ESTADIA 1]])</f>
        <v>0</v>
      </c>
      <c r="AW1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2" s="81"/>
      <c r="AY162" s="81"/>
      <c r="AZ162" s="81">
        <f>Prog_236[[#This Row],[VLR NF]]*0.1%</f>
        <v>0</v>
      </c>
      <c r="BA162" s="81">
        <f>Prog_236[[#This Row],[VLR NF]]*0.05%</f>
        <v>0</v>
      </c>
      <c r="BB162" s="81"/>
      <c r="BC162" s="81"/>
      <c r="BD162" s="81"/>
      <c r="BE162" s="81"/>
      <c r="BF162" s="81"/>
      <c r="BG162" s="81"/>
      <c r="BH162" s="81"/>
      <c r="BI162" s="81"/>
      <c r="BJ162" s="81"/>
      <c r="BK162" s="81"/>
      <c r="BL162" s="66"/>
      <c r="BM162" s="66"/>
      <c r="BN162" s="66"/>
      <c r="BO162" s="66" t="str">
        <f>PROPER(TEXT(Prog_236[[#This Row],[PROGRAMAÇÃO CLIENTE]],"mmm"))</f>
        <v>Jan</v>
      </c>
      <c r="BP162" s="66">
        <f>YEAR(Prog_236[[#This Row],[PROGRAMAÇÃO CLIENTE]])</f>
        <v>1900</v>
      </c>
    </row>
    <row r="163" spans="1:68" x14ac:dyDescent="0.25">
      <c r="A163" s="200">
        <f>Prog_236[[#This Row],[CONTEINER]]</f>
        <v>0</v>
      </c>
      <c r="B163" s="86"/>
      <c r="C1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3" s="44"/>
      <c r="E163" s="66"/>
      <c r="F163" s="66"/>
      <c r="G163" s="66"/>
      <c r="H163" s="44"/>
      <c r="I163" s="44"/>
      <c r="J163" s="66"/>
      <c r="K163" s="66"/>
      <c r="L163" s="66"/>
      <c r="M163" s="66"/>
      <c r="N163" s="66">
        <f>SUM(Prog_236[[#This Row],[TARA]]+Prog_236[[#This Row],[PESO]])</f>
        <v>0</v>
      </c>
      <c r="O163" s="44"/>
      <c r="P163" s="66"/>
      <c r="Q163" s="66"/>
      <c r="R163" s="66"/>
      <c r="S163" s="66"/>
      <c r="T163" s="138" t="str">
        <f>IFERROR(LOOKUP($S163,MOTORISTAS!$D$3:$D$1048576,MOTORISTAS!E$3:$E$1048576),"")</f>
        <v/>
      </c>
      <c r="U163" s="138" t="str">
        <f>IFERROR(LOOKUP($S163,MOTORISTAS!$D$3:$D$1048576,MOTORISTAS!F$3:$F$1048576),"")</f>
        <v/>
      </c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44"/>
      <c r="AG163" s="254">
        <f>Prog_236[[#This Row],[SAÍDA DO CLIENTE]]-Prog_236[[#This Row],[PROGRAMAÇÃO CLIENTE]]</f>
        <v>0</v>
      </c>
      <c r="AH163" s="44"/>
      <c r="AI163" s="66"/>
      <c r="AJ163" s="66"/>
      <c r="AK163" s="66"/>
      <c r="AL163" s="66"/>
      <c r="AM163" s="66"/>
      <c r="AN163" s="83"/>
      <c r="AO163" s="66"/>
      <c r="AP163" s="66"/>
      <c r="AQ163" s="66"/>
      <c r="AR163" s="81"/>
      <c r="AS163" s="81"/>
      <c r="AT163" s="81"/>
      <c r="AU163" s="81"/>
      <c r="AV163" s="83">
        <f>SUM(Prog_236[[#This Row],[ADIANTAMENTO]]+Prog_236[[#This Row],[SALDO]]+Prog_236[[#This Row],[MARGEM]]+Prog_236[[#This Row],[ESTADIA 1]])</f>
        <v>0</v>
      </c>
      <c r="AW1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3" s="81"/>
      <c r="AY163" s="81"/>
      <c r="AZ163" s="81">
        <f>Prog_236[[#This Row],[VLR NF]]*0.1%</f>
        <v>0</v>
      </c>
      <c r="BA163" s="81">
        <f>Prog_236[[#This Row],[VLR NF]]*0.05%</f>
        <v>0</v>
      </c>
      <c r="BB163" s="81"/>
      <c r="BC163" s="81"/>
      <c r="BD163" s="81"/>
      <c r="BE163" s="81"/>
      <c r="BF163" s="81"/>
      <c r="BG163" s="81"/>
      <c r="BH163" s="81"/>
      <c r="BI163" s="81"/>
      <c r="BJ163" s="81"/>
      <c r="BK163" s="81"/>
      <c r="BL163" s="66"/>
      <c r="BM163" s="66"/>
      <c r="BN163" s="66"/>
      <c r="BO163" s="66" t="str">
        <f>PROPER(TEXT(Prog_236[[#This Row],[PROGRAMAÇÃO CLIENTE]],"mmm"))</f>
        <v>Jan</v>
      </c>
      <c r="BP163" s="66">
        <f>YEAR(Prog_236[[#This Row],[PROGRAMAÇÃO CLIENTE]])</f>
        <v>1900</v>
      </c>
    </row>
    <row r="164" spans="1:68" x14ac:dyDescent="0.25">
      <c r="A164" s="201">
        <f>Prog_236[[#This Row],[CONTEINER]]</f>
        <v>0</v>
      </c>
      <c r="B164" s="86"/>
      <c r="C1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4" s="44"/>
      <c r="E164" s="66"/>
      <c r="F164" s="66"/>
      <c r="G164" s="66"/>
      <c r="H164" s="44"/>
      <c r="I164" s="44"/>
      <c r="J164" s="66"/>
      <c r="K164" s="66"/>
      <c r="L164" s="66"/>
      <c r="M164" s="66"/>
      <c r="N164" s="66">
        <f>SUM(Prog_236[[#This Row],[TARA]]+Prog_236[[#This Row],[PESO]])</f>
        <v>0</v>
      </c>
      <c r="O164" s="44"/>
      <c r="P164" s="66"/>
      <c r="Q164" s="66"/>
      <c r="R164" s="66"/>
      <c r="S164" s="66"/>
      <c r="T164" s="138" t="str">
        <f>IFERROR(LOOKUP($S164,MOTORISTAS!$D$3:$D$1048576,MOTORISTAS!E$3:$E$1048576),"")</f>
        <v/>
      </c>
      <c r="U164" s="138" t="str">
        <f>IFERROR(LOOKUP($S164,MOTORISTAS!$D$3:$D$1048576,MOTORISTAS!F$3:$F$1048576),"")</f>
        <v/>
      </c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44"/>
      <c r="AG164" s="254">
        <f>Prog_236[[#This Row],[SAÍDA DO CLIENTE]]-Prog_236[[#This Row],[PROGRAMAÇÃO CLIENTE]]</f>
        <v>0</v>
      </c>
      <c r="AH164" s="44"/>
      <c r="AI164" s="66"/>
      <c r="AJ164" s="66"/>
      <c r="AK164" s="66"/>
      <c r="AL164" s="66"/>
      <c r="AM164" s="66"/>
      <c r="AN164" s="83"/>
      <c r="AO164" s="66"/>
      <c r="AP164" s="66"/>
      <c r="AQ164" s="66"/>
      <c r="AR164" s="81"/>
      <c r="AS164" s="81"/>
      <c r="AT164" s="81"/>
      <c r="AU164" s="81"/>
      <c r="AV164" s="83">
        <f>SUM(Prog_236[[#This Row],[ADIANTAMENTO]]+Prog_236[[#This Row],[SALDO]]+Prog_236[[#This Row],[MARGEM]]+Prog_236[[#This Row],[ESTADIA 1]])</f>
        <v>0</v>
      </c>
      <c r="AW1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4" s="81"/>
      <c r="AY164" s="81"/>
      <c r="AZ164" s="81">
        <f>Prog_236[[#This Row],[VLR NF]]*0.1%</f>
        <v>0</v>
      </c>
      <c r="BA164" s="81">
        <f>Prog_236[[#This Row],[VLR NF]]*0.05%</f>
        <v>0</v>
      </c>
      <c r="BB164" s="81"/>
      <c r="BC164" s="81"/>
      <c r="BD164" s="81"/>
      <c r="BE164" s="81"/>
      <c r="BF164" s="81"/>
      <c r="BG164" s="81"/>
      <c r="BH164" s="81"/>
      <c r="BI164" s="81"/>
      <c r="BJ164" s="81"/>
      <c r="BK164" s="81"/>
      <c r="BL164" s="66"/>
      <c r="BM164" s="66"/>
      <c r="BN164" s="66"/>
      <c r="BO164" s="66" t="str">
        <f>PROPER(TEXT(Prog_236[[#This Row],[PROGRAMAÇÃO CLIENTE]],"mmm"))</f>
        <v>Jan</v>
      </c>
      <c r="BP164" s="66">
        <f>YEAR(Prog_236[[#This Row],[PROGRAMAÇÃO CLIENTE]])</f>
        <v>1900</v>
      </c>
    </row>
    <row r="165" spans="1:68" x14ac:dyDescent="0.25">
      <c r="A165" s="200">
        <f>Prog_236[[#This Row],[CONTEINER]]</f>
        <v>0</v>
      </c>
      <c r="B165" s="86"/>
      <c r="C1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5" s="44"/>
      <c r="E165" s="66"/>
      <c r="F165" s="66"/>
      <c r="G165" s="66"/>
      <c r="H165" s="44"/>
      <c r="I165" s="44"/>
      <c r="J165" s="66"/>
      <c r="K165" s="66"/>
      <c r="L165" s="66"/>
      <c r="M165" s="66"/>
      <c r="N165" s="66">
        <f>SUM(Prog_236[[#This Row],[TARA]]+Prog_236[[#This Row],[PESO]])</f>
        <v>0</v>
      </c>
      <c r="O165" s="44"/>
      <c r="P165" s="66"/>
      <c r="Q165" s="66"/>
      <c r="R165" s="66"/>
      <c r="S165" s="66"/>
      <c r="T165" s="138" t="str">
        <f>IFERROR(LOOKUP($S165,MOTORISTAS!$D$3:$D$1048576,MOTORISTAS!E$3:$E$1048576),"")</f>
        <v/>
      </c>
      <c r="U165" s="138" t="str">
        <f>IFERROR(LOOKUP($S165,MOTORISTAS!$D$3:$D$1048576,MOTORISTAS!F$3:$F$1048576),"")</f>
        <v/>
      </c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44"/>
      <c r="AG165" s="254">
        <f>Prog_236[[#This Row],[SAÍDA DO CLIENTE]]-Prog_236[[#This Row],[PROGRAMAÇÃO CLIENTE]]</f>
        <v>0</v>
      </c>
      <c r="AH165" s="44"/>
      <c r="AI165" s="66"/>
      <c r="AJ165" s="66"/>
      <c r="AK165" s="66"/>
      <c r="AL165" s="66"/>
      <c r="AM165" s="66"/>
      <c r="AN165" s="83"/>
      <c r="AO165" s="66"/>
      <c r="AP165" s="66"/>
      <c r="AQ165" s="66"/>
      <c r="AR165" s="81"/>
      <c r="AS165" s="81"/>
      <c r="AT165" s="81"/>
      <c r="AU165" s="81"/>
      <c r="AV165" s="83">
        <f>SUM(Prog_236[[#This Row],[ADIANTAMENTO]]+Prog_236[[#This Row],[SALDO]]+Prog_236[[#This Row],[MARGEM]]+Prog_236[[#This Row],[ESTADIA 1]])</f>
        <v>0</v>
      </c>
      <c r="AW1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5" s="81"/>
      <c r="AY165" s="81"/>
      <c r="AZ165" s="81">
        <f>Prog_236[[#This Row],[VLR NF]]*0.1%</f>
        <v>0</v>
      </c>
      <c r="BA165" s="81">
        <f>Prog_236[[#This Row],[VLR NF]]*0.05%</f>
        <v>0</v>
      </c>
      <c r="BB165" s="81"/>
      <c r="BC165" s="81"/>
      <c r="BD165" s="81"/>
      <c r="BE165" s="81"/>
      <c r="BF165" s="81"/>
      <c r="BG165" s="81"/>
      <c r="BH165" s="81"/>
      <c r="BI165" s="81"/>
      <c r="BJ165" s="81"/>
      <c r="BK165" s="81"/>
      <c r="BL165" s="66"/>
      <c r="BM165" s="66"/>
      <c r="BN165" s="66"/>
      <c r="BO165" s="66" t="str">
        <f>PROPER(TEXT(Prog_236[[#This Row],[PROGRAMAÇÃO CLIENTE]],"mmm"))</f>
        <v>Jan</v>
      </c>
      <c r="BP165" s="66">
        <f>YEAR(Prog_236[[#This Row],[PROGRAMAÇÃO CLIENTE]])</f>
        <v>1900</v>
      </c>
    </row>
    <row r="166" spans="1:68" x14ac:dyDescent="0.25">
      <c r="A166" s="201">
        <f>Prog_236[[#This Row],[CONTEINER]]</f>
        <v>0</v>
      </c>
      <c r="B166" s="86"/>
      <c r="C1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6" s="44"/>
      <c r="E166" s="66"/>
      <c r="F166" s="66"/>
      <c r="G166" s="66"/>
      <c r="H166" s="44"/>
      <c r="I166" s="44"/>
      <c r="J166" s="66"/>
      <c r="K166" s="66"/>
      <c r="L166" s="66"/>
      <c r="M166" s="66"/>
      <c r="N166" s="66">
        <f>SUM(Prog_236[[#This Row],[TARA]]+Prog_236[[#This Row],[PESO]])</f>
        <v>0</v>
      </c>
      <c r="O166" s="44"/>
      <c r="P166" s="66"/>
      <c r="Q166" s="66"/>
      <c r="R166" s="66"/>
      <c r="S166" s="66"/>
      <c r="T166" s="138" t="str">
        <f>IFERROR(LOOKUP($S166,MOTORISTAS!$D$3:$D$1048576,MOTORISTAS!E$3:$E$1048576),"")</f>
        <v/>
      </c>
      <c r="U166" s="138" t="str">
        <f>IFERROR(LOOKUP($S166,MOTORISTAS!$D$3:$D$1048576,MOTORISTAS!F$3:$F$1048576),"")</f>
        <v/>
      </c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44"/>
      <c r="AG166" s="254">
        <f>Prog_236[[#This Row],[SAÍDA DO CLIENTE]]-Prog_236[[#This Row],[PROGRAMAÇÃO CLIENTE]]</f>
        <v>0</v>
      </c>
      <c r="AH166" s="44"/>
      <c r="AI166" s="66"/>
      <c r="AJ166" s="66"/>
      <c r="AK166" s="66"/>
      <c r="AL166" s="66"/>
      <c r="AM166" s="66"/>
      <c r="AN166" s="83"/>
      <c r="AO166" s="66"/>
      <c r="AP166" s="66"/>
      <c r="AQ166" s="66"/>
      <c r="AR166" s="81"/>
      <c r="AS166" s="81"/>
      <c r="AT166" s="81"/>
      <c r="AU166" s="81"/>
      <c r="AV166" s="83">
        <f>SUM(Prog_236[[#This Row],[ADIANTAMENTO]]+Prog_236[[#This Row],[SALDO]]+Prog_236[[#This Row],[MARGEM]]+Prog_236[[#This Row],[ESTADIA 1]])</f>
        <v>0</v>
      </c>
      <c r="AW1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6" s="81"/>
      <c r="AY166" s="81"/>
      <c r="AZ166" s="81">
        <f>Prog_236[[#This Row],[VLR NF]]*0.1%</f>
        <v>0</v>
      </c>
      <c r="BA166" s="81">
        <f>Prog_236[[#This Row],[VLR NF]]*0.05%</f>
        <v>0</v>
      </c>
      <c r="BB166" s="81"/>
      <c r="BC166" s="81"/>
      <c r="BD166" s="81"/>
      <c r="BE166" s="81"/>
      <c r="BF166" s="81"/>
      <c r="BG166" s="81"/>
      <c r="BH166" s="81"/>
      <c r="BI166" s="81"/>
      <c r="BJ166" s="81"/>
      <c r="BK166" s="81"/>
      <c r="BL166" s="66"/>
      <c r="BM166" s="66"/>
      <c r="BN166" s="66"/>
      <c r="BO166" s="66" t="str">
        <f>PROPER(TEXT(Prog_236[[#This Row],[PROGRAMAÇÃO CLIENTE]],"mmm"))</f>
        <v>Jan</v>
      </c>
      <c r="BP166" s="66">
        <f>YEAR(Prog_236[[#This Row],[PROGRAMAÇÃO CLIENTE]])</f>
        <v>1900</v>
      </c>
    </row>
    <row r="167" spans="1:68" x14ac:dyDescent="0.25">
      <c r="A167" s="200">
        <f>Prog_236[[#This Row],[CONTEINER]]</f>
        <v>0</v>
      </c>
      <c r="B167" s="86"/>
      <c r="C1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7" s="44"/>
      <c r="E167" s="66"/>
      <c r="F167" s="66"/>
      <c r="G167" s="66"/>
      <c r="H167" s="44"/>
      <c r="I167" s="44"/>
      <c r="J167" s="66"/>
      <c r="K167" s="66"/>
      <c r="L167" s="66"/>
      <c r="M167" s="66"/>
      <c r="N167" s="66">
        <f>SUM(Prog_236[[#This Row],[TARA]]+Prog_236[[#This Row],[PESO]])</f>
        <v>0</v>
      </c>
      <c r="O167" s="44"/>
      <c r="P167" s="66"/>
      <c r="Q167" s="66"/>
      <c r="R167" s="66"/>
      <c r="S167" s="66"/>
      <c r="T167" s="138" t="str">
        <f>IFERROR(LOOKUP($S167,MOTORISTAS!$D$3:$D$1048576,MOTORISTAS!E$3:$E$1048576),"")</f>
        <v/>
      </c>
      <c r="U167" s="138" t="str">
        <f>IFERROR(LOOKUP($S167,MOTORISTAS!$D$3:$D$1048576,MOTORISTAS!F$3:$F$1048576),"")</f>
        <v/>
      </c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44"/>
      <c r="AG167" s="254">
        <f>Prog_236[[#This Row],[SAÍDA DO CLIENTE]]-Prog_236[[#This Row],[PROGRAMAÇÃO CLIENTE]]</f>
        <v>0</v>
      </c>
      <c r="AH167" s="44"/>
      <c r="AI167" s="66"/>
      <c r="AJ167" s="66"/>
      <c r="AK167" s="66"/>
      <c r="AL167" s="66"/>
      <c r="AM167" s="66"/>
      <c r="AN167" s="83"/>
      <c r="AO167" s="66"/>
      <c r="AP167" s="66"/>
      <c r="AQ167" s="66"/>
      <c r="AR167" s="81"/>
      <c r="AS167" s="81"/>
      <c r="AT167" s="81"/>
      <c r="AU167" s="81"/>
      <c r="AV167" s="83">
        <f>SUM(Prog_236[[#This Row],[ADIANTAMENTO]]+Prog_236[[#This Row],[SALDO]]+Prog_236[[#This Row],[MARGEM]]+Prog_236[[#This Row],[ESTADIA 1]])</f>
        <v>0</v>
      </c>
      <c r="AW1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7" s="81"/>
      <c r="AY167" s="81"/>
      <c r="AZ167" s="81">
        <f>Prog_236[[#This Row],[VLR NF]]*0.1%</f>
        <v>0</v>
      </c>
      <c r="BA167" s="81">
        <f>Prog_236[[#This Row],[VLR NF]]*0.05%</f>
        <v>0</v>
      </c>
      <c r="BB167" s="81"/>
      <c r="BC167" s="81"/>
      <c r="BD167" s="81"/>
      <c r="BE167" s="81"/>
      <c r="BF167" s="81"/>
      <c r="BG167" s="81"/>
      <c r="BH167" s="81"/>
      <c r="BI167" s="81"/>
      <c r="BJ167" s="81"/>
      <c r="BK167" s="81"/>
      <c r="BL167" s="66"/>
      <c r="BM167" s="66"/>
      <c r="BN167" s="66"/>
      <c r="BO167" s="66" t="str">
        <f>PROPER(TEXT(Prog_236[[#This Row],[PROGRAMAÇÃO CLIENTE]],"mmm"))</f>
        <v>Jan</v>
      </c>
      <c r="BP167" s="66">
        <f>YEAR(Prog_236[[#This Row],[PROGRAMAÇÃO CLIENTE]])</f>
        <v>1900</v>
      </c>
    </row>
    <row r="168" spans="1:68" x14ac:dyDescent="0.25">
      <c r="A168" s="201">
        <f>Prog_236[[#This Row],[CONTEINER]]</f>
        <v>0</v>
      </c>
      <c r="B168" s="86"/>
      <c r="C1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8" s="44"/>
      <c r="E168" s="66"/>
      <c r="F168" s="66"/>
      <c r="G168" s="66"/>
      <c r="H168" s="44"/>
      <c r="I168" s="44"/>
      <c r="J168" s="66"/>
      <c r="K168" s="66"/>
      <c r="L168" s="66"/>
      <c r="M168" s="66"/>
      <c r="N168" s="66">
        <f>SUM(Prog_236[[#This Row],[TARA]]+Prog_236[[#This Row],[PESO]])</f>
        <v>0</v>
      </c>
      <c r="O168" s="44"/>
      <c r="P168" s="66"/>
      <c r="Q168" s="66"/>
      <c r="R168" s="66"/>
      <c r="S168" s="66"/>
      <c r="T168" s="138" t="str">
        <f>IFERROR(LOOKUP($S168,MOTORISTAS!$D$3:$D$1048576,MOTORISTAS!E$3:$E$1048576),"")</f>
        <v/>
      </c>
      <c r="U168" s="138" t="str">
        <f>IFERROR(LOOKUP($S168,MOTORISTAS!$D$3:$D$1048576,MOTORISTAS!F$3:$F$1048576),"")</f>
        <v/>
      </c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44"/>
      <c r="AG168" s="254">
        <f>Prog_236[[#This Row],[SAÍDA DO CLIENTE]]-Prog_236[[#This Row],[PROGRAMAÇÃO CLIENTE]]</f>
        <v>0</v>
      </c>
      <c r="AH168" s="44"/>
      <c r="AI168" s="66"/>
      <c r="AJ168" s="66"/>
      <c r="AK168" s="66"/>
      <c r="AL168" s="66"/>
      <c r="AM168" s="66"/>
      <c r="AN168" s="83"/>
      <c r="AO168" s="66"/>
      <c r="AP168" s="66"/>
      <c r="AQ168" s="66"/>
      <c r="AR168" s="81"/>
      <c r="AS168" s="81"/>
      <c r="AT168" s="81"/>
      <c r="AU168" s="81"/>
      <c r="AV168" s="83">
        <f>SUM(Prog_236[[#This Row],[ADIANTAMENTO]]+Prog_236[[#This Row],[SALDO]]+Prog_236[[#This Row],[MARGEM]]+Prog_236[[#This Row],[ESTADIA 1]])</f>
        <v>0</v>
      </c>
      <c r="AW1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8" s="81"/>
      <c r="AY168" s="81"/>
      <c r="AZ168" s="81">
        <f>Prog_236[[#This Row],[VLR NF]]*0.1%</f>
        <v>0</v>
      </c>
      <c r="BA168" s="81">
        <f>Prog_236[[#This Row],[VLR NF]]*0.05%</f>
        <v>0</v>
      </c>
      <c r="BB168" s="81"/>
      <c r="BC168" s="81"/>
      <c r="BD168" s="81"/>
      <c r="BE168" s="81"/>
      <c r="BF168" s="81"/>
      <c r="BG168" s="81"/>
      <c r="BH168" s="81"/>
      <c r="BI168" s="81"/>
      <c r="BJ168" s="81"/>
      <c r="BK168" s="81"/>
      <c r="BL168" s="66"/>
      <c r="BM168" s="66"/>
      <c r="BN168" s="66"/>
      <c r="BO168" s="66" t="str">
        <f>PROPER(TEXT(Prog_236[[#This Row],[PROGRAMAÇÃO CLIENTE]],"mmm"))</f>
        <v>Jan</v>
      </c>
      <c r="BP168" s="66">
        <f>YEAR(Prog_236[[#This Row],[PROGRAMAÇÃO CLIENTE]])</f>
        <v>1900</v>
      </c>
    </row>
    <row r="169" spans="1:68" x14ac:dyDescent="0.25">
      <c r="A169" s="200">
        <f>Prog_236[[#This Row],[CONTEINER]]</f>
        <v>0</v>
      </c>
      <c r="B169" s="86"/>
      <c r="C1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69" s="44"/>
      <c r="E169" s="66"/>
      <c r="F169" s="66"/>
      <c r="G169" s="66"/>
      <c r="H169" s="44"/>
      <c r="I169" s="44"/>
      <c r="J169" s="66"/>
      <c r="K169" s="66"/>
      <c r="L169" s="66"/>
      <c r="M169" s="66"/>
      <c r="N169" s="66">
        <f>SUM(Prog_236[[#This Row],[TARA]]+Prog_236[[#This Row],[PESO]])</f>
        <v>0</v>
      </c>
      <c r="O169" s="44"/>
      <c r="P169" s="66"/>
      <c r="Q169" s="66"/>
      <c r="R169" s="66"/>
      <c r="S169" s="66"/>
      <c r="T169" s="138" t="str">
        <f>IFERROR(LOOKUP($S169,MOTORISTAS!$D$3:$D$1048576,MOTORISTAS!E$3:$E$1048576),"")</f>
        <v/>
      </c>
      <c r="U169" s="138" t="str">
        <f>IFERROR(LOOKUP($S169,MOTORISTAS!$D$3:$D$1048576,MOTORISTAS!F$3:$F$1048576),"")</f>
        <v/>
      </c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44"/>
      <c r="AG169" s="254">
        <f>Prog_236[[#This Row],[SAÍDA DO CLIENTE]]-Prog_236[[#This Row],[PROGRAMAÇÃO CLIENTE]]</f>
        <v>0</v>
      </c>
      <c r="AH169" s="44"/>
      <c r="AI169" s="66"/>
      <c r="AJ169" s="66"/>
      <c r="AK169" s="66"/>
      <c r="AL169" s="66"/>
      <c r="AM169" s="66"/>
      <c r="AN169" s="83"/>
      <c r="AO169" s="66"/>
      <c r="AP169" s="66"/>
      <c r="AQ169" s="66"/>
      <c r="AR169" s="81"/>
      <c r="AS169" s="81"/>
      <c r="AT169" s="81"/>
      <c r="AU169" s="81"/>
      <c r="AV169" s="83">
        <f>SUM(Prog_236[[#This Row],[ADIANTAMENTO]]+Prog_236[[#This Row],[SALDO]]+Prog_236[[#This Row],[MARGEM]]+Prog_236[[#This Row],[ESTADIA 1]])</f>
        <v>0</v>
      </c>
      <c r="AW1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69" s="81"/>
      <c r="AY169" s="81"/>
      <c r="AZ169" s="81">
        <f>Prog_236[[#This Row],[VLR NF]]*0.1%</f>
        <v>0</v>
      </c>
      <c r="BA169" s="81">
        <f>Prog_236[[#This Row],[VLR NF]]*0.05%</f>
        <v>0</v>
      </c>
      <c r="BB169" s="81"/>
      <c r="BC169" s="81"/>
      <c r="BD169" s="81"/>
      <c r="BE169" s="81"/>
      <c r="BF169" s="81"/>
      <c r="BG169" s="81"/>
      <c r="BH169" s="81"/>
      <c r="BI169" s="81"/>
      <c r="BJ169" s="81"/>
      <c r="BK169" s="81"/>
      <c r="BL169" s="66"/>
      <c r="BM169" s="66"/>
      <c r="BN169" s="66"/>
      <c r="BO169" s="66" t="str">
        <f>PROPER(TEXT(Prog_236[[#This Row],[PROGRAMAÇÃO CLIENTE]],"mmm"))</f>
        <v>Jan</v>
      </c>
      <c r="BP169" s="66">
        <f>YEAR(Prog_236[[#This Row],[PROGRAMAÇÃO CLIENTE]])</f>
        <v>1900</v>
      </c>
    </row>
    <row r="170" spans="1:68" x14ac:dyDescent="0.25">
      <c r="A170" s="201">
        <f>Prog_236[[#This Row],[CONTEINER]]</f>
        <v>0</v>
      </c>
      <c r="B170" s="86"/>
      <c r="C1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0" s="44"/>
      <c r="E170" s="66"/>
      <c r="F170" s="66"/>
      <c r="G170" s="66"/>
      <c r="H170" s="44"/>
      <c r="I170" s="44"/>
      <c r="J170" s="66"/>
      <c r="K170" s="66"/>
      <c r="L170" s="66"/>
      <c r="M170" s="66"/>
      <c r="N170" s="66">
        <f>SUM(Prog_236[[#This Row],[TARA]]+Prog_236[[#This Row],[PESO]])</f>
        <v>0</v>
      </c>
      <c r="O170" s="44"/>
      <c r="P170" s="66"/>
      <c r="Q170" s="66"/>
      <c r="R170" s="66"/>
      <c r="S170" s="66"/>
      <c r="T170" s="138" t="str">
        <f>IFERROR(LOOKUP($S170,MOTORISTAS!$D$3:$D$1048576,MOTORISTAS!E$3:$E$1048576),"")</f>
        <v/>
      </c>
      <c r="U170" s="138" t="str">
        <f>IFERROR(LOOKUP($S170,MOTORISTAS!$D$3:$D$1048576,MOTORISTAS!F$3:$F$1048576),"")</f>
        <v/>
      </c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44"/>
      <c r="AG170" s="254">
        <f>Prog_236[[#This Row],[SAÍDA DO CLIENTE]]-Prog_236[[#This Row],[PROGRAMAÇÃO CLIENTE]]</f>
        <v>0</v>
      </c>
      <c r="AH170" s="44"/>
      <c r="AI170" s="66"/>
      <c r="AJ170" s="66"/>
      <c r="AK170" s="66"/>
      <c r="AL170" s="66"/>
      <c r="AM170" s="66"/>
      <c r="AN170" s="83"/>
      <c r="AO170" s="66"/>
      <c r="AP170" s="66"/>
      <c r="AQ170" s="66"/>
      <c r="AR170" s="81"/>
      <c r="AS170" s="81"/>
      <c r="AT170" s="81"/>
      <c r="AU170" s="81"/>
      <c r="AV170" s="83">
        <f>SUM(Prog_236[[#This Row],[ADIANTAMENTO]]+Prog_236[[#This Row],[SALDO]]+Prog_236[[#This Row],[MARGEM]]+Prog_236[[#This Row],[ESTADIA 1]])</f>
        <v>0</v>
      </c>
      <c r="AW1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0" s="81"/>
      <c r="AY170" s="81"/>
      <c r="AZ170" s="81">
        <f>Prog_236[[#This Row],[VLR NF]]*0.1%</f>
        <v>0</v>
      </c>
      <c r="BA170" s="81">
        <f>Prog_236[[#This Row],[VLR NF]]*0.05%</f>
        <v>0</v>
      </c>
      <c r="BB170" s="81"/>
      <c r="BC170" s="81"/>
      <c r="BD170" s="81"/>
      <c r="BE170" s="81"/>
      <c r="BF170" s="81"/>
      <c r="BG170" s="81"/>
      <c r="BH170" s="81"/>
      <c r="BI170" s="81"/>
      <c r="BJ170" s="81"/>
      <c r="BK170" s="81"/>
      <c r="BL170" s="66"/>
      <c r="BM170" s="66"/>
      <c r="BN170" s="66"/>
      <c r="BO170" s="66" t="str">
        <f>PROPER(TEXT(Prog_236[[#This Row],[PROGRAMAÇÃO CLIENTE]],"mmm"))</f>
        <v>Jan</v>
      </c>
      <c r="BP170" s="66">
        <f>YEAR(Prog_236[[#This Row],[PROGRAMAÇÃO CLIENTE]])</f>
        <v>1900</v>
      </c>
    </row>
    <row r="171" spans="1:68" x14ac:dyDescent="0.25">
      <c r="A171" s="200">
        <f>Prog_236[[#This Row],[CONTEINER]]</f>
        <v>0</v>
      </c>
      <c r="B171" s="86"/>
      <c r="C1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1" s="44"/>
      <c r="E171" s="66"/>
      <c r="F171" s="66"/>
      <c r="G171" s="66"/>
      <c r="H171" s="44"/>
      <c r="I171" s="44"/>
      <c r="J171" s="66"/>
      <c r="K171" s="66"/>
      <c r="L171" s="66"/>
      <c r="M171" s="66"/>
      <c r="N171" s="66">
        <f>SUM(Prog_236[[#This Row],[TARA]]+Prog_236[[#This Row],[PESO]])</f>
        <v>0</v>
      </c>
      <c r="O171" s="44"/>
      <c r="P171" s="66"/>
      <c r="Q171" s="66"/>
      <c r="R171" s="66"/>
      <c r="S171" s="66"/>
      <c r="T171" s="138" t="str">
        <f>IFERROR(LOOKUP($S171,MOTORISTAS!$D$3:$D$1048576,MOTORISTAS!E$3:$E$1048576),"")</f>
        <v/>
      </c>
      <c r="U171" s="138" t="str">
        <f>IFERROR(LOOKUP($S171,MOTORISTAS!$D$3:$D$1048576,MOTORISTAS!F$3:$F$1048576),"")</f>
        <v/>
      </c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44"/>
      <c r="AG171" s="254">
        <f>Prog_236[[#This Row],[SAÍDA DO CLIENTE]]-Prog_236[[#This Row],[PROGRAMAÇÃO CLIENTE]]</f>
        <v>0</v>
      </c>
      <c r="AH171" s="44"/>
      <c r="AI171" s="66"/>
      <c r="AJ171" s="66"/>
      <c r="AK171" s="66"/>
      <c r="AL171" s="66"/>
      <c r="AM171" s="66"/>
      <c r="AN171" s="83"/>
      <c r="AO171" s="66"/>
      <c r="AP171" s="66"/>
      <c r="AQ171" s="66"/>
      <c r="AR171" s="81"/>
      <c r="AS171" s="81"/>
      <c r="AT171" s="81"/>
      <c r="AU171" s="81"/>
      <c r="AV171" s="83">
        <f>SUM(Prog_236[[#This Row],[ADIANTAMENTO]]+Prog_236[[#This Row],[SALDO]]+Prog_236[[#This Row],[MARGEM]]+Prog_236[[#This Row],[ESTADIA 1]])</f>
        <v>0</v>
      </c>
      <c r="AW1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1" s="81"/>
      <c r="AY171" s="81"/>
      <c r="AZ171" s="81">
        <f>Prog_236[[#This Row],[VLR NF]]*0.1%</f>
        <v>0</v>
      </c>
      <c r="BA171" s="81">
        <f>Prog_236[[#This Row],[VLR NF]]*0.05%</f>
        <v>0</v>
      </c>
      <c r="BB171" s="81"/>
      <c r="BC171" s="81"/>
      <c r="BD171" s="81"/>
      <c r="BE171" s="81"/>
      <c r="BF171" s="81"/>
      <c r="BG171" s="81"/>
      <c r="BH171" s="81"/>
      <c r="BI171" s="81"/>
      <c r="BJ171" s="81"/>
      <c r="BK171" s="81"/>
      <c r="BL171" s="66"/>
      <c r="BM171" s="66"/>
      <c r="BN171" s="66"/>
      <c r="BO171" s="66" t="str">
        <f>PROPER(TEXT(Prog_236[[#This Row],[PROGRAMAÇÃO CLIENTE]],"mmm"))</f>
        <v>Jan</v>
      </c>
      <c r="BP171" s="66">
        <f>YEAR(Prog_236[[#This Row],[PROGRAMAÇÃO CLIENTE]])</f>
        <v>1900</v>
      </c>
    </row>
    <row r="172" spans="1:68" x14ac:dyDescent="0.25">
      <c r="A172" s="201">
        <f>Prog_236[[#This Row],[CONTEINER]]</f>
        <v>0</v>
      </c>
      <c r="B172" s="86"/>
      <c r="C1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2" s="44"/>
      <c r="E172" s="66"/>
      <c r="F172" s="66"/>
      <c r="G172" s="66"/>
      <c r="H172" s="44"/>
      <c r="I172" s="44"/>
      <c r="J172" s="66"/>
      <c r="K172" s="66"/>
      <c r="L172" s="66"/>
      <c r="M172" s="66"/>
      <c r="N172" s="66">
        <f>SUM(Prog_236[[#This Row],[TARA]]+Prog_236[[#This Row],[PESO]])</f>
        <v>0</v>
      </c>
      <c r="O172" s="44"/>
      <c r="P172" s="66"/>
      <c r="Q172" s="66"/>
      <c r="R172" s="66"/>
      <c r="S172" s="66"/>
      <c r="T172" s="138" t="str">
        <f>IFERROR(LOOKUP($S172,MOTORISTAS!$D$3:$D$1048576,MOTORISTAS!E$3:$E$1048576),"")</f>
        <v/>
      </c>
      <c r="U172" s="138" t="str">
        <f>IFERROR(LOOKUP($S172,MOTORISTAS!$D$3:$D$1048576,MOTORISTAS!F$3:$F$1048576),"")</f>
        <v/>
      </c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44"/>
      <c r="AG172" s="254">
        <f>Prog_236[[#This Row],[SAÍDA DO CLIENTE]]-Prog_236[[#This Row],[PROGRAMAÇÃO CLIENTE]]</f>
        <v>0</v>
      </c>
      <c r="AH172" s="44"/>
      <c r="AI172" s="66"/>
      <c r="AJ172" s="66"/>
      <c r="AK172" s="66"/>
      <c r="AL172" s="66"/>
      <c r="AM172" s="66"/>
      <c r="AN172" s="83"/>
      <c r="AO172" s="66"/>
      <c r="AP172" s="66"/>
      <c r="AQ172" s="66"/>
      <c r="AR172" s="81"/>
      <c r="AS172" s="81"/>
      <c r="AT172" s="81"/>
      <c r="AU172" s="81"/>
      <c r="AV172" s="83">
        <f>SUM(Prog_236[[#This Row],[ADIANTAMENTO]]+Prog_236[[#This Row],[SALDO]]+Prog_236[[#This Row],[MARGEM]]+Prog_236[[#This Row],[ESTADIA 1]])</f>
        <v>0</v>
      </c>
      <c r="AW1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2" s="81"/>
      <c r="AY172" s="81"/>
      <c r="AZ172" s="81">
        <f>Prog_236[[#This Row],[VLR NF]]*0.1%</f>
        <v>0</v>
      </c>
      <c r="BA172" s="81">
        <f>Prog_236[[#This Row],[VLR NF]]*0.05%</f>
        <v>0</v>
      </c>
      <c r="BB172" s="81"/>
      <c r="BC172" s="81"/>
      <c r="BD172" s="81"/>
      <c r="BE172" s="81"/>
      <c r="BF172" s="81"/>
      <c r="BG172" s="81"/>
      <c r="BH172" s="81"/>
      <c r="BI172" s="81"/>
      <c r="BJ172" s="81"/>
      <c r="BK172" s="81"/>
      <c r="BL172" s="66"/>
      <c r="BM172" s="66"/>
      <c r="BN172" s="66"/>
      <c r="BO172" s="66" t="str">
        <f>PROPER(TEXT(Prog_236[[#This Row],[PROGRAMAÇÃO CLIENTE]],"mmm"))</f>
        <v>Jan</v>
      </c>
      <c r="BP172" s="66">
        <f>YEAR(Prog_236[[#This Row],[PROGRAMAÇÃO CLIENTE]])</f>
        <v>1900</v>
      </c>
    </row>
    <row r="173" spans="1:68" x14ac:dyDescent="0.25">
      <c r="A173" s="200">
        <f>Prog_236[[#This Row],[CONTEINER]]</f>
        <v>0</v>
      </c>
      <c r="B173" s="86"/>
      <c r="C1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3" s="44"/>
      <c r="E173" s="66"/>
      <c r="F173" s="66"/>
      <c r="G173" s="66"/>
      <c r="H173" s="44"/>
      <c r="I173" s="44"/>
      <c r="J173" s="66"/>
      <c r="K173" s="66"/>
      <c r="L173" s="66"/>
      <c r="M173" s="66"/>
      <c r="N173" s="66">
        <f>SUM(Prog_236[[#This Row],[TARA]]+Prog_236[[#This Row],[PESO]])</f>
        <v>0</v>
      </c>
      <c r="O173" s="44"/>
      <c r="P173" s="66"/>
      <c r="Q173" s="66"/>
      <c r="R173" s="66"/>
      <c r="S173" s="66"/>
      <c r="T173" s="138" t="str">
        <f>IFERROR(LOOKUP($S173,MOTORISTAS!$D$3:$D$1048576,MOTORISTAS!E$3:$E$1048576),"")</f>
        <v/>
      </c>
      <c r="U173" s="138" t="str">
        <f>IFERROR(LOOKUP($S173,MOTORISTAS!$D$3:$D$1048576,MOTORISTAS!F$3:$F$1048576),"")</f>
        <v/>
      </c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44"/>
      <c r="AG173" s="254">
        <f>Prog_236[[#This Row],[SAÍDA DO CLIENTE]]-Prog_236[[#This Row],[PROGRAMAÇÃO CLIENTE]]</f>
        <v>0</v>
      </c>
      <c r="AH173" s="44"/>
      <c r="AI173" s="66"/>
      <c r="AJ173" s="66"/>
      <c r="AK173" s="66"/>
      <c r="AL173" s="66"/>
      <c r="AM173" s="66"/>
      <c r="AN173" s="83"/>
      <c r="AO173" s="66"/>
      <c r="AP173" s="66"/>
      <c r="AQ173" s="66"/>
      <c r="AR173" s="81"/>
      <c r="AS173" s="81"/>
      <c r="AT173" s="81"/>
      <c r="AU173" s="81"/>
      <c r="AV173" s="83">
        <f>SUM(Prog_236[[#This Row],[ADIANTAMENTO]]+Prog_236[[#This Row],[SALDO]]+Prog_236[[#This Row],[MARGEM]]+Prog_236[[#This Row],[ESTADIA 1]])</f>
        <v>0</v>
      </c>
      <c r="AW1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3" s="81"/>
      <c r="AY173" s="81"/>
      <c r="AZ173" s="81">
        <f>Prog_236[[#This Row],[VLR NF]]*0.1%</f>
        <v>0</v>
      </c>
      <c r="BA173" s="81">
        <f>Prog_236[[#This Row],[VLR NF]]*0.05%</f>
        <v>0</v>
      </c>
      <c r="BB173" s="81"/>
      <c r="BC173" s="81"/>
      <c r="BD173" s="81"/>
      <c r="BE173" s="81"/>
      <c r="BF173" s="81"/>
      <c r="BG173" s="81"/>
      <c r="BH173" s="81"/>
      <c r="BI173" s="81"/>
      <c r="BJ173" s="81"/>
      <c r="BK173" s="81"/>
      <c r="BL173" s="66"/>
      <c r="BM173" s="66"/>
      <c r="BN173" s="66"/>
      <c r="BO173" s="66" t="str">
        <f>PROPER(TEXT(Prog_236[[#This Row],[PROGRAMAÇÃO CLIENTE]],"mmm"))</f>
        <v>Jan</v>
      </c>
      <c r="BP173" s="66">
        <f>YEAR(Prog_236[[#This Row],[PROGRAMAÇÃO CLIENTE]])</f>
        <v>1900</v>
      </c>
    </row>
    <row r="174" spans="1:68" x14ac:dyDescent="0.25">
      <c r="A174" s="201">
        <f>Prog_236[[#This Row],[CONTEINER]]</f>
        <v>0</v>
      </c>
      <c r="B174" s="86"/>
      <c r="C1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4" s="44"/>
      <c r="E174" s="66"/>
      <c r="F174" s="66"/>
      <c r="G174" s="66"/>
      <c r="H174" s="44"/>
      <c r="I174" s="44"/>
      <c r="J174" s="66"/>
      <c r="K174" s="66"/>
      <c r="L174" s="66"/>
      <c r="M174" s="66"/>
      <c r="N174" s="66">
        <f>SUM(Prog_236[[#This Row],[TARA]]+Prog_236[[#This Row],[PESO]])</f>
        <v>0</v>
      </c>
      <c r="O174" s="44"/>
      <c r="P174" s="66"/>
      <c r="Q174" s="66"/>
      <c r="R174" s="66"/>
      <c r="S174" s="66"/>
      <c r="T174" s="138" t="str">
        <f>IFERROR(LOOKUP($S174,MOTORISTAS!$D$3:$D$1048576,MOTORISTAS!E$3:$E$1048576),"")</f>
        <v/>
      </c>
      <c r="U174" s="138" t="str">
        <f>IFERROR(LOOKUP($S174,MOTORISTAS!$D$3:$D$1048576,MOTORISTAS!F$3:$F$1048576),"")</f>
        <v/>
      </c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44"/>
      <c r="AG174" s="254">
        <f>Prog_236[[#This Row],[SAÍDA DO CLIENTE]]-Prog_236[[#This Row],[PROGRAMAÇÃO CLIENTE]]</f>
        <v>0</v>
      </c>
      <c r="AH174" s="44"/>
      <c r="AI174" s="66"/>
      <c r="AJ174" s="66"/>
      <c r="AK174" s="66"/>
      <c r="AL174" s="66"/>
      <c r="AM174" s="66"/>
      <c r="AN174" s="83"/>
      <c r="AO174" s="66"/>
      <c r="AP174" s="66"/>
      <c r="AQ174" s="66"/>
      <c r="AR174" s="81"/>
      <c r="AS174" s="81"/>
      <c r="AT174" s="81"/>
      <c r="AU174" s="81"/>
      <c r="AV174" s="83">
        <f>SUM(Prog_236[[#This Row],[ADIANTAMENTO]]+Prog_236[[#This Row],[SALDO]]+Prog_236[[#This Row],[MARGEM]]+Prog_236[[#This Row],[ESTADIA 1]])</f>
        <v>0</v>
      </c>
      <c r="AW1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4" s="81"/>
      <c r="AY174" s="81"/>
      <c r="AZ174" s="81">
        <f>Prog_236[[#This Row],[VLR NF]]*0.1%</f>
        <v>0</v>
      </c>
      <c r="BA174" s="81">
        <f>Prog_236[[#This Row],[VLR NF]]*0.05%</f>
        <v>0</v>
      </c>
      <c r="BB174" s="81"/>
      <c r="BC174" s="81"/>
      <c r="BD174" s="81"/>
      <c r="BE174" s="81"/>
      <c r="BF174" s="81"/>
      <c r="BG174" s="81"/>
      <c r="BH174" s="81"/>
      <c r="BI174" s="81"/>
      <c r="BJ174" s="81"/>
      <c r="BK174" s="81"/>
      <c r="BL174" s="66"/>
      <c r="BM174" s="66"/>
      <c r="BN174" s="66"/>
      <c r="BO174" s="66" t="str">
        <f>PROPER(TEXT(Prog_236[[#This Row],[PROGRAMAÇÃO CLIENTE]],"mmm"))</f>
        <v>Jan</v>
      </c>
      <c r="BP174" s="66">
        <f>YEAR(Prog_236[[#This Row],[PROGRAMAÇÃO CLIENTE]])</f>
        <v>1900</v>
      </c>
    </row>
    <row r="175" spans="1:68" x14ac:dyDescent="0.25">
      <c r="A175" s="200">
        <f>Prog_236[[#This Row],[CONTEINER]]</f>
        <v>0</v>
      </c>
      <c r="B175" s="86"/>
      <c r="C1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5" s="44"/>
      <c r="E175" s="66"/>
      <c r="F175" s="66"/>
      <c r="G175" s="66"/>
      <c r="H175" s="44"/>
      <c r="I175" s="44"/>
      <c r="J175" s="66"/>
      <c r="K175" s="66"/>
      <c r="L175" s="66"/>
      <c r="M175" s="66"/>
      <c r="N175" s="66">
        <f>SUM(Prog_236[[#This Row],[TARA]]+Prog_236[[#This Row],[PESO]])</f>
        <v>0</v>
      </c>
      <c r="O175" s="44"/>
      <c r="P175" s="66"/>
      <c r="Q175" s="66"/>
      <c r="R175" s="66"/>
      <c r="S175" s="66"/>
      <c r="T175" s="138" t="str">
        <f>IFERROR(LOOKUP($S175,MOTORISTAS!$D$3:$D$1048576,MOTORISTAS!E$3:$E$1048576),"")</f>
        <v/>
      </c>
      <c r="U175" s="138" t="str">
        <f>IFERROR(LOOKUP($S175,MOTORISTAS!$D$3:$D$1048576,MOTORISTAS!F$3:$F$1048576),"")</f>
        <v/>
      </c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44"/>
      <c r="AG175" s="254">
        <f>Prog_236[[#This Row],[SAÍDA DO CLIENTE]]-Prog_236[[#This Row],[PROGRAMAÇÃO CLIENTE]]</f>
        <v>0</v>
      </c>
      <c r="AH175" s="44"/>
      <c r="AI175" s="66"/>
      <c r="AJ175" s="66"/>
      <c r="AK175" s="66"/>
      <c r="AL175" s="66"/>
      <c r="AM175" s="66"/>
      <c r="AN175" s="83"/>
      <c r="AO175" s="66"/>
      <c r="AP175" s="66"/>
      <c r="AQ175" s="66"/>
      <c r="AR175" s="81"/>
      <c r="AS175" s="81"/>
      <c r="AT175" s="81"/>
      <c r="AU175" s="81"/>
      <c r="AV175" s="83">
        <f>SUM(Prog_236[[#This Row],[ADIANTAMENTO]]+Prog_236[[#This Row],[SALDO]]+Prog_236[[#This Row],[MARGEM]]+Prog_236[[#This Row],[ESTADIA 1]])</f>
        <v>0</v>
      </c>
      <c r="AW1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5" s="81"/>
      <c r="AY175" s="81"/>
      <c r="AZ175" s="81">
        <f>Prog_236[[#This Row],[VLR NF]]*0.1%</f>
        <v>0</v>
      </c>
      <c r="BA175" s="81">
        <f>Prog_236[[#This Row],[VLR NF]]*0.05%</f>
        <v>0</v>
      </c>
      <c r="BB175" s="81"/>
      <c r="BC175" s="81"/>
      <c r="BD175" s="81"/>
      <c r="BE175" s="81"/>
      <c r="BF175" s="81"/>
      <c r="BG175" s="81"/>
      <c r="BH175" s="81"/>
      <c r="BI175" s="81"/>
      <c r="BJ175" s="81"/>
      <c r="BK175" s="81"/>
      <c r="BL175" s="66"/>
      <c r="BM175" s="66"/>
      <c r="BN175" s="66"/>
      <c r="BO175" s="66" t="str">
        <f>PROPER(TEXT(Prog_236[[#This Row],[PROGRAMAÇÃO CLIENTE]],"mmm"))</f>
        <v>Jan</v>
      </c>
      <c r="BP175" s="66">
        <f>YEAR(Prog_236[[#This Row],[PROGRAMAÇÃO CLIENTE]])</f>
        <v>1900</v>
      </c>
    </row>
    <row r="176" spans="1:68" x14ac:dyDescent="0.25">
      <c r="A176" s="201">
        <f>Prog_236[[#This Row],[CONTEINER]]</f>
        <v>0</v>
      </c>
      <c r="B176" s="86"/>
      <c r="C1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6" s="44"/>
      <c r="E176" s="66"/>
      <c r="F176" s="66"/>
      <c r="G176" s="66"/>
      <c r="H176" s="44"/>
      <c r="I176" s="44"/>
      <c r="J176" s="66"/>
      <c r="K176" s="66"/>
      <c r="L176" s="66"/>
      <c r="M176" s="66"/>
      <c r="N176" s="66">
        <f>SUM(Prog_236[[#This Row],[TARA]]+Prog_236[[#This Row],[PESO]])</f>
        <v>0</v>
      </c>
      <c r="O176" s="44"/>
      <c r="P176" s="66"/>
      <c r="Q176" s="66"/>
      <c r="R176" s="66"/>
      <c r="S176" s="66"/>
      <c r="T176" s="138" t="str">
        <f>IFERROR(LOOKUP($S176,MOTORISTAS!$D$3:$D$1048576,MOTORISTAS!E$3:$E$1048576),"")</f>
        <v/>
      </c>
      <c r="U176" s="138" t="str">
        <f>IFERROR(LOOKUP($S176,MOTORISTAS!$D$3:$D$1048576,MOTORISTAS!F$3:$F$1048576),"")</f>
        <v/>
      </c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44"/>
      <c r="AG176" s="254">
        <f>Prog_236[[#This Row],[SAÍDA DO CLIENTE]]-Prog_236[[#This Row],[PROGRAMAÇÃO CLIENTE]]</f>
        <v>0</v>
      </c>
      <c r="AH176" s="44"/>
      <c r="AI176" s="66"/>
      <c r="AJ176" s="66"/>
      <c r="AK176" s="66"/>
      <c r="AL176" s="66"/>
      <c r="AM176" s="66"/>
      <c r="AN176" s="83"/>
      <c r="AO176" s="66"/>
      <c r="AP176" s="66"/>
      <c r="AQ176" s="66"/>
      <c r="AR176" s="81"/>
      <c r="AS176" s="81"/>
      <c r="AT176" s="81"/>
      <c r="AU176" s="81"/>
      <c r="AV176" s="83">
        <f>SUM(Prog_236[[#This Row],[ADIANTAMENTO]]+Prog_236[[#This Row],[SALDO]]+Prog_236[[#This Row],[MARGEM]]+Prog_236[[#This Row],[ESTADIA 1]])</f>
        <v>0</v>
      </c>
      <c r="AW1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6" s="81"/>
      <c r="AY176" s="81"/>
      <c r="AZ176" s="81">
        <f>Prog_236[[#This Row],[VLR NF]]*0.1%</f>
        <v>0</v>
      </c>
      <c r="BA176" s="81">
        <f>Prog_236[[#This Row],[VLR NF]]*0.05%</f>
        <v>0</v>
      </c>
      <c r="BB176" s="81"/>
      <c r="BC176" s="81"/>
      <c r="BD176" s="81"/>
      <c r="BE176" s="81"/>
      <c r="BF176" s="81"/>
      <c r="BG176" s="81"/>
      <c r="BH176" s="81"/>
      <c r="BI176" s="81"/>
      <c r="BJ176" s="81"/>
      <c r="BK176" s="81"/>
      <c r="BL176" s="66"/>
      <c r="BM176" s="66"/>
      <c r="BN176" s="66"/>
      <c r="BO176" s="66" t="str">
        <f>PROPER(TEXT(Prog_236[[#This Row],[PROGRAMAÇÃO CLIENTE]],"mmm"))</f>
        <v>Jan</v>
      </c>
      <c r="BP176" s="66">
        <f>YEAR(Prog_236[[#This Row],[PROGRAMAÇÃO CLIENTE]])</f>
        <v>1900</v>
      </c>
    </row>
    <row r="177" spans="1:68" x14ac:dyDescent="0.25">
      <c r="A177" s="200">
        <f>Prog_236[[#This Row],[CONTEINER]]</f>
        <v>0</v>
      </c>
      <c r="B177" s="86"/>
      <c r="C1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7" s="44"/>
      <c r="E177" s="66"/>
      <c r="F177" s="66"/>
      <c r="G177" s="66"/>
      <c r="H177" s="44"/>
      <c r="I177" s="44"/>
      <c r="J177" s="66"/>
      <c r="K177" s="66"/>
      <c r="L177" s="66"/>
      <c r="M177" s="66"/>
      <c r="N177" s="66">
        <f>SUM(Prog_236[[#This Row],[TARA]]+Prog_236[[#This Row],[PESO]])</f>
        <v>0</v>
      </c>
      <c r="O177" s="44"/>
      <c r="P177" s="66"/>
      <c r="Q177" s="66"/>
      <c r="R177" s="66"/>
      <c r="S177" s="66"/>
      <c r="T177" s="138" t="str">
        <f>IFERROR(LOOKUP($S177,MOTORISTAS!$D$3:$D$1048576,MOTORISTAS!E$3:$E$1048576),"")</f>
        <v/>
      </c>
      <c r="U177" s="138" t="str">
        <f>IFERROR(LOOKUP($S177,MOTORISTAS!$D$3:$D$1048576,MOTORISTAS!F$3:$F$1048576),"")</f>
        <v/>
      </c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44"/>
      <c r="AG177" s="254">
        <f>Prog_236[[#This Row],[SAÍDA DO CLIENTE]]-Prog_236[[#This Row],[PROGRAMAÇÃO CLIENTE]]</f>
        <v>0</v>
      </c>
      <c r="AH177" s="44"/>
      <c r="AI177" s="66"/>
      <c r="AJ177" s="66"/>
      <c r="AK177" s="66"/>
      <c r="AL177" s="66"/>
      <c r="AM177" s="66"/>
      <c r="AN177" s="83"/>
      <c r="AO177" s="66"/>
      <c r="AP177" s="66"/>
      <c r="AQ177" s="66"/>
      <c r="AR177" s="81"/>
      <c r="AS177" s="81"/>
      <c r="AT177" s="81"/>
      <c r="AU177" s="81"/>
      <c r="AV177" s="83">
        <f>SUM(Prog_236[[#This Row],[ADIANTAMENTO]]+Prog_236[[#This Row],[SALDO]]+Prog_236[[#This Row],[MARGEM]]+Prog_236[[#This Row],[ESTADIA 1]])</f>
        <v>0</v>
      </c>
      <c r="AW1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7" s="81"/>
      <c r="AY177" s="81"/>
      <c r="AZ177" s="81">
        <f>Prog_236[[#This Row],[VLR NF]]*0.1%</f>
        <v>0</v>
      </c>
      <c r="BA177" s="81">
        <f>Prog_236[[#This Row],[VLR NF]]*0.05%</f>
        <v>0</v>
      </c>
      <c r="BB177" s="81"/>
      <c r="BC177" s="81"/>
      <c r="BD177" s="81"/>
      <c r="BE177" s="81"/>
      <c r="BF177" s="81"/>
      <c r="BG177" s="81"/>
      <c r="BH177" s="81"/>
      <c r="BI177" s="81"/>
      <c r="BJ177" s="81"/>
      <c r="BK177" s="81"/>
      <c r="BL177" s="66"/>
      <c r="BM177" s="66"/>
      <c r="BN177" s="66"/>
      <c r="BO177" s="66" t="str">
        <f>PROPER(TEXT(Prog_236[[#This Row],[PROGRAMAÇÃO CLIENTE]],"mmm"))</f>
        <v>Jan</v>
      </c>
      <c r="BP177" s="66">
        <f>YEAR(Prog_236[[#This Row],[PROGRAMAÇÃO CLIENTE]])</f>
        <v>1900</v>
      </c>
    </row>
    <row r="178" spans="1:68" x14ac:dyDescent="0.25">
      <c r="A178" s="201">
        <f>Prog_236[[#This Row],[CONTEINER]]</f>
        <v>0</v>
      </c>
      <c r="B178" s="86"/>
      <c r="C1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8" s="44"/>
      <c r="E178" s="66"/>
      <c r="F178" s="66"/>
      <c r="G178" s="66"/>
      <c r="H178" s="44"/>
      <c r="I178" s="44"/>
      <c r="J178" s="66"/>
      <c r="K178" s="66"/>
      <c r="L178" s="66"/>
      <c r="M178" s="66"/>
      <c r="N178" s="66">
        <f>SUM(Prog_236[[#This Row],[TARA]]+Prog_236[[#This Row],[PESO]])</f>
        <v>0</v>
      </c>
      <c r="O178" s="44"/>
      <c r="P178" s="66"/>
      <c r="Q178" s="66"/>
      <c r="R178" s="66"/>
      <c r="S178" s="66"/>
      <c r="T178" s="138" t="str">
        <f>IFERROR(LOOKUP($S178,MOTORISTAS!$D$3:$D$1048576,MOTORISTAS!E$3:$E$1048576),"")</f>
        <v/>
      </c>
      <c r="U178" s="138" t="str">
        <f>IFERROR(LOOKUP($S178,MOTORISTAS!$D$3:$D$1048576,MOTORISTAS!F$3:$F$1048576),"")</f>
        <v/>
      </c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44"/>
      <c r="AG178" s="254">
        <f>Prog_236[[#This Row],[SAÍDA DO CLIENTE]]-Prog_236[[#This Row],[PROGRAMAÇÃO CLIENTE]]</f>
        <v>0</v>
      </c>
      <c r="AH178" s="44"/>
      <c r="AI178" s="66"/>
      <c r="AJ178" s="66"/>
      <c r="AK178" s="66"/>
      <c r="AL178" s="66"/>
      <c r="AM178" s="66"/>
      <c r="AN178" s="83"/>
      <c r="AO178" s="66"/>
      <c r="AP178" s="66"/>
      <c r="AQ178" s="66"/>
      <c r="AR178" s="81"/>
      <c r="AS178" s="81"/>
      <c r="AT178" s="81"/>
      <c r="AU178" s="81"/>
      <c r="AV178" s="83">
        <f>SUM(Prog_236[[#This Row],[ADIANTAMENTO]]+Prog_236[[#This Row],[SALDO]]+Prog_236[[#This Row],[MARGEM]]+Prog_236[[#This Row],[ESTADIA 1]])</f>
        <v>0</v>
      </c>
      <c r="AW1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8" s="81"/>
      <c r="AY178" s="81"/>
      <c r="AZ178" s="81">
        <f>Prog_236[[#This Row],[VLR NF]]*0.1%</f>
        <v>0</v>
      </c>
      <c r="BA178" s="81">
        <f>Prog_236[[#This Row],[VLR NF]]*0.05%</f>
        <v>0</v>
      </c>
      <c r="BB178" s="81"/>
      <c r="BC178" s="81"/>
      <c r="BD178" s="81"/>
      <c r="BE178" s="81"/>
      <c r="BF178" s="81"/>
      <c r="BG178" s="81"/>
      <c r="BH178" s="81"/>
      <c r="BI178" s="81"/>
      <c r="BJ178" s="81"/>
      <c r="BK178" s="81"/>
      <c r="BL178" s="66"/>
      <c r="BM178" s="66"/>
      <c r="BN178" s="66"/>
      <c r="BO178" s="66" t="str">
        <f>PROPER(TEXT(Prog_236[[#This Row],[PROGRAMAÇÃO CLIENTE]],"mmm"))</f>
        <v>Jan</v>
      </c>
      <c r="BP178" s="66">
        <f>YEAR(Prog_236[[#This Row],[PROGRAMAÇÃO CLIENTE]])</f>
        <v>1900</v>
      </c>
    </row>
    <row r="179" spans="1:68" x14ac:dyDescent="0.25">
      <c r="A179" s="200">
        <f>Prog_236[[#This Row],[CONTEINER]]</f>
        <v>0</v>
      </c>
      <c r="B179" s="86"/>
      <c r="C1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79" s="44"/>
      <c r="E179" s="66"/>
      <c r="F179" s="66"/>
      <c r="G179" s="66"/>
      <c r="H179" s="44"/>
      <c r="I179" s="44"/>
      <c r="J179" s="66"/>
      <c r="K179" s="66"/>
      <c r="L179" s="66"/>
      <c r="M179" s="66"/>
      <c r="N179" s="66">
        <f>SUM(Prog_236[[#This Row],[TARA]]+Prog_236[[#This Row],[PESO]])</f>
        <v>0</v>
      </c>
      <c r="O179" s="44"/>
      <c r="P179" s="66"/>
      <c r="Q179" s="66"/>
      <c r="R179" s="66"/>
      <c r="S179" s="66"/>
      <c r="T179" s="138" t="str">
        <f>IFERROR(LOOKUP($S179,MOTORISTAS!$D$3:$D$1048576,MOTORISTAS!E$3:$E$1048576),"")</f>
        <v/>
      </c>
      <c r="U179" s="138" t="str">
        <f>IFERROR(LOOKUP($S179,MOTORISTAS!$D$3:$D$1048576,MOTORISTAS!F$3:$F$1048576),"")</f>
        <v/>
      </c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44"/>
      <c r="AG179" s="254">
        <f>Prog_236[[#This Row],[SAÍDA DO CLIENTE]]-Prog_236[[#This Row],[PROGRAMAÇÃO CLIENTE]]</f>
        <v>0</v>
      </c>
      <c r="AH179" s="44"/>
      <c r="AI179" s="66"/>
      <c r="AJ179" s="66"/>
      <c r="AK179" s="66"/>
      <c r="AL179" s="66"/>
      <c r="AM179" s="66"/>
      <c r="AN179" s="83"/>
      <c r="AO179" s="66"/>
      <c r="AP179" s="66"/>
      <c r="AQ179" s="66"/>
      <c r="AR179" s="81"/>
      <c r="AS179" s="81"/>
      <c r="AT179" s="81"/>
      <c r="AU179" s="81"/>
      <c r="AV179" s="83">
        <f>SUM(Prog_236[[#This Row],[ADIANTAMENTO]]+Prog_236[[#This Row],[SALDO]]+Prog_236[[#This Row],[MARGEM]]+Prog_236[[#This Row],[ESTADIA 1]])</f>
        <v>0</v>
      </c>
      <c r="AW1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79" s="81"/>
      <c r="AY179" s="81"/>
      <c r="AZ179" s="81">
        <f>Prog_236[[#This Row],[VLR NF]]*0.1%</f>
        <v>0</v>
      </c>
      <c r="BA179" s="81">
        <f>Prog_236[[#This Row],[VLR NF]]*0.05%</f>
        <v>0</v>
      </c>
      <c r="BB179" s="81"/>
      <c r="BC179" s="81"/>
      <c r="BD179" s="81"/>
      <c r="BE179" s="81"/>
      <c r="BF179" s="81"/>
      <c r="BG179" s="81"/>
      <c r="BH179" s="81"/>
      <c r="BI179" s="81"/>
      <c r="BJ179" s="81"/>
      <c r="BK179" s="81"/>
      <c r="BL179" s="66"/>
      <c r="BM179" s="66"/>
      <c r="BN179" s="66"/>
      <c r="BO179" s="66" t="str">
        <f>PROPER(TEXT(Prog_236[[#This Row],[PROGRAMAÇÃO CLIENTE]],"mmm"))</f>
        <v>Jan</v>
      </c>
      <c r="BP179" s="66">
        <f>YEAR(Prog_236[[#This Row],[PROGRAMAÇÃO CLIENTE]])</f>
        <v>1900</v>
      </c>
    </row>
    <row r="180" spans="1:68" x14ac:dyDescent="0.25">
      <c r="A180" s="201">
        <f>Prog_236[[#This Row],[CONTEINER]]</f>
        <v>0</v>
      </c>
      <c r="B180" s="86"/>
      <c r="C1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0" s="44"/>
      <c r="E180" s="66"/>
      <c r="F180" s="66"/>
      <c r="G180" s="66"/>
      <c r="H180" s="44"/>
      <c r="I180" s="44"/>
      <c r="J180" s="66"/>
      <c r="K180" s="66"/>
      <c r="L180" s="66"/>
      <c r="M180" s="66"/>
      <c r="N180" s="66">
        <f>SUM(Prog_236[[#This Row],[TARA]]+Prog_236[[#This Row],[PESO]])</f>
        <v>0</v>
      </c>
      <c r="O180" s="44"/>
      <c r="P180" s="66"/>
      <c r="Q180" s="66"/>
      <c r="R180" s="66"/>
      <c r="S180" s="66"/>
      <c r="T180" s="138" t="str">
        <f>IFERROR(LOOKUP($S180,MOTORISTAS!$D$3:$D$1048576,MOTORISTAS!E$3:$E$1048576),"")</f>
        <v/>
      </c>
      <c r="U180" s="138" t="str">
        <f>IFERROR(LOOKUP($S180,MOTORISTAS!$D$3:$D$1048576,MOTORISTAS!F$3:$F$1048576),"")</f>
        <v/>
      </c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44"/>
      <c r="AG180" s="254">
        <f>Prog_236[[#This Row],[SAÍDA DO CLIENTE]]-Prog_236[[#This Row],[PROGRAMAÇÃO CLIENTE]]</f>
        <v>0</v>
      </c>
      <c r="AH180" s="44"/>
      <c r="AI180" s="66"/>
      <c r="AJ180" s="66"/>
      <c r="AK180" s="66"/>
      <c r="AL180" s="66"/>
      <c r="AM180" s="66"/>
      <c r="AN180" s="83"/>
      <c r="AO180" s="66"/>
      <c r="AP180" s="66"/>
      <c r="AQ180" s="66"/>
      <c r="AR180" s="81"/>
      <c r="AS180" s="81"/>
      <c r="AT180" s="81"/>
      <c r="AU180" s="81"/>
      <c r="AV180" s="83">
        <f>SUM(Prog_236[[#This Row],[ADIANTAMENTO]]+Prog_236[[#This Row],[SALDO]]+Prog_236[[#This Row],[MARGEM]]+Prog_236[[#This Row],[ESTADIA 1]])</f>
        <v>0</v>
      </c>
      <c r="AW1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0" s="81"/>
      <c r="AY180" s="81"/>
      <c r="AZ180" s="81">
        <f>Prog_236[[#This Row],[VLR NF]]*0.1%</f>
        <v>0</v>
      </c>
      <c r="BA180" s="81">
        <f>Prog_236[[#This Row],[VLR NF]]*0.05%</f>
        <v>0</v>
      </c>
      <c r="BB180" s="81"/>
      <c r="BC180" s="81"/>
      <c r="BD180" s="81"/>
      <c r="BE180" s="81"/>
      <c r="BF180" s="81"/>
      <c r="BG180" s="81"/>
      <c r="BH180" s="81"/>
      <c r="BI180" s="81"/>
      <c r="BJ180" s="81"/>
      <c r="BK180" s="81"/>
      <c r="BL180" s="66"/>
      <c r="BM180" s="66"/>
      <c r="BN180" s="66"/>
      <c r="BO180" s="66" t="str">
        <f>PROPER(TEXT(Prog_236[[#This Row],[PROGRAMAÇÃO CLIENTE]],"mmm"))</f>
        <v>Jan</v>
      </c>
      <c r="BP180" s="66">
        <f>YEAR(Prog_236[[#This Row],[PROGRAMAÇÃO CLIENTE]])</f>
        <v>1900</v>
      </c>
    </row>
    <row r="181" spans="1:68" x14ac:dyDescent="0.25">
      <c r="A181" s="200">
        <f>Prog_236[[#This Row],[CONTEINER]]</f>
        <v>0</v>
      </c>
      <c r="B181" s="86"/>
      <c r="C1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1" s="44"/>
      <c r="E181" s="66"/>
      <c r="F181" s="66"/>
      <c r="G181" s="66"/>
      <c r="H181" s="44"/>
      <c r="I181" s="44"/>
      <c r="J181" s="66"/>
      <c r="K181" s="66"/>
      <c r="L181" s="66"/>
      <c r="M181" s="66"/>
      <c r="N181" s="66">
        <f>SUM(Prog_236[[#This Row],[TARA]]+Prog_236[[#This Row],[PESO]])</f>
        <v>0</v>
      </c>
      <c r="O181" s="44"/>
      <c r="P181" s="66"/>
      <c r="Q181" s="66"/>
      <c r="R181" s="66"/>
      <c r="S181" s="66"/>
      <c r="T181" s="138" t="str">
        <f>IFERROR(LOOKUP($S181,MOTORISTAS!$D$3:$D$1048576,MOTORISTAS!E$3:$E$1048576),"")</f>
        <v/>
      </c>
      <c r="U181" s="138" t="str">
        <f>IFERROR(LOOKUP($S181,MOTORISTAS!$D$3:$D$1048576,MOTORISTAS!F$3:$F$1048576),"")</f>
        <v/>
      </c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44"/>
      <c r="AG181" s="254">
        <f>Prog_236[[#This Row],[SAÍDA DO CLIENTE]]-Prog_236[[#This Row],[PROGRAMAÇÃO CLIENTE]]</f>
        <v>0</v>
      </c>
      <c r="AH181" s="44"/>
      <c r="AI181" s="66"/>
      <c r="AJ181" s="66"/>
      <c r="AK181" s="66"/>
      <c r="AL181" s="66"/>
      <c r="AM181" s="66"/>
      <c r="AN181" s="83"/>
      <c r="AO181" s="66"/>
      <c r="AP181" s="66"/>
      <c r="AQ181" s="66"/>
      <c r="AR181" s="81"/>
      <c r="AS181" s="81"/>
      <c r="AT181" s="81"/>
      <c r="AU181" s="81"/>
      <c r="AV181" s="83">
        <f>SUM(Prog_236[[#This Row],[ADIANTAMENTO]]+Prog_236[[#This Row],[SALDO]]+Prog_236[[#This Row],[MARGEM]]+Prog_236[[#This Row],[ESTADIA 1]])</f>
        <v>0</v>
      </c>
      <c r="AW1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1" s="81"/>
      <c r="AY181" s="81"/>
      <c r="AZ181" s="81">
        <f>Prog_236[[#This Row],[VLR NF]]*0.1%</f>
        <v>0</v>
      </c>
      <c r="BA181" s="81">
        <f>Prog_236[[#This Row],[VLR NF]]*0.05%</f>
        <v>0</v>
      </c>
      <c r="BB181" s="81"/>
      <c r="BC181" s="81"/>
      <c r="BD181" s="81"/>
      <c r="BE181" s="81"/>
      <c r="BF181" s="81"/>
      <c r="BG181" s="81"/>
      <c r="BH181" s="81"/>
      <c r="BI181" s="81"/>
      <c r="BJ181" s="81"/>
      <c r="BK181" s="81"/>
      <c r="BL181" s="66"/>
      <c r="BM181" s="66"/>
      <c r="BN181" s="66"/>
      <c r="BO181" s="66" t="str">
        <f>PROPER(TEXT(Prog_236[[#This Row],[PROGRAMAÇÃO CLIENTE]],"mmm"))</f>
        <v>Jan</v>
      </c>
      <c r="BP181" s="66">
        <f>YEAR(Prog_236[[#This Row],[PROGRAMAÇÃO CLIENTE]])</f>
        <v>1900</v>
      </c>
    </row>
    <row r="182" spans="1:68" x14ac:dyDescent="0.25">
      <c r="A182" s="201">
        <f>Prog_236[[#This Row],[CONTEINER]]</f>
        <v>0</v>
      </c>
      <c r="B182" s="86"/>
      <c r="C1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2" s="44"/>
      <c r="E182" s="66"/>
      <c r="F182" s="66"/>
      <c r="G182" s="66"/>
      <c r="H182" s="44"/>
      <c r="I182" s="44"/>
      <c r="J182" s="66"/>
      <c r="K182" s="66"/>
      <c r="L182" s="66"/>
      <c r="M182" s="66"/>
      <c r="N182" s="66">
        <f>SUM(Prog_236[[#This Row],[TARA]]+Prog_236[[#This Row],[PESO]])</f>
        <v>0</v>
      </c>
      <c r="O182" s="44"/>
      <c r="P182" s="66"/>
      <c r="Q182" s="66"/>
      <c r="R182" s="66"/>
      <c r="S182" s="66"/>
      <c r="T182" s="138" t="str">
        <f>IFERROR(LOOKUP($S182,MOTORISTAS!$D$3:$D$1048576,MOTORISTAS!E$3:$E$1048576),"")</f>
        <v/>
      </c>
      <c r="U182" s="138" t="str">
        <f>IFERROR(LOOKUP($S182,MOTORISTAS!$D$3:$D$1048576,MOTORISTAS!F$3:$F$1048576),"")</f>
        <v/>
      </c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44"/>
      <c r="AG182" s="254">
        <f>Prog_236[[#This Row],[SAÍDA DO CLIENTE]]-Prog_236[[#This Row],[PROGRAMAÇÃO CLIENTE]]</f>
        <v>0</v>
      </c>
      <c r="AH182" s="44"/>
      <c r="AI182" s="66"/>
      <c r="AJ182" s="66"/>
      <c r="AK182" s="66"/>
      <c r="AL182" s="66"/>
      <c r="AM182" s="66"/>
      <c r="AN182" s="83"/>
      <c r="AO182" s="66"/>
      <c r="AP182" s="66"/>
      <c r="AQ182" s="66"/>
      <c r="AR182" s="81"/>
      <c r="AS182" s="81"/>
      <c r="AT182" s="81"/>
      <c r="AU182" s="81"/>
      <c r="AV182" s="83">
        <f>SUM(Prog_236[[#This Row],[ADIANTAMENTO]]+Prog_236[[#This Row],[SALDO]]+Prog_236[[#This Row],[MARGEM]]+Prog_236[[#This Row],[ESTADIA 1]])</f>
        <v>0</v>
      </c>
      <c r="AW1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2" s="81"/>
      <c r="AY182" s="81"/>
      <c r="AZ182" s="81">
        <f>Prog_236[[#This Row],[VLR NF]]*0.1%</f>
        <v>0</v>
      </c>
      <c r="BA182" s="81">
        <f>Prog_236[[#This Row],[VLR NF]]*0.05%</f>
        <v>0</v>
      </c>
      <c r="BB182" s="81"/>
      <c r="BC182" s="81"/>
      <c r="BD182" s="81"/>
      <c r="BE182" s="81"/>
      <c r="BF182" s="81"/>
      <c r="BG182" s="81"/>
      <c r="BH182" s="81"/>
      <c r="BI182" s="81"/>
      <c r="BJ182" s="81"/>
      <c r="BK182" s="81"/>
      <c r="BL182" s="66"/>
      <c r="BM182" s="66"/>
      <c r="BN182" s="66"/>
      <c r="BO182" s="66" t="str">
        <f>PROPER(TEXT(Prog_236[[#This Row],[PROGRAMAÇÃO CLIENTE]],"mmm"))</f>
        <v>Jan</v>
      </c>
      <c r="BP182" s="66">
        <f>YEAR(Prog_236[[#This Row],[PROGRAMAÇÃO CLIENTE]])</f>
        <v>1900</v>
      </c>
    </row>
    <row r="183" spans="1:68" x14ac:dyDescent="0.25">
      <c r="A183" s="200">
        <f>Prog_236[[#This Row],[CONTEINER]]</f>
        <v>0</v>
      </c>
      <c r="B183" s="86"/>
      <c r="C1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3" s="44"/>
      <c r="E183" s="66"/>
      <c r="F183" s="66"/>
      <c r="G183" s="66"/>
      <c r="H183" s="44"/>
      <c r="I183" s="44"/>
      <c r="J183" s="66"/>
      <c r="K183" s="66"/>
      <c r="L183" s="66"/>
      <c r="M183" s="66"/>
      <c r="N183" s="66">
        <f>SUM(Prog_236[[#This Row],[TARA]]+Prog_236[[#This Row],[PESO]])</f>
        <v>0</v>
      </c>
      <c r="O183" s="44"/>
      <c r="P183" s="66"/>
      <c r="Q183" s="66"/>
      <c r="R183" s="66"/>
      <c r="S183" s="66"/>
      <c r="T183" s="138" t="str">
        <f>IFERROR(LOOKUP($S183,MOTORISTAS!$D$3:$D$1048576,MOTORISTAS!E$3:$E$1048576),"")</f>
        <v/>
      </c>
      <c r="U183" s="138" t="str">
        <f>IFERROR(LOOKUP($S183,MOTORISTAS!$D$3:$D$1048576,MOTORISTAS!F$3:$F$1048576),"")</f>
        <v/>
      </c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44"/>
      <c r="AG183" s="254">
        <f>Prog_236[[#This Row],[SAÍDA DO CLIENTE]]-Prog_236[[#This Row],[PROGRAMAÇÃO CLIENTE]]</f>
        <v>0</v>
      </c>
      <c r="AH183" s="44"/>
      <c r="AI183" s="66"/>
      <c r="AJ183" s="66"/>
      <c r="AK183" s="66"/>
      <c r="AL183" s="66"/>
      <c r="AM183" s="66"/>
      <c r="AN183" s="83"/>
      <c r="AO183" s="66"/>
      <c r="AP183" s="66"/>
      <c r="AQ183" s="66"/>
      <c r="AR183" s="81"/>
      <c r="AS183" s="81"/>
      <c r="AT183" s="81"/>
      <c r="AU183" s="81"/>
      <c r="AV183" s="83">
        <f>SUM(Prog_236[[#This Row],[ADIANTAMENTO]]+Prog_236[[#This Row],[SALDO]]+Prog_236[[#This Row],[MARGEM]]+Prog_236[[#This Row],[ESTADIA 1]])</f>
        <v>0</v>
      </c>
      <c r="AW1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3" s="81"/>
      <c r="AY183" s="81"/>
      <c r="AZ183" s="81">
        <f>Prog_236[[#This Row],[VLR NF]]*0.1%</f>
        <v>0</v>
      </c>
      <c r="BA183" s="81">
        <f>Prog_236[[#This Row],[VLR NF]]*0.05%</f>
        <v>0</v>
      </c>
      <c r="BB183" s="81"/>
      <c r="BC183" s="81"/>
      <c r="BD183" s="81"/>
      <c r="BE183" s="81"/>
      <c r="BF183" s="81"/>
      <c r="BG183" s="81"/>
      <c r="BH183" s="81"/>
      <c r="BI183" s="81"/>
      <c r="BJ183" s="81"/>
      <c r="BK183" s="81"/>
      <c r="BL183" s="66"/>
      <c r="BM183" s="66"/>
      <c r="BN183" s="66"/>
      <c r="BO183" s="66" t="str">
        <f>PROPER(TEXT(Prog_236[[#This Row],[PROGRAMAÇÃO CLIENTE]],"mmm"))</f>
        <v>Jan</v>
      </c>
      <c r="BP183" s="66">
        <f>YEAR(Prog_236[[#This Row],[PROGRAMAÇÃO CLIENTE]])</f>
        <v>1900</v>
      </c>
    </row>
    <row r="184" spans="1:68" x14ac:dyDescent="0.25">
      <c r="A184" s="201">
        <f>Prog_236[[#This Row],[CONTEINER]]</f>
        <v>0</v>
      </c>
      <c r="B184" s="86"/>
      <c r="C1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4" s="44"/>
      <c r="E184" s="66"/>
      <c r="F184" s="66"/>
      <c r="G184" s="66"/>
      <c r="H184" s="44"/>
      <c r="I184" s="44"/>
      <c r="J184" s="66"/>
      <c r="K184" s="66"/>
      <c r="L184" s="66"/>
      <c r="M184" s="66"/>
      <c r="N184" s="66">
        <f>SUM(Prog_236[[#This Row],[TARA]]+Prog_236[[#This Row],[PESO]])</f>
        <v>0</v>
      </c>
      <c r="O184" s="44"/>
      <c r="P184" s="66"/>
      <c r="Q184" s="66"/>
      <c r="R184" s="66"/>
      <c r="S184" s="66"/>
      <c r="T184" s="138" t="str">
        <f>IFERROR(LOOKUP($S184,MOTORISTAS!$D$3:$D$1048576,MOTORISTAS!E$3:$E$1048576),"")</f>
        <v/>
      </c>
      <c r="U184" s="138" t="str">
        <f>IFERROR(LOOKUP($S184,MOTORISTAS!$D$3:$D$1048576,MOTORISTAS!F$3:$F$1048576),"")</f>
        <v/>
      </c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44"/>
      <c r="AG184" s="254">
        <f>Prog_236[[#This Row],[SAÍDA DO CLIENTE]]-Prog_236[[#This Row],[PROGRAMAÇÃO CLIENTE]]</f>
        <v>0</v>
      </c>
      <c r="AH184" s="44"/>
      <c r="AI184" s="66"/>
      <c r="AJ184" s="66"/>
      <c r="AK184" s="66"/>
      <c r="AL184" s="66"/>
      <c r="AM184" s="66"/>
      <c r="AN184" s="83"/>
      <c r="AO184" s="66"/>
      <c r="AP184" s="66"/>
      <c r="AQ184" s="66"/>
      <c r="AR184" s="81"/>
      <c r="AS184" s="81"/>
      <c r="AT184" s="81"/>
      <c r="AU184" s="81"/>
      <c r="AV184" s="83">
        <f>SUM(Prog_236[[#This Row],[ADIANTAMENTO]]+Prog_236[[#This Row],[SALDO]]+Prog_236[[#This Row],[MARGEM]]+Prog_236[[#This Row],[ESTADIA 1]])</f>
        <v>0</v>
      </c>
      <c r="AW1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4" s="81"/>
      <c r="AY184" s="81"/>
      <c r="AZ184" s="81">
        <f>Prog_236[[#This Row],[VLR NF]]*0.1%</f>
        <v>0</v>
      </c>
      <c r="BA184" s="81">
        <f>Prog_236[[#This Row],[VLR NF]]*0.05%</f>
        <v>0</v>
      </c>
      <c r="BB184" s="81"/>
      <c r="BC184" s="81"/>
      <c r="BD184" s="81"/>
      <c r="BE184" s="81"/>
      <c r="BF184" s="81"/>
      <c r="BG184" s="81"/>
      <c r="BH184" s="81"/>
      <c r="BI184" s="81"/>
      <c r="BJ184" s="81"/>
      <c r="BK184" s="81"/>
      <c r="BL184" s="66"/>
      <c r="BM184" s="66"/>
      <c r="BN184" s="66"/>
      <c r="BO184" s="66" t="str">
        <f>PROPER(TEXT(Prog_236[[#This Row],[PROGRAMAÇÃO CLIENTE]],"mmm"))</f>
        <v>Jan</v>
      </c>
      <c r="BP184" s="66">
        <f>YEAR(Prog_236[[#This Row],[PROGRAMAÇÃO CLIENTE]])</f>
        <v>1900</v>
      </c>
    </row>
    <row r="185" spans="1:68" x14ac:dyDescent="0.25">
      <c r="A185" s="200">
        <f>Prog_236[[#This Row],[CONTEINER]]</f>
        <v>0</v>
      </c>
      <c r="B185" s="86"/>
      <c r="C1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5" s="44"/>
      <c r="E185" s="66"/>
      <c r="F185" s="66"/>
      <c r="G185" s="66"/>
      <c r="H185" s="44"/>
      <c r="I185" s="44"/>
      <c r="J185" s="66"/>
      <c r="K185" s="66"/>
      <c r="L185" s="66"/>
      <c r="M185" s="66"/>
      <c r="N185" s="66">
        <f>SUM(Prog_236[[#This Row],[TARA]]+Prog_236[[#This Row],[PESO]])</f>
        <v>0</v>
      </c>
      <c r="O185" s="44"/>
      <c r="P185" s="66"/>
      <c r="Q185" s="66"/>
      <c r="R185" s="66"/>
      <c r="S185" s="66"/>
      <c r="T185" s="138" t="str">
        <f>IFERROR(LOOKUP($S185,MOTORISTAS!$D$3:$D$1048576,MOTORISTAS!E$3:$E$1048576),"")</f>
        <v/>
      </c>
      <c r="U185" s="138" t="str">
        <f>IFERROR(LOOKUP($S185,MOTORISTAS!$D$3:$D$1048576,MOTORISTAS!F$3:$F$1048576),"")</f>
        <v/>
      </c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44"/>
      <c r="AG185" s="254">
        <f>Prog_236[[#This Row],[SAÍDA DO CLIENTE]]-Prog_236[[#This Row],[PROGRAMAÇÃO CLIENTE]]</f>
        <v>0</v>
      </c>
      <c r="AH185" s="44"/>
      <c r="AI185" s="66"/>
      <c r="AJ185" s="66"/>
      <c r="AK185" s="66"/>
      <c r="AL185" s="66"/>
      <c r="AM185" s="66"/>
      <c r="AN185" s="83"/>
      <c r="AO185" s="66"/>
      <c r="AP185" s="66"/>
      <c r="AQ185" s="66"/>
      <c r="AR185" s="81"/>
      <c r="AS185" s="81"/>
      <c r="AT185" s="81"/>
      <c r="AU185" s="81"/>
      <c r="AV185" s="83">
        <f>SUM(Prog_236[[#This Row],[ADIANTAMENTO]]+Prog_236[[#This Row],[SALDO]]+Prog_236[[#This Row],[MARGEM]]+Prog_236[[#This Row],[ESTADIA 1]])</f>
        <v>0</v>
      </c>
      <c r="AW1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5" s="81"/>
      <c r="AY185" s="81"/>
      <c r="AZ185" s="81">
        <f>Prog_236[[#This Row],[VLR NF]]*0.1%</f>
        <v>0</v>
      </c>
      <c r="BA185" s="81">
        <f>Prog_236[[#This Row],[VLR NF]]*0.05%</f>
        <v>0</v>
      </c>
      <c r="BB185" s="81"/>
      <c r="BC185" s="81"/>
      <c r="BD185" s="81"/>
      <c r="BE185" s="81"/>
      <c r="BF185" s="81"/>
      <c r="BG185" s="81"/>
      <c r="BH185" s="81"/>
      <c r="BI185" s="81"/>
      <c r="BJ185" s="81"/>
      <c r="BK185" s="81"/>
      <c r="BL185" s="66"/>
      <c r="BM185" s="66"/>
      <c r="BN185" s="66"/>
      <c r="BO185" s="66" t="str">
        <f>PROPER(TEXT(Prog_236[[#This Row],[PROGRAMAÇÃO CLIENTE]],"mmm"))</f>
        <v>Jan</v>
      </c>
      <c r="BP185" s="66">
        <f>YEAR(Prog_236[[#This Row],[PROGRAMAÇÃO CLIENTE]])</f>
        <v>1900</v>
      </c>
    </row>
    <row r="186" spans="1:68" x14ac:dyDescent="0.25">
      <c r="A186" s="201">
        <f>Prog_236[[#This Row],[CONTEINER]]</f>
        <v>0</v>
      </c>
      <c r="B186" s="86"/>
      <c r="C1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6" s="44"/>
      <c r="E186" s="66"/>
      <c r="F186" s="66"/>
      <c r="G186" s="66"/>
      <c r="H186" s="44"/>
      <c r="I186" s="44"/>
      <c r="J186" s="66"/>
      <c r="K186" s="66"/>
      <c r="L186" s="66"/>
      <c r="M186" s="66"/>
      <c r="N186" s="66">
        <f>SUM(Prog_236[[#This Row],[TARA]]+Prog_236[[#This Row],[PESO]])</f>
        <v>0</v>
      </c>
      <c r="O186" s="44"/>
      <c r="P186" s="66"/>
      <c r="Q186" s="66"/>
      <c r="R186" s="66"/>
      <c r="S186" s="66"/>
      <c r="T186" s="138" t="str">
        <f>IFERROR(LOOKUP($S186,MOTORISTAS!$D$3:$D$1048576,MOTORISTAS!E$3:$E$1048576),"")</f>
        <v/>
      </c>
      <c r="U186" s="138" t="str">
        <f>IFERROR(LOOKUP($S186,MOTORISTAS!$D$3:$D$1048576,MOTORISTAS!F$3:$F$1048576),"")</f>
        <v/>
      </c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44"/>
      <c r="AG186" s="254">
        <f>Prog_236[[#This Row],[SAÍDA DO CLIENTE]]-Prog_236[[#This Row],[PROGRAMAÇÃO CLIENTE]]</f>
        <v>0</v>
      </c>
      <c r="AH186" s="44"/>
      <c r="AI186" s="66"/>
      <c r="AJ186" s="66"/>
      <c r="AK186" s="66"/>
      <c r="AL186" s="66"/>
      <c r="AM186" s="66"/>
      <c r="AN186" s="83"/>
      <c r="AO186" s="66"/>
      <c r="AP186" s="66"/>
      <c r="AQ186" s="66"/>
      <c r="AR186" s="81"/>
      <c r="AS186" s="81"/>
      <c r="AT186" s="81"/>
      <c r="AU186" s="81"/>
      <c r="AV186" s="83">
        <f>SUM(Prog_236[[#This Row],[ADIANTAMENTO]]+Prog_236[[#This Row],[SALDO]]+Prog_236[[#This Row],[MARGEM]]+Prog_236[[#This Row],[ESTADIA 1]])</f>
        <v>0</v>
      </c>
      <c r="AW1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6" s="81"/>
      <c r="AY186" s="81"/>
      <c r="AZ186" s="81">
        <f>Prog_236[[#This Row],[VLR NF]]*0.1%</f>
        <v>0</v>
      </c>
      <c r="BA186" s="81">
        <f>Prog_236[[#This Row],[VLR NF]]*0.05%</f>
        <v>0</v>
      </c>
      <c r="BB186" s="81"/>
      <c r="BC186" s="81"/>
      <c r="BD186" s="81"/>
      <c r="BE186" s="81"/>
      <c r="BF186" s="81"/>
      <c r="BG186" s="81"/>
      <c r="BH186" s="81"/>
      <c r="BI186" s="81"/>
      <c r="BJ186" s="81"/>
      <c r="BK186" s="81"/>
      <c r="BL186" s="66"/>
      <c r="BM186" s="66"/>
      <c r="BN186" s="66"/>
      <c r="BO186" s="66" t="str">
        <f>PROPER(TEXT(Prog_236[[#This Row],[PROGRAMAÇÃO CLIENTE]],"mmm"))</f>
        <v>Jan</v>
      </c>
      <c r="BP186" s="66">
        <f>YEAR(Prog_236[[#This Row],[PROGRAMAÇÃO CLIENTE]])</f>
        <v>1900</v>
      </c>
    </row>
    <row r="187" spans="1:68" x14ac:dyDescent="0.25">
      <c r="A187" s="200">
        <f>Prog_236[[#This Row],[CONTEINER]]</f>
        <v>0</v>
      </c>
      <c r="B187" s="86"/>
      <c r="C1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7" s="44"/>
      <c r="E187" s="66"/>
      <c r="F187" s="66"/>
      <c r="G187" s="66"/>
      <c r="H187" s="44"/>
      <c r="I187" s="44"/>
      <c r="J187" s="66"/>
      <c r="K187" s="66"/>
      <c r="L187" s="66"/>
      <c r="M187" s="66"/>
      <c r="N187" s="66">
        <f>SUM(Prog_236[[#This Row],[TARA]]+Prog_236[[#This Row],[PESO]])</f>
        <v>0</v>
      </c>
      <c r="O187" s="44"/>
      <c r="P187" s="66"/>
      <c r="Q187" s="66"/>
      <c r="R187" s="66"/>
      <c r="S187" s="66"/>
      <c r="T187" s="138" t="str">
        <f>IFERROR(LOOKUP($S187,MOTORISTAS!$D$3:$D$1048576,MOTORISTAS!E$3:$E$1048576),"")</f>
        <v/>
      </c>
      <c r="U187" s="138" t="str">
        <f>IFERROR(LOOKUP($S187,MOTORISTAS!$D$3:$D$1048576,MOTORISTAS!F$3:$F$1048576),"")</f>
        <v/>
      </c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44"/>
      <c r="AG187" s="254">
        <f>Prog_236[[#This Row],[SAÍDA DO CLIENTE]]-Prog_236[[#This Row],[PROGRAMAÇÃO CLIENTE]]</f>
        <v>0</v>
      </c>
      <c r="AH187" s="44"/>
      <c r="AI187" s="66"/>
      <c r="AJ187" s="66"/>
      <c r="AK187" s="66"/>
      <c r="AL187" s="66"/>
      <c r="AM187" s="66"/>
      <c r="AN187" s="83"/>
      <c r="AO187" s="66"/>
      <c r="AP187" s="66"/>
      <c r="AQ187" s="66"/>
      <c r="AR187" s="81"/>
      <c r="AS187" s="81"/>
      <c r="AT187" s="81"/>
      <c r="AU187" s="81"/>
      <c r="AV187" s="83">
        <f>SUM(Prog_236[[#This Row],[ADIANTAMENTO]]+Prog_236[[#This Row],[SALDO]]+Prog_236[[#This Row],[MARGEM]]+Prog_236[[#This Row],[ESTADIA 1]])</f>
        <v>0</v>
      </c>
      <c r="AW1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7" s="81"/>
      <c r="AY187" s="81"/>
      <c r="AZ187" s="81">
        <f>Prog_236[[#This Row],[VLR NF]]*0.1%</f>
        <v>0</v>
      </c>
      <c r="BA187" s="81">
        <f>Prog_236[[#This Row],[VLR NF]]*0.05%</f>
        <v>0</v>
      </c>
      <c r="BB187" s="81"/>
      <c r="BC187" s="81"/>
      <c r="BD187" s="81"/>
      <c r="BE187" s="81"/>
      <c r="BF187" s="81"/>
      <c r="BG187" s="81"/>
      <c r="BH187" s="81"/>
      <c r="BI187" s="81"/>
      <c r="BJ187" s="81"/>
      <c r="BK187" s="81"/>
      <c r="BL187" s="66"/>
      <c r="BM187" s="66"/>
      <c r="BN187" s="66"/>
      <c r="BO187" s="66" t="str">
        <f>PROPER(TEXT(Prog_236[[#This Row],[PROGRAMAÇÃO CLIENTE]],"mmm"))</f>
        <v>Jan</v>
      </c>
      <c r="BP187" s="66">
        <f>YEAR(Prog_236[[#This Row],[PROGRAMAÇÃO CLIENTE]])</f>
        <v>1900</v>
      </c>
    </row>
    <row r="188" spans="1:68" x14ac:dyDescent="0.25">
      <c r="A188" s="201">
        <f>Prog_236[[#This Row],[CONTEINER]]</f>
        <v>0</v>
      </c>
      <c r="B188" s="86"/>
      <c r="C1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8" s="44"/>
      <c r="E188" s="66"/>
      <c r="F188" s="66"/>
      <c r="G188" s="66"/>
      <c r="H188" s="44"/>
      <c r="I188" s="44"/>
      <c r="J188" s="66"/>
      <c r="K188" s="66"/>
      <c r="L188" s="66"/>
      <c r="M188" s="66"/>
      <c r="N188" s="66">
        <f>SUM(Prog_236[[#This Row],[TARA]]+Prog_236[[#This Row],[PESO]])</f>
        <v>0</v>
      </c>
      <c r="O188" s="44"/>
      <c r="P188" s="66"/>
      <c r="Q188" s="66"/>
      <c r="R188" s="66"/>
      <c r="S188" s="66"/>
      <c r="T188" s="138" t="str">
        <f>IFERROR(LOOKUP($S188,MOTORISTAS!$D$3:$D$1048576,MOTORISTAS!E$3:$E$1048576),"")</f>
        <v/>
      </c>
      <c r="U188" s="138" t="str">
        <f>IFERROR(LOOKUP($S188,MOTORISTAS!$D$3:$D$1048576,MOTORISTAS!F$3:$F$1048576),"")</f>
        <v/>
      </c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44"/>
      <c r="AG188" s="254">
        <f>Prog_236[[#This Row],[SAÍDA DO CLIENTE]]-Prog_236[[#This Row],[PROGRAMAÇÃO CLIENTE]]</f>
        <v>0</v>
      </c>
      <c r="AH188" s="44"/>
      <c r="AI188" s="66"/>
      <c r="AJ188" s="66"/>
      <c r="AK188" s="66"/>
      <c r="AL188" s="66"/>
      <c r="AM188" s="66"/>
      <c r="AN188" s="83"/>
      <c r="AO188" s="66"/>
      <c r="AP188" s="66"/>
      <c r="AQ188" s="66"/>
      <c r="AR188" s="81"/>
      <c r="AS188" s="81"/>
      <c r="AT188" s="81"/>
      <c r="AU188" s="81"/>
      <c r="AV188" s="83">
        <f>SUM(Prog_236[[#This Row],[ADIANTAMENTO]]+Prog_236[[#This Row],[SALDO]]+Prog_236[[#This Row],[MARGEM]]+Prog_236[[#This Row],[ESTADIA 1]])</f>
        <v>0</v>
      </c>
      <c r="AW1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8" s="81"/>
      <c r="AY188" s="81"/>
      <c r="AZ188" s="81">
        <f>Prog_236[[#This Row],[VLR NF]]*0.1%</f>
        <v>0</v>
      </c>
      <c r="BA188" s="81">
        <f>Prog_236[[#This Row],[VLR NF]]*0.05%</f>
        <v>0</v>
      </c>
      <c r="BB188" s="81"/>
      <c r="BC188" s="81"/>
      <c r="BD188" s="81"/>
      <c r="BE188" s="81"/>
      <c r="BF188" s="81"/>
      <c r="BG188" s="81"/>
      <c r="BH188" s="81"/>
      <c r="BI188" s="81"/>
      <c r="BJ188" s="81"/>
      <c r="BK188" s="81"/>
      <c r="BL188" s="66"/>
      <c r="BM188" s="66"/>
      <c r="BN188" s="66"/>
      <c r="BO188" s="66" t="str">
        <f>PROPER(TEXT(Prog_236[[#This Row],[PROGRAMAÇÃO CLIENTE]],"mmm"))</f>
        <v>Jan</v>
      </c>
      <c r="BP188" s="66">
        <f>YEAR(Prog_236[[#This Row],[PROGRAMAÇÃO CLIENTE]])</f>
        <v>1900</v>
      </c>
    </row>
    <row r="189" spans="1:68" x14ac:dyDescent="0.25">
      <c r="A189" s="200">
        <f>Prog_236[[#This Row],[CONTEINER]]</f>
        <v>0</v>
      </c>
      <c r="B189" s="86"/>
      <c r="C1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89" s="44"/>
      <c r="E189" s="66"/>
      <c r="F189" s="66"/>
      <c r="G189" s="66"/>
      <c r="H189" s="44"/>
      <c r="I189" s="44"/>
      <c r="J189" s="66"/>
      <c r="K189" s="66"/>
      <c r="L189" s="66"/>
      <c r="M189" s="66"/>
      <c r="N189" s="66">
        <f>SUM(Prog_236[[#This Row],[TARA]]+Prog_236[[#This Row],[PESO]])</f>
        <v>0</v>
      </c>
      <c r="O189" s="44"/>
      <c r="P189" s="66"/>
      <c r="Q189" s="66"/>
      <c r="R189" s="66"/>
      <c r="S189" s="66"/>
      <c r="T189" s="138" t="str">
        <f>IFERROR(LOOKUP($S189,MOTORISTAS!$D$3:$D$1048576,MOTORISTAS!E$3:$E$1048576),"")</f>
        <v/>
      </c>
      <c r="U189" s="138" t="str">
        <f>IFERROR(LOOKUP($S189,MOTORISTAS!$D$3:$D$1048576,MOTORISTAS!F$3:$F$1048576),"")</f>
        <v/>
      </c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44"/>
      <c r="AG189" s="254">
        <f>Prog_236[[#This Row],[SAÍDA DO CLIENTE]]-Prog_236[[#This Row],[PROGRAMAÇÃO CLIENTE]]</f>
        <v>0</v>
      </c>
      <c r="AH189" s="44"/>
      <c r="AI189" s="66"/>
      <c r="AJ189" s="66"/>
      <c r="AK189" s="66"/>
      <c r="AL189" s="66"/>
      <c r="AM189" s="66"/>
      <c r="AN189" s="83"/>
      <c r="AO189" s="66"/>
      <c r="AP189" s="66"/>
      <c r="AQ189" s="66"/>
      <c r="AR189" s="81"/>
      <c r="AS189" s="81"/>
      <c r="AT189" s="81"/>
      <c r="AU189" s="81"/>
      <c r="AV189" s="83">
        <f>SUM(Prog_236[[#This Row],[ADIANTAMENTO]]+Prog_236[[#This Row],[SALDO]]+Prog_236[[#This Row],[MARGEM]]+Prog_236[[#This Row],[ESTADIA 1]])</f>
        <v>0</v>
      </c>
      <c r="AW1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89" s="81"/>
      <c r="AY189" s="81"/>
      <c r="AZ189" s="81">
        <f>Prog_236[[#This Row],[VLR NF]]*0.1%</f>
        <v>0</v>
      </c>
      <c r="BA189" s="81">
        <f>Prog_236[[#This Row],[VLR NF]]*0.05%</f>
        <v>0</v>
      </c>
      <c r="BB189" s="81"/>
      <c r="BC189" s="81"/>
      <c r="BD189" s="81"/>
      <c r="BE189" s="81"/>
      <c r="BF189" s="81"/>
      <c r="BG189" s="81"/>
      <c r="BH189" s="81"/>
      <c r="BI189" s="81"/>
      <c r="BJ189" s="81"/>
      <c r="BK189" s="81"/>
      <c r="BL189" s="66"/>
      <c r="BM189" s="66"/>
      <c r="BN189" s="66"/>
      <c r="BO189" s="66" t="str">
        <f>PROPER(TEXT(Prog_236[[#This Row],[PROGRAMAÇÃO CLIENTE]],"mmm"))</f>
        <v>Jan</v>
      </c>
      <c r="BP189" s="66">
        <f>YEAR(Prog_236[[#This Row],[PROGRAMAÇÃO CLIENTE]])</f>
        <v>1900</v>
      </c>
    </row>
    <row r="190" spans="1:68" x14ac:dyDescent="0.25">
      <c r="A190" s="201">
        <f>Prog_236[[#This Row],[CONTEINER]]</f>
        <v>0</v>
      </c>
      <c r="B190" s="86"/>
      <c r="C1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0" s="44"/>
      <c r="E190" s="66"/>
      <c r="F190" s="66"/>
      <c r="G190" s="66"/>
      <c r="H190" s="44"/>
      <c r="I190" s="44"/>
      <c r="J190" s="66"/>
      <c r="K190" s="66"/>
      <c r="L190" s="66"/>
      <c r="M190" s="66"/>
      <c r="N190" s="66">
        <f>SUM(Prog_236[[#This Row],[TARA]]+Prog_236[[#This Row],[PESO]])</f>
        <v>0</v>
      </c>
      <c r="O190" s="44"/>
      <c r="P190" s="66"/>
      <c r="Q190" s="66"/>
      <c r="R190" s="66"/>
      <c r="S190" s="66"/>
      <c r="T190" s="138" t="str">
        <f>IFERROR(LOOKUP($S190,MOTORISTAS!$D$3:$D$1048576,MOTORISTAS!E$3:$E$1048576),"")</f>
        <v/>
      </c>
      <c r="U190" s="138" t="str">
        <f>IFERROR(LOOKUP($S190,MOTORISTAS!$D$3:$D$1048576,MOTORISTAS!F$3:$F$1048576),"")</f>
        <v/>
      </c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44"/>
      <c r="AG190" s="254">
        <f>Prog_236[[#This Row],[SAÍDA DO CLIENTE]]-Prog_236[[#This Row],[PROGRAMAÇÃO CLIENTE]]</f>
        <v>0</v>
      </c>
      <c r="AH190" s="44"/>
      <c r="AI190" s="66"/>
      <c r="AJ190" s="66"/>
      <c r="AK190" s="66"/>
      <c r="AL190" s="66"/>
      <c r="AM190" s="66"/>
      <c r="AN190" s="83"/>
      <c r="AO190" s="66"/>
      <c r="AP190" s="66"/>
      <c r="AQ190" s="66"/>
      <c r="AR190" s="81"/>
      <c r="AS190" s="81"/>
      <c r="AT190" s="81"/>
      <c r="AU190" s="81"/>
      <c r="AV190" s="83">
        <f>SUM(Prog_236[[#This Row],[ADIANTAMENTO]]+Prog_236[[#This Row],[SALDO]]+Prog_236[[#This Row],[MARGEM]]+Prog_236[[#This Row],[ESTADIA 1]])</f>
        <v>0</v>
      </c>
      <c r="AW1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0" s="81"/>
      <c r="AY190" s="81"/>
      <c r="AZ190" s="81">
        <f>Prog_236[[#This Row],[VLR NF]]*0.1%</f>
        <v>0</v>
      </c>
      <c r="BA190" s="81">
        <f>Prog_236[[#This Row],[VLR NF]]*0.05%</f>
        <v>0</v>
      </c>
      <c r="BB190" s="81"/>
      <c r="BC190" s="81"/>
      <c r="BD190" s="81"/>
      <c r="BE190" s="81"/>
      <c r="BF190" s="81"/>
      <c r="BG190" s="81"/>
      <c r="BH190" s="81"/>
      <c r="BI190" s="81"/>
      <c r="BJ190" s="81"/>
      <c r="BK190" s="81"/>
      <c r="BL190" s="66"/>
      <c r="BM190" s="66"/>
      <c r="BN190" s="66"/>
      <c r="BO190" s="66" t="str">
        <f>PROPER(TEXT(Prog_236[[#This Row],[PROGRAMAÇÃO CLIENTE]],"mmm"))</f>
        <v>Jan</v>
      </c>
      <c r="BP190" s="66">
        <f>YEAR(Prog_236[[#This Row],[PROGRAMAÇÃO CLIENTE]])</f>
        <v>1900</v>
      </c>
    </row>
    <row r="191" spans="1:68" x14ac:dyDescent="0.25">
      <c r="A191" s="200">
        <f>Prog_236[[#This Row],[CONTEINER]]</f>
        <v>0</v>
      </c>
      <c r="B191" s="86"/>
      <c r="C1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1" s="44"/>
      <c r="E191" s="66"/>
      <c r="F191" s="66"/>
      <c r="G191" s="66"/>
      <c r="H191" s="44"/>
      <c r="I191" s="44"/>
      <c r="J191" s="66"/>
      <c r="K191" s="66"/>
      <c r="L191" s="66"/>
      <c r="M191" s="66"/>
      <c r="N191" s="66">
        <f>SUM(Prog_236[[#This Row],[TARA]]+Prog_236[[#This Row],[PESO]])</f>
        <v>0</v>
      </c>
      <c r="O191" s="44"/>
      <c r="P191" s="66"/>
      <c r="Q191" s="66"/>
      <c r="R191" s="66"/>
      <c r="S191" s="66"/>
      <c r="T191" s="138" t="str">
        <f>IFERROR(LOOKUP($S191,MOTORISTAS!$D$3:$D$1048576,MOTORISTAS!E$3:$E$1048576),"")</f>
        <v/>
      </c>
      <c r="U191" s="138" t="str">
        <f>IFERROR(LOOKUP($S191,MOTORISTAS!$D$3:$D$1048576,MOTORISTAS!F$3:$F$1048576),"")</f>
        <v/>
      </c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44"/>
      <c r="AG191" s="254">
        <f>Prog_236[[#This Row],[SAÍDA DO CLIENTE]]-Prog_236[[#This Row],[PROGRAMAÇÃO CLIENTE]]</f>
        <v>0</v>
      </c>
      <c r="AH191" s="44"/>
      <c r="AI191" s="66"/>
      <c r="AJ191" s="66"/>
      <c r="AK191" s="66"/>
      <c r="AL191" s="66"/>
      <c r="AM191" s="66"/>
      <c r="AN191" s="83"/>
      <c r="AO191" s="66"/>
      <c r="AP191" s="66"/>
      <c r="AQ191" s="66"/>
      <c r="AR191" s="81"/>
      <c r="AS191" s="81"/>
      <c r="AT191" s="81"/>
      <c r="AU191" s="81"/>
      <c r="AV191" s="83">
        <f>SUM(Prog_236[[#This Row],[ADIANTAMENTO]]+Prog_236[[#This Row],[SALDO]]+Prog_236[[#This Row],[MARGEM]]+Prog_236[[#This Row],[ESTADIA 1]])</f>
        <v>0</v>
      </c>
      <c r="AW1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1" s="81"/>
      <c r="AY191" s="81"/>
      <c r="AZ191" s="81">
        <f>Prog_236[[#This Row],[VLR NF]]*0.1%</f>
        <v>0</v>
      </c>
      <c r="BA191" s="81">
        <f>Prog_236[[#This Row],[VLR NF]]*0.05%</f>
        <v>0</v>
      </c>
      <c r="BB191" s="81"/>
      <c r="BC191" s="81"/>
      <c r="BD191" s="81"/>
      <c r="BE191" s="81"/>
      <c r="BF191" s="81"/>
      <c r="BG191" s="81"/>
      <c r="BH191" s="81"/>
      <c r="BI191" s="81"/>
      <c r="BJ191" s="81"/>
      <c r="BK191" s="81"/>
      <c r="BL191" s="66"/>
      <c r="BM191" s="66"/>
      <c r="BN191" s="66"/>
      <c r="BO191" s="66" t="str">
        <f>PROPER(TEXT(Prog_236[[#This Row],[PROGRAMAÇÃO CLIENTE]],"mmm"))</f>
        <v>Jan</v>
      </c>
      <c r="BP191" s="66">
        <f>YEAR(Prog_236[[#This Row],[PROGRAMAÇÃO CLIENTE]])</f>
        <v>1900</v>
      </c>
    </row>
    <row r="192" spans="1:68" x14ac:dyDescent="0.25">
      <c r="A192" s="201">
        <f>Prog_236[[#This Row],[CONTEINER]]</f>
        <v>0</v>
      </c>
      <c r="B192" s="86"/>
      <c r="C1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2" s="44"/>
      <c r="E192" s="66"/>
      <c r="F192" s="66"/>
      <c r="G192" s="66"/>
      <c r="H192" s="44"/>
      <c r="I192" s="44"/>
      <c r="J192" s="66"/>
      <c r="K192" s="66"/>
      <c r="L192" s="66"/>
      <c r="M192" s="66"/>
      <c r="N192" s="66">
        <f>SUM(Prog_236[[#This Row],[TARA]]+Prog_236[[#This Row],[PESO]])</f>
        <v>0</v>
      </c>
      <c r="O192" s="44"/>
      <c r="P192" s="66"/>
      <c r="Q192" s="66"/>
      <c r="R192" s="66"/>
      <c r="S192" s="66"/>
      <c r="T192" s="138" t="str">
        <f>IFERROR(LOOKUP($S192,MOTORISTAS!$D$3:$D$1048576,MOTORISTAS!E$3:$E$1048576),"")</f>
        <v/>
      </c>
      <c r="U192" s="138" t="str">
        <f>IFERROR(LOOKUP($S192,MOTORISTAS!$D$3:$D$1048576,MOTORISTAS!F$3:$F$1048576),"")</f>
        <v/>
      </c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44"/>
      <c r="AG192" s="254">
        <f>Prog_236[[#This Row],[SAÍDA DO CLIENTE]]-Prog_236[[#This Row],[PROGRAMAÇÃO CLIENTE]]</f>
        <v>0</v>
      </c>
      <c r="AH192" s="44"/>
      <c r="AI192" s="66"/>
      <c r="AJ192" s="66"/>
      <c r="AK192" s="66"/>
      <c r="AL192" s="66"/>
      <c r="AM192" s="66"/>
      <c r="AN192" s="83"/>
      <c r="AO192" s="66"/>
      <c r="AP192" s="66"/>
      <c r="AQ192" s="66"/>
      <c r="AR192" s="81"/>
      <c r="AS192" s="81"/>
      <c r="AT192" s="81"/>
      <c r="AU192" s="81"/>
      <c r="AV192" s="83">
        <f>SUM(Prog_236[[#This Row],[ADIANTAMENTO]]+Prog_236[[#This Row],[SALDO]]+Prog_236[[#This Row],[MARGEM]]+Prog_236[[#This Row],[ESTADIA 1]])</f>
        <v>0</v>
      </c>
      <c r="AW1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2" s="81"/>
      <c r="AY192" s="81"/>
      <c r="AZ192" s="81">
        <f>Prog_236[[#This Row],[VLR NF]]*0.1%</f>
        <v>0</v>
      </c>
      <c r="BA192" s="81">
        <f>Prog_236[[#This Row],[VLR NF]]*0.05%</f>
        <v>0</v>
      </c>
      <c r="BB192" s="81"/>
      <c r="BC192" s="81"/>
      <c r="BD192" s="81"/>
      <c r="BE192" s="81"/>
      <c r="BF192" s="81"/>
      <c r="BG192" s="81"/>
      <c r="BH192" s="81"/>
      <c r="BI192" s="81"/>
      <c r="BJ192" s="81"/>
      <c r="BK192" s="81"/>
      <c r="BL192" s="66"/>
      <c r="BM192" s="66"/>
      <c r="BN192" s="66"/>
      <c r="BO192" s="66" t="str">
        <f>PROPER(TEXT(Prog_236[[#This Row],[PROGRAMAÇÃO CLIENTE]],"mmm"))</f>
        <v>Jan</v>
      </c>
      <c r="BP192" s="66">
        <f>YEAR(Prog_236[[#This Row],[PROGRAMAÇÃO CLIENTE]])</f>
        <v>1900</v>
      </c>
    </row>
    <row r="193" spans="1:68" x14ac:dyDescent="0.25">
      <c r="A193" s="200">
        <f>Prog_236[[#This Row],[CONTEINER]]</f>
        <v>0</v>
      </c>
      <c r="B193" s="86"/>
      <c r="C1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3" s="44"/>
      <c r="E193" s="66"/>
      <c r="F193" s="66"/>
      <c r="G193" s="66"/>
      <c r="H193" s="44"/>
      <c r="I193" s="44"/>
      <c r="J193" s="66"/>
      <c r="K193" s="66"/>
      <c r="L193" s="66"/>
      <c r="M193" s="66"/>
      <c r="N193" s="66">
        <f>SUM(Prog_236[[#This Row],[TARA]]+Prog_236[[#This Row],[PESO]])</f>
        <v>0</v>
      </c>
      <c r="O193" s="44"/>
      <c r="P193" s="66"/>
      <c r="Q193" s="66"/>
      <c r="R193" s="66"/>
      <c r="S193" s="66"/>
      <c r="T193" s="138" t="str">
        <f>IFERROR(LOOKUP($S193,MOTORISTAS!$D$3:$D$1048576,MOTORISTAS!E$3:$E$1048576),"")</f>
        <v/>
      </c>
      <c r="U193" s="138" t="str">
        <f>IFERROR(LOOKUP($S193,MOTORISTAS!$D$3:$D$1048576,MOTORISTAS!F$3:$F$1048576),"")</f>
        <v/>
      </c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44"/>
      <c r="AG193" s="254">
        <f>Prog_236[[#This Row],[SAÍDA DO CLIENTE]]-Prog_236[[#This Row],[PROGRAMAÇÃO CLIENTE]]</f>
        <v>0</v>
      </c>
      <c r="AH193" s="44"/>
      <c r="AI193" s="66"/>
      <c r="AJ193" s="66"/>
      <c r="AK193" s="66"/>
      <c r="AL193" s="66"/>
      <c r="AM193" s="66"/>
      <c r="AN193" s="83"/>
      <c r="AO193" s="66"/>
      <c r="AP193" s="66"/>
      <c r="AQ193" s="66"/>
      <c r="AR193" s="81"/>
      <c r="AS193" s="81"/>
      <c r="AT193" s="81"/>
      <c r="AU193" s="81"/>
      <c r="AV193" s="83">
        <f>SUM(Prog_236[[#This Row],[ADIANTAMENTO]]+Prog_236[[#This Row],[SALDO]]+Prog_236[[#This Row],[MARGEM]]+Prog_236[[#This Row],[ESTADIA 1]])</f>
        <v>0</v>
      </c>
      <c r="AW1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3" s="81"/>
      <c r="AY193" s="81"/>
      <c r="AZ193" s="81">
        <f>Prog_236[[#This Row],[VLR NF]]*0.1%</f>
        <v>0</v>
      </c>
      <c r="BA193" s="81">
        <f>Prog_236[[#This Row],[VLR NF]]*0.05%</f>
        <v>0</v>
      </c>
      <c r="BB193" s="81"/>
      <c r="BC193" s="81"/>
      <c r="BD193" s="81"/>
      <c r="BE193" s="81"/>
      <c r="BF193" s="81"/>
      <c r="BG193" s="81"/>
      <c r="BH193" s="81"/>
      <c r="BI193" s="81"/>
      <c r="BJ193" s="81"/>
      <c r="BK193" s="81"/>
      <c r="BL193" s="66"/>
      <c r="BM193" s="66"/>
      <c r="BN193" s="66"/>
      <c r="BO193" s="66" t="str">
        <f>PROPER(TEXT(Prog_236[[#This Row],[PROGRAMAÇÃO CLIENTE]],"mmm"))</f>
        <v>Jan</v>
      </c>
      <c r="BP193" s="66">
        <f>YEAR(Prog_236[[#This Row],[PROGRAMAÇÃO CLIENTE]])</f>
        <v>1900</v>
      </c>
    </row>
    <row r="194" spans="1:68" x14ac:dyDescent="0.25">
      <c r="A194" s="201">
        <f>Prog_236[[#This Row],[CONTEINER]]</f>
        <v>0</v>
      </c>
      <c r="B194" s="86"/>
      <c r="C1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4" s="44"/>
      <c r="E194" s="66"/>
      <c r="F194" s="66"/>
      <c r="G194" s="66"/>
      <c r="H194" s="44"/>
      <c r="I194" s="44"/>
      <c r="J194" s="66"/>
      <c r="K194" s="66"/>
      <c r="L194" s="66"/>
      <c r="M194" s="66"/>
      <c r="N194" s="66">
        <f>SUM(Prog_236[[#This Row],[TARA]]+Prog_236[[#This Row],[PESO]])</f>
        <v>0</v>
      </c>
      <c r="O194" s="44"/>
      <c r="P194" s="66"/>
      <c r="Q194" s="66"/>
      <c r="R194" s="66"/>
      <c r="S194" s="66"/>
      <c r="T194" s="138" t="str">
        <f>IFERROR(LOOKUP($S194,MOTORISTAS!$D$3:$D$1048576,MOTORISTAS!E$3:$E$1048576),"")</f>
        <v/>
      </c>
      <c r="U194" s="138" t="str">
        <f>IFERROR(LOOKUP($S194,MOTORISTAS!$D$3:$D$1048576,MOTORISTAS!F$3:$F$1048576),"")</f>
        <v/>
      </c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44"/>
      <c r="AG194" s="254">
        <f>Prog_236[[#This Row],[SAÍDA DO CLIENTE]]-Prog_236[[#This Row],[PROGRAMAÇÃO CLIENTE]]</f>
        <v>0</v>
      </c>
      <c r="AH194" s="44"/>
      <c r="AI194" s="66"/>
      <c r="AJ194" s="66"/>
      <c r="AK194" s="66"/>
      <c r="AL194" s="66"/>
      <c r="AM194" s="66"/>
      <c r="AN194" s="83"/>
      <c r="AO194" s="66"/>
      <c r="AP194" s="66"/>
      <c r="AQ194" s="66"/>
      <c r="AR194" s="81"/>
      <c r="AS194" s="81"/>
      <c r="AT194" s="81"/>
      <c r="AU194" s="81"/>
      <c r="AV194" s="83">
        <f>SUM(Prog_236[[#This Row],[ADIANTAMENTO]]+Prog_236[[#This Row],[SALDO]]+Prog_236[[#This Row],[MARGEM]]+Prog_236[[#This Row],[ESTADIA 1]])</f>
        <v>0</v>
      </c>
      <c r="AW1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4" s="81"/>
      <c r="AY194" s="81"/>
      <c r="AZ194" s="81">
        <f>Prog_236[[#This Row],[VLR NF]]*0.1%</f>
        <v>0</v>
      </c>
      <c r="BA194" s="81">
        <f>Prog_236[[#This Row],[VLR NF]]*0.05%</f>
        <v>0</v>
      </c>
      <c r="BB194" s="81"/>
      <c r="BC194" s="81"/>
      <c r="BD194" s="81"/>
      <c r="BE194" s="81"/>
      <c r="BF194" s="81"/>
      <c r="BG194" s="81"/>
      <c r="BH194" s="81"/>
      <c r="BI194" s="81"/>
      <c r="BJ194" s="81"/>
      <c r="BK194" s="81"/>
      <c r="BL194" s="66"/>
      <c r="BM194" s="66"/>
      <c r="BN194" s="66"/>
      <c r="BO194" s="66" t="str">
        <f>PROPER(TEXT(Prog_236[[#This Row],[PROGRAMAÇÃO CLIENTE]],"mmm"))</f>
        <v>Jan</v>
      </c>
      <c r="BP194" s="66">
        <f>YEAR(Prog_236[[#This Row],[PROGRAMAÇÃO CLIENTE]])</f>
        <v>1900</v>
      </c>
    </row>
    <row r="195" spans="1:68" x14ac:dyDescent="0.25">
      <c r="A195" s="200">
        <f>Prog_236[[#This Row],[CONTEINER]]</f>
        <v>0</v>
      </c>
      <c r="B195" s="86"/>
      <c r="C1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5" s="44"/>
      <c r="E195" s="66"/>
      <c r="F195" s="66"/>
      <c r="G195" s="66"/>
      <c r="H195" s="44"/>
      <c r="I195" s="44"/>
      <c r="J195" s="66"/>
      <c r="K195" s="66"/>
      <c r="L195" s="66"/>
      <c r="M195" s="66"/>
      <c r="N195" s="66">
        <f>SUM(Prog_236[[#This Row],[TARA]]+Prog_236[[#This Row],[PESO]])</f>
        <v>0</v>
      </c>
      <c r="O195" s="44"/>
      <c r="P195" s="66"/>
      <c r="Q195" s="66"/>
      <c r="R195" s="66"/>
      <c r="S195" s="66"/>
      <c r="T195" s="138" t="str">
        <f>IFERROR(LOOKUP($S195,MOTORISTAS!$D$3:$D$1048576,MOTORISTAS!E$3:$E$1048576),"")</f>
        <v/>
      </c>
      <c r="U195" s="138" t="str">
        <f>IFERROR(LOOKUP($S195,MOTORISTAS!$D$3:$D$1048576,MOTORISTAS!F$3:$F$1048576),"")</f>
        <v/>
      </c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44"/>
      <c r="AG195" s="254">
        <f>Prog_236[[#This Row],[SAÍDA DO CLIENTE]]-Prog_236[[#This Row],[PROGRAMAÇÃO CLIENTE]]</f>
        <v>0</v>
      </c>
      <c r="AH195" s="44"/>
      <c r="AI195" s="66"/>
      <c r="AJ195" s="66"/>
      <c r="AK195" s="66"/>
      <c r="AL195" s="66"/>
      <c r="AM195" s="66"/>
      <c r="AN195" s="83"/>
      <c r="AO195" s="66"/>
      <c r="AP195" s="66"/>
      <c r="AQ195" s="66"/>
      <c r="AR195" s="81"/>
      <c r="AS195" s="81"/>
      <c r="AT195" s="81"/>
      <c r="AU195" s="81"/>
      <c r="AV195" s="83">
        <f>SUM(Prog_236[[#This Row],[ADIANTAMENTO]]+Prog_236[[#This Row],[SALDO]]+Prog_236[[#This Row],[MARGEM]]+Prog_236[[#This Row],[ESTADIA 1]])</f>
        <v>0</v>
      </c>
      <c r="AW1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5" s="81"/>
      <c r="AY195" s="81"/>
      <c r="AZ195" s="81">
        <f>Prog_236[[#This Row],[VLR NF]]*0.1%</f>
        <v>0</v>
      </c>
      <c r="BA195" s="81">
        <f>Prog_236[[#This Row],[VLR NF]]*0.05%</f>
        <v>0</v>
      </c>
      <c r="BB195" s="81"/>
      <c r="BC195" s="81"/>
      <c r="BD195" s="81"/>
      <c r="BE195" s="81"/>
      <c r="BF195" s="81"/>
      <c r="BG195" s="81"/>
      <c r="BH195" s="81"/>
      <c r="BI195" s="81"/>
      <c r="BJ195" s="81"/>
      <c r="BK195" s="81"/>
      <c r="BL195" s="66"/>
      <c r="BM195" s="66"/>
      <c r="BN195" s="66"/>
      <c r="BO195" s="66" t="str">
        <f>PROPER(TEXT(Prog_236[[#This Row],[PROGRAMAÇÃO CLIENTE]],"mmm"))</f>
        <v>Jan</v>
      </c>
      <c r="BP195" s="66">
        <f>YEAR(Prog_236[[#This Row],[PROGRAMAÇÃO CLIENTE]])</f>
        <v>1900</v>
      </c>
    </row>
    <row r="196" spans="1:68" x14ac:dyDescent="0.25">
      <c r="A196" s="201">
        <f>Prog_236[[#This Row],[CONTEINER]]</f>
        <v>0</v>
      </c>
      <c r="B196" s="86"/>
      <c r="C1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6" s="44"/>
      <c r="E196" s="66"/>
      <c r="F196" s="66"/>
      <c r="G196" s="66"/>
      <c r="H196" s="44"/>
      <c r="I196" s="44"/>
      <c r="J196" s="66"/>
      <c r="K196" s="66"/>
      <c r="L196" s="66"/>
      <c r="M196" s="66"/>
      <c r="N196" s="66">
        <f>SUM(Prog_236[[#This Row],[TARA]]+Prog_236[[#This Row],[PESO]])</f>
        <v>0</v>
      </c>
      <c r="O196" s="44"/>
      <c r="P196" s="66"/>
      <c r="Q196" s="66"/>
      <c r="R196" s="66"/>
      <c r="S196" s="66"/>
      <c r="T196" s="138" t="str">
        <f>IFERROR(LOOKUP($S196,MOTORISTAS!$D$3:$D$1048576,MOTORISTAS!E$3:$E$1048576),"")</f>
        <v/>
      </c>
      <c r="U196" s="138" t="str">
        <f>IFERROR(LOOKUP($S196,MOTORISTAS!$D$3:$D$1048576,MOTORISTAS!F$3:$F$1048576),"")</f>
        <v/>
      </c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44"/>
      <c r="AG196" s="254">
        <f>Prog_236[[#This Row],[SAÍDA DO CLIENTE]]-Prog_236[[#This Row],[PROGRAMAÇÃO CLIENTE]]</f>
        <v>0</v>
      </c>
      <c r="AH196" s="44"/>
      <c r="AI196" s="66"/>
      <c r="AJ196" s="66"/>
      <c r="AK196" s="66"/>
      <c r="AL196" s="66"/>
      <c r="AM196" s="66"/>
      <c r="AN196" s="83"/>
      <c r="AO196" s="66"/>
      <c r="AP196" s="66"/>
      <c r="AQ196" s="66"/>
      <c r="AR196" s="81"/>
      <c r="AS196" s="81"/>
      <c r="AT196" s="81"/>
      <c r="AU196" s="81"/>
      <c r="AV196" s="83">
        <f>SUM(Prog_236[[#This Row],[ADIANTAMENTO]]+Prog_236[[#This Row],[SALDO]]+Prog_236[[#This Row],[MARGEM]]+Prog_236[[#This Row],[ESTADIA 1]])</f>
        <v>0</v>
      </c>
      <c r="AW1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6" s="81"/>
      <c r="AY196" s="81"/>
      <c r="AZ196" s="81">
        <f>Prog_236[[#This Row],[VLR NF]]*0.1%</f>
        <v>0</v>
      </c>
      <c r="BA196" s="81">
        <f>Prog_236[[#This Row],[VLR NF]]*0.05%</f>
        <v>0</v>
      </c>
      <c r="BB196" s="81"/>
      <c r="BC196" s="81"/>
      <c r="BD196" s="81"/>
      <c r="BE196" s="81"/>
      <c r="BF196" s="81"/>
      <c r="BG196" s="81"/>
      <c r="BH196" s="81"/>
      <c r="BI196" s="81"/>
      <c r="BJ196" s="81"/>
      <c r="BK196" s="81"/>
      <c r="BL196" s="66"/>
      <c r="BM196" s="66"/>
      <c r="BN196" s="66"/>
      <c r="BO196" s="66" t="str">
        <f>PROPER(TEXT(Prog_236[[#This Row],[PROGRAMAÇÃO CLIENTE]],"mmm"))</f>
        <v>Jan</v>
      </c>
      <c r="BP196" s="66">
        <f>YEAR(Prog_236[[#This Row],[PROGRAMAÇÃO CLIENTE]])</f>
        <v>1900</v>
      </c>
    </row>
    <row r="197" spans="1:68" x14ac:dyDescent="0.25">
      <c r="A197" s="200">
        <f>Prog_236[[#This Row],[CONTEINER]]</f>
        <v>0</v>
      </c>
      <c r="B197" s="86"/>
      <c r="C1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7" s="44"/>
      <c r="E197" s="66"/>
      <c r="F197" s="66"/>
      <c r="G197" s="66"/>
      <c r="H197" s="44"/>
      <c r="I197" s="44"/>
      <c r="J197" s="66"/>
      <c r="K197" s="66"/>
      <c r="L197" s="66"/>
      <c r="M197" s="66"/>
      <c r="N197" s="66">
        <f>SUM(Prog_236[[#This Row],[TARA]]+Prog_236[[#This Row],[PESO]])</f>
        <v>0</v>
      </c>
      <c r="O197" s="44"/>
      <c r="P197" s="66"/>
      <c r="Q197" s="66"/>
      <c r="R197" s="66"/>
      <c r="S197" s="66"/>
      <c r="T197" s="138" t="str">
        <f>IFERROR(LOOKUP($S197,MOTORISTAS!$D$3:$D$1048576,MOTORISTAS!E$3:$E$1048576),"")</f>
        <v/>
      </c>
      <c r="U197" s="138" t="str">
        <f>IFERROR(LOOKUP($S197,MOTORISTAS!$D$3:$D$1048576,MOTORISTAS!F$3:$F$1048576),"")</f>
        <v/>
      </c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44"/>
      <c r="AG197" s="254">
        <f>Prog_236[[#This Row],[SAÍDA DO CLIENTE]]-Prog_236[[#This Row],[PROGRAMAÇÃO CLIENTE]]</f>
        <v>0</v>
      </c>
      <c r="AH197" s="44"/>
      <c r="AI197" s="66"/>
      <c r="AJ197" s="66"/>
      <c r="AK197" s="66"/>
      <c r="AL197" s="66"/>
      <c r="AM197" s="66"/>
      <c r="AN197" s="83"/>
      <c r="AO197" s="66"/>
      <c r="AP197" s="66"/>
      <c r="AQ197" s="66"/>
      <c r="AR197" s="81"/>
      <c r="AS197" s="81"/>
      <c r="AT197" s="81"/>
      <c r="AU197" s="81"/>
      <c r="AV197" s="83">
        <f>SUM(Prog_236[[#This Row],[ADIANTAMENTO]]+Prog_236[[#This Row],[SALDO]]+Prog_236[[#This Row],[MARGEM]]+Prog_236[[#This Row],[ESTADIA 1]])</f>
        <v>0</v>
      </c>
      <c r="AW1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7" s="81"/>
      <c r="AY197" s="81"/>
      <c r="AZ197" s="81">
        <f>Prog_236[[#This Row],[VLR NF]]*0.1%</f>
        <v>0</v>
      </c>
      <c r="BA197" s="81">
        <f>Prog_236[[#This Row],[VLR NF]]*0.05%</f>
        <v>0</v>
      </c>
      <c r="BB197" s="81"/>
      <c r="BC197" s="81"/>
      <c r="BD197" s="81"/>
      <c r="BE197" s="81"/>
      <c r="BF197" s="81"/>
      <c r="BG197" s="81"/>
      <c r="BH197" s="81"/>
      <c r="BI197" s="81"/>
      <c r="BJ197" s="81"/>
      <c r="BK197" s="81"/>
      <c r="BL197" s="66"/>
      <c r="BM197" s="66"/>
      <c r="BN197" s="66"/>
      <c r="BO197" s="66" t="str">
        <f>PROPER(TEXT(Prog_236[[#This Row],[PROGRAMAÇÃO CLIENTE]],"mmm"))</f>
        <v>Jan</v>
      </c>
      <c r="BP197" s="66">
        <f>YEAR(Prog_236[[#This Row],[PROGRAMAÇÃO CLIENTE]])</f>
        <v>1900</v>
      </c>
    </row>
    <row r="198" spans="1:68" x14ac:dyDescent="0.25">
      <c r="A198" s="201">
        <f>Prog_236[[#This Row],[CONTEINER]]</f>
        <v>0</v>
      </c>
      <c r="B198" s="86"/>
      <c r="C1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8" s="44"/>
      <c r="E198" s="66"/>
      <c r="F198" s="66"/>
      <c r="G198" s="66"/>
      <c r="H198" s="44"/>
      <c r="I198" s="44"/>
      <c r="J198" s="66"/>
      <c r="K198" s="66"/>
      <c r="L198" s="66"/>
      <c r="M198" s="66"/>
      <c r="N198" s="66">
        <f>SUM(Prog_236[[#This Row],[TARA]]+Prog_236[[#This Row],[PESO]])</f>
        <v>0</v>
      </c>
      <c r="O198" s="44"/>
      <c r="P198" s="66"/>
      <c r="Q198" s="66"/>
      <c r="R198" s="66"/>
      <c r="S198" s="66"/>
      <c r="T198" s="138" t="str">
        <f>IFERROR(LOOKUP($S198,MOTORISTAS!$D$3:$D$1048576,MOTORISTAS!E$3:$E$1048576),"")</f>
        <v/>
      </c>
      <c r="U198" s="138" t="str">
        <f>IFERROR(LOOKUP($S198,MOTORISTAS!$D$3:$D$1048576,MOTORISTAS!F$3:$F$1048576),"")</f>
        <v/>
      </c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44"/>
      <c r="AG198" s="254">
        <f>Prog_236[[#This Row],[SAÍDA DO CLIENTE]]-Prog_236[[#This Row],[PROGRAMAÇÃO CLIENTE]]</f>
        <v>0</v>
      </c>
      <c r="AH198" s="44"/>
      <c r="AI198" s="66"/>
      <c r="AJ198" s="66"/>
      <c r="AK198" s="66"/>
      <c r="AL198" s="66"/>
      <c r="AM198" s="66"/>
      <c r="AN198" s="83"/>
      <c r="AO198" s="66"/>
      <c r="AP198" s="66"/>
      <c r="AQ198" s="66"/>
      <c r="AR198" s="81"/>
      <c r="AS198" s="81"/>
      <c r="AT198" s="81"/>
      <c r="AU198" s="81"/>
      <c r="AV198" s="83">
        <f>SUM(Prog_236[[#This Row],[ADIANTAMENTO]]+Prog_236[[#This Row],[SALDO]]+Prog_236[[#This Row],[MARGEM]]+Prog_236[[#This Row],[ESTADIA 1]])</f>
        <v>0</v>
      </c>
      <c r="AW1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8" s="81"/>
      <c r="AY198" s="81"/>
      <c r="AZ198" s="81">
        <f>Prog_236[[#This Row],[VLR NF]]*0.1%</f>
        <v>0</v>
      </c>
      <c r="BA198" s="81">
        <f>Prog_236[[#This Row],[VLR NF]]*0.05%</f>
        <v>0</v>
      </c>
      <c r="BB198" s="81"/>
      <c r="BC198" s="81"/>
      <c r="BD198" s="81"/>
      <c r="BE198" s="81"/>
      <c r="BF198" s="81"/>
      <c r="BG198" s="81"/>
      <c r="BH198" s="81"/>
      <c r="BI198" s="81"/>
      <c r="BJ198" s="81"/>
      <c r="BK198" s="81"/>
      <c r="BL198" s="66"/>
      <c r="BM198" s="66"/>
      <c r="BN198" s="66"/>
      <c r="BO198" s="66" t="str">
        <f>PROPER(TEXT(Prog_236[[#This Row],[PROGRAMAÇÃO CLIENTE]],"mmm"))</f>
        <v>Jan</v>
      </c>
      <c r="BP198" s="66">
        <f>YEAR(Prog_236[[#This Row],[PROGRAMAÇÃO CLIENTE]])</f>
        <v>1900</v>
      </c>
    </row>
    <row r="199" spans="1:68" x14ac:dyDescent="0.25">
      <c r="A199" s="200">
        <f>Prog_236[[#This Row],[CONTEINER]]</f>
        <v>0</v>
      </c>
      <c r="B199" s="86"/>
      <c r="C1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99" s="44"/>
      <c r="E199" s="66"/>
      <c r="F199" s="66"/>
      <c r="G199" s="66"/>
      <c r="H199" s="44"/>
      <c r="I199" s="44"/>
      <c r="J199" s="66"/>
      <c r="K199" s="66"/>
      <c r="L199" s="66"/>
      <c r="M199" s="66"/>
      <c r="N199" s="66">
        <f>SUM(Prog_236[[#This Row],[TARA]]+Prog_236[[#This Row],[PESO]])</f>
        <v>0</v>
      </c>
      <c r="O199" s="44"/>
      <c r="P199" s="66"/>
      <c r="Q199" s="66"/>
      <c r="R199" s="66"/>
      <c r="S199" s="66"/>
      <c r="T199" s="138" t="str">
        <f>IFERROR(LOOKUP($S199,MOTORISTAS!$D$3:$D$1048576,MOTORISTAS!E$3:$E$1048576),"")</f>
        <v/>
      </c>
      <c r="U199" s="138" t="str">
        <f>IFERROR(LOOKUP($S199,MOTORISTAS!$D$3:$D$1048576,MOTORISTAS!F$3:$F$1048576),"")</f>
        <v/>
      </c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44"/>
      <c r="AG199" s="254">
        <f>Prog_236[[#This Row],[SAÍDA DO CLIENTE]]-Prog_236[[#This Row],[PROGRAMAÇÃO CLIENTE]]</f>
        <v>0</v>
      </c>
      <c r="AH199" s="44"/>
      <c r="AI199" s="66"/>
      <c r="AJ199" s="66"/>
      <c r="AK199" s="66"/>
      <c r="AL199" s="66"/>
      <c r="AM199" s="66"/>
      <c r="AN199" s="83"/>
      <c r="AO199" s="66"/>
      <c r="AP199" s="66"/>
      <c r="AQ199" s="66"/>
      <c r="AR199" s="81"/>
      <c r="AS199" s="81"/>
      <c r="AT199" s="81"/>
      <c r="AU199" s="81"/>
      <c r="AV199" s="83">
        <f>SUM(Prog_236[[#This Row],[ADIANTAMENTO]]+Prog_236[[#This Row],[SALDO]]+Prog_236[[#This Row],[MARGEM]]+Prog_236[[#This Row],[ESTADIA 1]])</f>
        <v>0</v>
      </c>
      <c r="AW1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99" s="81"/>
      <c r="AY199" s="81"/>
      <c r="AZ199" s="81">
        <f>Prog_236[[#This Row],[VLR NF]]*0.1%</f>
        <v>0</v>
      </c>
      <c r="BA199" s="81">
        <f>Prog_236[[#This Row],[VLR NF]]*0.05%</f>
        <v>0</v>
      </c>
      <c r="BB199" s="81"/>
      <c r="BC199" s="81"/>
      <c r="BD199" s="81"/>
      <c r="BE199" s="81"/>
      <c r="BF199" s="81"/>
      <c r="BG199" s="81"/>
      <c r="BH199" s="81"/>
      <c r="BI199" s="81"/>
      <c r="BJ199" s="81"/>
      <c r="BK199" s="81"/>
      <c r="BL199" s="66"/>
      <c r="BM199" s="66"/>
      <c r="BN199" s="66"/>
      <c r="BO199" s="66" t="str">
        <f>PROPER(TEXT(Prog_236[[#This Row],[PROGRAMAÇÃO CLIENTE]],"mmm"))</f>
        <v>Jan</v>
      </c>
      <c r="BP199" s="66">
        <f>YEAR(Prog_236[[#This Row],[PROGRAMAÇÃO CLIENTE]])</f>
        <v>1900</v>
      </c>
    </row>
    <row r="200" spans="1:68" x14ac:dyDescent="0.25">
      <c r="A200" s="201">
        <f>Prog_236[[#This Row],[CONTEINER]]</f>
        <v>0</v>
      </c>
      <c r="B200" s="86"/>
      <c r="C2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0" s="44"/>
      <c r="E200" s="66"/>
      <c r="F200" s="66"/>
      <c r="G200" s="66"/>
      <c r="H200" s="44"/>
      <c r="I200" s="44"/>
      <c r="J200" s="66"/>
      <c r="K200" s="66"/>
      <c r="L200" s="66"/>
      <c r="M200" s="66"/>
      <c r="N200" s="66">
        <f>SUM(Prog_236[[#This Row],[TARA]]+Prog_236[[#This Row],[PESO]])</f>
        <v>0</v>
      </c>
      <c r="O200" s="44"/>
      <c r="P200" s="66"/>
      <c r="Q200" s="66"/>
      <c r="R200" s="66"/>
      <c r="S200" s="66"/>
      <c r="T200" s="138" t="str">
        <f>IFERROR(LOOKUP($S200,MOTORISTAS!$D$3:$D$1048576,MOTORISTAS!E$3:$E$1048576),"")</f>
        <v/>
      </c>
      <c r="U200" s="138" t="str">
        <f>IFERROR(LOOKUP($S200,MOTORISTAS!$D$3:$D$1048576,MOTORISTAS!F$3:$F$1048576),"")</f>
        <v/>
      </c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44"/>
      <c r="AG200" s="254">
        <f>Prog_236[[#This Row],[SAÍDA DO CLIENTE]]-Prog_236[[#This Row],[PROGRAMAÇÃO CLIENTE]]</f>
        <v>0</v>
      </c>
      <c r="AH200" s="44"/>
      <c r="AI200" s="66"/>
      <c r="AJ200" s="66"/>
      <c r="AK200" s="66"/>
      <c r="AL200" s="66"/>
      <c r="AM200" s="66"/>
      <c r="AN200" s="83"/>
      <c r="AO200" s="66"/>
      <c r="AP200" s="66"/>
      <c r="AQ200" s="66"/>
      <c r="AR200" s="81"/>
      <c r="AS200" s="81"/>
      <c r="AT200" s="81"/>
      <c r="AU200" s="81"/>
      <c r="AV200" s="83">
        <f>SUM(Prog_236[[#This Row],[ADIANTAMENTO]]+Prog_236[[#This Row],[SALDO]]+Prog_236[[#This Row],[MARGEM]]+Prog_236[[#This Row],[ESTADIA 1]])</f>
        <v>0</v>
      </c>
      <c r="AW2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0" s="81"/>
      <c r="AY200" s="81"/>
      <c r="AZ200" s="81">
        <f>Prog_236[[#This Row],[VLR NF]]*0.1%</f>
        <v>0</v>
      </c>
      <c r="BA200" s="81">
        <f>Prog_236[[#This Row],[VLR NF]]*0.05%</f>
        <v>0</v>
      </c>
      <c r="BB200" s="81"/>
      <c r="BC200" s="81"/>
      <c r="BD200" s="81"/>
      <c r="BE200" s="81"/>
      <c r="BF200" s="81"/>
      <c r="BG200" s="81"/>
      <c r="BH200" s="81"/>
      <c r="BI200" s="81"/>
      <c r="BJ200" s="81"/>
      <c r="BK200" s="81"/>
      <c r="BL200" s="66"/>
      <c r="BM200" s="66"/>
      <c r="BN200" s="66"/>
      <c r="BO200" s="66" t="str">
        <f>PROPER(TEXT(Prog_236[[#This Row],[PROGRAMAÇÃO CLIENTE]],"mmm"))</f>
        <v>Jan</v>
      </c>
      <c r="BP200" s="66">
        <f>YEAR(Prog_236[[#This Row],[PROGRAMAÇÃO CLIENTE]])</f>
        <v>1900</v>
      </c>
    </row>
    <row r="201" spans="1:68" x14ac:dyDescent="0.25">
      <c r="A201" s="200">
        <f>Prog_236[[#This Row],[CONTEINER]]</f>
        <v>0</v>
      </c>
      <c r="B201" s="86"/>
      <c r="C2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1" s="44"/>
      <c r="E201" s="66"/>
      <c r="F201" s="66"/>
      <c r="G201" s="66"/>
      <c r="H201" s="44"/>
      <c r="I201" s="44"/>
      <c r="J201" s="66"/>
      <c r="K201" s="66"/>
      <c r="L201" s="66"/>
      <c r="M201" s="66"/>
      <c r="N201" s="66">
        <f>SUM(Prog_236[[#This Row],[TARA]]+Prog_236[[#This Row],[PESO]])</f>
        <v>0</v>
      </c>
      <c r="O201" s="44"/>
      <c r="P201" s="66"/>
      <c r="Q201" s="66"/>
      <c r="R201" s="66"/>
      <c r="S201" s="66"/>
      <c r="T201" s="138" t="str">
        <f>IFERROR(LOOKUP($S201,MOTORISTAS!$D$3:$D$1048576,MOTORISTAS!E$3:$E$1048576),"")</f>
        <v/>
      </c>
      <c r="U201" s="138" t="str">
        <f>IFERROR(LOOKUP($S201,MOTORISTAS!$D$3:$D$1048576,MOTORISTAS!F$3:$F$1048576),"")</f>
        <v/>
      </c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44"/>
      <c r="AG201" s="254">
        <f>Prog_236[[#This Row],[SAÍDA DO CLIENTE]]-Prog_236[[#This Row],[PROGRAMAÇÃO CLIENTE]]</f>
        <v>0</v>
      </c>
      <c r="AH201" s="44"/>
      <c r="AI201" s="66"/>
      <c r="AJ201" s="66"/>
      <c r="AK201" s="66"/>
      <c r="AL201" s="66"/>
      <c r="AM201" s="66"/>
      <c r="AN201" s="83"/>
      <c r="AO201" s="66"/>
      <c r="AP201" s="66"/>
      <c r="AQ201" s="66"/>
      <c r="AR201" s="81"/>
      <c r="AS201" s="81"/>
      <c r="AT201" s="81"/>
      <c r="AU201" s="81"/>
      <c r="AV201" s="83">
        <f>SUM(Prog_236[[#This Row],[ADIANTAMENTO]]+Prog_236[[#This Row],[SALDO]]+Prog_236[[#This Row],[MARGEM]]+Prog_236[[#This Row],[ESTADIA 1]])</f>
        <v>0</v>
      </c>
      <c r="AW2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1" s="81"/>
      <c r="AY201" s="81"/>
      <c r="AZ201" s="81">
        <f>Prog_236[[#This Row],[VLR NF]]*0.1%</f>
        <v>0</v>
      </c>
      <c r="BA201" s="81">
        <f>Prog_236[[#This Row],[VLR NF]]*0.05%</f>
        <v>0</v>
      </c>
      <c r="BB201" s="81"/>
      <c r="BC201" s="81"/>
      <c r="BD201" s="81"/>
      <c r="BE201" s="81"/>
      <c r="BF201" s="81"/>
      <c r="BG201" s="81"/>
      <c r="BH201" s="81"/>
      <c r="BI201" s="81"/>
      <c r="BJ201" s="81"/>
      <c r="BK201" s="81"/>
      <c r="BL201" s="66"/>
      <c r="BM201" s="66"/>
      <c r="BN201" s="66"/>
      <c r="BO201" s="66" t="str">
        <f>PROPER(TEXT(Prog_236[[#This Row],[PROGRAMAÇÃO CLIENTE]],"mmm"))</f>
        <v>Jan</v>
      </c>
      <c r="BP201" s="66">
        <f>YEAR(Prog_236[[#This Row],[PROGRAMAÇÃO CLIENTE]])</f>
        <v>1900</v>
      </c>
    </row>
    <row r="202" spans="1:68" x14ac:dyDescent="0.25">
      <c r="A202" s="201">
        <f>Prog_236[[#This Row],[CONTEINER]]</f>
        <v>0</v>
      </c>
      <c r="B202" s="86"/>
      <c r="C2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2" s="44"/>
      <c r="E202" s="66"/>
      <c r="F202" s="66"/>
      <c r="G202" s="66"/>
      <c r="H202" s="44"/>
      <c r="I202" s="44"/>
      <c r="J202" s="66"/>
      <c r="K202" s="66"/>
      <c r="L202" s="66"/>
      <c r="M202" s="66"/>
      <c r="N202" s="66">
        <f>SUM(Prog_236[[#This Row],[TARA]]+Prog_236[[#This Row],[PESO]])</f>
        <v>0</v>
      </c>
      <c r="O202" s="44"/>
      <c r="P202" s="66"/>
      <c r="Q202" s="66"/>
      <c r="R202" s="66"/>
      <c r="S202" s="66"/>
      <c r="T202" s="138" t="str">
        <f>IFERROR(LOOKUP($S202,MOTORISTAS!$D$3:$D$1048576,MOTORISTAS!E$3:$E$1048576),"")</f>
        <v/>
      </c>
      <c r="U202" s="138" t="str">
        <f>IFERROR(LOOKUP($S202,MOTORISTAS!$D$3:$D$1048576,MOTORISTAS!F$3:$F$1048576),"")</f>
        <v/>
      </c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44"/>
      <c r="AG202" s="254">
        <f>Prog_236[[#This Row],[SAÍDA DO CLIENTE]]-Prog_236[[#This Row],[PROGRAMAÇÃO CLIENTE]]</f>
        <v>0</v>
      </c>
      <c r="AH202" s="44"/>
      <c r="AI202" s="66"/>
      <c r="AJ202" s="66"/>
      <c r="AK202" s="66"/>
      <c r="AL202" s="66"/>
      <c r="AM202" s="66"/>
      <c r="AN202" s="83"/>
      <c r="AO202" s="66"/>
      <c r="AP202" s="66"/>
      <c r="AQ202" s="66"/>
      <c r="AR202" s="81"/>
      <c r="AS202" s="81"/>
      <c r="AT202" s="81"/>
      <c r="AU202" s="81"/>
      <c r="AV202" s="83">
        <f>SUM(Prog_236[[#This Row],[ADIANTAMENTO]]+Prog_236[[#This Row],[SALDO]]+Prog_236[[#This Row],[MARGEM]]+Prog_236[[#This Row],[ESTADIA 1]])</f>
        <v>0</v>
      </c>
      <c r="AW2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2" s="81"/>
      <c r="AY202" s="81"/>
      <c r="AZ202" s="81">
        <f>Prog_236[[#This Row],[VLR NF]]*0.1%</f>
        <v>0</v>
      </c>
      <c r="BA202" s="81">
        <f>Prog_236[[#This Row],[VLR NF]]*0.05%</f>
        <v>0</v>
      </c>
      <c r="BB202" s="81"/>
      <c r="BC202" s="81"/>
      <c r="BD202" s="81"/>
      <c r="BE202" s="81"/>
      <c r="BF202" s="81"/>
      <c r="BG202" s="81"/>
      <c r="BH202" s="81"/>
      <c r="BI202" s="81"/>
      <c r="BJ202" s="81"/>
      <c r="BK202" s="81"/>
      <c r="BL202" s="66"/>
      <c r="BM202" s="66"/>
      <c r="BN202" s="66"/>
      <c r="BO202" s="66" t="str">
        <f>PROPER(TEXT(Prog_236[[#This Row],[PROGRAMAÇÃO CLIENTE]],"mmm"))</f>
        <v>Jan</v>
      </c>
      <c r="BP202" s="66">
        <f>YEAR(Prog_236[[#This Row],[PROGRAMAÇÃO CLIENTE]])</f>
        <v>1900</v>
      </c>
    </row>
    <row r="203" spans="1:68" x14ac:dyDescent="0.25">
      <c r="A203" s="200">
        <f>Prog_236[[#This Row],[CONTEINER]]</f>
        <v>0</v>
      </c>
      <c r="B203" s="86"/>
      <c r="C2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3" s="44"/>
      <c r="E203" s="66"/>
      <c r="F203" s="66"/>
      <c r="G203" s="66"/>
      <c r="H203" s="44"/>
      <c r="I203" s="44"/>
      <c r="J203" s="66"/>
      <c r="K203" s="66"/>
      <c r="L203" s="66"/>
      <c r="M203" s="66"/>
      <c r="N203" s="66">
        <f>SUM(Prog_236[[#This Row],[TARA]]+Prog_236[[#This Row],[PESO]])</f>
        <v>0</v>
      </c>
      <c r="O203" s="44"/>
      <c r="P203" s="66"/>
      <c r="Q203" s="66"/>
      <c r="R203" s="66"/>
      <c r="S203" s="66"/>
      <c r="T203" s="138" t="str">
        <f>IFERROR(LOOKUP($S203,MOTORISTAS!$D$3:$D$1048576,MOTORISTAS!E$3:$E$1048576),"")</f>
        <v/>
      </c>
      <c r="U203" s="138" t="str">
        <f>IFERROR(LOOKUP($S203,MOTORISTAS!$D$3:$D$1048576,MOTORISTAS!F$3:$F$1048576),"")</f>
        <v/>
      </c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44"/>
      <c r="AG203" s="254">
        <f>Prog_236[[#This Row],[SAÍDA DO CLIENTE]]-Prog_236[[#This Row],[PROGRAMAÇÃO CLIENTE]]</f>
        <v>0</v>
      </c>
      <c r="AH203" s="44"/>
      <c r="AI203" s="66"/>
      <c r="AJ203" s="66"/>
      <c r="AK203" s="66"/>
      <c r="AL203" s="66"/>
      <c r="AM203" s="66"/>
      <c r="AN203" s="83"/>
      <c r="AO203" s="66"/>
      <c r="AP203" s="66"/>
      <c r="AQ203" s="66"/>
      <c r="AR203" s="81"/>
      <c r="AS203" s="81"/>
      <c r="AT203" s="81"/>
      <c r="AU203" s="81"/>
      <c r="AV203" s="83">
        <f>SUM(Prog_236[[#This Row],[ADIANTAMENTO]]+Prog_236[[#This Row],[SALDO]]+Prog_236[[#This Row],[MARGEM]]+Prog_236[[#This Row],[ESTADIA 1]])</f>
        <v>0</v>
      </c>
      <c r="AW2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3" s="81"/>
      <c r="AY203" s="81"/>
      <c r="AZ203" s="81">
        <f>Prog_236[[#This Row],[VLR NF]]*0.1%</f>
        <v>0</v>
      </c>
      <c r="BA203" s="81">
        <f>Prog_236[[#This Row],[VLR NF]]*0.05%</f>
        <v>0</v>
      </c>
      <c r="BB203" s="81"/>
      <c r="BC203" s="81"/>
      <c r="BD203" s="81"/>
      <c r="BE203" s="81"/>
      <c r="BF203" s="81"/>
      <c r="BG203" s="81"/>
      <c r="BH203" s="81"/>
      <c r="BI203" s="81"/>
      <c r="BJ203" s="81"/>
      <c r="BK203" s="81"/>
      <c r="BL203" s="66"/>
      <c r="BM203" s="66"/>
      <c r="BN203" s="66"/>
      <c r="BO203" s="66" t="str">
        <f>PROPER(TEXT(Prog_236[[#This Row],[PROGRAMAÇÃO CLIENTE]],"mmm"))</f>
        <v>Jan</v>
      </c>
      <c r="BP203" s="66">
        <f>YEAR(Prog_236[[#This Row],[PROGRAMAÇÃO CLIENTE]])</f>
        <v>1900</v>
      </c>
    </row>
    <row r="204" spans="1:68" x14ac:dyDescent="0.25">
      <c r="A204" s="201">
        <f>Prog_236[[#This Row],[CONTEINER]]</f>
        <v>0</v>
      </c>
      <c r="B204" s="86"/>
      <c r="C2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4" s="44"/>
      <c r="E204" s="66"/>
      <c r="F204" s="66"/>
      <c r="G204" s="66"/>
      <c r="H204" s="44"/>
      <c r="I204" s="44"/>
      <c r="J204" s="66"/>
      <c r="K204" s="66"/>
      <c r="L204" s="66"/>
      <c r="M204" s="66"/>
      <c r="N204" s="66">
        <f>SUM(Prog_236[[#This Row],[TARA]]+Prog_236[[#This Row],[PESO]])</f>
        <v>0</v>
      </c>
      <c r="O204" s="44"/>
      <c r="P204" s="66"/>
      <c r="Q204" s="66"/>
      <c r="R204" s="66"/>
      <c r="S204" s="66"/>
      <c r="T204" s="138" t="str">
        <f>IFERROR(LOOKUP($S204,MOTORISTAS!$D$3:$D$1048576,MOTORISTAS!E$3:$E$1048576),"")</f>
        <v/>
      </c>
      <c r="U204" s="138" t="str">
        <f>IFERROR(LOOKUP($S204,MOTORISTAS!$D$3:$D$1048576,MOTORISTAS!F$3:$F$1048576),"")</f>
        <v/>
      </c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44"/>
      <c r="AG204" s="254">
        <f>Prog_236[[#This Row],[SAÍDA DO CLIENTE]]-Prog_236[[#This Row],[PROGRAMAÇÃO CLIENTE]]</f>
        <v>0</v>
      </c>
      <c r="AH204" s="44"/>
      <c r="AI204" s="66"/>
      <c r="AJ204" s="66"/>
      <c r="AK204" s="66"/>
      <c r="AL204" s="66"/>
      <c r="AM204" s="66"/>
      <c r="AN204" s="83"/>
      <c r="AO204" s="66"/>
      <c r="AP204" s="66"/>
      <c r="AQ204" s="66"/>
      <c r="AR204" s="81"/>
      <c r="AS204" s="81"/>
      <c r="AT204" s="81"/>
      <c r="AU204" s="81"/>
      <c r="AV204" s="83">
        <f>SUM(Prog_236[[#This Row],[ADIANTAMENTO]]+Prog_236[[#This Row],[SALDO]]+Prog_236[[#This Row],[MARGEM]]+Prog_236[[#This Row],[ESTADIA 1]])</f>
        <v>0</v>
      </c>
      <c r="AW2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4" s="81"/>
      <c r="AY204" s="81"/>
      <c r="AZ204" s="81">
        <f>Prog_236[[#This Row],[VLR NF]]*0.1%</f>
        <v>0</v>
      </c>
      <c r="BA204" s="81">
        <f>Prog_236[[#This Row],[VLR NF]]*0.05%</f>
        <v>0</v>
      </c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66"/>
      <c r="BM204" s="66"/>
      <c r="BN204" s="66"/>
      <c r="BO204" s="66" t="str">
        <f>PROPER(TEXT(Prog_236[[#This Row],[PROGRAMAÇÃO CLIENTE]],"mmm"))</f>
        <v>Jan</v>
      </c>
      <c r="BP204" s="66">
        <f>YEAR(Prog_236[[#This Row],[PROGRAMAÇÃO CLIENTE]])</f>
        <v>1900</v>
      </c>
    </row>
    <row r="205" spans="1:68" x14ac:dyDescent="0.25">
      <c r="A205" s="200">
        <f>Prog_236[[#This Row],[CONTEINER]]</f>
        <v>0</v>
      </c>
      <c r="B205" s="86"/>
      <c r="C2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5" s="44"/>
      <c r="E205" s="66"/>
      <c r="F205" s="66"/>
      <c r="G205" s="66"/>
      <c r="H205" s="44"/>
      <c r="I205" s="44"/>
      <c r="J205" s="66"/>
      <c r="K205" s="66"/>
      <c r="L205" s="66"/>
      <c r="M205" s="66"/>
      <c r="N205" s="66">
        <f>SUM(Prog_236[[#This Row],[TARA]]+Prog_236[[#This Row],[PESO]])</f>
        <v>0</v>
      </c>
      <c r="O205" s="44"/>
      <c r="P205" s="66"/>
      <c r="Q205" s="66"/>
      <c r="R205" s="66"/>
      <c r="S205" s="66"/>
      <c r="T205" s="138" t="str">
        <f>IFERROR(LOOKUP($S205,MOTORISTAS!$D$3:$D$1048576,MOTORISTAS!E$3:$E$1048576),"")</f>
        <v/>
      </c>
      <c r="U205" s="138" t="str">
        <f>IFERROR(LOOKUP($S205,MOTORISTAS!$D$3:$D$1048576,MOTORISTAS!F$3:$F$1048576),"")</f>
        <v/>
      </c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44"/>
      <c r="AG205" s="254">
        <f>Prog_236[[#This Row],[SAÍDA DO CLIENTE]]-Prog_236[[#This Row],[PROGRAMAÇÃO CLIENTE]]</f>
        <v>0</v>
      </c>
      <c r="AH205" s="44"/>
      <c r="AI205" s="66"/>
      <c r="AJ205" s="66"/>
      <c r="AK205" s="66"/>
      <c r="AL205" s="66"/>
      <c r="AM205" s="66"/>
      <c r="AN205" s="83"/>
      <c r="AO205" s="66"/>
      <c r="AP205" s="66"/>
      <c r="AQ205" s="66"/>
      <c r="AR205" s="81"/>
      <c r="AS205" s="81"/>
      <c r="AT205" s="81"/>
      <c r="AU205" s="81"/>
      <c r="AV205" s="83">
        <f>SUM(Prog_236[[#This Row],[ADIANTAMENTO]]+Prog_236[[#This Row],[SALDO]]+Prog_236[[#This Row],[MARGEM]]+Prog_236[[#This Row],[ESTADIA 1]])</f>
        <v>0</v>
      </c>
      <c r="AW2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5" s="81"/>
      <c r="AY205" s="81"/>
      <c r="AZ205" s="81">
        <f>Prog_236[[#This Row],[VLR NF]]*0.1%</f>
        <v>0</v>
      </c>
      <c r="BA205" s="81">
        <f>Prog_236[[#This Row],[VLR NF]]*0.05%</f>
        <v>0</v>
      </c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66"/>
      <c r="BM205" s="66"/>
      <c r="BN205" s="66"/>
      <c r="BO205" s="66" t="str">
        <f>PROPER(TEXT(Prog_236[[#This Row],[PROGRAMAÇÃO CLIENTE]],"mmm"))</f>
        <v>Jan</v>
      </c>
      <c r="BP205" s="66">
        <f>YEAR(Prog_236[[#This Row],[PROGRAMAÇÃO CLIENTE]])</f>
        <v>1900</v>
      </c>
    </row>
    <row r="206" spans="1:68" x14ac:dyDescent="0.25">
      <c r="A206" s="201">
        <f>Prog_236[[#This Row],[CONTEINER]]</f>
        <v>0</v>
      </c>
      <c r="B206" s="86"/>
      <c r="C2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6" s="44"/>
      <c r="E206" s="66"/>
      <c r="F206" s="66"/>
      <c r="G206" s="66"/>
      <c r="H206" s="44"/>
      <c r="I206" s="44"/>
      <c r="J206" s="66"/>
      <c r="K206" s="66"/>
      <c r="L206" s="66"/>
      <c r="M206" s="66"/>
      <c r="N206" s="66">
        <f>SUM(Prog_236[[#This Row],[TARA]]+Prog_236[[#This Row],[PESO]])</f>
        <v>0</v>
      </c>
      <c r="O206" s="44"/>
      <c r="P206" s="66"/>
      <c r="Q206" s="66"/>
      <c r="R206" s="66"/>
      <c r="S206" s="66"/>
      <c r="T206" s="138" t="str">
        <f>IFERROR(LOOKUP($S206,MOTORISTAS!$D$3:$D$1048576,MOTORISTAS!E$3:$E$1048576),"")</f>
        <v/>
      </c>
      <c r="U206" s="138" t="str">
        <f>IFERROR(LOOKUP($S206,MOTORISTAS!$D$3:$D$1048576,MOTORISTAS!F$3:$F$1048576),"")</f>
        <v/>
      </c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44"/>
      <c r="AG206" s="254">
        <f>Prog_236[[#This Row],[SAÍDA DO CLIENTE]]-Prog_236[[#This Row],[PROGRAMAÇÃO CLIENTE]]</f>
        <v>0</v>
      </c>
      <c r="AH206" s="44"/>
      <c r="AI206" s="66"/>
      <c r="AJ206" s="66"/>
      <c r="AK206" s="66"/>
      <c r="AL206" s="66"/>
      <c r="AM206" s="66"/>
      <c r="AN206" s="83"/>
      <c r="AO206" s="66"/>
      <c r="AP206" s="66"/>
      <c r="AQ206" s="66"/>
      <c r="AR206" s="81"/>
      <c r="AS206" s="81"/>
      <c r="AT206" s="81"/>
      <c r="AU206" s="81"/>
      <c r="AV206" s="83">
        <f>SUM(Prog_236[[#This Row],[ADIANTAMENTO]]+Prog_236[[#This Row],[SALDO]]+Prog_236[[#This Row],[MARGEM]]+Prog_236[[#This Row],[ESTADIA 1]])</f>
        <v>0</v>
      </c>
      <c r="AW2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6" s="81"/>
      <c r="AY206" s="81"/>
      <c r="AZ206" s="81">
        <f>Prog_236[[#This Row],[VLR NF]]*0.1%</f>
        <v>0</v>
      </c>
      <c r="BA206" s="81">
        <f>Prog_236[[#This Row],[VLR NF]]*0.05%</f>
        <v>0</v>
      </c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66"/>
      <c r="BM206" s="66"/>
      <c r="BN206" s="66"/>
      <c r="BO206" s="66" t="str">
        <f>PROPER(TEXT(Prog_236[[#This Row],[PROGRAMAÇÃO CLIENTE]],"mmm"))</f>
        <v>Jan</v>
      </c>
      <c r="BP206" s="66">
        <f>YEAR(Prog_236[[#This Row],[PROGRAMAÇÃO CLIENTE]])</f>
        <v>1900</v>
      </c>
    </row>
    <row r="207" spans="1:68" x14ac:dyDescent="0.25">
      <c r="A207" s="200">
        <f>Prog_236[[#This Row],[CONTEINER]]</f>
        <v>0</v>
      </c>
      <c r="B207" s="86"/>
      <c r="C2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7" s="44"/>
      <c r="E207" s="66"/>
      <c r="F207" s="66"/>
      <c r="G207" s="66"/>
      <c r="H207" s="44"/>
      <c r="I207" s="44"/>
      <c r="J207" s="66"/>
      <c r="K207" s="66"/>
      <c r="L207" s="66"/>
      <c r="M207" s="66"/>
      <c r="N207" s="66">
        <f>SUM(Prog_236[[#This Row],[TARA]]+Prog_236[[#This Row],[PESO]])</f>
        <v>0</v>
      </c>
      <c r="O207" s="44"/>
      <c r="P207" s="66"/>
      <c r="Q207" s="66"/>
      <c r="R207" s="66"/>
      <c r="S207" s="66"/>
      <c r="T207" s="138" t="str">
        <f>IFERROR(LOOKUP($S207,MOTORISTAS!$D$3:$D$1048576,MOTORISTAS!E$3:$E$1048576),"")</f>
        <v/>
      </c>
      <c r="U207" s="138" t="str">
        <f>IFERROR(LOOKUP($S207,MOTORISTAS!$D$3:$D$1048576,MOTORISTAS!F$3:$F$1048576),"")</f>
        <v/>
      </c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44"/>
      <c r="AG207" s="254">
        <f>Prog_236[[#This Row],[SAÍDA DO CLIENTE]]-Prog_236[[#This Row],[PROGRAMAÇÃO CLIENTE]]</f>
        <v>0</v>
      </c>
      <c r="AH207" s="44"/>
      <c r="AI207" s="66"/>
      <c r="AJ207" s="66"/>
      <c r="AK207" s="66"/>
      <c r="AL207" s="66"/>
      <c r="AM207" s="66"/>
      <c r="AN207" s="83"/>
      <c r="AO207" s="66"/>
      <c r="AP207" s="66"/>
      <c r="AQ207" s="66"/>
      <c r="AR207" s="81"/>
      <c r="AS207" s="81"/>
      <c r="AT207" s="81"/>
      <c r="AU207" s="81"/>
      <c r="AV207" s="83">
        <f>SUM(Prog_236[[#This Row],[ADIANTAMENTO]]+Prog_236[[#This Row],[SALDO]]+Prog_236[[#This Row],[MARGEM]]+Prog_236[[#This Row],[ESTADIA 1]])</f>
        <v>0</v>
      </c>
      <c r="AW2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7" s="81"/>
      <c r="AY207" s="81"/>
      <c r="AZ207" s="81">
        <f>Prog_236[[#This Row],[VLR NF]]*0.1%</f>
        <v>0</v>
      </c>
      <c r="BA207" s="81">
        <f>Prog_236[[#This Row],[VLR NF]]*0.05%</f>
        <v>0</v>
      </c>
      <c r="BB207" s="81"/>
      <c r="BC207" s="81"/>
      <c r="BD207" s="81"/>
      <c r="BE207" s="81"/>
      <c r="BF207" s="81"/>
      <c r="BG207" s="81"/>
      <c r="BH207" s="81"/>
      <c r="BI207" s="81"/>
      <c r="BJ207" s="81"/>
      <c r="BK207" s="81"/>
      <c r="BL207" s="66"/>
      <c r="BM207" s="66"/>
      <c r="BN207" s="66"/>
      <c r="BO207" s="66" t="str">
        <f>PROPER(TEXT(Prog_236[[#This Row],[PROGRAMAÇÃO CLIENTE]],"mmm"))</f>
        <v>Jan</v>
      </c>
      <c r="BP207" s="66">
        <f>YEAR(Prog_236[[#This Row],[PROGRAMAÇÃO CLIENTE]])</f>
        <v>1900</v>
      </c>
    </row>
    <row r="208" spans="1:68" x14ac:dyDescent="0.25">
      <c r="A208" s="201">
        <f>Prog_236[[#This Row],[CONTEINER]]</f>
        <v>0</v>
      </c>
      <c r="B208" s="86"/>
      <c r="C2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8" s="44"/>
      <c r="E208" s="66"/>
      <c r="F208" s="66"/>
      <c r="G208" s="66"/>
      <c r="H208" s="44"/>
      <c r="I208" s="44"/>
      <c r="J208" s="66"/>
      <c r="K208" s="66"/>
      <c r="L208" s="66"/>
      <c r="M208" s="66"/>
      <c r="N208" s="66">
        <f>SUM(Prog_236[[#This Row],[TARA]]+Prog_236[[#This Row],[PESO]])</f>
        <v>0</v>
      </c>
      <c r="O208" s="44"/>
      <c r="P208" s="66"/>
      <c r="Q208" s="66"/>
      <c r="R208" s="66"/>
      <c r="S208" s="66"/>
      <c r="T208" s="138" t="str">
        <f>IFERROR(LOOKUP($S208,MOTORISTAS!$D$3:$D$1048576,MOTORISTAS!E$3:$E$1048576),"")</f>
        <v/>
      </c>
      <c r="U208" s="138" t="str">
        <f>IFERROR(LOOKUP($S208,MOTORISTAS!$D$3:$D$1048576,MOTORISTAS!F$3:$F$1048576),"")</f>
        <v/>
      </c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44"/>
      <c r="AG208" s="254">
        <f>Prog_236[[#This Row],[SAÍDA DO CLIENTE]]-Prog_236[[#This Row],[PROGRAMAÇÃO CLIENTE]]</f>
        <v>0</v>
      </c>
      <c r="AH208" s="44"/>
      <c r="AI208" s="66"/>
      <c r="AJ208" s="66"/>
      <c r="AK208" s="66"/>
      <c r="AL208" s="66"/>
      <c r="AM208" s="66"/>
      <c r="AN208" s="83"/>
      <c r="AO208" s="66"/>
      <c r="AP208" s="66"/>
      <c r="AQ208" s="66"/>
      <c r="AR208" s="81"/>
      <c r="AS208" s="81"/>
      <c r="AT208" s="81"/>
      <c r="AU208" s="81"/>
      <c r="AV208" s="83">
        <f>SUM(Prog_236[[#This Row],[ADIANTAMENTO]]+Prog_236[[#This Row],[SALDO]]+Prog_236[[#This Row],[MARGEM]]+Prog_236[[#This Row],[ESTADIA 1]])</f>
        <v>0</v>
      </c>
      <c r="AW2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8" s="81"/>
      <c r="AY208" s="81"/>
      <c r="AZ208" s="81">
        <f>Prog_236[[#This Row],[VLR NF]]*0.1%</f>
        <v>0</v>
      </c>
      <c r="BA208" s="81">
        <f>Prog_236[[#This Row],[VLR NF]]*0.05%</f>
        <v>0</v>
      </c>
      <c r="BB208" s="81"/>
      <c r="BC208" s="81"/>
      <c r="BD208" s="81"/>
      <c r="BE208" s="81"/>
      <c r="BF208" s="81"/>
      <c r="BG208" s="81"/>
      <c r="BH208" s="81"/>
      <c r="BI208" s="81"/>
      <c r="BJ208" s="81"/>
      <c r="BK208" s="81"/>
      <c r="BL208" s="66"/>
      <c r="BM208" s="66"/>
      <c r="BN208" s="66"/>
      <c r="BO208" s="66" t="str">
        <f>PROPER(TEXT(Prog_236[[#This Row],[PROGRAMAÇÃO CLIENTE]],"mmm"))</f>
        <v>Jan</v>
      </c>
      <c r="BP208" s="66">
        <f>YEAR(Prog_236[[#This Row],[PROGRAMAÇÃO CLIENTE]])</f>
        <v>1900</v>
      </c>
    </row>
    <row r="209" spans="1:68" x14ac:dyDescent="0.25">
      <c r="A209" s="200">
        <f>Prog_236[[#This Row],[CONTEINER]]</f>
        <v>0</v>
      </c>
      <c r="B209" s="86"/>
      <c r="C2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09" s="44"/>
      <c r="E209" s="66"/>
      <c r="F209" s="66"/>
      <c r="G209" s="66"/>
      <c r="H209" s="44"/>
      <c r="I209" s="44"/>
      <c r="J209" s="66"/>
      <c r="K209" s="66"/>
      <c r="L209" s="66"/>
      <c r="M209" s="66"/>
      <c r="N209" s="66">
        <f>SUM(Prog_236[[#This Row],[TARA]]+Prog_236[[#This Row],[PESO]])</f>
        <v>0</v>
      </c>
      <c r="O209" s="44"/>
      <c r="P209" s="66"/>
      <c r="Q209" s="66"/>
      <c r="R209" s="66"/>
      <c r="S209" s="66"/>
      <c r="T209" s="138" t="str">
        <f>IFERROR(LOOKUP($S209,MOTORISTAS!$D$3:$D$1048576,MOTORISTAS!E$3:$E$1048576),"")</f>
        <v/>
      </c>
      <c r="U209" s="138" t="str">
        <f>IFERROR(LOOKUP($S209,MOTORISTAS!$D$3:$D$1048576,MOTORISTAS!F$3:$F$1048576),"")</f>
        <v/>
      </c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44"/>
      <c r="AG209" s="254">
        <f>Prog_236[[#This Row],[SAÍDA DO CLIENTE]]-Prog_236[[#This Row],[PROGRAMAÇÃO CLIENTE]]</f>
        <v>0</v>
      </c>
      <c r="AH209" s="44"/>
      <c r="AI209" s="66"/>
      <c r="AJ209" s="66"/>
      <c r="AK209" s="66"/>
      <c r="AL209" s="66"/>
      <c r="AM209" s="66"/>
      <c r="AN209" s="83"/>
      <c r="AO209" s="66"/>
      <c r="AP209" s="66"/>
      <c r="AQ209" s="66"/>
      <c r="AR209" s="81"/>
      <c r="AS209" s="81"/>
      <c r="AT209" s="81"/>
      <c r="AU209" s="81"/>
      <c r="AV209" s="83">
        <f>SUM(Prog_236[[#This Row],[ADIANTAMENTO]]+Prog_236[[#This Row],[SALDO]]+Prog_236[[#This Row],[MARGEM]]+Prog_236[[#This Row],[ESTADIA 1]])</f>
        <v>0</v>
      </c>
      <c r="AW2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09" s="81"/>
      <c r="AY209" s="81"/>
      <c r="AZ209" s="81">
        <f>Prog_236[[#This Row],[VLR NF]]*0.1%</f>
        <v>0</v>
      </c>
      <c r="BA209" s="81">
        <f>Prog_236[[#This Row],[VLR NF]]*0.05%</f>
        <v>0</v>
      </c>
      <c r="BB209" s="81"/>
      <c r="BC209" s="81"/>
      <c r="BD209" s="81"/>
      <c r="BE209" s="81"/>
      <c r="BF209" s="81"/>
      <c r="BG209" s="81"/>
      <c r="BH209" s="81"/>
      <c r="BI209" s="81"/>
      <c r="BJ209" s="81"/>
      <c r="BK209" s="81"/>
      <c r="BL209" s="66"/>
      <c r="BM209" s="66"/>
      <c r="BN209" s="66"/>
      <c r="BO209" s="66" t="str">
        <f>PROPER(TEXT(Prog_236[[#This Row],[PROGRAMAÇÃO CLIENTE]],"mmm"))</f>
        <v>Jan</v>
      </c>
      <c r="BP209" s="66">
        <f>YEAR(Prog_236[[#This Row],[PROGRAMAÇÃO CLIENTE]])</f>
        <v>1900</v>
      </c>
    </row>
    <row r="210" spans="1:68" x14ac:dyDescent="0.25">
      <c r="A210" s="201">
        <f>Prog_236[[#This Row],[CONTEINER]]</f>
        <v>0</v>
      </c>
      <c r="B210" s="86"/>
      <c r="C2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10" s="44"/>
      <c r="E210" s="66"/>
      <c r="F210" s="66"/>
      <c r="G210" s="66"/>
      <c r="H210" s="44"/>
      <c r="I210" s="44"/>
      <c r="J210" s="66"/>
      <c r="K210" s="66"/>
      <c r="L210" s="66"/>
      <c r="M210" s="66"/>
      <c r="N210" s="66">
        <f>SUM(Prog_236[[#This Row],[TARA]]+Prog_236[[#This Row],[PESO]])</f>
        <v>0</v>
      </c>
      <c r="O210" s="44"/>
      <c r="P210" s="66"/>
      <c r="Q210" s="66"/>
      <c r="R210" s="66"/>
      <c r="S210" s="66"/>
      <c r="T210" s="138" t="str">
        <f>IFERROR(LOOKUP($S210,MOTORISTAS!$D$3:$D$1048576,MOTORISTAS!E$3:$E$1048576),"")</f>
        <v/>
      </c>
      <c r="U210" s="138" t="str">
        <f>IFERROR(LOOKUP($S210,MOTORISTAS!$D$3:$D$1048576,MOTORISTAS!F$3:$F$1048576),"")</f>
        <v/>
      </c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44"/>
      <c r="AG210" s="254">
        <f>Prog_236[[#This Row],[SAÍDA DO CLIENTE]]-Prog_236[[#This Row],[PROGRAMAÇÃO CLIENTE]]</f>
        <v>0</v>
      </c>
      <c r="AH210" s="44"/>
      <c r="AI210" s="66"/>
      <c r="AJ210" s="66"/>
      <c r="AK210" s="66"/>
      <c r="AL210" s="66"/>
      <c r="AM210" s="66"/>
      <c r="AN210" s="83"/>
      <c r="AO210" s="66"/>
      <c r="AP210" s="66"/>
      <c r="AQ210" s="66"/>
      <c r="AR210" s="81"/>
      <c r="AS210" s="81"/>
      <c r="AT210" s="81"/>
      <c r="AU210" s="81"/>
      <c r="AV210" s="83">
        <f>SUM(Prog_236[[#This Row],[ADIANTAMENTO]]+Prog_236[[#This Row],[SALDO]]+Prog_236[[#This Row],[MARGEM]]+Prog_236[[#This Row],[ESTADIA 1]])</f>
        <v>0</v>
      </c>
      <c r="AW2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0" s="81"/>
      <c r="AY210" s="81"/>
      <c r="AZ210" s="81">
        <f>Prog_236[[#This Row],[VLR NF]]*0.1%</f>
        <v>0</v>
      </c>
      <c r="BA210" s="81">
        <f>Prog_236[[#This Row],[VLR NF]]*0.05%</f>
        <v>0</v>
      </c>
      <c r="BB210" s="81"/>
      <c r="BC210" s="81"/>
      <c r="BD210" s="81"/>
      <c r="BE210" s="81"/>
      <c r="BF210" s="81"/>
      <c r="BG210" s="81"/>
      <c r="BH210" s="81"/>
      <c r="BI210" s="81"/>
      <c r="BJ210" s="81"/>
      <c r="BK210" s="81"/>
      <c r="BL210" s="66"/>
      <c r="BM210" s="66"/>
      <c r="BN210" s="66"/>
      <c r="BO210" s="66" t="str">
        <f>PROPER(TEXT(Prog_236[[#This Row],[PROGRAMAÇÃO CLIENTE]],"mmm"))</f>
        <v>Jan</v>
      </c>
      <c r="BP210" s="66">
        <f>YEAR(Prog_236[[#This Row],[PROGRAMAÇÃO CLIENTE]])</f>
        <v>1900</v>
      </c>
    </row>
    <row r="211" spans="1:68" x14ac:dyDescent="0.25">
      <c r="A211" s="200">
        <f>Prog_236[[#This Row],[CONTEINER]]</f>
        <v>0</v>
      </c>
      <c r="B211" s="86"/>
      <c r="C2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11" s="44"/>
      <c r="E211" s="66"/>
      <c r="F211" s="66"/>
      <c r="G211" s="66"/>
      <c r="H211" s="44"/>
      <c r="I211" s="44"/>
      <c r="J211" s="66"/>
      <c r="K211" s="66"/>
      <c r="L211" s="66"/>
      <c r="M211" s="66"/>
      <c r="N211" s="66">
        <f>SUM(Prog_236[[#This Row],[TARA]]+Prog_236[[#This Row],[PESO]])</f>
        <v>0</v>
      </c>
      <c r="O211" s="44"/>
      <c r="P211" s="66"/>
      <c r="Q211" s="66"/>
      <c r="R211" s="66"/>
      <c r="S211" s="66"/>
      <c r="T211" s="138" t="str">
        <f>IFERROR(LOOKUP($S211,MOTORISTAS!$D$3:$D$1048576,MOTORISTAS!E$3:$E$1048576),"")</f>
        <v/>
      </c>
      <c r="U211" s="138" t="str">
        <f>IFERROR(LOOKUP($S211,MOTORISTAS!$D$3:$D$1048576,MOTORISTAS!F$3:$F$1048576),"")</f>
        <v/>
      </c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44"/>
      <c r="AG211" s="254">
        <f>Prog_236[[#This Row],[SAÍDA DO CLIENTE]]-Prog_236[[#This Row],[PROGRAMAÇÃO CLIENTE]]</f>
        <v>0</v>
      </c>
      <c r="AH211" s="44"/>
      <c r="AI211" s="66"/>
      <c r="AJ211" s="66"/>
      <c r="AK211" s="66"/>
      <c r="AL211" s="66"/>
      <c r="AM211" s="66"/>
      <c r="AN211" s="83"/>
      <c r="AO211" s="66"/>
      <c r="AP211" s="66"/>
      <c r="AQ211" s="66"/>
      <c r="AR211" s="81"/>
      <c r="AS211" s="81"/>
      <c r="AT211" s="81"/>
      <c r="AU211" s="81"/>
      <c r="AV211" s="83">
        <f>SUM(Prog_236[[#This Row],[ADIANTAMENTO]]+Prog_236[[#This Row],[SALDO]]+Prog_236[[#This Row],[MARGEM]]+Prog_236[[#This Row],[ESTADIA 1]])</f>
        <v>0</v>
      </c>
      <c r="AW2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1" s="81"/>
      <c r="AY211" s="81"/>
      <c r="AZ211" s="81">
        <f>Prog_236[[#This Row],[VLR NF]]*0.1%</f>
        <v>0</v>
      </c>
      <c r="BA211" s="81">
        <f>Prog_236[[#This Row],[VLR NF]]*0.05%</f>
        <v>0</v>
      </c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66"/>
      <c r="BM211" s="66"/>
      <c r="BN211" s="66"/>
      <c r="BO211" s="66" t="str">
        <f>PROPER(TEXT(Prog_236[[#This Row],[PROGRAMAÇÃO CLIENTE]],"mmm"))</f>
        <v>Jan</v>
      </c>
      <c r="BP211" s="66">
        <f>YEAR(Prog_236[[#This Row],[PROGRAMAÇÃO CLIENTE]])</f>
        <v>1900</v>
      </c>
    </row>
    <row r="212" spans="1:68" x14ac:dyDescent="0.25">
      <c r="A212" s="201">
        <f>Prog_236[[#This Row],[CONTEINER]]</f>
        <v>0</v>
      </c>
      <c r="B212" s="86"/>
      <c r="C2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12" s="44"/>
      <c r="E212" s="66"/>
      <c r="F212" s="66"/>
      <c r="G212" s="66"/>
      <c r="H212" s="44"/>
      <c r="I212" s="44"/>
      <c r="J212" s="66"/>
      <c r="K212" s="66"/>
      <c r="L212" s="66"/>
      <c r="M212" s="66"/>
      <c r="N212" s="66">
        <f>SUM(Prog_236[[#This Row],[TARA]]+Prog_236[[#This Row],[PESO]])</f>
        <v>0</v>
      </c>
      <c r="O212" s="44"/>
      <c r="P212" s="66"/>
      <c r="Q212" s="66"/>
      <c r="R212" s="66"/>
      <c r="S212" s="66"/>
      <c r="T212" s="138" t="str">
        <f>IFERROR(LOOKUP($S212,MOTORISTAS!$D$3:$D$1048576,MOTORISTAS!E$3:$E$1048576),"")</f>
        <v/>
      </c>
      <c r="U212" s="138" t="str">
        <f>IFERROR(LOOKUP($S212,MOTORISTAS!$D$3:$D$1048576,MOTORISTAS!F$3:$F$1048576),"")</f>
        <v/>
      </c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44"/>
      <c r="AG212" s="254">
        <f>Prog_236[[#This Row],[SAÍDA DO CLIENTE]]-Prog_236[[#This Row],[PROGRAMAÇÃO CLIENTE]]</f>
        <v>0</v>
      </c>
      <c r="AH212" s="44"/>
      <c r="AI212" s="66"/>
      <c r="AJ212" s="66"/>
      <c r="AK212" s="66"/>
      <c r="AL212" s="66"/>
      <c r="AM212" s="66"/>
      <c r="AN212" s="83"/>
      <c r="AO212" s="66"/>
      <c r="AP212" s="66"/>
      <c r="AQ212" s="66"/>
      <c r="AR212" s="81"/>
      <c r="AS212" s="81"/>
      <c r="AT212" s="81"/>
      <c r="AU212" s="81"/>
      <c r="AV212" s="83">
        <f>SUM(Prog_236[[#This Row],[ADIANTAMENTO]]+Prog_236[[#This Row],[SALDO]]+Prog_236[[#This Row],[MARGEM]]+Prog_236[[#This Row],[ESTADIA 1]])</f>
        <v>0</v>
      </c>
      <c r="AW2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2" s="81"/>
      <c r="AY212" s="81"/>
      <c r="AZ212" s="81">
        <f>Prog_236[[#This Row],[VLR NF]]*0.1%</f>
        <v>0</v>
      </c>
      <c r="BA212" s="81">
        <f>Prog_236[[#This Row],[VLR NF]]*0.05%</f>
        <v>0</v>
      </c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66"/>
      <c r="BM212" s="66"/>
      <c r="BN212" s="66"/>
      <c r="BO212" s="66" t="str">
        <f>PROPER(TEXT(Prog_236[[#This Row],[PROGRAMAÇÃO CLIENTE]],"mmm"))</f>
        <v>Jan</v>
      </c>
      <c r="BP212" s="66">
        <f>YEAR(Prog_236[[#This Row],[PROGRAMAÇÃO CLIENTE]])</f>
        <v>1900</v>
      </c>
    </row>
    <row r="213" spans="1:68" x14ac:dyDescent="0.25">
      <c r="A213" s="200">
        <f>Prog_236[[#This Row],[CONTEINER]]</f>
        <v>0</v>
      </c>
      <c r="B213" s="86"/>
      <c r="C2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13" s="44"/>
      <c r="E213" s="66"/>
      <c r="F213" s="66"/>
      <c r="G213" s="66"/>
      <c r="H213" s="44"/>
      <c r="I213" s="44"/>
      <c r="J213" s="66"/>
      <c r="K213" s="66"/>
      <c r="L213" s="66"/>
      <c r="M213" s="66"/>
      <c r="N213" s="66">
        <f>SUM(Prog_236[[#This Row],[TARA]]+Prog_236[[#This Row],[PESO]])</f>
        <v>0</v>
      </c>
      <c r="O213" s="44"/>
      <c r="P213" s="66"/>
      <c r="Q213" s="66"/>
      <c r="R213" s="66"/>
      <c r="S213" s="66"/>
      <c r="T213" s="138" t="str">
        <f>IFERROR(LOOKUP($S213,MOTORISTAS!$D$3:$D$1048576,MOTORISTAS!E$3:$E$1048576),"")</f>
        <v/>
      </c>
      <c r="U213" s="138" t="str">
        <f>IFERROR(LOOKUP($S213,MOTORISTAS!$D$3:$D$1048576,MOTORISTAS!F$3:$F$1048576),"")</f>
        <v/>
      </c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44"/>
      <c r="AG213" s="254">
        <f>Prog_236[[#This Row],[SAÍDA DO CLIENTE]]-Prog_236[[#This Row],[PROGRAMAÇÃO CLIENTE]]</f>
        <v>0</v>
      </c>
      <c r="AH213" s="44"/>
      <c r="AI213" s="66"/>
      <c r="AJ213" s="66"/>
      <c r="AK213" s="66"/>
      <c r="AL213" s="66"/>
      <c r="AM213" s="66"/>
      <c r="AN213" s="83"/>
      <c r="AO213" s="66"/>
      <c r="AP213" s="66"/>
      <c r="AQ213" s="66"/>
      <c r="AR213" s="81"/>
      <c r="AS213" s="81"/>
      <c r="AT213" s="81"/>
      <c r="AU213" s="81"/>
      <c r="AV213" s="83">
        <f>SUM(Prog_236[[#This Row],[ADIANTAMENTO]]+Prog_236[[#This Row],[SALDO]]+Prog_236[[#This Row],[MARGEM]]+Prog_236[[#This Row],[ESTADIA 1]])</f>
        <v>0</v>
      </c>
      <c r="AW2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3" s="81"/>
      <c r="AY213" s="81"/>
      <c r="AZ213" s="81">
        <f>Prog_236[[#This Row],[VLR NF]]*0.1%</f>
        <v>0</v>
      </c>
      <c r="BA213" s="81">
        <f>Prog_236[[#This Row],[VLR NF]]*0.05%</f>
        <v>0</v>
      </c>
      <c r="BB213" s="81"/>
      <c r="BC213" s="81"/>
      <c r="BD213" s="81"/>
      <c r="BE213" s="81"/>
      <c r="BF213" s="81"/>
      <c r="BG213" s="81"/>
      <c r="BH213" s="81"/>
      <c r="BI213" s="81"/>
      <c r="BJ213" s="81"/>
      <c r="BK213" s="81"/>
      <c r="BL213" s="66"/>
      <c r="BM213" s="66"/>
      <c r="BN213" s="66"/>
      <c r="BO213" s="66" t="str">
        <f>PROPER(TEXT(Prog_236[[#This Row],[PROGRAMAÇÃO CLIENTE]],"mmm"))</f>
        <v>Jan</v>
      </c>
      <c r="BP213" s="66">
        <f>YEAR(Prog_236[[#This Row],[PROGRAMAÇÃO CLIENTE]])</f>
        <v>1900</v>
      </c>
    </row>
    <row r="214" spans="1:68" x14ac:dyDescent="0.25">
      <c r="A214" s="201">
        <f>Prog_236[[#This Row],[CONTEINER]]</f>
        <v>0</v>
      </c>
      <c r="B214" s="86"/>
      <c r="C2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14" s="44"/>
      <c r="E214" s="66"/>
      <c r="F214" s="66"/>
      <c r="G214" s="66"/>
      <c r="H214" s="44"/>
      <c r="I214" s="44"/>
      <c r="J214" s="66"/>
      <c r="K214" s="66"/>
      <c r="L214" s="66"/>
      <c r="M214" s="66"/>
      <c r="N214" s="66">
        <f>SUM(Prog_236[[#This Row],[TARA]]+Prog_236[[#This Row],[PESO]])</f>
        <v>0</v>
      </c>
      <c r="O214" s="44"/>
      <c r="P214" s="66"/>
      <c r="Q214" s="66"/>
      <c r="R214" s="66"/>
      <c r="S214" s="66"/>
      <c r="T214" s="138" t="str">
        <f>IFERROR(LOOKUP($S214,MOTORISTAS!$D$3:$D$1048576,MOTORISTAS!E$3:$E$1048576),"")</f>
        <v/>
      </c>
      <c r="U214" s="138" t="str">
        <f>IFERROR(LOOKUP($S214,MOTORISTAS!$D$3:$D$1048576,MOTORISTAS!F$3:$F$1048576),"")</f>
        <v/>
      </c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44"/>
      <c r="AG214" s="254">
        <f>Prog_236[[#This Row],[SAÍDA DO CLIENTE]]-Prog_236[[#This Row],[PROGRAMAÇÃO CLIENTE]]</f>
        <v>0</v>
      </c>
      <c r="AH214" s="44"/>
      <c r="AI214" s="66"/>
      <c r="AJ214" s="66"/>
      <c r="AK214" s="66"/>
      <c r="AL214" s="66"/>
      <c r="AM214" s="66"/>
      <c r="AN214" s="83"/>
      <c r="AO214" s="66"/>
      <c r="AP214" s="66"/>
      <c r="AQ214" s="66"/>
      <c r="AR214" s="81"/>
      <c r="AS214" s="81"/>
      <c r="AT214" s="81"/>
      <c r="AU214" s="81"/>
      <c r="AV214" s="83">
        <f>SUM(Prog_236[[#This Row],[ADIANTAMENTO]]+Prog_236[[#This Row],[SALDO]]+Prog_236[[#This Row],[MARGEM]]+Prog_236[[#This Row],[ESTADIA 1]])</f>
        <v>0</v>
      </c>
      <c r="AW2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4" s="81"/>
      <c r="AY214" s="81"/>
      <c r="AZ214" s="81">
        <f>Prog_236[[#This Row],[VLR NF]]*0.1%</f>
        <v>0</v>
      </c>
      <c r="BA214" s="81">
        <f>Prog_236[[#This Row],[VLR NF]]*0.05%</f>
        <v>0</v>
      </c>
      <c r="BB214" s="81"/>
      <c r="BC214" s="81"/>
      <c r="BD214" s="81"/>
      <c r="BE214" s="81"/>
      <c r="BF214" s="81"/>
      <c r="BG214" s="81"/>
      <c r="BH214" s="81"/>
      <c r="BI214" s="81"/>
      <c r="BJ214" s="81"/>
      <c r="BK214" s="81"/>
      <c r="BL214" s="66"/>
      <c r="BM214" s="66"/>
      <c r="BN214" s="66"/>
      <c r="BO214" s="66" t="str">
        <f>PROPER(TEXT(Prog_236[[#This Row],[PROGRAMAÇÃO CLIENTE]],"mmm"))</f>
        <v>Jan</v>
      </c>
      <c r="BP214" s="66">
        <f>YEAR(Prog_236[[#This Row],[PROGRAMAÇÃO CLIENTE]])</f>
        <v>1900</v>
      </c>
    </row>
    <row r="215" spans="1:68" x14ac:dyDescent="0.25">
      <c r="A215" s="200">
        <f>Prog_236[[#This Row],[CONTEINER]]</f>
        <v>0</v>
      </c>
      <c r="B215" s="86"/>
      <c r="C2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15" s="44"/>
      <c r="E215" s="66"/>
      <c r="F215" s="66"/>
      <c r="G215" s="66"/>
      <c r="H215" s="44"/>
      <c r="I215" s="44"/>
      <c r="J215" s="66"/>
      <c r="K215" s="66"/>
      <c r="L215" s="66"/>
      <c r="M215" s="66"/>
      <c r="N215" s="66">
        <f>SUM(Prog_236[[#This Row],[TARA]]+Prog_236[[#This Row],[PESO]])</f>
        <v>0</v>
      </c>
      <c r="O215" s="44"/>
      <c r="P215" s="66"/>
      <c r="Q215" s="66"/>
      <c r="R215" s="66"/>
      <c r="S215" s="66"/>
      <c r="T215" s="138" t="str">
        <f>IFERROR(LOOKUP($S215,MOTORISTAS!$D$3:$D$1048576,MOTORISTAS!E$3:$E$1048576),"")</f>
        <v/>
      </c>
      <c r="U215" s="138" t="str">
        <f>IFERROR(LOOKUP($S215,MOTORISTAS!$D$3:$D$1048576,MOTORISTAS!F$3:$F$1048576),"")</f>
        <v/>
      </c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44"/>
      <c r="AG215" s="254">
        <f>Prog_236[[#This Row],[SAÍDA DO CLIENTE]]-Prog_236[[#This Row],[PROGRAMAÇÃO CLIENTE]]</f>
        <v>0</v>
      </c>
      <c r="AH215" s="44"/>
      <c r="AI215" s="66"/>
      <c r="AJ215" s="66"/>
      <c r="AK215" s="66"/>
      <c r="AL215" s="66"/>
      <c r="AM215" s="66"/>
      <c r="AN215" s="83"/>
      <c r="AO215" s="66"/>
      <c r="AP215" s="66"/>
      <c r="AQ215" s="66"/>
      <c r="AR215" s="81"/>
      <c r="AS215" s="81"/>
      <c r="AT215" s="81"/>
      <c r="AU215" s="81"/>
      <c r="AV215" s="83">
        <f>SUM(Prog_236[[#This Row],[ADIANTAMENTO]]+Prog_236[[#This Row],[SALDO]]+Prog_236[[#This Row],[MARGEM]]+Prog_236[[#This Row],[ESTADIA 1]])</f>
        <v>0</v>
      </c>
      <c r="AW2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5" s="81"/>
      <c r="AY215" s="81"/>
      <c r="AZ215" s="81">
        <f>Prog_236[[#This Row],[VLR NF]]*0.1%</f>
        <v>0</v>
      </c>
      <c r="BA215" s="81">
        <f>Prog_236[[#This Row],[VLR NF]]*0.05%</f>
        <v>0</v>
      </c>
      <c r="BB215" s="81"/>
      <c r="BC215" s="81"/>
      <c r="BD215" s="81"/>
      <c r="BE215" s="81"/>
      <c r="BF215" s="81"/>
      <c r="BG215" s="81"/>
      <c r="BH215" s="81"/>
      <c r="BI215" s="81"/>
      <c r="BJ215" s="81"/>
      <c r="BK215" s="81"/>
      <c r="BL215" s="66"/>
      <c r="BM215" s="66"/>
      <c r="BN215" s="66"/>
      <c r="BO215" s="66" t="str">
        <f>PROPER(TEXT(Prog_236[[#This Row],[PROGRAMAÇÃO CLIENTE]],"mmm"))</f>
        <v>Jan</v>
      </c>
      <c r="BP215" s="66">
        <f>YEAR(Prog_236[[#This Row],[PROGRAMAÇÃO CLIENTE]])</f>
        <v>1900</v>
      </c>
    </row>
    <row r="216" spans="1:68" x14ac:dyDescent="0.25">
      <c r="A216" s="201">
        <f>Prog_236[[#This Row],[CONTEINER]]</f>
        <v>0</v>
      </c>
      <c r="B216" s="86"/>
      <c r="C2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16" s="44"/>
      <c r="E216" s="66"/>
      <c r="F216" s="66"/>
      <c r="G216" s="66"/>
      <c r="H216" s="44"/>
      <c r="I216" s="44"/>
      <c r="J216" s="66"/>
      <c r="K216" s="66"/>
      <c r="L216" s="66"/>
      <c r="M216" s="66"/>
      <c r="N216" s="66">
        <f>SUM(Prog_236[[#This Row],[TARA]]+Prog_236[[#This Row],[PESO]])</f>
        <v>0</v>
      </c>
      <c r="O216" s="44"/>
      <c r="P216" s="66"/>
      <c r="Q216" s="66"/>
      <c r="R216" s="66"/>
      <c r="S216" s="66"/>
      <c r="T216" s="138" t="str">
        <f>IFERROR(LOOKUP($S216,MOTORISTAS!$D$3:$D$1048576,MOTORISTAS!E$3:$E$1048576),"")</f>
        <v/>
      </c>
      <c r="U216" s="138" t="str">
        <f>IFERROR(LOOKUP($S216,MOTORISTAS!$D$3:$D$1048576,MOTORISTAS!F$3:$F$1048576),"")</f>
        <v/>
      </c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44"/>
      <c r="AG216" s="254">
        <f>Prog_236[[#This Row],[SAÍDA DO CLIENTE]]-Prog_236[[#This Row],[PROGRAMAÇÃO CLIENTE]]</f>
        <v>0</v>
      </c>
      <c r="AH216" s="44"/>
      <c r="AI216" s="66"/>
      <c r="AJ216" s="66"/>
      <c r="AK216" s="66"/>
      <c r="AL216" s="66"/>
      <c r="AM216" s="66"/>
      <c r="AN216" s="83"/>
      <c r="AO216" s="66"/>
      <c r="AP216" s="66"/>
      <c r="AQ216" s="66"/>
      <c r="AR216" s="81"/>
      <c r="AS216" s="81"/>
      <c r="AT216" s="81"/>
      <c r="AU216" s="81"/>
      <c r="AV216" s="83">
        <f>SUM(Prog_236[[#This Row],[ADIANTAMENTO]]+Prog_236[[#This Row],[SALDO]]+Prog_236[[#This Row],[MARGEM]]+Prog_236[[#This Row],[ESTADIA 1]])</f>
        <v>0</v>
      </c>
      <c r="AW2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6" s="81"/>
      <c r="AY216" s="81"/>
      <c r="AZ216" s="81">
        <f>Prog_236[[#This Row],[VLR NF]]*0.1%</f>
        <v>0</v>
      </c>
      <c r="BA216" s="81">
        <f>Prog_236[[#This Row],[VLR NF]]*0.05%</f>
        <v>0</v>
      </c>
      <c r="BB216" s="81"/>
      <c r="BC216" s="81"/>
      <c r="BD216" s="81"/>
      <c r="BE216" s="81"/>
      <c r="BF216" s="81"/>
      <c r="BG216" s="81"/>
      <c r="BH216" s="81"/>
      <c r="BI216" s="81"/>
      <c r="BJ216" s="81"/>
      <c r="BK216" s="81"/>
      <c r="BL216" s="66"/>
      <c r="BM216" s="66"/>
      <c r="BN216" s="66"/>
      <c r="BO216" s="66" t="str">
        <f>PROPER(TEXT(Prog_236[[#This Row],[PROGRAMAÇÃO CLIENTE]],"mmm"))</f>
        <v>Jan</v>
      </c>
      <c r="BP216" s="66">
        <f>YEAR(Prog_236[[#This Row],[PROGRAMAÇÃO CLIENTE]])</f>
        <v>1900</v>
      </c>
    </row>
    <row r="217" spans="1:68" x14ac:dyDescent="0.25">
      <c r="A217" s="200">
        <f>Prog_236[[#This Row],[CONTEINER]]</f>
        <v>0</v>
      </c>
      <c r="B217" s="86"/>
      <c r="C2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17" s="44"/>
      <c r="E217" s="66"/>
      <c r="F217" s="66"/>
      <c r="G217" s="66"/>
      <c r="H217" s="44"/>
      <c r="I217" s="44"/>
      <c r="J217" s="66"/>
      <c r="K217" s="66"/>
      <c r="L217" s="66"/>
      <c r="M217" s="66"/>
      <c r="N217" s="66">
        <f>SUM(Prog_236[[#This Row],[TARA]]+Prog_236[[#This Row],[PESO]])</f>
        <v>0</v>
      </c>
      <c r="O217" s="44"/>
      <c r="P217" s="66"/>
      <c r="Q217" s="66"/>
      <c r="R217" s="66"/>
      <c r="S217" s="66"/>
      <c r="T217" s="138" t="str">
        <f>IFERROR(LOOKUP($S217,MOTORISTAS!$D$3:$D$1048576,MOTORISTAS!E$3:$E$1048576),"")</f>
        <v/>
      </c>
      <c r="U217" s="138" t="str">
        <f>IFERROR(LOOKUP($S217,MOTORISTAS!$D$3:$D$1048576,MOTORISTAS!F$3:$F$1048576),"")</f>
        <v/>
      </c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44"/>
      <c r="AG217" s="254">
        <f>Prog_236[[#This Row],[SAÍDA DO CLIENTE]]-Prog_236[[#This Row],[PROGRAMAÇÃO CLIENTE]]</f>
        <v>0</v>
      </c>
      <c r="AH217" s="44"/>
      <c r="AI217" s="66"/>
      <c r="AJ217" s="66"/>
      <c r="AK217" s="66"/>
      <c r="AL217" s="66"/>
      <c r="AM217" s="66"/>
      <c r="AN217" s="83"/>
      <c r="AO217" s="66"/>
      <c r="AP217" s="66"/>
      <c r="AQ217" s="66"/>
      <c r="AR217" s="81"/>
      <c r="AS217" s="81"/>
      <c r="AT217" s="81"/>
      <c r="AU217" s="81"/>
      <c r="AV217" s="83">
        <f>SUM(Prog_236[[#This Row],[ADIANTAMENTO]]+Prog_236[[#This Row],[SALDO]]+Prog_236[[#This Row],[MARGEM]]+Prog_236[[#This Row],[ESTADIA 1]])</f>
        <v>0</v>
      </c>
      <c r="AW2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7" s="81"/>
      <c r="AY217" s="81"/>
      <c r="AZ217" s="81">
        <f>Prog_236[[#This Row],[VLR NF]]*0.1%</f>
        <v>0</v>
      </c>
      <c r="BA217" s="81">
        <f>Prog_236[[#This Row],[VLR NF]]*0.05%</f>
        <v>0</v>
      </c>
      <c r="BB217" s="81"/>
      <c r="BC217" s="81"/>
      <c r="BD217" s="81"/>
      <c r="BE217" s="81"/>
      <c r="BF217" s="81"/>
      <c r="BG217" s="81"/>
      <c r="BH217" s="81"/>
      <c r="BI217" s="81"/>
      <c r="BJ217" s="81"/>
      <c r="BK217" s="81"/>
      <c r="BL217" s="66"/>
      <c r="BM217" s="66"/>
      <c r="BN217" s="66"/>
      <c r="BO217" s="66" t="str">
        <f>PROPER(TEXT(Prog_236[[#This Row],[PROGRAMAÇÃO CLIENTE]],"mmm"))</f>
        <v>Jan</v>
      </c>
      <c r="BP217" s="66">
        <f>YEAR(Prog_236[[#This Row],[PROGRAMAÇÃO CLIENTE]])</f>
        <v>1900</v>
      </c>
    </row>
    <row r="218" spans="1:68" x14ac:dyDescent="0.25">
      <c r="A218" s="201">
        <f>Prog_236[[#This Row],[CONTEINER]]</f>
        <v>0</v>
      </c>
      <c r="B218" s="86"/>
      <c r="C2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18" s="44"/>
      <c r="E218" s="66"/>
      <c r="F218" s="66"/>
      <c r="G218" s="66"/>
      <c r="H218" s="44"/>
      <c r="I218" s="44"/>
      <c r="J218" s="66"/>
      <c r="K218" s="66"/>
      <c r="L218" s="66"/>
      <c r="M218" s="66"/>
      <c r="N218" s="66">
        <f>SUM(Prog_236[[#This Row],[TARA]]+Prog_236[[#This Row],[PESO]])</f>
        <v>0</v>
      </c>
      <c r="O218" s="44"/>
      <c r="P218" s="66"/>
      <c r="Q218" s="66"/>
      <c r="R218" s="66"/>
      <c r="S218" s="66"/>
      <c r="T218" s="138" t="str">
        <f>IFERROR(LOOKUP($S218,MOTORISTAS!$D$3:$D$1048576,MOTORISTAS!E$3:$E$1048576),"")</f>
        <v/>
      </c>
      <c r="U218" s="138" t="str">
        <f>IFERROR(LOOKUP($S218,MOTORISTAS!$D$3:$D$1048576,MOTORISTAS!F$3:$F$1048576),"")</f>
        <v/>
      </c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44"/>
      <c r="AG218" s="254">
        <f>Prog_236[[#This Row],[SAÍDA DO CLIENTE]]-Prog_236[[#This Row],[PROGRAMAÇÃO CLIENTE]]</f>
        <v>0</v>
      </c>
      <c r="AH218" s="44"/>
      <c r="AI218" s="66"/>
      <c r="AJ218" s="66"/>
      <c r="AK218" s="66"/>
      <c r="AL218" s="66"/>
      <c r="AM218" s="66"/>
      <c r="AN218" s="83"/>
      <c r="AO218" s="66"/>
      <c r="AP218" s="66"/>
      <c r="AQ218" s="66"/>
      <c r="AR218" s="81"/>
      <c r="AS218" s="81"/>
      <c r="AT218" s="81"/>
      <c r="AU218" s="81"/>
      <c r="AV218" s="83">
        <f>SUM(Prog_236[[#This Row],[ADIANTAMENTO]]+Prog_236[[#This Row],[SALDO]]+Prog_236[[#This Row],[MARGEM]]+Prog_236[[#This Row],[ESTADIA 1]])</f>
        <v>0</v>
      </c>
      <c r="AW2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8" s="81"/>
      <c r="AY218" s="81"/>
      <c r="AZ218" s="81">
        <f>Prog_236[[#This Row],[VLR NF]]*0.1%</f>
        <v>0</v>
      </c>
      <c r="BA218" s="81">
        <f>Prog_236[[#This Row],[VLR NF]]*0.05%</f>
        <v>0</v>
      </c>
      <c r="BB218" s="81"/>
      <c r="BC218" s="81"/>
      <c r="BD218" s="81"/>
      <c r="BE218" s="81"/>
      <c r="BF218" s="81"/>
      <c r="BG218" s="81"/>
      <c r="BH218" s="81"/>
      <c r="BI218" s="81"/>
      <c r="BJ218" s="81"/>
      <c r="BK218" s="81"/>
      <c r="BL218" s="66"/>
      <c r="BM218" s="66"/>
      <c r="BN218" s="66"/>
      <c r="BO218" s="66" t="str">
        <f>PROPER(TEXT(Prog_236[[#This Row],[PROGRAMAÇÃO CLIENTE]],"mmm"))</f>
        <v>Jan</v>
      </c>
      <c r="BP218" s="66">
        <f>YEAR(Prog_236[[#This Row],[PROGRAMAÇÃO CLIENTE]])</f>
        <v>1900</v>
      </c>
    </row>
    <row r="219" spans="1:68" x14ac:dyDescent="0.25">
      <c r="A219" s="200">
        <f>Prog_236[[#This Row],[CONTEINER]]</f>
        <v>0</v>
      </c>
      <c r="B219" s="86"/>
      <c r="C2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19" s="44"/>
      <c r="E219" s="66"/>
      <c r="F219" s="66"/>
      <c r="G219" s="66"/>
      <c r="H219" s="44"/>
      <c r="I219" s="44"/>
      <c r="J219" s="66"/>
      <c r="K219" s="66"/>
      <c r="L219" s="66"/>
      <c r="M219" s="66"/>
      <c r="N219" s="66">
        <f>SUM(Prog_236[[#This Row],[TARA]]+Prog_236[[#This Row],[PESO]])</f>
        <v>0</v>
      </c>
      <c r="O219" s="44"/>
      <c r="P219" s="66"/>
      <c r="Q219" s="66"/>
      <c r="R219" s="66"/>
      <c r="S219" s="66"/>
      <c r="T219" s="138" t="str">
        <f>IFERROR(LOOKUP($S219,MOTORISTAS!$D$3:$D$1048576,MOTORISTAS!E$3:$E$1048576),"")</f>
        <v/>
      </c>
      <c r="U219" s="138" t="str">
        <f>IFERROR(LOOKUP($S219,MOTORISTAS!$D$3:$D$1048576,MOTORISTAS!F$3:$F$1048576),"")</f>
        <v/>
      </c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44"/>
      <c r="AG219" s="254">
        <f>Prog_236[[#This Row],[SAÍDA DO CLIENTE]]-Prog_236[[#This Row],[PROGRAMAÇÃO CLIENTE]]</f>
        <v>0</v>
      </c>
      <c r="AH219" s="44"/>
      <c r="AI219" s="66"/>
      <c r="AJ219" s="66"/>
      <c r="AK219" s="66"/>
      <c r="AL219" s="66"/>
      <c r="AM219" s="66"/>
      <c r="AN219" s="83"/>
      <c r="AO219" s="66"/>
      <c r="AP219" s="66"/>
      <c r="AQ219" s="66"/>
      <c r="AR219" s="81"/>
      <c r="AS219" s="81"/>
      <c r="AT219" s="81"/>
      <c r="AU219" s="81"/>
      <c r="AV219" s="83">
        <f>SUM(Prog_236[[#This Row],[ADIANTAMENTO]]+Prog_236[[#This Row],[SALDO]]+Prog_236[[#This Row],[MARGEM]]+Prog_236[[#This Row],[ESTADIA 1]])</f>
        <v>0</v>
      </c>
      <c r="AW2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19" s="81"/>
      <c r="AY219" s="81"/>
      <c r="AZ219" s="81">
        <f>Prog_236[[#This Row],[VLR NF]]*0.1%</f>
        <v>0</v>
      </c>
      <c r="BA219" s="81">
        <f>Prog_236[[#This Row],[VLR NF]]*0.05%</f>
        <v>0</v>
      </c>
      <c r="BB219" s="81"/>
      <c r="BC219" s="81"/>
      <c r="BD219" s="81"/>
      <c r="BE219" s="81"/>
      <c r="BF219" s="81"/>
      <c r="BG219" s="81"/>
      <c r="BH219" s="81"/>
      <c r="BI219" s="81"/>
      <c r="BJ219" s="81"/>
      <c r="BK219" s="81"/>
      <c r="BL219" s="66"/>
      <c r="BM219" s="66"/>
      <c r="BN219" s="66"/>
      <c r="BO219" s="66" t="str">
        <f>PROPER(TEXT(Prog_236[[#This Row],[PROGRAMAÇÃO CLIENTE]],"mmm"))</f>
        <v>Jan</v>
      </c>
      <c r="BP219" s="66">
        <f>YEAR(Prog_236[[#This Row],[PROGRAMAÇÃO CLIENTE]])</f>
        <v>1900</v>
      </c>
    </row>
    <row r="220" spans="1:68" x14ac:dyDescent="0.25">
      <c r="A220" s="201">
        <f>Prog_236[[#This Row],[CONTEINER]]</f>
        <v>0</v>
      </c>
      <c r="B220" s="86"/>
      <c r="C2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0" s="44"/>
      <c r="E220" s="66"/>
      <c r="F220" s="66"/>
      <c r="G220" s="66"/>
      <c r="H220" s="44"/>
      <c r="I220" s="44"/>
      <c r="J220" s="66"/>
      <c r="K220" s="66"/>
      <c r="L220" s="66"/>
      <c r="M220" s="66"/>
      <c r="N220" s="66">
        <f>SUM(Prog_236[[#This Row],[TARA]]+Prog_236[[#This Row],[PESO]])</f>
        <v>0</v>
      </c>
      <c r="O220" s="44"/>
      <c r="P220" s="66"/>
      <c r="Q220" s="66"/>
      <c r="R220" s="66"/>
      <c r="S220" s="66"/>
      <c r="T220" s="138" t="str">
        <f>IFERROR(LOOKUP($S220,MOTORISTAS!$D$3:$D$1048576,MOTORISTAS!E$3:$E$1048576),"")</f>
        <v/>
      </c>
      <c r="U220" s="138" t="str">
        <f>IFERROR(LOOKUP($S220,MOTORISTAS!$D$3:$D$1048576,MOTORISTAS!F$3:$F$1048576),"")</f>
        <v/>
      </c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44"/>
      <c r="AG220" s="254">
        <f>Prog_236[[#This Row],[SAÍDA DO CLIENTE]]-Prog_236[[#This Row],[PROGRAMAÇÃO CLIENTE]]</f>
        <v>0</v>
      </c>
      <c r="AH220" s="44"/>
      <c r="AI220" s="66"/>
      <c r="AJ220" s="66"/>
      <c r="AK220" s="66"/>
      <c r="AL220" s="66"/>
      <c r="AM220" s="66"/>
      <c r="AN220" s="83"/>
      <c r="AO220" s="66"/>
      <c r="AP220" s="66"/>
      <c r="AQ220" s="66"/>
      <c r="AR220" s="81"/>
      <c r="AS220" s="81"/>
      <c r="AT220" s="81"/>
      <c r="AU220" s="81"/>
      <c r="AV220" s="83">
        <f>SUM(Prog_236[[#This Row],[ADIANTAMENTO]]+Prog_236[[#This Row],[SALDO]]+Prog_236[[#This Row],[MARGEM]]+Prog_236[[#This Row],[ESTADIA 1]])</f>
        <v>0</v>
      </c>
      <c r="AW2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0" s="81"/>
      <c r="AY220" s="81"/>
      <c r="AZ220" s="81">
        <f>Prog_236[[#This Row],[VLR NF]]*0.1%</f>
        <v>0</v>
      </c>
      <c r="BA220" s="81">
        <f>Prog_236[[#This Row],[VLR NF]]*0.05%</f>
        <v>0</v>
      </c>
      <c r="BB220" s="81"/>
      <c r="BC220" s="81"/>
      <c r="BD220" s="81"/>
      <c r="BE220" s="81"/>
      <c r="BF220" s="81"/>
      <c r="BG220" s="81"/>
      <c r="BH220" s="81"/>
      <c r="BI220" s="81"/>
      <c r="BJ220" s="81"/>
      <c r="BK220" s="81"/>
      <c r="BL220" s="66"/>
      <c r="BM220" s="66"/>
      <c r="BN220" s="66"/>
      <c r="BO220" s="66" t="str">
        <f>PROPER(TEXT(Prog_236[[#This Row],[PROGRAMAÇÃO CLIENTE]],"mmm"))</f>
        <v>Jan</v>
      </c>
      <c r="BP220" s="66">
        <f>YEAR(Prog_236[[#This Row],[PROGRAMAÇÃO CLIENTE]])</f>
        <v>1900</v>
      </c>
    </row>
    <row r="221" spans="1:68" x14ac:dyDescent="0.25">
      <c r="A221" s="200">
        <f>Prog_236[[#This Row],[CONTEINER]]</f>
        <v>0</v>
      </c>
      <c r="B221" s="86"/>
      <c r="C2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1" s="44"/>
      <c r="E221" s="66"/>
      <c r="F221" s="66"/>
      <c r="G221" s="66"/>
      <c r="H221" s="44"/>
      <c r="I221" s="44"/>
      <c r="J221" s="66"/>
      <c r="K221" s="66"/>
      <c r="L221" s="66"/>
      <c r="M221" s="66"/>
      <c r="N221" s="66">
        <f>SUM(Prog_236[[#This Row],[TARA]]+Prog_236[[#This Row],[PESO]])</f>
        <v>0</v>
      </c>
      <c r="O221" s="44"/>
      <c r="P221" s="66"/>
      <c r="Q221" s="66"/>
      <c r="R221" s="66"/>
      <c r="S221" s="66"/>
      <c r="T221" s="138" t="str">
        <f>IFERROR(LOOKUP($S221,MOTORISTAS!$D$3:$D$1048576,MOTORISTAS!E$3:$E$1048576),"")</f>
        <v/>
      </c>
      <c r="U221" s="138" t="str">
        <f>IFERROR(LOOKUP($S221,MOTORISTAS!$D$3:$D$1048576,MOTORISTAS!F$3:$F$1048576),"")</f>
        <v/>
      </c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44"/>
      <c r="AG221" s="254">
        <f>Prog_236[[#This Row],[SAÍDA DO CLIENTE]]-Prog_236[[#This Row],[PROGRAMAÇÃO CLIENTE]]</f>
        <v>0</v>
      </c>
      <c r="AH221" s="44"/>
      <c r="AI221" s="66"/>
      <c r="AJ221" s="66"/>
      <c r="AK221" s="66"/>
      <c r="AL221" s="66"/>
      <c r="AM221" s="66"/>
      <c r="AN221" s="83"/>
      <c r="AO221" s="66"/>
      <c r="AP221" s="66"/>
      <c r="AQ221" s="66"/>
      <c r="AR221" s="81"/>
      <c r="AS221" s="81"/>
      <c r="AT221" s="81"/>
      <c r="AU221" s="81"/>
      <c r="AV221" s="83">
        <f>SUM(Prog_236[[#This Row],[ADIANTAMENTO]]+Prog_236[[#This Row],[SALDO]]+Prog_236[[#This Row],[MARGEM]]+Prog_236[[#This Row],[ESTADIA 1]])</f>
        <v>0</v>
      </c>
      <c r="AW2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1" s="81"/>
      <c r="AY221" s="81"/>
      <c r="AZ221" s="81">
        <f>Prog_236[[#This Row],[VLR NF]]*0.1%</f>
        <v>0</v>
      </c>
      <c r="BA221" s="81">
        <f>Prog_236[[#This Row],[VLR NF]]*0.05%</f>
        <v>0</v>
      </c>
      <c r="BB221" s="81"/>
      <c r="BC221" s="81"/>
      <c r="BD221" s="81"/>
      <c r="BE221" s="81"/>
      <c r="BF221" s="81"/>
      <c r="BG221" s="81"/>
      <c r="BH221" s="81"/>
      <c r="BI221" s="81"/>
      <c r="BJ221" s="81"/>
      <c r="BK221" s="81"/>
      <c r="BL221" s="66"/>
      <c r="BM221" s="66"/>
      <c r="BN221" s="66"/>
      <c r="BO221" s="66" t="str">
        <f>PROPER(TEXT(Prog_236[[#This Row],[PROGRAMAÇÃO CLIENTE]],"mmm"))</f>
        <v>Jan</v>
      </c>
      <c r="BP221" s="66">
        <f>YEAR(Prog_236[[#This Row],[PROGRAMAÇÃO CLIENTE]])</f>
        <v>1900</v>
      </c>
    </row>
    <row r="222" spans="1:68" x14ac:dyDescent="0.25">
      <c r="A222" s="201">
        <f>Prog_236[[#This Row],[CONTEINER]]</f>
        <v>0</v>
      </c>
      <c r="B222" s="86"/>
      <c r="C2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2" s="44"/>
      <c r="E222" s="66"/>
      <c r="F222" s="66"/>
      <c r="G222" s="66"/>
      <c r="H222" s="44"/>
      <c r="I222" s="44"/>
      <c r="J222" s="66"/>
      <c r="K222" s="66"/>
      <c r="L222" s="66"/>
      <c r="M222" s="66"/>
      <c r="N222" s="66">
        <f>SUM(Prog_236[[#This Row],[TARA]]+Prog_236[[#This Row],[PESO]])</f>
        <v>0</v>
      </c>
      <c r="O222" s="44"/>
      <c r="P222" s="66"/>
      <c r="Q222" s="66"/>
      <c r="R222" s="66"/>
      <c r="S222" s="66"/>
      <c r="T222" s="138" t="str">
        <f>IFERROR(LOOKUP($S222,MOTORISTAS!$D$3:$D$1048576,MOTORISTAS!E$3:$E$1048576),"")</f>
        <v/>
      </c>
      <c r="U222" s="138" t="str">
        <f>IFERROR(LOOKUP($S222,MOTORISTAS!$D$3:$D$1048576,MOTORISTAS!F$3:$F$1048576),"")</f>
        <v/>
      </c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44"/>
      <c r="AG222" s="254">
        <f>Prog_236[[#This Row],[SAÍDA DO CLIENTE]]-Prog_236[[#This Row],[PROGRAMAÇÃO CLIENTE]]</f>
        <v>0</v>
      </c>
      <c r="AH222" s="44"/>
      <c r="AI222" s="66"/>
      <c r="AJ222" s="66"/>
      <c r="AK222" s="66"/>
      <c r="AL222" s="66"/>
      <c r="AM222" s="66"/>
      <c r="AN222" s="83"/>
      <c r="AO222" s="66"/>
      <c r="AP222" s="66"/>
      <c r="AQ222" s="66"/>
      <c r="AR222" s="81"/>
      <c r="AS222" s="81"/>
      <c r="AT222" s="81"/>
      <c r="AU222" s="81"/>
      <c r="AV222" s="83">
        <f>SUM(Prog_236[[#This Row],[ADIANTAMENTO]]+Prog_236[[#This Row],[SALDO]]+Prog_236[[#This Row],[MARGEM]]+Prog_236[[#This Row],[ESTADIA 1]])</f>
        <v>0</v>
      </c>
      <c r="AW2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2" s="81"/>
      <c r="AY222" s="81"/>
      <c r="AZ222" s="81">
        <f>Prog_236[[#This Row],[VLR NF]]*0.1%</f>
        <v>0</v>
      </c>
      <c r="BA222" s="81">
        <f>Prog_236[[#This Row],[VLR NF]]*0.05%</f>
        <v>0</v>
      </c>
      <c r="BB222" s="81"/>
      <c r="BC222" s="81"/>
      <c r="BD222" s="81"/>
      <c r="BE222" s="81"/>
      <c r="BF222" s="81"/>
      <c r="BG222" s="81"/>
      <c r="BH222" s="81"/>
      <c r="BI222" s="81"/>
      <c r="BJ222" s="81"/>
      <c r="BK222" s="81"/>
      <c r="BL222" s="66"/>
      <c r="BM222" s="66"/>
      <c r="BN222" s="66"/>
      <c r="BO222" s="66" t="str">
        <f>PROPER(TEXT(Prog_236[[#This Row],[PROGRAMAÇÃO CLIENTE]],"mmm"))</f>
        <v>Jan</v>
      </c>
      <c r="BP222" s="66">
        <f>YEAR(Prog_236[[#This Row],[PROGRAMAÇÃO CLIENTE]])</f>
        <v>1900</v>
      </c>
    </row>
    <row r="223" spans="1:68" x14ac:dyDescent="0.25">
      <c r="A223" s="200">
        <f>Prog_236[[#This Row],[CONTEINER]]</f>
        <v>0</v>
      </c>
      <c r="B223" s="86"/>
      <c r="C2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3" s="44"/>
      <c r="E223" s="66"/>
      <c r="F223" s="66"/>
      <c r="G223" s="66"/>
      <c r="H223" s="44"/>
      <c r="I223" s="44"/>
      <c r="J223" s="66"/>
      <c r="K223" s="66"/>
      <c r="L223" s="66"/>
      <c r="M223" s="66"/>
      <c r="N223" s="66">
        <f>SUM(Prog_236[[#This Row],[TARA]]+Prog_236[[#This Row],[PESO]])</f>
        <v>0</v>
      </c>
      <c r="O223" s="44"/>
      <c r="P223" s="66"/>
      <c r="Q223" s="66"/>
      <c r="R223" s="66"/>
      <c r="S223" s="66"/>
      <c r="T223" s="138" t="str">
        <f>IFERROR(LOOKUP($S223,MOTORISTAS!$D$3:$D$1048576,MOTORISTAS!E$3:$E$1048576),"")</f>
        <v/>
      </c>
      <c r="U223" s="138" t="str">
        <f>IFERROR(LOOKUP($S223,MOTORISTAS!$D$3:$D$1048576,MOTORISTAS!F$3:$F$1048576),"")</f>
        <v/>
      </c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44"/>
      <c r="AG223" s="254">
        <f>Prog_236[[#This Row],[SAÍDA DO CLIENTE]]-Prog_236[[#This Row],[PROGRAMAÇÃO CLIENTE]]</f>
        <v>0</v>
      </c>
      <c r="AH223" s="44"/>
      <c r="AI223" s="66"/>
      <c r="AJ223" s="66"/>
      <c r="AK223" s="66"/>
      <c r="AL223" s="66"/>
      <c r="AM223" s="66"/>
      <c r="AN223" s="83"/>
      <c r="AO223" s="66"/>
      <c r="AP223" s="66"/>
      <c r="AQ223" s="66"/>
      <c r="AR223" s="81"/>
      <c r="AS223" s="81"/>
      <c r="AT223" s="81"/>
      <c r="AU223" s="81"/>
      <c r="AV223" s="83">
        <f>SUM(Prog_236[[#This Row],[ADIANTAMENTO]]+Prog_236[[#This Row],[SALDO]]+Prog_236[[#This Row],[MARGEM]]+Prog_236[[#This Row],[ESTADIA 1]])</f>
        <v>0</v>
      </c>
      <c r="AW2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3" s="81"/>
      <c r="AY223" s="81"/>
      <c r="AZ223" s="81">
        <f>Prog_236[[#This Row],[VLR NF]]*0.1%</f>
        <v>0</v>
      </c>
      <c r="BA223" s="81">
        <f>Prog_236[[#This Row],[VLR NF]]*0.05%</f>
        <v>0</v>
      </c>
      <c r="BB223" s="81"/>
      <c r="BC223" s="81"/>
      <c r="BD223" s="81"/>
      <c r="BE223" s="81"/>
      <c r="BF223" s="81"/>
      <c r="BG223" s="81"/>
      <c r="BH223" s="81"/>
      <c r="BI223" s="81"/>
      <c r="BJ223" s="81"/>
      <c r="BK223" s="81"/>
      <c r="BL223" s="66"/>
      <c r="BM223" s="66"/>
      <c r="BN223" s="66"/>
      <c r="BO223" s="66" t="str">
        <f>PROPER(TEXT(Prog_236[[#This Row],[PROGRAMAÇÃO CLIENTE]],"mmm"))</f>
        <v>Jan</v>
      </c>
      <c r="BP223" s="66">
        <f>YEAR(Prog_236[[#This Row],[PROGRAMAÇÃO CLIENTE]])</f>
        <v>1900</v>
      </c>
    </row>
    <row r="224" spans="1:68" x14ac:dyDescent="0.25">
      <c r="A224" s="201">
        <f>Prog_236[[#This Row],[CONTEINER]]</f>
        <v>0</v>
      </c>
      <c r="B224" s="86"/>
      <c r="C2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4" s="44"/>
      <c r="E224" s="66"/>
      <c r="F224" s="66"/>
      <c r="G224" s="66"/>
      <c r="H224" s="44"/>
      <c r="I224" s="44"/>
      <c r="J224" s="66"/>
      <c r="K224" s="66"/>
      <c r="L224" s="66"/>
      <c r="M224" s="66"/>
      <c r="N224" s="66">
        <f>SUM(Prog_236[[#This Row],[TARA]]+Prog_236[[#This Row],[PESO]])</f>
        <v>0</v>
      </c>
      <c r="O224" s="44"/>
      <c r="P224" s="66"/>
      <c r="Q224" s="66"/>
      <c r="R224" s="66"/>
      <c r="S224" s="66"/>
      <c r="T224" s="138" t="str">
        <f>IFERROR(LOOKUP($S224,MOTORISTAS!$D$3:$D$1048576,MOTORISTAS!E$3:$E$1048576),"")</f>
        <v/>
      </c>
      <c r="U224" s="138" t="str">
        <f>IFERROR(LOOKUP($S224,MOTORISTAS!$D$3:$D$1048576,MOTORISTAS!F$3:$F$1048576),"")</f>
        <v/>
      </c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44"/>
      <c r="AG224" s="254">
        <f>Prog_236[[#This Row],[SAÍDA DO CLIENTE]]-Prog_236[[#This Row],[PROGRAMAÇÃO CLIENTE]]</f>
        <v>0</v>
      </c>
      <c r="AH224" s="44"/>
      <c r="AI224" s="66"/>
      <c r="AJ224" s="66"/>
      <c r="AK224" s="66"/>
      <c r="AL224" s="66"/>
      <c r="AM224" s="66"/>
      <c r="AN224" s="83"/>
      <c r="AO224" s="66"/>
      <c r="AP224" s="66"/>
      <c r="AQ224" s="66"/>
      <c r="AR224" s="81"/>
      <c r="AS224" s="81"/>
      <c r="AT224" s="81"/>
      <c r="AU224" s="81"/>
      <c r="AV224" s="83">
        <f>SUM(Prog_236[[#This Row],[ADIANTAMENTO]]+Prog_236[[#This Row],[SALDO]]+Prog_236[[#This Row],[MARGEM]]+Prog_236[[#This Row],[ESTADIA 1]])</f>
        <v>0</v>
      </c>
      <c r="AW2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4" s="81"/>
      <c r="AY224" s="81"/>
      <c r="AZ224" s="81">
        <f>Prog_236[[#This Row],[VLR NF]]*0.1%</f>
        <v>0</v>
      </c>
      <c r="BA224" s="81">
        <f>Prog_236[[#This Row],[VLR NF]]*0.05%</f>
        <v>0</v>
      </c>
      <c r="BB224" s="81"/>
      <c r="BC224" s="81"/>
      <c r="BD224" s="81"/>
      <c r="BE224" s="81"/>
      <c r="BF224" s="81"/>
      <c r="BG224" s="81"/>
      <c r="BH224" s="81"/>
      <c r="BI224" s="81"/>
      <c r="BJ224" s="81"/>
      <c r="BK224" s="81"/>
      <c r="BL224" s="66"/>
      <c r="BM224" s="66"/>
      <c r="BN224" s="66"/>
      <c r="BO224" s="66" t="str">
        <f>PROPER(TEXT(Prog_236[[#This Row],[PROGRAMAÇÃO CLIENTE]],"mmm"))</f>
        <v>Jan</v>
      </c>
      <c r="BP224" s="66">
        <f>YEAR(Prog_236[[#This Row],[PROGRAMAÇÃO CLIENTE]])</f>
        <v>1900</v>
      </c>
    </row>
    <row r="225" spans="1:68" x14ac:dyDescent="0.25">
      <c r="A225" s="200">
        <f>Prog_236[[#This Row],[CONTEINER]]</f>
        <v>0</v>
      </c>
      <c r="B225" s="86"/>
      <c r="C2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5" s="44"/>
      <c r="E225" s="66"/>
      <c r="F225" s="66"/>
      <c r="G225" s="66"/>
      <c r="H225" s="44"/>
      <c r="I225" s="44"/>
      <c r="J225" s="66"/>
      <c r="K225" s="66"/>
      <c r="L225" s="66"/>
      <c r="M225" s="66"/>
      <c r="N225" s="66">
        <f>SUM(Prog_236[[#This Row],[TARA]]+Prog_236[[#This Row],[PESO]])</f>
        <v>0</v>
      </c>
      <c r="O225" s="44"/>
      <c r="P225" s="66"/>
      <c r="Q225" s="66"/>
      <c r="R225" s="66"/>
      <c r="S225" s="66"/>
      <c r="T225" s="138" t="str">
        <f>IFERROR(LOOKUP($S225,MOTORISTAS!$D$3:$D$1048576,MOTORISTAS!E$3:$E$1048576),"")</f>
        <v/>
      </c>
      <c r="U225" s="138" t="str">
        <f>IFERROR(LOOKUP($S225,MOTORISTAS!$D$3:$D$1048576,MOTORISTAS!F$3:$F$1048576),"")</f>
        <v/>
      </c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44"/>
      <c r="AG225" s="254">
        <f>Prog_236[[#This Row],[SAÍDA DO CLIENTE]]-Prog_236[[#This Row],[PROGRAMAÇÃO CLIENTE]]</f>
        <v>0</v>
      </c>
      <c r="AH225" s="44"/>
      <c r="AI225" s="66"/>
      <c r="AJ225" s="66"/>
      <c r="AK225" s="66"/>
      <c r="AL225" s="66"/>
      <c r="AM225" s="66"/>
      <c r="AN225" s="83"/>
      <c r="AO225" s="66"/>
      <c r="AP225" s="66"/>
      <c r="AQ225" s="66"/>
      <c r="AR225" s="81"/>
      <c r="AS225" s="81"/>
      <c r="AT225" s="81"/>
      <c r="AU225" s="81"/>
      <c r="AV225" s="83">
        <f>SUM(Prog_236[[#This Row],[ADIANTAMENTO]]+Prog_236[[#This Row],[SALDO]]+Prog_236[[#This Row],[MARGEM]]+Prog_236[[#This Row],[ESTADIA 1]])</f>
        <v>0</v>
      </c>
      <c r="AW2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5" s="81"/>
      <c r="AY225" s="81"/>
      <c r="AZ225" s="81">
        <f>Prog_236[[#This Row],[VLR NF]]*0.1%</f>
        <v>0</v>
      </c>
      <c r="BA225" s="81">
        <f>Prog_236[[#This Row],[VLR NF]]*0.05%</f>
        <v>0</v>
      </c>
      <c r="BB225" s="81"/>
      <c r="BC225" s="81"/>
      <c r="BD225" s="81"/>
      <c r="BE225" s="81"/>
      <c r="BF225" s="81"/>
      <c r="BG225" s="81"/>
      <c r="BH225" s="81"/>
      <c r="BI225" s="81"/>
      <c r="BJ225" s="81"/>
      <c r="BK225" s="81"/>
      <c r="BL225" s="66"/>
      <c r="BM225" s="66"/>
      <c r="BN225" s="66"/>
      <c r="BO225" s="66" t="str">
        <f>PROPER(TEXT(Prog_236[[#This Row],[PROGRAMAÇÃO CLIENTE]],"mmm"))</f>
        <v>Jan</v>
      </c>
      <c r="BP225" s="66">
        <f>YEAR(Prog_236[[#This Row],[PROGRAMAÇÃO CLIENTE]])</f>
        <v>1900</v>
      </c>
    </row>
    <row r="226" spans="1:68" x14ac:dyDescent="0.25">
      <c r="A226" s="201">
        <f>Prog_236[[#This Row],[CONTEINER]]</f>
        <v>0</v>
      </c>
      <c r="B226" s="86"/>
      <c r="C2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6" s="44"/>
      <c r="E226" s="66"/>
      <c r="F226" s="66"/>
      <c r="G226" s="66"/>
      <c r="H226" s="44"/>
      <c r="I226" s="44"/>
      <c r="J226" s="66"/>
      <c r="K226" s="66"/>
      <c r="L226" s="66"/>
      <c r="M226" s="66"/>
      <c r="N226" s="66">
        <f>SUM(Prog_236[[#This Row],[TARA]]+Prog_236[[#This Row],[PESO]])</f>
        <v>0</v>
      </c>
      <c r="O226" s="44"/>
      <c r="P226" s="66"/>
      <c r="Q226" s="66"/>
      <c r="R226" s="66"/>
      <c r="S226" s="66"/>
      <c r="T226" s="138" t="str">
        <f>IFERROR(LOOKUP($S226,MOTORISTAS!$D$3:$D$1048576,MOTORISTAS!E$3:$E$1048576),"")</f>
        <v/>
      </c>
      <c r="U226" s="138" t="str">
        <f>IFERROR(LOOKUP($S226,MOTORISTAS!$D$3:$D$1048576,MOTORISTAS!F$3:$F$1048576),"")</f>
        <v/>
      </c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44"/>
      <c r="AG226" s="254">
        <f>Prog_236[[#This Row],[SAÍDA DO CLIENTE]]-Prog_236[[#This Row],[PROGRAMAÇÃO CLIENTE]]</f>
        <v>0</v>
      </c>
      <c r="AH226" s="44"/>
      <c r="AI226" s="66"/>
      <c r="AJ226" s="66"/>
      <c r="AK226" s="66"/>
      <c r="AL226" s="66"/>
      <c r="AM226" s="66"/>
      <c r="AN226" s="83"/>
      <c r="AO226" s="66"/>
      <c r="AP226" s="66"/>
      <c r="AQ226" s="66"/>
      <c r="AR226" s="81"/>
      <c r="AS226" s="81"/>
      <c r="AT226" s="81"/>
      <c r="AU226" s="81"/>
      <c r="AV226" s="83">
        <f>SUM(Prog_236[[#This Row],[ADIANTAMENTO]]+Prog_236[[#This Row],[SALDO]]+Prog_236[[#This Row],[MARGEM]]+Prog_236[[#This Row],[ESTADIA 1]])</f>
        <v>0</v>
      </c>
      <c r="AW2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6" s="81"/>
      <c r="AY226" s="81"/>
      <c r="AZ226" s="81">
        <f>Prog_236[[#This Row],[VLR NF]]*0.1%</f>
        <v>0</v>
      </c>
      <c r="BA226" s="81">
        <f>Prog_236[[#This Row],[VLR NF]]*0.05%</f>
        <v>0</v>
      </c>
      <c r="BB226" s="81"/>
      <c r="BC226" s="81"/>
      <c r="BD226" s="81"/>
      <c r="BE226" s="81"/>
      <c r="BF226" s="81"/>
      <c r="BG226" s="81"/>
      <c r="BH226" s="81"/>
      <c r="BI226" s="81"/>
      <c r="BJ226" s="81"/>
      <c r="BK226" s="81"/>
      <c r="BL226" s="66"/>
      <c r="BM226" s="66"/>
      <c r="BN226" s="66"/>
      <c r="BO226" s="66" t="str">
        <f>PROPER(TEXT(Prog_236[[#This Row],[PROGRAMAÇÃO CLIENTE]],"mmm"))</f>
        <v>Jan</v>
      </c>
      <c r="BP226" s="66">
        <f>YEAR(Prog_236[[#This Row],[PROGRAMAÇÃO CLIENTE]])</f>
        <v>1900</v>
      </c>
    </row>
    <row r="227" spans="1:68" x14ac:dyDescent="0.25">
      <c r="A227" s="200">
        <f>Prog_236[[#This Row],[CONTEINER]]</f>
        <v>0</v>
      </c>
      <c r="B227" s="86"/>
      <c r="C2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7" s="44"/>
      <c r="E227" s="66"/>
      <c r="F227" s="66"/>
      <c r="G227" s="66"/>
      <c r="H227" s="44"/>
      <c r="I227" s="44"/>
      <c r="J227" s="66"/>
      <c r="K227" s="66"/>
      <c r="L227" s="66"/>
      <c r="M227" s="66"/>
      <c r="N227" s="66">
        <f>SUM(Prog_236[[#This Row],[TARA]]+Prog_236[[#This Row],[PESO]])</f>
        <v>0</v>
      </c>
      <c r="O227" s="44"/>
      <c r="P227" s="66"/>
      <c r="Q227" s="66"/>
      <c r="R227" s="66"/>
      <c r="S227" s="66"/>
      <c r="T227" s="138" t="str">
        <f>IFERROR(LOOKUP($S227,MOTORISTAS!$D$3:$D$1048576,MOTORISTAS!E$3:$E$1048576),"")</f>
        <v/>
      </c>
      <c r="U227" s="138" t="str">
        <f>IFERROR(LOOKUP($S227,MOTORISTAS!$D$3:$D$1048576,MOTORISTAS!F$3:$F$1048576),"")</f>
        <v/>
      </c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44"/>
      <c r="AG227" s="254">
        <f>Prog_236[[#This Row],[SAÍDA DO CLIENTE]]-Prog_236[[#This Row],[PROGRAMAÇÃO CLIENTE]]</f>
        <v>0</v>
      </c>
      <c r="AH227" s="44"/>
      <c r="AI227" s="66"/>
      <c r="AJ227" s="66"/>
      <c r="AK227" s="66"/>
      <c r="AL227" s="66"/>
      <c r="AM227" s="66"/>
      <c r="AN227" s="83"/>
      <c r="AO227" s="66"/>
      <c r="AP227" s="66"/>
      <c r="AQ227" s="66"/>
      <c r="AR227" s="81"/>
      <c r="AS227" s="81"/>
      <c r="AT227" s="81"/>
      <c r="AU227" s="81"/>
      <c r="AV227" s="83">
        <f>SUM(Prog_236[[#This Row],[ADIANTAMENTO]]+Prog_236[[#This Row],[SALDO]]+Prog_236[[#This Row],[MARGEM]]+Prog_236[[#This Row],[ESTADIA 1]])</f>
        <v>0</v>
      </c>
      <c r="AW2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7" s="81"/>
      <c r="AY227" s="81"/>
      <c r="AZ227" s="81">
        <f>Prog_236[[#This Row],[VLR NF]]*0.1%</f>
        <v>0</v>
      </c>
      <c r="BA227" s="81">
        <f>Prog_236[[#This Row],[VLR NF]]*0.05%</f>
        <v>0</v>
      </c>
      <c r="BB227" s="81"/>
      <c r="BC227" s="81"/>
      <c r="BD227" s="81"/>
      <c r="BE227" s="81"/>
      <c r="BF227" s="81"/>
      <c r="BG227" s="81"/>
      <c r="BH227" s="81"/>
      <c r="BI227" s="81"/>
      <c r="BJ227" s="81"/>
      <c r="BK227" s="81"/>
      <c r="BL227" s="66"/>
      <c r="BM227" s="66"/>
      <c r="BN227" s="66"/>
      <c r="BO227" s="66" t="str">
        <f>PROPER(TEXT(Prog_236[[#This Row],[PROGRAMAÇÃO CLIENTE]],"mmm"))</f>
        <v>Jan</v>
      </c>
      <c r="BP227" s="66">
        <f>YEAR(Prog_236[[#This Row],[PROGRAMAÇÃO CLIENTE]])</f>
        <v>1900</v>
      </c>
    </row>
    <row r="228" spans="1:68" x14ac:dyDescent="0.25">
      <c r="A228" s="201">
        <f>Prog_236[[#This Row],[CONTEINER]]</f>
        <v>0</v>
      </c>
      <c r="B228" s="86"/>
      <c r="C2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8" s="44"/>
      <c r="E228" s="66"/>
      <c r="F228" s="66"/>
      <c r="G228" s="66"/>
      <c r="H228" s="44"/>
      <c r="I228" s="44"/>
      <c r="J228" s="66"/>
      <c r="K228" s="66"/>
      <c r="L228" s="66"/>
      <c r="M228" s="66"/>
      <c r="N228" s="66">
        <f>SUM(Prog_236[[#This Row],[TARA]]+Prog_236[[#This Row],[PESO]])</f>
        <v>0</v>
      </c>
      <c r="O228" s="44"/>
      <c r="P228" s="66"/>
      <c r="Q228" s="66"/>
      <c r="R228" s="66"/>
      <c r="S228" s="66"/>
      <c r="T228" s="138" t="str">
        <f>IFERROR(LOOKUP($S228,MOTORISTAS!$D$3:$D$1048576,MOTORISTAS!E$3:$E$1048576),"")</f>
        <v/>
      </c>
      <c r="U228" s="138" t="str">
        <f>IFERROR(LOOKUP($S228,MOTORISTAS!$D$3:$D$1048576,MOTORISTAS!F$3:$F$1048576),"")</f>
        <v/>
      </c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44"/>
      <c r="AG228" s="254">
        <f>Prog_236[[#This Row],[SAÍDA DO CLIENTE]]-Prog_236[[#This Row],[PROGRAMAÇÃO CLIENTE]]</f>
        <v>0</v>
      </c>
      <c r="AH228" s="44"/>
      <c r="AI228" s="66"/>
      <c r="AJ228" s="66"/>
      <c r="AK228" s="66"/>
      <c r="AL228" s="66"/>
      <c r="AM228" s="66"/>
      <c r="AN228" s="83"/>
      <c r="AO228" s="66"/>
      <c r="AP228" s="66"/>
      <c r="AQ228" s="66"/>
      <c r="AR228" s="81"/>
      <c r="AS228" s="81"/>
      <c r="AT228" s="81"/>
      <c r="AU228" s="81"/>
      <c r="AV228" s="83">
        <f>SUM(Prog_236[[#This Row],[ADIANTAMENTO]]+Prog_236[[#This Row],[SALDO]]+Prog_236[[#This Row],[MARGEM]]+Prog_236[[#This Row],[ESTADIA 1]])</f>
        <v>0</v>
      </c>
      <c r="AW2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8" s="81"/>
      <c r="AY228" s="81"/>
      <c r="AZ228" s="81">
        <f>Prog_236[[#This Row],[VLR NF]]*0.1%</f>
        <v>0</v>
      </c>
      <c r="BA228" s="81">
        <f>Prog_236[[#This Row],[VLR NF]]*0.05%</f>
        <v>0</v>
      </c>
      <c r="BB228" s="81"/>
      <c r="BC228" s="81"/>
      <c r="BD228" s="81"/>
      <c r="BE228" s="81"/>
      <c r="BF228" s="81"/>
      <c r="BG228" s="81"/>
      <c r="BH228" s="81"/>
      <c r="BI228" s="81"/>
      <c r="BJ228" s="81"/>
      <c r="BK228" s="81"/>
      <c r="BL228" s="66"/>
      <c r="BM228" s="66"/>
      <c r="BN228" s="66"/>
      <c r="BO228" s="66" t="str">
        <f>PROPER(TEXT(Prog_236[[#This Row],[PROGRAMAÇÃO CLIENTE]],"mmm"))</f>
        <v>Jan</v>
      </c>
      <c r="BP228" s="66">
        <f>YEAR(Prog_236[[#This Row],[PROGRAMAÇÃO CLIENTE]])</f>
        <v>1900</v>
      </c>
    </row>
    <row r="229" spans="1:68" x14ac:dyDescent="0.25">
      <c r="A229" s="200">
        <f>Prog_236[[#This Row],[CONTEINER]]</f>
        <v>0</v>
      </c>
      <c r="B229" s="86"/>
      <c r="C2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29" s="44"/>
      <c r="E229" s="66"/>
      <c r="F229" s="66"/>
      <c r="G229" s="66"/>
      <c r="H229" s="44"/>
      <c r="I229" s="44"/>
      <c r="J229" s="66"/>
      <c r="K229" s="66"/>
      <c r="L229" s="66"/>
      <c r="M229" s="66"/>
      <c r="N229" s="66">
        <f>SUM(Prog_236[[#This Row],[TARA]]+Prog_236[[#This Row],[PESO]])</f>
        <v>0</v>
      </c>
      <c r="O229" s="44"/>
      <c r="P229" s="66"/>
      <c r="Q229" s="66"/>
      <c r="R229" s="66"/>
      <c r="S229" s="66"/>
      <c r="T229" s="138" t="str">
        <f>IFERROR(LOOKUP($S229,MOTORISTAS!$D$3:$D$1048576,MOTORISTAS!E$3:$E$1048576),"")</f>
        <v/>
      </c>
      <c r="U229" s="138" t="str">
        <f>IFERROR(LOOKUP($S229,MOTORISTAS!$D$3:$D$1048576,MOTORISTAS!F$3:$F$1048576),"")</f>
        <v/>
      </c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44"/>
      <c r="AG229" s="254">
        <f>Prog_236[[#This Row],[SAÍDA DO CLIENTE]]-Prog_236[[#This Row],[PROGRAMAÇÃO CLIENTE]]</f>
        <v>0</v>
      </c>
      <c r="AH229" s="44"/>
      <c r="AI229" s="66"/>
      <c r="AJ229" s="66"/>
      <c r="AK229" s="66"/>
      <c r="AL229" s="66"/>
      <c r="AM229" s="66"/>
      <c r="AN229" s="83"/>
      <c r="AO229" s="66"/>
      <c r="AP229" s="66"/>
      <c r="AQ229" s="66"/>
      <c r="AR229" s="81"/>
      <c r="AS229" s="81"/>
      <c r="AT229" s="81"/>
      <c r="AU229" s="81"/>
      <c r="AV229" s="83">
        <f>SUM(Prog_236[[#This Row],[ADIANTAMENTO]]+Prog_236[[#This Row],[SALDO]]+Prog_236[[#This Row],[MARGEM]]+Prog_236[[#This Row],[ESTADIA 1]])</f>
        <v>0</v>
      </c>
      <c r="AW2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29" s="81"/>
      <c r="AY229" s="81"/>
      <c r="AZ229" s="81">
        <f>Prog_236[[#This Row],[VLR NF]]*0.1%</f>
        <v>0</v>
      </c>
      <c r="BA229" s="81">
        <f>Prog_236[[#This Row],[VLR NF]]*0.05%</f>
        <v>0</v>
      </c>
      <c r="BB229" s="81"/>
      <c r="BC229" s="81"/>
      <c r="BD229" s="81"/>
      <c r="BE229" s="81"/>
      <c r="BF229" s="81"/>
      <c r="BG229" s="81"/>
      <c r="BH229" s="81"/>
      <c r="BI229" s="81"/>
      <c r="BJ229" s="81"/>
      <c r="BK229" s="81"/>
      <c r="BL229" s="66"/>
      <c r="BM229" s="66"/>
      <c r="BN229" s="66"/>
      <c r="BO229" s="66" t="str">
        <f>PROPER(TEXT(Prog_236[[#This Row],[PROGRAMAÇÃO CLIENTE]],"mmm"))</f>
        <v>Jan</v>
      </c>
      <c r="BP229" s="66">
        <f>YEAR(Prog_236[[#This Row],[PROGRAMAÇÃO CLIENTE]])</f>
        <v>1900</v>
      </c>
    </row>
    <row r="230" spans="1:68" x14ac:dyDescent="0.25">
      <c r="A230" s="201">
        <f>Prog_236[[#This Row],[CONTEINER]]</f>
        <v>0</v>
      </c>
      <c r="B230" s="86"/>
      <c r="C2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0" s="44"/>
      <c r="E230" s="66"/>
      <c r="F230" s="66"/>
      <c r="G230" s="66"/>
      <c r="H230" s="44"/>
      <c r="I230" s="44"/>
      <c r="J230" s="66"/>
      <c r="K230" s="66"/>
      <c r="L230" s="66"/>
      <c r="M230" s="66"/>
      <c r="N230" s="66">
        <f>SUM(Prog_236[[#This Row],[TARA]]+Prog_236[[#This Row],[PESO]])</f>
        <v>0</v>
      </c>
      <c r="O230" s="44"/>
      <c r="P230" s="66"/>
      <c r="Q230" s="66"/>
      <c r="R230" s="66"/>
      <c r="S230" s="66"/>
      <c r="T230" s="138" t="str">
        <f>IFERROR(LOOKUP($S230,MOTORISTAS!$D$3:$D$1048576,MOTORISTAS!E$3:$E$1048576),"")</f>
        <v/>
      </c>
      <c r="U230" s="138" t="str">
        <f>IFERROR(LOOKUP($S230,MOTORISTAS!$D$3:$D$1048576,MOTORISTAS!F$3:$F$1048576),"")</f>
        <v/>
      </c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44"/>
      <c r="AG230" s="254">
        <f>Prog_236[[#This Row],[SAÍDA DO CLIENTE]]-Prog_236[[#This Row],[PROGRAMAÇÃO CLIENTE]]</f>
        <v>0</v>
      </c>
      <c r="AH230" s="44"/>
      <c r="AI230" s="66"/>
      <c r="AJ230" s="66"/>
      <c r="AK230" s="66"/>
      <c r="AL230" s="66"/>
      <c r="AM230" s="66"/>
      <c r="AN230" s="83"/>
      <c r="AO230" s="66"/>
      <c r="AP230" s="66"/>
      <c r="AQ230" s="66"/>
      <c r="AR230" s="81"/>
      <c r="AS230" s="81"/>
      <c r="AT230" s="81"/>
      <c r="AU230" s="81"/>
      <c r="AV230" s="83">
        <f>SUM(Prog_236[[#This Row],[ADIANTAMENTO]]+Prog_236[[#This Row],[SALDO]]+Prog_236[[#This Row],[MARGEM]]+Prog_236[[#This Row],[ESTADIA 1]])</f>
        <v>0</v>
      </c>
      <c r="AW2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0" s="81"/>
      <c r="AY230" s="81"/>
      <c r="AZ230" s="81">
        <f>Prog_236[[#This Row],[VLR NF]]*0.1%</f>
        <v>0</v>
      </c>
      <c r="BA230" s="81">
        <f>Prog_236[[#This Row],[VLR NF]]*0.05%</f>
        <v>0</v>
      </c>
      <c r="BB230" s="81"/>
      <c r="BC230" s="81"/>
      <c r="BD230" s="81"/>
      <c r="BE230" s="81"/>
      <c r="BF230" s="81"/>
      <c r="BG230" s="81"/>
      <c r="BH230" s="81"/>
      <c r="BI230" s="81"/>
      <c r="BJ230" s="81"/>
      <c r="BK230" s="81"/>
      <c r="BL230" s="66"/>
      <c r="BM230" s="66"/>
      <c r="BN230" s="66"/>
      <c r="BO230" s="66" t="str">
        <f>PROPER(TEXT(Prog_236[[#This Row],[PROGRAMAÇÃO CLIENTE]],"mmm"))</f>
        <v>Jan</v>
      </c>
      <c r="BP230" s="66">
        <f>YEAR(Prog_236[[#This Row],[PROGRAMAÇÃO CLIENTE]])</f>
        <v>1900</v>
      </c>
    </row>
    <row r="231" spans="1:68" x14ac:dyDescent="0.25">
      <c r="A231" s="200">
        <f>Prog_236[[#This Row],[CONTEINER]]</f>
        <v>0</v>
      </c>
      <c r="B231" s="86"/>
      <c r="C2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1" s="44"/>
      <c r="E231" s="66"/>
      <c r="F231" s="66"/>
      <c r="G231" s="66"/>
      <c r="H231" s="44"/>
      <c r="I231" s="44"/>
      <c r="J231" s="66"/>
      <c r="K231" s="66"/>
      <c r="L231" s="66"/>
      <c r="M231" s="66"/>
      <c r="N231" s="66">
        <f>SUM(Prog_236[[#This Row],[TARA]]+Prog_236[[#This Row],[PESO]])</f>
        <v>0</v>
      </c>
      <c r="O231" s="44"/>
      <c r="P231" s="66"/>
      <c r="Q231" s="66"/>
      <c r="R231" s="66"/>
      <c r="S231" s="66"/>
      <c r="T231" s="138" t="str">
        <f>IFERROR(LOOKUP($S231,MOTORISTAS!$D$3:$D$1048576,MOTORISTAS!E$3:$E$1048576),"")</f>
        <v/>
      </c>
      <c r="U231" s="138" t="str">
        <f>IFERROR(LOOKUP($S231,MOTORISTAS!$D$3:$D$1048576,MOTORISTAS!F$3:$F$1048576),"")</f>
        <v/>
      </c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44"/>
      <c r="AG231" s="254">
        <f>Prog_236[[#This Row],[SAÍDA DO CLIENTE]]-Prog_236[[#This Row],[PROGRAMAÇÃO CLIENTE]]</f>
        <v>0</v>
      </c>
      <c r="AH231" s="44"/>
      <c r="AI231" s="66"/>
      <c r="AJ231" s="66"/>
      <c r="AK231" s="66"/>
      <c r="AL231" s="66"/>
      <c r="AM231" s="66"/>
      <c r="AN231" s="83"/>
      <c r="AO231" s="66"/>
      <c r="AP231" s="66"/>
      <c r="AQ231" s="66"/>
      <c r="AR231" s="81"/>
      <c r="AS231" s="81"/>
      <c r="AT231" s="81"/>
      <c r="AU231" s="81"/>
      <c r="AV231" s="83">
        <f>SUM(Prog_236[[#This Row],[ADIANTAMENTO]]+Prog_236[[#This Row],[SALDO]]+Prog_236[[#This Row],[MARGEM]]+Prog_236[[#This Row],[ESTADIA 1]])</f>
        <v>0</v>
      </c>
      <c r="AW2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1" s="81"/>
      <c r="AY231" s="81"/>
      <c r="AZ231" s="81">
        <f>Prog_236[[#This Row],[VLR NF]]*0.1%</f>
        <v>0</v>
      </c>
      <c r="BA231" s="81">
        <f>Prog_236[[#This Row],[VLR NF]]*0.05%</f>
        <v>0</v>
      </c>
      <c r="BB231" s="81"/>
      <c r="BC231" s="81"/>
      <c r="BD231" s="81"/>
      <c r="BE231" s="81"/>
      <c r="BF231" s="81"/>
      <c r="BG231" s="81"/>
      <c r="BH231" s="81"/>
      <c r="BI231" s="81"/>
      <c r="BJ231" s="81"/>
      <c r="BK231" s="81"/>
      <c r="BL231" s="66"/>
      <c r="BM231" s="66"/>
      <c r="BN231" s="66"/>
      <c r="BO231" s="66" t="str">
        <f>PROPER(TEXT(Prog_236[[#This Row],[PROGRAMAÇÃO CLIENTE]],"mmm"))</f>
        <v>Jan</v>
      </c>
      <c r="BP231" s="66">
        <f>YEAR(Prog_236[[#This Row],[PROGRAMAÇÃO CLIENTE]])</f>
        <v>1900</v>
      </c>
    </row>
    <row r="232" spans="1:68" x14ac:dyDescent="0.25">
      <c r="A232" s="201">
        <f>Prog_236[[#This Row],[CONTEINER]]</f>
        <v>0</v>
      </c>
      <c r="B232" s="86"/>
      <c r="C2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2" s="44"/>
      <c r="E232" s="66"/>
      <c r="F232" s="66"/>
      <c r="G232" s="66"/>
      <c r="H232" s="44"/>
      <c r="I232" s="44"/>
      <c r="J232" s="66"/>
      <c r="K232" s="66"/>
      <c r="L232" s="66"/>
      <c r="M232" s="66"/>
      <c r="N232" s="66">
        <f>SUM(Prog_236[[#This Row],[TARA]]+Prog_236[[#This Row],[PESO]])</f>
        <v>0</v>
      </c>
      <c r="O232" s="44"/>
      <c r="P232" s="66"/>
      <c r="Q232" s="66"/>
      <c r="R232" s="66"/>
      <c r="S232" s="66"/>
      <c r="T232" s="138" t="str">
        <f>IFERROR(LOOKUP($S232,MOTORISTAS!$D$3:$D$1048576,MOTORISTAS!E$3:$E$1048576),"")</f>
        <v/>
      </c>
      <c r="U232" s="138" t="str">
        <f>IFERROR(LOOKUP($S232,MOTORISTAS!$D$3:$D$1048576,MOTORISTAS!F$3:$F$1048576),"")</f>
        <v/>
      </c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44"/>
      <c r="AG232" s="254">
        <f>Prog_236[[#This Row],[SAÍDA DO CLIENTE]]-Prog_236[[#This Row],[PROGRAMAÇÃO CLIENTE]]</f>
        <v>0</v>
      </c>
      <c r="AH232" s="44"/>
      <c r="AI232" s="66"/>
      <c r="AJ232" s="66"/>
      <c r="AK232" s="66"/>
      <c r="AL232" s="66"/>
      <c r="AM232" s="66"/>
      <c r="AN232" s="83"/>
      <c r="AO232" s="66"/>
      <c r="AP232" s="66"/>
      <c r="AQ232" s="66"/>
      <c r="AR232" s="81"/>
      <c r="AS232" s="81"/>
      <c r="AT232" s="81"/>
      <c r="AU232" s="81"/>
      <c r="AV232" s="83">
        <f>SUM(Prog_236[[#This Row],[ADIANTAMENTO]]+Prog_236[[#This Row],[SALDO]]+Prog_236[[#This Row],[MARGEM]]+Prog_236[[#This Row],[ESTADIA 1]])</f>
        <v>0</v>
      </c>
      <c r="AW2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2" s="81"/>
      <c r="AY232" s="81"/>
      <c r="AZ232" s="81">
        <f>Prog_236[[#This Row],[VLR NF]]*0.1%</f>
        <v>0</v>
      </c>
      <c r="BA232" s="81">
        <f>Prog_236[[#This Row],[VLR NF]]*0.05%</f>
        <v>0</v>
      </c>
      <c r="BB232" s="81"/>
      <c r="BC232" s="81"/>
      <c r="BD232" s="81"/>
      <c r="BE232" s="81"/>
      <c r="BF232" s="81"/>
      <c r="BG232" s="81"/>
      <c r="BH232" s="81"/>
      <c r="BI232" s="81"/>
      <c r="BJ232" s="81"/>
      <c r="BK232" s="81"/>
      <c r="BL232" s="66"/>
      <c r="BM232" s="66"/>
      <c r="BN232" s="66"/>
      <c r="BO232" s="66" t="str">
        <f>PROPER(TEXT(Prog_236[[#This Row],[PROGRAMAÇÃO CLIENTE]],"mmm"))</f>
        <v>Jan</v>
      </c>
      <c r="BP232" s="66">
        <f>YEAR(Prog_236[[#This Row],[PROGRAMAÇÃO CLIENTE]])</f>
        <v>1900</v>
      </c>
    </row>
    <row r="233" spans="1:68" x14ac:dyDescent="0.25">
      <c r="A233" s="200">
        <f>Prog_236[[#This Row],[CONTEINER]]</f>
        <v>0</v>
      </c>
      <c r="B233" s="86"/>
      <c r="C2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3" s="44"/>
      <c r="E233" s="66"/>
      <c r="F233" s="66"/>
      <c r="G233" s="66"/>
      <c r="H233" s="44"/>
      <c r="I233" s="44"/>
      <c r="J233" s="66"/>
      <c r="K233" s="66"/>
      <c r="L233" s="66"/>
      <c r="M233" s="66"/>
      <c r="N233" s="66">
        <f>SUM(Prog_236[[#This Row],[TARA]]+Prog_236[[#This Row],[PESO]])</f>
        <v>0</v>
      </c>
      <c r="O233" s="44"/>
      <c r="P233" s="66"/>
      <c r="Q233" s="66"/>
      <c r="R233" s="66"/>
      <c r="S233" s="66"/>
      <c r="T233" s="138" t="str">
        <f>IFERROR(LOOKUP($S233,MOTORISTAS!$D$3:$D$1048576,MOTORISTAS!E$3:$E$1048576),"")</f>
        <v/>
      </c>
      <c r="U233" s="138" t="str">
        <f>IFERROR(LOOKUP($S233,MOTORISTAS!$D$3:$D$1048576,MOTORISTAS!F$3:$F$1048576),"")</f>
        <v/>
      </c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44"/>
      <c r="AG233" s="254">
        <f>Prog_236[[#This Row],[SAÍDA DO CLIENTE]]-Prog_236[[#This Row],[PROGRAMAÇÃO CLIENTE]]</f>
        <v>0</v>
      </c>
      <c r="AH233" s="44"/>
      <c r="AI233" s="66"/>
      <c r="AJ233" s="66"/>
      <c r="AK233" s="66"/>
      <c r="AL233" s="66"/>
      <c r="AM233" s="66"/>
      <c r="AN233" s="83"/>
      <c r="AO233" s="66"/>
      <c r="AP233" s="66"/>
      <c r="AQ233" s="66"/>
      <c r="AR233" s="81"/>
      <c r="AS233" s="81"/>
      <c r="AT233" s="81"/>
      <c r="AU233" s="81"/>
      <c r="AV233" s="83">
        <f>SUM(Prog_236[[#This Row],[ADIANTAMENTO]]+Prog_236[[#This Row],[SALDO]]+Prog_236[[#This Row],[MARGEM]]+Prog_236[[#This Row],[ESTADIA 1]])</f>
        <v>0</v>
      </c>
      <c r="AW2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3" s="81"/>
      <c r="AY233" s="81"/>
      <c r="AZ233" s="81">
        <f>Prog_236[[#This Row],[VLR NF]]*0.1%</f>
        <v>0</v>
      </c>
      <c r="BA233" s="81">
        <f>Prog_236[[#This Row],[VLR NF]]*0.05%</f>
        <v>0</v>
      </c>
      <c r="BB233" s="81"/>
      <c r="BC233" s="81"/>
      <c r="BD233" s="81"/>
      <c r="BE233" s="81"/>
      <c r="BF233" s="81"/>
      <c r="BG233" s="81"/>
      <c r="BH233" s="81"/>
      <c r="BI233" s="81"/>
      <c r="BJ233" s="81"/>
      <c r="BK233" s="81"/>
      <c r="BL233" s="66"/>
      <c r="BM233" s="66"/>
      <c r="BN233" s="66"/>
      <c r="BO233" s="66" t="str">
        <f>PROPER(TEXT(Prog_236[[#This Row],[PROGRAMAÇÃO CLIENTE]],"mmm"))</f>
        <v>Jan</v>
      </c>
      <c r="BP233" s="66">
        <f>YEAR(Prog_236[[#This Row],[PROGRAMAÇÃO CLIENTE]])</f>
        <v>1900</v>
      </c>
    </row>
    <row r="234" spans="1:68" x14ac:dyDescent="0.25">
      <c r="A234" s="201">
        <f>Prog_236[[#This Row],[CONTEINER]]</f>
        <v>0</v>
      </c>
      <c r="B234" s="86"/>
      <c r="C2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4" s="44"/>
      <c r="E234" s="66"/>
      <c r="F234" s="66"/>
      <c r="G234" s="66"/>
      <c r="H234" s="44"/>
      <c r="I234" s="44"/>
      <c r="J234" s="66"/>
      <c r="K234" s="66"/>
      <c r="L234" s="66"/>
      <c r="M234" s="66"/>
      <c r="N234" s="66">
        <f>SUM(Prog_236[[#This Row],[TARA]]+Prog_236[[#This Row],[PESO]])</f>
        <v>0</v>
      </c>
      <c r="O234" s="44"/>
      <c r="P234" s="66"/>
      <c r="Q234" s="66"/>
      <c r="R234" s="66"/>
      <c r="S234" s="66"/>
      <c r="T234" s="138" t="str">
        <f>IFERROR(LOOKUP($S234,MOTORISTAS!$D$3:$D$1048576,MOTORISTAS!E$3:$E$1048576),"")</f>
        <v/>
      </c>
      <c r="U234" s="138" t="str">
        <f>IFERROR(LOOKUP($S234,MOTORISTAS!$D$3:$D$1048576,MOTORISTAS!F$3:$F$1048576),"")</f>
        <v/>
      </c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44"/>
      <c r="AG234" s="254">
        <f>Prog_236[[#This Row],[SAÍDA DO CLIENTE]]-Prog_236[[#This Row],[PROGRAMAÇÃO CLIENTE]]</f>
        <v>0</v>
      </c>
      <c r="AH234" s="44"/>
      <c r="AI234" s="66"/>
      <c r="AJ234" s="66"/>
      <c r="AK234" s="66"/>
      <c r="AL234" s="66"/>
      <c r="AM234" s="66"/>
      <c r="AN234" s="83"/>
      <c r="AO234" s="66"/>
      <c r="AP234" s="66"/>
      <c r="AQ234" s="66"/>
      <c r="AR234" s="81"/>
      <c r="AS234" s="81"/>
      <c r="AT234" s="81"/>
      <c r="AU234" s="81"/>
      <c r="AV234" s="83">
        <f>SUM(Prog_236[[#This Row],[ADIANTAMENTO]]+Prog_236[[#This Row],[SALDO]]+Prog_236[[#This Row],[MARGEM]]+Prog_236[[#This Row],[ESTADIA 1]])</f>
        <v>0</v>
      </c>
      <c r="AW2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4" s="81"/>
      <c r="AY234" s="81"/>
      <c r="AZ234" s="81">
        <f>Prog_236[[#This Row],[VLR NF]]*0.1%</f>
        <v>0</v>
      </c>
      <c r="BA234" s="81">
        <f>Prog_236[[#This Row],[VLR NF]]*0.05%</f>
        <v>0</v>
      </c>
      <c r="BB234" s="81"/>
      <c r="BC234" s="81"/>
      <c r="BD234" s="81"/>
      <c r="BE234" s="81"/>
      <c r="BF234" s="81"/>
      <c r="BG234" s="81"/>
      <c r="BH234" s="81"/>
      <c r="BI234" s="81"/>
      <c r="BJ234" s="81"/>
      <c r="BK234" s="81"/>
      <c r="BL234" s="66"/>
      <c r="BM234" s="66"/>
      <c r="BN234" s="66"/>
      <c r="BO234" s="66" t="str">
        <f>PROPER(TEXT(Prog_236[[#This Row],[PROGRAMAÇÃO CLIENTE]],"mmm"))</f>
        <v>Jan</v>
      </c>
      <c r="BP234" s="66">
        <f>YEAR(Prog_236[[#This Row],[PROGRAMAÇÃO CLIENTE]])</f>
        <v>1900</v>
      </c>
    </row>
    <row r="235" spans="1:68" x14ac:dyDescent="0.25">
      <c r="A235" s="200">
        <f>Prog_236[[#This Row],[CONTEINER]]</f>
        <v>0</v>
      </c>
      <c r="B235" s="86"/>
      <c r="C2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5" s="44"/>
      <c r="E235" s="66"/>
      <c r="F235" s="66"/>
      <c r="G235" s="66"/>
      <c r="H235" s="44"/>
      <c r="I235" s="44"/>
      <c r="J235" s="66"/>
      <c r="K235" s="66"/>
      <c r="L235" s="66"/>
      <c r="M235" s="66"/>
      <c r="N235" s="66">
        <f>SUM(Prog_236[[#This Row],[TARA]]+Prog_236[[#This Row],[PESO]])</f>
        <v>0</v>
      </c>
      <c r="O235" s="44"/>
      <c r="P235" s="66"/>
      <c r="Q235" s="66"/>
      <c r="R235" s="66"/>
      <c r="S235" s="66"/>
      <c r="T235" s="138" t="str">
        <f>IFERROR(LOOKUP($S235,MOTORISTAS!$D$3:$D$1048576,MOTORISTAS!E$3:$E$1048576),"")</f>
        <v/>
      </c>
      <c r="U235" s="138" t="str">
        <f>IFERROR(LOOKUP($S235,MOTORISTAS!$D$3:$D$1048576,MOTORISTAS!F$3:$F$1048576),"")</f>
        <v/>
      </c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44"/>
      <c r="AG235" s="254">
        <f>Prog_236[[#This Row],[SAÍDA DO CLIENTE]]-Prog_236[[#This Row],[PROGRAMAÇÃO CLIENTE]]</f>
        <v>0</v>
      </c>
      <c r="AH235" s="44"/>
      <c r="AI235" s="66"/>
      <c r="AJ235" s="66"/>
      <c r="AK235" s="66"/>
      <c r="AL235" s="66"/>
      <c r="AM235" s="66"/>
      <c r="AN235" s="83"/>
      <c r="AO235" s="66"/>
      <c r="AP235" s="66"/>
      <c r="AQ235" s="66"/>
      <c r="AR235" s="81"/>
      <c r="AS235" s="81"/>
      <c r="AT235" s="81"/>
      <c r="AU235" s="81"/>
      <c r="AV235" s="83">
        <f>SUM(Prog_236[[#This Row],[ADIANTAMENTO]]+Prog_236[[#This Row],[SALDO]]+Prog_236[[#This Row],[MARGEM]]+Prog_236[[#This Row],[ESTADIA 1]])</f>
        <v>0</v>
      </c>
      <c r="AW2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5" s="81"/>
      <c r="AY235" s="81"/>
      <c r="AZ235" s="81">
        <f>Prog_236[[#This Row],[VLR NF]]*0.1%</f>
        <v>0</v>
      </c>
      <c r="BA235" s="81">
        <f>Prog_236[[#This Row],[VLR NF]]*0.05%</f>
        <v>0</v>
      </c>
      <c r="BB235" s="81"/>
      <c r="BC235" s="81"/>
      <c r="BD235" s="81"/>
      <c r="BE235" s="81"/>
      <c r="BF235" s="81"/>
      <c r="BG235" s="81"/>
      <c r="BH235" s="81"/>
      <c r="BI235" s="81"/>
      <c r="BJ235" s="81"/>
      <c r="BK235" s="81"/>
      <c r="BL235" s="66"/>
      <c r="BM235" s="66"/>
      <c r="BN235" s="66"/>
      <c r="BO235" s="66" t="str">
        <f>PROPER(TEXT(Prog_236[[#This Row],[PROGRAMAÇÃO CLIENTE]],"mmm"))</f>
        <v>Jan</v>
      </c>
      <c r="BP235" s="66">
        <f>YEAR(Prog_236[[#This Row],[PROGRAMAÇÃO CLIENTE]])</f>
        <v>1900</v>
      </c>
    </row>
    <row r="236" spans="1:68" x14ac:dyDescent="0.25">
      <c r="A236" s="201">
        <f>Prog_236[[#This Row],[CONTEINER]]</f>
        <v>0</v>
      </c>
      <c r="B236" s="86"/>
      <c r="C2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6" s="44"/>
      <c r="E236" s="66"/>
      <c r="F236" s="66"/>
      <c r="G236" s="66"/>
      <c r="H236" s="44"/>
      <c r="I236" s="44"/>
      <c r="J236" s="66"/>
      <c r="K236" s="66"/>
      <c r="L236" s="66"/>
      <c r="M236" s="66"/>
      <c r="N236" s="66">
        <f>SUM(Prog_236[[#This Row],[TARA]]+Prog_236[[#This Row],[PESO]])</f>
        <v>0</v>
      </c>
      <c r="O236" s="44"/>
      <c r="P236" s="66"/>
      <c r="Q236" s="66"/>
      <c r="R236" s="66"/>
      <c r="S236" s="66"/>
      <c r="T236" s="138" t="str">
        <f>IFERROR(LOOKUP($S236,MOTORISTAS!$D$3:$D$1048576,MOTORISTAS!E$3:$E$1048576),"")</f>
        <v/>
      </c>
      <c r="U236" s="138" t="str">
        <f>IFERROR(LOOKUP($S236,MOTORISTAS!$D$3:$D$1048576,MOTORISTAS!F$3:$F$1048576),"")</f>
        <v/>
      </c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44"/>
      <c r="AG236" s="254">
        <f>Prog_236[[#This Row],[SAÍDA DO CLIENTE]]-Prog_236[[#This Row],[PROGRAMAÇÃO CLIENTE]]</f>
        <v>0</v>
      </c>
      <c r="AH236" s="44"/>
      <c r="AI236" s="66"/>
      <c r="AJ236" s="66"/>
      <c r="AK236" s="66"/>
      <c r="AL236" s="66"/>
      <c r="AM236" s="66"/>
      <c r="AN236" s="83"/>
      <c r="AO236" s="66"/>
      <c r="AP236" s="66"/>
      <c r="AQ236" s="66"/>
      <c r="AR236" s="81"/>
      <c r="AS236" s="81"/>
      <c r="AT236" s="81"/>
      <c r="AU236" s="81"/>
      <c r="AV236" s="83">
        <f>SUM(Prog_236[[#This Row],[ADIANTAMENTO]]+Prog_236[[#This Row],[SALDO]]+Prog_236[[#This Row],[MARGEM]]+Prog_236[[#This Row],[ESTADIA 1]])</f>
        <v>0</v>
      </c>
      <c r="AW2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6" s="81"/>
      <c r="AY236" s="81"/>
      <c r="AZ236" s="81">
        <f>Prog_236[[#This Row],[VLR NF]]*0.1%</f>
        <v>0</v>
      </c>
      <c r="BA236" s="81">
        <f>Prog_236[[#This Row],[VLR NF]]*0.05%</f>
        <v>0</v>
      </c>
      <c r="BB236" s="81"/>
      <c r="BC236" s="81"/>
      <c r="BD236" s="81"/>
      <c r="BE236" s="81"/>
      <c r="BF236" s="81"/>
      <c r="BG236" s="81"/>
      <c r="BH236" s="81"/>
      <c r="BI236" s="81"/>
      <c r="BJ236" s="81"/>
      <c r="BK236" s="81"/>
      <c r="BL236" s="66"/>
      <c r="BM236" s="66"/>
      <c r="BN236" s="66"/>
      <c r="BO236" s="66" t="str">
        <f>PROPER(TEXT(Prog_236[[#This Row],[PROGRAMAÇÃO CLIENTE]],"mmm"))</f>
        <v>Jan</v>
      </c>
      <c r="BP236" s="66">
        <f>YEAR(Prog_236[[#This Row],[PROGRAMAÇÃO CLIENTE]])</f>
        <v>1900</v>
      </c>
    </row>
    <row r="237" spans="1:68" x14ac:dyDescent="0.25">
      <c r="A237" s="200">
        <f>Prog_236[[#This Row],[CONTEINER]]</f>
        <v>0</v>
      </c>
      <c r="B237" s="86"/>
      <c r="C2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7" s="44"/>
      <c r="E237" s="66"/>
      <c r="F237" s="66"/>
      <c r="G237" s="66"/>
      <c r="H237" s="44"/>
      <c r="I237" s="44"/>
      <c r="J237" s="66"/>
      <c r="K237" s="66"/>
      <c r="L237" s="66"/>
      <c r="M237" s="66"/>
      <c r="N237" s="66">
        <f>SUM(Prog_236[[#This Row],[TARA]]+Prog_236[[#This Row],[PESO]])</f>
        <v>0</v>
      </c>
      <c r="O237" s="44"/>
      <c r="P237" s="66"/>
      <c r="Q237" s="66"/>
      <c r="R237" s="66"/>
      <c r="S237" s="66"/>
      <c r="T237" s="138" t="str">
        <f>IFERROR(LOOKUP($S237,MOTORISTAS!$D$3:$D$1048576,MOTORISTAS!E$3:$E$1048576),"")</f>
        <v/>
      </c>
      <c r="U237" s="138" t="str">
        <f>IFERROR(LOOKUP($S237,MOTORISTAS!$D$3:$D$1048576,MOTORISTAS!F$3:$F$1048576),"")</f>
        <v/>
      </c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44"/>
      <c r="AG237" s="254">
        <f>Prog_236[[#This Row],[SAÍDA DO CLIENTE]]-Prog_236[[#This Row],[PROGRAMAÇÃO CLIENTE]]</f>
        <v>0</v>
      </c>
      <c r="AH237" s="44"/>
      <c r="AI237" s="66"/>
      <c r="AJ237" s="66"/>
      <c r="AK237" s="66"/>
      <c r="AL237" s="66"/>
      <c r="AM237" s="66"/>
      <c r="AN237" s="83"/>
      <c r="AO237" s="66"/>
      <c r="AP237" s="66"/>
      <c r="AQ237" s="66"/>
      <c r="AR237" s="81"/>
      <c r="AS237" s="81"/>
      <c r="AT237" s="81"/>
      <c r="AU237" s="81"/>
      <c r="AV237" s="83">
        <f>SUM(Prog_236[[#This Row],[ADIANTAMENTO]]+Prog_236[[#This Row],[SALDO]]+Prog_236[[#This Row],[MARGEM]]+Prog_236[[#This Row],[ESTADIA 1]])</f>
        <v>0</v>
      </c>
      <c r="AW2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7" s="81"/>
      <c r="AY237" s="81"/>
      <c r="AZ237" s="81">
        <f>Prog_236[[#This Row],[VLR NF]]*0.1%</f>
        <v>0</v>
      </c>
      <c r="BA237" s="81">
        <f>Prog_236[[#This Row],[VLR NF]]*0.05%</f>
        <v>0</v>
      </c>
      <c r="BB237" s="81"/>
      <c r="BC237" s="81"/>
      <c r="BD237" s="81"/>
      <c r="BE237" s="81"/>
      <c r="BF237" s="81"/>
      <c r="BG237" s="81"/>
      <c r="BH237" s="81"/>
      <c r="BI237" s="81"/>
      <c r="BJ237" s="81"/>
      <c r="BK237" s="81"/>
      <c r="BL237" s="66"/>
      <c r="BM237" s="66"/>
      <c r="BN237" s="66"/>
      <c r="BO237" s="66" t="str">
        <f>PROPER(TEXT(Prog_236[[#This Row],[PROGRAMAÇÃO CLIENTE]],"mmm"))</f>
        <v>Jan</v>
      </c>
      <c r="BP237" s="66">
        <f>YEAR(Prog_236[[#This Row],[PROGRAMAÇÃO CLIENTE]])</f>
        <v>1900</v>
      </c>
    </row>
    <row r="238" spans="1:68" x14ac:dyDescent="0.25">
      <c r="A238" s="201">
        <f>Prog_236[[#This Row],[CONTEINER]]</f>
        <v>0</v>
      </c>
      <c r="B238" s="86"/>
      <c r="C2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8" s="44"/>
      <c r="E238" s="66"/>
      <c r="F238" s="66"/>
      <c r="G238" s="66"/>
      <c r="H238" s="44"/>
      <c r="I238" s="44"/>
      <c r="J238" s="66"/>
      <c r="K238" s="66"/>
      <c r="L238" s="66"/>
      <c r="M238" s="66"/>
      <c r="N238" s="66">
        <f>SUM(Prog_236[[#This Row],[TARA]]+Prog_236[[#This Row],[PESO]])</f>
        <v>0</v>
      </c>
      <c r="O238" s="44"/>
      <c r="P238" s="66"/>
      <c r="Q238" s="66"/>
      <c r="R238" s="66"/>
      <c r="S238" s="66"/>
      <c r="T238" s="138" t="str">
        <f>IFERROR(LOOKUP($S238,MOTORISTAS!$D$3:$D$1048576,MOTORISTAS!E$3:$E$1048576),"")</f>
        <v/>
      </c>
      <c r="U238" s="138" t="str">
        <f>IFERROR(LOOKUP($S238,MOTORISTAS!$D$3:$D$1048576,MOTORISTAS!F$3:$F$1048576),"")</f>
        <v/>
      </c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44"/>
      <c r="AG238" s="254">
        <f>Prog_236[[#This Row],[SAÍDA DO CLIENTE]]-Prog_236[[#This Row],[PROGRAMAÇÃO CLIENTE]]</f>
        <v>0</v>
      </c>
      <c r="AH238" s="44"/>
      <c r="AI238" s="66"/>
      <c r="AJ238" s="66"/>
      <c r="AK238" s="66"/>
      <c r="AL238" s="66"/>
      <c r="AM238" s="66"/>
      <c r="AN238" s="83"/>
      <c r="AO238" s="66"/>
      <c r="AP238" s="66"/>
      <c r="AQ238" s="66"/>
      <c r="AR238" s="81"/>
      <c r="AS238" s="81"/>
      <c r="AT238" s="81"/>
      <c r="AU238" s="81"/>
      <c r="AV238" s="83">
        <f>SUM(Prog_236[[#This Row],[ADIANTAMENTO]]+Prog_236[[#This Row],[SALDO]]+Prog_236[[#This Row],[MARGEM]]+Prog_236[[#This Row],[ESTADIA 1]])</f>
        <v>0</v>
      </c>
      <c r="AW2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8" s="81"/>
      <c r="AY238" s="81"/>
      <c r="AZ238" s="81">
        <f>Prog_236[[#This Row],[VLR NF]]*0.1%</f>
        <v>0</v>
      </c>
      <c r="BA238" s="81">
        <f>Prog_236[[#This Row],[VLR NF]]*0.05%</f>
        <v>0</v>
      </c>
      <c r="BB238" s="81"/>
      <c r="BC238" s="81"/>
      <c r="BD238" s="81"/>
      <c r="BE238" s="81"/>
      <c r="BF238" s="81"/>
      <c r="BG238" s="81"/>
      <c r="BH238" s="81"/>
      <c r="BI238" s="81"/>
      <c r="BJ238" s="81"/>
      <c r="BK238" s="81"/>
      <c r="BL238" s="66"/>
      <c r="BM238" s="66"/>
      <c r="BN238" s="66"/>
      <c r="BO238" s="66" t="str">
        <f>PROPER(TEXT(Prog_236[[#This Row],[PROGRAMAÇÃO CLIENTE]],"mmm"))</f>
        <v>Jan</v>
      </c>
      <c r="BP238" s="66">
        <f>YEAR(Prog_236[[#This Row],[PROGRAMAÇÃO CLIENTE]])</f>
        <v>1900</v>
      </c>
    </row>
    <row r="239" spans="1:68" x14ac:dyDescent="0.25">
      <c r="A239" s="200">
        <f>Prog_236[[#This Row],[CONTEINER]]</f>
        <v>0</v>
      </c>
      <c r="B239" s="86"/>
      <c r="C2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39" s="44"/>
      <c r="E239" s="66"/>
      <c r="F239" s="66"/>
      <c r="G239" s="66"/>
      <c r="H239" s="44"/>
      <c r="I239" s="44"/>
      <c r="J239" s="66"/>
      <c r="K239" s="66"/>
      <c r="L239" s="66"/>
      <c r="M239" s="66"/>
      <c r="N239" s="66">
        <f>SUM(Prog_236[[#This Row],[TARA]]+Prog_236[[#This Row],[PESO]])</f>
        <v>0</v>
      </c>
      <c r="O239" s="44"/>
      <c r="P239" s="66"/>
      <c r="Q239" s="66"/>
      <c r="R239" s="66"/>
      <c r="S239" s="66"/>
      <c r="T239" s="138" t="str">
        <f>IFERROR(LOOKUP($S239,MOTORISTAS!$D$3:$D$1048576,MOTORISTAS!E$3:$E$1048576),"")</f>
        <v/>
      </c>
      <c r="U239" s="138" t="str">
        <f>IFERROR(LOOKUP($S239,MOTORISTAS!$D$3:$D$1048576,MOTORISTAS!F$3:$F$1048576),"")</f>
        <v/>
      </c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44"/>
      <c r="AG239" s="254">
        <f>Prog_236[[#This Row],[SAÍDA DO CLIENTE]]-Prog_236[[#This Row],[PROGRAMAÇÃO CLIENTE]]</f>
        <v>0</v>
      </c>
      <c r="AH239" s="44"/>
      <c r="AI239" s="66"/>
      <c r="AJ239" s="66"/>
      <c r="AK239" s="66"/>
      <c r="AL239" s="66"/>
      <c r="AM239" s="66"/>
      <c r="AN239" s="83"/>
      <c r="AO239" s="66"/>
      <c r="AP239" s="66"/>
      <c r="AQ239" s="66"/>
      <c r="AR239" s="81"/>
      <c r="AS239" s="81"/>
      <c r="AT239" s="81"/>
      <c r="AU239" s="81"/>
      <c r="AV239" s="83">
        <f>SUM(Prog_236[[#This Row],[ADIANTAMENTO]]+Prog_236[[#This Row],[SALDO]]+Prog_236[[#This Row],[MARGEM]]+Prog_236[[#This Row],[ESTADIA 1]])</f>
        <v>0</v>
      </c>
      <c r="AW2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39" s="81"/>
      <c r="AY239" s="81"/>
      <c r="AZ239" s="81">
        <f>Prog_236[[#This Row],[VLR NF]]*0.1%</f>
        <v>0</v>
      </c>
      <c r="BA239" s="81">
        <f>Prog_236[[#This Row],[VLR NF]]*0.05%</f>
        <v>0</v>
      </c>
      <c r="BB239" s="81"/>
      <c r="BC239" s="81"/>
      <c r="BD239" s="81"/>
      <c r="BE239" s="81"/>
      <c r="BF239" s="81"/>
      <c r="BG239" s="81"/>
      <c r="BH239" s="81"/>
      <c r="BI239" s="81"/>
      <c r="BJ239" s="81"/>
      <c r="BK239" s="81"/>
      <c r="BL239" s="66"/>
      <c r="BM239" s="66"/>
      <c r="BN239" s="66"/>
      <c r="BO239" s="66" t="str">
        <f>PROPER(TEXT(Prog_236[[#This Row],[PROGRAMAÇÃO CLIENTE]],"mmm"))</f>
        <v>Jan</v>
      </c>
      <c r="BP239" s="66">
        <f>YEAR(Prog_236[[#This Row],[PROGRAMAÇÃO CLIENTE]])</f>
        <v>1900</v>
      </c>
    </row>
    <row r="240" spans="1:68" x14ac:dyDescent="0.25">
      <c r="A240" s="201">
        <f>Prog_236[[#This Row],[CONTEINER]]</f>
        <v>0</v>
      </c>
      <c r="B240" s="86"/>
      <c r="C2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0" s="44"/>
      <c r="E240" s="66"/>
      <c r="F240" s="66"/>
      <c r="G240" s="66"/>
      <c r="H240" s="44"/>
      <c r="I240" s="44"/>
      <c r="J240" s="66"/>
      <c r="K240" s="66"/>
      <c r="L240" s="66"/>
      <c r="M240" s="66"/>
      <c r="N240" s="66">
        <f>SUM(Prog_236[[#This Row],[TARA]]+Prog_236[[#This Row],[PESO]])</f>
        <v>0</v>
      </c>
      <c r="O240" s="44"/>
      <c r="P240" s="66"/>
      <c r="Q240" s="66"/>
      <c r="R240" s="66"/>
      <c r="S240" s="66"/>
      <c r="T240" s="138" t="str">
        <f>IFERROR(LOOKUP($S240,MOTORISTAS!$D$3:$D$1048576,MOTORISTAS!E$3:$E$1048576),"")</f>
        <v/>
      </c>
      <c r="U240" s="138" t="str">
        <f>IFERROR(LOOKUP($S240,MOTORISTAS!$D$3:$D$1048576,MOTORISTAS!F$3:$F$1048576),"")</f>
        <v/>
      </c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44"/>
      <c r="AG240" s="254">
        <f>Prog_236[[#This Row],[SAÍDA DO CLIENTE]]-Prog_236[[#This Row],[PROGRAMAÇÃO CLIENTE]]</f>
        <v>0</v>
      </c>
      <c r="AH240" s="44"/>
      <c r="AI240" s="66"/>
      <c r="AJ240" s="66"/>
      <c r="AK240" s="66"/>
      <c r="AL240" s="66"/>
      <c r="AM240" s="66"/>
      <c r="AN240" s="83"/>
      <c r="AO240" s="66"/>
      <c r="AP240" s="66"/>
      <c r="AQ240" s="66"/>
      <c r="AR240" s="81"/>
      <c r="AS240" s="81"/>
      <c r="AT240" s="81"/>
      <c r="AU240" s="81"/>
      <c r="AV240" s="83">
        <f>SUM(Prog_236[[#This Row],[ADIANTAMENTO]]+Prog_236[[#This Row],[SALDO]]+Prog_236[[#This Row],[MARGEM]]+Prog_236[[#This Row],[ESTADIA 1]])</f>
        <v>0</v>
      </c>
      <c r="AW2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0" s="81"/>
      <c r="AY240" s="81"/>
      <c r="AZ240" s="81">
        <f>Prog_236[[#This Row],[VLR NF]]*0.1%</f>
        <v>0</v>
      </c>
      <c r="BA240" s="81">
        <f>Prog_236[[#This Row],[VLR NF]]*0.05%</f>
        <v>0</v>
      </c>
      <c r="BB240" s="81"/>
      <c r="BC240" s="81"/>
      <c r="BD240" s="81"/>
      <c r="BE240" s="81"/>
      <c r="BF240" s="81"/>
      <c r="BG240" s="81"/>
      <c r="BH240" s="81"/>
      <c r="BI240" s="81"/>
      <c r="BJ240" s="81"/>
      <c r="BK240" s="81"/>
      <c r="BL240" s="66"/>
      <c r="BM240" s="66"/>
      <c r="BN240" s="66"/>
      <c r="BO240" s="66" t="str">
        <f>PROPER(TEXT(Prog_236[[#This Row],[PROGRAMAÇÃO CLIENTE]],"mmm"))</f>
        <v>Jan</v>
      </c>
      <c r="BP240" s="66">
        <f>YEAR(Prog_236[[#This Row],[PROGRAMAÇÃO CLIENTE]])</f>
        <v>1900</v>
      </c>
    </row>
    <row r="241" spans="1:68" x14ac:dyDescent="0.25">
      <c r="A241" s="200">
        <f>Prog_236[[#This Row],[CONTEINER]]</f>
        <v>0</v>
      </c>
      <c r="B241" s="86"/>
      <c r="C2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1" s="44"/>
      <c r="E241" s="66"/>
      <c r="F241" s="66"/>
      <c r="G241" s="66"/>
      <c r="H241" s="44"/>
      <c r="I241" s="44"/>
      <c r="J241" s="66"/>
      <c r="K241" s="66"/>
      <c r="L241" s="66"/>
      <c r="M241" s="66"/>
      <c r="N241" s="66">
        <f>SUM(Prog_236[[#This Row],[TARA]]+Prog_236[[#This Row],[PESO]])</f>
        <v>0</v>
      </c>
      <c r="O241" s="44"/>
      <c r="P241" s="66"/>
      <c r="Q241" s="66"/>
      <c r="R241" s="66"/>
      <c r="S241" s="66"/>
      <c r="T241" s="138" t="str">
        <f>IFERROR(LOOKUP($S241,MOTORISTAS!$D$3:$D$1048576,MOTORISTAS!E$3:$E$1048576),"")</f>
        <v/>
      </c>
      <c r="U241" s="138" t="str">
        <f>IFERROR(LOOKUP($S241,MOTORISTAS!$D$3:$D$1048576,MOTORISTAS!F$3:$F$1048576),"")</f>
        <v/>
      </c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44"/>
      <c r="AG241" s="254">
        <f>Prog_236[[#This Row],[SAÍDA DO CLIENTE]]-Prog_236[[#This Row],[PROGRAMAÇÃO CLIENTE]]</f>
        <v>0</v>
      </c>
      <c r="AH241" s="44"/>
      <c r="AI241" s="66"/>
      <c r="AJ241" s="66"/>
      <c r="AK241" s="66"/>
      <c r="AL241" s="66"/>
      <c r="AM241" s="66"/>
      <c r="AN241" s="83"/>
      <c r="AO241" s="66"/>
      <c r="AP241" s="66"/>
      <c r="AQ241" s="66"/>
      <c r="AR241" s="81"/>
      <c r="AS241" s="81"/>
      <c r="AT241" s="81"/>
      <c r="AU241" s="81"/>
      <c r="AV241" s="83">
        <f>SUM(Prog_236[[#This Row],[ADIANTAMENTO]]+Prog_236[[#This Row],[SALDO]]+Prog_236[[#This Row],[MARGEM]]+Prog_236[[#This Row],[ESTADIA 1]])</f>
        <v>0</v>
      </c>
      <c r="AW2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1" s="81"/>
      <c r="AY241" s="81"/>
      <c r="AZ241" s="81">
        <f>Prog_236[[#This Row],[VLR NF]]*0.1%</f>
        <v>0</v>
      </c>
      <c r="BA241" s="81">
        <f>Prog_236[[#This Row],[VLR NF]]*0.05%</f>
        <v>0</v>
      </c>
      <c r="BB241" s="81"/>
      <c r="BC241" s="81"/>
      <c r="BD241" s="81"/>
      <c r="BE241" s="81"/>
      <c r="BF241" s="81"/>
      <c r="BG241" s="81"/>
      <c r="BH241" s="81"/>
      <c r="BI241" s="81"/>
      <c r="BJ241" s="81"/>
      <c r="BK241" s="81"/>
      <c r="BL241" s="66"/>
      <c r="BM241" s="66"/>
      <c r="BN241" s="66"/>
      <c r="BO241" s="66" t="str">
        <f>PROPER(TEXT(Prog_236[[#This Row],[PROGRAMAÇÃO CLIENTE]],"mmm"))</f>
        <v>Jan</v>
      </c>
      <c r="BP241" s="66">
        <f>YEAR(Prog_236[[#This Row],[PROGRAMAÇÃO CLIENTE]])</f>
        <v>1900</v>
      </c>
    </row>
    <row r="242" spans="1:68" x14ac:dyDescent="0.25">
      <c r="A242" s="201">
        <f>Prog_236[[#This Row],[CONTEINER]]</f>
        <v>0</v>
      </c>
      <c r="B242" s="86"/>
      <c r="C2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2" s="44"/>
      <c r="E242" s="66"/>
      <c r="F242" s="66"/>
      <c r="G242" s="66"/>
      <c r="H242" s="44"/>
      <c r="I242" s="44"/>
      <c r="J242" s="66"/>
      <c r="K242" s="66"/>
      <c r="L242" s="66"/>
      <c r="M242" s="66"/>
      <c r="N242" s="66">
        <f>SUM(Prog_236[[#This Row],[TARA]]+Prog_236[[#This Row],[PESO]])</f>
        <v>0</v>
      </c>
      <c r="O242" s="44"/>
      <c r="P242" s="66"/>
      <c r="Q242" s="66"/>
      <c r="R242" s="66"/>
      <c r="S242" s="66"/>
      <c r="T242" s="138" t="str">
        <f>IFERROR(LOOKUP($S242,MOTORISTAS!$D$3:$D$1048576,MOTORISTAS!E$3:$E$1048576),"")</f>
        <v/>
      </c>
      <c r="U242" s="138" t="str">
        <f>IFERROR(LOOKUP($S242,MOTORISTAS!$D$3:$D$1048576,MOTORISTAS!F$3:$F$1048576),"")</f>
        <v/>
      </c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44"/>
      <c r="AG242" s="254">
        <f>Prog_236[[#This Row],[SAÍDA DO CLIENTE]]-Prog_236[[#This Row],[PROGRAMAÇÃO CLIENTE]]</f>
        <v>0</v>
      </c>
      <c r="AH242" s="44"/>
      <c r="AI242" s="66"/>
      <c r="AJ242" s="66"/>
      <c r="AK242" s="66"/>
      <c r="AL242" s="66"/>
      <c r="AM242" s="66"/>
      <c r="AN242" s="83"/>
      <c r="AO242" s="66"/>
      <c r="AP242" s="66"/>
      <c r="AQ242" s="66"/>
      <c r="AR242" s="81"/>
      <c r="AS242" s="81"/>
      <c r="AT242" s="81"/>
      <c r="AU242" s="81"/>
      <c r="AV242" s="83">
        <f>SUM(Prog_236[[#This Row],[ADIANTAMENTO]]+Prog_236[[#This Row],[SALDO]]+Prog_236[[#This Row],[MARGEM]]+Prog_236[[#This Row],[ESTADIA 1]])</f>
        <v>0</v>
      </c>
      <c r="AW2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2" s="81"/>
      <c r="AY242" s="81"/>
      <c r="AZ242" s="81">
        <f>Prog_236[[#This Row],[VLR NF]]*0.1%</f>
        <v>0</v>
      </c>
      <c r="BA242" s="81">
        <f>Prog_236[[#This Row],[VLR NF]]*0.05%</f>
        <v>0</v>
      </c>
      <c r="BB242" s="81"/>
      <c r="BC242" s="81"/>
      <c r="BD242" s="81"/>
      <c r="BE242" s="81"/>
      <c r="BF242" s="81"/>
      <c r="BG242" s="81"/>
      <c r="BH242" s="81"/>
      <c r="BI242" s="81"/>
      <c r="BJ242" s="81"/>
      <c r="BK242" s="81"/>
      <c r="BL242" s="66"/>
      <c r="BM242" s="66"/>
      <c r="BN242" s="66"/>
      <c r="BO242" s="66" t="str">
        <f>PROPER(TEXT(Prog_236[[#This Row],[PROGRAMAÇÃO CLIENTE]],"mmm"))</f>
        <v>Jan</v>
      </c>
      <c r="BP242" s="66">
        <f>YEAR(Prog_236[[#This Row],[PROGRAMAÇÃO CLIENTE]])</f>
        <v>1900</v>
      </c>
    </row>
    <row r="243" spans="1:68" x14ac:dyDescent="0.25">
      <c r="A243" s="200">
        <f>Prog_236[[#This Row],[CONTEINER]]</f>
        <v>0</v>
      </c>
      <c r="B243" s="86"/>
      <c r="C2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3" s="44"/>
      <c r="E243" s="66"/>
      <c r="F243" s="66"/>
      <c r="G243" s="66"/>
      <c r="H243" s="44"/>
      <c r="I243" s="44"/>
      <c r="J243" s="66"/>
      <c r="K243" s="66"/>
      <c r="L243" s="66"/>
      <c r="M243" s="66"/>
      <c r="N243" s="66">
        <f>SUM(Prog_236[[#This Row],[TARA]]+Prog_236[[#This Row],[PESO]])</f>
        <v>0</v>
      </c>
      <c r="O243" s="44"/>
      <c r="P243" s="66"/>
      <c r="Q243" s="66"/>
      <c r="R243" s="66"/>
      <c r="S243" s="66"/>
      <c r="T243" s="138" t="str">
        <f>IFERROR(LOOKUP($S243,MOTORISTAS!$D$3:$D$1048576,MOTORISTAS!E$3:$E$1048576),"")</f>
        <v/>
      </c>
      <c r="U243" s="138" t="str">
        <f>IFERROR(LOOKUP($S243,MOTORISTAS!$D$3:$D$1048576,MOTORISTAS!F$3:$F$1048576),"")</f>
        <v/>
      </c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44"/>
      <c r="AG243" s="254">
        <f>Prog_236[[#This Row],[SAÍDA DO CLIENTE]]-Prog_236[[#This Row],[PROGRAMAÇÃO CLIENTE]]</f>
        <v>0</v>
      </c>
      <c r="AH243" s="44"/>
      <c r="AI243" s="66"/>
      <c r="AJ243" s="66"/>
      <c r="AK243" s="66"/>
      <c r="AL243" s="66"/>
      <c r="AM243" s="66"/>
      <c r="AN243" s="83"/>
      <c r="AO243" s="66"/>
      <c r="AP243" s="66"/>
      <c r="AQ243" s="66"/>
      <c r="AR243" s="81"/>
      <c r="AS243" s="81"/>
      <c r="AT243" s="81"/>
      <c r="AU243" s="81"/>
      <c r="AV243" s="83">
        <f>SUM(Prog_236[[#This Row],[ADIANTAMENTO]]+Prog_236[[#This Row],[SALDO]]+Prog_236[[#This Row],[MARGEM]]+Prog_236[[#This Row],[ESTADIA 1]])</f>
        <v>0</v>
      </c>
      <c r="AW2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3" s="81"/>
      <c r="AY243" s="81"/>
      <c r="AZ243" s="81">
        <f>Prog_236[[#This Row],[VLR NF]]*0.1%</f>
        <v>0</v>
      </c>
      <c r="BA243" s="81">
        <f>Prog_236[[#This Row],[VLR NF]]*0.05%</f>
        <v>0</v>
      </c>
      <c r="BB243" s="81"/>
      <c r="BC243" s="81"/>
      <c r="BD243" s="81"/>
      <c r="BE243" s="81"/>
      <c r="BF243" s="81"/>
      <c r="BG243" s="81"/>
      <c r="BH243" s="81"/>
      <c r="BI243" s="81"/>
      <c r="BJ243" s="81"/>
      <c r="BK243" s="81"/>
      <c r="BL243" s="66"/>
      <c r="BM243" s="66"/>
      <c r="BN243" s="66"/>
      <c r="BO243" s="66" t="str">
        <f>PROPER(TEXT(Prog_236[[#This Row],[PROGRAMAÇÃO CLIENTE]],"mmm"))</f>
        <v>Jan</v>
      </c>
      <c r="BP243" s="66">
        <f>YEAR(Prog_236[[#This Row],[PROGRAMAÇÃO CLIENTE]])</f>
        <v>1900</v>
      </c>
    </row>
    <row r="244" spans="1:68" x14ac:dyDescent="0.25">
      <c r="A244" s="201">
        <f>Prog_236[[#This Row],[CONTEINER]]</f>
        <v>0</v>
      </c>
      <c r="B244" s="86"/>
      <c r="C2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4" s="44"/>
      <c r="E244" s="66"/>
      <c r="F244" s="66"/>
      <c r="G244" s="66"/>
      <c r="H244" s="44"/>
      <c r="I244" s="44"/>
      <c r="J244" s="66"/>
      <c r="K244" s="66"/>
      <c r="L244" s="66"/>
      <c r="M244" s="66"/>
      <c r="N244" s="66">
        <f>SUM(Prog_236[[#This Row],[TARA]]+Prog_236[[#This Row],[PESO]])</f>
        <v>0</v>
      </c>
      <c r="O244" s="44"/>
      <c r="P244" s="66"/>
      <c r="Q244" s="66"/>
      <c r="R244" s="66"/>
      <c r="S244" s="66"/>
      <c r="T244" s="138" t="str">
        <f>IFERROR(LOOKUP($S244,MOTORISTAS!$D$3:$D$1048576,MOTORISTAS!E$3:$E$1048576),"")</f>
        <v/>
      </c>
      <c r="U244" s="138" t="str">
        <f>IFERROR(LOOKUP($S244,MOTORISTAS!$D$3:$D$1048576,MOTORISTAS!F$3:$F$1048576),"")</f>
        <v/>
      </c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44"/>
      <c r="AG244" s="254">
        <f>Prog_236[[#This Row],[SAÍDA DO CLIENTE]]-Prog_236[[#This Row],[PROGRAMAÇÃO CLIENTE]]</f>
        <v>0</v>
      </c>
      <c r="AH244" s="44"/>
      <c r="AI244" s="66"/>
      <c r="AJ244" s="66"/>
      <c r="AK244" s="66"/>
      <c r="AL244" s="66"/>
      <c r="AM244" s="66"/>
      <c r="AN244" s="83"/>
      <c r="AO244" s="66"/>
      <c r="AP244" s="66"/>
      <c r="AQ244" s="66"/>
      <c r="AR244" s="81"/>
      <c r="AS244" s="81"/>
      <c r="AT244" s="81"/>
      <c r="AU244" s="81"/>
      <c r="AV244" s="83">
        <f>SUM(Prog_236[[#This Row],[ADIANTAMENTO]]+Prog_236[[#This Row],[SALDO]]+Prog_236[[#This Row],[MARGEM]]+Prog_236[[#This Row],[ESTADIA 1]])</f>
        <v>0</v>
      </c>
      <c r="AW2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4" s="81"/>
      <c r="AY244" s="81"/>
      <c r="AZ244" s="81">
        <f>Prog_236[[#This Row],[VLR NF]]*0.1%</f>
        <v>0</v>
      </c>
      <c r="BA244" s="81">
        <f>Prog_236[[#This Row],[VLR NF]]*0.05%</f>
        <v>0</v>
      </c>
      <c r="BB244" s="81"/>
      <c r="BC244" s="81"/>
      <c r="BD244" s="81"/>
      <c r="BE244" s="81"/>
      <c r="BF244" s="81"/>
      <c r="BG244" s="81"/>
      <c r="BH244" s="81"/>
      <c r="BI244" s="81"/>
      <c r="BJ244" s="81"/>
      <c r="BK244" s="81"/>
      <c r="BL244" s="66"/>
      <c r="BM244" s="66"/>
      <c r="BN244" s="66"/>
      <c r="BO244" s="66" t="str">
        <f>PROPER(TEXT(Prog_236[[#This Row],[PROGRAMAÇÃO CLIENTE]],"mmm"))</f>
        <v>Jan</v>
      </c>
      <c r="BP244" s="66">
        <f>YEAR(Prog_236[[#This Row],[PROGRAMAÇÃO CLIENTE]])</f>
        <v>1900</v>
      </c>
    </row>
    <row r="245" spans="1:68" x14ac:dyDescent="0.25">
      <c r="A245" s="200">
        <f>Prog_236[[#This Row],[CONTEINER]]</f>
        <v>0</v>
      </c>
      <c r="B245" s="86"/>
      <c r="C2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5" s="44"/>
      <c r="E245" s="66"/>
      <c r="F245" s="66"/>
      <c r="G245" s="66"/>
      <c r="H245" s="44"/>
      <c r="I245" s="44"/>
      <c r="J245" s="66"/>
      <c r="K245" s="66"/>
      <c r="L245" s="66"/>
      <c r="M245" s="66"/>
      <c r="N245" s="66">
        <f>SUM(Prog_236[[#This Row],[TARA]]+Prog_236[[#This Row],[PESO]])</f>
        <v>0</v>
      </c>
      <c r="O245" s="44"/>
      <c r="P245" s="66"/>
      <c r="Q245" s="66"/>
      <c r="R245" s="66"/>
      <c r="S245" s="66"/>
      <c r="T245" s="138" t="str">
        <f>IFERROR(LOOKUP($S245,MOTORISTAS!$D$3:$D$1048576,MOTORISTAS!E$3:$E$1048576),"")</f>
        <v/>
      </c>
      <c r="U245" s="138" t="str">
        <f>IFERROR(LOOKUP($S245,MOTORISTAS!$D$3:$D$1048576,MOTORISTAS!F$3:$F$1048576),"")</f>
        <v/>
      </c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44"/>
      <c r="AG245" s="254">
        <f>Prog_236[[#This Row],[SAÍDA DO CLIENTE]]-Prog_236[[#This Row],[PROGRAMAÇÃO CLIENTE]]</f>
        <v>0</v>
      </c>
      <c r="AH245" s="44"/>
      <c r="AI245" s="66"/>
      <c r="AJ245" s="66"/>
      <c r="AK245" s="66"/>
      <c r="AL245" s="66"/>
      <c r="AM245" s="66"/>
      <c r="AN245" s="83"/>
      <c r="AO245" s="66"/>
      <c r="AP245" s="66"/>
      <c r="AQ245" s="66"/>
      <c r="AR245" s="81"/>
      <c r="AS245" s="81"/>
      <c r="AT245" s="81"/>
      <c r="AU245" s="81"/>
      <c r="AV245" s="83">
        <f>SUM(Prog_236[[#This Row],[ADIANTAMENTO]]+Prog_236[[#This Row],[SALDO]]+Prog_236[[#This Row],[MARGEM]]+Prog_236[[#This Row],[ESTADIA 1]])</f>
        <v>0</v>
      </c>
      <c r="AW2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5" s="81"/>
      <c r="AY245" s="81"/>
      <c r="AZ245" s="81">
        <f>Prog_236[[#This Row],[VLR NF]]*0.1%</f>
        <v>0</v>
      </c>
      <c r="BA245" s="81">
        <f>Prog_236[[#This Row],[VLR NF]]*0.05%</f>
        <v>0</v>
      </c>
      <c r="BB245" s="81"/>
      <c r="BC245" s="81"/>
      <c r="BD245" s="81"/>
      <c r="BE245" s="81"/>
      <c r="BF245" s="81"/>
      <c r="BG245" s="81"/>
      <c r="BH245" s="81"/>
      <c r="BI245" s="81"/>
      <c r="BJ245" s="81"/>
      <c r="BK245" s="81"/>
      <c r="BL245" s="66"/>
      <c r="BM245" s="66"/>
      <c r="BN245" s="66"/>
      <c r="BO245" s="66" t="str">
        <f>PROPER(TEXT(Prog_236[[#This Row],[PROGRAMAÇÃO CLIENTE]],"mmm"))</f>
        <v>Jan</v>
      </c>
      <c r="BP245" s="66">
        <f>YEAR(Prog_236[[#This Row],[PROGRAMAÇÃO CLIENTE]])</f>
        <v>1900</v>
      </c>
    </row>
    <row r="246" spans="1:68" x14ac:dyDescent="0.25">
      <c r="A246" s="201">
        <f>Prog_236[[#This Row],[CONTEINER]]</f>
        <v>0</v>
      </c>
      <c r="B246" s="86"/>
      <c r="C2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6" s="44"/>
      <c r="E246" s="66"/>
      <c r="F246" s="66"/>
      <c r="G246" s="66"/>
      <c r="H246" s="44"/>
      <c r="I246" s="44"/>
      <c r="J246" s="66"/>
      <c r="K246" s="66"/>
      <c r="L246" s="66"/>
      <c r="M246" s="66"/>
      <c r="N246" s="66">
        <f>SUM(Prog_236[[#This Row],[TARA]]+Prog_236[[#This Row],[PESO]])</f>
        <v>0</v>
      </c>
      <c r="O246" s="44"/>
      <c r="P246" s="66"/>
      <c r="Q246" s="66"/>
      <c r="R246" s="66"/>
      <c r="S246" s="66"/>
      <c r="T246" s="138" t="str">
        <f>IFERROR(LOOKUP($S246,MOTORISTAS!$D$3:$D$1048576,MOTORISTAS!E$3:$E$1048576),"")</f>
        <v/>
      </c>
      <c r="U246" s="138" t="str">
        <f>IFERROR(LOOKUP($S246,MOTORISTAS!$D$3:$D$1048576,MOTORISTAS!F$3:$F$1048576),"")</f>
        <v/>
      </c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44"/>
      <c r="AG246" s="254">
        <f>Prog_236[[#This Row],[SAÍDA DO CLIENTE]]-Prog_236[[#This Row],[PROGRAMAÇÃO CLIENTE]]</f>
        <v>0</v>
      </c>
      <c r="AH246" s="44"/>
      <c r="AI246" s="66"/>
      <c r="AJ246" s="66"/>
      <c r="AK246" s="66"/>
      <c r="AL246" s="66"/>
      <c r="AM246" s="66"/>
      <c r="AN246" s="83"/>
      <c r="AO246" s="66"/>
      <c r="AP246" s="66"/>
      <c r="AQ246" s="66"/>
      <c r="AR246" s="81"/>
      <c r="AS246" s="81"/>
      <c r="AT246" s="81"/>
      <c r="AU246" s="81"/>
      <c r="AV246" s="83">
        <f>SUM(Prog_236[[#This Row],[ADIANTAMENTO]]+Prog_236[[#This Row],[SALDO]]+Prog_236[[#This Row],[MARGEM]]+Prog_236[[#This Row],[ESTADIA 1]])</f>
        <v>0</v>
      </c>
      <c r="AW2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6" s="81"/>
      <c r="AY246" s="81"/>
      <c r="AZ246" s="81">
        <f>Prog_236[[#This Row],[VLR NF]]*0.1%</f>
        <v>0</v>
      </c>
      <c r="BA246" s="81">
        <f>Prog_236[[#This Row],[VLR NF]]*0.05%</f>
        <v>0</v>
      </c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66"/>
      <c r="BM246" s="66"/>
      <c r="BN246" s="66"/>
      <c r="BO246" s="66" t="str">
        <f>PROPER(TEXT(Prog_236[[#This Row],[PROGRAMAÇÃO CLIENTE]],"mmm"))</f>
        <v>Jan</v>
      </c>
      <c r="BP246" s="66">
        <f>YEAR(Prog_236[[#This Row],[PROGRAMAÇÃO CLIENTE]])</f>
        <v>1900</v>
      </c>
    </row>
    <row r="247" spans="1:68" x14ac:dyDescent="0.25">
      <c r="A247" s="200">
        <f>Prog_236[[#This Row],[CONTEINER]]</f>
        <v>0</v>
      </c>
      <c r="B247" s="86"/>
      <c r="C2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7" s="44"/>
      <c r="E247" s="66"/>
      <c r="F247" s="66"/>
      <c r="G247" s="66"/>
      <c r="H247" s="44"/>
      <c r="I247" s="44"/>
      <c r="J247" s="66"/>
      <c r="K247" s="66"/>
      <c r="L247" s="66"/>
      <c r="M247" s="66"/>
      <c r="N247" s="66">
        <f>SUM(Prog_236[[#This Row],[TARA]]+Prog_236[[#This Row],[PESO]])</f>
        <v>0</v>
      </c>
      <c r="O247" s="44"/>
      <c r="P247" s="66"/>
      <c r="Q247" s="66"/>
      <c r="R247" s="66"/>
      <c r="S247" s="66"/>
      <c r="T247" s="138" t="str">
        <f>IFERROR(LOOKUP($S247,MOTORISTAS!$D$3:$D$1048576,MOTORISTAS!E$3:$E$1048576),"")</f>
        <v/>
      </c>
      <c r="U247" s="138" t="str">
        <f>IFERROR(LOOKUP($S247,MOTORISTAS!$D$3:$D$1048576,MOTORISTAS!F$3:$F$1048576),"")</f>
        <v/>
      </c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44"/>
      <c r="AG247" s="254">
        <f>Prog_236[[#This Row],[SAÍDA DO CLIENTE]]-Prog_236[[#This Row],[PROGRAMAÇÃO CLIENTE]]</f>
        <v>0</v>
      </c>
      <c r="AH247" s="44"/>
      <c r="AI247" s="66"/>
      <c r="AJ247" s="66"/>
      <c r="AK247" s="66"/>
      <c r="AL247" s="66"/>
      <c r="AM247" s="66"/>
      <c r="AN247" s="83"/>
      <c r="AO247" s="66"/>
      <c r="AP247" s="66"/>
      <c r="AQ247" s="66"/>
      <c r="AR247" s="81"/>
      <c r="AS247" s="81"/>
      <c r="AT247" s="81"/>
      <c r="AU247" s="81"/>
      <c r="AV247" s="83">
        <f>SUM(Prog_236[[#This Row],[ADIANTAMENTO]]+Prog_236[[#This Row],[SALDO]]+Prog_236[[#This Row],[MARGEM]]+Prog_236[[#This Row],[ESTADIA 1]])</f>
        <v>0</v>
      </c>
      <c r="AW2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7" s="81"/>
      <c r="AY247" s="81"/>
      <c r="AZ247" s="81">
        <f>Prog_236[[#This Row],[VLR NF]]*0.1%</f>
        <v>0</v>
      </c>
      <c r="BA247" s="81">
        <f>Prog_236[[#This Row],[VLR NF]]*0.05%</f>
        <v>0</v>
      </c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66"/>
      <c r="BM247" s="66"/>
      <c r="BN247" s="66"/>
      <c r="BO247" s="66" t="str">
        <f>PROPER(TEXT(Prog_236[[#This Row],[PROGRAMAÇÃO CLIENTE]],"mmm"))</f>
        <v>Jan</v>
      </c>
      <c r="BP247" s="66">
        <f>YEAR(Prog_236[[#This Row],[PROGRAMAÇÃO CLIENTE]])</f>
        <v>1900</v>
      </c>
    </row>
    <row r="248" spans="1:68" x14ac:dyDescent="0.25">
      <c r="A248" s="201">
        <f>Prog_236[[#This Row],[CONTEINER]]</f>
        <v>0</v>
      </c>
      <c r="B248" s="86"/>
      <c r="C2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8" s="44"/>
      <c r="E248" s="66"/>
      <c r="F248" s="66"/>
      <c r="G248" s="66"/>
      <c r="H248" s="44"/>
      <c r="I248" s="44"/>
      <c r="J248" s="66"/>
      <c r="K248" s="66"/>
      <c r="L248" s="66"/>
      <c r="M248" s="66"/>
      <c r="N248" s="66">
        <f>SUM(Prog_236[[#This Row],[TARA]]+Prog_236[[#This Row],[PESO]])</f>
        <v>0</v>
      </c>
      <c r="O248" s="44"/>
      <c r="P248" s="66"/>
      <c r="Q248" s="66"/>
      <c r="R248" s="66"/>
      <c r="S248" s="66"/>
      <c r="T248" s="138" t="str">
        <f>IFERROR(LOOKUP($S248,MOTORISTAS!$D$3:$D$1048576,MOTORISTAS!E$3:$E$1048576),"")</f>
        <v/>
      </c>
      <c r="U248" s="138" t="str">
        <f>IFERROR(LOOKUP($S248,MOTORISTAS!$D$3:$D$1048576,MOTORISTAS!F$3:$F$1048576),"")</f>
        <v/>
      </c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44"/>
      <c r="AG248" s="254">
        <f>Prog_236[[#This Row],[SAÍDA DO CLIENTE]]-Prog_236[[#This Row],[PROGRAMAÇÃO CLIENTE]]</f>
        <v>0</v>
      </c>
      <c r="AH248" s="44"/>
      <c r="AI248" s="66"/>
      <c r="AJ248" s="66"/>
      <c r="AK248" s="66"/>
      <c r="AL248" s="66"/>
      <c r="AM248" s="66"/>
      <c r="AN248" s="83"/>
      <c r="AO248" s="66"/>
      <c r="AP248" s="66"/>
      <c r="AQ248" s="66"/>
      <c r="AR248" s="81"/>
      <c r="AS248" s="81"/>
      <c r="AT248" s="81"/>
      <c r="AU248" s="81"/>
      <c r="AV248" s="83">
        <f>SUM(Prog_236[[#This Row],[ADIANTAMENTO]]+Prog_236[[#This Row],[SALDO]]+Prog_236[[#This Row],[MARGEM]]+Prog_236[[#This Row],[ESTADIA 1]])</f>
        <v>0</v>
      </c>
      <c r="AW2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8" s="81"/>
      <c r="AY248" s="81"/>
      <c r="AZ248" s="81">
        <f>Prog_236[[#This Row],[VLR NF]]*0.1%</f>
        <v>0</v>
      </c>
      <c r="BA248" s="81">
        <f>Prog_236[[#This Row],[VLR NF]]*0.05%</f>
        <v>0</v>
      </c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66"/>
      <c r="BM248" s="66"/>
      <c r="BN248" s="66"/>
      <c r="BO248" s="66" t="str">
        <f>PROPER(TEXT(Prog_236[[#This Row],[PROGRAMAÇÃO CLIENTE]],"mmm"))</f>
        <v>Jan</v>
      </c>
      <c r="BP248" s="66">
        <f>YEAR(Prog_236[[#This Row],[PROGRAMAÇÃO CLIENTE]])</f>
        <v>1900</v>
      </c>
    </row>
    <row r="249" spans="1:68" x14ac:dyDescent="0.25">
      <c r="A249" s="200">
        <f>Prog_236[[#This Row],[CONTEINER]]</f>
        <v>0</v>
      </c>
      <c r="B249" s="86"/>
      <c r="C2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49" s="44"/>
      <c r="E249" s="66"/>
      <c r="F249" s="66"/>
      <c r="G249" s="66"/>
      <c r="H249" s="44"/>
      <c r="I249" s="44"/>
      <c r="J249" s="66"/>
      <c r="K249" s="66"/>
      <c r="L249" s="66"/>
      <c r="M249" s="66"/>
      <c r="N249" s="66">
        <f>SUM(Prog_236[[#This Row],[TARA]]+Prog_236[[#This Row],[PESO]])</f>
        <v>0</v>
      </c>
      <c r="O249" s="44"/>
      <c r="P249" s="66"/>
      <c r="Q249" s="66"/>
      <c r="R249" s="66"/>
      <c r="S249" s="66"/>
      <c r="T249" s="138" t="str">
        <f>IFERROR(LOOKUP($S249,MOTORISTAS!$D$3:$D$1048576,MOTORISTAS!E$3:$E$1048576),"")</f>
        <v/>
      </c>
      <c r="U249" s="138" t="str">
        <f>IFERROR(LOOKUP($S249,MOTORISTAS!$D$3:$D$1048576,MOTORISTAS!F$3:$F$1048576),"")</f>
        <v/>
      </c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44"/>
      <c r="AG249" s="254">
        <f>Prog_236[[#This Row],[SAÍDA DO CLIENTE]]-Prog_236[[#This Row],[PROGRAMAÇÃO CLIENTE]]</f>
        <v>0</v>
      </c>
      <c r="AH249" s="44"/>
      <c r="AI249" s="66"/>
      <c r="AJ249" s="66"/>
      <c r="AK249" s="66"/>
      <c r="AL249" s="66"/>
      <c r="AM249" s="66"/>
      <c r="AN249" s="83"/>
      <c r="AO249" s="66"/>
      <c r="AP249" s="66"/>
      <c r="AQ249" s="66"/>
      <c r="AR249" s="81"/>
      <c r="AS249" s="81"/>
      <c r="AT249" s="81"/>
      <c r="AU249" s="81"/>
      <c r="AV249" s="83">
        <f>SUM(Prog_236[[#This Row],[ADIANTAMENTO]]+Prog_236[[#This Row],[SALDO]]+Prog_236[[#This Row],[MARGEM]]+Prog_236[[#This Row],[ESTADIA 1]])</f>
        <v>0</v>
      </c>
      <c r="AW2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49" s="81"/>
      <c r="AY249" s="81"/>
      <c r="AZ249" s="81">
        <f>Prog_236[[#This Row],[VLR NF]]*0.1%</f>
        <v>0</v>
      </c>
      <c r="BA249" s="81">
        <f>Prog_236[[#This Row],[VLR NF]]*0.05%</f>
        <v>0</v>
      </c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66"/>
      <c r="BM249" s="66"/>
      <c r="BN249" s="66"/>
      <c r="BO249" s="66" t="str">
        <f>PROPER(TEXT(Prog_236[[#This Row],[PROGRAMAÇÃO CLIENTE]],"mmm"))</f>
        <v>Jan</v>
      </c>
      <c r="BP249" s="66">
        <f>YEAR(Prog_236[[#This Row],[PROGRAMAÇÃO CLIENTE]])</f>
        <v>1900</v>
      </c>
    </row>
    <row r="250" spans="1:68" x14ac:dyDescent="0.25">
      <c r="A250" s="201">
        <f>Prog_236[[#This Row],[CONTEINER]]</f>
        <v>0</v>
      </c>
      <c r="B250" s="86"/>
      <c r="C2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0" s="44"/>
      <c r="E250" s="66"/>
      <c r="F250" s="66"/>
      <c r="G250" s="66"/>
      <c r="H250" s="44"/>
      <c r="I250" s="44"/>
      <c r="J250" s="66"/>
      <c r="K250" s="66"/>
      <c r="L250" s="66"/>
      <c r="M250" s="66"/>
      <c r="N250" s="66">
        <f>SUM(Prog_236[[#This Row],[TARA]]+Prog_236[[#This Row],[PESO]])</f>
        <v>0</v>
      </c>
      <c r="O250" s="44"/>
      <c r="P250" s="66"/>
      <c r="Q250" s="66"/>
      <c r="R250" s="66"/>
      <c r="S250" s="66"/>
      <c r="T250" s="138" t="str">
        <f>IFERROR(LOOKUP($S250,MOTORISTAS!$D$3:$D$1048576,MOTORISTAS!E$3:$E$1048576),"")</f>
        <v/>
      </c>
      <c r="U250" s="138" t="str">
        <f>IFERROR(LOOKUP($S250,MOTORISTAS!$D$3:$D$1048576,MOTORISTAS!F$3:$F$1048576),"")</f>
        <v/>
      </c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44"/>
      <c r="AG250" s="254">
        <f>Prog_236[[#This Row],[SAÍDA DO CLIENTE]]-Prog_236[[#This Row],[PROGRAMAÇÃO CLIENTE]]</f>
        <v>0</v>
      </c>
      <c r="AH250" s="44"/>
      <c r="AI250" s="66"/>
      <c r="AJ250" s="66"/>
      <c r="AK250" s="66"/>
      <c r="AL250" s="66"/>
      <c r="AM250" s="66"/>
      <c r="AN250" s="83"/>
      <c r="AO250" s="66"/>
      <c r="AP250" s="66"/>
      <c r="AQ250" s="66"/>
      <c r="AR250" s="81"/>
      <c r="AS250" s="81"/>
      <c r="AT250" s="81"/>
      <c r="AU250" s="81"/>
      <c r="AV250" s="83">
        <f>SUM(Prog_236[[#This Row],[ADIANTAMENTO]]+Prog_236[[#This Row],[SALDO]]+Prog_236[[#This Row],[MARGEM]]+Prog_236[[#This Row],[ESTADIA 1]])</f>
        <v>0</v>
      </c>
      <c r="AW2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0" s="81"/>
      <c r="AY250" s="81"/>
      <c r="AZ250" s="81">
        <f>Prog_236[[#This Row],[VLR NF]]*0.1%</f>
        <v>0</v>
      </c>
      <c r="BA250" s="81">
        <f>Prog_236[[#This Row],[VLR NF]]*0.05%</f>
        <v>0</v>
      </c>
      <c r="BB250" s="81"/>
      <c r="BC250" s="81"/>
      <c r="BD250" s="81"/>
      <c r="BE250" s="81"/>
      <c r="BF250" s="81"/>
      <c r="BG250" s="81"/>
      <c r="BH250" s="81"/>
      <c r="BI250" s="81"/>
      <c r="BJ250" s="81"/>
      <c r="BK250" s="81"/>
      <c r="BL250" s="66"/>
      <c r="BM250" s="66"/>
      <c r="BN250" s="66"/>
      <c r="BO250" s="66" t="str">
        <f>PROPER(TEXT(Prog_236[[#This Row],[PROGRAMAÇÃO CLIENTE]],"mmm"))</f>
        <v>Jan</v>
      </c>
      <c r="BP250" s="66">
        <f>YEAR(Prog_236[[#This Row],[PROGRAMAÇÃO CLIENTE]])</f>
        <v>1900</v>
      </c>
    </row>
    <row r="251" spans="1:68" x14ac:dyDescent="0.25">
      <c r="A251" s="200">
        <f>Prog_236[[#This Row],[CONTEINER]]</f>
        <v>0</v>
      </c>
      <c r="B251" s="86"/>
      <c r="C2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1" s="44"/>
      <c r="E251" s="66"/>
      <c r="F251" s="66"/>
      <c r="G251" s="66"/>
      <c r="H251" s="44"/>
      <c r="I251" s="44"/>
      <c r="J251" s="66"/>
      <c r="K251" s="66"/>
      <c r="L251" s="66"/>
      <c r="M251" s="66"/>
      <c r="N251" s="66">
        <f>SUM(Prog_236[[#This Row],[TARA]]+Prog_236[[#This Row],[PESO]])</f>
        <v>0</v>
      </c>
      <c r="O251" s="44"/>
      <c r="P251" s="66"/>
      <c r="Q251" s="66"/>
      <c r="R251" s="66"/>
      <c r="S251" s="66"/>
      <c r="T251" s="138" t="str">
        <f>IFERROR(LOOKUP($S251,MOTORISTAS!$D$3:$D$1048576,MOTORISTAS!E$3:$E$1048576),"")</f>
        <v/>
      </c>
      <c r="U251" s="138" t="str">
        <f>IFERROR(LOOKUP($S251,MOTORISTAS!$D$3:$D$1048576,MOTORISTAS!F$3:$F$1048576),"")</f>
        <v/>
      </c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44"/>
      <c r="AG251" s="254">
        <f>Prog_236[[#This Row],[SAÍDA DO CLIENTE]]-Prog_236[[#This Row],[PROGRAMAÇÃO CLIENTE]]</f>
        <v>0</v>
      </c>
      <c r="AH251" s="44"/>
      <c r="AI251" s="66"/>
      <c r="AJ251" s="66"/>
      <c r="AK251" s="66"/>
      <c r="AL251" s="66"/>
      <c r="AM251" s="66"/>
      <c r="AN251" s="83"/>
      <c r="AO251" s="66"/>
      <c r="AP251" s="66"/>
      <c r="AQ251" s="66"/>
      <c r="AR251" s="81"/>
      <c r="AS251" s="81"/>
      <c r="AT251" s="81"/>
      <c r="AU251" s="81"/>
      <c r="AV251" s="83">
        <f>SUM(Prog_236[[#This Row],[ADIANTAMENTO]]+Prog_236[[#This Row],[SALDO]]+Prog_236[[#This Row],[MARGEM]]+Prog_236[[#This Row],[ESTADIA 1]])</f>
        <v>0</v>
      </c>
      <c r="AW2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1" s="81"/>
      <c r="AY251" s="81"/>
      <c r="AZ251" s="81">
        <f>Prog_236[[#This Row],[VLR NF]]*0.1%</f>
        <v>0</v>
      </c>
      <c r="BA251" s="81">
        <f>Prog_236[[#This Row],[VLR NF]]*0.05%</f>
        <v>0</v>
      </c>
      <c r="BB251" s="81"/>
      <c r="BC251" s="81"/>
      <c r="BD251" s="81"/>
      <c r="BE251" s="81"/>
      <c r="BF251" s="81"/>
      <c r="BG251" s="81"/>
      <c r="BH251" s="81"/>
      <c r="BI251" s="81"/>
      <c r="BJ251" s="81"/>
      <c r="BK251" s="81"/>
      <c r="BL251" s="66"/>
      <c r="BM251" s="66"/>
      <c r="BN251" s="66"/>
      <c r="BO251" s="66" t="str">
        <f>PROPER(TEXT(Prog_236[[#This Row],[PROGRAMAÇÃO CLIENTE]],"mmm"))</f>
        <v>Jan</v>
      </c>
      <c r="BP251" s="66">
        <f>YEAR(Prog_236[[#This Row],[PROGRAMAÇÃO CLIENTE]])</f>
        <v>1900</v>
      </c>
    </row>
    <row r="252" spans="1:68" x14ac:dyDescent="0.25">
      <c r="A252" s="201">
        <f>Prog_236[[#This Row],[CONTEINER]]</f>
        <v>0</v>
      </c>
      <c r="B252" s="86"/>
      <c r="C2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2" s="44"/>
      <c r="E252" s="66"/>
      <c r="F252" s="66"/>
      <c r="G252" s="66"/>
      <c r="H252" s="44"/>
      <c r="I252" s="44"/>
      <c r="J252" s="66"/>
      <c r="K252" s="66"/>
      <c r="L252" s="66"/>
      <c r="M252" s="66"/>
      <c r="N252" s="66">
        <f>SUM(Prog_236[[#This Row],[TARA]]+Prog_236[[#This Row],[PESO]])</f>
        <v>0</v>
      </c>
      <c r="O252" s="44"/>
      <c r="P252" s="66"/>
      <c r="Q252" s="66"/>
      <c r="R252" s="66"/>
      <c r="S252" s="66"/>
      <c r="T252" s="138" t="str">
        <f>IFERROR(LOOKUP($S252,MOTORISTAS!$D$3:$D$1048576,MOTORISTAS!E$3:$E$1048576),"")</f>
        <v/>
      </c>
      <c r="U252" s="138" t="str">
        <f>IFERROR(LOOKUP($S252,MOTORISTAS!$D$3:$D$1048576,MOTORISTAS!F$3:$F$1048576),"")</f>
        <v/>
      </c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44"/>
      <c r="AG252" s="254">
        <f>Prog_236[[#This Row],[SAÍDA DO CLIENTE]]-Prog_236[[#This Row],[PROGRAMAÇÃO CLIENTE]]</f>
        <v>0</v>
      </c>
      <c r="AH252" s="44"/>
      <c r="AI252" s="66"/>
      <c r="AJ252" s="66"/>
      <c r="AK252" s="66"/>
      <c r="AL252" s="66"/>
      <c r="AM252" s="66"/>
      <c r="AN252" s="83"/>
      <c r="AO252" s="66"/>
      <c r="AP252" s="66"/>
      <c r="AQ252" s="66"/>
      <c r="AR252" s="81"/>
      <c r="AS252" s="81"/>
      <c r="AT252" s="81"/>
      <c r="AU252" s="81"/>
      <c r="AV252" s="83">
        <f>SUM(Prog_236[[#This Row],[ADIANTAMENTO]]+Prog_236[[#This Row],[SALDO]]+Prog_236[[#This Row],[MARGEM]]+Prog_236[[#This Row],[ESTADIA 1]])</f>
        <v>0</v>
      </c>
      <c r="AW2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2" s="81"/>
      <c r="AY252" s="81"/>
      <c r="AZ252" s="81">
        <f>Prog_236[[#This Row],[VLR NF]]*0.1%</f>
        <v>0</v>
      </c>
      <c r="BA252" s="81">
        <f>Prog_236[[#This Row],[VLR NF]]*0.05%</f>
        <v>0</v>
      </c>
      <c r="BB252" s="81"/>
      <c r="BC252" s="81"/>
      <c r="BD252" s="81"/>
      <c r="BE252" s="81"/>
      <c r="BF252" s="81"/>
      <c r="BG252" s="81"/>
      <c r="BH252" s="81"/>
      <c r="BI252" s="81"/>
      <c r="BJ252" s="81"/>
      <c r="BK252" s="81"/>
      <c r="BL252" s="66"/>
      <c r="BM252" s="66"/>
      <c r="BN252" s="66"/>
      <c r="BO252" s="66" t="str">
        <f>PROPER(TEXT(Prog_236[[#This Row],[PROGRAMAÇÃO CLIENTE]],"mmm"))</f>
        <v>Jan</v>
      </c>
      <c r="BP252" s="66">
        <f>YEAR(Prog_236[[#This Row],[PROGRAMAÇÃO CLIENTE]])</f>
        <v>1900</v>
      </c>
    </row>
    <row r="253" spans="1:68" x14ac:dyDescent="0.25">
      <c r="A253" s="200">
        <f>Prog_236[[#This Row],[CONTEINER]]</f>
        <v>0</v>
      </c>
      <c r="B253" s="86"/>
      <c r="C2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3" s="44"/>
      <c r="E253" s="66"/>
      <c r="F253" s="66"/>
      <c r="G253" s="66"/>
      <c r="H253" s="44"/>
      <c r="I253" s="44"/>
      <c r="J253" s="66"/>
      <c r="K253" s="66"/>
      <c r="L253" s="66"/>
      <c r="M253" s="66"/>
      <c r="N253" s="66">
        <f>SUM(Prog_236[[#This Row],[TARA]]+Prog_236[[#This Row],[PESO]])</f>
        <v>0</v>
      </c>
      <c r="O253" s="44"/>
      <c r="P253" s="66"/>
      <c r="Q253" s="66"/>
      <c r="R253" s="66"/>
      <c r="S253" s="66"/>
      <c r="T253" s="138" t="str">
        <f>IFERROR(LOOKUP($S253,MOTORISTAS!$D$3:$D$1048576,MOTORISTAS!E$3:$E$1048576),"")</f>
        <v/>
      </c>
      <c r="U253" s="138" t="str">
        <f>IFERROR(LOOKUP($S253,MOTORISTAS!$D$3:$D$1048576,MOTORISTAS!F$3:$F$1048576),"")</f>
        <v/>
      </c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44"/>
      <c r="AG253" s="254">
        <f>Prog_236[[#This Row],[SAÍDA DO CLIENTE]]-Prog_236[[#This Row],[PROGRAMAÇÃO CLIENTE]]</f>
        <v>0</v>
      </c>
      <c r="AH253" s="44"/>
      <c r="AI253" s="66"/>
      <c r="AJ253" s="66"/>
      <c r="AK253" s="66"/>
      <c r="AL253" s="66"/>
      <c r="AM253" s="66"/>
      <c r="AN253" s="83"/>
      <c r="AO253" s="66"/>
      <c r="AP253" s="66"/>
      <c r="AQ253" s="66"/>
      <c r="AR253" s="81"/>
      <c r="AS253" s="81"/>
      <c r="AT253" s="81"/>
      <c r="AU253" s="81"/>
      <c r="AV253" s="83">
        <f>SUM(Prog_236[[#This Row],[ADIANTAMENTO]]+Prog_236[[#This Row],[SALDO]]+Prog_236[[#This Row],[MARGEM]]+Prog_236[[#This Row],[ESTADIA 1]])</f>
        <v>0</v>
      </c>
      <c r="AW2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3" s="81"/>
      <c r="AY253" s="81"/>
      <c r="AZ253" s="81">
        <f>Prog_236[[#This Row],[VLR NF]]*0.1%</f>
        <v>0</v>
      </c>
      <c r="BA253" s="81">
        <f>Prog_236[[#This Row],[VLR NF]]*0.05%</f>
        <v>0</v>
      </c>
      <c r="BB253" s="81"/>
      <c r="BC253" s="81"/>
      <c r="BD253" s="81"/>
      <c r="BE253" s="81"/>
      <c r="BF253" s="81"/>
      <c r="BG253" s="81"/>
      <c r="BH253" s="81"/>
      <c r="BI253" s="81"/>
      <c r="BJ253" s="81"/>
      <c r="BK253" s="81"/>
      <c r="BL253" s="66"/>
      <c r="BM253" s="66"/>
      <c r="BN253" s="66"/>
      <c r="BO253" s="66" t="str">
        <f>PROPER(TEXT(Prog_236[[#This Row],[PROGRAMAÇÃO CLIENTE]],"mmm"))</f>
        <v>Jan</v>
      </c>
      <c r="BP253" s="66">
        <f>YEAR(Prog_236[[#This Row],[PROGRAMAÇÃO CLIENTE]])</f>
        <v>1900</v>
      </c>
    </row>
    <row r="254" spans="1:68" x14ac:dyDescent="0.25">
      <c r="A254" s="201">
        <f>Prog_236[[#This Row],[CONTEINER]]</f>
        <v>0</v>
      </c>
      <c r="B254" s="86"/>
      <c r="C2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4" s="44"/>
      <c r="E254" s="66"/>
      <c r="F254" s="66"/>
      <c r="G254" s="66"/>
      <c r="H254" s="44"/>
      <c r="I254" s="44"/>
      <c r="J254" s="66"/>
      <c r="K254" s="66"/>
      <c r="L254" s="66"/>
      <c r="M254" s="66"/>
      <c r="N254" s="66">
        <f>SUM(Prog_236[[#This Row],[TARA]]+Prog_236[[#This Row],[PESO]])</f>
        <v>0</v>
      </c>
      <c r="O254" s="44"/>
      <c r="P254" s="66"/>
      <c r="Q254" s="66"/>
      <c r="R254" s="66"/>
      <c r="S254" s="66"/>
      <c r="T254" s="138" t="str">
        <f>IFERROR(LOOKUP($S254,MOTORISTAS!$D$3:$D$1048576,MOTORISTAS!E$3:$E$1048576),"")</f>
        <v/>
      </c>
      <c r="U254" s="138" t="str">
        <f>IFERROR(LOOKUP($S254,MOTORISTAS!$D$3:$D$1048576,MOTORISTAS!F$3:$F$1048576),"")</f>
        <v/>
      </c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44"/>
      <c r="AG254" s="254">
        <f>Prog_236[[#This Row],[SAÍDA DO CLIENTE]]-Prog_236[[#This Row],[PROGRAMAÇÃO CLIENTE]]</f>
        <v>0</v>
      </c>
      <c r="AH254" s="44"/>
      <c r="AI254" s="66"/>
      <c r="AJ254" s="66"/>
      <c r="AK254" s="66"/>
      <c r="AL254" s="66"/>
      <c r="AM254" s="66"/>
      <c r="AN254" s="83"/>
      <c r="AO254" s="66"/>
      <c r="AP254" s="66"/>
      <c r="AQ254" s="66"/>
      <c r="AR254" s="81"/>
      <c r="AS254" s="81"/>
      <c r="AT254" s="81"/>
      <c r="AU254" s="81"/>
      <c r="AV254" s="83">
        <f>SUM(Prog_236[[#This Row],[ADIANTAMENTO]]+Prog_236[[#This Row],[SALDO]]+Prog_236[[#This Row],[MARGEM]]+Prog_236[[#This Row],[ESTADIA 1]])</f>
        <v>0</v>
      </c>
      <c r="AW2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4" s="81"/>
      <c r="AY254" s="81"/>
      <c r="AZ254" s="81">
        <f>Prog_236[[#This Row],[VLR NF]]*0.1%</f>
        <v>0</v>
      </c>
      <c r="BA254" s="81">
        <f>Prog_236[[#This Row],[VLR NF]]*0.05%</f>
        <v>0</v>
      </c>
      <c r="BB254" s="81"/>
      <c r="BC254" s="81"/>
      <c r="BD254" s="81"/>
      <c r="BE254" s="81"/>
      <c r="BF254" s="81"/>
      <c r="BG254" s="81"/>
      <c r="BH254" s="81"/>
      <c r="BI254" s="81"/>
      <c r="BJ254" s="81"/>
      <c r="BK254" s="81"/>
      <c r="BL254" s="66"/>
      <c r="BM254" s="66"/>
      <c r="BN254" s="66"/>
      <c r="BO254" s="66" t="str">
        <f>PROPER(TEXT(Prog_236[[#This Row],[PROGRAMAÇÃO CLIENTE]],"mmm"))</f>
        <v>Jan</v>
      </c>
      <c r="BP254" s="66">
        <f>YEAR(Prog_236[[#This Row],[PROGRAMAÇÃO CLIENTE]])</f>
        <v>1900</v>
      </c>
    </row>
    <row r="255" spans="1:68" x14ac:dyDescent="0.25">
      <c r="A255" s="200">
        <f>Prog_236[[#This Row],[CONTEINER]]</f>
        <v>0</v>
      </c>
      <c r="B255" s="86"/>
      <c r="C2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5" s="44"/>
      <c r="E255" s="66"/>
      <c r="F255" s="66"/>
      <c r="G255" s="66"/>
      <c r="H255" s="44"/>
      <c r="I255" s="44"/>
      <c r="J255" s="66"/>
      <c r="K255" s="66"/>
      <c r="L255" s="66"/>
      <c r="M255" s="66"/>
      <c r="N255" s="66">
        <f>SUM(Prog_236[[#This Row],[TARA]]+Prog_236[[#This Row],[PESO]])</f>
        <v>0</v>
      </c>
      <c r="O255" s="44"/>
      <c r="P255" s="66"/>
      <c r="Q255" s="66"/>
      <c r="R255" s="66"/>
      <c r="S255" s="66"/>
      <c r="T255" s="138" t="str">
        <f>IFERROR(LOOKUP($S255,MOTORISTAS!$D$3:$D$1048576,MOTORISTAS!E$3:$E$1048576),"")</f>
        <v/>
      </c>
      <c r="U255" s="138" t="str">
        <f>IFERROR(LOOKUP($S255,MOTORISTAS!$D$3:$D$1048576,MOTORISTAS!F$3:$F$1048576),"")</f>
        <v/>
      </c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44"/>
      <c r="AG255" s="254">
        <f>Prog_236[[#This Row],[SAÍDA DO CLIENTE]]-Prog_236[[#This Row],[PROGRAMAÇÃO CLIENTE]]</f>
        <v>0</v>
      </c>
      <c r="AH255" s="44"/>
      <c r="AI255" s="66"/>
      <c r="AJ255" s="66"/>
      <c r="AK255" s="66"/>
      <c r="AL255" s="66"/>
      <c r="AM255" s="66"/>
      <c r="AN255" s="83"/>
      <c r="AO255" s="66"/>
      <c r="AP255" s="66"/>
      <c r="AQ255" s="66"/>
      <c r="AR255" s="81"/>
      <c r="AS255" s="81"/>
      <c r="AT255" s="81"/>
      <c r="AU255" s="81"/>
      <c r="AV255" s="83">
        <f>SUM(Prog_236[[#This Row],[ADIANTAMENTO]]+Prog_236[[#This Row],[SALDO]]+Prog_236[[#This Row],[MARGEM]]+Prog_236[[#This Row],[ESTADIA 1]])</f>
        <v>0</v>
      </c>
      <c r="AW2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5" s="81"/>
      <c r="AY255" s="81"/>
      <c r="AZ255" s="81">
        <f>Prog_236[[#This Row],[VLR NF]]*0.1%</f>
        <v>0</v>
      </c>
      <c r="BA255" s="81">
        <f>Prog_236[[#This Row],[VLR NF]]*0.05%</f>
        <v>0</v>
      </c>
      <c r="BB255" s="81"/>
      <c r="BC255" s="81"/>
      <c r="BD255" s="81"/>
      <c r="BE255" s="81"/>
      <c r="BF255" s="81"/>
      <c r="BG255" s="81"/>
      <c r="BH255" s="81"/>
      <c r="BI255" s="81"/>
      <c r="BJ255" s="81"/>
      <c r="BK255" s="81"/>
      <c r="BL255" s="66"/>
      <c r="BM255" s="66"/>
      <c r="BN255" s="66"/>
      <c r="BO255" s="66" t="str">
        <f>PROPER(TEXT(Prog_236[[#This Row],[PROGRAMAÇÃO CLIENTE]],"mmm"))</f>
        <v>Jan</v>
      </c>
      <c r="BP255" s="66">
        <f>YEAR(Prog_236[[#This Row],[PROGRAMAÇÃO CLIENTE]])</f>
        <v>1900</v>
      </c>
    </row>
    <row r="256" spans="1:68" x14ac:dyDescent="0.25">
      <c r="A256" s="201">
        <f>Prog_236[[#This Row],[CONTEINER]]</f>
        <v>0</v>
      </c>
      <c r="B256" s="86"/>
      <c r="C2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6" s="44"/>
      <c r="E256" s="66"/>
      <c r="F256" s="66"/>
      <c r="G256" s="66"/>
      <c r="H256" s="44"/>
      <c r="I256" s="44"/>
      <c r="J256" s="66"/>
      <c r="K256" s="66"/>
      <c r="L256" s="66"/>
      <c r="M256" s="66"/>
      <c r="N256" s="66">
        <f>SUM(Prog_236[[#This Row],[TARA]]+Prog_236[[#This Row],[PESO]])</f>
        <v>0</v>
      </c>
      <c r="O256" s="44"/>
      <c r="P256" s="66"/>
      <c r="Q256" s="66"/>
      <c r="R256" s="66"/>
      <c r="S256" s="66"/>
      <c r="T256" s="138" t="str">
        <f>IFERROR(LOOKUP($S256,MOTORISTAS!$D$3:$D$1048576,MOTORISTAS!E$3:$E$1048576),"")</f>
        <v/>
      </c>
      <c r="U256" s="138" t="str">
        <f>IFERROR(LOOKUP($S256,MOTORISTAS!$D$3:$D$1048576,MOTORISTAS!F$3:$F$1048576),"")</f>
        <v/>
      </c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44"/>
      <c r="AG256" s="254">
        <f>Prog_236[[#This Row],[SAÍDA DO CLIENTE]]-Prog_236[[#This Row],[PROGRAMAÇÃO CLIENTE]]</f>
        <v>0</v>
      </c>
      <c r="AH256" s="44"/>
      <c r="AI256" s="66"/>
      <c r="AJ256" s="66"/>
      <c r="AK256" s="66"/>
      <c r="AL256" s="66"/>
      <c r="AM256" s="66"/>
      <c r="AN256" s="83"/>
      <c r="AO256" s="66"/>
      <c r="AP256" s="66"/>
      <c r="AQ256" s="66"/>
      <c r="AR256" s="81"/>
      <c r="AS256" s="81"/>
      <c r="AT256" s="81"/>
      <c r="AU256" s="81"/>
      <c r="AV256" s="83">
        <f>SUM(Prog_236[[#This Row],[ADIANTAMENTO]]+Prog_236[[#This Row],[SALDO]]+Prog_236[[#This Row],[MARGEM]]+Prog_236[[#This Row],[ESTADIA 1]])</f>
        <v>0</v>
      </c>
      <c r="AW2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6" s="81"/>
      <c r="AY256" s="81"/>
      <c r="AZ256" s="81">
        <f>Prog_236[[#This Row],[VLR NF]]*0.1%</f>
        <v>0</v>
      </c>
      <c r="BA256" s="81">
        <f>Prog_236[[#This Row],[VLR NF]]*0.05%</f>
        <v>0</v>
      </c>
      <c r="BB256" s="81"/>
      <c r="BC256" s="81"/>
      <c r="BD256" s="81"/>
      <c r="BE256" s="81"/>
      <c r="BF256" s="81"/>
      <c r="BG256" s="81"/>
      <c r="BH256" s="81"/>
      <c r="BI256" s="81"/>
      <c r="BJ256" s="81"/>
      <c r="BK256" s="81"/>
      <c r="BL256" s="66"/>
      <c r="BM256" s="66"/>
      <c r="BN256" s="66"/>
      <c r="BO256" s="66" t="str">
        <f>PROPER(TEXT(Prog_236[[#This Row],[PROGRAMAÇÃO CLIENTE]],"mmm"))</f>
        <v>Jan</v>
      </c>
      <c r="BP256" s="66">
        <f>YEAR(Prog_236[[#This Row],[PROGRAMAÇÃO CLIENTE]])</f>
        <v>1900</v>
      </c>
    </row>
    <row r="257" spans="1:68" x14ac:dyDescent="0.25">
      <c r="A257" s="200">
        <f>Prog_236[[#This Row],[CONTEINER]]</f>
        <v>0</v>
      </c>
      <c r="B257" s="86"/>
      <c r="C2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7" s="44"/>
      <c r="E257" s="66"/>
      <c r="F257" s="66"/>
      <c r="G257" s="66"/>
      <c r="H257" s="44"/>
      <c r="I257" s="44"/>
      <c r="J257" s="66"/>
      <c r="K257" s="66"/>
      <c r="L257" s="66"/>
      <c r="M257" s="66"/>
      <c r="N257" s="66">
        <f>SUM(Prog_236[[#This Row],[TARA]]+Prog_236[[#This Row],[PESO]])</f>
        <v>0</v>
      </c>
      <c r="O257" s="44"/>
      <c r="P257" s="66"/>
      <c r="Q257" s="66"/>
      <c r="R257" s="66"/>
      <c r="S257" s="66"/>
      <c r="T257" s="138" t="str">
        <f>IFERROR(LOOKUP($S257,MOTORISTAS!$D$3:$D$1048576,MOTORISTAS!E$3:$E$1048576),"")</f>
        <v/>
      </c>
      <c r="U257" s="138" t="str">
        <f>IFERROR(LOOKUP($S257,MOTORISTAS!$D$3:$D$1048576,MOTORISTAS!F$3:$F$1048576),"")</f>
        <v/>
      </c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44"/>
      <c r="AG257" s="254">
        <f>Prog_236[[#This Row],[SAÍDA DO CLIENTE]]-Prog_236[[#This Row],[PROGRAMAÇÃO CLIENTE]]</f>
        <v>0</v>
      </c>
      <c r="AH257" s="44"/>
      <c r="AI257" s="66"/>
      <c r="AJ257" s="66"/>
      <c r="AK257" s="66"/>
      <c r="AL257" s="66"/>
      <c r="AM257" s="66"/>
      <c r="AN257" s="83"/>
      <c r="AO257" s="66"/>
      <c r="AP257" s="66"/>
      <c r="AQ257" s="66"/>
      <c r="AR257" s="81"/>
      <c r="AS257" s="81"/>
      <c r="AT257" s="81"/>
      <c r="AU257" s="81"/>
      <c r="AV257" s="83">
        <f>SUM(Prog_236[[#This Row],[ADIANTAMENTO]]+Prog_236[[#This Row],[SALDO]]+Prog_236[[#This Row],[MARGEM]]+Prog_236[[#This Row],[ESTADIA 1]])</f>
        <v>0</v>
      </c>
      <c r="AW2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7" s="81"/>
      <c r="AY257" s="81"/>
      <c r="AZ257" s="81">
        <f>Prog_236[[#This Row],[VLR NF]]*0.1%</f>
        <v>0</v>
      </c>
      <c r="BA257" s="81">
        <f>Prog_236[[#This Row],[VLR NF]]*0.05%</f>
        <v>0</v>
      </c>
      <c r="BB257" s="81"/>
      <c r="BC257" s="81"/>
      <c r="BD257" s="81"/>
      <c r="BE257" s="81"/>
      <c r="BF257" s="81"/>
      <c r="BG257" s="81"/>
      <c r="BH257" s="81"/>
      <c r="BI257" s="81"/>
      <c r="BJ257" s="81"/>
      <c r="BK257" s="81"/>
      <c r="BL257" s="66"/>
      <c r="BM257" s="66"/>
      <c r="BN257" s="66"/>
      <c r="BO257" s="66" t="str">
        <f>PROPER(TEXT(Prog_236[[#This Row],[PROGRAMAÇÃO CLIENTE]],"mmm"))</f>
        <v>Jan</v>
      </c>
      <c r="BP257" s="66">
        <f>YEAR(Prog_236[[#This Row],[PROGRAMAÇÃO CLIENTE]])</f>
        <v>1900</v>
      </c>
    </row>
    <row r="258" spans="1:68" x14ac:dyDescent="0.25">
      <c r="A258" s="201">
        <f>Prog_236[[#This Row],[CONTEINER]]</f>
        <v>0</v>
      </c>
      <c r="B258" s="86"/>
      <c r="C2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8" s="44"/>
      <c r="E258" s="66"/>
      <c r="F258" s="66"/>
      <c r="G258" s="66"/>
      <c r="H258" s="44"/>
      <c r="I258" s="44"/>
      <c r="J258" s="66"/>
      <c r="K258" s="66"/>
      <c r="L258" s="66"/>
      <c r="M258" s="66"/>
      <c r="N258" s="66">
        <f>SUM(Prog_236[[#This Row],[TARA]]+Prog_236[[#This Row],[PESO]])</f>
        <v>0</v>
      </c>
      <c r="O258" s="44"/>
      <c r="P258" s="66"/>
      <c r="Q258" s="66"/>
      <c r="R258" s="66"/>
      <c r="S258" s="66"/>
      <c r="T258" s="138" t="str">
        <f>IFERROR(LOOKUP($S258,MOTORISTAS!$D$3:$D$1048576,MOTORISTAS!E$3:$E$1048576),"")</f>
        <v/>
      </c>
      <c r="U258" s="138" t="str">
        <f>IFERROR(LOOKUP($S258,MOTORISTAS!$D$3:$D$1048576,MOTORISTAS!F$3:$F$1048576),"")</f>
        <v/>
      </c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44"/>
      <c r="AG258" s="254">
        <f>Prog_236[[#This Row],[SAÍDA DO CLIENTE]]-Prog_236[[#This Row],[PROGRAMAÇÃO CLIENTE]]</f>
        <v>0</v>
      </c>
      <c r="AH258" s="44"/>
      <c r="AI258" s="66"/>
      <c r="AJ258" s="66"/>
      <c r="AK258" s="66"/>
      <c r="AL258" s="66"/>
      <c r="AM258" s="66"/>
      <c r="AN258" s="83"/>
      <c r="AO258" s="66"/>
      <c r="AP258" s="66"/>
      <c r="AQ258" s="66"/>
      <c r="AR258" s="81"/>
      <c r="AS258" s="81"/>
      <c r="AT258" s="81"/>
      <c r="AU258" s="81"/>
      <c r="AV258" s="83">
        <f>SUM(Prog_236[[#This Row],[ADIANTAMENTO]]+Prog_236[[#This Row],[SALDO]]+Prog_236[[#This Row],[MARGEM]]+Prog_236[[#This Row],[ESTADIA 1]])</f>
        <v>0</v>
      </c>
      <c r="AW2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8" s="81"/>
      <c r="AY258" s="81"/>
      <c r="AZ258" s="81">
        <f>Prog_236[[#This Row],[VLR NF]]*0.1%</f>
        <v>0</v>
      </c>
      <c r="BA258" s="81">
        <f>Prog_236[[#This Row],[VLR NF]]*0.05%</f>
        <v>0</v>
      </c>
      <c r="BB258" s="81"/>
      <c r="BC258" s="81"/>
      <c r="BD258" s="81"/>
      <c r="BE258" s="81"/>
      <c r="BF258" s="81"/>
      <c r="BG258" s="81"/>
      <c r="BH258" s="81"/>
      <c r="BI258" s="81"/>
      <c r="BJ258" s="81"/>
      <c r="BK258" s="81"/>
      <c r="BL258" s="66"/>
      <c r="BM258" s="66"/>
      <c r="BN258" s="66"/>
      <c r="BO258" s="66" t="str">
        <f>PROPER(TEXT(Prog_236[[#This Row],[PROGRAMAÇÃO CLIENTE]],"mmm"))</f>
        <v>Jan</v>
      </c>
      <c r="BP258" s="66">
        <f>YEAR(Prog_236[[#This Row],[PROGRAMAÇÃO CLIENTE]])</f>
        <v>1900</v>
      </c>
    </row>
    <row r="259" spans="1:68" x14ac:dyDescent="0.25">
      <c r="A259" s="200">
        <f>Prog_236[[#This Row],[CONTEINER]]</f>
        <v>0</v>
      </c>
      <c r="B259" s="86"/>
      <c r="C2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59" s="44"/>
      <c r="E259" s="66"/>
      <c r="F259" s="66"/>
      <c r="G259" s="66"/>
      <c r="H259" s="44"/>
      <c r="I259" s="44"/>
      <c r="J259" s="66"/>
      <c r="K259" s="66"/>
      <c r="L259" s="66"/>
      <c r="M259" s="66"/>
      <c r="N259" s="66">
        <f>SUM(Prog_236[[#This Row],[TARA]]+Prog_236[[#This Row],[PESO]])</f>
        <v>0</v>
      </c>
      <c r="O259" s="44"/>
      <c r="P259" s="66"/>
      <c r="Q259" s="66"/>
      <c r="R259" s="66"/>
      <c r="S259" s="66"/>
      <c r="T259" s="138" t="str">
        <f>IFERROR(LOOKUP($S259,MOTORISTAS!$D$3:$D$1048576,MOTORISTAS!E$3:$E$1048576),"")</f>
        <v/>
      </c>
      <c r="U259" s="138" t="str">
        <f>IFERROR(LOOKUP($S259,MOTORISTAS!$D$3:$D$1048576,MOTORISTAS!F$3:$F$1048576),"")</f>
        <v/>
      </c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44"/>
      <c r="AG259" s="254">
        <f>Prog_236[[#This Row],[SAÍDA DO CLIENTE]]-Prog_236[[#This Row],[PROGRAMAÇÃO CLIENTE]]</f>
        <v>0</v>
      </c>
      <c r="AH259" s="44"/>
      <c r="AI259" s="66"/>
      <c r="AJ259" s="66"/>
      <c r="AK259" s="66"/>
      <c r="AL259" s="66"/>
      <c r="AM259" s="66"/>
      <c r="AN259" s="83"/>
      <c r="AO259" s="66"/>
      <c r="AP259" s="66"/>
      <c r="AQ259" s="66"/>
      <c r="AR259" s="81"/>
      <c r="AS259" s="81"/>
      <c r="AT259" s="81"/>
      <c r="AU259" s="81"/>
      <c r="AV259" s="83">
        <f>SUM(Prog_236[[#This Row],[ADIANTAMENTO]]+Prog_236[[#This Row],[SALDO]]+Prog_236[[#This Row],[MARGEM]]+Prog_236[[#This Row],[ESTADIA 1]])</f>
        <v>0</v>
      </c>
      <c r="AW2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59" s="81"/>
      <c r="AY259" s="81"/>
      <c r="AZ259" s="81">
        <f>Prog_236[[#This Row],[VLR NF]]*0.1%</f>
        <v>0</v>
      </c>
      <c r="BA259" s="81">
        <f>Prog_236[[#This Row],[VLR NF]]*0.05%</f>
        <v>0</v>
      </c>
      <c r="BB259" s="81"/>
      <c r="BC259" s="81"/>
      <c r="BD259" s="81"/>
      <c r="BE259" s="81"/>
      <c r="BF259" s="81"/>
      <c r="BG259" s="81"/>
      <c r="BH259" s="81"/>
      <c r="BI259" s="81"/>
      <c r="BJ259" s="81"/>
      <c r="BK259" s="81"/>
      <c r="BL259" s="66"/>
      <c r="BM259" s="66"/>
      <c r="BN259" s="66"/>
      <c r="BO259" s="66" t="str">
        <f>PROPER(TEXT(Prog_236[[#This Row],[PROGRAMAÇÃO CLIENTE]],"mmm"))</f>
        <v>Jan</v>
      </c>
      <c r="BP259" s="66">
        <f>YEAR(Prog_236[[#This Row],[PROGRAMAÇÃO CLIENTE]])</f>
        <v>1900</v>
      </c>
    </row>
    <row r="260" spans="1:68" x14ac:dyDescent="0.25">
      <c r="A260" s="201">
        <f>Prog_236[[#This Row],[CONTEINER]]</f>
        <v>0</v>
      </c>
      <c r="B260" s="86"/>
      <c r="C2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0" s="44"/>
      <c r="E260" s="66"/>
      <c r="F260" s="66"/>
      <c r="G260" s="66"/>
      <c r="H260" s="44"/>
      <c r="I260" s="44"/>
      <c r="J260" s="66"/>
      <c r="K260" s="66"/>
      <c r="L260" s="66"/>
      <c r="M260" s="66"/>
      <c r="N260" s="66">
        <f>SUM(Prog_236[[#This Row],[TARA]]+Prog_236[[#This Row],[PESO]])</f>
        <v>0</v>
      </c>
      <c r="O260" s="44"/>
      <c r="P260" s="66"/>
      <c r="Q260" s="66"/>
      <c r="R260" s="66"/>
      <c r="S260" s="66"/>
      <c r="T260" s="138" t="str">
        <f>IFERROR(LOOKUP($S260,MOTORISTAS!$D$3:$D$1048576,MOTORISTAS!E$3:$E$1048576),"")</f>
        <v/>
      </c>
      <c r="U260" s="138" t="str">
        <f>IFERROR(LOOKUP($S260,MOTORISTAS!$D$3:$D$1048576,MOTORISTAS!F$3:$F$1048576),"")</f>
        <v/>
      </c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44"/>
      <c r="AG260" s="254">
        <f>Prog_236[[#This Row],[SAÍDA DO CLIENTE]]-Prog_236[[#This Row],[PROGRAMAÇÃO CLIENTE]]</f>
        <v>0</v>
      </c>
      <c r="AH260" s="44"/>
      <c r="AI260" s="66"/>
      <c r="AJ260" s="66"/>
      <c r="AK260" s="66"/>
      <c r="AL260" s="66"/>
      <c r="AM260" s="66"/>
      <c r="AN260" s="83"/>
      <c r="AO260" s="66"/>
      <c r="AP260" s="66"/>
      <c r="AQ260" s="66"/>
      <c r="AR260" s="81"/>
      <c r="AS260" s="81"/>
      <c r="AT260" s="81"/>
      <c r="AU260" s="81"/>
      <c r="AV260" s="83">
        <f>SUM(Prog_236[[#This Row],[ADIANTAMENTO]]+Prog_236[[#This Row],[SALDO]]+Prog_236[[#This Row],[MARGEM]]+Prog_236[[#This Row],[ESTADIA 1]])</f>
        <v>0</v>
      </c>
      <c r="AW2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0" s="81"/>
      <c r="AY260" s="81"/>
      <c r="AZ260" s="81">
        <f>Prog_236[[#This Row],[VLR NF]]*0.1%</f>
        <v>0</v>
      </c>
      <c r="BA260" s="81">
        <f>Prog_236[[#This Row],[VLR NF]]*0.05%</f>
        <v>0</v>
      </c>
      <c r="BB260" s="81"/>
      <c r="BC260" s="81"/>
      <c r="BD260" s="81"/>
      <c r="BE260" s="81"/>
      <c r="BF260" s="81"/>
      <c r="BG260" s="81"/>
      <c r="BH260" s="81"/>
      <c r="BI260" s="81"/>
      <c r="BJ260" s="81"/>
      <c r="BK260" s="81"/>
      <c r="BL260" s="66"/>
      <c r="BM260" s="66"/>
      <c r="BN260" s="66"/>
      <c r="BO260" s="66" t="str">
        <f>PROPER(TEXT(Prog_236[[#This Row],[PROGRAMAÇÃO CLIENTE]],"mmm"))</f>
        <v>Jan</v>
      </c>
      <c r="BP260" s="66">
        <f>YEAR(Prog_236[[#This Row],[PROGRAMAÇÃO CLIENTE]])</f>
        <v>1900</v>
      </c>
    </row>
    <row r="261" spans="1:68" x14ac:dyDescent="0.25">
      <c r="A261" s="200">
        <f>Prog_236[[#This Row],[CONTEINER]]</f>
        <v>0</v>
      </c>
      <c r="B261" s="86"/>
      <c r="C2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1" s="44"/>
      <c r="E261" s="66"/>
      <c r="F261" s="66"/>
      <c r="G261" s="66"/>
      <c r="H261" s="44"/>
      <c r="I261" s="44"/>
      <c r="J261" s="66"/>
      <c r="K261" s="66"/>
      <c r="L261" s="66"/>
      <c r="M261" s="66"/>
      <c r="N261" s="66">
        <f>SUM(Prog_236[[#This Row],[TARA]]+Prog_236[[#This Row],[PESO]])</f>
        <v>0</v>
      </c>
      <c r="O261" s="44"/>
      <c r="P261" s="66"/>
      <c r="Q261" s="66"/>
      <c r="R261" s="66"/>
      <c r="S261" s="66"/>
      <c r="T261" s="138" t="str">
        <f>IFERROR(LOOKUP($S261,MOTORISTAS!$D$3:$D$1048576,MOTORISTAS!E$3:$E$1048576),"")</f>
        <v/>
      </c>
      <c r="U261" s="138" t="str">
        <f>IFERROR(LOOKUP($S261,MOTORISTAS!$D$3:$D$1048576,MOTORISTAS!F$3:$F$1048576),"")</f>
        <v/>
      </c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44"/>
      <c r="AG261" s="254">
        <f>Prog_236[[#This Row],[SAÍDA DO CLIENTE]]-Prog_236[[#This Row],[PROGRAMAÇÃO CLIENTE]]</f>
        <v>0</v>
      </c>
      <c r="AH261" s="44"/>
      <c r="AI261" s="66"/>
      <c r="AJ261" s="66"/>
      <c r="AK261" s="66"/>
      <c r="AL261" s="66"/>
      <c r="AM261" s="66"/>
      <c r="AN261" s="83"/>
      <c r="AO261" s="66"/>
      <c r="AP261" s="66"/>
      <c r="AQ261" s="66"/>
      <c r="AR261" s="81"/>
      <c r="AS261" s="81"/>
      <c r="AT261" s="81"/>
      <c r="AU261" s="81"/>
      <c r="AV261" s="83">
        <f>SUM(Prog_236[[#This Row],[ADIANTAMENTO]]+Prog_236[[#This Row],[SALDO]]+Prog_236[[#This Row],[MARGEM]]+Prog_236[[#This Row],[ESTADIA 1]])</f>
        <v>0</v>
      </c>
      <c r="AW2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1" s="81"/>
      <c r="AY261" s="81"/>
      <c r="AZ261" s="81">
        <f>Prog_236[[#This Row],[VLR NF]]*0.1%</f>
        <v>0</v>
      </c>
      <c r="BA261" s="81">
        <f>Prog_236[[#This Row],[VLR NF]]*0.05%</f>
        <v>0</v>
      </c>
      <c r="BB261" s="81"/>
      <c r="BC261" s="81"/>
      <c r="BD261" s="81"/>
      <c r="BE261" s="81"/>
      <c r="BF261" s="81"/>
      <c r="BG261" s="81"/>
      <c r="BH261" s="81"/>
      <c r="BI261" s="81"/>
      <c r="BJ261" s="81"/>
      <c r="BK261" s="81"/>
      <c r="BL261" s="66"/>
      <c r="BM261" s="66"/>
      <c r="BN261" s="66"/>
      <c r="BO261" s="66" t="str">
        <f>PROPER(TEXT(Prog_236[[#This Row],[PROGRAMAÇÃO CLIENTE]],"mmm"))</f>
        <v>Jan</v>
      </c>
      <c r="BP261" s="66">
        <f>YEAR(Prog_236[[#This Row],[PROGRAMAÇÃO CLIENTE]])</f>
        <v>1900</v>
      </c>
    </row>
    <row r="262" spans="1:68" x14ac:dyDescent="0.25">
      <c r="A262" s="201">
        <f>Prog_236[[#This Row],[CONTEINER]]</f>
        <v>0</v>
      </c>
      <c r="B262" s="86"/>
      <c r="C2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2" s="44"/>
      <c r="E262" s="66"/>
      <c r="F262" s="66"/>
      <c r="G262" s="66"/>
      <c r="H262" s="44"/>
      <c r="I262" s="44"/>
      <c r="J262" s="66"/>
      <c r="K262" s="66"/>
      <c r="L262" s="66"/>
      <c r="M262" s="66"/>
      <c r="N262" s="66">
        <f>SUM(Prog_236[[#This Row],[TARA]]+Prog_236[[#This Row],[PESO]])</f>
        <v>0</v>
      </c>
      <c r="O262" s="44"/>
      <c r="P262" s="66"/>
      <c r="Q262" s="66"/>
      <c r="R262" s="66"/>
      <c r="S262" s="66"/>
      <c r="T262" s="138" t="str">
        <f>IFERROR(LOOKUP($S262,MOTORISTAS!$D$3:$D$1048576,MOTORISTAS!E$3:$E$1048576),"")</f>
        <v/>
      </c>
      <c r="U262" s="138" t="str">
        <f>IFERROR(LOOKUP($S262,MOTORISTAS!$D$3:$D$1048576,MOTORISTAS!F$3:$F$1048576),"")</f>
        <v/>
      </c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44"/>
      <c r="AG262" s="254">
        <f>Prog_236[[#This Row],[SAÍDA DO CLIENTE]]-Prog_236[[#This Row],[PROGRAMAÇÃO CLIENTE]]</f>
        <v>0</v>
      </c>
      <c r="AH262" s="44"/>
      <c r="AI262" s="66"/>
      <c r="AJ262" s="66"/>
      <c r="AK262" s="66"/>
      <c r="AL262" s="66"/>
      <c r="AM262" s="66"/>
      <c r="AN262" s="83"/>
      <c r="AO262" s="66"/>
      <c r="AP262" s="66"/>
      <c r="AQ262" s="66"/>
      <c r="AR262" s="81"/>
      <c r="AS262" s="81"/>
      <c r="AT262" s="81"/>
      <c r="AU262" s="81"/>
      <c r="AV262" s="83">
        <f>SUM(Prog_236[[#This Row],[ADIANTAMENTO]]+Prog_236[[#This Row],[SALDO]]+Prog_236[[#This Row],[MARGEM]]+Prog_236[[#This Row],[ESTADIA 1]])</f>
        <v>0</v>
      </c>
      <c r="AW2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2" s="81"/>
      <c r="AY262" s="81"/>
      <c r="AZ262" s="81">
        <f>Prog_236[[#This Row],[VLR NF]]*0.1%</f>
        <v>0</v>
      </c>
      <c r="BA262" s="81">
        <f>Prog_236[[#This Row],[VLR NF]]*0.05%</f>
        <v>0</v>
      </c>
      <c r="BB262" s="81"/>
      <c r="BC262" s="81"/>
      <c r="BD262" s="81"/>
      <c r="BE262" s="81"/>
      <c r="BF262" s="81"/>
      <c r="BG262" s="81"/>
      <c r="BH262" s="81"/>
      <c r="BI262" s="81"/>
      <c r="BJ262" s="81"/>
      <c r="BK262" s="81"/>
      <c r="BL262" s="66"/>
      <c r="BM262" s="66"/>
      <c r="BN262" s="66"/>
      <c r="BO262" s="66" t="str">
        <f>PROPER(TEXT(Prog_236[[#This Row],[PROGRAMAÇÃO CLIENTE]],"mmm"))</f>
        <v>Jan</v>
      </c>
      <c r="BP262" s="66">
        <f>YEAR(Prog_236[[#This Row],[PROGRAMAÇÃO CLIENTE]])</f>
        <v>1900</v>
      </c>
    </row>
    <row r="263" spans="1:68" x14ac:dyDescent="0.25">
      <c r="A263" s="200">
        <f>Prog_236[[#This Row],[CONTEINER]]</f>
        <v>0</v>
      </c>
      <c r="B263" s="86"/>
      <c r="C2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3" s="44"/>
      <c r="E263" s="66"/>
      <c r="F263" s="66"/>
      <c r="G263" s="66"/>
      <c r="H263" s="44"/>
      <c r="I263" s="44"/>
      <c r="J263" s="66"/>
      <c r="K263" s="66"/>
      <c r="L263" s="66"/>
      <c r="M263" s="66"/>
      <c r="N263" s="66">
        <f>SUM(Prog_236[[#This Row],[TARA]]+Prog_236[[#This Row],[PESO]])</f>
        <v>0</v>
      </c>
      <c r="O263" s="44"/>
      <c r="P263" s="66"/>
      <c r="Q263" s="66"/>
      <c r="R263" s="66"/>
      <c r="S263" s="66"/>
      <c r="T263" s="138" t="str">
        <f>IFERROR(LOOKUP($S263,MOTORISTAS!$D$3:$D$1048576,MOTORISTAS!E$3:$E$1048576),"")</f>
        <v/>
      </c>
      <c r="U263" s="138" t="str">
        <f>IFERROR(LOOKUP($S263,MOTORISTAS!$D$3:$D$1048576,MOTORISTAS!F$3:$F$1048576),"")</f>
        <v/>
      </c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44"/>
      <c r="AG263" s="254">
        <f>Prog_236[[#This Row],[SAÍDA DO CLIENTE]]-Prog_236[[#This Row],[PROGRAMAÇÃO CLIENTE]]</f>
        <v>0</v>
      </c>
      <c r="AH263" s="44"/>
      <c r="AI263" s="66"/>
      <c r="AJ263" s="66"/>
      <c r="AK263" s="66"/>
      <c r="AL263" s="66"/>
      <c r="AM263" s="66"/>
      <c r="AN263" s="83"/>
      <c r="AO263" s="66"/>
      <c r="AP263" s="66"/>
      <c r="AQ263" s="66"/>
      <c r="AR263" s="81"/>
      <c r="AS263" s="81"/>
      <c r="AT263" s="81"/>
      <c r="AU263" s="81"/>
      <c r="AV263" s="83">
        <f>SUM(Prog_236[[#This Row],[ADIANTAMENTO]]+Prog_236[[#This Row],[SALDO]]+Prog_236[[#This Row],[MARGEM]]+Prog_236[[#This Row],[ESTADIA 1]])</f>
        <v>0</v>
      </c>
      <c r="AW2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3" s="81"/>
      <c r="AY263" s="81"/>
      <c r="AZ263" s="81">
        <f>Prog_236[[#This Row],[VLR NF]]*0.1%</f>
        <v>0</v>
      </c>
      <c r="BA263" s="81">
        <f>Prog_236[[#This Row],[VLR NF]]*0.05%</f>
        <v>0</v>
      </c>
      <c r="BB263" s="81"/>
      <c r="BC263" s="81"/>
      <c r="BD263" s="81"/>
      <c r="BE263" s="81"/>
      <c r="BF263" s="81"/>
      <c r="BG263" s="81"/>
      <c r="BH263" s="81"/>
      <c r="BI263" s="81"/>
      <c r="BJ263" s="81"/>
      <c r="BK263" s="81"/>
      <c r="BL263" s="66"/>
      <c r="BM263" s="66"/>
      <c r="BN263" s="66"/>
      <c r="BO263" s="66" t="str">
        <f>PROPER(TEXT(Prog_236[[#This Row],[PROGRAMAÇÃO CLIENTE]],"mmm"))</f>
        <v>Jan</v>
      </c>
      <c r="BP263" s="66">
        <f>YEAR(Prog_236[[#This Row],[PROGRAMAÇÃO CLIENTE]])</f>
        <v>1900</v>
      </c>
    </row>
    <row r="264" spans="1:68" x14ac:dyDescent="0.25">
      <c r="A264" s="201">
        <f>Prog_236[[#This Row],[CONTEINER]]</f>
        <v>0</v>
      </c>
      <c r="B264" s="86"/>
      <c r="C2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4" s="44"/>
      <c r="E264" s="66"/>
      <c r="F264" s="66"/>
      <c r="G264" s="66"/>
      <c r="H264" s="44"/>
      <c r="I264" s="44"/>
      <c r="J264" s="66"/>
      <c r="K264" s="66"/>
      <c r="L264" s="66"/>
      <c r="M264" s="66"/>
      <c r="N264" s="66">
        <f>SUM(Prog_236[[#This Row],[TARA]]+Prog_236[[#This Row],[PESO]])</f>
        <v>0</v>
      </c>
      <c r="O264" s="44"/>
      <c r="P264" s="66"/>
      <c r="Q264" s="66"/>
      <c r="R264" s="66"/>
      <c r="S264" s="66"/>
      <c r="T264" s="138" t="str">
        <f>IFERROR(LOOKUP($S264,MOTORISTAS!$D$3:$D$1048576,MOTORISTAS!E$3:$E$1048576),"")</f>
        <v/>
      </c>
      <c r="U264" s="138" t="str">
        <f>IFERROR(LOOKUP($S264,MOTORISTAS!$D$3:$D$1048576,MOTORISTAS!F$3:$F$1048576),"")</f>
        <v/>
      </c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44"/>
      <c r="AG264" s="254">
        <f>Prog_236[[#This Row],[SAÍDA DO CLIENTE]]-Prog_236[[#This Row],[PROGRAMAÇÃO CLIENTE]]</f>
        <v>0</v>
      </c>
      <c r="AH264" s="44"/>
      <c r="AI264" s="66"/>
      <c r="AJ264" s="66"/>
      <c r="AK264" s="66"/>
      <c r="AL264" s="66"/>
      <c r="AM264" s="66"/>
      <c r="AN264" s="83"/>
      <c r="AO264" s="66"/>
      <c r="AP264" s="66"/>
      <c r="AQ264" s="66"/>
      <c r="AR264" s="81"/>
      <c r="AS264" s="81"/>
      <c r="AT264" s="81"/>
      <c r="AU264" s="81"/>
      <c r="AV264" s="83">
        <f>SUM(Prog_236[[#This Row],[ADIANTAMENTO]]+Prog_236[[#This Row],[SALDO]]+Prog_236[[#This Row],[MARGEM]]+Prog_236[[#This Row],[ESTADIA 1]])</f>
        <v>0</v>
      </c>
      <c r="AW2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4" s="81"/>
      <c r="AY264" s="81"/>
      <c r="AZ264" s="81">
        <f>Prog_236[[#This Row],[VLR NF]]*0.1%</f>
        <v>0</v>
      </c>
      <c r="BA264" s="81">
        <f>Prog_236[[#This Row],[VLR NF]]*0.05%</f>
        <v>0</v>
      </c>
      <c r="BB264" s="81"/>
      <c r="BC264" s="81"/>
      <c r="BD264" s="81"/>
      <c r="BE264" s="81"/>
      <c r="BF264" s="81"/>
      <c r="BG264" s="81"/>
      <c r="BH264" s="81"/>
      <c r="BI264" s="81"/>
      <c r="BJ264" s="81"/>
      <c r="BK264" s="81"/>
      <c r="BL264" s="66"/>
      <c r="BM264" s="66"/>
      <c r="BN264" s="66"/>
      <c r="BO264" s="66" t="str">
        <f>PROPER(TEXT(Prog_236[[#This Row],[PROGRAMAÇÃO CLIENTE]],"mmm"))</f>
        <v>Jan</v>
      </c>
      <c r="BP264" s="66">
        <f>YEAR(Prog_236[[#This Row],[PROGRAMAÇÃO CLIENTE]])</f>
        <v>1900</v>
      </c>
    </row>
    <row r="265" spans="1:68" x14ac:dyDescent="0.25">
      <c r="A265" s="200">
        <f>Prog_236[[#This Row],[CONTEINER]]</f>
        <v>0</v>
      </c>
      <c r="B265" s="86"/>
      <c r="C2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5" s="44"/>
      <c r="E265" s="66"/>
      <c r="F265" s="66"/>
      <c r="G265" s="66"/>
      <c r="H265" s="44"/>
      <c r="I265" s="44"/>
      <c r="J265" s="66"/>
      <c r="K265" s="66"/>
      <c r="L265" s="66"/>
      <c r="M265" s="66"/>
      <c r="N265" s="66">
        <f>SUM(Prog_236[[#This Row],[TARA]]+Prog_236[[#This Row],[PESO]])</f>
        <v>0</v>
      </c>
      <c r="O265" s="44"/>
      <c r="P265" s="66"/>
      <c r="Q265" s="66"/>
      <c r="R265" s="66"/>
      <c r="S265" s="66"/>
      <c r="T265" s="138" t="str">
        <f>IFERROR(LOOKUP($S265,MOTORISTAS!$D$3:$D$1048576,MOTORISTAS!E$3:$E$1048576),"")</f>
        <v/>
      </c>
      <c r="U265" s="138" t="str">
        <f>IFERROR(LOOKUP($S265,MOTORISTAS!$D$3:$D$1048576,MOTORISTAS!F$3:$F$1048576),"")</f>
        <v/>
      </c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44"/>
      <c r="AG265" s="254">
        <f>Prog_236[[#This Row],[SAÍDA DO CLIENTE]]-Prog_236[[#This Row],[PROGRAMAÇÃO CLIENTE]]</f>
        <v>0</v>
      </c>
      <c r="AH265" s="44"/>
      <c r="AI265" s="66"/>
      <c r="AJ265" s="66"/>
      <c r="AK265" s="66"/>
      <c r="AL265" s="66"/>
      <c r="AM265" s="66"/>
      <c r="AN265" s="83"/>
      <c r="AO265" s="66"/>
      <c r="AP265" s="66"/>
      <c r="AQ265" s="66"/>
      <c r="AR265" s="81"/>
      <c r="AS265" s="81"/>
      <c r="AT265" s="81"/>
      <c r="AU265" s="81"/>
      <c r="AV265" s="83">
        <f>SUM(Prog_236[[#This Row],[ADIANTAMENTO]]+Prog_236[[#This Row],[SALDO]]+Prog_236[[#This Row],[MARGEM]]+Prog_236[[#This Row],[ESTADIA 1]])</f>
        <v>0</v>
      </c>
      <c r="AW2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5" s="81"/>
      <c r="AY265" s="81"/>
      <c r="AZ265" s="81">
        <f>Prog_236[[#This Row],[VLR NF]]*0.1%</f>
        <v>0</v>
      </c>
      <c r="BA265" s="81">
        <f>Prog_236[[#This Row],[VLR NF]]*0.05%</f>
        <v>0</v>
      </c>
      <c r="BB265" s="81"/>
      <c r="BC265" s="81"/>
      <c r="BD265" s="81"/>
      <c r="BE265" s="81"/>
      <c r="BF265" s="81"/>
      <c r="BG265" s="81"/>
      <c r="BH265" s="81"/>
      <c r="BI265" s="81"/>
      <c r="BJ265" s="81"/>
      <c r="BK265" s="81"/>
      <c r="BL265" s="66"/>
      <c r="BM265" s="66"/>
      <c r="BN265" s="66"/>
      <c r="BO265" s="66" t="str">
        <f>PROPER(TEXT(Prog_236[[#This Row],[PROGRAMAÇÃO CLIENTE]],"mmm"))</f>
        <v>Jan</v>
      </c>
      <c r="BP265" s="66">
        <f>YEAR(Prog_236[[#This Row],[PROGRAMAÇÃO CLIENTE]])</f>
        <v>1900</v>
      </c>
    </row>
    <row r="266" spans="1:68" x14ac:dyDescent="0.25">
      <c r="A266" s="201">
        <f>Prog_236[[#This Row],[CONTEINER]]</f>
        <v>0</v>
      </c>
      <c r="B266" s="86"/>
      <c r="C2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6" s="44"/>
      <c r="E266" s="66"/>
      <c r="F266" s="66"/>
      <c r="G266" s="66"/>
      <c r="H266" s="44"/>
      <c r="I266" s="44"/>
      <c r="J266" s="66"/>
      <c r="K266" s="66"/>
      <c r="L266" s="66"/>
      <c r="M266" s="66"/>
      <c r="N266" s="66">
        <f>SUM(Prog_236[[#This Row],[TARA]]+Prog_236[[#This Row],[PESO]])</f>
        <v>0</v>
      </c>
      <c r="O266" s="44"/>
      <c r="P266" s="66"/>
      <c r="Q266" s="66"/>
      <c r="R266" s="66"/>
      <c r="S266" s="66"/>
      <c r="T266" s="138" t="str">
        <f>IFERROR(LOOKUP($S266,MOTORISTAS!$D$3:$D$1048576,MOTORISTAS!E$3:$E$1048576),"")</f>
        <v/>
      </c>
      <c r="U266" s="138" t="str">
        <f>IFERROR(LOOKUP($S266,MOTORISTAS!$D$3:$D$1048576,MOTORISTAS!F$3:$F$1048576),"")</f>
        <v/>
      </c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44"/>
      <c r="AG266" s="254">
        <f>Prog_236[[#This Row],[SAÍDA DO CLIENTE]]-Prog_236[[#This Row],[PROGRAMAÇÃO CLIENTE]]</f>
        <v>0</v>
      </c>
      <c r="AH266" s="44"/>
      <c r="AI266" s="66"/>
      <c r="AJ266" s="66"/>
      <c r="AK266" s="66"/>
      <c r="AL266" s="66"/>
      <c r="AM266" s="66"/>
      <c r="AN266" s="83"/>
      <c r="AO266" s="66"/>
      <c r="AP266" s="66"/>
      <c r="AQ266" s="66"/>
      <c r="AR266" s="81"/>
      <c r="AS266" s="81"/>
      <c r="AT266" s="81"/>
      <c r="AU266" s="81"/>
      <c r="AV266" s="83">
        <f>SUM(Prog_236[[#This Row],[ADIANTAMENTO]]+Prog_236[[#This Row],[SALDO]]+Prog_236[[#This Row],[MARGEM]]+Prog_236[[#This Row],[ESTADIA 1]])</f>
        <v>0</v>
      </c>
      <c r="AW2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6" s="81"/>
      <c r="AY266" s="81"/>
      <c r="AZ266" s="81">
        <f>Prog_236[[#This Row],[VLR NF]]*0.1%</f>
        <v>0</v>
      </c>
      <c r="BA266" s="81">
        <f>Prog_236[[#This Row],[VLR NF]]*0.05%</f>
        <v>0</v>
      </c>
      <c r="BB266" s="81"/>
      <c r="BC266" s="81"/>
      <c r="BD266" s="81"/>
      <c r="BE266" s="81"/>
      <c r="BF266" s="81"/>
      <c r="BG266" s="81"/>
      <c r="BH266" s="81"/>
      <c r="BI266" s="81"/>
      <c r="BJ266" s="81"/>
      <c r="BK266" s="81"/>
      <c r="BL266" s="66"/>
      <c r="BM266" s="66"/>
      <c r="BN266" s="66"/>
      <c r="BO266" s="66" t="str">
        <f>PROPER(TEXT(Prog_236[[#This Row],[PROGRAMAÇÃO CLIENTE]],"mmm"))</f>
        <v>Jan</v>
      </c>
      <c r="BP266" s="66">
        <f>YEAR(Prog_236[[#This Row],[PROGRAMAÇÃO CLIENTE]])</f>
        <v>1900</v>
      </c>
    </row>
    <row r="267" spans="1:68" x14ac:dyDescent="0.25">
      <c r="A267" s="200">
        <f>Prog_236[[#This Row],[CONTEINER]]</f>
        <v>0</v>
      </c>
      <c r="B267" s="86"/>
      <c r="C2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7" s="44"/>
      <c r="E267" s="66"/>
      <c r="F267" s="66"/>
      <c r="G267" s="66"/>
      <c r="H267" s="44"/>
      <c r="I267" s="44"/>
      <c r="J267" s="66"/>
      <c r="K267" s="66"/>
      <c r="L267" s="66"/>
      <c r="M267" s="66"/>
      <c r="N267" s="66">
        <f>SUM(Prog_236[[#This Row],[TARA]]+Prog_236[[#This Row],[PESO]])</f>
        <v>0</v>
      </c>
      <c r="O267" s="44"/>
      <c r="P267" s="66"/>
      <c r="Q267" s="66"/>
      <c r="R267" s="66"/>
      <c r="S267" s="66"/>
      <c r="T267" s="138" t="str">
        <f>IFERROR(LOOKUP($S267,MOTORISTAS!$D$3:$D$1048576,MOTORISTAS!E$3:$E$1048576),"")</f>
        <v/>
      </c>
      <c r="U267" s="138" t="str">
        <f>IFERROR(LOOKUP($S267,MOTORISTAS!$D$3:$D$1048576,MOTORISTAS!F$3:$F$1048576),"")</f>
        <v/>
      </c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44"/>
      <c r="AG267" s="254">
        <f>Prog_236[[#This Row],[SAÍDA DO CLIENTE]]-Prog_236[[#This Row],[PROGRAMAÇÃO CLIENTE]]</f>
        <v>0</v>
      </c>
      <c r="AH267" s="44"/>
      <c r="AI267" s="66"/>
      <c r="AJ267" s="66"/>
      <c r="AK267" s="66"/>
      <c r="AL267" s="66"/>
      <c r="AM267" s="66"/>
      <c r="AN267" s="83"/>
      <c r="AO267" s="66"/>
      <c r="AP267" s="66"/>
      <c r="AQ267" s="66"/>
      <c r="AR267" s="81"/>
      <c r="AS267" s="81"/>
      <c r="AT267" s="81"/>
      <c r="AU267" s="81"/>
      <c r="AV267" s="83">
        <f>SUM(Prog_236[[#This Row],[ADIANTAMENTO]]+Prog_236[[#This Row],[SALDO]]+Prog_236[[#This Row],[MARGEM]]+Prog_236[[#This Row],[ESTADIA 1]])</f>
        <v>0</v>
      </c>
      <c r="AW2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7" s="81"/>
      <c r="AY267" s="81"/>
      <c r="AZ267" s="81">
        <f>Prog_236[[#This Row],[VLR NF]]*0.1%</f>
        <v>0</v>
      </c>
      <c r="BA267" s="81">
        <f>Prog_236[[#This Row],[VLR NF]]*0.05%</f>
        <v>0</v>
      </c>
      <c r="BB267" s="81"/>
      <c r="BC267" s="81"/>
      <c r="BD267" s="81"/>
      <c r="BE267" s="81"/>
      <c r="BF267" s="81"/>
      <c r="BG267" s="81"/>
      <c r="BH267" s="81"/>
      <c r="BI267" s="81"/>
      <c r="BJ267" s="81"/>
      <c r="BK267" s="81"/>
      <c r="BL267" s="66"/>
      <c r="BM267" s="66"/>
      <c r="BN267" s="66"/>
      <c r="BO267" s="66" t="str">
        <f>PROPER(TEXT(Prog_236[[#This Row],[PROGRAMAÇÃO CLIENTE]],"mmm"))</f>
        <v>Jan</v>
      </c>
      <c r="BP267" s="66">
        <f>YEAR(Prog_236[[#This Row],[PROGRAMAÇÃO CLIENTE]])</f>
        <v>1900</v>
      </c>
    </row>
    <row r="268" spans="1:68" x14ac:dyDescent="0.25">
      <c r="A268" s="201">
        <f>Prog_236[[#This Row],[CONTEINER]]</f>
        <v>0</v>
      </c>
      <c r="B268" s="86"/>
      <c r="C2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8" s="44"/>
      <c r="E268" s="66"/>
      <c r="F268" s="66"/>
      <c r="G268" s="66"/>
      <c r="H268" s="44"/>
      <c r="I268" s="44"/>
      <c r="J268" s="66"/>
      <c r="K268" s="66"/>
      <c r="L268" s="66"/>
      <c r="M268" s="66"/>
      <c r="N268" s="66">
        <f>SUM(Prog_236[[#This Row],[TARA]]+Prog_236[[#This Row],[PESO]])</f>
        <v>0</v>
      </c>
      <c r="O268" s="44"/>
      <c r="P268" s="66"/>
      <c r="Q268" s="66"/>
      <c r="R268" s="66"/>
      <c r="S268" s="66"/>
      <c r="T268" s="138" t="str">
        <f>IFERROR(LOOKUP($S268,MOTORISTAS!$D$3:$D$1048576,MOTORISTAS!E$3:$E$1048576),"")</f>
        <v/>
      </c>
      <c r="U268" s="138" t="str">
        <f>IFERROR(LOOKUP($S268,MOTORISTAS!$D$3:$D$1048576,MOTORISTAS!F$3:$F$1048576),"")</f>
        <v/>
      </c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44"/>
      <c r="AG268" s="254">
        <f>Prog_236[[#This Row],[SAÍDA DO CLIENTE]]-Prog_236[[#This Row],[PROGRAMAÇÃO CLIENTE]]</f>
        <v>0</v>
      </c>
      <c r="AH268" s="44"/>
      <c r="AI268" s="66"/>
      <c r="AJ268" s="66"/>
      <c r="AK268" s="66"/>
      <c r="AL268" s="66"/>
      <c r="AM268" s="66"/>
      <c r="AN268" s="83"/>
      <c r="AO268" s="66"/>
      <c r="AP268" s="66"/>
      <c r="AQ268" s="66"/>
      <c r="AR268" s="81"/>
      <c r="AS268" s="81"/>
      <c r="AT268" s="81"/>
      <c r="AU268" s="81"/>
      <c r="AV268" s="83">
        <f>SUM(Prog_236[[#This Row],[ADIANTAMENTO]]+Prog_236[[#This Row],[SALDO]]+Prog_236[[#This Row],[MARGEM]]+Prog_236[[#This Row],[ESTADIA 1]])</f>
        <v>0</v>
      </c>
      <c r="AW2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8" s="81"/>
      <c r="AY268" s="81"/>
      <c r="AZ268" s="81">
        <f>Prog_236[[#This Row],[VLR NF]]*0.1%</f>
        <v>0</v>
      </c>
      <c r="BA268" s="81">
        <f>Prog_236[[#This Row],[VLR NF]]*0.05%</f>
        <v>0</v>
      </c>
      <c r="BB268" s="81"/>
      <c r="BC268" s="81"/>
      <c r="BD268" s="81"/>
      <c r="BE268" s="81"/>
      <c r="BF268" s="81"/>
      <c r="BG268" s="81"/>
      <c r="BH268" s="81"/>
      <c r="BI268" s="81"/>
      <c r="BJ268" s="81"/>
      <c r="BK268" s="81"/>
      <c r="BL268" s="66"/>
      <c r="BM268" s="66"/>
      <c r="BN268" s="66"/>
      <c r="BO268" s="66" t="str">
        <f>PROPER(TEXT(Prog_236[[#This Row],[PROGRAMAÇÃO CLIENTE]],"mmm"))</f>
        <v>Jan</v>
      </c>
      <c r="BP268" s="66">
        <f>YEAR(Prog_236[[#This Row],[PROGRAMAÇÃO CLIENTE]])</f>
        <v>1900</v>
      </c>
    </row>
    <row r="269" spans="1:68" x14ac:dyDescent="0.25">
      <c r="A269" s="200">
        <f>Prog_236[[#This Row],[CONTEINER]]</f>
        <v>0</v>
      </c>
      <c r="B269" s="86"/>
      <c r="C2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69" s="44"/>
      <c r="E269" s="66"/>
      <c r="F269" s="66"/>
      <c r="G269" s="66"/>
      <c r="H269" s="44"/>
      <c r="I269" s="44"/>
      <c r="J269" s="66"/>
      <c r="K269" s="66"/>
      <c r="L269" s="66"/>
      <c r="M269" s="66"/>
      <c r="N269" s="66">
        <f>SUM(Prog_236[[#This Row],[TARA]]+Prog_236[[#This Row],[PESO]])</f>
        <v>0</v>
      </c>
      <c r="O269" s="44"/>
      <c r="P269" s="66"/>
      <c r="Q269" s="66"/>
      <c r="R269" s="66"/>
      <c r="S269" s="66"/>
      <c r="T269" s="138" t="str">
        <f>IFERROR(LOOKUP($S269,MOTORISTAS!$D$3:$D$1048576,MOTORISTAS!E$3:$E$1048576),"")</f>
        <v/>
      </c>
      <c r="U269" s="138" t="str">
        <f>IFERROR(LOOKUP($S269,MOTORISTAS!$D$3:$D$1048576,MOTORISTAS!F$3:$F$1048576),"")</f>
        <v/>
      </c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44"/>
      <c r="AG269" s="254">
        <f>Prog_236[[#This Row],[SAÍDA DO CLIENTE]]-Prog_236[[#This Row],[PROGRAMAÇÃO CLIENTE]]</f>
        <v>0</v>
      </c>
      <c r="AH269" s="44"/>
      <c r="AI269" s="66"/>
      <c r="AJ269" s="66"/>
      <c r="AK269" s="66"/>
      <c r="AL269" s="66"/>
      <c r="AM269" s="66"/>
      <c r="AN269" s="83"/>
      <c r="AO269" s="66"/>
      <c r="AP269" s="66"/>
      <c r="AQ269" s="66"/>
      <c r="AR269" s="81"/>
      <c r="AS269" s="81"/>
      <c r="AT269" s="81"/>
      <c r="AU269" s="81"/>
      <c r="AV269" s="83">
        <f>SUM(Prog_236[[#This Row],[ADIANTAMENTO]]+Prog_236[[#This Row],[SALDO]]+Prog_236[[#This Row],[MARGEM]]+Prog_236[[#This Row],[ESTADIA 1]])</f>
        <v>0</v>
      </c>
      <c r="AW2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69" s="81"/>
      <c r="AY269" s="81"/>
      <c r="AZ269" s="81">
        <f>Prog_236[[#This Row],[VLR NF]]*0.1%</f>
        <v>0</v>
      </c>
      <c r="BA269" s="81">
        <f>Prog_236[[#This Row],[VLR NF]]*0.05%</f>
        <v>0</v>
      </c>
      <c r="BB269" s="81"/>
      <c r="BC269" s="81"/>
      <c r="BD269" s="81"/>
      <c r="BE269" s="81"/>
      <c r="BF269" s="81"/>
      <c r="BG269" s="81"/>
      <c r="BH269" s="81"/>
      <c r="BI269" s="81"/>
      <c r="BJ269" s="81"/>
      <c r="BK269" s="81"/>
      <c r="BL269" s="66"/>
      <c r="BM269" s="66"/>
      <c r="BN269" s="66"/>
      <c r="BO269" s="66" t="str">
        <f>PROPER(TEXT(Prog_236[[#This Row],[PROGRAMAÇÃO CLIENTE]],"mmm"))</f>
        <v>Jan</v>
      </c>
      <c r="BP269" s="66">
        <f>YEAR(Prog_236[[#This Row],[PROGRAMAÇÃO CLIENTE]])</f>
        <v>1900</v>
      </c>
    </row>
    <row r="270" spans="1:68" x14ac:dyDescent="0.25">
      <c r="A270" s="201">
        <f>Prog_236[[#This Row],[CONTEINER]]</f>
        <v>0</v>
      </c>
      <c r="B270" s="86"/>
      <c r="C2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0" s="44"/>
      <c r="E270" s="66"/>
      <c r="F270" s="66"/>
      <c r="G270" s="66"/>
      <c r="H270" s="44"/>
      <c r="I270" s="44"/>
      <c r="J270" s="66"/>
      <c r="K270" s="66"/>
      <c r="L270" s="66"/>
      <c r="M270" s="66"/>
      <c r="N270" s="66">
        <f>SUM(Prog_236[[#This Row],[TARA]]+Prog_236[[#This Row],[PESO]])</f>
        <v>0</v>
      </c>
      <c r="O270" s="44"/>
      <c r="P270" s="66"/>
      <c r="Q270" s="66"/>
      <c r="R270" s="66"/>
      <c r="S270" s="66"/>
      <c r="T270" s="138" t="str">
        <f>IFERROR(LOOKUP($S270,MOTORISTAS!$D$3:$D$1048576,MOTORISTAS!E$3:$E$1048576),"")</f>
        <v/>
      </c>
      <c r="U270" s="138" t="str">
        <f>IFERROR(LOOKUP($S270,MOTORISTAS!$D$3:$D$1048576,MOTORISTAS!F$3:$F$1048576),"")</f>
        <v/>
      </c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44"/>
      <c r="AG270" s="254">
        <f>Prog_236[[#This Row],[SAÍDA DO CLIENTE]]-Prog_236[[#This Row],[PROGRAMAÇÃO CLIENTE]]</f>
        <v>0</v>
      </c>
      <c r="AH270" s="44"/>
      <c r="AI270" s="66"/>
      <c r="AJ270" s="66"/>
      <c r="AK270" s="66"/>
      <c r="AL270" s="66"/>
      <c r="AM270" s="66"/>
      <c r="AN270" s="83"/>
      <c r="AO270" s="66"/>
      <c r="AP270" s="66"/>
      <c r="AQ270" s="66"/>
      <c r="AR270" s="81"/>
      <c r="AS270" s="81"/>
      <c r="AT270" s="81"/>
      <c r="AU270" s="81"/>
      <c r="AV270" s="83">
        <f>SUM(Prog_236[[#This Row],[ADIANTAMENTO]]+Prog_236[[#This Row],[SALDO]]+Prog_236[[#This Row],[MARGEM]]+Prog_236[[#This Row],[ESTADIA 1]])</f>
        <v>0</v>
      </c>
      <c r="AW2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0" s="81"/>
      <c r="AY270" s="81"/>
      <c r="AZ270" s="81">
        <f>Prog_236[[#This Row],[VLR NF]]*0.1%</f>
        <v>0</v>
      </c>
      <c r="BA270" s="81">
        <f>Prog_236[[#This Row],[VLR NF]]*0.05%</f>
        <v>0</v>
      </c>
      <c r="BB270" s="81"/>
      <c r="BC270" s="81"/>
      <c r="BD270" s="81"/>
      <c r="BE270" s="81"/>
      <c r="BF270" s="81"/>
      <c r="BG270" s="81"/>
      <c r="BH270" s="81"/>
      <c r="BI270" s="81"/>
      <c r="BJ270" s="81"/>
      <c r="BK270" s="81"/>
      <c r="BL270" s="66"/>
      <c r="BM270" s="66"/>
      <c r="BN270" s="66"/>
      <c r="BO270" s="66" t="str">
        <f>PROPER(TEXT(Prog_236[[#This Row],[PROGRAMAÇÃO CLIENTE]],"mmm"))</f>
        <v>Jan</v>
      </c>
      <c r="BP270" s="66">
        <f>YEAR(Prog_236[[#This Row],[PROGRAMAÇÃO CLIENTE]])</f>
        <v>1900</v>
      </c>
    </row>
    <row r="271" spans="1:68" x14ac:dyDescent="0.25">
      <c r="A271" s="200">
        <f>Prog_236[[#This Row],[CONTEINER]]</f>
        <v>0</v>
      </c>
      <c r="B271" s="86"/>
      <c r="C2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1" s="44"/>
      <c r="E271" s="66"/>
      <c r="F271" s="66"/>
      <c r="G271" s="66"/>
      <c r="H271" s="44"/>
      <c r="I271" s="44"/>
      <c r="J271" s="66"/>
      <c r="K271" s="66"/>
      <c r="L271" s="66"/>
      <c r="M271" s="66"/>
      <c r="N271" s="66">
        <f>SUM(Prog_236[[#This Row],[TARA]]+Prog_236[[#This Row],[PESO]])</f>
        <v>0</v>
      </c>
      <c r="O271" s="44"/>
      <c r="P271" s="66"/>
      <c r="Q271" s="66"/>
      <c r="R271" s="66"/>
      <c r="S271" s="66"/>
      <c r="T271" s="138" t="str">
        <f>IFERROR(LOOKUP($S271,MOTORISTAS!$D$3:$D$1048576,MOTORISTAS!E$3:$E$1048576),"")</f>
        <v/>
      </c>
      <c r="U271" s="138" t="str">
        <f>IFERROR(LOOKUP($S271,MOTORISTAS!$D$3:$D$1048576,MOTORISTAS!F$3:$F$1048576),"")</f>
        <v/>
      </c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44"/>
      <c r="AG271" s="254">
        <f>Prog_236[[#This Row],[SAÍDA DO CLIENTE]]-Prog_236[[#This Row],[PROGRAMAÇÃO CLIENTE]]</f>
        <v>0</v>
      </c>
      <c r="AH271" s="44"/>
      <c r="AI271" s="66"/>
      <c r="AJ271" s="66"/>
      <c r="AK271" s="66"/>
      <c r="AL271" s="66"/>
      <c r="AM271" s="66"/>
      <c r="AN271" s="83"/>
      <c r="AO271" s="66"/>
      <c r="AP271" s="66"/>
      <c r="AQ271" s="66"/>
      <c r="AR271" s="81"/>
      <c r="AS271" s="81"/>
      <c r="AT271" s="81"/>
      <c r="AU271" s="81"/>
      <c r="AV271" s="83">
        <f>SUM(Prog_236[[#This Row],[ADIANTAMENTO]]+Prog_236[[#This Row],[SALDO]]+Prog_236[[#This Row],[MARGEM]]+Prog_236[[#This Row],[ESTADIA 1]])</f>
        <v>0</v>
      </c>
      <c r="AW2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1" s="81"/>
      <c r="AY271" s="81"/>
      <c r="AZ271" s="81">
        <f>Prog_236[[#This Row],[VLR NF]]*0.1%</f>
        <v>0</v>
      </c>
      <c r="BA271" s="81">
        <f>Prog_236[[#This Row],[VLR NF]]*0.05%</f>
        <v>0</v>
      </c>
      <c r="BB271" s="81"/>
      <c r="BC271" s="81"/>
      <c r="BD271" s="81"/>
      <c r="BE271" s="81"/>
      <c r="BF271" s="81"/>
      <c r="BG271" s="81"/>
      <c r="BH271" s="81"/>
      <c r="BI271" s="81"/>
      <c r="BJ271" s="81"/>
      <c r="BK271" s="81"/>
      <c r="BL271" s="66"/>
      <c r="BM271" s="66"/>
      <c r="BN271" s="66"/>
      <c r="BO271" s="66" t="str">
        <f>PROPER(TEXT(Prog_236[[#This Row],[PROGRAMAÇÃO CLIENTE]],"mmm"))</f>
        <v>Jan</v>
      </c>
      <c r="BP271" s="66">
        <f>YEAR(Prog_236[[#This Row],[PROGRAMAÇÃO CLIENTE]])</f>
        <v>1900</v>
      </c>
    </row>
    <row r="272" spans="1:68" x14ac:dyDescent="0.25">
      <c r="A272" s="201">
        <f>Prog_236[[#This Row],[CONTEINER]]</f>
        <v>0</v>
      </c>
      <c r="B272" s="86"/>
      <c r="C2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2" s="44"/>
      <c r="E272" s="66"/>
      <c r="F272" s="66"/>
      <c r="G272" s="66"/>
      <c r="H272" s="44"/>
      <c r="I272" s="44"/>
      <c r="J272" s="66"/>
      <c r="K272" s="66"/>
      <c r="L272" s="66"/>
      <c r="M272" s="66"/>
      <c r="N272" s="66">
        <f>SUM(Prog_236[[#This Row],[TARA]]+Prog_236[[#This Row],[PESO]])</f>
        <v>0</v>
      </c>
      <c r="O272" s="44"/>
      <c r="P272" s="66"/>
      <c r="Q272" s="66"/>
      <c r="R272" s="66"/>
      <c r="S272" s="66"/>
      <c r="T272" s="138" t="str">
        <f>IFERROR(LOOKUP($S272,MOTORISTAS!$D$3:$D$1048576,MOTORISTAS!E$3:$E$1048576),"")</f>
        <v/>
      </c>
      <c r="U272" s="138" t="str">
        <f>IFERROR(LOOKUP($S272,MOTORISTAS!$D$3:$D$1048576,MOTORISTAS!F$3:$F$1048576),"")</f>
        <v/>
      </c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44"/>
      <c r="AG272" s="254">
        <f>Prog_236[[#This Row],[SAÍDA DO CLIENTE]]-Prog_236[[#This Row],[PROGRAMAÇÃO CLIENTE]]</f>
        <v>0</v>
      </c>
      <c r="AH272" s="44"/>
      <c r="AI272" s="66"/>
      <c r="AJ272" s="66"/>
      <c r="AK272" s="66"/>
      <c r="AL272" s="66"/>
      <c r="AM272" s="66"/>
      <c r="AN272" s="83"/>
      <c r="AO272" s="66"/>
      <c r="AP272" s="66"/>
      <c r="AQ272" s="66"/>
      <c r="AR272" s="81"/>
      <c r="AS272" s="81"/>
      <c r="AT272" s="81"/>
      <c r="AU272" s="81"/>
      <c r="AV272" s="83">
        <f>SUM(Prog_236[[#This Row],[ADIANTAMENTO]]+Prog_236[[#This Row],[SALDO]]+Prog_236[[#This Row],[MARGEM]]+Prog_236[[#This Row],[ESTADIA 1]])</f>
        <v>0</v>
      </c>
      <c r="AW2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2" s="81"/>
      <c r="AY272" s="81"/>
      <c r="AZ272" s="81">
        <f>Prog_236[[#This Row],[VLR NF]]*0.1%</f>
        <v>0</v>
      </c>
      <c r="BA272" s="81">
        <f>Prog_236[[#This Row],[VLR NF]]*0.05%</f>
        <v>0</v>
      </c>
      <c r="BB272" s="81"/>
      <c r="BC272" s="81"/>
      <c r="BD272" s="81"/>
      <c r="BE272" s="81"/>
      <c r="BF272" s="81"/>
      <c r="BG272" s="81"/>
      <c r="BH272" s="81"/>
      <c r="BI272" s="81"/>
      <c r="BJ272" s="81"/>
      <c r="BK272" s="81"/>
      <c r="BL272" s="66"/>
      <c r="BM272" s="66"/>
      <c r="BN272" s="66"/>
      <c r="BO272" s="66" t="str">
        <f>PROPER(TEXT(Prog_236[[#This Row],[PROGRAMAÇÃO CLIENTE]],"mmm"))</f>
        <v>Jan</v>
      </c>
      <c r="BP272" s="66">
        <f>YEAR(Prog_236[[#This Row],[PROGRAMAÇÃO CLIENTE]])</f>
        <v>1900</v>
      </c>
    </row>
    <row r="273" spans="1:68" x14ac:dyDescent="0.25">
      <c r="A273" s="200">
        <f>Prog_236[[#This Row],[CONTEINER]]</f>
        <v>0</v>
      </c>
      <c r="B273" s="86"/>
      <c r="C2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3" s="44"/>
      <c r="E273" s="66"/>
      <c r="F273" s="66"/>
      <c r="G273" s="66"/>
      <c r="H273" s="44"/>
      <c r="I273" s="44"/>
      <c r="J273" s="66"/>
      <c r="K273" s="66"/>
      <c r="L273" s="66"/>
      <c r="M273" s="66"/>
      <c r="N273" s="66">
        <f>SUM(Prog_236[[#This Row],[TARA]]+Prog_236[[#This Row],[PESO]])</f>
        <v>0</v>
      </c>
      <c r="O273" s="44"/>
      <c r="P273" s="66"/>
      <c r="Q273" s="66"/>
      <c r="R273" s="66"/>
      <c r="S273" s="66"/>
      <c r="T273" s="138" t="str">
        <f>IFERROR(LOOKUP($S273,MOTORISTAS!$D$3:$D$1048576,MOTORISTAS!E$3:$E$1048576),"")</f>
        <v/>
      </c>
      <c r="U273" s="138" t="str">
        <f>IFERROR(LOOKUP($S273,MOTORISTAS!$D$3:$D$1048576,MOTORISTAS!F$3:$F$1048576),"")</f>
        <v/>
      </c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44"/>
      <c r="AG273" s="254">
        <f>Prog_236[[#This Row],[SAÍDA DO CLIENTE]]-Prog_236[[#This Row],[PROGRAMAÇÃO CLIENTE]]</f>
        <v>0</v>
      </c>
      <c r="AH273" s="44"/>
      <c r="AI273" s="66"/>
      <c r="AJ273" s="66"/>
      <c r="AK273" s="66"/>
      <c r="AL273" s="66"/>
      <c r="AM273" s="66"/>
      <c r="AN273" s="83"/>
      <c r="AO273" s="66"/>
      <c r="AP273" s="66"/>
      <c r="AQ273" s="66"/>
      <c r="AR273" s="81"/>
      <c r="AS273" s="81"/>
      <c r="AT273" s="81"/>
      <c r="AU273" s="81"/>
      <c r="AV273" s="83">
        <f>SUM(Prog_236[[#This Row],[ADIANTAMENTO]]+Prog_236[[#This Row],[SALDO]]+Prog_236[[#This Row],[MARGEM]]+Prog_236[[#This Row],[ESTADIA 1]])</f>
        <v>0</v>
      </c>
      <c r="AW2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3" s="81"/>
      <c r="AY273" s="81"/>
      <c r="AZ273" s="81">
        <f>Prog_236[[#This Row],[VLR NF]]*0.1%</f>
        <v>0</v>
      </c>
      <c r="BA273" s="81">
        <f>Prog_236[[#This Row],[VLR NF]]*0.05%</f>
        <v>0</v>
      </c>
      <c r="BB273" s="81"/>
      <c r="BC273" s="81"/>
      <c r="BD273" s="81"/>
      <c r="BE273" s="81"/>
      <c r="BF273" s="81"/>
      <c r="BG273" s="81"/>
      <c r="BH273" s="81"/>
      <c r="BI273" s="81"/>
      <c r="BJ273" s="81"/>
      <c r="BK273" s="81"/>
      <c r="BL273" s="66"/>
      <c r="BM273" s="66"/>
      <c r="BN273" s="66"/>
      <c r="BO273" s="66" t="str">
        <f>PROPER(TEXT(Prog_236[[#This Row],[PROGRAMAÇÃO CLIENTE]],"mmm"))</f>
        <v>Jan</v>
      </c>
      <c r="BP273" s="66">
        <f>YEAR(Prog_236[[#This Row],[PROGRAMAÇÃO CLIENTE]])</f>
        <v>1900</v>
      </c>
    </row>
    <row r="274" spans="1:68" x14ac:dyDescent="0.25">
      <c r="A274" s="201">
        <f>Prog_236[[#This Row],[CONTEINER]]</f>
        <v>0</v>
      </c>
      <c r="B274" s="86"/>
      <c r="C2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4" s="44"/>
      <c r="E274" s="66"/>
      <c r="F274" s="66"/>
      <c r="G274" s="66"/>
      <c r="H274" s="44"/>
      <c r="I274" s="44"/>
      <c r="J274" s="66"/>
      <c r="K274" s="66"/>
      <c r="L274" s="66"/>
      <c r="M274" s="66"/>
      <c r="N274" s="66">
        <f>SUM(Prog_236[[#This Row],[TARA]]+Prog_236[[#This Row],[PESO]])</f>
        <v>0</v>
      </c>
      <c r="O274" s="44"/>
      <c r="P274" s="66"/>
      <c r="Q274" s="66"/>
      <c r="R274" s="66"/>
      <c r="S274" s="66"/>
      <c r="T274" s="138" t="str">
        <f>IFERROR(LOOKUP($S274,MOTORISTAS!$D$3:$D$1048576,MOTORISTAS!E$3:$E$1048576),"")</f>
        <v/>
      </c>
      <c r="U274" s="138" t="str">
        <f>IFERROR(LOOKUP($S274,MOTORISTAS!$D$3:$D$1048576,MOTORISTAS!F$3:$F$1048576),"")</f>
        <v/>
      </c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44"/>
      <c r="AG274" s="254">
        <f>Prog_236[[#This Row],[SAÍDA DO CLIENTE]]-Prog_236[[#This Row],[PROGRAMAÇÃO CLIENTE]]</f>
        <v>0</v>
      </c>
      <c r="AH274" s="44"/>
      <c r="AI274" s="66"/>
      <c r="AJ274" s="66"/>
      <c r="AK274" s="66"/>
      <c r="AL274" s="66"/>
      <c r="AM274" s="66"/>
      <c r="AN274" s="83"/>
      <c r="AO274" s="66"/>
      <c r="AP274" s="66"/>
      <c r="AQ274" s="66"/>
      <c r="AR274" s="81"/>
      <c r="AS274" s="81"/>
      <c r="AT274" s="81"/>
      <c r="AU274" s="81"/>
      <c r="AV274" s="83">
        <f>SUM(Prog_236[[#This Row],[ADIANTAMENTO]]+Prog_236[[#This Row],[SALDO]]+Prog_236[[#This Row],[MARGEM]]+Prog_236[[#This Row],[ESTADIA 1]])</f>
        <v>0</v>
      </c>
      <c r="AW2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4" s="81"/>
      <c r="AY274" s="81"/>
      <c r="AZ274" s="81">
        <f>Prog_236[[#This Row],[VLR NF]]*0.1%</f>
        <v>0</v>
      </c>
      <c r="BA274" s="81">
        <f>Prog_236[[#This Row],[VLR NF]]*0.05%</f>
        <v>0</v>
      </c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66"/>
      <c r="BM274" s="66"/>
      <c r="BN274" s="66"/>
      <c r="BO274" s="66" t="str">
        <f>PROPER(TEXT(Prog_236[[#This Row],[PROGRAMAÇÃO CLIENTE]],"mmm"))</f>
        <v>Jan</v>
      </c>
      <c r="BP274" s="66">
        <f>YEAR(Prog_236[[#This Row],[PROGRAMAÇÃO CLIENTE]])</f>
        <v>1900</v>
      </c>
    </row>
    <row r="275" spans="1:68" x14ac:dyDescent="0.25">
      <c r="A275" s="200">
        <f>Prog_236[[#This Row],[CONTEINER]]</f>
        <v>0</v>
      </c>
      <c r="B275" s="86"/>
      <c r="C2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5" s="44"/>
      <c r="E275" s="66"/>
      <c r="F275" s="66"/>
      <c r="G275" s="66"/>
      <c r="H275" s="44"/>
      <c r="I275" s="44"/>
      <c r="J275" s="66"/>
      <c r="K275" s="66"/>
      <c r="L275" s="66"/>
      <c r="M275" s="66"/>
      <c r="N275" s="66">
        <f>SUM(Prog_236[[#This Row],[TARA]]+Prog_236[[#This Row],[PESO]])</f>
        <v>0</v>
      </c>
      <c r="O275" s="44"/>
      <c r="P275" s="66"/>
      <c r="Q275" s="66"/>
      <c r="R275" s="66"/>
      <c r="S275" s="66"/>
      <c r="T275" s="138" t="str">
        <f>IFERROR(LOOKUP($S275,MOTORISTAS!$D$3:$D$1048576,MOTORISTAS!E$3:$E$1048576),"")</f>
        <v/>
      </c>
      <c r="U275" s="138" t="str">
        <f>IFERROR(LOOKUP($S275,MOTORISTAS!$D$3:$D$1048576,MOTORISTAS!F$3:$F$1048576),"")</f>
        <v/>
      </c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44"/>
      <c r="AG275" s="254">
        <f>Prog_236[[#This Row],[SAÍDA DO CLIENTE]]-Prog_236[[#This Row],[PROGRAMAÇÃO CLIENTE]]</f>
        <v>0</v>
      </c>
      <c r="AH275" s="44"/>
      <c r="AI275" s="66"/>
      <c r="AJ275" s="66"/>
      <c r="AK275" s="66"/>
      <c r="AL275" s="66"/>
      <c r="AM275" s="66"/>
      <c r="AN275" s="83"/>
      <c r="AO275" s="66"/>
      <c r="AP275" s="66"/>
      <c r="AQ275" s="66"/>
      <c r="AR275" s="81"/>
      <c r="AS275" s="81"/>
      <c r="AT275" s="81"/>
      <c r="AU275" s="81"/>
      <c r="AV275" s="83">
        <f>SUM(Prog_236[[#This Row],[ADIANTAMENTO]]+Prog_236[[#This Row],[SALDO]]+Prog_236[[#This Row],[MARGEM]]+Prog_236[[#This Row],[ESTADIA 1]])</f>
        <v>0</v>
      </c>
      <c r="AW2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5" s="81"/>
      <c r="AY275" s="81"/>
      <c r="AZ275" s="81">
        <f>Prog_236[[#This Row],[VLR NF]]*0.1%</f>
        <v>0</v>
      </c>
      <c r="BA275" s="81">
        <f>Prog_236[[#This Row],[VLR NF]]*0.05%</f>
        <v>0</v>
      </c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66"/>
      <c r="BM275" s="66"/>
      <c r="BN275" s="66"/>
      <c r="BO275" s="66" t="str">
        <f>PROPER(TEXT(Prog_236[[#This Row],[PROGRAMAÇÃO CLIENTE]],"mmm"))</f>
        <v>Jan</v>
      </c>
      <c r="BP275" s="66">
        <f>YEAR(Prog_236[[#This Row],[PROGRAMAÇÃO CLIENTE]])</f>
        <v>1900</v>
      </c>
    </row>
    <row r="276" spans="1:68" x14ac:dyDescent="0.25">
      <c r="A276" s="201">
        <f>Prog_236[[#This Row],[CONTEINER]]</f>
        <v>0</v>
      </c>
      <c r="B276" s="86"/>
      <c r="C2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6" s="44"/>
      <c r="E276" s="66"/>
      <c r="F276" s="66"/>
      <c r="G276" s="66"/>
      <c r="H276" s="44"/>
      <c r="I276" s="44"/>
      <c r="J276" s="66"/>
      <c r="K276" s="66"/>
      <c r="L276" s="66"/>
      <c r="M276" s="66"/>
      <c r="N276" s="66">
        <f>SUM(Prog_236[[#This Row],[TARA]]+Prog_236[[#This Row],[PESO]])</f>
        <v>0</v>
      </c>
      <c r="O276" s="44"/>
      <c r="P276" s="66"/>
      <c r="Q276" s="66"/>
      <c r="R276" s="66"/>
      <c r="S276" s="66"/>
      <c r="T276" s="138" t="str">
        <f>IFERROR(LOOKUP($S276,MOTORISTAS!$D$3:$D$1048576,MOTORISTAS!E$3:$E$1048576),"")</f>
        <v/>
      </c>
      <c r="U276" s="138" t="str">
        <f>IFERROR(LOOKUP($S276,MOTORISTAS!$D$3:$D$1048576,MOTORISTAS!F$3:$F$1048576),"")</f>
        <v/>
      </c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44"/>
      <c r="AG276" s="254">
        <f>Prog_236[[#This Row],[SAÍDA DO CLIENTE]]-Prog_236[[#This Row],[PROGRAMAÇÃO CLIENTE]]</f>
        <v>0</v>
      </c>
      <c r="AH276" s="44"/>
      <c r="AI276" s="66"/>
      <c r="AJ276" s="66"/>
      <c r="AK276" s="66"/>
      <c r="AL276" s="66"/>
      <c r="AM276" s="66"/>
      <c r="AN276" s="83"/>
      <c r="AO276" s="66"/>
      <c r="AP276" s="66"/>
      <c r="AQ276" s="66"/>
      <c r="AR276" s="81"/>
      <c r="AS276" s="81"/>
      <c r="AT276" s="81"/>
      <c r="AU276" s="81"/>
      <c r="AV276" s="83">
        <f>SUM(Prog_236[[#This Row],[ADIANTAMENTO]]+Prog_236[[#This Row],[SALDO]]+Prog_236[[#This Row],[MARGEM]]+Prog_236[[#This Row],[ESTADIA 1]])</f>
        <v>0</v>
      </c>
      <c r="AW2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6" s="81"/>
      <c r="AY276" s="81"/>
      <c r="AZ276" s="81">
        <f>Prog_236[[#This Row],[VLR NF]]*0.1%</f>
        <v>0</v>
      </c>
      <c r="BA276" s="81">
        <f>Prog_236[[#This Row],[VLR NF]]*0.05%</f>
        <v>0</v>
      </c>
      <c r="BB276" s="81"/>
      <c r="BC276" s="81"/>
      <c r="BD276" s="81"/>
      <c r="BE276" s="81"/>
      <c r="BF276" s="81"/>
      <c r="BG276" s="81"/>
      <c r="BH276" s="81"/>
      <c r="BI276" s="81"/>
      <c r="BJ276" s="81"/>
      <c r="BK276" s="81"/>
      <c r="BL276" s="66"/>
      <c r="BM276" s="66"/>
      <c r="BN276" s="66"/>
      <c r="BO276" s="66" t="str">
        <f>PROPER(TEXT(Prog_236[[#This Row],[PROGRAMAÇÃO CLIENTE]],"mmm"))</f>
        <v>Jan</v>
      </c>
      <c r="BP276" s="66">
        <f>YEAR(Prog_236[[#This Row],[PROGRAMAÇÃO CLIENTE]])</f>
        <v>1900</v>
      </c>
    </row>
    <row r="277" spans="1:68" x14ac:dyDescent="0.25">
      <c r="A277" s="200">
        <f>Prog_236[[#This Row],[CONTEINER]]</f>
        <v>0</v>
      </c>
      <c r="B277" s="86"/>
      <c r="C2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7" s="44"/>
      <c r="E277" s="66"/>
      <c r="F277" s="66"/>
      <c r="G277" s="66"/>
      <c r="H277" s="44"/>
      <c r="I277" s="44"/>
      <c r="J277" s="66"/>
      <c r="K277" s="66"/>
      <c r="L277" s="66"/>
      <c r="M277" s="66"/>
      <c r="N277" s="66">
        <f>SUM(Prog_236[[#This Row],[TARA]]+Prog_236[[#This Row],[PESO]])</f>
        <v>0</v>
      </c>
      <c r="O277" s="44"/>
      <c r="P277" s="66"/>
      <c r="Q277" s="66"/>
      <c r="R277" s="66"/>
      <c r="S277" s="66"/>
      <c r="T277" s="138" t="str">
        <f>IFERROR(LOOKUP($S277,MOTORISTAS!$D$3:$D$1048576,MOTORISTAS!E$3:$E$1048576),"")</f>
        <v/>
      </c>
      <c r="U277" s="138" t="str">
        <f>IFERROR(LOOKUP($S277,MOTORISTAS!$D$3:$D$1048576,MOTORISTAS!F$3:$F$1048576),"")</f>
        <v/>
      </c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44"/>
      <c r="AG277" s="254">
        <f>Prog_236[[#This Row],[SAÍDA DO CLIENTE]]-Prog_236[[#This Row],[PROGRAMAÇÃO CLIENTE]]</f>
        <v>0</v>
      </c>
      <c r="AH277" s="44"/>
      <c r="AI277" s="66"/>
      <c r="AJ277" s="66"/>
      <c r="AK277" s="66"/>
      <c r="AL277" s="66"/>
      <c r="AM277" s="66"/>
      <c r="AN277" s="83"/>
      <c r="AO277" s="66"/>
      <c r="AP277" s="66"/>
      <c r="AQ277" s="66"/>
      <c r="AR277" s="81"/>
      <c r="AS277" s="81"/>
      <c r="AT277" s="81"/>
      <c r="AU277" s="81"/>
      <c r="AV277" s="83">
        <f>SUM(Prog_236[[#This Row],[ADIANTAMENTO]]+Prog_236[[#This Row],[SALDO]]+Prog_236[[#This Row],[MARGEM]]+Prog_236[[#This Row],[ESTADIA 1]])</f>
        <v>0</v>
      </c>
      <c r="AW2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7" s="81"/>
      <c r="AY277" s="81"/>
      <c r="AZ277" s="81">
        <f>Prog_236[[#This Row],[VLR NF]]*0.1%</f>
        <v>0</v>
      </c>
      <c r="BA277" s="81">
        <f>Prog_236[[#This Row],[VLR NF]]*0.05%</f>
        <v>0</v>
      </c>
      <c r="BB277" s="81"/>
      <c r="BC277" s="81"/>
      <c r="BD277" s="81"/>
      <c r="BE277" s="81"/>
      <c r="BF277" s="81"/>
      <c r="BG277" s="81"/>
      <c r="BH277" s="81"/>
      <c r="BI277" s="81"/>
      <c r="BJ277" s="81"/>
      <c r="BK277" s="81"/>
      <c r="BL277" s="66"/>
      <c r="BM277" s="66"/>
      <c r="BN277" s="66"/>
      <c r="BO277" s="66" t="str">
        <f>PROPER(TEXT(Prog_236[[#This Row],[PROGRAMAÇÃO CLIENTE]],"mmm"))</f>
        <v>Jan</v>
      </c>
      <c r="BP277" s="66">
        <f>YEAR(Prog_236[[#This Row],[PROGRAMAÇÃO CLIENTE]])</f>
        <v>1900</v>
      </c>
    </row>
    <row r="278" spans="1:68" x14ac:dyDescent="0.25">
      <c r="A278" s="201">
        <f>Prog_236[[#This Row],[CONTEINER]]</f>
        <v>0</v>
      </c>
      <c r="B278" s="86"/>
      <c r="C2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8" s="44"/>
      <c r="E278" s="66"/>
      <c r="F278" s="66"/>
      <c r="G278" s="66"/>
      <c r="H278" s="44"/>
      <c r="I278" s="44"/>
      <c r="J278" s="66"/>
      <c r="K278" s="66"/>
      <c r="L278" s="66"/>
      <c r="M278" s="66"/>
      <c r="N278" s="66">
        <f>SUM(Prog_236[[#This Row],[TARA]]+Prog_236[[#This Row],[PESO]])</f>
        <v>0</v>
      </c>
      <c r="O278" s="44"/>
      <c r="P278" s="66"/>
      <c r="Q278" s="66"/>
      <c r="R278" s="66"/>
      <c r="S278" s="66"/>
      <c r="T278" s="138" t="str">
        <f>IFERROR(LOOKUP($S278,MOTORISTAS!$D$3:$D$1048576,MOTORISTAS!E$3:$E$1048576),"")</f>
        <v/>
      </c>
      <c r="U278" s="138" t="str">
        <f>IFERROR(LOOKUP($S278,MOTORISTAS!$D$3:$D$1048576,MOTORISTAS!F$3:$F$1048576),"")</f>
        <v/>
      </c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44"/>
      <c r="AG278" s="254">
        <f>Prog_236[[#This Row],[SAÍDA DO CLIENTE]]-Prog_236[[#This Row],[PROGRAMAÇÃO CLIENTE]]</f>
        <v>0</v>
      </c>
      <c r="AH278" s="44"/>
      <c r="AI278" s="66"/>
      <c r="AJ278" s="66"/>
      <c r="AK278" s="66"/>
      <c r="AL278" s="66"/>
      <c r="AM278" s="66"/>
      <c r="AN278" s="83"/>
      <c r="AO278" s="66"/>
      <c r="AP278" s="66"/>
      <c r="AQ278" s="66"/>
      <c r="AR278" s="81"/>
      <c r="AS278" s="81"/>
      <c r="AT278" s="81"/>
      <c r="AU278" s="81"/>
      <c r="AV278" s="83">
        <f>SUM(Prog_236[[#This Row],[ADIANTAMENTO]]+Prog_236[[#This Row],[SALDO]]+Prog_236[[#This Row],[MARGEM]]+Prog_236[[#This Row],[ESTADIA 1]])</f>
        <v>0</v>
      </c>
      <c r="AW2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8" s="81"/>
      <c r="AY278" s="81"/>
      <c r="AZ278" s="81">
        <f>Prog_236[[#This Row],[VLR NF]]*0.1%</f>
        <v>0</v>
      </c>
      <c r="BA278" s="81">
        <f>Prog_236[[#This Row],[VLR NF]]*0.05%</f>
        <v>0</v>
      </c>
      <c r="BB278" s="81"/>
      <c r="BC278" s="81"/>
      <c r="BD278" s="81"/>
      <c r="BE278" s="81"/>
      <c r="BF278" s="81"/>
      <c r="BG278" s="81"/>
      <c r="BH278" s="81"/>
      <c r="BI278" s="81"/>
      <c r="BJ278" s="81"/>
      <c r="BK278" s="81"/>
      <c r="BL278" s="66"/>
      <c r="BM278" s="66"/>
      <c r="BN278" s="66"/>
      <c r="BO278" s="66" t="str">
        <f>PROPER(TEXT(Prog_236[[#This Row],[PROGRAMAÇÃO CLIENTE]],"mmm"))</f>
        <v>Jan</v>
      </c>
      <c r="BP278" s="66">
        <f>YEAR(Prog_236[[#This Row],[PROGRAMAÇÃO CLIENTE]])</f>
        <v>1900</v>
      </c>
    </row>
    <row r="279" spans="1:68" x14ac:dyDescent="0.25">
      <c r="A279" s="200">
        <f>Prog_236[[#This Row],[CONTEINER]]</f>
        <v>0</v>
      </c>
      <c r="B279" s="86"/>
      <c r="C2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79" s="44"/>
      <c r="E279" s="66"/>
      <c r="F279" s="66"/>
      <c r="G279" s="66"/>
      <c r="H279" s="44"/>
      <c r="I279" s="44"/>
      <c r="J279" s="66"/>
      <c r="K279" s="66"/>
      <c r="L279" s="66"/>
      <c r="M279" s="66"/>
      <c r="N279" s="66">
        <f>SUM(Prog_236[[#This Row],[TARA]]+Prog_236[[#This Row],[PESO]])</f>
        <v>0</v>
      </c>
      <c r="O279" s="44"/>
      <c r="P279" s="66"/>
      <c r="Q279" s="66"/>
      <c r="R279" s="66"/>
      <c r="S279" s="66"/>
      <c r="T279" s="138" t="str">
        <f>IFERROR(LOOKUP($S279,MOTORISTAS!$D$3:$D$1048576,MOTORISTAS!E$3:$E$1048576),"")</f>
        <v/>
      </c>
      <c r="U279" s="138" t="str">
        <f>IFERROR(LOOKUP($S279,MOTORISTAS!$D$3:$D$1048576,MOTORISTAS!F$3:$F$1048576),"")</f>
        <v/>
      </c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44"/>
      <c r="AG279" s="254">
        <f>Prog_236[[#This Row],[SAÍDA DO CLIENTE]]-Prog_236[[#This Row],[PROGRAMAÇÃO CLIENTE]]</f>
        <v>0</v>
      </c>
      <c r="AH279" s="44"/>
      <c r="AI279" s="66"/>
      <c r="AJ279" s="66"/>
      <c r="AK279" s="66"/>
      <c r="AL279" s="66"/>
      <c r="AM279" s="66"/>
      <c r="AN279" s="83"/>
      <c r="AO279" s="66"/>
      <c r="AP279" s="66"/>
      <c r="AQ279" s="66"/>
      <c r="AR279" s="81"/>
      <c r="AS279" s="81"/>
      <c r="AT279" s="81"/>
      <c r="AU279" s="81"/>
      <c r="AV279" s="83">
        <f>SUM(Prog_236[[#This Row],[ADIANTAMENTO]]+Prog_236[[#This Row],[SALDO]]+Prog_236[[#This Row],[MARGEM]]+Prog_236[[#This Row],[ESTADIA 1]])</f>
        <v>0</v>
      </c>
      <c r="AW2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79" s="81"/>
      <c r="AY279" s="81"/>
      <c r="AZ279" s="81">
        <f>Prog_236[[#This Row],[VLR NF]]*0.1%</f>
        <v>0</v>
      </c>
      <c r="BA279" s="81">
        <f>Prog_236[[#This Row],[VLR NF]]*0.05%</f>
        <v>0</v>
      </c>
      <c r="BB279" s="81"/>
      <c r="BC279" s="81"/>
      <c r="BD279" s="81"/>
      <c r="BE279" s="81"/>
      <c r="BF279" s="81"/>
      <c r="BG279" s="81"/>
      <c r="BH279" s="81"/>
      <c r="BI279" s="81"/>
      <c r="BJ279" s="81"/>
      <c r="BK279" s="81"/>
      <c r="BL279" s="66"/>
      <c r="BM279" s="66"/>
      <c r="BN279" s="66"/>
      <c r="BO279" s="66" t="str">
        <f>PROPER(TEXT(Prog_236[[#This Row],[PROGRAMAÇÃO CLIENTE]],"mmm"))</f>
        <v>Jan</v>
      </c>
      <c r="BP279" s="66">
        <f>YEAR(Prog_236[[#This Row],[PROGRAMAÇÃO CLIENTE]])</f>
        <v>1900</v>
      </c>
    </row>
    <row r="280" spans="1:68" x14ac:dyDescent="0.25">
      <c r="A280" s="201">
        <f>Prog_236[[#This Row],[CONTEINER]]</f>
        <v>0</v>
      </c>
      <c r="B280" s="86"/>
      <c r="C2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0" s="44"/>
      <c r="E280" s="66"/>
      <c r="F280" s="66"/>
      <c r="G280" s="66"/>
      <c r="H280" s="44"/>
      <c r="I280" s="44"/>
      <c r="J280" s="66"/>
      <c r="K280" s="66"/>
      <c r="L280" s="66"/>
      <c r="M280" s="66"/>
      <c r="N280" s="66">
        <f>SUM(Prog_236[[#This Row],[TARA]]+Prog_236[[#This Row],[PESO]])</f>
        <v>0</v>
      </c>
      <c r="O280" s="44"/>
      <c r="P280" s="66"/>
      <c r="Q280" s="66"/>
      <c r="R280" s="66"/>
      <c r="S280" s="66"/>
      <c r="T280" s="138" t="str">
        <f>IFERROR(LOOKUP($S280,MOTORISTAS!$D$3:$D$1048576,MOTORISTAS!E$3:$E$1048576),"")</f>
        <v/>
      </c>
      <c r="U280" s="138" t="str">
        <f>IFERROR(LOOKUP($S280,MOTORISTAS!$D$3:$D$1048576,MOTORISTAS!F$3:$F$1048576),"")</f>
        <v/>
      </c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44"/>
      <c r="AG280" s="254">
        <f>Prog_236[[#This Row],[SAÍDA DO CLIENTE]]-Prog_236[[#This Row],[PROGRAMAÇÃO CLIENTE]]</f>
        <v>0</v>
      </c>
      <c r="AH280" s="44"/>
      <c r="AI280" s="66"/>
      <c r="AJ280" s="66"/>
      <c r="AK280" s="66"/>
      <c r="AL280" s="66"/>
      <c r="AM280" s="66"/>
      <c r="AN280" s="83"/>
      <c r="AO280" s="66"/>
      <c r="AP280" s="66"/>
      <c r="AQ280" s="66"/>
      <c r="AR280" s="81"/>
      <c r="AS280" s="81"/>
      <c r="AT280" s="81"/>
      <c r="AU280" s="81"/>
      <c r="AV280" s="83">
        <f>SUM(Prog_236[[#This Row],[ADIANTAMENTO]]+Prog_236[[#This Row],[SALDO]]+Prog_236[[#This Row],[MARGEM]]+Prog_236[[#This Row],[ESTADIA 1]])</f>
        <v>0</v>
      </c>
      <c r="AW2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0" s="81"/>
      <c r="AY280" s="81"/>
      <c r="AZ280" s="81">
        <f>Prog_236[[#This Row],[VLR NF]]*0.1%</f>
        <v>0</v>
      </c>
      <c r="BA280" s="81">
        <f>Prog_236[[#This Row],[VLR NF]]*0.05%</f>
        <v>0</v>
      </c>
      <c r="BB280" s="81"/>
      <c r="BC280" s="81"/>
      <c r="BD280" s="81"/>
      <c r="BE280" s="81"/>
      <c r="BF280" s="81"/>
      <c r="BG280" s="81"/>
      <c r="BH280" s="81"/>
      <c r="BI280" s="81"/>
      <c r="BJ280" s="81"/>
      <c r="BK280" s="81"/>
      <c r="BL280" s="66"/>
      <c r="BM280" s="66"/>
      <c r="BN280" s="66"/>
      <c r="BO280" s="66" t="str">
        <f>PROPER(TEXT(Prog_236[[#This Row],[PROGRAMAÇÃO CLIENTE]],"mmm"))</f>
        <v>Jan</v>
      </c>
      <c r="BP280" s="66">
        <f>YEAR(Prog_236[[#This Row],[PROGRAMAÇÃO CLIENTE]])</f>
        <v>1900</v>
      </c>
    </row>
    <row r="281" spans="1:68" x14ac:dyDescent="0.25">
      <c r="A281" s="200">
        <f>Prog_236[[#This Row],[CONTEINER]]</f>
        <v>0</v>
      </c>
      <c r="B281" s="86"/>
      <c r="C2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1" s="44"/>
      <c r="E281" s="66"/>
      <c r="F281" s="66"/>
      <c r="G281" s="66"/>
      <c r="H281" s="44"/>
      <c r="I281" s="44"/>
      <c r="J281" s="66"/>
      <c r="K281" s="66"/>
      <c r="L281" s="66"/>
      <c r="M281" s="66"/>
      <c r="N281" s="66">
        <f>SUM(Prog_236[[#This Row],[TARA]]+Prog_236[[#This Row],[PESO]])</f>
        <v>0</v>
      </c>
      <c r="O281" s="44"/>
      <c r="P281" s="66"/>
      <c r="Q281" s="66"/>
      <c r="R281" s="66"/>
      <c r="S281" s="66"/>
      <c r="T281" s="138" t="str">
        <f>IFERROR(LOOKUP($S281,MOTORISTAS!$D$3:$D$1048576,MOTORISTAS!E$3:$E$1048576),"")</f>
        <v/>
      </c>
      <c r="U281" s="138" t="str">
        <f>IFERROR(LOOKUP($S281,MOTORISTAS!$D$3:$D$1048576,MOTORISTAS!F$3:$F$1048576),"")</f>
        <v/>
      </c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44"/>
      <c r="AG281" s="254">
        <f>Prog_236[[#This Row],[SAÍDA DO CLIENTE]]-Prog_236[[#This Row],[PROGRAMAÇÃO CLIENTE]]</f>
        <v>0</v>
      </c>
      <c r="AH281" s="44"/>
      <c r="AI281" s="66"/>
      <c r="AJ281" s="66"/>
      <c r="AK281" s="66"/>
      <c r="AL281" s="66"/>
      <c r="AM281" s="66"/>
      <c r="AN281" s="83"/>
      <c r="AO281" s="66"/>
      <c r="AP281" s="66"/>
      <c r="AQ281" s="66"/>
      <c r="AR281" s="81"/>
      <c r="AS281" s="81"/>
      <c r="AT281" s="81"/>
      <c r="AU281" s="81"/>
      <c r="AV281" s="83">
        <f>SUM(Prog_236[[#This Row],[ADIANTAMENTO]]+Prog_236[[#This Row],[SALDO]]+Prog_236[[#This Row],[MARGEM]]+Prog_236[[#This Row],[ESTADIA 1]])</f>
        <v>0</v>
      </c>
      <c r="AW2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1" s="81"/>
      <c r="AY281" s="81"/>
      <c r="AZ281" s="81">
        <f>Prog_236[[#This Row],[VLR NF]]*0.1%</f>
        <v>0</v>
      </c>
      <c r="BA281" s="81">
        <f>Prog_236[[#This Row],[VLR NF]]*0.05%</f>
        <v>0</v>
      </c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66"/>
      <c r="BM281" s="66"/>
      <c r="BN281" s="66"/>
      <c r="BO281" s="66" t="str">
        <f>PROPER(TEXT(Prog_236[[#This Row],[PROGRAMAÇÃO CLIENTE]],"mmm"))</f>
        <v>Jan</v>
      </c>
      <c r="BP281" s="66">
        <f>YEAR(Prog_236[[#This Row],[PROGRAMAÇÃO CLIENTE]])</f>
        <v>1900</v>
      </c>
    </row>
    <row r="282" spans="1:68" x14ac:dyDescent="0.25">
      <c r="A282" s="201">
        <f>Prog_236[[#This Row],[CONTEINER]]</f>
        <v>0</v>
      </c>
      <c r="B282" s="86"/>
      <c r="C2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2" s="44"/>
      <c r="E282" s="66"/>
      <c r="F282" s="66"/>
      <c r="G282" s="66"/>
      <c r="H282" s="44"/>
      <c r="I282" s="44"/>
      <c r="J282" s="66"/>
      <c r="K282" s="66"/>
      <c r="L282" s="66"/>
      <c r="M282" s="66"/>
      <c r="N282" s="66">
        <f>SUM(Prog_236[[#This Row],[TARA]]+Prog_236[[#This Row],[PESO]])</f>
        <v>0</v>
      </c>
      <c r="O282" s="44"/>
      <c r="P282" s="66"/>
      <c r="Q282" s="66"/>
      <c r="R282" s="66"/>
      <c r="S282" s="66"/>
      <c r="T282" s="138" t="str">
        <f>IFERROR(LOOKUP($S282,MOTORISTAS!$D$3:$D$1048576,MOTORISTAS!E$3:$E$1048576),"")</f>
        <v/>
      </c>
      <c r="U282" s="138" t="str">
        <f>IFERROR(LOOKUP($S282,MOTORISTAS!$D$3:$D$1048576,MOTORISTAS!F$3:$F$1048576),"")</f>
        <v/>
      </c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44"/>
      <c r="AG282" s="254">
        <f>Prog_236[[#This Row],[SAÍDA DO CLIENTE]]-Prog_236[[#This Row],[PROGRAMAÇÃO CLIENTE]]</f>
        <v>0</v>
      </c>
      <c r="AH282" s="44"/>
      <c r="AI282" s="66"/>
      <c r="AJ282" s="66"/>
      <c r="AK282" s="66"/>
      <c r="AL282" s="66"/>
      <c r="AM282" s="66"/>
      <c r="AN282" s="83"/>
      <c r="AO282" s="66"/>
      <c r="AP282" s="66"/>
      <c r="AQ282" s="66"/>
      <c r="AR282" s="81"/>
      <c r="AS282" s="81"/>
      <c r="AT282" s="81"/>
      <c r="AU282" s="81"/>
      <c r="AV282" s="83">
        <f>SUM(Prog_236[[#This Row],[ADIANTAMENTO]]+Prog_236[[#This Row],[SALDO]]+Prog_236[[#This Row],[MARGEM]]+Prog_236[[#This Row],[ESTADIA 1]])</f>
        <v>0</v>
      </c>
      <c r="AW2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2" s="81"/>
      <c r="AY282" s="81"/>
      <c r="AZ282" s="81">
        <f>Prog_236[[#This Row],[VLR NF]]*0.1%</f>
        <v>0</v>
      </c>
      <c r="BA282" s="81">
        <f>Prog_236[[#This Row],[VLR NF]]*0.05%</f>
        <v>0</v>
      </c>
      <c r="BB282" s="81"/>
      <c r="BC282" s="81"/>
      <c r="BD282" s="81"/>
      <c r="BE282" s="81"/>
      <c r="BF282" s="81"/>
      <c r="BG282" s="81"/>
      <c r="BH282" s="81"/>
      <c r="BI282" s="81"/>
      <c r="BJ282" s="81"/>
      <c r="BK282" s="81"/>
      <c r="BL282" s="66"/>
      <c r="BM282" s="66"/>
      <c r="BN282" s="66"/>
      <c r="BO282" s="66" t="str">
        <f>PROPER(TEXT(Prog_236[[#This Row],[PROGRAMAÇÃO CLIENTE]],"mmm"))</f>
        <v>Jan</v>
      </c>
      <c r="BP282" s="66">
        <f>YEAR(Prog_236[[#This Row],[PROGRAMAÇÃO CLIENTE]])</f>
        <v>1900</v>
      </c>
    </row>
    <row r="283" spans="1:68" x14ac:dyDescent="0.25">
      <c r="A283" s="200">
        <f>Prog_236[[#This Row],[CONTEINER]]</f>
        <v>0</v>
      </c>
      <c r="B283" s="86"/>
      <c r="C2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3" s="44"/>
      <c r="E283" s="66"/>
      <c r="F283" s="66"/>
      <c r="G283" s="66"/>
      <c r="H283" s="44"/>
      <c r="I283" s="44"/>
      <c r="J283" s="66"/>
      <c r="K283" s="66"/>
      <c r="L283" s="66"/>
      <c r="M283" s="66"/>
      <c r="N283" s="66">
        <f>SUM(Prog_236[[#This Row],[TARA]]+Prog_236[[#This Row],[PESO]])</f>
        <v>0</v>
      </c>
      <c r="O283" s="44"/>
      <c r="P283" s="66"/>
      <c r="Q283" s="66"/>
      <c r="R283" s="66"/>
      <c r="S283" s="66"/>
      <c r="T283" s="138" t="str">
        <f>IFERROR(LOOKUP($S283,MOTORISTAS!$D$3:$D$1048576,MOTORISTAS!E$3:$E$1048576),"")</f>
        <v/>
      </c>
      <c r="U283" s="138" t="str">
        <f>IFERROR(LOOKUP($S283,MOTORISTAS!$D$3:$D$1048576,MOTORISTAS!F$3:$F$1048576),"")</f>
        <v/>
      </c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44"/>
      <c r="AG283" s="254">
        <f>Prog_236[[#This Row],[SAÍDA DO CLIENTE]]-Prog_236[[#This Row],[PROGRAMAÇÃO CLIENTE]]</f>
        <v>0</v>
      </c>
      <c r="AH283" s="44"/>
      <c r="AI283" s="66"/>
      <c r="AJ283" s="66"/>
      <c r="AK283" s="66"/>
      <c r="AL283" s="66"/>
      <c r="AM283" s="66"/>
      <c r="AN283" s="83"/>
      <c r="AO283" s="66"/>
      <c r="AP283" s="66"/>
      <c r="AQ283" s="66"/>
      <c r="AR283" s="81"/>
      <c r="AS283" s="81"/>
      <c r="AT283" s="81"/>
      <c r="AU283" s="81"/>
      <c r="AV283" s="83">
        <f>SUM(Prog_236[[#This Row],[ADIANTAMENTO]]+Prog_236[[#This Row],[SALDO]]+Prog_236[[#This Row],[MARGEM]]+Prog_236[[#This Row],[ESTADIA 1]])</f>
        <v>0</v>
      </c>
      <c r="AW2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3" s="81"/>
      <c r="AY283" s="81"/>
      <c r="AZ283" s="81">
        <f>Prog_236[[#This Row],[VLR NF]]*0.1%</f>
        <v>0</v>
      </c>
      <c r="BA283" s="81">
        <f>Prog_236[[#This Row],[VLR NF]]*0.05%</f>
        <v>0</v>
      </c>
      <c r="BB283" s="81"/>
      <c r="BC283" s="81"/>
      <c r="BD283" s="81"/>
      <c r="BE283" s="81"/>
      <c r="BF283" s="81"/>
      <c r="BG283" s="81"/>
      <c r="BH283" s="81"/>
      <c r="BI283" s="81"/>
      <c r="BJ283" s="81"/>
      <c r="BK283" s="81"/>
      <c r="BL283" s="66"/>
      <c r="BM283" s="66"/>
      <c r="BN283" s="66"/>
      <c r="BO283" s="66" t="str">
        <f>PROPER(TEXT(Prog_236[[#This Row],[PROGRAMAÇÃO CLIENTE]],"mmm"))</f>
        <v>Jan</v>
      </c>
      <c r="BP283" s="66">
        <f>YEAR(Prog_236[[#This Row],[PROGRAMAÇÃO CLIENTE]])</f>
        <v>1900</v>
      </c>
    </row>
    <row r="284" spans="1:68" x14ac:dyDescent="0.25">
      <c r="A284" s="201">
        <f>Prog_236[[#This Row],[CONTEINER]]</f>
        <v>0</v>
      </c>
      <c r="B284" s="86"/>
      <c r="C2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4" s="44"/>
      <c r="E284" s="66"/>
      <c r="F284" s="66"/>
      <c r="G284" s="66"/>
      <c r="H284" s="44"/>
      <c r="I284" s="44"/>
      <c r="J284" s="66"/>
      <c r="K284" s="66"/>
      <c r="L284" s="66"/>
      <c r="M284" s="66"/>
      <c r="N284" s="66">
        <f>SUM(Prog_236[[#This Row],[TARA]]+Prog_236[[#This Row],[PESO]])</f>
        <v>0</v>
      </c>
      <c r="O284" s="44"/>
      <c r="P284" s="66"/>
      <c r="Q284" s="66"/>
      <c r="R284" s="66"/>
      <c r="S284" s="66"/>
      <c r="T284" s="138" t="str">
        <f>IFERROR(LOOKUP($S284,MOTORISTAS!$D$3:$D$1048576,MOTORISTAS!E$3:$E$1048576),"")</f>
        <v/>
      </c>
      <c r="U284" s="138" t="str">
        <f>IFERROR(LOOKUP($S284,MOTORISTAS!$D$3:$D$1048576,MOTORISTAS!F$3:$F$1048576),"")</f>
        <v/>
      </c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44"/>
      <c r="AG284" s="254">
        <f>Prog_236[[#This Row],[SAÍDA DO CLIENTE]]-Prog_236[[#This Row],[PROGRAMAÇÃO CLIENTE]]</f>
        <v>0</v>
      </c>
      <c r="AH284" s="44"/>
      <c r="AI284" s="66"/>
      <c r="AJ284" s="66"/>
      <c r="AK284" s="66"/>
      <c r="AL284" s="66"/>
      <c r="AM284" s="66"/>
      <c r="AN284" s="83"/>
      <c r="AO284" s="66"/>
      <c r="AP284" s="66"/>
      <c r="AQ284" s="66"/>
      <c r="AR284" s="81"/>
      <c r="AS284" s="81"/>
      <c r="AT284" s="81"/>
      <c r="AU284" s="81"/>
      <c r="AV284" s="83">
        <f>SUM(Prog_236[[#This Row],[ADIANTAMENTO]]+Prog_236[[#This Row],[SALDO]]+Prog_236[[#This Row],[MARGEM]]+Prog_236[[#This Row],[ESTADIA 1]])</f>
        <v>0</v>
      </c>
      <c r="AW2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4" s="81"/>
      <c r="AY284" s="81"/>
      <c r="AZ284" s="81">
        <f>Prog_236[[#This Row],[VLR NF]]*0.1%</f>
        <v>0</v>
      </c>
      <c r="BA284" s="81">
        <f>Prog_236[[#This Row],[VLR NF]]*0.05%</f>
        <v>0</v>
      </c>
      <c r="BB284" s="81"/>
      <c r="BC284" s="81"/>
      <c r="BD284" s="81"/>
      <c r="BE284" s="81"/>
      <c r="BF284" s="81"/>
      <c r="BG284" s="81"/>
      <c r="BH284" s="81"/>
      <c r="BI284" s="81"/>
      <c r="BJ284" s="81"/>
      <c r="BK284" s="81"/>
      <c r="BL284" s="66"/>
      <c r="BM284" s="66"/>
      <c r="BN284" s="66"/>
      <c r="BO284" s="66" t="str">
        <f>PROPER(TEXT(Prog_236[[#This Row],[PROGRAMAÇÃO CLIENTE]],"mmm"))</f>
        <v>Jan</v>
      </c>
      <c r="BP284" s="66">
        <f>YEAR(Prog_236[[#This Row],[PROGRAMAÇÃO CLIENTE]])</f>
        <v>1900</v>
      </c>
    </row>
    <row r="285" spans="1:68" x14ac:dyDescent="0.25">
      <c r="A285" s="200">
        <f>Prog_236[[#This Row],[CONTEINER]]</f>
        <v>0</v>
      </c>
      <c r="B285" s="86"/>
      <c r="C2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5" s="44"/>
      <c r="E285" s="66"/>
      <c r="F285" s="66"/>
      <c r="G285" s="66"/>
      <c r="H285" s="44"/>
      <c r="I285" s="44"/>
      <c r="J285" s="66"/>
      <c r="K285" s="66"/>
      <c r="L285" s="66"/>
      <c r="M285" s="66"/>
      <c r="N285" s="66">
        <f>SUM(Prog_236[[#This Row],[TARA]]+Prog_236[[#This Row],[PESO]])</f>
        <v>0</v>
      </c>
      <c r="O285" s="44"/>
      <c r="P285" s="66"/>
      <c r="Q285" s="66"/>
      <c r="R285" s="66"/>
      <c r="S285" s="66"/>
      <c r="T285" s="138" t="str">
        <f>IFERROR(LOOKUP($S285,MOTORISTAS!$D$3:$D$1048576,MOTORISTAS!E$3:$E$1048576),"")</f>
        <v/>
      </c>
      <c r="U285" s="138" t="str">
        <f>IFERROR(LOOKUP($S285,MOTORISTAS!$D$3:$D$1048576,MOTORISTAS!F$3:$F$1048576),"")</f>
        <v/>
      </c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44"/>
      <c r="AG285" s="254">
        <f>Prog_236[[#This Row],[SAÍDA DO CLIENTE]]-Prog_236[[#This Row],[PROGRAMAÇÃO CLIENTE]]</f>
        <v>0</v>
      </c>
      <c r="AH285" s="44"/>
      <c r="AI285" s="66"/>
      <c r="AJ285" s="66"/>
      <c r="AK285" s="66"/>
      <c r="AL285" s="66"/>
      <c r="AM285" s="66"/>
      <c r="AN285" s="83"/>
      <c r="AO285" s="66"/>
      <c r="AP285" s="66"/>
      <c r="AQ285" s="66"/>
      <c r="AR285" s="81"/>
      <c r="AS285" s="81"/>
      <c r="AT285" s="81"/>
      <c r="AU285" s="81"/>
      <c r="AV285" s="83">
        <f>SUM(Prog_236[[#This Row],[ADIANTAMENTO]]+Prog_236[[#This Row],[SALDO]]+Prog_236[[#This Row],[MARGEM]]+Prog_236[[#This Row],[ESTADIA 1]])</f>
        <v>0</v>
      </c>
      <c r="AW2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5" s="81"/>
      <c r="AY285" s="81"/>
      <c r="AZ285" s="81">
        <f>Prog_236[[#This Row],[VLR NF]]*0.1%</f>
        <v>0</v>
      </c>
      <c r="BA285" s="81">
        <f>Prog_236[[#This Row],[VLR NF]]*0.05%</f>
        <v>0</v>
      </c>
      <c r="BB285" s="81"/>
      <c r="BC285" s="81"/>
      <c r="BD285" s="81"/>
      <c r="BE285" s="81"/>
      <c r="BF285" s="81"/>
      <c r="BG285" s="81"/>
      <c r="BH285" s="81"/>
      <c r="BI285" s="81"/>
      <c r="BJ285" s="81"/>
      <c r="BK285" s="81"/>
      <c r="BL285" s="66"/>
      <c r="BM285" s="66"/>
      <c r="BN285" s="66"/>
      <c r="BO285" s="66" t="str">
        <f>PROPER(TEXT(Prog_236[[#This Row],[PROGRAMAÇÃO CLIENTE]],"mmm"))</f>
        <v>Jan</v>
      </c>
      <c r="BP285" s="66">
        <f>YEAR(Prog_236[[#This Row],[PROGRAMAÇÃO CLIENTE]])</f>
        <v>1900</v>
      </c>
    </row>
    <row r="286" spans="1:68" x14ac:dyDescent="0.25">
      <c r="A286" s="201">
        <f>Prog_236[[#This Row],[CONTEINER]]</f>
        <v>0</v>
      </c>
      <c r="B286" s="86"/>
      <c r="C2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6" s="44"/>
      <c r="E286" s="66"/>
      <c r="F286" s="66"/>
      <c r="G286" s="66"/>
      <c r="H286" s="44"/>
      <c r="I286" s="44"/>
      <c r="J286" s="66"/>
      <c r="K286" s="66"/>
      <c r="L286" s="66"/>
      <c r="M286" s="66"/>
      <c r="N286" s="66">
        <f>SUM(Prog_236[[#This Row],[TARA]]+Prog_236[[#This Row],[PESO]])</f>
        <v>0</v>
      </c>
      <c r="O286" s="44"/>
      <c r="P286" s="66"/>
      <c r="Q286" s="66"/>
      <c r="R286" s="66"/>
      <c r="S286" s="66"/>
      <c r="T286" s="138" t="str">
        <f>IFERROR(LOOKUP($S286,MOTORISTAS!$D$3:$D$1048576,MOTORISTAS!E$3:$E$1048576),"")</f>
        <v/>
      </c>
      <c r="U286" s="138" t="str">
        <f>IFERROR(LOOKUP($S286,MOTORISTAS!$D$3:$D$1048576,MOTORISTAS!F$3:$F$1048576),"")</f>
        <v/>
      </c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44"/>
      <c r="AG286" s="254">
        <f>Prog_236[[#This Row],[SAÍDA DO CLIENTE]]-Prog_236[[#This Row],[PROGRAMAÇÃO CLIENTE]]</f>
        <v>0</v>
      </c>
      <c r="AH286" s="44"/>
      <c r="AI286" s="66"/>
      <c r="AJ286" s="66"/>
      <c r="AK286" s="66"/>
      <c r="AL286" s="66"/>
      <c r="AM286" s="66"/>
      <c r="AN286" s="83"/>
      <c r="AO286" s="66"/>
      <c r="AP286" s="66"/>
      <c r="AQ286" s="66"/>
      <c r="AR286" s="81"/>
      <c r="AS286" s="81"/>
      <c r="AT286" s="81"/>
      <c r="AU286" s="81"/>
      <c r="AV286" s="83">
        <f>SUM(Prog_236[[#This Row],[ADIANTAMENTO]]+Prog_236[[#This Row],[SALDO]]+Prog_236[[#This Row],[MARGEM]]+Prog_236[[#This Row],[ESTADIA 1]])</f>
        <v>0</v>
      </c>
      <c r="AW2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6" s="81"/>
      <c r="AY286" s="81"/>
      <c r="AZ286" s="81">
        <f>Prog_236[[#This Row],[VLR NF]]*0.1%</f>
        <v>0</v>
      </c>
      <c r="BA286" s="81">
        <f>Prog_236[[#This Row],[VLR NF]]*0.05%</f>
        <v>0</v>
      </c>
      <c r="BB286" s="81"/>
      <c r="BC286" s="81"/>
      <c r="BD286" s="81"/>
      <c r="BE286" s="81"/>
      <c r="BF286" s="81"/>
      <c r="BG286" s="81"/>
      <c r="BH286" s="81"/>
      <c r="BI286" s="81"/>
      <c r="BJ286" s="81"/>
      <c r="BK286" s="81"/>
      <c r="BL286" s="66"/>
      <c r="BM286" s="66"/>
      <c r="BN286" s="66"/>
      <c r="BO286" s="66" t="str">
        <f>PROPER(TEXT(Prog_236[[#This Row],[PROGRAMAÇÃO CLIENTE]],"mmm"))</f>
        <v>Jan</v>
      </c>
      <c r="BP286" s="66">
        <f>YEAR(Prog_236[[#This Row],[PROGRAMAÇÃO CLIENTE]])</f>
        <v>1900</v>
      </c>
    </row>
    <row r="287" spans="1:68" x14ac:dyDescent="0.25">
      <c r="A287" s="200">
        <f>Prog_236[[#This Row],[CONTEINER]]</f>
        <v>0</v>
      </c>
      <c r="B287" s="86"/>
      <c r="C2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7" s="44"/>
      <c r="E287" s="66"/>
      <c r="F287" s="66"/>
      <c r="G287" s="66"/>
      <c r="H287" s="44"/>
      <c r="I287" s="44"/>
      <c r="J287" s="66"/>
      <c r="K287" s="66"/>
      <c r="L287" s="66"/>
      <c r="M287" s="66"/>
      <c r="N287" s="66">
        <f>SUM(Prog_236[[#This Row],[TARA]]+Prog_236[[#This Row],[PESO]])</f>
        <v>0</v>
      </c>
      <c r="O287" s="44"/>
      <c r="P287" s="66"/>
      <c r="Q287" s="66"/>
      <c r="R287" s="66"/>
      <c r="S287" s="66"/>
      <c r="T287" s="138" t="str">
        <f>IFERROR(LOOKUP($S287,MOTORISTAS!$D$3:$D$1048576,MOTORISTAS!E$3:$E$1048576),"")</f>
        <v/>
      </c>
      <c r="U287" s="138" t="str">
        <f>IFERROR(LOOKUP($S287,MOTORISTAS!$D$3:$D$1048576,MOTORISTAS!F$3:$F$1048576),"")</f>
        <v/>
      </c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44"/>
      <c r="AG287" s="254">
        <f>Prog_236[[#This Row],[SAÍDA DO CLIENTE]]-Prog_236[[#This Row],[PROGRAMAÇÃO CLIENTE]]</f>
        <v>0</v>
      </c>
      <c r="AH287" s="44"/>
      <c r="AI287" s="66"/>
      <c r="AJ287" s="66"/>
      <c r="AK287" s="66"/>
      <c r="AL287" s="66"/>
      <c r="AM287" s="66"/>
      <c r="AN287" s="83"/>
      <c r="AO287" s="66"/>
      <c r="AP287" s="66"/>
      <c r="AQ287" s="66"/>
      <c r="AR287" s="81"/>
      <c r="AS287" s="81"/>
      <c r="AT287" s="81"/>
      <c r="AU287" s="81"/>
      <c r="AV287" s="83">
        <f>SUM(Prog_236[[#This Row],[ADIANTAMENTO]]+Prog_236[[#This Row],[SALDO]]+Prog_236[[#This Row],[MARGEM]]+Prog_236[[#This Row],[ESTADIA 1]])</f>
        <v>0</v>
      </c>
      <c r="AW2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7" s="81"/>
      <c r="AY287" s="81"/>
      <c r="AZ287" s="81">
        <f>Prog_236[[#This Row],[VLR NF]]*0.1%</f>
        <v>0</v>
      </c>
      <c r="BA287" s="81">
        <f>Prog_236[[#This Row],[VLR NF]]*0.05%</f>
        <v>0</v>
      </c>
      <c r="BB287" s="81"/>
      <c r="BC287" s="81"/>
      <c r="BD287" s="81"/>
      <c r="BE287" s="81"/>
      <c r="BF287" s="81"/>
      <c r="BG287" s="81"/>
      <c r="BH287" s="81"/>
      <c r="BI287" s="81"/>
      <c r="BJ287" s="81"/>
      <c r="BK287" s="81"/>
      <c r="BL287" s="66"/>
      <c r="BM287" s="66"/>
      <c r="BN287" s="66"/>
      <c r="BO287" s="66" t="str">
        <f>PROPER(TEXT(Prog_236[[#This Row],[PROGRAMAÇÃO CLIENTE]],"mmm"))</f>
        <v>Jan</v>
      </c>
      <c r="BP287" s="66">
        <f>YEAR(Prog_236[[#This Row],[PROGRAMAÇÃO CLIENTE]])</f>
        <v>1900</v>
      </c>
    </row>
    <row r="288" spans="1:68" x14ac:dyDescent="0.25">
      <c r="A288" s="201">
        <f>Prog_236[[#This Row],[CONTEINER]]</f>
        <v>0</v>
      </c>
      <c r="B288" s="86"/>
      <c r="C2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8" s="44"/>
      <c r="E288" s="66"/>
      <c r="F288" s="66"/>
      <c r="G288" s="66"/>
      <c r="H288" s="44"/>
      <c r="I288" s="44"/>
      <c r="J288" s="66"/>
      <c r="K288" s="66"/>
      <c r="L288" s="66"/>
      <c r="M288" s="66"/>
      <c r="N288" s="66">
        <f>SUM(Prog_236[[#This Row],[TARA]]+Prog_236[[#This Row],[PESO]])</f>
        <v>0</v>
      </c>
      <c r="O288" s="44"/>
      <c r="P288" s="66"/>
      <c r="Q288" s="66"/>
      <c r="R288" s="66"/>
      <c r="S288" s="66"/>
      <c r="T288" s="138" t="str">
        <f>IFERROR(LOOKUP($S288,MOTORISTAS!$D$3:$D$1048576,MOTORISTAS!E$3:$E$1048576),"")</f>
        <v/>
      </c>
      <c r="U288" s="138" t="str">
        <f>IFERROR(LOOKUP($S288,MOTORISTAS!$D$3:$D$1048576,MOTORISTAS!F$3:$F$1048576),"")</f>
        <v/>
      </c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44"/>
      <c r="AG288" s="254">
        <f>Prog_236[[#This Row],[SAÍDA DO CLIENTE]]-Prog_236[[#This Row],[PROGRAMAÇÃO CLIENTE]]</f>
        <v>0</v>
      </c>
      <c r="AH288" s="44"/>
      <c r="AI288" s="66"/>
      <c r="AJ288" s="66"/>
      <c r="AK288" s="66"/>
      <c r="AL288" s="66"/>
      <c r="AM288" s="66"/>
      <c r="AN288" s="83"/>
      <c r="AO288" s="66"/>
      <c r="AP288" s="66"/>
      <c r="AQ288" s="66"/>
      <c r="AR288" s="81"/>
      <c r="AS288" s="81"/>
      <c r="AT288" s="81"/>
      <c r="AU288" s="81"/>
      <c r="AV288" s="83">
        <f>SUM(Prog_236[[#This Row],[ADIANTAMENTO]]+Prog_236[[#This Row],[SALDO]]+Prog_236[[#This Row],[MARGEM]]+Prog_236[[#This Row],[ESTADIA 1]])</f>
        <v>0</v>
      </c>
      <c r="AW2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8" s="81"/>
      <c r="AY288" s="81"/>
      <c r="AZ288" s="81">
        <f>Prog_236[[#This Row],[VLR NF]]*0.1%</f>
        <v>0</v>
      </c>
      <c r="BA288" s="81">
        <f>Prog_236[[#This Row],[VLR NF]]*0.05%</f>
        <v>0</v>
      </c>
      <c r="BB288" s="81"/>
      <c r="BC288" s="81"/>
      <c r="BD288" s="81"/>
      <c r="BE288" s="81"/>
      <c r="BF288" s="81"/>
      <c r="BG288" s="81"/>
      <c r="BH288" s="81"/>
      <c r="BI288" s="81"/>
      <c r="BJ288" s="81"/>
      <c r="BK288" s="81"/>
      <c r="BL288" s="66"/>
      <c r="BM288" s="66"/>
      <c r="BN288" s="66"/>
      <c r="BO288" s="66" t="str">
        <f>PROPER(TEXT(Prog_236[[#This Row],[PROGRAMAÇÃO CLIENTE]],"mmm"))</f>
        <v>Jan</v>
      </c>
      <c r="BP288" s="66">
        <f>YEAR(Prog_236[[#This Row],[PROGRAMAÇÃO CLIENTE]])</f>
        <v>1900</v>
      </c>
    </row>
    <row r="289" spans="1:68" x14ac:dyDescent="0.25">
      <c r="A289" s="200">
        <f>Prog_236[[#This Row],[CONTEINER]]</f>
        <v>0</v>
      </c>
      <c r="B289" s="86"/>
      <c r="C2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89" s="44"/>
      <c r="E289" s="66"/>
      <c r="F289" s="66"/>
      <c r="G289" s="66"/>
      <c r="H289" s="44"/>
      <c r="I289" s="44"/>
      <c r="J289" s="66"/>
      <c r="K289" s="66"/>
      <c r="L289" s="66"/>
      <c r="M289" s="66"/>
      <c r="N289" s="66">
        <f>SUM(Prog_236[[#This Row],[TARA]]+Prog_236[[#This Row],[PESO]])</f>
        <v>0</v>
      </c>
      <c r="O289" s="44"/>
      <c r="P289" s="66"/>
      <c r="Q289" s="66"/>
      <c r="R289" s="66"/>
      <c r="S289" s="66"/>
      <c r="T289" s="138" t="str">
        <f>IFERROR(LOOKUP($S289,MOTORISTAS!$D$3:$D$1048576,MOTORISTAS!E$3:$E$1048576),"")</f>
        <v/>
      </c>
      <c r="U289" s="138" t="str">
        <f>IFERROR(LOOKUP($S289,MOTORISTAS!$D$3:$D$1048576,MOTORISTAS!F$3:$F$1048576),"")</f>
        <v/>
      </c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44"/>
      <c r="AG289" s="254">
        <f>Prog_236[[#This Row],[SAÍDA DO CLIENTE]]-Prog_236[[#This Row],[PROGRAMAÇÃO CLIENTE]]</f>
        <v>0</v>
      </c>
      <c r="AH289" s="44"/>
      <c r="AI289" s="66"/>
      <c r="AJ289" s="66"/>
      <c r="AK289" s="66"/>
      <c r="AL289" s="66"/>
      <c r="AM289" s="66"/>
      <c r="AN289" s="83"/>
      <c r="AO289" s="66"/>
      <c r="AP289" s="66"/>
      <c r="AQ289" s="66"/>
      <c r="AR289" s="81"/>
      <c r="AS289" s="81"/>
      <c r="AT289" s="81"/>
      <c r="AU289" s="81"/>
      <c r="AV289" s="83">
        <f>SUM(Prog_236[[#This Row],[ADIANTAMENTO]]+Prog_236[[#This Row],[SALDO]]+Prog_236[[#This Row],[MARGEM]]+Prog_236[[#This Row],[ESTADIA 1]])</f>
        <v>0</v>
      </c>
      <c r="AW2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89" s="81"/>
      <c r="AY289" s="81"/>
      <c r="AZ289" s="81">
        <f>Prog_236[[#This Row],[VLR NF]]*0.1%</f>
        <v>0</v>
      </c>
      <c r="BA289" s="81">
        <f>Prog_236[[#This Row],[VLR NF]]*0.05%</f>
        <v>0</v>
      </c>
      <c r="BB289" s="81"/>
      <c r="BC289" s="81"/>
      <c r="BD289" s="81"/>
      <c r="BE289" s="81"/>
      <c r="BF289" s="81"/>
      <c r="BG289" s="81"/>
      <c r="BH289" s="81"/>
      <c r="BI289" s="81"/>
      <c r="BJ289" s="81"/>
      <c r="BK289" s="81"/>
      <c r="BL289" s="66"/>
      <c r="BM289" s="66"/>
      <c r="BN289" s="66"/>
      <c r="BO289" s="66" t="str">
        <f>PROPER(TEXT(Prog_236[[#This Row],[PROGRAMAÇÃO CLIENTE]],"mmm"))</f>
        <v>Jan</v>
      </c>
      <c r="BP289" s="66">
        <f>YEAR(Prog_236[[#This Row],[PROGRAMAÇÃO CLIENTE]])</f>
        <v>1900</v>
      </c>
    </row>
    <row r="290" spans="1:68" x14ac:dyDescent="0.25">
      <c r="A290" s="201">
        <f>Prog_236[[#This Row],[CONTEINER]]</f>
        <v>0</v>
      </c>
      <c r="B290" s="86"/>
      <c r="C2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0" s="44"/>
      <c r="E290" s="66"/>
      <c r="F290" s="66"/>
      <c r="G290" s="66"/>
      <c r="H290" s="44"/>
      <c r="I290" s="44"/>
      <c r="J290" s="66"/>
      <c r="K290" s="66"/>
      <c r="L290" s="66"/>
      <c r="M290" s="66"/>
      <c r="N290" s="66">
        <f>SUM(Prog_236[[#This Row],[TARA]]+Prog_236[[#This Row],[PESO]])</f>
        <v>0</v>
      </c>
      <c r="O290" s="44"/>
      <c r="P290" s="66"/>
      <c r="Q290" s="66"/>
      <c r="R290" s="66"/>
      <c r="S290" s="66"/>
      <c r="T290" s="138" t="str">
        <f>IFERROR(LOOKUP($S290,MOTORISTAS!$D$3:$D$1048576,MOTORISTAS!E$3:$E$1048576),"")</f>
        <v/>
      </c>
      <c r="U290" s="138" t="str">
        <f>IFERROR(LOOKUP($S290,MOTORISTAS!$D$3:$D$1048576,MOTORISTAS!F$3:$F$1048576),"")</f>
        <v/>
      </c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44"/>
      <c r="AG290" s="254">
        <f>Prog_236[[#This Row],[SAÍDA DO CLIENTE]]-Prog_236[[#This Row],[PROGRAMAÇÃO CLIENTE]]</f>
        <v>0</v>
      </c>
      <c r="AH290" s="44"/>
      <c r="AI290" s="66"/>
      <c r="AJ290" s="66"/>
      <c r="AK290" s="66"/>
      <c r="AL290" s="66"/>
      <c r="AM290" s="66"/>
      <c r="AN290" s="83"/>
      <c r="AO290" s="66"/>
      <c r="AP290" s="66"/>
      <c r="AQ290" s="66"/>
      <c r="AR290" s="81"/>
      <c r="AS290" s="81"/>
      <c r="AT290" s="81"/>
      <c r="AU290" s="81"/>
      <c r="AV290" s="83">
        <f>SUM(Prog_236[[#This Row],[ADIANTAMENTO]]+Prog_236[[#This Row],[SALDO]]+Prog_236[[#This Row],[MARGEM]]+Prog_236[[#This Row],[ESTADIA 1]])</f>
        <v>0</v>
      </c>
      <c r="AW2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0" s="81"/>
      <c r="AY290" s="81"/>
      <c r="AZ290" s="81">
        <f>Prog_236[[#This Row],[VLR NF]]*0.1%</f>
        <v>0</v>
      </c>
      <c r="BA290" s="81">
        <f>Prog_236[[#This Row],[VLR NF]]*0.05%</f>
        <v>0</v>
      </c>
      <c r="BB290" s="81"/>
      <c r="BC290" s="81"/>
      <c r="BD290" s="81"/>
      <c r="BE290" s="81"/>
      <c r="BF290" s="81"/>
      <c r="BG290" s="81"/>
      <c r="BH290" s="81"/>
      <c r="BI290" s="81"/>
      <c r="BJ290" s="81"/>
      <c r="BK290" s="81"/>
      <c r="BL290" s="66"/>
      <c r="BM290" s="66"/>
      <c r="BN290" s="66"/>
      <c r="BO290" s="66" t="str">
        <f>PROPER(TEXT(Prog_236[[#This Row],[PROGRAMAÇÃO CLIENTE]],"mmm"))</f>
        <v>Jan</v>
      </c>
      <c r="BP290" s="66">
        <f>YEAR(Prog_236[[#This Row],[PROGRAMAÇÃO CLIENTE]])</f>
        <v>1900</v>
      </c>
    </row>
    <row r="291" spans="1:68" x14ac:dyDescent="0.25">
      <c r="A291" s="200">
        <f>Prog_236[[#This Row],[CONTEINER]]</f>
        <v>0</v>
      </c>
      <c r="B291" s="86"/>
      <c r="C2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1" s="44"/>
      <c r="E291" s="66"/>
      <c r="F291" s="66"/>
      <c r="G291" s="66"/>
      <c r="H291" s="44"/>
      <c r="I291" s="44"/>
      <c r="J291" s="66"/>
      <c r="K291" s="66"/>
      <c r="L291" s="66"/>
      <c r="M291" s="66"/>
      <c r="N291" s="66">
        <f>SUM(Prog_236[[#This Row],[TARA]]+Prog_236[[#This Row],[PESO]])</f>
        <v>0</v>
      </c>
      <c r="O291" s="44"/>
      <c r="P291" s="66"/>
      <c r="Q291" s="66"/>
      <c r="R291" s="66"/>
      <c r="S291" s="66"/>
      <c r="T291" s="138" t="str">
        <f>IFERROR(LOOKUP($S291,MOTORISTAS!$D$3:$D$1048576,MOTORISTAS!E$3:$E$1048576),"")</f>
        <v/>
      </c>
      <c r="U291" s="138" t="str">
        <f>IFERROR(LOOKUP($S291,MOTORISTAS!$D$3:$D$1048576,MOTORISTAS!F$3:$F$1048576),"")</f>
        <v/>
      </c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44"/>
      <c r="AG291" s="254">
        <f>Prog_236[[#This Row],[SAÍDA DO CLIENTE]]-Prog_236[[#This Row],[PROGRAMAÇÃO CLIENTE]]</f>
        <v>0</v>
      </c>
      <c r="AH291" s="44"/>
      <c r="AI291" s="66"/>
      <c r="AJ291" s="66"/>
      <c r="AK291" s="66"/>
      <c r="AL291" s="66"/>
      <c r="AM291" s="66"/>
      <c r="AN291" s="83"/>
      <c r="AO291" s="66"/>
      <c r="AP291" s="66"/>
      <c r="AQ291" s="66"/>
      <c r="AR291" s="81"/>
      <c r="AS291" s="81"/>
      <c r="AT291" s="81"/>
      <c r="AU291" s="81"/>
      <c r="AV291" s="83">
        <f>SUM(Prog_236[[#This Row],[ADIANTAMENTO]]+Prog_236[[#This Row],[SALDO]]+Prog_236[[#This Row],[MARGEM]]+Prog_236[[#This Row],[ESTADIA 1]])</f>
        <v>0</v>
      </c>
      <c r="AW2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1" s="81"/>
      <c r="AY291" s="81"/>
      <c r="AZ291" s="81">
        <f>Prog_236[[#This Row],[VLR NF]]*0.1%</f>
        <v>0</v>
      </c>
      <c r="BA291" s="81">
        <f>Prog_236[[#This Row],[VLR NF]]*0.05%</f>
        <v>0</v>
      </c>
      <c r="BB291" s="81"/>
      <c r="BC291" s="81"/>
      <c r="BD291" s="81"/>
      <c r="BE291" s="81"/>
      <c r="BF291" s="81"/>
      <c r="BG291" s="81"/>
      <c r="BH291" s="81"/>
      <c r="BI291" s="81"/>
      <c r="BJ291" s="81"/>
      <c r="BK291" s="81"/>
      <c r="BL291" s="66"/>
      <c r="BM291" s="66"/>
      <c r="BN291" s="66"/>
      <c r="BO291" s="66" t="str">
        <f>PROPER(TEXT(Prog_236[[#This Row],[PROGRAMAÇÃO CLIENTE]],"mmm"))</f>
        <v>Jan</v>
      </c>
      <c r="BP291" s="66">
        <f>YEAR(Prog_236[[#This Row],[PROGRAMAÇÃO CLIENTE]])</f>
        <v>1900</v>
      </c>
    </row>
    <row r="292" spans="1:68" x14ac:dyDescent="0.25">
      <c r="A292" s="201">
        <f>Prog_236[[#This Row],[CONTEINER]]</f>
        <v>0</v>
      </c>
      <c r="B292" s="86"/>
      <c r="C2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2" s="44"/>
      <c r="E292" s="66"/>
      <c r="F292" s="66"/>
      <c r="G292" s="66"/>
      <c r="H292" s="44"/>
      <c r="I292" s="44"/>
      <c r="J292" s="66"/>
      <c r="K292" s="66"/>
      <c r="L292" s="66"/>
      <c r="M292" s="66"/>
      <c r="N292" s="66">
        <f>SUM(Prog_236[[#This Row],[TARA]]+Prog_236[[#This Row],[PESO]])</f>
        <v>0</v>
      </c>
      <c r="O292" s="44"/>
      <c r="P292" s="66"/>
      <c r="Q292" s="66"/>
      <c r="R292" s="66"/>
      <c r="S292" s="66"/>
      <c r="T292" s="138" t="str">
        <f>IFERROR(LOOKUP($S292,MOTORISTAS!$D$3:$D$1048576,MOTORISTAS!E$3:$E$1048576),"")</f>
        <v/>
      </c>
      <c r="U292" s="138" t="str">
        <f>IFERROR(LOOKUP($S292,MOTORISTAS!$D$3:$D$1048576,MOTORISTAS!F$3:$F$1048576),"")</f>
        <v/>
      </c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44"/>
      <c r="AG292" s="254">
        <f>Prog_236[[#This Row],[SAÍDA DO CLIENTE]]-Prog_236[[#This Row],[PROGRAMAÇÃO CLIENTE]]</f>
        <v>0</v>
      </c>
      <c r="AH292" s="44"/>
      <c r="AI292" s="66"/>
      <c r="AJ292" s="66"/>
      <c r="AK292" s="66"/>
      <c r="AL292" s="66"/>
      <c r="AM292" s="66"/>
      <c r="AN292" s="83"/>
      <c r="AO292" s="66"/>
      <c r="AP292" s="66"/>
      <c r="AQ292" s="66"/>
      <c r="AR292" s="81"/>
      <c r="AS292" s="81"/>
      <c r="AT292" s="81"/>
      <c r="AU292" s="81"/>
      <c r="AV292" s="83">
        <f>SUM(Prog_236[[#This Row],[ADIANTAMENTO]]+Prog_236[[#This Row],[SALDO]]+Prog_236[[#This Row],[MARGEM]]+Prog_236[[#This Row],[ESTADIA 1]])</f>
        <v>0</v>
      </c>
      <c r="AW2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2" s="81"/>
      <c r="AY292" s="81"/>
      <c r="AZ292" s="81">
        <f>Prog_236[[#This Row],[VLR NF]]*0.1%</f>
        <v>0</v>
      </c>
      <c r="BA292" s="81">
        <f>Prog_236[[#This Row],[VLR NF]]*0.05%</f>
        <v>0</v>
      </c>
      <c r="BB292" s="81"/>
      <c r="BC292" s="81"/>
      <c r="BD292" s="81"/>
      <c r="BE292" s="81"/>
      <c r="BF292" s="81"/>
      <c r="BG292" s="81"/>
      <c r="BH292" s="81"/>
      <c r="BI292" s="81"/>
      <c r="BJ292" s="81"/>
      <c r="BK292" s="81"/>
      <c r="BL292" s="66"/>
      <c r="BM292" s="66"/>
      <c r="BN292" s="66"/>
      <c r="BO292" s="66" t="str">
        <f>PROPER(TEXT(Prog_236[[#This Row],[PROGRAMAÇÃO CLIENTE]],"mmm"))</f>
        <v>Jan</v>
      </c>
      <c r="BP292" s="66">
        <f>YEAR(Prog_236[[#This Row],[PROGRAMAÇÃO CLIENTE]])</f>
        <v>1900</v>
      </c>
    </row>
    <row r="293" spans="1:68" x14ac:dyDescent="0.25">
      <c r="A293" s="200">
        <f>Prog_236[[#This Row],[CONTEINER]]</f>
        <v>0</v>
      </c>
      <c r="B293" s="86"/>
      <c r="C2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3" s="44"/>
      <c r="E293" s="66"/>
      <c r="F293" s="66"/>
      <c r="G293" s="66"/>
      <c r="H293" s="44"/>
      <c r="I293" s="44"/>
      <c r="J293" s="66"/>
      <c r="K293" s="66"/>
      <c r="L293" s="66"/>
      <c r="M293" s="66"/>
      <c r="N293" s="66">
        <f>SUM(Prog_236[[#This Row],[TARA]]+Prog_236[[#This Row],[PESO]])</f>
        <v>0</v>
      </c>
      <c r="O293" s="44"/>
      <c r="P293" s="66"/>
      <c r="Q293" s="66"/>
      <c r="R293" s="66"/>
      <c r="S293" s="66"/>
      <c r="T293" s="138" t="str">
        <f>IFERROR(LOOKUP($S293,MOTORISTAS!$D$3:$D$1048576,MOTORISTAS!E$3:$E$1048576),"")</f>
        <v/>
      </c>
      <c r="U293" s="138" t="str">
        <f>IFERROR(LOOKUP($S293,MOTORISTAS!$D$3:$D$1048576,MOTORISTAS!F$3:$F$1048576),"")</f>
        <v/>
      </c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44"/>
      <c r="AG293" s="254">
        <f>Prog_236[[#This Row],[SAÍDA DO CLIENTE]]-Prog_236[[#This Row],[PROGRAMAÇÃO CLIENTE]]</f>
        <v>0</v>
      </c>
      <c r="AH293" s="44"/>
      <c r="AI293" s="66"/>
      <c r="AJ293" s="66"/>
      <c r="AK293" s="66"/>
      <c r="AL293" s="66"/>
      <c r="AM293" s="66"/>
      <c r="AN293" s="83"/>
      <c r="AO293" s="66"/>
      <c r="AP293" s="66"/>
      <c r="AQ293" s="66"/>
      <c r="AR293" s="81"/>
      <c r="AS293" s="81"/>
      <c r="AT293" s="81"/>
      <c r="AU293" s="81"/>
      <c r="AV293" s="83">
        <f>SUM(Prog_236[[#This Row],[ADIANTAMENTO]]+Prog_236[[#This Row],[SALDO]]+Prog_236[[#This Row],[MARGEM]]+Prog_236[[#This Row],[ESTADIA 1]])</f>
        <v>0</v>
      </c>
      <c r="AW2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3" s="81"/>
      <c r="AY293" s="81"/>
      <c r="AZ293" s="81">
        <f>Prog_236[[#This Row],[VLR NF]]*0.1%</f>
        <v>0</v>
      </c>
      <c r="BA293" s="81">
        <f>Prog_236[[#This Row],[VLR NF]]*0.05%</f>
        <v>0</v>
      </c>
      <c r="BB293" s="81"/>
      <c r="BC293" s="81"/>
      <c r="BD293" s="81"/>
      <c r="BE293" s="81"/>
      <c r="BF293" s="81"/>
      <c r="BG293" s="81"/>
      <c r="BH293" s="81"/>
      <c r="BI293" s="81"/>
      <c r="BJ293" s="81"/>
      <c r="BK293" s="81"/>
      <c r="BL293" s="66"/>
      <c r="BM293" s="66"/>
      <c r="BN293" s="66"/>
      <c r="BO293" s="66" t="str">
        <f>PROPER(TEXT(Prog_236[[#This Row],[PROGRAMAÇÃO CLIENTE]],"mmm"))</f>
        <v>Jan</v>
      </c>
      <c r="BP293" s="66">
        <f>YEAR(Prog_236[[#This Row],[PROGRAMAÇÃO CLIENTE]])</f>
        <v>1900</v>
      </c>
    </row>
    <row r="294" spans="1:68" x14ac:dyDescent="0.25">
      <c r="A294" s="201">
        <f>Prog_236[[#This Row],[CONTEINER]]</f>
        <v>0</v>
      </c>
      <c r="B294" s="86"/>
      <c r="C2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4" s="44"/>
      <c r="E294" s="66"/>
      <c r="F294" s="66"/>
      <c r="G294" s="66"/>
      <c r="H294" s="44"/>
      <c r="I294" s="44"/>
      <c r="J294" s="66"/>
      <c r="K294" s="66"/>
      <c r="L294" s="66"/>
      <c r="M294" s="66"/>
      <c r="N294" s="66">
        <f>SUM(Prog_236[[#This Row],[TARA]]+Prog_236[[#This Row],[PESO]])</f>
        <v>0</v>
      </c>
      <c r="O294" s="44"/>
      <c r="P294" s="66"/>
      <c r="Q294" s="66"/>
      <c r="R294" s="66"/>
      <c r="S294" s="66"/>
      <c r="T294" s="138" t="str">
        <f>IFERROR(LOOKUP($S294,MOTORISTAS!$D$3:$D$1048576,MOTORISTAS!E$3:$E$1048576),"")</f>
        <v/>
      </c>
      <c r="U294" s="138" t="str">
        <f>IFERROR(LOOKUP($S294,MOTORISTAS!$D$3:$D$1048576,MOTORISTAS!F$3:$F$1048576),"")</f>
        <v/>
      </c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44"/>
      <c r="AG294" s="254">
        <f>Prog_236[[#This Row],[SAÍDA DO CLIENTE]]-Prog_236[[#This Row],[PROGRAMAÇÃO CLIENTE]]</f>
        <v>0</v>
      </c>
      <c r="AH294" s="44"/>
      <c r="AI294" s="66"/>
      <c r="AJ294" s="66"/>
      <c r="AK294" s="66"/>
      <c r="AL294" s="66"/>
      <c r="AM294" s="66"/>
      <c r="AN294" s="83"/>
      <c r="AO294" s="66"/>
      <c r="AP294" s="66"/>
      <c r="AQ294" s="66"/>
      <c r="AR294" s="81"/>
      <c r="AS294" s="81"/>
      <c r="AT294" s="81"/>
      <c r="AU294" s="81"/>
      <c r="AV294" s="83">
        <f>SUM(Prog_236[[#This Row],[ADIANTAMENTO]]+Prog_236[[#This Row],[SALDO]]+Prog_236[[#This Row],[MARGEM]]+Prog_236[[#This Row],[ESTADIA 1]])</f>
        <v>0</v>
      </c>
      <c r="AW2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4" s="81"/>
      <c r="AY294" s="81"/>
      <c r="AZ294" s="81">
        <f>Prog_236[[#This Row],[VLR NF]]*0.1%</f>
        <v>0</v>
      </c>
      <c r="BA294" s="81">
        <f>Prog_236[[#This Row],[VLR NF]]*0.05%</f>
        <v>0</v>
      </c>
      <c r="BB294" s="81"/>
      <c r="BC294" s="81"/>
      <c r="BD294" s="81"/>
      <c r="BE294" s="81"/>
      <c r="BF294" s="81"/>
      <c r="BG294" s="81"/>
      <c r="BH294" s="81"/>
      <c r="BI294" s="81"/>
      <c r="BJ294" s="81"/>
      <c r="BK294" s="81"/>
      <c r="BL294" s="66"/>
      <c r="BM294" s="66"/>
      <c r="BN294" s="66"/>
      <c r="BO294" s="66" t="str">
        <f>PROPER(TEXT(Prog_236[[#This Row],[PROGRAMAÇÃO CLIENTE]],"mmm"))</f>
        <v>Jan</v>
      </c>
      <c r="BP294" s="66">
        <f>YEAR(Prog_236[[#This Row],[PROGRAMAÇÃO CLIENTE]])</f>
        <v>1900</v>
      </c>
    </row>
    <row r="295" spans="1:68" x14ac:dyDescent="0.25">
      <c r="A295" s="200">
        <f>Prog_236[[#This Row],[CONTEINER]]</f>
        <v>0</v>
      </c>
      <c r="B295" s="86"/>
      <c r="C2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5" s="44"/>
      <c r="E295" s="66"/>
      <c r="F295" s="66"/>
      <c r="G295" s="66"/>
      <c r="H295" s="44"/>
      <c r="I295" s="44"/>
      <c r="J295" s="66"/>
      <c r="K295" s="66"/>
      <c r="L295" s="66"/>
      <c r="M295" s="66"/>
      <c r="N295" s="66">
        <f>SUM(Prog_236[[#This Row],[TARA]]+Prog_236[[#This Row],[PESO]])</f>
        <v>0</v>
      </c>
      <c r="O295" s="44"/>
      <c r="P295" s="66"/>
      <c r="Q295" s="66"/>
      <c r="R295" s="66"/>
      <c r="S295" s="66"/>
      <c r="T295" s="138" t="str">
        <f>IFERROR(LOOKUP($S295,MOTORISTAS!$D$3:$D$1048576,MOTORISTAS!E$3:$E$1048576),"")</f>
        <v/>
      </c>
      <c r="U295" s="138" t="str">
        <f>IFERROR(LOOKUP($S295,MOTORISTAS!$D$3:$D$1048576,MOTORISTAS!F$3:$F$1048576),"")</f>
        <v/>
      </c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44"/>
      <c r="AG295" s="254">
        <f>Prog_236[[#This Row],[SAÍDA DO CLIENTE]]-Prog_236[[#This Row],[PROGRAMAÇÃO CLIENTE]]</f>
        <v>0</v>
      </c>
      <c r="AH295" s="44"/>
      <c r="AI295" s="66"/>
      <c r="AJ295" s="66"/>
      <c r="AK295" s="66"/>
      <c r="AL295" s="66"/>
      <c r="AM295" s="66"/>
      <c r="AN295" s="83"/>
      <c r="AO295" s="66"/>
      <c r="AP295" s="66"/>
      <c r="AQ295" s="66"/>
      <c r="AR295" s="81"/>
      <c r="AS295" s="81"/>
      <c r="AT295" s="81"/>
      <c r="AU295" s="81"/>
      <c r="AV295" s="83">
        <f>SUM(Prog_236[[#This Row],[ADIANTAMENTO]]+Prog_236[[#This Row],[SALDO]]+Prog_236[[#This Row],[MARGEM]]+Prog_236[[#This Row],[ESTADIA 1]])</f>
        <v>0</v>
      </c>
      <c r="AW2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5" s="81"/>
      <c r="AY295" s="81"/>
      <c r="AZ295" s="81">
        <f>Prog_236[[#This Row],[VLR NF]]*0.1%</f>
        <v>0</v>
      </c>
      <c r="BA295" s="81">
        <f>Prog_236[[#This Row],[VLR NF]]*0.05%</f>
        <v>0</v>
      </c>
      <c r="BB295" s="81"/>
      <c r="BC295" s="81"/>
      <c r="BD295" s="81"/>
      <c r="BE295" s="81"/>
      <c r="BF295" s="81"/>
      <c r="BG295" s="81"/>
      <c r="BH295" s="81"/>
      <c r="BI295" s="81"/>
      <c r="BJ295" s="81"/>
      <c r="BK295" s="81"/>
      <c r="BL295" s="66"/>
      <c r="BM295" s="66"/>
      <c r="BN295" s="66"/>
      <c r="BO295" s="66" t="str">
        <f>PROPER(TEXT(Prog_236[[#This Row],[PROGRAMAÇÃO CLIENTE]],"mmm"))</f>
        <v>Jan</v>
      </c>
      <c r="BP295" s="66">
        <f>YEAR(Prog_236[[#This Row],[PROGRAMAÇÃO CLIENTE]])</f>
        <v>1900</v>
      </c>
    </row>
    <row r="296" spans="1:68" x14ac:dyDescent="0.25">
      <c r="A296" s="201">
        <f>Prog_236[[#This Row],[CONTEINER]]</f>
        <v>0</v>
      </c>
      <c r="B296" s="86"/>
      <c r="C2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6" s="44"/>
      <c r="E296" s="66"/>
      <c r="F296" s="66"/>
      <c r="G296" s="66"/>
      <c r="H296" s="44"/>
      <c r="I296" s="44"/>
      <c r="J296" s="66"/>
      <c r="K296" s="66"/>
      <c r="L296" s="66"/>
      <c r="M296" s="66"/>
      <c r="N296" s="66">
        <f>SUM(Prog_236[[#This Row],[TARA]]+Prog_236[[#This Row],[PESO]])</f>
        <v>0</v>
      </c>
      <c r="O296" s="44"/>
      <c r="P296" s="66"/>
      <c r="Q296" s="66"/>
      <c r="R296" s="66"/>
      <c r="S296" s="66"/>
      <c r="T296" s="138" t="str">
        <f>IFERROR(LOOKUP($S296,MOTORISTAS!$D$3:$D$1048576,MOTORISTAS!E$3:$E$1048576),"")</f>
        <v/>
      </c>
      <c r="U296" s="138" t="str">
        <f>IFERROR(LOOKUP($S296,MOTORISTAS!$D$3:$D$1048576,MOTORISTAS!F$3:$F$1048576),"")</f>
        <v/>
      </c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44"/>
      <c r="AG296" s="254">
        <f>Prog_236[[#This Row],[SAÍDA DO CLIENTE]]-Prog_236[[#This Row],[PROGRAMAÇÃO CLIENTE]]</f>
        <v>0</v>
      </c>
      <c r="AH296" s="44"/>
      <c r="AI296" s="66"/>
      <c r="AJ296" s="66"/>
      <c r="AK296" s="66"/>
      <c r="AL296" s="66"/>
      <c r="AM296" s="66"/>
      <c r="AN296" s="83"/>
      <c r="AO296" s="66"/>
      <c r="AP296" s="66"/>
      <c r="AQ296" s="66"/>
      <c r="AR296" s="81"/>
      <c r="AS296" s="81"/>
      <c r="AT296" s="81"/>
      <c r="AU296" s="81"/>
      <c r="AV296" s="83">
        <f>SUM(Prog_236[[#This Row],[ADIANTAMENTO]]+Prog_236[[#This Row],[SALDO]]+Prog_236[[#This Row],[MARGEM]]+Prog_236[[#This Row],[ESTADIA 1]])</f>
        <v>0</v>
      </c>
      <c r="AW2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6" s="81"/>
      <c r="AY296" s="81"/>
      <c r="AZ296" s="81">
        <f>Prog_236[[#This Row],[VLR NF]]*0.1%</f>
        <v>0</v>
      </c>
      <c r="BA296" s="81">
        <f>Prog_236[[#This Row],[VLR NF]]*0.05%</f>
        <v>0</v>
      </c>
      <c r="BB296" s="81"/>
      <c r="BC296" s="81"/>
      <c r="BD296" s="81"/>
      <c r="BE296" s="81"/>
      <c r="BF296" s="81"/>
      <c r="BG296" s="81"/>
      <c r="BH296" s="81"/>
      <c r="BI296" s="81"/>
      <c r="BJ296" s="81"/>
      <c r="BK296" s="81"/>
      <c r="BL296" s="66"/>
      <c r="BM296" s="66"/>
      <c r="BN296" s="66"/>
      <c r="BO296" s="66" t="str">
        <f>PROPER(TEXT(Prog_236[[#This Row],[PROGRAMAÇÃO CLIENTE]],"mmm"))</f>
        <v>Jan</v>
      </c>
      <c r="BP296" s="66">
        <f>YEAR(Prog_236[[#This Row],[PROGRAMAÇÃO CLIENTE]])</f>
        <v>1900</v>
      </c>
    </row>
    <row r="297" spans="1:68" x14ac:dyDescent="0.25">
      <c r="A297" s="200">
        <f>Prog_236[[#This Row],[CONTEINER]]</f>
        <v>0</v>
      </c>
      <c r="B297" s="86"/>
      <c r="C2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7" s="44"/>
      <c r="E297" s="66"/>
      <c r="F297" s="66"/>
      <c r="G297" s="66"/>
      <c r="H297" s="44"/>
      <c r="I297" s="44"/>
      <c r="J297" s="66"/>
      <c r="K297" s="66"/>
      <c r="L297" s="66"/>
      <c r="M297" s="66"/>
      <c r="N297" s="66">
        <f>SUM(Prog_236[[#This Row],[TARA]]+Prog_236[[#This Row],[PESO]])</f>
        <v>0</v>
      </c>
      <c r="O297" s="44"/>
      <c r="P297" s="66"/>
      <c r="Q297" s="66"/>
      <c r="R297" s="66"/>
      <c r="S297" s="66"/>
      <c r="T297" s="138" t="str">
        <f>IFERROR(LOOKUP($S297,MOTORISTAS!$D$3:$D$1048576,MOTORISTAS!E$3:$E$1048576),"")</f>
        <v/>
      </c>
      <c r="U297" s="138" t="str">
        <f>IFERROR(LOOKUP($S297,MOTORISTAS!$D$3:$D$1048576,MOTORISTAS!F$3:$F$1048576),"")</f>
        <v/>
      </c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44"/>
      <c r="AG297" s="254">
        <f>Prog_236[[#This Row],[SAÍDA DO CLIENTE]]-Prog_236[[#This Row],[PROGRAMAÇÃO CLIENTE]]</f>
        <v>0</v>
      </c>
      <c r="AH297" s="44"/>
      <c r="AI297" s="66"/>
      <c r="AJ297" s="66"/>
      <c r="AK297" s="66"/>
      <c r="AL297" s="66"/>
      <c r="AM297" s="66"/>
      <c r="AN297" s="83"/>
      <c r="AO297" s="66"/>
      <c r="AP297" s="66"/>
      <c r="AQ297" s="66"/>
      <c r="AR297" s="81"/>
      <c r="AS297" s="81"/>
      <c r="AT297" s="81"/>
      <c r="AU297" s="81"/>
      <c r="AV297" s="83">
        <f>SUM(Prog_236[[#This Row],[ADIANTAMENTO]]+Prog_236[[#This Row],[SALDO]]+Prog_236[[#This Row],[MARGEM]]+Prog_236[[#This Row],[ESTADIA 1]])</f>
        <v>0</v>
      </c>
      <c r="AW2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7" s="81"/>
      <c r="AY297" s="81"/>
      <c r="AZ297" s="81">
        <f>Prog_236[[#This Row],[VLR NF]]*0.1%</f>
        <v>0</v>
      </c>
      <c r="BA297" s="81">
        <f>Prog_236[[#This Row],[VLR NF]]*0.05%</f>
        <v>0</v>
      </c>
      <c r="BB297" s="81"/>
      <c r="BC297" s="81"/>
      <c r="BD297" s="81"/>
      <c r="BE297" s="81"/>
      <c r="BF297" s="81"/>
      <c r="BG297" s="81"/>
      <c r="BH297" s="81"/>
      <c r="BI297" s="81"/>
      <c r="BJ297" s="81"/>
      <c r="BK297" s="81"/>
      <c r="BL297" s="66"/>
      <c r="BM297" s="66"/>
      <c r="BN297" s="66"/>
      <c r="BO297" s="66" t="str">
        <f>PROPER(TEXT(Prog_236[[#This Row],[PROGRAMAÇÃO CLIENTE]],"mmm"))</f>
        <v>Jan</v>
      </c>
      <c r="BP297" s="66">
        <f>YEAR(Prog_236[[#This Row],[PROGRAMAÇÃO CLIENTE]])</f>
        <v>1900</v>
      </c>
    </row>
    <row r="298" spans="1:68" x14ac:dyDescent="0.25">
      <c r="A298" s="201">
        <f>Prog_236[[#This Row],[CONTEINER]]</f>
        <v>0</v>
      </c>
      <c r="B298" s="86"/>
      <c r="C2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8" s="44"/>
      <c r="E298" s="66"/>
      <c r="F298" s="66"/>
      <c r="G298" s="66"/>
      <c r="H298" s="44"/>
      <c r="I298" s="44"/>
      <c r="J298" s="66"/>
      <c r="K298" s="66"/>
      <c r="L298" s="66"/>
      <c r="M298" s="66"/>
      <c r="N298" s="66">
        <f>SUM(Prog_236[[#This Row],[TARA]]+Prog_236[[#This Row],[PESO]])</f>
        <v>0</v>
      </c>
      <c r="O298" s="44"/>
      <c r="P298" s="66"/>
      <c r="Q298" s="66"/>
      <c r="R298" s="66"/>
      <c r="S298" s="66"/>
      <c r="T298" s="138" t="str">
        <f>IFERROR(LOOKUP($S298,MOTORISTAS!$D$3:$D$1048576,MOTORISTAS!E$3:$E$1048576),"")</f>
        <v/>
      </c>
      <c r="U298" s="138" t="str">
        <f>IFERROR(LOOKUP($S298,MOTORISTAS!$D$3:$D$1048576,MOTORISTAS!F$3:$F$1048576),"")</f>
        <v/>
      </c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44"/>
      <c r="AG298" s="254">
        <f>Prog_236[[#This Row],[SAÍDA DO CLIENTE]]-Prog_236[[#This Row],[PROGRAMAÇÃO CLIENTE]]</f>
        <v>0</v>
      </c>
      <c r="AH298" s="44"/>
      <c r="AI298" s="66"/>
      <c r="AJ298" s="66"/>
      <c r="AK298" s="66"/>
      <c r="AL298" s="66"/>
      <c r="AM298" s="66"/>
      <c r="AN298" s="83"/>
      <c r="AO298" s="66"/>
      <c r="AP298" s="66"/>
      <c r="AQ298" s="66"/>
      <c r="AR298" s="81"/>
      <c r="AS298" s="81"/>
      <c r="AT298" s="81"/>
      <c r="AU298" s="81"/>
      <c r="AV298" s="83">
        <f>SUM(Prog_236[[#This Row],[ADIANTAMENTO]]+Prog_236[[#This Row],[SALDO]]+Prog_236[[#This Row],[MARGEM]]+Prog_236[[#This Row],[ESTADIA 1]])</f>
        <v>0</v>
      </c>
      <c r="AW2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8" s="81"/>
      <c r="AY298" s="81"/>
      <c r="AZ298" s="81">
        <f>Prog_236[[#This Row],[VLR NF]]*0.1%</f>
        <v>0</v>
      </c>
      <c r="BA298" s="81">
        <f>Prog_236[[#This Row],[VLR NF]]*0.05%</f>
        <v>0</v>
      </c>
      <c r="BB298" s="81"/>
      <c r="BC298" s="81"/>
      <c r="BD298" s="81"/>
      <c r="BE298" s="81"/>
      <c r="BF298" s="81"/>
      <c r="BG298" s="81"/>
      <c r="BH298" s="81"/>
      <c r="BI298" s="81"/>
      <c r="BJ298" s="81"/>
      <c r="BK298" s="81"/>
      <c r="BL298" s="66"/>
      <c r="BM298" s="66"/>
      <c r="BN298" s="66"/>
      <c r="BO298" s="66" t="str">
        <f>PROPER(TEXT(Prog_236[[#This Row],[PROGRAMAÇÃO CLIENTE]],"mmm"))</f>
        <v>Jan</v>
      </c>
      <c r="BP298" s="66">
        <f>YEAR(Prog_236[[#This Row],[PROGRAMAÇÃO CLIENTE]])</f>
        <v>1900</v>
      </c>
    </row>
    <row r="299" spans="1:68" x14ac:dyDescent="0.25">
      <c r="A299" s="200">
        <f>Prog_236[[#This Row],[CONTEINER]]</f>
        <v>0</v>
      </c>
      <c r="B299" s="86"/>
      <c r="C2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299" s="44"/>
      <c r="E299" s="66"/>
      <c r="F299" s="66"/>
      <c r="G299" s="66"/>
      <c r="H299" s="44"/>
      <c r="I299" s="44"/>
      <c r="J299" s="66"/>
      <c r="K299" s="66"/>
      <c r="L299" s="66"/>
      <c r="M299" s="66"/>
      <c r="N299" s="66">
        <f>SUM(Prog_236[[#This Row],[TARA]]+Prog_236[[#This Row],[PESO]])</f>
        <v>0</v>
      </c>
      <c r="O299" s="44"/>
      <c r="P299" s="66"/>
      <c r="Q299" s="66"/>
      <c r="R299" s="66"/>
      <c r="S299" s="66"/>
      <c r="T299" s="138" t="str">
        <f>IFERROR(LOOKUP($S299,MOTORISTAS!$D$3:$D$1048576,MOTORISTAS!E$3:$E$1048576),"")</f>
        <v/>
      </c>
      <c r="U299" s="138" t="str">
        <f>IFERROR(LOOKUP($S299,MOTORISTAS!$D$3:$D$1048576,MOTORISTAS!F$3:$F$1048576),"")</f>
        <v/>
      </c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44"/>
      <c r="AG299" s="254">
        <f>Prog_236[[#This Row],[SAÍDA DO CLIENTE]]-Prog_236[[#This Row],[PROGRAMAÇÃO CLIENTE]]</f>
        <v>0</v>
      </c>
      <c r="AH299" s="44"/>
      <c r="AI299" s="66"/>
      <c r="AJ299" s="66"/>
      <c r="AK299" s="66"/>
      <c r="AL299" s="66"/>
      <c r="AM299" s="66"/>
      <c r="AN299" s="83"/>
      <c r="AO299" s="66"/>
      <c r="AP299" s="66"/>
      <c r="AQ299" s="66"/>
      <c r="AR299" s="81"/>
      <c r="AS299" s="81"/>
      <c r="AT299" s="81"/>
      <c r="AU299" s="81"/>
      <c r="AV299" s="83">
        <f>SUM(Prog_236[[#This Row],[ADIANTAMENTO]]+Prog_236[[#This Row],[SALDO]]+Prog_236[[#This Row],[MARGEM]]+Prog_236[[#This Row],[ESTADIA 1]])</f>
        <v>0</v>
      </c>
      <c r="AW2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299" s="81"/>
      <c r="AY299" s="81"/>
      <c r="AZ299" s="81">
        <f>Prog_236[[#This Row],[VLR NF]]*0.1%</f>
        <v>0</v>
      </c>
      <c r="BA299" s="81">
        <f>Prog_236[[#This Row],[VLR NF]]*0.05%</f>
        <v>0</v>
      </c>
      <c r="BB299" s="81"/>
      <c r="BC299" s="81"/>
      <c r="BD299" s="81"/>
      <c r="BE299" s="81"/>
      <c r="BF299" s="81"/>
      <c r="BG299" s="81"/>
      <c r="BH299" s="81"/>
      <c r="BI299" s="81"/>
      <c r="BJ299" s="81"/>
      <c r="BK299" s="81"/>
      <c r="BL299" s="66"/>
      <c r="BM299" s="66"/>
      <c r="BN299" s="66"/>
      <c r="BO299" s="66" t="str">
        <f>PROPER(TEXT(Prog_236[[#This Row],[PROGRAMAÇÃO CLIENTE]],"mmm"))</f>
        <v>Jan</v>
      </c>
      <c r="BP299" s="66">
        <f>YEAR(Prog_236[[#This Row],[PROGRAMAÇÃO CLIENTE]])</f>
        <v>1900</v>
      </c>
    </row>
    <row r="300" spans="1:68" x14ac:dyDescent="0.25">
      <c r="A300" s="201">
        <f>Prog_236[[#This Row],[CONTEINER]]</f>
        <v>0</v>
      </c>
      <c r="B300" s="86"/>
      <c r="C3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0" s="44"/>
      <c r="E300" s="66"/>
      <c r="F300" s="66"/>
      <c r="G300" s="66"/>
      <c r="H300" s="44"/>
      <c r="I300" s="44"/>
      <c r="J300" s="66"/>
      <c r="K300" s="66"/>
      <c r="L300" s="66"/>
      <c r="M300" s="66"/>
      <c r="N300" s="66">
        <f>SUM(Prog_236[[#This Row],[TARA]]+Prog_236[[#This Row],[PESO]])</f>
        <v>0</v>
      </c>
      <c r="O300" s="44"/>
      <c r="P300" s="66"/>
      <c r="Q300" s="66"/>
      <c r="R300" s="66"/>
      <c r="S300" s="66"/>
      <c r="T300" s="138" t="str">
        <f>IFERROR(LOOKUP($S300,MOTORISTAS!$D$3:$D$1048576,MOTORISTAS!E$3:$E$1048576),"")</f>
        <v/>
      </c>
      <c r="U300" s="138" t="str">
        <f>IFERROR(LOOKUP($S300,MOTORISTAS!$D$3:$D$1048576,MOTORISTAS!F$3:$F$1048576),"")</f>
        <v/>
      </c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44"/>
      <c r="AG300" s="254">
        <f>Prog_236[[#This Row],[SAÍDA DO CLIENTE]]-Prog_236[[#This Row],[PROGRAMAÇÃO CLIENTE]]</f>
        <v>0</v>
      </c>
      <c r="AH300" s="44"/>
      <c r="AI300" s="66"/>
      <c r="AJ300" s="66"/>
      <c r="AK300" s="66"/>
      <c r="AL300" s="66"/>
      <c r="AM300" s="66"/>
      <c r="AN300" s="83"/>
      <c r="AO300" s="66"/>
      <c r="AP300" s="66"/>
      <c r="AQ300" s="66"/>
      <c r="AR300" s="81"/>
      <c r="AS300" s="81"/>
      <c r="AT300" s="81"/>
      <c r="AU300" s="81"/>
      <c r="AV300" s="83">
        <f>SUM(Prog_236[[#This Row],[ADIANTAMENTO]]+Prog_236[[#This Row],[SALDO]]+Prog_236[[#This Row],[MARGEM]]+Prog_236[[#This Row],[ESTADIA 1]])</f>
        <v>0</v>
      </c>
      <c r="AW3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0" s="81"/>
      <c r="AY300" s="81"/>
      <c r="AZ300" s="81">
        <f>Prog_236[[#This Row],[VLR NF]]*0.1%</f>
        <v>0</v>
      </c>
      <c r="BA300" s="81">
        <f>Prog_236[[#This Row],[VLR NF]]*0.05%</f>
        <v>0</v>
      </c>
      <c r="BB300" s="81"/>
      <c r="BC300" s="81"/>
      <c r="BD300" s="81"/>
      <c r="BE300" s="81"/>
      <c r="BF300" s="81"/>
      <c r="BG300" s="81"/>
      <c r="BH300" s="81"/>
      <c r="BI300" s="81"/>
      <c r="BJ300" s="81"/>
      <c r="BK300" s="81"/>
      <c r="BL300" s="66"/>
      <c r="BM300" s="66"/>
      <c r="BN300" s="66"/>
      <c r="BO300" s="66" t="str">
        <f>PROPER(TEXT(Prog_236[[#This Row],[PROGRAMAÇÃO CLIENTE]],"mmm"))</f>
        <v>Jan</v>
      </c>
      <c r="BP300" s="66">
        <f>YEAR(Prog_236[[#This Row],[PROGRAMAÇÃO CLIENTE]])</f>
        <v>1900</v>
      </c>
    </row>
    <row r="301" spans="1:68" x14ac:dyDescent="0.25">
      <c r="A301" s="200">
        <f>Prog_236[[#This Row],[CONTEINER]]</f>
        <v>0</v>
      </c>
      <c r="B301" s="86"/>
      <c r="C3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1" s="44"/>
      <c r="E301" s="66"/>
      <c r="F301" s="66"/>
      <c r="G301" s="66"/>
      <c r="H301" s="44"/>
      <c r="I301" s="44"/>
      <c r="J301" s="66"/>
      <c r="K301" s="66"/>
      <c r="L301" s="66"/>
      <c r="M301" s="66"/>
      <c r="N301" s="66">
        <f>SUM(Prog_236[[#This Row],[TARA]]+Prog_236[[#This Row],[PESO]])</f>
        <v>0</v>
      </c>
      <c r="O301" s="44"/>
      <c r="P301" s="66"/>
      <c r="Q301" s="66"/>
      <c r="R301" s="66"/>
      <c r="S301" s="66"/>
      <c r="T301" s="138" t="str">
        <f>IFERROR(LOOKUP($S301,MOTORISTAS!$D$3:$D$1048576,MOTORISTAS!E$3:$E$1048576),"")</f>
        <v/>
      </c>
      <c r="U301" s="138" t="str">
        <f>IFERROR(LOOKUP($S301,MOTORISTAS!$D$3:$D$1048576,MOTORISTAS!F$3:$F$1048576),"")</f>
        <v/>
      </c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44"/>
      <c r="AG301" s="254">
        <f>Prog_236[[#This Row],[SAÍDA DO CLIENTE]]-Prog_236[[#This Row],[PROGRAMAÇÃO CLIENTE]]</f>
        <v>0</v>
      </c>
      <c r="AH301" s="44"/>
      <c r="AI301" s="66"/>
      <c r="AJ301" s="66"/>
      <c r="AK301" s="66"/>
      <c r="AL301" s="66"/>
      <c r="AM301" s="66"/>
      <c r="AN301" s="83"/>
      <c r="AO301" s="66"/>
      <c r="AP301" s="66"/>
      <c r="AQ301" s="66"/>
      <c r="AR301" s="81"/>
      <c r="AS301" s="81"/>
      <c r="AT301" s="81"/>
      <c r="AU301" s="81"/>
      <c r="AV301" s="83">
        <f>SUM(Prog_236[[#This Row],[ADIANTAMENTO]]+Prog_236[[#This Row],[SALDO]]+Prog_236[[#This Row],[MARGEM]]+Prog_236[[#This Row],[ESTADIA 1]])</f>
        <v>0</v>
      </c>
      <c r="AW3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1" s="81"/>
      <c r="AY301" s="81"/>
      <c r="AZ301" s="81">
        <f>Prog_236[[#This Row],[VLR NF]]*0.1%</f>
        <v>0</v>
      </c>
      <c r="BA301" s="81">
        <f>Prog_236[[#This Row],[VLR NF]]*0.05%</f>
        <v>0</v>
      </c>
      <c r="BB301" s="81"/>
      <c r="BC301" s="81"/>
      <c r="BD301" s="81"/>
      <c r="BE301" s="81"/>
      <c r="BF301" s="81"/>
      <c r="BG301" s="81"/>
      <c r="BH301" s="81"/>
      <c r="BI301" s="81"/>
      <c r="BJ301" s="81"/>
      <c r="BK301" s="81"/>
      <c r="BL301" s="66"/>
      <c r="BM301" s="66"/>
      <c r="BN301" s="66"/>
      <c r="BO301" s="66" t="str">
        <f>PROPER(TEXT(Prog_236[[#This Row],[PROGRAMAÇÃO CLIENTE]],"mmm"))</f>
        <v>Jan</v>
      </c>
      <c r="BP301" s="66">
        <f>YEAR(Prog_236[[#This Row],[PROGRAMAÇÃO CLIENTE]])</f>
        <v>1900</v>
      </c>
    </row>
    <row r="302" spans="1:68" x14ac:dyDescent="0.25">
      <c r="A302" s="201">
        <f>Prog_236[[#This Row],[CONTEINER]]</f>
        <v>0</v>
      </c>
      <c r="B302" s="86"/>
      <c r="C3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2" s="44"/>
      <c r="E302" s="66"/>
      <c r="F302" s="66"/>
      <c r="G302" s="66"/>
      <c r="H302" s="44"/>
      <c r="I302" s="44"/>
      <c r="J302" s="66"/>
      <c r="K302" s="66"/>
      <c r="L302" s="66"/>
      <c r="M302" s="66"/>
      <c r="N302" s="66">
        <f>SUM(Prog_236[[#This Row],[TARA]]+Prog_236[[#This Row],[PESO]])</f>
        <v>0</v>
      </c>
      <c r="O302" s="44"/>
      <c r="P302" s="66"/>
      <c r="Q302" s="66"/>
      <c r="R302" s="66"/>
      <c r="S302" s="66"/>
      <c r="T302" s="138" t="str">
        <f>IFERROR(LOOKUP($S302,MOTORISTAS!$D$3:$D$1048576,MOTORISTAS!E$3:$E$1048576),"")</f>
        <v/>
      </c>
      <c r="U302" s="138" t="str">
        <f>IFERROR(LOOKUP($S302,MOTORISTAS!$D$3:$D$1048576,MOTORISTAS!F$3:$F$1048576),"")</f>
        <v/>
      </c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44"/>
      <c r="AG302" s="254">
        <f>Prog_236[[#This Row],[SAÍDA DO CLIENTE]]-Prog_236[[#This Row],[PROGRAMAÇÃO CLIENTE]]</f>
        <v>0</v>
      </c>
      <c r="AH302" s="44"/>
      <c r="AI302" s="66"/>
      <c r="AJ302" s="66"/>
      <c r="AK302" s="66"/>
      <c r="AL302" s="66"/>
      <c r="AM302" s="66"/>
      <c r="AN302" s="83"/>
      <c r="AO302" s="66"/>
      <c r="AP302" s="66"/>
      <c r="AQ302" s="66"/>
      <c r="AR302" s="81"/>
      <c r="AS302" s="81"/>
      <c r="AT302" s="81"/>
      <c r="AU302" s="81"/>
      <c r="AV302" s="83">
        <f>SUM(Prog_236[[#This Row],[ADIANTAMENTO]]+Prog_236[[#This Row],[SALDO]]+Prog_236[[#This Row],[MARGEM]]+Prog_236[[#This Row],[ESTADIA 1]])</f>
        <v>0</v>
      </c>
      <c r="AW3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2" s="81"/>
      <c r="AY302" s="81"/>
      <c r="AZ302" s="81">
        <f>Prog_236[[#This Row],[VLR NF]]*0.1%</f>
        <v>0</v>
      </c>
      <c r="BA302" s="81">
        <f>Prog_236[[#This Row],[VLR NF]]*0.05%</f>
        <v>0</v>
      </c>
      <c r="BB302" s="81"/>
      <c r="BC302" s="81"/>
      <c r="BD302" s="81"/>
      <c r="BE302" s="81"/>
      <c r="BF302" s="81"/>
      <c r="BG302" s="81"/>
      <c r="BH302" s="81"/>
      <c r="BI302" s="81"/>
      <c r="BJ302" s="81"/>
      <c r="BK302" s="81"/>
      <c r="BL302" s="66"/>
      <c r="BM302" s="66"/>
      <c r="BN302" s="66"/>
      <c r="BO302" s="66" t="str">
        <f>PROPER(TEXT(Prog_236[[#This Row],[PROGRAMAÇÃO CLIENTE]],"mmm"))</f>
        <v>Jan</v>
      </c>
      <c r="BP302" s="66">
        <f>YEAR(Prog_236[[#This Row],[PROGRAMAÇÃO CLIENTE]])</f>
        <v>1900</v>
      </c>
    </row>
    <row r="303" spans="1:68" x14ac:dyDescent="0.25">
      <c r="A303" s="200">
        <f>Prog_236[[#This Row],[CONTEINER]]</f>
        <v>0</v>
      </c>
      <c r="B303" s="86"/>
      <c r="C3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3" s="44"/>
      <c r="E303" s="66"/>
      <c r="F303" s="66"/>
      <c r="G303" s="66"/>
      <c r="H303" s="44"/>
      <c r="I303" s="44"/>
      <c r="J303" s="66"/>
      <c r="K303" s="66"/>
      <c r="L303" s="66"/>
      <c r="M303" s="66"/>
      <c r="N303" s="66">
        <f>SUM(Prog_236[[#This Row],[TARA]]+Prog_236[[#This Row],[PESO]])</f>
        <v>0</v>
      </c>
      <c r="O303" s="44"/>
      <c r="P303" s="66"/>
      <c r="Q303" s="66"/>
      <c r="R303" s="66"/>
      <c r="S303" s="66"/>
      <c r="T303" s="138" t="str">
        <f>IFERROR(LOOKUP($S303,MOTORISTAS!$D$3:$D$1048576,MOTORISTAS!E$3:$E$1048576),"")</f>
        <v/>
      </c>
      <c r="U303" s="138" t="str">
        <f>IFERROR(LOOKUP($S303,MOTORISTAS!$D$3:$D$1048576,MOTORISTAS!F$3:$F$1048576),"")</f>
        <v/>
      </c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44"/>
      <c r="AG303" s="254">
        <f>Prog_236[[#This Row],[SAÍDA DO CLIENTE]]-Prog_236[[#This Row],[PROGRAMAÇÃO CLIENTE]]</f>
        <v>0</v>
      </c>
      <c r="AH303" s="44"/>
      <c r="AI303" s="66"/>
      <c r="AJ303" s="66"/>
      <c r="AK303" s="66"/>
      <c r="AL303" s="66"/>
      <c r="AM303" s="66"/>
      <c r="AN303" s="83"/>
      <c r="AO303" s="66"/>
      <c r="AP303" s="66"/>
      <c r="AQ303" s="66"/>
      <c r="AR303" s="81"/>
      <c r="AS303" s="81"/>
      <c r="AT303" s="81"/>
      <c r="AU303" s="81"/>
      <c r="AV303" s="83">
        <f>SUM(Prog_236[[#This Row],[ADIANTAMENTO]]+Prog_236[[#This Row],[SALDO]]+Prog_236[[#This Row],[MARGEM]]+Prog_236[[#This Row],[ESTADIA 1]])</f>
        <v>0</v>
      </c>
      <c r="AW3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3" s="81"/>
      <c r="AY303" s="81"/>
      <c r="AZ303" s="81">
        <f>Prog_236[[#This Row],[VLR NF]]*0.1%</f>
        <v>0</v>
      </c>
      <c r="BA303" s="81">
        <f>Prog_236[[#This Row],[VLR NF]]*0.05%</f>
        <v>0</v>
      </c>
      <c r="BB303" s="81"/>
      <c r="BC303" s="81"/>
      <c r="BD303" s="81"/>
      <c r="BE303" s="81"/>
      <c r="BF303" s="81"/>
      <c r="BG303" s="81"/>
      <c r="BH303" s="81"/>
      <c r="BI303" s="81"/>
      <c r="BJ303" s="81"/>
      <c r="BK303" s="81"/>
      <c r="BL303" s="66"/>
      <c r="BM303" s="66"/>
      <c r="BN303" s="66"/>
      <c r="BO303" s="66" t="str">
        <f>PROPER(TEXT(Prog_236[[#This Row],[PROGRAMAÇÃO CLIENTE]],"mmm"))</f>
        <v>Jan</v>
      </c>
      <c r="BP303" s="66">
        <f>YEAR(Prog_236[[#This Row],[PROGRAMAÇÃO CLIENTE]])</f>
        <v>1900</v>
      </c>
    </row>
    <row r="304" spans="1:68" x14ac:dyDescent="0.25">
      <c r="A304" s="201">
        <f>Prog_236[[#This Row],[CONTEINER]]</f>
        <v>0</v>
      </c>
      <c r="B304" s="86"/>
      <c r="C3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4" s="44"/>
      <c r="E304" s="66"/>
      <c r="F304" s="66"/>
      <c r="G304" s="66"/>
      <c r="H304" s="44"/>
      <c r="I304" s="44"/>
      <c r="J304" s="66"/>
      <c r="K304" s="66"/>
      <c r="L304" s="66"/>
      <c r="M304" s="66"/>
      <c r="N304" s="66">
        <f>SUM(Prog_236[[#This Row],[TARA]]+Prog_236[[#This Row],[PESO]])</f>
        <v>0</v>
      </c>
      <c r="O304" s="44"/>
      <c r="P304" s="66"/>
      <c r="Q304" s="66"/>
      <c r="R304" s="66"/>
      <c r="S304" s="66"/>
      <c r="T304" s="138" t="str">
        <f>IFERROR(LOOKUP($S304,MOTORISTAS!$D$3:$D$1048576,MOTORISTAS!E$3:$E$1048576),"")</f>
        <v/>
      </c>
      <c r="U304" s="138" t="str">
        <f>IFERROR(LOOKUP($S304,MOTORISTAS!$D$3:$D$1048576,MOTORISTAS!F$3:$F$1048576),"")</f>
        <v/>
      </c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44"/>
      <c r="AG304" s="254">
        <f>Prog_236[[#This Row],[SAÍDA DO CLIENTE]]-Prog_236[[#This Row],[PROGRAMAÇÃO CLIENTE]]</f>
        <v>0</v>
      </c>
      <c r="AH304" s="44"/>
      <c r="AI304" s="66"/>
      <c r="AJ304" s="66"/>
      <c r="AK304" s="66"/>
      <c r="AL304" s="66"/>
      <c r="AM304" s="66"/>
      <c r="AN304" s="83"/>
      <c r="AO304" s="66"/>
      <c r="AP304" s="66"/>
      <c r="AQ304" s="66"/>
      <c r="AR304" s="81"/>
      <c r="AS304" s="81"/>
      <c r="AT304" s="81"/>
      <c r="AU304" s="81"/>
      <c r="AV304" s="83">
        <f>SUM(Prog_236[[#This Row],[ADIANTAMENTO]]+Prog_236[[#This Row],[SALDO]]+Prog_236[[#This Row],[MARGEM]]+Prog_236[[#This Row],[ESTADIA 1]])</f>
        <v>0</v>
      </c>
      <c r="AW3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4" s="81"/>
      <c r="AY304" s="81"/>
      <c r="AZ304" s="81">
        <f>Prog_236[[#This Row],[VLR NF]]*0.1%</f>
        <v>0</v>
      </c>
      <c r="BA304" s="81">
        <f>Prog_236[[#This Row],[VLR NF]]*0.05%</f>
        <v>0</v>
      </c>
      <c r="BB304" s="81"/>
      <c r="BC304" s="81"/>
      <c r="BD304" s="81"/>
      <c r="BE304" s="81"/>
      <c r="BF304" s="81"/>
      <c r="BG304" s="81"/>
      <c r="BH304" s="81"/>
      <c r="BI304" s="81"/>
      <c r="BJ304" s="81"/>
      <c r="BK304" s="81"/>
      <c r="BL304" s="66"/>
      <c r="BM304" s="66"/>
      <c r="BN304" s="66"/>
      <c r="BO304" s="66" t="str">
        <f>PROPER(TEXT(Prog_236[[#This Row],[PROGRAMAÇÃO CLIENTE]],"mmm"))</f>
        <v>Jan</v>
      </c>
      <c r="BP304" s="66">
        <f>YEAR(Prog_236[[#This Row],[PROGRAMAÇÃO CLIENTE]])</f>
        <v>1900</v>
      </c>
    </row>
    <row r="305" spans="1:68" x14ac:dyDescent="0.25">
      <c r="A305" s="200">
        <f>Prog_236[[#This Row],[CONTEINER]]</f>
        <v>0</v>
      </c>
      <c r="B305" s="86"/>
      <c r="C3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5" s="44"/>
      <c r="E305" s="66"/>
      <c r="F305" s="66"/>
      <c r="G305" s="66"/>
      <c r="H305" s="44"/>
      <c r="I305" s="44"/>
      <c r="J305" s="66"/>
      <c r="K305" s="66"/>
      <c r="L305" s="66"/>
      <c r="M305" s="66"/>
      <c r="N305" s="66">
        <f>SUM(Prog_236[[#This Row],[TARA]]+Prog_236[[#This Row],[PESO]])</f>
        <v>0</v>
      </c>
      <c r="O305" s="44"/>
      <c r="P305" s="66"/>
      <c r="Q305" s="66"/>
      <c r="R305" s="66"/>
      <c r="S305" s="66"/>
      <c r="T305" s="138" t="str">
        <f>IFERROR(LOOKUP($S305,MOTORISTAS!$D$3:$D$1048576,MOTORISTAS!E$3:$E$1048576),"")</f>
        <v/>
      </c>
      <c r="U305" s="138" t="str">
        <f>IFERROR(LOOKUP($S305,MOTORISTAS!$D$3:$D$1048576,MOTORISTAS!F$3:$F$1048576),"")</f>
        <v/>
      </c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44"/>
      <c r="AG305" s="254">
        <f>Prog_236[[#This Row],[SAÍDA DO CLIENTE]]-Prog_236[[#This Row],[PROGRAMAÇÃO CLIENTE]]</f>
        <v>0</v>
      </c>
      <c r="AH305" s="44"/>
      <c r="AI305" s="66"/>
      <c r="AJ305" s="66"/>
      <c r="AK305" s="66"/>
      <c r="AL305" s="66"/>
      <c r="AM305" s="66"/>
      <c r="AN305" s="83"/>
      <c r="AO305" s="66"/>
      <c r="AP305" s="66"/>
      <c r="AQ305" s="66"/>
      <c r="AR305" s="81"/>
      <c r="AS305" s="81"/>
      <c r="AT305" s="81"/>
      <c r="AU305" s="81"/>
      <c r="AV305" s="83">
        <f>SUM(Prog_236[[#This Row],[ADIANTAMENTO]]+Prog_236[[#This Row],[SALDO]]+Prog_236[[#This Row],[MARGEM]]+Prog_236[[#This Row],[ESTADIA 1]])</f>
        <v>0</v>
      </c>
      <c r="AW3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5" s="81"/>
      <c r="AY305" s="81"/>
      <c r="AZ305" s="81">
        <f>Prog_236[[#This Row],[VLR NF]]*0.1%</f>
        <v>0</v>
      </c>
      <c r="BA305" s="81">
        <f>Prog_236[[#This Row],[VLR NF]]*0.05%</f>
        <v>0</v>
      </c>
      <c r="BB305" s="81"/>
      <c r="BC305" s="81"/>
      <c r="BD305" s="81"/>
      <c r="BE305" s="81"/>
      <c r="BF305" s="81"/>
      <c r="BG305" s="81"/>
      <c r="BH305" s="81"/>
      <c r="BI305" s="81"/>
      <c r="BJ305" s="81"/>
      <c r="BK305" s="81"/>
      <c r="BL305" s="66"/>
      <c r="BM305" s="66"/>
      <c r="BN305" s="66"/>
      <c r="BO305" s="66" t="str">
        <f>PROPER(TEXT(Prog_236[[#This Row],[PROGRAMAÇÃO CLIENTE]],"mmm"))</f>
        <v>Jan</v>
      </c>
      <c r="BP305" s="66">
        <f>YEAR(Prog_236[[#This Row],[PROGRAMAÇÃO CLIENTE]])</f>
        <v>1900</v>
      </c>
    </row>
    <row r="306" spans="1:68" x14ac:dyDescent="0.25">
      <c r="A306" s="201">
        <f>Prog_236[[#This Row],[CONTEINER]]</f>
        <v>0</v>
      </c>
      <c r="B306" s="86"/>
      <c r="C3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6" s="44"/>
      <c r="E306" s="66"/>
      <c r="F306" s="66"/>
      <c r="G306" s="66"/>
      <c r="H306" s="44"/>
      <c r="I306" s="44"/>
      <c r="J306" s="66"/>
      <c r="K306" s="66"/>
      <c r="L306" s="66"/>
      <c r="M306" s="66"/>
      <c r="N306" s="66">
        <f>SUM(Prog_236[[#This Row],[TARA]]+Prog_236[[#This Row],[PESO]])</f>
        <v>0</v>
      </c>
      <c r="O306" s="44"/>
      <c r="P306" s="66"/>
      <c r="Q306" s="66"/>
      <c r="R306" s="66"/>
      <c r="S306" s="66"/>
      <c r="T306" s="138" t="str">
        <f>IFERROR(LOOKUP($S306,MOTORISTAS!$D$3:$D$1048576,MOTORISTAS!E$3:$E$1048576),"")</f>
        <v/>
      </c>
      <c r="U306" s="138" t="str">
        <f>IFERROR(LOOKUP($S306,MOTORISTAS!$D$3:$D$1048576,MOTORISTAS!F$3:$F$1048576),"")</f>
        <v/>
      </c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44"/>
      <c r="AG306" s="254">
        <f>Prog_236[[#This Row],[SAÍDA DO CLIENTE]]-Prog_236[[#This Row],[PROGRAMAÇÃO CLIENTE]]</f>
        <v>0</v>
      </c>
      <c r="AH306" s="44"/>
      <c r="AI306" s="66"/>
      <c r="AJ306" s="66"/>
      <c r="AK306" s="66"/>
      <c r="AL306" s="66"/>
      <c r="AM306" s="66"/>
      <c r="AN306" s="83"/>
      <c r="AO306" s="66"/>
      <c r="AP306" s="66"/>
      <c r="AQ306" s="66"/>
      <c r="AR306" s="81"/>
      <c r="AS306" s="81"/>
      <c r="AT306" s="81"/>
      <c r="AU306" s="81"/>
      <c r="AV306" s="83">
        <f>SUM(Prog_236[[#This Row],[ADIANTAMENTO]]+Prog_236[[#This Row],[SALDO]]+Prog_236[[#This Row],[MARGEM]]+Prog_236[[#This Row],[ESTADIA 1]])</f>
        <v>0</v>
      </c>
      <c r="AW3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6" s="81"/>
      <c r="AY306" s="81"/>
      <c r="AZ306" s="81">
        <f>Prog_236[[#This Row],[VLR NF]]*0.1%</f>
        <v>0</v>
      </c>
      <c r="BA306" s="81">
        <f>Prog_236[[#This Row],[VLR NF]]*0.05%</f>
        <v>0</v>
      </c>
      <c r="BB306" s="81"/>
      <c r="BC306" s="81"/>
      <c r="BD306" s="81"/>
      <c r="BE306" s="81"/>
      <c r="BF306" s="81"/>
      <c r="BG306" s="81"/>
      <c r="BH306" s="81"/>
      <c r="BI306" s="81"/>
      <c r="BJ306" s="81"/>
      <c r="BK306" s="81"/>
      <c r="BL306" s="66"/>
      <c r="BM306" s="66"/>
      <c r="BN306" s="66"/>
      <c r="BO306" s="66" t="str">
        <f>PROPER(TEXT(Prog_236[[#This Row],[PROGRAMAÇÃO CLIENTE]],"mmm"))</f>
        <v>Jan</v>
      </c>
      <c r="BP306" s="66">
        <f>YEAR(Prog_236[[#This Row],[PROGRAMAÇÃO CLIENTE]])</f>
        <v>1900</v>
      </c>
    </row>
    <row r="307" spans="1:68" x14ac:dyDescent="0.25">
      <c r="A307" s="200">
        <f>Prog_236[[#This Row],[CONTEINER]]</f>
        <v>0</v>
      </c>
      <c r="B307" s="86"/>
      <c r="C3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7" s="44"/>
      <c r="E307" s="66"/>
      <c r="F307" s="66"/>
      <c r="G307" s="66"/>
      <c r="H307" s="44"/>
      <c r="I307" s="44"/>
      <c r="J307" s="66"/>
      <c r="K307" s="66"/>
      <c r="L307" s="66"/>
      <c r="M307" s="66"/>
      <c r="N307" s="66">
        <f>SUM(Prog_236[[#This Row],[TARA]]+Prog_236[[#This Row],[PESO]])</f>
        <v>0</v>
      </c>
      <c r="O307" s="44"/>
      <c r="P307" s="66"/>
      <c r="Q307" s="66"/>
      <c r="R307" s="66"/>
      <c r="S307" s="66"/>
      <c r="T307" s="138" t="str">
        <f>IFERROR(LOOKUP($S307,MOTORISTAS!$D$3:$D$1048576,MOTORISTAS!E$3:$E$1048576),"")</f>
        <v/>
      </c>
      <c r="U307" s="138" t="str">
        <f>IFERROR(LOOKUP($S307,MOTORISTAS!$D$3:$D$1048576,MOTORISTAS!F$3:$F$1048576),"")</f>
        <v/>
      </c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44"/>
      <c r="AG307" s="254">
        <f>Prog_236[[#This Row],[SAÍDA DO CLIENTE]]-Prog_236[[#This Row],[PROGRAMAÇÃO CLIENTE]]</f>
        <v>0</v>
      </c>
      <c r="AH307" s="44"/>
      <c r="AI307" s="66"/>
      <c r="AJ307" s="66"/>
      <c r="AK307" s="66"/>
      <c r="AL307" s="66"/>
      <c r="AM307" s="66"/>
      <c r="AN307" s="83"/>
      <c r="AO307" s="66"/>
      <c r="AP307" s="66"/>
      <c r="AQ307" s="66"/>
      <c r="AR307" s="81"/>
      <c r="AS307" s="81"/>
      <c r="AT307" s="81"/>
      <c r="AU307" s="81"/>
      <c r="AV307" s="83">
        <f>SUM(Prog_236[[#This Row],[ADIANTAMENTO]]+Prog_236[[#This Row],[SALDO]]+Prog_236[[#This Row],[MARGEM]]+Prog_236[[#This Row],[ESTADIA 1]])</f>
        <v>0</v>
      </c>
      <c r="AW3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7" s="81"/>
      <c r="AY307" s="81"/>
      <c r="AZ307" s="81">
        <f>Prog_236[[#This Row],[VLR NF]]*0.1%</f>
        <v>0</v>
      </c>
      <c r="BA307" s="81">
        <f>Prog_236[[#This Row],[VLR NF]]*0.05%</f>
        <v>0</v>
      </c>
      <c r="BB307" s="81"/>
      <c r="BC307" s="81"/>
      <c r="BD307" s="81"/>
      <c r="BE307" s="81"/>
      <c r="BF307" s="81"/>
      <c r="BG307" s="81"/>
      <c r="BH307" s="81"/>
      <c r="BI307" s="81"/>
      <c r="BJ307" s="81"/>
      <c r="BK307" s="81"/>
      <c r="BL307" s="66"/>
      <c r="BM307" s="66"/>
      <c r="BN307" s="66"/>
      <c r="BO307" s="66" t="str">
        <f>PROPER(TEXT(Prog_236[[#This Row],[PROGRAMAÇÃO CLIENTE]],"mmm"))</f>
        <v>Jan</v>
      </c>
      <c r="BP307" s="66">
        <f>YEAR(Prog_236[[#This Row],[PROGRAMAÇÃO CLIENTE]])</f>
        <v>1900</v>
      </c>
    </row>
    <row r="308" spans="1:68" x14ac:dyDescent="0.25">
      <c r="A308" s="201">
        <f>Prog_236[[#This Row],[CONTEINER]]</f>
        <v>0</v>
      </c>
      <c r="B308" s="86"/>
      <c r="C3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8" s="44"/>
      <c r="E308" s="66"/>
      <c r="F308" s="66"/>
      <c r="G308" s="66"/>
      <c r="H308" s="44"/>
      <c r="I308" s="44"/>
      <c r="J308" s="66"/>
      <c r="K308" s="66"/>
      <c r="L308" s="66"/>
      <c r="M308" s="66"/>
      <c r="N308" s="66">
        <f>SUM(Prog_236[[#This Row],[TARA]]+Prog_236[[#This Row],[PESO]])</f>
        <v>0</v>
      </c>
      <c r="O308" s="44"/>
      <c r="P308" s="66"/>
      <c r="Q308" s="66"/>
      <c r="R308" s="66"/>
      <c r="S308" s="66"/>
      <c r="T308" s="138" t="str">
        <f>IFERROR(LOOKUP($S308,MOTORISTAS!$D$3:$D$1048576,MOTORISTAS!E$3:$E$1048576),"")</f>
        <v/>
      </c>
      <c r="U308" s="138" t="str">
        <f>IFERROR(LOOKUP($S308,MOTORISTAS!$D$3:$D$1048576,MOTORISTAS!F$3:$F$1048576),"")</f>
        <v/>
      </c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44"/>
      <c r="AG308" s="254">
        <f>Prog_236[[#This Row],[SAÍDA DO CLIENTE]]-Prog_236[[#This Row],[PROGRAMAÇÃO CLIENTE]]</f>
        <v>0</v>
      </c>
      <c r="AH308" s="44"/>
      <c r="AI308" s="66"/>
      <c r="AJ308" s="66"/>
      <c r="AK308" s="66"/>
      <c r="AL308" s="66"/>
      <c r="AM308" s="66"/>
      <c r="AN308" s="83"/>
      <c r="AO308" s="66"/>
      <c r="AP308" s="66"/>
      <c r="AQ308" s="66"/>
      <c r="AR308" s="81"/>
      <c r="AS308" s="81"/>
      <c r="AT308" s="81"/>
      <c r="AU308" s="81"/>
      <c r="AV308" s="83">
        <f>SUM(Prog_236[[#This Row],[ADIANTAMENTO]]+Prog_236[[#This Row],[SALDO]]+Prog_236[[#This Row],[MARGEM]]+Prog_236[[#This Row],[ESTADIA 1]])</f>
        <v>0</v>
      </c>
      <c r="AW3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8" s="81"/>
      <c r="AY308" s="81"/>
      <c r="AZ308" s="81">
        <f>Prog_236[[#This Row],[VLR NF]]*0.1%</f>
        <v>0</v>
      </c>
      <c r="BA308" s="81">
        <f>Prog_236[[#This Row],[VLR NF]]*0.05%</f>
        <v>0</v>
      </c>
      <c r="BB308" s="81"/>
      <c r="BC308" s="81"/>
      <c r="BD308" s="81"/>
      <c r="BE308" s="81"/>
      <c r="BF308" s="81"/>
      <c r="BG308" s="81"/>
      <c r="BH308" s="81"/>
      <c r="BI308" s="81"/>
      <c r="BJ308" s="81"/>
      <c r="BK308" s="81"/>
      <c r="BL308" s="66"/>
      <c r="BM308" s="66"/>
      <c r="BN308" s="66"/>
      <c r="BO308" s="66" t="str">
        <f>PROPER(TEXT(Prog_236[[#This Row],[PROGRAMAÇÃO CLIENTE]],"mmm"))</f>
        <v>Jan</v>
      </c>
      <c r="BP308" s="66">
        <f>YEAR(Prog_236[[#This Row],[PROGRAMAÇÃO CLIENTE]])</f>
        <v>1900</v>
      </c>
    </row>
    <row r="309" spans="1:68" x14ac:dyDescent="0.25">
      <c r="A309" s="200">
        <f>Prog_236[[#This Row],[CONTEINER]]</f>
        <v>0</v>
      </c>
      <c r="B309" s="86"/>
      <c r="C3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09" s="44"/>
      <c r="E309" s="66"/>
      <c r="F309" s="66"/>
      <c r="G309" s="66"/>
      <c r="H309" s="44"/>
      <c r="I309" s="44"/>
      <c r="J309" s="66"/>
      <c r="K309" s="66"/>
      <c r="L309" s="66"/>
      <c r="M309" s="66"/>
      <c r="N309" s="66">
        <f>SUM(Prog_236[[#This Row],[TARA]]+Prog_236[[#This Row],[PESO]])</f>
        <v>0</v>
      </c>
      <c r="O309" s="44"/>
      <c r="P309" s="66"/>
      <c r="Q309" s="66"/>
      <c r="R309" s="66"/>
      <c r="S309" s="66"/>
      <c r="T309" s="138" t="str">
        <f>IFERROR(LOOKUP($S309,MOTORISTAS!$D$3:$D$1048576,MOTORISTAS!E$3:$E$1048576),"")</f>
        <v/>
      </c>
      <c r="U309" s="138" t="str">
        <f>IFERROR(LOOKUP($S309,MOTORISTAS!$D$3:$D$1048576,MOTORISTAS!F$3:$F$1048576),"")</f>
        <v/>
      </c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44"/>
      <c r="AG309" s="254">
        <f>Prog_236[[#This Row],[SAÍDA DO CLIENTE]]-Prog_236[[#This Row],[PROGRAMAÇÃO CLIENTE]]</f>
        <v>0</v>
      </c>
      <c r="AH309" s="44"/>
      <c r="AI309" s="66"/>
      <c r="AJ309" s="66"/>
      <c r="AK309" s="66"/>
      <c r="AL309" s="66"/>
      <c r="AM309" s="66"/>
      <c r="AN309" s="83"/>
      <c r="AO309" s="66"/>
      <c r="AP309" s="66"/>
      <c r="AQ309" s="66"/>
      <c r="AR309" s="81"/>
      <c r="AS309" s="81"/>
      <c r="AT309" s="81"/>
      <c r="AU309" s="81"/>
      <c r="AV309" s="83">
        <f>SUM(Prog_236[[#This Row],[ADIANTAMENTO]]+Prog_236[[#This Row],[SALDO]]+Prog_236[[#This Row],[MARGEM]]+Prog_236[[#This Row],[ESTADIA 1]])</f>
        <v>0</v>
      </c>
      <c r="AW3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09" s="81"/>
      <c r="AY309" s="81"/>
      <c r="AZ309" s="81">
        <f>Prog_236[[#This Row],[VLR NF]]*0.1%</f>
        <v>0</v>
      </c>
      <c r="BA309" s="81">
        <f>Prog_236[[#This Row],[VLR NF]]*0.05%</f>
        <v>0</v>
      </c>
      <c r="BB309" s="81"/>
      <c r="BC309" s="81"/>
      <c r="BD309" s="81"/>
      <c r="BE309" s="81"/>
      <c r="BF309" s="81"/>
      <c r="BG309" s="81"/>
      <c r="BH309" s="81"/>
      <c r="BI309" s="81"/>
      <c r="BJ309" s="81"/>
      <c r="BK309" s="81"/>
      <c r="BL309" s="66"/>
      <c r="BM309" s="66"/>
      <c r="BN309" s="66"/>
      <c r="BO309" s="66" t="str">
        <f>PROPER(TEXT(Prog_236[[#This Row],[PROGRAMAÇÃO CLIENTE]],"mmm"))</f>
        <v>Jan</v>
      </c>
      <c r="BP309" s="66">
        <f>YEAR(Prog_236[[#This Row],[PROGRAMAÇÃO CLIENTE]])</f>
        <v>1900</v>
      </c>
    </row>
    <row r="310" spans="1:68" x14ac:dyDescent="0.25">
      <c r="A310" s="201">
        <f>Prog_236[[#This Row],[CONTEINER]]</f>
        <v>0</v>
      </c>
      <c r="B310" s="86"/>
      <c r="C3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0" s="44"/>
      <c r="E310" s="66"/>
      <c r="F310" s="66"/>
      <c r="G310" s="66"/>
      <c r="H310" s="44"/>
      <c r="I310" s="44"/>
      <c r="J310" s="66"/>
      <c r="K310" s="66"/>
      <c r="L310" s="66"/>
      <c r="M310" s="66"/>
      <c r="N310" s="66">
        <f>SUM(Prog_236[[#This Row],[TARA]]+Prog_236[[#This Row],[PESO]])</f>
        <v>0</v>
      </c>
      <c r="O310" s="44"/>
      <c r="P310" s="66"/>
      <c r="Q310" s="66"/>
      <c r="R310" s="66"/>
      <c r="S310" s="66"/>
      <c r="T310" s="138" t="str">
        <f>IFERROR(LOOKUP($S310,MOTORISTAS!$D$3:$D$1048576,MOTORISTAS!E$3:$E$1048576),"")</f>
        <v/>
      </c>
      <c r="U310" s="138" t="str">
        <f>IFERROR(LOOKUP($S310,MOTORISTAS!$D$3:$D$1048576,MOTORISTAS!F$3:$F$1048576),"")</f>
        <v/>
      </c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44"/>
      <c r="AG310" s="254">
        <f>Prog_236[[#This Row],[SAÍDA DO CLIENTE]]-Prog_236[[#This Row],[PROGRAMAÇÃO CLIENTE]]</f>
        <v>0</v>
      </c>
      <c r="AH310" s="44"/>
      <c r="AI310" s="66"/>
      <c r="AJ310" s="66"/>
      <c r="AK310" s="66"/>
      <c r="AL310" s="66"/>
      <c r="AM310" s="66"/>
      <c r="AN310" s="83"/>
      <c r="AO310" s="66"/>
      <c r="AP310" s="66"/>
      <c r="AQ310" s="66"/>
      <c r="AR310" s="81"/>
      <c r="AS310" s="81"/>
      <c r="AT310" s="81"/>
      <c r="AU310" s="81"/>
      <c r="AV310" s="83">
        <f>SUM(Prog_236[[#This Row],[ADIANTAMENTO]]+Prog_236[[#This Row],[SALDO]]+Prog_236[[#This Row],[MARGEM]]+Prog_236[[#This Row],[ESTADIA 1]])</f>
        <v>0</v>
      </c>
      <c r="AW3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0" s="81"/>
      <c r="AY310" s="81"/>
      <c r="AZ310" s="81">
        <f>Prog_236[[#This Row],[VLR NF]]*0.1%</f>
        <v>0</v>
      </c>
      <c r="BA310" s="81">
        <f>Prog_236[[#This Row],[VLR NF]]*0.05%</f>
        <v>0</v>
      </c>
      <c r="BB310" s="81"/>
      <c r="BC310" s="81"/>
      <c r="BD310" s="81"/>
      <c r="BE310" s="81"/>
      <c r="BF310" s="81"/>
      <c r="BG310" s="81"/>
      <c r="BH310" s="81"/>
      <c r="BI310" s="81"/>
      <c r="BJ310" s="81"/>
      <c r="BK310" s="81"/>
      <c r="BL310" s="66"/>
      <c r="BM310" s="66"/>
      <c r="BN310" s="66"/>
      <c r="BO310" s="66" t="str">
        <f>PROPER(TEXT(Prog_236[[#This Row],[PROGRAMAÇÃO CLIENTE]],"mmm"))</f>
        <v>Jan</v>
      </c>
      <c r="BP310" s="66">
        <f>YEAR(Prog_236[[#This Row],[PROGRAMAÇÃO CLIENTE]])</f>
        <v>1900</v>
      </c>
    </row>
    <row r="311" spans="1:68" x14ac:dyDescent="0.25">
      <c r="A311" s="200">
        <f>Prog_236[[#This Row],[CONTEINER]]</f>
        <v>0</v>
      </c>
      <c r="B311" s="86"/>
      <c r="C3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1" s="44"/>
      <c r="E311" s="66"/>
      <c r="F311" s="66"/>
      <c r="G311" s="66"/>
      <c r="H311" s="44"/>
      <c r="I311" s="44"/>
      <c r="J311" s="66"/>
      <c r="K311" s="66"/>
      <c r="L311" s="66"/>
      <c r="M311" s="66"/>
      <c r="N311" s="66">
        <f>SUM(Prog_236[[#This Row],[TARA]]+Prog_236[[#This Row],[PESO]])</f>
        <v>0</v>
      </c>
      <c r="O311" s="44"/>
      <c r="P311" s="66"/>
      <c r="Q311" s="66"/>
      <c r="R311" s="66"/>
      <c r="S311" s="66"/>
      <c r="T311" s="138" t="str">
        <f>IFERROR(LOOKUP($S311,MOTORISTAS!$D$3:$D$1048576,MOTORISTAS!E$3:$E$1048576),"")</f>
        <v/>
      </c>
      <c r="U311" s="138" t="str">
        <f>IFERROR(LOOKUP($S311,MOTORISTAS!$D$3:$D$1048576,MOTORISTAS!F$3:$F$1048576),"")</f>
        <v/>
      </c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44"/>
      <c r="AG311" s="254">
        <f>Prog_236[[#This Row],[SAÍDA DO CLIENTE]]-Prog_236[[#This Row],[PROGRAMAÇÃO CLIENTE]]</f>
        <v>0</v>
      </c>
      <c r="AH311" s="44"/>
      <c r="AI311" s="66"/>
      <c r="AJ311" s="66"/>
      <c r="AK311" s="66"/>
      <c r="AL311" s="66"/>
      <c r="AM311" s="66"/>
      <c r="AN311" s="83"/>
      <c r="AO311" s="66"/>
      <c r="AP311" s="66"/>
      <c r="AQ311" s="66"/>
      <c r="AR311" s="81"/>
      <c r="AS311" s="81"/>
      <c r="AT311" s="81"/>
      <c r="AU311" s="81"/>
      <c r="AV311" s="83">
        <f>SUM(Prog_236[[#This Row],[ADIANTAMENTO]]+Prog_236[[#This Row],[SALDO]]+Prog_236[[#This Row],[MARGEM]]+Prog_236[[#This Row],[ESTADIA 1]])</f>
        <v>0</v>
      </c>
      <c r="AW3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1" s="81"/>
      <c r="AY311" s="81"/>
      <c r="AZ311" s="81">
        <f>Prog_236[[#This Row],[VLR NF]]*0.1%</f>
        <v>0</v>
      </c>
      <c r="BA311" s="81">
        <f>Prog_236[[#This Row],[VLR NF]]*0.05%</f>
        <v>0</v>
      </c>
      <c r="BB311" s="81"/>
      <c r="BC311" s="81"/>
      <c r="BD311" s="81"/>
      <c r="BE311" s="81"/>
      <c r="BF311" s="81"/>
      <c r="BG311" s="81"/>
      <c r="BH311" s="81"/>
      <c r="BI311" s="81"/>
      <c r="BJ311" s="81"/>
      <c r="BK311" s="81"/>
      <c r="BL311" s="66"/>
      <c r="BM311" s="66"/>
      <c r="BN311" s="66"/>
      <c r="BO311" s="66" t="str">
        <f>PROPER(TEXT(Prog_236[[#This Row],[PROGRAMAÇÃO CLIENTE]],"mmm"))</f>
        <v>Jan</v>
      </c>
      <c r="BP311" s="66">
        <f>YEAR(Prog_236[[#This Row],[PROGRAMAÇÃO CLIENTE]])</f>
        <v>1900</v>
      </c>
    </row>
    <row r="312" spans="1:68" x14ac:dyDescent="0.25">
      <c r="A312" s="201">
        <f>Prog_236[[#This Row],[CONTEINER]]</f>
        <v>0</v>
      </c>
      <c r="B312" s="86"/>
      <c r="C3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2" s="44"/>
      <c r="E312" s="66"/>
      <c r="F312" s="66"/>
      <c r="G312" s="66"/>
      <c r="H312" s="44"/>
      <c r="I312" s="44"/>
      <c r="J312" s="66"/>
      <c r="K312" s="66"/>
      <c r="L312" s="66"/>
      <c r="M312" s="66"/>
      <c r="N312" s="66">
        <f>SUM(Prog_236[[#This Row],[TARA]]+Prog_236[[#This Row],[PESO]])</f>
        <v>0</v>
      </c>
      <c r="O312" s="44"/>
      <c r="P312" s="66"/>
      <c r="Q312" s="66"/>
      <c r="R312" s="66"/>
      <c r="S312" s="66"/>
      <c r="T312" s="138" t="str">
        <f>IFERROR(LOOKUP($S312,MOTORISTAS!$D$3:$D$1048576,MOTORISTAS!E$3:$E$1048576),"")</f>
        <v/>
      </c>
      <c r="U312" s="138" t="str">
        <f>IFERROR(LOOKUP($S312,MOTORISTAS!$D$3:$D$1048576,MOTORISTAS!F$3:$F$1048576),"")</f>
        <v/>
      </c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44"/>
      <c r="AG312" s="254">
        <f>Prog_236[[#This Row],[SAÍDA DO CLIENTE]]-Prog_236[[#This Row],[PROGRAMAÇÃO CLIENTE]]</f>
        <v>0</v>
      </c>
      <c r="AH312" s="44"/>
      <c r="AI312" s="66"/>
      <c r="AJ312" s="66"/>
      <c r="AK312" s="66"/>
      <c r="AL312" s="66"/>
      <c r="AM312" s="66"/>
      <c r="AN312" s="83"/>
      <c r="AO312" s="66"/>
      <c r="AP312" s="66"/>
      <c r="AQ312" s="66"/>
      <c r="AR312" s="81"/>
      <c r="AS312" s="81"/>
      <c r="AT312" s="81"/>
      <c r="AU312" s="81"/>
      <c r="AV312" s="83">
        <f>SUM(Prog_236[[#This Row],[ADIANTAMENTO]]+Prog_236[[#This Row],[SALDO]]+Prog_236[[#This Row],[MARGEM]]+Prog_236[[#This Row],[ESTADIA 1]])</f>
        <v>0</v>
      </c>
      <c r="AW3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2" s="81"/>
      <c r="AY312" s="81"/>
      <c r="AZ312" s="81">
        <f>Prog_236[[#This Row],[VLR NF]]*0.1%</f>
        <v>0</v>
      </c>
      <c r="BA312" s="81">
        <f>Prog_236[[#This Row],[VLR NF]]*0.05%</f>
        <v>0</v>
      </c>
      <c r="BB312" s="81"/>
      <c r="BC312" s="81"/>
      <c r="BD312" s="81"/>
      <c r="BE312" s="81"/>
      <c r="BF312" s="81"/>
      <c r="BG312" s="81"/>
      <c r="BH312" s="81"/>
      <c r="BI312" s="81"/>
      <c r="BJ312" s="81"/>
      <c r="BK312" s="81"/>
      <c r="BL312" s="66"/>
      <c r="BM312" s="66"/>
      <c r="BN312" s="66"/>
      <c r="BO312" s="66" t="str">
        <f>PROPER(TEXT(Prog_236[[#This Row],[PROGRAMAÇÃO CLIENTE]],"mmm"))</f>
        <v>Jan</v>
      </c>
      <c r="BP312" s="66">
        <f>YEAR(Prog_236[[#This Row],[PROGRAMAÇÃO CLIENTE]])</f>
        <v>1900</v>
      </c>
    </row>
    <row r="313" spans="1:68" x14ac:dyDescent="0.25">
      <c r="A313" s="200">
        <f>Prog_236[[#This Row],[CONTEINER]]</f>
        <v>0</v>
      </c>
      <c r="B313" s="86"/>
      <c r="C3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3" s="44"/>
      <c r="E313" s="66"/>
      <c r="F313" s="66"/>
      <c r="G313" s="66"/>
      <c r="H313" s="44"/>
      <c r="I313" s="44"/>
      <c r="J313" s="66"/>
      <c r="K313" s="66"/>
      <c r="L313" s="66"/>
      <c r="M313" s="66"/>
      <c r="N313" s="66">
        <f>SUM(Prog_236[[#This Row],[TARA]]+Prog_236[[#This Row],[PESO]])</f>
        <v>0</v>
      </c>
      <c r="O313" s="44"/>
      <c r="P313" s="66"/>
      <c r="Q313" s="66"/>
      <c r="R313" s="66"/>
      <c r="S313" s="66"/>
      <c r="T313" s="138" t="str">
        <f>IFERROR(LOOKUP($S313,MOTORISTAS!$D$3:$D$1048576,MOTORISTAS!E$3:$E$1048576),"")</f>
        <v/>
      </c>
      <c r="U313" s="138" t="str">
        <f>IFERROR(LOOKUP($S313,MOTORISTAS!$D$3:$D$1048576,MOTORISTAS!F$3:$F$1048576),"")</f>
        <v/>
      </c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44"/>
      <c r="AG313" s="254">
        <f>Prog_236[[#This Row],[SAÍDA DO CLIENTE]]-Prog_236[[#This Row],[PROGRAMAÇÃO CLIENTE]]</f>
        <v>0</v>
      </c>
      <c r="AH313" s="44"/>
      <c r="AI313" s="66"/>
      <c r="AJ313" s="66"/>
      <c r="AK313" s="66"/>
      <c r="AL313" s="66"/>
      <c r="AM313" s="66"/>
      <c r="AN313" s="83"/>
      <c r="AO313" s="66"/>
      <c r="AP313" s="66"/>
      <c r="AQ313" s="66"/>
      <c r="AR313" s="81"/>
      <c r="AS313" s="81"/>
      <c r="AT313" s="81"/>
      <c r="AU313" s="81"/>
      <c r="AV313" s="83">
        <f>SUM(Prog_236[[#This Row],[ADIANTAMENTO]]+Prog_236[[#This Row],[SALDO]]+Prog_236[[#This Row],[MARGEM]]+Prog_236[[#This Row],[ESTADIA 1]])</f>
        <v>0</v>
      </c>
      <c r="AW3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3" s="81"/>
      <c r="AY313" s="81"/>
      <c r="AZ313" s="81">
        <f>Prog_236[[#This Row],[VLR NF]]*0.1%</f>
        <v>0</v>
      </c>
      <c r="BA313" s="81">
        <f>Prog_236[[#This Row],[VLR NF]]*0.05%</f>
        <v>0</v>
      </c>
      <c r="BB313" s="81"/>
      <c r="BC313" s="81"/>
      <c r="BD313" s="81"/>
      <c r="BE313" s="81"/>
      <c r="BF313" s="81"/>
      <c r="BG313" s="81"/>
      <c r="BH313" s="81"/>
      <c r="BI313" s="81"/>
      <c r="BJ313" s="81"/>
      <c r="BK313" s="81"/>
      <c r="BL313" s="66"/>
      <c r="BM313" s="66"/>
      <c r="BN313" s="66"/>
      <c r="BO313" s="66" t="str">
        <f>PROPER(TEXT(Prog_236[[#This Row],[PROGRAMAÇÃO CLIENTE]],"mmm"))</f>
        <v>Jan</v>
      </c>
      <c r="BP313" s="66">
        <f>YEAR(Prog_236[[#This Row],[PROGRAMAÇÃO CLIENTE]])</f>
        <v>1900</v>
      </c>
    </row>
    <row r="314" spans="1:68" x14ac:dyDescent="0.25">
      <c r="A314" s="201">
        <f>Prog_236[[#This Row],[CONTEINER]]</f>
        <v>0</v>
      </c>
      <c r="B314" s="86"/>
      <c r="C3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4" s="44"/>
      <c r="E314" s="66"/>
      <c r="F314" s="66"/>
      <c r="G314" s="66"/>
      <c r="H314" s="44"/>
      <c r="I314" s="44"/>
      <c r="J314" s="66"/>
      <c r="K314" s="66"/>
      <c r="L314" s="66"/>
      <c r="M314" s="66"/>
      <c r="N314" s="66">
        <f>SUM(Prog_236[[#This Row],[TARA]]+Prog_236[[#This Row],[PESO]])</f>
        <v>0</v>
      </c>
      <c r="O314" s="44"/>
      <c r="P314" s="66"/>
      <c r="Q314" s="66"/>
      <c r="R314" s="66"/>
      <c r="S314" s="66"/>
      <c r="T314" s="138" t="str">
        <f>IFERROR(LOOKUP($S314,MOTORISTAS!$D$3:$D$1048576,MOTORISTAS!E$3:$E$1048576),"")</f>
        <v/>
      </c>
      <c r="U314" s="138" t="str">
        <f>IFERROR(LOOKUP($S314,MOTORISTAS!$D$3:$D$1048576,MOTORISTAS!F$3:$F$1048576),"")</f>
        <v/>
      </c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44"/>
      <c r="AG314" s="254">
        <f>Prog_236[[#This Row],[SAÍDA DO CLIENTE]]-Prog_236[[#This Row],[PROGRAMAÇÃO CLIENTE]]</f>
        <v>0</v>
      </c>
      <c r="AH314" s="44"/>
      <c r="AI314" s="66"/>
      <c r="AJ314" s="66"/>
      <c r="AK314" s="66"/>
      <c r="AL314" s="66"/>
      <c r="AM314" s="66"/>
      <c r="AN314" s="83"/>
      <c r="AO314" s="66"/>
      <c r="AP314" s="66"/>
      <c r="AQ314" s="66"/>
      <c r="AR314" s="81"/>
      <c r="AS314" s="81"/>
      <c r="AT314" s="81"/>
      <c r="AU314" s="81"/>
      <c r="AV314" s="83">
        <f>SUM(Prog_236[[#This Row],[ADIANTAMENTO]]+Prog_236[[#This Row],[SALDO]]+Prog_236[[#This Row],[MARGEM]]+Prog_236[[#This Row],[ESTADIA 1]])</f>
        <v>0</v>
      </c>
      <c r="AW3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4" s="81"/>
      <c r="AY314" s="81"/>
      <c r="AZ314" s="81">
        <f>Prog_236[[#This Row],[VLR NF]]*0.1%</f>
        <v>0</v>
      </c>
      <c r="BA314" s="81">
        <f>Prog_236[[#This Row],[VLR NF]]*0.05%</f>
        <v>0</v>
      </c>
      <c r="BB314" s="81"/>
      <c r="BC314" s="81"/>
      <c r="BD314" s="81"/>
      <c r="BE314" s="81"/>
      <c r="BF314" s="81"/>
      <c r="BG314" s="81"/>
      <c r="BH314" s="81"/>
      <c r="BI314" s="81"/>
      <c r="BJ314" s="81"/>
      <c r="BK314" s="81"/>
      <c r="BL314" s="66"/>
      <c r="BM314" s="66"/>
      <c r="BN314" s="66"/>
      <c r="BO314" s="66" t="str">
        <f>PROPER(TEXT(Prog_236[[#This Row],[PROGRAMAÇÃO CLIENTE]],"mmm"))</f>
        <v>Jan</v>
      </c>
      <c r="BP314" s="66">
        <f>YEAR(Prog_236[[#This Row],[PROGRAMAÇÃO CLIENTE]])</f>
        <v>1900</v>
      </c>
    </row>
    <row r="315" spans="1:68" x14ac:dyDescent="0.25">
      <c r="A315" s="200">
        <f>Prog_236[[#This Row],[CONTEINER]]</f>
        <v>0</v>
      </c>
      <c r="B315" s="86"/>
      <c r="C3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5" s="44"/>
      <c r="E315" s="66"/>
      <c r="F315" s="66"/>
      <c r="G315" s="66"/>
      <c r="H315" s="44"/>
      <c r="I315" s="44"/>
      <c r="J315" s="66"/>
      <c r="K315" s="66"/>
      <c r="L315" s="66"/>
      <c r="M315" s="66"/>
      <c r="N315" s="66">
        <f>SUM(Prog_236[[#This Row],[TARA]]+Prog_236[[#This Row],[PESO]])</f>
        <v>0</v>
      </c>
      <c r="O315" s="44"/>
      <c r="P315" s="66"/>
      <c r="Q315" s="66"/>
      <c r="R315" s="66"/>
      <c r="S315" s="66"/>
      <c r="T315" s="138" t="str">
        <f>IFERROR(LOOKUP($S315,MOTORISTAS!$D$3:$D$1048576,MOTORISTAS!E$3:$E$1048576),"")</f>
        <v/>
      </c>
      <c r="U315" s="138" t="str">
        <f>IFERROR(LOOKUP($S315,MOTORISTAS!$D$3:$D$1048576,MOTORISTAS!F$3:$F$1048576),"")</f>
        <v/>
      </c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44"/>
      <c r="AG315" s="254">
        <f>Prog_236[[#This Row],[SAÍDA DO CLIENTE]]-Prog_236[[#This Row],[PROGRAMAÇÃO CLIENTE]]</f>
        <v>0</v>
      </c>
      <c r="AH315" s="44"/>
      <c r="AI315" s="66"/>
      <c r="AJ315" s="66"/>
      <c r="AK315" s="66"/>
      <c r="AL315" s="66"/>
      <c r="AM315" s="66"/>
      <c r="AN315" s="83"/>
      <c r="AO315" s="66"/>
      <c r="AP315" s="66"/>
      <c r="AQ315" s="66"/>
      <c r="AR315" s="81"/>
      <c r="AS315" s="81"/>
      <c r="AT315" s="81"/>
      <c r="AU315" s="81"/>
      <c r="AV315" s="83">
        <f>SUM(Prog_236[[#This Row],[ADIANTAMENTO]]+Prog_236[[#This Row],[SALDO]]+Prog_236[[#This Row],[MARGEM]]+Prog_236[[#This Row],[ESTADIA 1]])</f>
        <v>0</v>
      </c>
      <c r="AW3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5" s="81"/>
      <c r="AY315" s="81"/>
      <c r="AZ315" s="81">
        <f>Prog_236[[#This Row],[VLR NF]]*0.1%</f>
        <v>0</v>
      </c>
      <c r="BA315" s="81">
        <f>Prog_236[[#This Row],[VLR NF]]*0.05%</f>
        <v>0</v>
      </c>
      <c r="BB315" s="81"/>
      <c r="BC315" s="81"/>
      <c r="BD315" s="81"/>
      <c r="BE315" s="81"/>
      <c r="BF315" s="81"/>
      <c r="BG315" s="81"/>
      <c r="BH315" s="81"/>
      <c r="BI315" s="81"/>
      <c r="BJ315" s="81"/>
      <c r="BK315" s="81"/>
      <c r="BL315" s="66"/>
      <c r="BM315" s="66"/>
      <c r="BN315" s="66"/>
      <c r="BO315" s="66" t="str">
        <f>PROPER(TEXT(Prog_236[[#This Row],[PROGRAMAÇÃO CLIENTE]],"mmm"))</f>
        <v>Jan</v>
      </c>
      <c r="BP315" s="66">
        <f>YEAR(Prog_236[[#This Row],[PROGRAMAÇÃO CLIENTE]])</f>
        <v>1900</v>
      </c>
    </row>
    <row r="316" spans="1:68" x14ac:dyDescent="0.25">
      <c r="A316" s="201">
        <f>Prog_236[[#This Row],[CONTEINER]]</f>
        <v>0</v>
      </c>
      <c r="B316" s="86"/>
      <c r="C3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6" s="44"/>
      <c r="E316" s="66"/>
      <c r="F316" s="66"/>
      <c r="G316" s="66"/>
      <c r="H316" s="44"/>
      <c r="I316" s="44"/>
      <c r="J316" s="66"/>
      <c r="K316" s="66"/>
      <c r="L316" s="66"/>
      <c r="M316" s="66"/>
      <c r="N316" s="66">
        <f>SUM(Prog_236[[#This Row],[TARA]]+Prog_236[[#This Row],[PESO]])</f>
        <v>0</v>
      </c>
      <c r="O316" s="44"/>
      <c r="P316" s="66"/>
      <c r="Q316" s="66"/>
      <c r="R316" s="66"/>
      <c r="S316" s="66"/>
      <c r="T316" s="138" t="str">
        <f>IFERROR(LOOKUP($S316,MOTORISTAS!$D$3:$D$1048576,MOTORISTAS!E$3:$E$1048576),"")</f>
        <v/>
      </c>
      <c r="U316" s="138" t="str">
        <f>IFERROR(LOOKUP($S316,MOTORISTAS!$D$3:$D$1048576,MOTORISTAS!F$3:$F$1048576),"")</f>
        <v/>
      </c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44"/>
      <c r="AG316" s="254">
        <f>Prog_236[[#This Row],[SAÍDA DO CLIENTE]]-Prog_236[[#This Row],[PROGRAMAÇÃO CLIENTE]]</f>
        <v>0</v>
      </c>
      <c r="AH316" s="44"/>
      <c r="AI316" s="66"/>
      <c r="AJ316" s="66"/>
      <c r="AK316" s="66"/>
      <c r="AL316" s="66"/>
      <c r="AM316" s="66"/>
      <c r="AN316" s="83"/>
      <c r="AO316" s="66"/>
      <c r="AP316" s="66"/>
      <c r="AQ316" s="66"/>
      <c r="AR316" s="81"/>
      <c r="AS316" s="81"/>
      <c r="AT316" s="81"/>
      <c r="AU316" s="81"/>
      <c r="AV316" s="83">
        <f>SUM(Prog_236[[#This Row],[ADIANTAMENTO]]+Prog_236[[#This Row],[SALDO]]+Prog_236[[#This Row],[MARGEM]]+Prog_236[[#This Row],[ESTADIA 1]])</f>
        <v>0</v>
      </c>
      <c r="AW3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6" s="81"/>
      <c r="AY316" s="81"/>
      <c r="AZ316" s="81">
        <f>Prog_236[[#This Row],[VLR NF]]*0.1%</f>
        <v>0</v>
      </c>
      <c r="BA316" s="81">
        <f>Prog_236[[#This Row],[VLR NF]]*0.05%</f>
        <v>0</v>
      </c>
      <c r="BB316" s="81"/>
      <c r="BC316" s="81"/>
      <c r="BD316" s="81"/>
      <c r="BE316" s="81"/>
      <c r="BF316" s="81"/>
      <c r="BG316" s="81"/>
      <c r="BH316" s="81"/>
      <c r="BI316" s="81"/>
      <c r="BJ316" s="81"/>
      <c r="BK316" s="81"/>
      <c r="BL316" s="66"/>
      <c r="BM316" s="66"/>
      <c r="BN316" s="66"/>
      <c r="BO316" s="66" t="str">
        <f>PROPER(TEXT(Prog_236[[#This Row],[PROGRAMAÇÃO CLIENTE]],"mmm"))</f>
        <v>Jan</v>
      </c>
      <c r="BP316" s="66">
        <f>YEAR(Prog_236[[#This Row],[PROGRAMAÇÃO CLIENTE]])</f>
        <v>1900</v>
      </c>
    </row>
    <row r="317" spans="1:68" x14ac:dyDescent="0.25">
      <c r="A317" s="200">
        <f>Prog_236[[#This Row],[CONTEINER]]</f>
        <v>0</v>
      </c>
      <c r="B317" s="86"/>
      <c r="C3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7" s="44"/>
      <c r="E317" s="66"/>
      <c r="F317" s="66"/>
      <c r="G317" s="66"/>
      <c r="H317" s="44"/>
      <c r="I317" s="44"/>
      <c r="J317" s="66"/>
      <c r="K317" s="66"/>
      <c r="L317" s="66"/>
      <c r="M317" s="66"/>
      <c r="N317" s="66">
        <f>SUM(Prog_236[[#This Row],[TARA]]+Prog_236[[#This Row],[PESO]])</f>
        <v>0</v>
      </c>
      <c r="O317" s="44"/>
      <c r="P317" s="66"/>
      <c r="Q317" s="66"/>
      <c r="R317" s="66"/>
      <c r="S317" s="66"/>
      <c r="T317" s="138" t="str">
        <f>IFERROR(LOOKUP($S317,MOTORISTAS!$D$3:$D$1048576,MOTORISTAS!E$3:$E$1048576),"")</f>
        <v/>
      </c>
      <c r="U317" s="138" t="str">
        <f>IFERROR(LOOKUP($S317,MOTORISTAS!$D$3:$D$1048576,MOTORISTAS!F$3:$F$1048576),"")</f>
        <v/>
      </c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44"/>
      <c r="AG317" s="254">
        <f>Prog_236[[#This Row],[SAÍDA DO CLIENTE]]-Prog_236[[#This Row],[PROGRAMAÇÃO CLIENTE]]</f>
        <v>0</v>
      </c>
      <c r="AH317" s="44"/>
      <c r="AI317" s="66"/>
      <c r="AJ317" s="66"/>
      <c r="AK317" s="66"/>
      <c r="AL317" s="66"/>
      <c r="AM317" s="66"/>
      <c r="AN317" s="83"/>
      <c r="AO317" s="66"/>
      <c r="AP317" s="66"/>
      <c r="AQ317" s="66"/>
      <c r="AR317" s="81"/>
      <c r="AS317" s="81"/>
      <c r="AT317" s="81"/>
      <c r="AU317" s="81"/>
      <c r="AV317" s="83">
        <f>SUM(Prog_236[[#This Row],[ADIANTAMENTO]]+Prog_236[[#This Row],[SALDO]]+Prog_236[[#This Row],[MARGEM]]+Prog_236[[#This Row],[ESTADIA 1]])</f>
        <v>0</v>
      </c>
      <c r="AW3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7" s="81"/>
      <c r="AY317" s="81"/>
      <c r="AZ317" s="81">
        <f>Prog_236[[#This Row],[VLR NF]]*0.1%</f>
        <v>0</v>
      </c>
      <c r="BA317" s="81">
        <f>Prog_236[[#This Row],[VLR NF]]*0.05%</f>
        <v>0</v>
      </c>
      <c r="BB317" s="81"/>
      <c r="BC317" s="81"/>
      <c r="BD317" s="81"/>
      <c r="BE317" s="81"/>
      <c r="BF317" s="81"/>
      <c r="BG317" s="81"/>
      <c r="BH317" s="81"/>
      <c r="BI317" s="81"/>
      <c r="BJ317" s="81"/>
      <c r="BK317" s="81"/>
      <c r="BL317" s="66"/>
      <c r="BM317" s="66"/>
      <c r="BN317" s="66"/>
      <c r="BO317" s="66" t="str">
        <f>PROPER(TEXT(Prog_236[[#This Row],[PROGRAMAÇÃO CLIENTE]],"mmm"))</f>
        <v>Jan</v>
      </c>
      <c r="BP317" s="66">
        <f>YEAR(Prog_236[[#This Row],[PROGRAMAÇÃO CLIENTE]])</f>
        <v>1900</v>
      </c>
    </row>
    <row r="318" spans="1:68" x14ac:dyDescent="0.25">
      <c r="A318" s="201">
        <f>Prog_236[[#This Row],[CONTEINER]]</f>
        <v>0</v>
      </c>
      <c r="B318" s="86"/>
      <c r="C3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8" s="44"/>
      <c r="E318" s="66"/>
      <c r="F318" s="66"/>
      <c r="G318" s="66"/>
      <c r="H318" s="44"/>
      <c r="I318" s="44"/>
      <c r="J318" s="66"/>
      <c r="K318" s="66"/>
      <c r="L318" s="66"/>
      <c r="M318" s="66"/>
      <c r="N318" s="66">
        <f>SUM(Prog_236[[#This Row],[TARA]]+Prog_236[[#This Row],[PESO]])</f>
        <v>0</v>
      </c>
      <c r="O318" s="44"/>
      <c r="P318" s="66"/>
      <c r="Q318" s="66"/>
      <c r="R318" s="66"/>
      <c r="S318" s="66"/>
      <c r="T318" s="138" t="str">
        <f>IFERROR(LOOKUP($S318,MOTORISTAS!$D$3:$D$1048576,MOTORISTAS!E$3:$E$1048576),"")</f>
        <v/>
      </c>
      <c r="U318" s="138" t="str">
        <f>IFERROR(LOOKUP($S318,MOTORISTAS!$D$3:$D$1048576,MOTORISTAS!F$3:$F$1048576),"")</f>
        <v/>
      </c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44"/>
      <c r="AG318" s="254">
        <f>Prog_236[[#This Row],[SAÍDA DO CLIENTE]]-Prog_236[[#This Row],[PROGRAMAÇÃO CLIENTE]]</f>
        <v>0</v>
      </c>
      <c r="AH318" s="44"/>
      <c r="AI318" s="66"/>
      <c r="AJ318" s="66"/>
      <c r="AK318" s="66"/>
      <c r="AL318" s="66"/>
      <c r="AM318" s="66"/>
      <c r="AN318" s="83"/>
      <c r="AO318" s="66"/>
      <c r="AP318" s="66"/>
      <c r="AQ318" s="66"/>
      <c r="AR318" s="81"/>
      <c r="AS318" s="81"/>
      <c r="AT318" s="81"/>
      <c r="AU318" s="81"/>
      <c r="AV318" s="83">
        <f>SUM(Prog_236[[#This Row],[ADIANTAMENTO]]+Prog_236[[#This Row],[SALDO]]+Prog_236[[#This Row],[MARGEM]]+Prog_236[[#This Row],[ESTADIA 1]])</f>
        <v>0</v>
      </c>
      <c r="AW3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8" s="81"/>
      <c r="AY318" s="81"/>
      <c r="AZ318" s="81">
        <f>Prog_236[[#This Row],[VLR NF]]*0.1%</f>
        <v>0</v>
      </c>
      <c r="BA318" s="81">
        <f>Prog_236[[#This Row],[VLR NF]]*0.05%</f>
        <v>0</v>
      </c>
      <c r="BB318" s="81"/>
      <c r="BC318" s="81"/>
      <c r="BD318" s="81"/>
      <c r="BE318" s="81"/>
      <c r="BF318" s="81"/>
      <c r="BG318" s="81"/>
      <c r="BH318" s="81"/>
      <c r="BI318" s="81"/>
      <c r="BJ318" s="81"/>
      <c r="BK318" s="81"/>
      <c r="BL318" s="66"/>
      <c r="BM318" s="66"/>
      <c r="BN318" s="66"/>
      <c r="BO318" s="66" t="str">
        <f>PROPER(TEXT(Prog_236[[#This Row],[PROGRAMAÇÃO CLIENTE]],"mmm"))</f>
        <v>Jan</v>
      </c>
      <c r="BP318" s="66">
        <f>YEAR(Prog_236[[#This Row],[PROGRAMAÇÃO CLIENTE]])</f>
        <v>1900</v>
      </c>
    </row>
    <row r="319" spans="1:68" x14ac:dyDescent="0.25">
      <c r="A319" s="200">
        <f>Prog_236[[#This Row],[CONTEINER]]</f>
        <v>0</v>
      </c>
      <c r="B319" s="86"/>
      <c r="C3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19" s="44"/>
      <c r="E319" s="66"/>
      <c r="F319" s="66"/>
      <c r="G319" s="66"/>
      <c r="H319" s="44"/>
      <c r="I319" s="44"/>
      <c r="J319" s="66"/>
      <c r="K319" s="66"/>
      <c r="L319" s="66"/>
      <c r="M319" s="66"/>
      <c r="N319" s="66">
        <f>SUM(Prog_236[[#This Row],[TARA]]+Prog_236[[#This Row],[PESO]])</f>
        <v>0</v>
      </c>
      <c r="O319" s="44"/>
      <c r="P319" s="66"/>
      <c r="Q319" s="66"/>
      <c r="R319" s="66"/>
      <c r="S319" s="66"/>
      <c r="T319" s="138" t="str">
        <f>IFERROR(LOOKUP($S319,MOTORISTAS!$D$3:$D$1048576,MOTORISTAS!E$3:$E$1048576),"")</f>
        <v/>
      </c>
      <c r="U319" s="138" t="str">
        <f>IFERROR(LOOKUP($S319,MOTORISTAS!$D$3:$D$1048576,MOTORISTAS!F$3:$F$1048576),"")</f>
        <v/>
      </c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44"/>
      <c r="AG319" s="254">
        <f>Prog_236[[#This Row],[SAÍDA DO CLIENTE]]-Prog_236[[#This Row],[PROGRAMAÇÃO CLIENTE]]</f>
        <v>0</v>
      </c>
      <c r="AH319" s="44"/>
      <c r="AI319" s="66"/>
      <c r="AJ319" s="66"/>
      <c r="AK319" s="66"/>
      <c r="AL319" s="66"/>
      <c r="AM319" s="66"/>
      <c r="AN319" s="83"/>
      <c r="AO319" s="66"/>
      <c r="AP319" s="66"/>
      <c r="AQ319" s="66"/>
      <c r="AR319" s="81"/>
      <c r="AS319" s="81"/>
      <c r="AT319" s="81"/>
      <c r="AU319" s="81"/>
      <c r="AV319" s="83">
        <f>SUM(Prog_236[[#This Row],[ADIANTAMENTO]]+Prog_236[[#This Row],[SALDO]]+Prog_236[[#This Row],[MARGEM]]+Prog_236[[#This Row],[ESTADIA 1]])</f>
        <v>0</v>
      </c>
      <c r="AW3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19" s="81"/>
      <c r="AY319" s="81"/>
      <c r="AZ319" s="81">
        <f>Prog_236[[#This Row],[VLR NF]]*0.1%</f>
        <v>0</v>
      </c>
      <c r="BA319" s="81">
        <f>Prog_236[[#This Row],[VLR NF]]*0.05%</f>
        <v>0</v>
      </c>
      <c r="BB319" s="81"/>
      <c r="BC319" s="81"/>
      <c r="BD319" s="81"/>
      <c r="BE319" s="81"/>
      <c r="BF319" s="81"/>
      <c r="BG319" s="81"/>
      <c r="BH319" s="81"/>
      <c r="BI319" s="81"/>
      <c r="BJ319" s="81"/>
      <c r="BK319" s="81"/>
      <c r="BL319" s="66"/>
      <c r="BM319" s="66"/>
      <c r="BN319" s="66"/>
      <c r="BO319" s="66" t="str">
        <f>PROPER(TEXT(Prog_236[[#This Row],[PROGRAMAÇÃO CLIENTE]],"mmm"))</f>
        <v>Jan</v>
      </c>
      <c r="BP319" s="66">
        <f>YEAR(Prog_236[[#This Row],[PROGRAMAÇÃO CLIENTE]])</f>
        <v>1900</v>
      </c>
    </row>
    <row r="320" spans="1:68" x14ac:dyDescent="0.25">
      <c r="A320" s="201">
        <f>Prog_236[[#This Row],[CONTEINER]]</f>
        <v>0</v>
      </c>
      <c r="B320" s="86"/>
      <c r="C3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0" s="44"/>
      <c r="E320" s="66"/>
      <c r="F320" s="66"/>
      <c r="G320" s="66"/>
      <c r="H320" s="44"/>
      <c r="I320" s="44"/>
      <c r="J320" s="66"/>
      <c r="K320" s="66"/>
      <c r="L320" s="66"/>
      <c r="M320" s="66"/>
      <c r="N320" s="66">
        <f>SUM(Prog_236[[#This Row],[TARA]]+Prog_236[[#This Row],[PESO]])</f>
        <v>0</v>
      </c>
      <c r="O320" s="44"/>
      <c r="P320" s="66"/>
      <c r="Q320" s="66"/>
      <c r="R320" s="66"/>
      <c r="S320" s="66"/>
      <c r="T320" s="138" t="str">
        <f>IFERROR(LOOKUP($S320,MOTORISTAS!$D$3:$D$1048576,MOTORISTAS!E$3:$E$1048576),"")</f>
        <v/>
      </c>
      <c r="U320" s="138" t="str">
        <f>IFERROR(LOOKUP($S320,MOTORISTAS!$D$3:$D$1048576,MOTORISTAS!F$3:$F$1048576),"")</f>
        <v/>
      </c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44"/>
      <c r="AG320" s="254">
        <f>Prog_236[[#This Row],[SAÍDA DO CLIENTE]]-Prog_236[[#This Row],[PROGRAMAÇÃO CLIENTE]]</f>
        <v>0</v>
      </c>
      <c r="AH320" s="44"/>
      <c r="AI320" s="66"/>
      <c r="AJ320" s="66"/>
      <c r="AK320" s="66"/>
      <c r="AL320" s="66"/>
      <c r="AM320" s="66"/>
      <c r="AN320" s="83"/>
      <c r="AO320" s="66"/>
      <c r="AP320" s="66"/>
      <c r="AQ320" s="66"/>
      <c r="AR320" s="81"/>
      <c r="AS320" s="81"/>
      <c r="AT320" s="81"/>
      <c r="AU320" s="81"/>
      <c r="AV320" s="83">
        <f>SUM(Prog_236[[#This Row],[ADIANTAMENTO]]+Prog_236[[#This Row],[SALDO]]+Prog_236[[#This Row],[MARGEM]]+Prog_236[[#This Row],[ESTADIA 1]])</f>
        <v>0</v>
      </c>
      <c r="AW3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0" s="81"/>
      <c r="AY320" s="81"/>
      <c r="AZ320" s="81">
        <f>Prog_236[[#This Row],[VLR NF]]*0.1%</f>
        <v>0</v>
      </c>
      <c r="BA320" s="81">
        <f>Prog_236[[#This Row],[VLR NF]]*0.05%</f>
        <v>0</v>
      </c>
      <c r="BB320" s="81"/>
      <c r="BC320" s="81"/>
      <c r="BD320" s="81"/>
      <c r="BE320" s="81"/>
      <c r="BF320" s="81"/>
      <c r="BG320" s="81"/>
      <c r="BH320" s="81"/>
      <c r="BI320" s="81"/>
      <c r="BJ320" s="81"/>
      <c r="BK320" s="81"/>
      <c r="BL320" s="66"/>
      <c r="BM320" s="66"/>
      <c r="BN320" s="66"/>
      <c r="BO320" s="66" t="str">
        <f>PROPER(TEXT(Prog_236[[#This Row],[PROGRAMAÇÃO CLIENTE]],"mmm"))</f>
        <v>Jan</v>
      </c>
      <c r="BP320" s="66">
        <f>YEAR(Prog_236[[#This Row],[PROGRAMAÇÃO CLIENTE]])</f>
        <v>1900</v>
      </c>
    </row>
    <row r="321" spans="1:68" x14ac:dyDescent="0.25">
      <c r="A321" s="200">
        <f>Prog_236[[#This Row],[CONTEINER]]</f>
        <v>0</v>
      </c>
      <c r="B321" s="86"/>
      <c r="C3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1" s="44"/>
      <c r="E321" s="66"/>
      <c r="F321" s="66"/>
      <c r="G321" s="66"/>
      <c r="H321" s="44"/>
      <c r="I321" s="44"/>
      <c r="J321" s="66"/>
      <c r="K321" s="66"/>
      <c r="L321" s="66"/>
      <c r="M321" s="66"/>
      <c r="N321" s="66">
        <f>SUM(Prog_236[[#This Row],[TARA]]+Prog_236[[#This Row],[PESO]])</f>
        <v>0</v>
      </c>
      <c r="O321" s="44"/>
      <c r="P321" s="66"/>
      <c r="Q321" s="66"/>
      <c r="R321" s="66"/>
      <c r="S321" s="66"/>
      <c r="T321" s="138" t="str">
        <f>IFERROR(LOOKUP($S321,MOTORISTAS!$D$3:$D$1048576,MOTORISTAS!E$3:$E$1048576),"")</f>
        <v/>
      </c>
      <c r="U321" s="138" t="str">
        <f>IFERROR(LOOKUP($S321,MOTORISTAS!$D$3:$D$1048576,MOTORISTAS!F$3:$F$1048576),"")</f>
        <v/>
      </c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44"/>
      <c r="AG321" s="254">
        <f>Prog_236[[#This Row],[SAÍDA DO CLIENTE]]-Prog_236[[#This Row],[PROGRAMAÇÃO CLIENTE]]</f>
        <v>0</v>
      </c>
      <c r="AH321" s="44"/>
      <c r="AI321" s="66"/>
      <c r="AJ321" s="66"/>
      <c r="AK321" s="66"/>
      <c r="AL321" s="66"/>
      <c r="AM321" s="66"/>
      <c r="AN321" s="83"/>
      <c r="AO321" s="66"/>
      <c r="AP321" s="66"/>
      <c r="AQ321" s="66"/>
      <c r="AR321" s="81"/>
      <c r="AS321" s="81"/>
      <c r="AT321" s="81"/>
      <c r="AU321" s="81"/>
      <c r="AV321" s="83">
        <f>SUM(Prog_236[[#This Row],[ADIANTAMENTO]]+Prog_236[[#This Row],[SALDO]]+Prog_236[[#This Row],[MARGEM]]+Prog_236[[#This Row],[ESTADIA 1]])</f>
        <v>0</v>
      </c>
      <c r="AW3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1" s="81"/>
      <c r="AY321" s="81"/>
      <c r="AZ321" s="81">
        <f>Prog_236[[#This Row],[VLR NF]]*0.1%</f>
        <v>0</v>
      </c>
      <c r="BA321" s="81">
        <f>Prog_236[[#This Row],[VLR NF]]*0.05%</f>
        <v>0</v>
      </c>
      <c r="BB321" s="81"/>
      <c r="BC321" s="81"/>
      <c r="BD321" s="81"/>
      <c r="BE321" s="81"/>
      <c r="BF321" s="81"/>
      <c r="BG321" s="81"/>
      <c r="BH321" s="81"/>
      <c r="BI321" s="81"/>
      <c r="BJ321" s="81"/>
      <c r="BK321" s="81"/>
      <c r="BL321" s="66"/>
      <c r="BM321" s="66"/>
      <c r="BN321" s="66"/>
      <c r="BO321" s="66" t="str">
        <f>PROPER(TEXT(Prog_236[[#This Row],[PROGRAMAÇÃO CLIENTE]],"mmm"))</f>
        <v>Jan</v>
      </c>
      <c r="BP321" s="66">
        <f>YEAR(Prog_236[[#This Row],[PROGRAMAÇÃO CLIENTE]])</f>
        <v>1900</v>
      </c>
    </row>
    <row r="322" spans="1:68" x14ac:dyDescent="0.25">
      <c r="A322" s="201">
        <f>Prog_236[[#This Row],[CONTEINER]]</f>
        <v>0</v>
      </c>
      <c r="B322" s="86"/>
      <c r="C3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2" s="44"/>
      <c r="E322" s="66"/>
      <c r="F322" s="66"/>
      <c r="G322" s="66"/>
      <c r="H322" s="44"/>
      <c r="I322" s="44"/>
      <c r="J322" s="66"/>
      <c r="K322" s="66"/>
      <c r="L322" s="66"/>
      <c r="M322" s="66"/>
      <c r="N322" s="66">
        <f>SUM(Prog_236[[#This Row],[TARA]]+Prog_236[[#This Row],[PESO]])</f>
        <v>0</v>
      </c>
      <c r="O322" s="44"/>
      <c r="P322" s="66"/>
      <c r="Q322" s="66"/>
      <c r="R322" s="66"/>
      <c r="S322" s="66"/>
      <c r="T322" s="138" t="str">
        <f>IFERROR(LOOKUP($S322,MOTORISTAS!$D$3:$D$1048576,MOTORISTAS!E$3:$E$1048576),"")</f>
        <v/>
      </c>
      <c r="U322" s="138" t="str">
        <f>IFERROR(LOOKUP($S322,MOTORISTAS!$D$3:$D$1048576,MOTORISTAS!F$3:$F$1048576),"")</f>
        <v/>
      </c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44"/>
      <c r="AG322" s="254">
        <f>Prog_236[[#This Row],[SAÍDA DO CLIENTE]]-Prog_236[[#This Row],[PROGRAMAÇÃO CLIENTE]]</f>
        <v>0</v>
      </c>
      <c r="AH322" s="44"/>
      <c r="AI322" s="66"/>
      <c r="AJ322" s="66"/>
      <c r="AK322" s="66"/>
      <c r="AL322" s="66"/>
      <c r="AM322" s="66"/>
      <c r="AN322" s="83"/>
      <c r="AO322" s="66"/>
      <c r="AP322" s="66"/>
      <c r="AQ322" s="66"/>
      <c r="AR322" s="81"/>
      <c r="AS322" s="81"/>
      <c r="AT322" s="81"/>
      <c r="AU322" s="81"/>
      <c r="AV322" s="83">
        <f>SUM(Prog_236[[#This Row],[ADIANTAMENTO]]+Prog_236[[#This Row],[SALDO]]+Prog_236[[#This Row],[MARGEM]]+Prog_236[[#This Row],[ESTADIA 1]])</f>
        <v>0</v>
      </c>
      <c r="AW3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2" s="81"/>
      <c r="AY322" s="81"/>
      <c r="AZ322" s="81">
        <f>Prog_236[[#This Row],[VLR NF]]*0.1%</f>
        <v>0</v>
      </c>
      <c r="BA322" s="81">
        <f>Prog_236[[#This Row],[VLR NF]]*0.05%</f>
        <v>0</v>
      </c>
      <c r="BB322" s="81"/>
      <c r="BC322" s="81"/>
      <c r="BD322" s="81"/>
      <c r="BE322" s="81"/>
      <c r="BF322" s="81"/>
      <c r="BG322" s="81"/>
      <c r="BH322" s="81"/>
      <c r="BI322" s="81"/>
      <c r="BJ322" s="81"/>
      <c r="BK322" s="81"/>
      <c r="BL322" s="66"/>
      <c r="BM322" s="66"/>
      <c r="BN322" s="66"/>
      <c r="BO322" s="66" t="str">
        <f>PROPER(TEXT(Prog_236[[#This Row],[PROGRAMAÇÃO CLIENTE]],"mmm"))</f>
        <v>Jan</v>
      </c>
      <c r="BP322" s="66">
        <f>YEAR(Prog_236[[#This Row],[PROGRAMAÇÃO CLIENTE]])</f>
        <v>1900</v>
      </c>
    </row>
    <row r="323" spans="1:68" x14ac:dyDescent="0.25">
      <c r="A323" s="200">
        <f>Prog_236[[#This Row],[CONTEINER]]</f>
        <v>0</v>
      </c>
      <c r="B323" s="86"/>
      <c r="C3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3" s="44"/>
      <c r="E323" s="66"/>
      <c r="F323" s="66"/>
      <c r="G323" s="66"/>
      <c r="H323" s="44"/>
      <c r="I323" s="44"/>
      <c r="J323" s="66"/>
      <c r="K323" s="66"/>
      <c r="L323" s="66"/>
      <c r="M323" s="66"/>
      <c r="N323" s="66">
        <f>SUM(Prog_236[[#This Row],[TARA]]+Prog_236[[#This Row],[PESO]])</f>
        <v>0</v>
      </c>
      <c r="O323" s="44"/>
      <c r="P323" s="66"/>
      <c r="Q323" s="66"/>
      <c r="R323" s="66"/>
      <c r="S323" s="66"/>
      <c r="T323" s="138" t="str">
        <f>IFERROR(LOOKUP($S323,MOTORISTAS!$D$3:$D$1048576,MOTORISTAS!E$3:$E$1048576),"")</f>
        <v/>
      </c>
      <c r="U323" s="138" t="str">
        <f>IFERROR(LOOKUP($S323,MOTORISTAS!$D$3:$D$1048576,MOTORISTAS!F$3:$F$1048576),"")</f>
        <v/>
      </c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44"/>
      <c r="AG323" s="254">
        <f>Prog_236[[#This Row],[SAÍDA DO CLIENTE]]-Prog_236[[#This Row],[PROGRAMAÇÃO CLIENTE]]</f>
        <v>0</v>
      </c>
      <c r="AH323" s="44"/>
      <c r="AI323" s="66"/>
      <c r="AJ323" s="66"/>
      <c r="AK323" s="66"/>
      <c r="AL323" s="66"/>
      <c r="AM323" s="66"/>
      <c r="AN323" s="83"/>
      <c r="AO323" s="66"/>
      <c r="AP323" s="66"/>
      <c r="AQ323" s="66"/>
      <c r="AR323" s="81"/>
      <c r="AS323" s="81"/>
      <c r="AT323" s="81"/>
      <c r="AU323" s="81"/>
      <c r="AV323" s="83">
        <f>SUM(Prog_236[[#This Row],[ADIANTAMENTO]]+Prog_236[[#This Row],[SALDO]]+Prog_236[[#This Row],[MARGEM]]+Prog_236[[#This Row],[ESTADIA 1]])</f>
        <v>0</v>
      </c>
      <c r="AW3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3" s="81"/>
      <c r="AY323" s="81"/>
      <c r="AZ323" s="81">
        <f>Prog_236[[#This Row],[VLR NF]]*0.1%</f>
        <v>0</v>
      </c>
      <c r="BA323" s="81">
        <f>Prog_236[[#This Row],[VLR NF]]*0.05%</f>
        <v>0</v>
      </c>
      <c r="BB323" s="81"/>
      <c r="BC323" s="81"/>
      <c r="BD323" s="81"/>
      <c r="BE323" s="81"/>
      <c r="BF323" s="81"/>
      <c r="BG323" s="81"/>
      <c r="BH323" s="81"/>
      <c r="BI323" s="81"/>
      <c r="BJ323" s="81"/>
      <c r="BK323" s="81"/>
      <c r="BL323" s="66"/>
      <c r="BM323" s="66"/>
      <c r="BN323" s="66"/>
      <c r="BO323" s="66" t="str">
        <f>PROPER(TEXT(Prog_236[[#This Row],[PROGRAMAÇÃO CLIENTE]],"mmm"))</f>
        <v>Jan</v>
      </c>
      <c r="BP323" s="66">
        <f>YEAR(Prog_236[[#This Row],[PROGRAMAÇÃO CLIENTE]])</f>
        <v>1900</v>
      </c>
    </row>
    <row r="324" spans="1:68" x14ac:dyDescent="0.25">
      <c r="A324" s="201">
        <f>Prog_236[[#This Row],[CONTEINER]]</f>
        <v>0</v>
      </c>
      <c r="B324" s="86"/>
      <c r="C3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4" s="44"/>
      <c r="E324" s="66"/>
      <c r="F324" s="66"/>
      <c r="G324" s="66"/>
      <c r="H324" s="44"/>
      <c r="I324" s="44"/>
      <c r="J324" s="66"/>
      <c r="K324" s="66"/>
      <c r="L324" s="66"/>
      <c r="M324" s="66"/>
      <c r="N324" s="66">
        <f>SUM(Prog_236[[#This Row],[TARA]]+Prog_236[[#This Row],[PESO]])</f>
        <v>0</v>
      </c>
      <c r="O324" s="44"/>
      <c r="P324" s="66"/>
      <c r="Q324" s="66"/>
      <c r="R324" s="66"/>
      <c r="S324" s="66"/>
      <c r="T324" s="138" t="str">
        <f>IFERROR(LOOKUP($S324,MOTORISTAS!$D$3:$D$1048576,MOTORISTAS!E$3:$E$1048576),"")</f>
        <v/>
      </c>
      <c r="U324" s="138" t="str">
        <f>IFERROR(LOOKUP($S324,MOTORISTAS!$D$3:$D$1048576,MOTORISTAS!F$3:$F$1048576),"")</f>
        <v/>
      </c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44"/>
      <c r="AG324" s="254">
        <f>Prog_236[[#This Row],[SAÍDA DO CLIENTE]]-Prog_236[[#This Row],[PROGRAMAÇÃO CLIENTE]]</f>
        <v>0</v>
      </c>
      <c r="AH324" s="44"/>
      <c r="AI324" s="66"/>
      <c r="AJ324" s="66"/>
      <c r="AK324" s="66"/>
      <c r="AL324" s="66"/>
      <c r="AM324" s="66"/>
      <c r="AN324" s="83"/>
      <c r="AO324" s="66"/>
      <c r="AP324" s="66"/>
      <c r="AQ324" s="66"/>
      <c r="AR324" s="81"/>
      <c r="AS324" s="81"/>
      <c r="AT324" s="81"/>
      <c r="AU324" s="81"/>
      <c r="AV324" s="83">
        <f>SUM(Prog_236[[#This Row],[ADIANTAMENTO]]+Prog_236[[#This Row],[SALDO]]+Prog_236[[#This Row],[MARGEM]]+Prog_236[[#This Row],[ESTADIA 1]])</f>
        <v>0</v>
      </c>
      <c r="AW3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4" s="81"/>
      <c r="AY324" s="81"/>
      <c r="AZ324" s="81">
        <f>Prog_236[[#This Row],[VLR NF]]*0.1%</f>
        <v>0</v>
      </c>
      <c r="BA324" s="81">
        <f>Prog_236[[#This Row],[VLR NF]]*0.05%</f>
        <v>0</v>
      </c>
      <c r="BB324" s="81"/>
      <c r="BC324" s="81"/>
      <c r="BD324" s="81"/>
      <c r="BE324" s="81"/>
      <c r="BF324" s="81"/>
      <c r="BG324" s="81"/>
      <c r="BH324" s="81"/>
      <c r="BI324" s="81"/>
      <c r="BJ324" s="81"/>
      <c r="BK324" s="81"/>
      <c r="BL324" s="66"/>
      <c r="BM324" s="66"/>
      <c r="BN324" s="66"/>
      <c r="BO324" s="66" t="str">
        <f>PROPER(TEXT(Prog_236[[#This Row],[PROGRAMAÇÃO CLIENTE]],"mmm"))</f>
        <v>Jan</v>
      </c>
      <c r="BP324" s="66">
        <f>YEAR(Prog_236[[#This Row],[PROGRAMAÇÃO CLIENTE]])</f>
        <v>1900</v>
      </c>
    </row>
    <row r="325" spans="1:68" x14ac:dyDescent="0.25">
      <c r="A325" s="200">
        <f>Prog_236[[#This Row],[CONTEINER]]</f>
        <v>0</v>
      </c>
      <c r="B325" s="86"/>
      <c r="C3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5" s="44"/>
      <c r="E325" s="66"/>
      <c r="F325" s="66"/>
      <c r="G325" s="66"/>
      <c r="H325" s="44"/>
      <c r="I325" s="44"/>
      <c r="J325" s="66"/>
      <c r="K325" s="66"/>
      <c r="L325" s="66"/>
      <c r="M325" s="66"/>
      <c r="N325" s="66">
        <f>SUM(Prog_236[[#This Row],[TARA]]+Prog_236[[#This Row],[PESO]])</f>
        <v>0</v>
      </c>
      <c r="O325" s="44"/>
      <c r="P325" s="66"/>
      <c r="Q325" s="66"/>
      <c r="R325" s="66"/>
      <c r="S325" s="66"/>
      <c r="T325" s="138" t="str">
        <f>IFERROR(LOOKUP($S325,MOTORISTAS!$D$3:$D$1048576,MOTORISTAS!E$3:$E$1048576),"")</f>
        <v/>
      </c>
      <c r="U325" s="138" t="str">
        <f>IFERROR(LOOKUP($S325,MOTORISTAS!$D$3:$D$1048576,MOTORISTAS!F$3:$F$1048576),"")</f>
        <v/>
      </c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44"/>
      <c r="AG325" s="254">
        <f>Prog_236[[#This Row],[SAÍDA DO CLIENTE]]-Prog_236[[#This Row],[PROGRAMAÇÃO CLIENTE]]</f>
        <v>0</v>
      </c>
      <c r="AH325" s="44"/>
      <c r="AI325" s="66"/>
      <c r="AJ325" s="66"/>
      <c r="AK325" s="66"/>
      <c r="AL325" s="66"/>
      <c r="AM325" s="66"/>
      <c r="AN325" s="83"/>
      <c r="AO325" s="66"/>
      <c r="AP325" s="66"/>
      <c r="AQ325" s="66"/>
      <c r="AR325" s="81"/>
      <c r="AS325" s="81"/>
      <c r="AT325" s="81"/>
      <c r="AU325" s="81"/>
      <c r="AV325" s="83">
        <f>SUM(Prog_236[[#This Row],[ADIANTAMENTO]]+Prog_236[[#This Row],[SALDO]]+Prog_236[[#This Row],[MARGEM]]+Prog_236[[#This Row],[ESTADIA 1]])</f>
        <v>0</v>
      </c>
      <c r="AW3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5" s="81"/>
      <c r="AY325" s="81"/>
      <c r="AZ325" s="81">
        <f>Prog_236[[#This Row],[VLR NF]]*0.1%</f>
        <v>0</v>
      </c>
      <c r="BA325" s="81">
        <f>Prog_236[[#This Row],[VLR NF]]*0.05%</f>
        <v>0</v>
      </c>
      <c r="BB325" s="81"/>
      <c r="BC325" s="81"/>
      <c r="BD325" s="81"/>
      <c r="BE325" s="81"/>
      <c r="BF325" s="81"/>
      <c r="BG325" s="81"/>
      <c r="BH325" s="81"/>
      <c r="BI325" s="81"/>
      <c r="BJ325" s="81"/>
      <c r="BK325" s="81"/>
      <c r="BL325" s="66"/>
      <c r="BM325" s="66"/>
      <c r="BN325" s="66"/>
      <c r="BO325" s="66" t="str">
        <f>PROPER(TEXT(Prog_236[[#This Row],[PROGRAMAÇÃO CLIENTE]],"mmm"))</f>
        <v>Jan</v>
      </c>
      <c r="BP325" s="66">
        <f>YEAR(Prog_236[[#This Row],[PROGRAMAÇÃO CLIENTE]])</f>
        <v>1900</v>
      </c>
    </row>
    <row r="326" spans="1:68" x14ac:dyDescent="0.25">
      <c r="A326" s="201">
        <f>Prog_236[[#This Row],[CONTEINER]]</f>
        <v>0</v>
      </c>
      <c r="B326" s="86"/>
      <c r="C3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6" s="44"/>
      <c r="E326" s="66"/>
      <c r="F326" s="66"/>
      <c r="G326" s="66"/>
      <c r="H326" s="44"/>
      <c r="I326" s="44"/>
      <c r="J326" s="66"/>
      <c r="K326" s="66"/>
      <c r="L326" s="66"/>
      <c r="M326" s="66"/>
      <c r="N326" s="66">
        <f>SUM(Prog_236[[#This Row],[TARA]]+Prog_236[[#This Row],[PESO]])</f>
        <v>0</v>
      </c>
      <c r="O326" s="44"/>
      <c r="P326" s="66"/>
      <c r="Q326" s="66"/>
      <c r="R326" s="66"/>
      <c r="S326" s="66"/>
      <c r="T326" s="138" t="str">
        <f>IFERROR(LOOKUP($S326,MOTORISTAS!$D$3:$D$1048576,MOTORISTAS!E$3:$E$1048576),"")</f>
        <v/>
      </c>
      <c r="U326" s="138" t="str">
        <f>IFERROR(LOOKUP($S326,MOTORISTAS!$D$3:$D$1048576,MOTORISTAS!F$3:$F$1048576),"")</f>
        <v/>
      </c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44"/>
      <c r="AG326" s="254">
        <f>Prog_236[[#This Row],[SAÍDA DO CLIENTE]]-Prog_236[[#This Row],[PROGRAMAÇÃO CLIENTE]]</f>
        <v>0</v>
      </c>
      <c r="AH326" s="44"/>
      <c r="AI326" s="66"/>
      <c r="AJ326" s="66"/>
      <c r="AK326" s="66"/>
      <c r="AL326" s="66"/>
      <c r="AM326" s="66"/>
      <c r="AN326" s="83"/>
      <c r="AO326" s="66"/>
      <c r="AP326" s="66"/>
      <c r="AQ326" s="66"/>
      <c r="AR326" s="81"/>
      <c r="AS326" s="81"/>
      <c r="AT326" s="81"/>
      <c r="AU326" s="81"/>
      <c r="AV326" s="83">
        <f>SUM(Prog_236[[#This Row],[ADIANTAMENTO]]+Prog_236[[#This Row],[SALDO]]+Prog_236[[#This Row],[MARGEM]]+Prog_236[[#This Row],[ESTADIA 1]])</f>
        <v>0</v>
      </c>
      <c r="AW3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6" s="81"/>
      <c r="AY326" s="81"/>
      <c r="AZ326" s="81">
        <f>Prog_236[[#This Row],[VLR NF]]*0.1%</f>
        <v>0</v>
      </c>
      <c r="BA326" s="81">
        <f>Prog_236[[#This Row],[VLR NF]]*0.05%</f>
        <v>0</v>
      </c>
      <c r="BB326" s="81"/>
      <c r="BC326" s="81"/>
      <c r="BD326" s="81"/>
      <c r="BE326" s="81"/>
      <c r="BF326" s="81"/>
      <c r="BG326" s="81"/>
      <c r="BH326" s="81"/>
      <c r="BI326" s="81"/>
      <c r="BJ326" s="81"/>
      <c r="BK326" s="81"/>
      <c r="BL326" s="66"/>
      <c r="BM326" s="66"/>
      <c r="BN326" s="66"/>
      <c r="BO326" s="66" t="str">
        <f>PROPER(TEXT(Prog_236[[#This Row],[PROGRAMAÇÃO CLIENTE]],"mmm"))</f>
        <v>Jan</v>
      </c>
      <c r="BP326" s="66">
        <f>YEAR(Prog_236[[#This Row],[PROGRAMAÇÃO CLIENTE]])</f>
        <v>1900</v>
      </c>
    </row>
    <row r="327" spans="1:68" x14ac:dyDescent="0.25">
      <c r="A327" s="200">
        <f>Prog_236[[#This Row],[CONTEINER]]</f>
        <v>0</v>
      </c>
      <c r="B327" s="86"/>
      <c r="C3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7" s="44"/>
      <c r="E327" s="66"/>
      <c r="F327" s="66"/>
      <c r="G327" s="66"/>
      <c r="H327" s="44"/>
      <c r="I327" s="44"/>
      <c r="J327" s="66"/>
      <c r="K327" s="66"/>
      <c r="L327" s="66"/>
      <c r="M327" s="66"/>
      <c r="N327" s="66">
        <f>SUM(Prog_236[[#This Row],[TARA]]+Prog_236[[#This Row],[PESO]])</f>
        <v>0</v>
      </c>
      <c r="O327" s="44"/>
      <c r="P327" s="66"/>
      <c r="Q327" s="66"/>
      <c r="R327" s="66"/>
      <c r="S327" s="66"/>
      <c r="T327" s="138" t="str">
        <f>IFERROR(LOOKUP($S327,MOTORISTAS!$D$3:$D$1048576,MOTORISTAS!E$3:$E$1048576),"")</f>
        <v/>
      </c>
      <c r="U327" s="138" t="str">
        <f>IFERROR(LOOKUP($S327,MOTORISTAS!$D$3:$D$1048576,MOTORISTAS!F$3:$F$1048576),"")</f>
        <v/>
      </c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44"/>
      <c r="AG327" s="254">
        <f>Prog_236[[#This Row],[SAÍDA DO CLIENTE]]-Prog_236[[#This Row],[PROGRAMAÇÃO CLIENTE]]</f>
        <v>0</v>
      </c>
      <c r="AH327" s="44"/>
      <c r="AI327" s="66"/>
      <c r="AJ327" s="66"/>
      <c r="AK327" s="66"/>
      <c r="AL327" s="66"/>
      <c r="AM327" s="66"/>
      <c r="AN327" s="83"/>
      <c r="AO327" s="66"/>
      <c r="AP327" s="66"/>
      <c r="AQ327" s="66"/>
      <c r="AR327" s="81"/>
      <c r="AS327" s="81"/>
      <c r="AT327" s="81"/>
      <c r="AU327" s="81"/>
      <c r="AV327" s="83">
        <f>SUM(Prog_236[[#This Row],[ADIANTAMENTO]]+Prog_236[[#This Row],[SALDO]]+Prog_236[[#This Row],[MARGEM]]+Prog_236[[#This Row],[ESTADIA 1]])</f>
        <v>0</v>
      </c>
      <c r="AW3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7" s="81"/>
      <c r="AY327" s="81"/>
      <c r="AZ327" s="81">
        <f>Prog_236[[#This Row],[VLR NF]]*0.1%</f>
        <v>0</v>
      </c>
      <c r="BA327" s="81">
        <f>Prog_236[[#This Row],[VLR NF]]*0.05%</f>
        <v>0</v>
      </c>
      <c r="BB327" s="81"/>
      <c r="BC327" s="81"/>
      <c r="BD327" s="81"/>
      <c r="BE327" s="81"/>
      <c r="BF327" s="81"/>
      <c r="BG327" s="81"/>
      <c r="BH327" s="81"/>
      <c r="BI327" s="81"/>
      <c r="BJ327" s="81"/>
      <c r="BK327" s="81"/>
      <c r="BL327" s="66"/>
      <c r="BM327" s="66"/>
      <c r="BN327" s="66"/>
      <c r="BO327" s="66" t="str">
        <f>PROPER(TEXT(Prog_236[[#This Row],[PROGRAMAÇÃO CLIENTE]],"mmm"))</f>
        <v>Jan</v>
      </c>
      <c r="BP327" s="66">
        <f>YEAR(Prog_236[[#This Row],[PROGRAMAÇÃO CLIENTE]])</f>
        <v>1900</v>
      </c>
    </row>
    <row r="328" spans="1:68" x14ac:dyDescent="0.25">
      <c r="A328" s="201">
        <f>Prog_236[[#This Row],[CONTEINER]]</f>
        <v>0</v>
      </c>
      <c r="B328" s="86"/>
      <c r="C3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8" s="44"/>
      <c r="E328" s="66"/>
      <c r="F328" s="66"/>
      <c r="G328" s="66"/>
      <c r="H328" s="44"/>
      <c r="I328" s="44"/>
      <c r="J328" s="66"/>
      <c r="K328" s="66"/>
      <c r="L328" s="66"/>
      <c r="M328" s="66"/>
      <c r="N328" s="66">
        <f>SUM(Prog_236[[#This Row],[TARA]]+Prog_236[[#This Row],[PESO]])</f>
        <v>0</v>
      </c>
      <c r="O328" s="44"/>
      <c r="P328" s="66"/>
      <c r="Q328" s="66"/>
      <c r="R328" s="66"/>
      <c r="S328" s="66"/>
      <c r="T328" s="138" t="str">
        <f>IFERROR(LOOKUP($S328,MOTORISTAS!$D$3:$D$1048576,MOTORISTAS!E$3:$E$1048576),"")</f>
        <v/>
      </c>
      <c r="U328" s="138" t="str">
        <f>IFERROR(LOOKUP($S328,MOTORISTAS!$D$3:$D$1048576,MOTORISTAS!F$3:$F$1048576),"")</f>
        <v/>
      </c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44"/>
      <c r="AG328" s="254">
        <f>Prog_236[[#This Row],[SAÍDA DO CLIENTE]]-Prog_236[[#This Row],[PROGRAMAÇÃO CLIENTE]]</f>
        <v>0</v>
      </c>
      <c r="AH328" s="44"/>
      <c r="AI328" s="66"/>
      <c r="AJ328" s="66"/>
      <c r="AK328" s="66"/>
      <c r="AL328" s="66"/>
      <c r="AM328" s="66"/>
      <c r="AN328" s="83"/>
      <c r="AO328" s="66"/>
      <c r="AP328" s="66"/>
      <c r="AQ328" s="66"/>
      <c r="AR328" s="81"/>
      <c r="AS328" s="81"/>
      <c r="AT328" s="81"/>
      <c r="AU328" s="81"/>
      <c r="AV328" s="83">
        <f>SUM(Prog_236[[#This Row],[ADIANTAMENTO]]+Prog_236[[#This Row],[SALDO]]+Prog_236[[#This Row],[MARGEM]]+Prog_236[[#This Row],[ESTADIA 1]])</f>
        <v>0</v>
      </c>
      <c r="AW3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8" s="81"/>
      <c r="AY328" s="81"/>
      <c r="AZ328" s="81">
        <f>Prog_236[[#This Row],[VLR NF]]*0.1%</f>
        <v>0</v>
      </c>
      <c r="BA328" s="81">
        <f>Prog_236[[#This Row],[VLR NF]]*0.05%</f>
        <v>0</v>
      </c>
      <c r="BB328" s="81"/>
      <c r="BC328" s="81"/>
      <c r="BD328" s="81"/>
      <c r="BE328" s="81"/>
      <c r="BF328" s="81"/>
      <c r="BG328" s="81"/>
      <c r="BH328" s="81"/>
      <c r="BI328" s="81"/>
      <c r="BJ328" s="81"/>
      <c r="BK328" s="81"/>
      <c r="BL328" s="66"/>
      <c r="BM328" s="66"/>
      <c r="BN328" s="66"/>
      <c r="BO328" s="66" t="str">
        <f>PROPER(TEXT(Prog_236[[#This Row],[PROGRAMAÇÃO CLIENTE]],"mmm"))</f>
        <v>Jan</v>
      </c>
      <c r="BP328" s="66">
        <f>YEAR(Prog_236[[#This Row],[PROGRAMAÇÃO CLIENTE]])</f>
        <v>1900</v>
      </c>
    </row>
    <row r="329" spans="1:68" x14ac:dyDescent="0.25">
      <c r="A329" s="200">
        <f>Prog_236[[#This Row],[CONTEINER]]</f>
        <v>0</v>
      </c>
      <c r="B329" s="86"/>
      <c r="C3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29" s="44"/>
      <c r="E329" s="66"/>
      <c r="F329" s="66"/>
      <c r="G329" s="66"/>
      <c r="H329" s="44"/>
      <c r="I329" s="44"/>
      <c r="J329" s="66"/>
      <c r="K329" s="66"/>
      <c r="L329" s="66"/>
      <c r="M329" s="66"/>
      <c r="N329" s="66">
        <f>SUM(Prog_236[[#This Row],[TARA]]+Prog_236[[#This Row],[PESO]])</f>
        <v>0</v>
      </c>
      <c r="O329" s="44"/>
      <c r="P329" s="66"/>
      <c r="Q329" s="66"/>
      <c r="R329" s="66"/>
      <c r="S329" s="66"/>
      <c r="T329" s="138" t="str">
        <f>IFERROR(LOOKUP($S329,MOTORISTAS!$D$3:$D$1048576,MOTORISTAS!E$3:$E$1048576),"")</f>
        <v/>
      </c>
      <c r="U329" s="138" t="str">
        <f>IFERROR(LOOKUP($S329,MOTORISTAS!$D$3:$D$1048576,MOTORISTAS!F$3:$F$1048576),"")</f>
        <v/>
      </c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44"/>
      <c r="AG329" s="254">
        <f>Prog_236[[#This Row],[SAÍDA DO CLIENTE]]-Prog_236[[#This Row],[PROGRAMAÇÃO CLIENTE]]</f>
        <v>0</v>
      </c>
      <c r="AH329" s="44"/>
      <c r="AI329" s="66"/>
      <c r="AJ329" s="66"/>
      <c r="AK329" s="66"/>
      <c r="AL329" s="66"/>
      <c r="AM329" s="66"/>
      <c r="AN329" s="83"/>
      <c r="AO329" s="66"/>
      <c r="AP329" s="66"/>
      <c r="AQ329" s="66"/>
      <c r="AR329" s="81"/>
      <c r="AS329" s="81"/>
      <c r="AT329" s="81"/>
      <c r="AU329" s="81"/>
      <c r="AV329" s="83">
        <f>SUM(Prog_236[[#This Row],[ADIANTAMENTO]]+Prog_236[[#This Row],[SALDO]]+Prog_236[[#This Row],[MARGEM]]+Prog_236[[#This Row],[ESTADIA 1]])</f>
        <v>0</v>
      </c>
      <c r="AW3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29" s="81"/>
      <c r="AY329" s="81"/>
      <c r="AZ329" s="81">
        <f>Prog_236[[#This Row],[VLR NF]]*0.1%</f>
        <v>0</v>
      </c>
      <c r="BA329" s="81">
        <f>Prog_236[[#This Row],[VLR NF]]*0.05%</f>
        <v>0</v>
      </c>
      <c r="BB329" s="81"/>
      <c r="BC329" s="81"/>
      <c r="BD329" s="81"/>
      <c r="BE329" s="81"/>
      <c r="BF329" s="81"/>
      <c r="BG329" s="81"/>
      <c r="BH329" s="81"/>
      <c r="BI329" s="81"/>
      <c r="BJ329" s="81"/>
      <c r="BK329" s="81"/>
      <c r="BL329" s="66"/>
      <c r="BM329" s="66"/>
      <c r="BN329" s="66"/>
      <c r="BO329" s="66" t="str">
        <f>PROPER(TEXT(Prog_236[[#This Row],[PROGRAMAÇÃO CLIENTE]],"mmm"))</f>
        <v>Jan</v>
      </c>
      <c r="BP329" s="66">
        <f>YEAR(Prog_236[[#This Row],[PROGRAMAÇÃO CLIENTE]])</f>
        <v>1900</v>
      </c>
    </row>
    <row r="330" spans="1:68" x14ac:dyDescent="0.25">
      <c r="A330" s="201">
        <f>Prog_236[[#This Row],[CONTEINER]]</f>
        <v>0</v>
      </c>
      <c r="B330" s="86"/>
      <c r="C3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0" s="44"/>
      <c r="E330" s="66"/>
      <c r="F330" s="66"/>
      <c r="G330" s="66"/>
      <c r="H330" s="44"/>
      <c r="I330" s="44"/>
      <c r="J330" s="66"/>
      <c r="K330" s="66"/>
      <c r="L330" s="66"/>
      <c r="M330" s="66"/>
      <c r="N330" s="66">
        <f>SUM(Prog_236[[#This Row],[TARA]]+Prog_236[[#This Row],[PESO]])</f>
        <v>0</v>
      </c>
      <c r="O330" s="44"/>
      <c r="P330" s="66"/>
      <c r="Q330" s="66"/>
      <c r="R330" s="66"/>
      <c r="S330" s="66"/>
      <c r="T330" s="138" t="str">
        <f>IFERROR(LOOKUP($S330,MOTORISTAS!$D$3:$D$1048576,MOTORISTAS!E$3:$E$1048576),"")</f>
        <v/>
      </c>
      <c r="U330" s="138" t="str">
        <f>IFERROR(LOOKUP($S330,MOTORISTAS!$D$3:$D$1048576,MOTORISTAS!F$3:$F$1048576),"")</f>
        <v/>
      </c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44"/>
      <c r="AG330" s="254">
        <f>Prog_236[[#This Row],[SAÍDA DO CLIENTE]]-Prog_236[[#This Row],[PROGRAMAÇÃO CLIENTE]]</f>
        <v>0</v>
      </c>
      <c r="AH330" s="44"/>
      <c r="AI330" s="66"/>
      <c r="AJ330" s="66"/>
      <c r="AK330" s="66"/>
      <c r="AL330" s="66"/>
      <c r="AM330" s="66"/>
      <c r="AN330" s="83"/>
      <c r="AO330" s="66"/>
      <c r="AP330" s="66"/>
      <c r="AQ330" s="66"/>
      <c r="AR330" s="81"/>
      <c r="AS330" s="81"/>
      <c r="AT330" s="81"/>
      <c r="AU330" s="81"/>
      <c r="AV330" s="83">
        <f>SUM(Prog_236[[#This Row],[ADIANTAMENTO]]+Prog_236[[#This Row],[SALDO]]+Prog_236[[#This Row],[MARGEM]]+Prog_236[[#This Row],[ESTADIA 1]])</f>
        <v>0</v>
      </c>
      <c r="AW3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0" s="81"/>
      <c r="AY330" s="81"/>
      <c r="AZ330" s="81">
        <f>Prog_236[[#This Row],[VLR NF]]*0.1%</f>
        <v>0</v>
      </c>
      <c r="BA330" s="81">
        <f>Prog_236[[#This Row],[VLR NF]]*0.05%</f>
        <v>0</v>
      </c>
      <c r="BB330" s="81"/>
      <c r="BC330" s="81"/>
      <c r="BD330" s="81"/>
      <c r="BE330" s="81"/>
      <c r="BF330" s="81"/>
      <c r="BG330" s="81"/>
      <c r="BH330" s="81"/>
      <c r="BI330" s="81"/>
      <c r="BJ330" s="81"/>
      <c r="BK330" s="81"/>
      <c r="BL330" s="66"/>
      <c r="BM330" s="66"/>
      <c r="BN330" s="66"/>
      <c r="BO330" s="66" t="str">
        <f>PROPER(TEXT(Prog_236[[#This Row],[PROGRAMAÇÃO CLIENTE]],"mmm"))</f>
        <v>Jan</v>
      </c>
      <c r="BP330" s="66">
        <f>YEAR(Prog_236[[#This Row],[PROGRAMAÇÃO CLIENTE]])</f>
        <v>1900</v>
      </c>
    </row>
    <row r="331" spans="1:68" x14ac:dyDescent="0.25">
      <c r="A331" s="200">
        <f>Prog_236[[#This Row],[CONTEINER]]</f>
        <v>0</v>
      </c>
      <c r="B331" s="86"/>
      <c r="C3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1" s="44"/>
      <c r="E331" s="66"/>
      <c r="F331" s="66"/>
      <c r="G331" s="66"/>
      <c r="H331" s="44"/>
      <c r="I331" s="44"/>
      <c r="J331" s="66"/>
      <c r="K331" s="66"/>
      <c r="L331" s="66"/>
      <c r="M331" s="66"/>
      <c r="N331" s="66">
        <f>SUM(Prog_236[[#This Row],[TARA]]+Prog_236[[#This Row],[PESO]])</f>
        <v>0</v>
      </c>
      <c r="O331" s="44"/>
      <c r="P331" s="66"/>
      <c r="Q331" s="66"/>
      <c r="R331" s="66"/>
      <c r="S331" s="66"/>
      <c r="T331" s="138" t="str">
        <f>IFERROR(LOOKUP($S331,MOTORISTAS!$D$3:$D$1048576,MOTORISTAS!E$3:$E$1048576),"")</f>
        <v/>
      </c>
      <c r="U331" s="138" t="str">
        <f>IFERROR(LOOKUP($S331,MOTORISTAS!$D$3:$D$1048576,MOTORISTAS!F$3:$F$1048576),"")</f>
        <v/>
      </c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44"/>
      <c r="AG331" s="254">
        <f>Prog_236[[#This Row],[SAÍDA DO CLIENTE]]-Prog_236[[#This Row],[PROGRAMAÇÃO CLIENTE]]</f>
        <v>0</v>
      </c>
      <c r="AH331" s="44"/>
      <c r="AI331" s="66"/>
      <c r="AJ331" s="66"/>
      <c r="AK331" s="66"/>
      <c r="AL331" s="66"/>
      <c r="AM331" s="66"/>
      <c r="AN331" s="83"/>
      <c r="AO331" s="66"/>
      <c r="AP331" s="66"/>
      <c r="AQ331" s="66"/>
      <c r="AR331" s="81"/>
      <c r="AS331" s="81"/>
      <c r="AT331" s="81"/>
      <c r="AU331" s="81"/>
      <c r="AV331" s="83">
        <f>SUM(Prog_236[[#This Row],[ADIANTAMENTO]]+Prog_236[[#This Row],[SALDO]]+Prog_236[[#This Row],[MARGEM]]+Prog_236[[#This Row],[ESTADIA 1]])</f>
        <v>0</v>
      </c>
      <c r="AW3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1" s="81"/>
      <c r="AY331" s="81"/>
      <c r="AZ331" s="81">
        <f>Prog_236[[#This Row],[VLR NF]]*0.1%</f>
        <v>0</v>
      </c>
      <c r="BA331" s="81">
        <f>Prog_236[[#This Row],[VLR NF]]*0.05%</f>
        <v>0</v>
      </c>
      <c r="BB331" s="81"/>
      <c r="BC331" s="81"/>
      <c r="BD331" s="81"/>
      <c r="BE331" s="81"/>
      <c r="BF331" s="81"/>
      <c r="BG331" s="81"/>
      <c r="BH331" s="81"/>
      <c r="BI331" s="81"/>
      <c r="BJ331" s="81"/>
      <c r="BK331" s="81"/>
      <c r="BL331" s="66"/>
      <c r="BM331" s="66"/>
      <c r="BN331" s="66"/>
      <c r="BO331" s="66" t="str">
        <f>PROPER(TEXT(Prog_236[[#This Row],[PROGRAMAÇÃO CLIENTE]],"mmm"))</f>
        <v>Jan</v>
      </c>
      <c r="BP331" s="66">
        <f>YEAR(Prog_236[[#This Row],[PROGRAMAÇÃO CLIENTE]])</f>
        <v>1900</v>
      </c>
    </row>
    <row r="332" spans="1:68" x14ac:dyDescent="0.25">
      <c r="A332" s="201">
        <f>Prog_236[[#This Row],[CONTEINER]]</f>
        <v>0</v>
      </c>
      <c r="B332" s="86"/>
      <c r="C3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2" s="44"/>
      <c r="E332" s="66"/>
      <c r="F332" s="66"/>
      <c r="G332" s="66"/>
      <c r="H332" s="44"/>
      <c r="I332" s="44"/>
      <c r="J332" s="66"/>
      <c r="K332" s="66"/>
      <c r="L332" s="66"/>
      <c r="M332" s="66"/>
      <c r="N332" s="66">
        <f>SUM(Prog_236[[#This Row],[TARA]]+Prog_236[[#This Row],[PESO]])</f>
        <v>0</v>
      </c>
      <c r="O332" s="44"/>
      <c r="P332" s="66"/>
      <c r="Q332" s="66"/>
      <c r="R332" s="66"/>
      <c r="S332" s="66"/>
      <c r="T332" s="138" t="str">
        <f>IFERROR(LOOKUP($S332,MOTORISTAS!$D$3:$D$1048576,MOTORISTAS!E$3:$E$1048576),"")</f>
        <v/>
      </c>
      <c r="U332" s="138" t="str">
        <f>IFERROR(LOOKUP($S332,MOTORISTAS!$D$3:$D$1048576,MOTORISTAS!F$3:$F$1048576),"")</f>
        <v/>
      </c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44"/>
      <c r="AG332" s="254">
        <f>Prog_236[[#This Row],[SAÍDA DO CLIENTE]]-Prog_236[[#This Row],[PROGRAMAÇÃO CLIENTE]]</f>
        <v>0</v>
      </c>
      <c r="AH332" s="44"/>
      <c r="AI332" s="66"/>
      <c r="AJ332" s="66"/>
      <c r="AK332" s="66"/>
      <c r="AL332" s="66"/>
      <c r="AM332" s="66"/>
      <c r="AN332" s="83"/>
      <c r="AO332" s="66"/>
      <c r="AP332" s="66"/>
      <c r="AQ332" s="66"/>
      <c r="AR332" s="81"/>
      <c r="AS332" s="81"/>
      <c r="AT332" s="81"/>
      <c r="AU332" s="81"/>
      <c r="AV332" s="83">
        <f>SUM(Prog_236[[#This Row],[ADIANTAMENTO]]+Prog_236[[#This Row],[SALDO]]+Prog_236[[#This Row],[MARGEM]]+Prog_236[[#This Row],[ESTADIA 1]])</f>
        <v>0</v>
      </c>
      <c r="AW3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2" s="81"/>
      <c r="AY332" s="81"/>
      <c r="AZ332" s="81">
        <f>Prog_236[[#This Row],[VLR NF]]*0.1%</f>
        <v>0</v>
      </c>
      <c r="BA332" s="81">
        <f>Prog_236[[#This Row],[VLR NF]]*0.05%</f>
        <v>0</v>
      </c>
      <c r="BB332" s="81"/>
      <c r="BC332" s="81"/>
      <c r="BD332" s="81"/>
      <c r="BE332" s="81"/>
      <c r="BF332" s="81"/>
      <c r="BG332" s="81"/>
      <c r="BH332" s="81"/>
      <c r="BI332" s="81"/>
      <c r="BJ332" s="81"/>
      <c r="BK332" s="81"/>
      <c r="BL332" s="66"/>
      <c r="BM332" s="66"/>
      <c r="BN332" s="66"/>
      <c r="BO332" s="66" t="str">
        <f>PROPER(TEXT(Prog_236[[#This Row],[PROGRAMAÇÃO CLIENTE]],"mmm"))</f>
        <v>Jan</v>
      </c>
      <c r="BP332" s="66">
        <f>YEAR(Prog_236[[#This Row],[PROGRAMAÇÃO CLIENTE]])</f>
        <v>1900</v>
      </c>
    </row>
    <row r="333" spans="1:68" x14ac:dyDescent="0.25">
      <c r="A333" s="200">
        <f>Prog_236[[#This Row],[CONTEINER]]</f>
        <v>0</v>
      </c>
      <c r="B333" s="86"/>
      <c r="C3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3" s="44"/>
      <c r="E333" s="66"/>
      <c r="F333" s="66"/>
      <c r="G333" s="66"/>
      <c r="H333" s="44"/>
      <c r="I333" s="44"/>
      <c r="J333" s="66"/>
      <c r="K333" s="66"/>
      <c r="L333" s="66"/>
      <c r="M333" s="66"/>
      <c r="N333" s="66">
        <f>SUM(Prog_236[[#This Row],[TARA]]+Prog_236[[#This Row],[PESO]])</f>
        <v>0</v>
      </c>
      <c r="O333" s="44"/>
      <c r="P333" s="66"/>
      <c r="Q333" s="66"/>
      <c r="R333" s="66"/>
      <c r="S333" s="66"/>
      <c r="T333" s="138" t="str">
        <f>IFERROR(LOOKUP($S333,MOTORISTAS!$D$3:$D$1048576,MOTORISTAS!E$3:$E$1048576),"")</f>
        <v/>
      </c>
      <c r="U333" s="138" t="str">
        <f>IFERROR(LOOKUP($S333,MOTORISTAS!$D$3:$D$1048576,MOTORISTAS!F$3:$F$1048576),"")</f>
        <v/>
      </c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44"/>
      <c r="AG333" s="254">
        <f>Prog_236[[#This Row],[SAÍDA DO CLIENTE]]-Prog_236[[#This Row],[PROGRAMAÇÃO CLIENTE]]</f>
        <v>0</v>
      </c>
      <c r="AH333" s="44"/>
      <c r="AI333" s="66"/>
      <c r="AJ333" s="66"/>
      <c r="AK333" s="66"/>
      <c r="AL333" s="66"/>
      <c r="AM333" s="66"/>
      <c r="AN333" s="83"/>
      <c r="AO333" s="66"/>
      <c r="AP333" s="66"/>
      <c r="AQ333" s="66"/>
      <c r="AR333" s="81"/>
      <c r="AS333" s="81"/>
      <c r="AT333" s="81"/>
      <c r="AU333" s="81"/>
      <c r="AV333" s="83">
        <f>SUM(Prog_236[[#This Row],[ADIANTAMENTO]]+Prog_236[[#This Row],[SALDO]]+Prog_236[[#This Row],[MARGEM]]+Prog_236[[#This Row],[ESTADIA 1]])</f>
        <v>0</v>
      </c>
      <c r="AW3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3" s="81"/>
      <c r="AY333" s="81"/>
      <c r="AZ333" s="81">
        <f>Prog_236[[#This Row],[VLR NF]]*0.1%</f>
        <v>0</v>
      </c>
      <c r="BA333" s="81">
        <f>Prog_236[[#This Row],[VLR NF]]*0.05%</f>
        <v>0</v>
      </c>
      <c r="BB333" s="81"/>
      <c r="BC333" s="81"/>
      <c r="BD333" s="81"/>
      <c r="BE333" s="81"/>
      <c r="BF333" s="81"/>
      <c r="BG333" s="81"/>
      <c r="BH333" s="81"/>
      <c r="BI333" s="81"/>
      <c r="BJ333" s="81"/>
      <c r="BK333" s="81"/>
      <c r="BL333" s="66"/>
      <c r="BM333" s="66"/>
      <c r="BN333" s="66"/>
      <c r="BO333" s="66" t="str">
        <f>PROPER(TEXT(Prog_236[[#This Row],[PROGRAMAÇÃO CLIENTE]],"mmm"))</f>
        <v>Jan</v>
      </c>
      <c r="BP333" s="66">
        <f>YEAR(Prog_236[[#This Row],[PROGRAMAÇÃO CLIENTE]])</f>
        <v>1900</v>
      </c>
    </row>
    <row r="334" spans="1:68" x14ac:dyDescent="0.25">
      <c r="A334" s="201">
        <f>Prog_236[[#This Row],[CONTEINER]]</f>
        <v>0</v>
      </c>
      <c r="B334" s="86"/>
      <c r="C3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4" s="44"/>
      <c r="E334" s="66"/>
      <c r="F334" s="66"/>
      <c r="G334" s="66"/>
      <c r="H334" s="44"/>
      <c r="I334" s="44"/>
      <c r="J334" s="66"/>
      <c r="K334" s="66"/>
      <c r="L334" s="66"/>
      <c r="M334" s="66"/>
      <c r="N334" s="66">
        <f>SUM(Prog_236[[#This Row],[TARA]]+Prog_236[[#This Row],[PESO]])</f>
        <v>0</v>
      </c>
      <c r="O334" s="44"/>
      <c r="P334" s="66"/>
      <c r="Q334" s="66"/>
      <c r="R334" s="66"/>
      <c r="S334" s="66"/>
      <c r="T334" s="138" t="str">
        <f>IFERROR(LOOKUP($S334,MOTORISTAS!$D$3:$D$1048576,MOTORISTAS!E$3:$E$1048576),"")</f>
        <v/>
      </c>
      <c r="U334" s="138" t="str">
        <f>IFERROR(LOOKUP($S334,MOTORISTAS!$D$3:$D$1048576,MOTORISTAS!F$3:$F$1048576),"")</f>
        <v/>
      </c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44"/>
      <c r="AG334" s="254">
        <f>Prog_236[[#This Row],[SAÍDA DO CLIENTE]]-Prog_236[[#This Row],[PROGRAMAÇÃO CLIENTE]]</f>
        <v>0</v>
      </c>
      <c r="AH334" s="44"/>
      <c r="AI334" s="66"/>
      <c r="AJ334" s="66"/>
      <c r="AK334" s="66"/>
      <c r="AL334" s="66"/>
      <c r="AM334" s="66"/>
      <c r="AN334" s="83"/>
      <c r="AO334" s="66"/>
      <c r="AP334" s="66"/>
      <c r="AQ334" s="66"/>
      <c r="AR334" s="81"/>
      <c r="AS334" s="81"/>
      <c r="AT334" s="81"/>
      <c r="AU334" s="81"/>
      <c r="AV334" s="83">
        <f>SUM(Prog_236[[#This Row],[ADIANTAMENTO]]+Prog_236[[#This Row],[SALDO]]+Prog_236[[#This Row],[MARGEM]]+Prog_236[[#This Row],[ESTADIA 1]])</f>
        <v>0</v>
      </c>
      <c r="AW3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4" s="81"/>
      <c r="AY334" s="81"/>
      <c r="AZ334" s="81">
        <f>Prog_236[[#This Row],[VLR NF]]*0.1%</f>
        <v>0</v>
      </c>
      <c r="BA334" s="81">
        <f>Prog_236[[#This Row],[VLR NF]]*0.05%</f>
        <v>0</v>
      </c>
      <c r="BB334" s="81"/>
      <c r="BC334" s="81"/>
      <c r="BD334" s="81"/>
      <c r="BE334" s="81"/>
      <c r="BF334" s="81"/>
      <c r="BG334" s="81"/>
      <c r="BH334" s="81"/>
      <c r="BI334" s="81"/>
      <c r="BJ334" s="81"/>
      <c r="BK334" s="81"/>
      <c r="BL334" s="66"/>
      <c r="BM334" s="66"/>
      <c r="BN334" s="66"/>
      <c r="BO334" s="66" t="str">
        <f>PROPER(TEXT(Prog_236[[#This Row],[PROGRAMAÇÃO CLIENTE]],"mmm"))</f>
        <v>Jan</v>
      </c>
      <c r="BP334" s="66">
        <f>YEAR(Prog_236[[#This Row],[PROGRAMAÇÃO CLIENTE]])</f>
        <v>1900</v>
      </c>
    </row>
    <row r="335" spans="1:68" x14ac:dyDescent="0.25">
      <c r="A335" s="200">
        <f>Prog_236[[#This Row],[CONTEINER]]</f>
        <v>0</v>
      </c>
      <c r="B335" s="86"/>
      <c r="C3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5" s="44"/>
      <c r="E335" s="66"/>
      <c r="F335" s="66"/>
      <c r="G335" s="66"/>
      <c r="H335" s="44"/>
      <c r="I335" s="44"/>
      <c r="J335" s="66"/>
      <c r="K335" s="66"/>
      <c r="L335" s="66"/>
      <c r="M335" s="66"/>
      <c r="N335" s="66">
        <f>SUM(Prog_236[[#This Row],[TARA]]+Prog_236[[#This Row],[PESO]])</f>
        <v>0</v>
      </c>
      <c r="O335" s="44"/>
      <c r="P335" s="66"/>
      <c r="Q335" s="66"/>
      <c r="R335" s="66"/>
      <c r="S335" s="66"/>
      <c r="T335" s="138" t="str">
        <f>IFERROR(LOOKUP($S335,MOTORISTAS!$D$3:$D$1048576,MOTORISTAS!E$3:$E$1048576),"")</f>
        <v/>
      </c>
      <c r="U335" s="138" t="str">
        <f>IFERROR(LOOKUP($S335,MOTORISTAS!$D$3:$D$1048576,MOTORISTAS!F$3:$F$1048576),"")</f>
        <v/>
      </c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44"/>
      <c r="AG335" s="254">
        <f>Prog_236[[#This Row],[SAÍDA DO CLIENTE]]-Prog_236[[#This Row],[PROGRAMAÇÃO CLIENTE]]</f>
        <v>0</v>
      </c>
      <c r="AH335" s="44"/>
      <c r="AI335" s="66"/>
      <c r="AJ335" s="66"/>
      <c r="AK335" s="66"/>
      <c r="AL335" s="66"/>
      <c r="AM335" s="66"/>
      <c r="AN335" s="83"/>
      <c r="AO335" s="66"/>
      <c r="AP335" s="66"/>
      <c r="AQ335" s="66"/>
      <c r="AR335" s="81"/>
      <c r="AS335" s="81"/>
      <c r="AT335" s="81"/>
      <c r="AU335" s="81"/>
      <c r="AV335" s="83">
        <f>SUM(Prog_236[[#This Row],[ADIANTAMENTO]]+Prog_236[[#This Row],[SALDO]]+Prog_236[[#This Row],[MARGEM]]+Prog_236[[#This Row],[ESTADIA 1]])</f>
        <v>0</v>
      </c>
      <c r="AW3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5" s="81"/>
      <c r="AY335" s="81"/>
      <c r="AZ335" s="81">
        <f>Prog_236[[#This Row],[VLR NF]]*0.1%</f>
        <v>0</v>
      </c>
      <c r="BA335" s="81">
        <f>Prog_236[[#This Row],[VLR NF]]*0.05%</f>
        <v>0</v>
      </c>
      <c r="BB335" s="81"/>
      <c r="BC335" s="81"/>
      <c r="BD335" s="81"/>
      <c r="BE335" s="81"/>
      <c r="BF335" s="81"/>
      <c r="BG335" s="81"/>
      <c r="BH335" s="81"/>
      <c r="BI335" s="81"/>
      <c r="BJ335" s="81"/>
      <c r="BK335" s="81"/>
      <c r="BL335" s="66"/>
      <c r="BM335" s="66"/>
      <c r="BN335" s="66"/>
      <c r="BO335" s="66" t="str">
        <f>PROPER(TEXT(Prog_236[[#This Row],[PROGRAMAÇÃO CLIENTE]],"mmm"))</f>
        <v>Jan</v>
      </c>
      <c r="BP335" s="66">
        <f>YEAR(Prog_236[[#This Row],[PROGRAMAÇÃO CLIENTE]])</f>
        <v>1900</v>
      </c>
    </row>
    <row r="336" spans="1:68" x14ac:dyDescent="0.25">
      <c r="A336" s="201">
        <f>Prog_236[[#This Row],[CONTEINER]]</f>
        <v>0</v>
      </c>
      <c r="B336" s="86"/>
      <c r="C3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6" s="44"/>
      <c r="E336" s="66"/>
      <c r="F336" s="66"/>
      <c r="G336" s="66"/>
      <c r="H336" s="44"/>
      <c r="I336" s="44"/>
      <c r="J336" s="66"/>
      <c r="K336" s="66"/>
      <c r="L336" s="66"/>
      <c r="M336" s="66"/>
      <c r="N336" s="66">
        <f>SUM(Prog_236[[#This Row],[TARA]]+Prog_236[[#This Row],[PESO]])</f>
        <v>0</v>
      </c>
      <c r="O336" s="44"/>
      <c r="P336" s="66"/>
      <c r="Q336" s="66"/>
      <c r="R336" s="66"/>
      <c r="S336" s="66"/>
      <c r="T336" s="138" t="str">
        <f>IFERROR(LOOKUP($S336,MOTORISTAS!$D$3:$D$1048576,MOTORISTAS!E$3:$E$1048576),"")</f>
        <v/>
      </c>
      <c r="U336" s="138" t="str">
        <f>IFERROR(LOOKUP($S336,MOTORISTAS!$D$3:$D$1048576,MOTORISTAS!F$3:$F$1048576),"")</f>
        <v/>
      </c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44"/>
      <c r="AG336" s="254">
        <f>Prog_236[[#This Row],[SAÍDA DO CLIENTE]]-Prog_236[[#This Row],[PROGRAMAÇÃO CLIENTE]]</f>
        <v>0</v>
      </c>
      <c r="AH336" s="44"/>
      <c r="AI336" s="66"/>
      <c r="AJ336" s="66"/>
      <c r="AK336" s="66"/>
      <c r="AL336" s="66"/>
      <c r="AM336" s="66"/>
      <c r="AN336" s="83"/>
      <c r="AO336" s="66"/>
      <c r="AP336" s="66"/>
      <c r="AQ336" s="66"/>
      <c r="AR336" s="81"/>
      <c r="AS336" s="81"/>
      <c r="AT336" s="81"/>
      <c r="AU336" s="81"/>
      <c r="AV336" s="83">
        <f>SUM(Prog_236[[#This Row],[ADIANTAMENTO]]+Prog_236[[#This Row],[SALDO]]+Prog_236[[#This Row],[MARGEM]]+Prog_236[[#This Row],[ESTADIA 1]])</f>
        <v>0</v>
      </c>
      <c r="AW3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6" s="81"/>
      <c r="AY336" s="81"/>
      <c r="AZ336" s="81">
        <f>Prog_236[[#This Row],[VLR NF]]*0.1%</f>
        <v>0</v>
      </c>
      <c r="BA336" s="81">
        <f>Prog_236[[#This Row],[VLR NF]]*0.05%</f>
        <v>0</v>
      </c>
      <c r="BB336" s="81"/>
      <c r="BC336" s="81"/>
      <c r="BD336" s="81"/>
      <c r="BE336" s="81"/>
      <c r="BF336" s="81"/>
      <c r="BG336" s="81"/>
      <c r="BH336" s="81"/>
      <c r="BI336" s="81"/>
      <c r="BJ336" s="81"/>
      <c r="BK336" s="81"/>
      <c r="BL336" s="66"/>
      <c r="BM336" s="66"/>
      <c r="BN336" s="66"/>
      <c r="BO336" s="66" t="str">
        <f>PROPER(TEXT(Prog_236[[#This Row],[PROGRAMAÇÃO CLIENTE]],"mmm"))</f>
        <v>Jan</v>
      </c>
      <c r="BP336" s="66">
        <f>YEAR(Prog_236[[#This Row],[PROGRAMAÇÃO CLIENTE]])</f>
        <v>1900</v>
      </c>
    </row>
    <row r="337" spans="1:68" x14ac:dyDescent="0.25">
      <c r="A337" s="200">
        <f>Prog_236[[#This Row],[CONTEINER]]</f>
        <v>0</v>
      </c>
      <c r="B337" s="86"/>
      <c r="C3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7" s="44"/>
      <c r="E337" s="66"/>
      <c r="F337" s="66"/>
      <c r="G337" s="66"/>
      <c r="H337" s="44"/>
      <c r="I337" s="44"/>
      <c r="J337" s="66"/>
      <c r="K337" s="66"/>
      <c r="L337" s="66"/>
      <c r="M337" s="66"/>
      <c r="N337" s="66">
        <f>SUM(Prog_236[[#This Row],[TARA]]+Prog_236[[#This Row],[PESO]])</f>
        <v>0</v>
      </c>
      <c r="O337" s="44"/>
      <c r="P337" s="66"/>
      <c r="Q337" s="66"/>
      <c r="R337" s="66"/>
      <c r="S337" s="66"/>
      <c r="T337" s="138" t="str">
        <f>IFERROR(LOOKUP($S337,MOTORISTAS!$D$3:$D$1048576,MOTORISTAS!E$3:$E$1048576),"")</f>
        <v/>
      </c>
      <c r="U337" s="138" t="str">
        <f>IFERROR(LOOKUP($S337,MOTORISTAS!$D$3:$D$1048576,MOTORISTAS!F$3:$F$1048576),"")</f>
        <v/>
      </c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44"/>
      <c r="AG337" s="254">
        <f>Prog_236[[#This Row],[SAÍDA DO CLIENTE]]-Prog_236[[#This Row],[PROGRAMAÇÃO CLIENTE]]</f>
        <v>0</v>
      </c>
      <c r="AH337" s="44"/>
      <c r="AI337" s="66"/>
      <c r="AJ337" s="66"/>
      <c r="AK337" s="66"/>
      <c r="AL337" s="66"/>
      <c r="AM337" s="66"/>
      <c r="AN337" s="83"/>
      <c r="AO337" s="66"/>
      <c r="AP337" s="66"/>
      <c r="AQ337" s="66"/>
      <c r="AR337" s="81"/>
      <c r="AS337" s="81"/>
      <c r="AT337" s="81"/>
      <c r="AU337" s="81"/>
      <c r="AV337" s="83">
        <f>SUM(Prog_236[[#This Row],[ADIANTAMENTO]]+Prog_236[[#This Row],[SALDO]]+Prog_236[[#This Row],[MARGEM]]+Prog_236[[#This Row],[ESTADIA 1]])</f>
        <v>0</v>
      </c>
      <c r="AW3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7" s="81"/>
      <c r="AY337" s="81"/>
      <c r="AZ337" s="81">
        <f>Prog_236[[#This Row],[VLR NF]]*0.1%</f>
        <v>0</v>
      </c>
      <c r="BA337" s="81">
        <f>Prog_236[[#This Row],[VLR NF]]*0.05%</f>
        <v>0</v>
      </c>
      <c r="BB337" s="81"/>
      <c r="BC337" s="81"/>
      <c r="BD337" s="81"/>
      <c r="BE337" s="81"/>
      <c r="BF337" s="81"/>
      <c r="BG337" s="81"/>
      <c r="BH337" s="81"/>
      <c r="BI337" s="81"/>
      <c r="BJ337" s="81"/>
      <c r="BK337" s="81"/>
      <c r="BL337" s="66"/>
      <c r="BM337" s="66"/>
      <c r="BN337" s="66"/>
      <c r="BO337" s="66" t="str">
        <f>PROPER(TEXT(Prog_236[[#This Row],[PROGRAMAÇÃO CLIENTE]],"mmm"))</f>
        <v>Jan</v>
      </c>
      <c r="BP337" s="66">
        <f>YEAR(Prog_236[[#This Row],[PROGRAMAÇÃO CLIENTE]])</f>
        <v>1900</v>
      </c>
    </row>
    <row r="338" spans="1:68" x14ac:dyDescent="0.25">
      <c r="A338" s="201">
        <f>Prog_236[[#This Row],[CONTEINER]]</f>
        <v>0</v>
      </c>
      <c r="B338" s="86"/>
      <c r="C3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8" s="44"/>
      <c r="E338" s="66"/>
      <c r="F338" s="66"/>
      <c r="G338" s="66"/>
      <c r="H338" s="44"/>
      <c r="I338" s="44"/>
      <c r="J338" s="66"/>
      <c r="K338" s="66"/>
      <c r="L338" s="66"/>
      <c r="M338" s="66"/>
      <c r="N338" s="66">
        <f>SUM(Prog_236[[#This Row],[TARA]]+Prog_236[[#This Row],[PESO]])</f>
        <v>0</v>
      </c>
      <c r="O338" s="44"/>
      <c r="P338" s="66"/>
      <c r="Q338" s="66"/>
      <c r="R338" s="66"/>
      <c r="S338" s="66"/>
      <c r="T338" s="138" t="str">
        <f>IFERROR(LOOKUP($S338,MOTORISTAS!$D$3:$D$1048576,MOTORISTAS!E$3:$E$1048576),"")</f>
        <v/>
      </c>
      <c r="U338" s="138" t="str">
        <f>IFERROR(LOOKUP($S338,MOTORISTAS!$D$3:$D$1048576,MOTORISTAS!F$3:$F$1048576),"")</f>
        <v/>
      </c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44"/>
      <c r="AG338" s="254">
        <f>Prog_236[[#This Row],[SAÍDA DO CLIENTE]]-Prog_236[[#This Row],[PROGRAMAÇÃO CLIENTE]]</f>
        <v>0</v>
      </c>
      <c r="AH338" s="44"/>
      <c r="AI338" s="66"/>
      <c r="AJ338" s="66"/>
      <c r="AK338" s="66"/>
      <c r="AL338" s="66"/>
      <c r="AM338" s="66"/>
      <c r="AN338" s="83"/>
      <c r="AO338" s="66"/>
      <c r="AP338" s="66"/>
      <c r="AQ338" s="66"/>
      <c r="AR338" s="81"/>
      <c r="AS338" s="81"/>
      <c r="AT338" s="81"/>
      <c r="AU338" s="81"/>
      <c r="AV338" s="83">
        <f>SUM(Prog_236[[#This Row],[ADIANTAMENTO]]+Prog_236[[#This Row],[SALDO]]+Prog_236[[#This Row],[MARGEM]]+Prog_236[[#This Row],[ESTADIA 1]])</f>
        <v>0</v>
      </c>
      <c r="AW3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8" s="81"/>
      <c r="AY338" s="81"/>
      <c r="AZ338" s="81">
        <f>Prog_236[[#This Row],[VLR NF]]*0.1%</f>
        <v>0</v>
      </c>
      <c r="BA338" s="81">
        <f>Prog_236[[#This Row],[VLR NF]]*0.05%</f>
        <v>0</v>
      </c>
      <c r="BB338" s="81"/>
      <c r="BC338" s="81"/>
      <c r="BD338" s="81"/>
      <c r="BE338" s="81"/>
      <c r="BF338" s="81"/>
      <c r="BG338" s="81"/>
      <c r="BH338" s="81"/>
      <c r="BI338" s="81"/>
      <c r="BJ338" s="81"/>
      <c r="BK338" s="81"/>
      <c r="BL338" s="66"/>
      <c r="BM338" s="66"/>
      <c r="BN338" s="66"/>
      <c r="BO338" s="66" t="str">
        <f>PROPER(TEXT(Prog_236[[#This Row],[PROGRAMAÇÃO CLIENTE]],"mmm"))</f>
        <v>Jan</v>
      </c>
      <c r="BP338" s="66">
        <f>YEAR(Prog_236[[#This Row],[PROGRAMAÇÃO CLIENTE]])</f>
        <v>1900</v>
      </c>
    </row>
    <row r="339" spans="1:68" x14ac:dyDescent="0.25">
      <c r="A339" s="200">
        <f>Prog_236[[#This Row],[CONTEINER]]</f>
        <v>0</v>
      </c>
      <c r="B339" s="86"/>
      <c r="C3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39" s="44"/>
      <c r="E339" s="66"/>
      <c r="F339" s="66"/>
      <c r="G339" s="66"/>
      <c r="H339" s="44"/>
      <c r="I339" s="44"/>
      <c r="J339" s="66"/>
      <c r="K339" s="66"/>
      <c r="L339" s="66"/>
      <c r="M339" s="66"/>
      <c r="N339" s="66">
        <f>SUM(Prog_236[[#This Row],[TARA]]+Prog_236[[#This Row],[PESO]])</f>
        <v>0</v>
      </c>
      <c r="O339" s="44"/>
      <c r="P339" s="66"/>
      <c r="Q339" s="66"/>
      <c r="R339" s="66"/>
      <c r="S339" s="66"/>
      <c r="T339" s="138" t="str">
        <f>IFERROR(LOOKUP($S339,MOTORISTAS!$D$3:$D$1048576,MOTORISTAS!E$3:$E$1048576),"")</f>
        <v/>
      </c>
      <c r="U339" s="138" t="str">
        <f>IFERROR(LOOKUP($S339,MOTORISTAS!$D$3:$D$1048576,MOTORISTAS!F$3:$F$1048576),"")</f>
        <v/>
      </c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44"/>
      <c r="AG339" s="254">
        <f>Prog_236[[#This Row],[SAÍDA DO CLIENTE]]-Prog_236[[#This Row],[PROGRAMAÇÃO CLIENTE]]</f>
        <v>0</v>
      </c>
      <c r="AH339" s="44"/>
      <c r="AI339" s="66"/>
      <c r="AJ339" s="66"/>
      <c r="AK339" s="66"/>
      <c r="AL339" s="66"/>
      <c r="AM339" s="66"/>
      <c r="AN339" s="83"/>
      <c r="AO339" s="66"/>
      <c r="AP339" s="66"/>
      <c r="AQ339" s="66"/>
      <c r="AR339" s="81"/>
      <c r="AS339" s="81"/>
      <c r="AT339" s="81"/>
      <c r="AU339" s="81"/>
      <c r="AV339" s="83">
        <f>SUM(Prog_236[[#This Row],[ADIANTAMENTO]]+Prog_236[[#This Row],[SALDO]]+Prog_236[[#This Row],[MARGEM]]+Prog_236[[#This Row],[ESTADIA 1]])</f>
        <v>0</v>
      </c>
      <c r="AW3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39" s="81"/>
      <c r="AY339" s="81"/>
      <c r="AZ339" s="81">
        <f>Prog_236[[#This Row],[VLR NF]]*0.1%</f>
        <v>0</v>
      </c>
      <c r="BA339" s="81">
        <f>Prog_236[[#This Row],[VLR NF]]*0.05%</f>
        <v>0</v>
      </c>
      <c r="BB339" s="81"/>
      <c r="BC339" s="81"/>
      <c r="BD339" s="81"/>
      <c r="BE339" s="81"/>
      <c r="BF339" s="81"/>
      <c r="BG339" s="81"/>
      <c r="BH339" s="81"/>
      <c r="BI339" s="81"/>
      <c r="BJ339" s="81"/>
      <c r="BK339" s="81"/>
      <c r="BL339" s="66"/>
      <c r="BM339" s="66"/>
      <c r="BN339" s="66"/>
      <c r="BO339" s="66" t="str">
        <f>PROPER(TEXT(Prog_236[[#This Row],[PROGRAMAÇÃO CLIENTE]],"mmm"))</f>
        <v>Jan</v>
      </c>
      <c r="BP339" s="66">
        <f>YEAR(Prog_236[[#This Row],[PROGRAMAÇÃO CLIENTE]])</f>
        <v>1900</v>
      </c>
    </row>
    <row r="340" spans="1:68" x14ac:dyDescent="0.25">
      <c r="A340" s="201">
        <f>Prog_236[[#This Row],[CONTEINER]]</f>
        <v>0</v>
      </c>
      <c r="B340" s="86"/>
      <c r="C3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0" s="44"/>
      <c r="E340" s="66"/>
      <c r="F340" s="66"/>
      <c r="G340" s="66"/>
      <c r="H340" s="44"/>
      <c r="I340" s="44"/>
      <c r="J340" s="66"/>
      <c r="K340" s="66"/>
      <c r="L340" s="66"/>
      <c r="M340" s="66"/>
      <c r="N340" s="66">
        <f>SUM(Prog_236[[#This Row],[TARA]]+Prog_236[[#This Row],[PESO]])</f>
        <v>0</v>
      </c>
      <c r="O340" s="44"/>
      <c r="P340" s="66"/>
      <c r="Q340" s="66"/>
      <c r="R340" s="66"/>
      <c r="S340" s="66"/>
      <c r="T340" s="138" t="str">
        <f>IFERROR(LOOKUP($S340,MOTORISTAS!$D$3:$D$1048576,MOTORISTAS!E$3:$E$1048576),"")</f>
        <v/>
      </c>
      <c r="U340" s="138" t="str">
        <f>IFERROR(LOOKUP($S340,MOTORISTAS!$D$3:$D$1048576,MOTORISTAS!F$3:$F$1048576),"")</f>
        <v/>
      </c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44"/>
      <c r="AG340" s="254">
        <f>Prog_236[[#This Row],[SAÍDA DO CLIENTE]]-Prog_236[[#This Row],[PROGRAMAÇÃO CLIENTE]]</f>
        <v>0</v>
      </c>
      <c r="AH340" s="44"/>
      <c r="AI340" s="66"/>
      <c r="AJ340" s="66"/>
      <c r="AK340" s="66"/>
      <c r="AL340" s="66"/>
      <c r="AM340" s="66"/>
      <c r="AN340" s="83"/>
      <c r="AO340" s="66"/>
      <c r="AP340" s="66"/>
      <c r="AQ340" s="66"/>
      <c r="AR340" s="81"/>
      <c r="AS340" s="81"/>
      <c r="AT340" s="81"/>
      <c r="AU340" s="81"/>
      <c r="AV340" s="83">
        <f>SUM(Prog_236[[#This Row],[ADIANTAMENTO]]+Prog_236[[#This Row],[SALDO]]+Prog_236[[#This Row],[MARGEM]]+Prog_236[[#This Row],[ESTADIA 1]])</f>
        <v>0</v>
      </c>
      <c r="AW3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0" s="81"/>
      <c r="AY340" s="81"/>
      <c r="AZ340" s="81">
        <f>Prog_236[[#This Row],[VLR NF]]*0.1%</f>
        <v>0</v>
      </c>
      <c r="BA340" s="81">
        <f>Prog_236[[#This Row],[VLR NF]]*0.05%</f>
        <v>0</v>
      </c>
      <c r="BB340" s="81"/>
      <c r="BC340" s="81"/>
      <c r="BD340" s="81"/>
      <c r="BE340" s="81"/>
      <c r="BF340" s="81"/>
      <c r="BG340" s="81"/>
      <c r="BH340" s="81"/>
      <c r="BI340" s="81"/>
      <c r="BJ340" s="81"/>
      <c r="BK340" s="81"/>
      <c r="BL340" s="66"/>
      <c r="BM340" s="66"/>
      <c r="BN340" s="66"/>
      <c r="BO340" s="66" t="str">
        <f>PROPER(TEXT(Prog_236[[#This Row],[PROGRAMAÇÃO CLIENTE]],"mmm"))</f>
        <v>Jan</v>
      </c>
      <c r="BP340" s="66">
        <f>YEAR(Prog_236[[#This Row],[PROGRAMAÇÃO CLIENTE]])</f>
        <v>1900</v>
      </c>
    </row>
    <row r="341" spans="1:68" x14ac:dyDescent="0.25">
      <c r="A341" s="200">
        <f>Prog_236[[#This Row],[CONTEINER]]</f>
        <v>0</v>
      </c>
      <c r="B341" s="86"/>
      <c r="C3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1" s="44"/>
      <c r="E341" s="66"/>
      <c r="F341" s="66"/>
      <c r="G341" s="66"/>
      <c r="H341" s="44"/>
      <c r="I341" s="44"/>
      <c r="J341" s="66"/>
      <c r="K341" s="66"/>
      <c r="L341" s="66"/>
      <c r="M341" s="66"/>
      <c r="N341" s="66">
        <f>SUM(Prog_236[[#This Row],[TARA]]+Prog_236[[#This Row],[PESO]])</f>
        <v>0</v>
      </c>
      <c r="O341" s="44"/>
      <c r="P341" s="66"/>
      <c r="Q341" s="66"/>
      <c r="R341" s="66"/>
      <c r="S341" s="66"/>
      <c r="T341" s="138" t="str">
        <f>IFERROR(LOOKUP($S341,MOTORISTAS!$D$3:$D$1048576,MOTORISTAS!E$3:$E$1048576),"")</f>
        <v/>
      </c>
      <c r="U341" s="138" t="str">
        <f>IFERROR(LOOKUP($S341,MOTORISTAS!$D$3:$D$1048576,MOTORISTAS!F$3:$F$1048576),"")</f>
        <v/>
      </c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44"/>
      <c r="AG341" s="254">
        <f>Prog_236[[#This Row],[SAÍDA DO CLIENTE]]-Prog_236[[#This Row],[PROGRAMAÇÃO CLIENTE]]</f>
        <v>0</v>
      </c>
      <c r="AH341" s="44"/>
      <c r="AI341" s="66"/>
      <c r="AJ341" s="66"/>
      <c r="AK341" s="66"/>
      <c r="AL341" s="66"/>
      <c r="AM341" s="66"/>
      <c r="AN341" s="83"/>
      <c r="AO341" s="66"/>
      <c r="AP341" s="66"/>
      <c r="AQ341" s="66"/>
      <c r="AR341" s="81"/>
      <c r="AS341" s="81"/>
      <c r="AT341" s="81"/>
      <c r="AU341" s="81"/>
      <c r="AV341" s="83">
        <f>SUM(Prog_236[[#This Row],[ADIANTAMENTO]]+Prog_236[[#This Row],[SALDO]]+Prog_236[[#This Row],[MARGEM]]+Prog_236[[#This Row],[ESTADIA 1]])</f>
        <v>0</v>
      </c>
      <c r="AW3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1" s="81"/>
      <c r="AY341" s="81"/>
      <c r="AZ341" s="81">
        <f>Prog_236[[#This Row],[VLR NF]]*0.1%</f>
        <v>0</v>
      </c>
      <c r="BA341" s="81">
        <f>Prog_236[[#This Row],[VLR NF]]*0.05%</f>
        <v>0</v>
      </c>
      <c r="BB341" s="81"/>
      <c r="BC341" s="81"/>
      <c r="BD341" s="81"/>
      <c r="BE341" s="81"/>
      <c r="BF341" s="81"/>
      <c r="BG341" s="81"/>
      <c r="BH341" s="81"/>
      <c r="BI341" s="81"/>
      <c r="BJ341" s="81"/>
      <c r="BK341" s="81"/>
      <c r="BL341" s="66"/>
      <c r="BM341" s="66"/>
      <c r="BN341" s="66"/>
      <c r="BO341" s="66" t="str">
        <f>PROPER(TEXT(Prog_236[[#This Row],[PROGRAMAÇÃO CLIENTE]],"mmm"))</f>
        <v>Jan</v>
      </c>
      <c r="BP341" s="66">
        <f>YEAR(Prog_236[[#This Row],[PROGRAMAÇÃO CLIENTE]])</f>
        <v>1900</v>
      </c>
    </row>
    <row r="342" spans="1:68" x14ac:dyDescent="0.25">
      <c r="A342" s="201">
        <f>Prog_236[[#This Row],[CONTEINER]]</f>
        <v>0</v>
      </c>
      <c r="B342" s="86"/>
      <c r="C3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2" s="44"/>
      <c r="E342" s="66"/>
      <c r="F342" s="66"/>
      <c r="G342" s="66"/>
      <c r="H342" s="44"/>
      <c r="I342" s="44"/>
      <c r="J342" s="66"/>
      <c r="K342" s="66"/>
      <c r="L342" s="66"/>
      <c r="M342" s="66"/>
      <c r="N342" s="66">
        <f>SUM(Prog_236[[#This Row],[TARA]]+Prog_236[[#This Row],[PESO]])</f>
        <v>0</v>
      </c>
      <c r="O342" s="44"/>
      <c r="P342" s="66"/>
      <c r="Q342" s="66"/>
      <c r="R342" s="66"/>
      <c r="S342" s="66"/>
      <c r="T342" s="138" t="str">
        <f>IFERROR(LOOKUP($S342,MOTORISTAS!$D$3:$D$1048576,MOTORISTAS!E$3:$E$1048576),"")</f>
        <v/>
      </c>
      <c r="U342" s="138" t="str">
        <f>IFERROR(LOOKUP($S342,MOTORISTAS!$D$3:$D$1048576,MOTORISTAS!F$3:$F$1048576),"")</f>
        <v/>
      </c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44"/>
      <c r="AG342" s="254">
        <f>Prog_236[[#This Row],[SAÍDA DO CLIENTE]]-Prog_236[[#This Row],[PROGRAMAÇÃO CLIENTE]]</f>
        <v>0</v>
      </c>
      <c r="AH342" s="44"/>
      <c r="AI342" s="66"/>
      <c r="AJ342" s="66"/>
      <c r="AK342" s="66"/>
      <c r="AL342" s="66"/>
      <c r="AM342" s="66"/>
      <c r="AN342" s="83"/>
      <c r="AO342" s="66"/>
      <c r="AP342" s="66"/>
      <c r="AQ342" s="66"/>
      <c r="AR342" s="81"/>
      <c r="AS342" s="81"/>
      <c r="AT342" s="81"/>
      <c r="AU342" s="81"/>
      <c r="AV342" s="83">
        <f>SUM(Prog_236[[#This Row],[ADIANTAMENTO]]+Prog_236[[#This Row],[SALDO]]+Prog_236[[#This Row],[MARGEM]]+Prog_236[[#This Row],[ESTADIA 1]])</f>
        <v>0</v>
      </c>
      <c r="AW3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2" s="81"/>
      <c r="AY342" s="81"/>
      <c r="AZ342" s="81">
        <f>Prog_236[[#This Row],[VLR NF]]*0.1%</f>
        <v>0</v>
      </c>
      <c r="BA342" s="81">
        <f>Prog_236[[#This Row],[VLR NF]]*0.05%</f>
        <v>0</v>
      </c>
      <c r="BB342" s="81"/>
      <c r="BC342" s="81"/>
      <c r="BD342" s="81"/>
      <c r="BE342" s="81"/>
      <c r="BF342" s="81"/>
      <c r="BG342" s="81"/>
      <c r="BH342" s="81"/>
      <c r="BI342" s="81"/>
      <c r="BJ342" s="81"/>
      <c r="BK342" s="81"/>
      <c r="BL342" s="66"/>
      <c r="BM342" s="66"/>
      <c r="BN342" s="66"/>
      <c r="BO342" s="66" t="str">
        <f>PROPER(TEXT(Prog_236[[#This Row],[PROGRAMAÇÃO CLIENTE]],"mmm"))</f>
        <v>Jan</v>
      </c>
      <c r="BP342" s="66">
        <f>YEAR(Prog_236[[#This Row],[PROGRAMAÇÃO CLIENTE]])</f>
        <v>1900</v>
      </c>
    </row>
    <row r="343" spans="1:68" x14ac:dyDescent="0.25">
      <c r="A343" s="200">
        <f>Prog_236[[#This Row],[CONTEINER]]</f>
        <v>0</v>
      </c>
      <c r="B343" s="86"/>
      <c r="C3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3" s="44"/>
      <c r="E343" s="66"/>
      <c r="F343" s="66"/>
      <c r="G343" s="66"/>
      <c r="H343" s="44"/>
      <c r="I343" s="44"/>
      <c r="J343" s="66"/>
      <c r="K343" s="66"/>
      <c r="L343" s="66"/>
      <c r="M343" s="66"/>
      <c r="N343" s="66">
        <f>SUM(Prog_236[[#This Row],[TARA]]+Prog_236[[#This Row],[PESO]])</f>
        <v>0</v>
      </c>
      <c r="O343" s="44"/>
      <c r="P343" s="66"/>
      <c r="Q343" s="66"/>
      <c r="R343" s="66"/>
      <c r="S343" s="66"/>
      <c r="T343" s="138" t="str">
        <f>IFERROR(LOOKUP($S343,MOTORISTAS!$D$3:$D$1048576,MOTORISTAS!E$3:$E$1048576),"")</f>
        <v/>
      </c>
      <c r="U343" s="138" t="str">
        <f>IFERROR(LOOKUP($S343,MOTORISTAS!$D$3:$D$1048576,MOTORISTAS!F$3:$F$1048576),"")</f>
        <v/>
      </c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44"/>
      <c r="AG343" s="254">
        <f>Prog_236[[#This Row],[SAÍDA DO CLIENTE]]-Prog_236[[#This Row],[PROGRAMAÇÃO CLIENTE]]</f>
        <v>0</v>
      </c>
      <c r="AH343" s="44"/>
      <c r="AI343" s="66"/>
      <c r="AJ343" s="66"/>
      <c r="AK343" s="66"/>
      <c r="AL343" s="66"/>
      <c r="AM343" s="66"/>
      <c r="AN343" s="83"/>
      <c r="AO343" s="66"/>
      <c r="AP343" s="66"/>
      <c r="AQ343" s="66"/>
      <c r="AR343" s="81"/>
      <c r="AS343" s="81"/>
      <c r="AT343" s="81"/>
      <c r="AU343" s="81"/>
      <c r="AV343" s="83">
        <f>SUM(Prog_236[[#This Row],[ADIANTAMENTO]]+Prog_236[[#This Row],[SALDO]]+Prog_236[[#This Row],[MARGEM]]+Prog_236[[#This Row],[ESTADIA 1]])</f>
        <v>0</v>
      </c>
      <c r="AW3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3" s="81"/>
      <c r="AY343" s="81"/>
      <c r="AZ343" s="81">
        <f>Prog_236[[#This Row],[VLR NF]]*0.1%</f>
        <v>0</v>
      </c>
      <c r="BA343" s="81">
        <f>Prog_236[[#This Row],[VLR NF]]*0.05%</f>
        <v>0</v>
      </c>
      <c r="BB343" s="81"/>
      <c r="BC343" s="81"/>
      <c r="BD343" s="81"/>
      <c r="BE343" s="81"/>
      <c r="BF343" s="81"/>
      <c r="BG343" s="81"/>
      <c r="BH343" s="81"/>
      <c r="BI343" s="81"/>
      <c r="BJ343" s="81"/>
      <c r="BK343" s="81"/>
      <c r="BL343" s="66"/>
      <c r="BM343" s="66"/>
      <c r="BN343" s="66"/>
      <c r="BO343" s="66" t="str">
        <f>PROPER(TEXT(Prog_236[[#This Row],[PROGRAMAÇÃO CLIENTE]],"mmm"))</f>
        <v>Jan</v>
      </c>
      <c r="BP343" s="66">
        <f>YEAR(Prog_236[[#This Row],[PROGRAMAÇÃO CLIENTE]])</f>
        <v>1900</v>
      </c>
    </row>
    <row r="344" spans="1:68" x14ac:dyDescent="0.25">
      <c r="A344" s="201">
        <f>Prog_236[[#This Row],[CONTEINER]]</f>
        <v>0</v>
      </c>
      <c r="B344" s="86"/>
      <c r="C3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4" s="44"/>
      <c r="E344" s="66"/>
      <c r="F344" s="66"/>
      <c r="G344" s="66"/>
      <c r="H344" s="44"/>
      <c r="I344" s="44"/>
      <c r="J344" s="66"/>
      <c r="K344" s="66"/>
      <c r="L344" s="66"/>
      <c r="M344" s="66"/>
      <c r="N344" s="66">
        <f>SUM(Prog_236[[#This Row],[TARA]]+Prog_236[[#This Row],[PESO]])</f>
        <v>0</v>
      </c>
      <c r="O344" s="44"/>
      <c r="P344" s="66"/>
      <c r="Q344" s="66"/>
      <c r="R344" s="66"/>
      <c r="S344" s="66"/>
      <c r="T344" s="138" t="str">
        <f>IFERROR(LOOKUP($S344,MOTORISTAS!$D$3:$D$1048576,MOTORISTAS!E$3:$E$1048576),"")</f>
        <v/>
      </c>
      <c r="U344" s="138" t="str">
        <f>IFERROR(LOOKUP($S344,MOTORISTAS!$D$3:$D$1048576,MOTORISTAS!F$3:$F$1048576),"")</f>
        <v/>
      </c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44"/>
      <c r="AG344" s="254">
        <f>Prog_236[[#This Row],[SAÍDA DO CLIENTE]]-Prog_236[[#This Row],[PROGRAMAÇÃO CLIENTE]]</f>
        <v>0</v>
      </c>
      <c r="AH344" s="44"/>
      <c r="AI344" s="66"/>
      <c r="AJ344" s="66"/>
      <c r="AK344" s="66"/>
      <c r="AL344" s="66"/>
      <c r="AM344" s="66"/>
      <c r="AN344" s="83"/>
      <c r="AO344" s="66"/>
      <c r="AP344" s="66"/>
      <c r="AQ344" s="66"/>
      <c r="AR344" s="81"/>
      <c r="AS344" s="81"/>
      <c r="AT344" s="81"/>
      <c r="AU344" s="81"/>
      <c r="AV344" s="83">
        <f>SUM(Prog_236[[#This Row],[ADIANTAMENTO]]+Prog_236[[#This Row],[SALDO]]+Prog_236[[#This Row],[MARGEM]]+Prog_236[[#This Row],[ESTADIA 1]])</f>
        <v>0</v>
      </c>
      <c r="AW3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4" s="81"/>
      <c r="AY344" s="81"/>
      <c r="AZ344" s="81">
        <f>Prog_236[[#This Row],[VLR NF]]*0.1%</f>
        <v>0</v>
      </c>
      <c r="BA344" s="81">
        <f>Prog_236[[#This Row],[VLR NF]]*0.05%</f>
        <v>0</v>
      </c>
      <c r="BB344" s="81"/>
      <c r="BC344" s="81"/>
      <c r="BD344" s="81"/>
      <c r="BE344" s="81"/>
      <c r="BF344" s="81"/>
      <c r="BG344" s="81"/>
      <c r="BH344" s="81"/>
      <c r="BI344" s="81"/>
      <c r="BJ344" s="81"/>
      <c r="BK344" s="81"/>
      <c r="BL344" s="66"/>
      <c r="BM344" s="66"/>
      <c r="BN344" s="66"/>
      <c r="BO344" s="66" t="str">
        <f>PROPER(TEXT(Prog_236[[#This Row],[PROGRAMAÇÃO CLIENTE]],"mmm"))</f>
        <v>Jan</v>
      </c>
      <c r="BP344" s="66">
        <f>YEAR(Prog_236[[#This Row],[PROGRAMAÇÃO CLIENTE]])</f>
        <v>1900</v>
      </c>
    </row>
    <row r="345" spans="1:68" x14ac:dyDescent="0.25">
      <c r="A345" s="200">
        <f>Prog_236[[#This Row],[CONTEINER]]</f>
        <v>0</v>
      </c>
      <c r="B345" s="86"/>
      <c r="C3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5" s="44"/>
      <c r="E345" s="66"/>
      <c r="F345" s="66"/>
      <c r="G345" s="66"/>
      <c r="H345" s="44"/>
      <c r="I345" s="44"/>
      <c r="J345" s="66"/>
      <c r="K345" s="66"/>
      <c r="L345" s="66"/>
      <c r="M345" s="66"/>
      <c r="N345" s="66">
        <f>SUM(Prog_236[[#This Row],[TARA]]+Prog_236[[#This Row],[PESO]])</f>
        <v>0</v>
      </c>
      <c r="O345" s="44"/>
      <c r="P345" s="66"/>
      <c r="Q345" s="66"/>
      <c r="R345" s="66"/>
      <c r="S345" s="66"/>
      <c r="T345" s="138" t="str">
        <f>IFERROR(LOOKUP($S345,MOTORISTAS!$D$3:$D$1048576,MOTORISTAS!E$3:$E$1048576),"")</f>
        <v/>
      </c>
      <c r="U345" s="138" t="str">
        <f>IFERROR(LOOKUP($S345,MOTORISTAS!$D$3:$D$1048576,MOTORISTAS!F$3:$F$1048576),"")</f>
        <v/>
      </c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44"/>
      <c r="AG345" s="254">
        <f>Prog_236[[#This Row],[SAÍDA DO CLIENTE]]-Prog_236[[#This Row],[PROGRAMAÇÃO CLIENTE]]</f>
        <v>0</v>
      </c>
      <c r="AH345" s="44"/>
      <c r="AI345" s="66"/>
      <c r="AJ345" s="66"/>
      <c r="AK345" s="66"/>
      <c r="AL345" s="66"/>
      <c r="AM345" s="66"/>
      <c r="AN345" s="83"/>
      <c r="AO345" s="66"/>
      <c r="AP345" s="66"/>
      <c r="AQ345" s="66"/>
      <c r="AR345" s="81"/>
      <c r="AS345" s="81"/>
      <c r="AT345" s="81"/>
      <c r="AU345" s="81"/>
      <c r="AV345" s="83">
        <f>SUM(Prog_236[[#This Row],[ADIANTAMENTO]]+Prog_236[[#This Row],[SALDO]]+Prog_236[[#This Row],[MARGEM]]+Prog_236[[#This Row],[ESTADIA 1]])</f>
        <v>0</v>
      </c>
      <c r="AW3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5" s="81"/>
      <c r="AY345" s="81"/>
      <c r="AZ345" s="81">
        <f>Prog_236[[#This Row],[VLR NF]]*0.1%</f>
        <v>0</v>
      </c>
      <c r="BA345" s="81">
        <f>Prog_236[[#This Row],[VLR NF]]*0.05%</f>
        <v>0</v>
      </c>
      <c r="BB345" s="81"/>
      <c r="BC345" s="81"/>
      <c r="BD345" s="81"/>
      <c r="BE345" s="81"/>
      <c r="BF345" s="81"/>
      <c r="BG345" s="81"/>
      <c r="BH345" s="81"/>
      <c r="BI345" s="81"/>
      <c r="BJ345" s="81"/>
      <c r="BK345" s="81"/>
      <c r="BL345" s="66"/>
      <c r="BM345" s="66"/>
      <c r="BN345" s="66"/>
      <c r="BO345" s="66" t="str">
        <f>PROPER(TEXT(Prog_236[[#This Row],[PROGRAMAÇÃO CLIENTE]],"mmm"))</f>
        <v>Jan</v>
      </c>
      <c r="BP345" s="66">
        <f>YEAR(Prog_236[[#This Row],[PROGRAMAÇÃO CLIENTE]])</f>
        <v>1900</v>
      </c>
    </row>
    <row r="346" spans="1:68" x14ac:dyDescent="0.25">
      <c r="A346" s="201">
        <f>Prog_236[[#This Row],[CONTEINER]]</f>
        <v>0</v>
      </c>
      <c r="B346" s="86"/>
      <c r="C3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6" s="44"/>
      <c r="E346" s="66"/>
      <c r="F346" s="66"/>
      <c r="G346" s="66"/>
      <c r="H346" s="44"/>
      <c r="I346" s="44"/>
      <c r="J346" s="66"/>
      <c r="K346" s="66"/>
      <c r="L346" s="66"/>
      <c r="M346" s="66"/>
      <c r="N346" s="66">
        <f>SUM(Prog_236[[#This Row],[TARA]]+Prog_236[[#This Row],[PESO]])</f>
        <v>0</v>
      </c>
      <c r="O346" s="44"/>
      <c r="P346" s="66"/>
      <c r="Q346" s="66"/>
      <c r="R346" s="66"/>
      <c r="S346" s="66"/>
      <c r="T346" s="138" t="str">
        <f>IFERROR(LOOKUP($S346,MOTORISTAS!$D$3:$D$1048576,MOTORISTAS!E$3:$E$1048576),"")</f>
        <v/>
      </c>
      <c r="U346" s="138" t="str">
        <f>IFERROR(LOOKUP($S346,MOTORISTAS!$D$3:$D$1048576,MOTORISTAS!F$3:$F$1048576),"")</f>
        <v/>
      </c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44"/>
      <c r="AG346" s="254">
        <f>Prog_236[[#This Row],[SAÍDA DO CLIENTE]]-Prog_236[[#This Row],[PROGRAMAÇÃO CLIENTE]]</f>
        <v>0</v>
      </c>
      <c r="AH346" s="44"/>
      <c r="AI346" s="66"/>
      <c r="AJ346" s="66"/>
      <c r="AK346" s="66"/>
      <c r="AL346" s="66"/>
      <c r="AM346" s="66"/>
      <c r="AN346" s="83"/>
      <c r="AO346" s="66"/>
      <c r="AP346" s="66"/>
      <c r="AQ346" s="66"/>
      <c r="AR346" s="81"/>
      <c r="AS346" s="81"/>
      <c r="AT346" s="81"/>
      <c r="AU346" s="81"/>
      <c r="AV346" s="83">
        <f>SUM(Prog_236[[#This Row],[ADIANTAMENTO]]+Prog_236[[#This Row],[SALDO]]+Prog_236[[#This Row],[MARGEM]]+Prog_236[[#This Row],[ESTADIA 1]])</f>
        <v>0</v>
      </c>
      <c r="AW3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6" s="81"/>
      <c r="AY346" s="81"/>
      <c r="AZ346" s="81">
        <f>Prog_236[[#This Row],[VLR NF]]*0.1%</f>
        <v>0</v>
      </c>
      <c r="BA346" s="81">
        <f>Prog_236[[#This Row],[VLR NF]]*0.05%</f>
        <v>0</v>
      </c>
      <c r="BB346" s="81"/>
      <c r="BC346" s="81"/>
      <c r="BD346" s="81"/>
      <c r="BE346" s="81"/>
      <c r="BF346" s="81"/>
      <c r="BG346" s="81"/>
      <c r="BH346" s="81"/>
      <c r="BI346" s="81"/>
      <c r="BJ346" s="81"/>
      <c r="BK346" s="81"/>
      <c r="BL346" s="66"/>
      <c r="BM346" s="66"/>
      <c r="BN346" s="66"/>
      <c r="BO346" s="66" t="str">
        <f>PROPER(TEXT(Prog_236[[#This Row],[PROGRAMAÇÃO CLIENTE]],"mmm"))</f>
        <v>Jan</v>
      </c>
      <c r="BP346" s="66">
        <f>YEAR(Prog_236[[#This Row],[PROGRAMAÇÃO CLIENTE]])</f>
        <v>1900</v>
      </c>
    </row>
    <row r="347" spans="1:68" x14ac:dyDescent="0.25">
      <c r="A347" s="200">
        <f>Prog_236[[#This Row],[CONTEINER]]</f>
        <v>0</v>
      </c>
      <c r="B347" s="86"/>
      <c r="C3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7" s="44"/>
      <c r="E347" s="66"/>
      <c r="F347" s="66"/>
      <c r="G347" s="66"/>
      <c r="H347" s="44"/>
      <c r="I347" s="44"/>
      <c r="J347" s="66"/>
      <c r="K347" s="66"/>
      <c r="L347" s="66"/>
      <c r="M347" s="66"/>
      <c r="N347" s="66">
        <f>SUM(Prog_236[[#This Row],[TARA]]+Prog_236[[#This Row],[PESO]])</f>
        <v>0</v>
      </c>
      <c r="O347" s="44"/>
      <c r="P347" s="66"/>
      <c r="Q347" s="66"/>
      <c r="R347" s="66"/>
      <c r="S347" s="66"/>
      <c r="T347" s="138" t="str">
        <f>IFERROR(LOOKUP($S347,MOTORISTAS!$D$3:$D$1048576,MOTORISTAS!E$3:$E$1048576),"")</f>
        <v/>
      </c>
      <c r="U347" s="138" t="str">
        <f>IFERROR(LOOKUP($S347,MOTORISTAS!$D$3:$D$1048576,MOTORISTAS!F$3:$F$1048576),"")</f>
        <v/>
      </c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44"/>
      <c r="AG347" s="254">
        <f>Prog_236[[#This Row],[SAÍDA DO CLIENTE]]-Prog_236[[#This Row],[PROGRAMAÇÃO CLIENTE]]</f>
        <v>0</v>
      </c>
      <c r="AH347" s="44"/>
      <c r="AI347" s="66"/>
      <c r="AJ347" s="66"/>
      <c r="AK347" s="66"/>
      <c r="AL347" s="66"/>
      <c r="AM347" s="66"/>
      <c r="AN347" s="83"/>
      <c r="AO347" s="66"/>
      <c r="AP347" s="66"/>
      <c r="AQ347" s="66"/>
      <c r="AR347" s="81"/>
      <c r="AS347" s="81"/>
      <c r="AT347" s="81"/>
      <c r="AU347" s="81"/>
      <c r="AV347" s="83">
        <f>SUM(Prog_236[[#This Row],[ADIANTAMENTO]]+Prog_236[[#This Row],[SALDO]]+Prog_236[[#This Row],[MARGEM]]+Prog_236[[#This Row],[ESTADIA 1]])</f>
        <v>0</v>
      </c>
      <c r="AW3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7" s="81"/>
      <c r="AY347" s="81"/>
      <c r="AZ347" s="81">
        <f>Prog_236[[#This Row],[VLR NF]]*0.1%</f>
        <v>0</v>
      </c>
      <c r="BA347" s="81">
        <f>Prog_236[[#This Row],[VLR NF]]*0.05%</f>
        <v>0</v>
      </c>
      <c r="BB347" s="81"/>
      <c r="BC347" s="81"/>
      <c r="BD347" s="81"/>
      <c r="BE347" s="81"/>
      <c r="BF347" s="81"/>
      <c r="BG347" s="81"/>
      <c r="BH347" s="81"/>
      <c r="BI347" s="81"/>
      <c r="BJ347" s="81"/>
      <c r="BK347" s="81"/>
      <c r="BL347" s="66"/>
      <c r="BM347" s="66"/>
      <c r="BN347" s="66"/>
      <c r="BO347" s="66" t="str">
        <f>PROPER(TEXT(Prog_236[[#This Row],[PROGRAMAÇÃO CLIENTE]],"mmm"))</f>
        <v>Jan</v>
      </c>
      <c r="BP347" s="66">
        <f>YEAR(Prog_236[[#This Row],[PROGRAMAÇÃO CLIENTE]])</f>
        <v>1900</v>
      </c>
    </row>
    <row r="348" spans="1:68" x14ac:dyDescent="0.25">
      <c r="A348" s="201">
        <f>Prog_236[[#This Row],[CONTEINER]]</f>
        <v>0</v>
      </c>
      <c r="B348" s="86"/>
      <c r="C3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8" s="44"/>
      <c r="E348" s="66"/>
      <c r="F348" s="66"/>
      <c r="G348" s="66"/>
      <c r="H348" s="44"/>
      <c r="I348" s="44"/>
      <c r="J348" s="66"/>
      <c r="K348" s="66"/>
      <c r="L348" s="66"/>
      <c r="M348" s="66"/>
      <c r="N348" s="66">
        <f>SUM(Prog_236[[#This Row],[TARA]]+Prog_236[[#This Row],[PESO]])</f>
        <v>0</v>
      </c>
      <c r="O348" s="44"/>
      <c r="P348" s="66"/>
      <c r="Q348" s="66"/>
      <c r="R348" s="66"/>
      <c r="S348" s="66"/>
      <c r="T348" s="138" t="str">
        <f>IFERROR(LOOKUP($S348,MOTORISTAS!$D$3:$D$1048576,MOTORISTAS!E$3:$E$1048576),"")</f>
        <v/>
      </c>
      <c r="U348" s="138" t="str">
        <f>IFERROR(LOOKUP($S348,MOTORISTAS!$D$3:$D$1048576,MOTORISTAS!F$3:$F$1048576),"")</f>
        <v/>
      </c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44"/>
      <c r="AG348" s="254">
        <f>Prog_236[[#This Row],[SAÍDA DO CLIENTE]]-Prog_236[[#This Row],[PROGRAMAÇÃO CLIENTE]]</f>
        <v>0</v>
      </c>
      <c r="AH348" s="44"/>
      <c r="AI348" s="66"/>
      <c r="AJ348" s="66"/>
      <c r="AK348" s="66"/>
      <c r="AL348" s="66"/>
      <c r="AM348" s="66"/>
      <c r="AN348" s="83"/>
      <c r="AO348" s="66"/>
      <c r="AP348" s="66"/>
      <c r="AQ348" s="66"/>
      <c r="AR348" s="81"/>
      <c r="AS348" s="81"/>
      <c r="AT348" s="81"/>
      <c r="AU348" s="81"/>
      <c r="AV348" s="83">
        <f>SUM(Prog_236[[#This Row],[ADIANTAMENTO]]+Prog_236[[#This Row],[SALDO]]+Prog_236[[#This Row],[MARGEM]]+Prog_236[[#This Row],[ESTADIA 1]])</f>
        <v>0</v>
      </c>
      <c r="AW3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8" s="81"/>
      <c r="AY348" s="81"/>
      <c r="AZ348" s="81">
        <f>Prog_236[[#This Row],[VLR NF]]*0.1%</f>
        <v>0</v>
      </c>
      <c r="BA348" s="81">
        <f>Prog_236[[#This Row],[VLR NF]]*0.05%</f>
        <v>0</v>
      </c>
      <c r="BB348" s="81"/>
      <c r="BC348" s="81"/>
      <c r="BD348" s="81"/>
      <c r="BE348" s="81"/>
      <c r="BF348" s="81"/>
      <c r="BG348" s="81"/>
      <c r="BH348" s="81"/>
      <c r="BI348" s="81"/>
      <c r="BJ348" s="81"/>
      <c r="BK348" s="81"/>
      <c r="BL348" s="66"/>
      <c r="BM348" s="66"/>
      <c r="BN348" s="66"/>
      <c r="BO348" s="66" t="str">
        <f>PROPER(TEXT(Prog_236[[#This Row],[PROGRAMAÇÃO CLIENTE]],"mmm"))</f>
        <v>Jan</v>
      </c>
      <c r="BP348" s="66">
        <f>YEAR(Prog_236[[#This Row],[PROGRAMAÇÃO CLIENTE]])</f>
        <v>1900</v>
      </c>
    </row>
    <row r="349" spans="1:68" x14ac:dyDescent="0.25">
      <c r="A349" s="200">
        <f>Prog_236[[#This Row],[CONTEINER]]</f>
        <v>0</v>
      </c>
      <c r="B349" s="86"/>
      <c r="C3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49" s="44"/>
      <c r="E349" s="66"/>
      <c r="F349" s="66"/>
      <c r="G349" s="66"/>
      <c r="H349" s="44"/>
      <c r="I349" s="44"/>
      <c r="J349" s="66"/>
      <c r="K349" s="66"/>
      <c r="L349" s="66"/>
      <c r="M349" s="66"/>
      <c r="N349" s="66">
        <f>SUM(Prog_236[[#This Row],[TARA]]+Prog_236[[#This Row],[PESO]])</f>
        <v>0</v>
      </c>
      <c r="O349" s="44"/>
      <c r="P349" s="66"/>
      <c r="Q349" s="66"/>
      <c r="R349" s="66"/>
      <c r="S349" s="66"/>
      <c r="T349" s="138" t="str">
        <f>IFERROR(LOOKUP($S349,MOTORISTAS!$D$3:$D$1048576,MOTORISTAS!E$3:$E$1048576),"")</f>
        <v/>
      </c>
      <c r="U349" s="138" t="str">
        <f>IFERROR(LOOKUP($S349,MOTORISTAS!$D$3:$D$1048576,MOTORISTAS!F$3:$F$1048576),"")</f>
        <v/>
      </c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44"/>
      <c r="AG349" s="254">
        <f>Prog_236[[#This Row],[SAÍDA DO CLIENTE]]-Prog_236[[#This Row],[PROGRAMAÇÃO CLIENTE]]</f>
        <v>0</v>
      </c>
      <c r="AH349" s="44"/>
      <c r="AI349" s="66"/>
      <c r="AJ349" s="66"/>
      <c r="AK349" s="66"/>
      <c r="AL349" s="66"/>
      <c r="AM349" s="66"/>
      <c r="AN349" s="83"/>
      <c r="AO349" s="66"/>
      <c r="AP349" s="66"/>
      <c r="AQ349" s="66"/>
      <c r="AR349" s="81"/>
      <c r="AS349" s="81"/>
      <c r="AT349" s="81"/>
      <c r="AU349" s="81"/>
      <c r="AV349" s="83">
        <f>SUM(Prog_236[[#This Row],[ADIANTAMENTO]]+Prog_236[[#This Row],[SALDO]]+Prog_236[[#This Row],[MARGEM]]+Prog_236[[#This Row],[ESTADIA 1]])</f>
        <v>0</v>
      </c>
      <c r="AW3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49" s="81"/>
      <c r="AY349" s="81"/>
      <c r="AZ349" s="81">
        <f>Prog_236[[#This Row],[VLR NF]]*0.1%</f>
        <v>0</v>
      </c>
      <c r="BA349" s="81">
        <f>Prog_236[[#This Row],[VLR NF]]*0.05%</f>
        <v>0</v>
      </c>
      <c r="BB349" s="81"/>
      <c r="BC349" s="81"/>
      <c r="BD349" s="81"/>
      <c r="BE349" s="81"/>
      <c r="BF349" s="81"/>
      <c r="BG349" s="81"/>
      <c r="BH349" s="81"/>
      <c r="BI349" s="81"/>
      <c r="BJ349" s="81"/>
      <c r="BK349" s="81"/>
      <c r="BL349" s="66"/>
      <c r="BM349" s="66"/>
      <c r="BN349" s="66"/>
      <c r="BO349" s="66" t="str">
        <f>PROPER(TEXT(Prog_236[[#This Row],[PROGRAMAÇÃO CLIENTE]],"mmm"))</f>
        <v>Jan</v>
      </c>
      <c r="BP349" s="66">
        <f>YEAR(Prog_236[[#This Row],[PROGRAMAÇÃO CLIENTE]])</f>
        <v>1900</v>
      </c>
    </row>
    <row r="350" spans="1:68" x14ac:dyDescent="0.25">
      <c r="A350" s="201">
        <f>Prog_236[[#This Row],[CONTEINER]]</f>
        <v>0</v>
      </c>
      <c r="B350" s="86"/>
      <c r="C3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0" s="44"/>
      <c r="E350" s="66"/>
      <c r="F350" s="66"/>
      <c r="G350" s="66"/>
      <c r="H350" s="44"/>
      <c r="I350" s="44"/>
      <c r="J350" s="66"/>
      <c r="K350" s="66"/>
      <c r="L350" s="66"/>
      <c r="M350" s="66"/>
      <c r="N350" s="66">
        <f>SUM(Prog_236[[#This Row],[TARA]]+Prog_236[[#This Row],[PESO]])</f>
        <v>0</v>
      </c>
      <c r="O350" s="44"/>
      <c r="P350" s="66"/>
      <c r="Q350" s="66"/>
      <c r="R350" s="66"/>
      <c r="S350" s="66"/>
      <c r="T350" s="138" t="str">
        <f>IFERROR(LOOKUP($S350,MOTORISTAS!$D$3:$D$1048576,MOTORISTAS!E$3:$E$1048576),"")</f>
        <v/>
      </c>
      <c r="U350" s="138" t="str">
        <f>IFERROR(LOOKUP($S350,MOTORISTAS!$D$3:$D$1048576,MOTORISTAS!F$3:$F$1048576),"")</f>
        <v/>
      </c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44"/>
      <c r="AG350" s="254">
        <f>Prog_236[[#This Row],[SAÍDA DO CLIENTE]]-Prog_236[[#This Row],[PROGRAMAÇÃO CLIENTE]]</f>
        <v>0</v>
      </c>
      <c r="AH350" s="44"/>
      <c r="AI350" s="66"/>
      <c r="AJ350" s="66"/>
      <c r="AK350" s="66"/>
      <c r="AL350" s="66"/>
      <c r="AM350" s="66"/>
      <c r="AN350" s="83"/>
      <c r="AO350" s="66"/>
      <c r="AP350" s="66"/>
      <c r="AQ350" s="66"/>
      <c r="AR350" s="81"/>
      <c r="AS350" s="81"/>
      <c r="AT350" s="81"/>
      <c r="AU350" s="81"/>
      <c r="AV350" s="83">
        <f>SUM(Prog_236[[#This Row],[ADIANTAMENTO]]+Prog_236[[#This Row],[SALDO]]+Prog_236[[#This Row],[MARGEM]]+Prog_236[[#This Row],[ESTADIA 1]])</f>
        <v>0</v>
      </c>
      <c r="AW3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0" s="81"/>
      <c r="AY350" s="81"/>
      <c r="AZ350" s="81">
        <f>Prog_236[[#This Row],[VLR NF]]*0.1%</f>
        <v>0</v>
      </c>
      <c r="BA350" s="81">
        <f>Prog_236[[#This Row],[VLR NF]]*0.05%</f>
        <v>0</v>
      </c>
      <c r="BB350" s="81"/>
      <c r="BC350" s="81"/>
      <c r="BD350" s="81"/>
      <c r="BE350" s="81"/>
      <c r="BF350" s="81"/>
      <c r="BG350" s="81"/>
      <c r="BH350" s="81"/>
      <c r="BI350" s="81"/>
      <c r="BJ350" s="81"/>
      <c r="BK350" s="81"/>
      <c r="BL350" s="66"/>
      <c r="BM350" s="66"/>
      <c r="BN350" s="66"/>
      <c r="BO350" s="66" t="str">
        <f>PROPER(TEXT(Prog_236[[#This Row],[PROGRAMAÇÃO CLIENTE]],"mmm"))</f>
        <v>Jan</v>
      </c>
      <c r="BP350" s="66">
        <f>YEAR(Prog_236[[#This Row],[PROGRAMAÇÃO CLIENTE]])</f>
        <v>1900</v>
      </c>
    </row>
    <row r="351" spans="1:68" x14ac:dyDescent="0.25">
      <c r="A351" s="200">
        <f>Prog_236[[#This Row],[CONTEINER]]</f>
        <v>0</v>
      </c>
      <c r="B351" s="86"/>
      <c r="C3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1" s="44"/>
      <c r="E351" s="66"/>
      <c r="F351" s="66"/>
      <c r="G351" s="66"/>
      <c r="H351" s="44"/>
      <c r="I351" s="44"/>
      <c r="J351" s="66"/>
      <c r="K351" s="66"/>
      <c r="L351" s="66"/>
      <c r="M351" s="66"/>
      <c r="N351" s="66">
        <f>SUM(Prog_236[[#This Row],[TARA]]+Prog_236[[#This Row],[PESO]])</f>
        <v>0</v>
      </c>
      <c r="O351" s="44"/>
      <c r="P351" s="66"/>
      <c r="Q351" s="66"/>
      <c r="R351" s="66"/>
      <c r="S351" s="66"/>
      <c r="T351" s="138" t="str">
        <f>IFERROR(LOOKUP($S351,MOTORISTAS!$D$3:$D$1048576,MOTORISTAS!E$3:$E$1048576),"")</f>
        <v/>
      </c>
      <c r="U351" s="138" t="str">
        <f>IFERROR(LOOKUP($S351,MOTORISTAS!$D$3:$D$1048576,MOTORISTAS!F$3:$F$1048576),"")</f>
        <v/>
      </c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44"/>
      <c r="AG351" s="254">
        <f>Prog_236[[#This Row],[SAÍDA DO CLIENTE]]-Prog_236[[#This Row],[PROGRAMAÇÃO CLIENTE]]</f>
        <v>0</v>
      </c>
      <c r="AH351" s="44"/>
      <c r="AI351" s="66"/>
      <c r="AJ351" s="66"/>
      <c r="AK351" s="66"/>
      <c r="AL351" s="66"/>
      <c r="AM351" s="66"/>
      <c r="AN351" s="83"/>
      <c r="AO351" s="66"/>
      <c r="AP351" s="66"/>
      <c r="AQ351" s="66"/>
      <c r="AR351" s="81"/>
      <c r="AS351" s="81"/>
      <c r="AT351" s="81"/>
      <c r="AU351" s="81"/>
      <c r="AV351" s="83">
        <f>SUM(Prog_236[[#This Row],[ADIANTAMENTO]]+Prog_236[[#This Row],[SALDO]]+Prog_236[[#This Row],[MARGEM]]+Prog_236[[#This Row],[ESTADIA 1]])</f>
        <v>0</v>
      </c>
      <c r="AW3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1" s="81"/>
      <c r="AY351" s="81"/>
      <c r="AZ351" s="81">
        <f>Prog_236[[#This Row],[VLR NF]]*0.1%</f>
        <v>0</v>
      </c>
      <c r="BA351" s="81">
        <f>Prog_236[[#This Row],[VLR NF]]*0.05%</f>
        <v>0</v>
      </c>
      <c r="BB351" s="81"/>
      <c r="BC351" s="81"/>
      <c r="BD351" s="81"/>
      <c r="BE351" s="81"/>
      <c r="BF351" s="81"/>
      <c r="BG351" s="81"/>
      <c r="BH351" s="81"/>
      <c r="BI351" s="81"/>
      <c r="BJ351" s="81"/>
      <c r="BK351" s="81"/>
      <c r="BL351" s="66"/>
      <c r="BM351" s="66"/>
      <c r="BN351" s="66"/>
      <c r="BO351" s="66" t="str">
        <f>PROPER(TEXT(Prog_236[[#This Row],[PROGRAMAÇÃO CLIENTE]],"mmm"))</f>
        <v>Jan</v>
      </c>
      <c r="BP351" s="66">
        <f>YEAR(Prog_236[[#This Row],[PROGRAMAÇÃO CLIENTE]])</f>
        <v>1900</v>
      </c>
    </row>
    <row r="352" spans="1:68" x14ac:dyDescent="0.25">
      <c r="A352" s="201">
        <f>Prog_236[[#This Row],[CONTEINER]]</f>
        <v>0</v>
      </c>
      <c r="B352" s="86"/>
      <c r="C3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2" s="44"/>
      <c r="E352" s="66"/>
      <c r="F352" s="66"/>
      <c r="G352" s="66"/>
      <c r="H352" s="44"/>
      <c r="I352" s="44"/>
      <c r="J352" s="66"/>
      <c r="K352" s="66"/>
      <c r="L352" s="66"/>
      <c r="M352" s="66"/>
      <c r="N352" s="66">
        <f>SUM(Prog_236[[#This Row],[TARA]]+Prog_236[[#This Row],[PESO]])</f>
        <v>0</v>
      </c>
      <c r="O352" s="44"/>
      <c r="P352" s="66"/>
      <c r="Q352" s="66"/>
      <c r="R352" s="66"/>
      <c r="S352" s="66"/>
      <c r="T352" s="138" t="str">
        <f>IFERROR(LOOKUP($S352,MOTORISTAS!$D$3:$D$1048576,MOTORISTAS!E$3:$E$1048576),"")</f>
        <v/>
      </c>
      <c r="U352" s="138" t="str">
        <f>IFERROR(LOOKUP($S352,MOTORISTAS!$D$3:$D$1048576,MOTORISTAS!F$3:$F$1048576),"")</f>
        <v/>
      </c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44"/>
      <c r="AG352" s="254">
        <f>Prog_236[[#This Row],[SAÍDA DO CLIENTE]]-Prog_236[[#This Row],[PROGRAMAÇÃO CLIENTE]]</f>
        <v>0</v>
      </c>
      <c r="AH352" s="44"/>
      <c r="AI352" s="66"/>
      <c r="AJ352" s="66"/>
      <c r="AK352" s="66"/>
      <c r="AL352" s="66"/>
      <c r="AM352" s="66"/>
      <c r="AN352" s="83"/>
      <c r="AO352" s="66"/>
      <c r="AP352" s="66"/>
      <c r="AQ352" s="66"/>
      <c r="AR352" s="81"/>
      <c r="AS352" s="81"/>
      <c r="AT352" s="81"/>
      <c r="AU352" s="81"/>
      <c r="AV352" s="83">
        <f>SUM(Prog_236[[#This Row],[ADIANTAMENTO]]+Prog_236[[#This Row],[SALDO]]+Prog_236[[#This Row],[MARGEM]]+Prog_236[[#This Row],[ESTADIA 1]])</f>
        <v>0</v>
      </c>
      <c r="AW3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2" s="81"/>
      <c r="AY352" s="81"/>
      <c r="AZ352" s="81">
        <f>Prog_236[[#This Row],[VLR NF]]*0.1%</f>
        <v>0</v>
      </c>
      <c r="BA352" s="81">
        <f>Prog_236[[#This Row],[VLR NF]]*0.05%</f>
        <v>0</v>
      </c>
      <c r="BB352" s="81"/>
      <c r="BC352" s="81"/>
      <c r="BD352" s="81"/>
      <c r="BE352" s="81"/>
      <c r="BF352" s="81"/>
      <c r="BG352" s="81"/>
      <c r="BH352" s="81"/>
      <c r="BI352" s="81"/>
      <c r="BJ352" s="81"/>
      <c r="BK352" s="81"/>
      <c r="BL352" s="66"/>
      <c r="BM352" s="66"/>
      <c r="BN352" s="66"/>
      <c r="BO352" s="66" t="str">
        <f>PROPER(TEXT(Prog_236[[#This Row],[PROGRAMAÇÃO CLIENTE]],"mmm"))</f>
        <v>Jan</v>
      </c>
      <c r="BP352" s="66">
        <f>YEAR(Prog_236[[#This Row],[PROGRAMAÇÃO CLIENTE]])</f>
        <v>1900</v>
      </c>
    </row>
    <row r="353" spans="1:68" x14ac:dyDescent="0.25">
      <c r="A353" s="200">
        <f>Prog_236[[#This Row],[CONTEINER]]</f>
        <v>0</v>
      </c>
      <c r="B353" s="86"/>
      <c r="C3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3" s="44"/>
      <c r="E353" s="66"/>
      <c r="F353" s="66"/>
      <c r="G353" s="66"/>
      <c r="H353" s="44"/>
      <c r="I353" s="44"/>
      <c r="J353" s="66"/>
      <c r="K353" s="66"/>
      <c r="L353" s="66"/>
      <c r="M353" s="66"/>
      <c r="N353" s="66">
        <f>SUM(Prog_236[[#This Row],[TARA]]+Prog_236[[#This Row],[PESO]])</f>
        <v>0</v>
      </c>
      <c r="O353" s="44"/>
      <c r="P353" s="66"/>
      <c r="Q353" s="66"/>
      <c r="R353" s="66"/>
      <c r="S353" s="66"/>
      <c r="T353" s="138" t="str">
        <f>IFERROR(LOOKUP($S353,MOTORISTAS!$D$3:$D$1048576,MOTORISTAS!E$3:$E$1048576),"")</f>
        <v/>
      </c>
      <c r="U353" s="138" t="str">
        <f>IFERROR(LOOKUP($S353,MOTORISTAS!$D$3:$D$1048576,MOTORISTAS!F$3:$F$1048576),"")</f>
        <v/>
      </c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44"/>
      <c r="AG353" s="254">
        <f>Prog_236[[#This Row],[SAÍDA DO CLIENTE]]-Prog_236[[#This Row],[PROGRAMAÇÃO CLIENTE]]</f>
        <v>0</v>
      </c>
      <c r="AH353" s="44"/>
      <c r="AI353" s="66"/>
      <c r="AJ353" s="66"/>
      <c r="AK353" s="66"/>
      <c r="AL353" s="66"/>
      <c r="AM353" s="66"/>
      <c r="AN353" s="83"/>
      <c r="AO353" s="66"/>
      <c r="AP353" s="66"/>
      <c r="AQ353" s="66"/>
      <c r="AR353" s="81"/>
      <c r="AS353" s="81"/>
      <c r="AT353" s="81"/>
      <c r="AU353" s="81"/>
      <c r="AV353" s="83">
        <f>SUM(Prog_236[[#This Row],[ADIANTAMENTO]]+Prog_236[[#This Row],[SALDO]]+Prog_236[[#This Row],[MARGEM]]+Prog_236[[#This Row],[ESTADIA 1]])</f>
        <v>0</v>
      </c>
      <c r="AW3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3" s="81"/>
      <c r="AY353" s="81"/>
      <c r="AZ353" s="81">
        <f>Prog_236[[#This Row],[VLR NF]]*0.1%</f>
        <v>0</v>
      </c>
      <c r="BA353" s="81">
        <f>Prog_236[[#This Row],[VLR NF]]*0.05%</f>
        <v>0</v>
      </c>
      <c r="BB353" s="81"/>
      <c r="BC353" s="81"/>
      <c r="BD353" s="81"/>
      <c r="BE353" s="81"/>
      <c r="BF353" s="81"/>
      <c r="BG353" s="81"/>
      <c r="BH353" s="81"/>
      <c r="BI353" s="81"/>
      <c r="BJ353" s="81"/>
      <c r="BK353" s="81"/>
      <c r="BL353" s="66"/>
      <c r="BM353" s="66"/>
      <c r="BN353" s="66"/>
      <c r="BO353" s="66" t="str">
        <f>PROPER(TEXT(Prog_236[[#This Row],[PROGRAMAÇÃO CLIENTE]],"mmm"))</f>
        <v>Jan</v>
      </c>
      <c r="BP353" s="66">
        <f>YEAR(Prog_236[[#This Row],[PROGRAMAÇÃO CLIENTE]])</f>
        <v>1900</v>
      </c>
    </row>
    <row r="354" spans="1:68" x14ac:dyDescent="0.25">
      <c r="A354" s="201">
        <f>Prog_236[[#This Row],[CONTEINER]]</f>
        <v>0</v>
      </c>
      <c r="B354" s="86"/>
      <c r="C3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4" s="44"/>
      <c r="E354" s="66"/>
      <c r="F354" s="66"/>
      <c r="G354" s="66"/>
      <c r="H354" s="44"/>
      <c r="I354" s="44"/>
      <c r="J354" s="66"/>
      <c r="K354" s="66"/>
      <c r="L354" s="66"/>
      <c r="M354" s="66"/>
      <c r="N354" s="66">
        <f>SUM(Prog_236[[#This Row],[TARA]]+Prog_236[[#This Row],[PESO]])</f>
        <v>0</v>
      </c>
      <c r="O354" s="44"/>
      <c r="P354" s="66"/>
      <c r="Q354" s="66"/>
      <c r="R354" s="66"/>
      <c r="S354" s="66"/>
      <c r="T354" s="138" t="str">
        <f>IFERROR(LOOKUP($S354,MOTORISTAS!$D$3:$D$1048576,MOTORISTAS!E$3:$E$1048576),"")</f>
        <v/>
      </c>
      <c r="U354" s="138" t="str">
        <f>IFERROR(LOOKUP($S354,MOTORISTAS!$D$3:$D$1048576,MOTORISTAS!F$3:$F$1048576),"")</f>
        <v/>
      </c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44"/>
      <c r="AG354" s="254">
        <f>Prog_236[[#This Row],[SAÍDA DO CLIENTE]]-Prog_236[[#This Row],[PROGRAMAÇÃO CLIENTE]]</f>
        <v>0</v>
      </c>
      <c r="AH354" s="44"/>
      <c r="AI354" s="66"/>
      <c r="AJ354" s="66"/>
      <c r="AK354" s="66"/>
      <c r="AL354" s="66"/>
      <c r="AM354" s="66"/>
      <c r="AN354" s="83"/>
      <c r="AO354" s="66"/>
      <c r="AP354" s="66"/>
      <c r="AQ354" s="66"/>
      <c r="AR354" s="81"/>
      <c r="AS354" s="81"/>
      <c r="AT354" s="81"/>
      <c r="AU354" s="81"/>
      <c r="AV354" s="83">
        <f>SUM(Prog_236[[#This Row],[ADIANTAMENTO]]+Prog_236[[#This Row],[SALDO]]+Prog_236[[#This Row],[MARGEM]]+Prog_236[[#This Row],[ESTADIA 1]])</f>
        <v>0</v>
      </c>
      <c r="AW3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4" s="81"/>
      <c r="AY354" s="81"/>
      <c r="AZ354" s="81">
        <f>Prog_236[[#This Row],[VLR NF]]*0.1%</f>
        <v>0</v>
      </c>
      <c r="BA354" s="81">
        <f>Prog_236[[#This Row],[VLR NF]]*0.05%</f>
        <v>0</v>
      </c>
      <c r="BB354" s="81"/>
      <c r="BC354" s="81"/>
      <c r="BD354" s="81"/>
      <c r="BE354" s="81"/>
      <c r="BF354" s="81"/>
      <c r="BG354" s="81"/>
      <c r="BH354" s="81"/>
      <c r="BI354" s="81"/>
      <c r="BJ354" s="81"/>
      <c r="BK354" s="81"/>
      <c r="BL354" s="66"/>
      <c r="BM354" s="66"/>
      <c r="BN354" s="66"/>
      <c r="BO354" s="66" t="str">
        <f>PROPER(TEXT(Prog_236[[#This Row],[PROGRAMAÇÃO CLIENTE]],"mmm"))</f>
        <v>Jan</v>
      </c>
      <c r="BP354" s="66">
        <f>YEAR(Prog_236[[#This Row],[PROGRAMAÇÃO CLIENTE]])</f>
        <v>1900</v>
      </c>
    </row>
    <row r="355" spans="1:68" x14ac:dyDescent="0.25">
      <c r="A355" s="200">
        <f>Prog_236[[#This Row],[CONTEINER]]</f>
        <v>0</v>
      </c>
      <c r="B355" s="86"/>
      <c r="C3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5" s="44"/>
      <c r="E355" s="66"/>
      <c r="F355" s="66"/>
      <c r="G355" s="66"/>
      <c r="H355" s="44"/>
      <c r="I355" s="44"/>
      <c r="J355" s="66"/>
      <c r="K355" s="66"/>
      <c r="L355" s="66"/>
      <c r="M355" s="66"/>
      <c r="N355" s="66">
        <f>SUM(Prog_236[[#This Row],[TARA]]+Prog_236[[#This Row],[PESO]])</f>
        <v>0</v>
      </c>
      <c r="O355" s="44"/>
      <c r="P355" s="66"/>
      <c r="Q355" s="66"/>
      <c r="R355" s="66"/>
      <c r="S355" s="66"/>
      <c r="T355" s="138" t="str">
        <f>IFERROR(LOOKUP($S355,MOTORISTAS!$D$3:$D$1048576,MOTORISTAS!E$3:$E$1048576),"")</f>
        <v/>
      </c>
      <c r="U355" s="138" t="str">
        <f>IFERROR(LOOKUP($S355,MOTORISTAS!$D$3:$D$1048576,MOTORISTAS!F$3:$F$1048576),"")</f>
        <v/>
      </c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44"/>
      <c r="AG355" s="254">
        <f>Prog_236[[#This Row],[SAÍDA DO CLIENTE]]-Prog_236[[#This Row],[PROGRAMAÇÃO CLIENTE]]</f>
        <v>0</v>
      </c>
      <c r="AH355" s="44"/>
      <c r="AI355" s="66"/>
      <c r="AJ355" s="66"/>
      <c r="AK355" s="66"/>
      <c r="AL355" s="66"/>
      <c r="AM355" s="66"/>
      <c r="AN355" s="83"/>
      <c r="AO355" s="66"/>
      <c r="AP355" s="66"/>
      <c r="AQ355" s="66"/>
      <c r="AR355" s="81"/>
      <c r="AS355" s="81"/>
      <c r="AT355" s="81"/>
      <c r="AU355" s="81"/>
      <c r="AV355" s="83">
        <f>SUM(Prog_236[[#This Row],[ADIANTAMENTO]]+Prog_236[[#This Row],[SALDO]]+Prog_236[[#This Row],[MARGEM]]+Prog_236[[#This Row],[ESTADIA 1]])</f>
        <v>0</v>
      </c>
      <c r="AW3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5" s="81"/>
      <c r="AY355" s="81"/>
      <c r="AZ355" s="81">
        <f>Prog_236[[#This Row],[VLR NF]]*0.1%</f>
        <v>0</v>
      </c>
      <c r="BA355" s="81">
        <f>Prog_236[[#This Row],[VLR NF]]*0.05%</f>
        <v>0</v>
      </c>
      <c r="BB355" s="81"/>
      <c r="BC355" s="81"/>
      <c r="BD355" s="81"/>
      <c r="BE355" s="81"/>
      <c r="BF355" s="81"/>
      <c r="BG355" s="81"/>
      <c r="BH355" s="81"/>
      <c r="BI355" s="81"/>
      <c r="BJ355" s="81"/>
      <c r="BK355" s="81"/>
      <c r="BL355" s="66"/>
      <c r="BM355" s="66"/>
      <c r="BN355" s="66"/>
      <c r="BO355" s="66" t="str">
        <f>PROPER(TEXT(Prog_236[[#This Row],[PROGRAMAÇÃO CLIENTE]],"mmm"))</f>
        <v>Jan</v>
      </c>
      <c r="BP355" s="66">
        <f>YEAR(Prog_236[[#This Row],[PROGRAMAÇÃO CLIENTE]])</f>
        <v>1900</v>
      </c>
    </row>
    <row r="356" spans="1:68" x14ac:dyDescent="0.25">
      <c r="A356" s="201">
        <f>Prog_236[[#This Row],[CONTEINER]]</f>
        <v>0</v>
      </c>
      <c r="B356" s="86"/>
      <c r="C3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6" s="44"/>
      <c r="E356" s="66"/>
      <c r="F356" s="66"/>
      <c r="G356" s="66"/>
      <c r="H356" s="44"/>
      <c r="I356" s="44"/>
      <c r="J356" s="66"/>
      <c r="K356" s="66"/>
      <c r="L356" s="66"/>
      <c r="M356" s="66"/>
      <c r="N356" s="66">
        <f>SUM(Prog_236[[#This Row],[TARA]]+Prog_236[[#This Row],[PESO]])</f>
        <v>0</v>
      </c>
      <c r="O356" s="44"/>
      <c r="P356" s="66"/>
      <c r="Q356" s="66"/>
      <c r="R356" s="66"/>
      <c r="S356" s="66"/>
      <c r="T356" s="138" t="str">
        <f>IFERROR(LOOKUP($S356,MOTORISTAS!$D$3:$D$1048576,MOTORISTAS!E$3:$E$1048576),"")</f>
        <v/>
      </c>
      <c r="U356" s="138" t="str">
        <f>IFERROR(LOOKUP($S356,MOTORISTAS!$D$3:$D$1048576,MOTORISTAS!F$3:$F$1048576),"")</f>
        <v/>
      </c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44"/>
      <c r="AG356" s="254">
        <f>Prog_236[[#This Row],[SAÍDA DO CLIENTE]]-Prog_236[[#This Row],[PROGRAMAÇÃO CLIENTE]]</f>
        <v>0</v>
      </c>
      <c r="AH356" s="44"/>
      <c r="AI356" s="66"/>
      <c r="AJ356" s="66"/>
      <c r="AK356" s="66"/>
      <c r="AL356" s="66"/>
      <c r="AM356" s="66"/>
      <c r="AN356" s="83"/>
      <c r="AO356" s="66"/>
      <c r="AP356" s="66"/>
      <c r="AQ356" s="66"/>
      <c r="AR356" s="81"/>
      <c r="AS356" s="81"/>
      <c r="AT356" s="81"/>
      <c r="AU356" s="81"/>
      <c r="AV356" s="83">
        <f>SUM(Prog_236[[#This Row],[ADIANTAMENTO]]+Prog_236[[#This Row],[SALDO]]+Prog_236[[#This Row],[MARGEM]]+Prog_236[[#This Row],[ESTADIA 1]])</f>
        <v>0</v>
      </c>
      <c r="AW3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6" s="81"/>
      <c r="AY356" s="81"/>
      <c r="AZ356" s="81">
        <f>Prog_236[[#This Row],[VLR NF]]*0.1%</f>
        <v>0</v>
      </c>
      <c r="BA356" s="81">
        <f>Prog_236[[#This Row],[VLR NF]]*0.05%</f>
        <v>0</v>
      </c>
      <c r="BB356" s="81"/>
      <c r="BC356" s="81"/>
      <c r="BD356" s="81"/>
      <c r="BE356" s="81"/>
      <c r="BF356" s="81"/>
      <c r="BG356" s="81"/>
      <c r="BH356" s="81"/>
      <c r="BI356" s="81"/>
      <c r="BJ356" s="81"/>
      <c r="BK356" s="81"/>
      <c r="BL356" s="66"/>
      <c r="BM356" s="66"/>
      <c r="BN356" s="66"/>
      <c r="BO356" s="66" t="str">
        <f>PROPER(TEXT(Prog_236[[#This Row],[PROGRAMAÇÃO CLIENTE]],"mmm"))</f>
        <v>Jan</v>
      </c>
      <c r="BP356" s="66">
        <f>YEAR(Prog_236[[#This Row],[PROGRAMAÇÃO CLIENTE]])</f>
        <v>1900</v>
      </c>
    </row>
    <row r="357" spans="1:68" x14ac:dyDescent="0.25">
      <c r="A357" s="200">
        <f>Prog_236[[#This Row],[CONTEINER]]</f>
        <v>0</v>
      </c>
      <c r="B357" s="86"/>
      <c r="C3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7" s="44"/>
      <c r="E357" s="66"/>
      <c r="F357" s="66"/>
      <c r="G357" s="66"/>
      <c r="H357" s="44"/>
      <c r="I357" s="44"/>
      <c r="J357" s="66"/>
      <c r="K357" s="66"/>
      <c r="L357" s="66"/>
      <c r="M357" s="66"/>
      <c r="N357" s="66">
        <f>SUM(Prog_236[[#This Row],[TARA]]+Prog_236[[#This Row],[PESO]])</f>
        <v>0</v>
      </c>
      <c r="O357" s="44"/>
      <c r="P357" s="66"/>
      <c r="Q357" s="66"/>
      <c r="R357" s="66"/>
      <c r="S357" s="66"/>
      <c r="T357" s="138" t="str">
        <f>IFERROR(LOOKUP($S357,MOTORISTAS!$D$3:$D$1048576,MOTORISTAS!E$3:$E$1048576),"")</f>
        <v/>
      </c>
      <c r="U357" s="138" t="str">
        <f>IFERROR(LOOKUP($S357,MOTORISTAS!$D$3:$D$1048576,MOTORISTAS!F$3:$F$1048576),"")</f>
        <v/>
      </c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44"/>
      <c r="AG357" s="254">
        <f>Prog_236[[#This Row],[SAÍDA DO CLIENTE]]-Prog_236[[#This Row],[PROGRAMAÇÃO CLIENTE]]</f>
        <v>0</v>
      </c>
      <c r="AH357" s="44"/>
      <c r="AI357" s="66"/>
      <c r="AJ357" s="66"/>
      <c r="AK357" s="66"/>
      <c r="AL357" s="66"/>
      <c r="AM357" s="66"/>
      <c r="AN357" s="83"/>
      <c r="AO357" s="66"/>
      <c r="AP357" s="66"/>
      <c r="AQ357" s="66"/>
      <c r="AR357" s="81"/>
      <c r="AS357" s="81"/>
      <c r="AT357" s="81"/>
      <c r="AU357" s="81"/>
      <c r="AV357" s="83">
        <f>SUM(Prog_236[[#This Row],[ADIANTAMENTO]]+Prog_236[[#This Row],[SALDO]]+Prog_236[[#This Row],[MARGEM]]+Prog_236[[#This Row],[ESTADIA 1]])</f>
        <v>0</v>
      </c>
      <c r="AW3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7" s="81"/>
      <c r="AY357" s="81"/>
      <c r="AZ357" s="81">
        <f>Prog_236[[#This Row],[VLR NF]]*0.1%</f>
        <v>0</v>
      </c>
      <c r="BA357" s="81">
        <f>Prog_236[[#This Row],[VLR NF]]*0.05%</f>
        <v>0</v>
      </c>
      <c r="BB357" s="81"/>
      <c r="BC357" s="81"/>
      <c r="BD357" s="81"/>
      <c r="BE357" s="81"/>
      <c r="BF357" s="81"/>
      <c r="BG357" s="81"/>
      <c r="BH357" s="81"/>
      <c r="BI357" s="81"/>
      <c r="BJ357" s="81"/>
      <c r="BK357" s="81"/>
      <c r="BL357" s="66"/>
      <c r="BM357" s="66"/>
      <c r="BN357" s="66"/>
      <c r="BO357" s="66" t="str">
        <f>PROPER(TEXT(Prog_236[[#This Row],[PROGRAMAÇÃO CLIENTE]],"mmm"))</f>
        <v>Jan</v>
      </c>
      <c r="BP357" s="66">
        <f>YEAR(Prog_236[[#This Row],[PROGRAMAÇÃO CLIENTE]])</f>
        <v>1900</v>
      </c>
    </row>
    <row r="358" spans="1:68" x14ac:dyDescent="0.25">
      <c r="A358" s="201">
        <f>Prog_236[[#This Row],[CONTEINER]]</f>
        <v>0</v>
      </c>
      <c r="B358" s="86"/>
      <c r="C3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8" s="44"/>
      <c r="E358" s="66"/>
      <c r="F358" s="66"/>
      <c r="G358" s="66"/>
      <c r="H358" s="44"/>
      <c r="I358" s="44"/>
      <c r="J358" s="66"/>
      <c r="K358" s="66"/>
      <c r="L358" s="66"/>
      <c r="M358" s="66"/>
      <c r="N358" s="66">
        <f>SUM(Prog_236[[#This Row],[TARA]]+Prog_236[[#This Row],[PESO]])</f>
        <v>0</v>
      </c>
      <c r="O358" s="44"/>
      <c r="P358" s="66"/>
      <c r="Q358" s="66"/>
      <c r="R358" s="66"/>
      <c r="S358" s="66"/>
      <c r="T358" s="138" t="str">
        <f>IFERROR(LOOKUP($S358,MOTORISTAS!$D$3:$D$1048576,MOTORISTAS!E$3:$E$1048576),"")</f>
        <v/>
      </c>
      <c r="U358" s="138" t="str">
        <f>IFERROR(LOOKUP($S358,MOTORISTAS!$D$3:$D$1048576,MOTORISTAS!F$3:$F$1048576),"")</f>
        <v/>
      </c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44"/>
      <c r="AG358" s="254">
        <f>Prog_236[[#This Row],[SAÍDA DO CLIENTE]]-Prog_236[[#This Row],[PROGRAMAÇÃO CLIENTE]]</f>
        <v>0</v>
      </c>
      <c r="AH358" s="44"/>
      <c r="AI358" s="66"/>
      <c r="AJ358" s="66"/>
      <c r="AK358" s="66"/>
      <c r="AL358" s="66"/>
      <c r="AM358" s="66"/>
      <c r="AN358" s="83"/>
      <c r="AO358" s="66"/>
      <c r="AP358" s="66"/>
      <c r="AQ358" s="66"/>
      <c r="AR358" s="81"/>
      <c r="AS358" s="81"/>
      <c r="AT358" s="81"/>
      <c r="AU358" s="81"/>
      <c r="AV358" s="83">
        <f>SUM(Prog_236[[#This Row],[ADIANTAMENTO]]+Prog_236[[#This Row],[SALDO]]+Prog_236[[#This Row],[MARGEM]]+Prog_236[[#This Row],[ESTADIA 1]])</f>
        <v>0</v>
      </c>
      <c r="AW3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8" s="81"/>
      <c r="AY358" s="81"/>
      <c r="AZ358" s="81">
        <f>Prog_236[[#This Row],[VLR NF]]*0.1%</f>
        <v>0</v>
      </c>
      <c r="BA358" s="81">
        <f>Prog_236[[#This Row],[VLR NF]]*0.05%</f>
        <v>0</v>
      </c>
      <c r="BB358" s="81"/>
      <c r="BC358" s="81"/>
      <c r="BD358" s="81"/>
      <c r="BE358" s="81"/>
      <c r="BF358" s="81"/>
      <c r="BG358" s="81"/>
      <c r="BH358" s="81"/>
      <c r="BI358" s="81"/>
      <c r="BJ358" s="81"/>
      <c r="BK358" s="81"/>
      <c r="BL358" s="66"/>
      <c r="BM358" s="66"/>
      <c r="BN358" s="66"/>
      <c r="BO358" s="66" t="str">
        <f>PROPER(TEXT(Prog_236[[#This Row],[PROGRAMAÇÃO CLIENTE]],"mmm"))</f>
        <v>Jan</v>
      </c>
      <c r="BP358" s="66">
        <f>YEAR(Prog_236[[#This Row],[PROGRAMAÇÃO CLIENTE]])</f>
        <v>1900</v>
      </c>
    </row>
    <row r="359" spans="1:68" x14ac:dyDescent="0.25">
      <c r="A359" s="200">
        <f>Prog_236[[#This Row],[CONTEINER]]</f>
        <v>0</v>
      </c>
      <c r="B359" s="86"/>
      <c r="C3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59" s="44"/>
      <c r="E359" s="66"/>
      <c r="F359" s="66"/>
      <c r="G359" s="66"/>
      <c r="H359" s="44"/>
      <c r="I359" s="44"/>
      <c r="J359" s="66"/>
      <c r="K359" s="66"/>
      <c r="L359" s="66"/>
      <c r="M359" s="66"/>
      <c r="N359" s="66">
        <f>SUM(Prog_236[[#This Row],[TARA]]+Prog_236[[#This Row],[PESO]])</f>
        <v>0</v>
      </c>
      <c r="O359" s="44"/>
      <c r="P359" s="66"/>
      <c r="Q359" s="66"/>
      <c r="R359" s="66"/>
      <c r="S359" s="66"/>
      <c r="T359" s="138" t="str">
        <f>IFERROR(LOOKUP($S359,MOTORISTAS!$D$3:$D$1048576,MOTORISTAS!E$3:$E$1048576),"")</f>
        <v/>
      </c>
      <c r="U359" s="138" t="str">
        <f>IFERROR(LOOKUP($S359,MOTORISTAS!$D$3:$D$1048576,MOTORISTAS!F$3:$F$1048576),"")</f>
        <v/>
      </c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44"/>
      <c r="AG359" s="254">
        <f>Prog_236[[#This Row],[SAÍDA DO CLIENTE]]-Prog_236[[#This Row],[PROGRAMAÇÃO CLIENTE]]</f>
        <v>0</v>
      </c>
      <c r="AH359" s="44"/>
      <c r="AI359" s="66"/>
      <c r="AJ359" s="66"/>
      <c r="AK359" s="66"/>
      <c r="AL359" s="66"/>
      <c r="AM359" s="66"/>
      <c r="AN359" s="83"/>
      <c r="AO359" s="66"/>
      <c r="AP359" s="66"/>
      <c r="AQ359" s="66"/>
      <c r="AR359" s="81"/>
      <c r="AS359" s="81"/>
      <c r="AT359" s="81"/>
      <c r="AU359" s="81"/>
      <c r="AV359" s="83">
        <f>SUM(Prog_236[[#This Row],[ADIANTAMENTO]]+Prog_236[[#This Row],[SALDO]]+Prog_236[[#This Row],[MARGEM]]+Prog_236[[#This Row],[ESTADIA 1]])</f>
        <v>0</v>
      </c>
      <c r="AW3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59" s="81"/>
      <c r="AY359" s="81"/>
      <c r="AZ359" s="81">
        <f>Prog_236[[#This Row],[VLR NF]]*0.1%</f>
        <v>0</v>
      </c>
      <c r="BA359" s="81">
        <f>Prog_236[[#This Row],[VLR NF]]*0.05%</f>
        <v>0</v>
      </c>
      <c r="BB359" s="81"/>
      <c r="BC359" s="81"/>
      <c r="BD359" s="81"/>
      <c r="BE359" s="81"/>
      <c r="BF359" s="81"/>
      <c r="BG359" s="81"/>
      <c r="BH359" s="81"/>
      <c r="BI359" s="81"/>
      <c r="BJ359" s="81"/>
      <c r="BK359" s="81"/>
      <c r="BL359" s="66"/>
      <c r="BM359" s="66"/>
      <c r="BN359" s="66"/>
      <c r="BO359" s="66" t="str">
        <f>PROPER(TEXT(Prog_236[[#This Row],[PROGRAMAÇÃO CLIENTE]],"mmm"))</f>
        <v>Jan</v>
      </c>
      <c r="BP359" s="66">
        <f>YEAR(Prog_236[[#This Row],[PROGRAMAÇÃO CLIENTE]])</f>
        <v>1900</v>
      </c>
    </row>
    <row r="360" spans="1:68" x14ac:dyDescent="0.25">
      <c r="A360" s="201">
        <f>Prog_236[[#This Row],[CONTEINER]]</f>
        <v>0</v>
      </c>
      <c r="B360" s="86"/>
      <c r="C3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0" s="44"/>
      <c r="E360" s="66"/>
      <c r="F360" s="66"/>
      <c r="G360" s="66"/>
      <c r="H360" s="44"/>
      <c r="I360" s="44"/>
      <c r="J360" s="66"/>
      <c r="K360" s="66"/>
      <c r="L360" s="66"/>
      <c r="M360" s="66"/>
      <c r="N360" s="66">
        <f>SUM(Prog_236[[#This Row],[TARA]]+Prog_236[[#This Row],[PESO]])</f>
        <v>0</v>
      </c>
      <c r="O360" s="44"/>
      <c r="P360" s="66"/>
      <c r="Q360" s="66"/>
      <c r="R360" s="66"/>
      <c r="S360" s="66"/>
      <c r="T360" s="138" t="str">
        <f>IFERROR(LOOKUP($S360,MOTORISTAS!$D$3:$D$1048576,MOTORISTAS!E$3:$E$1048576),"")</f>
        <v/>
      </c>
      <c r="U360" s="138" t="str">
        <f>IFERROR(LOOKUP($S360,MOTORISTAS!$D$3:$D$1048576,MOTORISTAS!F$3:$F$1048576),"")</f>
        <v/>
      </c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44"/>
      <c r="AG360" s="254">
        <f>Prog_236[[#This Row],[SAÍDA DO CLIENTE]]-Prog_236[[#This Row],[PROGRAMAÇÃO CLIENTE]]</f>
        <v>0</v>
      </c>
      <c r="AH360" s="44"/>
      <c r="AI360" s="66"/>
      <c r="AJ360" s="66"/>
      <c r="AK360" s="66"/>
      <c r="AL360" s="66"/>
      <c r="AM360" s="66"/>
      <c r="AN360" s="83"/>
      <c r="AO360" s="66"/>
      <c r="AP360" s="66"/>
      <c r="AQ360" s="66"/>
      <c r="AR360" s="81"/>
      <c r="AS360" s="81"/>
      <c r="AT360" s="81"/>
      <c r="AU360" s="81"/>
      <c r="AV360" s="83">
        <f>SUM(Prog_236[[#This Row],[ADIANTAMENTO]]+Prog_236[[#This Row],[SALDO]]+Prog_236[[#This Row],[MARGEM]]+Prog_236[[#This Row],[ESTADIA 1]])</f>
        <v>0</v>
      </c>
      <c r="AW3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0" s="81"/>
      <c r="AY360" s="81"/>
      <c r="AZ360" s="81">
        <f>Prog_236[[#This Row],[VLR NF]]*0.1%</f>
        <v>0</v>
      </c>
      <c r="BA360" s="81">
        <f>Prog_236[[#This Row],[VLR NF]]*0.05%</f>
        <v>0</v>
      </c>
      <c r="BB360" s="81"/>
      <c r="BC360" s="81"/>
      <c r="BD360" s="81"/>
      <c r="BE360" s="81"/>
      <c r="BF360" s="81"/>
      <c r="BG360" s="81"/>
      <c r="BH360" s="81"/>
      <c r="BI360" s="81"/>
      <c r="BJ360" s="81"/>
      <c r="BK360" s="81"/>
      <c r="BL360" s="66"/>
      <c r="BM360" s="66"/>
      <c r="BN360" s="66"/>
      <c r="BO360" s="66" t="str">
        <f>PROPER(TEXT(Prog_236[[#This Row],[PROGRAMAÇÃO CLIENTE]],"mmm"))</f>
        <v>Jan</v>
      </c>
      <c r="BP360" s="66">
        <f>YEAR(Prog_236[[#This Row],[PROGRAMAÇÃO CLIENTE]])</f>
        <v>1900</v>
      </c>
    </row>
    <row r="361" spans="1:68" x14ac:dyDescent="0.25">
      <c r="A361" s="200">
        <f>Prog_236[[#This Row],[CONTEINER]]</f>
        <v>0</v>
      </c>
      <c r="B361" s="86"/>
      <c r="C3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1" s="44"/>
      <c r="E361" s="66"/>
      <c r="F361" s="66"/>
      <c r="G361" s="66"/>
      <c r="H361" s="44"/>
      <c r="I361" s="44"/>
      <c r="J361" s="66"/>
      <c r="K361" s="66"/>
      <c r="L361" s="66"/>
      <c r="M361" s="66"/>
      <c r="N361" s="66">
        <f>SUM(Prog_236[[#This Row],[TARA]]+Prog_236[[#This Row],[PESO]])</f>
        <v>0</v>
      </c>
      <c r="O361" s="44"/>
      <c r="P361" s="66"/>
      <c r="Q361" s="66"/>
      <c r="R361" s="66"/>
      <c r="S361" s="66"/>
      <c r="T361" s="138" t="str">
        <f>IFERROR(LOOKUP($S361,MOTORISTAS!$D$3:$D$1048576,MOTORISTAS!E$3:$E$1048576),"")</f>
        <v/>
      </c>
      <c r="U361" s="138" t="str">
        <f>IFERROR(LOOKUP($S361,MOTORISTAS!$D$3:$D$1048576,MOTORISTAS!F$3:$F$1048576),"")</f>
        <v/>
      </c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44"/>
      <c r="AG361" s="254">
        <f>Prog_236[[#This Row],[SAÍDA DO CLIENTE]]-Prog_236[[#This Row],[PROGRAMAÇÃO CLIENTE]]</f>
        <v>0</v>
      </c>
      <c r="AH361" s="44"/>
      <c r="AI361" s="66"/>
      <c r="AJ361" s="66"/>
      <c r="AK361" s="66"/>
      <c r="AL361" s="66"/>
      <c r="AM361" s="66"/>
      <c r="AN361" s="83"/>
      <c r="AO361" s="66"/>
      <c r="AP361" s="66"/>
      <c r="AQ361" s="66"/>
      <c r="AR361" s="81"/>
      <c r="AS361" s="81"/>
      <c r="AT361" s="81"/>
      <c r="AU361" s="81"/>
      <c r="AV361" s="83">
        <f>SUM(Prog_236[[#This Row],[ADIANTAMENTO]]+Prog_236[[#This Row],[SALDO]]+Prog_236[[#This Row],[MARGEM]]+Prog_236[[#This Row],[ESTADIA 1]])</f>
        <v>0</v>
      </c>
      <c r="AW3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1" s="81"/>
      <c r="AY361" s="81"/>
      <c r="AZ361" s="81">
        <f>Prog_236[[#This Row],[VLR NF]]*0.1%</f>
        <v>0</v>
      </c>
      <c r="BA361" s="81">
        <f>Prog_236[[#This Row],[VLR NF]]*0.05%</f>
        <v>0</v>
      </c>
      <c r="BB361" s="81"/>
      <c r="BC361" s="81"/>
      <c r="BD361" s="81"/>
      <c r="BE361" s="81"/>
      <c r="BF361" s="81"/>
      <c r="BG361" s="81"/>
      <c r="BH361" s="81"/>
      <c r="BI361" s="81"/>
      <c r="BJ361" s="81"/>
      <c r="BK361" s="81"/>
      <c r="BL361" s="66"/>
      <c r="BM361" s="66"/>
      <c r="BN361" s="66"/>
      <c r="BO361" s="66" t="str">
        <f>PROPER(TEXT(Prog_236[[#This Row],[PROGRAMAÇÃO CLIENTE]],"mmm"))</f>
        <v>Jan</v>
      </c>
      <c r="BP361" s="66">
        <f>YEAR(Prog_236[[#This Row],[PROGRAMAÇÃO CLIENTE]])</f>
        <v>1900</v>
      </c>
    </row>
    <row r="362" spans="1:68" x14ac:dyDescent="0.25">
      <c r="A362" s="201">
        <f>Prog_236[[#This Row],[CONTEINER]]</f>
        <v>0</v>
      </c>
      <c r="B362" s="86"/>
      <c r="C3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2" s="44"/>
      <c r="E362" s="66"/>
      <c r="F362" s="66"/>
      <c r="G362" s="66"/>
      <c r="H362" s="44"/>
      <c r="I362" s="44"/>
      <c r="J362" s="66"/>
      <c r="K362" s="66"/>
      <c r="L362" s="66"/>
      <c r="M362" s="66"/>
      <c r="N362" s="66">
        <f>SUM(Prog_236[[#This Row],[TARA]]+Prog_236[[#This Row],[PESO]])</f>
        <v>0</v>
      </c>
      <c r="O362" s="44"/>
      <c r="P362" s="66"/>
      <c r="Q362" s="66"/>
      <c r="R362" s="66"/>
      <c r="S362" s="66"/>
      <c r="T362" s="138" t="str">
        <f>IFERROR(LOOKUP($S362,MOTORISTAS!$D$3:$D$1048576,MOTORISTAS!E$3:$E$1048576),"")</f>
        <v/>
      </c>
      <c r="U362" s="138" t="str">
        <f>IFERROR(LOOKUP($S362,MOTORISTAS!$D$3:$D$1048576,MOTORISTAS!F$3:$F$1048576),"")</f>
        <v/>
      </c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44"/>
      <c r="AG362" s="254">
        <f>Prog_236[[#This Row],[SAÍDA DO CLIENTE]]-Prog_236[[#This Row],[PROGRAMAÇÃO CLIENTE]]</f>
        <v>0</v>
      </c>
      <c r="AH362" s="44"/>
      <c r="AI362" s="66"/>
      <c r="AJ362" s="66"/>
      <c r="AK362" s="66"/>
      <c r="AL362" s="66"/>
      <c r="AM362" s="66"/>
      <c r="AN362" s="83"/>
      <c r="AO362" s="66"/>
      <c r="AP362" s="66"/>
      <c r="AQ362" s="66"/>
      <c r="AR362" s="81"/>
      <c r="AS362" s="81"/>
      <c r="AT362" s="81"/>
      <c r="AU362" s="81"/>
      <c r="AV362" s="83">
        <f>SUM(Prog_236[[#This Row],[ADIANTAMENTO]]+Prog_236[[#This Row],[SALDO]]+Prog_236[[#This Row],[MARGEM]]+Prog_236[[#This Row],[ESTADIA 1]])</f>
        <v>0</v>
      </c>
      <c r="AW3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2" s="81"/>
      <c r="AY362" s="81"/>
      <c r="AZ362" s="81">
        <f>Prog_236[[#This Row],[VLR NF]]*0.1%</f>
        <v>0</v>
      </c>
      <c r="BA362" s="81">
        <f>Prog_236[[#This Row],[VLR NF]]*0.05%</f>
        <v>0</v>
      </c>
      <c r="BB362" s="81"/>
      <c r="BC362" s="81"/>
      <c r="BD362" s="81"/>
      <c r="BE362" s="81"/>
      <c r="BF362" s="81"/>
      <c r="BG362" s="81"/>
      <c r="BH362" s="81"/>
      <c r="BI362" s="81"/>
      <c r="BJ362" s="81"/>
      <c r="BK362" s="81"/>
      <c r="BL362" s="66"/>
      <c r="BM362" s="66"/>
      <c r="BN362" s="66"/>
      <c r="BO362" s="66" t="str">
        <f>PROPER(TEXT(Prog_236[[#This Row],[PROGRAMAÇÃO CLIENTE]],"mmm"))</f>
        <v>Jan</v>
      </c>
      <c r="BP362" s="66">
        <f>YEAR(Prog_236[[#This Row],[PROGRAMAÇÃO CLIENTE]])</f>
        <v>1900</v>
      </c>
    </row>
    <row r="363" spans="1:68" x14ac:dyDescent="0.25">
      <c r="A363" s="200">
        <f>Prog_236[[#This Row],[CONTEINER]]</f>
        <v>0</v>
      </c>
      <c r="B363" s="86"/>
      <c r="C3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3" s="44"/>
      <c r="E363" s="66"/>
      <c r="F363" s="66"/>
      <c r="G363" s="66"/>
      <c r="H363" s="44"/>
      <c r="I363" s="44"/>
      <c r="J363" s="66"/>
      <c r="K363" s="66"/>
      <c r="L363" s="66"/>
      <c r="M363" s="66"/>
      <c r="N363" s="66">
        <f>SUM(Prog_236[[#This Row],[TARA]]+Prog_236[[#This Row],[PESO]])</f>
        <v>0</v>
      </c>
      <c r="O363" s="44"/>
      <c r="P363" s="66"/>
      <c r="Q363" s="66"/>
      <c r="R363" s="66"/>
      <c r="S363" s="66"/>
      <c r="T363" s="138" t="str">
        <f>IFERROR(LOOKUP($S363,MOTORISTAS!$D$3:$D$1048576,MOTORISTAS!E$3:$E$1048576),"")</f>
        <v/>
      </c>
      <c r="U363" s="138" t="str">
        <f>IFERROR(LOOKUP($S363,MOTORISTAS!$D$3:$D$1048576,MOTORISTAS!F$3:$F$1048576),"")</f>
        <v/>
      </c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44"/>
      <c r="AG363" s="254">
        <f>Prog_236[[#This Row],[SAÍDA DO CLIENTE]]-Prog_236[[#This Row],[PROGRAMAÇÃO CLIENTE]]</f>
        <v>0</v>
      </c>
      <c r="AH363" s="44"/>
      <c r="AI363" s="66"/>
      <c r="AJ363" s="66"/>
      <c r="AK363" s="66"/>
      <c r="AL363" s="66"/>
      <c r="AM363" s="66"/>
      <c r="AN363" s="83"/>
      <c r="AO363" s="66"/>
      <c r="AP363" s="66"/>
      <c r="AQ363" s="66"/>
      <c r="AR363" s="81"/>
      <c r="AS363" s="81"/>
      <c r="AT363" s="81"/>
      <c r="AU363" s="81"/>
      <c r="AV363" s="83">
        <f>SUM(Prog_236[[#This Row],[ADIANTAMENTO]]+Prog_236[[#This Row],[SALDO]]+Prog_236[[#This Row],[MARGEM]]+Prog_236[[#This Row],[ESTADIA 1]])</f>
        <v>0</v>
      </c>
      <c r="AW3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3" s="81"/>
      <c r="AY363" s="81"/>
      <c r="AZ363" s="81">
        <f>Prog_236[[#This Row],[VLR NF]]*0.1%</f>
        <v>0</v>
      </c>
      <c r="BA363" s="81">
        <f>Prog_236[[#This Row],[VLR NF]]*0.05%</f>
        <v>0</v>
      </c>
      <c r="BB363" s="81"/>
      <c r="BC363" s="81"/>
      <c r="BD363" s="81"/>
      <c r="BE363" s="81"/>
      <c r="BF363" s="81"/>
      <c r="BG363" s="81"/>
      <c r="BH363" s="81"/>
      <c r="BI363" s="81"/>
      <c r="BJ363" s="81"/>
      <c r="BK363" s="81"/>
      <c r="BL363" s="66"/>
      <c r="BM363" s="66"/>
      <c r="BN363" s="66"/>
      <c r="BO363" s="66" t="str">
        <f>PROPER(TEXT(Prog_236[[#This Row],[PROGRAMAÇÃO CLIENTE]],"mmm"))</f>
        <v>Jan</v>
      </c>
      <c r="BP363" s="66">
        <f>YEAR(Prog_236[[#This Row],[PROGRAMAÇÃO CLIENTE]])</f>
        <v>1900</v>
      </c>
    </row>
    <row r="364" spans="1:68" x14ac:dyDescent="0.25">
      <c r="A364" s="201">
        <f>Prog_236[[#This Row],[CONTEINER]]</f>
        <v>0</v>
      </c>
      <c r="B364" s="86"/>
      <c r="C3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4" s="44"/>
      <c r="E364" s="66"/>
      <c r="F364" s="66"/>
      <c r="G364" s="66"/>
      <c r="H364" s="44"/>
      <c r="I364" s="44"/>
      <c r="J364" s="66"/>
      <c r="K364" s="66"/>
      <c r="L364" s="66"/>
      <c r="M364" s="66"/>
      <c r="N364" s="66">
        <f>SUM(Prog_236[[#This Row],[TARA]]+Prog_236[[#This Row],[PESO]])</f>
        <v>0</v>
      </c>
      <c r="O364" s="44"/>
      <c r="P364" s="66"/>
      <c r="Q364" s="66"/>
      <c r="R364" s="66"/>
      <c r="S364" s="66"/>
      <c r="T364" s="138" t="str">
        <f>IFERROR(LOOKUP($S364,MOTORISTAS!$D$3:$D$1048576,MOTORISTAS!E$3:$E$1048576),"")</f>
        <v/>
      </c>
      <c r="U364" s="138" t="str">
        <f>IFERROR(LOOKUP($S364,MOTORISTAS!$D$3:$D$1048576,MOTORISTAS!F$3:$F$1048576),"")</f>
        <v/>
      </c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44"/>
      <c r="AG364" s="254">
        <f>Prog_236[[#This Row],[SAÍDA DO CLIENTE]]-Prog_236[[#This Row],[PROGRAMAÇÃO CLIENTE]]</f>
        <v>0</v>
      </c>
      <c r="AH364" s="44"/>
      <c r="AI364" s="66"/>
      <c r="AJ364" s="66"/>
      <c r="AK364" s="66"/>
      <c r="AL364" s="66"/>
      <c r="AM364" s="66"/>
      <c r="AN364" s="83"/>
      <c r="AO364" s="66"/>
      <c r="AP364" s="66"/>
      <c r="AQ364" s="66"/>
      <c r="AR364" s="81"/>
      <c r="AS364" s="81"/>
      <c r="AT364" s="81"/>
      <c r="AU364" s="81"/>
      <c r="AV364" s="83">
        <f>SUM(Prog_236[[#This Row],[ADIANTAMENTO]]+Prog_236[[#This Row],[SALDO]]+Prog_236[[#This Row],[MARGEM]]+Prog_236[[#This Row],[ESTADIA 1]])</f>
        <v>0</v>
      </c>
      <c r="AW3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4" s="81"/>
      <c r="AY364" s="81"/>
      <c r="AZ364" s="81">
        <f>Prog_236[[#This Row],[VLR NF]]*0.1%</f>
        <v>0</v>
      </c>
      <c r="BA364" s="81">
        <f>Prog_236[[#This Row],[VLR NF]]*0.05%</f>
        <v>0</v>
      </c>
      <c r="BB364" s="81"/>
      <c r="BC364" s="81"/>
      <c r="BD364" s="81"/>
      <c r="BE364" s="81"/>
      <c r="BF364" s="81"/>
      <c r="BG364" s="81"/>
      <c r="BH364" s="81"/>
      <c r="BI364" s="81"/>
      <c r="BJ364" s="81"/>
      <c r="BK364" s="81"/>
      <c r="BL364" s="66"/>
      <c r="BM364" s="66"/>
      <c r="BN364" s="66"/>
      <c r="BO364" s="66" t="str">
        <f>PROPER(TEXT(Prog_236[[#This Row],[PROGRAMAÇÃO CLIENTE]],"mmm"))</f>
        <v>Jan</v>
      </c>
      <c r="BP364" s="66">
        <f>YEAR(Prog_236[[#This Row],[PROGRAMAÇÃO CLIENTE]])</f>
        <v>1900</v>
      </c>
    </row>
    <row r="365" spans="1:68" x14ac:dyDescent="0.25">
      <c r="A365" s="200">
        <f>Prog_236[[#This Row],[CONTEINER]]</f>
        <v>0</v>
      </c>
      <c r="B365" s="86"/>
      <c r="C3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5" s="44"/>
      <c r="E365" s="66"/>
      <c r="F365" s="66"/>
      <c r="G365" s="66"/>
      <c r="H365" s="44"/>
      <c r="I365" s="44"/>
      <c r="J365" s="66"/>
      <c r="K365" s="66"/>
      <c r="L365" s="66"/>
      <c r="M365" s="66"/>
      <c r="N365" s="66">
        <f>SUM(Prog_236[[#This Row],[TARA]]+Prog_236[[#This Row],[PESO]])</f>
        <v>0</v>
      </c>
      <c r="O365" s="44"/>
      <c r="P365" s="66"/>
      <c r="Q365" s="66"/>
      <c r="R365" s="66"/>
      <c r="S365" s="66"/>
      <c r="T365" s="138" t="str">
        <f>IFERROR(LOOKUP($S365,MOTORISTAS!$D$3:$D$1048576,MOTORISTAS!E$3:$E$1048576),"")</f>
        <v/>
      </c>
      <c r="U365" s="138" t="str">
        <f>IFERROR(LOOKUP($S365,MOTORISTAS!$D$3:$D$1048576,MOTORISTAS!F$3:$F$1048576),"")</f>
        <v/>
      </c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44"/>
      <c r="AG365" s="254">
        <f>Prog_236[[#This Row],[SAÍDA DO CLIENTE]]-Prog_236[[#This Row],[PROGRAMAÇÃO CLIENTE]]</f>
        <v>0</v>
      </c>
      <c r="AH365" s="44"/>
      <c r="AI365" s="66"/>
      <c r="AJ365" s="66"/>
      <c r="AK365" s="66"/>
      <c r="AL365" s="66"/>
      <c r="AM365" s="66"/>
      <c r="AN365" s="83"/>
      <c r="AO365" s="66"/>
      <c r="AP365" s="66"/>
      <c r="AQ365" s="66"/>
      <c r="AR365" s="81"/>
      <c r="AS365" s="81"/>
      <c r="AT365" s="81"/>
      <c r="AU365" s="81"/>
      <c r="AV365" s="83">
        <f>SUM(Prog_236[[#This Row],[ADIANTAMENTO]]+Prog_236[[#This Row],[SALDO]]+Prog_236[[#This Row],[MARGEM]]+Prog_236[[#This Row],[ESTADIA 1]])</f>
        <v>0</v>
      </c>
      <c r="AW3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5" s="81"/>
      <c r="AY365" s="81"/>
      <c r="AZ365" s="81">
        <f>Prog_236[[#This Row],[VLR NF]]*0.1%</f>
        <v>0</v>
      </c>
      <c r="BA365" s="81">
        <f>Prog_236[[#This Row],[VLR NF]]*0.05%</f>
        <v>0</v>
      </c>
      <c r="BB365" s="81"/>
      <c r="BC365" s="81"/>
      <c r="BD365" s="81"/>
      <c r="BE365" s="81"/>
      <c r="BF365" s="81"/>
      <c r="BG365" s="81"/>
      <c r="BH365" s="81"/>
      <c r="BI365" s="81"/>
      <c r="BJ365" s="81"/>
      <c r="BK365" s="81"/>
      <c r="BL365" s="66"/>
      <c r="BM365" s="66"/>
      <c r="BN365" s="66"/>
      <c r="BO365" s="66" t="str">
        <f>PROPER(TEXT(Prog_236[[#This Row],[PROGRAMAÇÃO CLIENTE]],"mmm"))</f>
        <v>Jan</v>
      </c>
      <c r="BP365" s="66">
        <f>YEAR(Prog_236[[#This Row],[PROGRAMAÇÃO CLIENTE]])</f>
        <v>1900</v>
      </c>
    </row>
    <row r="366" spans="1:68" x14ac:dyDescent="0.25">
      <c r="A366" s="201">
        <f>Prog_236[[#This Row],[CONTEINER]]</f>
        <v>0</v>
      </c>
      <c r="B366" s="86"/>
      <c r="C3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6" s="44"/>
      <c r="E366" s="66"/>
      <c r="F366" s="66"/>
      <c r="G366" s="66"/>
      <c r="H366" s="44"/>
      <c r="I366" s="44"/>
      <c r="J366" s="66"/>
      <c r="K366" s="66"/>
      <c r="L366" s="66"/>
      <c r="M366" s="66"/>
      <c r="N366" s="66">
        <f>SUM(Prog_236[[#This Row],[TARA]]+Prog_236[[#This Row],[PESO]])</f>
        <v>0</v>
      </c>
      <c r="O366" s="44"/>
      <c r="P366" s="66"/>
      <c r="Q366" s="66"/>
      <c r="R366" s="66"/>
      <c r="S366" s="66"/>
      <c r="T366" s="138" t="str">
        <f>IFERROR(LOOKUP($S366,MOTORISTAS!$D$3:$D$1048576,MOTORISTAS!E$3:$E$1048576),"")</f>
        <v/>
      </c>
      <c r="U366" s="138" t="str">
        <f>IFERROR(LOOKUP($S366,MOTORISTAS!$D$3:$D$1048576,MOTORISTAS!F$3:$F$1048576),"")</f>
        <v/>
      </c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44"/>
      <c r="AG366" s="254">
        <f>Prog_236[[#This Row],[SAÍDA DO CLIENTE]]-Prog_236[[#This Row],[PROGRAMAÇÃO CLIENTE]]</f>
        <v>0</v>
      </c>
      <c r="AH366" s="44"/>
      <c r="AI366" s="66"/>
      <c r="AJ366" s="66"/>
      <c r="AK366" s="66"/>
      <c r="AL366" s="66"/>
      <c r="AM366" s="66"/>
      <c r="AN366" s="83"/>
      <c r="AO366" s="66"/>
      <c r="AP366" s="66"/>
      <c r="AQ366" s="66"/>
      <c r="AR366" s="81"/>
      <c r="AS366" s="81"/>
      <c r="AT366" s="81"/>
      <c r="AU366" s="81"/>
      <c r="AV366" s="83">
        <f>SUM(Prog_236[[#This Row],[ADIANTAMENTO]]+Prog_236[[#This Row],[SALDO]]+Prog_236[[#This Row],[MARGEM]]+Prog_236[[#This Row],[ESTADIA 1]])</f>
        <v>0</v>
      </c>
      <c r="AW3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6" s="81"/>
      <c r="AY366" s="81"/>
      <c r="AZ366" s="81">
        <f>Prog_236[[#This Row],[VLR NF]]*0.1%</f>
        <v>0</v>
      </c>
      <c r="BA366" s="81">
        <f>Prog_236[[#This Row],[VLR NF]]*0.05%</f>
        <v>0</v>
      </c>
      <c r="BB366" s="81"/>
      <c r="BC366" s="81"/>
      <c r="BD366" s="81"/>
      <c r="BE366" s="81"/>
      <c r="BF366" s="81"/>
      <c r="BG366" s="81"/>
      <c r="BH366" s="81"/>
      <c r="BI366" s="81"/>
      <c r="BJ366" s="81"/>
      <c r="BK366" s="81"/>
      <c r="BL366" s="66"/>
      <c r="BM366" s="66"/>
      <c r="BN366" s="66"/>
      <c r="BO366" s="66" t="str">
        <f>PROPER(TEXT(Prog_236[[#This Row],[PROGRAMAÇÃO CLIENTE]],"mmm"))</f>
        <v>Jan</v>
      </c>
      <c r="BP366" s="66">
        <f>YEAR(Prog_236[[#This Row],[PROGRAMAÇÃO CLIENTE]])</f>
        <v>1900</v>
      </c>
    </row>
    <row r="367" spans="1:68" x14ac:dyDescent="0.25">
      <c r="A367" s="200">
        <f>Prog_236[[#This Row],[CONTEINER]]</f>
        <v>0</v>
      </c>
      <c r="B367" s="86"/>
      <c r="C3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7" s="44"/>
      <c r="E367" s="66"/>
      <c r="F367" s="66"/>
      <c r="G367" s="66"/>
      <c r="H367" s="44"/>
      <c r="I367" s="44"/>
      <c r="J367" s="66"/>
      <c r="K367" s="66"/>
      <c r="L367" s="66"/>
      <c r="M367" s="66"/>
      <c r="N367" s="66">
        <f>SUM(Prog_236[[#This Row],[TARA]]+Prog_236[[#This Row],[PESO]])</f>
        <v>0</v>
      </c>
      <c r="O367" s="44"/>
      <c r="P367" s="66"/>
      <c r="Q367" s="66"/>
      <c r="R367" s="66"/>
      <c r="S367" s="66"/>
      <c r="T367" s="138" t="str">
        <f>IFERROR(LOOKUP($S367,MOTORISTAS!$D$3:$D$1048576,MOTORISTAS!E$3:$E$1048576),"")</f>
        <v/>
      </c>
      <c r="U367" s="138" t="str">
        <f>IFERROR(LOOKUP($S367,MOTORISTAS!$D$3:$D$1048576,MOTORISTAS!F$3:$F$1048576),"")</f>
        <v/>
      </c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44"/>
      <c r="AG367" s="254">
        <f>Prog_236[[#This Row],[SAÍDA DO CLIENTE]]-Prog_236[[#This Row],[PROGRAMAÇÃO CLIENTE]]</f>
        <v>0</v>
      </c>
      <c r="AH367" s="44"/>
      <c r="AI367" s="66"/>
      <c r="AJ367" s="66"/>
      <c r="AK367" s="66"/>
      <c r="AL367" s="66"/>
      <c r="AM367" s="66"/>
      <c r="AN367" s="83"/>
      <c r="AO367" s="66"/>
      <c r="AP367" s="66"/>
      <c r="AQ367" s="66"/>
      <c r="AR367" s="81"/>
      <c r="AS367" s="81"/>
      <c r="AT367" s="81"/>
      <c r="AU367" s="81"/>
      <c r="AV367" s="83">
        <f>SUM(Prog_236[[#This Row],[ADIANTAMENTO]]+Prog_236[[#This Row],[SALDO]]+Prog_236[[#This Row],[MARGEM]]+Prog_236[[#This Row],[ESTADIA 1]])</f>
        <v>0</v>
      </c>
      <c r="AW3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7" s="81"/>
      <c r="AY367" s="81"/>
      <c r="AZ367" s="81">
        <f>Prog_236[[#This Row],[VLR NF]]*0.1%</f>
        <v>0</v>
      </c>
      <c r="BA367" s="81">
        <f>Prog_236[[#This Row],[VLR NF]]*0.05%</f>
        <v>0</v>
      </c>
      <c r="BB367" s="81"/>
      <c r="BC367" s="81"/>
      <c r="BD367" s="81"/>
      <c r="BE367" s="81"/>
      <c r="BF367" s="81"/>
      <c r="BG367" s="81"/>
      <c r="BH367" s="81"/>
      <c r="BI367" s="81"/>
      <c r="BJ367" s="81"/>
      <c r="BK367" s="81"/>
      <c r="BL367" s="66"/>
      <c r="BM367" s="66"/>
      <c r="BN367" s="66"/>
      <c r="BO367" s="66" t="str">
        <f>PROPER(TEXT(Prog_236[[#This Row],[PROGRAMAÇÃO CLIENTE]],"mmm"))</f>
        <v>Jan</v>
      </c>
      <c r="BP367" s="66">
        <f>YEAR(Prog_236[[#This Row],[PROGRAMAÇÃO CLIENTE]])</f>
        <v>1900</v>
      </c>
    </row>
    <row r="368" spans="1:68" x14ac:dyDescent="0.25">
      <c r="A368" s="201">
        <f>Prog_236[[#This Row],[CONTEINER]]</f>
        <v>0</v>
      </c>
      <c r="B368" s="86"/>
      <c r="C3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8" s="44"/>
      <c r="E368" s="66"/>
      <c r="F368" s="66"/>
      <c r="G368" s="66"/>
      <c r="H368" s="44"/>
      <c r="I368" s="44"/>
      <c r="J368" s="66"/>
      <c r="K368" s="66"/>
      <c r="L368" s="66"/>
      <c r="M368" s="66"/>
      <c r="N368" s="66">
        <f>SUM(Prog_236[[#This Row],[TARA]]+Prog_236[[#This Row],[PESO]])</f>
        <v>0</v>
      </c>
      <c r="O368" s="44"/>
      <c r="P368" s="66"/>
      <c r="Q368" s="66"/>
      <c r="R368" s="66"/>
      <c r="S368" s="66"/>
      <c r="T368" s="138" t="str">
        <f>IFERROR(LOOKUP($S368,MOTORISTAS!$D$3:$D$1048576,MOTORISTAS!E$3:$E$1048576),"")</f>
        <v/>
      </c>
      <c r="U368" s="138" t="str">
        <f>IFERROR(LOOKUP($S368,MOTORISTAS!$D$3:$D$1048576,MOTORISTAS!F$3:$F$1048576),"")</f>
        <v/>
      </c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44"/>
      <c r="AG368" s="254">
        <f>Prog_236[[#This Row],[SAÍDA DO CLIENTE]]-Prog_236[[#This Row],[PROGRAMAÇÃO CLIENTE]]</f>
        <v>0</v>
      </c>
      <c r="AH368" s="44"/>
      <c r="AI368" s="66"/>
      <c r="AJ368" s="66"/>
      <c r="AK368" s="66"/>
      <c r="AL368" s="66"/>
      <c r="AM368" s="66"/>
      <c r="AN368" s="83"/>
      <c r="AO368" s="66"/>
      <c r="AP368" s="66"/>
      <c r="AQ368" s="66"/>
      <c r="AR368" s="81"/>
      <c r="AS368" s="81"/>
      <c r="AT368" s="81"/>
      <c r="AU368" s="81"/>
      <c r="AV368" s="83">
        <f>SUM(Prog_236[[#This Row],[ADIANTAMENTO]]+Prog_236[[#This Row],[SALDO]]+Prog_236[[#This Row],[MARGEM]]+Prog_236[[#This Row],[ESTADIA 1]])</f>
        <v>0</v>
      </c>
      <c r="AW3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8" s="81"/>
      <c r="AY368" s="81"/>
      <c r="AZ368" s="81">
        <f>Prog_236[[#This Row],[VLR NF]]*0.1%</f>
        <v>0</v>
      </c>
      <c r="BA368" s="81">
        <f>Prog_236[[#This Row],[VLR NF]]*0.05%</f>
        <v>0</v>
      </c>
      <c r="BB368" s="81"/>
      <c r="BC368" s="81"/>
      <c r="BD368" s="81"/>
      <c r="BE368" s="81"/>
      <c r="BF368" s="81"/>
      <c r="BG368" s="81"/>
      <c r="BH368" s="81"/>
      <c r="BI368" s="81"/>
      <c r="BJ368" s="81"/>
      <c r="BK368" s="81"/>
      <c r="BL368" s="66"/>
      <c r="BM368" s="66"/>
      <c r="BN368" s="66"/>
      <c r="BO368" s="66" t="str">
        <f>PROPER(TEXT(Prog_236[[#This Row],[PROGRAMAÇÃO CLIENTE]],"mmm"))</f>
        <v>Jan</v>
      </c>
      <c r="BP368" s="66">
        <f>YEAR(Prog_236[[#This Row],[PROGRAMAÇÃO CLIENTE]])</f>
        <v>1900</v>
      </c>
    </row>
    <row r="369" spans="1:68" x14ac:dyDescent="0.25">
      <c r="A369" s="200">
        <f>Prog_236[[#This Row],[CONTEINER]]</f>
        <v>0</v>
      </c>
      <c r="B369" s="86"/>
      <c r="C3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69" s="44"/>
      <c r="E369" s="66"/>
      <c r="F369" s="66"/>
      <c r="G369" s="66"/>
      <c r="H369" s="44"/>
      <c r="I369" s="44"/>
      <c r="J369" s="66"/>
      <c r="K369" s="66"/>
      <c r="L369" s="66"/>
      <c r="M369" s="66"/>
      <c r="N369" s="66">
        <f>SUM(Prog_236[[#This Row],[TARA]]+Prog_236[[#This Row],[PESO]])</f>
        <v>0</v>
      </c>
      <c r="O369" s="44"/>
      <c r="P369" s="66"/>
      <c r="Q369" s="66"/>
      <c r="R369" s="66"/>
      <c r="S369" s="66"/>
      <c r="T369" s="138" t="str">
        <f>IFERROR(LOOKUP($S369,MOTORISTAS!$D$3:$D$1048576,MOTORISTAS!E$3:$E$1048576),"")</f>
        <v/>
      </c>
      <c r="U369" s="138" t="str">
        <f>IFERROR(LOOKUP($S369,MOTORISTAS!$D$3:$D$1048576,MOTORISTAS!F$3:$F$1048576),"")</f>
        <v/>
      </c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44"/>
      <c r="AG369" s="254">
        <f>Prog_236[[#This Row],[SAÍDA DO CLIENTE]]-Prog_236[[#This Row],[PROGRAMAÇÃO CLIENTE]]</f>
        <v>0</v>
      </c>
      <c r="AH369" s="44"/>
      <c r="AI369" s="66"/>
      <c r="AJ369" s="66"/>
      <c r="AK369" s="66"/>
      <c r="AL369" s="66"/>
      <c r="AM369" s="66"/>
      <c r="AN369" s="83"/>
      <c r="AO369" s="66"/>
      <c r="AP369" s="66"/>
      <c r="AQ369" s="66"/>
      <c r="AR369" s="81"/>
      <c r="AS369" s="81"/>
      <c r="AT369" s="81"/>
      <c r="AU369" s="81"/>
      <c r="AV369" s="83">
        <f>SUM(Prog_236[[#This Row],[ADIANTAMENTO]]+Prog_236[[#This Row],[SALDO]]+Prog_236[[#This Row],[MARGEM]]+Prog_236[[#This Row],[ESTADIA 1]])</f>
        <v>0</v>
      </c>
      <c r="AW3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69" s="81"/>
      <c r="AY369" s="81"/>
      <c r="AZ369" s="81">
        <f>Prog_236[[#This Row],[VLR NF]]*0.1%</f>
        <v>0</v>
      </c>
      <c r="BA369" s="81">
        <f>Prog_236[[#This Row],[VLR NF]]*0.05%</f>
        <v>0</v>
      </c>
      <c r="BB369" s="81"/>
      <c r="BC369" s="81"/>
      <c r="BD369" s="81"/>
      <c r="BE369" s="81"/>
      <c r="BF369" s="81"/>
      <c r="BG369" s="81"/>
      <c r="BH369" s="81"/>
      <c r="BI369" s="81"/>
      <c r="BJ369" s="81"/>
      <c r="BK369" s="81"/>
      <c r="BL369" s="66"/>
      <c r="BM369" s="66"/>
      <c r="BN369" s="66"/>
      <c r="BO369" s="66" t="str">
        <f>PROPER(TEXT(Prog_236[[#This Row],[PROGRAMAÇÃO CLIENTE]],"mmm"))</f>
        <v>Jan</v>
      </c>
      <c r="BP369" s="66">
        <f>YEAR(Prog_236[[#This Row],[PROGRAMAÇÃO CLIENTE]])</f>
        <v>1900</v>
      </c>
    </row>
    <row r="370" spans="1:68" x14ac:dyDescent="0.25">
      <c r="A370" s="201">
        <f>Prog_236[[#This Row],[CONTEINER]]</f>
        <v>0</v>
      </c>
      <c r="B370" s="86"/>
      <c r="C3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0" s="44"/>
      <c r="E370" s="66"/>
      <c r="F370" s="66"/>
      <c r="G370" s="66"/>
      <c r="H370" s="44"/>
      <c r="I370" s="44"/>
      <c r="J370" s="66"/>
      <c r="K370" s="66"/>
      <c r="L370" s="66"/>
      <c r="M370" s="66"/>
      <c r="N370" s="66">
        <f>SUM(Prog_236[[#This Row],[TARA]]+Prog_236[[#This Row],[PESO]])</f>
        <v>0</v>
      </c>
      <c r="O370" s="44"/>
      <c r="P370" s="66"/>
      <c r="Q370" s="66"/>
      <c r="R370" s="66"/>
      <c r="S370" s="66"/>
      <c r="T370" s="138" t="str">
        <f>IFERROR(LOOKUP($S370,MOTORISTAS!$D$3:$D$1048576,MOTORISTAS!E$3:$E$1048576),"")</f>
        <v/>
      </c>
      <c r="U370" s="138" t="str">
        <f>IFERROR(LOOKUP($S370,MOTORISTAS!$D$3:$D$1048576,MOTORISTAS!F$3:$F$1048576),"")</f>
        <v/>
      </c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44"/>
      <c r="AG370" s="254">
        <f>Prog_236[[#This Row],[SAÍDA DO CLIENTE]]-Prog_236[[#This Row],[PROGRAMAÇÃO CLIENTE]]</f>
        <v>0</v>
      </c>
      <c r="AH370" s="44"/>
      <c r="AI370" s="66"/>
      <c r="AJ370" s="66"/>
      <c r="AK370" s="66"/>
      <c r="AL370" s="66"/>
      <c r="AM370" s="66"/>
      <c r="AN370" s="83"/>
      <c r="AO370" s="66"/>
      <c r="AP370" s="66"/>
      <c r="AQ370" s="66"/>
      <c r="AR370" s="81"/>
      <c r="AS370" s="81"/>
      <c r="AT370" s="81"/>
      <c r="AU370" s="81"/>
      <c r="AV370" s="83">
        <f>SUM(Prog_236[[#This Row],[ADIANTAMENTO]]+Prog_236[[#This Row],[SALDO]]+Prog_236[[#This Row],[MARGEM]]+Prog_236[[#This Row],[ESTADIA 1]])</f>
        <v>0</v>
      </c>
      <c r="AW3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0" s="81"/>
      <c r="AY370" s="81"/>
      <c r="AZ370" s="81">
        <f>Prog_236[[#This Row],[VLR NF]]*0.1%</f>
        <v>0</v>
      </c>
      <c r="BA370" s="81">
        <f>Prog_236[[#This Row],[VLR NF]]*0.05%</f>
        <v>0</v>
      </c>
      <c r="BB370" s="81"/>
      <c r="BC370" s="81"/>
      <c r="BD370" s="81"/>
      <c r="BE370" s="81"/>
      <c r="BF370" s="81"/>
      <c r="BG370" s="81"/>
      <c r="BH370" s="81"/>
      <c r="BI370" s="81"/>
      <c r="BJ370" s="81"/>
      <c r="BK370" s="81"/>
      <c r="BL370" s="66"/>
      <c r="BM370" s="66"/>
      <c r="BN370" s="66"/>
      <c r="BO370" s="66" t="str">
        <f>PROPER(TEXT(Prog_236[[#This Row],[PROGRAMAÇÃO CLIENTE]],"mmm"))</f>
        <v>Jan</v>
      </c>
      <c r="BP370" s="66">
        <f>YEAR(Prog_236[[#This Row],[PROGRAMAÇÃO CLIENTE]])</f>
        <v>1900</v>
      </c>
    </row>
    <row r="371" spans="1:68" x14ac:dyDescent="0.25">
      <c r="A371" s="200">
        <f>Prog_236[[#This Row],[CONTEINER]]</f>
        <v>0</v>
      </c>
      <c r="B371" s="86"/>
      <c r="C3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1" s="44"/>
      <c r="E371" s="66"/>
      <c r="F371" s="66"/>
      <c r="G371" s="66"/>
      <c r="H371" s="44"/>
      <c r="I371" s="44"/>
      <c r="J371" s="66"/>
      <c r="K371" s="66"/>
      <c r="L371" s="66"/>
      <c r="M371" s="66"/>
      <c r="N371" s="66">
        <f>SUM(Prog_236[[#This Row],[TARA]]+Prog_236[[#This Row],[PESO]])</f>
        <v>0</v>
      </c>
      <c r="O371" s="44"/>
      <c r="P371" s="66"/>
      <c r="Q371" s="66"/>
      <c r="R371" s="66"/>
      <c r="S371" s="66"/>
      <c r="T371" s="138" t="str">
        <f>IFERROR(LOOKUP($S371,MOTORISTAS!$D$3:$D$1048576,MOTORISTAS!E$3:$E$1048576),"")</f>
        <v/>
      </c>
      <c r="U371" s="138" t="str">
        <f>IFERROR(LOOKUP($S371,MOTORISTAS!$D$3:$D$1048576,MOTORISTAS!F$3:$F$1048576),"")</f>
        <v/>
      </c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44"/>
      <c r="AG371" s="254">
        <f>Prog_236[[#This Row],[SAÍDA DO CLIENTE]]-Prog_236[[#This Row],[PROGRAMAÇÃO CLIENTE]]</f>
        <v>0</v>
      </c>
      <c r="AH371" s="44"/>
      <c r="AI371" s="66"/>
      <c r="AJ371" s="66"/>
      <c r="AK371" s="66"/>
      <c r="AL371" s="66"/>
      <c r="AM371" s="66"/>
      <c r="AN371" s="83"/>
      <c r="AO371" s="66"/>
      <c r="AP371" s="66"/>
      <c r="AQ371" s="66"/>
      <c r="AR371" s="81"/>
      <c r="AS371" s="81"/>
      <c r="AT371" s="81"/>
      <c r="AU371" s="81"/>
      <c r="AV371" s="83">
        <f>SUM(Prog_236[[#This Row],[ADIANTAMENTO]]+Prog_236[[#This Row],[SALDO]]+Prog_236[[#This Row],[MARGEM]]+Prog_236[[#This Row],[ESTADIA 1]])</f>
        <v>0</v>
      </c>
      <c r="AW3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1" s="81"/>
      <c r="AY371" s="81"/>
      <c r="AZ371" s="81">
        <f>Prog_236[[#This Row],[VLR NF]]*0.1%</f>
        <v>0</v>
      </c>
      <c r="BA371" s="81">
        <f>Prog_236[[#This Row],[VLR NF]]*0.05%</f>
        <v>0</v>
      </c>
      <c r="BB371" s="81"/>
      <c r="BC371" s="81"/>
      <c r="BD371" s="81"/>
      <c r="BE371" s="81"/>
      <c r="BF371" s="81"/>
      <c r="BG371" s="81"/>
      <c r="BH371" s="81"/>
      <c r="BI371" s="81"/>
      <c r="BJ371" s="81"/>
      <c r="BK371" s="81"/>
      <c r="BL371" s="66"/>
      <c r="BM371" s="66"/>
      <c r="BN371" s="66"/>
      <c r="BO371" s="66" t="str">
        <f>PROPER(TEXT(Prog_236[[#This Row],[PROGRAMAÇÃO CLIENTE]],"mmm"))</f>
        <v>Jan</v>
      </c>
      <c r="BP371" s="66">
        <f>YEAR(Prog_236[[#This Row],[PROGRAMAÇÃO CLIENTE]])</f>
        <v>1900</v>
      </c>
    </row>
    <row r="372" spans="1:68" x14ac:dyDescent="0.25">
      <c r="A372" s="201">
        <f>Prog_236[[#This Row],[CONTEINER]]</f>
        <v>0</v>
      </c>
      <c r="B372" s="86"/>
      <c r="C3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2" s="44"/>
      <c r="E372" s="66"/>
      <c r="F372" s="66"/>
      <c r="G372" s="66"/>
      <c r="H372" s="44"/>
      <c r="I372" s="44"/>
      <c r="J372" s="66"/>
      <c r="K372" s="66"/>
      <c r="L372" s="66"/>
      <c r="M372" s="66"/>
      <c r="N372" s="66">
        <f>SUM(Prog_236[[#This Row],[TARA]]+Prog_236[[#This Row],[PESO]])</f>
        <v>0</v>
      </c>
      <c r="O372" s="44"/>
      <c r="P372" s="66"/>
      <c r="Q372" s="66"/>
      <c r="R372" s="66"/>
      <c r="S372" s="66"/>
      <c r="T372" s="138" t="str">
        <f>IFERROR(LOOKUP($S372,MOTORISTAS!$D$3:$D$1048576,MOTORISTAS!E$3:$E$1048576),"")</f>
        <v/>
      </c>
      <c r="U372" s="138" t="str">
        <f>IFERROR(LOOKUP($S372,MOTORISTAS!$D$3:$D$1048576,MOTORISTAS!F$3:$F$1048576),"")</f>
        <v/>
      </c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44"/>
      <c r="AG372" s="254">
        <f>Prog_236[[#This Row],[SAÍDA DO CLIENTE]]-Prog_236[[#This Row],[PROGRAMAÇÃO CLIENTE]]</f>
        <v>0</v>
      </c>
      <c r="AH372" s="44"/>
      <c r="AI372" s="66"/>
      <c r="AJ372" s="66"/>
      <c r="AK372" s="66"/>
      <c r="AL372" s="66"/>
      <c r="AM372" s="66"/>
      <c r="AN372" s="83"/>
      <c r="AO372" s="66"/>
      <c r="AP372" s="66"/>
      <c r="AQ372" s="66"/>
      <c r="AR372" s="81"/>
      <c r="AS372" s="81"/>
      <c r="AT372" s="81"/>
      <c r="AU372" s="81"/>
      <c r="AV372" s="83">
        <f>SUM(Prog_236[[#This Row],[ADIANTAMENTO]]+Prog_236[[#This Row],[SALDO]]+Prog_236[[#This Row],[MARGEM]]+Prog_236[[#This Row],[ESTADIA 1]])</f>
        <v>0</v>
      </c>
      <c r="AW3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2" s="81"/>
      <c r="AY372" s="81"/>
      <c r="AZ372" s="81">
        <f>Prog_236[[#This Row],[VLR NF]]*0.1%</f>
        <v>0</v>
      </c>
      <c r="BA372" s="81">
        <f>Prog_236[[#This Row],[VLR NF]]*0.05%</f>
        <v>0</v>
      </c>
      <c r="BB372" s="81"/>
      <c r="BC372" s="81"/>
      <c r="BD372" s="81"/>
      <c r="BE372" s="81"/>
      <c r="BF372" s="81"/>
      <c r="BG372" s="81"/>
      <c r="BH372" s="81"/>
      <c r="BI372" s="81"/>
      <c r="BJ372" s="81"/>
      <c r="BK372" s="81"/>
      <c r="BL372" s="66"/>
      <c r="BM372" s="66"/>
      <c r="BN372" s="66"/>
      <c r="BO372" s="66" t="str">
        <f>PROPER(TEXT(Prog_236[[#This Row],[PROGRAMAÇÃO CLIENTE]],"mmm"))</f>
        <v>Jan</v>
      </c>
      <c r="BP372" s="66">
        <f>YEAR(Prog_236[[#This Row],[PROGRAMAÇÃO CLIENTE]])</f>
        <v>1900</v>
      </c>
    </row>
    <row r="373" spans="1:68" x14ac:dyDescent="0.25">
      <c r="A373" s="200">
        <f>Prog_236[[#This Row],[CONTEINER]]</f>
        <v>0</v>
      </c>
      <c r="B373" s="86"/>
      <c r="C3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3" s="44"/>
      <c r="E373" s="66"/>
      <c r="F373" s="66"/>
      <c r="G373" s="66"/>
      <c r="H373" s="44"/>
      <c r="I373" s="44"/>
      <c r="J373" s="66"/>
      <c r="K373" s="66"/>
      <c r="L373" s="66"/>
      <c r="M373" s="66"/>
      <c r="N373" s="66">
        <f>SUM(Prog_236[[#This Row],[TARA]]+Prog_236[[#This Row],[PESO]])</f>
        <v>0</v>
      </c>
      <c r="O373" s="44"/>
      <c r="P373" s="66"/>
      <c r="Q373" s="66"/>
      <c r="R373" s="66"/>
      <c r="S373" s="66"/>
      <c r="T373" s="138" t="str">
        <f>IFERROR(LOOKUP($S373,MOTORISTAS!$D$3:$D$1048576,MOTORISTAS!E$3:$E$1048576),"")</f>
        <v/>
      </c>
      <c r="U373" s="138" t="str">
        <f>IFERROR(LOOKUP($S373,MOTORISTAS!$D$3:$D$1048576,MOTORISTAS!F$3:$F$1048576),"")</f>
        <v/>
      </c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44"/>
      <c r="AG373" s="254">
        <f>Prog_236[[#This Row],[SAÍDA DO CLIENTE]]-Prog_236[[#This Row],[PROGRAMAÇÃO CLIENTE]]</f>
        <v>0</v>
      </c>
      <c r="AH373" s="44"/>
      <c r="AI373" s="66"/>
      <c r="AJ373" s="66"/>
      <c r="AK373" s="66"/>
      <c r="AL373" s="66"/>
      <c r="AM373" s="66"/>
      <c r="AN373" s="83"/>
      <c r="AO373" s="66"/>
      <c r="AP373" s="66"/>
      <c r="AQ373" s="66"/>
      <c r="AR373" s="81"/>
      <c r="AS373" s="81"/>
      <c r="AT373" s="81"/>
      <c r="AU373" s="81"/>
      <c r="AV373" s="83">
        <f>SUM(Prog_236[[#This Row],[ADIANTAMENTO]]+Prog_236[[#This Row],[SALDO]]+Prog_236[[#This Row],[MARGEM]]+Prog_236[[#This Row],[ESTADIA 1]])</f>
        <v>0</v>
      </c>
      <c r="AW3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3" s="81"/>
      <c r="AY373" s="81"/>
      <c r="AZ373" s="81">
        <f>Prog_236[[#This Row],[VLR NF]]*0.1%</f>
        <v>0</v>
      </c>
      <c r="BA373" s="81">
        <f>Prog_236[[#This Row],[VLR NF]]*0.05%</f>
        <v>0</v>
      </c>
      <c r="BB373" s="81"/>
      <c r="BC373" s="81"/>
      <c r="BD373" s="81"/>
      <c r="BE373" s="81"/>
      <c r="BF373" s="81"/>
      <c r="BG373" s="81"/>
      <c r="BH373" s="81"/>
      <c r="BI373" s="81"/>
      <c r="BJ373" s="81"/>
      <c r="BK373" s="81"/>
      <c r="BL373" s="66"/>
      <c r="BM373" s="66"/>
      <c r="BN373" s="66"/>
      <c r="BO373" s="66" t="str">
        <f>PROPER(TEXT(Prog_236[[#This Row],[PROGRAMAÇÃO CLIENTE]],"mmm"))</f>
        <v>Jan</v>
      </c>
      <c r="BP373" s="66">
        <f>YEAR(Prog_236[[#This Row],[PROGRAMAÇÃO CLIENTE]])</f>
        <v>1900</v>
      </c>
    </row>
    <row r="374" spans="1:68" x14ac:dyDescent="0.25">
      <c r="A374" s="201">
        <f>Prog_236[[#This Row],[CONTEINER]]</f>
        <v>0</v>
      </c>
      <c r="B374" s="86"/>
      <c r="C3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4" s="44"/>
      <c r="E374" s="66"/>
      <c r="F374" s="66"/>
      <c r="G374" s="66"/>
      <c r="H374" s="44"/>
      <c r="I374" s="44"/>
      <c r="J374" s="66"/>
      <c r="K374" s="66"/>
      <c r="L374" s="66"/>
      <c r="M374" s="66"/>
      <c r="N374" s="66">
        <f>SUM(Prog_236[[#This Row],[TARA]]+Prog_236[[#This Row],[PESO]])</f>
        <v>0</v>
      </c>
      <c r="O374" s="44"/>
      <c r="P374" s="66"/>
      <c r="Q374" s="66"/>
      <c r="R374" s="66"/>
      <c r="S374" s="66"/>
      <c r="T374" s="138" t="str">
        <f>IFERROR(LOOKUP($S374,MOTORISTAS!$D$3:$D$1048576,MOTORISTAS!E$3:$E$1048576),"")</f>
        <v/>
      </c>
      <c r="U374" s="138" t="str">
        <f>IFERROR(LOOKUP($S374,MOTORISTAS!$D$3:$D$1048576,MOTORISTAS!F$3:$F$1048576),"")</f>
        <v/>
      </c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44"/>
      <c r="AG374" s="254">
        <f>Prog_236[[#This Row],[SAÍDA DO CLIENTE]]-Prog_236[[#This Row],[PROGRAMAÇÃO CLIENTE]]</f>
        <v>0</v>
      </c>
      <c r="AH374" s="44"/>
      <c r="AI374" s="66"/>
      <c r="AJ374" s="66"/>
      <c r="AK374" s="66"/>
      <c r="AL374" s="66"/>
      <c r="AM374" s="66"/>
      <c r="AN374" s="83"/>
      <c r="AO374" s="66"/>
      <c r="AP374" s="66"/>
      <c r="AQ374" s="66"/>
      <c r="AR374" s="81"/>
      <c r="AS374" s="81"/>
      <c r="AT374" s="81"/>
      <c r="AU374" s="81"/>
      <c r="AV374" s="83">
        <f>SUM(Prog_236[[#This Row],[ADIANTAMENTO]]+Prog_236[[#This Row],[SALDO]]+Prog_236[[#This Row],[MARGEM]]+Prog_236[[#This Row],[ESTADIA 1]])</f>
        <v>0</v>
      </c>
      <c r="AW3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4" s="81"/>
      <c r="AY374" s="81"/>
      <c r="AZ374" s="81">
        <f>Prog_236[[#This Row],[VLR NF]]*0.1%</f>
        <v>0</v>
      </c>
      <c r="BA374" s="81">
        <f>Prog_236[[#This Row],[VLR NF]]*0.05%</f>
        <v>0</v>
      </c>
      <c r="BB374" s="81"/>
      <c r="BC374" s="81"/>
      <c r="BD374" s="81"/>
      <c r="BE374" s="81"/>
      <c r="BF374" s="81"/>
      <c r="BG374" s="81"/>
      <c r="BH374" s="81"/>
      <c r="BI374" s="81"/>
      <c r="BJ374" s="81"/>
      <c r="BK374" s="81"/>
      <c r="BL374" s="66"/>
      <c r="BM374" s="66"/>
      <c r="BN374" s="66"/>
      <c r="BO374" s="66" t="str">
        <f>PROPER(TEXT(Prog_236[[#This Row],[PROGRAMAÇÃO CLIENTE]],"mmm"))</f>
        <v>Jan</v>
      </c>
      <c r="BP374" s="66">
        <f>YEAR(Prog_236[[#This Row],[PROGRAMAÇÃO CLIENTE]])</f>
        <v>1900</v>
      </c>
    </row>
    <row r="375" spans="1:68" x14ac:dyDescent="0.25">
      <c r="A375" s="200">
        <f>Prog_236[[#This Row],[CONTEINER]]</f>
        <v>0</v>
      </c>
      <c r="B375" s="86"/>
      <c r="C3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5" s="44"/>
      <c r="E375" s="66"/>
      <c r="F375" s="66"/>
      <c r="G375" s="66"/>
      <c r="H375" s="44"/>
      <c r="I375" s="44"/>
      <c r="J375" s="66"/>
      <c r="K375" s="66"/>
      <c r="L375" s="66"/>
      <c r="M375" s="66"/>
      <c r="N375" s="66">
        <f>SUM(Prog_236[[#This Row],[TARA]]+Prog_236[[#This Row],[PESO]])</f>
        <v>0</v>
      </c>
      <c r="O375" s="44"/>
      <c r="P375" s="66"/>
      <c r="Q375" s="66"/>
      <c r="R375" s="66"/>
      <c r="S375" s="66"/>
      <c r="T375" s="138" t="str">
        <f>IFERROR(LOOKUP($S375,MOTORISTAS!$D$3:$D$1048576,MOTORISTAS!E$3:$E$1048576),"")</f>
        <v/>
      </c>
      <c r="U375" s="138" t="str">
        <f>IFERROR(LOOKUP($S375,MOTORISTAS!$D$3:$D$1048576,MOTORISTAS!F$3:$F$1048576),"")</f>
        <v/>
      </c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44"/>
      <c r="AG375" s="254">
        <f>Prog_236[[#This Row],[SAÍDA DO CLIENTE]]-Prog_236[[#This Row],[PROGRAMAÇÃO CLIENTE]]</f>
        <v>0</v>
      </c>
      <c r="AH375" s="44"/>
      <c r="AI375" s="66"/>
      <c r="AJ375" s="66"/>
      <c r="AK375" s="66"/>
      <c r="AL375" s="66"/>
      <c r="AM375" s="66"/>
      <c r="AN375" s="83"/>
      <c r="AO375" s="66"/>
      <c r="AP375" s="66"/>
      <c r="AQ375" s="66"/>
      <c r="AR375" s="81"/>
      <c r="AS375" s="81"/>
      <c r="AT375" s="81"/>
      <c r="AU375" s="81"/>
      <c r="AV375" s="83">
        <f>SUM(Prog_236[[#This Row],[ADIANTAMENTO]]+Prog_236[[#This Row],[SALDO]]+Prog_236[[#This Row],[MARGEM]]+Prog_236[[#This Row],[ESTADIA 1]])</f>
        <v>0</v>
      </c>
      <c r="AW3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5" s="81"/>
      <c r="AY375" s="81"/>
      <c r="AZ375" s="81">
        <f>Prog_236[[#This Row],[VLR NF]]*0.1%</f>
        <v>0</v>
      </c>
      <c r="BA375" s="81">
        <f>Prog_236[[#This Row],[VLR NF]]*0.05%</f>
        <v>0</v>
      </c>
      <c r="BB375" s="81"/>
      <c r="BC375" s="81"/>
      <c r="BD375" s="81"/>
      <c r="BE375" s="81"/>
      <c r="BF375" s="81"/>
      <c r="BG375" s="81"/>
      <c r="BH375" s="81"/>
      <c r="BI375" s="81"/>
      <c r="BJ375" s="81"/>
      <c r="BK375" s="81"/>
      <c r="BL375" s="66"/>
      <c r="BM375" s="66"/>
      <c r="BN375" s="66"/>
      <c r="BO375" s="66" t="str">
        <f>PROPER(TEXT(Prog_236[[#This Row],[PROGRAMAÇÃO CLIENTE]],"mmm"))</f>
        <v>Jan</v>
      </c>
      <c r="BP375" s="66">
        <f>YEAR(Prog_236[[#This Row],[PROGRAMAÇÃO CLIENTE]])</f>
        <v>1900</v>
      </c>
    </row>
    <row r="376" spans="1:68" x14ac:dyDescent="0.25">
      <c r="A376" s="201">
        <f>Prog_236[[#This Row],[CONTEINER]]</f>
        <v>0</v>
      </c>
      <c r="B376" s="86"/>
      <c r="C3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6" s="44"/>
      <c r="E376" s="66"/>
      <c r="F376" s="66"/>
      <c r="G376" s="66"/>
      <c r="H376" s="44"/>
      <c r="I376" s="44"/>
      <c r="J376" s="66"/>
      <c r="K376" s="66"/>
      <c r="L376" s="66"/>
      <c r="M376" s="66"/>
      <c r="N376" s="66">
        <f>SUM(Prog_236[[#This Row],[TARA]]+Prog_236[[#This Row],[PESO]])</f>
        <v>0</v>
      </c>
      <c r="O376" s="44"/>
      <c r="P376" s="66"/>
      <c r="Q376" s="66"/>
      <c r="R376" s="66"/>
      <c r="S376" s="66"/>
      <c r="T376" s="138" t="str">
        <f>IFERROR(LOOKUP($S376,MOTORISTAS!$D$3:$D$1048576,MOTORISTAS!E$3:$E$1048576),"")</f>
        <v/>
      </c>
      <c r="U376" s="138" t="str">
        <f>IFERROR(LOOKUP($S376,MOTORISTAS!$D$3:$D$1048576,MOTORISTAS!F$3:$F$1048576),"")</f>
        <v/>
      </c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44"/>
      <c r="AG376" s="254">
        <f>Prog_236[[#This Row],[SAÍDA DO CLIENTE]]-Prog_236[[#This Row],[PROGRAMAÇÃO CLIENTE]]</f>
        <v>0</v>
      </c>
      <c r="AH376" s="44"/>
      <c r="AI376" s="66"/>
      <c r="AJ376" s="66"/>
      <c r="AK376" s="66"/>
      <c r="AL376" s="66"/>
      <c r="AM376" s="66"/>
      <c r="AN376" s="83"/>
      <c r="AO376" s="66"/>
      <c r="AP376" s="66"/>
      <c r="AQ376" s="66"/>
      <c r="AR376" s="81"/>
      <c r="AS376" s="81"/>
      <c r="AT376" s="81"/>
      <c r="AU376" s="81"/>
      <c r="AV376" s="83">
        <f>SUM(Prog_236[[#This Row],[ADIANTAMENTO]]+Prog_236[[#This Row],[SALDO]]+Prog_236[[#This Row],[MARGEM]]+Prog_236[[#This Row],[ESTADIA 1]])</f>
        <v>0</v>
      </c>
      <c r="AW3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6" s="81"/>
      <c r="AY376" s="81"/>
      <c r="AZ376" s="81">
        <f>Prog_236[[#This Row],[VLR NF]]*0.1%</f>
        <v>0</v>
      </c>
      <c r="BA376" s="81">
        <f>Prog_236[[#This Row],[VLR NF]]*0.05%</f>
        <v>0</v>
      </c>
      <c r="BB376" s="81"/>
      <c r="BC376" s="81"/>
      <c r="BD376" s="81"/>
      <c r="BE376" s="81"/>
      <c r="BF376" s="81"/>
      <c r="BG376" s="81"/>
      <c r="BH376" s="81"/>
      <c r="BI376" s="81"/>
      <c r="BJ376" s="81"/>
      <c r="BK376" s="81"/>
      <c r="BL376" s="66"/>
      <c r="BM376" s="66"/>
      <c r="BN376" s="66"/>
      <c r="BO376" s="66" t="str">
        <f>PROPER(TEXT(Prog_236[[#This Row],[PROGRAMAÇÃO CLIENTE]],"mmm"))</f>
        <v>Jan</v>
      </c>
      <c r="BP376" s="66">
        <f>YEAR(Prog_236[[#This Row],[PROGRAMAÇÃO CLIENTE]])</f>
        <v>1900</v>
      </c>
    </row>
    <row r="377" spans="1:68" x14ac:dyDescent="0.25">
      <c r="A377" s="200">
        <f>Prog_236[[#This Row],[CONTEINER]]</f>
        <v>0</v>
      </c>
      <c r="B377" s="86"/>
      <c r="C3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7" s="44"/>
      <c r="E377" s="66"/>
      <c r="F377" s="66"/>
      <c r="G377" s="66"/>
      <c r="H377" s="44"/>
      <c r="I377" s="44"/>
      <c r="J377" s="66"/>
      <c r="K377" s="66"/>
      <c r="L377" s="66"/>
      <c r="M377" s="66"/>
      <c r="N377" s="66">
        <f>SUM(Prog_236[[#This Row],[TARA]]+Prog_236[[#This Row],[PESO]])</f>
        <v>0</v>
      </c>
      <c r="O377" s="44"/>
      <c r="P377" s="66"/>
      <c r="Q377" s="66"/>
      <c r="R377" s="66"/>
      <c r="S377" s="66"/>
      <c r="T377" s="138" t="str">
        <f>IFERROR(LOOKUP($S377,MOTORISTAS!$D$3:$D$1048576,MOTORISTAS!E$3:$E$1048576),"")</f>
        <v/>
      </c>
      <c r="U377" s="138" t="str">
        <f>IFERROR(LOOKUP($S377,MOTORISTAS!$D$3:$D$1048576,MOTORISTAS!F$3:$F$1048576),"")</f>
        <v/>
      </c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44"/>
      <c r="AG377" s="254">
        <f>Prog_236[[#This Row],[SAÍDA DO CLIENTE]]-Prog_236[[#This Row],[PROGRAMAÇÃO CLIENTE]]</f>
        <v>0</v>
      </c>
      <c r="AH377" s="44"/>
      <c r="AI377" s="66"/>
      <c r="AJ377" s="66"/>
      <c r="AK377" s="66"/>
      <c r="AL377" s="66"/>
      <c r="AM377" s="66"/>
      <c r="AN377" s="83"/>
      <c r="AO377" s="66"/>
      <c r="AP377" s="66"/>
      <c r="AQ377" s="66"/>
      <c r="AR377" s="81"/>
      <c r="AS377" s="81"/>
      <c r="AT377" s="81"/>
      <c r="AU377" s="81"/>
      <c r="AV377" s="83">
        <f>SUM(Prog_236[[#This Row],[ADIANTAMENTO]]+Prog_236[[#This Row],[SALDO]]+Prog_236[[#This Row],[MARGEM]]+Prog_236[[#This Row],[ESTADIA 1]])</f>
        <v>0</v>
      </c>
      <c r="AW3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7" s="81"/>
      <c r="AY377" s="81"/>
      <c r="AZ377" s="81">
        <f>Prog_236[[#This Row],[VLR NF]]*0.1%</f>
        <v>0</v>
      </c>
      <c r="BA377" s="81">
        <f>Prog_236[[#This Row],[VLR NF]]*0.05%</f>
        <v>0</v>
      </c>
      <c r="BB377" s="81"/>
      <c r="BC377" s="81"/>
      <c r="BD377" s="81"/>
      <c r="BE377" s="81"/>
      <c r="BF377" s="81"/>
      <c r="BG377" s="81"/>
      <c r="BH377" s="81"/>
      <c r="BI377" s="81"/>
      <c r="BJ377" s="81"/>
      <c r="BK377" s="81"/>
      <c r="BL377" s="66"/>
      <c r="BM377" s="66"/>
      <c r="BN377" s="66"/>
      <c r="BO377" s="66" t="str">
        <f>PROPER(TEXT(Prog_236[[#This Row],[PROGRAMAÇÃO CLIENTE]],"mmm"))</f>
        <v>Jan</v>
      </c>
      <c r="BP377" s="66">
        <f>YEAR(Prog_236[[#This Row],[PROGRAMAÇÃO CLIENTE]])</f>
        <v>1900</v>
      </c>
    </row>
    <row r="378" spans="1:68" x14ac:dyDescent="0.25">
      <c r="A378" s="201">
        <f>Prog_236[[#This Row],[CONTEINER]]</f>
        <v>0</v>
      </c>
      <c r="B378" s="86"/>
      <c r="C3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8" s="44"/>
      <c r="E378" s="66"/>
      <c r="F378" s="66"/>
      <c r="G378" s="66"/>
      <c r="H378" s="44"/>
      <c r="I378" s="44"/>
      <c r="J378" s="66"/>
      <c r="K378" s="66"/>
      <c r="L378" s="66"/>
      <c r="M378" s="66"/>
      <c r="N378" s="66">
        <f>SUM(Prog_236[[#This Row],[TARA]]+Prog_236[[#This Row],[PESO]])</f>
        <v>0</v>
      </c>
      <c r="O378" s="44"/>
      <c r="P378" s="66"/>
      <c r="Q378" s="66"/>
      <c r="R378" s="66"/>
      <c r="S378" s="66"/>
      <c r="T378" s="138" t="str">
        <f>IFERROR(LOOKUP($S378,MOTORISTAS!$D$3:$D$1048576,MOTORISTAS!E$3:$E$1048576),"")</f>
        <v/>
      </c>
      <c r="U378" s="138" t="str">
        <f>IFERROR(LOOKUP($S378,MOTORISTAS!$D$3:$D$1048576,MOTORISTAS!F$3:$F$1048576),"")</f>
        <v/>
      </c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44"/>
      <c r="AG378" s="254">
        <f>Prog_236[[#This Row],[SAÍDA DO CLIENTE]]-Prog_236[[#This Row],[PROGRAMAÇÃO CLIENTE]]</f>
        <v>0</v>
      </c>
      <c r="AH378" s="44"/>
      <c r="AI378" s="66"/>
      <c r="AJ378" s="66"/>
      <c r="AK378" s="66"/>
      <c r="AL378" s="66"/>
      <c r="AM378" s="66"/>
      <c r="AN378" s="83"/>
      <c r="AO378" s="66"/>
      <c r="AP378" s="66"/>
      <c r="AQ378" s="66"/>
      <c r="AR378" s="81"/>
      <c r="AS378" s="81"/>
      <c r="AT378" s="81"/>
      <c r="AU378" s="81"/>
      <c r="AV378" s="83">
        <f>SUM(Prog_236[[#This Row],[ADIANTAMENTO]]+Prog_236[[#This Row],[SALDO]]+Prog_236[[#This Row],[MARGEM]]+Prog_236[[#This Row],[ESTADIA 1]])</f>
        <v>0</v>
      </c>
      <c r="AW3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8" s="81"/>
      <c r="AY378" s="81"/>
      <c r="AZ378" s="81">
        <f>Prog_236[[#This Row],[VLR NF]]*0.1%</f>
        <v>0</v>
      </c>
      <c r="BA378" s="81">
        <f>Prog_236[[#This Row],[VLR NF]]*0.05%</f>
        <v>0</v>
      </c>
      <c r="BB378" s="81"/>
      <c r="BC378" s="81"/>
      <c r="BD378" s="81"/>
      <c r="BE378" s="81"/>
      <c r="BF378" s="81"/>
      <c r="BG378" s="81"/>
      <c r="BH378" s="81"/>
      <c r="BI378" s="81"/>
      <c r="BJ378" s="81"/>
      <c r="BK378" s="81"/>
      <c r="BL378" s="66"/>
      <c r="BM378" s="66"/>
      <c r="BN378" s="66"/>
      <c r="BO378" s="66" t="str">
        <f>PROPER(TEXT(Prog_236[[#This Row],[PROGRAMAÇÃO CLIENTE]],"mmm"))</f>
        <v>Jan</v>
      </c>
      <c r="BP378" s="66">
        <f>YEAR(Prog_236[[#This Row],[PROGRAMAÇÃO CLIENTE]])</f>
        <v>1900</v>
      </c>
    </row>
    <row r="379" spans="1:68" x14ac:dyDescent="0.25">
      <c r="A379" s="200">
        <f>Prog_236[[#This Row],[CONTEINER]]</f>
        <v>0</v>
      </c>
      <c r="B379" s="86"/>
      <c r="C3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79" s="44"/>
      <c r="E379" s="66"/>
      <c r="F379" s="66"/>
      <c r="G379" s="66"/>
      <c r="H379" s="44"/>
      <c r="I379" s="44"/>
      <c r="J379" s="66"/>
      <c r="K379" s="66"/>
      <c r="L379" s="66"/>
      <c r="M379" s="66"/>
      <c r="N379" s="66">
        <f>SUM(Prog_236[[#This Row],[TARA]]+Prog_236[[#This Row],[PESO]])</f>
        <v>0</v>
      </c>
      <c r="O379" s="44"/>
      <c r="P379" s="66"/>
      <c r="Q379" s="66"/>
      <c r="R379" s="66"/>
      <c r="S379" s="66"/>
      <c r="T379" s="138" t="str">
        <f>IFERROR(LOOKUP($S379,MOTORISTAS!$D$3:$D$1048576,MOTORISTAS!E$3:$E$1048576),"")</f>
        <v/>
      </c>
      <c r="U379" s="138" t="str">
        <f>IFERROR(LOOKUP($S379,MOTORISTAS!$D$3:$D$1048576,MOTORISTAS!F$3:$F$1048576),"")</f>
        <v/>
      </c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44"/>
      <c r="AG379" s="254">
        <f>Prog_236[[#This Row],[SAÍDA DO CLIENTE]]-Prog_236[[#This Row],[PROGRAMAÇÃO CLIENTE]]</f>
        <v>0</v>
      </c>
      <c r="AH379" s="44"/>
      <c r="AI379" s="66"/>
      <c r="AJ379" s="66"/>
      <c r="AK379" s="66"/>
      <c r="AL379" s="66"/>
      <c r="AM379" s="66"/>
      <c r="AN379" s="83"/>
      <c r="AO379" s="66"/>
      <c r="AP379" s="66"/>
      <c r="AQ379" s="66"/>
      <c r="AR379" s="81"/>
      <c r="AS379" s="81"/>
      <c r="AT379" s="81"/>
      <c r="AU379" s="81"/>
      <c r="AV379" s="83">
        <f>SUM(Prog_236[[#This Row],[ADIANTAMENTO]]+Prog_236[[#This Row],[SALDO]]+Prog_236[[#This Row],[MARGEM]]+Prog_236[[#This Row],[ESTADIA 1]])</f>
        <v>0</v>
      </c>
      <c r="AW3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79" s="81"/>
      <c r="AY379" s="81"/>
      <c r="AZ379" s="81">
        <f>Prog_236[[#This Row],[VLR NF]]*0.1%</f>
        <v>0</v>
      </c>
      <c r="BA379" s="81">
        <f>Prog_236[[#This Row],[VLR NF]]*0.05%</f>
        <v>0</v>
      </c>
      <c r="BB379" s="81"/>
      <c r="BC379" s="81"/>
      <c r="BD379" s="81"/>
      <c r="BE379" s="81"/>
      <c r="BF379" s="81"/>
      <c r="BG379" s="81"/>
      <c r="BH379" s="81"/>
      <c r="BI379" s="81"/>
      <c r="BJ379" s="81"/>
      <c r="BK379" s="81"/>
      <c r="BL379" s="66"/>
      <c r="BM379" s="66"/>
      <c r="BN379" s="66"/>
      <c r="BO379" s="66" t="str">
        <f>PROPER(TEXT(Prog_236[[#This Row],[PROGRAMAÇÃO CLIENTE]],"mmm"))</f>
        <v>Jan</v>
      </c>
      <c r="BP379" s="66">
        <f>YEAR(Prog_236[[#This Row],[PROGRAMAÇÃO CLIENTE]])</f>
        <v>1900</v>
      </c>
    </row>
    <row r="380" spans="1:68" x14ac:dyDescent="0.25">
      <c r="A380" s="201">
        <f>Prog_236[[#This Row],[CONTEINER]]</f>
        <v>0</v>
      </c>
      <c r="B380" s="86"/>
      <c r="C3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0" s="44"/>
      <c r="E380" s="66"/>
      <c r="F380" s="66"/>
      <c r="G380" s="66"/>
      <c r="H380" s="44"/>
      <c r="I380" s="44"/>
      <c r="J380" s="66"/>
      <c r="K380" s="66"/>
      <c r="L380" s="66"/>
      <c r="M380" s="66"/>
      <c r="N380" s="66">
        <f>SUM(Prog_236[[#This Row],[TARA]]+Prog_236[[#This Row],[PESO]])</f>
        <v>0</v>
      </c>
      <c r="O380" s="44"/>
      <c r="P380" s="66"/>
      <c r="Q380" s="66"/>
      <c r="R380" s="66"/>
      <c r="S380" s="66"/>
      <c r="T380" s="138" t="str">
        <f>IFERROR(LOOKUP($S380,MOTORISTAS!$D$3:$D$1048576,MOTORISTAS!E$3:$E$1048576),"")</f>
        <v/>
      </c>
      <c r="U380" s="138" t="str">
        <f>IFERROR(LOOKUP($S380,MOTORISTAS!$D$3:$D$1048576,MOTORISTAS!F$3:$F$1048576),"")</f>
        <v/>
      </c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44"/>
      <c r="AG380" s="254">
        <f>Prog_236[[#This Row],[SAÍDA DO CLIENTE]]-Prog_236[[#This Row],[PROGRAMAÇÃO CLIENTE]]</f>
        <v>0</v>
      </c>
      <c r="AH380" s="44"/>
      <c r="AI380" s="66"/>
      <c r="AJ380" s="66"/>
      <c r="AK380" s="66"/>
      <c r="AL380" s="66"/>
      <c r="AM380" s="66"/>
      <c r="AN380" s="83"/>
      <c r="AO380" s="66"/>
      <c r="AP380" s="66"/>
      <c r="AQ380" s="66"/>
      <c r="AR380" s="81"/>
      <c r="AS380" s="81"/>
      <c r="AT380" s="81"/>
      <c r="AU380" s="81"/>
      <c r="AV380" s="83">
        <f>SUM(Prog_236[[#This Row],[ADIANTAMENTO]]+Prog_236[[#This Row],[SALDO]]+Prog_236[[#This Row],[MARGEM]]+Prog_236[[#This Row],[ESTADIA 1]])</f>
        <v>0</v>
      </c>
      <c r="AW3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0" s="81"/>
      <c r="AY380" s="81"/>
      <c r="AZ380" s="81">
        <f>Prog_236[[#This Row],[VLR NF]]*0.1%</f>
        <v>0</v>
      </c>
      <c r="BA380" s="81">
        <f>Prog_236[[#This Row],[VLR NF]]*0.05%</f>
        <v>0</v>
      </c>
      <c r="BB380" s="81"/>
      <c r="BC380" s="81"/>
      <c r="BD380" s="81"/>
      <c r="BE380" s="81"/>
      <c r="BF380" s="81"/>
      <c r="BG380" s="81"/>
      <c r="BH380" s="81"/>
      <c r="BI380" s="81"/>
      <c r="BJ380" s="81"/>
      <c r="BK380" s="81"/>
      <c r="BL380" s="66"/>
      <c r="BM380" s="66"/>
      <c r="BN380" s="66"/>
      <c r="BO380" s="66" t="str">
        <f>PROPER(TEXT(Prog_236[[#This Row],[PROGRAMAÇÃO CLIENTE]],"mmm"))</f>
        <v>Jan</v>
      </c>
      <c r="BP380" s="66">
        <f>YEAR(Prog_236[[#This Row],[PROGRAMAÇÃO CLIENTE]])</f>
        <v>1900</v>
      </c>
    </row>
    <row r="381" spans="1:68" x14ac:dyDescent="0.25">
      <c r="A381" s="200">
        <f>Prog_236[[#This Row],[CONTEINER]]</f>
        <v>0</v>
      </c>
      <c r="B381" s="86"/>
      <c r="C3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1" s="44"/>
      <c r="E381" s="66"/>
      <c r="F381" s="66"/>
      <c r="G381" s="66"/>
      <c r="H381" s="44"/>
      <c r="I381" s="44"/>
      <c r="J381" s="66"/>
      <c r="K381" s="66"/>
      <c r="L381" s="66"/>
      <c r="M381" s="66"/>
      <c r="N381" s="66">
        <f>SUM(Prog_236[[#This Row],[TARA]]+Prog_236[[#This Row],[PESO]])</f>
        <v>0</v>
      </c>
      <c r="O381" s="44"/>
      <c r="P381" s="66"/>
      <c r="Q381" s="66"/>
      <c r="R381" s="66"/>
      <c r="S381" s="66"/>
      <c r="T381" s="138" t="str">
        <f>IFERROR(LOOKUP($S381,MOTORISTAS!$D$3:$D$1048576,MOTORISTAS!E$3:$E$1048576),"")</f>
        <v/>
      </c>
      <c r="U381" s="138" t="str">
        <f>IFERROR(LOOKUP($S381,MOTORISTAS!$D$3:$D$1048576,MOTORISTAS!F$3:$F$1048576),"")</f>
        <v/>
      </c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44"/>
      <c r="AG381" s="254">
        <f>Prog_236[[#This Row],[SAÍDA DO CLIENTE]]-Prog_236[[#This Row],[PROGRAMAÇÃO CLIENTE]]</f>
        <v>0</v>
      </c>
      <c r="AH381" s="44"/>
      <c r="AI381" s="66"/>
      <c r="AJ381" s="66"/>
      <c r="AK381" s="66"/>
      <c r="AL381" s="66"/>
      <c r="AM381" s="66"/>
      <c r="AN381" s="83"/>
      <c r="AO381" s="66"/>
      <c r="AP381" s="66"/>
      <c r="AQ381" s="66"/>
      <c r="AR381" s="81"/>
      <c r="AS381" s="81"/>
      <c r="AT381" s="81"/>
      <c r="AU381" s="81"/>
      <c r="AV381" s="83">
        <f>SUM(Prog_236[[#This Row],[ADIANTAMENTO]]+Prog_236[[#This Row],[SALDO]]+Prog_236[[#This Row],[MARGEM]]+Prog_236[[#This Row],[ESTADIA 1]])</f>
        <v>0</v>
      </c>
      <c r="AW3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1" s="81"/>
      <c r="AY381" s="81"/>
      <c r="AZ381" s="81">
        <f>Prog_236[[#This Row],[VLR NF]]*0.1%</f>
        <v>0</v>
      </c>
      <c r="BA381" s="81">
        <f>Prog_236[[#This Row],[VLR NF]]*0.05%</f>
        <v>0</v>
      </c>
      <c r="BB381" s="81"/>
      <c r="BC381" s="81"/>
      <c r="BD381" s="81"/>
      <c r="BE381" s="81"/>
      <c r="BF381" s="81"/>
      <c r="BG381" s="81"/>
      <c r="BH381" s="81"/>
      <c r="BI381" s="81"/>
      <c r="BJ381" s="81"/>
      <c r="BK381" s="81"/>
      <c r="BL381" s="66"/>
      <c r="BM381" s="66"/>
      <c r="BN381" s="66"/>
      <c r="BO381" s="66" t="str">
        <f>PROPER(TEXT(Prog_236[[#This Row],[PROGRAMAÇÃO CLIENTE]],"mmm"))</f>
        <v>Jan</v>
      </c>
      <c r="BP381" s="66">
        <f>YEAR(Prog_236[[#This Row],[PROGRAMAÇÃO CLIENTE]])</f>
        <v>1900</v>
      </c>
    </row>
    <row r="382" spans="1:68" x14ac:dyDescent="0.25">
      <c r="A382" s="201">
        <f>Prog_236[[#This Row],[CONTEINER]]</f>
        <v>0</v>
      </c>
      <c r="B382" s="86"/>
      <c r="C3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2" s="44"/>
      <c r="E382" s="66"/>
      <c r="F382" s="66"/>
      <c r="G382" s="66"/>
      <c r="H382" s="44"/>
      <c r="I382" s="44"/>
      <c r="J382" s="66"/>
      <c r="K382" s="66"/>
      <c r="L382" s="66"/>
      <c r="M382" s="66"/>
      <c r="N382" s="66">
        <f>SUM(Prog_236[[#This Row],[TARA]]+Prog_236[[#This Row],[PESO]])</f>
        <v>0</v>
      </c>
      <c r="O382" s="44"/>
      <c r="P382" s="66"/>
      <c r="Q382" s="66"/>
      <c r="R382" s="66"/>
      <c r="S382" s="66"/>
      <c r="T382" s="138" t="str">
        <f>IFERROR(LOOKUP($S382,MOTORISTAS!$D$3:$D$1048576,MOTORISTAS!E$3:$E$1048576),"")</f>
        <v/>
      </c>
      <c r="U382" s="138" t="str">
        <f>IFERROR(LOOKUP($S382,MOTORISTAS!$D$3:$D$1048576,MOTORISTAS!F$3:$F$1048576),"")</f>
        <v/>
      </c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44"/>
      <c r="AG382" s="254">
        <f>Prog_236[[#This Row],[SAÍDA DO CLIENTE]]-Prog_236[[#This Row],[PROGRAMAÇÃO CLIENTE]]</f>
        <v>0</v>
      </c>
      <c r="AH382" s="44"/>
      <c r="AI382" s="66"/>
      <c r="AJ382" s="66"/>
      <c r="AK382" s="66"/>
      <c r="AL382" s="66"/>
      <c r="AM382" s="66"/>
      <c r="AN382" s="83"/>
      <c r="AO382" s="66"/>
      <c r="AP382" s="66"/>
      <c r="AQ382" s="66"/>
      <c r="AR382" s="81"/>
      <c r="AS382" s="81"/>
      <c r="AT382" s="81"/>
      <c r="AU382" s="81"/>
      <c r="AV382" s="83">
        <f>SUM(Prog_236[[#This Row],[ADIANTAMENTO]]+Prog_236[[#This Row],[SALDO]]+Prog_236[[#This Row],[MARGEM]]+Prog_236[[#This Row],[ESTADIA 1]])</f>
        <v>0</v>
      </c>
      <c r="AW3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2" s="81"/>
      <c r="AY382" s="81"/>
      <c r="AZ382" s="81">
        <f>Prog_236[[#This Row],[VLR NF]]*0.1%</f>
        <v>0</v>
      </c>
      <c r="BA382" s="81">
        <f>Prog_236[[#This Row],[VLR NF]]*0.05%</f>
        <v>0</v>
      </c>
      <c r="BB382" s="81"/>
      <c r="BC382" s="81"/>
      <c r="BD382" s="81"/>
      <c r="BE382" s="81"/>
      <c r="BF382" s="81"/>
      <c r="BG382" s="81"/>
      <c r="BH382" s="81"/>
      <c r="BI382" s="81"/>
      <c r="BJ382" s="81"/>
      <c r="BK382" s="81"/>
      <c r="BL382" s="66"/>
      <c r="BM382" s="66"/>
      <c r="BN382" s="66"/>
      <c r="BO382" s="66" t="str">
        <f>PROPER(TEXT(Prog_236[[#This Row],[PROGRAMAÇÃO CLIENTE]],"mmm"))</f>
        <v>Jan</v>
      </c>
      <c r="BP382" s="66">
        <f>YEAR(Prog_236[[#This Row],[PROGRAMAÇÃO CLIENTE]])</f>
        <v>1900</v>
      </c>
    </row>
    <row r="383" spans="1:68" x14ac:dyDescent="0.25">
      <c r="A383" s="200">
        <f>Prog_236[[#This Row],[CONTEINER]]</f>
        <v>0</v>
      </c>
      <c r="B383" s="86"/>
      <c r="C3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3" s="44"/>
      <c r="E383" s="66"/>
      <c r="F383" s="66"/>
      <c r="G383" s="66"/>
      <c r="H383" s="44"/>
      <c r="I383" s="44"/>
      <c r="J383" s="66"/>
      <c r="K383" s="66"/>
      <c r="L383" s="66"/>
      <c r="M383" s="66"/>
      <c r="N383" s="66">
        <f>SUM(Prog_236[[#This Row],[TARA]]+Prog_236[[#This Row],[PESO]])</f>
        <v>0</v>
      </c>
      <c r="O383" s="44"/>
      <c r="P383" s="66"/>
      <c r="Q383" s="66"/>
      <c r="R383" s="66"/>
      <c r="S383" s="66"/>
      <c r="T383" s="138" t="str">
        <f>IFERROR(LOOKUP($S383,MOTORISTAS!$D$3:$D$1048576,MOTORISTAS!E$3:$E$1048576),"")</f>
        <v/>
      </c>
      <c r="U383" s="138" t="str">
        <f>IFERROR(LOOKUP($S383,MOTORISTAS!$D$3:$D$1048576,MOTORISTAS!F$3:$F$1048576),"")</f>
        <v/>
      </c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44"/>
      <c r="AG383" s="254">
        <f>Prog_236[[#This Row],[SAÍDA DO CLIENTE]]-Prog_236[[#This Row],[PROGRAMAÇÃO CLIENTE]]</f>
        <v>0</v>
      </c>
      <c r="AH383" s="44"/>
      <c r="AI383" s="66"/>
      <c r="AJ383" s="66"/>
      <c r="AK383" s="66"/>
      <c r="AL383" s="66"/>
      <c r="AM383" s="66"/>
      <c r="AN383" s="83"/>
      <c r="AO383" s="66"/>
      <c r="AP383" s="66"/>
      <c r="AQ383" s="66"/>
      <c r="AR383" s="81"/>
      <c r="AS383" s="81"/>
      <c r="AT383" s="81"/>
      <c r="AU383" s="81"/>
      <c r="AV383" s="83">
        <f>SUM(Prog_236[[#This Row],[ADIANTAMENTO]]+Prog_236[[#This Row],[SALDO]]+Prog_236[[#This Row],[MARGEM]]+Prog_236[[#This Row],[ESTADIA 1]])</f>
        <v>0</v>
      </c>
      <c r="AW3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3" s="81"/>
      <c r="AY383" s="81"/>
      <c r="AZ383" s="81">
        <f>Prog_236[[#This Row],[VLR NF]]*0.1%</f>
        <v>0</v>
      </c>
      <c r="BA383" s="81">
        <f>Prog_236[[#This Row],[VLR NF]]*0.05%</f>
        <v>0</v>
      </c>
      <c r="BB383" s="81"/>
      <c r="BC383" s="81"/>
      <c r="BD383" s="81"/>
      <c r="BE383" s="81"/>
      <c r="BF383" s="81"/>
      <c r="BG383" s="81"/>
      <c r="BH383" s="81"/>
      <c r="BI383" s="81"/>
      <c r="BJ383" s="81"/>
      <c r="BK383" s="81"/>
      <c r="BL383" s="66"/>
      <c r="BM383" s="66"/>
      <c r="BN383" s="66"/>
      <c r="BO383" s="66" t="str">
        <f>PROPER(TEXT(Prog_236[[#This Row],[PROGRAMAÇÃO CLIENTE]],"mmm"))</f>
        <v>Jan</v>
      </c>
      <c r="BP383" s="66">
        <f>YEAR(Prog_236[[#This Row],[PROGRAMAÇÃO CLIENTE]])</f>
        <v>1900</v>
      </c>
    </row>
    <row r="384" spans="1:68" x14ac:dyDescent="0.25">
      <c r="A384" s="201">
        <f>Prog_236[[#This Row],[CONTEINER]]</f>
        <v>0</v>
      </c>
      <c r="B384" s="86"/>
      <c r="C3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4" s="44"/>
      <c r="E384" s="66"/>
      <c r="F384" s="66"/>
      <c r="G384" s="66"/>
      <c r="H384" s="44"/>
      <c r="I384" s="44"/>
      <c r="J384" s="66"/>
      <c r="K384" s="66"/>
      <c r="L384" s="66"/>
      <c r="M384" s="66"/>
      <c r="N384" s="66">
        <f>SUM(Prog_236[[#This Row],[TARA]]+Prog_236[[#This Row],[PESO]])</f>
        <v>0</v>
      </c>
      <c r="O384" s="44"/>
      <c r="P384" s="66"/>
      <c r="Q384" s="66"/>
      <c r="R384" s="66"/>
      <c r="S384" s="66"/>
      <c r="T384" s="138" t="str">
        <f>IFERROR(LOOKUP($S384,MOTORISTAS!$D$3:$D$1048576,MOTORISTAS!E$3:$E$1048576),"")</f>
        <v/>
      </c>
      <c r="U384" s="138" t="str">
        <f>IFERROR(LOOKUP($S384,MOTORISTAS!$D$3:$D$1048576,MOTORISTAS!F$3:$F$1048576),"")</f>
        <v/>
      </c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44"/>
      <c r="AG384" s="254">
        <f>Prog_236[[#This Row],[SAÍDA DO CLIENTE]]-Prog_236[[#This Row],[PROGRAMAÇÃO CLIENTE]]</f>
        <v>0</v>
      </c>
      <c r="AH384" s="44"/>
      <c r="AI384" s="66"/>
      <c r="AJ384" s="66"/>
      <c r="AK384" s="66"/>
      <c r="AL384" s="66"/>
      <c r="AM384" s="66"/>
      <c r="AN384" s="83"/>
      <c r="AO384" s="66"/>
      <c r="AP384" s="66"/>
      <c r="AQ384" s="66"/>
      <c r="AR384" s="81"/>
      <c r="AS384" s="81"/>
      <c r="AT384" s="81"/>
      <c r="AU384" s="81"/>
      <c r="AV384" s="83">
        <f>SUM(Prog_236[[#This Row],[ADIANTAMENTO]]+Prog_236[[#This Row],[SALDO]]+Prog_236[[#This Row],[MARGEM]]+Prog_236[[#This Row],[ESTADIA 1]])</f>
        <v>0</v>
      </c>
      <c r="AW3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4" s="81"/>
      <c r="AY384" s="81"/>
      <c r="AZ384" s="81">
        <f>Prog_236[[#This Row],[VLR NF]]*0.1%</f>
        <v>0</v>
      </c>
      <c r="BA384" s="81">
        <f>Prog_236[[#This Row],[VLR NF]]*0.05%</f>
        <v>0</v>
      </c>
      <c r="BB384" s="81"/>
      <c r="BC384" s="81"/>
      <c r="BD384" s="81"/>
      <c r="BE384" s="81"/>
      <c r="BF384" s="81"/>
      <c r="BG384" s="81"/>
      <c r="BH384" s="81"/>
      <c r="BI384" s="81"/>
      <c r="BJ384" s="81"/>
      <c r="BK384" s="81"/>
      <c r="BL384" s="66"/>
      <c r="BM384" s="66"/>
      <c r="BN384" s="66"/>
      <c r="BO384" s="66" t="str">
        <f>PROPER(TEXT(Prog_236[[#This Row],[PROGRAMAÇÃO CLIENTE]],"mmm"))</f>
        <v>Jan</v>
      </c>
      <c r="BP384" s="66">
        <f>YEAR(Prog_236[[#This Row],[PROGRAMAÇÃO CLIENTE]])</f>
        <v>1900</v>
      </c>
    </row>
    <row r="385" spans="1:68" x14ac:dyDescent="0.25">
      <c r="A385" s="200">
        <f>Prog_236[[#This Row],[CONTEINER]]</f>
        <v>0</v>
      </c>
      <c r="B385" s="86"/>
      <c r="C3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5" s="44"/>
      <c r="E385" s="66"/>
      <c r="F385" s="66"/>
      <c r="G385" s="66"/>
      <c r="H385" s="44"/>
      <c r="I385" s="44"/>
      <c r="J385" s="66"/>
      <c r="K385" s="66"/>
      <c r="L385" s="66"/>
      <c r="M385" s="66"/>
      <c r="N385" s="66">
        <f>SUM(Prog_236[[#This Row],[TARA]]+Prog_236[[#This Row],[PESO]])</f>
        <v>0</v>
      </c>
      <c r="O385" s="44"/>
      <c r="P385" s="66"/>
      <c r="Q385" s="66"/>
      <c r="R385" s="66"/>
      <c r="S385" s="66"/>
      <c r="T385" s="138" t="str">
        <f>IFERROR(LOOKUP($S385,MOTORISTAS!$D$3:$D$1048576,MOTORISTAS!E$3:$E$1048576),"")</f>
        <v/>
      </c>
      <c r="U385" s="138" t="str">
        <f>IFERROR(LOOKUP($S385,MOTORISTAS!$D$3:$D$1048576,MOTORISTAS!F$3:$F$1048576),"")</f>
        <v/>
      </c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44"/>
      <c r="AG385" s="254">
        <f>Prog_236[[#This Row],[SAÍDA DO CLIENTE]]-Prog_236[[#This Row],[PROGRAMAÇÃO CLIENTE]]</f>
        <v>0</v>
      </c>
      <c r="AH385" s="44"/>
      <c r="AI385" s="66"/>
      <c r="AJ385" s="66"/>
      <c r="AK385" s="66"/>
      <c r="AL385" s="66"/>
      <c r="AM385" s="66"/>
      <c r="AN385" s="83"/>
      <c r="AO385" s="66"/>
      <c r="AP385" s="66"/>
      <c r="AQ385" s="66"/>
      <c r="AR385" s="81"/>
      <c r="AS385" s="81"/>
      <c r="AT385" s="81"/>
      <c r="AU385" s="81"/>
      <c r="AV385" s="83">
        <f>SUM(Prog_236[[#This Row],[ADIANTAMENTO]]+Prog_236[[#This Row],[SALDO]]+Prog_236[[#This Row],[MARGEM]]+Prog_236[[#This Row],[ESTADIA 1]])</f>
        <v>0</v>
      </c>
      <c r="AW3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5" s="81"/>
      <c r="AY385" s="81"/>
      <c r="AZ385" s="81">
        <f>Prog_236[[#This Row],[VLR NF]]*0.1%</f>
        <v>0</v>
      </c>
      <c r="BA385" s="81">
        <f>Prog_236[[#This Row],[VLR NF]]*0.05%</f>
        <v>0</v>
      </c>
      <c r="BB385" s="81"/>
      <c r="BC385" s="81"/>
      <c r="BD385" s="81"/>
      <c r="BE385" s="81"/>
      <c r="BF385" s="81"/>
      <c r="BG385" s="81"/>
      <c r="BH385" s="81"/>
      <c r="BI385" s="81"/>
      <c r="BJ385" s="81"/>
      <c r="BK385" s="81"/>
      <c r="BL385" s="66"/>
      <c r="BM385" s="66"/>
      <c r="BN385" s="66"/>
      <c r="BO385" s="66" t="str">
        <f>PROPER(TEXT(Prog_236[[#This Row],[PROGRAMAÇÃO CLIENTE]],"mmm"))</f>
        <v>Jan</v>
      </c>
      <c r="BP385" s="66">
        <f>YEAR(Prog_236[[#This Row],[PROGRAMAÇÃO CLIENTE]])</f>
        <v>1900</v>
      </c>
    </row>
    <row r="386" spans="1:68" x14ac:dyDescent="0.25">
      <c r="A386" s="201">
        <f>Prog_236[[#This Row],[CONTEINER]]</f>
        <v>0</v>
      </c>
      <c r="B386" s="86"/>
      <c r="C3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6" s="44"/>
      <c r="E386" s="66"/>
      <c r="F386" s="66"/>
      <c r="G386" s="66"/>
      <c r="H386" s="44"/>
      <c r="I386" s="44"/>
      <c r="J386" s="66"/>
      <c r="K386" s="66"/>
      <c r="L386" s="66"/>
      <c r="M386" s="66"/>
      <c r="N386" s="66">
        <f>SUM(Prog_236[[#This Row],[TARA]]+Prog_236[[#This Row],[PESO]])</f>
        <v>0</v>
      </c>
      <c r="O386" s="44"/>
      <c r="P386" s="66"/>
      <c r="Q386" s="66"/>
      <c r="R386" s="66"/>
      <c r="S386" s="66"/>
      <c r="T386" s="138" t="str">
        <f>IFERROR(LOOKUP($S386,MOTORISTAS!$D$3:$D$1048576,MOTORISTAS!E$3:$E$1048576),"")</f>
        <v/>
      </c>
      <c r="U386" s="138" t="str">
        <f>IFERROR(LOOKUP($S386,MOTORISTAS!$D$3:$D$1048576,MOTORISTAS!F$3:$F$1048576),"")</f>
        <v/>
      </c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44"/>
      <c r="AG386" s="254">
        <f>Prog_236[[#This Row],[SAÍDA DO CLIENTE]]-Prog_236[[#This Row],[PROGRAMAÇÃO CLIENTE]]</f>
        <v>0</v>
      </c>
      <c r="AH386" s="44"/>
      <c r="AI386" s="66"/>
      <c r="AJ386" s="66"/>
      <c r="AK386" s="66"/>
      <c r="AL386" s="66"/>
      <c r="AM386" s="66"/>
      <c r="AN386" s="83"/>
      <c r="AO386" s="66"/>
      <c r="AP386" s="66"/>
      <c r="AQ386" s="66"/>
      <c r="AR386" s="81"/>
      <c r="AS386" s="81"/>
      <c r="AT386" s="81"/>
      <c r="AU386" s="81"/>
      <c r="AV386" s="83">
        <f>SUM(Prog_236[[#This Row],[ADIANTAMENTO]]+Prog_236[[#This Row],[SALDO]]+Prog_236[[#This Row],[MARGEM]]+Prog_236[[#This Row],[ESTADIA 1]])</f>
        <v>0</v>
      </c>
      <c r="AW3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6" s="81"/>
      <c r="AY386" s="81"/>
      <c r="AZ386" s="81">
        <f>Prog_236[[#This Row],[VLR NF]]*0.1%</f>
        <v>0</v>
      </c>
      <c r="BA386" s="81">
        <f>Prog_236[[#This Row],[VLR NF]]*0.05%</f>
        <v>0</v>
      </c>
      <c r="BB386" s="81"/>
      <c r="BC386" s="81"/>
      <c r="BD386" s="81"/>
      <c r="BE386" s="81"/>
      <c r="BF386" s="81"/>
      <c r="BG386" s="81"/>
      <c r="BH386" s="81"/>
      <c r="BI386" s="81"/>
      <c r="BJ386" s="81"/>
      <c r="BK386" s="81"/>
      <c r="BL386" s="66"/>
      <c r="BM386" s="66"/>
      <c r="BN386" s="66"/>
      <c r="BO386" s="66" t="str">
        <f>PROPER(TEXT(Prog_236[[#This Row],[PROGRAMAÇÃO CLIENTE]],"mmm"))</f>
        <v>Jan</v>
      </c>
      <c r="BP386" s="66">
        <f>YEAR(Prog_236[[#This Row],[PROGRAMAÇÃO CLIENTE]])</f>
        <v>1900</v>
      </c>
    </row>
    <row r="387" spans="1:68" x14ac:dyDescent="0.25">
      <c r="A387" s="200">
        <f>Prog_236[[#This Row],[CONTEINER]]</f>
        <v>0</v>
      </c>
      <c r="B387" s="86"/>
      <c r="C3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7" s="44"/>
      <c r="E387" s="66"/>
      <c r="F387" s="66"/>
      <c r="G387" s="66"/>
      <c r="H387" s="44"/>
      <c r="I387" s="44"/>
      <c r="J387" s="66"/>
      <c r="K387" s="66"/>
      <c r="L387" s="66"/>
      <c r="M387" s="66"/>
      <c r="N387" s="66">
        <f>SUM(Prog_236[[#This Row],[TARA]]+Prog_236[[#This Row],[PESO]])</f>
        <v>0</v>
      </c>
      <c r="O387" s="44"/>
      <c r="P387" s="66"/>
      <c r="Q387" s="66"/>
      <c r="R387" s="66"/>
      <c r="S387" s="66"/>
      <c r="T387" s="138" t="str">
        <f>IFERROR(LOOKUP($S387,MOTORISTAS!$D$3:$D$1048576,MOTORISTAS!E$3:$E$1048576),"")</f>
        <v/>
      </c>
      <c r="U387" s="138" t="str">
        <f>IFERROR(LOOKUP($S387,MOTORISTAS!$D$3:$D$1048576,MOTORISTAS!F$3:$F$1048576),"")</f>
        <v/>
      </c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44"/>
      <c r="AG387" s="254">
        <f>Prog_236[[#This Row],[SAÍDA DO CLIENTE]]-Prog_236[[#This Row],[PROGRAMAÇÃO CLIENTE]]</f>
        <v>0</v>
      </c>
      <c r="AH387" s="44"/>
      <c r="AI387" s="66"/>
      <c r="AJ387" s="66"/>
      <c r="AK387" s="66"/>
      <c r="AL387" s="66"/>
      <c r="AM387" s="66"/>
      <c r="AN387" s="83"/>
      <c r="AO387" s="66"/>
      <c r="AP387" s="66"/>
      <c r="AQ387" s="66"/>
      <c r="AR387" s="81"/>
      <c r="AS387" s="81"/>
      <c r="AT387" s="81"/>
      <c r="AU387" s="81"/>
      <c r="AV387" s="83">
        <f>SUM(Prog_236[[#This Row],[ADIANTAMENTO]]+Prog_236[[#This Row],[SALDO]]+Prog_236[[#This Row],[MARGEM]]+Prog_236[[#This Row],[ESTADIA 1]])</f>
        <v>0</v>
      </c>
      <c r="AW3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7" s="81"/>
      <c r="AY387" s="81"/>
      <c r="AZ387" s="81">
        <f>Prog_236[[#This Row],[VLR NF]]*0.1%</f>
        <v>0</v>
      </c>
      <c r="BA387" s="81">
        <f>Prog_236[[#This Row],[VLR NF]]*0.05%</f>
        <v>0</v>
      </c>
      <c r="BB387" s="81"/>
      <c r="BC387" s="81"/>
      <c r="BD387" s="81"/>
      <c r="BE387" s="81"/>
      <c r="BF387" s="81"/>
      <c r="BG387" s="81"/>
      <c r="BH387" s="81"/>
      <c r="BI387" s="81"/>
      <c r="BJ387" s="81"/>
      <c r="BK387" s="81"/>
      <c r="BL387" s="66"/>
      <c r="BM387" s="66"/>
      <c r="BN387" s="66"/>
      <c r="BO387" s="66" t="str">
        <f>PROPER(TEXT(Prog_236[[#This Row],[PROGRAMAÇÃO CLIENTE]],"mmm"))</f>
        <v>Jan</v>
      </c>
      <c r="BP387" s="66">
        <f>YEAR(Prog_236[[#This Row],[PROGRAMAÇÃO CLIENTE]])</f>
        <v>1900</v>
      </c>
    </row>
    <row r="388" spans="1:68" x14ac:dyDescent="0.25">
      <c r="A388" s="201">
        <f>Prog_236[[#This Row],[CONTEINER]]</f>
        <v>0</v>
      </c>
      <c r="B388" s="86"/>
      <c r="C3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8" s="44"/>
      <c r="E388" s="66"/>
      <c r="F388" s="66"/>
      <c r="G388" s="66"/>
      <c r="H388" s="44"/>
      <c r="I388" s="44"/>
      <c r="J388" s="66"/>
      <c r="K388" s="66"/>
      <c r="L388" s="66"/>
      <c r="M388" s="66"/>
      <c r="N388" s="66">
        <f>SUM(Prog_236[[#This Row],[TARA]]+Prog_236[[#This Row],[PESO]])</f>
        <v>0</v>
      </c>
      <c r="O388" s="44"/>
      <c r="P388" s="66"/>
      <c r="Q388" s="66"/>
      <c r="R388" s="66"/>
      <c r="S388" s="66"/>
      <c r="T388" s="138" t="str">
        <f>IFERROR(LOOKUP($S388,MOTORISTAS!$D$3:$D$1048576,MOTORISTAS!E$3:$E$1048576),"")</f>
        <v/>
      </c>
      <c r="U388" s="138" t="str">
        <f>IFERROR(LOOKUP($S388,MOTORISTAS!$D$3:$D$1048576,MOTORISTAS!F$3:$F$1048576),"")</f>
        <v/>
      </c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44"/>
      <c r="AG388" s="254">
        <f>Prog_236[[#This Row],[SAÍDA DO CLIENTE]]-Prog_236[[#This Row],[PROGRAMAÇÃO CLIENTE]]</f>
        <v>0</v>
      </c>
      <c r="AH388" s="44"/>
      <c r="AI388" s="66"/>
      <c r="AJ388" s="66"/>
      <c r="AK388" s="66"/>
      <c r="AL388" s="66"/>
      <c r="AM388" s="66"/>
      <c r="AN388" s="83"/>
      <c r="AO388" s="66"/>
      <c r="AP388" s="66"/>
      <c r="AQ388" s="66"/>
      <c r="AR388" s="81"/>
      <c r="AS388" s="81"/>
      <c r="AT388" s="81"/>
      <c r="AU388" s="81"/>
      <c r="AV388" s="83">
        <f>SUM(Prog_236[[#This Row],[ADIANTAMENTO]]+Prog_236[[#This Row],[SALDO]]+Prog_236[[#This Row],[MARGEM]]+Prog_236[[#This Row],[ESTADIA 1]])</f>
        <v>0</v>
      </c>
      <c r="AW3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8" s="81"/>
      <c r="AY388" s="81"/>
      <c r="AZ388" s="81">
        <f>Prog_236[[#This Row],[VLR NF]]*0.1%</f>
        <v>0</v>
      </c>
      <c r="BA388" s="81">
        <f>Prog_236[[#This Row],[VLR NF]]*0.05%</f>
        <v>0</v>
      </c>
      <c r="BB388" s="81"/>
      <c r="BC388" s="81"/>
      <c r="BD388" s="81"/>
      <c r="BE388" s="81"/>
      <c r="BF388" s="81"/>
      <c r="BG388" s="81"/>
      <c r="BH388" s="81"/>
      <c r="BI388" s="81"/>
      <c r="BJ388" s="81"/>
      <c r="BK388" s="81"/>
      <c r="BL388" s="66"/>
      <c r="BM388" s="66"/>
      <c r="BN388" s="66"/>
      <c r="BO388" s="66" t="str">
        <f>PROPER(TEXT(Prog_236[[#This Row],[PROGRAMAÇÃO CLIENTE]],"mmm"))</f>
        <v>Jan</v>
      </c>
      <c r="BP388" s="66">
        <f>YEAR(Prog_236[[#This Row],[PROGRAMAÇÃO CLIENTE]])</f>
        <v>1900</v>
      </c>
    </row>
    <row r="389" spans="1:68" x14ac:dyDescent="0.25">
      <c r="A389" s="200">
        <f>Prog_236[[#This Row],[CONTEINER]]</f>
        <v>0</v>
      </c>
      <c r="B389" s="86"/>
      <c r="C3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89" s="44"/>
      <c r="E389" s="66"/>
      <c r="F389" s="66"/>
      <c r="G389" s="66"/>
      <c r="H389" s="44"/>
      <c r="I389" s="44"/>
      <c r="J389" s="66"/>
      <c r="K389" s="66"/>
      <c r="L389" s="66"/>
      <c r="M389" s="66"/>
      <c r="N389" s="66">
        <f>SUM(Prog_236[[#This Row],[TARA]]+Prog_236[[#This Row],[PESO]])</f>
        <v>0</v>
      </c>
      <c r="O389" s="44"/>
      <c r="P389" s="66"/>
      <c r="Q389" s="66"/>
      <c r="R389" s="66"/>
      <c r="S389" s="66"/>
      <c r="T389" s="138" t="str">
        <f>IFERROR(LOOKUP($S389,MOTORISTAS!$D$3:$D$1048576,MOTORISTAS!E$3:$E$1048576),"")</f>
        <v/>
      </c>
      <c r="U389" s="138" t="str">
        <f>IFERROR(LOOKUP($S389,MOTORISTAS!$D$3:$D$1048576,MOTORISTAS!F$3:$F$1048576),"")</f>
        <v/>
      </c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44"/>
      <c r="AG389" s="254">
        <f>Prog_236[[#This Row],[SAÍDA DO CLIENTE]]-Prog_236[[#This Row],[PROGRAMAÇÃO CLIENTE]]</f>
        <v>0</v>
      </c>
      <c r="AH389" s="44"/>
      <c r="AI389" s="66"/>
      <c r="AJ389" s="66"/>
      <c r="AK389" s="66"/>
      <c r="AL389" s="66"/>
      <c r="AM389" s="66"/>
      <c r="AN389" s="83"/>
      <c r="AO389" s="66"/>
      <c r="AP389" s="66"/>
      <c r="AQ389" s="66"/>
      <c r="AR389" s="81"/>
      <c r="AS389" s="81"/>
      <c r="AT389" s="81"/>
      <c r="AU389" s="81"/>
      <c r="AV389" s="83">
        <f>SUM(Prog_236[[#This Row],[ADIANTAMENTO]]+Prog_236[[#This Row],[SALDO]]+Prog_236[[#This Row],[MARGEM]]+Prog_236[[#This Row],[ESTADIA 1]])</f>
        <v>0</v>
      </c>
      <c r="AW3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89" s="81"/>
      <c r="AY389" s="81"/>
      <c r="AZ389" s="81">
        <f>Prog_236[[#This Row],[VLR NF]]*0.1%</f>
        <v>0</v>
      </c>
      <c r="BA389" s="81">
        <f>Prog_236[[#This Row],[VLR NF]]*0.05%</f>
        <v>0</v>
      </c>
      <c r="BB389" s="81"/>
      <c r="BC389" s="81"/>
      <c r="BD389" s="81"/>
      <c r="BE389" s="81"/>
      <c r="BF389" s="81"/>
      <c r="BG389" s="81"/>
      <c r="BH389" s="81"/>
      <c r="BI389" s="81"/>
      <c r="BJ389" s="81"/>
      <c r="BK389" s="81"/>
      <c r="BL389" s="66"/>
      <c r="BM389" s="66"/>
      <c r="BN389" s="66"/>
      <c r="BO389" s="66" t="str">
        <f>PROPER(TEXT(Prog_236[[#This Row],[PROGRAMAÇÃO CLIENTE]],"mmm"))</f>
        <v>Jan</v>
      </c>
      <c r="BP389" s="66">
        <f>YEAR(Prog_236[[#This Row],[PROGRAMAÇÃO CLIENTE]])</f>
        <v>1900</v>
      </c>
    </row>
    <row r="390" spans="1:68" x14ac:dyDescent="0.25">
      <c r="A390" s="201">
        <f>Prog_236[[#This Row],[CONTEINER]]</f>
        <v>0</v>
      </c>
      <c r="B390" s="86"/>
      <c r="C3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0" s="44"/>
      <c r="E390" s="66"/>
      <c r="F390" s="66"/>
      <c r="G390" s="66"/>
      <c r="H390" s="44"/>
      <c r="I390" s="44"/>
      <c r="J390" s="66"/>
      <c r="K390" s="66"/>
      <c r="L390" s="66"/>
      <c r="M390" s="66"/>
      <c r="N390" s="66">
        <f>SUM(Prog_236[[#This Row],[TARA]]+Prog_236[[#This Row],[PESO]])</f>
        <v>0</v>
      </c>
      <c r="O390" s="44"/>
      <c r="P390" s="66"/>
      <c r="Q390" s="66"/>
      <c r="R390" s="66"/>
      <c r="S390" s="66"/>
      <c r="T390" s="138" t="str">
        <f>IFERROR(LOOKUP($S390,MOTORISTAS!$D$3:$D$1048576,MOTORISTAS!E$3:$E$1048576),"")</f>
        <v/>
      </c>
      <c r="U390" s="138" t="str">
        <f>IFERROR(LOOKUP($S390,MOTORISTAS!$D$3:$D$1048576,MOTORISTAS!F$3:$F$1048576),"")</f>
        <v/>
      </c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44"/>
      <c r="AG390" s="254">
        <f>Prog_236[[#This Row],[SAÍDA DO CLIENTE]]-Prog_236[[#This Row],[PROGRAMAÇÃO CLIENTE]]</f>
        <v>0</v>
      </c>
      <c r="AH390" s="44"/>
      <c r="AI390" s="66"/>
      <c r="AJ390" s="66"/>
      <c r="AK390" s="66"/>
      <c r="AL390" s="66"/>
      <c r="AM390" s="66"/>
      <c r="AN390" s="83"/>
      <c r="AO390" s="66"/>
      <c r="AP390" s="66"/>
      <c r="AQ390" s="66"/>
      <c r="AR390" s="81"/>
      <c r="AS390" s="81"/>
      <c r="AT390" s="81"/>
      <c r="AU390" s="81"/>
      <c r="AV390" s="83">
        <f>SUM(Prog_236[[#This Row],[ADIANTAMENTO]]+Prog_236[[#This Row],[SALDO]]+Prog_236[[#This Row],[MARGEM]]+Prog_236[[#This Row],[ESTADIA 1]])</f>
        <v>0</v>
      </c>
      <c r="AW3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0" s="81"/>
      <c r="AY390" s="81"/>
      <c r="AZ390" s="81">
        <f>Prog_236[[#This Row],[VLR NF]]*0.1%</f>
        <v>0</v>
      </c>
      <c r="BA390" s="81">
        <f>Prog_236[[#This Row],[VLR NF]]*0.05%</f>
        <v>0</v>
      </c>
      <c r="BB390" s="81"/>
      <c r="BC390" s="81"/>
      <c r="BD390" s="81"/>
      <c r="BE390" s="81"/>
      <c r="BF390" s="81"/>
      <c r="BG390" s="81"/>
      <c r="BH390" s="81"/>
      <c r="BI390" s="81"/>
      <c r="BJ390" s="81"/>
      <c r="BK390" s="81"/>
      <c r="BL390" s="66"/>
      <c r="BM390" s="66"/>
      <c r="BN390" s="66"/>
      <c r="BO390" s="66" t="str">
        <f>PROPER(TEXT(Prog_236[[#This Row],[PROGRAMAÇÃO CLIENTE]],"mmm"))</f>
        <v>Jan</v>
      </c>
      <c r="BP390" s="66">
        <f>YEAR(Prog_236[[#This Row],[PROGRAMAÇÃO CLIENTE]])</f>
        <v>1900</v>
      </c>
    </row>
    <row r="391" spans="1:68" x14ac:dyDescent="0.25">
      <c r="A391" s="200">
        <f>Prog_236[[#This Row],[CONTEINER]]</f>
        <v>0</v>
      </c>
      <c r="B391" s="86"/>
      <c r="C3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1" s="44"/>
      <c r="E391" s="66"/>
      <c r="F391" s="66"/>
      <c r="G391" s="66"/>
      <c r="H391" s="44"/>
      <c r="I391" s="44"/>
      <c r="J391" s="66"/>
      <c r="K391" s="66"/>
      <c r="L391" s="66"/>
      <c r="M391" s="66"/>
      <c r="N391" s="66">
        <f>SUM(Prog_236[[#This Row],[TARA]]+Prog_236[[#This Row],[PESO]])</f>
        <v>0</v>
      </c>
      <c r="O391" s="44"/>
      <c r="P391" s="66"/>
      <c r="Q391" s="66"/>
      <c r="R391" s="66"/>
      <c r="S391" s="66"/>
      <c r="T391" s="138" t="str">
        <f>IFERROR(LOOKUP($S391,MOTORISTAS!$D$3:$D$1048576,MOTORISTAS!E$3:$E$1048576),"")</f>
        <v/>
      </c>
      <c r="U391" s="138" t="str">
        <f>IFERROR(LOOKUP($S391,MOTORISTAS!$D$3:$D$1048576,MOTORISTAS!F$3:$F$1048576),"")</f>
        <v/>
      </c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44"/>
      <c r="AG391" s="254">
        <f>Prog_236[[#This Row],[SAÍDA DO CLIENTE]]-Prog_236[[#This Row],[PROGRAMAÇÃO CLIENTE]]</f>
        <v>0</v>
      </c>
      <c r="AH391" s="44"/>
      <c r="AI391" s="66"/>
      <c r="AJ391" s="66"/>
      <c r="AK391" s="66"/>
      <c r="AL391" s="66"/>
      <c r="AM391" s="66"/>
      <c r="AN391" s="83"/>
      <c r="AO391" s="66"/>
      <c r="AP391" s="66"/>
      <c r="AQ391" s="66"/>
      <c r="AR391" s="81"/>
      <c r="AS391" s="81"/>
      <c r="AT391" s="81"/>
      <c r="AU391" s="81"/>
      <c r="AV391" s="83">
        <f>SUM(Prog_236[[#This Row],[ADIANTAMENTO]]+Prog_236[[#This Row],[SALDO]]+Prog_236[[#This Row],[MARGEM]]+Prog_236[[#This Row],[ESTADIA 1]])</f>
        <v>0</v>
      </c>
      <c r="AW3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1" s="81"/>
      <c r="AY391" s="81"/>
      <c r="AZ391" s="81">
        <f>Prog_236[[#This Row],[VLR NF]]*0.1%</f>
        <v>0</v>
      </c>
      <c r="BA391" s="81">
        <f>Prog_236[[#This Row],[VLR NF]]*0.05%</f>
        <v>0</v>
      </c>
      <c r="BB391" s="81"/>
      <c r="BC391" s="81"/>
      <c r="BD391" s="81"/>
      <c r="BE391" s="81"/>
      <c r="BF391" s="81"/>
      <c r="BG391" s="81"/>
      <c r="BH391" s="81"/>
      <c r="BI391" s="81"/>
      <c r="BJ391" s="81"/>
      <c r="BK391" s="81"/>
      <c r="BL391" s="66"/>
      <c r="BM391" s="66"/>
      <c r="BN391" s="66"/>
      <c r="BO391" s="66" t="str">
        <f>PROPER(TEXT(Prog_236[[#This Row],[PROGRAMAÇÃO CLIENTE]],"mmm"))</f>
        <v>Jan</v>
      </c>
      <c r="BP391" s="66">
        <f>YEAR(Prog_236[[#This Row],[PROGRAMAÇÃO CLIENTE]])</f>
        <v>1900</v>
      </c>
    </row>
    <row r="392" spans="1:68" x14ac:dyDescent="0.25">
      <c r="A392" s="201">
        <f>Prog_236[[#This Row],[CONTEINER]]</f>
        <v>0</v>
      </c>
      <c r="B392" s="86"/>
      <c r="C3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2" s="44"/>
      <c r="E392" s="66"/>
      <c r="F392" s="66"/>
      <c r="G392" s="66"/>
      <c r="H392" s="44"/>
      <c r="I392" s="44"/>
      <c r="J392" s="66"/>
      <c r="K392" s="66"/>
      <c r="L392" s="66"/>
      <c r="M392" s="66"/>
      <c r="N392" s="66">
        <f>SUM(Prog_236[[#This Row],[TARA]]+Prog_236[[#This Row],[PESO]])</f>
        <v>0</v>
      </c>
      <c r="O392" s="44"/>
      <c r="P392" s="66"/>
      <c r="Q392" s="66"/>
      <c r="R392" s="66"/>
      <c r="S392" s="66"/>
      <c r="T392" s="138" t="str">
        <f>IFERROR(LOOKUP($S392,MOTORISTAS!$D$3:$D$1048576,MOTORISTAS!E$3:$E$1048576),"")</f>
        <v/>
      </c>
      <c r="U392" s="138" t="str">
        <f>IFERROR(LOOKUP($S392,MOTORISTAS!$D$3:$D$1048576,MOTORISTAS!F$3:$F$1048576),"")</f>
        <v/>
      </c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44"/>
      <c r="AG392" s="254">
        <f>Prog_236[[#This Row],[SAÍDA DO CLIENTE]]-Prog_236[[#This Row],[PROGRAMAÇÃO CLIENTE]]</f>
        <v>0</v>
      </c>
      <c r="AH392" s="44"/>
      <c r="AI392" s="66"/>
      <c r="AJ392" s="66"/>
      <c r="AK392" s="66"/>
      <c r="AL392" s="66"/>
      <c r="AM392" s="66"/>
      <c r="AN392" s="83"/>
      <c r="AO392" s="66"/>
      <c r="AP392" s="66"/>
      <c r="AQ392" s="66"/>
      <c r="AR392" s="81"/>
      <c r="AS392" s="81"/>
      <c r="AT392" s="81"/>
      <c r="AU392" s="81"/>
      <c r="AV392" s="83">
        <f>SUM(Prog_236[[#This Row],[ADIANTAMENTO]]+Prog_236[[#This Row],[SALDO]]+Prog_236[[#This Row],[MARGEM]]+Prog_236[[#This Row],[ESTADIA 1]])</f>
        <v>0</v>
      </c>
      <c r="AW3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2" s="81"/>
      <c r="AY392" s="81"/>
      <c r="AZ392" s="81">
        <f>Prog_236[[#This Row],[VLR NF]]*0.1%</f>
        <v>0</v>
      </c>
      <c r="BA392" s="81">
        <f>Prog_236[[#This Row],[VLR NF]]*0.05%</f>
        <v>0</v>
      </c>
      <c r="BB392" s="81"/>
      <c r="BC392" s="81"/>
      <c r="BD392" s="81"/>
      <c r="BE392" s="81"/>
      <c r="BF392" s="81"/>
      <c r="BG392" s="81"/>
      <c r="BH392" s="81"/>
      <c r="BI392" s="81"/>
      <c r="BJ392" s="81"/>
      <c r="BK392" s="81"/>
      <c r="BL392" s="66"/>
      <c r="BM392" s="66"/>
      <c r="BN392" s="66"/>
      <c r="BO392" s="66" t="str">
        <f>PROPER(TEXT(Prog_236[[#This Row],[PROGRAMAÇÃO CLIENTE]],"mmm"))</f>
        <v>Jan</v>
      </c>
      <c r="BP392" s="66">
        <f>YEAR(Prog_236[[#This Row],[PROGRAMAÇÃO CLIENTE]])</f>
        <v>1900</v>
      </c>
    </row>
    <row r="393" spans="1:68" x14ac:dyDescent="0.25">
      <c r="A393" s="200">
        <f>Prog_236[[#This Row],[CONTEINER]]</f>
        <v>0</v>
      </c>
      <c r="B393" s="86"/>
      <c r="C3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3" s="44"/>
      <c r="E393" s="66"/>
      <c r="F393" s="66"/>
      <c r="G393" s="66"/>
      <c r="H393" s="44"/>
      <c r="I393" s="44"/>
      <c r="J393" s="66"/>
      <c r="K393" s="66"/>
      <c r="L393" s="66"/>
      <c r="M393" s="66"/>
      <c r="N393" s="66">
        <f>SUM(Prog_236[[#This Row],[TARA]]+Prog_236[[#This Row],[PESO]])</f>
        <v>0</v>
      </c>
      <c r="O393" s="44"/>
      <c r="P393" s="66"/>
      <c r="Q393" s="66"/>
      <c r="R393" s="66"/>
      <c r="S393" s="66"/>
      <c r="T393" s="138" t="str">
        <f>IFERROR(LOOKUP($S393,MOTORISTAS!$D$3:$D$1048576,MOTORISTAS!E$3:$E$1048576),"")</f>
        <v/>
      </c>
      <c r="U393" s="138" t="str">
        <f>IFERROR(LOOKUP($S393,MOTORISTAS!$D$3:$D$1048576,MOTORISTAS!F$3:$F$1048576),"")</f>
        <v/>
      </c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44"/>
      <c r="AG393" s="254">
        <f>Prog_236[[#This Row],[SAÍDA DO CLIENTE]]-Prog_236[[#This Row],[PROGRAMAÇÃO CLIENTE]]</f>
        <v>0</v>
      </c>
      <c r="AH393" s="44"/>
      <c r="AI393" s="66"/>
      <c r="AJ393" s="66"/>
      <c r="AK393" s="66"/>
      <c r="AL393" s="66"/>
      <c r="AM393" s="66"/>
      <c r="AN393" s="83"/>
      <c r="AO393" s="66"/>
      <c r="AP393" s="66"/>
      <c r="AQ393" s="66"/>
      <c r="AR393" s="81"/>
      <c r="AS393" s="81"/>
      <c r="AT393" s="81"/>
      <c r="AU393" s="81"/>
      <c r="AV393" s="83">
        <f>SUM(Prog_236[[#This Row],[ADIANTAMENTO]]+Prog_236[[#This Row],[SALDO]]+Prog_236[[#This Row],[MARGEM]]+Prog_236[[#This Row],[ESTADIA 1]])</f>
        <v>0</v>
      </c>
      <c r="AW3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3" s="81"/>
      <c r="AY393" s="81"/>
      <c r="AZ393" s="81">
        <f>Prog_236[[#This Row],[VLR NF]]*0.1%</f>
        <v>0</v>
      </c>
      <c r="BA393" s="81">
        <f>Prog_236[[#This Row],[VLR NF]]*0.05%</f>
        <v>0</v>
      </c>
      <c r="BB393" s="81"/>
      <c r="BC393" s="81"/>
      <c r="BD393" s="81"/>
      <c r="BE393" s="81"/>
      <c r="BF393" s="81"/>
      <c r="BG393" s="81"/>
      <c r="BH393" s="81"/>
      <c r="BI393" s="81"/>
      <c r="BJ393" s="81"/>
      <c r="BK393" s="81"/>
      <c r="BL393" s="66"/>
      <c r="BM393" s="66"/>
      <c r="BN393" s="66"/>
      <c r="BO393" s="66" t="str">
        <f>PROPER(TEXT(Prog_236[[#This Row],[PROGRAMAÇÃO CLIENTE]],"mmm"))</f>
        <v>Jan</v>
      </c>
      <c r="BP393" s="66">
        <f>YEAR(Prog_236[[#This Row],[PROGRAMAÇÃO CLIENTE]])</f>
        <v>1900</v>
      </c>
    </row>
    <row r="394" spans="1:68" x14ac:dyDescent="0.25">
      <c r="A394" s="201">
        <f>Prog_236[[#This Row],[CONTEINER]]</f>
        <v>0</v>
      </c>
      <c r="B394" s="86"/>
      <c r="C3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4" s="44"/>
      <c r="E394" s="66"/>
      <c r="F394" s="66"/>
      <c r="G394" s="66"/>
      <c r="H394" s="44"/>
      <c r="I394" s="44"/>
      <c r="J394" s="66"/>
      <c r="K394" s="66"/>
      <c r="L394" s="66"/>
      <c r="M394" s="66"/>
      <c r="N394" s="66">
        <f>SUM(Prog_236[[#This Row],[TARA]]+Prog_236[[#This Row],[PESO]])</f>
        <v>0</v>
      </c>
      <c r="O394" s="44"/>
      <c r="P394" s="66"/>
      <c r="Q394" s="66"/>
      <c r="R394" s="66"/>
      <c r="S394" s="66"/>
      <c r="T394" s="138" t="str">
        <f>IFERROR(LOOKUP($S394,MOTORISTAS!$D$3:$D$1048576,MOTORISTAS!E$3:$E$1048576),"")</f>
        <v/>
      </c>
      <c r="U394" s="138" t="str">
        <f>IFERROR(LOOKUP($S394,MOTORISTAS!$D$3:$D$1048576,MOTORISTAS!F$3:$F$1048576),"")</f>
        <v/>
      </c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44"/>
      <c r="AG394" s="254">
        <f>Prog_236[[#This Row],[SAÍDA DO CLIENTE]]-Prog_236[[#This Row],[PROGRAMAÇÃO CLIENTE]]</f>
        <v>0</v>
      </c>
      <c r="AH394" s="44"/>
      <c r="AI394" s="66"/>
      <c r="AJ394" s="66"/>
      <c r="AK394" s="66"/>
      <c r="AL394" s="66"/>
      <c r="AM394" s="66"/>
      <c r="AN394" s="83"/>
      <c r="AO394" s="66"/>
      <c r="AP394" s="66"/>
      <c r="AQ394" s="66"/>
      <c r="AR394" s="81"/>
      <c r="AS394" s="81"/>
      <c r="AT394" s="81"/>
      <c r="AU394" s="81"/>
      <c r="AV394" s="83">
        <f>SUM(Prog_236[[#This Row],[ADIANTAMENTO]]+Prog_236[[#This Row],[SALDO]]+Prog_236[[#This Row],[MARGEM]]+Prog_236[[#This Row],[ESTADIA 1]])</f>
        <v>0</v>
      </c>
      <c r="AW3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4" s="81"/>
      <c r="AY394" s="81"/>
      <c r="AZ394" s="81">
        <f>Prog_236[[#This Row],[VLR NF]]*0.1%</f>
        <v>0</v>
      </c>
      <c r="BA394" s="81">
        <f>Prog_236[[#This Row],[VLR NF]]*0.05%</f>
        <v>0</v>
      </c>
      <c r="BB394" s="81"/>
      <c r="BC394" s="81"/>
      <c r="BD394" s="81"/>
      <c r="BE394" s="81"/>
      <c r="BF394" s="81"/>
      <c r="BG394" s="81"/>
      <c r="BH394" s="81"/>
      <c r="BI394" s="81"/>
      <c r="BJ394" s="81"/>
      <c r="BK394" s="81"/>
      <c r="BL394" s="66"/>
      <c r="BM394" s="66"/>
      <c r="BN394" s="66"/>
      <c r="BO394" s="66" t="str">
        <f>PROPER(TEXT(Prog_236[[#This Row],[PROGRAMAÇÃO CLIENTE]],"mmm"))</f>
        <v>Jan</v>
      </c>
      <c r="BP394" s="66">
        <f>YEAR(Prog_236[[#This Row],[PROGRAMAÇÃO CLIENTE]])</f>
        <v>1900</v>
      </c>
    </row>
    <row r="395" spans="1:68" x14ac:dyDescent="0.25">
      <c r="A395" s="200">
        <f>Prog_236[[#This Row],[CONTEINER]]</f>
        <v>0</v>
      </c>
      <c r="B395" s="86"/>
      <c r="C3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5" s="44"/>
      <c r="E395" s="66"/>
      <c r="F395" s="66"/>
      <c r="G395" s="66"/>
      <c r="H395" s="44"/>
      <c r="I395" s="44"/>
      <c r="J395" s="66"/>
      <c r="K395" s="66"/>
      <c r="L395" s="66"/>
      <c r="M395" s="66"/>
      <c r="N395" s="66">
        <f>SUM(Prog_236[[#This Row],[TARA]]+Prog_236[[#This Row],[PESO]])</f>
        <v>0</v>
      </c>
      <c r="O395" s="44"/>
      <c r="P395" s="66"/>
      <c r="Q395" s="66"/>
      <c r="R395" s="66"/>
      <c r="S395" s="66"/>
      <c r="T395" s="138" t="str">
        <f>IFERROR(LOOKUP($S395,MOTORISTAS!$D$3:$D$1048576,MOTORISTAS!E$3:$E$1048576),"")</f>
        <v/>
      </c>
      <c r="U395" s="138" t="str">
        <f>IFERROR(LOOKUP($S395,MOTORISTAS!$D$3:$D$1048576,MOTORISTAS!F$3:$F$1048576),"")</f>
        <v/>
      </c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44"/>
      <c r="AG395" s="254">
        <f>Prog_236[[#This Row],[SAÍDA DO CLIENTE]]-Prog_236[[#This Row],[PROGRAMAÇÃO CLIENTE]]</f>
        <v>0</v>
      </c>
      <c r="AH395" s="44"/>
      <c r="AI395" s="66"/>
      <c r="AJ395" s="66"/>
      <c r="AK395" s="66"/>
      <c r="AL395" s="66"/>
      <c r="AM395" s="66"/>
      <c r="AN395" s="83"/>
      <c r="AO395" s="66"/>
      <c r="AP395" s="66"/>
      <c r="AQ395" s="66"/>
      <c r="AR395" s="81"/>
      <c r="AS395" s="81"/>
      <c r="AT395" s="81"/>
      <c r="AU395" s="81"/>
      <c r="AV395" s="83">
        <f>SUM(Prog_236[[#This Row],[ADIANTAMENTO]]+Prog_236[[#This Row],[SALDO]]+Prog_236[[#This Row],[MARGEM]]+Prog_236[[#This Row],[ESTADIA 1]])</f>
        <v>0</v>
      </c>
      <c r="AW3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5" s="81"/>
      <c r="AY395" s="81"/>
      <c r="AZ395" s="81">
        <f>Prog_236[[#This Row],[VLR NF]]*0.1%</f>
        <v>0</v>
      </c>
      <c r="BA395" s="81">
        <f>Prog_236[[#This Row],[VLR NF]]*0.05%</f>
        <v>0</v>
      </c>
      <c r="BB395" s="81"/>
      <c r="BC395" s="81"/>
      <c r="BD395" s="81"/>
      <c r="BE395" s="81"/>
      <c r="BF395" s="81"/>
      <c r="BG395" s="81"/>
      <c r="BH395" s="81"/>
      <c r="BI395" s="81"/>
      <c r="BJ395" s="81"/>
      <c r="BK395" s="81"/>
      <c r="BL395" s="66"/>
      <c r="BM395" s="66"/>
      <c r="BN395" s="66"/>
      <c r="BO395" s="66" t="str">
        <f>PROPER(TEXT(Prog_236[[#This Row],[PROGRAMAÇÃO CLIENTE]],"mmm"))</f>
        <v>Jan</v>
      </c>
      <c r="BP395" s="66">
        <f>YEAR(Prog_236[[#This Row],[PROGRAMAÇÃO CLIENTE]])</f>
        <v>1900</v>
      </c>
    </row>
    <row r="396" spans="1:68" x14ac:dyDescent="0.25">
      <c r="A396" s="201">
        <f>Prog_236[[#This Row],[CONTEINER]]</f>
        <v>0</v>
      </c>
      <c r="B396" s="86"/>
      <c r="C3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6" s="44"/>
      <c r="E396" s="66"/>
      <c r="F396" s="66"/>
      <c r="G396" s="66"/>
      <c r="H396" s="44"/>
      <c r="I396" s="44"/>
      <c r="J396" s="66"/>
      <c r="K396" s="66"/>
      <c r="L396" s="66"/>
      <c r="M396" s="66"/>
      <c r="N396" s="66">
        <f>SUM(Prog_236[[#This Row],[TARA]]+Prog_236[[#This Row],[PESO]])</f>
        <v>0</v>
      </c>
      <c r="O396" s="44"/>
      <c r="P396" s="66"/>
      <c r="Q396" s="66"/>
      <c r="R396" s="66"/>
      <c r="S396" s="66"/>
      <c r="T396" s="138" t="str">
        <f>IFERROR(LOOKUP($S396,MOTORISTAS!$D$3:$D$1048576,MOTORISTAS!E$3:$E$1048576),"")</f>
        <v/>
      </c>
      <c r="U396" s="138" t="str">
        <f>IFERROR(LOOKUP($S396,MOTORISTAS!$D$3:$D$1048576,MOTORISTAS!F$3:$F$1048576),"")</f>
        <v/>
      </c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44"/>
      <c r="AG396" s="254">
        <f>Prog_236[[#This Row],[SAÍDA DO CLIENTE]]-Prog_236[[#This Row],[PROGRAMAÇÃO CLIENTE]]</f>
        <v>0</v>
      </c>
      <c r="AH396" s="44"/>
      <c r="AI396" s="66"/>
      <c r="AJ396" s="66"/>
      <c r="AK396" s="66"/>
      <c r="AL396" s="66"/>
      <c r="AM396" s="66"/>
      <c r="AN396" s="83"/>
      <c r="AO396" s="66"/>
      <c r="AP396" s="66"/>
      <c r="AQ396" s="66"/>
      <c r="AR396" s="81"/>
      <c r="AS396" s="81"/>
      <c r="AT396" s="81"/>
      <c r="AU396" s="81"/>
      <c r="AV396" s="83">
        <f>SUM(Prog_236[[#This Row],[ADIANTAMENTO]]+Prog_236[[#This Row],[SALDO]]+Prog_236[[#This Row],[MARGEM]]+Prog_236[[#This Row],[ESTADIA 1]])</f>
        <v>0</v>
      </c>
      <c r="AW3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6" s="81"/>
      <c r="AY396" s="81"/>
      <c r="AZ396" s="81">
        <f>Prog_236[[#This Row],[VLR NF]]*0.1%</f>
        <v>0</v>
      </c>
      <c r="BA396" s="81">
        <f>Prog_236[[#This Row],[VLR NF]]*0.05%</f>
        <v>0</v>
      </c>
      <c r="BB396" s="81"/>
      <c r="BC396" s="81"/>
      <c r="BD396" s="81"/>
      <c r="BE396" s="81"/>
      <c r="BF396" s="81"/>
      <c r="BG396" s="81"/>
      <c r="BH396" s="81"/>
      <c r="BI396" s="81"/>
      <c r="BJ396" s="81"/>
      <c r="BK396" s="81"/>
      <c r="BL396" s="66"/>
      <c r="BM396" s="66"/>
      <c r="BN396" s="66"/>
      <c r="BO396" s="66" t="str">
        <f>PROPER(TEXT(Prog_236[[#This Row],[PROGRAMAÇÃO CLIENTE]],"mmm"))</f>
        <v>Jan</v>
      </c>
      <c r="BP396" s="66">
        <f>YEAR(Prog_236[[#This Row],[PROGRAMAÇÃO CLIENTE]])</f>
        <v>1900</v>
      </c>
    </row>
    <row r="397" spans="1:68" x14ac:dyDescent="0.25">
      <c r="A397" s="200">
        <f>Prog_236[[#This Row],[CONTEINER]]</f>
        <v>0</v>
      </c>
      <c r="B397" s="86"/>
      <c r="C3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7" s="44"/>
      <c r="E397" s="66"/>
      <c r="F397" s="66"/>
      <c r="G397" s="66"/>
      <c r="H397" s="44"/>
      <c r="I397" s="44"/>
      <c r="J397" s="66"/>
      <c r="K397" s="66"/>
      <c r="L397" s="66"/>
      <c r="M397" s="66"/>
      <c r="N397" s="66">
        <f>SUM(Prog_236[[#This Row],[TARA]]+Prog_236[[#This Row],[PESO]])</f>
        <v>0</v>
      </c>
      <c r="O397" s="44"/>
      <c r="P397" s="66"/>
      <c r="Q397" s="66"/>
      <c r="R397" s="66"/>
      <c r="S397" s="66"/>
      <c r="T397" s="138" t="str">
        <f>IFERROR(LOOKUP($S397,MOTORISTAS!$D$3:$D$1048576,MOTORISTAS!E$3:$E$1048576),"")</f>
        <v/>
      </c>
      <c r="U397" s="138" t="str">
        <f>IFERROR(LOOKUP($S397,MOTORISTAS!$D$3:$D$1048576,MOTORISTAS!F$3:$F$1048576),"")</f>
        <v/>
      </c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44"/>
      <c r="AG397" s="254">
        <f>Prog_236[[#This Row],[SAÍDA DO CLIENTE]]-Prog_236[[#This Row],[PROGRAMAÇÃO CLIENTE]]</f>
        <v>0</v>
      </c>
      <c r="AH397" s="44"/>
      <c r="AI397" s="66"/>
      <c r="AJ397" s="66"/>
      <c r="AK397" s="66"/>
      <c r="AL397" s="66"/>
      <c r="AM397" s="66"/>
      <c r="AN397" s="83"/>
      <c r="AO397" s="66"/>
      <c r="AP397" s="66"/>
      <c r="AQ397" s="66"/>
      <c r="AR397" s="81"/>
      <c r="AS397" s="81"/>
      <c r="AT397" s="81"/>
      <c r="AU397" s="81"/>
      <c r="AV397" s="83">
        <f>SUM(Prog_236[[#This Row],[ADIANTAMENTO]]+Prog_236[[#This Row],[SALDO]]+Prog_236[[#This Row],[MARGEM]]+Prog_236[[#This Row],[ESTADIA 1]])</f>
        <v>0</v>
      </c>
      <c r="AW3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7" s="81"/>
      <c r="AY397" s="81"/>
      <c r="AZ397" s="81">
        <f>Prog_236[[#This Row],[VLR NF]]*0.1%</f>
        <v>0</v>
      </c>
      <c r="BA397" s="81">
        <f>Prog_236[[#This Row],[VLR NF]]*0.05%</f>
        <v>0</v>
      </c>
      <c r="BB397" s="81"/>
      <c r="BC397" s="81"/>
      <c r="BD397" s="81"/>
      <c r="BE397" s="81"/>
      <c r="BF397" s="81"/>
      <c r="BG397" s="81"/>
      <c r="BH397" s="81"/>
      <c r="BI397" s="81"/>
      <c r="BJ397" s="81"/>
      <c r="BK397" s="81"/>
      <c r="BL397" s="66"/>
      <c r="BM397" s="66"/>
      <c r="BN397" s="66"/>
      <c r="BO397" s="66" t="str">
        <f>PROPER(TEXT(Prog_236[[#This Row],[PROGRAMAÇÃO CLIENTE]],"mmm"))</f>
        <v>Jan</v>
      </c>
      <c r="BP397" s="66">
        <f>YEAR(Prog_236[[#This Row],[PROGRAMAÇÃO CLIENTE]])</f>
        <v>1900</v>
      </c>
    </row>
    <row r="398" spans="1:68" x14ac:dyDescent="0.25">
      <c r="A398" s="201">
        <f>Prog_236[[#This Row],[CONTEINER]]</f>
        <v>0</v>
      </c>
      <c r="B398" s="86"/>
      <c r="C3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8" s="44"/>
      <c r="E398" s="66"/>
      <c r="F398" s="66"/>
      <c r="G398" s="66"/>
      <c r="H398" s="44"/>
      <c r="I398" s="44"/>
      <c r="J398" s="66"/>
      <c r="K398" s="66"/>
      <c r="L398" s="66"/>
      <c r="M398" s="66"/>
      <c r="N398" s="66">
        <f>SUM(Prog_236[[#This Row],[TARA]]+Prog_236[[#This Row],[PESO]])</f>
        <v>0</v>
      </c>
      <c r="O398" s="44"/>
      <c r="P398" s="66"/>
      <c r="Q398" s="66"/>
      <c r="R398" s="66"/>
      <c r="S398" s="66"/>
      <c r="T398" s="138" t="str">
        <f>IFERROR(LOOKUP($S398,MOTORISTAS!$D$3:$D$1048576,MOTORISTAS!E$3:$E$1048576),"")</f>
        <v/>
      </c>
      <c r="U398" s="138" t="str">
        <f>IFERROR(LOOKUP($S398,MOTORISTAS!$D$3:$D$1048576,MOTORISTAS!F$3:$F$1048576),"")</f>
        <v/>
      </c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44"/>
      <c r="AG398" s="254">
        <f>Prog_236[[#This Row],[SAÍDA DO CLIENTE]]-Prog_236[[#This Row],[PROGRAMAÇÃO CLIENTE]]</f>
        <v>0</v>
      </c>
      <c r="AH398" s="44"/>
      <c r="AI398" s="66"/>
      <c r="AJ398" s="66"/>
      <c r="AK398" s="66"/>
      <c r="AL398" s="66"/>
      <c r="AM398" s="66"/>
      <c r="AN398" s="83"/>
      <c r="AO398" s="66"/>
      <c r="AP398" s="66"/>
      <c r="AQ398" s="66"/>
      <c r="AR398" s="81"/>
      <c r="AS398" s="81"/>
      <c r="AT398" s="81"/>
      <c r="AU398" s="81"/>
      <c r="AV398" s="83">
        <f>SUM(Prog_236[[#This Row],[ADIANTAMENTO]]+Prog_236[[#This Row],[SALDO]]+Prog_236[[#This Row],[MARGEM]]+Prog_236[[#This Row],[ESTADIA 1]])</f>
        <v>0</v>
      </c>
      <c r="AW3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8" s="81"/>
      <c r="AY398" s="81"/>
      <c r="AZ398" s="81">
        <f>Prog_236[[#This Row],[VLR NF]]*0.1%</f>
        <v>0</v>
      </c>
      <c r="BA398" s="81">
        <f>Prog_236[[#This Row],[VLR NF]]*0.05%</f>
        <v>0</v>
      </c>
      <c r="BB398" s="81"/>
      <c r="BC398" s="81"/>
      <c r="BD398" s="81"/>
      <c r="BE398" s="81"/>
      <c r="BF398" s="81"/>
      <c r="BG398" s="81"/>
      <c r="BH398" s="81"/>
      <c r="BI398" s="81"/>
      <c r="BJ398" s="81"/>
      <c r="BK398" s="81"/>
      <c r="BL398" s="66"/>
      <c r="BM398" s="66"/>
      <c r="BN398" s="66"/>
      <c r="BO398" s="66" t="str">
        <f>PROPER(TEXT(Prog_236[[#This Row],[PROGRAMAÇÃO CLIENTE]],"mmm"))</f>
        <v>Jan</v>
      </c>
      <c r="BP398" s="66">
        <f>YEAR(Prog_236[[#This Row],[PROGRAMAÇÃO CLIENTE]])</f>
        <v>1900</v>
      </c>
    </row>
    <row r="399" spans="1:68" x14ac:dyDescent="0.25">
      <c r="A399" s="200">
        <f>Prog_236[[#This Row],[CONTEINER]]</f>
        <v>0</v>
      </c>
      <c r="B399" s="86"/>
      <c r="C3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399" s="44"/>
      <c r="E399" s="66"/>
      <c r="F399" s="66"/>
      <c r="G399" s="66"/>
      <c r="H399" s="44"/>
      <c r="I399" s="44"/>
      <c r="J399" s="66"/>
      <c r="K399" s="66"/>
      <c r="L399" s="66"/>
      <c r="M399" s="66"/>
      <c r="N399" s="66">
        <f>SUM(Prog_236[[#This Row],[TARA]]+Prog_236[[#This Row],[PESO]])</f>
        <v>0</v>
      </c>
      <c r="O399" s="44"/>
      <c r="P399" s="66"/>
      <c r="Q399" s="66"/>
      <c r="R399" s="66"/>
      <c r="S399" s="66"/>
      <c r="T399" s="138" t="str">
        <f>IFERROR(LOOKUP($S399,MOTORISTAS!$D$3:$D$1048576,MOTORISTAS!E$3:$E$1048576),"")</f>
        <v/>
      </c>
      <c r="U399" s="138" t="str">
        <f>IFERROR(LOOKUP($S399,MOTORISTAS!$D$3:$D$1048576,MOTORISTAS!F$3:$F$1048576),"")</f>
        <v/>
      </c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44"/>
      <c r="AG399" s="254">
        <f>Prog_236[[#This Row],[SAÍDA DO CLIENTE]]-Prog_236[[#This Row],[PROGRAMAÇÃO CLIENTE]]</f>
        <v>0</v>
      </c>
      <c r="AH399" s="44"/>
      <c r="AI399" s="66"/>
      <c r="AJ399" s="66"/>
      <c r="AK399" s="66"/>
      <c r="AL399" s="66"/>
      <c r="AM399" s="66"/>
      <c r="AN399" s="83"/>
      <c r="AO399" s="66"/>
      <c r="AP399" s="66"/>
      <c r="AQ399" s="66"/>
      <c r="AR399" s="81"/>
      <c r="AS399" s="81"/>
      <c r="AT399" s="81"/>
      <c r="AU399" s="81"/>
      <c r="AV399" s="83">
        <f>SUM(Prog_236[[#This Row],[ADIANTAMENTO]]+Prog_236[[#This Row],[SALDO]]+Prog_236[[#This Row],[MARGEM]]+Prog_236[[#This Row],[ESTADIA 1]])</f>
        <v>0</v>
      </c>
      <c r="AW3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399" s="81"/>
      <c r="AY399" s="81"/>
      <c r="AZ399" s="81">
        <f>Prog_236[[#This Row],[VLR NF]]*0.1%</f>
        <v>0</v>
      </c>
      <c r="BA399" s="81">
        <f>Prog_236[[#This Row],[VLR NF]]*0.05%</f>
        <v>0</v>
      </c>
      <c r="BB399" s="81"/>
      <c r="BC399" s="81"/>
      <c r="BD399" s="81"/>
      <c r="BE399" s="81"/>
      <c r="BF399" s="81"/>
      <c r="BG399" s="81"/>
      <c r="BH399" s="81"/>
      <c r="BI399" s="81"/>
      <c r="BJ399" s="81"/>
      <c r="BK399" s="81"/>
      <c r="BL399" s="66"/>
      <c r="BM399" s="66"/>
      <c r="BN399" s="66"/>
      <c r="BO399" s="66" t="str">
        <f>PROPER(TEXT(Prog_236[[#This Row],[PROGRAMAÇÃO CLIENTE]],"mmm"))</f>
        <v>Jan</v>
      </c>
      <c r="BP399" s="66">
        <f>YEAR(Prog_236[[#This Row],[PROGRAMAÇÃO CLIENTE]])</f>
        <v>1900</v>
      </c>
    </row>
    <row r="400" spans="1:68" x14ac:dyDescent="0.25">
      <c r="A400" s="201">
        <f>Prog_236[[#This Row],[CONTEINER]]</f>
        <v>0</v>
      </c>
      <c r="B400" s="86"/>
      <c r="C4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0" s="44"/>
      <c r="E400" s="66"/>
      <c r="F400" s="66"/>
      <c r="G400" s="66"/>
      <c r="H400" s="44"/>
      <c r="I400" s="44"/>
      <c r="J400" s="66"/>
      <c r="K400" s="66"/>
      <c r="L400" s="66"/>
      <c r="M400" s="66"/>
      <c r="N400" s="66">
        <f>SUM(Prog_236[[#This Row],[TARA]]+Prog_236[[#This Row],[PESO]])</f>
        <v>0</v>
      </c>
      <c r="O400" s="44"/>
      <c r="P400" s="66"/>
      <c r="Q400" s="66"/>
      <c r="R400" s="66"/>
      <c r="S400" s="66"/>
      <c r="T400" s="138" t="str">
        <f>IFERROR(LOOKUP($S400,MOTORISTAS!$D$3:$D$1048576,MOTORISTAS!E$3:$E$1048576),"")</f>
        <v/>
      </c>
      <c r="U400" s="138" t="str">
        <f>IFERROR(LOOKUP($S400,MOTORISTAS!$D$3:$D$1048576,MOTORISTAS!F$3:$F$1048576),"")</f>
        <v/>
      </c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44"/>
      <c r="AG400" s="254">
        <f>Prog_236[[#This Row],[SAÍDA DO CLIENTE]]-Prog_236[[#This Row],[PROGRAMAÇÃO CLIENTE]]</f>
        <v>0</v>
      </c>
      <c r="AH400" s="44"/>
      <c r="AI400" s="66"/>
      <c r="AJ400" s="66"/>
      <c r="AK400" s="66"/>
      <c r="AL400" s="66"/>
      <c r="AM400" s="66"/>
      <c r="AN400" s="83"/>
      <c r="AO400" s="66"/>
      <c r="AP400" s="66"/>
      <c r="AQ400" s="66"/>
      <c r="AR400" s="81"/>
      <c r="AS400" s="81"/>
      <c r="AT400" s="81"/>
      <c r="AU400" s="81"/>
      <c r="AV400" s="83">
        <f>SUM(Prog_236[[#This Row],[ADIANTAMENTO]]+Prog_236[[#This Row],[SALDO]]+Prog_236[[#This Row],[MARGEM]]+Prog_236[[#This Row],[ESTADIA 1]])</f>
        <v>0</v>
      </c>
      <c r="AW4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0" s="81"/>
      <c r="AY400" s="81"/>
      <c r="AZ400" s="81">
        <f>Prog_236[[#This Row],[VLR NF]]*0.1%</f>
        <v>0</v>
      </c>
      <c r="BA400" s="81">
        <f>Prog_236[[#This Row],[VLR NF]]*0.05%</f>
        <v>0</v>
      </c>
      <c r="BB400" s="81"/>
      <c r="BC400" s="81"/>
      <c r="BD400" s="81"/>
      <c r="BE400" s="81"/>
      <c r="BF400" s="81"/>
      <c r="BG400" s="81"/>
      <c r="BH400" s="81"/>
      <c r="BI400" s="81"/>
      <c r="BJ400" s="81"/>
      <c r="BK400" s="81"/>
      <c r="BL400" s="66"/>
      <c r="BM400" s="66"/>
      <c r="BN400" s="66"/>
      <c r="BO400" s="66" t="str">
        <f>PROPER(TEXT(Prog_236[[#This Row],[PROGRAMAÇÃO CLIENTE]],"mmm"))</f>
        <v>Jan</v>
      </c>
      <c r="BP400" s="66">
        <f>YEAR(Prog_236[[#This Row],[PROGRAMAÇÃO CLIENTE]])</f>
        <v>1900</v>
      </c>
    </row>
    <row r="401" spans="1:68" x14ac:dyDescent="0.25">
      <c r="A401" s="200">
        <f>Prog_236[[#This Row],[CONTEINER]]</f>
        <v>0</v>
      </c>
      <c r="B401" s="86"/>
      <c r="C4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1" s="44"/>
      <c r="E401" s="66"/>
      <c r="F401" s="66"/>
      <c r="G401" s="66"/>
      <c r="H401" s="44"/>
      <c r="I401" s="44"/>
      <c r="J401" s="66"/>
      <c r="K401" s="66"/>
      <c r="L401" s="66"/>
      <c r="M401" s="66"/>
      <c r="N401" s="66">
        <f>SUM(Prog_236[[#This Row],[TARA]]+Prog_236[[#This Row],[PESO]])</f>
        <v>0</v>
      </c>
      <c r="O401" s="44"/>
      <c r="P401" s="66"/>
      <c r="Q401" s="66"/>
      <c r="R401" s="66"/>
      <c r="S401" s="66"/>
      <c r="T401" s="138" t="str">
        <f>IFERROR(LOOKUP($S401,MOTORISTAS!$D$3:$D$1048576,MOTORISTAS!E$3:$E$1048576),"")</f>
        <v/>
      </c>
      <c r="U401" s="138" t="str">
        <f>IFERROR(LOOKUP($S401,MOTORISTAS!$D$3:$D$1048576,MOTORISTAS!F$3:$F$1048576),"")</f>
        <v/>
      </c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44"/>
      <c r="AG401" s="254">
        <f>Prog_236[[#This Row],[SAÍDA DO CLIENTE]]-Prog_236[[#This Row],[PROGRAMAÇÃO CLIENTE]]</f>
        <v>0</v>
      </c>
      <c r="AH401" s="44"/>
      <c r="AI401" s="66"/>
      <c r="AJ401" s="66"/>
      <c r="AK401" s="66"/>
      <c r="AL401" s="66"/>
      <c r="AM401" s="66"/>
      <c r="AN401" s="83"/>
      <c r="AO401" s="66"/>
      <c r="AP401" s="66"/>
      <c r="AQ401" s="66"/>
      <c r="AR401" s="81"/>
      <c r="AS401" s="81"/>
      <c r="AT401" s="81"/>
      <c r="AU401" s="81"/>
      <c r="AV401" s="83">
        <f>SUM(Prog_236[[#This Row],[ADIANTAMENTO]]+Prog_236[[#This Row],[SALDO]]+Prog_236[[#This Row],[MARGEM]]+Prog_236[[#This Row],[ESTADIA 1]])</f>
        <v>0</v>
      </c>
      <c r="AW4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1" s="81"/>
      <c r="AY401" s="81"/>
      <c r="AZ401" s="81">
        <f>Prog_236[[#This Row],[VLR NF]]*0.1%</f>
        <v>0</v>
      </c>
      <c r="BA401" s="81">
        <f>Prog_236[[#This Row],[VLR NF]]*0.05%</f>
        <v>0</v>
      </c>
      <c r="BB401" s="81"/>
      <c r="BC401" s="81"/>
      <c r="BD401" s="81"/>
      <c r="BE401" s="81"/>
      <c r="BF401" s="81"/>
      <c r="BG401" s="81"/>
      <c r="BH401" s="81"/>
      <c r="BI401" s="81"/>
      <c r="BJ401" s="81"/>
      <c r="BK401" s="81"/>
      <c r="BL401" s="66"/>
      <c r="BM401" s="66"/>
      <c r="BN401" s="66"/>
      <c r="BO401" s="66" t="str">
        <f>PROPER(TEXT(Prog_236[[#This Row],[PROGRAMAÇÃO CLIENTE]],"mmm"))</f>
        <v>Jan</v>
      </c>
      <c r="BP401" s="66">
        <f>YEAR(Prog_236[[#This Row],[PROGRAMAÇÃO CLIENTE]])</f>
        <v>1900</v>
      </c>
    </row>
    <row r="402" spans="1:68" x14ac:dyDescent="0.25">
      <c r="A402" s="201">
        <f>Prog_236[[#This Row],[CONTEINER]]</f>
        <v>0</v>
      </c>
      <c r="B402" s="86"/>
      <c r="C4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2" s="44"/>
      <c r="E402" s="66"/>
      <c r="F402" s="66"/>
      <c r="G402" s="66"/>
      <c r="H402" s="44"/>
      <c r="I402" s="44"/>
      <c r="J402" s="66"/>
      <c r="K402" s="66"/>
      <c r="L402" s="66"/>
      <c r="M402" s="66"/>
      <c r="N402" s="66">
        <f>SUM(Prog_236[[#This Row],[TARA]]+Prog_236[[#This Row],[PESO]])</f>
        <v>0</v>
      </c>
      <c r="O402" s="44"/>
      <c r="P402" s="66"/>
      <c r="Q402" s="66"/>
      <c r="R402" s="66"/>
      <c r="S402" s="66"/>
      <c r="T402" s="138" t="str">
        <f>IFERROR(LOOKUP($S402,MOTORISTAS!$D$3:$D$1048576,MOTORISTAS!E$3:$E$1048576),"")</f>
        <v/>
      </c>
      <c r="U402" s="138" t="str">
        <f>IFERROR(LOOKUP($S402,MOTORISTAS!$D$3:$D$1048576,MOTORISTAS!F$3:$F$1048576),"")</f>
        <v/>
      </c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44"/>
      <c r="AG402" s="254">
        <f>Prog_236[[#This Row],[SAÍDA DO CLIENTE]]-Prog_236[[#This Row],[PROGRAMAÇÃO CLIENTE]]</f>
        <v>0</v>
      </c>
      <c r="AH402" s="44"/>
      <c r="AI402" s="66"/>
      <c r="AJ402" s="66"/>
      <c r="AK402" s="66"/>
      <c r="AL402" s="66"/>
      <c r="AM402" s="66"/>
      <c r="AN402" s="83"/>
      <c r="AO402" s="66"/>
      <c r="AP402" s="66"/>
      <c r="AQ402" s="66"/>
      <c r="AR402" s="81"/>
      <c r="AS402" s="81"/>
      <c r="AT402" s="81"/>
      <c r="AU402" s="81"/>
      <c r="AV402" s="83">
        <f>SUM(Prog_236[[#This Row],[ADIANTAMENTO]]+Prog_236[[#This Row],[SALDO]]+Prog_236[[#This Row],[MARGEM]]+Prog_236[[#This Row],[ESTADIA 1]])</f>
        <v>0</v>
      </c>
      <c r="AW4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2" s="81"/>
      <c r="AY402" s="81"/>
      <c r="AZ402" s="81">
        <f>Prog_236[[#This Row],[VLR NF]]*0.1%</f>
        <v>0</v>
      </c>
      <c r="BA402" s="81">
        <f>Prog_236[[#This Row],[VLR NF]]*0.05%</f>
        <v>0</v>
      </c>
      <c r="BB402" s="81"/>
      <c r="BC402" s="81"/>
      <c r="BD402" s="81"/>
      <c r="BE402" s="81"/>
      <c r="BF402" s="81"/>
      <c r="BG402" s="81"/>
      <c r="BH402" s="81"/>
      <c r="BI402" s="81"/>
      <c r="BJ402" s="81"/>
      <c r="BK402" s="81"/>
      <c r="BL402" s="66"/>
      <c r="BM402" s="66"/>
      <c r="BN402" s="66"/>
      <c r="BO402" s="66" t="str">
        <f>PROPER(TEXT(Prog_236[[#This Row],[PROGRAMAÇÃO CLIENTE]],"mmm"))</f>
        <v>Jan</v>
      </c>
      <c r="BP402" s="66">
        <f>YEAR(Prog_236[[#This Row],[PROGRAMAÇÃO CLIENTE]])</f>
        <v>1900</v>
      </c>
    </row>
    <row r="403" spans="1:68" x14ac:dyDescent="0.25">
      <c r="A403" s="200">
        <f>Prog_236[[#This Row],[CONTEINER]]</f>
        <v>0</v>
      </c>
      <c r="B403" s="86"/>
      <c r="C4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3" s="44"/>
      <c r="E403" s="66"/>
      <c r="F403" s="66"/>
      <c r="G403" s="66"/>
      <c r="H403" s="44"/>
      <c r="I403" s="44"/>
      <c r="J403" s="66"/>
      <c r="K403" s="66"/>
      <c r="L403" s="66"/>
      <c r="M403" s="66"/>
      <c r="N403" s="66">
        <f>SUM(Prog_236[[#This Row],[TARA]]+Prog_236[[#This Row],[PESO]])</f>
        <v>0</v>
      </c>
      <c r="O403" s="44"/>
      <c r="P403" s="66"/>
      <c r="Q403" s="66"/>
      <c r="R403" s="66"/>
      <c r="S403" s="66"/>
      <c r="T403" s="138" t="str">
        <f>IFERROR(LOOKUP($S403,MOTORISTAS!$D$3:$D$1048576,MOTORISTAS!E$3:$E$1048576),"")</f>
        <v/>
      </c>
      <c r="U403" s="138" t="str">
        <f>IFERROR(LOOKUP($S403,MOTORISTAS!$D$3:$D$1048576,MOTORISTAS!F$3:$F$1048576),"")</f>
        <v/>
      </c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44"/>
      <c r="AG403" s="254">
        <f>Prog_236[[#This Row],[SAÍDA DO CLIENTE]]-Prog_236[[#This Row],[PROGRAMAÇÃO CLIENTE]]</f>
        <v>0</v>
      </c>
      <c r="AH403" s="44"/>
      <c r="AI403" s="66"/>
      <c r="AJ403" s="66"/>
      <c r="AK403" s="66"/>
      <c r="AL403" s="66"/>
      <c r="AM403" s="66"/>
      <c r="AN403" s="83"/>
      <c r="AO403" s="66"/>
      <c r="AP403" s="66"/>
      <c r="AQ403" s="66"/>
      <c r="AR403" s="81"/>
      <c r="AS403" s="81"/>
      <c r="AT403" s="81"/>
      <c r="AU403" s="81"/>
      <c r="AV403" s="83">
        <f>SUM(Prog_236[[#This Row],[ADIANTAMENTO]]+Prog_236[[#This Row],[SALDO]]+Prog_236[[#This Row],[MARGEM]]+Prog_236[[#This Row],[ESTADIA 1]])</f>
        <v>0</v>
      </c>
      <c r="AW4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3" s="81"/>
      <c r="AY403" s="81"/>
      <c r="AZ403" s="81">
        <f>Prog_236[[#This Row],[VLR NF]]*0.1%</f>
        <v>0</v>
      </c>
      <c r="BA403" s="81">
        <f>Prog_236[[#This Row],[VLR NF]]*0.05%</f>
        <v>0</v>
      </c>
      <c r="BB403" s="81"/>
      <c r="BC403" s="81"/>
      <c r="BD403" s="81"/>
      <c r="BE403" s="81"/>
      <c r="BF403" s="81"/>
      <c r="BG403" s="81"/>
      <c r="BH403" s="81"/>
      <c r="BI403" s="81"/>
      <c r="BJ403" s="81"/>
      <c r="BK403" s="81"/>
      <c r="BL403" s="66"/>
      <c r="BM403" s="66"/>
      <c r="BN403" s="66"/>
      <c r="BO403" s="66" t="str">
        <f>PROPER(TEXT(Prog_236[[#This Row],[PROGRAMAÇÃO CLIENTE]],"mmm"))</f>
        <v>Jan</v>
      </c>
      <c r="BP403" s="66">
        <f>YEAR(Prog_236[[#This Row],[PROGRAMAÇÃO CLIENTE]])</f>
        <v>1900</v>
      </c>
    </row>
    <row r="404" spans="1:68" x14ac:dyDescent="0.25">
      <c r="A404" s="201">
        <f>Prog_236[[#This Row],[CONTEINER]]</f>
        <v>0</v>
      </c>
      <c r="B404" s="86"/>
      <c r="C4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4" s="44"/>
      <c r="E404" s="66"/>
      <c r="F404" s="66"/>
      <c r="G404" s="66"/>
      <c r="H404" s="44"/>
      <c r="I404" s="44"/>
      <c r="J404" s="66"/>
      <c r="K404" s="66"/>
      <c r="L404" s="66"/>
      <c r="M404" s="66"/>
      <c r="N404" s="66">
        <f>SUM(Prog_236[[#This Row],[TARA]]+Prog_236[[#This Row],[PESO]])</f>
        <v>0</v>
      </c>
      <c r="O404" s="44"/>
      <c r="P404" s="66"/>
      <c r="Q404" s="66"/>
      <c r="R404" s="66"/>
      <c r="S404" s="66"/>
      <c r="T404" s="138" t="str">
        <f>IFERROR(LOOKUP($S404,MOTORISTAS!$D$3:$D$1048576,MOTORISTAS!E$3:$E$1048576),"")</f>
        <v/>
      </c>
      <c r="U404" s="138" t="str">
        <f>IFERROR(LOOKUP($S404,MOTORISTAS!$D$3:$D$1048576,MOTORISTAS!F$3:$F$1048576),"")</f>
        <v/>
      </c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44"/>
      <c r="AG404" s="254">
        <f>Prog_236[[#This Row],[SAÍDA DO CLIENTE]]-Prog_236[[#This Row],[PROGRAMAÇÃO CLIENTE]]</f>
        <v>0</v>
      </c>
      <c r="AH404" s="44"/>
      <c r="AI404" s="66"/>
      <c r="AJ404" s="66"/>
      <c r="AK404" s="66"/>
      <c r="AL404" s="66"/>
      <c r="AM404" s="66"/>
      <c r="AN404" s="83"/>
      <c r="AO404" s="66"/>
      <c r="AP404" s="66"/>
      <c r="AQ404" s="66"/>
      <c r="AR404" s="81"/>
      <c r="AS404" s="81"/>
      <c r="AT404" s="81"/>
      <c r="AU404" s="81"/>
      <c r="AV404" s="83">
        <f>SUM(Prog_236[[#This Row],[ADIANTAMENTO]]+Prog_236[[#This Row],[SALDO]]+Prog_236[[#This Row],[MARGEM]]+Prog_236[[#This Row],[ESTADIA 1]])</f>
        <v>0</v>
      </c>
      <c r="AW4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4" s="81"/>
      <c r="AY404" s="81"/>
      <c r="AZ404" s="81">
        <f>Prog_236[[#This Row],[VLR NF]]*0.1%</f>
        <v>0</v>
      </c>
      <c r="BA404" s="81">
        <f>Prog_236[[#This Row],[VLR NF]]*0.05%</f>
        <v>0</v>
      </c>
      <c r="BB404" s="81"/>
      <c r="BC404" s="81"/>
      <c r="BD404" s="81"/>
      <c r="BE404" s="81"/>
      <c r="BF404" s="81"/>
      <c r="BG404" s="81"/>
      <c r="BH404" s="81"/>
      <c r="BI404" s="81"/>
      <c r="BJ404" s="81"/>
      <c r="BK404" s="81"/>
      <c r="BL404" s="66"/>
      <c r="BM404" s="66"/>
      <c r="BN404" s="66"/>
      <c r="BO404" s="66" t="str">
        <f>PROPER(TEXT(Prog_236[[#This Row],[PROGRAMAÇÃO CLIENTE]],"mmm"))</f>
        <v>Jan</v>
      </c>
      <c r="BP404" s="66">
        <f>YEAR(Prog_236[[#This Row],[PROGRAMAÇÃO CLIENTE]])</f>
        <v>1900</v>
      </c>
    </row>
    <row r="405" spans="1:68" x14ac:dyDescent="0.25">
      <c r="A405" s="200">
        <f>Prog_236[[#This Row],[CONTEINER]]</f>
        <v>0</v>
      </c>
      <c r="B405" s="86"/>
      <c r="C4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5" s="44"/>
      <c r="E405" s="66"/>
      <c r="F405" s="66"/>
      <c r="G405" s="66"/>
      <c r="H405" s="44"/>
      <c r="I405" s="44"/>
      <c r="J405" s="66"/>
      <c r="K405" s="66"/>
      <c r="L405" s="66"/>
      <c r="M405" s="66"/>
      <c r="N405" s="66">
        <f>SUM(Prog_236[[#This Row],[TARA]]+Prog_236[[#This Row],[PESO]])</f>
        <v>0</v>
      </c>
      <c r="O405" s="44"/>
      <c r="P405" s="66"/>
      <c r="Q405" s="66"/>
      <c r="R405" s="66"/>
      <c r="S405" s="66"/>
      <c r="T405" s="138" t="str">
        <f>IFERROR(LOOKUP($S405,MOTORISTAS!$D$3:$D$1048576,MOTORISTAS!E$3:$E$1048576),"")</f>
        <v/>
      </c>
      <c r="U405" s="138" t="str">
        <f>IFERROR(LOOKUP($S405,MOTORISTAS!$D$3:$D$1048576,MOTORISTAS!F$3:$F$1048576),"")</f>
        <v/>
      </c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44"/>
      <c r="AG405" s="254">
        <f>Prog_236[[#This Row],[SAÍDA DO CLIENTE]]-Prog_236[[#This Row],[PROGRAMAÇÃO CLIENTE]]</f>
        <v>0</v>
      </c>
      <c r="AH405" s="44"/>
      <c r="AI405" s="66"/>
      <c r="AJ405" s="66"/>
      <c r="AK405" s="66"/>
      <c r="AL405" s="66"/>
      <c r="AM405" s="66"/>
      <c r="AN405" s="83"/>
      <c r="AO405" s="66"/>
      <c r="AP405" s="66"/>
      <c r="AQ405" s="66"/>
      <c r="AR405" s="81"/>
      <c r="AS405" s="81"/>
      <c r="AT405" s="81"/>
      <c r="AU405" s="81"/>
      <c r="AV405" s="83">
        <f>SUM(Prog_236[[#This Row],[ADIANTAMENTO]]+Prog_236[[#This Row],[SALDO]]+Prog_236[[#This Row],[MARGEM]]+Prog_236[[#This Row],[ESTADIA 1]])</f>
        <v>0</v>
      </c>
      <c r="AW4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5" s="81"/>
      <c r="AY405" s="81"/>
      <c r="AZ405" s="81">
        <f>Prog_236[[#This Row],[VLR NF]]*0.1%</f>
        <v>0</v>
      </c>
      <c r="BA405" s="81">
        <f>Prog_236[[#This Row],[VLR NF]]*0.05%</f>
        <v>0</v>
      </c>
      <c r="BB405" s="81"/>
      <c r="BC405" s="81"/>
      <c r="BD405" s="81"/>
      <c r="BE405" s="81"/>
      <c r="BF405" s="81"/>
      <c r="BG405" s="81"/>
      <c r="BH405" s="81"/>
      <c r="BI405" s="81"/>
      <c r="BJ405" s="81"/>
      <c r="BK405" s="81"/>
      <c r="BL405" s="66"/>
      <c r="BM405" s="66"/>
      <c r="BN405" s="66"/>
      <c r="BO405" s="66" t="str">
        <f>PROPER(TEXT(Prog_236[[#This Row],[PROGRAMAÇÃO CLIENTE]],"mmm"))</f>
        <v>Jan</v>
      </c>
      <c r="BP405" s="66">
        <f>YEAR(Prog_236[[#This Row],[PROGRAMAÇÃO CLIENTE]])</f>
        <v>1900</v>
      </c>
    </row>
    <row r="406" spans="1:68" x14ac:dyDescent="0.25">
      <c r="A406" s="201">
        <f>Prog_236[[#This Row],[CONTEINER]]</f>
        <v>0</v>
      </c>
      <c r="B406" s="86"/>
      <c r="C4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6" s="44"/>
      <c r="E406" s="66"/>
      <c r="F406" s="66"/>
      <c r="G406" s="66"/>
      <c r="H406" s="44"/>
      <c r="I406" s="44"/>
      <c r="J406" s="66"/>
      <c r="K406" s="66"/>
      <c r="L406" s="66"/>
      <c r="M406" s="66"/>
      <c r="N406" s="66">
        <f>SUM(Prog_236[[#This Row],[TARA]]+Prog_236[[#This Row],[PESO]])</f>
        <v>0</v>
      </c>
      <c r="O406" s="44"/>
      <c r="P406" s="66"/>
      <c r="Q406" s="66"/>
      <c r="R406" s="66"/>
      <c r="S406" s="66"/>
      <c r="T406" s="138" t="str">
        <f>IFERROR(LOOKUP($S406,MOTORISTAS!$D$3:$D$1048576,MOTORISTAS!E$3:$E$1048576),"")</f>
        <v/>
      </c>
      <c r="U406" s="138" t="str">
        <f>IFERROR(LOOKUP($S406,MOTORISTAS!$D$3:$D$1048576,MOTORISTAS!F$3:$F$1048576),"")</f>
        <v/>
      </c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44"/>
      <c r="AG406" s="254">
        <f>Prog_236[[#This Row],[SAÍDA DO CLIENTE]]-Prog_236[[#This Row],[PROGRAMAÇÃO CLIENTE]]</f>
        <v>0</v>
      </c>
      <c r="AH406" s="44"/>
      <c r="AI406" s="66"/>
      <c r="AJ406" s="66"/>
      <c r="AK406" s="66"/>
      <c r="AL406" s="66"/>
      <c r="AM406" s="66"/>
      <c r="AN406" s="83"/>
      <c r="AO406" s="66"/>
      <c r="AP406" s="66"/>
      <c r="AQ406" s="66"/>
      <c r="AR406" s="81"/>
      <c r="AS406" s="81"/>
      <c r="AT406" s="81"/>
      <c r="AU406" s="81"/>
      <c r="AV406" s="83">
        <f>SUM(Prog_236[[#This Row],[ADIANTAMENTO]]+Prog_236[[#This Row],[SALDO]]+Prog_236[[#This Row],[MARGEM]]+Prog_236[[#This Row],[ESTADIA 1]])</f>
        <v>0</v>
      </c>
      <c r="AW4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6" s="81"/>
      <c r="AY406" s="81"/>
      <c r="AZ406" s="81">
        <f>Prog_236[[#This Row],[VLR NF]]*0.1%</f>
        <v>0</v>
      </c>
      <c r="BA406" s="81">
        <f>Prog_236[[#This Row],[VLR NF]]*0.05%</f>
        <v>0</v>
      </c>
      <c r="BB406" s="81"/>
      <c r="BC406" s="81"/>
      <c r="BD406" s="81"/>
      <c r="BE406" s="81"/>
      <c r="BF406" s="81"/>
      <c r="BG406" s="81"/>
      <c r="BH406" s="81"/>
      <c r="BI406" s="81"/>
      <c r="BJ406" s="81"/>
      <c r="BK406" s="81"/>
      <c r="BL406" s="66"/>
      <c r="BM406" s="66"/>
      <c r="BN406" s="66"/>
      <c r="BO406" s="66" t="str">
        <f>PROPER(TEXT(Prog_236[[#This Row],[PROGRAMAÇÃO CLIENTE]],"mmm"))</f>
        <v>Jan</v>
      </c>
      <c r="BP406" s="66">
        <f>YEAR(Prog_236[[#This Row],[PROGRAMAÇÃO CLIENTE]])</f>
        <v>1900</v>
      </c>
    </row>
    <row r="407" spans="1:68" x14ac:dyDescent="0.25">
      <c r="A407" s="200">
        <f>Prog_236[[#This Row],[CONTEINER]]</f>
        <v>0</v>
      </c>
      <c r="B407" s="86"/>
      <c r="C4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7" s="44"/>
      <c r="E407" s="66"/>
      <c r="F407" s="66"/>
      <c r="G407" s="66"/>
      <c r="H407" s="44"/>
      <c r="I407" s="44"/>
      <c r="J407" s="66"/>
      <c r="K407" s="66"/>
      <c r="L407" s="66"/>
      <c r="M407" s="66"/>
      <c r="N407" s="66">
        <f>SUM(Prog_236[[#This Row],[TARA]]+Prog_236[[#This Row],[PESO]])</f>
        <v>0</v>
      </c>
      <c r="O407" s="44"/>
      <c r="P407" s="66"/>
      <c r="Q407" s="66"/>
      <c r="R407" s="66"/>
      <c r="S407" s="66"/>
      <c r="T407" s="138" t="str">
        <f>IFERROR(LOOKUP($S407,MOTORISTAS!$D$3:$D$1048576,MOTORISTAS!E$3:$E$1048576),"")</f>
        <v/>
      </c>
      <c r="U407" s="138" t="str">
        <f>IFERROR(LOOKUP($S407,MOTORISTAS!$D$3:$D$1048576,MOTORISTAS!F$3:$F$1048576),"")</f>
        <v/>
      </c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44"/>
      <c r="AG407" s="254">
        <f>Prog_236[[#This Row],[SAÍDA DO CLIENTE]]-Prog_236[[#This Row],[PROGRAMAÇÃO CLIENTE]]</f>
        <v>0</v>
      </c>
      <c r="AH407" s="44"/>
      <c r="AI407" s="66"/>
      <c r="AJ407" s="66"/>
      <c r="AK407" s="66"/>
      <c r="AL407" s="66"/>
      <c r="AM407" s="66"/>
      <c r="AN407" s="83"/>
      <c r="AO407" s="66"/>
      <c r="AP407" s="66"/>
      <c r="AQ407" s="66"/>
      <c r="AR407" s="81"/>
      <c r="AS407" s="81"/>
      <c r="AT407" s="81"/>
      <c r="AU407" s="81"/>
      <c r="AV407" s="83">
        <f>SUM(Prog_236[[#This Row],[ADIANTAMENTO]]+Prog_236[[#This Row],[SALDO]]+Prog_236[[#This Row],[MARGEM]]+Prog_236[[#This Row],[ESTADIA 1]])</f>
        <v>0</v>
      </c>
      <c r="AW4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7" s="81"/>
      <c r="AY407" s="81"/>
      <c r="AZ407" s="81">
        <f>Prog_236[[#This Row],[VLR NF]]*0.1%</f>
        <v>0</v>
      </c>
      <c r="BA407" s="81">
        <f>Prog_236[[#This Row],[VLR NF]]*0.05%</f>
        <v>0</v>
      </c>
      <c r="BB407" s="81"/>
      <c r="BC407" s="81"/>
      <c r="BD407" s="81"/>
      <c r="BE407" s="81"/>
      <c r="BF407" s="81"/>
      <c r="BG407" s="81"/>
      <c r="BH407" s="81"/>
      <c r="BI407" s="81"/>
      <c r="BJ407" s="81"/>
      <c r="BK407" s="81"/>
      <c r="BL407" s="66"/>
      <c r="BM407" s="66"/>
      <c r="BN407" s="66"/>
      <c r="BO407" s="66" t="str">
        <f>PROPER(TEXT(Prog_236[[#This Row],[PROGRAMAÇÃO CLIENTE]],"mmm"))</f>
        <v>Jan</v>
      </c>
      <c r="BP407" s="66">
        <f>YEAR(Prog_236[[#This Row],[PROGRAMAÇÃO CLIENTE]])</f>
        <v>1900</v>
      </c>
    </row>
    <row r="408" spans="1:68" x14ac:dyDescent="0.25">
      <c r="A408" s="201">
        <f>Prog_236[[#This Row],[CONTEINER]]</f>
        <v>0</v>
      </c>
      <c r="B408" s="86"/>
      <c r="C4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8" s="44"/>
      <c r="E408" s="66"/>
      <c r="F408" s="66"/>
      <c r="G408" s="66"/>
      <c r="H408" s="44"/>
      <c r="I408" s="44"/>
      <c r="J408" s="66"/>
      <c r="K408" s="66"/>
      <c r="L408" s="66"/>
      <c r="M408" s="66"/>
      <c r="N408" s="66">
        <f>SUM(Prog_236[[#This Row],[TARA]]+Prog_236[[#This Row],[PESO]])</f>
        <v>0</v>
      </c>
      <c r="O408" s="44"/>
      <c r="P408" s="66"/>
      <c r="Q408" s="66"/>
      <c r="R408" s="66"/>
      <c r="S408" s="66"/>
      <c r="T408" s="138" t="str">
        <f>IFERROR(LOOKUP($S408,MOTORISTAS!$D$3:$D$1048576,MOTORISTAS!E$3:$E$1048576),"")</f>
        <v/>
      </c>
      <c r="U408" s="138" t="str">
        <f>IFERROR(LOOKUP($S408,MOTORISTAS!$D$3:$D$1048576,MOTORISTAS!F$3:$F$1048576),"")</f>
        <v/>
      </c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44"/>
      <c r="AG408" s="254">
        <f>Prog_236[[#This Row],[SAÍDA DO CLIENTE]]-Prog_236[[#This Row],[PROGRAMAÇÃO CLIENTE]]</f>
        <v>0</v>
      </c>
      <c r="AH408" s="44"/>
      <c r="AI408" s="66"/>
      <c r="AJ408" s="66"/>
      <c r="AK408" s="66"/>
      <c r="AL408" s="66"/>
      <c r="AM408" s="66"/>
      <c r="AN408" s="83"/>
      <c r="AO408" s="66"/>
      <c r="AP408" s="66"/>
      <c r="AQ408" s="66"/>
      <c r="AR408" s="81"/>
      <c r="AS408" s="81"/>
      <c r="AT408" s="81"/>
      <c r="AU408" s="81"/>
      <c r="AV408" s="83">
        <f>SUM(Prog_236[[#This Row],[ADIANTAMENTO]]+Prog_236[[#This Row],[SALDO]]+Prog_236[[#This Row],[MARGEM]]+Prog_236[[#This Row],[ESTADIA 1]])</f>
        <v>0</v>
      </c>
      <c r="AW4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8" s="81"/>
      <c r="AY408" s="81"/>
      <c r="AZ408" s="81">
        <f>Prog_236[[#This Row],[VLR NF]]*0.1%</f>
        <v>0</v>
      </c>
      <c r="BA408" s="81">
        <f>Prog_236[[#This Row],[VLR NF]]*0.05%</f>
        <v>0</v>
      </c>
      <c r="BB408" s="81"/>
      <c r="BC408" s="81"/>
      <c r="BD408" s="81"/>
      <c r="BE408" s="81"/>
      <c r="BF408" s="81"/>
      <c r="BG408" s="81"/>
      <c r="BH408" s="81"/>
      <c r="BI408" s="81"/>
      <c r="BJ408" s="81"/>
      <c r="BK408" s="81"/>
      <c r="BL408" s="66"/>
      <c r="BM408" s="66"/>
      <c r="BN408" s="66"/>
      <c r="BO408" s="66" t="str">
        <f>PROPER(TEXT(Prog_236[[#This Row],[PROGRAMAÇÃO CLIENTE]],"mmm"))</f>
        <v>Jan</v>
      </c>
      <c r="BP408" s="66">
        <f>YEAR(Prog_236[[#This Row],[PROGRAMAÇÃO CLIENTE]])</f>
        <v>1900</v>
      </c>
    </row>
    <row r="409" spans="1:68" x14ac:dyDescent="0.25">
      <c r="A409" s="200">
        <f>Prog_236[[#This Row],[CONTEINER]]</f>
        <v>0</v>
      </c>
      <c r="B409" s="86"/>
      <c r="C4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09" s="44"/>
      <c r="E409" s="66"/>
      <c r="F409" s="66"/>
      <c r="G409" s="66"/>
      <c r="H409" s="44"/>
      <c r="I409" s="44"/>
      <c r="J409" s="66"/>
      <c r="K409" s="66"/>
      <c r="L409" s="66"/>
      <c r="M409" s="66"/>
      <c r="N409" s="66">
        <f>SUM(Prog_236[[#This Row],[TARA]]+Prog_236[[#This Row],[PESO]])</f>
        <v>0</v>
      </c>
      <c r="O409" s="44"/>
      <c r="P409" s="66"/>
      <c r="Q409" s="66"/>
      <c r="R409" s="66"/>
      <c r="S409" s="66"/>
      <c r="T409" s="138" t="str">
        <f>IFERROR(LOOKUP($S409,MOTORISTAS!$D$3:$D$1048576,MOTORISTAS!E$3:$E$1048576),"")</f>
        <v/>
      </c>
      <c r="U409" s="138" t="str">
        <f>IFERROR(LOOKUP($S409,MOTORISTAS!$D$3:$D$1048576,MOTORISTAS!F$3:$F$1048576),"")</f>
        <v/>
      </c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44"/>
      <c r="AG409" s="254">
        <f>Prog_236[[#This Row],[SAÍDA DO CLIENTE]]-Prog_236[[#This Row],[PROGRAMAÇÃO CLIENTE]]</f>
        <v>0</v>
      </c>
      <c r="AH409" s="44"/>
      <c r="AI409" s="66"/>
      <c r="AJ409" s="66"/>
      <c r="AK409" s="66"/>
      <c r="AL409" s="66"/>
      <c r="AM409" s="66"/>
      <c r="AN409" s="83"/>
      <c r="AO409" s="66"/>
      <c r="AP409" s="66"/>
      <c r="AQ409" s="66"/>
      <c r="AR409" s="81"/>
      <c r="AS409" s="81"/>
      <c r="AT409" s="81"/>
      <c r="AU409" s="81"/>
      <c r="AV409" s="83">
        <f>SUM(Prog_236[[#This Row],[ADIANTAMENTO]]+Prog_236[[#This Row],[SALDO]]+Prog_236[[#This Row],[MARGEM]]+Prog_236[[#This Row],[ESTADIA 1]])</f>
        <v>0</v>
      </c>
      <c r="AW4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09" s="81"/>
      <c r="AY409" s="81"/>
      <c r="AZ409" s="81">
        <f>Prog_236[[#This Row],[VLR NF]]*0.1%</f>
        <v>0</v>
      </c>
      <c r="BA409" s="81">
        <f>Prog_236[[#This Row],[VLR NF]]*0.05%</f>
        <v>0</v>
      </c>
      <c r="BB409" s="81"/>
      <c r="BC409" s="81"/>
      <c r="BD409" s="81"/>
      <c r="BE409" s="81"/>
      <c r="BF409" s="81"/>
      <c r="BG409" s="81"/>
      <c r="BH409" s="81"/>
      <c r="BI409" s="81"/>
      <c r="BJ409" s="81"/>
      <c r="BK409" s="81"/>
      <c r="BL409" s="66"/>
      <c r="BM409" s="66"/>
      <c r="BN409" s="66"/>
      <c r="BO409" s="66" t="str">
        <f>PROPER(TEXT(Prog_236[[#This Row],[PROGRAMAÇÃO CLIENTE]],"mmm"))</f>
        <v>Jan</v>
      </c>
      <c r="BP409" s="66">
        <f>YEAR(Prog_236[[#This Row],[PROGRAMAÇÃO CLIENTE]])</f>
        <v>1900</v>
      </c>
    </row>
    <row r="410" spans="1:68" x14ac:dyDescent="0.25">
      <c r="A410" s="201">
        <f>Prog_236[[#This Row],[CONTEINER]]</f>
        <v>0</v>
      </c>
      <c r="B410" s="86"/>
      <c r="C4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0" s="44"/>
      <c r="E410" s="66"/>
      <c r="F410" s="66"/>
      <c r="G410" s="66"/>
      <c r="H410" s="44"/>
      <c r="I410" s="44"/>
      <c r="J410" s="66"/>
      <c r="K410" s="66"/>
      <c r="L410" s="66"/>
      <c r="M410" s="66"/>
      <c r="N410" s="66">
        <f>SUM(Prog_236[[#This Row],[TARA]]+Prog_236[[#This Row],[PESO]])</f>
        <v>0</v>
      </c>
      <c r="O410" s="44"/>
      <c r="P410" s="66"/>
      <c r="Q410" s="66"/>
      <c r="R410" s="66"/>
      <c r="S410" s="66"/>
      <c r="T410" s="138" t="str">
        <f>IFERROR(LOOKUP($S410,MOTORISTAS!$D$3:$D$1048576,MOTORISTAS!E$3:$E$1048576),"")</f>
        <v/>
      </c>
      <c r="U410" s="138" t="str">
        <f>IFERROR(LOOKUP($S410,MOTORISTAS!$D$3:$D$1048576,MOTORISTAS!F$3:$F$1048576),"")</f>
        <v/>
      </c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44"/>
      <c r="AG410" s="254">
        <f>Prog_236[[#This Row],[SAÍDA DO CLIENTE]]-Prog_236[[#This Row],[PROGRAMAÇÃO CLIENTE]]</f>
        <v>0</v>
      </c>
      <c r="AH410" s="44"/>
      <c r="AI410" s="66"/>
      <c r="AJ410" s="66"/>
      <c r="AK410" s="66"/>
      <c r="AL410" s="66"/>
      <c r="AM410" s="66"/>
      <c r="AN410" s="83"/>
      <c r="AO410" s="66"/>
      <c r="AP410" s="66"/>
      <c r="AQ410" s="66"/>
      <c r="AR410" s="81"/>
      <c r="AS410" s="81"/>
      <c r="AT410" s="81"/>
      <c r="AU410" s="81"/>
      <c r="AV410" s="83">
        <f>SUM(Prog_236[[#This Row],[ADIANTAMENTO]]+Prog_236[[#This Row],[SALDO]]+Prog_236[[#This Row],[MARGEM]]+Prog_236[[#This Row],[ESTADIA 1]])</f>
        <v>0</v>
      </c>
      <c r="AW4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0" s="81"/>
      <c r="AY410" s="81"/>
      <c r="AZ410" s="81">
        <f>Prog_236[[#This Row],[VLR NF]]*0.1%</f>
        <v>0</v>
      </c>
      <c r="BA410" s="81">
        <f>Prog_236[[#This Row],[VLR NF]]*0.05%</f>
        <v>0</v>
      </c>
      <c r="BB410" s="81"/>
      <c r="BC410" s="81"/>
      <c r="BD410" s="81"/>
      <c r="BE410" s="81"/>
      <c r="BF410" s="81"/>
      <c r="BG410" s="81"/>
      <c r="BH410" s="81"/>
      <c r="BI410" s="81"/>
      <c r="BJ410" s="81"/>
      <c r="BK410" s="81"/>
      <c r="BL410" s="66"/>
      <c r="BM410" s="66"/>
      <c r="BN410" s="66"/>
      <c r="BO410" s="66" t="str">
        <f>PROPER(TEXT(Prog_236[[#This Row],[PROGRAMAÇÃO CLIENTE]],"mmm"))</f>
        <v>Jan</v>
      </c>
      <c r="BP410" s="66">
        <f>YEAR(Prog_236[[#This Row],[PROGRAMAÇÃO CLIENTE]])</f>
        <v>1900</v>
      </c>
    </row>
    <row r="411" spans="1:68" x14ac:dyDescent="0.25">
      <c r="A411" s="200">
        <f>Prog_236[[#This Row],[CONTEINER]]</f>
        <v>0</v>
      </c>
      <c r="B411" s="86"/>
      <c r="C4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1" s="44"/>
      <c r="E411" s="66"/>
      <c r="F411" s="66"/>
      <c r="G411" s="66"/>
      <c r="H411" s="44"/>
      <c r="I411" s="44"/>
      <c r="J411" s="66"/>
      <c r="K411" s="66"/>
      <c r="L411" s="66"/>
      <c r="M411" s="66"/>
      <c r="N411" s="66">
        <f>SUM(Prog_236[[#This Row],[TARA]]+Prog_236[[#This Row],[PESO]])</f>
        <v>0</v>
      </c>
      <c r="O411" s="44"/>
      <c r="P411" s="66"/>
      <c r="Q411" s="66"/>
      <c r="R411" s="66"/>
      <c r="S411" s="66"/>
      <c r="T411" s="138" t="str">
        <f>IFERROR(LOOKUP($S411,MOTORISTAS!$D$3:$D$1048576,MOTORISTAS!E$3:$E$1048576),"")</f>
        <v/>
      </c>
      <c r="U411" s="138" t="str">
        <f>IFERROR(LOOKUP($S411,MOTORISTAS!$D$3:$D$1048576,MOTORISTAS!F$3:$F$1048576),"")</f>
        <v/>
      </c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44"/>
      <c r="AG411" s="254">
        <f>Prog_236[[#This Row],[SAÍDA DO CLIENTE]]-Prog_236[[#This Row],[PROGRAMAÇÃO CLIENTE]]</f>
        <v>0</v>
      </c>
      <c r="AH411" s="44"/>
      <c r="AI411" s="66"/>
      <c r="AJ411" s="66"/>
      <c r="AK411" s="66"/>
      <c r="AL411" s="66"/>
      <c r="AM411" s="66"/>
      <c r="AN411" s="83"/>
      <c r="AO411" s="66"/>
      <c r="AP411" s="66"/>
      <c r="AQ411" s="66"/>
      <c r="AR411" s="81"/>
      <c r="AS411" s="81"/>
      <c r="AT411" s="81"/>
      <c r="AU411" s="81"/>
      <c r="AV411" s="83">
        <f>SUM(Prog_236[[#This Row],[ADIANTAMENTO]]+Prog_236[[#This Row],[SALDO]]+Prog_236[[#This Row],[MARGEM]]+Prog_236[[#This Row],[ESTADIA 1]])</f>
        <v>0</v>
      </c>
      <c r="AW4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1" s="81"/>
      <c r="AY411" s="81"/>
      <c r="AZ411" s="81">
        <f>Prog_236[[#This Row],[VLR NF]]*0.1%</f>
        <v>0</v>
      </c>
      <c r="BA411" s="81">
        <f>Prog_236[[#This Row],[VLR NF]]*0.05%</f>
        <v>0</v>
      </c>
      <c r="BB411" s="81"/>
      <c r="BC411" s="81"/>
      <c r="BD411" s="81"/>
      <c r="BE411" s="81"/>
      <c r="BF411" s="81"/>
      <c r="BG411" s="81"/>
      <c r="BH411" s="81"/>
      <c r="BI411" s="81"/>
      <c r="BJ411" s="81"/>
      <c r="BK411" s="81"/>
      <c r="BL411" s="66"/>
      <c r="BM411" s="66"/>
      <c r="BN411" s="66"/>
      <c r="BO411" s="66" t="str">
        <f>PROPER(TEXT(Prog_236[[#This Row],[PROGRAMAÇÃO CLIENTE]],"mmm"))</f>
        <v>Jan</v>
      </c>
      <c r="BP411" s="66">
        <f>YEAR(Prog_236[[#This Row],[PROGRAMAÇÃO CLIENTE]])</f>
        <v>1900</v>
      </c>
    </row>
    <row r="412" spans="1:68" x14ac:dyDescent="0.25">
      <c r="A412" s="201">
        <f>Prog_236[[#This Row],[CONTEINER]]</f>
        <v>0</v>
      </c>
      <c r="B412" s="86"/>
      <c r="C4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2" s="44"/>
      <c r="E412" s="66"/>
      <c r="F412" s="66"/>
      <c r="G412" s="66"/>
      <c r="H412" s="44"/>
      <c r="I412" s="44"/>
      <c r="J412" s="66"/>
      <c r="K412" s="66"/>
      <c r="L412" s="66"/>
      <c r="M412" s="66"/>
      <c r="N412" s="66">
        <f>SUM(Prog_236[[#This Row],[TARA]]+Prog_236[[#This Row],[PESO]])</f>
        <v>0</v>
      </c>
      <c r="O412" s="44"/>
      <c r="P412" s="66"/>
      <c r="Q412" s="66"/>
      <c r="R412" s="66"/>
      <c r="S412" s="66"/>
      <c r="T412" s="138" t="str">
        <f>IFERROR(LOOKUP($S412,MOTORISTAS!$D$3:$D$1048576,MOTORISTAS!E$3:$E$1048576),"")</f>
        <v/>
      </c>
      <c r="U412" s="138" t="str">
        <f>IFERROR(LOOKUP($S412,MOTORISTAS!$D$3:$D$1048576,MOTORISTAS!F$3:$F$1048576),"")</f>
        <v/>
      </c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44"/>
      <c r="AG412" s="254">
        <f>Prog_236[[#This Row],[SAÍDA DO CLIENTE]]-Prog_236[[#This Row],[PROGRAMAÇÃO CLIENTE]]</f>
        <v>0</v>
      </c>
      <c r="AH412" s="44"/>
      <c r="AI412" s="66"/>
      <c r="AJ412" s="66"/>
      <c r="AK412" s="66"/>
      <c r="AL412" s="66"/>
      <c r="AM412" s="66"/>
      <c r="AN412" s="83"/>
      <c r="AO412" s="66"/>
      <c r="AP412" s="66"/>
      <c r="AQ412" s="66"/>
      <c r="AR412" s="81"/>
      <c r="AS412" s="81"/>
      <c r="AT412" s="81"/>
      <c r="AU412" s="81"/>
      <c r="AV412" s="83">
        <f>SUM(Prog_236[[#This Row],[ADIANTAMENTO]]+Prog_236[[#This Row],[SALDO]]+Prog_236[[#This Row],[MARGEM]]+Prog_236[[#This Row],[ESTADIA 1]])</f>
        <v>0</v>
      </c>
      <c r="AW4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2" s="81"/>
      <c r="AY412" s="81"/>
      <c r="AZ412" s="81">
        <f>Prog_236[[#This Row],[VLR NF]]*0.1%</f>
        <v>0</v>
      </c>
      <c r="BA412" s="81">
        <f>Prog_236[[#This Row],[VLR NF]]*0.05%</f>
        <v>0</v>
      </c>
      <c r="BB412" s="81"/>
      <c r="BC412" s="81"/>
      <c r="BD412" s="81"/>
      <c r="BE412" s="81"/>
      <c r="BF412" s="81"/>
      <c r="BG412" s="81"/>
      <c r="BH412" s="81"/>
      <c r="BI412" s="81"/>
      <c r="BJ412" s="81"/>
      <c r="BK412" s="81"/>
      <c r="BL412" s="66"/>
      <c r="BM412" s="66"/>
      <c r="BN412" s="66"/>
      <c r="BO412" s="66" t="str">
        <f>PROPER(TEXT(Prog_236[[#This Row],[PROGRAMAÇÃO CLIENTE]],"mmm"))</f>
        <v>Jan</v>
      </c>
      <c r="BP412" s="66">
        <f>YEAR(Prog_236[[#This Row],[PROGRAMAÇÃO CLIENTE]])</f>
        <v>1900</v>
      </c>
    </row>
    <row r="413" spans="1:68" x14ac:dyDescent="0.25">
      <c r="A413" s="200">
        <f>Prog_236[[#This Row],[CONTEINER]]</f>
        <v>0</v>
      </c>
      <c r="B413" s="86"/>
      <c r="C4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3" s="44"/>
      <c r="E413" s="66"/>
      <c r="F413" s="66"/>
      <c r="G413" s="66"/>
      <c r="H413" s="44"/>
      <c r="I413" s="44"/>
      <c r="J413" s="66"/>
      <c r="K413" s="66"/>
      <c r="L413" s="66"/>
      <c r="M413" s="66"/>
      <c r="N413" s="66">
        <f>SUM(Prog_236[[#This Row],[TARA]]+Prog_236[[#This Row],[PESO]])</f>
        <v>0</v>
      </c>
      <c r="O413" s="44"/>
      <c r="P413" s="66"/>
      <c r="Q413" s="66"/>
      <c r="R413" s="66"/>
      <c r="S413" s="66"/>
      <c r="T413" s="138" t="str">
        <f>IFERROR(LOOKUP($S413,MOTORISTAS!$D$3:$D$1048576,MOTORISTAS!E$3:$E$1048576),"")</f>
        <v/>
      </c>
      <c r="U413" s="138" t="str">
        <f>IFERROR(LOOKUP($S413,MOTORISTAS!$D$3:$D$1048576,MOTORISTAS!F$3:$F$1048576),"")</f>
        <v/>
      </c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44"/>
      <c r="AG413" s="254">
        <f>Prog_236[[#This Row],[SAÍDA DO CLIENTE]]-Prog_236[[#This Row],[PROGRAMAÇÃO CLIENTE]]</f>
        <v>0</v>
      </c>
      <c r="AH413" s="44"/>
      <c r="AI413" s="66"/>
      <c r="AJ413" s="66"/>
      <c r="AK413" s="66"/>
      <c r="AL413" s="66"/>
      <c r="AM413" s="66"/>
      <c r="AN413" s="83"/>
      <c r="AO413" s="66"/>
      <c r="AP413" s="66"/>
      <c r="AQ413" s="66"/>
      <c r="AR413" s="81"/>
      <c r="AS413" s="81"/>
      <c r="AT413" s="81"/>
      <c r="AU413" s="81"/>
      <c r="AV413" s="83">
        <f>SUM(Prog_236[[#This Row],[ADIANTAMENTO]]+Prog_236[[#This Row],[SALDO]]+Prog_236[[#This Row],[MARGEM]]+Prog_236[[#This Row],[ESTADIA 1]])</f>
        <v>0</v>
      </c>
      <c r="AW4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3" s="81"/>
      <c r="AY413" s="81"/>
      <c r="AZ413" s="81">
        <f>Prog_236[[#This Row],[VLR NF]]*0.1%</f>
        <v>0</v>
      </c>
      <c r="BA413" s="81">
        <f>Prog_236[[#This Row],[VLR NF]]*0.05%</f>
        <v>0</v>
      </c>
      <c r="BB413" s="81"/>
      <c r="BC413" s="81"/>
      <c r="BD413" s="81"/>
      <c r="BE413" s="81"/>
      <c r="BF413" s="81"/>
      <c r="BG413" s="81"/>
      <c r="BH413" s="81"/>
      <c r="BI413" s="81"/>
      <c r="BJ413" s="81"/>
      <c r="BK413" s="81"/>
      <c r="BL413" s="66"/>
      <c r="BM413" s="66"/>
      <c r="BN413" s="66"/>
      <c r="BO413" s="66" t="str">
        <f>PROPER(TEXT(Prog_236[[#This Row],[PROGRAMAÇÃO CLIENTE]],"mmm"))</f>
        <v>Jan</v>
      </c>
      <c r="BP413" s="66">
        <f>YEAR(Prog_236[[#This Row],[PROGRAMAÇÃO CLIENTE]])</f>
        <v>1900</v>
      </c>
    </row>
    <row r="414" spans="1:68" x14ac:dyDescent="0.25">
      <c r="A414" s="201">
        <f>Prog_236[[#This Row],[CONTEINER]]</f>
        <v>0</v>
      </c>
      <c r="B414" s="86"/>
      <c r="C4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4" s="44"/>
      <c r="E414" s="66"/>
      <c r="F414" s="66"/>
      <c r="G414" s="66"/>
      <c r="H414" s="44"/>
      <c r="I414" s="44"/>
      <c r="J414" s="66"/>
      <c r="K414" s="66"/>
      <c r="L414" s="66"/>
      <c r="M414" s="66"/>
      <c r="N414" s="66">
        <f>SUM(Prog_236[[#This Row],[TARA]]+Prog_236[[#This Row],[PESO]])</f>
        <v>0</v>
      </c>
      <c r="O414" s="44"/>
      <c r="P414" s="66"/>
      <c r="Q414" s="66"/>
      <c r="R414" s="66"/>
      <c r="S414" s="66"/>
      <c r="T414" s="138" t="str">
        <f>IFERROR(LOOKUP($S414,MOTORISTAS!$D$3:$D$1048576,MOTORISTAS!E$3:$E$1048576),"")</f>
        <v/>
      </c>
      <c r="U414" s="138" t="str">
        <f>IFERROR(LOOKUP($S414,MOTORISTAS!$D$3:$D$1048576,MOTORISTAS!F$3:$F$1048576),"")</f>
        <v/>
      </c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44"/>
      <c r="AG414" s="254">
        <f>Prog_236[[#This Row],[SAÍDA DO CLIENTE]]-Prog_236[[#This Row],[PROGRAMAÇÃO CLIENTE]]</f>
        <v>0</v>
      </c>
      <c r="AH414" s="44"/>
      <c r="AI414" s="66"/>
      <c r="AJ414" s="66"/>
      <c r="AK414" s="66"/>
      <c r="AL414" s="66"/>
      <c r="AM414" s="66"/>
      <c r="AN414" s="83"/>
      <c r="AO414" s="66"/>
      <c r="AP414" s="66"/>
      <c r="AQ414" s="66"/>
      <c r="AR414" s="81"/>
      <c r="AS414" s="81"/>
      <c r="AT414" s="81"/>
      <c r="AU414" s="81"/>
      <c r="AV414" s="83">
        <f>SUM(Prog_236[[#This Row],[ADIANTAMENTO]]+Prog_236[[#This Row],[SALDO]]+Prog_236[[#This Row],[MARGEM]]+Prog_236[[#This Row],[ESTADIA 1]])</f>
        <v>0</v>
      </c>
      <c r="AW4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4" s="81"/>
      <c r="AY414" s="81"/>
      <c r="AZ414" s="81">
        <f>Prog_236[[#This Row],[VLR NF]]*0.1%</f>
        <v>0</v>
      </c>
      <c r="BA414" s="81">
        <f>Prog_236[[#This Row],[VLR NF]]*0.05%</f>
        <v>0</v>
      </c>
      <c r="BB414" s="81"/>
      <c r="BC414" s="81"/>
      <c r="BD414" s="81"/>
      <c r="BE414" s="81"/>
      <c r="BF414" s="81"/>
      <c r="BG414" s="81"/>
      <c r="BH414" s="81"/>
      <c r="BI414" s="81"/>
      <c r="BJ414" s="81"/>
      <c r="BK414" s="81"/>
      <c r="BL414" s="66"/>
      <c r="BM414" s="66"/>
      <c r="BN414" s="66"/>
      <c r="BO414" s="66" t="str">
        <f>PROPER(TEXT(Prog_236[[#This Row],[PROGRAMAÇÃO CLIENTE]],"mmm"))</f>
        <v>Jan</v>
      </c>
      <c r="BP414" s="66">
        <f>YEAR(Prog_236[[#This Row],[PROGRAMAÇÃO CLIENTE]])</f>
        <v>1900</v>
      </c>
    </row>
    <row r="415" spans="1:68" x14ac:dyDescent="0.25">
      <c r="A415" s="200">
        <f>Prog_236[[#This Row],[CONTEINER]]</f>
        <v>0</v>
      </c>
      <c r="B415" s="86"/>
      <c r="C4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5" s="44"/>
      <c r="E415" s="66"/>
      <c r="F415" s="66"/>
      <c r="G415" s="66"/>
      <c r="H415" s="44"/>
      <c r="I415" s="44"/>
      <c r="J415" s="66"/>
      <c r="K415" s="66"/>
      <c r="L415" s="66"/>
      <c r="M415" s="66"/>
      <c r="N415" s="66">
        <f>SUM(Prog_236[[#This Row],[TARA]]+Prog_236[[#This Row],[PESO]])</f>
        <v>0</v>
      </c>
      <c r="O415" s="44"/>
      <c r="P415" s="66"/>
      <c r="Q415" s="66"/>
      <c r="R415" s="66"/>
      <c r="S415" s="66"/>
      <c r="T415" s="138" t="str">
        <f>IFERROR(LOOKUP($S415,MOTORISTAS!$D$3:$D$1048576,MOTORISTAS!E$3:$E$1048576),"")</f>
        <v/>
      </c>
      <c r="U415" s="138" t="str">
        <f>IFERROR(LOOKUP($S415,MOTORISTAS!$D$3:$D$1048576,MOTORISTAS!F$3:$F$1048576),"")</f>
        <v/>
      </c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44"/>
      <c r="AG415" s="254">
        <f>Prog_236[[#This Row],[SAÍDA DO CLIENTE]]-Prog_236[[#This Row],[PROGRAMAÇÃO CLIENTE]]</f>
        <v>0</v>
      </c>
      <c r="AH415" s="44"/>
      <c r="AI415" s="66"/>
      <c r="AJ415" s="66"/>
      <c r="AK415" s="66"/>
      <c r="AL415" s="66"/>
      <c r="AM415" s="66"/>
      <c r="AN415" s="83"/>
      <c r="AO415" s="66"/>
      <c r="AP415" s="66"/>
      <c r="AQ415" s="66"/>
      <c r="AR415" s="81"/>
      <c r="AS415" s="81"/>
      <c r="AT415" s="81"/>
      <c r="AU415" s="81"/>
      <c r="AV415" s="83">
        <f>SUM(Prog_236[[#This Row],[ADIANTAMENTO]]+Prog_236[[#This Row],[SALDO]]+Prog_236[[#This Row],[MARGEM]]+Prog_236[[#This Row],[ESTADIA 1]])</f>
        <v>0</v>
      </c>
      <c r="AW4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5" s="81"/>
      <c r="AY415" s="81"/>
      <c r="AZ415" s="81">
        <f>Prog_236[[#This Row],[VLR NF]]*0.1%</f>
        <v>0</v>
      </c>
      <c r="BA415" s="81">
        <f>Prog_236[[#This Row],[VLR NF]]*0.05%</f>
        <v>0</v>
      </c>
      <c r="BB415" s="81"/>
      <c r="BC415" s="81"/>
      <c r="BD415" s="81"/>
      <c r="BE415" s="81"/>
      <c r="BF415" s="81"/>
      <c r="BG415" s="81"/>
      <c r="BH415" s="81"/>
      <c r="BI415" s="81"/>
      <c r="BJ415" s="81"/>
      <c r="BK415" s="81"/>
      <c r="BL415" s="66"/>
      <c r="BM415" s="66"/>
      <c r="BN415" s="66"/>
      <c r="BO415" s="66" t="str">
        <f>PROPER(TEXT(Prog_236[[#This Row],[PROGRAMAÇÃO CLIENTE]],"mmm"))</f>
        <v>Jan</v>
      </c>
      <c r="BP415" s="66">
        <f>YEAR(Prog_236[[#This Row],[PROGRAMAÇÃO CLIENTE]])</f>
        <v>1900</v>
      </c>
    </row>
    <row r="416" spans="1:68" x14ac:dyDescent="0.25">
      <c r="A416" s="201">
        <f>Prog_236[[#This Row],[CONTEINER]]</f>
        <v>0</v>
      </c>
      <c r="B416" s="86"/>
      <c r="C4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6" s="44"/>
      <c r="E416" s="66"/>
      <c r="F416" s="66"/>
      <c r="G416" s="66"/>
      <c r="H416" s="44"/>
      <c r="I416" s="44"/>
      <c r="J416" s="66"/>
      <c r="K416" s="66"/>
      <c r="L416" s="66"/>
      <c r="M416" s="66"/>
      <c r="N416" s="66">
        <f>SUM(Prog_236[[#This Row],[TARA]]+Prog_236[[#This Row],[PESO]])</f>
        <v>0</v>
      </c>
      <c r="O416" s="44"/>
      <c r="P416" s="66"/>
      <c r="Q416" s="66"/>
      <c r="R416" s="66"/>
      <c r="S416" s="66"/>
      <c r="T416" s="138" t="str">
        <f>IFERROR(LOOKUP($S416,MOTORISTAS!$D$3:$D$1048576,MOTORISTAS!E$3:$E$1048576),"")</f>
        <v/>
      </c>
      <c r="U416" s="138" t="str">
        <f>IFERROR(LOOKUP($S416,MOTORISTAS!$D$3:$D$1048576,MOTORISTAS!F$3:$F$1048576),"")</f>
        <v/>
      </c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44"/>
      <c r="AG416" s="254">
        <f>Prog_236[[#This Row],[SAÍDA DO CLIENTE]]-Prog_236[[#This Row],[PROGRAMAÇÃO CLIENTE]]</f>
        <v>0</v>
      </c>
      <c r="AH416" s="44"/>
      <c r="AI416" s="66"/>
      <c r="AJ416" s="66"/>
      <c r="AK416" s="66"/>
      <c r="AL416" s="66"/>
      <c r="AM416" s="66"/>
      <c r="AN416" s="83"/>
      <c r="AO416" s="66"/>
      <c r="AP416" s="66"/>
      <c r="AQ416" s="66"/>
      <c r="AR416" s="81"/>
      <c r="AS416" s="81"/>
      <c r="AT416" s="81"/>
      <c r="AU416" s="81"/>
      <c r="AV416" s="83">
        <f>SUM(Prog_236[[#This Row],[ADIANTAMENTO]]+Prog_236[[#This Row],[SALDO]]+Prog_236[[#This Row],[MARGEM]]+Prog_236[[#This Row],[ESTADIA 1]])</f>
        <v>0</v>
      </c>
      <c r="AW4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6" s="81"/>
      <c r="AY416" s="81"/>
      <c r="AZ416" s="81">
        <f>Prog_236[[#This Row],[VLR NF]]*0.1%</f>
        <v>0</v>
      </c>
      <c r="BA416" s="81">
        <f>Prog_236[[#This Row],[VLR NF]]*0.05%</f>
        <v>0</v>
      </c>
      <c r="BB416" s="81"/>
      <c r="BC416" s="81"/>
      <c r="BD416" s="81"/>
      <c r="BE416" s="81"/>
      <c r="BF416" s="81"/>
      <c r="BG416" s="81"/>
      <c r="BH416" s="81"/>
      <c r="BI416" s="81"/>
      <c r="BJ416" s="81"/>
      <c r="BK416" s="81"/>
      <c r="BL416" s="66"/>
      <c r="BM416" s="66"/>
      <c r="BN416" s="66"/>
      <c r="BO416" s="66" t="str">
        <f>PROPER(TEXT(Prog_236[[#This Row],[PROGRAMAÇÃO CLIENTE]],"mmm"))</f>
        <v>Jan</v>
      </c>
      <c r="BP416" s="66">
        <f>YEAR(Prog_236[[#This Row],[PROGRAMAÇÃO CLIENTE]])</f>
        <v>1900</v>
      </c>
    </row>
    <row r="417" spans="1:68" x14ac:dyDescent="0.25">
      <c r="A417" s="200">
        <f>Prog_236[[#This Row],[CONTEINER]]</f>
        <v>0</v>
      </c>
      <c r="B417" s="86"/>
      <c r="C4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7" s="44"/>
      <c r="E417" s="66"/>
      <c r="F417" s="66"/>
      <c r="G417" s="66"/>
      <c r="H417" s="44"/>
      <c r="I417" s="44"/>
      <c r="J417" s="66"/>
      <c r="K417" s="66"/>
      <c r="L417" s="66"/>
      <c r="M417" s="66"/>
      <c r="N417" s="66">
        <f>SUM(Prog_236[[#This Row],[TARA]]+Prog_236[[#This Row],[PESO]])</f>
        <v>0</v>
      </c>
      <c r="O417" s="44"/>
      <c r="P417" s="66"/>
      <c r="Q417" s="66"/>
      <c r="R417" s="66"/>
      <c r="S417" s="66"/>
      <c r="T417" s="138" t="str">
        <f>IFERROR(LOOKUP($S417,MOTORISTAS!$D$3:$D$1048576,MOTORISTAS!E$3:$E$1048576),"")</f>
        <v/>
      </c>
      <c r="U417" s="138" t="str">
        <f>IFERROR(LOOKUP($S417,MOTORISTAS!$D$3:$D$1048576,MOTORISTAS!F$3:$F$1048576),"")</f>
        <v/>
      </c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44"/>
      <c r="AG417" s="254">
        <f>Prog_236[[#This Row],[SAÍDA DO CLIENTE]]-Prog_236[[#This Row],[PROGRAMAÇÃO CLIENTE]]</f>
        <v>0</v>
      </c>
      <c r="AH417" s="44"/>
      <c r="AI417" s="66"/>
      <c r="AJ417" s="66"/>
      <c r="AK417" s="66"/>
      <c r="AL417" s="66"/>
      <c r="AM417" s="66"/>
      <c r="AN417" s="83"/>
      <c r="AO417" s="66"/>
      <c r="AP417" s="66"/>
      <c r="AQ417" s="66"/>
      <c r="AR417" s="81"/>
      <c r="AS417" s="81"/>
      <c r="AT417" s="81"/>
      <c r="AU417" s="81"/>
      <c r="AV417" s="83">
        <f>SUM(Prog_236[[#This Row],[ADIANTAMENTO]]+Prog_236[[#This Row],[SALDO]]+Prog_236[[#This Row],[MARGEM]]+Prog_236[[#This Row],[ESTADIA 1]])</f>
        <v>0</v>
      </c>
      <c r="AW4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7" s="81"/>
      <c r="AY417" s="81"/>
      <c r="AZ417" s="81">
        <f>Prog_236[[#This Row],[VLR NF]]*0.1%</f>
        <v>0</v>
      </c>
      <c r="BA417" s="81">
        <f>Prog_236[[#This Row],[VLR NF]]*0.05%</f>
        <v>0</v>
      </c>
      <c r="BB417" s="81"/>
      <c r="BC417" s="81"/>
      <c r="BD417" s="81"/>
      <c r="BE417" s="81"/>
      <c r="BF417" s="81"/>
      <c r="BG417" s="81"/>
      <c r="BH417" s="81"/>
      <c r="BI417" s="81"/>
      <c r="BJ417" s="81"/>
      <c r="BK417" s="81"/>
      <c r="BL417" s="66"/>
      <c r="BM417" s="66"/>
      <c r="BN417" s="66"/>
      <c r="BO417" s="66" t="str">
        <f>PROPER(TEXT(Prog_236[[#This Row],[PROGRAMAÇÃO CLIENTE]],"mmm"))</f>
        <v>Jan</v>
      </c>
      <c r="BP417" s="66">
        <f>YEAR(Prog_236[[#This Row],[PROGRAMAÇÃO CLIENTE]])</f>
        <v>1900</v>
      </c>
    </row>
    <row r="418" spans="1:68" x14ac:dyDescent="0.25">
      <c r="A418" s="201">
        <f>Prog_236[[#This Row],[CONTEINER]]</f>
        <v>0</v>
      </c>
      <c r="B418" s="86"/>
      <c r="C4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8" s="44"/>
      <c r="E418" s="66"/>
      <c r="F418" s="66"/>
      <c r="G418" s="66"/>
      <c r="H418" s="44"/>
      <c r="I418" s="44"/>
      <c r="J418" s="66"/>
      <c r="K418" s="66"/>
      <c r="L418" s="66"/>
      <c r="M418" s="66"/>
      <c r="N418" s="66">
        <f>SUM(Prog_236[[#This Row],[TARA]]+Prog_236[[#This Row],[PESO]])</f>
        <v>0</v>
      </c>
      <c r="O418" s="44"/>
      <c r="P418" s="66"/>
      <c r="Q418" s="66"/>
      <c r="R418" s="66"/>
      <c r="S418" s="66"/>
      <c r="T418" s="138" t="str">
        <f>IFERROR(LOOKUP($S418,MOTORISTAS!$D$3:$D$1048576,MOTORISTAS!E$3:$E$1048576),"")</f>
        <v/>
      </c>
      <c r="U418" s="138" t="str">
        <f>IFERROR(LOOKUP($S418,MOTORISTAS!$D$3:$D$1048576,MOTORISTAS!F$3:$F$1048576),"")</f>
        <v/>
      </c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44"/>
      <c r="AG418" s="254">
        <f>Prog_236[[#This Row],[SAÍDA DO CLIENTE]]-Prog_236[[#This Row],[PROGRAMAÇÃO CLIENTE]]</f>
        <v>0</v>
      </c>
      <c r="AH418" s="44"/>
      <c r="AI418" s="66"/>
      <c r="AJ418" s="66"/>
      <c r="AK418" s="66"/>
      <c r="AL418" s="66"/>
      <c r="AM418" s="66"/>
      <c r="AN418" s="83"/>
      <c r="AO418" s="66"/>
      <c r="AP418" s="66"/>
      <c r="AQ418" s="66"/>
      <c r="AR418" s="81"/>
      <c r="AS418" s="81"/>
      <c r="AT418" s="81"/>
      <c r="AU418" s="81"/>
      <c r="AV418" s="83">
        <f>SUM(Prog_236[[#This Row],[ADIANTAMENTO]]+Prog_236[[#This Row],[SALDO]]+Prog_236[[#This Row],[MARGEM]]+Prog_236[[#This Row],[ESTADIA 1]])</f>
        <v>0</v>
      </c>
      <c r="AW4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8" s="81"/>
      <c r="AY418" s="81"/>
      <c r="AZ418" s="81">
        <f>Prog_236[[#This Row],[VLR NF]]*0.1%</f>
        <v>0</v>
      </c>
      <c r="BA418" s="81">
        <f>Prog_236[[#This Row],[VLR NF]]*0.05%</f>
        <v>0</v>
      </c>
      <c r="BB418" s="81"/>
      <c r="BC418" s="81"/>
      <c r="BD418" s="81"/>
      <c r="BE418" s="81"/>
      <c r="BF418" s="81"/>
      <c r="BG418" s="81"/>
      <c r="BH418" s="81"/>
      <c r="BI418" s="81"/>
      <c r="BJ418" s="81"/>
      <c r="BK418" s="81"/>
      <c r="BL418" s="66"/>
      <c r="BM418" s="66"/>
      <c r="BN418" s="66"/>
      <c r="BO418" s="66" t="str">
        <f>PROPER(TEXT(Prog_236[[#This Row],[PROGRAMAÇÃO CLIENTE]],"mmm"))</f>
        <v>Jan</v>
      </c>
      <c r="BP418" s="66">
        <f>YEAR(Prog_236[[#This Row],[PROGRAMAÇÃO CLIENTE]])</f>
        <v>1900</v>
      </c>
    </row>
    <row r="419" spans="1:68" x14ac:dyDescent="0.25">
      <c r="A419" s="200">
        <f>Prog_236[[#This Row],[CONTEINER]]</f>
        <v>0</v>
      </c>
      <c r="B419" s="86"/>
      <c r="C4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19" s="44"/>
      <c r="E419" s="66"/>
      <c r="F419" s="66"/>
      <c r="G419" s="66"/>
      <c r="H419" s="44"/>
      <c r="I419" s="44"/>
      <c r="J419" s="66"/>
      <c r="K419" s="66"/>
      <c r="L419" s="66"/>
      <c r="M419" s="66"/>
      <c r="N419" s="66">
        <f>SUM(Prog_236[[#This Row],[TARA]]+Prog_236[[#This Row],[PESO]])</f>
        <v>0</v>
      </c>
      <c r="O419" s="44"/>
      <c r="P419" s="66"/>
      <c r="Q419" s="66"/>
      <c r="R419" s="66"/>
      <c r="S419" s="66"/>
      <c r="T419" s="138" t="str">
        <f>IFERROR(LOOKUP($S419,MOTORISTAS!$D$3:$D$1048576,MOTORISTAS!E$3:$E$1048576),"")</f>
        <v/>
      </c>
      <c r="U419" s="138" t="str">
        <f>IFERROR(LOOKUP($S419,MOTORISTAS!$D$3:$D$1048576,MOTORISTAS!F$3:$F$1048576),"")</f>
        <v/>
      </c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44"/>
      <c r="AG419" s="254">
        <f>Prog_236[[#This Row],[SAÍDA DO CLIENTE]]-Prog_236[[#This Row],[PROGRAMAÇÃO CLIENTE]]</f>
        <v>0</v>
      </c>
      <c r="AH419" s="44"/>
      <c r="AI419" s="66"/>
      <c r="AJ419" s="66"/>
      <c r="AK419" s="66"/>
      <c r="AL419" s="66"/>
      <c r="AM419" s="66"/>
      <c r="AN419" s="83"/>
      <c r="AO419" s="66"/>
      <c r="AP419" s="66"/>
      <c r="AQ419" s="66"/>
      <c r="AR419" s="81"/>
      <c r="AS419" s="81"/>
      <c r="AT419" s="81"/>
      <c r="AU419" s="81"/>
      <c r="AV419" s="83">
        <f>SUM(Prog_236[[#This Row],[ADIANTAMENTO]]+Prog_236[[#This Row],[SALDO]]+Prog_236[[#This Row],[MARGEM]]+Prog_236[[#This Row],[ESTADIA 1]])</f>
        <v>0</v>
      </c>
      <c r="AW4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19" s="81"/>
      <c r="AY419" s="81"/>
      <c r="AZ419" s="81">
        <f>Prog_236[[#This Row],[VLR NF]]*0.1%</f>
        <v>0</v>
      </c>
      <c r="BA419" s="81">
        <f>Prog_236[[#This Row],[VLR NF]]*0.05%</f>
        <v>0</v>
      </c>
      <c r="BB419" s="81"/>
      <c r="BC419" s="81"/>
      <c r="BD419" s="81"/>
      <c r="BE419" s="81"/>
      <c r="BF419" s="81"/>
      <c r="BG419" s="81"/>
      <c r="BH419" s="81"/>
      <c r="BI419" s="81"/>
      <c r="BJ419" s="81"/>
      <c r="BK419" s="81"/>
      <c r="BL419" s="66"/>
      <c r="BM419" s="66"/>
      <c r="BN419" s="66"/>
      <c r="BO419" s="66" t="str">
        <f>PROPER(TEXT(Prog_236[[#This Row],[PROGRAMAÇÃO CLIENTE]],"mmm"))</f>
        <v>Jan</v>
      </c>
      <c r="BP419" s="66">
        <f>YEAR(Prog_236[[#This Row],[PROGRAMAÇÃO CLIENTE]])</f>
        <v>1900</v>
      </c>
    </row>
    <row r="420" spans="1:68" x14ac:dyDescent="0.25">
      <c r="A420" s="201">
        <f>Prog_236[[#This Row],[CONTEINER]]</f>
        <v>0</v>
      </c>
      <c r="B420" s="86"/>
      <c r="C4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0" s="44"/>
      <c r="E420" s="66"/>
      <c r="F420" s="66"/>
      <c r="G420" s="66"/>
      <c r="H420" s="44"/>
      <c r="I420" s="44"/>
      <c r="J420" s="66"/>
      <c r="K420" s="66"/>
      <c r="L420" s="66"/>
      <c r="M420" s="66"/>
      <c r="N420" s="66">
        <f>SUM(Prog_236[[#This Row],[TARA]]+Prog_236[[#This Row],[PESO]])</f>
        <v>0</v>
      </c>
      <c r="O420" s="44"/>
      <c r="P420" s="66"/>
      <c r="Q420" s="66"/>
      <c r="R420" s="66"/>
      <c r="S420" s="66"/>
      <c r="T420" s="138" t="str">
        <f>IFERROR(LOOKUP($S420,MOTORISTAS!$D$3:$D$1048576,MOTORISTAS!E$3:$E$1048576),"")</f>
        <v/>
      </c>
      <c r="U420" s="138" t="str">
        <f>IFERROR(LOOKUP($S420,MOTORISTAS!$D$3:$D$1048576,MOTORISTAS!F$3:$F$1048576),"")</f>
        <v/>
      </c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44"/>
      <c r="AG420" s="254">
        <f>Prog_236[[#This Row],[SAÍDA DO CLIENTE]]-Prog_236[[#This Row],[PROGRAMAÇÃO CLIENTE]]</f>
        <v>0</v>
      </c>
      <c r="AH420" s="44"/>
      <c r="AI420" s="66"/>
      <c r="AJ420" s="66"/>
      <c r="AK420" s="66"/>
      <c r="AL420" s="66"/>
      <c r="AM420" s="66"/>
      <c r="AN420" s="83"/>
      <c r="AO420" s="66"/>
      <c r="AP420" s="66"/>
      <c r="AQ420" s="66"/>
      <c r="AR420" s="81"/>
      <c r="AS420" s="81"/>
      <c r="AT420" s="81"/>
      <c r="AU420" s="81"/>
      <c r="AV420" s="83">
        <f>SUM(Prog_236[[#This Row],[ADIANTAMENTO]]+Prog_236[[#This Row],[SALDO]]+Prog_236[[#This Row],[MARGEM]]+Prog_236[[#This Row],[ESTADIA 1]])</f>
        <v>0</v>
      </c>
      <c r="AW4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0" s="81"/>
      <c r="AY420" s="81"/>
      <c r="AZ420" s="81">
        <f>Prog_236[[#This Row],[VLR NF]]*0.1%</f>
        <v>0</v>
      </c>
      <c r="BA420" s="81">
        <f>Prog_236[[#This Row],[VLR NF]]*0.05%</f>
        <v>0</v>
      </c>
      <c r="BB420" s="81"/>
      <c r="BC420" s="81"/>
      <c r="BD420" s="81"/>
      <c r="BE420" s="81"/>
      <c r="BF420" s="81"/>
      <c r="BG420" s="81"/>
      <c r="BH420" s="81"/>
      <c r="BI420" s="81"/>
      <c r="BJ420" s="81"/>
      <c r="BK420" s="81"/>
      <c r="BL420" s="66"/>
      <c r="BM420" s="66"/>
      <c r="BN420" s="66"/>
      <c r="BO420" s="66" t="str">
        <f>PROPER(TEXT(Prog_236[[#This Row],[PROGRAMAÇÃO CLIENTE]],"mmm"))</f>
        <v>Jan</v>
      </c>
      <c r="BP420" s="66">
        <f>YEAR(Prog_236[[#This Row],[PROGRAMAÇÃO CLIENTE]])</f>
        <v>1900</v>
      </c>
    </row>
    <row r="421" spans="1:68" x14ac:dyDescent="0.25">
      <c r="A421" s="200">
        <f>Prog_236[[#This Row],[CONTEINER]]</f>
        <v>0</v>
      </c>
      <c r="B421" s="86"/>
      <c r="C4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1" s="44"/>
      <c r="E421" s="66"/>
      <c r="F421" s="66"/>
      <c r="G421" s="66"/>
      <c r="H421" s="44"/>
      <c r="I421" s="44"/>
      <c r="J421" s="66"/>
      <c r="K421" s="66"/>
      <c r="L421" s="66"/>
      <c r="M421" s="66"/>
      <c r="N421" s="66">
        <f>SUM(Prog_236[[#This Row],[TARA]]+Prog_236[[#This Row],[PESO]])</f>
        <v>0</v>
      </c>
      <c r="O421" s="44"/>
      <c r="P421" s="66"/>
      <c r="Q421" s="66"/>
      <c r="R421" s="66"/>
      <c r="S421" s="66"/>
      <c r="T421" s="138" t="str">
        <f>IFERROR(LOOKUP($S421,MOTORISTAS!$D$3:$D$1048576,MOTORISTAS!E$3:$E$1048576),"")</f>
        <v/>
      </c>
      <c r="U421" s="138" t="str">
        <f>IFERROR(LOOKUP($S421,MOTORISTAS!$D$3:$D$1048576,MOTORISTAS!F$3:$F$1048576),"")</f>
        <v/>
      </c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44"/>
      <c r="AG421" s="254">
        <f>Prog_236[[#This Row],[SAÍDA DO CLIENTE]]-Prog_236[[#This Row],[PROGRAMAÇÃO CLIENTE]]</f>
        <v>0</v>
      </c>
      <c r="AH421" s="44"/>
      <c r="AI421" s="66"/>
      <c r="AJ421" s="66"/>
      <c r="AK421" s="66"/>
      <c r="AL421" s="66"/>
      <c r="AM421" s="66"/>
      <c r="AN421" s="83"/>
      <c r="AO421" s="66"/>
      <c r="AP421" s="66"/>
      <c r="AQ421" s="66"/>
      <c r="AR421" s="81"/>
      <c r="AS421" s="81"/>
      <c r="AT421" s="81"/>
      <c r="AU421" s="81"/>
      <c r="AV421" s="83">
        <f>SUM(Prog_236[[#This Row],[ADIANTAMENTO]]+Prog_236[[#This Row],[SALDO]]+Prog_236[[#This Row],[MARGEM]]+Prog_236[[#This Row],[ESTADIA 1]])</f>
        <v>0</v>
      </c>
      <c r="AW4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1" s="81"/>
      <c r="AY421" s="81"/>
      <c r="AZ421" s="81">
        <f>Prog_236[[#This Row],[VLR NF]]*0.1%</f>
        <v>0</v>
      </c>
      <c r="BA421" s="81">
        <f>Prog_236[[#This Row],[VLR NF]]*0.05%</f>
        <v>0</v>
      </c>
      <c r="BB421" s="81"/>
      <c r="BC421" s="81"/>
      <c r="BD421" s="81"/>
      <c r="BE421" s="81"/>
      <c r="BF421" s="81"/>
      <c r="BG421" s="81"/>
      <c r="BH421" s="81"/>
      <c r="BI421" s="81"/>
      <c r="BJ421" s="81"/>
      <c r="BK421" s="81"/>
      <c r="BL421" s="66"/>
      <c r="BM421" s="66"/>
      <c r="BN421" s="66"/>
      <c r="BO421" s="66" t="str">
        <f>PROPER(TEXT(Prog_236[[#This Row],[PROGRAMAÇÃO CLIENTE]],"mmm"))</f>
        <v>Jan</v>
      </c>
      <c r="BP421" s="66">
        <f>YEAR(Prog_236[[#This Row],[PROGRAMAÇÃO CLIENTE]])</f>
        <v>1900</v>
      </c>
    </row>
    <row r="422" spans="1:68" x14ac:dyDescent="0.25">
      <c r="A422" s="201">
        <f>Prog_236[[#This Row],[CONTEINER]]</f>
        <v>0</v>
      </c>
      <c r="B422" s="86"/>
      <c r="C4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2" s="44"/>
      <c r="E422" s="66"/>
      <c r="F422" s="66"/>
      <c r="G422" s="66"/>
      <c r="H422" s="44"/>
      <c r="I422" s="44"/>
      <c r="J422" s="66"/>
      <c r="K422" s="66"/>
      <c r="L422" s="66"/>
      <c r="M422" s="66"/>
      <c r="N422" s="66">
        <f>SUM(Prog_236[[#This Row],[TARA]]+Prog_236[[#This Row],[PESO]])</f>
        <v>0</v>
      </c>
      <c r="O422" s="44"/>
      <c r="P422" s="66"/>
      <c r="Q422" s="66"/>
      <c r="R422" s="66"/>
      <c r="S422" s="66"/>
      <c r="T422" s="138" t="str">
        <f>IFERROR(LOOKUP($S422,MOTORISTAS!$D$3:$D$1048576,MOTORISTAS!E$3:$E$1048576),"")</f>
        <v/>
      </c>
      <c r="U422" s="138" t="str">
        <f>IFERROR(LOOKUP($S422,MOTORISTAS!$D$3:$D$1048576,MOTORISTAS!F$3:$F$1048576),"")</f>
        <v/>
      </c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44"/>
      <c r="AG422" s="254">
        <f>Prog_236[[#This Row],[SAÍDA DO CLIENTE]]-Prog_236[[#This Row],[PROGRAMAÇÃO CLIENTE]]</f>
        <v>0</v>
      </c>
      <c r="AH422" s="44"/>
      <c r="AI422" s="66"/>
      <c r="AJ422" s="66"/>
      <c r="AK422" s="66"/>
      <c r="AL422" s="66"/>
      <c r="AM422" s="66"/>
      <c r="AN422" s="83"/>
      <c r="AO422" s="66"/>
      <c r="AP422" s="66"/>
      <c r="AQ422" s="66"/>
      <c r="AR422" s="81"/>
      <c r="AS422" s="81"/>
      <c r="AT422" s="81"/>
      <c r="AU422" s="81"/>
      <c r="AV422" s="83">
        <f>SUM(Prog_236[[#This Row],[ADIANTAMENTO]]+Prog_236[[#This Row],[SALDO]]+Prog_236[[#This Row],[MARGEM]]+Prog_236[[#This Row],[ESTADIA 1]])</f>
        <v>0</v>
      </c>
      <c r="AW4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2" s="81"/>
      <c r="AY422" s="81"/>
      <c r="AZ422" s="81">
        <f>Prog_236[[#This Row],[VLR NF]]*0.1%</f>
        <v>0</v>
      </c>
      <c r="BA422" s="81">
        <f>Prog_236[[#This Row],[VLR NF]]*0.05%</f>
        <v>0</v>
      </c>
      <c r="BB422" s="81"/>
      <c r="BC422" s="81"/>
      <c r="BD422" s="81"/>
      <c r="BE422" s="81"/>
      <c r="BF422" s="81"/>
      <c r="BG422" s="81"/>
      <c r="BH422" s="81"/>
      <c r="BI422" s="81"/>
      <c r="BJ422" s="81"/>
      <c r="BK422" s="81"/>
      <c r="BL422" s="66"/>
      <c r="BM422" s="66"/>
      <c r="BN422" s="66"/>
      <c r="BO422" s="66" t="str">
        <f>PROPER(TEXT(Prog_236[[#This Row],[PROGRAMAÇÃO CLIENTE]],"mmm"))</f>
        <v>Jan</v>
      </c>
      <c r="BP422" s="66">
        <f>YEAR(Prog_236[[#This Row],[PROGRAMAÇÃO CLIENTE]])</f>
        <v>1900</v>
      </c>
    </row>
    <row r="423" spans="1:68" x14ac:dyDescent="0.25">
      <c r="A423" s="200">
        <f>Prog_236[[#This Row],[CONTEINER]]</f>
        <v>0</v>
      </c>
      <c r="B423" s="86"/>
      <c r="C4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3" s="44"/>
      <c r="E423" s="66"/>
      <c r="F423" s="66"/>
      <c r="G423" s="66"/>
      <c r="H423" s="44"/>
      <c r="I423" s="44"/>
      <c r="J423" s="66"/>
      <c r="K423" s="66"/>
      <c r="L423" s="66"/>
      <c r="M423" s="66"/>
      <c r="N423" s="66">
        <f>SUM(Prog_236[[#This Row],[TARA]]+Prog_236[[#This Row],[PESO]])</f>
        <v>0</v>
      </c>
      <c r="O423" s="44"/>
      <c r="P423" s="66"/>
      <c r="Q423" s="66"/>
      <c r="R423" s="66"/>
      <c r="S423" s="66"/>
      <c r="T423" s="138" t="str">
        <f>IFERROR(LOOKUP($S423,MOTORISTAS!$D$3:$D$1048576,MOTORISTAS!E$3:$E$1048576),"")</f>
        <v/>
      </c>
      <c r="U423" s="138" t="str">
        <f>IFERROR(LOOKUP($S423,MOTORISTAS!$D$3:$D$1048576,MOTORISTAS!F$3:$F$1048576),"")</f>
        <v/>
      </c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44"/>
      <c r="AG423" s="254">
        <f>Prog_236[[#This Row],[SAÍDA DO CLIENTE]]-Prog_236[[#This Row],[PROGRAMAÇÃO CLIENTE]]</f>
        <v>0</v>
      </c>
      <c r="AH423" s="44"/>
      <c r="AI423" s="66"/>
      <c r="AJ423" s="66"/>
      <c r="AK423" s="66"/>
      <c r="AL423" s="66"/>
      <c r="AM423" s="66"/>
      <c r="AN423" s="83"/>
      <c r="AO423" s="66"/>
      <c r="AP423" s="66"/>
      <c r="AQ423" s="66"/>
      <c r="AR423" s="81"/>
      <c r="AS423" s="81"/>
      <c r="AT423" s="81"/>
      <c r="AU423" s="81"/>
      <c r="AV423" s="83">
        <f>SUM(Prog_236[[#This Row],[ADIANTAMENTO]]+Prog_236[[#This Row],[SALDO]]+Prog_236[[#This Row],[MARGEM]]+Prog_236[[#This Row],[ESTADIA 1]])</f>
        <v>0</v>
      </c>
      <c r="AW4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3" s="81"/>
      <c r="AY423" s="81"/>
      <c r="AZ423" s="81">
        <f>Prog_236[[#This Row],[VLR NF]]*0.1%</f>
        <v>0</v>
      </c>
      <c r="BA423" s="81">
        <f>Prog_236[[#This Row],[VLR NF]]*0.05%</f>
        <v>0</v>
      </c>
      <c r="BB423" s="81"/>
      <c r="BC423" s="81"/>
      <c r="BD423" s="81"/>
      <c r="BE423" s="81"/>
      <c r="BF423" s="81"/>
      <c r="BG423" s="81"/>
      <c r="BH423" s="81"/>
      <c r="BI423" s="81"/>
      <c r="BJ423" s="81"/>
      <c r="BK423" s="81"/>
      <c r="BL423" s="66"/>
      <c r="BM423" s="66"/>
      <c r="BN423" s="66"/>
      <c r="BO423" s="66" t="str">
        <f>PROPER(TEXT(Prog_236[[#This Row],[PROGRAMAÇÃO CLIENTE]],"mmm"))</f>
        <v>Jan</v>
      </c>
      <c r="BP423" s="66">
        <f>YEAR(Prog_236[[#This Row],[PROGRAMAÇÃO CLIENTE]])</f>
        <v>1900</v>
      </c>
    </row>
    <row r="424" spans="1:68" x14ac:dyDescent="0.25">
      <c r="A424" s="201">
        <f>Prog_236[[#This Row],[CONTEINER]]</f>
        <v>0</v>
      </c>
      <c r="B424" s="86"/>
      <c r="C4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4" s="44"/>
      <c r="E424" s="66"/>
      <c r="F424" s="66"/>
      <c r="G424" s="66"/>
      <c r="H424" s="44"/>
      <c r="I424" s="44"/>
      <c r="J424" s="66"/>
      <c r="K424" s="66"/>
      <c r="L424" s="66"/>
      <c r="M424" s="66"/>
      <c r="N424" s="66">
        <f>SUM(Prog_236[[#This Row],[TARA]]+Prog_236[[#This Row],[PESO]])</f>
        <v>0</v>
      </c>
      <c r="O424" s="44"/>
      <c r="P424" s="66"/>
      <c r="Q424" s="66"/>
      <c r="R424" s="66"/>
      <c r="S424" s="66"/>
      <c r="T424" s="138" t="str">
        <f>IFERROR(LOOKUP($S424,MOTORISTAS!$D$3:$D$1048576,MOTORISTAS!E$3:$E$1048576),"")</f>
        <v/>
      </c>
      <c r="U424" s="138" t="str">
        <f>IFERROR(LOOKUP($S424,MOTORISTAS!$D$3:$D$1048576,MOTORISTAS!F$3:$F$1048576),"")</f>
        <v/>
      </c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44"/>
      <c r="AG424" s="254">
        <f>Prog_236[[#This Row],[SAÍDA DO CLIENTE]]-Prog_236[[#This Row],[PROGRAMAÇÃO CLIENTE]]</f>
        <v>0</v>
      </c>
      <c r="AH424" s="44"/>
      <c r="AI424" s="66"/>
      <c r="AJ424" s="66"/>
      <c r="AK424" s="66"/>
      <c r="AL424" s="66"/>
      <c r="AM424" s="66"/>
      <c r="AN424" s="83"/>
      <c r="AO424" s="66"/>
      <c r="AP424" s="66"/>
      <c r="AQ424" s="66"/>
      <c r="AR424" s="81"/>
      <c r="AS424" s="81"/>
      <c r="AT424" s="81"/>
      <c r="AU424" s="81"/>
      <c r="AV424" s="83">
        <f>SUM(Prog_236[[#This Row],[ADIANTAMENTO]]+Prog_236[[#This Row],[SALDO]]+Prog_236[[#This Row],[MARGEM]]+Prog_236[[#This Row],[ESTADIA 1]])</f>
        <v>0</v>
      </c>
      <c r="AW4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4" s="81"/>
      <c r="AY424" s="81"/>
      <c r="AZ424" s="81">
        <f>Prog_236[[#This Row],[VLR NF]]*0.1%</f>
        <v>0</v>
      </c>
      <c r="BA424" s="81">
        <f>Prog_236[[#This Row],[VLR NF]]*0.05%</f>
        <v>0</v>
      </c>
      <c r="BB424" s="81"/>
      <c r="BC424" s="81"/>
      <c r="BD424" s="81"/>
      <c r="BE424" s="81"/>
      <c r="BF424" s="81"/>
      <c r="BG424" s="81"/>
      <c r="BH424" s="81"/>
      <c r="BI424" s="81"/>
      <c r="BJ424" s="81"/>
      <c r="BK424" s="81"/>
      <c r="BL424" s="66"/>
      <c r="BM424" s="66"/>
      <c r="BN424" s="66"/>
      <c r="BO424" s="66" t="str">
        <f>PROPER(TEXT(Prog_236[[#This Row],[PROGRAMAÇÃO CLIENTE]],"mmm"))</f>
        <v>Jan</v>
      </c>
      <c r="BP424" s="66">
        <f>YEAR(Prog_236[[#This Row],[PROGRAMAÇÃO CLIENTE]])</f>
        <v>1900</v>
      </c>
    </row>
    <row r="425" spans="1:68" x14ac:dyDescent="0.25">
      <c r="A425" s="200">
        <f>Prog_236[[#This Row],[CONTEINER]]</f>
        <v>0</v>
      </c>
      <c r="B425" s="86"/>
      <c r="C4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5" s="44"/>
      <c r="E425" s="66"/>
      <c r="F425" s="66"/>
      <c r="G425" s="66"/>
      <c r="H425" s="44"/>
      <c r="I425" s="44"/>
      <c r="J425" s="66"/>
      <c r="K425" s="66"/>
      <c r="L425" s="66"/>
      <c r="M425" s="66"/>
      <c r="N425" s="66">
        <f>SUM(Prog_236[[#This Row],[TARA]]+Prog_236[[#This Row],[PESO]])</f>
        <v>0</v>
      </c>
      <c r="O425" s="44"/>
      <c r="P425" s="66"/>
      <c r="Q425" s="66"/>
      <c r="R425" s="66"/>
      <c r="S425" s="66"/>
      <c r="T425" s="138" t="str">
        <f>IFERROR(LOOKUP($S425,MOTORISTAS!$D$3:$D$1048576,MOTORISTAS!E$3:$E$1048576),"")</f>
        <v/>
      </c>
      <c r="U425" s="138" t="str">
        <f>IFERROR(LOOKUP($S425,MOTORISTAS!$D$3:$D$1048576,MOTORISTAS!F$3:$F$1048576),"")</f>
        <v/>
      </c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44"/>
      <c r="AG425" s="254">
        <f>Prog_236[[#This Row],[SAÍDA DO CLIENTE]]-Prog_236[[#This Row],[PROGRAMAÇÃO CLIENTE]]</f>
        <v>0</v>
      </c>
      <c r="AH425" s="44"/>
      <c r="AI425" s="66"/>
      <c r="AJ425" s="66"/>
      <c r="AK425" s="66"/>
      <c r="AL425" s="66"/>
      <c r="AM425" s="66"/>
      <c r="AN425" s="83"/>
      <c r="AO425" s="66"/>
      <c r="AP425" s="66"/>
      <c r="AQ425" s="66"/>
      <c r="AR425" s="81"/>
      <c r="AS425" s="81"/>
      <c r="AT425" s="81"/>
      <c r="AU425" s="81"/>
      <c r="AV425" s="83">
        <f>SUM(Prog_236[[#This Row],[ADIANTAMENTO]]+Prog_236[[#This Row],[SALDO]]+Prog_236[[#This Row],[MARGEM]]+Prog_236[[#This Row],[ESTADIA 1]])</f>
        <v>0</v>
      </c>
      <c r="AW4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5" s="81"/>
      <c r="AY425" s="81"/>
      <c r="AZ425" s="81">
        <f>Prog_236[[#This Row],[VLR NF]]*0.1%</f>
        <v>0</v>
      </c>
      <c r="BA425" s="81">
        <f>Prog_236[[#This Row],[VLR NF]]*0.05%</f>
        <v>0</v>
      </c>
      <c r="BB425" s="81"/>
      <c r="BC425" s="81"/>
      <c r="BD425" s="81"/>
      <c r="BE425" s="81"/>
      <c r="BF425" s="81"/>
      <c r="BG425" s="81"/>
      <c r="BH425" s="81"/>
      <c r="BI425" s="81"/>
      <c r="BJ425" s="81"/>
      <c r="BK425" s="81"/>
      <c r="BL425" s="66"/>
      <c r="BM425" s="66"/>
      <c r="BN425" s="66"/>
      <c r="BO425" s="66" t="str">
        <f>PROPER(TEXT(Prog_236[[#This Row],[PROGRAMAÇÃO CLIENTE]],"mmm"))</f>
        <v>Jan</v>
      </c>
      <c r="BP425" s="66">
        <f>YEAR(Prog_236[[#This Row],[PROGRAMAÇÃO CLIENTE]])</f>
        <v>1900</v>
      </c>
    </row>
    <row r="426" spans="1:68" x14ac:dyDescent="0.25">
      <c r="A426" s="201">
        <f>Prog_236[[#This Row],[CONTEINER]]</f>
        <v>0</v>
      </c>
      <c r="B426" s="86"/>
      <c r="C4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6" s="44"/>
      <c r="E426" s="66"/>
      <c r="F426" s="66"/>
      <c r="G426" s="66"/>
      <c r="H426" s="44"/>
      <c r="I426" s="44"/>
      <c r="J426" s="66"/>
      <c r="K426" s="66"/>
      <c r="L426" s="66"/>
      <c r="M426" s="66"/>
      <c r="N426" s="66">
        <f>SUM(Prog_236[[#This Row],[TARA]]+Prog_236[[#This Row],[PESO]])</f>
        <v>0</v>
      </c>
      <c r="O426" s="44"/>
      <c r="P426" s="66"/>
      <c r="Q426" s="66"/>
      <c r="R426" s="66"/>
      <c r="S426" s="66"/>
      <c r="T426" s="138" t="str">
        <f>IFERROR(LOOKUP($S426,MOTORISTAS!$D$3:$D$1048576,MOTORISTAS!E$3:$E$1048576),"")</f>
        <v/>
      </c>
      <c r="U426" s="138" t="str">
        <f>IFERROR(LOOKUP($S426,MOTORISTAS!$D$3:$D$1048576,MOTORISTAS!F$3:$F$1048576),"")</f>
        <v/>
      </c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44"/>
      <c r="AG426" s="254">
        <f>Prog_236[[#This Row],[SAÍDA DO CLIENTE]]-Prog_236[[#This Row],[PROGRAMAÇÃO CLIENTE]]</f>
        <v>0</v>
      </c>
      <c r="AH426" s="44"/>
      <c r="AI426" s="66"/>
      <c r="AJ426" s="66"/>
      <c r="AK426" s="66"/>
      <c r="AL426" s="66"/>
      <c r="AM426" s="66"/>
      <c r="AN426" s="83"/>
      <c r="AO426" s="66"/>
      <c r="AP426" s="66"/>
      <c r="AQ426" s="66"/>
      <c r="AR426" s="81"/>
      <c r="AS426" s="81"/>
      <c r="AT426" s="81"/>
      <c r="AU426" s="81"/>
      <c r="AV426" s="83">
        <f>SUM(Prog_236[[#This Row],[ADIANTAMENTO]]+Prog_236[[#This Row],[SALDO]]+Prog_236[[#This Row],[MARGEM]]+Prog_236[[#This Row],[ESTADIA 1]])</f>
        <v>0</v>
      </c>
      <c r="AW4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6" s="81"/>
      <c r="AY426" s="81"/>
      <c r="AZ426" s="81">
        <f>Prog_236[[#This Row],[VLR NF]]*0.1%</f>
        <v>0</v>
      </c>
      <c r="BA426" s="81">
        <f>Prog_236[[#This Row],[VLR NF]]*0.05%</f>
        <v>0</v>
      </c>
      <c r="BB426" s="81"/>
      <c r="BC426" s="81"/>
      <c r="BD426" s="81"/>
      <c r="BE426" s="81"/>
      <c r="BF426" s="81"/>
      <c r="BG426" s="81"/>
      <c r="BH426" s="81"/>
      <c r="BI426" s="81"/>
      <c r="BJ426" s="81"/>
      <c r="BK426" s="81"/>
      <c r="BL426" s="66"/>
      <c r="BM426" s="66"/>
      <c r="BN426" s="66"/>
      <c r="BO426" s="66" t="str">
        <f>PROPER(TEXT(Prog_236[[#This Row],[PROGRAMAÇÃO CLIENTE]],"mmm"))</f>
        <v>Jan</v>
      </c>
      <c r="BP426" s="66">
        <f>YEAR(Prog_236[[#This Row],[PROGRAMAÇÃO CLIENTE]])</f>
        <v>1900</v>
      </c>
    </row>
    <row r="427" spans="1:68" x14ac:dyDescent="0.25">
      <c r="A427" s="200">
        <f>Prog_236[[#This Row],[CONTEINER]]</f>
        <v>0</v>
      </c>
      <c r="B427" s="86"/>
      <c r="C4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7" s="44"/>
      <c r="E427" s="66"/>
      <c r="F427" s="66"/>
      <c r="G427" s="66"/>
      <c r="H427" s="44"/>
      <c r="I427" s="44"/>
      <c r="J427" s="66"/>
      <c r="K427" s="66"/>
      <c r="L427" s="66"/>
      <c r="M427" s="66"/>
      <c r="N427" s="66">
        <f>SUM(Prog_236[[#This Row],[TARA]]+Prog_236[[#This Row],[PESO]])</f>
        <v>0</v>
      </c>
      <c r="O427" s="44"/>
      <c r="P427" s="66"/>
      <c r="Q427" s="66"/>
      <c r="R427" s="66"/>
      <c r="S427" s="66"/>
      <c r="T427" s="138" t="str">
        <f>IFERROR(LOOKUP($S427,MOTORISTAS!$D$3:$D$1048576,MOTORISTAS!E$3:$E$1048576),"")</f>
        <v/>
      </c>
      <c r="U427" s="138" t="str">
        <f>IFERROR(LOOKUP($S427,MOTORISTAS!$D$3:$D$1048576,MOTORISTAS!F$3:$F$1048576),"")</f>
        <v/>
      </c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44"/>
      <c r="AG427" s="254">
        <f>Prog_236[[#This Row],[SAÍDA DO CLIENTE]]-Prog_236[[#This Row],[PROGRAMAÇÃO CLIENTE]]</f>
        <v>0</v>
      </c>
      <c r="AH427" s="44"/>
      <c r="AI427" s="66"/>
      <c r="AJ427" s="66"/>
      <c r="AK427" s="66"/>
      <c r="AL427" s="66"/>
      <c r="AM427" s="66"/>
      <c r="AN427" s="83"/>
      <c r="AO427" s="66"/>
      <c r="AP427" s="66"/>
      <c r="AQ427" s="66"/>
      <c r="AR427" s="81"/>
      <c r="AS427" s="81"/>
      <c r="AT427" s="81"/>
      <c r="AU427" s="81"/>
      <c r="AV427" s="83">
        <f>SUM(Prog_236[[#This Row],[ADIANTAMENTO]]+Prog_236[[#This Row],[SALDO]]+Prog_236[[#This Row],[MARGEM]]+Prog_236[[#This Row],[ESTADIA 1]])</f>
        <v>0</v>
      </c>
      <c r="AW4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7" s="81"/>
      <c r="AY427" s="81"/>
      <c r="AZ427" s="81">
        <f>Prog_236[[#This Row],[VLR NF]]*0.1%</f>
        <v>0</v>
      </c>
      <c r="BA427" s="81">
        <f>Prog_236[[#This Row],[VLR NF]]*0.05%</f>
        <v>0</v>
      </c>
      <c r="BB427" s="81"/>
      <c r="BC427" s="81"/>
      <c r="BD427" s="81"/>
      <c r="BE427" s="81"/>
      <c r="BF427" s="81"/>
      <c r="BG427" s="81"/>
      <c r="BH427" s="81"/>
      <c r="BI427" s="81"/>
      <c r="BJ427" s="81"/>
      <c r="BK427" s="81"/>
      <c r="BL427" s="66"/>
      <c r="BM427" s="66"/>
      <c r="BN427" s="66"/>
      <c r="BO427" s="66" t="str">
        <f>PROPER(TEXT(Prog_236[[#This Row],[PROGRAMAÇÃO CLIENTE]],"mmm"))</f>
        <v>Jan</v>
      </c>
      <c r="BP427" s="66">
        <f>YEAR(Prog_236[[#This Row],[PROGRAMAÇÃO CLIENTE]])</f>
        <v>1900</v>
      </c>
    </row>
    <row r="428" spans="1:68" x14ac:dyDescent="0.25">
      <c r="A428" s="201">
        <f>Prog_236[[#This Row],[CONTEINER]]</f>
        <v>0</v>
      </c>
      <c r="B428" s="86"/>
      <c r="C4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8" s="44"/>
      <c r="E428" s="66"/>
      <c r="F428" s="66"/>
      <c r="G428" s="66"/>
      <c r="H428" s="44"/>
      <c r="I428" s="44"/>
      <c r="J428" s="66"/>
      <c r="K428" s="66"/>
      <c r="L428" s="66"/>
      <c r="M428" s="66"/>
      <c r="N428" s="66">
        <f>SUM(Prog_236[[#This Row],[TARA]]+Prog_236[[#This Row],[PESO]])</f>
        <v>0</v>
      </c>
      <c r="O428" s="44"/>
      <c r="P428" s="66"/>
      <c r="Q428" s="66"/>
      <c r="R428" s="66"/>
      <c r="S428" s="66"/>
      <c r="T428" s="138" t="str">
        <f>IFERROR(LOOKUP($S428,MOTORISTAS!$D$3:$D$1048576,MOTORISTAS!E$3:$E$1048576),"")</f>
        <v/>
      </c>
      <c r="U428" s="138" t="str">
        <f>IFERROR(LOOKUP($S428,MOTORISTAS!$D$3:$D$1048576,MOTORISTAS!F$3:$F$1048576),"")</f>
        <v/>
      </c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44"/>
      <c r="AG428" s="254">
        <f>Prog_236[[#This Row],[SAÍDA DO CLIENTE]]-Prog_236[[#This Row],[PROGRAMAÇÃO CLIENTE]]</f>
        <v>0</v>
      </c>
      <c r="AH428" s="44"/>
      <c r="AI428" s="66"/>
      <c r="AJ428" s="66"/>
      <c r="AK428" s="66"/>
      <c r="AL428" s="66"/>
      <c r="AM428" s="66"/>
      <c r="AN428" s="83"/>
      <c r="AO428" s="66"/>
      <c r="AP428" s="66"/>
      <c r="AQ428" s="66"/>
      <c r="AR428" s="81"/>
      <c r="AS428" s="81"/>
      <c r="AT428" s="81"/>
      <c r="AU428" s="81"/>
      <c r="AV428" s="83">
        <f>SUM(Prog_236[[#This Row],[ADIANTAMENTO]]+Prog_236[[#This Row],[SALDO]]+Prog_236[[#This Row],[MARGEM]]+Prog_236[[#This Row],[ESTADIA 1]])</f>
        <v>0</v>
      </c>
      <c r="AW4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8" s="81"/>
      <c r="AY428" s="81"/>
      <c r="AZ428" s="81">
        <f>Prog_236[[#This Row],[VLR NF]]*0.1%</f>
        <v>0</v>
      </c>
      <c r="BA428" s="81">
        <f>Prog_236[[#This Row],[VLR NF]]*0.05%</f>
        <v>0</v>
      </c>
      <c r="BB428" s="81"/>
      <c r="BC428" s="81"/>
      <c r="BD428" s="81"/>
      <c r="BE428" s="81"/>
      <c r="BF428" s="81"/>
      <c r="BG428" s="81"/>
      <c r="BH428" s="81"/>
      <c r="BI428" s="81"/>
      <c r="BJ428" s="81"/>
      <c r="BK428" s="81"/>
      <c r="BL428" s="66"/>
      <c r="BM428" s="66"/>
      <c r="BN428" s="66"/>
      <c r="BO428" s="66" t="str">
        <f>PROPER(TEXT(Prog_236[[#This Row],[PROGRAMAÇÃO CLIENTE]],"mmm"))</f>
        <v>Jan</v>
      </c>
      <c r="BP428" s="66">
        <f>YEAR(Prog_236[[#This Row],[PROGRAMAÇÃO CLIENTE]])</f>
        <v>1900</v>
      </c>
    </row>
    <row r="429" spans="1:68" x14ac:dyDescent="0.25">
      <c r="A429" s="200">
        <f>Prog_236[[#This Row],[CONTEINER]]</f>
        <v>0</v>
      </c>
      <c r="B429" s="86"/>
      <c r="C4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29" s="44"/>
      <c r="E429" s="66"/>
      <c r="F429" s="66"/>
      <c r="G429" s="66"/>
      <c r="H429" s="44"/>
      <c r="I429" s="44"/>
      <c r="J429" s="66"/>
      <c r="K429" s="66"/>
      <c r="L429" s="66"/>
      <c r="M429" s="66"/>
      <c r="N429" s="66">
        <f>SUM(Prog_236[[#This Row],[TARA]]+Prog_236[[#This Row],[PESO]])</f>
        <v>0</v>
      </c>
      <c r="O429" s="44"/>
      <c r="P429" s="66"/>
      <c r="Q429" s="66"/>
      <c r="R429" s="66"/>
      <c r="S429" s="66"/>
      <c r="T429" s="138" t="str">
        <f>IFERROR(LOOKUP($S429,MOTORISTAS!$D$3:$D$1048576,MOTORISTAS!E$3:$E$1048576),"")</f>
        <v/>
      </c>
      <c r="U429" s="138" t="str">
        <f>IFERROR(LOOKUP($S429,MOTORISTAS!$D$3:$D$1048576,MOTORISTAS!F$3:$F$1048576),"")</f>
        <v/>
      </c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44"/>
      <c r="AG429" s="254">
        <f>Prog_236[[#This Row],[SAÍDA DO CLIENTE]]-Prog_236[[#This Row],[PROGRAMAÇÃO CLIENTE]]</f>
        <v>0</v>
      </c>
      <c r="AH429" s="44"/>
      <c r="AI429" s="66"/>
      <c r="AJ429" s="66"/>
      <c r="AK429" s="66"/>
      <c r="AL429" s="66"/>
      <c r="AM429" s="66"/>
      <c r="AN429" s="83"/>
      <c r="AO429" s="66"/>
      <c r="AP429" s="66"/>
      <c r="AQ429" s="66"/>
      <c r="AR429" s="81"/>
      <c r="AS429" s="81"/>
      <c r="AT429" s="81"/>
      <c r="AU429" s="81"/>
      <c r="AV429" s="83">
        <f>SUM(Prog_236[[#This Row],[ADIANTAMENTO]]+Prog_236[[#This Row],[SALDO]]+Prog_236[[#This Row],[MARGEM]]+Prog_236[[#This Row],[ESTADIA 1]])</f>
        <v>0</v>
      </c>
      <c r="AW4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29" s="81"/>
      <c r="AY429" s="81"/>
      <c r="AZ429" s="81">
        <f>Prog_236[[#This Row],[VLR NF]]*0.1%</f>
        <v>0</v>
      </c>
      <c r="BA429" s="81">
        <f>Prog_236[[#This Row],[VLR NF]]*0.05%</f>
        <v>0</v>
      </c>
      <c r="BB429" s="81"/>
      <c r="BC429" s="81"/>
      <c r="BD429" s="81"/>
      <c r="BE429" s="81"/>
      <c r="BF429" s="81"/>
      <c r="BG429" s="81"/>
      <c r="BH429" s="81"/>
      <c r="BI429" s="81"/>
      <c r="BJ429" s="81"/>
      <c r="BK429" s="81"/>
      <c r="BL429" s="66"/>
      <c r="BM429" s="66"/>
      <c r="BN429" s="66"/>
      <c r="BO429" s="66" t="str">
        <f>PROPER(TEXT(Prog_236[[#This Row],[PROGRAMAÇÃO CLIENTE]],"mmm"))</f>
        <v>Jan</v>
      </c>
      <c r="BP429" s="66">
        <f>YEAR(Prog_236[[#This Row],[PROGRAMAÇÃO CLIENTE]])</f>
        <v>1900</v>
      </c>
    </row>
    <row r="430" spans="1:68" x14ac:dyDescent="0.25">
      <c r="A430" s="201">
        <f>Prog_236[[#This Row],[CONTEINER]]</f>
        <v>0</v>
      </c>
      <c r="B430" s="86"/>
      <c r="C4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0" s="44"/>
      <c r="E430" s="66"/>
      <c r="F430" s="66"/>
      <c r="G430" s="66"/>
      <c r="H430" s="44"/>
      <c r="I430" s="44"/>
      <c r="J430" s="66"/>
      <c r="K430" s="66"/>
      <c r="L430" s="66"/>
      <c r="M430" s="66"/>
      <c r="N430" s="66">
        <f>SUM(Prog_236[[#This Row],[TARA]]+Prog_236[[#This Row],[PESO]])</f>
        <v>0</v>
      </c>
      <c r="O430" s="44"/>
      <c r="P430" s="66"/>
      <c r="Q430" s="66"/>
      <c r="R430" s="66"/>
      <c r="S430" s="66"/>
      <c r="T430" s="138" t="str">
        <f>IFERROR(LOOKUP($S430,MOTORISTAS!$D$3:$D$1048576,MOTORISTAS!E$3:$E$1048576),"")</f>
        <v/>
      </c>
      <c r="U430" s="138" t="str">
        <f>IFERROR(LOOKUP($S430,MOTORISTAS!$D$3:$D$1048576,MOTORISTAS!F$3:$F$1048576),"")</f>
        <v/>
      </c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44"/>
      <c r="AG430" s="254">
        <f>Prog_236[[#This Row],[SAÍDA DO CLIENTE]]-Prog_236[[#This Row],[PROGRAMAÇÃO CLIENTE]]</f>
        <v>0</v>
      </c>
      <c r="AH430" s="44"/>
      <c r="AI430" s="66"/>
      <c r="AJ430" s="66"/>
      <c r="AK430" s="66"/>
      <c r="AL430" s="66"/>
      <c r="AM430" s="66"/>
      <c r="AN430" s="83"/>
      <c r="AO430" s="66"/>
      <c r="AP430" s="66"/>
      <c r="AQ430" s="66"/>
      <c r="AR430" s="81"/>
      <c r="AS430" s="81"/>
      <c r="AT430" s="81"/>
      <c r="AU430" s="81"/>
      <c r="AV430" s="83">
        <f>SUM(Prog_236[[#This Row],[ADIANTAMENTO]]+Prog_236[[#This Row],[SALDO]]+Prog_236[[#This Row],[MARGEM]]+Prog_236[[#This Row],[ESTADIA 1]])</f>
        <v>0</v>
      </c>
      <c r="AW4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0" s="81"/>
      <c r="AY430" s="81"/>
      <c r="AZ430" s="81">
        <f>Prog_236[[#This Row],[VLR NF]]*0.1%</f>
        <v>0</v>
      </c>
      <c r="BA430" s="81">
        <f>Prog_236[[#This Row],[VLR NF]]*0.05%</f>
        <v>0</v>
      </c>
      <c r="BB430" s="81"/>
      <c r="BC430" s="81"/>
      <c r="BD430" s="81"/>
      <c r="BE430" s="81"/>
      <c r="BF430" s="81"/>
      <c r="BG430" s="81"/>
      <c r="BH430" s="81"/>
      <c r="BI430" s="81"/>
      <c r="BJ430" s="81"/>
      <c r="BK430" s="81"/>
      <c r="BL430" s="66"/>
      <c r="BM430" s="66"/>
      <c r="BN430" s="66"/>
      <c r="BO430" s="66" t="str">
        <f>PROPER(TEXT(Prog_236[[#This Row],[PROGRAMAÇÃO CLIENTE]],"mmm"))</f>
        <v>Jan</v>
      </c>
      <c r="BP430" s="66">
        <f>YEAR(Prog_236[[#This Row],[PROGRAMAÇÃO CLIENTE]])</f>
        <v>1900</v>
      </c>
    </row>
    <row r="431" spans="1:68" x14ac:dyDescent="0.25">
      <c r="A431" s="200">
        <f>Prog_236[[#This Row],[CONTEINER]]</f>
        <v>0</v>
      </c>
      <c r="B431" s="86"/>
      <c r="C4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1" s="44"/>
      <c r="E431" s="66"/>
      <c r="F431" s="66"/>
      <c r="G431" s="66"/>
      <c r="H431" s="44"/>
      <c r="I431" s="44"/>
      <c r="J431" s="66"/>
      <c r="K431" s="66"/>
      <c r="L431" s="66"/>
      <c r="M431" s="66"/>
      <c r="N431" s="66">
        <f>SUM(Prog_236[[#This Row],[TARA]]+Prog_236[[#This Row],[PESO]])</f>
        <v>0</v>
      </c>
      <c r="O431" s="44"/>
      <c r="P431" s="66"/>
      <c r="Q431" s="66"/>
      <c r="R431" s="66"/>
      <c r="S431" s="66"/>
      <c r="T431" s="138" t="str">
        <f>IFERROR(LOOKUP($S431,MOTORISTAS!$D$3:$D$1048576,MOTORISTAS!E$3:$E$1048576),"")</f>
        <v/>
      </c>
      <c r="U431" s="138" t="str">
        <f>IFERROR(LOOKUP($S431,MOTORISTAS!$D$3:$D$1048576,MOTORISTAS!F$3:$F$1048576),"")</f>
        <v/>
      </c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44"/>
      <c r="AG431" s="254">
        <f>Prog_236[[#This Row],[SAÍDA DO CLIENTE]]-Prog_236[[#This Row],[PROGRAMAÇÃO CLIENTE]]</f>
        <v>0</v>
      </c>
      <c r="AH431" s="44"/>
      <c r="AI431" s="66"/>
      <c r="AJ431" s="66"/>
      <c r="AK431" s="66"/>
      <c r="AL431" s="66"/>
      <c r="AM431" s="66"/>
      <c r="AN431" s="83"/>
      <c r="AO431" s="66"/>
      <c r="AP431" s="66"/>
      <c r="AQ431" s="66"/>
      <c r="AR431" s="81"/>
      <c r="AS431" s="81"/>
      <c r="AT431" s="81"/>
      <c r="AU431" s="81"/>
      <c r="AV431" s="83">
        <f>SUM(Prog_236[[#This Row],[ADIANTAMENTO]]+Prog_236[[#This Row],[SALDO]]+Prog_236[[#This Row],[MARGEM]]+Prog_236[[#This Row],[ESTADIA 1]])</f>
        <v>0</v>
      </c>
      <c r="AW4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1" s="81"/>
      <c r="AY431" s="81"/>
      <c r="AZ431" s="81">
        <f>Prog_236[[#This Row],[VLR NF]]*0.1%</f>
        <v>0</v>
      </c>
      <c r="BA431" s="81">
        <f>Prog_236[[#This Row],[VLR NF]]*0.05%</f>
        <v>0</v>
      </c>
      <c r="BB431" s="81"/>
      <c r="BC431" s="81"/>
      <c r="BD431" s="81"/>
      <c r="BE431" s="81"/>
      <c r="BF431" s="81"/>
      <c r="BG431" s="81"/>
      <c r="BH431" s="81"/>
      <c r="BI431" s="81"/>
      <c r="BJ431" s="81"/>
      <c r="BK431" s="81"/>
      <c r="BL431" s="66"/>
      <c r="BM431" s="66"/>
      <c r="BN431" s="66"/>
      <c r="BO431" s="66" t="str">
        <f>PROPER(TEXT(Prog_236[[#This Row],[PROGRAMAÇÃO CLIENTE]],"mmm"))</f>
        <v>Jan</v>
      </c>
      <c r="BP431" s="66">
        <f>YEAR(Prog_236[[#This Row],[PROGRAMAÇÃO CLIENTE]])</f>
        <v>1900</v>
      </c>
    </row>
    <row r="432" spans="1:68" x14ac:dyDescent="0.25">
      <c r="A432" s="201">
        <f>Prog_236[[#This Row],[CONTEINER]]</f>
        <v>0</v>
      </c>
      <c r="B432" s="86"/>
      <c r="C4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2" s="44"/>
      <c r="E432" s="66"/>
      <c r="F432" s="66"/>
      <c r="G432" s="66"/>
      <c r="H432" s="44"/>
      <c r="I432" s="44"/>
      <c r="J432" s="66"/>
      <c r="K432" s="66"/>
      <c r="L432" s="66"/>
      <c r="M432" s="66"/>
      <c r="N432" s="66">
        <f>SUM(Prog_236[[#This Row],[TARA]]+Prog_236[[#This Row],[PESO]])</f>
        <v>0</v>
      </c>
      <c r="O432" s="44"/>
      <c r="P432" s="66"/>
      <c r="Q432" s="66"/>
      <c r="R432" s="66"/>
      <c r="S432" s="66"/>
      <c r="T432" s="138" t="str">
        <f>IFERROR(LOOKUP($S432,MOTORISTAS!$D$3:$D$1048576,MOTORISTAS!E$3:$E$1048576),"")</f>
        <v/>
      </c>
      <c r="U432" s="138" t="str">
        <f>IFERROR(LOOKUP($S432,MOTORISTAS!$D$3:$D$1048576,MOTORISTAS!F$3:$F$1048576),"")</f>
        <v/>
      </c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44"/>
      <c r="AG432" s="254">
        <f>Prog_236[[#This Row],[SAÍDA DO CLIENTE]]-Prog_236[[#This Row],[PROGRAMAÇÃO CLIENTE]]</f>
        <v>0</v>
      </c>
      <c r="AH432" s="44"/>
      <c r="AI432" s="66"/>
      <c r="AJ432" s="66"/>
      <c r="AK432" s="66"/>
      <c r="AL432" s="66"/>
      <c r="AM432" s="66"/>
      <c r="AN432" s="83"/>
      <c r="AO432" s="66"/>
      <c r="AP432" s="66"/>
      <c r="AQ432" s="66"/>
      <c r="AR432" s="81"/>
      <c r="AS432" s="81"/>
      <c r="AT432" s="81"/>
      <c r="AU432" s="81"/>
      <c r="AV432" s="83">
        <f>SUM(Prog_236[[#This Row],[ADIANTAMENTO]]+Prog_236[[#This Row],[SALDO]]+Prog_236[[#This Row],[MARGEM]]+Prog_236[[#This Row],[ESTADIA 1]])</f>
        <v>0</v>
      </c>
      <c r="AW4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2" s="81"/>
      <c r="AY432" s="81"/>
      <c r="AZ432" s="81">
        <f>Prog_236[[#This Row],[VLR NF]]*0.1%</f>
        <v>0</v>
      </c>
      <c r="BA432" s="81">
        <f>Prog_236[[#This Row],[VLR NF]]*0.05%</f>
        <v>0</v>
      </c>
      <c r="BB432" s="81"/>
      <c r="BC432" s="81"/>
      <c r="BD432" s="81"/>
      <c r="BE432" s="81"/>
      <c r="BF432" s="81"/>
      <c r="BG432" s="81"/>
      <c r="BH432" s="81"/>
      <c r="BI432" s="81"/>
      <c r="BJ432" s="81"/>
      <c r="BK432" s="81"/>
      <c r="BL432" s="66"/>
      <c r="BM432" s="66"/>
      <c r="BN432" s="66"/>
      <c r="BO432" s="66" t="str">
        <f>PROPER(TEXT(Prog_236[[#This Row],[PROGRAMAÇÃO CLIENTE]],"mmm"))</f>
        <v>Jan</v>
      </c>
      <c r="BP432" s="66">
        <f>YEAR(Prog_236[[#This Row],[PROGRAMAÇÃO CLIENTE]])</f>
        <v>1900</v>
      </c>
    </row>
    <row r="433" spans="1:68" x14ac:dyDescent="0.25">
      <c r="A433" s="200">
        <f>Prog_236[[#This Row],[CONTEINER]]</f>
        <v>0</v>
      </c>
      <c r="B433" s="86"/>
      <c r="C4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3" s="44"/>
      <c r="E433" s="66"/>
      <c r="F433" s="66"/>
      <c r="G433" s="66"/>
      <c r="H433" s="44"/>
      <c r="I433" s="44"/>
      <c r="J433" s="66"/>
      <c r="K433" s="66"/>
      <c r="L433" s="66"/>
      <c r="M433" s="66"/>
      <c r="N433" s="66">
        <f>SUM(Prog_236[[#This Row],[TARA]]+Prog_236[[#This Row],[PESO]])</f>
        <v>0</v>
      </c>
      <c r="O433" s="44"/>
      <c r="P433" s="66"/>
      <c r="Q433" s="66"/>
      <c r="R433" s="66"/>
      <c r="S433" s="66"/>
      <c r="T433" s="138" t="str">
        <f>IFERROR(LOOKUP($S433,MOTORISTAS!$D$3:$D$1048576,MOTORISTAS!E$3:$E$1048576),"")</f>
        <v/>
      </c>
      <c r="U433" s="138" t="str">
        <f>IFERROR(LOOKUP($S433,MOTORISTAS!$D$3:$D$1048576,MOTORISTAS!F$3:$F$1048576),"")</f>
        <v/>
      </c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44"/>
      <c r="AG433" s="254">
        <f>Prog_236[[#This Row],[SAÍDA DO CLIENTE]]-Prog_236[[#This Row],[PROGRAMAÇÃO CLIENTE]]</f>
        <v>0</v>
      </c>
      <c r="AH433" s="44"/>
      <c r="AI433" s="66"/>
      <c r="AJ433" s="66"/>
      <c r="AK433" s="66"/>
      <c r="AL433" s="66"/>
      <c r="AM433" s="66"/>
      <c r="AN433" s="83"/>
      <c r="AO433" s="66"/>
      <c r="AP433" s="66"/>
      <c r="AQ433" s="66"/>
      <c r="AR433" s="81"/>
      <c r="AS433" s="81"/>
      <c r="AT433" s="81"/>
      <c r="AU433" s="81"/>
      <c r="AV433" s="83">
        <f>SUM(Prog_236[[#This Row],[ADIANTAMENTO]]+Prog_236[[#This Row],[SALDO]]+Prog_236[[#This Row],[MARGEM]]+Prog_236[[#This Row],[ESTADIA 1]])</f>
        <v>0</v>
      </c>
      <c r="AW4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3" s="81"/>
      <c r="AY433" s="81"/>
      <c r="AZ433" s="81">
        <f>Prog_236[[#This Row],[VLR NF]]*0.1%</f>
        <v>0</v>
      </c>
      <c r="BA433" s="81">
        <f>Prog_236[[#This Row],[VLR NF]]*0.05%</f>
        <v>0</v>
      </c>
      <c r="BB433" s="81"/>
      <c r="BC433" s="81"/>
      <c r="BD433" s="81"/>
      <c r="BE433" s="81"/>
      <c r="BF433" s="81"/>
      <c r="BG433" s="81"/>
      <c r="BH433" s="81"/>
      <c r="BI433" s="81"/>
      <c r="BJ433" s="81"/>
      <c r="BK433" s="81"/>
      <c r="BL433" s="66"/>
      <c r="BM433" s="66"/>
      <c r="BN433" s="66"/>
      <c r="BO433" s="66" t="str">
        <f>PROPER(TEXT(Prog_236[[#This Row],[PROGRAMAÇÃO CLIENTE]],"mmm"))</f>
        <v>Jan</v>
      </c>
      <c r="BP433" s="66">
        <f>YEAR(Prog_236[[#This Row],[PROGRAMAÇÃO CLIENTE]])</f>
        <v>1900</v>
      </c>
    </row>
    <row r="434" spans="1:68" x14ac:dyDescent="0.25">
      <c r="A434" s="201">
        <f>Prog_236[[#This Row],[CONTEINER]]</f>
        <v>0</v>
      </c>
      <c r="B434" s="86"/>
      <c r="C4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4" s="44"/>
      <c r="E434" s="66"/>
      <c r="F434" s="66"/>
      <c r="G434" s="66"/>
      <c r="H434" s="44"/>
      <c r="I434" s="44"/>
      <c r="J434" s="66"/>
      <c r="K434" s="66"/>
      <c r="L434" s="66"/>
      <c r="M434" s="66"/>
      <c r="N434" s="66">
        <f>SUM(Prog_236[[#This Row],[TARA]]+Prog_236[[#This Row],[PESO]])</f>
        <v>0</v>
      </c>
      <c r="O434" s="44"/>
      <c r="P434" s="66"/>
      <c r="Q434" s="66"/>
      <c r="R434" s="66"/>
      <c r="S434" s="66"/>
      <c r="T434" s="138" t="str">
        <f>IFERROR(LOOKUP($S434,MOTORISTAS!$D$3:$D$1048576,MOTORISTAS!E$3:$E$1048576),"")</f>
        <v/>
      </c>
      <c r="U434" s="138" t="str">
        <f>IFERROR(LOOKUP($S434,MOTORISTAS!$D$3:$D$1048576,MOTORISTAS!F$3:$F$1048576),"")</f>
        <v/>
      </c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44"/>
      <c r="AG434" s="254">
        <f>Prog_236[[#This Row],[SAÍDA DO CLIENTE]]-Prog_236[[#This Row],[PROGRAMAÇÃO CLIENTE]]</f>
        <v>0</v>
      </c>
      <c r="AH434" s="44"/>
      <c r="AI434" s="66"/>
      <c r="AJ434" s="66"/>
      <c r="AK434" s="66"/>
      <c r="AL434" s="66"/>
      <c r="AM434" s="66"/>
      <c r="AN434" s="83"/>
      <c r="AO434" s="66"/>
      <c r="AP434" s="66"/>
      <c r="AQ434" s="66"/>
      <c r="AR434" s="81"/>
      <c r="AS434" s="81"/>
      <c r="AT434" s="81"/>
      <c r="AU434" s="81"/>
      <c r="AV434" s="83">
        <f>SUM(Prog_236[[#This Row],[ADIANTAMENTO]]+Prog_236[[#This Row],[SALDO]]+Prog_236[[#This Row],[MARGEM]]+Prog_236[[#This Row],[ESTADIA 1]])</f>
        <v>0</v>
      </c>
      <c r="AW4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4" s="81"/>
      <c r="AY434" s="81"/>
      <c r="AZ434" s="81">
        <f>Prog_236[[#This Row],[VLR NF]]*0.1%</f>
        <v>0</v>
      </c>
      <c r="BA434" s="81">
        <f>Prog_236[[#This Row],[VLR NF]]*0.05%</f>
        <v>0</v>
      </c>
      <c r="BB434" s="81"/>
      <c r="BC434" s="81"/>
      <c r="BD434" s="81"/>
      <c r="BE434" s="81"/>
      <c r="BF434" s="81"/>
      <c r="BG434" s="81"/>
      <c r="BH434" s="81"/>
      <c r="BI434" s="81"/>
      <c r="BJ434" s="81"/>
      <c r="BK434" s="81"/>
      <c r="BL434" s="66"/>
      <c r="BM434" s="66"/>
      <c r="BN434" s="66"/>
      <c r="BO434" s="66" t="str">
        <f>PROPER(TEXT(Prog_236[[#This Row],[PROGRAMAÇÃO CLIENTE]],"mmm"))</f>
        <v>Jan</v>
      </c>
      <c r="BP434" s="66">
        <f>YEAR(Prog_236[[#This Row],[PROGRAMAÇÃO CLIENTE]])</f>
        <v>1900</v>
      </c>
    </row>
    <row r="435" spans="1:68" x14ac:dyDescent="0.25">
      <c r="A435" s="200">
        <f>Prog_236[[#This Row],[CONTEINER]]</f>
        <v>0</v>
      </c>
      <c r="B435" s="86"/>
      <c r="C4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5" s="44"/>
      <c r="E435" s="66"/>
      <c r="F435" s="66"/>
      <c r="G435" s="66"/>
      <c r="H435" s="44"/>
      <c r="I435" s="44"/>
      <c r="J435" s="66"/>
      <c r="K435" s="66"/>
      <c r="L435" s="66"/>
      <c r="M435" s="66"/>
      <c r="N435" s="66">
        <f>SUM(Prog_236[[#This Row],[TARA]]+Prog_236[[#This Row],[PESO]])</f>
        <v>0</v>
      </c>
      <c r="O435" s="44"/>
      <c r="P435" s="66"/>
      <c r="Q435" s="66"/>
      <c r="R435" s="66"/>
      <c r="S435" s="66"/>
      <c r="T435" s="138" t="str">
        <f>IFERROR(LOOKUP($S435,MOTORISTAS!$D$3:$D$1048576,MOTORISTAS!E$3:$E$1048576),"")</f>
        <v/>
      </c>
      <c r="U435" s="138" t="str">
        <f>IFERROR(LOOKUP($S435,MOTORISTAS!$D$3:$D$1048576,MOTORISTAS!F$3:$F$1048576),"")</f>
        <v/>
      </c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44"/>
      <c r="AG435" s="254">
        <f>Prog_236[[#This Row],[SAÍDA DO CLIENTE]]-Prog_236[[#This Row],[PROGRAMAÇÃO CLIENTE]]</f>
        <v>0</v>
      </c>
      <c r="AH435" s="44"/>
      <c r="AI435" s="66"/>
      <c r="AJ435" s="66"/>
      <c r="AK435" s="66"/>
      <c r="AL435" s="66"/>
      <c r="AM435" s="66"/>
      <c r="AN435" s="83"/>
      <c r="AO435" s="66"/>
      <c r="AP435" s="66"/>
      <c r="AQ435" s="66"/>
      <c r="AR435" s="81"/>
      <c r="AS435" s="81"/>
      <c r="AT435" s="81"/>
      <c r="AU435" s="81"/>
      <c r="AV435" s="83">
        <f>SUM(Prog_236[[#This Row],[ADIANTAMENTO]]+Prog_236[[#This Row],[SALDO]]+Prog_236[[#This Row],[MARGEM]]+Prog_236[[#This Row],[ESTADIA 1]])</f>
        <v>0</v>
      </c>
      <c r="AW4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5" s="81"/>
      <c r="AY435" s="81"/>
      <c r="AZ435" s="81">
        <f>Prog_236[[#This Row],[VLR NF]]*0.1%</f>
        <v>0</v>
      </c>
      <c r="BA435" s="81">
        <f>Prog_236[[#This Row],[VLR NF]]*0.05%</f>
        <v>0</v>
      </c>
      <c r="BB435" s="81"/>
      <c r="BC435" s="81"/>
      <c r="BD435" s="81"/>
      <c r="BE435" s="81"/>
      <c r="BF435" s="81"/>
      <c r="BG435" s="81"/>
      <c r="BH435" s="81"/>
      <c r="BI435" s="81"/>
      <c r="BJ435" s="81"/>
      <c r="BK435" s="81"/>
      <c r="BL435" s="66"/>
      <c r="BM435" s="66"/>
      <c r="BN435" s="66"/>
      <c r="BO435" s="66" t="str">
        <f>PROPER(TEXT(Prog_236[[#This Row],[PROGRAMAÇÃO CLIENTE]],"mmm"))</f>
        <v>Jan</v>
      </c>
      <c r="BP435" s="66">
        <f>YEAR(Prog_236[[#This Row],[PROGRAMAÇÃO CLIENTE]])</f>
        <v>1900</v>
      </c>
    </row>
    <row r="436" spans="1:68" x14ac:dyDescent="0.25">
      <c r="A436" s="201">
        <f>Prog_236[[#This Row],[CONTEINER]]</f>
        <v>0</v>
      </c>
      <c r="B436" s="86"/>
      <c r="C4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6" s="44"/>
      <c r="E436" s="66"/>
      <c r="F436" s="66"/>
      <c r="G436" s="66"/>
      <c r="H436" s="44"/>
      <c r="I436" s="44"/>
      <c r="J436" s="66"/>
      <c r="K436" s="66"/>
      <c r="L436" s="66"/>
      <c r="M436" s="66"/>
      <c r="N436" s="66">
        <f>SUM(Prog_236[[#This Row],[TARA]]+Prog_236[[#This Row],[PESO]])</f>
        <v>0</v>
      </c>
      <c r="O436" s="44"/>
      <c r="P436" s="66"/>
      <c r="Q436" s="66"/>
      <c r="R436" s="66"/>
      <c r="S436" s="66"/>
      <c r="T436" s="138" t="str">
        <f>IFERROR(LOOKUP($S436,MOTORISTAS!$D$3:$D$1048576,MOTORISTAS!E$3:$E$1048576),"")</f>
        <v/>
      </c>
      <c r="U436" s="138" t="str">
        <f>IFERROR(LOOKUP($S436,MOTORISTAS!$D$3:$D$1048576,MOTORISTAS!F$3:$F$1048576),"")</f>
        <v/>
      </c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44"/>
      <c r="AG436" s="254">
        <f>Prog_236[[#This Row],[SAÍDA DO CLIENTE]]-Prog_236[[#This Row],[PROGRAMAÇÃO CLIENTE]]</f>
        <v>0</v>
      </c>
      <c r="AH436" s="44"/>
      <c r="AI436" s="66"/>
      <c r="AJ436" s="66"/>
      <c r="AK436" s="66"/>
      <c r="AL436" s="66"/>
      <c r="AM436" s="66"/>
      <c r="AN436" s="83"/>
      <c r="AO436" s="66"/>
      <c r="AP436" s="66"/>
      <c r="AQ436" s="66"/>
      <c r="AR436" s="81"/>
      <c r="AS436" s="81"/>
      <c r="AT436" s="81"/>
      <c r="AU436" s="81"/>
      <c r="AV436" s="83">
        <f>SUM(Prog_236[[#This Row],[ADIANTAMENTO]]+Prog_236[[#This Row],[SALDO]]+Prog_236[[#This Row],[MARGEM]]+Prog_236[[#This Row],[ESTADIA 1]])</f>
        <v>0</v>
      </c>
      <c r="AW4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6" s="81"/>
      <c r="AY436" s="81"/>
      <c r="AZ436" s="81">
        <f>Prog_236[[#This Row],[VLR NF]]*0.1%</f>
        <v>0</v>
      </c>
      <c r="BA436" s="81">
        <f>Prog_236[[#This Row],[VLR NF]]*0.05%</f>
        <v>0</v>
      </c>
      <c r="BB436" s="81"/>
      <c r="BC436" s="81"/>
      <c r="BD436" s="81"/>
      <c r="BE436" s="81"/>
      <c r="BF436" s="81"/>
      <c r="BG436" s="81"/>
      <c r="BH436" s="81"/>
      <c r="BI436" s="81"/>
      <c r="BJ436" s="81"/>
      <c r="BK436" s="81"/>
      <c r="BL436" s="66"/>
      <c r="BM436" s="66"/>
      <c r="BN436" s="66"/>
      <c r="BO436" s="66" t="str">
        <f>PROPER(TEXT(Prog_236[[#This Row],[PROGRAMAÇÃO CLIENTE]],"mmm"))</f>
        <v>Jan</v>
      </c>
      <c r="BP436" s="66">
        <f>YEAR(Prog_236[[#This Row],[PROGRAMAÇÃO CLIENTE]])</f>
        <v>1900</v>
      </c>
    </row>
    <row r="437" spans="1:68" x14ac:dyDescent="0.25">
      <c r="A437" s="200">
        <f>Prog_236[[#This Row],[CONTEINER]]</f>
        <v>0</v>
      </c>
      <c r="B437" s="86"/>
      <c r="C4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7" s="44"/>
      <c r="E437" s="66"/>
      <c r="F437" s="66"/>
      <c r="G437" s="66"/>
      <c r="H437" s="44"/>
      <c r="I437" s="44"/>
      <c r="J437" s="66"/>
      <c r="K437" s="66"/>
      <c r="L437" s="66"/>
      <c r="M437" s="66"/>
      <c r="N437" s="66">
        <f>SUM(Prog_236[[#This Row],[TARA]]+Prog_236[[#This Row],[PESO]])</f>
        <v>0</v>
      </c>
      <c r="O437" s="44"/>
      <c r="P437" s="66"/>
      <c r="Q437" s="66"/>
      <c r="R437" s="66"/>
      <c r="S437" s="66"/>
      <c r="T437" s="138" t="str">
        <f>IFERROR(LOOKUP($S437,MOTORISTAS!$D$3:$D$1048576,MOTORISTAS!E$3:$E$1048576),"")</f>
        <v/>
      </c>
      <c r="U437" s="138" t="str">
        <f>IFERROR(LOOKUP($S437,MOTORISTAS!$D$3:$D$1048576,MOTORISTAS!F$3:$F$1048576),"")</f>
        <v/>
      </c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44"/>
      <c r="AG437" s="254">
        <f>Prog_236[[#This Row],[SAÍDA DO CLIENTE]]-Prog_236[[#This Row],[PROGRAMAÇÃO CLIENTE]]</f>
        <v>0</v>
      </c>
      <c r="AH437" s="44"/>
      <c r="AI437" s="66"/>
      <c r="AJ437" s="66"/>
      <c r="AK437" s="66"/>
      <c r="AL437" s="66"/>
      <c r="AM437" s="66"/>
      <c r="AN437" s="83"/>
      <c r="AO437" s="66"/>
      <c r="AP437" s="66"/>
      <c r="AQ437" s="66"/>
      <c r="AR437" s="81"/>
      <c r="AS437" s="81"/>
      <c r="AT437" s="81"/>
      <c r="AU437" s="81"/>
      <c r="AV437" s="83">
        <f>SUM(Prog_236[[#This Row],[ADIANTAMENTO]]+Prog_236[[#This Row],[SALDO]]+Prog_236[[#This Row],[MARGEM]]+Prog_236[[#This Row],[ESTADIA 1]])</f>
        <v>0</v>
      </c>
      <c r="AW4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7" s="81"/>
      <c r="AY437" s="81"/>
      <c r="AZ437" s="81">
        <f>Prog_236[[#This Row],[VLR NF]]*0.1%</f>
        <v>0</v>
      </c>
      <c r="BA437" s="81">
        <f>Prog_236[[#This Row],[VLR NF]]*0.05%</f>
        <v>0</v>
      </c>
      <c r="BB437" s="81"/>
      <c r="BC437" s="81"/>
      <c r="BD437" s="81"/>
      <c r="BE437" s="81"/>
      <c r="BF437" s="81"/>
      <c r="BG437" s="81"/>
      <c r="BH437" s="81"/>
      <c r="BI437" s="81"/>
      <c r="BJ437" s="81"/>
      <c r="BK437" s="81"/>
      <c r="BL437" s="66"/>
      <c r="BM437" s="66"/>
      <c r="BN437" s="66"/>
      <c r="BO437" s="66" t="str">
        <f>PROPER(TEXT(Prog_236[[#This Row],[PROGRAMAÇÃO CLIENTE]],"mmm"))</f>
        <v>Jan</v>
      </c>
      <c r="BP437" s="66">
        <f>YEAR(Prog_236[[#This Row],[PROGRAMAÇÃO CLIENTE]])</f>
        <v>1900</v>
      </c>
    </row>
    <row r="438" spans="1:68" x14ac:dyDescent="0.25">
      <c r="A438" s="201">
        <f>Prog_236[[#This Row],[CONTEINER]]</f>
        <v>0</v>
      </c>
      <c r="B438" s="86"/>
      <c r="C4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8" s="44"/>
      <c r="E438" s="66"/>
      <c r="F438" s="66"/>
      <c r="G438" s="66"/>
      <c r="H438" s="44"/>
      <c r="I438" s="44"/>
      <c r="J438" s="66"/>
      <c r="K438" s="66"/>
      <c r="L438" s="66"/>
      <c r="M438" s="66"/>
      <c r="N438" s="66">
        <f>SUM(Prog_236[[#This Row],[TARA]]+Prog_236[[#This Row],[PESO]])</f>
        <v>0</v>
      </c>
      <c r="O438" s="44"/>
      <c r="P438" s="66"/>
      <c r="Q438" s="66"/>
      <c r="R438" s="66"/>
      <c r="S438" s="66"/>
      <c r="T438" s="138" t="str">
        <f>IFERROR(LOOKUP($S438,MOTORISTAS!$D$3:$D$1048576,MOTORISTAS!E$3:$E$1048576),"")</f>
        <v/>
      </c>
      <c r="U438" s="138" t="str">
        <f>IFERROR(LOOKUP($S438,MOTORISTAS!$D$3:$D$1048576,MOTORISTAS!F$3:$F$1048576),"")</f>
        <v/>
      </c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44"/>
      <c r="AG438" s="254">
        <f>Prog_236[[#This Row],[SAÍDA DO CLIENTE]]-Prog_236[[#This Row],[PROGRAMAÇÃO CLIENTE]]</f>
        <v>0</v>
      </c>
      <c r="AH438" s="44"/>
      <c r="AI438" s="66"/>
      <c r="AJ438" s="66"/>
      <c r="AK438" s="66"/>
      <c r="AL438" s="66"/>
      <c r="AM438" s="66"/>
      <c r="AN438" s="83"/>
      <c r="AO438" s="66"/>
      <c r="AP438" s="66"/>
      <c r="AQ438" s="66"/>
      <c r="AR438" s="81"/>
      <c r="AS438" s="81"/>
      <c r="AT438" s="81"/>
      <c r="AU438" s="81"/>
      <c r="AV438" s="83">
        <f>SUM(Prog_236[[#This Row],[ADIANTAMENTO]]+Prog_236[[#This Row],[SALDO]]+Prog_236[[#This Row],[MARGEM]]+Prog_236[[#This Row],[ESTADIA 1]])</f>
        <v>0</v>
      </c>
      <c r="AW4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8" s="81"/>
      <c r="AY438" s="81"/>
      <c r="AZ438" s="81">
        <f>Prog_236[[#This Row],[VLR NF]]*0.1%</f>
        <v>0</v>
      </c>
      <c r="BA438" s="81">
        <f>Prog_236[[#This Row],[VLR NF]]*0.05%</f>
        <v>0</v>
      </c>
      <c r="BB438" s="81"/>
      <c r="BC438" s="81"/>
      <c r="BD438" s="81"/>
      <c r="BE438" s="81"/>
      <c r="BF438" s="81"/>
      <c r="BG438" s="81"/>
      <c r="BH438" s="81"/>
      <c r="BI438" s="81"/>
      <c r="BJ438" s="81"/>
      <c r="BK438" s="81"/>
      <c r="BL438" s="66"/>
      <c r="BM438" s="66"/>
      <c r="BN438" s="66"/>
      <c r="BO438" s="66" t="str">
        <f>PROPER(TEXT(Prog_236[[#This Row],[PROGRAMAÇÃO CLIENTE]],"mmm"))</f>
        <v>Jan</v>
      </c>
      <c r="BP438" s="66">
        <f>YEAR(Prog_236[[#This Row],[PROGRAMAÇÃO CLIENTE]])</f>
        <v>1900</v>
      </c>
    </row>
    <row r="439" spans="1:68" x14ac:dyDescent="0.25">
      <c r="A439" s="200">
        <f>Prog_236[[#This Row],[CONTEINER]]</f>
        <v>0</v>
      </c>
      <c r="B439" s="86"/>
      <c r="C4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39" s="44"/>
      <c r="E439" s="66"/>
      <c r="F439" s="66"/>
      <c r="G439" s="66"/>
      <c r="H439" s="44"/>
      <c r="I439" s="44"/>
      <c r="J439" s="66"/>
      <c r="K439" s="66"/>
      <c r="L439" s="66"/>
      <c r="M439" s="66"/>
      <c r="N439" s="66">
        <f>SUM(Prog_236[[#This Row],[TARA]]+Prog_236[[#This Row],[PESO]])</f>
        <v>0</v>
      </c>
      <c r="O439" s="44"/>
      <c r="P439" s="66"/>
      <c r="Q439" s="66"/>
      <c r="R439" s="66"/>
      <c r="S439" s="66"/>
      <c r="T439" s="138" t="str">
        <f>IFERROR(LOOKUP($S439,MOTORISTAS!$D$3:$D$1048576,MOTORISTAS!E$3:$E$1048576),"")</f>
        <v/>
      </c>
      <c r="U439" s="138" t="str">
        <f>IFERROR(LOOKUP($S439,MOTORISTAS!$D$3:$D$1048576,MOTORISTAS!F$3:$F$1048576),"")</f>
        <v/>
      </c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44"/>
      <c r="AG439" s="254">
        <f>Prog_236[[#This Row],[SAÍDA DO CLIENTE]]-Prog_236[[#This Row],[PROGRAMAÇÃO CLIENTE]]</f>
        <v>0</v>
      </c>
      <c r="AH439" s="44"/>
      <c r="AI439" s="66"/>
      <c r="AJ439" s="66"/>
      <c r="AK439" s="66"/>
      <c r="AL439" s="66"/>
      <c r="AM439" s="66"/>
      <c r="AN439" s="83"/>
      <c r="AO439" s="66"/>
      <c r="AP439" s="66"/>
      <c r="AQ439" s="66"/>
      <c r="AR439" s="81"/>
      <c r="AS439" s="81"/>
      <c r="AT439" s="81"/>
      <c r="AU439" s="81"/>
      <c r="AV439" s="83">
        <f>SUM(Prog_236[[#This Row],[ADIANTAMENTO]]+Prog_236[[#This Row],[SALDO]]+Prog_236[[#This Row],[MARGEM]]+Prog_236[[#This Row],[ESTADIA 1]])</f>
        <v>0</v>
      </c>
      <c r="AW4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39" s="81"/>
      <c r="AY439" s="81"/>
      <c r="AZ439" s="81">
        <f>Prog_236[[#This Row],[VLR NF]]*0.1%</f>
        <v>0</v>
      </c>
      <c r="BA439" s="81">
        <f>Prog_236[[#This Row],[VLR NF]]*0.05%</f>
        <v>0</v>
      </c>
      <c r="BB439" s="81"/>
      <c r="BC439" s="81"/>
      <c r="BD439" s="81"/>
      <c r="BE439" s="81"/>
      <c r="BF439" s="81"/>
      <c r="BG439" s="81"/>
      <c r="BH439" s="81"/>
      <c r="BI439" s="81"/>
      <c r="BJ439" s="81"/>
      <c r="BK439" s="81"/>
      <c r="BL439" s="66"/>
      <c r="BM439" s="66"/>
      <c r="BN439" s="66"/>
      <c r="BO439" s="66" t="str">
        <f>PROPER(TEXT(Prog_236[[#This Row],[PROGRAMAÇÃO CLIENTE]],"mmm"))</f>
        <v>Jan</v>
      </c>
      <c r="BP439" s="66">
        <f>YEAR(Prog_236[[#This Row],[PROGRAMAÇÃO CLIENTE]])</f>
        <v>1900</v>
      </c>
    </row>
    <row r="440" spans="1:68" x14ac:dyDescent="0.25">
      <c r="A440" s="201">
        <f>Prog_236[[#This Row],[CONTEINER]]</f>
        <v>0</v>
      </c>
      <c r="B440" s="86"/>
      <c r="C4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0" s="44"/>
      <c r="E440" s="66"/>
      <c r="F440" s="66"/>
      <c r="G440" s="66"/>
      <c r="H440" s="44"/>
      <c r="I440" s="44"/>
      <c r="J440" s="66"/>
      <c r="K440" s="66"/>
      <c r="L440" s="66"/>
      <c r="M440" s="66"/>
      <c r="N440" s="66">
        <f>SUM(Prog_236[[#This Row],[TARA]]+Prog_236[[#This Row],[PESO]])</f>
        <v>0</v>
      </c>
      <c r="O440" s="44"/>
      <c r="P440" s="66"/>
      <c r="Q440" s="66"/>
      <c r="R440" s="66"/>
      <c r="S440" s="66"/>
      <c r="T440" s="138" t="str">
        <f>IFERROR(LOOKUP($S440,MOTORISTAS!$D$3:$D$1048576,MOTORISTAS!E$3:$E$1048576),"")</f>
        <v/>
      </c>
      <c r="U440" s="138" t="str">
        <f>IFERROR(LOOKUP($S440,MOTORISTAS!$D$3:$D$1048576,MOTORISTAS!F$3:$F$1048576),"")</f>
        <v/>
      </c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44"/>
      <c r="AG440" s="254">
        <f>Prog_236[[#This Row],[SAÍDA DO CLIENTE]]-Prog_236[[#This Row],[PROGRAMAÇÃO CLIENTE]]</f>
        <v>0</v>
      </c>
      <c r="AH440" s="44"/>
      <c r="AI440" s="66"/>
      <c r="AJ440" s="66"/>
      <c r="AK440" s="66"/>
      <c r="AL440" s="66"/>
      <c r="AM440" s="66"/>
      <c r="AN440" s="83"/>
      <c r="AO440" s="66"/>
      <c r="AP440" s="66"/>
      <c r="AQ440" s="66"/>
      <c r="AR440" s="81"/>
      <c r="AS440" s="81"/>
      <c r="AT440" s="81"/>
      <c r="AU440" s="81"/>
      <c r="AV440" s="83">
        <f>SUM(Prog_236[[#This Row],[ADIANTAMENTO]]+Prog_236[[#This Row],[SALDO]]+Prog_236[[#This Row],[MARGEM]]+Prog_236[[#This Row],[ESTADIA 1]])</f>
        <v>0</v>
      </c>
      <c r="AW4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0" s="81"/>
      <c r="AY440" s="81"/>
      <c r="AZ440" s="81">
        <f>Prog_236[[#This Row],[VLR NF]]*0.1%</f>
        <v>0</v>
      </c>
      <c r="BA440" s="81">
        <f>Prog_236[[#This Row],[VLR NF]]*0.05%</f>
        <v>0</v>
      </c>
      <c r="BB440" s="81"/>
      <c r="BC440" s="81"/>
      <c r="BD440" s="81"/>
      <c r="BE440" s="81"/>
      <c r="BF440" s="81"/>
      <c r="BG440" s="81"/>
      <c r="BH440" s="81"/>
      <c r="BI440" s="81"/>
      <c r="BJ440" s="81"/>
      <c r="BK440" s="81"/>
      <c r="BL440" s="66"/>
      <c r="BM440" s="66"/>
      <c r="BN440" s="66"/>
      <c r="BO440" s="66" t="str">
        <f>PROPER(TEXT(Prog_236[[#This Row],[PROGRAMAÇÃO CLIENTE]],"mmm"))</f>
        <v>Jan</v>
      </c>
      <c r="BP440" s="66">
        <f>YEAR(Prog_236[[#This Row],[PROGRAMAÇÃO CLIENTE]])</f>
        <v>1900</v>
      </c>
    </row>
    <row r="441" spans="1:68" x14ac:dyDescent="0.25">
      <c r="A441" s="200">
        <f>Prog_236[[#This Row],[CONTEINER]]</f>
        <v>0</v>
      </c>
      <c r="B441" s="86"/>
      <c r="C4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1" s="44"/>
      <c r="E441" s="66"/>
      <c r="F441" s="66"/>
      <c r="G441" s="66"/>
      <c r="H441" s="44"/>
      <c r="I441" s="44"/>
      <c r="J441" s="66"/>
      <c r="K441" s="66"/>
      <c r="L441" s="66"/>
      <c r="M441" s="66"/>
      <c r="N441" s="66">
        <f>SUM(Prog_236[[#This Row],[TARA]]+Prog_236[[#This Row],[PESO]])</f>
        <v>0</v>
      </c>
      <c r="O441" s="44"/>
      <c r="P441" s="66"/>
      <c r="Q441" s="66"/>
      <c r="R441" s="66"/>
      <c r="S441" s="66"/>
      <c r="T441" s="138" t="str">
        <f>IFERROR(LOOKUP($S441,MOTORISTAS!$D$3:$D$1048576,MOTORISTAS!E$3:$E$1048576),"")</f>
        <v/>
      </c>
      <c r="U441" s="138" t="str">
        <f>IFERROR(LOOKUP($S441,MOTORISTAS!$D$3:$D$1048576,MOTORISTAS!F$3:$F$1048576),"")</f>
        <v/>
      </c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44"/>
      <c r="AG441" s="254">
        <f>Prog_236[[#This Row],[SAÍDA DO CLIENTE]]-Prog_236[[#This Row],[PROGRAMAÇÃO CLIENTE]]</f>
        <v>0</v>
      </c>
      <c r="AH441" s="44"/>
      <c r="AI441" s="66"/>
      <c r="AJ441" s="66"/>
      <c r="AK441" s="66"/>
      <c r="AL441" s="66"/>
      <c r="AM441" s="66"/>
      <c r="AN441" s="83"/>
      <c r="AO441" s="66"/>
      <c r="AP441" s="66"/>
      <c r="AQ441" s="66"/>
      <c r="AR441" s="81"/>
      <c r="AS441" s="81"/>
      <c r="AT441" s="81"/>
      <c r="AU441" s="81"/>
      <c r="AV441" s="83">
        <f>SUM(Prog_236[[#This Row],[ADIANTAMENTO]]+Prog_236[[#This Row],[SALDO]]+Prog_236[[#This Row],[MARGEM]]+Prog_236[[#This Row],[ESTADIA 1]])</f>
        <v>0</v>
      </c>
      <c r="AW4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1" s="81"/>
      <c r="AY441" s="81"/>
      <c r="AZ441" s="81">
        <f>Prog_236[[#This Row],[VLR NF]]*0.1%</f>
        <v>0</v>
      </c>
      <c r="BA441" s="81">
        <f>Prog_236[[#This Row],[VLR NF]]*0.05%</f>
        <v>0</v>
      </c>
      <c r="BB441" s="81"/>
      <c r="BC441" s="81"/>
      <c r="BD441" s="81"/>
      <c r="BE441" s="81"/>
      <c r="BF441" s="81"/>
      <c r="BG441" s="81"/>
      <c r="BH441" s="81"/>
      <c r="BI441" s="81"/>
      <c r="BJ441" s="81"/>
      <c r="BK441" s="81"/>
      <c r="BL441" s="66"/>
      <c r="BM441" s="66"/>
      <c r="BN441" s="66"/>
      <c r="BO441" s="66" t="str">
        <f>PROPER(TEXT(Prog_236[[#This Row],[PROGRAMAÇÃO CLIENTE]],"mmm"))</f>
        <v>Jan</v>
      </c>
      <c r="BP441" s="66">
        <f>YEAR(Prog_236[[#This Row],[PROGRAMAÇÃO CLIENTE]])</f>
        <v>1900</v>
      </c>
    </row>
    <row r="442" spans="1:68" x14ac:dyDescent="0.25">
      <c r="A442" s="201">
        <f>Prog_236[[#This Row],[CONTEINER]]</f>
        <v>0</v>
      </c>
      <c r="B442" s="86"/>
      <c r="C4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2" s="44"/>
      <c r="E442" s="66"/>
      <c r="F442" s="66"/>
      <c r="G442" s="66"/>
      <c r="H442" s="44"/>
      <c r="I442" s="44"/>
      <c r="J442" s="66"/>
      <c r="K442" s="66"/>
      <c r="L442" s="66"/>
      <c r="M442" s="66"/>
      <c r="N442" s="66">
        <f>SUM(Prog_236[[#This Row],[TARA]]+Prog_236[[#This Row],[PESO]])</f>
        <v>0</v>
      </c>
      <c r="O442" s="44"/>
      <c r="P442" s="66"/>
      <c r="Q442" s="66"/>
      <c r="R442" s="66"/>
      <c r="S442" s="66"/>
      <c r="T442" s="138" t="str">
        <f>IFERROR(LOOKUP($S442,MOTORISTAS!$D$3:$D$1048576,MOTORISTAS!E$3:$E$1048576),"")</f>
        <v/>
      </c>
      <c r="U442" s="138" t="str">
        <f>IFERROR(LOOKUP($S442,MOTORISTAS!$D$3:$D$1048576,MOTORISTAS!F$3:$F$1048576),"")</f>
        <v/>
      </c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44"/>
      <c r="AG442" s="254">
        <f>Prog_236[[#This Row],[SAÍDA DO CLIENTE]]-Prog_236[[#This Row],[PROGRAMAÇÃO CLIENTE]]</f>
        <v>0</v>
      </c>
      <c r="AH442" s="44"/>
      <c r="AI442" s="66"/>
      <c r="AJ442" s="66"/>
      <c r="AK442" s="66"/>
      <c r="AL442" s="66"/>
      <c r="AM442" s="66"/>
      <c r="AN442" s="83"/>
      <c r="AO442" s="66"/>
      <c r="AP442" s="66"/>
      <c r="AQ442" s="66"/>
      <c r="AR442" s="81"/>
      <c r="AS442" s="81"/>
      <c r="AT442" s="81"/>
      <c r="AU442" s="81"/>
      <c r="AV442" s="83">
        <f>SUM(Prog_236[[#This Row],[ADIANTAMENTO]]+Prog_236[[#This Row],[SALDO]]+Prog_236[[#This Row],[MARGEM]]+Prog_236[[#This Row],[ESTADIA 1]])</f>
        <v>0</v>
      </c>
      <c r="AW4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2" s="81"/>
      <c r="AY442" s="81"/>
      <c r="AZ442" s="81">
        <f>Prog_236[[#This Row],[VLR NF]]*0.1%</f>
        <v>0</v>
      </c>
      <c r="BA442" s="81">
        <f>Prog_236[[#This Row],[VLR NF]]*0.05%</f>
        <v>0</v>
      </c>
      <c r="BB442" s="81"/>
      <c r="BC442" s="81"/>
      <c r="BD442" s="81"/>
      <c r="BE442" s="81"/>
      <c r="BF442" s="81"/>
      <c r="BG442" s="81"/>
      <c r="BH442" s="81"/>
      <c r="BI442" s="81"/>
      <c r="BJ442" s="81"/>
      <c r="BK442" s="81"/>
      <c r="BL442" s="66"/>
      <c r="BM442" s="66"/>
      <c r="BN442" s="66"/>
      <c r="BO442" s="66" t="str">
        <f>PROPER(TEXT(Prog_236[[#This Row],[PROGRAMAÇÃO CLIENTE]],"mmm"))</f>
        <v>Jan</v>
      </c>
      <c r="BP442" s="66">
        <f>YEAR(Prog_236[[#This Row],[PROGRAMAÇÃO CLIENTE]])</f>
        <v>1900</v>
      </c>
    </row>
    <row r="443" spans="1:68" x14ac:dyDescent="0.25">
      <c r="A443" s="200">
        <f>Prog_236[[#This Row],[CONTEINER]]</f>
        <v>0</v>
      </c>
      <c r="B443" s="86"/>
      <c r="C4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3" s="44"/>
      <c r="E443" s="66"/>
      <c r="F443" s="66"/>
      <c r="G443" s="66"/>
      <c r="H443" s="44"/>
      <c r="I443" s="44"/>
      <c r="J443" s="66"/>
      <c r="K443" s="66"/>
      <c r="L443" s="66"/>
      <c r="M443" s="66"/>
      <c r="N443" s="66">
        <f>SUM(Prog_236[[#This Row],[TARA]]+Prog_236[[#This Row],[PESO]])</f>
        <v>0</v>
      </c>
      <c r="O443" s="44"/>
      <c r="P443" s="66"/>
      <c r="Q443" s="66"/>
      <c r="R443" s="66"/>
      <c r="S443" s="66"/>
      <c r="T443" s="138" t="str">
        <f>IFERROR(LOOKUP($S443,MOTORISTAS!$D$3:$D$1048576,MOTORISTAS!E$3:$E$1048576),"")</f>
        <v/>
      </c>
      <c r="U443" s="138" t="str">
        <f>IFERROR(LOOKUP($S443,MOTORISTAS!$D$3:$D$1048576,MOTORISTAS!F$3:$F$1048576),"")</f>
        <v/>
      </c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44"/>
      <c r="AG443" s="254">
        <f>Prog_236[[#This Row],[SAÍDA DO CLIENTE]]-Prog_236[[#This Row],[PROGRAMAÇÃO CLIENTE]]</f>
        <v>0</v>
      </c>
      <c r="AH443" s="44"/>
      <c r="AI443" s="66"/>
      <c r="AJ443" s="66"/>
      <c r="AK443" s="66"/>
      <c r="AL443" s="66"/>
      <c r="AM443" s="66"/>
      <c r="AN443" s="83"/>
      <c r="AO443" s="66"/>
      <c r="AP443" s="66"/>
      <c r="AQ443" s="66"/>
      <c r="AR443" s="81"/>
      <c r="AS443" s="81"/>
      <c r="AT443" s="81"/>
      <c r="AU443" s="81"/>
      <c r="AV443" s="83">
        <f>SUM(Prog_236[[#This Row],[ADIANTAMENTO]]+Prog_236[[#This Row],[SALDO]]+Prog_236[[#This Row],[MARGEM]]+Prog_236[[#This Row],[ESTADIA 1]])</f>
        <v>0</v>
      </c>
      <c r="AW4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3" s="81"/>
      <c r="AY443" s="81"/>
      <c r="AZ443" s="81">
        <f>Prog_236[[#This Row],[VLR NF]]*0.1%</f>
        <v>0</v>
      </c>
      <c r="BA443" s="81">
        <f>Prog_236[[#This Row],[VLR NF]]*0.05%</f>
        <v>0</v>
      </c>
      <c r="BB443" s="81"/>
      <c r="BC443" s="81"/>
      <c r="BD443" s="81"/>
      <c r="BE443" s="81"/>
      <c r="BF443" s="81"/>
      <c r="BG443" s="81"/>
      <c r="BH443" s="81"/>
      <c r="BI443" s="81"/>
      <c r="BJ443" s="81"/>
      <c r="BK443" s="81"/>
      <c r="BL443" s="66"/>
      <c r="BM443" s="66"/>
      <c r="BN443" s="66"/>
      <c r="BO443" s="66" t="str">
        <f>PROPER(TEXT(Prog_236[[#This Row],[PROGRAMAÇÃO CLIENTE]],"mmm"))</f>
        <v>Jan</v>
      </c>
      <c r="BP443" s="66">
        <f>YEAR(Prog_236[[#This Row],[PROGRAMAÇÃO CLIENTE]])</f>
        <v>1900</v>
      </c>
    </row>
    <row r="444" spans="1:68" x14ac:dyDescent="0.25">
      <c r="A444" s="201">
        <f>Prog_236[[#This Row],[CONTEINER]]</f>
        <v>0</v>
      </c>
      <c r="B444" s="86"/>
      <c r="C4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4" s="44"/>
      <c r="E444" s="66"/>
      <c r="F444" s="66"/>
      <c r="G444" s="66"/>
      <c r="H444" s="44"/>
      <c r="I444" s="44"/>
      <c r="J444" s="66"/>
      <c r="K444" s="66"/>
      <c r="L444" s="66"/>
      <c r="M444" s="66"/>
      <c r="N444" s="66">
        <f>SUM(Prog_236[[#This Row],[TARA]]+Prog_236[[#This Row],[PESO]])</f>
        <v>0</v>
      </c>
      <c r="O444" s="44"/>
      <c r="P444" s="66"/>
      <c r="Q444" s="66"/>
      <c r="R444" s="66"/>
      <c r="S444" s="66"/>
      <c r="T444" s="138" t="str">
        <f>IFERROR(LOOKUP($S444,MOTORISTAS!$D$3:$D$1048576,MOTORISTAS!E$3:$E$1048576),"")</f>
        <v/>
      </c>
      <c r="U444" s="138" t="str">
        <f>IFERROR(LOOKUP($S444,MOTORISTAS!$D$3:$D$1048576,MOTORISTAS!F$3:$F$1048576),"")</f>
        <v/>
      </c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44"/>
      <c r="AG444" s="254">
        <f>Prog_236[[#This Row],[SAÍDA DO CLIENTE]]-Prog_236[[#This Row],[PROGRAMAÇÃO CLIENTE]]</f>
        <v>0</v>
      </c>
      <c r="AH444" s="44"/>
      <c r="AI444" s="66"/>
      <c r="AJ444" s="66"/>
      <c r="AK444" s="66"/>
      <c r="AL444" s="66"/>
      <c r="AM444" s="66"/>
      <c r="AN444" s="83"/>
      <c r="AO444" s="66"/>
      <c r="AP444" s="66"/>
      <c r="AQ444" s="66"/>
      <c r="AR444" s="81"/>
      <c r="AS444" s="81"/>
      <c r="AT444" s="81"/>
      <c r="AU444" s="81"/>
      <c r="AV444" s="83">
        <f>SUM(Prog_236[[#This Row],[ADIANTAMENTO]]+Prog_236[[#This Row],[SALDO]]+Prog_236[[#This Row],[MARGEM]]+Prog_236[[#This Row],[ESTADIA 1]])</f>
        <v>0</v>
      </c>
      <c r="AW4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4" s="81"/>
      <c r="AY444" s="81"/>
      <c r="AZ444" s="81">
        <f>Prog_236[[#This Row],[VLR NF]]*0.1%</f>
        <v>0</v>
      </c>
      <c r="BA444" s="81">
        <f>Prog_236[[#This Row],[VLR NF]]*0.05%</f>
        <v>0</v>
      </c>
      <c r="BB444" s="81"/>
      <c r="BC444" s="81"/>
      <c r="BD444" s="81"/>
      <c r="BE444" s="81"/>
      <c r="BF444" s="81"/>
      <c r="BG444" s="81"/>
      <c r="BH444" s="81"/>
      <c r="BI444" s="81"/>
      <c r="BJ444" s="81"/>
      <c r="BK444" s="81"/>
      <c r="BL444" s="66"/>
      <c r="BM444" s="66"/>
      <c r="BN444" s="66"/>
      <c r="BO444" s="66" t="str">
        <f>PROPER(TEXT(Prog_236[[#This Row],[PROGRAMAÇÃO CLIENTE]],"mmm"))</f>
        <v>Jan</v>
      </c>
      <c r="BP444" s="66">
        <f>YEAR(Prog_236[[#This Row],[PROGRAMAÇÃO CLIENTE]])</f>
        <v>1900</v>
      </c>
    </row>
    <row r="445" spans="1:68" x14ac:dyDescent="0.25">
      <c r="A445" s="200">
        <f>Prog_236[[#This Row],[CONTEINER]]</f>
        <v>0</v>
      </c>
      <c r="B445" s="86"/>
      <c r="C4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5" s="44"/>
      <c r="E445" s="66"/>
      <c r="F445" s="66"/>
      <c r="G445" s="66"/>
      <c r="H445" s="44"/>
      <c r="I445" s="44"/>
      <c r="J445" s="66"/>
      <c r="K445" s="66"/>
      <c r="L445" s="66"/>
      <c r="M445" s="66"/>
      <c r="N445" s="66">
        <f>SUM(Prog_236[[#This Row],[TARA]]+Prog_236[[#This Row],[PESO]])</f>
        <v>0</v>
      </c>
      <c r="O445" s="44"/>
      <c r="P445" s="66"/>
      <c r="Q445" s="66"/>
      <c r="R445" s="66"/>
      <c r="S445" s="66"/>
      <c r="T445" s="138" t="str">
        <f>IFERROR(LOOKUP($S445,MOTORISTAS!$D$3:$D$1048576,MOTORISTAS!E$3:$E$1048576),"")</f>
        <v/>
      </c>
      <c r="U445" s="138" t="str">
        <f>IFERROR(LOOKUP($S445,MOTORISTAS!$D$3:$D$1048576,MOTORISTAS!F$3:$F$1048576),"")</f>
        <v/>
      </c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44"/>
      <c r="AG445" s="254">
        <f>Prog_236[[#This Row],[SAÍDA DO CLIENTE]]-Prog_236[[#This Row],[PROGRAMAÇÃO CLIENTE]]</f>
        <v>0</v>
      </c>
      <c r="AH445" s="44"/>
      <c r="AI445" s="66"/>
      <c r="AJ445" s="66"/>
      <c r="AK445" s="66"/>
      <c r="AL445" s="66"/>
      <c r="AM445" s="66"/>
      <c r="AN445" s="83"/>
      <c r="AO445" s="66"/>
      <c r="AP445" s="66"/>
      <c r="AQ445" s="66"/>
      <c r="AR445" s="81"/>
      <c r="AS445" s="81"/>
      <c r="AT445" s="81"/>
      <c r="AU445" s="81"/>
      <c r="AV445" s="83">
        <f>SUM(Prog_236[[#This Row],[ADIANTAMENTO]]+Prog_236[[#This Row],[SALDO]]+Prog_236[[#This Row],[MARGEM]]+Prog_236[[#This Row],[ESTADIA 1]])</f>
        <v>0</v>
      </c>
      <c r="AW4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5" s="81"/>
      <c r="AY445" s="81"/>
      <c r="AZ445" s="81">
        <f>Prog_236[[#This Row],[VLR NF]]*0.1%</f>
        <v>0</v>
      </c>
      <c r="BA445" s="81">
        <f>Prog_236[[#This Row],[VLR NF]]*0.05%</f>
        <v>0</v>
      </c>
      <c r="BB445" s="81"/>
      <c r="BC445" s="81"/>
      <c r="BD445" s="81"/>
      <c r="BE445" s="81"/>
      <c r="BF445" s="81"/>
      <c r="BG445" s="81"/>
      <c r="BH445" s="81"/>
      <c r="BI445" s="81"/>
      <c r="BJ445" s="81"/>
      <c r="BK445" s="81"/>
      <c r="BL445" s="66"/>
      <c r="BM445" s="66"/>
      <c r="BN445" s="66"/>
      <c r="BO445" s="66" t="str">
        <f>PROPER(TEXT(Prog_236[[#This Row],[PROGRAMAÇÃO CLIENTE]],"mmm"))</f>
        <v>Jan</v>
      </c>
      <c r="BP445" s="66">
        <f>YEAR(Prog_236[[#This Row],[PROGRAMAÇÃO CLIENTE]])</f>
        <v>1900</v>
      </c>
    </row>
    <row r="446" spans="1:68" x14ac:dyDescent="0.25">
      <c r="A446" s="201">
        <f>Prog_236[[#This Row],[CONTEINER]]</f>
        <v>0</v>
      </c>
      <c r="B446" s="86"/>
      <c r="C4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6" s="44"/>
      <c r="E446" s="66"/>
      <c r="F446" s="66"/>
      <c r="G446" s="66"/>
      <c r="H446" s="44"/>
      <c r="I446" s="44"/>
      <c r="J446" s="66"/>
      <c r="K446" s="66"/>
      <c r="L446" s="66"/>
      <c r="M446" s="66"/>
      <c r="N446" s="66">
        <f>SUM(Prog_236[[#This Row],[TARA]]+Prog_236[[#This Row],[PESO]])</f>
        <v>0</v>
      </c>
      <c r="O446" s="44"/>
      <c r="P446" s="66"/>
      <c r="Q446" s="66"/>
      <c r="R446" s="66"/>
      <c r="S446" s="66"/>
      <c r="T446" s="138" t="str">
        <f>IFERROR(LOOKUP($S446,MOTORISTAS!$D$3:$D$1048576,MOTORISTAS!E$3:$E$1048576),"")</f>
        <v/>
      </c>
      <c r="U446" s="138" t="str">
        <f>IFERROR(LOOKUP($S446,MOTORISTAS!$D$3:$D$1048576,MOTORISTAS!F$3:$F$1048576),"")</f>
        <v/>
      </c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44"/>
      <c r="AG446" s="254">
        <f>Prog_236[[#This Row],[SAÍDA DO CLIENTE]]-Prog_236[[#This Row],[PROGRAMAÇÃO CLIENTE]]</f>
        <v>0</v>
      </c>
      <c r="AH446" s="44"/>
      <c r="AI446" s="66"/>
      <c r="AJ446" s="66"/>
      <c r="AK446" s="66"/>
      <c r="AL446" s="66"/>
      <c r="AM446" s="66"/>
      <c r="AN446" s="83"/>
      <c r="AO446" s="66"/>
      <c r="AP446" s="66"/>
      <c r="AQ446" s="66"/>
      <c r="AR446" s="81"/>
      <c r="AS446" s="81"/>
      <c r="AT446" s="81"/>
      <c r="AU446" s="81"/>
      <c r="AV446" s="83">
        <f>SUM(Prog_236[[#This Row],[ADIANTAMENTO]]+Prog_236[[#This Row],[SALDO]]+Prog_236[[#This Row],[MARGEM]]+Prog_236[[#This Row],[ESTADIA 1]])</f>
        <v>0</v>
      </c>
      <c r="AW4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6" s="81"/>
      <c r="AY446" s="81"/>
      <c r="AZ446" s="81">
        <f>Prog_236[[#This Row],[VLR NF]]*0.1%</f>
        <v>0</v>
      </c>
      <c r="BA446" s="81">
        <f>Prog_236[[#This Row],[VLR NF]]*0.05%</f>
        <v>0</v>
      </c>
      <c r="BB446" s="81"/>
      <c r="BC446" s="81"/>
      <c r="BD446" s="81"/>
      <c r="BE446" s="81"/>
      <c r="BF446" s="81"/>
      <c r="BG446" s="81"/>
      <c r="BH446" s="81"/>
      <c r="BI446" s="81"/>
      <c r="BJ446" s="81"/>
      <c r="BK446" s="81"/>
      <c r="BL446" s="66"/>
      <c r="BM446" s="66"/>
      <c r="BN446" s="66"/>
      <c r="BO446" s="66" t="str">
        <f>PROPER(TEXT(Prog_236[[#This Row],[PROGRAMAÇÃO CLIENTE]],"mmm"))</f>
        <v>Jan</v>
      </c>
      <c r="BP446" s="66">
        <f>YEAR(Prog_236[[#This Row],[PROGRAMAÇÃO CLIENTE]])</f>
        <v>1900</v>
      </c>
    </row>
    <row r="447" spans="1:68" x14ac:dyDescent="0.25">
      <c r="A447" s="200">
        <f>Prog_236[[#This Row],[CONTEINER]]</f>
        <v>0</v>
      </c>
      <c r="B447" s="86"/>
      <c r="C4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7" s="44"/>
      <c r="E447" s="66"/>
      <c r="F447" s="66"/>
      <c r="G447" s="66"/>
      <c r="H447" s="44"/>
      <c r="I447" s="44"/>
      <c r="J447" s="66"/>
      <c r="K447" s="66"/>
      <c r="L447" s="66"/>
      <c r="M447" s="66"/>
      <c r="N447" s="66">
        <f>SUM(Prog_236[[#This Row],[TARA]]+Prog_236[[#This Row],[PESO]])</f>
        <v>0</v>
      </c>
      <c r="O447" s="44"/>
      <c r="P447" s="66"/>
      <c r="Q447" s="66"/>
      <c r="R447" s="66"/>
      <c r="S447" s="66"/>
      <c r="T447" s="138" t="str">
        <f>IFERROR(LOOKUP($S447,MOTORISTAS!$D$3:$D$1048576,MOTORISTAS!E$3:$E$1048576),"")</f>
        <v/>
      </c>
      <c r="U447" s="138" t="str">
        <f>IFERROR(LOOKUP($S447,MOTORISTAS!$D$3:$D$1048576,MOTORISTAS!F$3:$F$1048576),"")</f>
        <v/>
      </c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44"/>
      <c r="AG447" s="254">
        <f>Prog_236[[#This Row],[SAÍDA DO CLIENTE]]-Prog_236[[#This Row],[PROGRAMAÇÃO CLIENTE]]</f>
        <v>0</v>
      </c>
      <c r="AH447" s="44"/>
      <c r="AI447" s="66"/>
      <c r="AJ447" s="66"/>
      <c r="AK447" s="66"/>
      <c r="AL447" s="66"/>
      <c r="AM447" s="66"/>
      <c r="AN447" s="83"/>
      <c r="AO447" s="66"/>
      <c r="AP447" s="66"/>
      <c r="AQ447" s="66"/>
      <c r="AR447" s="81"/>
      <c r="AS447" s="81"/>
      <c r="AT447" s="81"/>
      <c r="AU447" s="81"/>
      <c r="AV447" s="83">
        <f>SUM(Prog_236[[#This Row],[ADIANTAMENTO]]+Prog_236[[#This Row],[SALDO]]+Prog_236[[#This Row],[MARGEM]]+Prog_236[[#This Row],[ESTADIA 1]])</f>
        <v>0</v>
      </c>
      <c r="AW4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7" s="81"/>
      <c r="AY447" s="81"/>
      <c r="AZ447" s="81">
        <f>Prog_236[[#This Row],[VLR NF]]*0.1%</f>
        <v>0</v>
      </c>
      <c r="BA447" s="81">
        <f>Prog_236[[#This Row],[VLR NF]]*0.05%</f>
        <v>0</v>
      </c>
      <c r="BB447" s="81"/>
      <c r="BC447" s="81"/>
      <c r="BD447" s="81"/>
      <c r="BE447" s="81"/>
      <c r="BF447" s="81"/>
      <c r="BG447" s="81"/>
      <c r="BH447" s="81"/>
      <c r="BI447" s="81"/>
      <c r="BJ447" s="81"/>
      <c r="BK447" s="81"/>
      <c r="BL447" s="66"/>
      <c r="BM447" s="66"/>
      <c r="BN447" s="66"/>
      <c r="BO447" s="66" t="str">
        <f>PROPER(TEXT(Prog_236[[#This Row],[PROGRAMAÇÃO CLIENTE]],"mmm"))</f>
        <v>Jan</v>
      </c>
      <c r="BP447" s="66">
        <f>YEAR(Prog_236[[#This Row],[PROGRAMAÇÃO CLIENTE]])</f>
        <v>1900</v>
      </c>
    </row>
    <row r="448" spans="1:68" x14ac:dyDescent="0.25">
      <c r="A448" s="201">
        <f>Prog_236[[#This Row],[CONTEINER]]</f>
        <v>0</v>
      </c>
      <c r="B448" s="86"/>
      <c r="C4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8" s="44"/>
      <c r="E448" s="66"/>
      <c r="F448" s="66"/>
      <c r="G448" s="66"/>
      <c r="H448" s="44"/>
      <c r="I448" s="44"/>
      <c r="J448" s="66"/>
      <c r="K448" s="66"/>
      <c r="L448" s="66"/>
      <c r="M448" s="66"/>
      <c r="N448" s="66">
        <f>SUM(Prog_236[[#This Row],[TARA]]+Prog_236[[#This Row],[PESO]])</f>
        <v>0</v>
      </c>
      <c r="O448" s="44"/>
      <c r="P448" s="66"/>
      <c r="Q448" s="66"/>
      <c r="R448" s="66"/>
      <c r="S448" s="66"/>
      <c r="T448" s="138" t="str">
        <f>IFERROR(LOOKUP($S448,MOTORISTAS!$D$3:$D$1048576,MOTORISTAS!E$3:$E$1048576),"")</f>
        <v/>
      </c>
      <c r="U448" s="138" t="str">
        <f>IFERROR(LOOKUP($S448,MOTORISTAS!$D$3:$D$1048576,MOTORISTAS!F$3:$F$1048576),"")</f>
        <v/>
      </c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44"/>
      <c r="AG448" s="254">
        <f>Prog_236[[#This Row],[SAÍDA DO CLIENTE]]-Prog_236[[#This Row],[PROGRAMAÇÃO CLIENTE]]</f>
        <v>0</v>
      </c>
      <c r="AH448" s="44"/>
      <c r="AI448" s="66"/>
      <c r="AJ448" s="66"/>
      <c r="AK448" s="66"/>
      <c r="AL448" s="66"/>
      <c r="AM448" s="66"/>
      <c r="AN448" s="83"/>
      <c r="AO448" s="66"/>
      <c r="AP448" s="66"/>
      <c r="AQ448" s="66"/>
      <c r="AR448" s="81"/>
      <c r="AS448" s="81"/>
      <c r="AT448" s="81"/>
      <c r="AU448" s="81"/>
      <c r="AV448" s="83">
        <f>SUM(Prog_236[[#This Row],[ADIANTAMENTO]]+Prog_236[[#This Row],[SALDO]]+Prog_236[[#This Row],[MARGEM]]+Prog_236[[#This Row],[ESTADIA 1]])</f>
        <v>0</v>
      </c>
      <c r="AW4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8" s="81"/>
      <c r="AY448" s="81"/>
      <c r="AZ448" s="81">
        <f>Prog_236[[#This Row],[VLR NF]]*0.1%</f>
        <v>0</v>
      </c>
      <c r="BA448" s="81">
        <f>Prog_236[[#This Row],[VLR NF]]*0.05%</f>
        <v>0</v>
      </c>
      <c r="BB448" s="81"/>
      <c r="BC448" s="81"/>
      <c r="BD448" s="81"/>
      <c r="BE448" s="81"/>
      <c r="BF448" s="81"/>
      <c r="BG448" s="81"/>
      <c r="BH448" s="81"/>
      <c r="BI448" s="81"/>
      <c r="BJ448" s="81"/>
      <c r="BK448" s="81"/>
      <c r="BL448" s="66"/>
      <c r="BM448" s="66"/>
      <c r="BN448" s="66"/>
      <c r="BO448" s="66" t="str">
        <f>PROPER(TEXT(Prog_236[[#This Row],[PROGRAMAÇÃO CLIENTE]],"mmm"))</f>
        <v>Jan</v>
      </c>
      <c r="BP448" s="66">
        <f>YEAR(Prog_236[[#This Row],[PROGRAMAÇÃO CLIENTE]])</f>
        <v>1900</v>
      </c>
    </row>
    <row r="449" spans="1:68" x14ac:dyDescent="0.25">
      <c r="A449" s="200">
        <f>Prog_236[[#This Row],[CONTEINER]]</f>
        <v>0</v>
      </c>
      <c r="B449" s="86"/>
      <c r="C4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49" s="44"/>
      <c r="E449" s="66"/>
      <c r="F449" s="66"/>
      <c r="G449" s="66"/>
      <c r="H449" s="44"/>
      <c r="I449" s="44"/>
      <c r="J449" s="66"/>
      <c r="K449" s="66"/>
      <c r="L449" s="66"/>
      <c r="M449" s="66"/>
      <c r="N449" s="66">
        <f>SUM(Prog_236[[#This Row],[TARA]]+Prog_236[[#This Row],[PESO]])</f>
        <v>0</v>
      </c>
      <c r="O449" s="44"/>
      <c r="P449" s="66"/>
      <c r="Q449" s="66"/>
      <c r="R449" s="66"/>
      <c r="S449" s="66"/>
      <c r="T449" s="138" t="str">
        <f>IFERROR(LOOKUP($S449,MOTORISTAS!$D$3:$D$1048576,MOTORISTAS!E$3:$E$1048576),"")</f>
        <v/>
      </c>
      <c r="U449" s="138" t="str">
        <f>IFERROR(LOOKUP($S449,MOTORISTAS!$D$3:$D$1048576,MOTORISTAS!F$3:$F$1048576),"")</f>
        <v/>
      </c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44"/>
      <c r="AG449" s="254">
        <f>Prog_236[[#This Row],[SAÍDA DO CLIENTE]]-Prog_236[[#This Row],[PROGRAMAÇÃO CLIENTE]]</f>
        <v>0</v>
      </c>
      <c r="AH449" s="44"/>
      <c r="AI449" s="66"/>
      <c r="AJ449" s="66"/>
      <c r="AK449" s="66"/>
      <c r="AL449" s="66"/>
      <c r="AM449" s="66"/>
      <c r="AN449" s="83"/>
      <c r="AO449" s="66"/>
      <c r="AP449" s="66"/>
      <c r="AQ449" s="66"/>
      <c r="AR449" s="81"/>
      <c r="AS449" s="81"/>
      <c r="AT449" s="81"/>
      <c r="AU449" s="81"/>
      <c r="AV449" s="83">
        <f>SUM(Prog_236[[#This Row],[ADIANTAMENTO]]+Prog_236[[#This Row],[SALDO]]+Prog_236[[#This Row],[MARGEM]]+Prog_236[[#This Row],[ESTADIA 1]])</f>
        <v>0</v>
      </c>
      <c r="AW4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49" s="81"/>
      <c r="AY449" s="81"/>
      <c r="AZ449" s="81">
        <f>Prog_236[[#This Row],[VLR NF]]*0.1%</f>
        <v>0</v>
      </c>
      <c r="BA449" s="81">
        <f>Prog_236[[#This Row],[VLR NF]]*0.05%</f>
        <v>0</v>
      </c>
      <c r="BB449" s="81"/>
      <c r="BC449" s="81"/>
      <c r="BD449" s="81"/>
      <c r="BE449" s="81"/>
      <c r="BF449" s="81"/>
      <c r="BG449" s="81"/>
      <c r="BH449" s="81"/>
      <c r="BI449" s="81"/>
      <c r="BJ449" s="81"/>
      <c r="BK449" s="81"/>
      <c r="BL449" s="66"/>
      <c r="BM449" s="66"/>
      <c r="BN449" s="66"/>
      <c r="BO449" s="66" t="str">
        <f>PROPER(TEXT(Prog_236[[#This Row],[PROGRAMAÇÃO CLIENTE]],"mmm"))</f>
        <v>Jan</v>
      </c>
      <c r="BP449" s="66">
        <f>YEAR(Prog_236[[#This Row],[PROGRAMAÇÃO CLIENTE]])</f>
        <v>1900</v>
      </c>
    </row>
    <row r="450" spans="1:68" x14ac:dyDescent="0.25">
      <c r="A450" s="201">
        <f>Prog_236[[#This Row],[CONTEINER]]</f>
        <v>0</v>
      </c>
      <c r="B450" s="86"/>
      <c r="C4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0" s="44"/>
      <c r="E450" s="66"/>
      <c r="F450" s="66"/>
      <c r="G450" s="66"/>
      <c r="H450" s="44"/>
      <c r="I450" s="44"/>
      <c r="J450" s="66"/>
      <c r="K450" s="66"/>
      <c r="L450" s="66"/>
      <c r="M450" s="66"/>
      <c r="N450" s="66">
        <f>SUM(Prog_236[[#This Row],[TARA]]+Prog_236[[#This Row],[PESO]])</f>
        <v>0</v>
      </c>
      <c r="O450" s="44"/>
      <c r="P450" s="66"/>
      <c r="Q450" s="66"/>
      <c r="R450" s="66"/>
      <c r="S450" s="66"/>
      <c r="T450" s="138" t="str">
        <f>IFERROR(LOOKUP($S450,MOTORISTAS!$D$3:$D$1048576,MOTORISTAS!E$3:$E$1048576),"")</f>
        <v/>
      </c>
      <c r="U450" s="138" t="str">
        <f>IFERROR(LOOKUP($S450,MOTORISTAS!$D$3:$D$1048576,MOTORISTAS!F$3:$F$1048576),"")</f>
        <v/>
      </c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44"/>
      <c r="AG450" s="254">
        <f>Prog_236[[#This Row],[SAÍDA DO CLIENTE]]-Prog_236[[#This Row],[PROGRAMAÇÃO CLIENTE]]</f>
        <v>0</v>
      </c>
      <c r="AH450" s="44"/>
      <c r="AI450" s="66"/>
      <c r="AJ450" s="66"/>
      <c r="AK450" s="66"/>
      <c r="AL450" s="66"/>
      <c r="AM450" s="66"/>
      <c r="AN450" s="83"/>
      <c r="AO450" s="66"/>
      <c r="AP450" s="66"/>
      <c r="AQ450" s="66"/>
      <c r="AR450" s="81"/>
      <c r="AS450" s="81"/>
      <c r="AT450" s="81"/>
      <c r="AU450" s="81"/>
      <c r="AV450" s="83">
        <f>SUM(Prog_236[[#This Row],[ADIANTAMENTO]]+Prog_236[[#This Row],[SALDO]]+Prog_236[[#This Row],[MARGEM]]+Prog_236[[#This Row],[ESTADIA 1]])</f>
        <v>0</v>
      </c>
      <c r="AW4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0" s="81"/>
      <c r="AY450" s="81"/>
      <c r="AZ450" s="81">
        <f>Prog_236[[#This Row],[VLR NF]]*0.1%</f>
        <v>0</v>
      </c>
      <c r="BA450" s="81">
        <f>Prog_236[[#This Row],[VLR NF]]*0.05%</f>
        <v>0</v>
      </c>
      <c r="BB450" s="81"/>
      <c r="BC450" s="81"/>
      <c r="BD450" s="81"/>
      <c r="BE450" s="81"/>
      <c r="BF450" s="81"/>
      <c r="BG450" s="81"/>
      <c r="BH450" s="81"/>
      <c r="BI450" s="81"/>
      <c r="BJ450" s="81"/>
      <c r="BK450" s="81"/>
      <c r="BL450" s="66"/>
      <c r="BM450" s="66"/>
      <c r="BN450" s="66"/>
      <c r="BO450" s="66" t="str">
        <f>PROPER(TEXT(Prog_236[[#This Row],[PROGRAMAÇÃO CLIENTE]],"mmm"))</f>
        <v>Jan</v>
      </c>
      <c r="BP450" s="66">
        <f>YEAR(Prog_236[[#This Row],[PROGRAMAÇÃO CLIENTE]])</f>
        <v>1900</v>
      </c>
    </row>
    <row r="451" spans="1:68" x14ac:dyDescent="0.25">
      <c r="A451" s="200">
        <f>Prog_236[[#This Row],[CONTEINER]]</f>
        <v>0</v>
      </c>
      <c r="B451" s="86"/>
      <c r="C4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1" s="44"/>
      <c r="E451" s="66"/>
      <c r="F451" s="66"/>
      <c r="G451" s="66"/>
      <c r="H451" s="44"/>
      <c r="I451" s="44"/>
      <c r="J451" s="66"/>
      <c r="K451" s="66"/>
      <c r="L451" s="66"/>
      <c r="M451" s="66"/>
      <c r="N451" s="66">
        <f>SUM(Prog_236[[#This Row],[TARA]]+Prog_236[[#This Row],[PESO]])</f>
        <v>0</v>
      </c>
      <c r="O451" s="44"/>
      <c r="P451" s="66"/>
      <c r="Q451" s="66"/>
      <c r="R451" s="66"/>
      <c r="S451" s="66"/>
      <c r="T451" s="138" t="str">
        <f>IFERROR(LOOKUP($S451,MOTORISTAS!$D$3:$D$1048576,MOTORISTAS!E$3:$E$1048576),"")</f>
        <v/>
      </c>
      <c r="U451" s="138" t="str">
        <f>IFERROR(LOOKUP($S451,MOTORISTAS!$D$3:$D$1048576,MOTORISTAS!F$3:$F$1048576),"")</f>
        <v/>
      </c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44"/>
      <c r="AG451" s="254">
        <f>Prog_236[[#This Row],[SAÍDA DO CLIENTE]]-Prog_236[[#This Row],[PROGRAMAÇÃO CLIENTE]]</f>
        <v>0</v>
      </c>
      <c r="AH451" s="44"/>
      <c r="AI451" s="66"/>
      <c r="AJ451" s="66"/>
      <c r="AK451" s="66"/>
      <c r="AL451" s="66"/>
      <c r="AM451" s="66"/>
      <c r="AN451" s="83"/>
      <c r="AO451" s="66"/>
      <c r="AP451" s="66"/>
      <c r="AQ451" s="66"/>
      <c r="AR451" s="81"/>
      <c r="AS451" s="81"/>
      <c r="AT451" s="81"/>
      <c r="AU451" s="81"/>
      <c r="AV451" s="83">
        <f>SUM(Prog_236[[#This Row],[ADIANTAMENTO]]+Prog_236[[#This Row],[SALDO]]+Prog_236[[#This Row],[MARGEM]]+Prog_236[[#This Row],[ESTADIA 1]])</f>
        <v>0</v>
      </c>
      <c r="AW4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1" s="81"/>
      <c r="AY451" s="81"/>
      <c r="AZ451" s="81">
        <f>Prog_236[[#This Row],[VLR NF]]*0.1%</f>
        <v>0</v>
      </c>
      <c r="BA451" s="81">
        <f>Prog_236[[#This Row],[VLR NF]]*0.05%</f>
        <v>0</v>
      </c>
      <c r="BB451" s="81"/>
      <c r="BC451" s="81"/>
      <c r="BD451" s="81"/>
      <c r="BE451" s="81"/>
      <c r="BF451" s="81"/>
      <c r="BG451" s="81"/>
      <c r="BH451" s="81"/>
      <c r="BI451" s="81"/>
      <c r="BJ451" s="81"/>
      <c r="BK451" s="81"/>
      <c r="BL451" s="66"/>
      <c r="BM451" s="66"/>
      <c r="BN451" s="66"/>
      <c r="BO451" s="66" t="str">
        <f>PROPER(TEXT(Prog_236[[#This Row],[PROGRAMAÇÃO CLIENTE]],"mmm"))</f>
        <v>Jan</v>
      </c>
      <c r="BP451" s="66">
        <f>YEAR(Prog_236[[#This Row],[PROGRAMAÇÃO CLIENTE]])</f>
        <v>1900</v>
      </c>
    </row>
    <row r="452" spans="1:68" x14ac:dyDescent="0.25">
      <c r="A452" s="201">
        <f>Prog_236[[#This Row],[CONTEINER]]</f>
        <v>0</v>
      </c>
      <c r="B452" s="86"/>
      <c r="C4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2" s="44"/>
      <c r="E452" s="66"/>
      <c r="F452" s="66"/>
      <c r="G452" s="66"/>
      <c r="H452" s="44"/>
      <c r="I452" s="44"/>
      <c r="J452" s="66"/>
      <c r="K452" s="66"/>
      <c r="L452" s="66"/>
      <c r="M452" s="66"/>
      <c r="N452" s="66">
        <f>SUM(Prog_236[[#This Row],[TARA]]+Prog_236[[#This Row],[PESO]])</f>
        <v>0</v>
      </c>
      <c r="O452" s="44"/>
      <c r="P452" s="66"/>
      <c r="Q452" s="66"/>
      <c r="R452" s="66"/>
      <c r="S452" s="66"/>
      <c r="T452" s="138" t="str">
        <f>IFERROR(LOOKUP($S452,MOTORISTAS!$D$3:$D$1048576,MOTORISTAS!E$3:$E$1048576),"")</f>
        <v/>
      </c>
      <c r="U452" s="138" t="str">
        <f>IFERROR(LOOKUP($S452,MOTORISTAS!$D$3:$D$1048576,MOTORISTAS!F$3:$F$1048576),"")</f>
        <v/>
      </c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44"/>
      <c r="AG452" s="254">
        <f>Prog_236[[#This Row],[SAÍDA DO CLIENTE]]-Prog_236[[#This Row],[PROGRAMAÇÃO CLIENTE]]</f>
        <v>0</v>
      </c>
      <c r="AH452" s="44"/>
      <c r="AI452" s="66"/>
      <c r="AJ452" s="66"/>
      <c r="AK452" s="66"/>
      <c r="AL452" s="66"/>
      <c r="AM452" s="66"/>
      <c r="AN452" s="83"/>
      <c r="AO452" s="66"/>
      <c r="AP452" s="66"/>
      <c r="AQ452" s="66"/>
      <c r="AR452" s="81"/>
      <c r="AS452" s="81"/>
      <c r="AT452" s="81"/>
      <c r="AU452" s="81"/>
      <c r="AV452" s="83">
        <f>SUM(Prog_236[[#This Row],[ADIANTAMENTO]]+Prog_236[[#This Row],[SALDO]]+Prog_236[[#This Row],[MARGEM]]+Prog_236[[#This Row],[ESTADIA 1]])</f>
        <v>0</v>
      </c>
      <c r="AW4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2" s="81"/>
      <c r="AY452" s="81"/>
      <c r="AZ452" s="81">
        <f>Prog_236[[#This Row],[VLR NF]]*0.1%</f>
        <v>0</v>
      </c>
      <c r="BA452" s="81">
        <f>Prog_236[[#This Row],[VLR NF]]*0.05%</f>
        <v>0</v>
      </c>
      <c r="BB452" s="81"/>
      <c r="BC452" s="81"/>
      <c r="BD452" s="81"/>
      <c r="BE452" s="81"/>
      <c r="BF452" s="81"/>
      <c r="BG452" s="81"/>
      <c r="BH452" s="81"/>
      <c r="BI452" s="81"/>
      <c r="BJ452" s="81"/>
      <c r="BK452" s="81"/>
      <c r="BL452" s="66"/>
      <c r="BM452" s="66"/>
      <c r="BN452" s="66"/>
      <c r="BO452" s="66" t="str">
        <f>PROPER(TEXT(Prog_236[[#This Row],[PROGRAMAÇÃO CLIENTE]],"mmm"))</f>
        <v>Jan</v>
      </c>
      <c r="BP452" s="66">
        <f>YEAR(Prog_236[[#This Row],[PROGRAMAÇÃO CLIENTE]])</f>
        <v>1900</v>
      </c>
    </row>
    <row r="453" spans="1:68" x14ac:dyDescent="0.25">
      <c r="A453" s="200">
        <f>Prog_236[[#This Row],[CONTEINER]]</f>
        <v>0</v>
      </c>
      <c r="B453" s="86"/>
      <c r="C4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3" s="44"/>
      <c r="E453" s="66"/>
      <c r="F453" s="66"/>
      <c r="G453" s="66"/>
      <c r="H453" s="44"/>
      <c r="I453" s="44"/>
      <c r="J453" s="66"/>
      <c r="K453" s="66"/>
      <c r="L453" s="66"/>
      <c r="M453" s="66"/>
      <c r="N453" s="66">
        <f>SUM(Prog_236[[#This Row],[TARA]]+Prog_236[[#This Row],[PESO]])</f>
        <v>0</v>
      </c>
      <c r="O453" s="44"/>
      <c r="P453" s="66"/>
      <c r="Q453" s="66"/>
      <c r="R453" s="66"/>
      <c r="S453" s="66"/>
      <c r="T453" s="138" t="str">
        <f>IFERROR(LOOKUP($S453,MOTORISTAS!$D$3:$D$1048576,MOTORISTAS!E$3:$E$1048576),"")</f>
        <v/>
      </c>
      <c r="U453" s="138" t="str">
        <f>IFERROR(LOOKUP($S453,MOTORISTAS!$D$3:$D$1048576,MOTORISTAS!F$3:$F$1048576),"")</f>
        <v/>
      </c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44"/>
      <c r="AG453" s="254">
        <f>Prog_236[[#This Row],[SAÍDA DO CLIENTE]]-Prog_236[[#This Row],[PROGRAMAÇÃO CLIENTE]]</f>
        <v>0</v>
      </c>
      <c r="AH453" s="44"/>
      <c r="AI453" s="66"/>
      <c r="AJ453" s="66"/>
      <c r="AK453" s="66"/>
      <c r="AL453" s="66"/>
      <c r="AM453" s="66"/>
      <c r="AN453" s="83"/>
      <c r="AO453" s="66"/>
      <c r="AP453" s="66"/>
      <c r="AQ453" s="66"/>
      <c r="AR453" s="81"/>
      <c r="AS453" s="81"/>
      <c r="AT453" s="81"/>
      <c r="AU453" s="81"/>
      <c r="AV453" s="83">
        <f>SUM(Prog_236[[#This Row],[ADIANTAMENTO]]+Prog_236[[#This Row],[SALDO]]+Prog_236[[#This Row],[MARGEM]]+Prog_236[[#This Row],[ESTADIA 1]])</f>
        <v>0</v>
      </c>
      <c r="AW4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3" s="81"/>
      <c r="AY453" s="81"/>
      <c r="AZ453" s="81">
        <f>Prog_236[[#This Row],[VLR NF]]*0.1%</f>
        <v>0</v>
      </c>
      <c r="BA453" s="81">
        <f>Prog_236[[#This Row],[VLR NF]]*0.05%</f>
        <v>0</v>
      </c>
      <c r="BB453" s="81"/>
      <c r="BC453" s="81"/>
      <c r="BD453" s="81"/>
      <c r="BE453" s="81"/>
      <c r="BF453" s="81"/>
      <c r="BG453" s="81"/>
      <c r="BH453" s="81"/>
      <c r="BI453" s="81"/>
      <c r="BJ453" s="81"/>
      <c r="BK453" s="81"/>
      <c r="BL453" s="66"/>
      <c r="BM453" s="66"/>
      <c r="BN453" s="66"/>
      <c r="BO453" s="66" t="str">
        <f>PROPER(TEXT(Prog_236[[#This Row],[PROGRAMAÇÃO CLIENTE]],"mmm"))</f>
        <v>Jan</v>
      </c>
      <c r="BP453" s="66">
        <f>YEAR(Prog_236[[#This Row],[PROGRAMAÇÃO CLIENTE]])</f>
        <v>1900</v>
      </c>
    </row>
    <row r="454" spans="1:68" x14ac:dyDescent="0.25">
      <c r="A454" s="201">
        <f>Prog_236[[#This Row],[CONTEINER]]</f>
        <v>0</v>
      </c>
      <c r="B454" s="86"/>
      <c r="C4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4" s="44"/>
      <c r="E454" s="66"/>
      <c r="F454" s="66"/>
      <c r="G454" s="66"/>
      <c r="H454" s="44"/>
      <c r="I454" s="44"/>
      <c r="J454" s="66"/>
      <c r="K454" s="66"/>
      <c r="L454" s="66"/>
      <c r="M454" s="66"/>
      <c r="N454" s="66">
        <f>SUM(Prog_236[[#This Row],[TARA]]+Prog_236[[#This Row],[PESO]])</f>
        <v>0</v>
      </c>
      <c r="O454" s="44"/>
      <c r="P454" s="66"/>
      <c r="Q454" s="66"/>
      <c r="R454" s="66"/>
      <c r="S454" s="66"/>
      <c r="T454" s="138" t="str">
        <f>IFERROR(LOOKUP($S454,MOTORISTAS!$D$3:$D$1048576,MOTORISTAS!E$3:$E$1048576),"")</f>
        <v/>
      </c>
      <c r="U454" s="138" t="str">
        <f>IFERROR(LOOKUP($S454,MOTORISTAS!$D$3:$D$1048576,MOTORISTAS!F$3:$F$1048576),"")</f>
        <v/>
      </c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44"/>
      <c r="AG454" s="254">
        <f>Prog_236[[#This Row],[SAÍDA DO CLIENTE]]-Prog_236[[#This Row],[PROGRAMAÇÃO CLIENTE]]</f>
        <v>0</v>
      </c>
      <c r="AH454" s="44"/>
      <c r="AI454" s="66"/>
      <c r="AJ454" s="66"/>
      <c r="AK454" s="66"/>
      <c r="AL454" s="66"/>
      <c r="AM454" s="66"/>
      <c r="AN454" s="83"/>
      <c r="AO454" s="66"/>
      <c r="AP454" s="66"/>
      <c r="AQ454" s="66"/>
      <c r="AR454" s="81"/>
      <c r="AS454" s="81"/>
      <c r="AT454" s="81"/>
      <c r="AU454" s="81"/>
      <c r="AV454" s="83">
        <f>SUM(Prog_236[[#This Row],[ADIANTAMENTO]]+Prog_236[[#This Row],[SALDO]]+Prog_236[[#This Row],[MARGEM]]+Prog_236[[#This Row],[ESTADIA 1]])</f>
        <v>0</v>
      </c>
      <c r="AW4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4" s="81"/>
      <c r="AY454" s="81"/>
      <c r="AZ454" s="81">
        <f>Prog_236[[#This Row],[VLR NF]]*0.1%</f>
        <v>0</v>
      </c>
      <c r="BA454" s="81">
        <f>Prog_236[[#This Row],[VLR NF]]*0.05%</f>
        <v>0</v>
      </c>
      <c r="BB454" s="81"/>
      <c r="BC454" s="81"/>
      <c r="BD454" s="81"/>
      <c r="BE454" s="81"/>
      <c r="BF454" s="81"/>
      <c r="BG454" s="81"/>
      <c r="BH454" s="81"/>
      <c r="BI454" s="81"/>
      <c r="BJ454" s="81"/>
      <c r="BK454" s="81"/>
      <c r="BL454" s="66"/>
      <c r="BM454" s="66"/>
      <c r="BN454" s="66"/>
      <c r="BO454" s="66" t="str">
        <f>PROPER(TEXT(Prog_236[[#This Row],[PROGRAMAÇÃO CLIENTE]],"mmm"))</f>
        <v>Jan</v>
      </c>
      <c r="BP454" s="66">
        <f>YEAR(Prog_236[[#This Row],[PROGRAMAÇÃO CLIENTE]])</f>
        <v>1900</v>
      </c>
    </row>
    <row r="455" spans="1:68" x14ac:dyDescent="0.25">
      <c r="A455" s="200">
        <f>Prog_236[[#This Row],[CONTEINER]]</f>
        <v>0</v>
      </c>
      <c r="B455" s="86"/>
      <c r="C4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5" s="44"/>
      <c r="E455" s="66"/>
      <c r="F455" s="66"/>
      <c r="G455" s="66"/>
      <c r="H455" s="44"/>
      <c r="I455" s="44"/>
      <c r="J455" s="66"/>
      <c r="K455" s="66"/>
      <c r="L455" s="66"/>
      <c r="M455" s="66"/>
      <c r="N455" s="66">
        <f>SUM(Prog_236[[#This Row],[TARA]]+Prog_236[[#This Row],[PESO]])</f>
        <v>0</v>
      </c>
      <c r="O455" s="44"/>
      <c r="P455" s="66"/>
      <c r="Q455" s="66"/>
      <c r="R455" s="66"/>
      <c r="S455" s="66"/>
      <c r="T455" s="138" t="str">
        <f>IFERROR(LOOKUP($S455,MOTORISTAS!$D$3:$D$1048576,MOTORISTAS!E$3:$E$1048576),"")</f>
        <v/>
      </c>
      <c r="U455" s="138" t="str">
        <f>IFERROR(LOOKUP($S455,MOTORISTAS!$D$3:$D$1048576,MOTORISTAS!F$3:$F$1048576),"")</f>
        <v/>
      </c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44"/>
      <c r="AG455" s="254">
        <f>Prog_236[[#This Row],[SAÍDA DO CLIENTE]]-Prog_236[[#This Row],[PROGRAMAÇÃO CLIENTE]]</f>
        <v>0</v>
      </c>
      <c r="AH455" s="44"/>
      <c r="AI455" s="66"/>
      <c r="AJ455" s="66"/>
      <c r="AK455" s="66"/>
      <c r="AL455" s="66"/>
      <c r="AM455" s="66"/>
      <c r="AN455" s="83"/>
      <c r="AO455" s="66"/>
      <c r="AP455" s="66"/>
      <c r="AQ455" s="66"/>
      <c r="AR455" s="81"/>
      <c r="AS455" s="81"/>
      <c r="AT455" s="81"/>
      <c r="AU455" s="81"/>
      <c r="AV455" s="83">
        <f>SUM(Prog_236[[#This Row],[ADIANTAMENTO]]+Prog_236[[#This Row],[SALDO]]+Prog_236[[#This Row],[MARGEM]]+Prog_236[[#This Row],[ESTADIA 1]])</f>
        <v>0</v>
      </c>
      <c r="AW4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5" s="81"/>
      <c r="AY455" s="81"/>
      <c r="AZ455" s="81">
        <f>Prog_236[[#This Row],[VLR NF]]*0.1%</f>
        <v>0</v>
      </c>
      <c r="BA455" s="81">
        <f>Prog_236[[#This Row],[VLR NF]]*0.05%</f>
        <v>0</v>
      </c>
      <c r="BB455" s="81"/>
      <c r="BC455" s="81"/>
      <c r="BD455" s="81"/>
      <c r="BE455" s="81"/>
      <c r="BF455" s="81"/>
      <c r="BG455" s="81"/>
      <c r="BH455" s="81"/>
      <c r="BI455" s="81"/>
      <c r="BJ455" s="81"/>
      <c r="BK455" s="81"/>
      <c r="BL455" s="66"/>
      <c r="BM455" s="66"/>
      <c r="BN455" s="66"/>
      <c r="BO455" s="66" t="str">
        <f>PROPER(TEXT(Prog_236[[#This Row],[PROGRAMAÇÃO CLIENTE]],"mmm"))</f>
        <v>Jan</v>
      </c>
      <c r="BP455" s="66">
        <f>YEAR(Prog_236[[#This Row],[PROGRAMAÇÃO CLIENTE]])</f>
        <v>1900</v>
      </c>
    </row>
    <row r="456" spans="1:68" x14ac:dyDescent="0.25">
      <c r="A456" s="201">
        <f>Prog_236[[#This Row],[CONTEINER]]</f>
        <v>0</v>
      </c>
      <c r="B456" s="86"/>
      <c r="C4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6" s="44"/>
      <c r="E456" s="66"/>
      <c r="F456" s="66"/>
      <c r="G456" s="66"/>
      <c r="H456" s="44"/>
      <c r="I456" s="44"/>
      <c r="J456" s="66"/>
      <c r="K456" s="66"/>
      <c r="L456" s="66"/>
      <c r="M456" s="66"/>
      <c r="N456" s="66">
        <f>SUM(Prog_236[[#This Row],[TARA]]+Prog_236[[#This Row],[PESO]])</f>
        <v>0</v>
      </c>
      <c r="O456" s="44"/>
      <c r="P456" s="66"/>
      <c r="Q456" s="66"/>
      <c r="R456" s="66"/>
      <c r="S456" s="66"/>
      <c r="T456" s="138" t="str">
        <f>IFERROR(LOOKUP($S456,MOTORISTAS!$D$3:$D$1048576,MOTORISTAS!E$3:$E$1048576),"")</f>
        <v/>
      </c>
      <c r="U456" s="138" t="str">
        <f>IFERROR(LOOKUP($S456,MOTORISTAS!$D$3:$D$1048576,MOTORISTAS!F$3:$F$1048576),"")</f>
        <v/>
      </c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44"/>
      <c r="AG456" s="254">
        <f>Prog_236[[#This Row],[SAÍDA DO CLIENTE]]-Prog_236[[#This Row],[PROGRAMAÇÃO CLIENTE]]</f>
        <v>0</v>
      </c>
      <c r="AH456" s="44"/>
      <c r="AI456" s="66"/>
      <c r="AJ456" s="66"/>
      <c r="AK456" s="66"/>
      <c r="AL456" s="66"/>
      <c r="AM456" s="66"/>
      <c r="AN456" s="83"/>
      <c r="AO456" s="66"/>
      <c r="AP456" s="66"/>
      <c r="AQ456" s="66"/>
      <c r="AR456" s="81"/>
      <c r="AS456" s="81"/>
      <c r="AT456" s="81"/>
      <c r="AU456" s="81"/>
      <c r="AV456" s="83">
        <f>SUM(Prog_236[[#This Row],[ADIANTAMENTO]]+Prog_236[[#This Row],[SALDO]]+Prog_236[[#This Row],[MARGEM]]+Prog_236[[#This Row],[ESTADIA 1]])</f>
        <v>0</v>
      </c>
      <c r="AW4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6" s="81"/>
      <c r="AY456" s="81"/>
      <c r="AZ456" s="81">
        <f>Prog_236[[#This Row],[VLR NF]]*0.1%</f>
        <v>0</v>
      </c>
      <c r="BA456" s="81">
        <f>Prog_236[[#This Row],[VLR NF]]*0.05%</f>
        <v>0</v>
      </c>
      <c r="BB456" s="81"/>
      <c r="BC456" s="81"/>
      <c r="BD456" s="81"/>
      <c r="BE456" s="81"/>
      <c r="BF456" s="81"/>
      <c r="BG456" s="81"/>
      <c r="BH456" s="81"/>
      <c r="BI456" s="81"/>
      <c r="BJ456" s="81"/>
      <c r="BK456" s="81"/>
      <c r="BL456" s="66"/>
      <c r="BM456" s="66"/>
      <c r="BN456" s="66"/>
      <c r="BO456" s="66" t="str">
        <f>PROPER(TEXT(Prog_236[[#This Row],[PROGRAMAÇÃO CLIENTE]],"mmm"))</f>
        <v>Jan</v>
      </c>
      <c r="BP456" s="66">
        <f>YEAR(Prog_236[[#This Row],[PROGRAMAÇÃO CLIENTE]])</f>
        <v>1900</v>
      </c>
    </row>
    <row r="457" spans="1:68" x14ac:dyDescent="0.25">
      <c r="A457" s="200">
        <f>Prog_236[[#This Row],[CONTEINER]]</f>
        <v>0</v>
      </c>
      <c r="B457" s="86"/>
      <c r="C4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7" s="44"/>
      <c r="E457" s="66"/>
      <c r="F457" s="66"/>
      <c r="G457" s="66"/>
      <c r="H457" s="44"/>
      <c r="I457" s="44"/>
      <c r="J457" s="66"/>
      <c r="K457" s="66"/>
      <c r="L457" s="66"/>
      <c r="M457" s="66"/>
      <c r="N457" s="66">
        <f>SUM(Prog_236[[#This Row],[TARA]]+Prog_236[[#This Row],[PESO]])</f>
        <v>0</v>
      </c>
      <c r="O457" s="44"/>
      <c r="P457" s="66"/>
      <c r="Q457" s="66"/>
      <c r="R457" s="66"/>
      <c r="S457" s="66"/>
      <c r="T457" s="138" t="str">
        <f>IFERROR(LOOKUP($S457,MOTORISTAS!$D$3:$D$1048576,MOTORISTAS!E$3:$E$1048576),"")</f>
        <v/>
      </c>
      <c r="U457" s="138" t="str">
        <f>IFERROR(LOOKUP($S457,MOTORISTAS!$D$3:$D$1048576,MOTORISTAS!F$3:$F$1048576),"")</f>
        <v/>
      </c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44"/>
      <c r="AG457" s="254">
        <f>Prog_236[[#This Row],[SAÍDA DO CLIENTE]]-Prog_236[[#This Row],[PROGRAMAÇÃO CLIENTE]]</f>
        <v>0</v>
      </c>
      <c r="AH457" s="44"/>
      <c r="AI457" s="66"/>
      <c r="AJ457" s="66"/>
      <c r="AK457" s="66"/>
      <c r="AL457" s="66"/>
      <c r="AM457" s="66"/>
      <c r="AN457" s="83"/>
      <c r="AO457" s="66"/>
      <c r="AP457" s="66"/>
      <c r="AQ457" s="66"/>
      <c r="AR457" s="81"/>
      <c r="AS457" s="81"/>
      <c r="AT457" s="81"/>
      <c r="AU457" s="81"/>
      <c r="AV457" s="83">
        <f>SUM(Prog_236[[#This Row],[ADIANTAMENTO]]+Prog_236[[#This Row],[SALDO]]+Prog_236[[#This Row],[MARGEM]]+Prog_236[[#This Row],[ESTADIA 1]])</f>
        <v>0</v>
      </c>
      <c r="AW4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7" s="81"/>
      <c r="AY457" s="81"/>
      <c r="AZ457" s="81">
        <f>Prog_236[[#This Row],[VLR NF]]*0.1%</f>
        <v>0</v>
      </c>
      <c r="BA457" s="81">
        <f>Prog_236[[#This Row],[VLR NF]]*0.05%</f>
        <v>0</v>
      </c>
      <c r="BB457" s="81"/>
      <c r="BC457" s="81"/>
      <c r="BD457" s="81"/>
      <c r="BE457" s="81"/>
      <c r="BF457" s="81"/>
      <c r="BG457" s="81"/>
      <c r="BH457" s="81"/>
      <c r="BI457" s="81"/>
      <c r="BJ457" s="81"/>
      <c r="BK457" s="81"/>
      <c r="BL457" s="66"/>
      <c r="BM457" s="66"/>
      <c r="BN457" s="66"/>
      <c r="BO457" s="66" t="str">
        <f>PROPER(TEXT(Prog_236[[#This Row],[PROGRAMAÇÃO CLIENTE]],"mmm"))</f>
        <v>Jan</v>
      </c>
      <c r="BP457" s="66">
        <f>YEAR(Prog_236[[#This Row],[PROGRAMAÇÃO CLIENTE]])</f>
        <v>1900</v>
      </c>
    </row>
    <row r="458" spans="1:68" x14ac:dyDescent="0.25">
      <c r="A458" s="201">
        <f>Prog_236[[#This Row],[CONTEINER]]</f>
        <v>0</v>
      </c>
      <c r="B458" s="86"/>
      <c r="C4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8" s="44"/>
      <c r="E458" s="66"/>
      <c r="F458" s="66"/>
      <c r="G458" s="66"/>
      <c r="H458" s="44"/>
      <c r="I458" s="44"/>
      <c r="J458" s="66"/>
      <c r="K458" s="66"/>
      <c r="L458" s="66"/>
      <c r="M458" s="66"/>
      <c r="N458" s="66">
        <f>SUM(Prog_236[[#This Row],[TARA]]+Prog_236[[#This Row],[PESO]])</f>
        <v>0</v>
      </c>
      <c r="O458" s="44"/>
      <c r="P458" s="66"/>
      <c r="Q458" s="66"/>
      <c r="R458" s="66"/>
      <c r="S458" s="66"/>
      <c r="T458" s="138" t="str">
        <f>IFERROR(LOOKUP($S458,MOTORISTAS!$D$3:$D$1048576,MOTORISTAS!E$3:$E$1048576),"")</f>
        <v/>
      </c>
      <c r="U458" s="138" t="str">
        <f>IFERROR(LOOKUP($S458,MOTORISTAS!$D$3:$D$1048576,MOTORISTAS!F$3:$F$1048576),"")</f>
        <v/>
      </c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44"/>
      <c r="AG458" s="254">
        <f>Prog_236[[#This Row],[SAÍDA DO CLIENTE]]-Prog_236[[#This Row],[PROGRAMAÇÃO CLIENTE]]</f>
        <v>0</v>
      </c>
      <c r="AH458" s="44"/>
      <c r="AI458" s="66"/>
      <c r="AJ458" s="66"/>
      <c r="AK458" s="66"/>
      <c r="AL458" s="66"/>
      <c r="AM458" s="66"/>
      <c r="AN458" s="83"/>
      <c r="AO458" s="66"/>
      <c r="AP458" s="66"/>
      <c r="AQ458" s="66"/>
      <c r="AR458" s="81"/>
      <c r="AS458" s="81"/>
      <c r="AT458" s="81"/>
      <c r="AU458" s="81"/>
      <c r="AV458" s="83">
        <f>SUM(Prog_236[[#This Row],[ADIANTAMENTO]]+Prog_236[[#This Row],[SALDO]]+Prog_236[[#This Row],[MARGEM]]+Prog_236[[#This Row],[ESTADIA 1]])</f>
        <v>0</v>
      </c>
      <c r="AW4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8" s="81"/>
      <c r="AY458" s="81"/>
      <c r="AZ458" s="81">
        <f>Prog_236[[#This Row],[VLR NF]]*0.1%</f>
        <v>0</v>
      </c>
      <c r="BA458" s="81">
        <f>Prog_236[[#This Row],[VLR NF]]*0.05%</f>
        <v>0</v>
      </c>
      <c r="BB458" s="81"/>
      <c r="BC458" s="81"/>
      <c r="BD458" s="81"/>
      <c r="BE458" s="81"/>
      <c r="BF458" s="81"/>
      <c r="BG458" s="81"/>
      <c r="BH458" s="81"/>
      <c r="BI458" s="81"/>
      <c r="BJ458" s="81"/>
      <c r="BK458" s="81"/>
      <c r="BL458" s="66"/>
      <c r="BM458" s="66"/>
      <c r="BN458" s="66"/>
      <c r="BO458" s="66" t="str">
        <f>PROPER(TEXT(Prog_236[[#This Row],[PROGRAMAÇÃO CLIENTE]],"mmm"))</f>
        <v>Jan</v>
      </c>
      <c r="BP458" s="66">
        <f>YEAR(Prog_236[[#This Row],[PROGRAMAÇÃO CLIENTE]])</f>
        <v>1900</v>
      </c>
    </row>
    <row r="459" spans="1:68" x14ac:dyDescent="0.25">
      <c r="A459" s="200">
        <f>Prog_236[[#This Row],[CONTEINER]]</f>
        <v>0</v>
      </c>
      <c r="B459" s="86"/>
      <c r="C4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59" s="44"/>
      <c r="E459" s="66"/>
      <c r="F459" s="66"/>
      <c r="G459" s="66"/>
      <c r="H459" s="44"/>
      <c r="I459" s="44"/>
      <c r="J459" s="66"/>
      <c r="K459" s="66"/>
      <c r="L459" s="66"/>
      <c r="M459" s="66"/>
      <c r="N459" s="66">
        <f>SUM(Prog_236[[#This Row],[TARA]]+Prog_236[[#This Row],[PESO]])</f>
        <v>0</v>
      </c>
      <c r="O459" s="44"/>
      <c r="P459" s="66"/>
      <c r="Q459" s="66"/>
      <c r="R459" s="66"/>
      <c r="S459" s="66"/>
      <c r="T459" s="138" t="str">
        <f>IFERROR(LOOKUP($S459,MOTORISTAS!$D$3:$D$1048576,MOTORISTAS!E$3:$E$1048576),"")</f>
        <v/>
      </c>
      <c r="U459" s="138" t="str">
        <f>IFERROR(LOOKUP($S459,MOTORISTAS!$D$3:$D$1048576,MOTORISTAS!F$3:$F$1048576),"")</f>
        <v/>
      </c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44"/>
      <c r="AG459" s="254">
        <f>Prog_236[[#This Row],[SAÍDA DO CLIENTE]]-Prog_236[[#This Row],[PROGRAMAÇÃO CLIENTE]]</f>
        <v>0</v>
      </c>
      <c r="AH459" s="44"/>
      <c r="AI459" s="66"/>
      <c r="AJ459" s="66"/>
      <c r="AK459" s="66"/>
      <c r="AL459" s="66"/>
      <c r="AM459" s="66"/>
      <c r="AN459" s="83"/>
      <c r="AO459" s="66"/>
      <c r="AP459" s="66"/>
      <c r="AQ459" s="66"/>
      <c r="AR459" s="81"/>
      <c r="AS459" s="81"/>
      <c r="AT459" s="81"/>
      <c r="AU459" s="81"/>
      <c r="AV459" s="83">
        <f>SUM(Prog_236[[#This Row],[ADIANTAMENTO]]+Prog_236[[#This Row],[SALDO]]+Prog_236[[#This Row],[MARGEM]]+Prog_236[[#This Row],[ESTADIA 1]])</f>
        <v>0</v>
      </c>
      <c r="AW4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59" s="81"/>
      <c r="AY459" s="81"/>
      <c r="AZ459" s="81">
        <f>Prog_236[[#This Row],[VLR NF]]*0.1%</f>
        <v>0</v>
      </c>
      <c r="BA459" s="81">
        <f>Prog_236[[#This Row],[VLR NF]]*0.05%</f>
        <v>0</v>
      </c>
      <c r="BB459" s="81"/>
      <c r="BC459" s="81"/>
      <c r="BD459" s="81"/>
      <c r="BE459" s="81"/>
      <c r="BF459" s="81"/>
      <c r="BG459" s="81"/>
      <c r="BH459" s="81"/>
      <c r="BI459" s="81"/>
      <c r="BJ459" s="81"/>
      <c r="BK459" s="81"/>
      <c r="BL459" s="66"/>
      <c r="BM459" s="66"/>
      <c r="BN459" s="66"/>
      <c r="BO459" s="66" t="str">
        <f>PROPER(TEXT(Prog_236[[#This Row],[PROGRAMAÇÃO CLIENTE]],"mmm"))</f>
        <v>Jan</v>
      </c>
      <c r="BP459" s="66">
        <f>YEAR(Prog_236[[#This Row],[PROGRAMAÇÃO CLIENTE]])</f>
        <v>1900</v>
      </c>
    </row>
    <row r="460" spans="1:68" x14ac:dyDescent="0.25">
      <c r="A460" s="201">
        <f>Prog_236[[#This Row],[CONTEINER]]</f>
        <v>0</v>
      </c>
      <c r="B460" s="86"/>
      <c r="C4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0" s="44"/>
      <c r="E460" s="66"/>
      <c r="F460" s="66"/>
      <c r="G460" s="66"/>
      <c r="H460" s="44"/>
      <c r="I460" s="44"/>
      <c r="J460" s="66"/>
      <c r="K460" s="66"/>
      <c r="L460" s="66"/>
      <c r="M460" s="66"/>
      <c r="N460" s="66">
        <f>SUM(Prog_236[[#This Row],[TARA]]+Prog_236[[#This Row],[PESO]])</f>
        <v>0</v>
      </c>
      <c r="O460" s="44"/>
      <c r="P460" s="66"/>
      <c r="Q460" s="66"/>
      <c r="R460" s="66"/>
      <c r="S460" s="66"/>
      <c r="T460" s="138" t="str">
        <f>IFERROR(LOOKUP($S460,MOTORISTAS!$D$3:$D$1048576,MOTORISTAS!E$3:$E$1048576),"")</f>
        <v/>
      </c>
      <c r="U460" s="138" t="str">
        <f>IFERROR(LOOKUP($S460,MOTORISTAS!$D$3:$D$1048576,MOTORISTAS!F$3:$F$1048576),"")</f>
        <v/>
      </c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44"/>
      <c r="AG460" s="254">
        <f>Prog_236[[#This Row],[SAÍDA DO CLIENTE]]-Prog_236[[#This Row],[PROGRAMAÇÃO CLIENTE]]</f>
        <v>0</v>
      </c>
      <c r="AH460" s="44"/>
      <c r="AI460" s="66"/>
      <c r="AJ460" s="66"/>
      <c r="AK460" s="66"/>
      <c r="AL460" s="66"/>
      <c r="AM460" s="66"/>
      <c r="AN460" s="83"/>
      <c r="AO460" s="66"/>
      <c r="AP460" s="66"/>
      <c r="AQ460" s="66"/>
      <c r="AR460" s="81"/>
      <c r="AS460" s="81"/>
      <c r="AT460" s="81"/>
      <c r="AU460" s="81"/>
      <c r="AV460" s="83">
        <f>SUM(Prog_236[[#This Row],[ADIANTAMENTO]]+Prog_236[[#This Row],[SALDO]]+Prog_236[[#This Row],[MARGEM]]+Prog_236[[#This Row],[ESTADIA 1]])</f>
        <v>0</v>
      </c>
      <c r="AW4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0" s="81"/>
      <c r="AY460" s="81"/>
      <c r="AZ460" s="81">
        <f>Prog_236[[#This Row],[VLR NF]]*0.1%</f>
        <v>0</v>
      </c>
      <c r="BA460" s="81">
        <f>Prog_236[[#This Row],[VLR NF]]*0.05%</f>
        <v>0</v>
      </c>
      <c r="BB460" s="81"/>
      <c r="BC460" s="81"/>
      <c r="BD460" s="81"/>
      <c r="BE460" s="81"/>
      <c r="BF460" s="81"/>
      <c r="BG460" s="81"/>
      <c r="BH460" s="81"/>
      <c r="BI460" s="81"/>
      <c r="BJ460" s="81"/>
      <c r="BK460" s="81"/>
      <c r="BL460" s="66"/>
      <c r="BM460" s="66"/>
      <c r="BN460" s="66"/>
      <c r="BO460" s="66" t="str">
        <f>PROPER(TEXT(Prog_236[[#This Row],[PROGRAMAÇÃO CLIENTE]],"mmm"))</f>
        <v>Jan</v>
      </c>
      <c r="BP460" s="66">
        <f>YEAR(Prog_236[[#This Row],[PROGRAMAÇÃO CLIENTE]])</f>
        <v>1900</v>
      </c>
    </row>
    <row r="461" spans="1:68" x14ac:dyDescent="0.25">
      <c r="A461" s="200">
        <f>Prog_236[[#This Row],[CONTEINER]]</f>
        <v>0</v>
      </c>
      <c r="B461" s="86"/>
      <c r="C4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1" s="44"/>
      <c r="E461" s="66"/>
      <c r="F461" s="66"/>
      <c r="G461" s="66"/>
      <c r="H461" s="44"/>
      <c r="I461" s="44"/>
      <c r="J461" s="66"/>
      <c r="K461" s="66"/>
      <c r="L461" s="66"/>
      <c r="M461" s="66"/>
      <c r="N461" s="66">
        <f>SUM(Prog_236[[#This Row],[TARA]]+Prog_236[[#This Row],[PESO]])</f>
        <v>0</v>
      </c>
      <c r="O461" s="44"/>
      <c r="P461" s="66"/>
      <c r="Q461" s="66"/>
      <c r="R461" s="66"/>
      <c r="S461" s="66"/>
      <c r="T461" s="138" t="str">
        <f>IFERROR(LOOKUP($S461,MOTORISTAS!$D$3:$D$1048576,MOTORISTAS!E$3:$E$1048576),"")</f>
        <v/>
      </c>
      <c r="U461" s="138" t="str">
        <f>IFERROR(LOOKUP($S461,MOTORISTAS!$D$3:$D$1048576,MOTORISTAS!F$3:$F$1048576),"")</f>
        <v/>
      </c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44"/>
      <c r="AG461" s="254">
        <f>Prog_236[[#This Row],[SAÍDA DO CLIENTE]]-Prog_236[[#This Row],[PROGRAMAÇÃO CLIENTE]]</f>
        <v>0</v>
      </c>
      <c r="AH461" s="44"/>
      <c r="AI461" s="66"/>
      <c r="AJ461" s="66"/>
      <c r="AK461" s="66"/>
      <c r="AL461" s="66"/>
      <c r="AM461" s="66"/>
      <c r="AN461" s="83"/>
      <c r="AO461" s="66"/>
      <c r="AP461" s="66"/>
      <c r="AQ461" s="66"/>
      <c r="AR461" s="81"/>
      <c r="AS461" s="81"/>
      <c r="AT461" s="81"/>
      <c r="AU461" s="81"/>
      <c r="AV461" s="83">
        <f>SUM(Prog_236[[#This Row],[ADIANTAMENTO]]+Prog_236[[#This Row],[SALDO]]+Prog_236[[#This Row],[MARGEM]]+Prog_236[[#This Row],[ESTADIA 1]])</f>
        <v>0</v>
      </c>
      <c r="AW4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1" s="81"/>
      <c r="AY461" s="81"/>
      <c r="AZ461" s="81">
        <f>Prog_236[[#This Row],[VLR NF]]*0.1%</f>
        <v>0</v>
      </c>
      <c r="BA461" s="81">
        <f>Prog_236[[#This Row],[VLR NF]]*0.05%</f>
        <v>0</v>
      </c>
      <c r="BB461" s="81"/>
      <c r="BC461" s="81"/>
      <c r="BD461" s="81"/>
      <c r="BE461" s="81"/>
      <c r="BF461" s="81"/>
      <c r="BG461" s="81"/>
      <c r="BH461" s="81"/>
      <c r="BI461" s="81"/>
      <c r="BJ461" s="81"/>
      <c r="BK461" s="81"/>
      <c r="BL461" s="66"/>
      <c r="BM461" s="66"/>
      <c r="BN461" s="66"/>
      <c r="BO461" s="66" t="str">
        <f>PROPER(TEXT(Prog_236[[#This Row],[PROGRAMAÇÃO CLIENTE]],"mmm"))</f>
        <v>Jan</v>
      </c>
      <c r="BP461" s="66">
        <f>YEAR(Prog_236[[#This Row],[PROGRAMAÇÃO CLIENTE]])</f>
        <v>1900</v>
      </c>
    </row>
    <row r="462" spans="1:68" x14ac:dyDescent="0.25">
      <c r="A462" s="201">
        <f>Prog_236[[#This Row],[CONTEINER]]</f>
        <v>0</v>
      </c>
      <c r="B462" s="86"/>
      <c r="C4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2" s="44"/>
      <c r="E462" s="66"/>
      <c r="F462" s="66"/>
      <c r="G462" s="66"/>
      <c r="H462" s="44"/>
      <c r="I462" s="44"/>
      <c r="J462" s="66"/>
      <c r="K462" s="66"/>
      <c r="L462" s="66"/>
      <c r="M462" s="66"/>
      <c r="N462" s="66">
        <f>SUM(Prog_236[[#This Row],[TARA]]+Prog_236[[#This Row],[PESO]])</f>
        <v>0</v>
      </c>
      <c r="O462" s="44"/>
      <c r="P462" s="66"/>
      <c r="Q462" s="66"/>
      <c r="R462" s="66"/>
      <c r="S462" s="66"/>
      <c r="T462" s="138" t="str">
        <f>IFERROR(LOOKUP($S462,MOTORISTAS!$D$3:$D$1048576,MOTORISTAS!E$3:$E$1048576),"")</f>
        <v/>
      </c>
      <c r="U462" s="138" t="str">
        <f>IFERROR(LOOKUP($S462,MOTORISTAS!$D$3:$D$1048576,MOTORISTAS!F$3:$F$1048576),"")</f>
        <v/>
      </c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44"/>
      <c r="AG462" s="254">
        <f>Prog_236[[#This Row],[SAÍDA DO CLIENTE]]-Prog_236[[#This Row],[PROGRAMAÇÃO CLIENTE]]</f>
        <v>0</v>
      </c>
      <c r="AH462" s="44"/>
      <c r="AI462" s="66"/>
      <c r="AJ462" s="66"/>
      <c r="AK462" s="66"/>
      <c r="AL462" s="66"/>
      <c r="AM462" s="66"/>
      <c r="AN462" s="83"/>
      <c r="AO462" s="66"/>
      <c r="AP462" s="66"/>
      <c r="AQ462" s="66"/>
      <c r="AR462" s="81"/>
      <c r="AS462" s="81"/>
      <c r="AT462" s="81"/>
      <c r="AU462" s="81"/>
      <c r="AV462" s="83">
        <f>SUM(Prog_236[[#This Row],[ADIANTAMENTO]]+Prog_236[[#This Row],[SALDO]]+Prog_236[[#This Row],[MARGEM]]+Prog_236[[#This Row],[ESTADIA 1]])</f>
        <v>0</v>
      </c>
      <c r="AW4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2" s="81"/>
      <c r="AY462" s="81"/>
      <c r="AZ462" s="81">
        <f>Prog_236[[#This Row],[VLR NF]]*0.1%</f>
        <v>0</v>
      </c>
      <c r="BA462" s="81">
        <f>Prog_236[[#This Row],[VLR NF]]*0.05%</f>
        <v>0</v>
      </c>
      <c r="BB462" s="81"/>
      <c r="BC462" s="81"/>
      <c r="BD462" s="81"/>
      <c r="BE462" s="81"/>
      <c r="BF462" s="81"/>
      <c r="BG462" s="81"/>
      <c r="BH462" s="81"/>
      <c r="BI462" s="81"/>
      <c r="BJ462" s="81"/>
      <c r="BK462" s="81"/>
      <c r="BL462" s="66"/>
      <c r="BM462" s="66"/>
      <c r="BN462" s="66"/>
      <c r="BO462" s="66" t="str">
        <f>PROPER(TEXT(Prog_236[[#This Row],[PROGRAMAÇÃO CLIENTE]],"mmm"))</f>
        <v>Jan</v>
      </c>
      <c r="BP462" s="66">
        <f>YEAR(Prog_236[[#This Row],[PROGRAMAÇÃO CLIENTE]])</f>
        <v>1900</v>
      </c>
    </row>
    <row r="463" spans="1:68" x14ac:dyDescent="0.25">
      <c r="A463" s="200">
        <f>Prog_236[[#This Row],[CONTEINER]]</f>
        <v>0</v>
      </c>
      <c r="B463" s="86"/>
      <c r="C4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3" s="44"/>
      <c r="E463" s="66"/>
      <c r="F463" s="66"/>
      <c r="G463" s="66"/>
      <c r="H463" s="44"/>
      <c r="I463" s="44"/>
      <c r="J463" s="66"/>
      <c r="K463" s="66"/>
      <c r="L463" s="66"/>
      <c r="M463" s="66"/>
      <c r="N463" s="66">
        <f>SUM(Prog_236[[#This Row],[TARA]]+Prog_236[[#This Row],[PESO]])</f>
        <v>0</v>
      </c>
      <c r="O463" s="44"/>
      <c r="P463" s="66"/>
      <c r="Q463" s="66"/>
      <c r="R463" s="66"/>
      <c r="S463" s="66"/>
      <c r="T463" s="138" t="str">
        <f>IFERROR(LOOKUP($S463,MOTORISTAS!$D$3:$D$1048576,MOTORISTAS!E$3:$E$1048576),"")</f>
        <v/>
      </c>
      <c r="U463" s="138" t="str">
        <f>IFERROR(LOOKUP($S463,MOTORISTAS!$D$3:$D$1048576,MOTORISTAS!F$3:$F$1048576),"")</f>
        <v/>
      </c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44"/>
      <c r="AG463" s="254">
        <f>Prog_236[[#This Row],[SAÍDA DO CLIENTE]]-Prog_236[[#This Row],[PROGRAMAÇÃO CLIENTE]]</f>
        <v>0</v>
      </c>
      <c r="AH463" s="44"/>
      <c r="AI463" s="66"/>
      <c r="AJ463" s="66"/>
      <c r="AK463" s="66"/>
      <c r="AL463" s="66"/>
      <c r="AM463" s="66"/>
      <c r="AN463" s="83"/>
      <c r="AO463" s="66"/>
      <c r="AP463" s="66"/>
      <c r="AQ463" s="66"/>
      <c r="AR463" s="81"/>
      <c r="AS463" s="81"/>
      <c r="AT463" s="81"/>
      <c r="AU463" s="81"/>
      <c r="AV463" s="83">
        <f>SUM(Prog_236[[#This Row],[ADIANTAMENTO]]+Prog_236[[#This Row],[SALDO]]+Prog_236[[#This Row],[MARGEM]]+Prog_236[[#This Row],[ESTADIA 1]])</f>
        <v>0</v>
      </c>
      <c r="AW4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3" s="81"/>
      <c r="AY463" s="81"/>
      <c r="AZ463" s="81">
        <f>Prog_236[[#This Row],[VLR NF]]*0.1%</f>
        <v>0</v>
      </c>
      <c r="BA463" s="81">
        <f>Prog_236[[#This Row],[VLR NF]]*0.05%</f>
        <v>0</v>
      </c>
      <c r="BB463" s="81"/>
      <c r="BC463" s="81"/>
      <c r="BD463" s="81"/>
      <c r="BE463" s="81"/>
      <c r="BF463" s="81"/>
      <c r="BG463" s="81"/>
      <c r="BH463" s="81"/>
      <c r="BI463" s="81"/>
      <c r="BJ463" s="81"/>
      <c r="BK463" s="81"/>
      <c r="BL463" s="66"/>
      <c r="BM463" s="66"/>
      <c r="BN463" s="66"/>
      <c r="BO463" s="66" t="str">
        <f>PROPER(TEXT(Prog_236[[#This Row],[PROGRAMAÇÃO CLIENTE]],"mmm"))</f>
        <v>Jan</v>
      </c>
      <c r="BP463" s="66">
        <f>YEAR(Prog_236[[#This Row],[PROGRAMAÇÃO CLIENTE]])</f>
        <v>1900</v>
      </c>
    </row>
    <row r="464" spans="1:68" x14ac:dyDescent="0.25">
      <c r="A464" s="201">
        <f>Prog_236[[#This Row],[CONTEINER]]</f>
        <v>0</v>
      </c>
      <c r="B464" s="86"/>
      <c r="C4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4" s="44"/>
      <c r="E464" s="66"/>
      <c r="F464" s="66"/>
      <c r="G464" s="66"/>
      <c r="H464" s="44"/>
      <c r="I464" s="44"/>
      <c r="J464" s="66"/>
      <c r="K464" s="66"/>
      <c r="L464" s="66"/>
      <c r="M464" s="66"/>
      <c r="N464" s="66">
        <f>SUM(Prog_236[[#This Row],[TARA]]+Prog_236[[#This Row],[PESO]])</f>
        <v>0</v>
      </c>
      <c r="O464" s="44"/>
      <c r="P464" s="66"/>
      <c r="Q464" s="66"/>
      <c r="R464" s="66"/>
      <c r="S464" s="66"/>
      <c r="T464" s="138" t="str">
        <f>IFERROR(LOOKUP($S464,MOTORISTAS!$D$3:$D$1048576,MOTORISTAS!E$3:$E$1048576),"")</f>
        <v/>
      </c>
      <c r="U464" s="138" t="str">
        <f>IFERROR(LOOKUP($S464,MOTORISTAS!$D$3:$D$1048576,MOTORISTAS!F$3:$F$1048576),"")</f>
        <v/>
      </c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44"/>
      <c r="AG464" s="254">
        <f>Prog_236[[#This Row],[SAÍDA DO CLIENTE]]-Prog_236[[#This Row],[PROGRAMAÇÃO CLIENTE]]</f>
        <v>0</v>
      </c>
      <c r="AH464" s="44"/>
      <c r="AI464" s="66"/>
      <c r="AJ464" s="66"/>
      <c r="AK464" s="66"/>
      <c r="AL464" s="66"/>
      <c r="AM464" s="66"/>
      <c r="AN464" s="83"/>
      <c r="AO464" s="66"/>
      <c r="AP464" s="66"/>
      <c r="AQ464" s="66"/>
      <c r="AR464" s="81"/>
      <c r="AS464" s="81"/>
      <c r="AT464" s="81"/>
      <c r="AU464" s="81"/>
      <c r="AV464" s="83">
        <f>SUM(Prog_236[[#This Row],[ADIANTAMENTO]]+Prog_236[[#This Row],[SALDO]]+Prog_236[[#This Row],[MARGEM]]+Prog_236[[#This Row],[ESTADIA 1]])</f>
        <v>0</v>
      </c>
      <c r="AW4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4" s="81"/>
      <c r="AY464" s="81"/>
      <c r="AZ464" s="81">
        <f>Prog_236[[#This Row],[VLR NF]]*0.1%</f>
        <v>0</v>
      </c>
      <c r="BA464" s="81">
        <f>Prog_236[[#This Row],[VLR NF]]*0.05%</f>
        <v>0</v>
      </c>
      <c r="BB464" s="81"/>
      <c r="BC464" s="81"/>
      <c r="BD464" s="81"/>
      <c r="BE464" s="81"/>
      <c r="BF464" s="81"/>
      <c r="BG464" s="81"/>
      <c r="BH464" s="81"/>
      <c r="BI464" s="81"/>
      <c r="BJ464" s="81"/>
      <c r="BK464" s="81"/>
      <c r="BL464" s="66"/>
      <c r="BM464" s="66"/>
      <c r="BN464" s="66"/>
      <c r="BO464" s="66" t="str">
        <f>PROPER(TEXT(Prog_236[[#This Row],[PROGRAMAÇÃO CLIENTE]],"mmm"))</f>
        <v>Jan</v>
      </c>
      <c r="BP464" s="66">
        <f>YEAR(Prog_236[[#This Row],[PROGRAMAÇÃO CLIENTE]])</f>
        <v>1900</v>
      </c>
    </row>
    <row r="465" spans="1:68" x14ac:dyDescent="0.25">
      <c r="A465" s="200">
        <f>Prog_236[[#This Row],[CONTEINER]]</f>
        <v>0</v>
      </c>
      <c r="B465" s="86"/>
      <c r="C4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5" s="44"/>
      <c r="E465" s="66"/>
      <c r="F465" s="66"/>
      <c r="G465" s="66"/>
      <c r="H465" s="44"/>
      <c r="I465" s="44"/>
      <c r="J465" s="66"/>
      <c r="K465" s="66"/>
      <c r="L465" s="66"/>
      <c r="M465" s="66"/>
      <c r="N465" s="66">
        <f>SUM(Prog_236[[#This Row],[TARA]]+Prog_236[[#This Row],[PESO]])</f>
        <v>0</v>
      </c>
      <c r="O465" s="44"/>
      <c r="P465" s="66"/>
      <c r="Q465" s="66"/>
      <c r="R465" s="66"/>
      <c r="S465" s="66"/>
      <c r="T465" s="138" t="str">
        <f>IFERROR(LOOKUP($S465,MOTORISTAS!$D$3:$D$1048576,MOTORISTAS!E$3:$E$1048576),"")</f>
        <v/>
      </c>
      <c r="U465" s="138" t="str">
        <f>IFERROR(LOOKUP($S465,MOTORISTAS!$D$3:$D$1048576,MOTORISTAS!F$3:$F$1048576),"")</f>
        <v/>
      </c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44"/>
      <c r="AG465" s="254">
        <f>Prog_236[[#This Row],[SAÍDA DO CLIENTE]]-Prog_236[[#This Row],[PROGRAMAÇÃO CLIENTE]]</f>
        <v>0</v>
      </c>
      <c r="AH465" s="44"/>
      <c r="AI465" s="66"/>
      <c r="AJ465" s="66"/>
      <c r="AK465" s="66"/>
      <c r="AL465" s="66"/>
      <c r="AM465" s="66"/>
      <c r="AN465" s="83"/>
      <c r="AO465" s="66"/>
      <c r="AP465" s="66"/>
      <c r="AQ465" s="66"/>
      <c r="AR465" s="81"/>
      <c r="AS465" s="81"/>
      <c r="AT465" s="81"/>
      <c r="AU465" s="81"/>
      <c r="AV465" s="83">
        <f>SUM(Prog_236[[#This Row],[ADIANTAMENTO]]+Prog_236[[#This Row],[SALDO]]+Prog_236[[#This Row],[MARGEM]]+Prog_236[[#This Row],[ESTADIA 1]])</f>
        <v>0</v>
      </c>
      <c r="AW4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5" s="81"/>
      <c r="AY465" s="81"/>
      <c r="AZ465" s="81">
        <f>Prog_236[[#This Row],[VLR NF]]*0.1%</f>
        <v>0</v>
      </c>
      <c r="BA465" s="81">
        <f>Prog_236[[#This Row],[VLR NF]]*0.05%</f>
        <v>0</v>
      </c>
      <c r="BB465" s="81"/>
      <c r="BC465" s="81"/>
      <c r="BD465" s="81"/>
      <c r="BE465" s="81"/>
      <c r="BF465" s="81"/>
      <c r="BG465" s="81"/>
      <c r="BH465" s="81"/>
      <c r="BI465" s="81"/>
      <c r="BJ465" s="81"/>
      <c r="BK465" s="81"/>
      <c r="BL465" s="66"/>
      <c r="BM465" s="66"/>
      <c r="BN465" s="66"/>
      <c r="BO465" s="66" t="str">
        <f>PROPER(TEXT(Prog_236[[#This Row],[PROGRAMAÇÃO CLIENTE]],"mmm"))</f>
        <v>Jan</v>
      </c>
      <c r="BP465" s="66">
        <f>YEAR(Prog_236[[#This Row],[PROGRAMAÇÃO CLIENTE]])</f>
        <v>1900</v>
      </c>
    </row>
    <row r="466" spans="1:68" x14ac:dyDescent="0.25">
      <c r="A466" s="201">
        <f>Prog_236[[#This Row],[CONTEINER]]</f>
        <v>0</v>
      </c>
      <c r="B466" s="86"/>
      <c r="C4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6" s="44"/>
      <c r="E466" s="66"/>
      <c r="F466" s="66"/>
      <c r="G466" s="66"/>
      <c r="H466" s="44"/>
      <c r="I466" s="44"/>
      <c r="J466" s="66"/>
      <c r="K466" s="66"/>
      <c r="L466" s="66"/>
      <c r="M466" s="66"/>
      <c r="N466" s="66">
        <f>SUM(Prog_236[[#This Row],[TARA]]+Prog_236[[#This Row],[PESO]])</f>
        <v>0</v>
      </c>
      <c r="O466" s="44"/>
      <c r="P466" s="66"/>
      <c r="Q466" s="66"/>
      <c r="R466" s="66"/>
      <c r="S466" s="66"/>
      <c r="T466" s="138" t="str">
        <f>IFERROR(LOOKUP($S466,MOTORISTAS!$D$3:$D$1048576,MOTORISTAS!E$3:$E$1048576),"")</f>
        <v/>
      </c>
      <c r="U466" s="138" t="str">
        <f>IFERROR(LOOKUP($S466,MOTORISTAS!$D$3:$D$1048576,MOTORISTAS!F$3:$F$1048576),"")</f>
        <v/>
      </c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44"/>
      <c r="AG466" s="254">
        <f>Prog_236[[#This Row],[SAÍDA DO CLIENTE]]-Prog_236[[#This Row],[PROGRAMAÇÃO CLIENTE]]</f>
        <v>0</v>
      </c>
      <c r="AH466" s="44"/>
      <c r="AI466" s="66"/>
      <c r="AJ466" s="66"/>
      <c r="AK466" s="66"/>
      <c r="AL466" s="66"/>
      <c r="AM466" s="66"/>
      <c r="AN466" s="83"/>
      <c r="AO466" s="66"/>
      <c r="AP466" s="66"/>
      <c r="AQ466" s="66"/>
      <c r="AR466" s="81"/>
      <c r="AS466" s="81"/>
      <c r="AT466" s="81"/>
      <c r="AU466" s="81"/>
      <c r="AV466" s="83">
        <f>SUM(Prog_236[[#This Row],[ADIANTAMENTO]]+Prog_236[[#This Row],[SALDO]]+Prog_236[[#This Row],[MARGEM]]+Prog_236[[#This Row],[ESTADIA 1]])</f>
        <v>0</v>
      </c>
      <c r="AW4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6" s="81"/>
      <c r="AY466" s="81"/>
      <c r="AZ466" s="81">
        <f>Prog_236[[#This Row],[VLR NF]]*0.1%</f>
        <v>0</v>
      </c>
      <c r="BA466" s="81">
        <f>Prog_236[[#This Row],[VLR NF]]*0.05%</f>
        <v>0</v>
      </c>
      <c r="BB466" s="81"/>
      <c r="BC466" s="81"/>
      <c r="BD466" s="81"/>
      <c r="BE466" s="81"/>
      <c r="BF466" s="81"/>
      <c r="BG466" s="81"/>
      <c r="BH466" s="81"/>
      <c r="BI466" s="81"/>
      <c r="BJ466" s="81"/>
      <c r="BK466" s="81"/>
      <c r="BL466" s="66"/>
      <c r="BM466" s="66"/>
      <c r="BN466" s="66"/>
      <c r="BO466" s="66" t="str">
        <f>PROPER(TEXT(Prog_236[[#This Row],[PROGRAMAÇÃO CLIENTE]],"mmm"))</f>
        <v>Jan</v>
      </c>
      <c r="BP466" s="66">
        <f>YEAR(Prog_236[[#This Row],[PROGRAMAÇÃO CLIENTE]])</f>
        <v>1900</v>
      </c>
    </row>
    <row r="467" spans="1:68" x14ac:dyDescent="0.25">
      <c r="A467" s="200">
        <f>Prog_236[[#This Row],[CONTEINER]]</f>
        <v>0</v>
      </c>
      <c r="B467" s="86"/>
      <c r="C4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7" s="44"/>
      <c r="E467" s="66"/>
      <c r="F467" s="66"/>
      <c r="G467" s="66"/>
      <c r="H467" s="44"/>
      <c r="I467" s="44"/>
      <c r="J467" s="66"/>
      <c r="K467" s="66"/>
      <c r="L467" s="66"/>
      <c r="M467" s="66"/>
      <c r="N467" s="66">
        <f>SUM(Prog_236[[#This Row],[TARA]]+Prog_236[[#This Row],[PESO]])</f>
        <v>0</v>
      </c>
      <c r="O467" s="44"/>
      <c r="P467" s="66"/>
      <c r="Q467" s="66"/>
      <c r="R467" s="66"/>
      <c r="S467" s="66"/>
      <c r="T467" s="138" t="str">
        <f>IFERROR(LOOKUP($S467,MOTORISTAS!$D$3:$D$1048576,MOTORISTAS!E$3:$E$1048576),"")</f>
        <v/>
      </c>
      <c r="U467" s="138" t="str">
        <f>IFERROR(LOOKUP($S467,MOTORISTAS!$D$3:$D$1048576,MOTORISTAS!F$3:$F$1048576),"")</f>
        <v/>
      </c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44"/>
      <c r="AG467" s="254">
        <f>Prog_236[[#This Row],[SAÍDA DO CLIENTE]]-Prog_236[[#This Row],[PROGRAMAÇÃO CLIENTE]]</f>
        <v>0</v>
      </c>
      <c r="AH467" s="44"/>
      <c r="AI467" s="66"/>
      <c r="AJ467" s="66"/>
      <c r="AK467" s="66"/>
      <c r="AL467" s="66"/>
      <c r="AM467" s="66"/>
      <c r="AN467" s="83"/>
      <c r="AO467" s="66"/>
      <c r="AP467" s="66"/>
      <c r="AQ467" s="66"/>
      <c r="AR467" s="81"/>
      <c r="AS467" s="81"/>
      <c r="AT467" s="81"/>
      <c r="AU467" s="81"/>
      <c r="AV467" s="83">
        <f>SUM(Prog_236[[#This Row],[ADIANTAMENTO]]+Prog_236[[#This Row],[SALDO]]+Prog_236[[#This Row],[MARGEM]]+Prog_236[[#This Row],[ESTADIA 1]])</f>
        <v>0</v>
      </c>
      <c r="AW4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7" s="81"/>
      <c r="AY467" s="81"/>
      <c r="AZ467" s="81">
        <f>Prog_236[[#This Row],[VLR NF]]*0.1%</f>
        <v>0</v>
      </c>
      <c r="BA467" s="81">
        <f>Prog_236[[#This Row],[VLR NF]]*0.05%</f>
        <v>0</v>
      </c>
      <c r="BB467" s="81"/>
      <c r="BC467" s="81"/>
      <c r="BD467" s="81"/>
      <c r="BE467" s="81"/>
      <c r="BF467" s="81"/>
      <c r="BG467" s="81"/>
      <c r="BH467" s="81"/>
      <c r="BI467" s="81"/>
      <c r="BJ467" s="81"/>
      <c r="BK467" s="81"/>
      <c r="BL467" s="66"/>
      <c r="BM467" s="66"/>
      <c r="BN467" s="66"/>
      <c r="BO467" s="66" t="str">
        <f>PROPER(TEXT(Prog_236[[#This Row],[PROGRAMAÇÃO CLIENTE]],"mmm"))</f>
        <v>Jan</v>
      </c>
      <c r="BP467" s="66">
        <f>YEAR(Prog_236[[#This Row],[PROGRAMAÇÃO CLIENTE]])</f>
        <v>1900</v>
      </c>
    </row>
    <row r="468" spans="1:68" x14ac:dyDescent="0.25">
      <c r="A468" s="201">
        <f>Prog_236[[#This Row],[CONTEINER]]</f>
        <v>0</v>
      </c>
      <c r="B468" s="86"/>
      <c r="C4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8" s="44"/>
      <c r="E468" s="66"/>
      <c r="F468" s="66"/>
      <c r="G468" s="66"/>
      <c r="H468" s="44"/>
      <c r="I468" s="44"/>
      <c r="J468" s="66"/>
      <c r="K468" s="66"/>
      <c r="L468" s="66"/>
      <c r="M468" s="66"/>
      <c r="N468" s="66">
        <f>SUM(Prog_236[[#This Row],[TARA]]+Prog_236[[#This Row],[PESO]])</f>
        <v>0</v>
      </c>
      <c r="O468" s="44"/>
      <c r="P468" s="66"/>
      <c r="Q468" s="66"/>
      <c r="R468" s="66"/>
      <c r="S468" s="66"/>
      <c r="T468" s="138" t="str">
        <f>IFERROR(LOOKUP($S468,MOTORISTAS!$D$3:$D$1048576,MOTORISTAS!E$3:$E$1048576),"")</f>
        <v/>
      </c>
      <c r="U468" s="138" t="str">
        <f>IFERROR(LOOKUP($S468,MOTORISTAS!$D$3:$D$1048576,MOTORISTAS!F$3:$F$1048576),"")</f>
        <v/>
      </c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44"/>
      <c r="AG468" s="254">
        <f>Prog_236[[#This Row],[SAÍDA DO CLIENTE]]-Prog_236[[#This Row],[PROGRAMAÇÃO CLIENTE]]</f>
        <v>0</v>
      </c>
      <c r="AH468" s="44"/>
      <c r="AI468" s="66"/>
      <c r="AJ468" s="66"/>
      <c r="AK468" s="66"/>
      <c r="AL468" s="66"/>
      <c r="AM468" s="66"/>
      <c r="AN468" s="83"/>
      <c r="AO468" s="66"/>
      <c r="AP468" s="66"/>
      <c r="AQ468" s="66"/>
      <c r="AR468" s="81"/>
      <c r="AS468" s="81"/>
      <c r="AT468" s="81"/>
      <c r="AU468" s="81"/>
      <c r="AV468" s="83">
        <f>SUM(Prog_236[[#This Row],[ADIANTAMENTO]]+Prog_236[[#This Row],[SALDO]]+Prog_236[[#This Row],[MARGEM]]+Prog_236[[#This Row],[ESTADIA 1]])</f>
        <v>0</v>
      </c>
      <c r="AW4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8" s="81"/>
      <c r="AY468" s="81"/>
      <c r="AZ468" s="81">
        <f>Prog_236[[#This Row],[VLR NF]]*0.1%</f>
        <v>0</v>
      </c>
      <c r="BA468" s="81">
        <f>Prog_236[[#This Row],[VLR NF]]*0.05%</f>
        <v>0</v>
      </c>
      <c r="BB468" s="81"/>
      <c r="BC468" s="81"/>
      <c r="BD468" s="81"/>
      <c r="BE468" s="81"/>
      <c r="BF468" s="81"/>
      <c r="BG468" s="81"/>
      <c r="BH468" s="81"/>
      <c r="BI468" s="81"/>
      <c r="BJ468" s="81"/>
      <c r="BK468" s="81"/>
      <c r="BL468" s="66"/>
      <c r="BM468" s="66"/>
      <c r="BN468" s="66"/>
      <c r="BO468" s="66" t="str">
        <f>PROPER(TEXT(Prog_236[[#This Row],[PROGRAMAÇÃO CLIENTE]],"mmm"))</f>
        <v>Jan</v>
      </c>
      <c r="BP468" s="66">
        <f>YEAR(Prog_236[[#This Row],[PROGRAMAÇÃO CLIENTE]])</f>
        <v>1900</v>
      </c>
    </row>
    <row r="469" spans="1:68" x14ac:dyDescent="0.25">
      <c r="A469" s="200">
        <f>Prog_236[[#This Row],[CONTEINER]]</f>
        <v>0</v>
      </c>
      <c r="B469" s="86"/>
      <c r="C4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69" s="44"/>
      <c r="E469" s="66"/>
      <c r="F469" s="66"/>
      <c r="G469" s="66"/>
      <c r="H469" s="44"/>
      <c r="I469" s="44"/>
      <c r="J469" s="66"/>
      <c r="K469" s="66"/>
      <c r="L469" s="66"/>
      <c r="M469" s="66"/>
      <c r="N469" s="66">
        <f>SUM(Prog_236[[#This Row],[TARA]]+Prog_236[[#This Row],[PESO]])</f>
        <v>0</v>
      </c>
      <c r="O469" s="44"/>
      <c r="P469" s="66"/>
      <c r="Q469" s="66"/>
      <c r="R469" s="66"/>
      <c r="S469" s="66"/>
      <c r="T469" s="138" t="str">
        <f>IFERROR(LOOKUP($S469,MOTORISTAS!$D$3:$D$1048576,MOTORISTAS!E$3:$E$1048576),"")</f>
        <v/>
      </c>
      <c r="U469" s="138" t="str">
        <f>IFERROR(LOOKUP($S469,MOTORISTAS!$D$3:$D$1048576,MOTORISTAS!F$3:$F$1048576),"")</f>
        <v/>
      </c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44"/>
      <c r="AG469" s="254">
        <f>Prog_236[[#This Row],[SAÍDA DO CLIENTE]]-Prog_236[[#This Row],[PROGRAMAÇÃO CLIENTE]]</f>
        <v>0</v>
      </c>
      <c r="AH469" s="44"/>
      <c r="AI469" s="66"/>
      <c r="AJ469" s="66"/>
      <c r="AK469" s="66"/>
      <c r="AL469" s="66"/>
      <c r="AM469" s="66"/>
      <c r="AN469" s="83"/>
      <c r="AO469" s="66"/>
      <c r="AP469" s="66"/>
      <c r="AQ469" s="66"/>
      <c r="AR469" s="81"/>
      <c r="AS469" s="81"/>
      <c r="AT469" s="81"/>
      <c r="AU469" s="81"/>
      <c r="AV469" s="83">
        <f>SUM(Prog_236[[#This Row],[ADIANTAMENTO]]+Prog_236[[#This Row],[SALDO]]+Prog_236[[#This Row],[MARGEM]]+Prog_236[[#This Row],[ESTADIA 1]])</f>
        <v>0</v>
      </c>
      <c r="AW4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69" s="81"/>
      <c r="AY469" s="81"/>
      <c r="AZ469" s="81">
        <f>Prog_236[[#This Row],[VLR NF]]*0.1%</f>
        <v>0</v>
      </c>
      <c r="BA469" s="81">
        <f>Prog_236[[#This Row],[VLR NF]]*0.05%</f>
        <v>0</v>
      </c>
      <c r="BB469" s="81"/>
      <c r="BC469" s="81"/>
      <c r="BD469" s="81"/>
      <c r="BE469" s="81"/>
      <c r="BF469" s="81"/>
      <c r="BG469" s="81"/>
      <c r="BH469" s="81"/>
      <c r="BI469" s="81"/>
      <c r="BJ469" s="81"/>
      <c r="BK469" s="81"/>
      <c r="BL469" s="66"/>
      <c r="BM469" s="66"/>
      <c r="BN469" s="66"/>
      <c r="BO469" s="66" t="str">
        <f>PROPER(TEXT(Prog_236[[#This Row],[PROGRAMAÇÃO CLIENTE]],"mmm"))</f>
        <v>Jan</v>
      </c>
      <c r="BP469" s="66">
        <f>YEAR(Prog_236[[#This Row],[PROGRAMAÇÃO CLIENTE]])</f>
        <v>1900</v>
      </c>
    </row>
    <row r="470" spans="1:68" x14ac:dyDescent="0.25">
      <c r="A470" s="201">
        <f>Prog_236[[#This Row],[CONTEINER]]</f>
        <v>0</v>
      </c>
      <c r="B470" s="86"/>
      <c r="C4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0" s="44"/>
      <c r="E470" s="66"/>
      <c r="F470" s="66"/>
      <c r="G470" s="66"/>
      <c r="H470" s="44"/>
      <c r="I470" s="44"/>
      <c r="J470" s="66"/>
      <c r="K470" s="66"/>
      <c r="L470" s="66"/>
      <c r="M470" s="66"/>
      <c r="N470" s="66">
        <f>SUM(Prog_236[[#This Row],[TARA]]+Prog_236[[#This Row],[PESO]])</f>
        <v>0</v>
      </c>
      <c r="O470" s="44"/>
      <c r="P470" s="66"/>
      <c r="Q470" s="66"/>
      <c r="R470" s="66"/>
      <c r="S470" s="66"/>
      <c r="T470" s="138" t="str">
        <f>IFERROR(LOOKUP($S470,MOTORISTAS!$D$3:$D$1048576,MOTORISTAS!E$3:$E$1048576),"")</f>
        <v/>
      </c>
      <c r="U470" s="138" t="str">
        <f>IFERROR(LOOKUP($S470,MOTORISTAS!$D$3:$D$1048576,MOTORISTAS!F$3:$F$1048576),"")</f>
        <v/>
      </c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44"/>
      <c r="AG470" s="254">
        <f>Prog_236[[#This Row],[SAÍDA DO CLIENTE]]-Prog_236[[#This Row],[PROGRAMAÇÃO CLIENTE]]</f>
        <v>0</v>
      </c>
      <c r="AH470" s="44"/>
      <c r="AI470" s="66"/>
      <c r="AJ470" s="66"/>
      <c r="AK470" s="66"/>
      <c r="AL470" s="66"/>
      <c r="AM470" s="66"/>
      <c r="AN470" s="83"/>
      <c r="AO470" s="66"/>
      <c r="AP470" s="66"/>
      <c r="AQ470" s="66"/>
      <c r="AR470" s="81"/>
      <c r="AS470" s="81"/>
      <c r="AT470" s="81"/>
      <c r="AU470" s="81"/>
      <c r="AV470" s="83">
        <f>SUM(Prog_236[[#This Row],[ADIANTAMENTO]]+Prog_236[[#This Row],[SALDO]]+Prog_236[[#This Row],[MARGEM]]+Prog_236[[#This Row],[ESTADIA 1]])</f>
        <v>0</v>
      </c>
      <c r="AW4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0" s="81"/>
      <c r="AY470" s="81"/>
      <c r="AZ470" s="81">
        <f>Prog_236[[#This Row],[VLR NF]]*0.1%</f>
        <v>0</v>
      </c>
      <c r="BA470" s="81">
        <f>Prog_236[[#This Row],[VLR NF]]*0.05%</f>
        <v>0</v>
      </c>
      <c r="BB470" s="81"/>
      <c r="BC470" s="81"/>
      <c r="BD470" s="81"/>
      <c r="BE470" s="81"/>
      <c r="BF470" s="81"/>
      <c r="BG470" s="81"/>
      <c r="BH470" s="81"/>
      <c r="BI470" s="81"/>
      <c r="BJ470" s="81"/>
      <c r="BK470" s="81"/>
      <c r="BL470" s="66"/>
      <c r="BM470" s="66"/>
      <c r="BN470" s="66"/>
      <c r="BO470" s="66" t="str">
        <f>PROPER(TEXT(Prog_236[[#This Row],[PROGRAMAÇÃO CLIENTE]],"mmm"))</f>
        <v>Jan</v>
      </c>
      <c r="BP470" s="66">
        <f>YEAR(Prog_236[[#This Row],[PROGRAMAÇÃO CLIENTE]])</f>
        <v>1900</v>
      </c>
    </row>
    <row r="471" spans="1:68" x14ac:dyDescent="0.25">
      <c r="A471" s="200">
        <f>Prog_236[[#This Row],[CONTEINER]]</f>
        <v>0</v>
      </c>
      <c r="B471" s="86"/>
      <c r="C4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1" s="44"/>
      <c r="E471" s="66"/>
      <c r="F471" s="66"/>
      <c r="G471" s="66"/>
      <c r="H471" s="44"/>
      <c r="I471" s="44"/>
      <c r="J471" s="66"/>
      <c r="K471" s="66"/>
      <c r="L471" s="66"/>
      <c r="M471" s="66"/>
      <c r="N471" s="66">
        <f>SUM(Prog_236[[#This Row],[TARA]]+Prog_236[[#This Row],[PESO]])</f>
        <v>0</v>
      </c>
      <c r="O471" s="44"/>
      <c r="P471" s="66"/>
      <c r="Q471" s="66"/>
      <c r="R471" s="66"/>
      <c r="S471" s="66"/>
      <c r="T471" s="138" t="str">
        <f>IFERROR(LOOKUP($S471,MOTORISTAS!$D$3:$D$1048576,MOTORISTAS!E$3:$E$1048576),"")</f>
        <v/>
      </c>
      <c r="U471" s="138" t="str">
        <f>IFERROR(LOOKUP($S471,MOTORISTAS!$D$3:$D$1048576,MOTORISTAS!F$3:$F$1048576),"")</f>
        <v/>
      </c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44"/>
      <c r="AG471" s="254">
        <f>Prog_236[[#This Row],[SAÍDA DO CLIENTE]]-Prog_236[[#This Row],[PROGRAMAÇÃO CLIENTE]]</f>
        <v>0</v>
      </c>
      <c r="AH471" s="44"/>
      <c r="AI471" s="66"/>
      <c r="AJ471" s="66"/>
      <c r="AK471" s="66"/>
      <c r="AL471" s="66"/>
      <c r="AM471" s="66"/>
      <c r="AN471" s="83"/>
      <c r="AO471" s="66"/>
      <c r="AP471" s="66"/>
      <c r="AQ471" s="66"/>
      <c r="AR471" s="81"/>
      <c r="AS471" s="81"/>
      <c r="AT471" s="81"/>
      <c r="AU471" s="81"/>
      <c r="AV471" s="83">
        <f>SUM(Prog_236[[#This Row],[ADIANTAMENTO]]+Prog_236[[#This Row],[SALDO]]+Prog_236[[#This Row],[MARGEM]]+Prog_236[[#This Row],[ESTADIA 1]])</f>
        <v>0</v>
      </c>
      <c r="AW4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1" s="81"/>
      <c r="AY471" s="81"/>
      <c r="AZ471" s="81">
        <f>Prog_236[[#This Row],[VLR NF]]*0.1%</f>
        <v>0</v>
      </c>
      <c r="BA471" s="81">
        <f>Prog_236[[#This Row],[VLR NF]]*0.05%</f>
        <v>0</v>
      </c>
      <c r="BB471" s="81"/>
      <c r="BC471" s="81"/>
      <c r="BD471" s="81"/>
      <c r="BE471" s="81"/>
      <c r="BF471" s="81"/>
      <c r="BG471" s="81"/>
      <c r="BH471" s="81"/>
      <c r="BI471" s="81"/>
      <c r="BJ471" s="81"/>
      <c r="BK471" s="81"/>
      <c r="BL471" s="66"/>
      <c r="BM471" s="66"/>
      <c r="BN471" s="66"/>
      <c r="BO471" s="66" t="str">
        <f>PROPER(TEXT(Prog_236[[#This Row],[PROGRAMAÇÃO CLIENTE]],"mmm"))</f>
        <v>Jan</v>
      </c>
      <c r="BP471" s="66">
        <f>YEAR(Prog_236[[#This Row],[PROGRAMAÇÃO CLIENTE]])</f>
        <v>1900</v>
      </c>
    </row>
    <row r="472" spans="1:68" x14ac:dyDescent="0.25">
      <c r="A472" s="201">
        <f>Prog_236[[#This Row],[CONTEINER]]</f>
        <v>0</v>
      </c>
      <c r="B472" s="86"/>
      <c r="C4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2" s="44"/>
      <c r="E472" s="66"/>
      <c r="F472" s="66"/>
      <c r="G472" s="66"/>
      <c r="H472" s="44"/>
      <c r="I472" s="44"/>
      <c r="J472" s="66"/>
      <c r="K472" s="66"/>
      <c r="L472" s="66"/>
      <c r="M472" s="66"/>
      <c r="N472" s="66">
        <f>SUM(Prog_236[[#This Row],[TARA]]+Prog_236[[#This Row],[PESO]])</f>
        <v>0</v>
      </c>
      <c r="O472" s="44"/>
      <c r="P472" s="66"/>
      <c r="Q472" s="66"/>
      <c r="R472" s="66"/>
      <c r="S472" s="66"/>
      <c r="T472" s="138" t="str">
        <f>IFERROR(LOOKUP($S472,MOTORISTAS!$D$3:$D$1048576,MOTORISTAS!E$3:$E$1048576),"")</f>
        <v/>
      </c>
      <c r="U472" s="138" t="str">
        <f>IFERROR(LOOKUP($S472,MOTORISTAS!$D$3:$D$1048576,MOTORISTAS!F$3:$F$1048576),"")</f>
        <v/>
      </c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44"/>
      <c r="AG472" s="254">
        <f>Prog_236[[#This Row],[SAÍDA DO CLIENTE]]-Prog_236[[#This Row],[PROGRAMAÇÃO CLIENTE]]</f>
        <v>0</v>
      </c>
      <c r="AH472" s="44"/>
      <c r="AI472" s="66"/>
      <c r="AJ472" s="66"/>
      <c r="AK472" s="66"/>
      <c r="AL472" s="66"/>
      <c r="AM472" s="66"/>
      <c r="AN472" s="83"/>
      <c r="AO472" s="66"/>
      <c r="AP472" s="66"/>
      <c r="AQ472" s="66"/>
      <c r="AR472" s="81"/>
      <c r="AS472" s="81"/>
      <c r="AT472" s="81"/>
      <c r="AU472" s="81"/>
      <c r="AV472" s="83">
        <f>SUM(Prog_236[[#This Row],[ADIANTAMENTO]]+Prog_236[[#This Row],[SALDO]]+Prog_236[[#This Row],[MARGEM]]+Prog_236[[#This Row],[ESTADIA 1]])</f>
        <v>0</v>
      </c>
      <c r="AW4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2" s="81"/>
      <c r="AY472" s="81"/>
      <c r="AZ472" s="81">
        <f>Prog_236[[#This Row],[VLR NF]]*0.1%</f>
        <v>0</v>
      </c>
      <c r="BA472" s="81">
        <f>Prog_236[[#This Row],[VLR NF]]*0.05%</f>
        <v>0</v>
      </c>
      <c r="BB472" s="81"/>
      <c r="BC472" s="81"/>
      <c r="BD472" s="81"/>
      <c r="BE472" s="81"/>
      <c r="BF472" s="81"/>
      <c r="BG472" s="81"/>
      <c r="BH472" s="81"/>
      <c r="BI472" s="81"/>
      <c r="BJ472" s="81"/>
      <c r="BK472" s="81"/>
      <c r="BL472" s="66"/>
      <c r="BM472" s="66"/>
      <c r="BN472" s="66"/>
      <c r="BO472" s="66" t="str">
        <f>PROPER(TEXT(Prog_236[[#This Row],[PROGRAMAÇÃO CLIENTE]],"mmm"))</f>
        <v>Jan</v>
      </c>
      <c r="BP472" s="66">
        <f>YEAR(Prog_236[[#This Row],[PROGRAMAÇÃO CLIENTE]])</f>
        <v>1900</v>
      </c>
    </row>
    <row r="473" spans="1:68" x14ac:dyDescent="0.25">
      <c r="A473" s="200">
        <f>Prog_236[[#This Row],[CONTEINER]]</f>
        <v>0</v>
      </c>
      <c r="B473" s="86"/>
      <c r="C4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3" s="44"/>
      <c r="E473" s="66"/>
      <c r="F473" s="66"/>
      <c r="G473" s="66"/>
      <c r="H473" s="44"/>
      <c r="I473" s="44"/>
      <c r="J473" s="66"/>
      <c r="K473" s="66"/>
      <c r="L473" s="66"/>
      <c r="M473" s="66"/>
      <c r="N473" s="66">
        <f>SUM(Prog_236[[#This Row],[TARA]]+Prog_236[[#This Row],[PESO]])</f>
        <v>0</v>
      </c>
      <c r="O473" s="44"/>
      <c r="P473" s="66"/>
      <c r="Q473" s="66"/>
      <c r="R473" s="66"/>
      <c r="S473" s="66"/>
      <c r="T473" s="138" t="str">
        <f>IFERROR(LOOKUP($S473,MOTORISTAS!$D$3:$D$1048576,MOTORISTAS!E$3:$E$1048576),"")</f>
        <v/>
      </c>
      <c r="U473" s="138" t="str">
        <f>IFERROR(LOOKUP($S473,MOTORISTAS!$D$3:$D$1048576,MOTORISTAS!F$3:$F$1048576),"")</f>
        <v/>
      </c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44"/>
      <c r="AG473" s="254">
        <f>Prog_236[[#This Row],[SAÍDA DO CLIENTE]]-Prog_236[[#This Row],[PROGRAMAÇÃO CLIENTE]]</f>
        <v>0</v>
      </c>
      <c r="AH473" s="44"/>
      <c r="AI473" s="66"/>
      <c r="AJ473" s="66"/>
      <c r="AK473" s="66"/>
      <c r="AL473" s="66"/>
      <c r="AM473" s="66"/>
      <c r="AN473" s="83"/>
      <c r="AO473" s="66"/>
      <c r="AP473" s="66"/>
      <c r="AQ473" s="66"/>
      <c r="AR473" s="81"/>
      <c r="AS473" s="81"/>
      <c r="AT473" s="81"/>
      <c r="AU473" s="81"/>
      <c r="AV473" s="83">
        <f>SUM(Prog_236[[#This Row],[ADIANTAMENTO]]+Prog_236[[#This Row],[SALDO]]+Prog_236[[#This Row],[MARGEM]]+Prog_236[[#This Row],[ESTADIA 1]])</f>
        <v>0</v>
      </c>
      <c r="AW4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3" s="81"/>
      <c r="AY473" s="81"/>
      <c r="AZ473" s="81">
        <f>Prog_236[[#This Row],[VLR NF]]*0.1%</f>
        <v>0</v>
      </c>
      <c r="BA473" s="81">
        <f>Prog_236[[#This Row],[VLR NF]]*0.05%</f>
        <v>0</v>
      </c>
      <c r="BB473" s="81"/>
      <c r="BC473" s="81"/>
      <c r="BD473" s="81"/>
      <c r="BE473" s="81"/>
      <c r="BF473" s="81"/>
      <c r="BG473" s="81"/>
      <c r="BH473" s="81"/>
      <c r="BI473" s="81"/>
      <c r="BJ473" s="81"/>
      <c r="BK473" s="81"/>
      <c r="BL473" s="66"/>
      <c r="BM473" s="66"/>
      <c r="BN473" s="66"/>
      <c r="BO473" s="66" t="str">
        <f>PROPER(TEXT(Prog_236[[#This Row],[PROGRAMAÇÃO CLIENTE]],"mmm"))</f>
        <v>Jan</v>
      </c>
      <c r="BP473" s="66">
        <f>YEAR(Prog_236[[#This Row],[PROGRAMAÇÃO CLIENTE]])</f>
        <v>1900</v>
      </c>
    </row>
    <row r="474" spans="1:68" x14ac:dyDescent="0.25">
      <c r="A474" s="201">
        <f>Prog_236[[#This Row],[CONTEINER]]</f>
        <v>0</v>
      </c>
      <c r="B474" s="86"/>
      <c r="C4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4" s="44"/>
      <c r="E474" s="66"/>
      <c r="F474" s="66"/>
      <c r="G474" s="66"/>
      <c r="H474" s="44"/>
      <c r="I474" s="44"/>
      <c r="J474" s="66"/>
      <c r="K474" s="66"/>
      <c r="L474" s="66"/>
      <c r="M474" s="66"/>
      <c r="N474" s="66">
        <f>SUM(Prog_236[[#This Row],[TARA]]+Prog_236[[#This Row],[PESO]])</f>
        <v>0</v>
      </c>
      <c r="O474" s="44"/>
      <c r="P474" s="66"/>
      <c r="Q474" s="66"/>
      <c r="R474" s="66"/>
      <c r="S474" s="66"/>
      <c r="T474" s="138" t="str">
        <f>IFERROR(LOOKUP($S474,MOTORISTAS!$D$3:$D$1048576,MOTORISTAS!E$3:$E$1048576),"")</f>
        <v/>
      </c>
      <c r="U474" s="138" t="str">
        <f>IFERROR(LOOKUP($S474,MOTORISTAS!$D$3:$D$1048576,MOTORISTAS!F$3:$F$1048576),"")</f>
        <v/>
      </c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44"/>
      <c r="AG474" s="254">
        <f>Prog_236[[#This Row],[SAÍDA DO CLIENTE]]-Prog_236[[#This Row],[PROGRAMAÇÃO CLIENTE]]</f>
        <v>0</v>
      </c>
      <c r="AH474" s="44"/>
      <c r="AI474" s="66"/>
      <c r="AJ474" s="66"/>
      <c r="AK474" s="66"/>
      <c r="AL474" s="66"/>
      <c r="AM474" s="66"/>
      <c r="AN474" s="83"/>
      <c r="AO474" s="66"/>
      <c r="AP474" s="66"/>
      <c r="AQ474" s="66"/>
      <c r="AR474" s="81"/>
      <c r="AS474" s="81"/>
      <c r="AT474" s="81"/>
      <c r="AU474" s="81"/>
      <c r="AV474" s="83">
        <f>SUM(Prog_236[[#This Row],[ADIANTAMENTO]]+Prog_236[[#This Row],[SALDO]]+Prog_236[[#This Row],[MARGEM]]+Prog_236[[#This Row],[ESTADIA 1]])</f>
        <v>0</v>
      </c>
      <c r="AW4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4" s="81"/>
      <c r="AY474" s="81"/>
      <c r="AZ474" s="81">
        <f>Prog_236[[#This Row],[VLR NF]]*0.1%</f>
        <v>0</v>
      </c>
      <c r="BA474" s="81">
        <f>Prog_236[[#This Row],[VLR NF]]*0.05%</f>
        <v>0</v>
      </c>
      <c r="BB474" s="81"/>
      <c r="BC474" s="81"/>
      <c r="BD474" s="81"/>
      <c r="BE474" s="81"/>
      <c r="BF474" s="81"/>
      <c r="BG474" s="81"/>
      <c r="BH474" s="81"/>
      <c r="BI474" s="81"/>
      <c r="BJ474" s="81"/>
      <c r="BK474" s="81"/>
      <c r="BL474" s="66"/>
      <c r="BM474" s="66"/>
      <c r="BN474" s="66"/>
      <c r="BO474" s="66" t="str">
        <f>PROPER(TEXT(Prog_236[[#This Row],[PROGRAMAÇÃO CLIENTE]],"mmm"))</f>
        <v>Jan</v>
      </c>
      <c r="BP474" s="66">
        <f>YEAR(Prog_236[[#This Row],[PROGRAMAÇÃO CLIENTE]])</f>
        <v>1900</v>
      </c>
    </row>
    <row r="475" spans="1:68" x14ac:dyDescent="0.25">
      <c r="A475" s="200">
        <f>Prog_236[[#This Row],[CONTEINER]]</f>
        <v>0</v>
      </c>
      <c r="B475" s="86"/>
      <c r="C4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5" s="44"/>
      <c r="E475" s="66"/>
      <c r="F475" s="66"/>
      <c r="G475" s="66"/>
      <c r="H475" s="44"/>
      <c r="I475" s="44"/>
      <c r="J475" s="66"/>
      <c r="K475" s="66"/>
      <c r="L475" s="66"/>
      <c r="M475" s="66"/>
      <c r="N475" s="66">
        <f>SUM(Prog_236[[#This Row],[TARA]]+Prog_236[[#This Row],[PESO]])</f>
        <v>0</v>
      </c>
      <c r="O475" s="44"/>
      <c r="P475" s="66"/>
      <c r="Q475" s="66"/>
      <c r="R475" s="66"/>
      <c r="S475" s="66"/>
      <c r="T475" s="138" t="str">
        <f>IFERROR(LOOKUP($S475,MOTORISTAS!$D$3:$D$1048576,MOTORISTAS!E$3:$E$1048576),"")</f>
        <v/>
      </c>
      <c r="U475" s="138" t="str">
        <f>IFERROR(LOOKUP($S475,MOTORISTAS!$D$3:$D$1048576,MOTORISTAS!F$3:$F$1048576),"")</f>
        <v/>
      </c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44"/>
      <c r="AG475" s="254">
        <f>Prog_236[[#This Row],[SAÍDA DO CLIENTE]]-Prog_236[[#This Row],[PROGRAMAÇÃO CLIENTE]]</f>
        <v>0</v>
      </c>
      <c r="AH475" s="44"/>
      <c r="AI475" s="66"/>
      <c r="AJ475" s="66"/>
      <c r="AK475" s="66"/>
      <c r="AL475" s="66"/>
      <c r="AM475" s="66"/>
      <c r="AN475" s="83"/>
      <c r="AO475" s="66"/>
      <c r="AP475" s="66"/>
      <c r="AQ475" s="66"/>
      <c r="AR475" s="81"/>
      <c r="AS475" s="81"/>
      <c r="AT475" s="81"/>
      <c r="AU475" s="81"/>
      <c r="AV475" s="83">
        <f>SUM(Prog_236[[#This Row],[ADIANTAMENTO]]+Prog_236[[#This Row],[SALDO]]+Prog_236[[#This Row],[MARGEM]]+Prog_236[[#This Row],[ESTADIA 1]])</f>
        <v>0</v>
      </c>
      <c r="AW4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5" s="81"/>
      <c r="AY475" s="81"/>
      <c r="AZ475" s="81">
        <f>Prog_236[[#This Row],[VLR NF]]*0.1%</f>
        <v>0</v>
      </c>
      <c r="BA475" s="81">
        <f>Prog_236[[#This Row],[VLR NF]]*0.05%</f>
        <v>0</v>
      </c>
      <c r="BB475" s="81"/>
      <c r="BC475" s="81"/>
      <c r="BD475" s="81"/>
      <c r="BE475" s="81"/>
      <c r="BF475" s="81"/>
      <c r="BG475" s="81"/>
      <c r="BH475" s="81"/>
      <c r="BI475" s="81"/>
      <c r="BJ475" s="81"/>
      <c r="BK475" s="81"/>
      <c r="BL475" s="66"/>
      <c r="BM475" s="66"/>
      <c r="BN475" s="66"/>
      <c r="BO475" s="66" t="str">
        <f>PROPER(TEXT(Prog_236[[#This Row],[PROGRAMAÇÃO CLIENTE]],"mmm"))</f>
        <v>Jan</v>
      </c>
      <c r="BP475" s="66">
        <f>YEAR(Prog_236[[#This Row],[PROGRAMAÇÃO CLIENTE]])</f>
        <v>1900</v>
      </c>
    </row>
    <row r="476" spans="1:68" x14ac:dyDescent="0.25">
      <c r="A476" s="201">
        <f>Prog_236[[#This Row],[CONTEINER]]</f>
        <v>0</v>
      </c>
      <c r="B476" s="86"/>
      <c r="C4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6" s="44"/>
      <c r="E476" s="66"/>
      <c r="F476" s="66"/>
      <c r="G476" s="66"/>
      <c r="H476" s="44"/>
      <c r="I476" s="44"/>
      <c r="J476" s="66"/>
      <c r="K476" s="66"/>
      <c r="L476" s="66"/>
      <c r="M476" s="66"/>
      <c r="N476" s="66">
        <f>SUM(Prog_236[[#This Row],[TARA]]+Prog_236[[#This Row],[PESO]])</f>
        <v>0</v>
      </c>
      <c r="O476" s="44"/>
      <c r="P476" s="66"/>
      <c r="Q476" s="66"/>
      <c r="R476" s="66"/>
      <c r="S476" s="66"/>
      <c r="T476" s="138" t="str">
        <f>IFERROR(LOOKUP($S476,MOTORISTAS!$D$3:$D$1048576,MOTORISTAS!E$3:$E$1048576),"")</f>
        <v/>
      </c>
      <c r="U476" s="138" t="str">
        <f>IFERROR(LOOKUP($S476,MOTORISTAS!$D$3:$D$1048576,MOTORISTAS!F$3:$F$1048576),"")</f>
        <v/>
      </c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44"/>
      <c r="AG476" s="254">
        <f>Prog_236[[#This Row],[SAÍDA DO CLIENTE]]-Prog_236[[#This Row],[PROGRAMAÇÃO CLIENTE]]</f>
        <v>0</v>
      </c>
      <c r="AH476" s="44"/>
      <c r="AI476" s="66"/>
      <c r="AJ476" s="66"/>
      <c r="AK476" s="66"/>
      <c r="AL476" s="66"/>
      <c r="AM476" s="66"/>
      <c r="AN476" s="83"/>
      <c r="AO476" s="66"/>
      <c r="AP476" s="66"/>
      <c r="AQ476" s="66"/>
      <c r="AR476" s="81"/>
      <c r="AS476" s="81"/>
      <c r="AT476" s="81"/>
      <c r="AU476" s="81"/>
      <c r="AV476" s="83">
        <f>SUM(Prog_236[[#This Row],[ADIANTAMENTO]]+Prog_236[[#This Row],[SALDO]]+Prog_236[[#This Row],[MARGEM]]+Prog_236[[#This Row],[ESTADIA 1]])</f>
        <v>0</v>
      </c>
      <c r="AW4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6" s="81"/>
      <c r="AY476" s="81"/>
      <c r="AZ476" s="81">
        <f>Prog_236[[#This Row],[VLR NF]]*0.1%</f>
        <v>0</v>
      </c>
      <c r="BA476" s="81">
        <f>Prog_236[[#This Row],[VLR NF]]*0.05%</f>
        <v>0</v>
      </c>
      <c r="BB476" s="81"/>
      <c r="BC476" s="81"/>
      <c r="BD476" s="81"/>
      <c r="BE476" s="81"/>
      <c r="BF476" s="81"/>
      <c r="BG476" s="81"/>
      <c r="BH476" s="81"/>
      <c r="BI476" s="81"/>
      <c r="BJ476" s="81"/>
      <c r="BK476" s="81"/>
      <c r="BL476" s="66"/>
      <c r="BM476" s="66"/>
      <c r="BN476" s="66"/>
      <c r="BO476" s="66" t="str">
        <f>PROPER(TEXT(Prog_236[[#This Row],[PROGRAMAÇÃO CLIENTE]],"mmm"))</f>
        <v>Jan</v>
      </c>
      <c r="BP476" s="66">
        <f>YEAR(Prog_236[[#This Row],[PROGRAMAÇÃO CLIENTE]])</f>
        <v>1900</v>
      </c>
    </row>
    <row r="477" spans="1:68" x14ac:dyDescent="0.25">
      <c r="A477" s="200">
        <f>Prog_236[[#This Row],[CONTEINER]]</f>
        <v>0</v>
      </c>
      <c r="B477" s="86"/>
      <c r="C4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7" s="44"/>
      <c r="E477" s="66"/>
      <c r="F477" s="66"/>
      <c r="G477" s="66"/>
      <c r="H477" s="44"/>
      <c r="I477" s="44"/>
      <c r="J477" s="66"/>
      <c r="K477" s="66"/>
      <c r="L477" s="66"/>
      <c r="M477" s="66"/>
      <c r="N477" s="66">
        <f>SUM(Prog_236[[#This Row],[TARA]]+Prog_236[[#This Row],[PESO]])</f>
        <v>0</v>
      </c>
      <c r="O477" s="44"/>
      <c r="P477" s="66"/>
      <c r="Q477" s="66"/>
      <c r="R477" s="66"/>
      <c r="S477" s="66"/>
      <c r="T477" s="138" t="str">
        <f>IFERROR(LOOKUP($S477,MOTORISTAS!$D$3:$D$1048576,MOTORISTAS!E$3:$E$1048576),"")</f>
        <v/>
      </c>
      <c r="U477" s="138" t="str">
        <f>IFERROR(LOOKUP($S477,MOTORISTAS!$D$3:$D$1048576,MOTORISTAS!F$3:$F$1048576),"")</f>
        <v/>
      </c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44"/>
      <c r="AG477" s="254">
        <f>Prog_236[[#This Row],[SAÍDA DO CLIENTE]]-Prog_236[[#This Row],[PROGRAMAÇÃO CLIENTE]]</f>
        <v>0</v>
      </c>
      <c r="AH477" s="44"/>
      <c r="AI477" s="66"/>
      <c r="AJ477" s="66"/>
      <c r="AK477" s="66"/>
      <c r="AL477" s="66"/>
      <c r="AM477" s="66"/>
      <c r="AN477" s="83"/>
      <c r="AO477" s="66"/>
      <c r="AP477" s="66"/>
      <c r="AQ477" s="66"/>
      <c r="AR477" s="81"/>
      <c r="AS477" s="81"/>
      <c r="AT477" s="81"/>
      <c r="AU477" s="81"/>
      <c r="AV477" s="83">
        <f>SUM(Prog_236[[#This Row],[ADIANTAMENTO]]+Prog_236[[#This Row],[SALDO]]+Prog_236[[#This Row],[MARGEM]]+Prog_236[[#This Row],[ESTADIA 1]])</f>
        <v>0</v>
      </c>
      <c r="AW4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7" s="81"/>
      <c r="AY477" s="81"/>
      <c r="AZ477" s="81">
        <f>Prog_236[[#This Row],[VLR NF]]*0.1%</f>
        <v>0</v>
      </c>
      <c r="BA477" s="81">
        <f>Prog_236[[#This Row],[VLR NF]]*0.05%</f>
        <v>0</v>
      </c>
      <c r="BB477" s="81"/>
      <c r="BC477" s="81"/>
      <c r="BD477" s="81"/>
      <c r="BE477" s="81"/>
      <c r="BF477" s="81"/>
      <c r="BG477" s="81"/>
      <c r="BH477" s="81"/>
      <c r="BI477" s="81"/>
      <c r="BJ477" s="81"/>
      <c r="BK477" s="81"/>
      <c r="BL477" s="66"/>
      <c r="BM477" s="66"/>
      <c r="BN477" s="66"/>
      <c r="BO477" s="66" t="str">
        <f>PROPER(TEXT(Prog_236[[#This Row],[PROGRAMAÇÃO CLIENTE]],"mmm"))</f>
        <v>Jan</v>
      </c>
      <c r="BP477" s="66">
        <f>YEAR(Prog_236[[#This Row],[PROGRAMAÇÃO CLIENTE]])</f>
        <v>1900</v>
      </c>
    </row>
    <row r="478" spans="1:68" x14ac:dyDescent="0.25">
      <c r="A478" s="201">
        <f>Prog_236[[#This Row],[CONTEINER]]</f>
        <v>0</v>
      </c>
      <c r="B478" s="86"/>
      <c r="C4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8" s="44"/>
      <c r="E478" s="66"/>
      <c r="F478" s="66"/>
      <c r="G478" s="66"/>
      <c r="H478" s="44"/>
      <c r="I478" s="44"/>
      <c r="J478" s="66"/>
      <c r="K478" s="66"/>
      <c r="L478" s="66"/>
      <c r="M478" s="66"/>
      <c r="N478" s="66">
        <f>SUM(Prog_236[[#This Row],[TARA]]+Prog_236[[#This Row],[PESO]])</f>
        <v>0</v>
      </c>
      <c r="O478" s="44"/>
      <c r="P478" s="66"/>
      <c r="Q478" s="66"/>
      <c r="R478" s="66"/>
      <c r="S478" s="66"/>
      <c r="T478" s="138" t="str">
        <f>IFERROR(LOOKUP($S478,MOTORISTAS!$D$3:$D$1048576,MOTORISTAS!E$3:$E$1048576),"")</f>
        <v/>
      </c>
      <c r="U478" s="138" t="str">
        <f>IFERROR(LOOKUP($S478,MOTORISTAS!$D$3:$D$1048576,MOTORISTAS!F$3:$F$1048576),"")</f>
        <v/>
      </c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44"/>
      <c r="AG478" s="254">
        <f>Prog_236[[#This Row],[SAÍDA DO CLIENTE]]-Prog_236[[#This Row],[PROGRAMAÇÃO CLIENTE]]</f>
        <v>0</v>
      </c>
      <c r="AH478" s="44"/>
      <c r="AI478" s="66"/>
      <c r="AJ478" s="66"/>
      <c r="AK478" s="66"/>
      <c r="AL478" s="66"/>
      <c r="AM478" s="66"/>
      <c r="AN478" s="83"/>
      <c r="AO478" s="66"/>
      <c r="AP478" s="66"/>
      <c r="AQ478" s="66"/>
      <c r="AR478" s="81"/>
      <c r="AS478" s="81"/>
      <c r="AT478" s="81"/>
      <c r="AU478" s="81"/>
      <c r="AV478" s="83">
        <f>SUM(Prog_236[[#This Row],[ADIANTAMENTO]]+Prog_236[[#This Row],[SALDO]]+Prog_236[[#This Row],[MARGEM]]+Prog_236[[#This Row],[ESTADIA 1]])</f>
        <v>0</v>
      </c>
      <c r="AW4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8" s="81"/>
      <c r="AY478" s="81"/>
      <c r="AZ478" s="81">
        <f>Prog_236[[#This Row],[VLR NF]]*0.1%</f>
        <v>0</v>
      </c>
      <c r="BA478" s="81">
        <f>Prog_236[[#This Row],[VLR NF]]*0.05%</f>
        <v>0</v>
      </c>
      <c r="BB478" s="81"/>
      <c r="BC478" s="81"/>
      <c r="BD478" s="81"/>
      <c r="BE478" s="81"/>
      <c r="BF478" s="81"/>
      <c r="BG478" s="81"/>
      <c r="BH478" s="81"/>
      <c r="BI478" s="81"/>
      <c r="BJ478" s="81"/>
      <c r="BK478" s="81"/>
      <c r="BL478" s="66"/>
      <c r="BM478" s="66"/>
      <c r="BN478" s="66"/>
      <c r="BO478" s="66" t="str">
        <f>PROPER(TEXT(Prog_236[[#This Row],[PROGRAMAÇÃO CLIENTE]],"mmm"))</f>
        <v>Jan</v>
      </c>
      <c r="BP478" s="66">
        <f>YEAR(Prog_236[[#This Row],[PROGRAMAÇÃO CLIENTE]])</f>
        <v>1900</v>
      </c>
    </row>
    <row r="479" spans="1:68" x14ac:dyDescent="0.25">
      <c r="A479" s="200">
        <f>Prog_236[[#This Row],[CONTEINER]]</f>
        <v>0</v>
      </c>
      <c r="B479" s="86"/>
      <c r="C4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79" s="44"/>
      <c r="E479" s="66"/>
      <c r="F479" s="66"/>
      <c r="G479" s="66"/>
      <c r="H479" s="44"/>
      <c r="I479" s="44"/>
      <c r="J479" s="66"/>
      <c r="K479" s="66"/>
      <c r="L479" s="66"/>
      <c r="M479" s="66"/>
      <c r="N479" s="66">
        <f>SUM(Prog_236[[#This Row],[TARA]]+Prog_236[[#This Row],[PESO]])</f>
        <v>0</v>
      </c>
      <c r="O479" s="44"/>
      <c r="P479" s="66"/>
      <c r="Q479" s="66"/>
      <c r="R479" s="66"/>
      <c r="S479" s="66"/>
      <c r="T479" s="138" t="str">
        <f>IFERROR(LOOKUP($S479,MOTORISTAS!$D$3:$D$1048576,MOTORISTAS!E$3:$E$1048576),"")</f>
        <v/>
      </c>
      <c r="U479" s="138" t="str">
        <f>IFERROR(LOOKUP($S479,MOTORISTAS!$D$3:$D$1048576,MOTORISTAS!F$3:$F$1048576),"")</f>
        <v/>
      </c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44"/>
      <c r="AG479" s="254">
        <f>Prog_236[[#This Row],[SAÍDA DO CLIENTE]]-Prog_236[[#This Row],[PROGRAMAÇÃO CLIENTE]]</f>
        <v>0</v>
      </c>
      <c r="AH479" s="44"/>
      <c r="AI479" s="66"/>
      <c r="AJ479" s="66"/>
      <c r="AK479" s="66"/>
      <c r="AL479" s="66"/>
      <c r="AM479" s="66"/>
      <c r="AN479" s="83"/>
      <c r="AO479" s="66"/>
      <c r="AP479" s="66"/>
      <c r="AQ479" s="66"/>
      <c r="AR479" s="81"/>
      <c r="AS479" s="81"/>
      <c r="AT479" s="81"/>
      <c r="AU479" s="81"/>
      <c r="AV479" s="83">
        <f>SUM(Prog_236[[#This Row],[ADIANTAMENTO]]+Prog_236[[#This Row],[SALDO]]+Prog_236[[#This Row],[MARGEM]]+Prog_236[[#This Row],[ESTADIA 1]])</f>
        <v>0</v>
      </c>
      <c r="AW4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79" s="81"/>
      <c r="AY479" s="81"/>
      <c r="AZ479" s="81">
        <f>Prog_236[[#This Row],[VLR NF]]*0.1%</f>
        <v>0</v>
      </c>
      <c r="BA479" s="81">
        <f>Prog_236[[#This Row],[VLR NF]]*0.05%</f>
        <v>0</v>
      </c>
      <c r="BB479" s="81"/>
      <c r="BC479" s="81"/>
      <c r="BD479" s="81"/>
      <c r="BE479" s="81"/>
      <c r="BF479" s="81"/>
      <c r="BG479" s="81"/>
      <c r="BH479" s="81"/>
      <c r="BI479" s="81"/>
      <c r="BJ479" s="81"/>
      <c r="BK479" s="81"/>
      <c r="BL479" s="66"/>
      <c r="BM479" s="66"/>
      <c r="BN479" s="66"/>
      <c r="BO479" s="66" t="str">
        <f>PROPER(TEXT(Prog_236[[#This Row],[PROGRAMAÇÃO CLIENTE]],"mmm"))</f>
        <v>Jan</v>
      </c>
      <c r="BP479" s="66">
        <f>YEAR(Prog_236[[#This Row],[PROGRAMAÇÃO CLIENTE]])</f>
        <v>1900</v>
      </c>
    </row>
    <row r="480" spans="1:68" x14ac:dyDescent="0.25">
      <c r="A480" s="201">
        <f>Prog_236[[#This Row],[CONTEINER]]</f>
        <v>0</v>
      </c>
      <c r="B480" s="86"/>
      <c r="C4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0" s="44"/>
      <c r="E480" s="66"/>
      <c r="F480" s="66"/>
      <c r="G480" s="66"/>
      <c r="H480" s="44"/>
      <c r="I480" s="44"/>
      <c r="J480" s="66"/>
      <c r="K480" s="66"/>
      <c r="L480" s="66"/>
      <c r="M480" s="66"/>
      <c r="N480" s="66">
        <f>SUM(Prog_236[[#This Row],[TARA]]+Prog_236[[#This Row],[PESO]])</f>
        <v>0</v>
      </c>
      <c r="O480" s="44"/>
      <c r="P480" s="66"/>
      <c r="Q480" s="66"/>
      <c r="R480" s="66"/>
      <c r="S480" s="66"/>
      <c r="T480" s="138" t="str">
        <f>IFERROR(LOOKUP($S480,MOTORISTAS!$D$3:$D$1048576,MOTORISTAS!E$3:$E$1048576),"")</f>
        <v/>
      </c>
      <c r="U480" s="138" t="str">
        <f>IFERROR(LOOKUP($S480,MOTORISTAS!$D$3:$D$1048576,MOTORISTAS!F$3:$F$1048576),"")</f>
        <v/>
      </c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44"/>
      <c r="AG480" s="254">
        <f>Prog_236[[#This Row],[SAÍDA DO CLIENTE]]-Prog_236[[#This Row],[PROGRAMAÇÃO CLIENTE]]</f>
        <v>0</v>
      </c>
      <c r="AH480" s="44"/>
      <c r="AI480" s="66"/>
      <c r="AJ480" s="66"/>
      <c r="AK480" s="66"/>
      <c r="AL480" s="66"/>
      <c r="AM480" s="66"/>
      <c r="AN480" s="83"/>
      <c r="AO480" s="66"/>
      <c r="AP480" s="66"/>
      <c r="AQ480" s="66"/>
      <c r="AR480" s="81"/>
      <c r="AS480" s="81"/>
      <c r="AT480" s="81"/>
      <c r="AU480" s="81"/>
      <c r="AV480" s="83">
        <f>SUM(Prog_236[[#This Row],[ADIANTAMENTO]]+Prog_236[[#This Row],[SALDO]]+Prog_236[[#This Row],[MARGEM]]+Prog_236[[#This Row],[ESTADIA 1]])</f>
        <v>0</v>
      </c>
      <c r="AW4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0" s="81"/>
      <c r="AY480" s="81"/>
      <c r="AZ480" s="81">
        <f>Prog_236[[#This Row],[VLR NF]]*0.1%</f>
        <v>0</v>
      </c>
      <c r="BA480" s="81">
        <f>Prog_236[[#This Row],[VLR NF]]*0.05%</f>
        <v>0</v>
      </c>
      <c r="BB480" s="81"/>
      <c r="BC480" s="81"/>
      <c r="BD480" s="81"/>
      <c r="BE480" s="81"/>
      <c r="BF480" s="81"/>
      <c r="BG480" s="81"/>
      <c r="BH480" s="81"/>
      <c r="BI480" s="81"/>
      <c r="BJ480" s="81"/>
      <c r="BK480" s="81"/>
      <c r="BL480" s="66"/>
      <c r="BM480" s="66"/>
      <c r="BN480" s="66"/>
      <c r="BO480" s="66" t="str">
        <f>PROPER(TEXT(Prog_236[[#This Row],[PROGRAMAÇÃO CLIENTE]],"mmm"))</f>
        <v>Jan</v>
      </c>
      <c r="BP480" s="66">
        <f>YEAR(Prog_236[[#This Row],[PROGRAMAÇÃO CLIENTE]])</f>
        <v>1900</v>
      </c>
    </row>
    <row r="481" spans="1:68" x14ac:dyDescent="0.25">
      <c r="A481" s="200">
        <f>Prog_236[[#This Row],[CONTEINER]]</f>
        <v>0</v>
      </c>
      <c r="B481" s="86"/>
      <c r="C4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1" s="44"/>
      <c r="E481" s="66"/>
      <c r="F481" s="66"/>
      <c r="G481" s="66"/>
      <c r="H481" s="44"/>
      <c r="I481" s="44"/>
      <c r="J481" s="66"/>
      <c r="K481" s="66"/>
      <c r="L481" s="66"/>
      <c r="M481" s="66"/>
      <c r="N481" s="66">
        <f>SUM(Prog_236[[#This Row],[TARA]]+Prog_236[[#This Row],[PESO]])</f>
        <v>0</v>
      </c>
      <c r="O481" s="44"/>
      <c r="P481" s="66"/>
      <c r="Q481" s="66"/>
      <c r="R481" s="66"/>
      <c r="S481" s="66"/>
      <c r="T481" s="138" t="str">
        <f>IFERROR(LOOKUP($S481,MOTORISTAS!$D$3:$D$1048576,MOTORISTAS!E$3:$E$1048576),"")</f>
        <v/>
      </c>
      <c r="U481" s="138" t="str">
        <f>IFERROR(LOOKUP($S481,MOTORISTAS!$D$3:$D$1048576,MOTORISTAS!F$3:$F$1048576),"")</f>
        <v/>
      </c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44"/>
      <c r="AG481" s="254">
        <f>Prog_236[[#This Row],[SAÍDA DO CLIENTE]]-Prog_236[[#This Row],[PROGRAMAÇÃO CLIENTE]]</f>
        <v>0</v>
      </c>
      <c r="AH481" s="44"/>
      <c r="AI481" s="66"/>
      <c r="AJ481" s="66"/>
      <c r="AK481" s="66"/>
      <c r="AL481" s="66"/>
      <c r="AM481" s="66"/>
      <c r="AN481" s="83"/>
      <c r="AO481" s="66"/>
      <c r="AP481" s="66"/>
      <c r="AQ481" s="66"/>
      <c r="AR481" s="81"/>
      <c r="AS481" s="81"/>
      <c r="AT481" s="81"/>
      <c r="AU481" s="81"/>
      <c r="AV481" s="83">
        <f>SUM(Prog_236[[#This Row],[ADIANTAMENTO]]+Prog_236[[#This Row],[SALDO]]+Prog_236[[#This Row],[MARGEM]]+Prog_236[[#This Row],[ESTADIA 1]])</f>
        <v>0</v>
      </c>
      <c r="AW4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1" s="81"/>
      <c r="AY481" s="81"/>
      <c r="AZ481" s="81">
        <f>Prog_236[[#This Row],[VLR NF]]*0.1%</f>
        <v>0</v>
      </c>
      <c r="BA481" s="81">
        <f>Prog_236[[#This Row],[VLR NF]]*0.05%</f>
        <v>0</v>
      </c>
      <c r="BB481" s="81"/>
      <c r="BC481" s="81"/>
      <c r="BD481" s="81"/>
      <c r="BE481" s="81"/>
      <c r="BF481" s="81"/>
      <c r="BG481" s="81"/>
      <c r="BH481" s="81"/>
      <c r="BI481" s="81"/>
      <c r="BJ481" s="81"/>
      <c r="BK481" s="81"/>
      <c r="BL481" s="66"/>
      <c r="BM481" s="66"/>
      <c r="BN481" s="66"/>
      <c r="BO481" s="66" t="str">
        <f>PROPER(TEXT(Prog_236[[#This Row],[PROGRAMAÇÃO CLIENTE]],"mmm"))</f>
        <v>Jan</v>
      </c>
      <c r="BP481" s="66">
        <f>YEAR(Prog_236[[#This Row],[PROGRAMAÇÃO CLIENTE]])</f>
        <v>1900</v>
      </c>
    </row>
    <row r="482" spans="1:68" x14ac:dyDescent="0.25">
      <c r="A482" s="201">
        <f>Prog_236[[#This Row],[CONTEINER]]</f>
        <v>0</v>
      </c>
      <c r="B482" s="86"/>
      <c r="C4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2" s="44"/>
      <c r="E482" s="66"/>
      <c r="F482" s="66"/>
      <c r="G482" s="66"/>
      <c r="H482" s="44"/>
      <c r="I482" s="44"/>
      <c r="J482" s="66"/>
      <c r="K482" s="66"/>
      <c r="L482" s="66"/>
      <c r="M482" s="66"/>
      <c r="N482" s="66">
        <f>SUM(Prog_236[[#This Row],[TARA]]+Prog_236[[#This Row],[PESO]])</f>
        <v>0</v>
      </c>
      <c r="O482" s="44"/>
      <c r="P482" s="66"/>
      <c r="Q482" s="66"/>
      <c r="R482" s="66"/>
      <c r="S482" s="66"/>
      <c r="T482" s="138" t="str">
        <f>IFERROR(LOOKUP($S482,MOTORISTAS!$D$3:$D$1048576,MOTORISTAS!E$3:$E$1048576),"")</f>
        <v/>
      </c>
      <c r="U482" s="138" t="str">
        <f>IFERROR(LOOKUP($S482,MOTORISTAS!$D$3:$D$1048576,MOTORISTAS!F$3:$F$1048576),"")</f>
        <v/>
      </c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44"/>
      <c r="AG482" s="254">
        <f>Prog_236[[#This Row],[SAÍDA DO CLIENTE]]-Prog_236[[#This Row],[PROGRAMAÇÃO CLIENTE]]</f>
        <v>0</v>
      </c>
      <c r="AH482" s="44"/>
      <c r="AI482" s="66"/>
      <c r="AJ482" s="66"/>
      <c r="AK482" s="66"/>
      <c r="AL482" s="66"/>
      <c r="AM482" s="66"/>
      <c r="AN482" s="83"/>
      <c r="AO482" s="66"/>
      <c r="AP482" s="66"/>
      <c r="AQ482" s="66"/>
      <c r="AR482" s="81"/>
      <c r="AS482" s="81"/>
      <c r="AT482" s="81"/>
      <c r="AU482" s="81"/>
      <c r="AV482" s="83">
        <f>SUM(Prog_236[[#This Row],[ADIANTAMENTO]]+Prog_236[[#This Row],[SALDO]]+Prog_236[[#This Row],[MARGEM]]+Prog_236[[#This Row],[ESTADIA 1]])</f>
        <v>0</v>
      </c>
      <c r="AW4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2" s="81"/>
      <c r="AY482" s="81"/>
      <c r="AZ482" s="81">
        <f>Prog_236[[#This Row],[VLR NF]]*0.1%</f>
        <v>0</v>
      </c>
      <c r="BA482" s="81">
        <f>Prog_236[[#This Row],[VLR NF]]*0.05%</f>
        <v>0</v>
      </c>
      <c r="BB482" s="81"/>
      <c r="BC482" s="81"/>
      <c r="BD482" s="81"/>
      <c r="BE482" s="81"/>
      <c r="BF482" s="81"/>
      <c r="BG482" s="81"/>
      <c r="BH482" s="81"/>
      <c r="BI482" s="81"/>
      <c r="BJ482" s="81"/>
      <c r="BK482" s="81"/>
      <c r="BL482" s="66"/>
      <c r="BM482" s="66"/>
      <c r="BN482" s="66"/>
      <c r="BO482" s="66" t="str">
        <f>PROPER(TEXT(Prog_236[[#This Row],[PROGRAMAÇÃO CLIENTE]],"mmm"))</f>
        <v>Jan</v>
      </c>
      <c r="BP482" s="66">
        <f>YEAR(Prog_236[[#This Row],[PROGRAMAÇÃO CLIENTE]])</f>
        <v>1900</v>
      </c>
    </row>
    <row r="483" spans="1:68" x14ac:dyDescent="0.25">
      <c r="A483" s="200">
        <f>Prog_236[[#This Row],[CONTEINER]]</f>
        <v>0</v>
      </c>
      <c r="B483" s="86"/>
      <c r="C4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3" s="44"/>
      <c r="E483" s="66"/>
      <c r="F483" s="66"/>
      <c r="G483" s="66"/>
      <c r="H483" s="44"/>
      <c r="I483" s="44"/>
      <c r="J483" s="66"/>
      <c r="K483" s="66"/>
      <c r="L483" s="66"/>
      <c r="M483" s="66"/>
      <c r="N483" s="66">
        <f>SUM(Prog_236[[#This Row],[TARA]]+Prog_236[[#This Row],[PESO]])</f>
        <v>0</v>
      </c>
      <c r="O483" s="44"/>
      <c r="P483" s="66"/>
      <c r="Q483" s="66"/>
      <c r="R483" s="66"/>
      <c r="S483" s="66"/>
      <c r="T483" s="138" t="str">
        <f>IFERROR(LOOKUP($S483,MOTORISTAS!$D$3:$D$1048576,MOTORISTAS!E$3:$E$1048576),"")</f>
        <v/>
      </c>
      <c r="U483" s="138" t="str">
        <f>IFERROR(LOOKUP($S483,MOTORISTAS!$D$3:$D$1048576,MOTORISTAS!F$3:$F$1048576),"")</f>
        <v/>
      </c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44"/>
      <c r="AG483" s="254">
        <f>Prog_236[[#This Row],[SAÍDA DO CLIENTE]]-Prog_236[[#This Row],[PROGRAMAÇÃO CLIENTE]]</f>
        <v>0</v>
      </c>
      <c r="AH483" s="44"/>
      <c r="AI483" s="66"/>
      <c r="AJ483" s="66"/>
      <c r="AK483" s="66"/>
      <c r="AL483" s="66"/>
      <c r="AM483" s="66"/>
      <c r="AN483" s="83"/>
      <c r="AO483" s="66"/>
      <c r="AP483" s="66"/>
      <c r="AQ483" s="66"/>
      <c r="AR483" s="81"/>
      <c r="AS483" s="81"/>
      <c r="AT483" s="81"/>
      <c r="AU483" s="81"/>
      <c r="AV483" s="83">
        <f>SUM(Prog_236[[#This Row],[ADIANTAMENTO]]+Prog_236[[#This Row],[SALDO]]+Prog_236[[#This Row],[MARGEM]]+Prog_236[[#This Row],[ESTADIA 1]])</f>
        <v>0</v>
      </c>
      <c r="AW4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3" s="81"/>
      <c r="AY483" s="81"/>
      <c r="AZ483" s="81">
        <f>Prog_236[[#This Row],[VLR NF]]*0.1%</f>
        <v>0</v>
      </c>
      <c r="BA483" s="81">
        <f>Prog_236[[#This Row],[VLR NF]]*0.05%</f>
        <v>0</v>
      </c>
      <c r="BB483" s="81"/>
      <c r="BC483" s="81"/>
      <c r="BD483" s="81"/>
      <c r="BE483" s="81"/>
      <c r="BF483" s="81"/>
      <c r="BG483" s="81"/>
      <c r="BH483" s="81"/>
      <c r="BI483" s="81"/>
      <c r="BJ483" s="81"/>
      <c r="BK483" s="81"/>
      <c r="BL483" s="66"/>
      <c r="BM483" s="66"/>
      <c r="BN483" s="66"/>
      <c r="BO483" s="66" t="str">
        <f>PROPER(TEXT(Prog_236[[#This Row],[PROGRAMAÇÃO CLIENTE]],"mmm"))</f>
        <v>Jan</v>
      </c>
      <c r="BP483" s="66">
        <f>YEAR(Prog_236[[#This Row],[PROGRAMAÇÃO CLIENTE]])</f>
        <v>1900</v>
      </c>
    </row>
    <row r="484" spans="1:68" x14ac:dyDescent="0.25">
      <c r="A484" s="201">
        <f>Prog_236[[#This Row],[CONTEINER]]</f>
        <v>0</v>
      </c>
      <c r="B484" s="86"/>
      <c r="C4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4" s="44"/>
      <c r="E484" s="66"/>
      <c r="F484" s="66"/>
      <c r="G484" s="66"/>
      <c r="H484" s="44"/>
      <c r="I484" s="44"/>
      <c r="J484" s="66"/>
      <c r="K484" s="66"/>
      <c r="L484" s="66"/>
      <c r="M484" s="66"/>
      <c r="N484" s="66">
        <f>SUM(Prog_236[[#This Row],[TARA]]+Prog_236[[#This Row],[PESO]])</f>
        <v>0</v>
      </c>
      <c r="O484" s="44"/>
      <c r="P484" s="66"/>
      <c r="Q484" s="66"/>
      <c r="R484" s="66"/>
      <c r="S484" s="66"/>
      <c r="T484" s="138" t="str">
        <f>IFERROR(LOOKUP($S484,MOTORISTAS!$D$3:$D$1048576,MOTORISTAS!E$3:$E$1048576),"")</f>
        <v/>
      </c>
      <c r="U484" s="138" t="str">
        <f>IFERROR(LOOKUP($S484,MOTORISTAS!$D$3:$D$1048576,MOTORISTAS!F$3:$F$1048576),"")</f>
        <v/>
      </c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44"/>
      <c r="AG484" s="254">
        <f>Prog_236[[#This Row],[SAÍDA DO CLIENTE]]-Prog_236[[#This Row],[PROGRAMAÇÃO CLIENTE]]</f>
        <v>0</v>
      </c>
      <c r="AH484" s="44"/>
      <c r="AI484" s="66"/>
      <c r="AJ484" s="66"/>
      <c r="AK484" s="66"/>
      <c r="AL484" s="66"/>
      <c r="AM484" s="66"/>
      <c r="AN484" s="83"/>
      <c r="AO484" s="66"/>
      <c r="AP484" s="66"/>
      <c r="AQ484" s="66"/>
      <c r="AR484" s="81"/>
      <c r="AS484" s="81"/>
      <c r="AT484" s="81"/>
      <c r="AU484" s="81"/>
      <c r="AV484" s="83">
        <f>SUM(Prog_236[[#This Row],[ADIANTAMENTO]]+Prog_236[[#This Row],[SALDO]]+Prog_236[[#This Row],[MARGEM]]+Prog_236[[#This Row],[ESTADIA 1]])</f>
        <v>0</v>
      </c>
      <c r="AW4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4" s="81"/>
      <c r="AY484" s="81"/>
      <c r="AZ484" s="81">
        <f>Prog_236[[#This Row],[VLR NF]]*0.1%</f>
        <v>0</v>
      </c>
      <c r="BA484" s="81">
        <f>Prog_236[[#This Row],[VLR NF]]*0.05%</f>
        <v>0</v>
      </c>
      <c r="BB484" s="81"/>
      <c r="BC484" s="81"/>
      <c r="BD484" s="81"/>
      <c r="BE484" s="81"/>
      <c r="BF484" s="81"/>
      <c r="BG484" s="81"/>
      <c r="BH484" s="81"/>
      <c r="BI484" s="81"/>
      <c r="BJ484" s="81"/>
      <c r="BK484" s="81"/>
      <c r="BL484" s="66"/>
      <c r="BM484" s="66"/>
      <c r="BN484" s="66"/>
      <c r="BO484" s="66" t="str">
        <f>PROPER(TEXT(Prog_236[[#This Row],[PROGRAMAÇÃO CLIENTE]],"mmm"))</f>
        <v>Jan</v>
      </c>
      <c r="BP484" s="66">
        <f>YEAR(Prog_236[[#This Row],[PROGRAMAÇÃO CLIENTE]])</f>
        <v>1900</v>
      </c>
    </row>
    <row r="485" spans="1:68" x14ac:dyDescent="0.25">
      <c r="A485" s="200">
        <f>Prog_236[[#This Row],[CONTEINER]]</f>
        <v>0</v>
      </c>
      <c r="B485" s="86"/>
      <c r="C4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5" s="44"/>
      <c r="E485" s="66"/>
      <c r="F485" s="66"/>
      <c r="G485" s="66"/>
      <c r="H485" s="44"/>
      <c r="I485" s="44"/>
      <c r="J485" s="66"/>
      <c r="K485" s="66"/>
      <c r="L485" s="66"/>
      <c r="M485" s="66"/>
      <c r="N485" s="66">
        <f>SUM(Prog_236[[#This Row],[TARA]]+Prog_236[[#This Row],[PESO]])</f>
        <v>0</v>
      </c>
      <c r="O485" s="44"/>
      <c r="P485" s="66"/>
      <c r="Q485" s="66"/>
      <c r="R485" s="66"/>
      <c r="S485" s="66"/>
      <c r="T485" s="138" t="str">
        <f>IFERROR(LOOKUP($S485,MOTORISTAS!$D$3:$D$1048576,MOTORISTAS!E$3:$E$1048576),"")</f>
        <v/>
      </c>
      <c r="U485" s="138" t="str">
        <f>IFERROR(LOOKUP($S485,MOTORISTAS!$D$3:$D$1048576,MOTORISTAS!F$3:$F$1048576),"")</f>
        <v/>
      </c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44"/>
      <c r="AG485" s="254">
        <f>Prog_236[[#This Row],[SAÍDA DO CLIENTE]]-Prog_236[[#This Row],[PROGRAMAÇÃO CLIENTE]]</f>
        <v>0</v>
      </c>
      <c r="AH485" s="44"/>
      <c r="AI485" s="66"/>
      <c r="AJ485" s="66"/>
      <c r="AK485" s="66"/>
      <c r="AL485" s="66"/>
      <c r="AM485" s="66"/>
      <c r="AN485" s="83"/>
      <c r="AO485" s="66"/>
      <c r="AP485" s="66"/>
      <c r="AQ485" s="66"/>
      <c r="AR485" s="81"/>
      <c r="AS485" s="81"/>
      <c r="AT485" s="81"/>
      <c r="AU485" s="81"/>
      <c r="AV485" s="83">
        <f>SUM(Prog_236[[#This Row],[ADIANTAMENTO]]+Prog_236[[#This Row],[SALDO]]+Prog_236[[#This Row],[MARGEM]]+Prog_236[[#This Row],[ESTADIA 1]])</f>
        <v>0</v>
      </c>
      <c r="AW4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5" s="81"/>
      <c r="AY485" s="81"/>
      <c r="AZ485" s="81">
        <f>Prog_236[[#This Row],[VLR NF]]*0.1%</f>
        <v>0</v>
      </c>
      <c r="BA485" s="81">
        <f>Prog_236[[#This Row],[VLR NF]]*0.05%</f>
        <v>0</v>
      </c>
      <c r="BB485" s="81"/>
      <c r="BC485" s="81"/>
      <c r="BD485" s="81"/>
      <c r="BE485" s="81"/>
      <c r="BF485" s="81"/>
      <c r="BG485" s="81"/>
      <c r="BH485" s="81"/>
      <c r="BI485" s="81"/>
      <c r="BJ485" s="81"/>
      <c r="BK485" s="81"/>
      <c r="BL485" s="66"/>
      <c r="BM485" s="66"/>
      <c r="BN485" s="66"/>
      <c r="BO485" s="66" t="str">
        <f>PROPER(TEXT(Prog_236[[#This Row],[PROGRAMAÇÃO CLIENTE]],"mmm"))</f>
        <v>Jan</v>
      </c>
      <c r="BP485" s="66">
        <f>YEAR(Prog_236[[#This Row],[PROGRAMAÇÃO CLIENTE]])</f>
        <v>1900</v>
      </c>
    </row>
    <row r="486" spans="1:68" x14ac:dyDescent="0.25">
      <c r="A486" s="201">
        <f>Prog_236[[#This Row],[CONTEINER]]</f>
        <v>0</v>
      </c>
      <c r="B486" s="86"/>
      <c r="C4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6" s="44"/>
      <c r="E486" s="66"/>
      <c r="F486" s="66"/>
      <c r="G486" s="66"/>
      <c r="H486" s="44"/>
      <c r="I486" s="44"/>
      <c r="J486" s="66"/>
      <c r="K486" s="66"/>
      <c r="L486" s="66"/>
      <c r="M486" s="66"/>
      <c r="N486" s="66">
        <f>SUM(Prog_236[[#This Row],[TARA]]+Prog_236[[#This Row],[PESO]])</f>
        <v>0</v>
      </c>
      <c r="O486" s="44"/>
      <c r="P486" s="66"/>
      <c r="Q486" s="66"/>
      <c r="R486" s="66"/>
      <c r="S486" s="66"/>
      <c r="T486" s="138" t="str">
        <f>IFERROR(LOOKUP($S486,MOTORISTAS!$D$3:$D$1048576,MOTORISTAS!E$3:$E$1048576),"")</f>
        <v/>
      </c>
      <c r="U486" s="138" t="str">
        <f>IFERROR(LOOKUP($S486,MOTORISTAS!$D$3:$D$1048576,MOTORISTAS!F$3:$F$1048576),"")</f>
        <v/>
      </c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44"/>
      <c r="AG486" s="254">
        <f>Prog_236[[#This Row],[SAÍDA DO CLIENTE]]-Prog_236[[#This Row],[PROGRAMAÇÃO CLIENTE]]</f>
        <v>0</v>
      </c>
      <c r="AH486" s="44"/>
      <c r="AI486" s="66"/>
      <c r="AJ486" s="66"/>
      <c r="AK486" s="66"/>
      <c r="AL486" s="66"/>
      <c r="AM486" s="66"/>
      <c r="AN486" s="83"/>
      <c r="AO486" s="66"/>
      <c r="AP486" s="66"/>
      <c r="AQ486" s="66"/>
      <c r="AR486" s="81"/>
      <c r="AS486" s="81"/>
      <c r="AT486" s="81"/>
      <c r="AU486" s="81"/>
      <c r="AV486" s="83">
        <f>SUM(Prog_236[[#This Row],[ADIANTAMENTO]]+Prog_236[[#This Row],[SALDO]]+Prog_236[[#This Row],[MARGEM]]+Prog_236[[#This Row],[ESTADIA 1]])</f>
        <v>0</v>
      </c>
      <c r="AW4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6" s="81"/>
      <c r="AY486" s="81"/>
      <c r="AZ486" s="81">
        <f>Prog_236[[#This Row],[VLR NF]]*0.1%</f>
        <v>0</v>
      </c>
      <c r="BA486" s="81">
        <f>Prog_236[[#This Row],[VLR NF]]*0.05%</f>
        <v>0</v>
      </c>
      <c r="BB486" s="81"/>
      <c r="BC486" s="81"/>
      <c r="BD486" s="81"/>
      <c r="BE486" s="81"/>
      <c r="BF486" s="81"/>
      <c r="BG486" s="81"/>
      <c r="BH486" s="81"/>
      <c r="BI486" s="81"/>
      <c r="BJ486" s="81"/>
      <c r="BK486" s="81"/>
      <c r="BL486" s="66"/>
      <c r="BM486" s="66"/>
      <c r="BN486" s="66"/>
      <c r="BO486" s="66" t="str">
        <f>PROPER(TEXT(Prog_236[[#This Row],[PROGRAMAÇÃO CLIENTE]],"mmm"))</f>
        <v>Jan</v>
      </c>
      <c r="BP486" s="66">
        <f>YEAR(Prog_236[[#This Row],[PROGRAMAÇÃO CLIENTE]])</f>
        <v>1900</v>
      </c>
    </row>
    <row r="487" spans="1:68" x14ac:dyDescent="0.25">
      <c r="A487" s="200">
        <f>Prog_236[[#This Row],[CONTEINER]]</f>
        <v>0</v>
      </c>
      <c r="B487" s="86"/>
      <c r="C4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7" s="44"/>
      <c r="E487" s="66"/>
      <c r="F487" s="66"/>
      <c r="G487" s="66"/>
      <c r="H487" s="44"/>
      <c r="I487" s="44"/>
      <c r="J487" s="66"/>
      <c r="K487" s="66"/>
      <c r="L487" s="66"/>
      <c r="M487" s="66"/>
      <c r="N487" s="66">
        <f>SUM(Prog_236[[#This Row],[TARA]]+Prog_236[[#This Row],[PESO]])</f>
        <v>0</v>
      </c>
      <c r="O487" s="44"/>
      <c r="P487" s="66"/>
      <c r="Q487" s="66"/>
      <c r="R487" s="66"/>
      <c r="S487" s="66"/>
      <c r="T487" s="138" t="str">
        <f>IFERROR(LOOKUP($S487,MOTORISTAS!$D$3:$D$1048576,MOTORISTAS!E$3:$E$1048576),"")</f>
        <v/>
      </c>
      <c r="U487" s="138" t="str">
        <f>IFERROR(LOOKUP($S487,MOTORISTAS!$D$3:$D$1048576,MOTORISTAS!F$3:$F$1048576),"")</f>
        <v/>
      </c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44"/>
      <c r="AG487" s="254">
        <f>Prog_236[[#This Row],[SAÍDA DO CLIENTE]]-Prog_236[[#This Row],[PROGRAMAÇÃO CLIENTE]]</f>
        <v>0</v>
      </c>
      <c r="AH487" s="44"/>
      <c r="AI487" s="66"/>
      <c r="AJ487" s="66"/>
      <c r="AK487" s="66"/>
      <c r="AL487" s="66"/>
      <c r="AM487" s="66"/>
      <c r="AN487" s="83"/>
      <c r="AO487" s="66"/>
      <c r="AP487" s="66"/>
      <c r="AQ487" s="66"/>
      <c r="AR487" s="81"/>
      <c r="AS487" s="81"/>
      <c r="AT487" s="81"/>
      <c r="AU487" s="81"/>
      <c r="AV487" s="83">
        <f>SUM(Prog_236[[#This Row],[ADIANTAMENTO]]+Prog_236[[#This Row],[SALDO]]+Prog_236[[#This Row],[MARGEM]]+Prog_236[[#This Row],[ESTADIA 1]])</f>
        <v>0</v>
      </c>
      <c r="AW4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7" s="81"/>
      <c r="AY487" s="81"/>
      <c r="AZ487" s="81">
        <f>Prog_236[[#This Row],[VLR NF]]*0.1%</f>
        <v>0</v>
      </c>
      <c r="BA487" s="81">
        <f>Prog_236[[#This Row],[VLR NF]]*0.05%</f>
        <v>0</v>
      </c>
      <c r="BB487" s="81"/>
      <c r="BC487" s="81"/>
      <c r="BD487" s="81"/>
      <c r="BE487" s="81"/>
      <c r="BF487" s="81"/>
      <c r="BG487" s="81"/>
      <c r="BH487" s="81"/>
      <c r="BI487" s="81"/>
      <c r="BJ487" s="81"/>
      <c r="BK487" s="81"/>
      <c r="BL487" s="66"/>
      <c r="BM487" s="66"/>
      <c r="BN487" s="66"/>
      <c r="BO487" s="66" t="str">
        <f>PROPER(TEXT(Prog_236[[#This Row],[PROGRAMAÇÃO CLIENTE]],"mmm"))</f>
        <v>Jan</v>
      </c>
      <c r="BP487" s="66">
        <f>YEAR(Prog_236[[#This Row],[PROGRAMAÇÃO CLIENTE]])</f>
        <v>1900</v>
      </c>
    </row>
    <row r="488" spans="1:68" x14ac:dyDescent="0.25">
      <c r="A488" s="201">
        <f>Prog_236[[#This Row],[CONTEINER]]</f>
        <v>0</v>
      </c>
      <c r="B488" s="86"/>
      <c r="C4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8" s="44"/>
      <c r="E488" s="66"/>
      <c r="F488" s="66"/>
      <c r="G488" s="66"/>
      <c r="H488" s="44"/>
      <c r="I488" s="44"/>
      <c r="J488" s="66"/>
      <c r="K488" s="66"/>
      <c r="L488" s="66"/>
      <c r="M488" s="66"/>
      <c r="N488" s="66">
        <f>SUM(Prog_236[[#This Row],[TARA]]+Prog_236[[#This Row],[PESO]])</f>
        <v>0</v>
      </c>
      <c r="O488" s="44"/>
      <c r="P488" s="66"/>
      <c r="Q488" s="66"/>
      <c r="R488" s="66"/>
      <c r="S488" s="66"/>
      <c r="T488" s="138" t="str">
        <f>IFERROR(LOOKUP($S488,MOTORISTAS!$D$3:$D$1048576,MOTORISTAS!E$3:$E$1048576),"")</f>
        <v/>
      </c>
      <c r="U488" s="138" t="str">
        <f>IFERROR(LOOKUP($S488,MOTORISTAS!$D$3:$D$1048576,MOTORISTAS!F$3:$F$1048576),"")</f>
        <v/>
      </c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44"/>
      <c r="AG488" s="254">
        <f>Prog_236[[#This Row],[SAÍDA DO CLIENTE]]-Prog_236[[#This Row],[PROGRAMAÇÃO CLIENTE]]</f>
        <v>0</v>
      </c>
      <c r="AH488" s="44"/>
      <c r="AI488" s="66"/>
      <c r="AJ488" s="66"/>
      <c r="AK488" s="66"/>
      <c r="AL488" s="66"/>
      <c r="AM488" s="66"/>
      <c r="AN488" s="83"/>
      <c r="AO488" s="66"/>
      <c r="AP488" s="66"/>
      <c r="AQ488" s="66"/>
      <c r="AR488" s="81"/>
      <c r="AS488" s="81"/>
      <c r="AT488" s="81"/>
      <c r="AU488" s="81"/>
      <c r="AV488" s="83">
        <f>SUM(Prog_236[[#This Row],[ADIANTAMENTO]]+Prog_236[[#This Row],[SALDO]]+Prog_236[[#This Row],[MARGEM]]+Prog_236[[#This Row],[ESTADIA 1]])</f>
        <v>0</v>
      </c>
      <c r="AW4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8" s="81"/>
      <c r="AY488" s="81"/>
      <c r="AZ488" s="81">
        <f>Prog_236[[#This Row],[VLR NF]]*0.1%</f>
        <v>0</v>
      </c>
      <c r="BA488" s="81">
        <f>Prog_236[[#This Row],[VLR NF]]*0.05%</f>
        <v>0</v>
      </c>
      <c r="BB488" s="81"/>
      <c r="BC488" s="81"/>
      <c r="BD488" s="81"/>
      <c r="BE488" s="81"/>
      <c r="BF488" s="81"/>
      <c r="BG488" s="81"/>
      <c r="BH488" s="81"/>
      <c r="BI488" s="81"/>
      <c r="BJ488" s="81"/>
      <c r="BK488" s="81"/>
      <c r="BL488" s="66"/>
      <c r="BM488" s="66"/>
      <c r="BN488" s="66"/>
      <c r="BO488" s="66" t="str">
        <f>PROPER(TEXT(Prog_236[[#This Row],[PROGRAMAÇÃO CLIENTE]],"mmm"))</f>
        <v>Jan</v>
      </c>
      <c r="BP488" s="66">
        <f>YEAR(Prog_236[[#This Row],[PROGRAMAÇÃO CLIENTE]])</f>
        <v>1900</v>
      </c>
    </row>
    <row r="489" spans="1:68" x14ac:dyDescent="0.25">
      <c r="A489" s="200">
        <f>Prog_236[[#This Row],[CONTEINER]]</f>
        <v>0</v>
      </c>
      <c r="B489" s="86"/>
      <c r="C4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89" s="44"/>
      <c r="E489" s="66"/>
      <c r="F489" s="66"/>
      <c r="G489" s="66"/>
      <c r="H489" s="44"/>
      <c r="I489" s="44"/>
      <c r="J489" s="66"/>
      <c r="K489" s="66"/>
      <c r="L489" s="66"/>
      <c r="M489" s="66"/>
      <c r="N489" s="66">
        <f>SUM(Prog_236[[#This Row],[TARA]]+Prog_236[[#This Row],[PESO]])</f>
        <v>0</v>
      </c>
      <c r="O489" s="44"/>
      <c r="P489" s="66"/>
      <c r="Q489" s="66"/>
      <c r="R489" s="66"/>
      <c r="S489" s="66"/>
      <c r="T489" s="138" t="str">
        <f>IFERROR(LOOKUP($S489,MOTORISTAS!$D$3:$D$1048576,MOTORISTAS!E$3:$E$1048576),"")</f>
        <v/>
      </c>
      <c r="U489" s="138" t="str">
        <f>IFERROR(LOOKUP($S489,MOTORISTAS!$D$3:$D$1048576,MOTORISTAS!F$3:$F$1048576),"")</f>
        <v/>
      </c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44"/>
      <c r="AG489" s="254">
        <f>Prog_236[[#This Row],[SAÍDA DO CLIENTE]]-Prog_236[[#This Row],[PROGRAMAÇÃO CLIENTE]]</f>
        <v>0</v>
      </c>
      <c r="AH489" s="44"/>
      <c r="AI489" s="66"/>
      <c r="AJ489" s="66"/>
      <c r="AK489" s="66"/>
      <c r="AL489" s="66"/>
      <c r="AM489" s="66"/>
      <c r="AN489" s="83"/>
      <c r="AO489" s="66"/>
      <c r="AP489" s="66"/>
      <c r="AQ489" s="66"/>
      <c r="AR489" s="81"/>
      <c r="AS489" s="81"/>
      <c r="AT489" s="81"/>
      <c r="AU489" s="81"/>
      <c r="AV489" s="83">
        <f>SUM(Prog_236[[#This Row],[ADIANTAMENTO]]+Prog_236[[#This Row],[SALDO]]+Prog_236[[#This Row],[MARGEM]]+Prog_236[[#This Row],[ESTADIA 1]])</f>
        <v>0</v>
      </c>
      <c r="AW4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89" s="81"/>
      <c r="AY489" s="81"/>
      <c r="AZ489" s="81">
        <f>Prog_236[[#This Row],[VLR NF]]*0.1%</f>
        <v>0</v>
      </c>
      <c r="BA489" s="81">
        <f>Prog_236[[#This Row],[VLR NF]]*0.05%</f>
        <v>0</v>
      </c>
      <c r="BB489" s="81"/>
      <c r="BC489" s="81"/>
      <c r="BD489" s="81"/>
      <c r="BE489" s="81"/>
      <c r="BF489" s="81"/>
      <c r="BG489" s="81"/>
      <c r="BH489" s="81"/>
      <c r="BI489" s="81"/>
      <c r="BJ489" s="81"/>
      <c r="BK489" s="81"/>
      <c r="BL489" s="66"/>
      <c r="BM489" s="66"/>
      <c r="BN489" s="66"/>
      <c r="BO489" s="66" t="str">
        <f>PROPER(TEXT(Prog_236[[#This Row],[PROGRAMAÇÃO CLIENTE]],"mmm"))</f>
        <v>Jan</v>
      </c>
      <c r="BP489" s="66">
        <f>YEAR(Prog_236[[#This Row],[PROGRAMAÇÃO CLIENTE]])</f>
        <v>1900</v>
      </c>
    </row>
    <row r="490" spans="1:68" x14ac:dyDescent="0.25">
      <c r="A490" s="201">
        <f>Prog_236[[#This Row],[CONTEINER]]</f>
        <v>0</v>
      </c>
      <c r="B490" s="86"/>
      <c r="C4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0" s="44"/>
      <c r="E490" s="66"/>
      <c r="F490" s="66"/>
      <c r="G490" s="66"/>
      <c r="H490" s="44"/>
      <c r="I490" s="44"/>
      <c r="J490" s="66"/>
      <c r="K490" s="66"/>
      <c r="L490" s="66"/>
      <c r="M490" s="66"/>
      <c r="N490" s="66">
        <f>SUM(Prog_236[[#This Row],[TARA]]+Prog_236[[#This Row],[PESO]])</f>
        <v>0</v>
      </c>
      <c r="O490" s="44"/>
      <c r="P490" s="66"/>
      <c r="Q490" s="66"/>
      <c r="R490" s="66"/>
      <c r="S490" s="66"/>
      <c r="T490" s="138" t="str">
        <f>IFERROR(LOOKUP($S490,MOTORISTAS!$D$3:$D$1048576,MOTORISTAS!E$3:$E$1048576),"")</f>
        <v/>
      </c>
      <c r="U490" s="138" t="str">
        <f>IFERROR(LOOKUP($S490,MOTORISTAS!$D$3:$D$1048576,MOTORISTAS!F$3:$F$1048576),"")</f>
        <v/>
      </c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44"/>
      <c r="AG490" s="254">
        <f>Prog_236[[#This Row],[SAÍDA DO CLIENTE]]-Prog_236[[#This Row],[PROGRAMAÇÃO CLIENTE]]</f>
        <v>0</v>
      </c>
      <c r="AH490" s="44"/>
      <c r="AI490" s="66"/>
      <c r="AJ490" s="66"/>
      <c r="AK490" s="66"/>
      <c r="AL490" s="66"/>
      <c r="AM490" s="66"/>
      <c r="AN490" s="83"/>
      <c r="AO490" s="66"/>
      <c r="AP490" s="66"/>
      <c r="AQ490" s="66"/>
      <c r="AR490" s="81"/>
      <c r="AS490" s="81"/>
      <c r="AT490" s="81"/>
      <c r="AU490" s="81"/>
      <c r="AV490" s="83">
        <f>SUM(Prog_236[[#This Row],[ADIANTAMENTO]]+Prog_236[[#This Row],[SALDO]]+Prog_236[[#This Row],[MARGEM]]+Prog_236[[#This Row],[ESTADIA 1]])</f>
        <v>0</v>
      </c>
      <c r="AW4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0" s="81"/>
      <c r="AY490" s="81"/>
      <c r="AZ490" s="81">
        <f>Prog_236[[#This Row],[VLR NF]]*0.1%</f>
        <v>0</v>
      </c>
      <c r="BA490" s="81">
        <f>Prog_236[[#This Row],[VLR NF]]*0.05%</f>
        <v>0</v>
      </c>
      <c r="BB490" s="81"/>
      <c r="BC490" s="81"/>
      <c r="BD490" s="81"/>
      <c r="BE490" s="81"/>
      <c r="BF490" s="81"/>
      <c r="BG490" s="81"/>
      <c r="BH490" s="81"/>
      <c r="BI490" s="81"/>
      <c r="BJ490" s="81"/>
      <c r="BK490" s="81"/>
      <c r="BL490" s="66"/>
      <c r="BM490" s="66"/>
      <c r="BN490" s="66"/>
      <c r="BO490" s="66" t="str">
        <f>PROPER(TEXT(Prog_236[[#This Row],[PROGRAMAÇÃO CLIENTE]],"mmm"))</f>
        <v>Jan</v>
      </c>
      <c r="BP490" s="66">
        <f>YEAR(Prog_236[[#This Row],[PROGRAMAÇÃO CLIENTE]])</f>
        <v>1900</v>
      </c>
    </row>
    <row r="491" spans="1:68" x14ac:dyDescent="0.25">
      <c r="A491" s="200">
        <f>Prog_236[[#This Row],[CONTEINER]]</f>
        <v>0</v>
      </c>
      <c r="B491" s="86"/>
      <c r="C4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1" s="44"/>
      <c r="E491" s="66"/>
      <c r="F491" s="66"/>
      <c r="G491" s="66"/>
      <c r="H491" s="44"/>
      <c r="I491" s="44"/>
      <c r="J491" s="66"/>
      <c r="K491" s="66"/>
      <c r="L491" s="66"/>
      <c r="M491" s="66"/>
      <c r="N491" s="66">
        <f>SUM(Prog_236[[#This Row],[TARA]]+Prog_236[[#This Row],[PESO]])</f>
        <v>0</v>
      </c>
      <c r="O491" s="44"/>
      <c r="P491" s="66"/>
      <c r="Q491" s="66"/>
      <c r="R491" s="66"/>
      <c r="S491" s="66"/>
      <c r="T491" s="138" t="str">
        <f>IFERROR(LOOKUP($S491,MOTORISTAS!$D$3:$D$1048576,MOTORISTAS!E$3:$E$1048576),"")</f>
        <v/>
      </c>
      <c r="U491" s="138" t="str">
        <f>IFERROR(LOOKUP($S491,MOTORISTAS!$D$3:$D$1048576,MOTORISTAS!F$3:$F$1048576),"")</f>
        <v/>
      </c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44"/>
      <c r="AG491" s="254">
        <f>Prog_236[[#This Row],[SAÍDA DO CLIENTE]]-Prog_236[[#This Row],[PROGRAMAÇÃO CLIENTE]]</f>
        <v>0</v>
      </c>
      <c r="AH491" s="44"/>
      <c r="AI491" s="66"/>
      <c r="AJ491" s="66"/>
      <c r="AK491" s="66"/>
      <c r="AL491" s="66"/>
      <c r="AM491" s="66"/>
      <c r="AN491" s="83"/>
      <c r="AO491" s="66"/>
      <c r="AP491" s="66"/>
      <c r="AQ491" s="66"/>
      <c r="AR491" s="81"/>
      <c r="AS491" s="81"/>
      <c r="AT491" s="81"/>
      <c r="AU491" s="81"/>
      <c r="AV491" s="83">
        <f>SUM(Prog_236[[#This Row],[ADIANTAMENTO]]+Prog_236[[#This Row],[SALDO]]+Prog_236[[#This Row],[MARGEM]]+Prog_236[[#This Row],[ESTADIA 1]])</f>
        <v>0</v>
      </c>
      <c r="AW4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1" s="81"/>
      <c r="AY491" s="81"/>
      <c r="AZ491" s="81">
        <f>Prog_236[[#This Row],[VLR NF]]*0.1%</f>
        <v>0</v>
      </c>
      <c r="BA491" s="81">
        <f>Prog_236[[#This Row],[VLR NF]]*0.05%</f>
        <v>0</v>
      </c>
      <c r="BB491" s="81"/>
      <c r="BC491" s="81"/>
      <c r="BD491" s="81"/>
      <c r="BE491" s="81"/>
      <c r="BF491" s="81"/>
      <c r="BG491" s="81"/>
      <c r="BH491" s="81"/>
      <c r="BI491" s="81"/>
      <c r="BJ491" s="81"/>
      <c r="BK491" s="81"/>
      <c r="BL491" s="66"/>
      <c r="BM491" s="66"/>
      <c r="BN491" s="66"/>
      <c r="BO491" s="66" t="str">
        <f>PROPER(TEXT(Prog_236[[#This Row],[PROGRAMAÇÃO CLIENTE]],"mmm"))</f>
        <v>Jan</v>
      </c>
      <c r="BP491" s="66">
        <f>YEAR(Prog_236[[#This Row],[PROGRAMAÇÃO CLIENTE]])</f>
        <v>1900</v>
      </c>
    </row>
    <row r="492" spans="1:68" x14ac:dyDescent="0.25">
      <c r="A492" s="201">
        <f>Prog_236[[#This Row],[CONTEINER]]</f>
        <v>0</v>
      </c>
      <c r="B492" s="86"/>
      <c r="C4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2" s="44"/>
      <c r="E492" s="66"/>
      <c r="F492" s="66"/>
      <c r="G492" s="66"/>
      <c r="H492" s="44"/>
      <c r="I492" s="44"/>
      <c r="J492" s="66"/>
      <c r="K492" s="66"/>
      <c r="L492" s="66"/>
      <c r="M492" s="66"/>
      <c r="N492" s="66">
        <f>SUM(Prog_236[[#This Row],[TARA]]+Prog_236[[#This Row],[PESO]])</f>
        <v>0</v>
      </c>
      <c r="O492" s="44"/>
      <c r="P492" s="66"/>
      <c r="Q492" s="66"/>
      <c r="R492" s="66"/>
      <c r="S492" s="66"/>
      <c r="T492" s="138" t="str">
        <f>IFERROR(LOOKUP($S492,MOTORISTAS!$D$3:$D$1048576,MOTORISTAS!E$3:$E$1048576),"")</f>
        <v/>
      </c>
      <c r="U492" s="138" t="str">
        <f>IFERROR(LOOKUP($S492,MOTORISTAS!$D$3:$D$1048576,MOTORISTAS!F$3:$F$1048576),"")</f>
        <v/>
      </c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44"/>
      <c r="AG492" s="254">
        <f>Prog_236[[#This Row],[SAÍDA DO CLIENTE]]-Prog_236[[#This Row],[PROGRAMAÇÃO CLIENTE]]</f>
        <v>0</v>
      </c>
      <c r="AH492" s="44"/>
      <c r="AI492" s="66"/>
      <c r="AJ492" s="66"/>
      <c r="AK492" s="66"/>
      <c r="AL492" s="66"/>
      <c r="AM492" s="66"/>
      <c r="AN492" s="83"/>
      <c r="AO492" s="66"/>
      <c r="AP492" s="66"/>
      <c r="AQ492" s="66"/>
      <c r="AR492" s="81"/>
      <c r="AS492" s="81"/>
      <c r="AT492" s="81"/>
      <c r="AU492" s="81"/>
      <c r="AV492" s="83">
        <f>SUM(Prog_236[[#This Row],[ADIANTAMENTO]]+Prog_236[[#This Row],[SALDO]]+Prog_236[[#This Row],[MARGEM]]+Prog_236[[#This Row],[ESTADIA 1]])</f>
        <v>0</v>
      </c>
      <c r="AW4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2" s="81"/>
      <c r="AY492" s="81"/>
      <c r="AZ492" s="81">
        <f>Prog_236[[#This Row],[VLR NF]]*0.1%</f>
        <v>0</v>
      </c>
      <c r="BA492" s="81">
        <f>Prog_236[[#This Row],[VLR NF]]*0.05%</f>
        <v>0</v>
      </c>
      <c r="BB492" s="81"/>
      <c r="BC492" s="81"/>
      <c r="BD492" s="81"/>
      <c r="BE492" s="81"/>
      <c r="BF492" s="81"/>
      <c r="BG492" s="81"/>
      <c r="BH492" s="81"/>
      <c r="BI492" s="81"/>
      <c r="BJ492" s="81"/>
      <c r="BK492" s="81"/>
      <c r="BL492" s="66"/>
      <c r="BM492" s="66"/>
      <c r="BN492" s="66"/>
      <c r="BO492" s="66" t="str">
        <f>PROPER(TEXT(Prog_236[[#This Row],[PROGRAMAÇÃO CLIENTE]],"mmm"))</f>
        <v>Jan</v>
      </c>
      <c r="BP492" s="66">
        <f>YEAR(Prog_236[[#This Row],[PROGRAMAÇÃO CLIENTE]])</f>
        <v>1900</v>
      </c>
    </row>
    <row r="493" spans="1:68" x14ac:dyDescent="0.25">
      <c r="A493" s="200">
        <f>Prog_236[[#This Row],[CONTEINER]]</f>
        <v>0</v>
      </c>
      <c r="B493" s="86"/>
      <c r="C4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3" s="44"/>
      <c r="E493" s="66"/>
      <c r="F493" s="66"/>
      <c r="G493" s="66"/>
      <c r="H493" s="44"/>
      <c r="I493" s="44"/>
      <c r="J493" s="66"/>
      <c r="K493" s="66"/>
      <c r="L493" s="66"/>
      <c r="M493" s="66"/>
      <c r="N493" s="66">
        <f>SUM(Prog_236[[#This Row],[TARA]]+Prog_236[[#This Row],[PESO]])</f>
        <v>0</v>
      </c>
      <c r="O493" s="44"/>
      <c r="P493" s="66"/>
      <c r="Q493" s="66"/>
      <c r="R493" s="66"/>
      <c r="S493" s="66"/>
      <c r="T493" s="138" t="str">
        <f>IFERROR(LOOKUP($S493,MOTORISTAS!$D$3:$D$1048576,MOTORISTAS!E$3:$E$1048576),"")</f>
        <v/>
      </c>
      <c r="U493" s="138" t="str">
        <f>IFERROR(LOOKUP($S493,MOTORISTAS!$D$3:$D$1048576,MOTORISTAS!F$3:$F$1048576),"")</f>
        <v/>
      </c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44"/>
      <c r="AG493" s="254">
        <f>Prog_236[[#This Row],[SAÍDA DO CLIENTE]]-Prog_236[[#This Row],[PROGRAMAÇÃO CLIENTE]]</f>
        <v>0</v>
      </c>
      <c r="AH493" s="44"/>
      <c r="AI493" s="66"/>
      <c r="AJ493" s="66"/>
      <c r="AK493" s="66"/>
      <c r="AL493" s="66"/>
      <c r="AM493" s="66"/>
      <c r="AN493" s="83"/>
      <c r="AO493" s="66"/>
      <c r="AP493" s="66"/>
      <c r="AQ493" s="66"/>
      <c r="AR493" s="81"/>
      <c r="AS493" s="81"/>
      <c r="AT493" s="81"/>
      <c r="AU493" s="81"/>
      <c r="AV493" s="83">
        <f>SUM(Prog_236[[#This Row],[ADIANTAMENTO]]+Prog_236[[#This Row],[SALDO]]+Prog_236[[#This Row],[MARGEM]]+Prog_236[[#This Row],[ESTADIA 1]])</f>
        <v>0</v>
      </c>
      <c r="AW4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3" s="81"/>
      <c r="AY493" s="81"/>
      <c r="AZ493" s="81">
        <f>Prog_236[[#This Row],[VLR NF]]*0.1%</f>
        <v>0</v>
      </c>
      <c r="BA493" s="81">
        <f>Prog_236[[#This Row],[VLR NF]]*0.05%</f>
        <v>0</v>
      </c>
      <c r="BB493" s="81"/>
      <c r="BC493" s="81"/>
      <c r="BD493" s="81"/>
      <c r="BE493" s="81"/>
      <c r="BF493" s="81"/>
      <c r="BG493" s="81"/>
      <c r="BH493" s="81"/>
      <c r="BI493" s="81"/>
      <c r="BJ493" s="81"/>
      <c r="BK493" s="81"/>
      <c r="BL493" s="66"/>
      <c r="BM493" s="66"/>
      <c r="BN493" s="66"/>
      <c r="BO493" s="66" t="str">
        <f>PROPER(TEXT(Prog_236[[#This Row],[PROGRAMAÇÃO CLIENTE]],"mmm"))</f>
        <v>Jan</v>
      </c>
      <c r="BP493" s="66">
        <f>YEAR(Prog_236[[#This Row],[PROGRAMAÇÃO CLIENTE]])</f>
        <v>1900</v>
      </c>
    </row>
    <row r="494" spans="1:68" x14ac:dyDescent="0.25">
      <c r="A494" s="201">
        <f>Prog_236[[#This Row],[CONTEINER]]</f>
        <v>0</v>
      </c>
      <c r="B494" s="86"/>
      <c r="C4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4" s="44"/>
      <c r="E494" s="66"/>
      <c r="F494" s="66"/>
      <c r="G494" s="66"/>
      <c r="H494" s="44"/>
      <c r="I494" s="44"/>
      <c r="J494" s="66"/>
      <c r="K494" s="66"/>
      <c r="L494" s="66"/>
      <c r="M494" s="66"/>
      <c r="N494" s="66">
        <f>SUM(Prog_236[[#This Row],[TARA]]+Prog_236[[#This Row],[PESO]])</f>
        <v>0</v>
      </c>
      <c r="O494" s="44"/>
      <c r="P494" s="66"/>
      <c r="Q494" s="66"/>
      <c r="R494" s="66"/>
      <c r="S494" s="66"/>
      <c r="T494" s="138" t="str">
        <f>IFERROR(LOOKUP($S494,MOTORISTAS!$D$3:$D$1048576,MOTORISTAS!E$3:$E$1048576),"")</f>
        <v/>
      </c>
      <c r="U494" s="138" t="str">
        <f>IFERROR(LOOKUP($S494,MOTORISTAS!$D$3:$D$1048576,MOTORISTAS!F$3:$F$1048576),"")</f>
        <v/>
      </c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44"/>
      <c r="AG494" s="254">
        <f>Prog_236[[#This Row],[SAÍDA DO CLIENTE]]-Prog_236[[#This Row],[PROGRAMAÇÃO CLIENTE]]</f>
        <v>0</v>
      </c>
      <c r="AH494" s="44"/>
      <c r="AI494" s="66"/>
      <c r="AJ494" s="66"/>
      <c r="AK494" s="66"/>
      <c r="AL494" s="66"/>
      <c r="AM494" s="66"/>
      <c r="AN494" s="83"/>
      <c r="AO494" s="66"/>
      <c r="AP494" s="66"/>
      <c r="AQ494" s="66"/>
      <c r="AR494" s="81"/>
      <c r="AS494" s="81"/>
      <c r="AT494" s="81"/>
      <c r="AU494" s="81"/>
      <c r="AV494" s="83">
        <f>SUM(Prog_236[[#This Row],[ADIANTAMENTO]]+Prog_236[[#This Row],[SALDO]]+Prog_236[[#This Row],[MARGEM]]+Prog_236[[#This Row],[ESTADIA 1]])</f>
        <v>0</v>
      </c>
      <c r="AW4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4" s="81"/>
      <c r="AY494" s="81"/>
      <c r="AZ494" s="81">
        <f>Prog_236[[#This Row],[VLR NF]]*0.1%</f>
        <v>0</v>
      </c>
      <c r="BA494" s="81">
        <f>Prog_236[[#This Row],[VLR NF]]*0.05%</f>
        <v>0</v>
      </c>
      <c r="BB494" s="81"/>
      <c r="BC494" s="81"/>
      <c r="BD494" s="81"/>
      <c r="BE494" s="81"/>
      <c r="BF494" s="81"/>
      <c r="BG494" s="81"/>
      <c r="BH494" s="81"/>
      <c r="BI494" s="81"/>
      <c r="BJ494" s="81"/>
      <c r="BK494" s="81"/>
      <c r="BL494" s="66"/>
      <c r="BM494" s="66"/>
      <c r="BN494" s="66"/>
      <c r="BO494" s="66" t="str">
        <f>PROPER(TEXT(Prog_236[[#This Row],[PROGRAMAÇÃO CLIENTE]],"mmm"))</f>
        <v>Jan</v>
      </c>
      <c r="BP494" s="66">
        <f>YEAR(Prog_236[[#This Row],[PROGRAMAÇÃO CLIENTE]])</f>
        <v>1900</v>
      </c>
    </row>
    <row r="495" spans="1:68" x14ac:dyDescent="0.25">
      <c r="A495" s="200">
        <f>Prog_236[[#This Row],[CONTEINER]]</f>
        <v>0</v>
      </c>
      <c r="B495" s="86"/>
      <c r="C4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5" s="44"/>
      <c r="E495" s="66"/>
      <c r="F495" s="66"/>
      <c r="G495" s="66"/>
      <c r="H495" s="44"/>
      <c r="I495" s="44"/>
      <c r="J495" s="66"/>
      <c r="K495" s="66"/>
      <c r="L495" s="66"/>
      <c r="M495" s="66"/>
      <c r="N495" s="66">
        <f>SUM(Prog_236[[#This Row],[TARA]]+Prog_236[[#This Row],[PESO]])</f>
        <v>0</v>
      </c>
      <c r="O495" s="44"/>
      <c r="P495" s="66"/>
      <c r="Q495" s="66"/>
      <c r="R495" s="66"/>
      <c r="S495" s="66"/>
      <c r="T495" s="138" t="str">
        <f>IFERROR(LOOKUP($S495,MOTORISTAS!$D$3:$D$1048576,MOTORISTAS!E$3:$E$1048576),"")</f>
        <v/>
      </c>
      <c r="U495" s="138" t="str">
        <f>IFERROR(LOOKUP($S495,MOTORISTAS!$D$3:$D$1048576,MOTORISTAS!F$3:$F$1048576),"")</f>
        <v/>
      </c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44"/>
      <c r="AG495" s="254">
        <f>Prog_236[[#This Row],[SAÍDA DO CLIENTE]]-Prog_236[[#This Row],[PROGRAMAÇÃO CLIENTE]]</f>
        <v>0</v>
      </c>
      <c r="AH495" s="44"/>
      <c r="AI495" s="66"/>
      <c r="AJ495" s="66"/>
      <c r="AK495" s="66"/>
      <c r="AL495" s="66"/>
      <c r="AM495" s="66"/>
      <c r="AN495" s="83"/>
      <c r="AO495" s="66"/>
      <c r="AP495" s="66"/>
      <c r="AQ495" s="66"/>
      <c r="AR495" s="81"/>
      <c r="AS495" s="81"/>
      <c r="AT495" s="81"/>
      <c r="AU495" s="81"/>
      <c r="AV495" s="83">
        <f>SUM(Prog_236[[#This Row],[ADIANTAMENTO]]+Prog_236[[#This Row],[SALDO]]+Prog_236[[#This Row],[MARGEM]]+Prog_236[[#This Row],[ESTADIA 1]])</f>
        <v>0</v>
      </c>
      <c r="AW4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5" s="81"/>
      <c r="AY495" s="81"/>
      <c r="AZ495" s="81">
        <f>Prog_236[[#This Row],[VLR NF]]*0.1%</f>
        <v>0</v>
      </c>
      <c r="BA495" s="81">
        <f>Prog_236[[#This Row],[VLR NF]]*0.05%</f>
        <v>0</v>
      </c>
      <c r="BB495" s="81"/>
      <c r="BC495" s="81"/>
      <c r="BD495" s="81"/>
      <c r="BE495" s="81"/>
      <c r="BF495" s="81"/>
      <c r="BG495" s="81"/>
      <c r="BH495" s="81"/>
      <c r="BI495" s="81"/>
      <c r="BJ495" s="81"/>
      <c r="BK495" s="81"/>
      <c r="BL495" s="66"/>
      <c r="BM495" s="66"/>
      <c r="BN495" s="66"/>
      <c r="BO495" s="66" t="str">
        <f>PROPER(TEXT(Prog_236[[#This Row],[PROGRAMAÇÃO CLIENTE]],"mmm"))</f>
        <v>Jan</v>
      </c>
      <c r="BP495" s="66">
        <f>YEAR(Prog_236[[#This Row],[PROGRAMAÇÃO CLIENTE]])</f>
        <v>1900</v>
      </c>
    </row>
    <row r="496" spans="1:68" x14ac:dyDescent="0.25">
      <c r="A496" s="201">
        <f>Prog_236[[#This Row],[CONTEINER]]</f>
        <v>0</v>
      </c>
      <c r="B496" s="86"/>
      <c r="C4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6" s="44"/>
      <c r="E496" s="66"/>
      <c r="F496" s="66"/>
      <c r="G496" s="66"/>
      <c r="H496" s="44"/>
      <c r="I496" s="44"/>
      <c r="J496" s="66"/>
      <c r="K496" s="66"/>
      <c r="L496" s="66"/>
      <c r="M496" s="66"/>
      <c r="N496" s="66">
        <f>SUM(Prog_236[[#This Row],[TARA]]+Prog_236[[#This Row],[PESO]])</f>
        <v>0</v>
      </c>
      <c r="O496" s="44"/>
      <c r="P496" s="66"/>
      <c r="Q496" s="66"/>
      <c r="R496" s="66"/>
      <c r="S496" s="66"/>
      <c r="T496" s="138" t="str">
        <f>IFERROR(LOOKUP($S496,MOTORISTAS!$D$3:$D$1048576,MOTORISTAS!E$3:$E$1048576),"")</f>
        <v/>
      </c>
      <c r="U496" s="138" t="str">
        <f>IFERROR(LOOKUP($S496,MOTORISTAS!$D$3:$D$1048576,MOTORISTAS!F$3:$F$1048576),"")</f>
        <v/>
      </c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44"/>
      <c r="AG496" s="254">
        <f>Prog_236[[#This Row],[SAÍDA DO CLIENTE]]-Prog_236[[#This Row],[PROGRAMAÇÃO CLIENTE]]</f>
        <v>0</v>
      </c>
      <c r="AH496" s="44"/>
      <c r="AI496" s="66"/>
      <c r="AJ496" s="66"/>
      <c r="AK496" s="66"/>
      <c r="AL496" s="66"/>
      <c r="AM496" s="66"/>
      <c r="AN496" s="83"/>
      <c r="AO496" s="66"/>
      <c r="AP496" s="66"/>
      <c r="AQ496" s="66"/>
      <c r="AR496" s="81"/>
      <c r="AS496" s="81"/>
      <c r="AT496" s="81"/>
      <c r="AU496" s="81"/>
      <c r="AV496" s="83">
        <f>SUM(Prog_236[[#This Row],[ADIANTAMENTO]]+Prog_236[[#This Row],[SALDO]]+Prog_236[[#This Row],[MARGEM]]+Prog_236[[#This Row],[ESTADIA 1]])</f>
        <v>0</v>
      </c>
      <c r="AW4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6" s="81"/>
      <c r="AY496" s="81"/>
      <c r="AZ496" s="81">
        <f>Prog_236[[#This Row],[VLR NF]]*0.1%</f>
        <v>0</v>
      </c>
      <c r="BA496" s="81">
        <f>Prog_236[[#This Row],[VLR NF]]*0.05%</f>
        <v>0</v>
      </c>
      <c r="BB496" s="81"/>
      <c r="BC496" s="81"/>
      <c r="BD496" s="81"/>
      <c r="BE496" s="81"/>
      <c r="BF496" s="81"/>
      <c r="BG496" s="81"/>
      <c r="BH496" s="81"/>
      <c r="BI496" s="81"/>
      <c r="BJ496" s="81"/>
      <c r="BK496" s="81"/>
      <c r="BL496" s="66"/>
      <c r="BM496" s="66"/>
      <c r="BN496" s="66"/>
      <c r="BO496" s="66" t="str">
        <f>PROPER(TEXT(Prog_236[[#This Row],[PROGRAMAÇÃO CLIENTE]],"mmm"))</f>
        <v>Jan</v>
      </c>
      <c r="BP496" s="66">
        <f>YEAR(Prog_236[[#This Row],[PROGRAMAÇÃO CLIENTE]])</f>
        <v>1900</v>
      </c>
    </row>
    <row r="497" spans="1:68" x14ac:dyDescent="0.25">
      <c r="A497" s="200">
        <f>Prog_236[[#This Row],[CONTEINER]]</f>
        <v>0</v>
      </c>
      <c r="B497" s="86"/>
      <c r="C4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7" s="44"/>
      <c r="E497" s="66"/>
      <c r="F497" s="66"/>
      <c r="G497" s="66"/>
      <c r="H497" s="44"/>
      <c r="I497" s="44"/>
      <c r="J497" s="66"/>
      <c r="K497" s="66"/>
      <c r="L497" s="66"/>
      <c r="M497" s="66"/>
      <c r="N497" s="66">
        <f>SUM(Prog_236[[#This Row],[TARA]]+Prog_236[[#This Row],[PESO]])</f>
        <v>0</v>
      </c>
      <c r="O497" s="44"/>
      <c r="P497" s="66"/>
      <c r="Q497" s="66"/>
      <c r="R497" s="66"/>
      <c r="S497" s="66"/>
      <c r="T497" s="138" t="str">
        <f>IFERROR(LOOKUP($S497,MOTORISTAS!$D$3:$D$1048576,MOTORISTAS!E$3:$E$1048576),"")</f>
        <v/>
      </c>
      <c r="U497" s="138" t="str">
        <f>IFERROR(LOOKUP($S497,MOTORISTAS!$D$3:$D$1048576,MOTORISTAS!F$3:$F$1048576),"")</f>
        <v/>
      </c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44"/>
      <c r="AG497" s="254">
        <f>Prog_236[[#This Row],[SAÍDA DO CLIENTE]]-Prog_236[[#This Row],[PROGRAMAÇÃO CLIENTE]]</f>
        <v>0</v>
      </c>
      <c r="AH497" s="44"/>
      <c r="AI497" s="66"/>
      <c r="AJ497" s="66"/>
      <c r="AK497" s="66"/>
      <c r="AL497" s="66"/>
      <c r="AM497" s="66"/>
      <c r="AN497" s="83"/>
      <c r="AO497" s="66"/>
      <c r="AP497" s="66"/>
      <c r="AQ497" s="66"/>
      <c r="AR497" s="81"/>
      <c r="AS497" s="81"/>
      <c r="AT497" s="81"/>
      <c r="AU497" s="81"/>
      <c r="AV497" s="83">
        <f>SUM(Prog_236[[#This Row],[ADIANTAMENTO]]+Prog_236[[#This Row],[SALDO]]+Prog_236[[#This Row],[MARGEM]]+Prog_236[[#This Row],[ESTADIA 1]])</f>
        <v>0</v>
      </c>
      <c r="AW4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7" s="81"/>
      <c r="AY497" s="81"/>
      <c r="AZ497" s="81">
        <f>Prog_236[[#This Row],[VLR NF]]*0.1%</f>
        <v>0</v>
      </c>
      <c r="BA497" s="81">
        <f>Prog_236[[#This Row],[VLR NF]]*0.05%</f>
        <v>0</v>
      </c>
      <c r="BB497" s="81"/>
      <c r="BC497" s="81"/>
      <c r="BD497" s="81"/>
      <c r="BE497" s="81"/>
      <c r="BF497" s="81"/>
      <c r="BG497" s="81"/>
      <c r="BH497" s="81"/>
      <c r="BI497" s="81"/>
      <c r="BJ497" s="81"/>
      <c r="BK497" s="81"/>
      <c r="BL497" s="66"/>
      <c r="BM497" s="66"/>
      <c r="BN497" s="66"/>
      <c r="BO497" s="66" t="str">
        <f>PROPER(TEXT(Prog_236[[#This Row],[PROGRAMAÇÃO CLIENTE]],"mmm"))</f>
        <v>Jan</v>
      </c>
      <c r="BP497" s="66">
        <f>YEAR(Prog_236[[#This Row],[PROGRAMAÇÃO CLIENTE]])</f>
        <v>1900</v>
      </c>
    </row>
    <row r="498" spans="1:68" x14ac:dyDescent="0.25">
      <c r="A498" s="201">
        <f>Prog_236[[#This Row],[CONTEINER]]</f>
        <v>0</v>
      </c>
      <c r="B498" s="86"/>
      <c r="C4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8" s="44"/>
      <c r="E498" s="66"/>
      <c r="F498" s="66"/>
      <c r="G498" s="66"/>
      <c r="H498" s="44"/>
      <c r="I498" s="44"/>
      <c r="J498" s="66"/>
      <c r="K498" s="66"/>
      <c r="L498" s="66"/>
      <c r="M498" s="66"/>
      <c r="N498" s="66">
        <f>SUM(Prog_236[[#This Row],[TARA]]+Prog_236[[#This Row],[PESO]])</f>
        <v>0</v>
      </c>
      <c r="O498" s="44"/>
      <c r="P498" s="66"/>
      <c r="Q498" s="66"/>
      <c r="R498" s="66"/>
      <c r="S498" s="66"/>
      <c r="T498" s="138" t="str">
        <f>IFERROR(LOOKUP($S498,MOTORISTAS!$D$3:$D$1048576,MOTORISTAS!E$3:$E$1048576),"")</f>
        <v/>
      </c>
      <c r="U498" s="138" t="str">
        <f>IFERROR(LOOKUP($S498,MOTORISTAS!$D$3:$D$1048576,MOTORISTAS!F$3:$F$1048576),"")</f>
        <v/>
      </c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44"/>
      <c r="AG498" s="254">
        <f>Prog_236[[#This Row],[SAÍDA DO CLIENTE]]-Prog_236[[#This Row],[PROGRAMAÇÃO CLIENTE]]</f>
        <v>0</v>
      </c>
      <c r="AH498" s="44"/>
      <c r="AI498" s="66"/>
      <c r="AJ498" s="66"/>
      <c r="AK498" s="66"/>
      <c r="AL498" s="66"/>
      <c r="AM498" s="66"/>
      <c r="AN498" s="83"/>
      <c r="AO498" s="66"/>
      <c r="AP498" s="66"/>
      <c r="AQ498" s="66"/>
      <c r="AR498" s="81"/>
      <c r="AS498" s="81"/>
      <c r="AT498" s="81"/>
      <c r="AU498" s="81"/>
      <c r="AV498" s="83">
        <f>SUM(Prog_236[[#This Row],[ADIANTAMENTO]]+Prog_236[[#This Row],[SALDO]]+Prog_236[[#This Row],[MARGEM]]+Prog_236[[#This Row],[ESTADIA 1]])</f>
        <v>0</v>
      </c>
      <c r="AW4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8" s="81"/>
      <c r="AY498" s="81"/>
      <c r="AZ498" s="81">
        <f>Prog_236[[#This Row],[VLR NF]]*0.1%</f>
        <v>0</v>
      </c>
      <c r="BA498" s="81">
        <f>Prog_236[[#This Row],[VLR NF]]*0.05%</f>
        <v>0</v>
      </c>
      <c r="BB498" s="81"/>
      <c r="BC498" s="81"/>
      <c r="BD498" s="81"/>
      <c r="BE498" s="81"/>
      <c r="BF498" s="81"/>
      <c r="BG498" s="81"/>
      <c r="BH498" s="81"/>
      <c r="BI498" s="81"/>
      <c r="BJ498" s="81"/>
      <c r="BK498" s="81"/>
      <c r="BL498" s="66"/>
      <c r="BM498" s="66"/>
      <c r="BN498" s="66"/>
      <c r="BO498" s="66" t="str">
        <f>PROPER(TEXT(Prog_236[[#This Row],[PROGRAMAÇÃO CLIENTE]],"mmm"))</f>
        <v>Jan</v>
      </c>
      <c r="BP498" s="66">
        <f>YEAR(Prog_236[[#This Row],[PROGRAMAÇÃO CLIENTE]])</f>
        <v>1900</v>
      </c>
    </row>
    <row r="499" spans="1:68" x14ac:dyDescent="0.25">
      <c r="A499" s="200">
        <f>Prog_236[[#This Row],[CONTEINER]]</f>
        <v>0</v>
      </c>
      <c r="B499" s="86"/>
      <c r="C4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499" s="44"/>
      <c r="E499" s="66"/>
      <c r="F499" s="66"/>
      <c r="G499" s="66"/>
      <c r="H499" s="44"/>
      <c r="I499" s="44"/>
      <c r="J499" s="66"/>
      <c r="K499" s="66"/>
      <c r="L499" s="66"/>
      <c r="M499" s="66"/>
      <c r="N499" s="66">
        <f>SUM(Prog_236[[#This Row],[TARA]]+Prog_236[[#This Row],[PESO]])</f>
        <v>0</v>
      </c>
      <c r="O499" s="44"/>
      <c r="P499" s="66"/>
      <c r="Q499" s="66"/>
      <c r="R499" s="66"/>
      <c r="S499" s="66"/>
      <c r="T499" s="138" t="str">
        <f>IFERROR(LOOKUP($S499,MOTORISTAS!$D$3:$D$1048576,MOTORISTAS!E$3:$E$1048576),"")</f>
        <v/>
      </c>
      <c r="U499" s="138" t="str">
        <f>IFERROR(LOOKUP($S499,MOTORISTAS!$D$3:$D$1048576,MOTORISTAS!F$3:$F$1048576),"")</f>
        <v/>
      </c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44"/>
      <c r="AG499" s="254">
        <f>Prog_236[[#This Row],[SAÍDA DO CLIENTE]]-Prog_236[[#This Row],[PROGRAMAÇÃO CLIENTE]]</f>
        <v>0</v>
      </c>
      <c r="AH499" s="44"/>
      <c r="AI499" s="66"/>
      <c r="AJ499" s="66"/>
      <c r="AK499" s="66"/>
      <c r="AL499" s="66"/>
      <c r="AM499" s="66"/>
      <c r="AN499" s="83"/>
      <c r="AO499" s="66"/>
      <c r="AP499" s="66"/>
      <c r="AQ499" s="66"/>
      <c r="AR499" s="81"/>
      <c r="AS499" s="81"/>
      <c r="AT499" s="81"/>
      <c r="AU499" s="81"/>
      <c r="AV499" s="83">
        <f>SUM(Prog_236[[#This Row],[ADIANTAMENTO]]+Prog_236[[#This Row],[SALDO]]+Prog_236[[#This Row],[MARGEM]]+Prog_236[[#This Row],[ESTADIA 1]])</f>
        <v>0</v>
      </c>
      <c r="AW4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499" s="81"/>
      <c r="AY499" s="81"/>
      <c r="AZ499" s="81">
        <f>Prog_236[[#This Row],[VLR NF]]*0.1%</f>
        <v>0</v>
      </c>
      <c r="BA499" s="81">
        <f>Prog_236[[#This Row],[VLR NF]]*0.05%</f>
        <v>0</v>
      </c>
      <c r="BB499" s="81"/>
      <c r="BC499" s="81"/>
      <c r="BD499" s="81"/>
      <c r="BE499" s="81"/>
      <c r="BF499" s="81"/>
      <c r="BG499" s="81"/>
      <c r="BH499" s="81"/>
      <c r="BI499" s="81"/>
      <c r="BJ499" s="81"/>
      <c r="BK499" s="81"/>
      <c r="BL499" s="66"/>
      <c r="BM499" s="66"/>
      <c r="BN499" s="66"/>
      <c r="BO499" s="66" t="str">
        <f>PROPER(TEXT(Prog_236[[#This Row],[PROGRAMAÇÃO CLIENTE]],"mmm"))</f>
        <v>Jan</v>
      </c>
      <c r="BP499" s="66">
        <f>YEAR(Prog_236[[#This Row],[PROGRAMAÇÃO CLIENTE]])</f>
        <v>1900</v>
      </c>
    </row>
    <row r="500" spans="1:68" x14ac:dyDescent="0.25">
      <c r="A500" s="201">
        <f>Prog_236[[#This Row],[CONTEINER]]</f>
        <v>0</v>
      </c>
      <c r="B500" s="86"/>
      <c r="C5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0" s="44"/>
      <c r="E500" s="66"/>
      <c r="F500" s="66"/>
      <c r="G500" s="66"/>
      <c r="H500" s="44"/>
      <c r="I500" s="44"/>
      <c r="J500" s="66"/>
      <c r="K500" s="66"/>
      <c r="L500" s="66"/>
      <c r="M500" s="66"/>
      <c r="N500" s="66">
        <f>SUM(Prog_236[[#This Row],[TARA]]+Prog_236[[#This Row],[PESO]])</f>
        <v>0</v>
      </c>
      <c r="O500" s="44"/>
      <c r="P500" s="66"/>
      <c r="Q500" s="66"/>
      <c r="R500" s="66"/>
      <c r="S500" s="66"/>
      <c r="T500" s="138" t="str">
        <f>IFERROR(LOOKUP($S500,MOTORISTAS!$D$3:$D$1048576,MOTORISTAS!E$3:$E$1048576),"")</f>
        <v/>
      </c>
      <c r="U500" s="138" t="str">
        <f>IFERROR(LOOKUP($S500,MOTORISTAS!$D$3:$D$1048576,MOTORISTAS!F$3:$F$1048576),"")</f>
        <v/>
      </c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44"/>
      <c r="AG500" s="254">
        <f>Prog_236[[#This Row],[SAÍDA DO CLIENTE]]-Prog_236[[#This Row],[PROGRAMAÇÃO CLIENTE]]</f>
        <v>0</v>
      </c>
      <c r="AH500" s="44"/>
      <c r="AI500" s="66"/>
      <c r="AJ500" s="66"/>
      <c r="AK500" s="66"/>
      <c r="AL500" s="66"/>
      <c r="AM500" s="66"/>
      <c r="AN500" s="83"/>
      <c r="AO500" s="66"/>
      <c r="AP500" s="66"/>
      <c r="AQ500" s="66"/>
      <c r="AR500" s="81"/>
      <c r="AS500" s="81"/>
      <c r="AT500" s="81"/>
      <c r="AU500" s="81"/>
      <c r="AV500" s="83">
        <f>SUM(Prog_236[[#This Row],[ADIANTAMENTO]]+Prog_236[[#This Row],[SALDO]]+Prog_236[[#This Row],[MARGEM]]+Prog_236[[#This Row],[ESTADIA 1]])</f>
        <v>0</v>
      </c>
      <c r="AW5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0" s="81"/>
      <c r="AY500" s="81"/>
      <c r="AZ500" s="81">
        <f>Prog_236[[#This Row],[VLR NF]]*0.1%</f>
        <v>0</v>
      </c>
      <c r="BA500" s="81">
        <f>Prog_236[[#This Row],[VLR NF]]*0.05%</f>
        <v>0</v>
      </c>
      <c r="BB500" s="81"/>
      <c r="BC500" s="81"/>
      <c r="BD500" s="81"/>
      <c r="BE500" s="81"/>
      <c r="BF500" s="81"/>
      <c r="BG500" s="81"/>
      <c r="BH500" s="81"/>
      <c r="BI500" s="81"/>
      <c r="BJ500" s="81"/>
      <c r="BK500" s="81"/>
      <c r="BL500" s="66"/>
      <c r="BM500" s="66"/>
      <c r="BN500" s="66"/>
      <c r="BO500" s="66" t="str">
        <f>PROPER(TEXT(Prog_236[[#This Row],[PROGRAMAÇÃO CLIENTE]],"mmm"))</f>
        <v>Jan</v>
      </c>
      <c r="BP500" s="66">
        <f>YEAR(Prog_236[[#This Row],[PROGRAMAÇÃO CLIENTE]])</f>
        <v>1900</v>
      </c>
    </row>
    <row r="501" spans="1:68" x14ac:dyDescent="0.25">
      <c r="A501" s="200">
        <f>Prog_236[[#This Row],[CONTEINER]]</f>
        <v>0</v>
      </c>
      <c r="B501" s="86"/>
      <c r="C5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1" s="44"/>
      <c r="E501" s="66"/>
      <c r="F501" s="66"/>
      <c r="G501" s="66"/>
      <c r="H501" s="44"/>
      <c r="I501" s="44"/>
      <c r="J501" s="66"/>
      <c r="K501" s="66"/>
      <c r="L501" s="66"/>
      <c r="M501" s="66"/>
      <c r="N501" s="66">
        <f>SUM(Prog_236[[#This Row],[TARA]]+Prog_236[[#This Row],[PESO]])</f>
        <v>0</v>
      </c>
      <c r="O501" s="44"/>
      <c r="P501" s="66"/>
      <c r="Q501" s="66"/>
      <c r="R501" s="66"/>
      <c r="S501" s="66"/>
      <c r="T501" s="138" t="str">
        <f>IFERROR(LOOKUP($S501,MOTORISTAS!$D$3:$D$1048576,MOTORISTAS!E$3:$E$1048576),"")</f>
        <v/>
      </c>
      <c r="U501" s="138" t="str">
        <f>IFERROR(LOOKUP($S501,MOTORISTAS!$D$3:$D$1048576,MOTORISTAS!F$3:$F$1048576),"")</f>
        <v/>
      </c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44"/>
      <c r="AG501" s="254">
        <f>Prog_236[[#This Row],[SAÍDA DO CLIENTE]]-Prog_236[[#This Row],[PROGRAMAÇÃO CLIENTE]]</f>
        <v>0</v>
      </c>
      <c r="AH501" s="44"/>
      <c r="AI501" s="66"/>
      <c r="AJ501" s="66"/>
      <c r="AK501" s="66"/>
      <c r="AL501" s="66"/>
      <c r="AM501" s="66"/>
      <c r="AN501" s="83"/>
      <c r="AO501" s="66"/>
      <c r="AP501" s="66"/>
      <c r="AQ501" s="66"/>
      <c r="AR501" s="81"/>
      <c r="AS501" s="81"/>
      <c r="AT501" s="81"/>
      <c r="AU501" s="81"/>
      <c r="AV501" s="83">
        <f>SUM(Prog_236[[#This Row],[ADIANTAMENTO]]+Prog_236[[#This Row],[SALDO]]+Prog_236[[#This Row],[MARGEM]]+Prog_236[[#This Row],[ESTADIA 1]])</f>
        <v>0</v>
      </c>
      <c r="AW5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1" s="81"/>
      <c r="AY501" s="81"/>
      <c r="AZ501" s="81">
        <f>Prog_236[[#This Row],[VLR NF]]*0.1%</f>
        <v>0</v>
      </c>
      <c r="BA501" s="81">
        <f>Prog_236[[#This Row],[VLR NF]]*0.05%</f>
        <v>0</v>
      </c>
      <c r="BB501" s="81"/>
      <c r="BC501" s="81"/>
      <c r="BD501" s="81"/>
      <c r="BE501" s="81"/>
      <c r="BF501" s="81"/>
      <c r="BG501" s="81"/>
      <c r="BH501" s="81"/>
      <c r="BI501" s="81"/>
      <c r="BJ501" s="81"/>
      <c r="BK501" s="81"/>
      <c r="BL501" s="66"/>
      <c r="BM501" s="66"/>
      <c r="BN501" s="66"/>
      <c r="BO501" s="66" t="str">
        <f>PROPER(TEXT(Prog_236[[#This Row],[PROGRAMAÇÃO CLIENTE]],"mmm"))</f>
        <v>Jan</v>
      </c>
      <c r="BP501" s="66">
        <f>YEAR(Prog_236[[#This Row],[PROGRAMAÇÃO CLIENTE]])</f>
        <v>1900</v>
      </c>
    </row>
    <row r="502" spans="1:68" x14ac:dyDescent="0.25">
      <c r="A502" s="201">
        <f>Prog_236[[#This Row],[CONTEINER]]</f>
        <v>0</v>
      </c>
      <c r="B502" s="86"/>
      <c r="C5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2" s="44"/>
      <c r="E502" s="66"/>
      <c r="F502" s="66"/>
      <c r="G502" s="66"/>
      <c r="H502" s="44"/>
      <c r="I502" s="44"/>
      <c r="J502" s="66"/>
      <c r="K502" s="66"/>
      <c r="L502" s="66"/>
      <c r="M502" s="66"/>
      <c r="N502" s="66">
        <f>SUM(Prog_236[[#This Row],[TARA]]+Prog_236[[#This Row],[PESO]])</f>
        <v>0</v>
      </c>
      <c r="O502" s="44"/>
      <c r="P502" s="66"/>
      <c r="Q502" s="66"/>
      <c r="R502" s="66"/>
      <c r="S502" s="66"/>
      <c r="T502" s="138" t="str">
        <f>IFERROR(LOOKUP($S502,MOTORISTAS!$D$3:$D$1048576,MOTORISTAS!E$3:$E$1048576),"")</f>
        <v/>
      </c>
      <c r="U502" s="138" t="str">
        <f>IFERROR(LOOKUP($S502,MOTORISTAS!$D$3:$D$1048576,MOTORISTAS!F$3:$F$1048576),"")</f>
        <v/>
      </c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44"/>
      <c r="AG502" s="254">
        <f>Prog_236[[#This Row],[SAÍDA DO CLIENTE]]-Prog_236[[#This Row],[PROGRAMAÇÃO CLIENTE]]</f>
        <v>0</v>
      </c>
      <c r="AH502" s="44"/>
      <c r="AI502" s="66"/>
      <c r="AJ502" s="66"/>
      <c r="AK502" s="66"/>
      <c r="AL502" s="66"/>
      <c r="AM502" s="66"/>
      <c r="AN502" s="83"/>
      <c r="AO502" s="66"/>
      <c r="AP502" s="66"/>
      <c r="AQ502" s="66"/>
      <c r="AR502" s="81"/>
      <c r="AS502" s="81"/>
      <c r="AT502" s="81"/>
      <c r="AU502" s="81"/>
      <c r="AV502" s="83">
        <f>SUM(Prog_236[[#This Row],[ADIANTAMENTO]]+Prog_236[[#This Row],[SALDO]]+Prog_236[[#This Row],[MARGEM]]+Prog_236[[#This Row],[ESTADIA 1]])</f>
        <v>0</v>
      </c>
      <c r="AW5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2" s="81"/>
      <c r="AY502" s="81"/>
      <c r="AZ502" s="81">
        <f>Prog_236[[#This Row],[VLR NF]]*0.1%</f>
        <v>0</v>
      </c>
      <c r="BA502" s="81">
        <f>Prog_236[[#This Row],[VLR NF]]*0.05%</f>
        <v>0</v>
      </c>
      <c r="BB502" s="81"/>
      <c r="BC502" s="81"/>
      <c r="BD502" s="81"/>
      <c r="BE502" s="81"/>
      <c r="BF502" s="81"/>
      <c r="BG502" s="81"/>
      <c r="BH502" s="81"/>
      <c r="BI502" s="81"/>
      <c r="BJ502" s="81"/>
      <c r="BK502" s="81"/>
      <c r="BL502" s="66"/>
      <c r="BM502" s="66"/>
      <c r="BN502" s="66"/>
      <c r="BO502" s="66" t="str">
        <f>PROPER(TEXT(Prog_236[[#This Row],[PROGRAMAÇÃO CLIENTE]],"mmm"))</f>
        <v>Jan</v>
      </c>
      <c r="BP502" s="66">
        <f>YEAR(Prog_236[[#This Row],[PROGRAMAÇÃO CLIENTE]])</f>
        <v>1900</v>
      </c>
    </row>
    <row r="503" spans="1:68" x14ac:dyDescent="0.25">
      <c r="A503" s="200">
        <f>Prog_236[[#This Row],[CONTEINER]]</f>
        <v>0</v>
      </c>
      <c r="B503" s="86"/>
      <c r="C5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3" s="44"/>
      <c r="E503" s="66"/>
      <c r="F503" s="66"/>
      <c r="G503" s="66"/>
      <c r="H503" s="44"/>
      <c r="I503" s="44"/>
      <c r="J503" s="66"/>
      <c r="K503" s="66"/>
      <c r="L503" s="66"/>
      <c r="M503" s="66"/>
      <c r="N503" s="66">
        <f>SUM(Prog_236[[#This Row],[TARA]]+Prog_236[[#This Row],[PESO]])</f>
        <v>0</v>
      </c>
      <c r="O503" s="44"/>
      <c r="P503" s="66"/>
      <c r="Q503" s="66"/>
      <c r="R503" s="66"/>
      <c r="S503" s="66"/>
      <c r="T503" s="138" t="str">
        <f>IFERROR(LOOKUP($S503,MOTORISTAS!$D$3:$D$1048576,MOTORISTAS!E$3:$E$1048576),"")</f>
        <v/>
      </c>
      <c r="U503" s="138" t="str">
        <f>IFERROR(LOOKUP($S503,MOTORISTAS!$D$3:$D$1048576,MOTORISTAS!F$3:$F$1048576),"")</f>
        <v/>
      </c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44"/>
      <c r="AG503" s="254">
        <f>Prog_236[[#This Row],[SAÍDA DO CLIENTE]]-Prog_236[[#This Row],[PROGRAMAÇÃO CLIENTE]]</f>
        <v>0</v>
      </c>
      <c r="AH503" s="44"/>
      <c r="AI503" s="66"/>
      <c r="AJ503" s="66"/>
      <c r="AK503" s="66"/>
      <c r="AL503" s="66"/>
      <c r="AM503" s="66"/>
      <c r="AN503" s="83"/>
      <c r="AO503" s="66"/>
      <c r="AP503" s="66"/>
      <c r="AQ503" s="66"/>
      <c r="AR503" s="81"/>
      <c r="AS503" s="81"/>
      <c r="AT503" s="81"/>
      <c r="AU503" s="81"/>
      <c r="AV503" s="83">
        <f>SUM(Prog_236[[#This Row],[ADIANTAMENTO]]+Prog_236[[#This Row],[SALDO]]+Prog_236[[#This Row],[MARGEM]]+Prog_236[[#This Row],[ESTADIA 1]])</f>
        <v>0</v>
      </c>
      <c r="AW5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3" s="81"/>
      <c r="AY503" s="81"/>
      <c r="AZ503" s="81">
        <f>Prog_236[[#This Row],[VLR NF]]*0.1%</f>
        <v>0</v>
      </c>
      <c r="BA503" s="81">
        <f>Prog_236[[#This Row],[VLR NF]]*0.05%</f>
        <v>0</v>
      </c>
      <c r="BB503" s="81"/>
      <c r="BC503" s="81"/>
      <c r="BD503" s="81"/>
      <c r="BE503" s="81"/>
      <c r="BF503" s="81"/>
      <c r="BG503" s="81"/>
      <c r="BH503" s="81"/>
      <c r="BI503" s="81"/>
      <c r="BJ503" s="81"/>
      <c r="BK503" s="81"/>
      <c r="BL503" s="66"/>
      <c r="BM503" s="66"/>
      <c r="BN503" s="66"/>
      <c r="BO503" s="66" t="str">
        <f>PROPER(TEXT(Prog_236[[#This Row],[PROGRAMAÇÃO CLIENTE]],"mmm"))</f>
        <v>Jan</v>
      </c>
      <c r="BP503" s="66">
        <f>YEAR(Prog_236[[#This Row],[PROGRAMAÇÃO CLIENTE]])</f>
        <v>1900</v>
      </c>
    </row>
    <row r="504" spans="1:68" x14ac:dyDescent="0.25">
      <c r="A504" s="201">
        <f>Prog_236[[#This Row],[CONTEINER]]</f>
        <v>0</v>
      </c>
      <c r="B504" s="86"/>
      <c r="C5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4" s="44"/>
      <c r="E504" s="66"/>
      <c r="F504" s="66"/>
      <c r="G504" s="66"/>
      <c r="H504" s="44"/>
      <c r="I504" s="44"/>
      <c r="J504" s="66"/>
      <c r="K504" s="66"/>
      <c r="L504" s="66"/>
      <c r="M504" s="66"/>
      <c r="N504" s="66">
        <f>SUM(Prog_236[[#This Row],[TARA]]+Prog_236[[#This Row],[PESO]])</f>
        <v>0</v>
      </c>
      <c r="O504" s="44"/>
      <c r="P504" s="66"/>
      <c r="Q504" s="66"/>
      <c r="R504" s="66"/>
      <c r="S504" s="66"/>
      <c r="T504" s="138" t="str">
        <f>IFERROR(LOOKUP($S504,MOTORISTAS!$D$3:$D$1048576,MOTORISTAS!E$3:$E$1048576),"")</f>
        <v/>
      </c>
      <c r="U504" s="138" t="str">
        <f>IFERROR(LOOKUP($S504,MOTORISTAS!$D$3:$D$1048576,MOTORISTAS!F$3:$F$1048576),"")</f>
        <v/>
      </c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44"/>
      <c r="AG504" s="254">
        <f>Prog_236[[#This Row],[SAÍDA DO CLIENTE]]-Prog_236[[#This Row],[PROGRAMAÇÃO CLIENTE]]</f>
        <v>0</v>
      </c>
      <c r="AH504" s="44"/>
      <c r="AI504" s="66"/>
      <c r="AJ504" s="66"/>
      <c r="AK504" s="66"/>
      <c r="AL504" s="66"/>
      <c r="AM504" s="66"/>
      <c r="AN504" s="83"/>
      <c r="AO504" s="66"/>
      <c r="AP504" s="66"/>
      <c r="AQ504" s="66"/>
      <c r="AR504" s="81"/>
      <c r="AS504" s="81"/>
      <c r="AT504" s="81"/>
      <c r="AU504" s="81"/>
      <c r="AV504" s="83">
        <f>SUM(Prog_236[[#This Row],[ADIANTAMENTO]]+Prog_236[[#This Row],[SALDO]]+Prog_236[[#This Row],[MARGEM]]+Prog_236[[#This Row],[ESTADIA 1]])</f>
        <v>0</v>
      </c>
      <c r="AW5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4" s="81"/>
      <c r="AY504" s="81"/>
      <c r="AZ504" s="81">
        <f>Prog_236[[#This Row],[VLR NF]]*0.1%</f>
        <v>0</v>
      </c>
      <c r="BA504" s="81">
        <f>Prog_236[[#This Row],[VLR NF]]*0.05%</f>
        <v>0</v>
      </c>
      <c r="BB504" s="81"/>
      <c r="BC504" s="81"/>
      <c r="BD504" s="81"/>
      <c r="BE504" s="81"/>
      <c r="BF504" s="81"/>
      <c r="BG504" s="81"/>
      <c r="BH504" s="81"/>
      <c r="BI504" s="81"/>
      <c r="BJ504" s="81"/>
      <c r="BK504" s="81"/>
      <c r="BL504" s="66"/>
      <c r="BM504" s="66"/>
      <c r="BN504" s="66"/>
      <c r="BO504" s="66" t="str">
        <f>PROPER(TEXT(Prog_236[[#This Row],[PROGRAMAÇÃO CLIENTE]],"mmm"))</f>
        <v>Jan</v>
      </c>
      <c r="BP504" s="66">
        <f>YEAR(Prog_236[[#This Row],[PROGRAMAÇÃO CLIENTE]])</f>
        <v>1900</v>
      </c>
    </row>
    <row r="505" spans="1:68" x14ac:dyDescent="0.25">
      <c r="A505" s="200">
        <f>Prog_236[[#This Row],[CONTEINER]]</f>
        <v>0</v>
      </c>
      <c r="B505" s="86"/>
      <c r="C5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5" s="44"/>
      <c r="E505" s="66"/>
      <c r="F505" s="66"/>
      <c r="G505" s="66"/>
      <c r="H505" s="44"/>
      <c r="I505" s="44"/>
      <c r="J505" s="66"/>
      <c r="K505" s="66"/>
      <c r="L505" s="66"/>
      <c r="M505" s="66"/>
      <c r="N505" s="66">
        <f>SUM(Prog_236[[#This Row],[TARA]]+Prog_236[[#This Row],[PESO]])</f>
        <v>0</v>
      </c>
      <c r="O505" s="44"/>
      <c r="P505" s="66"/>
      <c r="Q505" s="66"/>
      <c r="R505" s="66"/>
      <c r="S505" s="66"/>
      <c r="T505" s="138" t="str">
        <f>IFERROR(LOOKUP($S505,MOTORISTAS!$D$3:$D$1048576,MOTORISTAS!E$3:$E$1048576),"")</f>
        <v/>
      </c>
      <c r="U505" s="138" t="str">
        <f>IFERROR(LOOKUP($S505,MOTORISTAS!$D$3:$D$1048576,MOTORISTAS!F$3:$F$1048576),"")</f>
        <v/>
      </c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44"/>
      <c r="AG505" s="254">
        <f>Prog_236[[#This Row],[SAÍDA DO CLIENTE]]-Prog_236[[#This Row],[PROGRAMAÇÃO CLIENTE]]</f>
        <v>0</v>
      </c>
      <c r="AH505" s="44"/>
      <c r="AI505" s="66"/>
      <c r="AJ505" s="66"/>
      <c r="AK505" s="66"/>
      <c r="AL505" s="66"/>
      <c r="AM505" s="66"/>
      <c r="AN505" s="83"/>
      <c r="AO505" s="66"/>
      <c r="AP505" s="66"/>
      <c r="AQ505" s="66"/>
      <c r="AR505" s="81"/>
      <c r="AS505" s="81"/>
      <c r="AT505" s="81"/>
      <c r="AU505" s="81"/>
      <c r="AV505" s="83">
        <f>SUM(Prog_236[[#This Row],[ADIANTAMENTO]]+Prog_236[[#This Row],[SALDO]]+Prog_236[[#This Row],[MARGEM]]+Prog_236[[#This Row],[ESTADIA 1]])</f>
        <v>0</v>
      </c>
      <c r="AW5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5" s="81"/>
      <c r="AY505" s="81"/>
      <c r="AZ505" s="81">
        <f>Prog_236[[#This Row],[VLR NF]]*0.1%</f>
        <v>0</v>
      </c>
      <c r="BA505" s="81">
        <f>Prog_236[[#This Row],[VLR NF]]*0.05%</f>
        <v>0</v>
      </c>
      <c r="BB505" s="81"/>
      <c r="BC505" s="81"/>
      <c r="BD505" s="81"/>
      <c r="BE505" s="81"/>
      <c r="BF505" s="81"/>
      <c r="BG505" s="81"/>
      <c r="BH505" s="81"/>
      <c r="BI505" s="81"/>
      <c r="BJ505" s="81"/>
      <c r="BK505" s="81"/>
      <c r="BL505" s="66"/>
      <c r="BM505" s="66"/>
      <c r="BN505" s="66"/>
      <c r="BO505" s="66" t="str">
        <f>PROPER(TEXT(Prog_236[[#This Row],[PROGRAMAÇÃO CLIENTE]],"mmm"))</f>
        <v>Jan</v>
      </c>
      <c r="BP505" s="66">
        <f>YEAR(Prog_236[[#This Row],[PROGRAMAÇÃO CLIENTE]])</f>
        <v>1900</v>
      </c>
    </row>
    <row r="506" spans="1:68" x14ac:dyDescent="0.25">
      <c r="A506" s="201">
        <f>Prog_236[[#This Row],[CONTEINER]]</f>
        <v>0</v>
      </c>
      <c r="B506" s="86"/>
      <c r="C5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6" s="44"/>
      <c r="E506" s="66"/>
      <c r="F506" s="66"/>
      <c r="G506" s="66"/>
      <c r="H506" s="44"/>
      <c r="I506" s="44"/>
      <c r="J506" s="66"/>
      <c r="K506" s="66"/>
      <c r="L506" s="66"/>
      <c r="M506" s="66"/>
      <c r="N506" s="66">
        <f>SUM(Prog_236[[#This Row],[TARA]]+Prog_236[[#This Row],[PESO]])</f>
        <v>0</v>
      </c>
      <c r="O506" s="44"/>
      <c r="P506" s="66"/>
      <c r="Q506" s="66"/>
      <c r="R506" s="66"/>
      <c r="S506" s="66"/>
      <c r="T506" s="138" t="str">
        <f>IFERROR(LOOKUP($S506,MOTORISTAS!$D$3:$D$1048576,MOTORISTAS!E$3:$E$1048576),"")</f>
        <v/>
      </c>
      <c r="U506" s="138" t="str">
        <f>IFERROR(LOOKUP($S506,MOTORISTAS!$D$3:$D$1048576,MOTORISTAS!F$3:$F$1048576),"")</f>
        <v/>
      </c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44"/>
      <c r="AG506" s="254">
        <f>Prog_236[[#This Row],[SAÍDA DO CLIENTE]]-Prog_236[[#This Row],[PROGRAMAÇÃO CLIENTE]]</f>
        <v>0</v>
      </c>
      <c r="AH506" s="44"/>
      <c r="AI506" s="66"/>
      <c r="AJ506" s="66"/>
      <c r="AK506" s="66"/>
      <c r="AL506" s="66"/>
      <c r="AM506" s="66"/>
      <c r="AN506" s="83"/>
      <c r="AO506" s="66"/>
      <c r="AP506" s="66"/>
      <c r="AQ506" s="66"/>
      <c r="AR506" s="81"/>
      <c r="AS506" s="81"/>
      <c r="AT506" s="81"/>
      <c r="AU506" s="81"/>
      <c r="AV506" s="83">
        <f>SUM(Prog_236[[#This Row],[ADIANTAMENTO]]+Prog_236[[#This Row],[SALDO]]+Prog_236[[#This Row],[MARGEM]]+Prog_236[[#This Row],[ESTADIA 1]])</f>
        <v>0</v>
      </c>
      <c r="AW5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6" s="81"/>
      <c r="AY506" s="81"/>
      <c r="AZ506" s="81">
        <f>Prog_236[[#This Row],[VLR NF]]*0.1%</f>
        <v>0</v>
      </c>
      <c r="BA506" s="81">
        <f>Prog_236[[#This Row],[VLR NF]]*0.05%</f>
        <v>0</v>
      </c>
      <c r="BB506" s="81"/>
      <c r="BC506" s="81"/>
      <c r="BD506" s="81"/>
      <c r="BE506" s="81"/>
      <c r="BF506" s="81"/>
      <c r="BG506" s="81"/>
      <c r="BH506" s="81"/>
      <c r="BI506" s="81"/>
      <c r="BJ506" s="81"/>
      <c r="BK506" s="81"/>
      <c r="BL506" s="66"/>
      <c r="BM506" s="66"/>
      <c r="BN506" s="66"/>
      <c r="BO506" s="66" t="str">
        <f>PROPER(TEXT(Prog_236[[#This Row],[PROGRAMAÇÃO CLIENTE]],"mmm"))</f>
        <v>Jan</v>
      </c>
      <c r="BP506" s="66">
        <f>YEAR(Prog_236[[#This Row],[PROGRAMAÇÃO CLIENTE]])</f>
        <v>1900</v>
      </c>
    </row>
    <row r="507" spans="1:68" x14ac:dyDescent="0.25">
      <c r="A507" s="200">
        <f>Prog_236[[#This Row],[CONTEINER]]</f>
        <v>0</v>
      </c>
      <c r="B507" s="86"/>
      <c r="C5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7" s="44"/>
      <c r="E507" s="66"/>
      <c r="F507" s="66"/>
      <c r="G507" s="66"/>
      <c r="H507" s="44"/>
      <c r="I507" s="44"/>
      <c r="J507" s="66"/>
      <c r="K507" s="66"/>
      <c r="L507" s="66"/>
      <c r="M507" s="66"/>
      <c r="N507" s="66">
        <f>SUM(Prog_236[[#This Row],[TARA]]+Prog_236[[#This Row],[PESO]])</f>
        <v>0</v>
      </c>
      <c r="O507" s="44"/>
      <c r="P507" s="66"/>
      <c r="Q507" s="66"/>
      <c r="R507" s="66"/>
      <c r="S507" s="66"/>
      <c r="T507" s="138" t="str">
        <f>IFERROR(LOOKUP($S507,MOTORISTAS!$D$3:$D$1048576,MOTORISTAS!E$3:$E$1048576),"")</f>
        <v/>
      </c>
      <c r="U507" s="138" t="str">
        <f>IFERROR(LOOKUP($S507,MOTORISTAS!$D$3:$D$1048576,MOTORISTAS!F$3:$F$1048576),"")</f>
        <v/>
      </c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44"/>
      <c r="AG507" s="254">
        <f>Prog_236[[#This Row],[SAÍDA DO CLIENTE]]-Prog_236[[#This Row],[PROGRAMAÇÃO CLIENTE]]</f>
        <v>0</v>
      </c>
      <c r="AH507" s="44"/>
      <c r="AI507" s="66"/>
      <c r="AJ507" s="66"/>
      <c r="AK507" s="66"/>
      <c r="AL507" s="66"/>
      <c r="AM507" s="66"/>
      <c r="AN507" s="83"/>
      <c r="AO507" s="66"/>
      <c r="AP507" s="66"/>
      <c r="AQ507" s="66"/>
      <c r="AR507" s="81"/>
      <c r="AS507" s="81"/>
      <c r="AT507" s="81"/>
      <c r="AU507" s="81"/>
      <c r="AV507" s="83">
        <f>SUM(Prog_236[[#This Row],[ADIANTAMENTO]]+Prog_236[[#This Row],[SALDO]]+Prog_236[[#This Row],[MARGEM]]+Prog_236[[#This Row],[ESTADIA 1]])</f>
        <v>0</v>
      </c>
      <c r="AW5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7" s="81"/>
      <c r="AY507" s="81"/>
      <c r="AZ507" s="81">
        <f>Prog_236[[#This Row],[VLR NF]]*0.1%</f>
        <v>0</v>
      </c>
      <c r="BA507" s="81">
        <f>Prog_236[[#This Row],[VLR NF]]*0.05%</f>
        <v>0</v>
      </c>
      <c r="BB507" s="81"/>
      <c r="BC507" s="81"/>
      <c r="BD507" s="81"/>
      <c r="BE507" s="81"/>
      <c r="BF507" s="81"/>
      <c r="BG507" s="81"/>
      <c r="BH507" s="81"/>
      <c r="BI507" s="81"/>
      <c r="BJ507" s="81"/>
      <c r="BK507" s="81"/>
      <c r="BL507" s="66"/>
      <c r="BM507" s="66"/>
      <c r="BN507" s="66"/>
      <c r="BO507" s="66" t="str">
        <f>PROPER(TEXT(Prog_236[[#This Row],[PROGRAMAÇÃO CLIENTE]],"mmm"))</f>
        <v>Jan</v>
      </c>
      <c r="BP507" s="66">
        <f>YEAR(Prog_236[[#This Row],[PROGRAMAÇÃO CLIENTE]])</f>
        <v>1900</v>
      </c>
    </row>
    <row r="508" spans="1:68" x14ac:dyDescent="0.25">
      <c r="A508" s="201">
        <f>Prog_236[[#This Row],[CONTEINER]]</f>
        <v>0</v>
      </c>
      <c r="B508" s="86"/>
      <c r="C5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8" s="44"/>
      <c r="E508" s="66"/>
      <c r="F508" s="66"/>
      <c r="G508" s="66"/>
      <c r="H508" s="44"/>
      <c r="I508" s="44"/>
      <c r="J508" s="66"/>
      <c r="K508" s="66"/>
      <c r="L508" s="66"/>
      <c r="M508" s="66"/>
      <c r="N508" s="66">
        <f>SUM(Prog_236[[#This Row],[TARA]]+Prog_236[[#This Row],[PESO]])</f>
        <v>0</v>
      </c>
      <c r="O508" s="44"/>
      <c r="P508" s="66"/>
      <c r="Q508" s="66"/>
      <c r="R508" s="66"/>
      <c r="S508" s="66"/>
      <c r="T508" s="138" t="str">
        <f>IFERROR(LOOKUP($S508,MOTORISTAS!$D$3:$D$1048576,MOTORISTAS!E$3:$E$1048576),"")</f>
        <v/>
      </c>
      <c r="U508" s="138" t="str">
        <f>IFERROR(LOOKUP($S508,MOTORISTAS!$D$3:$D$1048576,MOTORISTAS!F$3:$F$1048576),"")</f>
        <v/>
      </c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44"/>
      <c r="AG508" s="254">
        <f>Prog_236[[#This Row],[SAÍDA DO CLIENTE]]-Prog_236[[#This Row],[PROGRAMAÇÃO CLIENTE]]</f>
        <v>0</v>
      </c>
      <c r="AH508" s="44"/>
      <c r="AI508" s="66"/>
      <c r="AJ508" s="66"/>
      <c r="AK508" s="66"/>
      <c r="AL508" s="66"/>
      <c r="AM508" s="66"/>
      <c r="AN508" s="83"/>
      <c r="AO508" s="66"/>
      <c r="AP508" s="66"/>
      <c r="AQ508" s="66"/>
      <c r="AR508" s="81"/>
      <c r="AS508" s="81"/>
      <c r="AT508" s="81"/>
      <c r="AU508" s="81"/>
      <c r="AV508" s="83">
        <f>SUM(Prog_236[[#This Row],[ADIANTAMENTO]]+Prog_236[[#This Row],[SALDO]]+Prog_236[[#This Row],[MARGEM]]+Prog_236[[#This Row],[ESTADIA 1]])</f>
        <v>0</v>
      </c>
      <c r="AW5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8" s="81"/>
      <c r="AY508" s="81"/>
      <c r="AZ508" s="81">
        <f>Prog_236[[#This Row],[VLR NF]]*0.1%</f>
        <v>0</v>
      </c>
      <c r="BA508" s="81">
        <f>Prog_236[[#This Row],[VLR NF]]*0.05%</f>
        <v>0</v>
      </c>
      <c r="BB508" s="81"/>
      <c r="BC508" s="81"/>
      <c r="BD508" s="81"/>
      <c r="BE508" s="81"/>
      <c r="BF508" s="81"/>
      <c r="BG508" s="81"/>
      <c r="BH508" s="81"/>
      <c r="BI508" s="81"/>
      <c r="BJ508" s="81"/>
      <c r="BK508" s="81"/>
      <c r="BL508" s="66"/>
      <c r="BM508" s="66"/>
      <c r="BN508" s="66"/>
      <c r="BO508" s="66" t="str">
        <f>PROPER(TEXT(Prog_236[[#This Row],[PROGRAMAÇÃO CLIENTE]],"mmm"))</f>
        <v>Jan</v>
      </c>
      <c r="BP508" s="66">
        <f>YEAR(Prog_236[[#This Row],[PROGRAMAÇÃO CLIENTE]])</f>
        <v>1900</v>
      </c>
    </row>
    <row r="509" spans="1:68" x14ac:dyDescent="0.25">
      <c r="A509" s="200">
        <f>Prog_236[[#This Row],[CONTEINER]]</f>
        <v>0</v>
      </c>
      <c r="B509" s="86"/>
      <c r="C5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09" s="44"/>
      <c r="E509" s="66"/>
      <c r="F509" s="66"/>
      <c r="G509" s="66"/>
      <c r="H509" s="44"/>
      <c r="I509" s="44"/>
      <c r="J509" s="66"/>
      <c r="K509" s="66"/>
      <c r="L509" s="66"/>
      <c r="M509" s="66"/>
      <c r="N509" s="66">
        <f>SUM(Prog_236[[#This Row],[TARA]]+Prog_236[[#This Row],[PESO]])</f>
        <v>0</v>
      </c>
      <c r="O509" s="44"/>
      <c r="P509" s="66"/>
      <c r="Q509" s="66"/>
      <c r="R509" s="66"/>
      <c r="S509" s="66"/>
      <c r="T509" s="138" t="str">
        <f>IFERROR(LOOKUP($S509,MOTORISTAS!$D$3:$D$1048576,MOTORISTAS!E$3:$E$1048576),"")</f>
        <v/>
      </c>
      <c r="U509" s="138" t="str">
        <f>IFERROR(LOOKUP($S509,MOTORISTAS!$D$3:$D$1048576,MOTORISTAS!F$3:$F$1048576),"")</f>
        <v/>
      </c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44"/>
      <c r="AG509" s="254">
        <f>Prog_236[[#This Row],[SAÍDA DO CLIENTE]]-Prog_236[[#This Row],[PROGRAMAÇÃO CLIENTE]]</f>
        <v>0</v>
      </c>
      <c r="AH509" s="44"/>
      <c r="AI509" s="66"/>
      <c r="AJ509" s="66"/>
      <c r="AK509" s="66"/>
      <c r="AL509" s="66"/>
      <c r="AM509" s="66"/>
      <c r="AN509" s="83"/>
      <c r="AO509" s="66"/>
      <c r="AP509" s="66"/>
      <c r="AQ509" s="66"/>
      <c r="AR509" s="81"/>
      <c r="AS509" s="81"/>
      <c r="AT509" s="81"/>
      <c r="AU509" s="81"/>
      <c r="AV509" s="83">
        <f>SUM(Prog_236[[#This Row],[ADIANTAMENTO]]+Prog_236[[#This Row],[SALDO]]+Prog_236[[#This Row],[MARGEM]]+Prog_236[[#This Row],[ESTADIA 1]])</f>
        <v>0</v>
      </c>
      <c r="AW5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09" s="81"/>
      <c r="AY509" s="81"/>
      <c r="AZ509" s="81">
        <f>Prog_236[[#This Row],[VLR NF]]*0.1%</f>
        <v>0</v>
      </c>
      <c r="BA509" s="81">
        <f>Prog_236[[#This Row],[VLR NF]]*0.05%</f>
        <v>0</v>
      </c>
      <c r="BB509" s="81"/>
      <c r="BC509" s="81"/>
      <c r="BD509" s="81"/>
      <c r="BE509" s="81"/>
      <c r="BF509" s="81"/>
      <c r="BG509" s="81"/>
      <c r="BH509" s="81"/>
      <c r="BI509" s="81"/>
      <c r="BJ509" s="81"/>
      <c r="BK509" s="81"/>
      <c r="BL509" s="66"/>
      <c r="BM509" s="66"/>
      <c r="BN509" s="66"/>
      <c r="BO509" s="66" t="str">
        <f>PROPER(TEXT(Prog_236[[#This Row],[PROGRAMAÇÃO CLIENTE]],"mmm"))</f>
        <v>Jan</v>
      </c>
      <c r="BP509" s="66">
        <f>YEAR(Prog_236[[#This Row],[PROGRAMAÇÃO CLIENTE]])</f>
        <v>1900</v>
      </c>
    </row>
    <row r="510" spans="1:68" x14ac:dyDescent="0.25">
      <c r="A510" s="201">
        <f>Prog_236[[#This Row],[CONTEINER]]</f>
        <v>0</v>
      </c>
      <c r="B510" s="86"/>
      <c r="C5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0" s="44"/>
      <c r="E510" s="66"/>
      <c r="F510" s="66"/>
      <c r="G510" s="66"/>
      <c r="H510" s="44"/>
      <c r="I510" s="44"/>
      <c r="J510" s="66"/>
      <c r="K510" s="66"/>
      <c r="L510" s="66"/>
      <c r="M510" s="66"/>
      <c r="N510" s="66">
        <f>SUM(Prog_236[[#This Row],[TARA]]+Prog_236[[#This Row],[PESO]])</f>
        <v>0</v>
      </c>
      <c r="O510" s="44"/>
      <c r="P510" s="66"/>
      <c r="Q510" s="66"/>
      <c r="R510" s="66"/>
      <c r="S510" s="66"/>
      <c r="T510" s="138" t="str">
        <f>IFERROR(LOOKUP($S510,MOTORISTAS!$D$3:$D$1048576,MOTORISTAS!E$3:$E$1048576),"")</f>
        <v/>
      </c>
      <c r="U510" s="138" t="str">
        <f>IFERROR(LOOKUP($S510,MOTORISTAS!$D$3:$D$1048576,MOTORISTAS!F$3:$F$1048576),"")</f>
        <v/>
      </c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44"/>
      <c r="AG510" s="254">
        <f>Prog_236[[#This Row],[SAÍDA DO CLIENTE]]-Prog_236[[#This Row],[PROGRAMAÇÃO CLIENTE]]</f>
        <v>0</v>
      </c>
      <c r="AH510" s="44"/>
      <c r="AI510" s="66"/>
      <c r="AJ510" s="66"/>
      <c r="AK510" s="66"/>
      <c r="AL510" s="66"/>
      <c r="AM510" s="66"/>
      <c r="AN510" s="83"/>
      <c r="AO510" s="66"/>
      <c r="AP510" s="66"/>
      <c r="AQ510" s="66"/>
      <c r="AR510" s="81"/>
      <c r="AS510" s="81"/>
      <c r="AT510" s="81"/>
      <c r="AU510" s="81"/>
      <c r="AV510" s="83">
        <f>SUM(Prog_236[[#This Row],[ADIANTAMENTO]]+Prog_236[[#This Row],[SALDO]]+Prog_236[[#This Row],[MARGEM]]+Prog_236[[#This Row],[ESTADIA 1]])</f>
        <v>0</v>
      </c>
      <c r="AW5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0" s="81"/>
      <c r="AY510" s="81"/>
      <c r="AZ510" s="81">
        <f>Prog_236[[#This Row],[VLR NF]]*0.1%</f>
        <v>0</v>
      </c>
      <c r="BA510" s="81">
        <f>Prog_236[[#This Row],[VLR NF]]*0.05%</f>
        <v>0</v>
      </c>
      <c r="BB510" s="81"/>
      <c r="BC510" s="81"/>
      <c r="BD510" s="81"/>
      <c r="BE510" s="81"/>
      <c r="BF510" s="81"/>
      <c r="BG510" s="81"/>
      <c r="BH510" s="81"/>
      <c r="BI510" s="81"/>
      <c r="BJ510" s="81"/>
      <c r="BK510" s="81"/>
      <c r="BL510" s="66"/>
      <c r="BM510" s="66"/>
      <c r="BN510" s="66"/>
      <c r="BO510" s="66" t="str">
        <f>PROPER(TEXT(Prog_236[[#This Row],[PROGRAMAÇÃO CLIENTE]],"mmm"))</f>
        <v>Jan</v>
      </c>
      <c r="BP510" s="66">
        <f>YEAR(Prog_236[[#This Row],[PROGRAMAÇÃO CLIENTE]])</f>
        <v>1900</v>
      </c>
    </row>
    <row r="511" spans="1:68" x14ac:dyDescent="0.25">
      <c r="A511" s="200">
        <f>Prog_236[[#This Row],[CONTEINER]]</f>
        <v>0</v>
      </c>
      <c r="B511" s="86"/>
      <c r="C5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1" s="44"/>
      <c r="E511" s="66"/>
      <c r="F511" s="66"/>
      <c r="G511" s="66"/>
      <c r="H511" s="44"/>
      <c r="I511" s="44"/>
      <c r="J511" s="66"/>
      <c r="K511" s="66"/>
      <c r="L511" s="66"/>
      <c r="M511" s="66"/>
      <c r="N511" s="66">
        <f>SUM(Prog_236[[#This Row],[TARA]]+Prog_236[[#This Row],[PESO]])</f>
        <v>0</v>
      </c>
      <c r="O511" s="44"/>
      <c r="P511" s="66"/>
      <c r="Q511" s="66"/>
      <c r="R511" s="66"/>
      <c r="S511" s="66"/>
      <c r="T511" s="138" t="str">
        <f>IFERROR(LOOKUP($S511,MOTORISTAS!$D$3:$D$1048576,MOTORISTAS!E$3:$E$1048576),"")</f>
        <v/>
      </c>
      <c r="U511" s="138" t="str">
        <f>IFERROR(LOOKUP($S511,MOTORISTAS!$D$3:$D$1048576,MOTORISTAS!F$3:$F$1048576),"")</f>
        <v/>
      </c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44"/>
      <c r="AG511" s="254">
        <f>Prog_236[[#This Row],[SAÍDA DO CLIENTE]]-Prog_236[[#This Row],[PROGRAMAÇÃO CLIENTE]]</f>
        <v>0</v>
      </c>
      <c r="AH511" s="44"/>
      <c r="AI511" s="66"/>
      <c r="AJ511" s="66"/>
      <c r="AK511" s="66"/>
      <c r="AL511" s="66"/>
      <c r="AM511" s="66"/>
      <c r="AN511" s="83"/>
      <c r="AO511" s="66"/>
      <c r="AP511" s="66"/>
      <c r="AQ511" s="66"/>
      <c r="AR511" s="81"/>
      <c r="AS511" s="81"/>
      <c r="AT511" s="81"/>
      <c r="AU511" s="81"/>
      <c r="AV511" s="83">
        <f>SUM(Prog_236[[#This Row],[ADIANTAMENTO]]+Prog_236[[#This Row],[SALDO]]+Prog_236[[#This Row],[MARGEM]]+Prog_236[[#This Row],[ESTADIA 1]])</f>
        <v>0</v>
      </c>
      <c r="AW5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1" s="81"/>
      <c r="AY511" s="81"/>
      <c r="AZ511" s="81">
        <f>Prog_236[[#This Row],[VLR NF]]*0.1%</f>
        <v>0</v>
      </c>
      <c r="BA511" s="81">
        <f>Prog_236[[#This Row],[VLR NF]]*0.05%</f>
        <v>0</v>
      </c>
      <c r="BB511" s="81"/>
      <c r="BC511" s="81"/>
      <c r="BD511" s="81"/>
      <c r="BE511" s="81"/>
      <c r="BF511" s="81"/>
      <c r="BG511" s="81"/>
      <c r="BH511" s="81"/>
      <c r="BI511" s="81"/>
      <c r="BJ511" s="81"/>
      <c r="BK511" s="81"/>
      <c r="BL511" s="66"/>
      <c r="BM511" s="66"/>
      <c r="BN511" s="66"/>
      <c r="BO511" s="66" t="str">
        <f>PROPER(TEXT(Prog_236[[#This Row],[PROGRAMAÇÃO CLIENTE]],"mmm"))</f>
        <v>Jan</v>
      </c>
      <c r="BP511" s="66">
        <f>YEAR(Prog_236[[#This Row],[PROGRAMAÇÃO CLIENTE]])</f>
        <v>1900</v>
      </c>
    </row>
    <row r="512" spans="1:68" x14ac:dyDescent="0.25">
      <c r="A512" s="201">
        <f>Prog_236[[#This Row],[CONTEINER]]</f>
        <v>0</v>
      </c>
      <c r="B512" s="86"/>
      <c r="C5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2" s="44"/>
      <c r="E512" s="66"/>
      <c r="F512" s="66"/>
      <c r="G512" s="66"/>
      <c r="H512" s="44"/>
      <c r="I512" s="44"/>
      <c r="J512" s="66"/>
      <c r="K512" s="66"/>
      <c r="L512" s="66"/>
      <c r="M512" s="66"/>
      <c r="N512" s="66">
        <f>SUM(Prog_236[[#This Row],[TARA]]+Prog_236[[#This Row],[PESO]])</f>
        <v>0</v>
      </c>
      <c r="O512" s="44"/>
      <c r="P512" s="66"/>
      <c r="Q512" s="66"/>
      <c r="R512" s="66"/>
      <c r="S512" s="66"/>
      <c r="T512" s="138" t="str">
        <f>IFERROR(LOOKUP($S512,MOTORISTAS!$D$3:$D$1048576,MOTORISTAS!E$3:$E$1048576),"")</f>
        <v/>
      </c>
      <c r="U512" s="138" t="str">
        <f>IFERROR(LOOKUP($S512,MOTORISTAS!$D$3:$D$1048576,MOTORISTAS!F$3:$F$1048576),"")</f>
        <v/>
      </c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44"/>
      <c r="AG512" s="254">
        <f>Prog_236[[#This Row],[SAÍDA DO CLIENTE]]-Prog_236[[#This Row],[PROGRAMAÇÃO CLIENTE]]</f>
        <v>0</v>
      </c>
      <c r="AH512" s="44"/>
      <c r="AI512" s="66"/>
      <c r="AJ512" s="66"/>
      <c r="AK512" s="66"/>
      <c r="AL512" s="66"/>
      <c r="AM512" s="66"/>
      <c r="AN512" s="83"/>
      <c r="AO512" s="66"/>
      <c r="AP512" s="66"/>
      <c r="AQ512" s="66"/>
      <c r="AR512" s="81"/>
      <c r="AS512" s="81"/>
      <c r="AT512" s="81"/>
      <c r="AU512" s="81"/>
      <c r="AV512" s="83">
        <f>SUM(Prog_236[[#This Row],[ADIANTAMENTO]]+Prog_236[[#This Row],[SALDO]]+Prog_236[[#This Row],[MARGEM]]+Prog_236[[#This Row],[ESTADIA 1]])</f>
        <v>0</v>
      </c>
      <c r="AW5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2" s="81"/>
      <c r="AY512" s="81"/>
      <c r="AZ512" s="81">
        <f>Prog_236[[#This Row],[VLR NF]]*0.1%</f>
        <v>0</v>
      </c>
      <c r="BA512" s="81">
        <f>Prog_236[[#This Row],[VLR NF]]*0.05%</f>
        <v>0</v>
      </c>
      <c r="BB512" s="81"/>
      <c r="BC512" s="81"/>
      <c r="BD512" s="81"/>
      <c r="BE512" s="81"/>
      <c r="BF512" s="81"/>
      <c r="BG512" s="81"/>
      <c r="BH512" s="81"/>
      <c r="BI512" s="81"/>
      <c r="BJ512" s="81"/>
      <c r="BK512" s="81"/>
      <c r="BL512" s="66"/>
      <c r="BM512" s="66"/>
      <c r="BN512" s="66"/>
      <c r="BO512" s="66" t="str">
        <f>PROPER(TEXT(Prog_236[[#This Row],[PROGRAMAÇÃO CLIENTE]],"mmm"))</f>
        <v>Jan</v>
      </c>
      <c r="BP512" s="66">
        <f>YEAR(Prog_236[[#This Row],[PROGRAMAÇÃO CLIENTE]])</f>
        <v>1900</v>
      </c>
    </row>
    <row r="513" spans="1:68" x14ac:dyDescent="0.25">
      <c r="A513" s="200">
        <f>Prog_236[[#This Row],[CONTEINER]]</f>
        <v>0</v>
      </c>
      <c r="B513" s="86"/>
      <c r="C5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3" s="44"/>
      <c r="E513" s="66"/>
      <c r="F513" s="66"/>
      <c r="G513" s="66"/>
      <c r="H513" s="44"/>
      <c r="I513" s="44"/>
      <c r="J513" s="66"/>
      <c r="K513" s="66"/>
      <c r="L513" s="66"/>
      <c r="M513" s="66"/>
      <c r="N513" s="66">
        <f>SUM(Prog_236[[#This Row],[TARA]]+Prog_236[[#This Row],[PESO]])</f>
        <v>0</v>
      </c>
      <c r="O513" s="44"/>
      <c r="P513" s="66"/>
      <c r="Q513" s="66"/>
      <c r="R513" s="66"/>
      <c r="S513" s="66"/>
      <c r="T513" s="138" t="str">
        <f>IFERROR(LOOKUP($S513,MOTORISTAS!$D$3:$D$1048576,MOTORISTAS!E$3:$E$1048576),"")</f>
        <v/>
      </c>
      <c r="U513" s="138" t="str">
        <f>IFERROR(LOOKUP($S513,MOTORISTAS!$D$3:$D$1048576,MOTORISTAS!F$3:$F$1048576),"")</f>
        <v/>
      </c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44"/>
      <c r="AG513" s="254">
        <f>Prog_236[[#This Row],[SAÍDA DO CLIENTE]]-Prog_236[[#This Row],[PROGRAMAÇÃO CLIENTE]]</f>
        <v>0</v>
      </c>
      <c r="AH513" s="44"/>
      <c r="AI513" s="66"/>
      <c r="AJ513" s="66"/>
      <c r="AK513" s="66"/>
      <c r="AL513" s="66"/>
      <c r="AM513" s="66"/>
      <c r="AN513" s="83"/>
      <c r="AO513" s="66"/>
      <c r="AP513" s="66"/>
      <c r="AQ513" s="66"/>
      <c r="AR513" s="81"/>
      <c r="AS513" s="81"/>
      <c r="AT513" s="81"/>
      <c r="AU513" s="81"/>
      <c r="AV513" s="83">
        <f>SUM(Prog_236[[#This Row],[ADIANTAMENTO]]+Prog_236[[#This Row],[SALDO]]+Prog_236[[#This Row],[MARGEM]]+Prog_236[[#This Row],[ESTADIA 1]])</f>
        <v>0</v>
      </c>
      <c r="AW5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3" s="81"/>
      <c r="AY513" s="81"/>
      <c r="AZ513" s="81">
        <f>Prog_236[[#This Row],[VLR NF]]*0.1%</f>
        <v>0</v>
      </c>
      <c r="BA513" s="81">
        <f>Prog_236[[#This Row],[VLR NF]]*0.05%</f>
        <v>0</v>
      </c>
      <c r="BB513" s="81"/>
      <c r="BC513" s="81"/>
      <c r="BD513" s="81"/>
      <c r="BE513" s="81"/>
      <c r="BF513" s="81"/>
      <c r="BG513" s="81"/>
      <c r="BH513" s="81"/>
      <c r="BI513" s="81"/>
      <c r="BJ513" s="81"/>
      <c r="BK513" s="81"/>
      <c r="BL513" s="66"/>
      <c r="BM513" s="66"/>
      <c r="BN513" s="66"/>
      <c r="BO513" s="66" t="str">
        <f>PROPER(TEXT(Prog_236[[#This Row],[PROGRAMAÇÃO CLIENTE]],"mmm"))</f>
        <v>Jan</v>
      </c>
      <c r="BP513" s="66">
        <f>YEAR(Prog_236[[#This Row],[PROGRAMAÇÃO CLIENTE]])</f>
        <v>1900</v>
      </c>
    </row>
    <row r="514" spans="1:68" x14ac:dyDescent="0.25">
      <c r="A514" s="201">
        <f>Prog_236[[#This Row],[CONTEINER]]</f>
        <v>0</v>
      </c>
      <c r="B514" s="86"/>
      <c r="C5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4" s="44"/>
      <c r="E514" s="66"/>
      <c r="F514" s="66"/>
      <c r="G514" s="66"/>
      <c r="H514" s="44"/>
      <c r="I514" s="44"/>
      <c r="J514" s="66"/>
      <c r="K514" s="66"/>
      <c r="L514" s="66"/>
      <c r="M514" s="66"/>
      <c r="N514" s="66">
        <f>SUM(Prog_236[[#This Row],[TARA]]+Prog_236[[#This Row],[PESO]])</f>
        <v>0</v>
      </c>
      <c r="O514" s="44"/>
      <c r="P514" s="66"/>
      <c r="Q514" s="66"/>
      <c r="R514" s="66"/>
      <c r="S514" s="66"/>
      <c r="T514" s="138" t="str">
        <f>IFERROR(LOOKUP($S514,MOTORISTAS!$D$3:$D$1048576,MOTORISTAS!E$3:$E$1048576),"")</f>
        <v/>
      </c>
      <c r="U514" s="138" t="str">
        <f>IFERROR(LOOKUP($S514,MOTORISTAS!$D$3:$D$1048576,MOTORISTAS!F$3:$F$1048576),"")</f>
        <v/>
      </c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44"/>
      <c r="AG514" s="254">
        <f>Prog_236[[#This Row],[SAÍDA DO CLIENTE]]-Prog_236[[#This Row],[PROGRAMAÇÃO CLIENTE]]</f>
        <v>0</v>
      </c>
      <c r="AH514" s="44"/>
      <c r="AI514" s="66"/>
      <c r="AJ514" s="66"/>
      <c r="AK514" s="66"/>
      <c r="AL514" s="66"/>
      <c r="AM514" s="66"/>
      <c r="AN514" s="83"/>
      <c r="AO514" s="66"/>
      <c r="AP514" s="66"/>
      <c r="AQ514" s="66"/>
      <c r="AR514" s="81"/>
      <c r="AS514" s="81"/>
      <c r="AT514" s="81"/>
      <c r="AU514" s="81"/>
      <c r="AV514" s="83">
        <f>SUM(Prog_236[[#This Row],[ADIANTAMENTO]]+Prog_236[[#This Row],[SALDO]]+Prog_236[[#This Row],[MARGEM]]+Prog_236[[#This Row],[ESTADIA 1]])</f>
        <v>0</v>
      </c>
      <c r="AW5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4" s="81"/>
      <c r="AY514" s="81"/>
      <c r="AZ514" s="81">
        <f>Prog_236[[#This Row],[VLR NF]]*0.1%</f>
        <v>0</v>
      </c>
      <c r="BA514" s="81">
        <f>Prog_236[[#This Row],[VLR NF]]*0.05%</f>
        <v>0</v>
      </c>
      <c r="BB514" s="81"/>
      <c r="BC514" s="81"/>
      <c r="BD514" s="81"/>
      <c r="BE514" s="81"/>
      <c r="BF514" s="81"/>
      <c r="BG514" s="81"/>
      <c r="BH514" s="81"/>
      <c r="BI514" s="81"/>
      <c r="BJ514" s="81"/>
      <c r="BK514" s="81"/>
      <c r="BL514" s="66"/>
      <c r="BM514" s="66"/>
      <c r="BN514" s="66"/>
      <c r="BO514" s="66" t="str">
        <f>PROPER(TEXT(Prog_236[[#This Row],[PROGRAMAÇÃO CLIENTE]],"mmm"))</f>
        <v>Jan</v>
      </c>
      <c r="BP514" s="66">
        <f>YEAR(Prog_236[[#This Row],[PROGRAMAÇÃO CLIENTE]])</f>
        <v>1900</v>
      </c>
    </row>
    <row r="515" spans="1:68" x14ac:dyDescent="0.25">
      <c r="A515" s="200">
        <f>Prog_236[[#This Row],[CONTEINER]]</f>
        <v>0</v>
      </c>
      <c r="B515" s="86"/>
      <c r="C5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5" s="44"/>
      <c r="E515" s="66"/>
      <c r="F515" s="66"/>
      <c r="G515" s="66"/>
      <c r="H515" s="44"/>
      <c r="I515" s="44"/>
      <c r="J515" s="66"/>
      <c r="K515" s="66"/>
      <c r="L515" s="66"/>
      <c r="M515" s="66"/>
      <c r="N515" s="66">
        <f>SUM(Prog_236[[#This Row],[TARA]]+Prog_236[[#This Row],[PESO]])</f>
        <v>0</v>
      </c>
      <c r="O515" s="44"/>
      <c r="P515" s="66"/>
      <c r="Q515" s="66"/>
      <c r="R515" s="66"/>
      <c r="S515" s="66"/>
      <c r="T515" s="138" t="str">
        <f>IFERROR(LOOKUP($S515,MOTORISTAS!$D$3:$D$1048576,MOTORISTAS!E$3:$E$1048576),"")</f>
        <v/>
      </c>
      <c r="U515" s="138" t="str">
        <f>IFERROR(LOOKUP($S515,MOTORISTAS!$D$3:$D$1048576,MOTORISTAS!F$3:$F$1048576),"")</f>
        <v/>
      </c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44"/>
      <c r="AG515" s="254">
        <f>Prog_236[[#This Row],[SAÍDA DO CLIENTE]]-Prog_236[[#This Row],[PROGRAMAÇÃO CLIENTE]]</f>
        <v>0</v>
      </c>
      <c r="AH515" s="44"/>
      <c r="AI515" s="66"/>
      <c r="AJ515" s="66"/>
      <c r="AK515" s="66"/>
      <c r="AL515" s="66"/>
      <c r="AM515" s="66"/>
      <c r="AN515" s="83"/>
      <c r="AO515" s="66"/>
      <c r="AP515" s="66"/>
      <c r="AQ515" s="66"/>
      <c r="AR515" s="81"/>
      <c r="AS515" s="81"/>
      <c r="AT515" s="81"/>
      <c r="AU515" s="81"/>
      <c r="AV515" s="83">
        <f>SUM(Prog_236[[#This Row],[ADIANTAMENTO]]+Prog_236[[#This Row],[SALDO]]+Prog_236[[#This Row],[MARGEM]]+Prog_236[[#This Row],[ESTADIA 1]])</f>
        <v>0</v>
      </c>
      <c r="AW5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5" s="81"/>
      <c r="AY515" s="81"/>
      <c r="AZ515" s="81">
        <f>Prog_236[[#This Row],[VLR NF]]*0.1%</f>
        <v>0</v>
      </c>
      <c r="BA515" s="81">
        <f>Prog_236[[#This Row],[VLR NF]]*0.05%</f>
        <v>0</v>
      </c>
      <c r="BB515" s="81"/>
      <c r="BC515" s="81"/>
      <c r="BD515" s="81"/>
      <c r="BE515" s="81"/>
      <c r="BF515" s="81"/>
      <c r="BG515" s="81"/>
      <c r="BH515" s="81"/>
      <c r="BI515" s="81"/>
      <c r="BJ515" s="81"/>
      <c r="BK515" s="81"/>
      <c r="BL515" s="66"/>
      <c r="BM515" s="66"/>
      <c r="BN515" s="66"/>
      <c r="BO515" s="66" t="str">
        <f>PROPER(TEXT(Prog_236[[#This Row],[PROGRAMAÇÃO CLIENTE]],"mmm"))</f>
        <v>Jan</v>
      </c>
      <c r="BP515" s="66">
        <f>YEAR(Prog_236[[#This Row],[PROGRAMAÇÃO CLIENTE]])</f>
        <v>1900</v>
      </c>
    </row>
    <row r="516" spans="1:68" x14ac:dyDescent="0.25">
      <c r="A516" s="201">
        <f>Prog_236[[#This Row],[CONTEINER]]</f>
        <v>0</v>
      </c>
      <c r="B516" s="86"/>
      <c r="C5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6" s="44"/>
      <c r="E516" s="66"/>
      <c r="F516" s="66"/>
      <c r="G516" s="66"/>
      <c r="H516" s="44"/>
      <c r="I516" s="44"/>
      <c r="J516" s="66"/>
      <c r="K516" s="66"/>
      <c r="L516" s="66"/>
      <c r="M516" s="66"/>
      <c r="N516" s="66">
        <f>SUM(Prog_236[[#This Row],[TARA]]+Prog_236[[#This Row],[PESO]])</f>
        <v>0</v>
      </c>
      <c r="O516" s="44"/>
      <c r="P516" s="66"/>
      <c r="Q516" s="66"/>
      <c r="R516" s="66"/>
      <c r="S516" s="66"/>
      <c r="T516" s="138" t="str">
        <f>IFERROR(LOOKUP($S516,MOTORISTAS!$D$3:$D$1048576,MOTORISTAS!E$3:$E$1048576),"")</f>
        <v/>
      </c>
      <c r="U516" s="138" t="str">
        <f>IFERROR(LOOKUP($S516,MOTORISTAS!$D$3:$D$1048576,MOTORISTAS!F$3:$F$1048576),"")</f>
        <v/>
      </c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44"/>
      <c r="AG516" s="254">
        <f>Prog_236[[#This Row],[SAÍDA DO CLIENTE]]-Prog_236[[#This Row],[PROGRAMAÇÃO CLIENTE]]</f>
        <v>0</v>
      </c>
      <c r="AH516" s="44"/>
      <c r="AI516" s="66"/>
      <c r="AJ516" s="66"/>
      <c r="AK516" s="66"/>
      <c r="AL516" s="66"/>
      <c r="AM516" s="66"/>
      <c r="AN516" s="83"/>
      <c r="AO516" s="66"/>
      <c r="AP516" s="66"/>
      <c r="AQ516" s="66"/>
      <c r="AR516" s="81"/>
      <c r="AS516" s="81"/>
      <c r="AT516" s="81"/>
      <c r="AU516" s="81"/>
      <c r="AV516" s="83">
        <f>SUM(Prog_236[[#This Row],[ADIANTAMENTO]]+Prog_236[[#This Row],[SALDO]]+Prog_236[[#This Row],[MARGEM]]+Prog_236[[#This Row],[ESTADIA 1]])</f>
        <v>0</v>
      </c>
      <c r="AW5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6" s="81"/>
      <c r="AY516" s="81"/>
      <c r="AZ516" s="81">
        <f>Prog_236[[#This Row],[VLR NF]]*0.1%</f>
        <v>0</v>
      </c>
      <c r="BA516" s="81">
        <f>Prog_236[[#This Row],[VLR NF]]*0.05%</f>
        <v>0</v>
      </c>
      <c r="BB516" s="81"/>
      <c r="BC516" s="81"/>
      <c r="BD516" s="81"/>
      <c r="BE516" s="81"/>
      <c r="BF516" s="81"/>
      <c r="BG516" s="81"/>
      <c r="BH516" s="81"/>
      <c r="BI516" s="81"/>
      <c r="BJ516" s="81"/>
      <c r="BK516" s="81"/>
      <c r="BL516" s="66"/>
      <c r="BM516" s="66"/>
      <c r="BN516" s="66"/>
      <c r="BO516" s="66" t="str">
        <f>PROPER(TEXT(Prog_236[[#This Row],[PROGRAMAÇÃO CLIENTE]],"mmm"))</f>
        <v>Jan</v>
      </c>
      <c r="BP516" s="66">
        <f>YEAR(Prog_236[[#This Row],[PROGRAMAÇÃO CLIENTE]])</f>
        <v>1900</v>
      </c>
    </row>
    <row r="517" spans="1:68" x14ac:dyDescent="0.25">
      <c r="A517" s="200">
        <f>Prog_236[[#This Row],[CONTEINER]]</f>
        <v>0</v>
      </c>
      <c r="B517" s="86"/>
      <c r="C5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7" s="44"/>
      <c r="E517" s="66"/>
      <c r="F517" s="66"/>
      <c r="G517" s="66"/>
      <c r="H517" s="44"/>
      <c r="I517" s="44"/>
      <c r="J517" s="66"/>
      <c r="K517" s="66"/>
      <c r="L517" s="66"/>
      <c r="M517" s="66"/>
      <c r="N517" s="66">
        <f>SUM(Prog_236[[#This Row],[TARA]]+Prog_236[[#This Row],[PESO]])</f>
        <v>0</v>
      </c>
      <c r="O517" s="44"/>
      <c r="P517" s="66"/>
      <c r="Q517" s="66"/>
      <c r="R517" s="66"/>
      <c r="S517" s="66"/>
      <c r="T517" s="138" t="str">
        <f>IFERROR(LOOKUP($S517,MOTORISTAS!$D$3:$D$1048576,MOTORISTAS!E$3:$E$1048576),"")</f>
        <v/>
      </c>
      <c r="U517" s="138" t="str">
        <f>IFERROR(LOOKUP($S517,MOTORISTAS!$D$3:$D$1048576,MOTORISTAS!F$3:$F$1048576),"")</f>
        <v/>
      </c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44"/>
      <c r="AG517" s="254">
        <f>Prog_236[[#This Row],[SAÍDA DO CLIENTE]]-Prog_236[[#This Row],[PROGRAMAÇÃO CLIENTE]]</f>
        <v>0</v>
      </c>
      <c r="AH517" s="44"/>
      <c r="AI517" s="66"/>
      <c r="AJ517" s="66"/>
      <c r="AK517" s="66"/>
      <c r="AL517" s="66"/>
      <c r="AM517" s="66"/>
      <c r="AN517" s="83"/>
      <c r="AO517" s="66"/>
      <c r="AP517" s="66"/>
      <c r="AQ517" s="66"/>
      <c r="AR517" s="81"/>
      <c r="AS517" s="81"/>
      <c r="AT517" s="81"/>
      <c r="AU517" s="81"/>
      <c r="AV517" s="83">
        <f>SUM(Prog_236[[#This Row],[ADIANTAMENTO]]+Prog_236[[#This Row],[SALDO]]+Prog_236[[#This Row],[MARGEM]]+Prog_236[[#This Row],[ESTADIA 1]])</f>
        <v>0</v>
      </c>
      <c r="AW5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7" s="81"/>
      <c r="AY517" s="81"/>
      <c r="AZ517" s="81">
        <f>Prog_236[[#This Row],[VLR NF]]*0.1%</f>
        <v>0</v>
      </c>
      <c r="BA517" s="81">
        <f>Prog_236[[#This Row],[VLR NF]]*0.05%</f>
        <v>0</v>
      </c>
      <c r="BB517" s="81"/>
      <c r="BC517" s="81"/>
      <c r="BD517" s="81"/>
      <c r="BE517" s="81"/>
      <c r="BF517" s="81"/>
      <c r="BG517" s="81"/>
      <c r="BH517" s="81"/>
      <c r="BI517" s="81"/>
      <c r="BJ517" s="81"/>
      <c r="BK517" s="81"/>
      <c r="BL517" s="66"/>
      <c r="BM517" s="66"/>
      <c r="BN517" s="66"/>
      <c r="BO517" s="66" t="str">
        <f>PROPER(TEXT(Prog_236[[#This Row],[PROGRAMAÇÃO CLIENTE]],"mmm"))</f>
        <v>Jan</v>
      </c>
      <c r="BP517" s="66">
        <f>YEAR(Prog_236[[#This Row],[PROGRAMAÇÃO CLIENTE]])</f>
        <v>1900</v>
      </c>
    </row>
    <row r="518" spans="1:68" x14ac:dyDescent="0.25">
      <c r="A518" s="201">
        <f>Prog_236[[#This Row],[CONTEINER]]</f>
        <v>0</v>
      </c>
      <c r="B518" s="86"/>
      <c r="C5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8" s="44"/>
      <c r="E518" s="66"/>
      <c r="F518" s="66"/>
      <c r="G518" s="66"/>
      <c r="H518" s="44"/>
      <c r="I518" s="44"/>
      <c r="J518" s="66"/>
      <c r="K518" s="66"/>
      <c r="L518" s="66"/>
      <c r="M518" s="66"/>
      <c r="N518" s="66">
        <f>SUM(Prog_236[[#This Row],[TARA]]+Prog_236[[#This Row],[PESO]])</f>
        <v>0</v>
      </c>
      <c r="O518" s="44"/>
      <c r="P518" s="66"/>
      <c r="Q518" s="66"/>
      <c r="R518" s="66"/>
      <c r="S518" s="66"/>
      <c r="T518" s="138" t="str">
        <f>IFERROR(LOOKUP($S518,MOTORISTAS!$D$3:$D$1048576,MOTORISTAS!E$3:$E$1048576),"")</f>
        <v/>
      </c>
      <c r="U518" s="138" t="str">
        <f>IFERROR(LOOKUP($S518,MOTORISTAS!$D$3:$D$1048576,MOTORISTAS!F$3:$F$1048576),"")</f>
        <v/>
      </c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44"/>
      <c r="AG518" s="254">
        <f>Prog_236[[#This Row],[SAÍDA DO CLIENTE]]-Prog_236[[#This Row],[PROGRAMAÇÃO CLIENTE]]</f>
        <v>0</v>
      </c>
      <c r="AH518" s="44"/>
      <c r="AI518" s="66"/>
      <c r="AJ518" s="66"/>
      <c r="AK518" s="66"/>
      <c r="AL518" s="66"/>
      <c r="AM518" s="66"/>
      <c r="AN518" s="83"/>
      <c r="AO518" s="66"/>
      <c r="AP518" s="66"/>
      <c r="AQ518" s="66"/>
      <c r="AR518" s="81"/>
      <c r="AS518" s="81"/>
      <c r="AT518" s="81"/>
      <c r="AU518" s="81"/>
      <c r="AV518" s="83">
        <f>SUM(Prog_236[[#This Row],[ADIANTAMENTO]]+Prog_236[[#This Row],[SALDO]]+Prog_236[[#This Row],[MARGEM]]+Prog_236[[#This Row],[ESTADIA 1]])</f>
        <v>0</v>
      </c>
      <c r="AW5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8" s="81"/>
      <c r="AY518" s="81"/>
      <c r="AZ518" s="81">
        <f>Prog_236[[#This Row],[VLR NF]]*0.1%</f>
        <v>0</v>
      </c>
      <c r="BA518" s="81">
        <f>Prog_236[[#This Row],[VLR NF]]*0.05%</f>
        <v>0</v>
      </c>
      <c r="BB518" s="81"/>
      <c r="BC518" s="81"/>
      <c r="BD518" s="81"/>
      <c r="BE518" s="81"/>
      <c r="BF518" s="81"/>
      <c r="BG518" s="81"/>
      <c r="BH518" s="81"/>
      <c r="BI518" s="81"/>
      <c r="BJ518" s="81"/>
      <c r="BK518" s="81"/>
      <c r="BL518" s="66"/>
      <c r="BM518" s="66"/>
      <c r="BN518" s="66"/>
      <c r="BO518" s="66" t="str">
        <f>PROPER(TEXT(Prog_236[[#This Row],[PROGRAMAÇÃO CLIENTE]],"mmm"))</f>
        <v>Jan</v>
      </c>
      <c r="BP518" s="66">
        <f>YEAR(Prog_236[[#This Row],[PROGRAMAÇÃO CLIENTE]])</f>
        <v>1900</v>
      </c>
    </row>
    <row r="519" spans="1:68" x14ac:dyDescent="0.25">
      <c r="A519" s="200">
        <f>Prog_236[[#This Row],[CONTEINER]]</f>
        <v>0</v>
      </c>
      <c r="B519" s="86"/>
      <c r="C5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19" s="44"/>
      <c r="E519" s="66"/>
      <c r="F519" s="66"/>
      <c r="G519" s="66"/>
      <c r="H519" s="44"/>
      <c r="I519" s="44"/>
      <c r="J519" s="66"/>
      <c r="K519" s="66"/>
      <c r="L519" s="66"/>
      <c r="M519" s="66"/>
      <c r="N519" s="66">
        <f>SUM(Prog_236[[#This Row],[TARA]]+Prog_236[[#This Row],[PESO]])</f>
        <v>0</v>
      </c>
      <c r="O519" s="44"/>
      <c r="P519" s="66"/>
      <c r="Q519" s="66"/>
      <c r="R519" s="66"/>
      <c r="S519" s="66"/>
      <c r="T519" s="138" t="str">
        <f>IFERROR(LOOKUP($S519,MOTORISTAS!$D$3:$D$1048576,MOTORISTAS!E$3:$E$1048576),"")</f>
        <v/>
      </c>
      <c r="U519" s="138" t="str">
        <f>IFERROR(LOOKUP($S519,MOTORISTAS!$D$3:$D$1048576,MOTORISTAS!F$3:$F$1048576),"")</f>
        <v/>
      </c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44"/>
      <c r="AG519" s="254">
        <f>Prog_236[[#This Row],[SAÍDA DO CLIENTE]]-Prog_236[[#This Row],[PROGRAMAÇÃO CLIENTE]]</f>
        <v>0</v>
      </c>
      <c r="AH519" s="44"/>
      <c r="AI519" s="66"/>
      <c r="AJ519" s="66"/>
      <c r="AK519" s="66"/>
      <c r="AL519" s="66"/>
      <c r="AM519" s="66"/>
      <c r="AN519" s="83"/>
      <c r="AO519" s="66"/>
      <c r="AP519" s="66"/>
      <c r="AQ519" s="66"/>
      <c r="AR519" s="81"/>
      <c r="AS519" s="81"/>
      <c r="AT519" s="81"/>
      <c r="AU519" s="81"/>
      <c r="AV519" s="83">
        <f>SUM(Prog_236[[#This Row],[ADIANTAMENTO]]+Prog_236[[#This Row],[SALDO]]+Prog_236[[#This Row],[MARGEM]]+Prog_236[[#This Row],[ESTADIA 1]])</f>
        <v>0</v>
      </c>
      <c r="AW5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19" s="81"/>
      <c r="AY519" s="81"/>
      <c r="AZ519" s="81">
        <f>Prog_236[[#This Row],[VLR NF]]*0.1%</f>
        <v>0</v>
      </c>
      <c r="BA519" s="81">
        <f>Prog_236[[#This Row],[VLR NF]]*0.05%</f>
        <v>0</v>
      </c>
      <c r="BB519" s="81"/>
      <c r="BC519" s="81"/>
      <c r="BD519" s="81"/>
      <c r="BE519" s="81"/>
      <c r="BF519" s="81"/>
      <c r="BG519" s="81"/>
      <c r="BH519" s="81"/>
      <c r="BI519" s="81"/>
      <c r="BJ519" s="81"/>
      <c r="BK519" s="81"/>
      <c r="BL519" s="66"/>
      <c r="BM519" s="66"/>
      <c r="BN519" s="66"/>
      <c r="BO519" s="66" t="str">
        <f>PROPER(TEXT(Prog_236[[#This Row],[PROGRAMAÇÃO CLIENTE]],"mmm"))</f>
        <v>Jan</v>
      </c>
      <c r="BP519" s="66">
        <f>YEAR(Prog_236[[#This Row],[PROGRAMAÇÃO CLIENTE]])</f>
        <v>1900</v>
      </c>
    </row>
    <row r="520" spans="1:68" x14ac:dyDescent="0.25">
      <c r="A520" s="201">
        <f>Prog_236[[#This Row],[CONTEINER]]</f>
        <v>0</v>
      </c>
      <c r="B520" s="86"/>
      <c r="C5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0" s="44"/>
      <c r="E520" s="66"/>
      <c r="F520" s="66"/>
      <c r="G520" s="66"/>
      <c r="H520" s="44"/>
      <c r="I520" s="44"/>
      <c r="J520" s="66"/>
      <c r="K520" s="66"/>
      <c r="L520" s="66"/>
      <c r="M520" s="66"/>
      <c r="N520" s="66">
        <f>SUM(Prog_236[[#This Row],[TARA]]+Prog_236[[#This Row],[PESO]])</f>
        <v>0</v>
      </c>
      <c r="O520" s="44"/>
      <c r="P520" s="66"/>
      <c r="Q520" s="66"/>
      <c r="R520" s="66"/>
      <c r="S520" s="66"/>
      <c r="T520" s="138" t="str">
        <f>IFERROR(LOOKUP($S520,MOTORISTAS!$D$3:$D$1048576,MOTORISTAS!E$3:$E$1048576),"")</f>
        <v/>
      </c>
      <c r="U520" s="138" t="str">
        <f>IFERROR(LOOKUP($S520,MOTORISTAS!$D$3:$D$1048576,MOTORISTAS!F$3:$F$1048576),"")</f>
        <v/>
      </c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44"/>
      <c r="AG520" s="254">
        <f>Prog_236[[#This Row],[SAÍDA DO CLIENTE]]-Prog_236[[#This Row],[PROGRAMAÇÃO CLIENTE]]</f>
        <v>0</v>
      </c>
      <c r="AH520" s="44"/>
      <c r="AI520" s="66"/>
      <c r="AJ520" s="66"/>
      <c r="AK520" s="66"/>
      <c r="AL520" s="66"/>
      <c r="AM520" s="66"/>
      <c r="AN520" s="83"/>
      <c r="AO520" s="66"/>
      <c r="AP520" s="66"/>
      <c r="AQ520" s="66"/>
      <c r="AR520" s="81"/>
      <c r="AS520" s="81"/>
      <c r="AT520" s="81"/>
      <c r="AU520" s="81"/>
      <c r="AV520" s="83">
        <f>SUM(Prog_236[[#This Row],[ADIANTAMENTO]]+Prog_236[[#This Row],[SALDO]]+Prog_236[[#This Row],[MARGEM]]+Prog_236[[#This Row],[ESTADIA 1]])</f>
        <v>0</v>
      </c>
      <c r="AW5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0" s="81"/>
      <c r="AY520" s="81"/>
      <c r="AZ520" s="81">
        <f>Prog_236[[#This Row],[VLR NF]]*0.1%</f>
        <v>0</v>
      </c>
      <c r="BA520" s="81">
        <f>Prog_236[[#This Row],[VLR NF]]*0.05%</f>
        <v>0</v>
      </c>
      <c r="BB520" s="81"/>
      <c r="BC520" s="81"/>
      <c r="BD520" s="81"/>
      <c r="BE520" s="81"/>
      <c r="BF520" s="81"/>
      <c r="BG520" s="81"/>
      <c r="BH520" s="81"/>
      <c r="BI520" s="81"/>
      <c r="BJ520" s="81"/>
      <c r="BK520" s="81"/>
      <c r="BL520" s="66"/>
      <c r="BM520" s="66"/>
      <c r="BN520" s="66"/>
      <c r="BO520" s="66" t="str">
        <f>PROPER(TEXT(Prog_236[[#This Row],[PROGRAMAÇÃO CLIENTE]],"mmm"))</f>
        <v>Jan</v>
      </c>
      <c r="BP520" s="66">
        <f>YEAR(Prog_236[[#This Row],[PROGRAMAÇÃO CLIENTE]])</f>
        <v>1900</v>
      </c>
    </row>
    <row r="521" spans="1:68" x14ac:dyDescent="0.25">
      <c r="A521" s="200">
        <f>Prog_236[[#This Row],[CONTEINER]]</f>
        <v>0</v>
      </c>
      <c r="B521" s="86"/>
      <c r="C5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1" s="44"/>
      <c r="E521" s="66"/>
      <c r="F521" s="66"/>
      <c r="G521" s="66"/>
      <c r="H521" s="44"/>
      <c r="I521" s="44"/>
      <c r="J521" s="66"/>
      <c r="K521" s="66"/>
      <c r="L521" s="66"/>
      <c r="M521" s="66"/>
      <c r="N521" s="66">
        <f>SUM(Prog_236[[#This Row],[TARA]]+Prog_236[[#This Row],[PESO]])</f>
        <v>0</v>
      </c>
      <c r="O521" s="44"/>
      <c r="P521" s="66"/>
      <c r="Q521" s="66"/>
      <c r="R521" s="66"/>
      <c r="S521" s="66"/>
      <c r="T521" s="138" t="str">
        <f>IFERROR(LOOKUP($S521,MOTORISTAS!$D$3:$D$1048576,MOTORISTAS!E$3:$E$1048576),"")</f>
        <v/>
      </c>
      <c r="U521" s="138" t="str">
        <f>IFERROR(LOOKUP($S521,MOTORISTAS!$D$3:$D$1048576,MOTORISTAS!F$3:$F$1048576),"")</f>
        <v/>
      </c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44"/>
      <c r="AG521" s="254">
        <f>Prog_236[[#This Row],[SAÍDA DO CLIENTE]]-Prog_236[[#This Row],[PROGRAMAÇÃO CLIENTE]]</f>
        <v>0</v>
      </c>
      <c r="AH521" s="44"/>
      <c r="AI521" s="66"/>
      <c r="AJ521" s="66"/>
      <c r="AK521" s="66"/>
      <c r="AL521" s="66"/>
      <c r="AM521" s="66"/>
      <c r="AN521" s="83"/>
      <c r="AO521" s="66"/>
      <c r="AP521" s="66"/>
      <c r="AQ521" s="66"/>
      <c r="AR521" s="81"/>
      <c r="AS521" s="81"/>
      <c r="AT521" s="81"/>
      <c r="AU521" s="81"/>
      <c r="AV521" s="83">
        <f>SUM(Prog_236[[#This Row],[ADIANTAMENTO]]+Prog_236[[#This Row],[SALDO]]+Prog_236[[#This Row],[MARGEM]]+Prog_236[[#This Row],[ESTADIA 1]])</f>
        <v>0</v>
      </c>
      <c r="AW5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1" s="81"/>
      <c r="AY521" s="81"/>
      <c r="AZ521" s="81">
        <f>Prog_236[[#This Row],[VLR NF]]*0.1%</f>
        <v>0</v>
      </c>
      <c r="BA521" s="81">
        <f>Prog_236[[#This Row],[VLR NF]]*0.05%</f>
        <v>0</v>
      </c>
      <c r="BB521" s="81"/>
      <c r="BC521" s="81"/>
      <c r="BD521" s="81"/>
      <c r="BE521" s="81"/>
      <c r="BF521" s="81"/>
      <c r="BG521" s="81"/>
      <c r="BH521" s="81"/>
      <c r="BI521" s="81"/>
      <c r="BJ521" s="81"/>
      <c r="BK521" s="81"/>
      <c r="BL521" s="66"/>
      <c r="BM521" s="66"/>
      <c r="BN521" s="66"/>
      <c r="BO521" s="66" t="str">
        <f>PROPER(TEXT(Prog_236[[#This Row],[PROGRAMAÇÃO CLIENTE]],"mmm"))</f>
        <v>Jan</v>
      </c>
      <c r="BP521" s="66">
        <f>YEAR(Prog_236[[#This Row],[PROGRAMAÇÃO CLIENTE]])</f>
        <v>1900</v>
      </c>
    </row>
    <row r="522" spans="1:68" x14ac:dyDescent="0.25">
      <c r="A522" s="201">
        <f>Prog_236[[#This Row],[CONTEINER]]</f>
        <v>0</v>
      </c>
      <c r="B522" s="86"/>
      <c r="C5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2" s="44"/>
      <c r="E522" s="66"/>
      <c r="F522" s="66"/>
      <c r="G522" s="66"/>
      <c r="H522" s="44"/>
      <c r="I522" s="44"/>
      <c r="J522" s="66"/>
      <c r="K522" s="66"/>
      <c r="L522" s="66"/>
      <c r="M522" s="66"/>
      <c r="N522" s="66">
        <f>SUM(Prog_236[[#This Row],[TARA]]+Prog_236[[#This Row],[PESO]])</f>
        <v>0</v>
      </c>
      <c r="O522" s="44"/>
      <c r="P522" s="66"/>
      <c r="Q522" s="66"/>
      <c r="R522" s="66"/>
      <c r="S522" s="66"/>
      <c r="T522" s="138" t="str">
        <f>IFERROR(LOOKUP($S522,MOTORISTAS!$D$3:$D$1048576,MOTORISTAS!E$3:$E$1048576),"")</f>
        <v/>
      </c>
      <c r="U522" s="138" t="str">
        <f>IFERROR(LOOKUP($S522,MOTORISTAS!$D$3:$D$1048576,MOTORISTAS!F$3:$F$1048576),"")</f>
        <v/>
      </c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44"/>
      <c r="AG522" s="254">
        <f>Prog_236[[#This Row],[SAÍDA DO CLIENTE]]-Prog_236[[#This Row],[PROGRAMAÇÃO CLIENTE]]</f>
        <v>0</v>
      </c>
      <c r="AH522" s="44"/>
      <c r="AI522" s="66"/>
      <c r="AJ522" s="66"/>
      <c r="AK522" s="66"/>
      <c r="AL522" s="66"/>
      <c r="AM522" s="66"/>
      <c r="AN522" s="83"/>
      <c r="AO522" s="66"/>
      <c r="AP522" s="66"/>
      <c r="AQ522" s="66"/>
      <c r="AR522" s="81"/>
      <c r="AS522" s="81"/>
      <c r="AT522" s="81"/>
      <c r="AU522" s="81"/>
      <c r="AV522" s="83">
        <f>SUM(Prog_236[[#This Row],[ADIANTAMENTO]]+Prog_236[[#This Row],[SALDO]]+Prog_236[[#This Row],[MARGEM]]+Prog_236[[#This Row],[ESTADIA 1]])</f>
        <v>0</v>
      </c>
      <c r="AW5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2" s="81"/>
      <c r="AY522" s="81"/>
      <c r="AZ522" s="81">
        <f>Prog_236[[#This Row],[VLR NF]]*0.1%</f>
        <v>0</v>
      </c>
      <c r="BA522" s="81">
        <f>Prog_236[[#This Row],[VLR NF]]*0.05%</f>
        <v>0</v>
      </c>
      <c r="BB522" s="81"/>
      <c r="BC522" s="81"/>
      <c r="BD522" s="81"/>
      <c r="BE522" s="81"/>
      <c r="BF522" s="81"/>
      <c r="BG522" s="81"/>
      <c r="BH522" s="81"/>
      <c r="BI522" s="81"/>
      <c r="BJ522" s="81"/>
      <c r="BK522" s="81"/>
      <c r="BL522" s="66"/>
      <c r="BM522" s="66"/>
      <c r="BN522" s="66"/>
      <c r="BO522" s="66" t="str">
        <f>PROPER(TEXT(Prog_236[[#This Row],[PROGRAMAÇÃO CLIENTE]],"mmm"))</f>
        <v>Jan</v>
      </c>
      <c r="BP522" s="66">
        <f>YEAR(Prog_236[[#This Row],[PROGRAMAÇÃO CLIENTE]])</f>
        <v>1900</v>
      </c>
    </row>
    <row r="523" spans="1:68" x14ac:dyDescent="0.25">
      <c r="A523" s="200">
        <f>Prog_236[[#This Row],[CONTEINER]]</f>
        <v>0</v>
      </c>
      <c r="B523" s="86"/>
      <c r="C5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3" s="44"/>
      <c r="E523" s="66"/>
      <c r="F523" s="66"/>
      <c r="G523" s="66"/>
      <c r="H523" s="44"/>
      <c r="I523" s="44"/>
      <c r="J523" s="66"/>
      <c r="K523" s="66"/>
      <c r="L523" s="66"/>
      <c r="M523" s="66"/>
      <c r="N523" s="66">
        <f>SUM(Prog_236[[#This Row],[TARA]]+Prog_236[[#This Row],[PESO]])</f>
        <v>0</v>
      </c>
      <c r="O523" s="44"/>
      <c r="P523" s="66"/>
      <c r="Q523" s="66"/>
      <c r="R523" s="66"/>
      <c r="S523" s="66"/>
      <c r="T523" s="138" t="str">
        <f>IFERROR(LOOKUP($S523,MOTORISTAS!$D$3:$D$1048576,MOTORISTAS!E$3:$E$1048576),"")</f>
        <v/>
      </c>
      <c r="U523" s="138" t="str">
        <f>IFERROR(LOOKUP($S523,MOTORISTAS!$D$3:$D$1048576,MOTORISTAS!F$3:$F$1048576),"")</f>
        <v/>
      </c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44"/>
      <c r="AG523" s="254">
        <f>Prog_236[[#This Row],[SAÍDA DO CLIENTE]]-Prog_236[[#This Row],[PROGRAMAÇÃO CLIENTE]]</f>
        <v>0</v>
      </c>
      <c r="AH523" s="44"/>
      <c r="AI523" s="66"/>
      <c r="AJ523" s="66"/>
      <c r="AK523" s="66"/>
      <c r="AL523" s="66"/>
      <c r="AM523" s="66"/>
      <c r="AN523" s="83"/>
      <c r="AO523" s="66"/>
      <c r="AP523" s="66"/>
      <c r="AQ523" s="66"/>
      <c r="AR523" s="81"/>
      <c r="AS523" s="81"/>
      <c r="AT523" s="81"/>
      <c r="AU523" s="81"/>
      <c r="AV523" s="83">
        <f>SUM(Prog_236[[#This Row],[ADIANTAMENTO]]+Prog_236[[#This Row],[SALDO]]+Prog_236[[#This Row],[MARGEM]]+Prog_236[[#This Row],[ESTADIA 1]])</f>
        <v>0</v>
      </c>
      <c r="AW5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3" s="81"/>
      <c r="AY523" s="81"/>
      <c r="AZ523" s="81">
        <f>Prog_236[[#This Row],[VLR NF]]*0.1%</f>
        <v>0</v>
      </c>
      <c r="BA523" s="81">
        <f>Prog_236[[#This Row],[VLR NF]]*0.05%</f>
        <v>0</v>
      </c>
      <c r="BB523" s="81"/>
      <c r="BC523" s="81"/>
      <c r="BD523" s="81"/>
      <c r="BE523" s="81"/>
      <c r="BF523" s="81"/>
      <c r="BG523" s="81"/>
      <c r="BH523" s="81"/>
      <c r="BI523" s="81"/>
      <c r="BJ523" s="81"/>
      <c r="BK523" s="81"/>
      <c r="BL523" s="66"/>
      <c r="BM523" s="66"/>
      <c r="BN523" s="66"/>
      <c r="BO523" s="66" t="str">
        <f>PROPER(TEXT(Prog_236[[#This Row],[PROGRAMAÇÃO CLIENTE]],"mmm"))</f>
        <v>Jan</v>
      </c>
      <c r="BP523" s="66">
        <f>YEAR(Prog_236[[#This Row],[PROGRAMAÇÃO CLIENTE]])</f>
        <v>1900</v>
      </c>
    </row>
    <row r="524" spans="1:68" x14ac:dyDescent="0.25">
      <c r="A524" s="201">
        <f>Prog_236[[#This Row],[CONTEINER]]</f>
        <v>0</v>
      </c>
      <c r="B524" s="86"/>
      <c r="C5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4" s="44"/>
      <c r="E524" s="66"/>
      <c r="F524" s="66"/>
      <c r="G524" s="66"/>
      <c r="H524" s="44"/>
      <c r="I524" s="44"/>
      <c r="J524" s="66"/>
      <c r="K524" s="66"/>
      <c r="L524" s="66"/>
      <c r="M524" s="66"/>
      <c r="N524" s="66">
        <f>SUM(Prog_236[[#This Row],[TARA]]+Prog_236[[#This Row],[PESO]])</f>
        <v>0</v>
      </c>
      <c r="O524" s="44"/>
      <c r="P524" s="66"/>
      <c r="Q524" s="66"/>
      <c r="R524" s="66"/>
      <c r="S524" s="66"/>
      <c r="T524" s="138" t="str">
        <f>IFERROR(LOOKUP($S524,MOTORISTAS!$D$3:$D$1048576,MOTORISTAS!E$3:$E$1048576),"")</f>
        <v/>
      </c>
      <c r="U524" s="138" t="str">
        <f>IFERROR(LOOKUP($S524,MOTORISTAS!$D$3:$D$1048576,MOTORISTAS!F$3:$F$1048576),"")</f>
        <v/>
      </c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44"/>
      <c r="AG524" s="254">
        <f>Prog_236[[#This Row],[SAÍDA DO CLIENTE]]-Prog_236[[#This Row],[PROGRAMAÇÃO CLIENTE]]</f>
        <v>0</v>
      </c>
      <c r="AH524" s="44"/>
      <c r="AI524" s="66"/>
      <c r="AJ524" s="66"/>
      <c r="AK524" s="66"/>
      <c r="AL524" s="66"/>
      <c r="AM524" s="66"/>
      <c r="AN524" s="83"/>
      <c r="AO524" s="66"/>
      <c r="AP524" s="66"/>
      <c r="AQ524" s="66"/>
      <c r="AR524" s="81"/>
      <c r="AS524" s="81"/>
      <c r="AT524" s="81"/>
      <c r="AU524" s="81"/>
      <c r="AV524" s="83">
        <f>SUM(Prog_236[[#This Row],[ADIANTAMENTO]]+Prog_236[[#This Row],[SALDO]]+Prog_236[[#This Row],[MARGEM]]+Prog_236[[#This Row],[ESTADIA 1]])</f>
        <v>0</v>
      </c>
      <c r="AW5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4" s="81"/>
      <c r="AY524" s="81"/>
      <c r="AZ524" s="81">
        <f>Prog_236[[#This Row],[VLR NF]]*0.1%</f>
        <v>0</v>
      </c>
      <c r="BA524" s="81">
        <f>Prog_236[[#This Row],[VLR NF]]*0.05%</f>
        <v>0</v>
      </c>
      <c r="BB524" s="81"/>
      <c r="BC524" s="81"/>
      <c r="BD524" s="81"/>
      <c r="BE524" s="81"/>
      <c r="BF524" s="81"/>
      <c r="BG524" s="81"/>
      <c r="BH524" s="81"/>
      <c r="BI524" s="81"/>
      <c r="BJ524" s="81"/>
      <c r="BK524" s="81"/>
      <c r="BL524" s="66"/>
      <c r="BM524" s="66"/>
      <c r="BN524" s="66"/>
      <c r="BO524" s="66" t="str">
        <f>PROPER(TEXT(Prog_236[[#This Row],[PROGRAMAÇÃO CLIENTE]],"mmm"))</f>
        <v>Jan</v>
      </c>
      <c r="BP524" s="66">
        <f>YEAR(Prog_236[[#This Row],[PROGRAMAÇÃO CLIENTE]])</f>
        <v>1900</v>
      </c>
    </row>
    <row r="525" spans="1:68" x14ac:dyDescent="0.25">
      <c r="A525" s="200">
        <f>Prog_236[[#This Row],[CONTEINER]]</f>
        <v>0</v>
      </c>
      <c r="B525" s="86"/>
      <c r="C5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5" s="44"/>
      <c r="E525" s="66"/>
      <c r="F525" s="66"/>
      <c r="G525" s="66"/>
      <c r="H525" s="44"/>
      <c r="I525" s="44"/>
      <c r="J525" s="66"/>
      <c r="K525" s="66"/>
      <c r="L525" s="66"/>
      <c r="M525" s="66"/>
      <c r="N525" s="66">
        <f>SUM(Prog_236[[#This Row],[TARA]]+Prog_236[[#This Row],[PESO]])</f>
        <v>0</v>
      </c>
      <c r="O525" s="44"/>
      <c r="P525" s="66"/>
      <c r="Q525" s="66"/>
      <c r="R525" s="66"/>
      <c r="S525" s="66"/>
      <c r="T525" s="138" t="str">
        <f>IFERROR(LOOKUP($S525,MOTORISTAS!$D$3:$D$1048576,MOTORISTAS!E$3:$E$1048576),"")</f>
        <v/>
      </c>
      <c r="U525" s="138" t="str">
        <f>IFERROR(LOOKUP($S525,MOTORISTAS!$D$3:$D$1048576,MOTORISTAS!F$3:$F$1048576),"")</f>
        <v/>
      </c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44"/>
      <c r="AG525" s="254">
        <f>Prog_236[[#This Row],[SAÍDA DO CLIENTE]]-Prog_236[[#This Row],[PROGRAMAÇÃO CLIENTE]]</f>
        <v>0</v>
      </c>
      <c r="AH525" s="44"/>
      <c r="AI525" s="66"/>
      <c r="AJ525" s="66"/>
      <c r="AK525" s="66"/>
      <c r="AL525" s="66"/>
      <c r="AM525" s="66"/>
      <c r="AN525" s="83"/>
      <c r="AO525" s="66"/>
      <c r="AP525" s="66"/>
      <c r="AQ525" s="66"/>
      <c r="AR525" s="81"/>
      <c r="AS525" s="81"/>
      <c r="AT525" s="81"/>
      <c r="AU525" s="81"/>
      <c r="AV525" s="83">
        <f>SUM(Prog_236[[#This Row],[ADIANTAMENTO]]+Prog_236[[#This Row],[SALDO]]+Prog_236[[#This Row],[MARGEM]]+Prog_236[[#This Row],[ESTADIA 1]])</f>
        <v>0</v>
      </c>
      <c r="AW5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5" s="81"/>
      <c r="AY525" s="81"/>
      <c r="AZ525" s="81">
        <f>Prog_236[[#This Row],[VLR NF]]*0.1%</f>
        <v>0</v>
      </c>
      <c r="BA525" s="81">
        <f>Prog_236[[#This Row],[VLR NF]]*0.05%</f>
        <v>0</v>
      </c>
      <c r="BB525" s="81"/>
      <c r="BC525" s="81"/>
      <c r="BD525" s="81"/>
      <c r="BE525" s="81"/>
      <c r="BF525" s="81"/>
      <c r="BG525" s="81"/>
      <c r="BH525" s="81"/>
      <c r="BI525" s="81"/>
      <c r="BJ525" s="81"/>
      <c r="BK525" s="81"/>
      <c r="BL525" s="66"/>
      <c r="BM525" s="66"/>
      <c r="BN525" s="66"/>
      <c r="BO525" s="66" t="str">
        <f>PROPER(TEXT(Prog_236[[#This Row],[PROGRAMAÇÃO CLIENTE]],"mmm"))</f>
        <v>Jan</v>
      </c>
      <c r="BP525" s="66">
        <f>YEAR(Prog_236[[#This Row],[PROGRAMAÇÃO CLIENTE]])</f>
        <v>1900</v>
      </c>
    </row>
    <row r="526" spans="1:68" x14ac:dyDescent="0.25">
      <c r="A526" s="201">
        <f>Prog_236[[#This Row],[CONTEINER]]</f>
        <v>0</v>
      </c>
      <c r="B526" s="86"/>
      <c r="C5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6" s="44"/>
      <c r="E526" s="66"/>
      <c r="F526" s="66"/>
      <c r="G526" s="66"/>
      <c r="H526" s="44"/>
      <c r="I526" s="44"/>
      <c r="J526" s="66"/>
      <c r="K526" s="66"/>
      <c r="L526" s="66"/>
      <c r="M526" s="66"/>
      <c r="N526" s="66">
        <f>SUM(Prog_236[[#This Row],[TARA]]+Prog_236[[#This Row],[PESO]])</f>
        <v>0</v>
      </c>
      <c r="O526" s="44"/>
      <c r="P526" s="66"/>
      <c r="Q526" s="66"/>
      <c r="R526" s="66"/>
      <c r="S526" s="66"/>
      <c r="T526" s="138" t="str">
        <f>IFERROR(LOOKUP($S526,MOTORISTAS!$D$3:$D$1048576,MOTORISTAS!E$3:$E$1048576),"")</f>
        <v/>
      </c>
      <c r="U526" s="138" t="str">
        <f>IFERROR(LOOKUP($S526,MOTORISTAS!$D$3:$D$1048576,MOTORISTAS!F$3:$F$1048576),"")</f>
        <v/>
      </c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44"/>
      <c r="AG526" s="254">
        <f>Prog_236[[#This Row],[SAÍDA DO CLIENTE]]-Prog_236[[#This Row],[PROGRAMAÇÃO CLIENTE]]</f>
        <v>0</v>
      </c>
      <c r="AH526" s="44"/>
      <c r="AI526" s="66"/>
      <c r="AJ526" s="66"/>
      <c r="AK526" s="66"/>
      <c r="AL526" s="66"/>
      <c r="AM526" s="66"/>
      <c r="AN526" s="83"/>
      <c r="AO526" s="66"/>
      <c r="AP526" s="66"/>
      <c r="AQ526" s="66"/>
      <c r="AR526" s="81"/>
      <c r="AS526" s="81"/>
      <c r="AT526" s="81"/>
      <c r="AU526" s="81"/>
      <c r="AV526" s="83">
        <f>SUM(Prog_236[[#This Row],[ADIANTAMENTO]]+Prog_236[[#This Row],[SALDO]]+Prog_236[[#This Row],[MARGEM]]+Prog_236[[#This Row],[ESTADIA 1]])</f>
        <v>0</v>
      </c>
      <c r="AW5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6" s="81"/>
      <c r="AY526" s="81"/>
      <c r="AZ526" s="81">
        <f>Prog_236[[#This Row],[VLR NF]]*0.1%</f>
        <v>0</v>
      </c>
      <c r="BA526" s="81">
        <f>Prog_236[[#This Row],[VLR NF]]*0.05%</f>
        <v>0</v>
      </c>
      <c r="BB526" s="81"/>
      <c r="BC526" s="81"/>
      <c r="BD526" s="81"/>
      <c r="BE526" s="81"/>
      <c r="BF526" s="81"/>
      <c r="BG526" s="81"/>
      <c r="BH526" s="81"/>
      <c r="BI526" s="81"/>
      <c r="BJ526" s="81"/>
      <c r="BK526" s="81"/>
      <c r="BL526" s="66"/>
      <c r="BM526" s="66"/>
      <c r="BN526" s="66"/>
      <c r="BO526" s="66" t="str">
        <f>PROPER(TEXT(Prog_236[[#This Row],[PROGRAMAÇÃO CLIENTE]],"mmm"))</f>
        <v>Jan</v>
      </c>
      <c r="BP526" s="66">
        <f>YEAR(Prog_236[[#This Row],[PROGRAMAÇÃO CLIENTE]])</f>
        <v>1900</v>
      </c>
    </row>
    <row r="527" spans="1:68" x14ac:dyDescent="0.25">
      <c r="A527" s="200">
        <f>Prog_236[[#This Row],[CONTEINER]]</f>
        <v>0</v>
      </c>
      <c r="B527" s="86"/>
      <c r="C5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7" s="44"/>
      <c r="E527" s="66"/>
      <c r="F527" s="66"/>
      <c r="G527" s="66"/>
      <c r="H527" s="44"/>
      <c r="I527" s="44"/>
      <c r="J527" s="66"/>
      <c r="K527" s="66"/>
      <c r="L527" s="66"/>
      <c r="M527" s="66"/>
      <c r="N527" s="66">
        <f>SUM(Prog_236[[#This Row],[TARA]]+Prog_236[[#This Row],[PESO]])</f>
        <v>0</v>
      </c>
      <c r="O527" s="44"/>
      <c r="P527" s="66"/>
      <c r="Q527" s="66"/>
      <c r="R527" s="66"/>
      <c r="S527" s="66"/>
      <c r="T527" s="138" t="str">
        <f>IFERROR(LOOKUP($S527,MOTORISTAS!$D$3:$D$1048576,MOTORISTAS!E$3:$E$1048576),"")</f>
        <v/>
      </c>
      <c r="U527" s="138" t="str">
        <f>IFERROR(LOOKUP($S527,MOTORISTAS!$D$3:$D$1048576,MOTORISTAS!F$3:$F$1048576),"")</f>
        <v/>
      </c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44"/>
      <c r="AG527" s="254">
        <f>Prog_236[[#This Row],[SAÍDA DO CLIENTE]]-Prog_236[[#This Row],[PROGRAMAÇÃO CLIENTE]]</f>
        <v>0</v>
      </c>
      <c r="AH527" s="44"/>
      <c r="AI527" s="66"/>
      <c r="AJ527" s="66"/>
      <c r="AK527" s="66"/>
      <c r="AL527" s="66"/>
      <c r="AM527" s="66"/>
      <c r="AN527" s="83"/>
      <c r="AO527" s="66"/>
      <c r="AP527" s="66"/>
      <c r="AQ527" s="66"/>
      <c r="AR527" s="81"/>
      <c r="AS527" s="81"/>
      <c r="AT527" s="81"/>
      <c r="AU527" s="81"/>
      <c r="AV527" s="83">
        <f>SUM(Prog_236[[#This Row],[ADIANTAMENTO]]+Prog_236[[#This Row],[SALDO]]+Prog_236[[#This Row],[MARGEM]]+Prog_236[[#This Row],[ESTADIA 1]])</f>
        <v>0</v>
      </c>
      <c r="AW5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7" s="81"/>
      <c r="AY527" s="81"/>
      <c r="AZ527" s="81">
        <f>Prog_236[[#This Row],[VLR NF]]*0.1%</f>
        <v>0</v>
      </c>
      <c r="BA527" s="81">
        <f>Prog_236[[#This Row],[VLR NF]]*0.05%</f>
        <v>0</v>
      </c>
      <c r="BB527" s="81"/>
      <c r="BC527" s="81"/>
      <c r="BD527" s="81"/>
      <c r="BE527" s="81"/>
      <c r="BF527" s="81"/>
      <c r="BG527" s="81"/>
      <c r="BH527" s="81"/>
      <c r="BI527" s="81"/>
      <c r="BJ527" s="81"/>
      <c r="BK527" s="81"/>
      <c r="BL527" s="66"/>
      <c r="BM527" s="66"/>
      <c r="BN527" s="66"/>
      <c r="BO527" s="66" t="str">
        <f>PROPER(TEXT(Prog_236[[#This Row],[PROGRAMAÇÃO CLIENTE]],"mmm"))</f>
        <v>Jan</v>
      </c>
      <c r="BP527" s="66">
        <f>YEAR(Prog_236[[#This Row],[PROGRAMAÇÃO CLIENTE]])</f>
        <v>1900</v>
      </c>
    </row>
    <row r="528" spans="1:68" x14ac:dyDescent="0.25">
      <c r="A528" s="201">
        <f>Prog_236[[#This Row],[CONTEINER]]</f>
        <v>0</v>
      </c>
      <c r="B528" s="86"/>
      <c r="C5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8" s="44"/>
      <c r="E528" s="66"/>
      <c r="F528" s="66"/>
      <c r="G528" s="66"/>
      <c r="H528" s="44"/>
      <c r="I528" s="44"/>
      <c r="J528" s="66"/>
      <c r="K528" s="66"/>
      <c r="L528" s="66"/>
      <c r="M528" s="66"/>
      <c r="N528" s="66">
        <f>SUM(Prog_236[[#This Row],[TARA]]+Prog_236[[#This Row],[PESO]])</f>
        <v>0</v>
      </c>
      <c r="O528" s="44"/>
      <c r="P528" s="66"/>
      <c r="Q528" s="66"/>
      <c r="R528" s="66"/>
      <c r="S528" s="66"/>
      <c r="T528" s="138" t="str">
        <f>IFERROR(LOOKUP($S528,MOTORISTAS!$D$3:$D$1048576,MOTORISTAS!E$3:$E$1048576),"")</f>
        <v/>
      </c>
      <c r="U528" s="138" t="str">
        <f>IFERROR(LOOKUP($S528,MOTORISTAS!$D$3:$D$1048576,MOTORISTAS!F$3:$F$1048576),"")</f>
        <v/>
      </c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44"/>
      <c r="AG528" s="254">
        <f>Prog_236[[#This Row],[SAÍDA DO CLIENTE]]-Prog_236[[#This Row],[PROGRAMAÇÃO CLIENTE]]</f>
        <v>0</v>
      </c>
      <c r="AH528" s="44"/>
      <c r="AI528" s="66"/>
      <c r="AJ528" s="66"/>
      <c r="AK528" s="66"/>
      <c r="AL528" s="66"/>
      <c r="AM528" s="66"/>
      <c r="AN528" s="83"/>
      <c r="AO528" s="66"/>
      <c r="AP528" s="66"/>
      <c r="AQ528" s="66"/>
      <c r="AR528" s="81"/>
      <c r="AS528" s="81"/>
      <c r="AT528" s="81"/>
      <c r="AU528" s="81"/>
      <c r="AV528" s="83">
        <f>SUM(Prog_236[[#This Row],[ADIANTAMENTO]]+Prog_236[[#This Row],[SALDO]]+Prog_236[[#This Row],[MARGEM]]+Prog_236[[#This Row],[ESTADIA 1]])</f>
        <v>0</v>
      </c>
      <c r="AW5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8" s="81"/>
      <c r="AY528" s="81"/>
      <c r="AZ528" s="81">
        <f>Prog_236[[#This Row],[VLR NF]]*0.1%</f>
        <v>0</v>
      </c>
      <c r="BA528" s="81">
        <f>Prog_236[[#This Row],[VLR NF]]*0.05%</f>
        <v>0</v>
      </c>
      <c r="BB528" s="81"/>
      <c r="BC528" s="81"/>
      <c r="BD528" s="81"/>
      <c r="BE528" s="81"/>
      <c r="BF528" s="81"/>
      <c r="BG528" s="81"/>
      <c r="BH528" s="81"/>
      <c r="BI528" s="81"/>
      <c r="BJ528" s="81"/>
      <c r="BK528" s="81"/>
      <c r="BL528" s="66"/>
      <c r="BM528" s="66"/>
      <c r="BN528" s="66"/>
      <c r="BO528" s="66" t="str">
        <f>PROPER(TEXT(Prog_236[[#This Row],[PROGRAMAÇÃO CLIENTE]],"mmm"))</f>
        <v>Jan</v>
      </c>
      <c r="BP528" s="66">
        <f>YEAR(Prog_236[[#This Row],[PROGRAMAÇÃO CLIENTE]])</f>
        <v>1900</v>
      </c>
    </row>
    <row r="529" spans="1:68" x14ac:dyDescent="0.25">
      <c r="A529" s="200">
        <f>Prog_236[[#This Row],[CONTEINER]]</f>
        <v>0</v>
      </c>
      <c r="B529" s="86"/>
      <c r="C5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29" s="44"/>
      <c r="E529" s="66"/>
      <c r="F529" s="66"/>
      <c r="G529" s="66"/>
      <c r="H529" s="44"/>
      <c r="I529" s="44"/>
      <c r="J529" s="66"/>
      <c r="K529" s="66"/>
      <c r="L529" s="66"/>
      <c r="M529" s="66"/>
      <c r="N529" s="66">
        <f>SUM(Prog_236[[#This Row],[TARA]]+Prog_236[[#This Row],[PESO]])</f>
        <v>0</v>
      </c>
      <c r="O529" s="44"/>
      <c r="P529" s="66"/>
      <c r="Q529" s="66"/>
      <c r="R529" s="66"/>
      <c r="S529" s="66"/>
      <c r="T529" s="138" t="str">
        <f>IFERROR(LOOKUP($S529,MOTORISTAS!$D$3:$D$1048576,MOTORISTAS!E$3:$E$1048576),"")</f>
        <v/>
      </c>
      <c r="U529" s="138" t="str">
        <f>IFERROR(LOOKUP($S529,MOTORISTAS!$D$3:$D$1048576,MOTORISTAS!F$3:$F$1048576),"")</f>
        <v/>
      </c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44"/>
      <c r="AG529" s="254">
        <f>Prog_236[[#This Row],[SAÍDA DO CLIENTE]]-Prog_236[[#This Row],[PROGRAMAÇÃO CLIENTE]]</f>
        <v>0</v>
      </c>
      <c r="AH529" s="44"/>
      <c r="AI529" s="66"/>
      <c r="AJ529" s="66"/>
      <c r="AK529" s="66"/>
      <c r="AL529" s="66"/>
      <c r="AM529" s="66"/>
      <c r="AN529" s="83"/>
      <c r="AO529" s="66"/>
      <c r="AP529" s="66"/>
      <c r="AQ529" s="66"/>
      <c r="AR529" s="81"/>
      <c r="AS529" s="81"/>
      <c r="AT529" s="81"/>
      <c r="AU529" s="81"/>
      <c r="AV529" s="83">
        <f>SUM(Prog_236[[#This Row],[ADIANTAMENTO]]+Prog_236[[#This Row],[SALDO]]+Prog_236[[#This Row],[MARGEM]]+Prog_236[[#This Row],[ESTADIA 1]])</f>
        <v>0</v>
      </c>
      <c r="AW5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29" s="81"/>
      <c r="AY529" s="81"/>
      <c r="AZ529" s="81">
        <f>Prog_236[[#This Row],[VLR NF]]*0.1%</f>
        <v>0</v>
      </c>
      <c r="BA529" s="81">
        <f>Prog_236[[#This Row],[VLR NF]]*0.05%</f>
        <v>0</v>
      </c>
      <c r="BB529" s="81"/>
      <c r="BC529" s="81"/>
      <c r="BD529" s="81"/>
      <c r="BE529" s="81"/>
      <c r="BF529" s="81"/>
      <c r="BG529" s="81"/>
      <c r="BH529" s="81"/>
      <c r="BI529" s="81"/>
      <c r="BJ529" s="81"/>
      <c r="BK529" s="81"/>
      <c r="BL529" s="66"/>
      <c r="BM529" s="66"/>
      <c r="BN529" s="66"/>
      <c r="BO529" s="66" t="str">
        <f>PROPER(TEXT(Prog_236[[#This Row],[PROGRAMAÇÃO CLIENTE]],"mmm"))</f>
        <v>Jan</v>
      </c>
      <c r="BP529" s="66">
        <f>YEAR(Prog_236[[#This Row],[PROGRAMAÇÃO CLIENTE]])</f>
        <v>1900</v>
      </c>
    </row>
    <row r="530" spans="1:68" x14ac:dyDescent="0.25">
      <c r="A530" s="201">
        <f>Prog_236[[#This Row],[CONTEINER]]</f>
        <v>0</v>
      </c>
      <c r="B530" s="86"/>
      <c r="C5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0" s="44"/>
      <c r="E530" s="66"/>
      <c r="F530" s="66"/>
      <c r="G530" s="66"/>
      <c r="H530" s="44"/>
      <c r="I530" s="44"/>
      <c r="J530" s="66"/>
      <c r="K530" s="66"/>
      <c r="L530" s="66"/>
      <c r="M530" s="66"/>
      <c r="N530" s="66">
        <f>SUM(Prog_236[[#This Row],[TARA]]+Prog_236[[#This Row],[PESO]])</f>
        <v>0</v>
      </c>
      <c r="O530" s="44"/>
      <c r="P530" s="66"/>
      <c r="Q530" s="66"/>
      <c r="R530" s="66"/>
      <c r="S530" s="66"/>
      <c r="T530" s="138" t="str">
        <f>IFERROR(LOOKUP($S530,MOTORISTAS!$D$3:$D$1048576,MOTORISTAS!E$3:$E$1048576),"")</f>
        <v/>
      </c>
      <c r="U530" s="138" t="str">
        <f>IFERROR(LOOKUP($S530,MOTORISTAS!$D$3:$D$1048576,MOTORISTAS!F$3:$F$1048576),"")</f>
        <v/>
      </c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44"/>
      <c r="AG530" s="254">
        <f>Prog_236[[#This Row],[SAÍDA DO CLIENTE]]-Prog_236[[#This Row],[PROGRAMAÇÃO CLIENTE]]</f>
        <v>0</v>
      </c>
      <c r="AH530" s="44"/>
      <c r="AI530" s="66"/>
      <c r="AJ530" s="66"/>
      <c r="AK530" s="66"/>
      <c r="AL530" s="66"/>
      <c r="AM530" s="66"/>
      <c r="AN530" s="83"/>
      <c r="AO530" s="66"/>
      <c r="AP530" s="66"/>
      <c r="AQ530" s="66"/>
      <c r="AR530" s="81"/>
      <c r="AS530" s="81"/>
      <c r="AT530" s="81"/>
      <c r="AU530" s="81"/>
      <c r="AV530" s="83">
        <f>SUM(Prog_236[[#This Row],[ADIANTAMENTO]]+Prog_236[[#This Row],[SALDO]]+Prog_236[[#This Row],[MARGEM]]+Prog_236[[#This Row],[ESTADIA 1]])</f>
        <v>0</v>
      </c>
      <c r="AW5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0" s="81"/>
      <c r="AY530" s="81"/>
      <c r="AZ530" s="81">
        <f>Prog_236[[#This Row],[VLR NF]]*0.1%</f>
        <v>0</v>
      </c>
      <c r="BA530" s="81">
        <f>Prog_236[[#This Row],[VLR NF]]*0.05%</f>
        <v>0</v>
      </c>
      <c r="BB530" s="81"/>
      <c r="BC530" s="81"/>
      <c r="BD530" s="81"/>
      <c r="BE530" s="81"/>
      <c r="BF530" s="81"/>
      <c r="BG530" s="81"/>
      <c r="BH530" s="81"/>
      <c r="BI530" s="81"/>
      <c r="BJ530" s="81"/>
      <c r="BK530" s="81"/>
      <c r="BL530" s="66"/>
      <c r="BM530" s="66"/>
      <c r="BN530" s="66"/>
      <c r="BO530" s="66" t="str">
        <f>PROPER(TEXT(Prog_236[[#This Row],[PROGRAMAÇÃO CLIENTE]],"mmm"))</f>
        <v>Jan</v>
      </c>
      <c r="BP530" s="66">
        <f>YEAR(Prog_236[[#This Row],[PROGRAMAÇÃO CLIENTE]])</f>
        <v>1900</v>
      </c>
    </row>
    <row r="531" spans="1:68" x14ac:dyDescent="0.25">
      <c r="A531" s="200">
        <f>Prog_236[[#This Row],[CONTEINER]]</f>
        <v>0</v>
      </c>
      <c r="B531" s="86"/>
      <c r="C5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1" s="44"/>
      <c r="E531" s="66"/>
      <c r="F531" s="66"/>
      <c r="G531" s="66"/>
      <c r="H531" s="44"/>
      <c r="I531" s="44"/>
      <c r="J531" s="66"/>
      <c r="K531" s="66"/>
      <c r="L531" s="66"/>
      <c r="M531" s="66"/>
      <c r="N531" s="66">
        <f>SUM(Prog_236[[#This Row],[TARA]]+Prog_236[[#This Row],[PESO]])</f>
        <v>0</v>
      </c>
      <c r="O531" s="44"/>
      <c r="P531" s="66"/>
      <c r="Q531" s="66"/>
      <c r="R531" s="66"/>
      <c r="S531" s="66"/>
      <c r="T531" s="138" t="str">
        <f>IFERROR(LOOKUP($S531,MOTORISTAS!$D$3:$D$1048576,MOTORISTAS!E$3:$E$1048576),"")</f>
        <v/>
      </c>
      <c r="U531" s="138" t="str">
        <f>IFERROR(LOOKUP($S531,MOTORISTAS!$D$3:$D$1048576,MOTORISTAS!F$3:$F$1048576),"")</f>
        <v/>
      </c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44"/>
      <c r="AG531" s="254">
        <f>Prog_236[[#This Row],[SAÍDA DO CLIENTE]]-Prog_236[[#This Row],[PROGRAMAÇÃO CLIENTE]]</f>
        <v>0</v>
      </c>
      <c r="AH531" s="44"/>
      <c r="AI531" s="66"/>
      <c r="AJ531" s="66"/>
      <c r="AK531" s="66"/>
      <c r="AL531" s="66"/>
      <c r="AM531" s="66"/>
      <c r="AN531" s="83"/>
      <c r="AO531" s="66"/>
      <c r="AP531" s="66"/>
      <c r="AQ531" s="66"/>
      <c r="AR531" s="81"/>
      <c r="AS531" s="81"/>
      <c r="AT531" s="81"/>
      <c r="AU531" s="81"/>
      <c r="AV531" s="83">
        <f>SUM(Prog_236[[#This Row],[ADIANTAMENTO]]+Prog_236[[#This Row],[SALDO]]+Prog_236[[#This Row],[MARGEM]]+Prog_236[[#This Row],[ESTADIA 1]])</f>
        <v>0</v>
      </c>
      <c r="AW5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1" s="81"/>
      <c r="AY531" s="81"/>
      <c r="AZ531" s="81">
        <f>Prog_236[[#This Row],[VLR NF]]*0.1%</f>
        <v>0</v>
      </c>
      <c r="BA531" s="81">
        <f>Prog_236[[#This Row],[VLR NF]]*0.05%</f>
        <v>0</v>
      </c>
      <c r="BB531" s="81"/>
      <c r="BC531" s="81"/>
      <c r="BD531" s="81"/>
      <c r="BE531" s="81"/>
      <c r="BF531" s="81"/>
      <c r="BG531" s="81"/>
      <c r="BH531" s="81"/>
      <c r="BI531" s="81"/>
      <c r="BJ531" s="81"/>
      <c r="BK531" s="81"/>
      <c r="BL531" s="66"/>
      <c r="BM531" s="66"/>
      <c r="BN531" s="66"/>
      <c r="BO531" s="66" t="str">
        <f>PROPER(TEXT(Prog_236[[#This Row],[PROGRAMAÇÃO CLIENTE]],"mmm"))</f>
        <v>Jan</v>
      </c>
      <c r="BP531" s="66">
        <f>YEAR(Prog_236[[#This Row],[PROGRAMAÇÃO CLIENTE]])</f>
        <v>1900</v>
      </c>
    </row>
    <row r="532" spans="1:68" x14ac:dyDescent="0.25">
      <c r="A532" s="201">
        <f>Prog_236[[#This Row],[CONTEINER]]</f>
        <v>0</v>
      </c>
      <c r="B532" s="86"/>
      <c r="C5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2" s="44"/>
      <c r="E532" s="66"/>
      <c r="F532" s="66"/>
      <c r="G532" s="66"/>
      <c r="H532" s="44"/>
      <c r="I532" s="44"/>
      <c r="J532" s="66"/>
      <c r="K532" s="66"/>
      <c r="L532" s="66"/>
      <c r="M532" s="66"/>
      <c r="N532" s="66">
        <f>SUM(Prog_236[[#This Row],[TARA]]+Prog_236[[#This Row],[PESO]])</f>
        <v>0</v>
      </c>
      <c r="O532" s="44"/>
      <c r="P532" s="66"/>
      <c r="Q532" s="66"/>
      <c r="R532" s="66"/>
      <c r="S532" s="66"/>
      <c r="T532" s="138" t="str">
        <f>IFERROR(LOOKUP($S532,MOTORISTAS!$D$3:$D$1048576,MOTORISTAS!E$3:$E$1048576),"")</f>
        <v/>
      </c>
      <c r="U532" s="138" t="str">
        <f>IFERROR(LOOKUP($S532,MOTORISTAS!$D$3:$D$1048576,MOTORISTAS!F$3:$F$1048576),"")</f>
        <v/>
      </c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44"/>
      <c r="AG532" s="254">
        <f>Prog_236[[#This Row],[SAÍDA DO CLIENTE]]-Prog_236[[#This Row],[PROGRAMAÇÃO CLIENTE]]</f>
        <v>0</v>
      </c>
      <c r="AH532" s="44"/>
      <c r="AI532" s="66"/>
      <c r="AJ532" s="66"/>
      <c r="AK532" s="66"/>
      <c r="AL532" s="66"/>
      <c r="AM532" s="66"/>
      <c r="AN532" s="83"/>
      <c r="AO532" s="66"/>
      <c r="AP532" s="66"/>
      <c r="AQ532" s="66"/>
      <c r="AR532" s="81"/>
      <c r="AS532" s="81"/>
      <c r="AT532" s="81"/>
      <c r="AU532" s="81"/>
      <c r="AV532" s="83">
        <f>SUM(Prog_236[[#This Row],[ADIANTAMENTO]]+Prog_236[[#This Row],[SALDO]]+Prog_236[[#This Row],[MARGEM]]+Prog_236[[#This Row],[ESTADIA 1]])</f>
        <v>0</v>
      </c>
      <c r="AW5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2" s="81"/>
      <c r="AY532" s="81"/>
      <c r="AZ532" s="81">
        <f>Prog_236[[#This Row],[VLR NF]]*0.1%</f>
        <v>0</v>
      </c>
      <c r="BA532" s="81">
        <f>Prog_236[[#This Row],[VLR NF]]*0.05%</f>
        <v>0</v>
      </c>
      <c r="BB532" s="81"/>
      <c r="BC532" s="81"/>
      <c r="BD532" s="81"/>
      <c r="BE532" s="81"/>
      <c r="BF532" s="81"/>
      <c r="BG532" s="81"/>
      <c r="BH532" s="81"/>
      <c r="BI532" s="81"/>
      <c r="BJ532" s="81"/>
      <c r="BK532" s="81"/>
      <c r="BL532" s="66"/>
      <c r="BM532" s="66"/>
      <c r="BN532" s="66"/>
      <c r="BO532" s="66" t="str">
        <f>PROPER(TEXT(Prog_236[[#This Row],[PROGRAMAÇÃO CLIENTE]],"mmm"))</f>
        <v>Jan</v>
      </c>
      <c r="BP532" s="66">
        <f>YEAR(Prog_236[[#This Row],[PROGRAMAÇÃO CLIENTE]])</f>
        <v>1900</v>
      </c>
    </row>
    <row r="533" spans="1:68" x14ac:dyDescent="0.25">
      <c r="A533" s="200">
        <f>Prog_236[[#This Row],[CONTEINER]]</f>
        <v>0</v>
      </c>
      <c r="B533" s="86"/>
      <c r="C5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3" s="44"/>
      <c r="E533" s="66"/>
      <c r="F533" s="66"/>
      <c r="G533" s="66"/>
      <c r="H533" s="44"/>
      <c r="I533" s="44"/>
      <c r="J533" s="66"/>
      <c r="K533" s="66"/>
      <c r="L533" s="66"/>
      <c r="M533" s="66"/>
      <c r="N533" s="66">
        <f>SUM(Prog_236[[#This Row],[TARA]]+Prog_236[[#This Row],[PESO]])</f>
        <v>0</v>
      </c>
      <c r="O533" s="44"/>
      <c r="P533" s="66"/>
      <c r="Q533" s="66"/>
      <c r="R533" s="66"/>
      <c r="S533" s="66"/>
      <c r="T533" s="138" t="str">
        <f>IFERROR(LOOKUP($S533,MOTORISTAS!$D$3:$D$1048576,MOTORISTAS!E$3:$E$1048576),"")</f>
        <v/>
      </c>
      <c r="U533" s="138" t="str">
        <f>IFERROR(LOOKUP($S533,MOTORISTAS!$D$3:$D$1048576,MOTORISTAS!F$3:$F$1048576),"")</f>
        <v/>
      </c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44"/>
      <c r="AG533" s="254">
        <f>Prog_236[[#This Row],[SAÍDA DO CLIENTE]]-Prog_236[[#This Row],[PROGRAMAÇÃO CLIENTE]]</f>
        <v>0</v>
      </c>
      <c r="AH533" s="44"/>
      <c r="AI533" s="66"/>
      <c r="AJ533" s="66"/>
      <c r="AK533" s="66"/>
      <c r="AL533" s="66"/>
      <c r="AM533" s="66"/>
      <c r="AN533" s="83"/>
      <c r="AO533" s="66"/>
      <c r="AP533" s="66"/>
      <c r="AQ533" s="66"/>
      <c r="AR533" s="81"/>
      <c r="AS533" s="81"/>
      <c r="AT533" s="81"/>
      <c r="AU533" s="81"/>
      <c r="AV533" s="83">
        <f>SUM(Prog_236[[#This Row],[ADIANTAMENTO]]+Prog_236[[#This Row],[SALDO]]+Prog_236[[#This Row],[MARGEM]]+Prog_236[[#This Row],[ESTADIA 1]])</f>
        <v>0</v>
      </c>
      <c r="AW5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3" s="81"/>
      <c r="AY533" s="81"/>
      <c r="AZ533" s="81">
        <f>Prog_236[[#This Row],[VLR NF]]*0.1%</f>
        <v>0</v>
      </c>
      <c r="BA533" s="81">
        <f>Prog_236[[#This Row],[VLR NF]]*0.05%</f>
        <v>0</v>
      </c>
      <c r="BB533" s="81"/>
      <c r="BC533" s="81"/>
      <c r="BD533" s="81"/>
      <c r="BE533" s="81"/>
      <c r="BF533" s="81"/>
      <c r="BG533" s="81"/>
      <c r="BH533" s="81"/>
      <c r="BI533" s="81"/>
      <c r="BJ533" s="81"/>
      <c r="BK533" s="81"/>
      <c r="BL533" s="66"/>
      <c r="BM533" s="66"/>
      <c r="BN533" s="66"/>
      <c r="BO533" s="66" t="str">
        <f>PROPER(TEXT(Prog_236[[#This Row],[PROGRAMAÇÃO CLIENTE]],"mmm"))</f>
        <v>Jan</v>
      </c>
      <c r="BP533" s="66">
        <f>YEAR(Prog_236[[#This Row],[PROGRAMAÇÃO CLIENTE]])</f>
        <v>1900</v>
      </c>
    </row>
    <row r="534" spans="1:68" x14ac:dyDescent="0.25">
      <c r="A534" s="201">
        <f>Prog_236[[#This Row],[CONTEINER]]</f>
        <v>0</v>
      </c>
      <c r="B534" s="86"/>
      <c r="C5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4" s="44"/>
      <c r="E534" s="66"/>
      <c r="F534" s="66"/>
      <c r="G534" s="66"/>
      <c r="H534" s="44"/>
      <c r="I534" s="44"/>
      <c r="J534" s="66"/>
      <c r="K534" s="66"/>
      <c r="L534" s="66"/>
      <c r="M534" s="66"/>
      <c r="N534" s="66">
        <f>SUM(Prog_236[[#This Row],[TARA]]+Prog_236[[#This Row],[PESO]])</f>
        <v>0</v>
      </c>
      <c r="O534" s="44"/>
      <c r="P534" s="66"/>
      <c r="Q534" s="66"/>
      <c r="R534" s="66"/>
      <c r="S534" s="66"/>
      <c r="T534" s="138" t="str">
        <f>IFERROR(LOOKUP($S534,MOTORISTAS!$D$3:$D$1048576,MOTORISTAS!E$3:$E$1048576),"")</f>
        <v/>
      </c>
      <c r="U534" s="138" t="str">
        <f>IFERROR(LOOKUP($S534,MOTORISTAS!$D$3:$D$1048576,MOTORISTAS!F$3:$F$1048576),"")</f>
        <v/>
      </c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44"/>
      <c r="AG534" s="254">
        <f>Prog_236[[#This Row],[SAÍDA DO CLIENTE]]-Prog_236[[#This Row],[PROGRAMAÇÃO CLIENTE]]</f>
        <v>0</v>
      </c>
      <c r="AH534" s="44"/>
      <c r="AI534" s="66"/>
      <c r="AJ534" s="66"/>
      <c r="AK534" s="66"/>
      <c r="AL534" s="66"/>
      <c r="AM534" s="66"/>
      <c r="AN534" s="83"/>
      <c r="AO534" s="66"/>
      <c r="AP534" s="66"/>
      <c r="AQ534" s="66"/>
      <c r="AR534" s="81"/>
      <c r="AS534" s="81"/>
      <c r="AT534" s="81"/>
      <c r="AU534" s="81"/>
      <c r="AV534" s="83">
        <f>SUM(Prog_236[[#This Row],[ADIANTAMENTO]]+Prog_236[[#This Row],[SALDO]]+Prog_236[[#This Row],[MARGEM]]+Prog_236[[#This Row],[ESTADIA 1]])</f>
        <v>0</v>
      </c>
      <c r="AW5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4" s="81"/>
      <c r="AY534" s="81"/>
      <c r="AZ534" s="81">
        <f>Prog_236[[#This Row],[VLR NF]]*0.1%</f>
        <v>0</v>
      </c>
      <c r="BA534" s="81">
        <f>Prog_236[[#This Row],[VLR NF]]*0.05%</f>
        <v>0</v>
      </c>
      <c r="BB534" s="81"/>
      <c r="BC534" s="81"/>
      <c r="BD534" s="81"/>
      <c r="BE534" s="81"/>
      <c r="BF534" s="81"/>
      <c r="BG534" s="81"/>
      <c r="BH534" s="81"/>
      <c r="BI534" s="81"/>
      <c r="BJ534" s="81"/>
      <c r="BK534" s="81"/>
      <c r="BL534" s="66"/>
      <c r="BM534" s="66"/>
      <c r="BN534" s="66"/>
      <c r="BO534" s="66" t="str">
        <f>PROPER(TEXT(Prog_236[[#This Row],[PROGRAMAÇÃO CLIENTE]],"mmm"))</f>
        <v>Jan</v>
      </c>
      <c r="BP534" s="66">
        <f>YEAR(Prog_236[[#This Row],[PROGRAMAÇÃO CLIENTE]])</f>
        <v>1900</v>
      </c>
    </row>
    <row r="535" spans="1:68" x14ac:dyDescent="0.25">
      <c r="A535" s="200">
        <f>Prog_236[[#This Row],[CONTEINER]]</f>
        <v>0</v>
      </c>
      <c r="B535" s="86"/>
      <c r="C5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5" s="44"/>
      <c r="E535" s="66"/>
      <c r="F535" s="66"/>
      <c r="G535" s="66"/>
      <c r="H535" s="44"/>
      <c r="I535" s="44"/>
      <c r="J535" s="66"/>
      <c r="K535" s="66"/>
      <c r="L535" s="66"/>
      <c r="M535" s="66"/>
      <c r="N535" s="66">
        <f>SUM(Prog_236[[#This Row],[TARA]]+Prog_236[[#This Row],[PESO]])</f>
        <v>0</v>
      </c>
      <c r="O535" s="44"/>
      <c r="P535" s="66"/>
      <c r="Q535" s="66"/>
      <c r="R535" s="66"/>
      <c r="S535" s="66"/>
      <c r="T535" s="138" t="str">
        <f>IFERROR(LOOKUP($S535,MOTORISTAS!$D$3:$D$1048576,MOTORISTAS!E$3:$E$1048576),"")</f>
        <v/>
      </c>
      <c r="U535" s="138" t="str">
        <f>IFERROR(LOOKUP($S535,MOTORISTAS!$D$3:$D$1048576,MOTORISTAS!F$3:$F$1048576),"")</f>
        <v/>
      </c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44"/>
      <c r="AG535" s="254">
        <f>Prog_236[[#This Row],[SAÍDA DO CLIENTE]]-Prog_236[[#This Row],[PROGRAMAÇÃO CLIENTE]]</f>
        <v>0</v>
      </c>
      <c r="AH535" s="44"/>
      <c r="AI535" s="66"/>
      <c r="AJ535" s="66"/>
      <c r="AK535" s="66"/>
      <c r="AL535" s="66"/>
      <c r="AM535" s="66"/>
      <c r="AN535" s="83"/>
      <c r="AO535" s="66"/>
      <c r="AP535" s="66"/>
      <c r="AQ535" s="66"/>
      <c r="AR535" s="81"/>
      <c r="AS535" s="81"/>
      <c r="AT535" s="81"/>
      <c r="AU535" s="81"/>
      <c r="AV535" s="83">
        <f>SUM(Prog_236[[#This Row],[ADIANTAMENTO]]+Prog_236[[#This Row],[SALDO]]+Prog_236[[#This Row],[MARGEM]]+Prog_236[[#This Row],[ESTADIA 1]])</f>
        <v>0</v>
      </c>
      <c r="AW5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5" s="81"/>
      <c r="AY535" s="81"/>
      <c r="AZ535" s="81">
        <f>Prog_236[[#This Row],[VLR NF]]*0.1%</f>
        <v>0</v>
      </c>
      <c r="BA535" s="81">
        <f>Prog_236[[#This Row],[VLR NF]]*0.05%</f>
        <v>0</v>
      </c>
      <c r="BB535" s="81"/>
      <c r="BC535" s="81"/>
      <c r="BD535" s="81"/>
      <c r="BE535" s="81"/>
      <c r="BF535" s="81"/>
      <c r="BG535" s="81"/>
      <c r="BH535" s="81"/>
      <c r="BI535" s="81"/>
      <c r="BJ535" s="81"/>
      <c r="BK535" s="81"/>
      <c r="BL535" s="66"/>
      <c r="BM535" s="66"/>
      <c r="BN535" s="66"/>
      <c r="BO535" s="66" t="str">
        <f>PROPER(TEXT(Prog_236[[#This Row],[PROGRAMAÇÃO CLIENTE]],"mmm"))</f>
        <v>Jan</v>
      </c>
      <c r="BP535" s="66">
        <f>YEAR(Prog_236[[#This Row],[PROGRAMAÇÃO CLIENTE]])</f>
        <v>1900</v>
      </c>
    </row>
    <row r="536" spans="1:68" x14ac:dyDescent="0.25">
      <c r="A536" s="201">
        <f>Prog_236[[#This Row],[CONTEINER]]</f>
        <v>0</v>
      </c>
      <c r="B536" s="86"/>
      <c r="C5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6" s="44"/>
      <c r="E536" s="66"/>
      <c r="F536" s="66"/>
      <c r="G536" s="66"/>
      <c r="H536" s="44"/>
      <c r="I536" s="44"/>
      <c r="J536" s="66"/>
      <c r="K536" s="66"/>
      <c r="L536" s="66"/>
      <c r="M536" s="66"/>
      <c r="N536" s="66">
        <f>SUM(Prog_236[[#This Row],[TARA]]+Prog_236[[#This Row],[PESO]])</f>
        <v>0</v>
      </c>
      <c r="O536" s="44"/>
      <c r="P536" s="66"/>
      <c r="Q536" s="66"/>
      <c r="R536" s="66"/>
      <c r="S536" s="66"/>
      <c r="T536" s="138" t="str">
        <f>IFERROR(LOOKUP($S536,MOTORISTAS!$D$3:$D$1048576,MOTORISTAS!E$3:$E$1048576),"")</f>
        <v/>
      </c>
      <c r="U536" s="138" t="str">
        <f>IFERROR(LOOKUP($S536,MOTORISTAS!$D$3:$D$1048576,MOTORISTAS!F$3:$F$1048576),"")</f>
        <v/>
      </c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44"/>
      <c r="AG536" s="254">
        <f>Prog_236[[#This Row],[SAÍDA DO CLIENTE]]-Prog_236[[#This Row],[PROGRAMAÇÃO CLIENTE]]</f>
        <v>0</v>
      </c>
      <c r="AH536" s="44"/>
      <c r="AI536" s="66"/>
      <c r="AJ536" s="66"/>
      <c r="AK536" s="66"/>
      <c r="AL536" s="66"/>
      <c r="AM536" s="66"/>
      <c r="AN536" s="83"/>
      <c r="AO536" s="66"/>
      <c r="AP536" s="66"/>
      <c r="AQ536" s="66"/>
      <c r="AR536" s="81"/>
      <c r="AS536" s="81"/>
      <c r="AT536" s="81"/>
      <c r="AU536" s="81"/>
      <c r="AV536" s="83">
        <f>SUM(Prog_236[[#This Row],[ADIANTAMENTO]]+Prog_236[[#This Row],[SALDO]]+Prog_236[[#This Row],[MARGEM]]+Prog_236[[#This Row],[ESTADIA 1]])</f>
        <v>0</v>
      </c>
      <c r="AW5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6" s="81"/>
      <c r="AY536" s="81"/>
      <c r="AZ536" s="81">
        <f>Prog_236[[#This Row],[VLR NF]]*0.1%</f>
        <v>0</v>
      </c>
      <c r="BA536" s="81">
        <f>Prog_236[[#This Row],[VLR NF]]*0.05%</f>
        <v>0</v>
      </c>
      <c r="BB536" s="81"/>
      <c r="BC536" s="81"/>
      <c r="BD536" s="81"/>
      <c r="BE536" s="81"/>
      <c r="BF536" s="81"/>
      <c r="BG536" s="81"/>
      <c r="BH536" s="81"/>
      <c r="BI536" s="81"/>
      <c r="BJ536" s="81"/>
      <c r="BK536" s="81"/>
      <c r="BL536" s="66"/>
      <c r="BM536" s="66"/>
      <c r="BN536" s="66"/>
      <c r="BO536" s="66" t="str">
        <f>PROPER(TEXT(Prog_236[[#This Row],[PROGRAMAÇÃO CLIENTE]],"mmm"))</f>
        <v>Jan</v>
      </c>
      <c r="BP536" s="66">
        <f>YEAR(Prog_236[[#This Row],[PROGRAMAÇÃO CLIENTE]])</f>
        <v>1900</v>
      </c>
    </row>
    <row r="537" spans="1:68" x14ac:dyDescent="0.25">
      <c r="A537" s="200">
        <f>Prog_236[[#This Row],[CONTEINER]]</f>
        <v>0</v>
      </c>
      <c r="B537" s="86"/>
      <c r="C5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7" s="44"/>
      <c r="E537" s="66"/>
      <c r="F537" s="66"/>
      <c r="G537" s="66"/>
      <c r="H537" s="44"/>
      <c r="I537" s="44"/>
      <c r="J537" s="66"/>
      <c r="K537" s="66"/>
      <c r="L537" s="66"/>
      <c r="M537" s="66"/>
      <c r="N537" s="66">
        <f>SUM(Prog_236[[#This Row],[TARA]]+Prog_236[[#This Row],[PESO]])</f>
        <v>0</v>
      </c>
      <c r="O537" s="44"/>
      <c r="P537" s="66"/>
      <c r="Q537" s="66"/>
      <c r="R537" s="66"/>
      <c r="S537" s="66"/>
      <c r="T537" s="138" t="str">
        <f>IFERROR(LOOKUP($S537,MOTORISTAS!$D$3:$D$1048576,MOTORISTAS!E$3:$E$1048576),"")</f>
        <v/>
      </c>
      <c r="U537" s="138" t="str">
        <f>IFERROR(LOOKUP($S537,MOTORISTAS!$D$3:$D$1048576,MOTORISTAS!F$3:$F$1048576),"")</f>
        <v/>
      </c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44"/>
      <c r="AG537" s="254">
        <f>Prog_236[[#This Row],[SAÍDA DO CLIENTE]]-Prog_236[[#This Row],[PROGRAMAÇÃO CLIENTE]]</f>
        <v>0</v>
      </c>
      <c r="AH537" s="44"/>
      <c r="AI537" s="66"/>
      <c r="AJ537" s="66"/>
      <c r="AK537" s="66"/>
      <c r="AL537" s="66"/>
      <c r="AM537" s="66"/>
      <c r="AN537" s="83"/>
      <c r="AO537" s="66"/>
      <c r="AP537" s="66"/>
      <c r="AQ537" s="66"/>
      <c r="AR537" s="81"/>
      <c r="AS537" s="81"/>
      <c r="AT537" s="81"/>
      <c r="AU537" s="81"/>
      <c r="AV537" s="83">
        <f>SUM(Prog_236[[#This Row],[ADIANTAMENTO]]+Prog_236[[#This Row],[SALDO]]+Prog_236[[#This Row],[MARGEM]]+Prog_236[[#This Row],[ESTADIA 1]])</f>
        <v>0</v>
      </c>
      <c r="AW5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7" s="81"/>
      <c r="AY537" s="81"/>
      <c r="AZ537" s="81">
        <f>Prog_236[[#This Row],[VLR NF]]*0.1%</f>
        <v>0</v>
      </c>
      <c r="BA537" s="81">
        <f>Prog_236[[#This Row],[VLR NF]]*0.05%</f>
        <v>0</v>
      </c>
      <c r="BB537" s="81"/>
      <c r="BC537" s="81"/>
      <c r="BD537" s="81"/>
      <c r="BE537" s="81"/>
      <c r="BF537" s="81"/>
      <c r="BG537" s="81"/>
      <c r="BH537" s="81"/>
      <c r="BI537" s="81"/>
      <c r="BJ537" s="81"/>
      <c r="BK537" s="81"/>
      <c r="BL537" s="66"/>
      <c r="BM537" s="66"/>
      <c r="BN537" s="66"/>
      <c r="BO537" s="66" t="str">
        <f>PROPER(TEXT(Prog_236[[#This Row],[PROGRAMAÇÃO CLIENTE]],"mmm"))</f>
        <v>Jan</v>
      </c>
      <c r="BP537" s="66">
        <f>YEAR(Prog_236[[#This Row],[PROGRAMAÇÃO CLIENTE]])</f>
        <v>1900</v>
      </c>
    </row>
    <row r="538" spans="1:68" x14ac:dyDescent="0.25">
      <c r="A538" s="201">
        <f>Prog_236[[#This Row],[CONTEINER]]</f>
        <v>0</v>
      </c>
      <c r="B538" s="86"/>
      <c r="C5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8" s="44"/>
      <c r="E538" s="66"/>
      <c r="F538" s="66"/>
      <c r="G538" s="66"/>
      <c r="H538" s="44"/>
      <c r="I538" s="44"/>
      <c r="J538" s="66"/>
      <c r="K538" s="66"/>
      <c r="L538" s="66"/>
      <c r="M538" s="66"/>
      <c r="N538" s="66">
        <f>SUM(Prog_236[[#This Row],[TARA]]+Prog_236[[#This Row],[PESO]])</f>
        <v>0</v>
      </c>
      <c r="O538" s="44"/>
      <c r="P538" s="66"/>
      <c r="Q538" s="66"/>
      <c r="R538" s="66"/>
      <c r="S538" s="66"/>
      <c r="T538" s="138" t="str">
        <f>IFERROR(LOOKUP($S538,MOTORISTAS!$D$3:$D$1048576,MOTORISTAS!E$3:$E$1048576),"")</f>
        <v/>
      </c>
      <c r="U538" s="138" t="str">
        <f>IFERROR(LOOKUP($S538,MOTORISTAS!$D$3:$D$1048576,MOTORISTAS!F$3:$F$1048576),"")</f>
        <v/>
      </c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44"/>
      <c r="AG538" s="254">
        <f>Prog_236[[#This Row],[SAÍDA DO CLIENTE]]-Prog_236[[#This Row],[PROGRAMAÇÃO CLIENTE]]</f>
        <v>0</v>
      </c>
      <c r="AH538" s="44"/>
      <c r="AI538" s="66"/>
      <c r="AJ538" s="66"/>
      <c r="AK538" s="66"/>
      <c r="AL538" s="66"/>
      <c r="AM538" s="66"/>
      <c r="AN538" s="83"/>
      <c r="AO538" s="66"/>
      <c r="AP538" s="66"/>
      <c r="AQ538" s="66"/>
      <c r="AR538" s="81"/>
      <c r="AS538" s="81"/>
      <c r="AT538" s="81"/>
      <c r="AU538" s="81"/>
      <c r="AV538" s="83">
        <f>SUM(Prog_236[[#This Row],[ADIANTAMENTO]]+Prog_236[[#This Row],[SALDO]]+Prog_236[[#This Row],[MARGEM]]+Prog_236[[#This Row],[ESTADIA 1]])</f>
        <v>0</v>
      </c>
      <c r="AW5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8" s="81"/>
      <c r="AY538" s="81"/>
      <c r="AZ538" s="81">
        <f>Prog_236[[#This Row],[VLR NF]]*0.1%</f>
        <v>0</v>
      </c>
      <c r="BA538" s="81">
        <f>Prog_236[[#This Row],[VLR NF]]*0.05%</f>
        <v>0</v>
      </c>
      <c r="BB538" s="81"/>
      <c r="BC538" s="81"/>
      <c r="BD538" s="81"/>
      <c r="BE538" s="81"/>
      <c r="BF538" s="81"/>
      <c r="BG538" s="81"/>
      <c r="BH538" s="81"/>
      <c r="BI538" s="81"/>
      <c r="BJ538" s="81"/>
      <c r="BK538" s="81"/>
      <c r="BL538" s="66"/>
      <c r="BM538" s="66"/>
      <c r="BN538" s="66"/>
      <c r="BO538" s="66" t="str">
        <f>PROPER(TEXT(Prog_236[[#This Row],[PROGRAMAÇÃO CLIENTE]],"mmm"))</f>
        <v>Jan</v>
      </c>
      <c r="BP538" s="66">
        <f>YEAR(Prog_236[[#This Row],[PROGRAMAÇÃO CLIENTE]])</f>
        <v>1900</v>
      </c>
    </row>
    <row r="539" spans="1:68" x14ac:dyDescent="0.25">
      <c r="A539" s="200">
        <f>Prog_236[[#This Row],[CONTEINER]]</f>
        <v>0</v>
      </c>
      <c r="B539" s="86"/>
      <c r="C5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39" s="44"/>
      <c r="E539" s="66"/>
      <c r="F539" s="66"/>
      <c r="G539" s="66"/>
      <c r="H539" s="44"/>
      <c r="I539" s="44"/>
      <c r="J539" s="66"/>
      <c r="K539" s="66"/>
      <c r="L539" s="66"/>
      <c r="M539" s="66"/>
      <c r="N539" s="66">
        <f>SUM(Prog_236[[#This Row],[TARA]]+Prog_236[[#This Row],[PESO]])</f>
        <v>0</v>
      </c>
      <c r="O539" s="44"/>
      <c r="P539" s="66"/>
      <c r="Q539" s="66"/>
      <c r="R539" s="66"/>
      <c r="S539" s="66"/>
      <c r="T539" s="138" t="str">
        <f>IFERROR(LOOKUP($S539,MOTORISTAS!$D$3:$D$1048576,MOTORISTAS!E$3:$E$1048576),"")</f>
        <v/>
      </c>
      <c r="U539" s="138" t="str">
        <f>IFERROR(LOOKUP($S539,MOTORISTAS!$D$3:$D$1048576,MOTORISTAS!F$3:$F$1048576),"")</f>
        <v/>
      </c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44"/>
      <c r="AG539" s="254">
        <f>Prog_236[[#This Row],[SAÍDA DO CLIENTE]]-Prog_236[[#This Row],[PROGRAMAÇÃO CLIENTE]]</f>
        <v>0</v>
      </c>
      <c r="AH539" s="44"/>
      <c r="AI539" s="66"/>
      <c r="AJ539" s="66"/>
      <c r="AK539" s="66"/>
      <c r="AL539" s="66"/>
      <c r="AM539" s="66"/>
      <c r="AN539" s="83"/>
      <c r="AO539" s="66"/>
      <c r="AP539" s="66"/>
      <c r="AQ539" s="66"/>
      <c r="AR539" s="81"/>
      <c r="AS539" s="81"/>
      <c r="AT539" s="81"/>
      <c r="AU539" s="81"/>
      <c r="AV539" s="83">
        <f>SUM(Prog_236[[#This Row],[ADIANTAMENTO]]+Prog_236[[#This Row],[SALDO]]+Prog_236[[#This Row],[MARGEM]]+Prog_236[[#This Row],[ESTADIA 1]])</f>
        <v>0</v>
      </c>
      <c r="AW5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39" s="81"/>
      <c r="AY539" s="81"/>
      <c r="AZ539" s="81">
        <f>Prog_236[[#This Row],[VLR NF]]*0.1%</f>
        <v>0</v>
      </c>
      <c r="BA539" s="81">
        <f>Prog_236[[#This Row],[VLR NF]]*0.05%</f>
        <v>0</v>
      </c>
      <c r="BB539" s="81"/>
      <c r="BC539" s="81"/>
      <c r="BD539" s="81"/>
      <c r="BE539" s="81"/>
      <c r="BF539" s="81"/>
      <c r="BG539" s="81"/>
      <c r="BH539" s="81"/>
      <c r="BI539" s="81"/>
      <c r="BJ539" s="81"/>
      <c r="BK539" s="81"/>
      <c r="BL539" s="66"/>
      <c r="BM539" s="66"/>
      <c r="BN539" s="66"/>
      <c r="BO539" s="66" t="str">
        <f>PROPER(TEXT(Prog_236[[#This Row],[PROGRAMAÇÃO CLIENTE]],"mmm"))</f>
        <v>Jan</v>
      </c>
      <c r="BP539" s="66">
        <f>YEAR(Prog_236[[#This Row],[PROGRAMAÇÃO CLIENTE]])</f>
        <v>1900</v>
      </c>
    </row>
    <row r="540" spans="1:68" x14ac:dyDescent="0.25">
      <c r="A540" s="201">
        <f>Prog_236[[#This Row],[CONTEINER]]</f>
        <v>0</v>
      </c>
      <c r="B540" s="86"/>
      <c r="C5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0" s="44"/>
      <c r="E540" s="66"/>
      <c r="F540" s="66"/>
      <c r="G540" s="66"/>
      <c r="H540" s="44"/>
      <c r="I540" s="44"/>
      <c r="J540" s="66"/>
      <c r="K540" s="66"/>
      <c r="L540" s="66"/>
      <c r="M540" s="66"/>
      <c r="N540" s="66">
        <f>SUM(Prog_236[[#This Row],[TARA]]+Prog_236[[#This Row],[PESO]])</f>
        <v>0</v>
      </c>
      <c r="O540" s="44"/>
      <c r="P540" s="66"/>
      <c r="Q540" s="66"/>
      <c r="R540" s="66"/>
      <c r="S540" s="66"/>
      <c r="T540" s="138" t="str">
        <f>IFERROR(LOOKUP($S540,MOTORISTAS!$D$3:$D$1048576,MOTORISTAS!E$3:$E$1048576),"")</f>
        <v/>
      </c>
      <c r="U540" s="138" t="str">
        <f>IFERROR(LOOKUP($S540,MOTORISTAS!$D$3:$D$1048576,MOTORISTAS!F$3:$F$1048576),"")</f>
        <v/>
      </c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44"/>
      <c r="AG540" s="254">
        <f>Prog_236[[#This Row],[SAÍDA DO CLIENTE]]-Prog_236[[#This Row],[PROGRAMAÇÃO CLIENTE]]</f>
        <v>0</v>
      </c>
      <c r="AH540" s="44"/>
      <c r="AI540" s="66"/>
      <c r="AJ540" s="66"/>
      <c r="AK540" s="66"/>
      <c r="AL540" s="66"/>
      <c r="AM540" s="66"/>
      <c r="AN540" s="83"/>
      <c r="AO540" s="66"/>
      <c r="AP540" s="66"/>
      <c r="AQ540" s="66"/>
      <c r="AR540" s="81"/>
      <c r="AS540" s="81"/>
      <c r="AT540" s="81"/>
      <c r="AU540" s="81"/>
      <c r="AV540" s="83">
        <f>SUM(Prog_236[[#This Row],[ADIANTAMENTO]]+Prog_236[[#This Row],[SALDO]]+Prog_236[[#This Row],[MARGEM]]+Prog_236[[#This Row],[ESTADIA 1]])</f>
        <v>0</v>
      </c>
      <c r="AW5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0" s="81"/>
      <c r="AY540" s="81"/>
      <c r="AZ540" s="81">
        <f>Prog_236[[#This Row],[VLR NF]]*0.1%</f>
        <v>0</v>
      </c>
      <c r="BA540" s="81">
        <f>Prog_236[[#This Row],[VLR NF]]*0.05%</f>
        <v>0</v>
      </c>
      <c r="BB540" s="81"/>
      <c r="BC540" s="81"/>
      <c r="BD540" s="81"/>
      <c r="BE540" s="81"/>
      <c r="BF540" s="81"/>
      <c r="BG540" s="81"/>
      <c r="BH540" s="81"/>
      <c r="BI540" s="81"/>
      <c r="BJ540" s="81"/>
      <c r="BK540" s="81"/>
      <c r="BL540" s="66"/>
      <c r="BM540" s="66"/>
      <c r="BN540" s="66"/>
      <c r="BO540" s="66" t="str">
        <f>PROPER(TEXT(Prog_236[[#This Row],[PROGRAMAÇÃO CLIENTE]],"mmm"))</f>
        <v>Jan</v>
      </c>
      <c r="BP540" s="66">
        <f>YEAR(Prog_236[[#This Row],[PROGRAMAÇÃO CLIENTE]])</f>
        <v>1900</v>
      </c>
    </row>
    <row r="541" spans="1:68" x14ac:dyDescent="0.25">
      <c r="A541" s="200">
        <f>Prog_236[[#This Row],[CONTEINER]]</f>
        <v>0</v>
      </c>
      <c r="B541" s="86"/>
      <c r="C5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1" s="44"/>
      <c r="E541" s="66"/>
      <c r="F541" s="66"/>
      <c r="G541" s="66"/>
      <c r="H541" s="44"/>
      <c r="I541" s="44"/>
      <c r="J541" s="66"/>
      <c r="K541" s="66"/>
      <c r="L541" s="66"/>
      <c r="M541" s="66"/>
      <c r="N541" s="66">
        <f>SUM(Prog_236[[#This Row],[TARA]]+Prog_236[[#This Row],[PESO]])</f>
        <v>0</v>
      </c>
      <c r="O541" s="44"/>
      <c r="P541" s="66"/>
      <c r="Q541" s="66"/>
      <c r="R541" s="66"/>
      <c r="S541" s="66"/>
      <c r="T541" s="138" t="str">
        <f>IFERROR(LOOKUP($S541,MOTORISTAS!$D$3:$D$1048576,MOTORISTAS!E$3:$E$1048576),"")</f>
        <v/>
      </c>
      <c r="U541" s="138" t="str">
        <f>IFERROR(LOOKUP($S541,MOTORISTAS!$D$3:$D$1048576,MOTORISTAS!F$3:$F$1048576),"")</f>
        <v/>
      </c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44"/>
      <c r="AG541" s="254">
        <f>Prog_236[[#This Row],[SAÍDA DO CLIENTE]]-Prog_236[[#This Row],[PROGRAMAÇÃO CLIENTE]]</f>
        <v>0</v>
      </c>
      <c r="AH541" s="44"/>
      <c r="AI541" s="66"/>
      <c r="AJ541" s="66"/>
      <c r="AK541" s="66"/>
      <c r="AL541" s="66"/>
      <c r="AM541" s="66"/>
      <c r="AN541" s="83"/>
      <c r="AO541" s="66"/>
      <c r="AP541" s="66"/>
      <c r="AQ541" s="66"/>
      <c r="AR541" s="81"/>
      <c r="AS541" s="81"/>
      <c r="AT541" s="81"/>
      <c r="AU541" s="81"/>
      <c r="AV541" s="83">
        <f>SUM(Prog_236[[#This Row],[ADIANTAMENTO]]+Prog_236[[#This Row],[SALDO]]+Prog_236[[#This Row],[MARGEM]]+Prog_236[[#This Row],[ESTADIA 1]])</f>
        <v>0</v>
      </c>
      <c r="AW5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1" s="81"/>
      <c r="AY541" s="81"/>
      <c r="AZ541" s="81">
        <f>Prog_236[[#This Row],[VLR NF]]*0.1%</f>
        <v>0</v>
      </c>
      <c r="BA541" s="81">
        <f>Prog_236[[#This Row],[VLR NF]]*0.05%</f>
        <v>0</v>
      </c>
      <c r="BB541" s="81"/>
      <c r="BC541" s="81"/>
      <c r="BD541" s="81"/>
      <c r="BE541" s="81"/>
      <c r="BF541" s="81"/>
      <c r="BG541" s="81"/>
      <c r="BH541" s="81"/>
      <c r="BI541" s="81"/>
      <c r="BJ541" s="81"/>
      <c r="BK541" s="81"/>
      <c r="BL541" s="66"/>
      <c r="BM541" s="66"/>
      <c r="BN541" s="66"/>
      <c r="BO541" s="66" t="str">
        <f>PROPER(TEXT(Prog_236[[#This Row],[PROGRAMAÇÃO CLIENTE]],"mmm"))</f>
        <v>Jan</v>
      </c>
      <c r="BP541" s="66">
        <f>YEAR(Prog_236[[#This Row],[PROGRAMAÇÃO CLIENTE]])</f>
        <v>1900</v>
      </c>
    </row>
    <row r="542" spans="1:68" x14ac:dyDescent="0.25">
      <c r="A542" s="201">
        <f>Prog_236[[#This Row],[CONTEINER]]</f>
        <v>0</v>
      </c>
      <c r="B542" s="86"/>
      <c r="C5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2" s="44"/>
      <c r="E542" s="66"/>
      <c r="F542" s="66"/>
      <c r="G542" s="66"/>
      <c r="H542" s="44"/>
      <c r="I542" s="44"/>
      <c r="J542" s="66"/>
      <c r="K542" s="66"/>
      <c r="L542" s="66"/>
      <c r="M542" s="66"/>
      <c r="N542" s="66">
        <f>SUM(Prog_236[[#This Row],[TARA]]+Prog_236[[#This Row],[PESO]])</f>
        <v>0</v>
      </c>
      <c r="O542" s="44"/>
      <c r="P542" s="66"/>
      <c r="Q542" s="66"/>
      <c r="R542" s="66"/>
      <c r="S542" s="66"/>
      <c r="T542" s="138" t="str">
        <f>IFERROR(LOOKUP($S542,MOTORISTAS!$D$3:$D$1048576,MOTORISTAS!E$3:$E$1048576),"")</f>
        <v/>
      </c>
      <c r="U542" s="138" t="str">
        <f>IFERROR(LOOKUP($S542,MOTORISTAS!$D$3:$D$1048576,MOTORISTAS!F$3:$F$1048576),"")</f>
        <v/>
      </c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44"/>
      <c r="AG542" s="254">
        <f>Prog_236[[#This Row],[SAÍDA DO CLIENTE]]-Prog_236[[#This Row],[PROGRAMAÇÃO CLIENTE]]</f>
        <v>0</v>
      </c>
      <c r="AH542" s="44"/>
      <c r="AI542" s="66"/>
      <c r="AJ542" s="66"/>
      <c r="AK542" s="66"/>
      <c r="AL542" s="66"/>
      <c r="AM542" s="66"/>
      <c r="AN542" s="83"/>
      <c r="AO542" s="66"/>
      <c r="AP542" s="66"/>
      <c r="AQ542" s="66"/>
      <c r="AR542" s="81"/>
      <c r="AS542" s="81"/>
      <c r="AT542" s="81"/>
      <c r="AU542" s="81"/>
      <c r="AV542" s="83">
        <f>SUM(Prog_236[[#This Row],[ADIANTAMENTO]]+Prog_236[[#This Row],[SALDO]]+Prog_236[[#This Row],[MARGEM]]+Prog_236[[#This Row],[ESTADIA 1]])</f>
        <v>0</v>
      </c>
      <c r="AW5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2" s="81"/>
      <c r="AY542" s="81"/>
      <c r="AZ542" s="81">
        <f>Prog_236[[#This Row],[VLR NF]]*0.1%</f>
        <v>0</v>
      </c>
      <c r="BA542" s="81">
        <f>Prog_236[[#This Row],[VLR NF]]*0.05%</f>
        <v>0</v>
      </c>
      <c r="BB542" s="81"/>
      <c r="BC542" s="81"/>
      <c r="BD542" s="81"/>
      <c r="BE542" s="81"/>
      <c r="BF542" s="81"/>
      <c r="BG542" s="81"/>
      <c r="BH542" s="81"/>
      <c r="BI542" s="81"/>
      <c r="BJ542" s="81"/>
      <c r="BK542" s="81"/>
      <c r="BL542" s="66"/>
      <c r="BM542" s="66"/>
      <c r="BN542" s="66"/>
      <c r="BO542" s="66" t="str">
        <f>PROPER(TEXT(Prog_236[[#This Row],[PROGRAMAÇÃO CLIENTE]],"mmm"))</f>
        <v>Jan</v>
      </c>
      <c r="BP542" s="66">
        <f>YEAR(Prog_236[[#This Row],[PROGRAMAÇÃO CLIENTE]])</f>
        <v>1900</v>
      </c>
    </row>
    <row r="543" spans="1:68" x14ac:dyDescent="0.25">
      <c r="A543" s="200">
        <f>Prog_236[[#This Row],[CONTEINER]]</f>
        <v>0</v>
      </c>
      <c r="B543" s="86"/>
      <c r="C5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3" s="44"/>
      <c r="E543" s="66"/>
      <c r="F543" s="66"/>
      <c r="G543" s="66"/>
      <c r="H543" s="44"/>
      <c r="I543" s="44"/>
      <c r="J543" s="66"/>
      <c r="K543" s="66"/>
      <c r="L543" s="66"/>
      <c r="M543" s="66"/>
      <c r="N543" s="66">
        <f>SUM(Prog_236[[#This Row],[TARA]]+Prog_236[[#This Row],[PESO]])</f>
        <v>0</v>
      </c>
      <c r="O543" s="44"/>
      <c r="P543" s="66"/>
      <c r="Q543" s="66"/>
      <c r="R543" s="66"/>
      <c r="S543" s="66"/>
      <c r="T543" s="138" t="str">
        <f>IFERROR(LOOKUP($S543,MOTORISTAS!$D$3:$D$1048576,MOTORISTAS!E$3:$E$1048576),"")</f>
        <v/>
      </c>
      <c r="U543" s="138" t="str">
        <f>IFERROR(LOOKUP($S543,MOTORISTAS!$D$3:$D$1048576,MOTORISTAS!F$3:$F$1048576),"")</f>
        <v/>
      </c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44"/>
      <c r="AG543" s="254">
        <f>Prog_236[[#This Row],[SAÍDA DO CLIENTE]]-Prog_236[[#This Row],[PROGRAMAÇÃO CLIENTE]]</f>
        <v>0</v>
      </c>
      <c r="AH543" s="44"/>
      <c r="AI543" s="66"/>
      <c r="AJ543" s="66"/>
      <c r="AK543" s="66"/>
      <c r="AL543" s="66"/>
      <c r="AM543" s="66"/>
      <c r="AN543" s="83"/>
      <c r="AO543" s="66"/>
      <c r="AP543" s="66"/>
      <c r="AQ543" s="66"/>
      <c r="AR543" s="81"/>
      <c r="AS543" s="81"/>
      <c r="AT543" s="81"/>
      <c r="AU543" s="81"/>
      <c r="AV543" s="83">
        <f>SUM(Prog_236[[#This Row],[ADIANTAMENTO]]+Prog_236[[#This Row],[SALDO]]+Prog_236[[#This Row],[MARGEM]]+Prog_236[[#This Row],[ESTADIA 1]])</f>
        <v>0</v>
      </c>
      <c r="AW5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3" s="81"/>
      <c r="AY543" s="81"/>
      <c r="AZ543" s="81">
        <f>Prog_236[[#This Row],[VLR NF]]*0.1%</f>
        <v>0</v>
      </c>
      <c r="BA543" s="81">
        <f>Prog_236[[#This Row],[VLR NF]]*0.05%</f>
        <v>0</v>
      </c>
      <c r="BB543" s="81"/>
      <c r="BC543" s="81"/>
      <c r="BD543" s="81"/>
      <c r="BE543" s="81"/>
      <c r="BF543" s="81"/>
      <c r="BG543" s="81"/>
      <c r="BH543" s="81"/>
      <c r="BI543" s="81"/>
      <c r="BJ543" s="81"/>
      <c r="BK543" s="81"/>
      <c r="BL543" s="66"/>
      <c r="BM543" s="66"/>
      <c r="BN543" s="66"/>
      <c r="BO543" s="66" t="str">
        <f>PROPER(TEXT(Prog_236[[#This Row],[PROGRAMAÇÃO CLIENTE]],"mmm"))</f>
        <v>Jan</v>
      </c>
      <c r="BP543" s="66">
        <f>YEAR(Prog_236[[#This Row],[PROGRAMAÇÃO CLIENTE]])</f>
        <v>1900</v>
      </c>
    </row>
    <row r="544" spans="1:68" x14ac:dyDescent="0.25">
      <c r="A544" s="201">
        <f>Prog_236[[#This Row],[CONTEINER]]</f>
        <v>0</v>
      </c>
      <c r="B544" s="86"/>
      <c r="C5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4" s="44"/>
      <c r="E544" s="66"/>
      <c r="F544" s="66"/>
      <c r="G544" s="66"/>
      <c r="H544" s="44"/>
      <c r="I544" s="44"/>
      <c r="J544" s="66"/>
      <c r="K544" s="66"/>
      <c r="L544" s="66"/>
      <c r="M544" s="66"/>
      <c r="N544" s="66">
        <f>SUM(Prog_236[[#This Row],[TARA]]+Prog_236[[#This Row],[PESO]])</f>
        <v>0</v>
      </c>
      <c r="O544" s="44"/>
      <c r="P544" s="66"/>
      <c r="Q544" s="66"/>
      <c r="R544" s="66"/>
      <c r="S544" s="66"/>
      <c r="T544" s="138" t="str">
        <f>IFERROR(LOOKUP($S544,MOTORISTAS!$D$3:$D$1048576,MOTORISTAS!E$3:$E$1048576),"")</f>
        <v/>
      </c>
      <c r="U544" s="138" t="str">
        <f>IFERROR(LOOKUP($S544,MOTORISTAS!$D$3:$D$1048576,MOTORISTAS!F$3:$F$1048576),"")</f>
        <v/>
      </c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44"/>
      <c r="AG544" s="254">
        <f>Prog_236[[#This Row],[SAÍDA DO CLIENTE]]-Prog_236[[#This Row],[PROGRAMAÇÃO CLIENTE]]</f>
        <v>0</v>
      </c>
      <c r="AH544" s="44"/>
      <c r="AI544" s="66"/>
      <c r="AJ544" s="66"/>
      <c r="AK544" s="66"/>
      <c r="AL544" s="66"/>
      <c r="AM544" s="66"/>
      <c r="AN544" s="83"/>
      <c r="AO544" s="66"/>
      <c r="AP544" s="66"/>
      <c r="AQ544" s="66"/>
      <c r="AR544" s="81"/>
      <c r="AS544" s="81"/>
      <c r="AT544" s="81"/>
      <c r="AU544" s="81"/>
      <c r="AV544" s="83">
        <f>SUM(Prog_236[[#This Row],[ADIANTAMENTO]]+Prog_236[[#This Row],[SALDO]]+Prog_236[[#This Row],[MARGEM]]+Prog_236[[#This Row],[ESTADIA 1]])</f>
        <v>0</v>
      </c>
      <c r="AW5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4" s="81"/>
      <c r="AY544" s="81"/>
      <c r="AZ544" s="81">
        <f>Prog_236[[#This Row],[VLR NF]]*0.1%</f>
        <v>0</v>
      </c>
      <c r="BA544" s="81">
        <f>Prog_236[[#This Row],[VLR NF]]*0.05%</f>
        <v>0</v>
      </c>
      <c r="BB544" s="81"/>
      <c r="BC544" s="81"/>
      <c r="BD544" s="81"/>
      <c r="BE544" s="81"/>
      <c r="BF544" s="81"/>
      <c r="BG544" s="81"/>
      <c r="BH544" s="81"/>
      <c r="BI544" s="81"/>
      <c r="BJ544" s="81"/>
      <c r="BK544" s="81"/>
      <c r="BL544" s="66"/>
      <c r="BM544" s="66"/>
      <c r="BN544" s="66"/>
      <c r="BO544" s="66" t="str">
        <f>PROPER(TEXT(Prog_236[[#This Row],[PROGRAMAÇÃO CLIENTE]],"mmm"))</f>
        <v>Jan</v>
      </c>
      <c r="BP544" s="66">
        <f>YEAR(Prog_236[[#This Row],[PROGRAMAÇÃO CLIENTE]])</f>
        <v>1900</v>
      </c>
    </row>
    <row r="545" spans="1:68" x14ac:dyDescent="0.25">
      <c r="A545" s="200">
        <f>Prog_236[[#This Row],[CONTEINER]]</f>
        <v>0</v>
      </c>
      <c r="B545" s="86"/>
      <c r="C5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5" s="44"/>
      <c r="E545" s="66"/>
      <c r="F545" s="66"/>
      <c r="G545" s="66"/>
      <c r="H545" s="44"/>
      <c r="I545" s="44"/>
      <c r="J545" s="66"/>
      <c r="K545" s="66"/>
      <c r="L545" s="66"/>
      <c r="M545" s="66"/>
      <c r="N545" s="66">
        <f>SUM(Prog_236[[#This Row],[TARA]]+Prog_236[[#This Row],[PESO]])</f>
        <v>0</v>
      </c>
      <c r="O545" s="44"/>
      <c r="P545" s="66"/>
      <c r="Q545" s="66"/>
      <c r="R545" s="66"/>
      <c r="S545" s="66"/>
      <c r="T545" s="138" t="str">
        <f>IFERROR(LOOKUP($S545,MOTORISTAS!$D$3:$D$1048576,MOTORISTAS!E$3:$E$1048576),"")</f>
        <v/>
      </c>
      <c r="U545" s="138" t="str">
        <f>IFERROR(LOOKUP($S545,MOTORISTAS!$D$3:$D$1048576,MOTORISTAS!F$3:$F$1048576),"")</f>
        <v/>
      </c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44"/>
      <c r="AG545" s="254">
        <f>Prog_236[[#This Row],[SAÍDA DO CLIENTE]]-Prog_236[[#This Row],[PROGRAMAÇÃO CLIENTE]]</f>
        <v>0</v>
      </c>
      <c r="AH545" s="44"/>
      <c r="AI545" s="66"/>
      <c r="AJ545" s="66"/>
      <c r="AK545" s="66"/>
      <c r="AL545" s="66"/>
      <c r="AM545" s="66"/>
      <c r="AN545" s="83"/>
      <c r="AO545" s="66"/>
      <c r="AP545" s="66"/>
      <c r="AQ545" s="66"/>
      <c r="AR545" s="81"/>
      <c r="AS545" s="81"/>
      <c r="AT545" s="81"/>
      <c r="AU545" s="81"/>
      <c r="AV545" s="83">
        <f>SUM(Prog_236[[#This Row],[ADIANTAMENTO]]+Prog_236[[#This Row],[SALDO]]+Prog_236[[#This Row],[MARGEM]]+Prog_236[[#This Row],[ESTADIA 1]])</f>
        <v>0</v>
      </c>
      <c r="AW5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5" s="81"/>
      <c r="AY545" s="81"/>
      <c r="AZ545" s="81">
        <f>Prog_236[[#This Row],[VLR NF]]*0.1%</f>
        <v>0</v>
      </c>
      <c r="BA545" s="81">
        <f>Prog_236[[#This Row],[VLR NF]]*0.05%</f>
        <v>0</v>
      </c>
      <c r="BB545" s="81"/>
      <c r="BC545" s="81"/>
      <c r="BD545" s="81"/>
      <c r="BE545" s="81"/>
      <c r="BF545" s="81"/>
      <c r="BG545" s="81"/>
      <c r="BH545" s="81"/>
      <c r="BI545" s="81"/>
      <c r="BJ545" s="81"/>
      <c r="BK545" s="81"/>
      <c r="BL545" s="66"/>
      <c r="BM545" s="66"/>
      <c r="BN545" s="66"/>
      <c r="BO545" s="66" t="str">
        <f>PROPER(TEXT(Prog_236[[#This Row],[PROGRAMAÇÃO CLIENTE]],"mmm"))</f>
        <v>Jan</v>
      </c>
      <c r="BP545" s="66">
        <f>YEAR(Prog_236[[#This Row],[PROGRAMAÇÃO CLIENTE]])</f>
        <v>1900</v>
      </c>
    </row>
    <row r="546" spans="1:68" x14ac:dyDescent="0.25">
      <c r="A546" s="201">
        <f>Prog_236[[#This Row],[CONTEINER]]</f>
        <v>0</v>
      </c>
      <c r="B546" s="86"/>
      <c r="C5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6" s="44"/>
      <c r="E546" s="66"/>
      <c r="F546" s="66"/>
      <c r="G546" s="66"/>
      <c r="H546" s="44"/>
      <c r="I546" s="44"/>
      <c r="J546" s="66"/>
      <c r="K546" s="66"/>
      <c r="L546" s="66"/>
      <c r="M546" s="66"/>
      <c r="N546" s="66">
        <f>SUM(Prog_236[[#This Row],[TARA]]+Prog_236[[#This Row],[PESO]])</f>
        <v>0</v>
      </c>
      <c r="O546" s="44"/>
      <c r="P546" s="66"/>
      <c r="Q546" s="66"/>
      <c r="R546" s="66"/>
      <c r="S546" s="66"/>
      <c r="T546" s="138" t="str">
        <f>IFERROR(LOOKUP($S546,MOTORISTAS!$D$3:$D$1048576,MOTORISTAS!E$3:$E$1048576),"")</f>
        <v/>
      </c>
      <c r="U546" s="138" t="str">
        <f>IFERROR(LOOKUP($S546,MOTORISTAS!$D$3:$D$1048576,MOTORISTAS!F$3:$F$1048576),"")</f>
        <v/>
      </c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44"/>
      <c r="AG546" s="254">
        <f>Prog_236[[#This Row],[SAÍDA DO CLIENTE]]-Prog_236[[#This Row],[PROGRAMAÇÃO CLIENTE]]</f>
        <v>0</v>
      </c>
      <c r="AH546" s="44"/>
      <c r="AI546" s="66"/>
      <c r="AJ546" s="66"/>
      <c r="AK546" s="66"/>
      <c r="AL546" s="66"/>
      <c r="AM546" s="66"/>
      <c r="AN546" s="83"/>
      <c r="AO546" s="66"/>
      <c r="AP546" s="66"/>
      <c r="AQ546" s="66"/>
      <c r="AR546" s="81"/>
      <c r="AS546" s="81"/>
      <c r="AT546" s="81"/>
      <c r="AU546" s="81"/>
      <c r="AV546" s="83">
        <f>SUM(Prog_236[[#This Row],[ADIANTAMENTO]]+Prog_236[[#This Row],[SALDO]]+Prog_236[[#This Row],[MARGEM]]+Prog_236[[#This Row],[ESTADIA 1]])</f>
        <v>0</v>
      </c>
      <c r="AW5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6" s="81"/>
      <c r="AY546" s="81"/>
      <c r="AZ546" s="81">
        <f>Prog_236[[#This Row],[VLR NF]]*0.1%</f>
        <v>0</v>
      </c>
      <c r="BA546" s="81">
        <f>Prog_236[[#This Row],[VLR NF]]*0.05%</f>
        <v>0</v>
      </c>
      <c r="BB546" s="81"/>
      <c r="BC546" s="81"/>
      <c r="BD546" s="81"/>
      <c r="BE546" s="81"/>
      <c r="BF546" s="81"/>
      <c r="BG546" s="81"/>
      <c r="BH546" s="81"/>
      <c r="BI546" s="81"/>
      <c r="BJ546" s="81"/>
      <c r="BK546" s="81"/>
      <c r="BL546" s="66"/>
      <c r="BM546" s="66"/>
      <c r="BN546" s="66"/>
      <c r="BO546" s="66" t="str">
        <f>PROPER(TEXT(Prog_236[[#This Row],[PROGRAMAÇÃO CLIENTE]],"mmm"))</f>
        <v>Jan</v>
      </c>
      <c r="BP546" s="66">
        <f>YEAR(Prog_236[[#This Row],[PROGRAMAÇÃO CLIENTE]])</f>
        <v>1900</v>
      </c>
    </row>
    <row r="547" spans="1:68" x14ac:dyDescent="0.25">
      <c r="A547" s="200">
        <f>Prog_236[[#This Row],[CONTEINER]]</f>
        <v>0</v>
      </c>
      <c r="B547" s="86"/>
      <c r="C5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7" s="44"/>
      <c r="E547" s="66"/>
      <c r="F547" s="66"/>
      <c r="G547" s="66"/>
      <c r="H547" s="44"/>
      <c r="I547" s="44"/>
      <c r="J547" s="66"/>
      <c r="K547" s="66"/>
      <c r="L547" s="66"/>
      <c r="M547" s="66"/>
      <c r="N547" s="66">
        <f>SUM(Prog_236[[#This Row],[TARA]]+Prog_236[[#This Row],[PESO]])</f>
        <v>0</v>
      </c>
      <c r="O547" s="44"/>
      <c r="P547" s="66"/>
      <c r="Q547" s="66"/>
      <c r="R547" s="66"/>
      <c r="S547" s="66"/>
      <c r="T547" s="138" t="str">
        <f>IFERROR(LOOKUP($S547,MOTORISTAS!$D$3:$D$1048576,MOTORISTAS!E$3:$E$1048576),"")</f>
        <v/>
      </c>
      <c r="U547" s="138" t="str">
        <f>IFERROR(LOOKUP($S547,MOTORISTAS!$D$3:$D$1048576,MOTORISTAS!F$3:$F$1048576),"")</f>
        <v/>
      </c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44"/>
      <c r="AG547" s="254">
        <f>Prog_236[[#This Row],[SAÍDA DO CLIENTE]]-Prog_236[[#This Row],[PROGRAMAÇÃO CLIENTE]]</f>
        <v>0</v>
      </c>
      <c r="AH547" s="44"/>
      <c r="AI547" s="66"/>
      <c r="AJ547" s="66"/>
      <c r="AK547" s="66"/>
      <c r="AL547" s="66"/>
      <c r="AM547" s="66"/>
      <c r="AN547" s="83"/>
      <c r="AO547" s="66"/>
      <c r="AP547" s="66"/>
      <c r="AQ547" s="66"/>
      <c r="AR547" s="81"/>
      <c r="AS547" s="81"/>
      <c r="AT547" s="81"/>
      <c r="AU547" s="81"/>
      <c r="AV547" s="83">
        <f>SUM(Prog_236[[#This Row],[ADIANTAMENTO]]+Prog_236[[#This Row],[SALDO]]+Prog_236[[#This Row],[MARGEM]]+Prog_236[[#This Row],[ESTADIA 1]])</f>
        <v>0</v>
      </c>
      <c r="AW5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7" s="81"/>
      <c r="AY547" s="81"/>
      <c r="AZ547" s="81">
        <f>Prog_236[[#This Row],[VLR NF]]*0.1%</f>
        <v>0</v>
      </c>
      <c r="BA547" s="81">
        <f>Prog_236[[#This Row],[VLR NF]]*0.05%</f>
        <v>0</v>
      </c>
      <c r="BB547" s="81"/>
      <c r="BC547" s="81"/>
      <c r="BD547" s="81"/>
      <c r="BE547" s="81"/>
      <c r="BF547" s="81"/>
      <c r="BG547" s="81"/>
      <c r="BH547" s="81"/>
      <c r="BI547" s="81"/>
      <c r="BJ547" s="81"/>
      <c r="BK547" s="81"/>
      <c r="BL547" s="66"/>
      <c r="BM547" s="66"/>
      <c r="BN547" s="66"/>
      <c r="BO547" s="66" t="str">
        <f>PROPER(TEXT(Prog_236[[#This Row],[PROGRAMAÇÃO CLIENTE]],"mmm"))</f>
        <v>Jan</v>
      </c>
      <c r="BP547" s="66">
        <f>YEAR(Prog_236[[#This Row],[PROGRAMAÇÃO CLIENTE]])</f>
        <v>1900</v>
      </c>
    </row>
    <row r="548" spans="1:68" x14ac:dyDescent="0.25">
      <c r="A548" s="201">
        <f>Prog_236[[#This Row],[CONTEINER]]</f>
        <v>0</v>
      </c>
      <c r="B548" s="86"/>
      <c r="C5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8" s="44"/>
      <c r="E548" s="66"/>
      <c r="F548" s="66"/>
      <c r="G548" s="66"/>
      <c r="H548" s="44"/>
      <c r="I548" s="44"/>
      <c r="J548" s="66"/>
      <c r="K548" s="66"/>
      <c r="L548" s="66"/>
      <c r="M548" s="66"/>
      <c r="N548" s="66">
        <f>SUM(Prog_236[[#This Row],[TARA]]+Prog_236[[#This Row],[PESO]])</f>
        <v>0</v>
      </c>
      <c r="O548" s="44"/>
      <c r="P548" s="66"/>
      <c r="Q548" s="66"/>
      <c r="R548" s="66"/>
      <c r="S548" s="66"/>
      <c r="T548" s="138" t="str">
        <f>IFERROR(LOOKUP($S548,MOTORISTAS!$D$3:$D$1048576,MOTORISTAS!E$3:$E$1048576),"")</f>
        <v/>
      </c>
      <c r="U548" s="138" t="str">
        <f>IFERROR(LOOKUP($S548,MOTORISTAS!$D$3:$D$1048576,MOTORISTAS!F$3:$F$1048576),"")</f>
        <v/>
      </c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44"/>
      <c r="AG548" s="254">
        <f>Prog_236[[#This Row],[SAÍDA DO CLIENTE]]-Prog_236[[#This Row],[PROGRAMAÇÃO CLIENTE]]</f>
        <v>0</v>
      </c>
      <c r="AH548" s="44"/>
      <c r="AI548" s="66"/>
      <c r="AJ548" s="66"/>
      <c r="AK548" s="66"/>
      <c r="AL548" s="66"/>
      <c r="AM548" s="66"/>
      <c r="AN548" s="83"/>
      <c r="AO548" s="66"/>
      <c r="AP548" s="66"/>
      <c r="AQ548" s="66"/>
      <c r="AR548" s="81"/>
      <c r="AS548" s="81"/>
      <c r="AT548" s="81"/>
      <c r="AU548" s="81"/>
      <c r="AV548" s="83">
        <f>SUM(Prog_236[[#This Row],[ADIANTAMENTO]]+Prog_236[[#This Row],[SALDO]]+Prog_236[[#This Row],[MARGEM]]+Prog_236[[#This Row],[ESTADIA 1]])</f>
        <v>0</v>
      </c>
      <c r="AW5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8" s="81"/>
      <c r="AY548" s="81"/>
      <c r="AZ548" s="81">
        <f>Prog_236[[#This Row],[VLR NF]]*0.1%</f>
        <v>0</v>
      </c>
      <c r="BA548" s="81">
        <f>Prog_236[[#This Row],[VLR NF]]*0.05%</f>
        <v>0</v>
      </c>
      <c r="BB548" s="81"/>
      <c r="BC548" s="81"/>
      <c r="BD548" s="81"/>
      <c r="BE548" s="81"/>
      <c r="BF548" s="81"/>
      <c r="BG548" s="81"/>
      <c r="BH548" s="81"/>
      <c r="BI548" s="81"/>
      <c r="BJ548" s="81"/>
      <c r="BK548" s="81"/>
      <c r="BL548" s="66"/>
      <c r="BM548" s="66"/>
      <c r="BN548" s="66"/>
      <c r="BO548" s="66" t="str">
        <f>PROPER(TEXT(Prog_236[[#This Row],[PROGRAMAÇÃO CLIENTE]],"mmm"))</f>
        <v>Jan</v>
      </c>
      <c r="BP548" s="66">
        <f>YEAR(Prog_236[[#This Row],[PROGRAMAÇÃO CLIENTE]])</f>
        <v>1900</v>
      </c>
    </row>
    <row r="549" spans="1:68" x14ac:dyDescent="0.25">
      <c r="A549" s="200">
        <f>Prog_236[[#This Row],[CONTEINER]]</f>
        <v>0</v>
      </c>
      <c r="B549" s="86"/>
      <c r="C5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49" s="44"/>
      <c r="E549" s="66"/>
      <c r="F549" s="66"/>
      <c r="G549" s="66"/>
      <c r="H549" s="44"/>
      <c r="I549" s="44"/>
      <c r="J549" s="66"/>
      <c r="K549" s="66"/>
      <c r="L549" s="66"/>
      <c r="M549" s="66"/>
      <c r="N549" s="66">
        <f>SUM(Prog_236[[#This Row],[TARA]]+Prog_236[[#This Row],[PESO]])</f>
        <v>0</v>
      </c>
      <c r="O549" s="44"/>
      <c r="P549" s="66"/>
      <c r="Q549" s="66"/>
      <c r="R549" s="66"/>
      <c r="S549" s="66"/>
      <c r="T549" s="138" t="str">
        <f>IFERROR(LOOKUP($S549,MOTORISTAS!$D$3:$D$1048576,MOTORISTAS!E$3:$E$1048576),"")</f>
        <v/>
      </c>
      <c r="U549" s="138" t="str">
        <f>IFERROR(LOOKUP($S549,MOTORISTAS!$D$3:$D$1048576,MOTORISTAS!F$3:$F$1048576),"")</f>
        <v/>
      </c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44"/>
      <c r="AG549" s="254">
        <f>Prog_236[[#This Row],[SAÍDA DO CLIENTE]]-Prog_236[[#This Row],[PROGRAMAÇÃO CLIENTE]]</f>
        <v>0</v>
      </c>
      <c r="AH549" s="44"/>
      <c r="AI549" s="66"/>
      <c r="AJ549" s="66"/>
      <c r="AK549" s="66"/>
      <c r="AL549" s="66"/>
      <c r="AM549" s="66"/>
      <c r="AN549" s="83"/>
      <c r="AO549" s="66"/>
      <c r="AP549" s="66"/>
      <c r="AQ549" s="66"/>
      <c r="AR549" s="81"/>
      <c r="AS549" s="81"/>
      <c r="AT549" s="81"/>
      <c r="AU549" s="81"/>
      <c r="AV549" s="83">
        <f>SUM(Prog_236[[#This Row],[ADIANTAMENTO]]+Prog_236[[#This Row],[SALDO]]+Prog_236[[#This Row],[MARGEM]]+Prog_236[[#This Row],[ESTADIA 1]])</f>
        <v>0</v>
      </c>
      <c r="AW5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49" s="81"/>
      <c r="AY549" s="81"/>
      <c r="AZ549" s="81">
        <f>Prog_236[[#This Row],[VLR NF]]*0.1%</f>
        <v>0</v>
      </c>
      <c r="BA549" s="81">
        <f>Prog_236[[#This Row],[VLR NF]]*0.05%</f>
        <v>0</v>
      </c>
      <c r="BB549" s="81"/>
      <c r="BC549" s="81"/>
      <c r="BD549" s="81"/>
      <c r="BE549" s="81"/>
      <c r="BF549" s="81"/>
      <c r="BG549" s="81"/>
      <c r="BH549" s="81"/>
      <c r="BI549" s="81"/>
      <c r="BJ549" s="81"/>
      <c r="BK549" s="81"/>
      <c r="BL549" s="66"/>
      <c r="BM549" s="66"/>
      <c r="BN549" s="66"/>
      <c r="BO549" s="66" t="str">
        <f>PROPER(TEXT(Prog_236[[#This Row],[PROGRAMAÇÃO CLIENTE]],"mmm"))</f>
        <v>Jan</v>
      </c>
      <c r="BP549" s="66">
        <f>YEAR(Prog_236[[#This Row],[PROGRAMAÇÃO CLIENTE]])</f>
        <v>1900</v>
      </c>
    </row>
    <row r="550" spans="1:68" x14ac:dyDescent="0.25">
      <c r="A550" s="201">
        <f>Prog_236[[#This Row],[CONTEINER]]</f>
        <v>0</v>
      </c>
      <c r="B550" s="86"/>
      <c r="C5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0" s="44"/>
      <c r="E550" s="66"/>
      <c r="F550" s="66"/>
      <c r="G550" s="66"/>
      <c r="H550" s="44"/>
      <c r="I550" s="44"/>
      <c r="J550" s="66"/>
      <c r="K550" s="66"/>
      <c r="L550" s="66"/>
      <c r="M550" s="66"/>
      <c r="N550" s="66">
        <f>SUM(Prog_236[[#This Row],[TARA]]+Prog_236[[#This Row],[PESO]])</f>
        <v>0</v>
      </c>
      <c r="O550" s="44"/>
      <c r="P550" s="66"/>
      <c r="Q550" s="66"/>
      <c r="R550" s="66"/>
      <c r="S550" s="66"/>
      <c r="T550" s="138" t="str">
        <f>IFERROR(LOOKUP($S550,MOTORISTAS!$D$3:$D$1048576,MOTORISTAS!E$3:$E$1048576),"")</f>
        <v/>
      </c>
      <c r="U550" s="138" t="str">
        <f>IFERROR(LOOKUP($S550,MOTORISTAS!$D$3:$D$1048576,MOTORISTAS!F$3:$F$1048576),"")</f>
        <v/>
      </c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44"/>
      <c r="AG550" s="254">
        <f>Prog_236[[#This Row],[SAÍDA DO CLIENTE]]-Prog_236[[#This Row],[PROGRAMAÇÃO CLIENTE]]</f>
        <v>0</v>
      </c>
      <c r="AH550" s="44"/>
      <c r="AI550" s="66"/>
      <c r="AJ550" s="66"/>
      <c r="AK550" s="66"/>
      <c r="AL550" s="66"/>
      <c r="AM550" s="66"/>
      <c r="AN550" s="83"/>
      <c r="AO550" s="66"/>
      <c r="AP550" s="66"/>
      <c r="AQ550" s="66"/>
      <c r="AR550" s="81"/>
      <c r="AS550" s="81"/>
      <c r="AT550" s="81"/>
      <c r="AU550" s="81"/>
      <c r="AV550" s="83">
        <f>SUM(Prog_236[[#This Row],[ADIANTAMENTO]]+Prog_236[[#This Row],[SALDO]]+Prog_236[[#This Row],[MARGEM]]+Prog_236[[#This Row],[ESTADIA 1]])</f>
        <v>0</v>
      </c>
      <c r="AW5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0" s="81"/>
      <c r="AY550" s="81"/>
      <c r="AZ550" s="81">
        <f>Prog_236[[#This Row],[VLR NF]]*0.1%</f>
        <v>0</v>
      </c>
      <c r="BA550" s="81">
        <f>Prog_236[[#This Row],[VLR NF]]*0.05%</f>
        <v>0</v>
      </c>
      <c r="BB550" s="81"/>
      <c r="BC550" s="81"/>
      <c r="BD550" s="81"/>
      <c r="BE550" s="81"/>
      <c r="BF550" s="81"/>
      <c r="BG550" s="81"/>
      <c r="BH550" s="81"/>
      <c r="BI550" s="81"/>
      <c r="BJ550" s="81"/>
      <c r="BK550" s="81"/>
      <c r="BL550" s="66"/>
      <c r="BM550" s="66"/>
      <c r="BN550" s="66"/>
      <c r="BO550" s="66" t="str">
        <f>PROPER(TEXT(Prog_236[[#This Row],[PROGRAMAÇÃO CLIENTE]],"mmm"))</f>
        <v>Jan</v>
      </c>
      <c r="BP550" s="66">
        <f>YEAR(Prog_236[[#This Row],[PROGRAMAÇÃO CLIENTE]])</f>
        <v>1900</v>
      </c>
    </row>
    <row r="551" spans="1:68" x14ac:dyDescent="0.25">
      <c r="A551" s="200">
        <f>Prog_236[[#This Row],[CONTEINER]]</f>
        <v>0</v>
      </c>
      <c r="B551" s="86"/>
      <c r="C5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1" s="44"/>
      <c r="E551" s="66"/>
      <c r="F551" s="66"/>
      <c r="G551" s="66"/>
      <c r="H551" s="44"/>
      <c r="I551" s="44"/>
      <c r="J551" s="66"/>
      <c r="K551" s="66"/>
      <c r="L551" s="66"/>
      <c r="M551" s="66"/>
      <c r="N551" s="66">
        <f>SUM(Prog_236[[#This Row],[TARA]]+Prog_236[[#This Row],[PESO]])</f>
        <v>0</v>
      </c>
      <c r="O551" s="44"/>
      <c r="P551" s="66"/>
      <c r="Q551" s="66"/>
      <c r="R551" s="66"/>
      <c r="S551" s="66"/>
      <c r="T551" s="138" t="str">
        <f>IFERROR(LOOKUP($S551,MOTORISTAS!$D$3:$D$1048576,MOTORISTAS!E$3:$E$1048576),"")</f>
        <v/>
      </c>
      <c r="U551" s="138" t="str">
        <f>IFERROR(LOOKUP($S551,MOTORISTAS!$D$3:$D$1048576,MOTORISTAS!F$3:$F$1048576),"")</f>
        <v/>
      </c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44"/>
      <c r="AG551" s="254">
        <f>Prog_236[[#This Row],[SAÍDA DO CLIENTE]]-Prog_236[[#This Row],[PROGRAMAÇÃO CLIENTE]]</f>
        <v>0</v>
      </c>
      <c r="AH551" s="44"/>
      <c r="AI551" s="66"/>
      <c r="AJ551" s="66"/>
      <c r="AK551" s="66"/>
      <c r="AL551" s="66"/>
      <c r="AM551" s="66"/>
      <c r="AN551" s="83"/>
      <c r="AO551" s="66"/>
      <c r="AP551" s="66"/>
      <c r="AQ551" s="66"/>
      <c r="AR551" s="81"/>
      <c r="AS551" s="81"/>
      <c r="AT551" s="81"/>
      <c r="AU551" s="81"/>
      <c r="AV551" s="83">
        <f>SUM(Prog_236[[#This Row],[ADIANTAMENTO]]+Prog_236[[#This Row],[SALDO]]+Prog_236[[#This Row],[MARGEM]]+Prog_236[[#This Row],[ESTADIA 1]])</f>
        <v>0</v>
      </c>
      <c r="AW5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1" s="81"/>
      <c r="AY551" s="81"/>
      <c r="AZ551" s="81">
        <f>Prog_236[[#This Row],[VLR NF]]*0.1%</f>
        <v>0</v>
      </c>
      <c r="BA551" s="81">
        <f>Prog_236[[#This Row],[VLR NF]]*0.05%</f>
        <v>0</v>
      </c>
      <c r="BB551" s="81"/>
      <c r="BC551" s="81"/>
      <c r="BD551" s="81"/>
      <c r="BE551" s="81"/>
      <c r="BF551" s="81"/>
      <c r="BG551" s="81"/>
      <c r="BH551" s="81"/>
      <c r="BI551" s="81"/>
      <c r="BJ551" s="81"/>
      <c r="BK551" s="81"/>
      <c r="BL551" s="66"/>
      <c r="BM551" s="66"/>
      <c r="BN551" s="66"/>
      <c r="BO551" s="66" t="str">
        <f>PROPER(TEXT(Prog_236[[#This Row],[PROGRAMAÇÃO CLIENTE]],"mmm"))</f>
        <v>Jan</v>
      </c>
      <c r="BP551" s="66">
        <f>YEAR(Prog_236[[#This Row],[PROGRAMAÇÃO CLIENTE]])</f>
        <v>1900</v>
      </c>
    </row>
    <row r="552" spans="1:68" x14ac:dyDescent="0.25">
      <c r="A552" s="201">
        <f>Prog_236[[#This Row],[CONTEINER]]</f>
        <v>0</v>
      </c>
      <c r="B552" s="86"/>
      <c r="C5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2" s="44"/>
      <c r="E552" s="66"/>
      <c r="F552" s="66"/>
      <c r="G552" s="66"/>
      <c r="H552" s="44"/>
      <c r="I552" s="44"/>
      <c r="J552" s="66"/>
      <c r="K552" s="66"/>
      <c r="L552" s="66"/>
      <c r="M552" s="66"/>
      <c r="N552" s="66">
        <f>SUM(Prog_236[[#This Row],[TARA]]+Prog_236[[#This Row],[PESO]])</f>
        <v>0</v>
      </c>
      <c r="O552" s="44"/>
      <c r="P552" s="66"/>
      <c r="Q552" s="66"/>
      <c r="R552" s="66"/>
      <c r="S552" s="66"/>
      <c r="T552" s="138" t="str">
        <f>IFERROR(LOOKUP($S552,MOTORISTAS!$D$3:$D$1048576,MOTORISTAS!E$3:$E$1048576),"")</f>
        <v/>
      </c>
      <c r="U552" s="138" t="str">
        <f>IFERROR(LOOKUP($S552,MOTORISTAS!$D$3:$D$1048576,MOTORISTAS!F$3:$F$1048576),"")</f>
        <v/>
      </c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44"/>
      <c r="AG552" s="254">
        <f>Prog_236[[#This Row],[SAÍDA DO CLIENTE]]-Prog_236[[#This Row],[PROGRAMAÇÃO CLIENTE]]</f>
        <v>0</v>
      </c>
      <c r="AH552" s="44"/>
      <c r="AI552" s="66"/>
      <c r="AJ552" s="66"/>
      <c r="AK552" s="66"/>
      <c r="AL552" s="66"/>
      <c r="AM552" s="66"/>
      <c r="AN552" s="83"/>
      <c r="AO552" s="66"/>
      <c r="AP552" s="66"/>
      <c r="AQ552" s="66"/>
      <c r="AR552" s="81"/>
      <c r="AS552" s="81"/>
      <c r="AT552" s="81"/>
      <c r="AU552" s="81"/>
      <c r="AV552" s="83">
        <f>SUM(Prog_236[[#This Row],[ADIANTAMENTO]]+Prog_236[[#This Row],[SALDO]]+Prog_236[[#This Row],[MARGEM]]+Prog_236[[#This Row],[ESTADIA 1]])</f>
        <v>0</v>
      </c>
      <c r="AW5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2" s="81"/>
      <c r="AY552" s="81"/>
      <c r="AZ552" s="81">
        <f>Prog_236[[#This Row],[VLR NF]]*0.1%</f>
        <v>0</v>
      </c>
      <c r="BA552" s="81">
        <f>Prog_236[[#This Row],[VLR NF]]*0.05%</f>
        <v>0</v>
      </c>
      <c r="BB552" s="81"/>
      <c r="BC552" s="81"/>
      <c r="BD552" s="81"/>
      <c r="BE552" s="81"/>
      <c r="BF552" s="81"/>
      <c r="BG552" s="81"/>
      <c r="BH552" s="81"/>
      <c r="BI552" s="81"/>
      <c r="BJ552" s="81"/>
      <c r="BK552" s="81"/>
      <c r="BL552" s="66"/>
      <c r="BM552" s="66"/>
      <c r="BN552" s="66"/>
      <c r="BO552" s="66" t="str">
        <f>PROPER(TEXT(Prog_236[[#This Row],[PROGRAMAÇÃO CLIENTE]],"mmm"))</f>
        <v>Jan</v>
      </c>
      <c r="BP552" s="66">
        <f>YEAR(Prog_236[[#This Row],[PROGRAMAÇÃO CLIENTE]])</f>
        <v>1900</v>
      </c>
    </row>
    <row r="553" spans="1:68" x14ac:dyDescent="0.25">
      <c r="A553" s="200">
        <f>Prog_236[[#This Row],[CONTEINER]]</f>
        <v>0</v>
      </c>
      <c r="B553" s="86"/>
      <c r="C5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3" s="44"/>
      <c r="E553" s="66"/>
      <c r="F553" s="66"/>
      <c r="G553" s="66"/>
      <c r="H553" s="44"/>
      <c r="I553" s="44"/>
      <c r="J553" s="66"/>
      <c r="K553" s="66"/>
      <c r="L553" s="66"/>
      <c r="M553" s="66"/>
      <c r="N553" s="66">
        <f>SUM(Prog_236[[#This Row],[TARA]]+Prog_236[[#This Row],[PESO]])</f>
        <v>0</v>
      </c>
      <c r="O553" s="44"/>
      <c r="P553" s="66"/>
      <c r="Q553" s="66"/>
      <c r="R553" s="66"/>
      <c r="S553" s="66"/>
      <c r="T553" s="138" t="str">
        <f>IFERROR(LOOKUP($S553,MOTORISTAS!$D$3:$D$1048576,MOTORISTAS!E$3:$E$1048576),"")</f>
        <v/>
      </c>
      <c r="U553" s="138" t="str">
        <f>IFERROR(LOOKUP($S553,MOTORISTAS!$D$3:$D$1048576,MOTORISTAS!F$3:$F$1048576),"")</f>
        <v/>
      </c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44"/>
      <c r="AG553" s="254">
        <f>Prog_236[[#This Row],[SAÍDA DO CLIENTE]]-Prog_236[[#This Row],[PROGRAMAÇÃO CLIENTE]]</f>
        <v>0</v>
      </c>
      <c r="AH553" s="44"/>
      <c r="AI553" s="66"/>
      <c r="AJ553" s="66"/>
      <c r="AK553" s="66"/>
      <c r="AL553" s="66"/>
      <c r="AM553" s="66"/>
      <c r="AN553" s="83"/>
      <c r="AO553" s="66"/>
      <c r="AP553" s="66"/>
      <c r="AQ553" s="66"/>
      <c r="AR553" s="81"/>
      <c r="AS553" s="81"/>
      <c r="AT553" s="81"/>
      <c r="AU553" s="81"/>
      <c r="AV553" s="83">
        <f>SUM(Prog_236[[#This Row],[ADIANTAMENTO]]+Prog_236[[#This Row],[SALDO]]+Prog_236[[#This Row],[MARGEM]]+Prog_236[[#This Row],[ESTADIA 1]])</f>
        <v>0</v>
      </c>
      <c r="AW5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3" s="81"/>
      <c r="AY553" s="81"/>
      <c r="AZ553" s="81">
        <f>Prog_236[[#This Row],[VLR NF]]*0.1%</f>
        <v>0</v>
      </c>
      <c r="BA553" s="81">
        <f>Prog_236[[#This Row],[VLR NF]]*0.05%</f>
        <v>0</v>
      </c>
      <c r="BB553" s="81"/>
      <c r="BC553" s="81"/>
      <c r="BD553" s="81"/>
      <c r="BE553" s="81"/>
      <c r="BF553" s="81"/>
      <c r="BG553" s="81"/>
      <c r="BH553" s="81"/>
      <c r="BI553" s="81"/>
      <c r="BJ553" s="81"/>
      <c r="BK553" s="81"/>
      <c r="BL553" s="66"/>
      <c r="BM553" s="66"/>
      <c r="BN553" s="66"/>
      <c r="BO553" s="66" t="str">
        <f>PROPER(TEXT(Prog_236[[#This Row],[PROGRAMAÇÃO CLIENTE]],"mmm"))</f>
        <v>Jan</v>
      </c>
      <c r="BP553" s="66">
        <f>YEAR(Prog_236[[#This Row],[PROGRAMAÇÃO CLIENTE]])</f>
        <v>1900</v>
      </c>
    </row>
    <row r="554" spans="1:68" x14ac:dyDescent="0.25">
      <c r="A554" s="201">
        <f>Prog_236[[#This Row],[CONTEINER]]</f>
        <v>0</v>
      </c>
      <c r="B554" s="86"/>
      <c r="C5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4" s="44"/>
      <c r="E554" s="66"/>
      <c r="F554" s="66"/>
      <c r="G554" s="66"/>
      <c r="H554" s="44"/>
      <c r="I554" s="44"/>
      <c r="J554" s="66"/>
      <c r="K554" s="66"/>
      <c r="L554" s="66"/>
      <c r="M554" s="66"/>
      <c r="N554" s="66">
        <f>SUM(Prog_236[[#This Row],[TARA]]+Prog_236[[#This Row],[PESO]])</f>
        <v>0</v>
      </c>
      <c r="O554" s="44"/>
      <c r="P554" s="66"/>
      <c r="Q554" s="66"/>
      <c r="R554" s="66"/>
      <c r="S554" s="66"/>
      <c r="T554" s="138" t="str">
        <f>IFERROR(LOOKUP($S554,MOTORISTAS!$D$3:$D$1048576,MOTORISTAS!E$3:$E$1048576),"")</f>
        <v/>
      </c>
      <c r="U554" s="138" t="str">
        <f>IFERROR(LOOKUP($S554,MOTORISTAS!$D$3:$D$1048576,MOTORISTAS!F$3:$F$1048576),"")</f>
        <v/>
      </c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44"/>
      <c r="AG554" s="254">
        <f>Prog_236[[#This Row],[SAÍDA DO CLIENTE]]-Prog_236[[#This Row],[PROGRAMAÇÃO CLIENTE]]</f>
        <v>0</v>
      </c>
      <c r="AH554" s="44"/>
      <c r="AI554" s="66"/>
      <c r="AJ554" s="66"/>
      <c r="AK554" s="66"/>
      <c r="AL554" s="66"/>
      <c r="AM554" s="66"/>
      <c r="AN554" s="83"/>
      <c r="AO554" s="66"/>
      <c r="AP554" s="66"/>
      <c r="AQ554" s="66"/>
      <c r="AR554" s="81"/>
      <c r="AS554" s="81"/>
      <c r="AT554" s="81"/>
      <c r="AU554" s="81"/>
      <c r="AV554" s="83">
        <f>SUM(Prog_236[[#This Row],[ADIANTAMENTO]]+Prog_236[[#This Row],[SALDO]]+Prog_236[[#This Row],[MARGEM]]+Prog_236[[#This Row],[ESTADIA 1]])</f>
        <v>0</v>
      </c>
      <c r="AW5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4" s="81"/>
      <c r="AY554" s="81"/>
      <c r="AZ554" s="81">
        <f>Prog_236[[#This Row],[VLR NF]]*0.1%</f>
        <v>0</v>
      </c>
      <c r="BA554" s="81">
        <f>Prog_236[[#This Row],[VLR NF]]*0.05%</f>
        <v>0</v>
      </c>
      <c r="BB554" s="81"/>
      <c r="BC554" s="81"/>
      <c r="BD554" s="81"/>
      <c r="BE554" s="81"/>
      <c r="BF554" s="81"/>
      <c r="BG554" s="81"/>
      <c r="BH554" s="81"/>
      <c r="BI554" s="81"/>
      <c r="BJ554" s="81"/>
      <c r="BK554" s="81"/>
      <c r="BL554" s="66"/>
      <c r="BM554" s="66"/>
      <c r="BN554" s="66"/>
      <c r="BO554" s="66" t="str">
        <f>PROPER(TEXT(Prog_236[[#This Row],[PROGRAMAÇÃO CLIENTE]],"mmm"))</f>
        <v>Jan</v>
      </c>
      <c r="BP554" s="66">
        <f>YEAR(Prog_236[[#This Row],[PROGRAMAÇÃO CLIENTE]])</f>
        <v>1900</v>
      </c>
    </row>
    <row r="555" spans="1:68" x14ac:dyDescent="0.25">
      <c r="A555" s="200">
        <f>Prog_236[[#This Row],[CONTEINER]]</f>
        <v>0</v>
      </c>
      <c r="B555" s="86"/>
      <c r="C5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5" s="44"/>
      <c r="E555" s="66"/>
      <c r="F555" s="66"/>
      <c r="G555" s="66"/>
      <c r="H555" s="44"/>
      <c r="I555" s="44"/>
      <c r="J555" s="66"/>
      <c r="K555" s="66"/>
      <c r="L555" s="66"/>
      <c r="M555" s="66"/>
      <c r="N555" s="66">
        <f>SUM(Prog_236[[#This Row],[TARA]]+Prog_236[[#This Row],[PESO]])</f>
        <v>0</v>
      </c>
      <c r="O555" s="44"/>
      <c r="P555" s="66"/>
      <c r="Q555" s="66"/>
      <c r="R555" s="66"/>
      <c r="S555" s="66"/>
      <c r="T555" s="138" t="str">
        <f>IFERROR(LOOKUP($S555,MOTORISTAS!$D$3:$D$1048576,MOTORISTAS!E$3:$E$1048576),"")</f>
        <v/>
      </c>
      <c r="U555" s="138" t="str">
        <f>IFERROR(LOOKUP($S555,MOTORISTAS!$D$3:$D$1048576,MOTORISTAS!F$3:$F$1048576),"")</f>
        <v/>
      </c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44"/>
      <c r="AG555" s="254">
        <f>Prog_236[[#This Row],[SAÍDA DO CLIENTE]]-Prog_236[[#This Row],[PROGRAMAÇÃO CLIENTE]]</f>
        <v>0</v>
      </c>
      <c r="AH555" s="44"/>
      <c r="AI555" s="66"/>
      <c r="AJ555" s="66"/>
      <c r="AK555" s="66"/>
      <c r="AL555" s="66"/>
      <c r="AM555" s="66"/>
      <c r="AN555" s="83"/>
      <c r="AO555" s="66"/>
      <c r="AP555" s="66"/>
      <c r="AQ555" s="66"/>
      <c r="AR555" s="81"/>
      <c r="AS555" s="81"/>
      <c r="AT555" s="81"/>
      <c r="AU555" s="81"/>
      <c r="AV555" s="83">
        <f>SUM(Prog_236[[#This Row],[ADIANTAMENTO]]+Prog_236[[#This Row],[SALDO]]+Prog_236[[#This Row],[MARGEM]]+Prog_236[[#This Row],[ESTADIA 1]])</f>
        <v>0</v>
      </c>
      <c r="AW5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5" s="81"/>
      <c r="AY555" s="81"/>
      <c r="AZ555" s="81">
        <f>Prog_236[[#This Row],[VLR NF]]*0.1%</f>
        <v>0</v>
      </c>
      <c r="BA555" s="81">
        <f>Prog_236[[#This Row],[VLR NF]]*0.05%</f>
        <v>0</v>
      </c>
      <c r="BB555" s="81"/>
      <c r="BC555" s="81"/>
      <c r="BD555" s="81"/>
      <c r="BE555" s="81"/>
      <c r="BF555" s="81"/>
      <c r="BG555" s="81"/>
      <c r="BH555" s="81"/>
      <c r="BI555" s="81"/>
      <c r="BJ555" s="81"/>
      <c r="BK555" s="81"/>
      <c r="BL555" s="66"/>
      <c r="BM555" s="66"/>
      <c r="BN555" s="66"/>
      <c r="BO555" s="66" t="str">
        <f>PROPER(TEXT(Prog_236[[#This Row],[PROGRAMAÇÃO CLIENTE]],"mmm"))</f>
        <v>Jan</v>
      </c>
      <c r="BP555" s="66">
        <f>YEAR(Prog_236[[#This Row],[PROGRAMAÇÃO CLIENTE]])</f>
        <v>1900</v>
      </c>
    </row>
    <row r="556" spans="1:68" x14ac:dyDescent="0.25">
      <c r="A556" s="201">
        <f>Prog_236[[#This Row],[CONTEINER]]</f>
        <v>0</v>
      </c>
      <c r="B556" s="86"/>
      <c r="C5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6" s="44"/>
      <c r="E556" s="66"/>
      <c r="F556" s="66"/>
      <c r="G556" s="66"/>
      <c r="H556" s="44"/>
      <c r="I556" s="44"/>
      <c r="J556" s="66"/>
      <c r="K556" s="66"/>
      <c r="L556" s="66"/>
      <c r="M556" s="66"/>
      <c r="N556" s="66">
        <f>SUM(Prog_236[[#This Row],[TARA]]+Prog_236[[#This Row],[PESO]])</f>
        <v>0</v>
      </c>
      <c r="O556" s="44"/>
      <c r="P556" s="66"/>
      <c r="Q556" s="66"/>
      <c r="R556" s="66"/>
      <c r="S556" s="66"/>
      <c r="T556" s="138" t="str">
        <f>IFERROR(LOOKUP($S556,MOTORISTAS!$D$3:$D$1048576,MOTORISTAS!E$3:$E$1048576),"")</f>
        <v/>
      </c>
      <c r="U556" s="138" t="str">
        <f>IFERROR(LOOKUP($S556,MOTORISTAS!$D$3:$D$1048576,MOTORISTAS!F$3:$F$1048576),"")</f>
        <v/>
      </c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44"/>
      <c r="AG556" s="254">
        <f>Prog_236[[#This Row],[SAÍDA DO CLIENTE]]-Prog_236[[#This Row],[PROGRAMAÇÃO CLIENTE]]</f>
        <v>0</v>
      </c>
      <c r="AH556" s="44"/>
      <c r="AI556" s="66"/>
      <c r="AJ556" s="66"/>
      <c r="AK556" s="66"/>
      <c r="AL556" s="66"/>
      <c r="AM556" s="66"/>
      <c r="AN556" s="83"/>
      <c r="AO556" s="66"/>
      <c r="AP556" s="66"/>
      <c r="AQ556" s="66"/>
      <c r="AR556" s="81"/>
      <c r="AS556" s="81"/>
      <c r="AT556" s="81"/>
      <c r="AU556" s="81"/>
      <c r="AV556" s="83">
        <f>SUM(Prog_236[[#This Row],[ADIANTAMENTO]]+Prog_236[[#This Row],[SALDO]]+Prog_236[[#This Row],[MARGEM]]+Prog_236[[#This Row],[ESTADIA 1]])</f>
        <v>0</v>
      </c>
      <c r="AW5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6" s="81"/>
      <c r="AY556" s="81"/>
      <c r="AZ556" s="81">
        <f>Prog_236[[#This Row],[VLR NF]]*0.1%</f>
        <v>0</v>
      </c>
      <c r="BA556" s="81">
        <f>Prog_236[[#This Row],[VLR NF]]*0.05%</f>
        <v>0</v>
      </c>
      <c r="BB556" s="81"/>
      <c r="BC556" s="81"/>
      <c r="BD556" s="81"/>
      <c r="BE556" s="81"/>
      <c r="BF556" s="81"/>
      <c r="BG556" s="81"/>
      <c r="BH556" s="81"/>
      <c r="BI556" s="81"/>
      <c r="BJ556" s="81"/>
      <c r="BK556" s="81"/>
      <c r="BL556" s="66"/>
      <c r="BM556" s="66"/>
      <c r="BN556" s="66"/>
      <c r="BO556" s="66" t="str">
        <f>PROPER(TEXT(Prog_236[[#This Row],[PROGRAMAÇÃO CLIENTE]],"mmm"))</f>
        <v>Jan</v>
      </c>
      <c r="BP556" s="66">
        <f>YEAR(Prog_236[[#This Row],[PROGRAMAÇÃO CLIENTE]])</f>
        <v>1900</v>
      </c>
    </row>
    <row r="557" spans="1:68" x14ac:dyDescent="0.25">
      <c r="A557" s="200">
        <f>Prog_236[[#This Row],[CONTEINER]]</f>
        <v>0</v>
      </c>
      <c r="B557" s="86"/>
      <c r="C5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7" s="44"/>
      <c r="E557" s="66"/>
      <c r="F557" s="66"/>
      <c r="G557" s="66"/>
      <c r="H557" s="44"/>
      <c r="I557" s="44"/>
      <c r="J557" s="66"/>
      <c r="K557" s="66"/>
      <c r="L557" s="66"/>
      <c r="M557" s="66"/>
      <c r="N557" s="66">
        <f>SUM(Prog_236[[#This Row],[TARA]]+Prog_236[[#This Row],[PESO]])</f>
        <v>0</v>
      </c>
      <c r="O557" s="44"/>
      <c r="P557" s="66"/>
      <c r="Q557" s="66"/>
      <c r="R557" s="66"/>
      <c r="S557" s="66"/>
      <c r="T557" s="138" t="str">
        <f>IFERROR(LOOKUP($S557,MOTORISTAS!$D$3:$D$1048576,MOTORISTAS!E$3:$E$1048576),"")</f>
        <v/>
      </c>
      <c r="U557" s="138" t="str">
        <f>IFERROR(LOOKUP($S557,MOTORISTAS!$D$3:$D$1048576,MOTORISTAS!F$3:$F$1048576),"")</f>
        <v/>
      </c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44"/>
      <c r="AG557" s="254">
        <f>Prog_236[[#This Row],[SAÍDA DO CLIENTE]]-Prog_236[[#This Row],[PROGRAMAÇÃO CLIENTE]]</f>
        <v>0</v>
      </c>
      <c r="AH557" s="44"/>
      <c r="AI557" s="66"/>
      <c r="AJ557" s="66"/>
      <c r="AK557" s="66"/>
      <c r="AL557" s="66"/>
      <c r="AM557" s="66"/>
      <c r="AN557" s="83"/>
      <c r="AO557" s="66"/>
      <c r="AP557" s="66"/>
      <c r="AQ557" s="66"/>
      <c r="AR557" s="81"/>
      <c r="AS557" s="81"/>
      <c r="AT557" s="81"/>
      <c r="AU557" s="81"/>
      <c r="AV557" s="83">
        <f>SUM(Prog_236[[#This Row],[ADIANTAMENTO]]+Prog_236[[#This Row],[SALDO]]+Prog_236[[#This Row],[MARGEM]]+Prog_236[[#This Row],[ESTADIA 1]])</f>
        <v>0</v>
      </c>
      <c r="AW5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7" s="81"/>
      <c r="AY557" s="81"/>
      <c r="AZ557" s="81">
        <f>Prog_236[[#This Row],[VLR NF]]*0.1%</f>
        <v>0</v>
      </c>
      <c r="BA557" s="81">
        <f>Prog_236[[#This Row],[VLR NF]]*0.05%</f>
        <v>0</v>
      </c>
      <c r="BB557" s="81"/>
      <c r="BC557" s="81"/>
      <c r="BD557" s="81"/>
      <c r="BE557" s="81"/>
      <c r="BF557" s="81"/>
      <c r="BG557" s="81"/>
      <c r="BH557" s="81"/>
      <c r="BI557" s="81"/>
      <c r="BJ557" s="81"/>
      <c r="BK557" s="81"/>
      <c r="BL557" s="66"/>
      <c r="BM557" s="66"/>
      <c r="BN557" s="66"/>
      <c r="BO557" s="66" t="str">
        <f>PROPER(TEXT(Prog_236[[#This Row],[PROGRAMAÇÃO CLIENTE]],"mmm"))</f>
        <v>Jan</v>
      </c>
      <c r="BP557" s="66">
        <f>YEAR(Prog_236[[#This Row],[PROGRAMAÇÃO CLIENTE]])</f>
        <v>1900</v>
      </c>
    </row>
    <row r="558" spans="1:68" x14ac:dyDescent="0.25">
      <c r="A558" s="201">
        <f>Prog_236[[#This Row],[CONTEINER]]</f>
        <v>0</v>
      </c>
      <c r="B558" s="86"/>
      <c r="C5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8" s="44"/>
      <c r="E558" s="66"/>
      <c r="F558" s="66"/>
      <c r="G558" s="66"/>
      <c r="H558" s="44"/>
      <c r="I558" s="44"/>
      <c r="J558" s="66"/>
      <c r="K558" s="66"/>
      <c r="L558" s="66"/>
      <c r="M558" s="66"/>
      <c r="N558" s="66">
        <f>SUM(Prog_236[[#This Row],[TARA]]+Prog_236[[#This Row],[PESO]])</f>
        <v>0</v>
      </c>
      <c r="O558" s="44"/>
      <c r="P558" s="66"/>
      <c r="Q558" s="66"/>
      <c r="R558" s="66"/>
      <c r="S558" s="66"/>
      <c r="T558" s="138" t="str">
        <f>IFERROR(LOOKUP($S558,MOTORISTAS!$D$3:$D$1048576,MOTORISTAS!E$3:$E$1048576),"")</f>
        <v/>
      </c>
      <c r="U558" s="138" t="str">
        <f>IFERROR(LOOKUP($S558,MOTORISTAS!$D$3:$D$1048576,MOTORISTAS!F$3:$F$1048576),"")</f>
        <v/>
      </c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44"/>
      <c r="AG558" s="254">
        <f>Prog_236[[#This Row],[SAÍDA DO CLIENTE]]-Prog_236[[#This Row],[PROGRAMAÇÃO CLIENTE]]</f>
        <v>0</v>
      </c>
      <c r="AH558" s="44"/>
      <c r="AI558" s="66"/>
      <c r="AJ558" s="66"/>
      <c r="AK558" s="66"/>
      <c r="AL558" s="66"/>
      <c r="AM558" s="66"/>
      <c r="AN558" s="83"/>
      <c r="AO558" s="66"/>
      <c r="AP558" s="66"/>
      <c r="AQ558" s="66"/>
      <c r="AR558" s="81"/>
      <c r="AS558" s="81"/>
      <c r="AT558" s="81"/>
      <c r="AU558" s="81"/>
      <c r="AV558" s="83">
        <f>SUM(Prog_236[[#This Row],[ADIANTAMENTO]]+Prog_236[[#This Row],[SALDO]]+Prog_236[[#This Row],[MARGEM]]+Prog_236[[#This Row],[ESTADIA 1]])</f>
        <v>0</v>
      </c>
      <c r="AW5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8" s="81"/>
      <c r="AY558" s="81"/>
      <c r="AZ558" s="81">
        <f>Prog_236[[#This Row],[VLR NF]]*0.1%</f>
        <v>0</v>
      </c>
      <c r="BA558" s="81">
        <f>Prog_236[[#This Row],[VLR NF]]*0.05%</f>
        <v>0</v>
      </c>
      <c r="BB558" s="81"/>
      <c r="BC558" s="81"/>
      <c r="BD558" s="81"/>
      <c r="BE558" s="81"/>
      <c r="BF558" s="81"/>
      <c r="BG558" s="81"/>
      <c r="BH558" s="81"/>
      <c r="BI558" s="81"/>
      <c r="BJ558" s="81"/>
      <c r="BK558" s="81"/>
      <c r="BL558" s="66"/>
      <c r="BM558" s="66"/>
      <c r="BN558" s="66"/>
      <c r="BO558" s="66" t="str">
        <f>PROPER(TEXT(Prog_236[[#This Row],[PROGRAMAÇÃO CLIENTE]],"mmm"))</f>
        <v>Jan</v>
      </c>
      <c r="BP558" s="66">
        <f>YEAR(Prog_236[[#This Row],[PROGRAMAÇÃO CLIENTE]])</f>
        <v>1900</v>
      </c>
    </row>
    <row r="559" spans="1:68" x14ac:dyDescent="0.25">
      <c r="A559" s="200">
        <f>Prog_236[[#This Row],[CONTEINER]]</f>
        <v>0</v>
      </c>
      <c r="B559" s="86"/>
      <c r="C5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59" s="44"/>
      <c r="E559" s="66"/>
      <c r="F559" s="66"/>
      <c r="G559" s="66"/>
      <c r="H559" s="44"/>
      <c r="I559" s="44"/>
      <c r="J559" s="66"/>
      <c r="K559" s="66"/>
      <c r="L559" s="66"/>
      <c r="M559" s="66"/>
      <c r="N559" s="66">
        <f>SUM(Prog_236[[#This Row],[TARA]]+Prog_236[[#This Row],[PESO]])</f>
        <v>0</v>
      </c>
      <c r="O559" s="44"/>
      <c r="P559" s="66"/>
      <c r="Q559" s="66"/>
      <c r="R559" s="66"/>
      <c r="S559" s="66"/>
      <c r="T559" s="138" t="str">
        <f>IFERROR(LOOKUP($S559,MOTORISTAS!$D$3:$D$1048576,MOTORISTAS!E$3:$E$1048576),"")</f>
        <v/>
      </c>
      <c r="U559" s="138" t="str">
        <f>IFERROR(LOOKUP($S559,MOTORISTAS!$D$3:$D$1048576,MOTORISTAS!F$3:$F$1048576),"")</f>
        <v/>
      </c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44"/>
      <c r="AG559" s="254">
        <f>Prog_236[[#This Row],[SAÍDA DO CLIENTE]]-Prog_236[[#This Row],[PROGRAMAÇÃO CLIENTE]]</f>
        <v>0</v>
      </c>
      <c r="AH559" s="44"/>
      <c r="AI559" s="66"/>
      <c r="AJ559" s="66"/>
      <c r="AK559" s="66"/>
      <c r="AL559" s="66"/>
      <c r="AM559" s="66"/>
      <c r="AN559" s="83"/>
      <c r="AO559" s="66"/>
      <c r="AP559" s="66"/>
      <c r="AQ559" s="66"/>
      <c r="AR559" s="81"/>
      <c r="AS559" s="81"/>
      <c r="AT559" s="81"/>
      <c r="AU559" s="81"/>
      <c r="AV559" s="83">
        <f>SUM(Prog_236[[#This Row],[ADIANTAMENTO]]+Prog_236[[#This Row],[SALDO]]+Prog_236[[#This Row],[MARGEM]]+Prog_236[[#This Row],[ESTADIA 1]])</f>
        <v>0</v>
      </c>
      <c r="AW5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59" s="81"/>
      <c r="AY559" s="81"/>
      <c r="AZ559" s="81">
        <f>Prog_236[[#This Row],[VLR NF]]*0.1%</f>
        <v>0</v>
      </c>
      <c r="BA559" s="81">
        <f>Prog_236[[#This Row],[VLR NF]]*0.05%</f>
        <v>0</v>
      </c>
      <c r="BB559" s="81"/>
      <c r="BC559" s="81"/>
      <c r="BD559" s="81"/>
      <c r="BE559" s="81"/>
      <c r="BF559" s="81"/>
      <c r="BG559" s="81"/>
      <c r="BH559" s="81"/>
      <c r="BI559" s="81"/>
      <c r="BJ559" s="81"/>
      <c r="BK559" s="81"/>
      <c r="BL559" s="66"/>
      <c r="BM559" s="66"/>
      <c r="BN559" s="66"/>
      <c r="BO559" s="66" t="str">
        <f>PROPER(TEXT(Prog_236[[#This Row],[PROGRAMAÇÃO CLIENTE]],"mmm"))</f>
        <v>Jan</v>
      </c>
      <c r="BP559" s="66">
        <f>YEAR(Prog_236[[#This Row],[PROGRAMAÇÃO CLIENTE]])</f>
        <v>1900</v>
      </c>
    </row>
    <row r="560" spans="1:68" x14ac:dyDescent="0.25">
      <c r="A560" s="201">
        <f>Prog_236[[#This Row],[CONTEINER]]</f>
        <v>0</v>
      </c>
      <c r="B560" s="86"/>
      <c r="C5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0" s="44"/>
      <c r="E560" s="66"/>
      <c r="F560" s="66"/>
      <c r="G560" s="66"/>
      <c r="H560" s="44"/>
      <c r="I560" s="44"/>
      <c r="J560" s="66"/>
      <c r="K560" s="66"/>
      <c r="L560" s="66"/>
      <c r="M560" s="66"/>
      <c r="N560" s="66">
        <f>SUM(Prog_236[[#This Row],[TARA]]+Prog_236[[#This Row],[PESO]])</f>
        <v>0</v>
      </c>
      <c r="O560" s="44"/>
      <c r="P560" s="66"/>
      <c r="Q560" s="66"/>
      <c r="R560" s="66"/>
      <c r="S560" s="66"/>
      <c r="T560" s="138" t="str">
        <f>IFERROR(LOOKUP($S560,MOTORISTAS!$D$3:$D$1048576,MOTORISTAS!E$3:$E$1048576),"")</f>
        <v/>
      </c>
      <c r="U560" s="138" t="str">
        <f>IFERROR(LOOKUP($S560,MOTORISTAS!$D$3:$D$1048576,MOTORISTAS!F$3:$F$1048576),"")</f>
        <v/>
      </c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44"/>
      <c r="AG560" s="254">
        <f>Prog_236[[#This Row],[SAÍDA DO CLIENTE]]-Prog_236[[#This Row],[PROGRAMAÇÃO CLIENTE]]</f>
        <v>0</v>
      </c>
      <c r="AH560" s="44"/>
      <c r="AI560" s="66"/>
      <c r="AJ560" s="66"/>
      <c r="AK560" s="66"/>
      <c r="AL560" s="66"/>
      <c r="AM560" s="66"/>
      <c r="AN560" s="83"/>
      <c r="AO560" s="66"/>
      <c r="AP560" s="66"/>
      <c r="AQ560" s="66"/>
      <c r="AR560" s="81"/>
      <c r="AS560" s="81"/>
      <c r="AT560" s="81"/>
      <c r="AU560" s="81"/>
      <c r="AV560" s="83">
        <f>SUM(Prog_236[[#This Row],[ADIANTAMENTO]]+Prog_236[[#This Row],[SALDO]]+Prog_236[[#This Row],[MARGEM]]+Prog_236[[#This Row],[ESTADIA 1]])</f>
        <v>0</v>
      </c>
      <c r="AW5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0" s="81"/>
      <c r="AY560" s="81"/>
      <c r="AZ560" s="81">
        <f>Prog_236[[#This Row],[VLR NF]]*0.1%</f>
        <v>0</v>
      </c>
      <c r="BA560" s="81">
        <f>Prog_236[[#This Row],[VLR NF]]*0.05%</f>
        <v>0</v>
      </c>
      <c r="BB560" s="81"/>
      <c r="BC560" s="81"/>
      <c r="BD560" s="81"/>
      <c r="BE560" s="81"/>
      <c r="BF560" s="81"/>
      <c r="BG560" s="81"/>
      <c r="BH560" s="81"/>
      <c r="BI560" s="81"/>
      <c r="BJ560" s="81"/>
      <c r="BK560" s="81"/>
      <c r="BL560" s="66"/>
      <c r="BM560" s="66"/>
      <c r="BN560" s="66"/>
      <c r="BO560" s="66" t="str">
        <f>PROPER(TEXT(Prog_236[[#This Row],[PROGRAMAÇÃO CLIENTE]],"mmm"))</f>
        <v>Jan</v>
      </c>
      <c r="BP560" s="66">
        <f>YEAR(Prog_236[[#This Row],[PROGRAMAÇÃO CLIENTE]])</f>
        <v>1900</v>
      </c>
    </row>
    <row r="561" spans="1:68" x14ac:dyDescent="0.25">
      <c r="A561" s="200">
        <f>Prog_236[[#This Row],[CONTEINER]]</f>
        <v>0</v>
      </c>
      <c r="B561" s="86"/>
      <c r="C5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1" s="44"/>
      <c r="E561" s="66"/>
      <c r="F561" s="66"/>
      <c r="G561" s="66"/>
      <c r="H561" s="44"/>
      <c r="I561" s="44"/>
      <c r="J561" s="66"/>
      <c r="K561" s="66"/>
      <c r="L561" s="66"/>
      <c r="M561" s="66"/>
      <c r="N561" s="66">
        <f>SUM(Prog_236[[#This Row],[TARA]]+Prog_236[[#This Row],[PESO]])</f>
        <v>0</v>
      </c>
      <c r="O561" s="44"/>
      <c r="P561" s="66"/>
      <c r="Q561" s="66"/>
      <c r="R561" s="66"/>
      <c r="S561" s="66"/>
      <c r="T561" s="138" t="str">
        <f>IFERROR(LOOKUP($S561,MOTORISTAS!$D$3:$D$1048576,MOTORISTAS!E$3:$E$1048576),"")</f>
        <v/>
      </c>
      <c r="U561" s="138" t="str">
        <f>IFERROR(LOOKUP($S561,MOTORISTAS!$D$3:$D$1048576,MOTORISTAS!F$3:$F$1048576),"")</f>
        <v/>
      </c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44"/>
      <c r="AG561" s="254">
        <f>Prog_236[[#This Row],[SAÍDA DO CLIENTE]]-Prog_236[[#This Row],[PROGRAMAÇÃO CLIENTE]]</f>
        <v>0</v>
      </c>
      <c r="AH561" s="44"/>
      <c r="AI561" s="66"/>
      <c r="AJ561" s="66"/>
      <c r="AK561" s="66"/>
      <c r="AL561" s="66"/>
      <c r="AM561" s="66"/>
      <c r="AN561" s="83"/>
      <c r="AO561" s="66"/>
      <c r="AP561" s="66"/>
      <c r="AQ561" s="66"/>
      <c r="AR561" s="81"/>
      <c r="AS561" s="81"/>
      <c r="AT561" s="81"/>
      <c r="AU561" s="81"/>
      <c r="AV561" s="83">
        <f>SUM(Prog_236[[#This Row],[ADIANTAMENTO]]+Prog_236[[#This Row],[SALDO]]+Prog_236[[#This Row],[MARGEM]]+Prog_236[[#This Row],[ESTADIA 1]])</f>
        <v>0</v>
      </c>
      <c r="AW5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1" s="81"/>
      <c r="AY561" s="81"/>
      <c r="AZ561" s="81">
        <f>Prog_236[[#This Row],[VLR NF]]*0.1%</f>
        <v>0</v>
      </c>
      <c r="BA561" s="81">
        <f>Prog_236[[#This Row],[VLR NF]]*0.05%</f>
        <v>0</v>
      </c>
      <c r="BB561" s="81"/>
      <c r="BC561" s="81"/>
      <c r="BD561" s="81"/>
      <c r="BE561" s="81"/>
      <c r="BF561" s="81"/>
      <c r="BG561" s="81"/>
      <c r="BH561" s="81"/>
      <c r="BI561" s="81"/>
      <c r="BJ561" s="81"/>
      <c r="BK561" s="81"/>
      <c r="BL561" s="66"/>
      <c r="BM561" s="66"/>
      <c r="BN561" s="66"/>
      <c r="BO561" s="66" t="str">
        <f>PROPER(TEXT(Prog_236[[#This Row],[PROGRAMAÇÃO CLIENTE]],"mmm"))</f>
        <v>Jan</v>
      </c>
      <c r="BP561" s="66">
        <f>YEAR(Prog_236[[#This Row],[PROGRAMAÇÃO CLIENTE]])</f>
        <v>1900</v>
      </c>
    </row>
    <row r="562" spans="1:68" x14ac:dyDescent="0.25">
      <c r="A562" s="201">
        <f>Prog_236[[#This Row],[CONTEINER]]</f>
        <v>0</v>
      </c>
      <c r="B562" s="86"/>
      <c r="C5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2" s="44"/>
      <c r="E562" s="66"/>
      <c r="F562" s="66"/>
      <c r="G562" s="66"/>
      <c r="H562" s="44"/>
      <c r="I562" s="44"/>
      <c r="J562" s="66"/>
      <c r="K562" s="66"/>
      <c r="L562" s="66"/>
      <c r="M562" s="66"/>
      <c r="N562" s="66">
        <f>SUM(Prog_236[[#This Row],[TARA]]+Prog_236[[#This Row],[PESO]])</f>
        <v>0</v>
      </c>
      <c r="O562" s="44"/>
      <c r="P562" s="66"/>
      <c r="Q562" s="66"/>
      <c r="R562" s="66"/>
      <c r="S562" s="66"/>
      <c r="T562" s="138" t="str">
        <f>IFERROR(LOOKUP($S562,MOTORISTAS!$D$3:$D$1048576,MOTORISTAS!E$3:$E$1048576),"")</f>
        <v/>
      </c>
      <c r="U562" s="138" t="str">
        <f>IFERROR(LOOKUP($S562,MOTORISTAS!$D$3:$D$1048576,MOTORISTAS!F$3:$F$1048576),"")</f>
        <v/>
      </c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44"/>
      <c r="AG562" s="254">
        <f>Prog_236[[#This Row],[SAÍDA DO CLIENTE]]-Prog_236[[#This Row],[PROGRAMAÇÃO CLIENTE]]</f>
        <v>0</v>
      </c>
      <c r="AH562" s="44"/>
      <c r="AI562" s="66"/>
      <c r="AJ562" s="66"/>
      <c r="AK562" s="66"/>
      <c r="AL562" s="66"/>
      <c r="AM562" s="66"/>
      <c r="AN562" s="83"/>
      <c r="AO562" s="66"/>
      <c r="AP562" s="66"/>
      <c r="AQ562" s="66"/>
      <c r="AR562" s="81"/>
      <c r="AS562" s="81"/>
      <c r="AT562" s="81"/>
      <c r="AU562" s="81"/>
      <c r="AV562" s="83">
        <f>SUM(Prog_236[[#This Row],[ADIANTAMENTO]]+Prog_236[[#This Row],[SALDO]]+Prog_236[[#This Row],[MARGEM]]+Prog_236[[#This Row],[ESTADIA 1]])</f>
        <v>0</v>
      </c>
      <c r="AW5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2" s="81"/>
      <c r="AY562" s="81"/>
      <c r="AZ562" s="81">
        <f>Prog_236[[#This Row],[VLR NF]]*0.1%</f>
        <v>0</v>
      </c>
      <c r="BA562" s="81">
        <f>Prog_236[[#This Row],[VLR NF]]*0.05%</f>
        <v>0</v>
      </c>
      <c r="BB562" s="81"/>
      <c r="BC562" s="81"/>
      <c r="BD562" s="81"/>
      <c r="BE562" s="81"/>
      <c r="BF562" s="81"/>
      <c r="BG562" s="81"/>
      <c r="BH562" s="81"/>
      <c r="BI562" s="81"/>
      <c r="BJ562" s="81"/>
      <c r="BK562" s="81"/>
      <c r="BL562" s="66"/>
      <c r="BM562" s="66"/>
      <c r="BN562" s="66"/>
      <c r="BO562" s="66" t="str">
        <f>PROPER(TEXT(Prog_236[[#This Row],[PROGRAMAÇÃO CLIENTE]],"mmm"))</f>
        <v>Jan</v>
      </c>
      <c r="BP562" s="66">
        <f>YEAR(Prog_236[[#This Row],[PROGRAMAÇÃO CLIENTE]])</f>
        <v>1900</v>
      </c>
    </row>
    <row r="563" spans="1:68" x14ac:dyDescent="0.25">
      <c r="A563" s="200">
        <f>Prog_236[[#This Row],[CONTEINER]]</f>
        <v>0</v>
      </c>
      <c r="B563" s="86"/>
      <c r="C5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3" s="44"/>
      <c r="E563" s="66"/>
      <c r="F563" s="66"/>
      <c r="G563" s="66"/>
      <c r="H563" s="44"/>
      <c r="I563" s="44"/>
      <c r="J563" s="66"/>
      <c r="K563" s="66"/>
      <c r="L563" s="66"/>
      <c r="M563" s="66"/>
      <c r="N563" s="66">
        <f>SUM(Prog_236[[#This Row],[TARA]]+Prog_236[[#This Row],[PESO]])</f>
        <v>0</v>
      </c>
      <c r="O563" s="44"/>
      <c r="P563" s="66"/>
      <c r="Q563" s="66"/>
      <c r="R563" s="66"/>
      <c r="S563" s="66"/>
      <c r="T563" s="138" t="str">
        <f>IFERROR(LOOKUP($S563,MOTORISTAS!$D$3:$D$1048576,MOTORISTAS!E$3:$E$1048576),"")</f>
        <v/>
      </c>
      <c r="U563" s="138" t="str">
        <f>IFERROR(LOOKUP($S563,MOTORISTAS!$D$3:$D$1048576,MOTORISTAS!F$3:$F$1048576),"")</f>
        <v/>
      </c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44"/>
      <c r="AG563" s="254">
        <f>Prog_236[[#This Row],[SAÍDA DO CLIENTE]]-Prog_236[[#This Row],[PROGRAMAÇÃO CLIENTE]]</f>
        <v>0</v>
      </c>
      <c r="AH563" s="44"/>
      <c r="AI563" s="66"/>
      <c r="AJ563" s="66"/>
      <c r="AK563" s="66"/>
      <c r="AL563" s="66"/>
      <c r="AM563" s="66"/>
      <c r="AN563" s="83"/>
      <c r="AO563" s="66"/>
      <c r="AP563" s="66"/>
      <c r="AQ563" s="66"/>
      <c r="AR563" s="81"/>
      <c r="AS563" s="81"/>
      <c r="AT563" s="81"/>
      <c r="AU563" s="81"/>
      <c r="AV563" s="83">
        <f>SUM(Prog_236[[#This Row],[ADIANTAMENTO]]+Prog_236[[#This Row],[SALDO]]+Prog_236[[#This Row],[MARGEM]]+Prog_236[[#This Row],[ESTADIA 1]])</f>
        <v>0</v>
      </c>
      <c r="AW5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3" s="81"/>
      <c r="AY563" s="81"/>
      <c r="AZ563" s="81">
        <f>Prog_236[[#This Row],[VLR NF]]*0.1%</f>
        <v>0</v>
      </c>
      <c r="BA563" s="81">
        <f>Prog_236[[#This Row],[VLR NF]]*0.05%</f>
        <v>0</v>
      </c>
      <c r="BB563" s="81"/>
      <c r="BC563" s="81"/>
      <c r="BD563" s="81"/>
      <c r="BE563" s="81"/>
      <c r="BF563" s="81"/>
      <c r="BG563" s="81"/>
      <c r="BH563" s="81"/>
      <c r="BI563" s="81"/>
      <c r="BJ563" s="81"/>
      <c r="BK563" s="81"/>
      <c r="BL563" s="66"/>
      <c r="BM563" s="66"/>
      <c r="BN563" s="66"/>
      <c r="BO563" s="66" t="str">
        <f>PROPER(TEXT(Prog_236[[#This Row],[PROGRAMAÇÃO CLIENTE]],"mmm"))</f>
        <v>Jan</v>
      </c>
      <c r="BP563" s="66">
        <f>YEAR(Prog_236[[#This Row],[PROGRAMAÇÃO CLIENTE]])</f>
        <v>1900</v>
      </c>
    </row>
    <row r="564" spans="1:68" x14ac:dyDescent="0.25">
      <c r="A564" s="201">
        <f>Prog_236[[#This Row],[CONTEINER]]</f>
        <v>0</v>
      </c>
      <c r="B564" s="86"/>
      <c r="C5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4" s="44"/>
      <c r="E564" s="66"/>
      <c r="F564" s="66"/>
      <c r="G564" s="66"/>
      <c r="H564" s="44"/>
      <c r="I564" s="44"/>
      <c r="J564" s="66"/>
      <c r="K564" s="66"/>
      <c r="L564" s="66"/>
      <c r="M564" s="66"/>
      <c r="N564" s="66">
        <f>SUM(Prog_236[[#This Row],[TARA]]+Prog_236[[#This Row],[PESO]])</f>
        <v>0</v>
      </c>
      <c r="O564" s="44"/>
      <c r="P564" s="66"/>
      <c r="Q564" s="66"/>
      <c r="R564" s="66"/>
      <c r="S564" s="66"/>
      <c r="T564" s="138" t="str">
        <f>IFERROR(LOOKUP($S564,MOTORISTAS!$D$3:$D$1048576,MOTORISTAS!E$3:$E$1048576),"")</f>
        <v/>
      </c>
      <c r="U564" s="138" t="str">
        <f>IFERROR(LOOKUP($S564,MOTORISTAS!$D$3:$D$1048576,MOTORISTAS!F$3:$F$1048576),"")</f>
        <v/>
      </c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44"/>
      <c r="AG564" s="254">
        <f>Prog_236[[#This Row],[SAÍDA DO CLIENTE]]-Prog_236[[#This Row],[PROGRAMAÇÃO CLIENTE]]</f>
        <v>0</v>
      </c>
      <c r="AH564" s="44"/>
      <c r="AI564" s="66"/>
      <c r="AJ564" s="66"/>
      <c r="AK564" s="66"/>
      <c r="AL564" s="66"/>
      <c r="AM564" s="66"/>
      <c r="AN564" s="83"/>
      <c r="AO564" s="66"/>
      <c r="AP564" s="66"/>
      <c r="AQ564" s="66"/>
      <c r="AR564" s="81"/>
      <c r="AS564" s="81"/>
      <c r="AT564" s="81"/>
      <c r="AU564" s="81"/>
      <c r="AV564" s="83">
        <f>SUM(Prog_236[[#This Row],[ADIANTAMENTO]]+Prog_236[[#This Row],[SALDO]]+Prog_236[[#This Row],[MARGEM]]+Prog_236[[#This Row],[ESTADIA 1]])</f>
        <v>0</v>
      </c>
      <c r="AW5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4" s="81"/>
      <c r="AY564" s="81"/>
      <c r="AZ564" s="81">
        <f>Prog_236[[#This Row],[VLR NF]]*0.1%</f>
        <v>0</v>
      </c>
      <c r="BA564" s="81">
        <f>Prog_236[[#This Row],[VLR NF]]*0.05%</f>
        <v>0</v>
      </c>
      <c r="BB564" s="81"/>
      <c r="BC564" s="81"/>
      <c r="BD564" s="81"/>
      <c r="BE564" s="81"/>
      <c r="BF564" s="81"/>
      <c r="BG564" s="81"/>
      <c r="BH564" s="81"/>
      <c r="BI564" s="81"/>
      <c r="BJ564" s="81"/>
      <c r="BK564" s="81"/>
      <c r="BL564" s="66"/>
      <c r="BM564" s="66"/>
      <c r="BN564" s="66"/>
      <c r="BO564" s="66" t="str">
        <f>PROPER(TEXT(Prog_236[[#This Row],[PROGRAMAÇÃO CLIENTE]],"mmm"))</f>
        <v>Jan</v>
      </c>
      <c r="BP564" s="66">
        <f>YEAR(Prog_236[[#This Row],[PROGRAMAÇÃO CLIENTE]])</f>
        <v>1900</v>
      </c>
    </row>
    <row r="565" spans="1:68" x14ac:dyDescent="0.25">
      <c r="A565" s="200">
        <f>Prog_236[[#This Row],[CONTEINER]]</f>
        <v>0</v>
      </c>
      <c r="B565" s="86"/>
      <c r="C5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5" s="44"/>
      <c r="E565" s="66"/>
      <c r="F565" s="66"/>
      <c r="G565" s="66"/>
      <c r="H565" s="44"/>
      <c r="I565" s="44"/>
      <c r="J565" s="66"/>
      <c r="K565" s="66"/>
      <c r="L565" s="66"/>
      <c r="M565" s="66"/>
      <c r="N565" s="66">
        <f>SUM(Prog_236[[#This Row],[TARA]]+Prog_236[[#This Row],[PESO]])</f>
        <v>0</v>
      </c>
      <c r="O565" s="44"/>
      <c r="P565" s="66"/>
      <c r="Q565" s="66"/>
      <c r="R565" s="66"/>
      <c r="S565" s="66"/>
      <c r="T565" s="138" t="str">
        <f>IFERROR(LOOKUP($S565,MOTORISTAS!$D$3:$D$1048576,MOTORISTAS!E$3:$E$1048576),"")</f>
        <v/>
      </c>
      <c r="U565" s="138" t="str">
        <f>IFERROR(LOOKUP($S565,MOTORISTAS!$D$3:$D$1048576,MOTORISTAS!F$3:$F$1048576),"")</f>
        <v/>
      </c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44"/>
      <c r="AG565" s="254">
        <f>Prog_236[[#This Row],[SAÍDA DO CLIENTE]]-Prog_236[[#This Row],[PROGRAMAÇÃO CLIENTE]]</f>
        <v>0</v>
      </c>
      <c r="AH565" s="44"/>
      <c r="AI565" s="66"/>
      <c r="AJ565" s="66"/>
      <c r="AK565" s="66"/>
      <c r="AL565" s="66"/>
      <c r="AM565" s="66"/>
      <c r="AN565" s="83"/>
      <c r="AO565" s="66"/>
      <c r="AP565" s="66"/>
      <c r="AQ565" s="66"/>
      <c r="AR565" s="81"/>
      <c r="AS565" s="81"/>
      <c r="AT565" s="81"/>
      <c r="AU565" s="81"/>
      <c r="AV565" s="83">
        <f>SUM(Prog_236[[#This Row],[ADIANTAMENTO]]+Prog_236[[#This Row],[SALDO]]+Prog_236[[#This Row],[MARGEM]]+Prog_236[[#This Row],[ESTADIA 1]])</f>
        <v>0</v>
      </c>
      <c r="AW5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5" s="81"/>
      <c r="AY565" s="81"/>
      <c r="AZ565" s="81">
        <f>Prog_236[[#This Row],[VLR NF]]*0.1%</f>
        <v>0</v>
      </c>
      <c r="BA565" s="81">
        <f>Prog_236[[#This Row],[VLR NF]]*0.05%</f>
        <v>0</v>
      </c>
      <c r="BB565" s="81"/>
      <c r="BC565" s="81"/>
      <c r="BD565" s="81"/>
      <c r="BE565" s="81"/>
      <c r="BF565" s="81"/>
      <c r="BG565" s="81"/>
      <c r="BH565" s="81"/>
      <c r="BI565" s="81"/>
      <c r="BJ565" s="81"/>
      <c r="BK565" s="81"/>
      <c r="BL565" s="66"/>
      <c r="BM565" s="66"/>
      <c r="BN565" s="66"/>
      <c r="BO565" s="66" t="str">
        <f>PROPER(TEXT(Prog_236[[#This Row],[PROGRAMAÇÃO CLIENTE]],"mmm"))</f>
        <v>Jan</v>
      </c>
      <c r="BP565" s="66">
        <f>YEAR(Prog_236[[#This Row],[PROGRAMAÇÃO CLIENTE]])</f>
        <v>1900</v>
      </c>
    </row>
    <row r="566" spans="1:68" x14ac:dyDescent="0.25">
      <c r="A566" s="201">
        <f>Prog_236[[#This Row],[CONTEINER]]</f>
        <v>0</v>
      </c>
      <c r="B566" s="86"/>
      <c r="C5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6" s="44"/>
      <c r="E566" s="66"/>
      <c r="F566" s="66"/>
      <c r="G566" s="66"/>
      <c r="H566" s="44"/>
      <c r="I566" s="44"/>
      <c r="J566" s="66"/>
      <c r="K566" s="66"/>
      <c r="L566" s="66"/>
      <c r="M566" s="66"/>
      <c r="N566" s="66">
        <f>SUM(Prog_236[[#This Row],[TARA]]+Prog_236[[#This Row],[PESO]])</f>
        <v>0</v>
      </c>
      <c r="O566" s="44"/>
      <c r="P566" s="66"/>
      <c r="Q566" s="66"/>
      <c r="R566" s="66"/>
      <c r="S566" s="66"/>
      <c r="T566" s="138" t="str">
        <f>IFERROR(LOOKUP($S566,MOTORISTAS!$D$3:$D$1048576,MOTORISTAS!E$3:$E$1048576),"")</f>
        <v/>
      </c>
      <c r="U566" s="138" t="str">
        <f>IFERROR(LOOKUP($S566,MOTORISTAS!$D$3:$D$1048576,MOTORISTAS!F$3:$F$1048576),"")</f>
        <v/>
      </c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44"/>
      <c r="AG566" s="254">
        <f>Prog_236[[#This Row],[SAÍDA DO CLIENTE]]-Prog_236[[#This Row],[PROGRAMAÇÃO CLIENTE]]</f>
        <v>0</v>
      </c>
      <c r="AH566" s="44"/>
      <c r="AI566" s="66"/>
      <c r="AJ566" s="66"/>
      <c r="AK566" s="66"/>
      <c r="AL566" s="66"/>
      <c r="AM566" s="66"/>
      <c r="AN566" s="83"/>
      <c r="AO566" s="66"/>
      <c r="AP566" s="66"/>
      <c r="AQ566" s="66"/>
      <c r="AR566" s="81"/>
      <c r="AS566" s="81"/>
      <c r="AT566" s="81"/>
      <c r="AU566" s="81"/>
      <c r="AV566" s="83">
        <f>SUM(Prog_236[[#This Row],[ADIANTAMENTO]]+Prog_236[[#This Row],[SALDO]]+Prog_236[[#This Row],[MARGEM]]+Prog_236[[#This Row],[ESTADIA 1]])</f>
        <v>0</v>
      </c>
      <c r="AW5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6" s="81"/>
      <c r="AY566" s="81"/>
      <c r="AZ566" s="81">
        <f>Prog_236[[#This Row],[VLR NF]]*0.1%</f>
        <v>0</v>
      </c>
      <c r="BA566" s="81">
        <f>Prog_236[[#This Row],[VLR NF]]*0.05%</f>
        <v>0</v>
      </c>
      <c r="BB566" s="81"/>
      <c r="BC566" s="81"/>
      <c r="BD566" s="81"/>
      <c r="BE566" s="81"/>
      <c r="BF566" s="81"/>
      <c r="BG566" s="81"/>
      <c r="BH566" s="81"/>
      <c r="BI566" s="81"/>
      <c r="BJ566" s="81"/>
      <c r="BK566" s="81"/>
      <c r="BL566" s="66"/>
      <c r="BM566" s="66"/>
      <c r="BN566" s="66"/>
      <c r="BO566" s="66" t="str">
        <f>PROPER(TEXT(Prog_236[[#This Row],[PROGRAMAÇÃO CLIENTE]],"mmm"))</f>
        <v>Jan</v>
      </c>
      <c r="BP566" s="66">
        <f>YEAR(Prog_236[[#This Row],[PROGRAMAÇÃO CLIENTE]])</f>
        <v>1900</v>
      </c>
    </row>
    <row r="567" spans="1:68" x14ac:dyDescent="0.25">
      <c r="A567" s="200">
        <f>Prog_236[[#This Row],[CONTEINER]]</f>
        <v>0</v>
      </c>
      <c r="B567" s="86"/>
      <c r="C5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7" s="44"/>
      <c r="E567" s="66"/>
      <c r="F567" s="66"/>
      <c r="G567" s="66"/>
      <c r="H567" s="44"/>
      <c r="I567" s="44"/>
      <c r="J567" s="66"/>
      <c r="K567" s="66"/>
      <c r="L567" s="66"/>
      <c r="M567" s="66"/>
      <c r="N567" s="66">
        <f>SUM(Prog_236[[#This Row],[TARA]]+Prog_236[[#This Row],[PESO]])</f>
        <v>0</v>
      </c>
      <c r="O567" s="44"/>
      <c r="P567" s="66"/>
      <c r="Q567" s="66"/>
      <c r="R567" s="66"/>
      <c r="S567" s="66"/>
      <c r="T567" s="138" t="str">
        <f>IFERROR(LOOKUP($S567,MOTORISTAS!$D$3:$D$1048576,MOTORISTAS!E$3:$E$1048576),"")</f>
        <v/>
      </c>
      <c r="U567" s="138" t="str">
        <f>IFERROR(LOOKUP($S567,MOTORISTAS!$D$3:$D$1048576,MOTORISTAS!F$3:$F$1048576),"")</f>
        <v/>
      </c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44"/>
      <c r="AG567" s="254">
        <f>Prog_236[[#This Row],[SAÍDA DO CLIENTE]]-Prog_236[[#This Row],[PROGRAMAÇÃO CLIENTE]]</f>
        <v>0</v>
      </c>
      <c r="AH567" s="44"/>
      <c r="AI567" s="66"/>
      <c r="AJ567" s="66"/>
      <c r="AK567" s="66"/>
      <c r="AL567" s="66"/>
      <c r="AM567" s="66"/>
      <c r="AN567" s="83"/>
      <c r="AO567" s="66"/>
      <c r="AP567" s="66"/>
      <c r="AQ567" s="66"/>
      <c r="AR567" s="81"/>
      <c r="AS567" s="81"/>
      <c r="AT567" s="81"/>
      <c r="AU567" s="81"/>
      <c r="AV567" s="83">
        <f>SUM(Prog_236[[#This Row],[ADIANTAMENTO]]+Prog_236[[#This Row],[SALDO]]+Prog_236[[#This Row],[MARGEM]]+Prog_236[[#This Row],[ESTADIA 1]])</f>
        <v>0</v>
      </c>
      <c r="AW5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7" s="81"/>
      <c r="AY567" s="81"/>
      <c r="AZ567" s="81">
        <f>Prog_236[[#This Row],[VLR NF]]*0.1%</f>
        <v>0</v>
      </c>
      <c r="BA567" s="81">
        <f>Prog_236[[#This Row],[VLR NF]]*0.05%</f>
        <v>0</v>
      </c>
      <c r="BB567" s="81"/>
      <c r="BC567" s="81"/>
      <c r="BD567" s="81"/>
      <c r="BE567" s="81"/>
      <c r="BF567" s="81"/>
      <c r="BG567" s="81"/>
      <c r="BH567" s="81"/>
      <c r="BI567" s="81"/>
      <c r="BJ567" s="81"/>
      <c r="BK567" s="81"/>
      <c r="BL567" s="66"/>
      <c r="BM567" s="66"/>
      <c r="BN567" s="66"/>
      <c r="BO567" s="66" t="str">
        <f>PROPER(TEXT(Prog_236[[#This Row],[PROGRAMAÇÃO CLIENTE]],"mmm"))</f>
        <v>Jan</v>
      </c>
      <c r="BP567" s="66">
        <f>YEAR(Prog_236[[#This Row],[PROGRAMAÇÃO CLIENTE]])</f>
        <v>1900</v>
      </c>
    </row>
    <row r="568" spans="1:68" x14ac:dyDescent="0.25">
      <c r="A568" s="201">
        <f>Prog_236[[#This Row],[CONTEINER]]</f>
        <v>0</v>
      </c>
      <c r="B568" s="86"/>
      <c r="C5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8" s="44"/>
      <c r="E568" s="66"/>
      <c r="F568" s="66"/>
      <c r="G568" s="66"/>
      <c r="H568" s="44"/>
      <c r="I568" s="44"/>
      <c r="J568" s="66"/>
      <c r="K568" s="66"/>
      <c r="L568" s="66"/>
      <c r="M568" s="66"/>
      <c r="N568" s="66">
        <f>SUM(Prog_236[[#This Row],[TARA]]+Prog_236[[#This Row],[PESO]])</f>
        <v>0</v>
      </c>
      <c r="O568" s="44"/>
      <c r="P568" s="66"/>
      <c r="Q568" s="66"/>
      <c r="R568" s="66"/>
      <c r="S568" s="66"/>
      <c r="T568" s="138" t="str">
        <f>IFERROR(LOOKUP($S568,MOTORISTAS!$D$3:$D$1048576,MOTORISTAS!E$3:$E$1048576),"")</f>
        <v/>
      </c>
      <c r="U568" s="138" t="str">
        <f>IFERROR(LOOKUP($S568,MOTORISTAS!$D$3:$D$1048576,MOTORISTAS!F$3:$F$1048576),"")</f>
        <v/>
      </c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44"/>
      <c r="AG568" s="254">
        <f>Prog_236[[#This Row],[SAÍDA DO CLIENTE]]-Prog_236[[#This Row],[PROGRAMAÇÃO CLIENTE]]</f>
        <v>0</v>
      </c>
      <c r="AH568" s="44"/>
      <c r="AI568" s="66"/>
      <c r="AJ568" s="66"/>
      <c r="AK568" s="66"/>
      <c r="AL568" s="66"/>
      <c r="AM568" s="66"/>
      <c r="AN568" s="83"/>
      <c r="AO568" s="66"/>
      <c r="AP568" s="66"/>
      <c r="AQ568" s="66"/>
      <c r="AR568" s="81"/>
      <c r="AS568" s="81"/>
      <c r="AT568" s="81"/>
      <c r="AU568" s="81"/>
      <c r="AV568" s="83">
        <f>SUM(Prog_236[[#This Row],[ADIANTAMENTO]]+Prog_236[[#This Row],[SALDO]]+Prog_236[[#This Row],[MARGEM]]+Prog_236[[#This Row],[ESTADIA 1]])</f>
        <v>0</v>
      </c>
      <c r="AW5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8" s="81"/>
      <c r="AY568" s="81"/>
      <c r="AZ568" s="81">
        <f>Prog_236[[#This Row],[VLR NF]]*0.1%</f>
        <v>0</v>
      </c>
      <c r="BA568" s="81">
        <f>Prog_236[[#This Row],[VLR NF]]*0.05%</f>
        <v>0</v>
      </c>
      <c r="BB568" s="81"/>
      <c r="BC568" s="81"/>
      <c r="BD568" s="81"/>
      <c r="BE568" s="81"/>
      <c r="BF568" s="81"/>
      <c r="BG568" s="81"/>
      <c r="BH568" s="81"/>
      <c r="BI568" s="81"/>
      <c r="BJ568" s="81"/>
      <c r="BK568" s="81"/>
      <c r="BL568" s="66"/>
      <c r="BM568" s="66"/>
      <c r="BN568" s="66"/>
      <c r="BO568" s="66" t="str">
        <f>PROPER(TEXT(Prog_236[[#This Row],[PROGRAMAÇÃO CLIENTE]],"mmm"))</f>
        <v>Jan</v>
      </c>
      <c r="BP568" s="66">
        <f>YEAR(Prog_236[[#This Row],[PROGRAMAÇÃO CLIENTE]])</f>
        <v>1900</v>
      </c>
    </row>
    <row r="569" spans="1:68" x14ac:dyDescent="0.25">
      <c r="A569" s="200">
        <f>Prog_236[[#This Row],[CONTEINER]]</f>
        <v>0</v>
      </c>
      <c r="B569" s="86"/>
      <c r="C5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69" s="44"/>
      <c r="E569" s="66"/>
      <c r="F569" s="66"/>
      <c r="G569" s="66"/>
      <c r="H569" s="44"/>
      <c r="I569" s="44"/>
      <c r="J569" s="66"/>
      <c r="K569" s="66"/>
      <c r="L569" s="66"/>
      <c r="M569" s="66"/>
      <c r="N569" s="66">
        <f>SUM(Prog_236[[#This Row],[TARA]]+Prog_236[[#This Row],[PESO]])</f>
        <v>0</v>
      </c>
      <c r="O569" s="44"/>
      <c r="P569" s="66"/>
      <c r="Q569" s="66"/>
      <c r="R569" s="66"/>
      <c r="S569" s="66"/>
      <c r="T569" s="138" t="str">
        <f>IFERROR(LOOKUP($S569,MOTORISTAS!$D$3:$D$1048576,MOTORISTAS!E$3:$E$1048576),"")</f>
        <v/>
      </c>
      <c r="U569" s="138" t="str">
        <f>IFERROR(LOOKUP($S569,MOTORISTAS!$D$3:$D$1048576,MOTORISTAS!F$3:$F$1048576),"")</f>
        <v/>
      </c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44"/>
      <c r="AG569" s="254">
        <f>Prog_236[[#This Row],[SAÍDA DO CLIENTE]]-Prog_236[[#This Row],[PROGRAMAÇÃO CLIENTE]]</f>
        <v>0</v>
      </c>
      <c r="AH569" s="44"/>
      <c r="AI569" s="66"/>
      <c r="AJ569" s="66"/>
      <c r="AK569" s="66"/>
      <c r="AL569" s="66"/>
      <c r="AM569" s="66"/>
      <c r="AN569" s="83"/>
      <c r="AO569" s="66"/>
      <c r="AP569" s="66"/>
      <c r="AQ569" s="66"/>
      <c r="AR569" s="81"/>
      <c r="AS569" s="81"/>
      <c r="AT569" s="81"/>
      <c r="AU569" s="81"/>
      <c r="AV569" s="83">
        <f>SUM(Prog_236[[#This Row],[ADIANTAMENTO]]+Prog_236[[#This Row],[SALDO]]+Prog_236[[#This Row],[MARGEM]]+Prog_236[[#This Row],[ESTADIA 1]])</f>
        <v>0</v>
      </c>
      <c r="AW5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69" s="81"/>
      <c r="AY569" s="81"/>
      <c r="AZ569" s="81">
        <f>Prog_236[[#This Row],[VLR NF]]*0.1%</f>
        <v>0</v>
      </c>
      <c r="BA569" s="81">
        <f>Prog_236[[#This Row],[VLR NF]]*0.05%</f>
        <v>0</v>
      </c>
      <c r="BB569" s="81"/>
      <c r="BC569" s="81"/>
      <c r="BD569" s="81"/>
      <c r="BE569" s="81"/>
      <c r="BF569" s="81"/>
      <c r="BG569" s="81"/>
      <c r="BH569" s="81"/>
      <c r="BI569" s="81"/>
      <c r="BJ569" s="81"/>
      <c r="BK569" s="81"/>
      <c r="BL569" s="66"/>
      <c r="BM569" s="66"/>
      <c r="BN569" s="66"/>
      <c r="BO569" s="66" t="str">
        <f>PROPER(TEXT(Prog_236[[#This Row],[PROGRAMAÇÃO CLIENTE]],"mmm"))</f>
        <v>Jan</v>
      </c>
      <c r="BP569" s="66">
        <f>YEAR(Prog_236[[#This Row],[PROGRAMAÇÃO CLIENTE]])</f>
        <v>1900</v>
      </c>
    </row>
    <row r="570" spans="1:68" x14ac:dyDescent="0.25">
      <c r="A570" s="201">
        <f>Prog_236[[#This Row],[CONTEINER]]</f>
        <v>0</v>
      </c>
      <c r="B570" s="86"/>
      <c r="C5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0" s="44"/>
      <c r="E570" s="66"/>
      <c r="F570" s="66"/>
      <c r="G570" s="66"/>
      <c r="H570" s="44"/>
      <c r="I570" s="44"/>
      <c r="J570" s="66"/>
      <c r="K570" s="66"/>
      <c r="L570" s="66"/>
      <c r="M570" s="66"/>
      <c r="N570" s="66">
        <f>SUM(Prog_236[[#This Row],[TARA]]+Prog_236[[#This Row],[PESO]])</f>
        <v>0</v>
      </c>
      <c r="O570" s="44"/>
      <c r="P570" s="66"/>
      <c r="Q570" s="66"/>
      <c r="R570" s="66"/>
      <c r="S570" s="66"/>
      <c r="T570" s="138" t="str">
        <f>IFERROR(LOOKUP($S570,MOTORISTAS!$D$3:$D$1048576,MOTORISTAS!E$3:$E$1048576),"")</f>
        <v/>
      </c>
      <c r="U570" s="138" t="str">
        <f>IFERROR(LOOKUP($S570,MOTORISTAS!$D$3:$D$1048576,MOTORISTAS!F$3:$F$1048576),"")</f>
        <v/>
      </c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44"/>
      <c r="AG570" s="254">
        <f>Prog_236[[#This Row],[SAÍDA DO CLIENTE]]-Prog_236[[#This Row],[PROGRAMAÇÃO CLIENTE]]</f>
        <v>0</v>
      </c>
      <c r="AH570" s="44"/>
      <c r="AI570" s="66"/>
      <c r="AJ570" s="66"/>
      <c r="AK570" s="66"/>
      <c r="AL570" s="66"/>
      <c r="AM570" s="66"/>
      <c r="AN570" s="83"/>
      <c r="AO570" s="66"/>
      <c r="AP570" s="66"/>
      <c r="AQ570" s="66"/>
      <c r="AR570" s="81"/>
      <c r="AS570" s="81"/>
      <c r="AT570" s="81"/>
      <c r="AU570" s="81"/>
      <c r="AV570" s="83">
        <f>SUM(Prog_236[[#This Row],[ADIANTAMENTO]]+Prog_236[[#This Row],[SALDO]]+Prog_236[[#This Row],[MARGEM]]+Prog_236[[#This Row],[ESTADIA 1]])</f>
        <v>0</v>
      </c>
      <c r="AW5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0" s="81"/>
      <c r="AY570" s="81"/>
      <c r="AZ570" s="81">
        <f>Prog_236[[#This Row],[VLR NF]]*0.1%</f>
        <v>0</v>
      </c>
      <c r="BA570" s="81">
        <f>Prog_236[[#This Row],[VLR NF]]*0.05%</f>
        <v>0</v>
      </c>
      <c r="BB570" s="81"/>
      <c r="BC570" s="81"/>
      <c r="BD570" s="81"/>
      <c r="BE570" s="81"/>
      <c r="BF570" s="81"/>
      <c r="BG570" s="81"/>
      <c r="BH570" s="81"/>
      <c r="BI570" s="81"/>
      <c r="BJ570" s="81"/>
      <c r="BK570" s="81"/>
      <c r="BL570" s="66"/>
      <c r="BM570" s="66"/>
      <c r="BN570" s="66"/>
      <c r="BO570" s="66" t="str">
        <f>PROPER(TEXT(Prog_236[[#This Row],[PROGRAMAÇÃO CLIENTE]],"mmm"))</f>
        <v>Jan</v>
      </c>
      <c r="BP570" s="66">
        <f>YEAR(Prog_236[[#This Row],[PROGRAMAÇÃO CLIENTE]])</f>
        <v>1900</v>
      </c>
    </row>
    <row r="571" spans="1:68" x14ac:dyDescent="0.25">
      <c r="A571" s="200">
        <f>Prog_236[[#This Row],[CONTEINER]]</f>
        <v>0</v>
      </c>
      <c r="B571" s="86"/>
      <c r="C5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1" s="44"/>
      <c r="E571" s="66"/>
      <c r="F571" s="66"/>
      <c r="G571" s="66"/>
      <c r="H571" s="44"/>
      <c r="I571" s="44"/>
      <c r="J571" s="66"/>
      <c r="K571" s="66"/>
      <c r="L571" s="66"/>
      <c r="M571" s="66"/>
      <c r="N571" s="66">
        <f>SUM(Prog_236[[#This Row],[TARA]]+Prog_236[[#This Row],[PESO]])</f>
        <v>0</v>
      </c>
      <c r="O571" s="44"/>
      <c r="P571" s="66"/>
      <c r="Q571" s="66"/>
      <c r="R571" s="66"/>
      <c r="S571" s="66"/>
      <c r="T571" s="138" t="str">
        <f>IFERROR(LOOKUP($S571,MOTORISTAS!$D$3:$D$1048576,MOTORISTAS!E$3:$E$1048576),"")</f>
        <v/>
      </c>
      <c r="U571" s="138" t="str">
        <f>IFERROR(LOOKUP($S571,MOTORISTAS!$D$3:$D$1048576,MOTORISTAS!F$3:$F$1048576),"")</f>
        <v/>
      </c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44"/>
      <c r="AG571" s="254">
        <f>Prog_236[[#This Row],[SAÍDA DO CLIENTE]]-Prog_236[[#This Row],[PROGRAMAÇÃO CLIENTE]]</f>
        <v>0</v>
      </c>
      <c r="AH571" s="44"/>
      <c r="AI571" s="66"/>
      <c r="AJ571" s="66"/>
      <c r="AK571" s="66"/>
      <c r="AL571" s="66"/>
      <c r="AM571" s="66"/>
      <c r="AN571" s="83"/>
      <c r="AO571" s="66"/>
      <c r="AP571" s="66"/>
      <c r="AQ571" s="66"/>
      <c r="AR571" s="81"/>
      <c r="AS571" s="81"/>
      <c r="AT571" s="81"/>
      <c r="AU571" s="81"/>
      <c r="AV571" s="83">
        <f>SUM(Prog_236[[#This Row],[ADIANTAMENTO]]+Prog_236[[#This Row],[SALDO]]+Prog_236[[#This Row],[MARGEM]]+Prog_236[[#This Row],[ESTADIA 1]])</f>
        <v>0</v>
      </c>
      <c r="AW5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1" s="81"/>
      <c r="AY571" s="81"/>
      <c r="AZ571" s="81">
        <f>Prog_236[[#This Row],[VLR NF]]*0.1%</f>
        <v>0</v>
      </c>
      <c r="BA571" s="81">
        <f>Prog_236[[#This Row],[VLR NF]]*0.05%</f>
        <v>0</v>
      </c>
      <c r="BB571" s="81"/>
      <c r="BC571" s="81"/>
      <c r="BD571" s="81"/>
      <c r="BE571" s="81"/>
      <c r="BF571" s="81"/>
      <c r="BG571" s="81"/>
      <c r="BH571" s="81"/>
      <c r="BI571" s="81"/>
      <c r="BJ571" s="81"/>
      <c r="BK571" s="81"/>
      <c r="BL571" s="66"/>
      <c r="BM571" s="66"/>
      <c r="BN571" s="66"/>
      <c r="BO571" s="66" t="str">
        <f>PROPER(TEXT(Prog_236[[#This Row],[PROGRAMAÇÃO CLIENTE]],"mmm"))</f>
        <v>Jan</v>
      </c>
      <c r="BP571" s="66">
        <f>YEAR(Prog_236[[#This Row],[PROGRAMAÇÃO CLIENTE]])</f>
        <v>1900</v>
      </c>
    </row>
    <row r="572" spans="1:68" x14ac:dyDescent="0.25">
      <c r="A572" s="201">
        <f>Prog_236[[#This Row],[CONTEINER]]</f>
        <v>0</v>
      </c>
      <c r="B572" s="86"/>
      <c r="C5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2" s="44"/>
      <c r="E572" s="66"/>
      <c r="F572" s="66"/>
      <c r="G572" s="66"/>
      <c r="H572" s="44"/>
      <c r="I572" s="44"/>
      <c r="J572" s="66"/>
      <c r="K572" s="66"/>
      <c r="L572" s="66"/>
      <c r="M572" s="66"/>
      <c r="N572" s="66">
        <f>SUM(Prog_236[[#This Row],[TARA]]+Prog_236[[#This Row],[PESO]])</f>
        <v>0</v>
      </c>
      <c r="O572" s="44"/>
      <c r="P572" s="66"/>
      <c r="Q572" s="66"/>
      <c r="R572" s="66"/>
      <c r="S572" s="66"/>
      <c r="T572" s="138" t="str">
        <f>IFERROR(LOOKUP($S572,MOTORISTAS!$D$3:$D$1048576,MOTORISTAS!E$3:$E$1048576),"")</f>
        <v/>
      </c>
      <c r="U572" s="138" t="str">
        <f>IFERROR(LOOKUP($S572,MOTORISTAS!$D$3:$D$1048576,MOTORISTAS!F$3:$F$1048576),"")</f>
        <v/>
      </c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44"/>
      <c r="AG572" s="254">
        <f>Prog_236[[#This Row],[SAÍDA DO CLIENTE]]-Prog_236[[#This Row],[PROGRAMAÇÃO CLIENTE]]</f>
        <v>0</v>
      </c>
      <c r="AH572" s="44"/>
      <c r="AI572" s="66"/>
      <c r="AJ572" s="66"/>
      <c r="AK572" s="66"/>
      <c r="AL572" s="66"/>
      <c r="AM572" s="66"/>
      <c r="AN572" s="83"/>
      <c r="AO572" s="66"/>
      <c r="AP572" s="66"/>
      <c r="AQ572" s="66"/>
      <c r="AR572" s="81"/>
      <c r="AS572" s="81"/>
      <c r="AT572" s="81"/>
      <c r="AU572" s="81"/>
      <c r="AV572" s="83">
        <f>SUM(Prog_236[[#This Row],[ADIANTAMENTO]]+Prog_236[[#This Row],[SALDO]]+Prog_236[[#This Row],[MARGEM]]+Prog_236[[#This Row],[ESTADIA 1]])</f>
        <v>0</v>
      </c>
      <c r="AW5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2" s="81"/>
      <c r="AY572" s="81"/>
      <c r="AZ572" s="81">
        <f>Prog_236[[#This Row],[VLR NF]]*0.1%</f>
        <v>0</v>
      </c>
      <c r="BA572" s="81">
        <f>Prog_236[[#This Row],[VLR NF]]*0.05%</f>
        <v>0</v>
      </c>
      <c r="BB572" s="81"/>
      <c r="BC572" s="81"/>
      <c r="BD572" s="81"/>
      <c r="BE572" s="81"/>
      <c r="BF572" s="81"/>
      <c r="BG572" s="81"/>
      <c r="BH572" s="81"/>
      <c r="BI572" s="81"/>
      <c r="BJ572" s="81"/>
      <c r="BK572" s="81"/>
      <c r="BL572" s="66"/>
      <c r="BM572" s="66"/>
      <c r="BN572" s="66"/>
      <c r="BO572" s="66" t="str">
        <f>PROPER(TEXT(Prog_236[[#This Row],[PROGRAMAÇÃO CLIENTE]],"mmm"))</f>
        <v>Jan</v>
      </c>
      <c r="BP572" s="66">
        <f>YEAR(Prog_236[[#This Row],[PROGRAMAÇÃO CLIENTE]])</f>
        <v>1900</v>
      </c>
    </row>
    <row r="573" spans="1:68" x14ac:dyDescent="0.25">
      <c r="A573" s="200">
        <f>Prog_236[[#This Row],[CONTEINER]]</f>
        <v>0</v>
      </c>
      <c r="B573" s="86"/>
      <c r="C5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3" s="44"/>
      <c r="E573" s="66"/>
      <c r="F573" s="66"/>
      <c r="G573" s="66"/>
      <c r="H573" s="44"/>
      <c r="I573" s="44"/>
      <c r="J573" s="66"/>
      <c r="K573" s="66"/>
      <c r="L573" s="66"/>
      <c r="M573" s="66"/>
      <c r="N573" s="66">
        <f>SUM(Prog_236[[#This Row],[TARA]]+Prog_236[[#This Row],[PESO]])</f>
        <v>0</v>
      </c>
      <c r="O573" s="44"/>
      <c r="P573" s="66"/>
      <c r="Q573" s="66"/>
      <c r="R573" s="66"/>
      <c r="S573" s="66"/>
      <c r="T573" s="138" t="str">
        <f>IFERROR(LOOKUP($S573,MOTORISTAS!$D$3:$D$1048576,MOTORISTAS!E$3:$E$1048576),"")</f>
        <v/>
      </c>
      <c r="U573" s="138" t="str">
        <f>IFERROR(LOOKUP($S573,MOTORISTAS!$D$3:$D$1048576,MOTORISTAS!F$3:$F$1048576),"")</f>
        <v/>
      </c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44"/>
      <c r="AG573" s="254">
        <f>Prog_236[[#This Row],[SAÍDA DO CLIENTE]]-Prog_236[[#This Row],[PROGRAMAÇÃO CLIENTE]]</f>
        <v>0</v>
      </c>
      <c r="AH573" s="44"/>
      <c r="AI573" s="66"/>
      <c r="AJ573" s="66"/>
      <c r="AK573" s="66"/>
      <c r="AL573" s="66"/>
      <c r="AM573" s="66"/>
      <c r="AN573" s="83"/>
      <c r="AO573" s="66"/>
      <c r="AP573" s="66"/>
      <c r="AQ573" s="66"/>
      <c r="AR573" s="81"/>
      <c r="AS573" s="81"/>
      <c r="AT573" s="81"/>
      <c r="AU573" s="81"/>
      <c r="AV573" s="83">
        <f>SUM(Prog_236[[#This Row],[ADIANTAMENTO]]+Prog_236[[#This Row],[SALDO]]+Prog_236[[#This Row],[MARGEM]]+Prog_236[[#This Row],[ESTADIA 1]])</f>
        <v>0</v>
      </c>
      <c r="AW5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3" s="81"/>
      <c r="AY573" s="81"/>
      <c r="AZ573" s="81">
        <f>Prog_236[[#This Row],[VLR NF]]*0.1%</f>
        <v>0</v>
      </c>
      <c r="BA573" s="81">
        <f>Prog_236[[#This Row],[VLR NF]]*0.05%</f>
        <v>0</v>
      </c>
      <c r="BB573" s="81"/>
      <c r="BC573" s="81"/>
      <c r="BD573" s="81"/>
      <c r="BE573" s="81"/>
      <c r="BF573" s="81"/>
      <c r="BG573" s="81"/>
      <c r="BH573" s="81"/>
      <c r="BI573" s="81"/>
      <c r="BJ573" s="81"/>
      <c r="BK573" s="81"/>
      <c r="BL573" s="66"/>
      <c r="BM573" s="66"/>
      <c r="BN573" s="66"/>
      <c r="BO573" s="66" t="str">
        <f>PROPER(TEXT(Prog_236[[#This Row],[PROGRAMAÇÃO CLIENTE]],"mmm"))</f>
        <v>Jan</v>
      </c>
      <c r="BP573" s="66">
        <f>YEAR(Prog_236[[#This Row],[PROGRAMAÇÃO CLIENTE]])</f>
        <v>1900</v>
      </c>
    </row>
    <row r="574" spans="1:68" x14ac:dyDescent="0.25">
      <c r="A574" s="201">
        <f>Prog_236[[#This Row],[CONTEINER]]</f>
        <v>0</v>
      </c>
      <c r="B574" s="86"/>
      <c r="C5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4" s="44"/>
      <c r="E574" s="66"/>
      <c r="F574" s="66"/>
      <c r="G574" s="66"/>
      <c r="H574" s="44"/>
      <c r="I574" s="44"/>
      <c r="J574" s="66"/>
      <c r="K574" s="66"/>
      <c r="L574" s="66"/>
      <c r="M574" s="66"/>
      <c r="N574" s="66">
        <f>SUM(Prog_236[[#This Row],[TARA]]+Prog_236[[#This Row],[PESO]])</f>
        <v>0</v>
      </c>
      <c r="O574" s="44"/>
      <c r="P574" s="66"/>
      <c r="Q574" s="66"/>
      <c r="R574" s="66"/>
      <c r="S574" s="66"/>
      <c r="T574" s="138" t="str">
        <f>IFERROR(LOOKUP($S574,MOTORISTAS!$D$3:$D$1048576,MOTORISTAS!E$3:$E$1048576),"")</f>
        <v/>
      </c>
      <c r="U574" s="138" t="str">
        <f>IFERROR(LOOKUP($S574,MOTORISTAS!$D$3:$D$1048576,MOTORISTAS!F$3:$F$1048576),"")</f>
        <v/>
      </c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44"/>
      <c r="AG574" s="254">
        <f>Prog_236[[#This Row],[SAÍDA DO CLIENTE]]-Prog_236[[#This Row],[PROGRAMAÇÃO CLIENTE]]</f>
        <v>0</v>
      </c>
      <c r="AH574" s="44"/>
      <c r="AI574" s="66"/>
      <c r="AJ574" s="66"/>
      <c r="AK574" s="66"/>
      <c r="AL574" s="66"/>
      <c r="AM574" s="66"/>
      <c r="AN574" s="83"/>
      <c r="AO574" s="66"/>
      <c r="AP574" s="66"/>
      <c r="AQ574" s="66"/>
      <c r="AR574" s="81"/>
      <c r="AS574" s="81"/>
      <c r="AT574" s="81"/>
      <c r="AU574" s="81"/>
      <c r="AV574" s="83">
        <f>SUM(Prog_236[[#This Row],[ADIANTAMENTO]]+Prog_236[[#This Row],[SALDO]]+Prog_236[[#This Row],[MARGEM]]+Prog_236[[#This Row],[ESTADIA 1]])</f>
        <v>0</v>
      </c>
      <c r="AW5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4" s="81"/>
      <c r="AY574" s="81"/>
      <c r="AZ574" s="81">
        <f>Prog_236[[#This Row],[VLR NF]]*0.1%</f>
        <v>0</v>
      </c>
      <c r="BA574" s="81">
        <f>Prog_236[[#This Row],[VLR NF]]*0.05%</f>
        <v>0</v>
      </c>
      <c r="BB574" s="81"/>
      <c r="BC574" s="81"/>
      <c r="BD574" s="81"/>
      <c r="BE574" s="81"/>
      <c r="BF574" s="81"/>
      <c r="BG574" s="81"/>
      <c r="BH574" s="81"/>
      <c r="BI574" s="81"/>
      <c r="BJ574" s="81"/>
      <c r="BK574" s="81"/>
      <c r="BL574" s="66"/>
      <c r="BM574" s="66"/>
      <c r="BN574" s="66"/>
      <c r="BO574" s="66" t="str">
        <f>PROPER(TEXT(Prog_236[[#This Row],[PROGRAMAÇÃO CLIENTE]],"mmm"))</f>
        <v>Jan</v>
      </c>
      <c r="BP574" s="66">
        <f>YEAR(Prog_236[[#This Row],[PROGRAMAÇÃO CLIENTE]])</f>
        <v>1900</v>
      </c>
    </row>
    <row r="575" spans="1:68" x14ac:dyDescent="0.25">
      <c r="A575" s="200">
        <f>Prog_236[[#This Row],[CONTEINER]]</f>
        <v>0</v>
      </c>
      <c r="B575" s="86"/>
      <c r="C5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5" s="44"/>
      <c r="E575" s="66"/>
      <c r="F575" s="66"/>
      <c r="G575" s="66"/>
      <c r="H575" s="44"/>
      <c r="I575" s="44"/>
      <c r="J575" s="66"/>
      <c r="K575" s="66"/>
      <c r="L575" s="66"/>
      <c r="M575" s="66"/>
      <c r="N575" s="66">
        <f>SUM(Prog_236[[#This Row],[TARA]]+Prog_236[[#This Row],[PESO]])</f>
        <v>0</v>
      </c>
      <c r="O575" s="44"/>
      <c r="P575" s="66"/>
      <c r="Q575" s="66"/>
      <c r="R575" s="66"/>
      <c r="S575" s="66"/>
      <c r="T575" s="138" t="str">
        <f>IFERROR(LOOKUP($S575,MOTORISTAS!$D$3:$D$1048576,MOTORISTAS!E$3:$E$1048576),"")</f>
        <v/>
      </c>
      <c r="U575" s="138" t="str">
        <f>IFERROR(LOOKUP($S575,MOTORISTAS!$D$3:$D$1048576,MOTORISTAS!F$3:$F$1048576),"")</f>
        <v/>
      </c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44"/>
      <c r="AG575" s="254">
        <f>Prog_236[[#This Row],[SAÍDA DO CLIENTE]]-Prog_236[[#This Row],[PROGRAMAÇÃO CLIENTE]]</f>
        <v>0</v>
      </c>
      <c r="AH575" s="44"/>
      <c r="AI575" s="66"/>
      <c r="AJ575" s="66"/>
      <c r="AK575" s="66"/>
      <c r="AL575" s="66"/>
      <c r="AM575" s="66"/>
      <c r="AN575" s="83"/>
      <c r="AO575" s="66"/>
      <c r="AP575" s="66"/>
      <c r="AQ575" s="66"/>
      <c r="AR575" s="81"/>
      <c r="AS575" s="81"/>
      <c r="AT575" s="81"/>
      <c r="AU575" s="81"/>
      <c r="AV575" s="83">
        <f>SUM(Prog_236[[#This Row],[ADIANTAMENTO]]+Prog_236[[#This Row],[SALDO]]+Prog_236[[#This Row],[MARGEM]]+Prog_236[[#This Row],[ESTADIA 1]])</f>
        <v>0</v>
      </c>
      <c r="AW5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5" s="81"/>
      <c r="AY575" s="81"/>
      <c r="AZ575" s="81">
        <f>Prog_236[[#This Row],[VLR NF]]*0.1%</f>
        <v>0</v>
      </c>
      <c r="BA575" s="81">
        <f>Prog_236[[#This Row],[VLR NF]]*0.05%</f>
        <v>0</v>
      </c>
      <c r="BB575" s="81"/>
      <c r="BC575" s="81"/>
      <c r="BD575" s="81"/>
      <c r="BE575" s="81"/>
      <c r="BF575" s="81"/>
      <c r="BG575" s="81"/>
      <c r="BH575" s="81"/>
      <c r="BI575" s="81"/>
      <c r="BJ575" s="81"/>
      <c r="BK575" s="81"/>
      <c r="BL575" s="66"/>
      <c r="BM575" s="66"/>
      <c r="BN575" s="66"/>
      <c r="BO575" s="66" t="str">
        <f>PROPER(TEXT(Prog_236[[#This Row],[PROGRAMAÇÃO CLIENTE]],"mmm"))</f>
        <v>Jan</v>
      </c>
      <c r="BP575" s="66">
        <f>YEAR(Prog_236[[#This Row],[PROGRAMAÇÃO CLIENTE]])</f>
        <v>1900</v>
      </c>
    </row>
    <row r="576" spans="1:68" x14ac:dyDescent="0.25">
      <c r="A576" s="201">
        <f>Prog_236[[#This Row],[CONTEINER]]</f>
        <v>0</v>
      </c>
      <c r="B576" s="86"/>
      <c r="C5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6" s="44"/>
      <c r="E576" s="66"/>
      <c r="F576" s="66"/>
      <c r="G576" s="66"/>
      <c r="H576" s="44"/>
      <c r="I576" s="44"/>
      <c r="J576" s="66"/>
      <c r="K576" s="66"/>
      <c r="L576" s="66"/>
      <c r="M576" s="66"/>
      <c r="N576" s="66">
        <f>SUM(Prog_236[[#This Row],[TARA]]+Prog_236[[#This Row],[PESO]])</f>
        <v>0</v>
      </c>
      <c r="O576" s="44"/>
      <c r="P576" s="66"/>
      <c r="Q576" s="66"/>
      <c r="R576" s="66"/>
      <c r="S576" s="66"/>
      <c r="T576" s="138" t="str">
        <f>IFERROR(LOOKUP($S576,MOTORISTAS!$D$3:$D$1048576,MOTORISTAS!E$3:$E$1048576),"")</f>
        <v/>
      </c>
      <c r="U576" s="138" t="str">
        <f>IFERROR(LOOKUP($S576,MOTORISTAS!$D$3:$D$1048576,MOTORISTAS!F$3:$F$1048576),"")</f>
        <v/>
      </c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44"/>
      <c r="AG576" s="254">
        <f>Prog_236[[#This Row],[SAÍDA DO CLIENTE]]-Prog_236[[#This Row],[PROGRAMAÇÃO CLIENTE]]</f>
        <v>0</v>
      </c>
      <c r="AH576" s="44"/>
      <c r="AI576" s="66"/>
      <c r="AJ576" s="66"/>
      <c r="AK576" s="66"/>
      <c r="AL576" s="66"/>
      <c r="AM576" s="66"/>
      <c r="AN576" s="83"/>
      <c r="AO576" s="66"/>
      <c r="AP576" s="66"/>
      <c r="AQ576" s="66"/>
      <c r="AR576" s="81"/>
      <c r="AS576" s="81"/>
      <c r="AT576" s="81"/>
      <c r="AU576" s="81"/>
      <c r="AV576" s="83">
        <f>SUM(Prog_236[[#This Row],[ADIANTAMENTO]]+Prog_236[[#This Row],[SALDO]]+Prog_236[[#This Row],[MARGEM]]+Prog_236[[#This Row],[ESTADIA 1]])</f>
        <v>0</v>
      </c>
      <c r="AW5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6" s="81"/>
      <c r="AY576" s="81"/>
      <c r="AZ576" s="81">
        <f>Prog_236[[#This Row],[VLR NF]]*0.1%</f>
        <v>0</v>
      </c>
      <c r="BA576" s="81">
        <f>Prog_236[[#This Row],[VLR NF]]*0.05%</f>
        <v>0</v>
      </c>
      <c r="BB576" s="81"/>
      <c r="BC576" s="81"/>
      <c r="BD576" s="81"/>
      <c r="BE576" s="81"/>
      <c r="BF576" s="81"/>
      <c r="BG576" s="81"/>
      <c r="BH576" s="81"/>
      <c r="BI576" s="81"/>
      <c r="BJ576" s="81"/>
      <c r="BK576" s="81"/>
      <c r="BL576" s="66"/>
      <c r="BM576" s="66"/>
      <c r="BN576" s="66"/>
      <c r="BO576" s="66" t="str">
        <f>PROPER(TEXT(Prog_236[[#This Row],[PROGRAMAÇÃO CLIENTE]],"mmm"))</f>
        <v>Jan</v>
      </c>
      <c r="BP576" s="66">
        <f>YEAR(Prog_236[[#This Row],[PROGRAMAÇÃO CLIENTE]])</f>
        <v>1900</v>
      </c>
    </row>
    <row r="577" spans="1:68" x14ac:dyDescent="0.25">
      <c r="A577" s="200">
        <f>Prog_236[[#This Row],[CONTEINER]]</f>
        <v>0</v>
      </c>
      <c r="B577" s="86"/>
      <c r="C5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7" s="44"/>
      <c r="E577" s="66"/>
      <c r="F577" s="66"/>
      <c r="G577" s="66"/>
      <c r="H577" s="44"/>
      <c r="I577" s="44"/>
      <c r="J577" s="66"/>
      <c r="K577" s="66"/>
      <c r="L577" s="66"/>
      <c r="M577" s="66"/>
      <c r="N577" s="66">
        <f>SUM(Prog_236[[#This Row],[TARA]]+Prog_236[[#This Row],[PESO]])</f>
        <v>0</v>
      </c>
      <c r="O577" s="44"/>
      <c r="P577" s="66"/>
      <c r="Q577" s="66"/>
      <c r="R577" s="66"/>
      <c r="S577" s="66"/>
      <c r="T577" s="138" t="str">
        <f>IFERROR(LOOKUP($S577,MOTORISTAS!$D$3:$D$1048576,MOTORISTAS!E$3:$E$1048576),"")</f>
        <v/>
      </c>
      <c r="U577" s="138" t="str">
        <f>IFERROR(LOOKUP($S577,MOTORISTAS!$D$3:$D$1048576,MOTORISTAS!F$3:$F$1048576),"")</f>
        <v/>
      </c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44"/>
      <c r="AG577" s="254">
        <f>Prog_236[[#This Row],[SAÍDA DO CLIENTE]]-Prog_236[[#This Row],[PROGRAMAÇÃO CLIENTE]]</f>
        <v>0</v>
      </c>
      <c r="AH577" s="44"/>
      <c r="AI577" s="66"/>
      <c r="AJ577" s="66"/>
      <c r="AK577" s="66"/>
      <c r="AL577" s="66"/>
      <c r="AM577" s="66"/>
      <c r="AN577" s="83"/>
      <c r="AO577" s="66"/>
      <c r="AP577" s="66"/>
      <c r="AQ577" s="66"/>
      <c r="AR577" s="81"/>
      <c r="AS577" s="81"/>
      <c r="AT577" s="81"/>
      <c r="AU577" s="81"/>
      <c r="AV577" s="83">
        <f>SUM(Prog_236[[#This Row],[ADIANTAMENTO]]+Prog_236[[#This Row],[SALDO]]+Prog_236[[#This Row],[MARGEM]]+Prog_236[[#This Row],[ESTADIA 1]])</f>
        <v>0</v>
      </c>
      <c r="AW5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7" s="81"/>
      <c r="AY577" s="81"/>
      <c r="AZ577" s="81">
        <f>Prog_236[[#This Row],[VLR NF]]*0.1%</f>
        <v>0</v>
      </c>
      <c r="BA577" s="81">
        <f>Prog_236[[#This Row],[VLR NF]]*0.05%</f>
        <v>0</v>
      </c>
      <c r="BB577" s="81"/>
      <c r="BC577" s="81"/>
      <c r="BD577" s="81"/>
      <c r="BE577" s="81"/>
      <c r="BF577" s="81"/>
      <c r="BG577" s="81"/>
      <c r="BH577" s="81"/>
      <c r="BI577" s="81"/>
      <c r="BJ577" s="81"/>
      <c r="BK577" s="81"/>
      <c r="BL577" s="66"/>
      <c r="BM577" s="66"/>
      <c r="BN577" s="66"/>
      <c r="BO577" s="66" t="str">
        <f>PROPER(TEXT(Prog_236[[#This Row],[PROGRAMAÇÃO CLIENTE]],"mmm"))</f>
        <v>Jan</v>
      </c>
      <c r="BP577" s="66">
        <f>YEAR(Prog_236[[#This Row],[PROGRAMAÇÃO CLIENTE]])</f>
        <v>1900</v>
      </c>
    </row>
    <row r="578" spans="1:68" x14ac:dyDescent="0.25">
      <c r="A578" s="201">
        <f>Prog_236[[#This Row],[CONTEINER]]</f>
        <v>0</v>
      </c>
      <c r="B578" s="86"/>
      <c r="C5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8" s="44"/>
      <c r="E578" s="66"/>
      <c r="F578" s="66"/>
      <c r="G578" s="66"/>
      <c r="H578" s="44"/>
      <c r="I578" s="44"/>
      <c r="J578" s="66"/>
      <c r="K578" s="66"/>
      <c r="L578" s="66"/>
      <c r="M578" s="66"/>
      <c r="N578" s="66">
        <f>SUM(Prog_236[[#This Row],[TARA]]+Prog_236[[#This Row],[PESO]])</f>
        <v>0</v>
      </c>
      <c r="O578" s="44"/>
      <c r="P578" s="66"/>
      <c r="Q578" s="66"/>
      <c r="R578" s="66"/>
      <c r="S578" s="66"/>
      <c r="T578" s="138" t="str">
        <f>IFERROR(LOOKUP($S578,MOTORISTAS!$D$3:$D$1048576,MOTORISTAS!E$3:$E$1048576),"")</f>
        <v/>
      </c>
      <c r="U578" s="138" t="str">
        <f>IFERROR(LOOKUP($S578,MOTORISTAS!$D$3:$D$1048576,MOTORISTAS!F$3:$F$1048576),"")</f>
        <v/>
      </c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44"/>
      <c r="AG578" s="254">
        <f>Prog_236[[#This Row],[SAÍDA DO CLIENTE]]-Prog_236[[#This Row],[PROGRAMAÇÃO CLIENTE]]</f>
        <v>0</v>
      </c>
      <c r="AH578" s="44"/>
      <c r="AI578" s="66"/>
      <c r="AJ578" s="66"/>
      <c r="AK578" s="66"/>
      <c r="AL578" s="66"/>
      <c r="AM578" s="66"/>
      <c r="AN578" s="83"/>
      <c r="AO578" s="66"/>
      <c r="AP578" s="66"/>
      <c r="AQ578" s="66"/>
      <c r="AR578" s="81"/>
      <c r="AS578" s="81"/>
      <c r="AT578" s="81"/>
      <c r="AU578" s="81"/>
      <c r="AV578" s="83">
        <f>SUM(Prog_236[[#This Row],[ADIANTAMENTO]]+Prog_236[[#This Row],[SALDO]]+Prog_236[[#This Row],[MARGEM]]+Prog_236[[#This Row],[ESTADIA 1]])</f>
        <v>0</v>
      </c>
      <c r="AW5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8" s="81"/>
      <c r="AY578" s="81"/>
      <c r="AZ578" s="81">
        <f>Prog_236[[#This Row],[VLR NF]]*0.1%</f>
        <v>0</v>
      </c>
      <c r="BA578" s="81">
        <f>Prog_236[[#This Row],[VLR NF]]*0.05%</f>
        <v>0</v>
      </c>
      <c r="BB578" s="81"/>
      <c r="BC578" s="81"/>
      <c r="BD578" s="81"/>
      <c r="BE578" s="81"/>
      <c r="BF578" s="81"/>
      <c r="BG578" s="81"/>
      <c r="BH578" s="81"/>
      <c r="BI578" s="81"/>
      <c r="BJ578" s="81"/>
      <c r="BK578" s="81"/>
      <c r="BL578" s="66"/>
      <c r="BM578" s="66"/>
      <c r="BN578" s="66"/>
      <c r="BO578" s="66" t="str">
        <f>PROPER(TEXT(Prog_236[[#This Row],[PROGRAMAÇÃO CLIENTE]],"mmm"))</f>
        <v>Jan</v>
      </c>
      <c r="BP578" s="66">
        <f>YEAR(Prog_236[[#This Row],[PROGRAMAÇÃO CLIENTE]])</f>
        <v>1900</v>
      </c>
    </row>
    <row r="579" spans="1:68" x14ac:dyDescent="0.25">
      <c r="A579" s="200">
        <f>Prog_236[[#This Row],[CONTEINER]]</f>
        <v>0</v>
      </c>
      <c r="B579" s="86"/>
      <c r="C5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79" s="44"/>
      <c r="E579" s="66"/>
      <c r="F579" s="66"/>
      <c r="G579" s="66"/>
      <c r="H579" s="44"/>
      <c r="I579" s="44"/>
      <c r="J579" s="66"/>
      <c r="K579" s="66"/>
      <c r="L579" s="66"/>
      <c r="M579" s="66"/>
      <c r="N579" s="66">
        <f>SUM(Prog_236[[#This Row],[TARA]]+Prog_236[[#This Row],[PESO]])</f>
        <v>0</v>
      </c>
      <c r="O579" s="44"/>
      <c r="P579" s="66"/>
      <c r="Q579" s="66"/>
      <c r="R579" s="66"/>
      <c r="S579" s="66"/>
      <c r="T579" s="138" t="str">
        <f>IFERROR(LOOKUP($S579,MOTORISTAS!$D$3:$D$1048576,MOTORISTAS!E$3:$E$1048576),"")</f>
        <v/>
      </c>
      <c r="U579" s="138" t="str">
        <f>IFERROR(LOOKUP($S579,MOTORISTAS!$D$3:$D$1048576,MOTORISTAS!F$3:$F$1048576),"")</f>
        <v/>
      </c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44"/>
      <c r="AG579" s="254">
        <f>Prog_236[[#This Row],[SAÍDA DO CLIENTE]]-Prog_236[[#This Row],[PROGRAMAÇÃO CLIENTE]]</f>
        <v>0</v>
      </c>
      <c r="AH579" s="44"/>
      <c r="AI579" s="66"/>
      <c r="AJ579" s="66"/>
      <c r="AK579" s="66"/>
      <c r="AL579" s="66"/>
      <c r="AM579" s="66"/>
      <c r="AN579" s="83"/>
      <c r="AO579" s="66"/>
      <c r="AP579" s="66"/>
      <c r="AQ579" s="66"/>
      <c r="AR579" s="81"/>
      <c r="AS579" s="81"/>
      <c r="AT579" s="81"/>
      <c r="AU579" s="81"/>
      <c r="AV579" s="83">
        <f>SUM(Prog_236[[#This Row],[ADIANTAMENTO]]+Prog_236[[#This Row],[SALDO]]+Prog_236[[#This Row],[MARGEM]]+Prog_236[[#This Row],[ESTADIA 1]])</f>
        <v>0</v>
      </c>
      <c r="AW5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79" s="81"/>
      <c r="AY579" s="81"/>
      <c r="AZ579" s="81">
        <f>Prog_236[[#This Row],[VLR NF]]*0.1%</f>
        <v>0</v>
      </c>
      <c r="BA579" s="81">
        <f>Prog_236[[#This Row],[VLR NF]]*0.05%</f>
        <v>0</v>
      </c>
      <c r="BB579" s="81"/>
      <c r="BC579" s="81"/>
      <c r="BD579" s="81"/>
      <c r="BE579" s="81"/>
      <c r="BF579" s="81"/>
      <c r="BG579" s="81"/>
      <c r="BH579" s="81"/>
      <c r="BI579" s="81"/>
      <c r="BJ579" s="81"/>
      <c r="BK579" s="81"/>
      <c r="BL579" s="66"/>
      <c r="BM579" s="66"/>
      <c r="BN579" s="66"/>
      <c r="BO579" s="66" t="str">
        <f>PROPER(TEXT(Prog_236[[#This Row],[PROGRAMAÇÃO CLIENTE]],"mmm"))</f>
        <v>Jan</v>
      </c>
      <c r="BP579" s="66">
        <f>YEAR(Prog_236[[#This Row],[PROGRAMAÇÃO CLIENTE]])</f>
        <v>1900</v>
      </c>
    </row>
    <row r="580" spans="1:68" x14ac:dyDescent="0.25">
      <c r="A580" s="201">
        <f>Prog_236[[#This Row],[CONTEINER]]</f>
        <v>0</v>
      </c>
      <c r="B580" s="86"/>
      <c r="C5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0" s="44"/>
      <c r="E580" s="66"/>
      <c r="F580" s="66"/>
      <c r="G580" s="66"/>
      <c r="H580" s="44"/>
      <c r="I580" s="44"/>
      <c r="J580" s="66"/>
      <c r="K580" s="66"/>
      <c r="L580" s="66"/>
      <c r="M580" s="66"/>
      <c r="N580" s="66">
        <f>SUM(Prog_236[[#This Row],[TARA]]+Prog_236[[#This Row],[PESO]])</f>
        <v>0</v>
      </c>
      <c r="O580" s="44"/>
      <c r="P580" s="66"/>
      <c r="Q580" s="66"/>
      <c r="R580" s="66"/>
      <c r="S580" s="66"/>
      <c r="T580" s="138" t="str">
        <f>IFERROR(LOOKUP($S580,MOTORISTAS!$D$3:$D$1048576,MOTORISTAS!E$3:$E$1048576),"")</f>
        <v/>
      </c>
      <c r="U580" s="138" t="str">
        <f>IFERROR(LOOKUP($S580,MOTORISTAS!$D$3:$D$1048576,MOTORISTAS!F$3:$F$1048576),"")</f>
        <v/>
      </c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44"/>
      <c r="AG580" s="254">
        <f>Prog_236[[#This Row],[SAÍDA DO CLIENTE]]-Prog_236[[#This Row],[PROGRAMAÇÃO CLIENTE]]</f>
        <v>0</v>
      </c>
      <c r="AH580" s="44"/>
      <c r="AI580" s="66"/>
      <c r="AJ580" s="66"/>
      <c r="AK580" s="66"/>
      <c r="AL580" s="66"/>
      <c r="AM580" s="66"/>
      <c r="AN580" s="83"/>
      <c r="AO580" s="66"/>
      <c r="AP580" s="66"/>
      <c r="AQ580" s="66"/>
      <c r="AR580" s="81"/>
      <c r="AS580" s="81"/>
      <c r="AT580" s="81"/>
      <c r="AU580" s="81"/>
      <c r="AV580" s="83">
        <f>SUM(Prog_236[[#This Row],[ADIANTAMENTO]]+Prog_236[[#This Row],[SALDO]]+Prog_236[[#This Row],[MARGEM]]+Prog_236[[#This Row],[ESTADIA 1]])</f>
        <v>0</v>
      </c>
      <c r="AW5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0" s="81"/>
      <c r="AY580" s="81"/>
      <c r="AZ580" s="81">
        <f>Prog_236[[#This Row],[VLR NF]]*0.1%</f>
        <v>0</v>
      </c>
      <c r="BA580" s="81">
        <f>Prog_236[[#This Row],[VLR NF]]*0.05%</f>
        <v>0</v>
      </c>
      <c r="BB580" s="81"/>
      <c r="BC580" s="81"/>
      <c r="BD580" s="81"/>
      <c r="BE580" s="81"/>
      <c r="BF580" s="81"/>
      <c r="BG580" s="81"/>
      <c r="BH580" s="81"/>
      <c r="BI580" s="81"/>
      <c r="BJ580" s="81"/>
      <c r="BK580" s="81"/>
      <c r="BL580" s="66"/>
      <c r="BM580" s="66"/>
      <c r="BN580" s="66"/>
      <c r="BO580" s="66" t="str">
        <f>PROPER(TEXT(Prog_236[[#This Row],[PROGRAMAÇÃO CLIENTE]],"mmm"))</f>
        <v>Jan</v>
      </c>
      <c r="BP580" s="66">
        <f>YEAR(Prog_236[[#This Row],[PROGRAMAÇÃO CLIENTE]])</f>
        <v>1900</v>
      </c>
    </row>
    <row r="581" spans="1:68" x14ac:dyDescent="0.25">
      <c r="A581" s="200">
        <f>Prog_236[[#This Row],[CONTEINER]]</f>
        <v>0</v>
      </c>
      <c r="B581" s="86"/>
      <c r="C5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1" s="44"/>
      <c r="E581" s="66"/>
      <c r="F581" s="66"/>
      <c r="G581" s="66"/>
      <c r="H581" s="44"/>
      <c r="I581" s="44"/>
      <c r="J581" s="66"/>
      <c r="K581" s="66"/>
      <c r="L581" s="66"/>
      <c r="M581" s="66"/>
      <c r="N581" s="66">
        <f>SUM(Prog_236[[#This Row],[TARA]]+Prog_236[[#This Row],[PESO]])</f>
        <v>0</v>
      </c>
      <c r="O581" s="44"/>
      <c r="P581" s="66"/>
      <c r="Q581" s="66"/>
      <c r="R581" s="66"/>
      <c r="S581" s="66"/>
      <c r="T581" s="138" t="str">
        <f>IFERROR(LOOKUP($S581,MOTORISTAS!$D$3:$D$1048576,MOTORISTAS!E$3:$E$1048576),"")</f>
        <v/>
      </c>
      <c r="U581" s="138" t="str">
        <f>IFERROR(LOOKUP($S581,MOTORISTAS!$D$3:$D$1048576,MOTORISTAS!F$3:$F$1048576),"")</f>
        <v/>
      </c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44"/>
      <c r="AG581" s="254">
        <f>Prog_236[[#This Row],[SAÍDA DO CLIENTE]]-Prog_236[[#This Row],[PROGRAMAÇÃO CLIENTE]]</f>
        <v>0</v>
      </c>
      <c r="AH581" s="44"/>
      <c r="AI581" s="66"/>
      <c r="AJ581" s="66"/>
      <c r="AK581" s="66"/>
      <c r="AL581" s="66"/>
      <c r="AM581" s="66"/>
      <c r="AN581" s="83"/>
      <c r="AO581" s="66"/>
      <c r="AP581" s="66"/>
      <c r="AQ581" s="66"/>
      <c r="AR581" s="81"/>
      <c r="AS581" s="81"/>
      <c r="AT581" s="81"/>
      <c r="AU581" s="81"/>
      <c r="AV581" s="83">
        <f>SUM(Prog_236[[#This Row],[ADIANTAMENTO]]+Prog_236[[#This Row],[SALDO]]+Prog_236[[#This Row],[MARGEM]]+Prog_236[[#This Row],[ESTADIA 1]])</f>
        <v>0</v>
      </c>
      <c r="AW5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1" s="81"/>
      <c r="AY581" s="81"/>
      <c r="AZ581" s="81">
        <f>Prog_236[[#This Row],[VLR NF]]*0.1%</f>
        <v>0</v>
      </c>
      <c r="BA581" s="81">
        <f>Prog_236[[#This Row],[VLR NF]]*0.05%</f>
        <v>0</v>
      </c>
      <c r="BB581" s="81"/>
      <c r="BC581" s="81"/>
      <c r="BD581" s="81"/>
      <c r="BE581" s="81"/>
      <c r="BF581" s="81"/>
      <c r="BG581" s="81"/>
      <c r="BH581" s="81"/>
      <c r="BI581" s="81"/>
      <c r="BJ581" s="81"/>
      <c r="BK581" s="81"/>
      <c r="BL581" s="66"/>
      <c r="BM581" s="66"/>
      <c r="BN581" s="66"/>
      <c r="BO581" s="66" t="str">
        <f>PROPER(TEXT(Prog_236[[#This Row],[PROGRAMAÇÃO CLIENTE]],"mmm"))</f>
        <v>Jan</v>
      </c>
      <c r="BP581" s="66">
        <f>YEAR(Prog_236[[#This Row],[PROGRAMAÇÃO CLIENTE]])</f>
        <v>1900</v>
      </c>
    </row>
    <row r="582" spans="1:68" x14ac:dyDescent="0.25">
      <c r="A582" s="201">
        <f>Prog_236[[#This Row],[CONTEINER]]</f>
        <v>0</v>
      </c>
      <c r="B582" s="86"/>
      <c r="C5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2" s="44"/>
      <c r="E582" s="66"/>
      <c r="F582" s="66"/>
      <c r="G582" s="66"/>
      <c r="H582" s="44"/>
      <c r="I582" s="44"/>
      <c r="J582" s="66"/>
      <c r="K582" s="66"/>
      <c r="L582" s="66"/>
      <c r="M582" s="66"/>
      <c r="N582" s="66">
        <f>SUM(Prog_236[[#This Row],[TARA]]+Prog_236[[#This Row],[PESO]])</f>
        <v>0</v>
      </c>
      <c r="O582" s="44"/>
      <c r="P582" s="66"/>
      <c r="Q582" s="66"/>
      <c r="R582" s="66"/>
      <c r="S582" s="66"/>
      <c r="T582" s="138" t="str">
        <f>IFERROR(LOOKUP($S582,MOTORISTAS!$D$3:$D$1048576,MOTORISTAS!E$3:$E$1048576),"")</f>
        <v/>
      </c>
      <c r="U582" s="138" t="str">
        <f>IFERROR(LOOKUP($S582,MOTORISTAS!$D$3:$D$1048576,MOTORISTAS!F$3:$F$1048576),"")</f>
        <v/>
      </c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44"/>
      <c r="AG582" s="254">
        <f>Prog_236[[#This Row],[SAÍDA DO CLIENTE]]-Prog_236[[#This Row],[PROGRAMAÇÃO CLIENTE]]</f>
        <v>0</v>
      </c>
      <c r="AH582" s="44"/>
      <c r="AI582" s="66"/>
      <c r="AJ582" s="66"/>
      <c r="AK582" s="66"/>
      <c r="AL582" s="66"/>
      <c r="AM582" s="66"/>
      <c r="AN582" s="83"/>
      <c r="AO582" s="66"/>
      <c r="AP582" s="66"/>
      <c r="AQ582" s="66"/>
      <c r="AR582" s="81"/>
      <c r="AS582" s="81"/>
      <c r="AT582" s="81"/>
      <c r="AU582" s="81"/>
      <c r="AV582" s="83">
        <f>SUM(Prog_236[[#This Row],[ADIANTAMENTO]]+Prog_236[[#This Row],[SALDO]]+Prog_236[[#This Row],[MARGEM]]+Prog_236[[#This Row],[ESTADIA 1]])</f>
        <v>0</v>
      </c>
      <c r="AW5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2" s="81"/>
      <c r="AY582" s="81"/>
      <c r="AZ582" s="81">
        <f>Prog_236[[#This Row],[VLR NF]]*0.1%</f>
        <v>0</v>
      </c>
      <c r="BA582" s="81">
        <f>Prog_236[[#This Row],[VLR NF]]*0.05%</f>
        <v>0</v>
      </c>
      <c r="BB582" s="81"/>
      <c r="BC582" s="81"/>
      <c r="BD582" s="81"/>
      <c r="BE582" s="81"/>
      <c r="BF582" s="81"/>
      <c r="BG582" s="81"/>
      <c r="BH582" s="81"/>
      <c r="BI582" s="81"/>
      <c r="BJ582" s="81"/>
      <c r="BK582" s="81"/>
      <c r="BL582" s="66"/>
      <c r="BM582" s="66"/>
      <c r="BN582" s="66"/>
      <c r="BO582" s="66" t="str">
        <f>PROPER(TEXT(Prog_236[[#This Row],[PROGRAMAÇÃO CLIENTE]],"mmm"))</f>
        <v>Jan</v>
      </c>
      <c r="BP582" s="66">
        <f>YEAR(Prog_236[[#This Row],[PROGRAMAÇÃO CLIENTE]])</f>
        <v>1900</v>
      </c>
    </row>
    <row r="583" spans="1:68" x14ac:dyDescent="0.25">
      <c r="A583" s="200">
        <f>Prog_236[[#This Row],[CONTEINER]]</f>
        <v>0</v>
      </c>
      <c r="B583" s="86"/>
      <c r="C5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3" s="44"/>
      <c r="E583" s="66"/>
      <c r="F583" s="66"/>
      <c r="G583" s="66"/>
      <c r="H583" s="44"/>
      <c r="I583" s="44"/>
      <c r="J583" s="66"/>
      <c r="K583" s="66"/>
      <c r="L583" s="66"/>
      <c r="M583" s="66"/>
      <c r="N583" s="66">
        <f>SUM(Prog_236[[#This Row],[TARA]]+Prog_236[[#This Row],[PESO]])</f>
        <v>0</v>
      </c>
      <c r="O583" s="44"/>
      <c r="P583" s="66"/>
      <c r="Q583" s="66"/>
      <c r="R583" s="66"/>
      <c r="S583" s="66"/>
      <c r="T583" s="138" t="str">
        <f>IFERROR(LOOKUP($S583,MOTORISTAS!$D$3:$D$1048576,MOTORISTAS!E$3:$E$1048576),"")</f>
        <v/>
      </c>
      <c r="U583" s="138" t="str">
        <f>IFERROR(LOOKUP($S583,MOTORISTAS!$D$3:$D$1048576,MOTORISTAS!F$3:$F$1048576),"")</f>
        <v/>
      </c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44"/>
      <c r="AG583" s="254">
        <f>Prog_236[[#This Row],[SAÍDA DO CLIENTE]]-Prog_236[[#This Row],[PROGRAMAÇÃO CLIENTE]]</f>
        <v>0</v>
      </c>
      <c r="AH583" s="44"/>
      <c r="AI583" s="66"/>
      <c r="AJ583" s="66"/>
      <c r="AK583" s="66"/>
      <c r="AL583" s="66"/>
      <c r="AM583" s="66"/>
      <c r="AN583" s="83"/>
      <c r="AO583" s="66"/>
      <c r="AP583" s="66"/>
      <c r="AQ583" s="66"/>
      <c r="AR583" s="81"/>
      <c r="AS583" s="81"/>
      <c r="AT583" s="81"/>
      <c r="AU583" s="81"/>
      <c r="AV583" s="83">
        <f>SUM(Prog_236[[#This Row],[ADIANTAMENTO]]+Prog_236[[#This Row],[SALDO]]+Prog_236[[#This Row],[MARGEM]]+Prog_236[[#This Row],[ESTADIA 1]])</f>
        <v>0</v>
      </c>
      <c r="AW5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3" s="81"/>
      <c r="AY583" s="81"/>
      <c r="AZ583" s="81">
        <f>Prog_236[[#This Row],[VLR NF]]*0.1%</f>
        <v>0</v>
      </c>
      <c r="BA583" s="81">
        <f>Prog_236[[#This Row],[VLR NF]]*0.05%</f>
        <v>0</v>
      </c>
      <c r="BB583" s="81"/>
      <c r="BC583" s="81"/>
      <c r="BD583" s="81"/>
      <c r="BE583" s="81"/>
      <c r="BF583" s="81"/>
      <c r="BG583" s="81"/>
      <c r="BH583" s="81"/>
      <c r="BI583" s="81"/>
      <c r="BJ583" s="81"/>
      <c r="BK583" s="81"/>
      <c r="BL583" s="66"/>
      <c r="BM583" s="66"/>
      <c r="BN583" s="66"/>
      <c r="BO583" s="66" t="str">
        <f>PROPER(TEXT(Prog_236[[#This Row],[PROGRAMAÇÃO CLIENTE]],"mmm"))</f>
        <v>Jan</v>
      </c>
      <c r="BP583" s="66">
        <f>YEAR(Prog_236[[#This Row],[PROGRAMAÇÃO CLIENTE]])</f>
        <v>1900</v>
      </c>
    </row>
    <row r="584" spans="1:68" x14ac:dyDescent="0.25">
      <c r="A584" s="201">
        <f>Prog_236[[#This Row],[CONTEINER]]</f>
        <v>0</v>
      </c>
      <c r="B584" s="86"/>
      <c r="C5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4" s="44"/>
      <c r="E584" s="66"/>
      <c r="F584" s="66"/>
      <c r="G584" s="66"/>
      <c r="H584" s="44"/>
      <c r="I584" s="44"/>
      <c r="J584" s="66"/>
      <c r="K584" s="66"/>
      <c r="L584" s="66"/>
      <c r="M584" s="66"/>
      <c r="N584" s="66">
        <f>SUM(Prog_236[[#This Row],[TARA]]+Prog_236[[#This Row],[PESO]])</f>
        <v>0</v>
      </c>
      <c r="O584" s="44"/>
      <c r="P584" s="66"/>
      <c r="Q584" s="66"/>
      <c r="R584" s="66"/>
      <c r="S584" s="66"/>
      <c r="T584" s="138" t="str">
        <f>IFERROR(LOOKUP($S584,MOTORISTAS!$D$3:$D$1048576,MOTORISTAS!E$3:$E$1048576),"")</f>
        <v/>
      </c>
      <c r="U584" s="138" t="str">
        <f>IFERROR(LOOKUP($S584,MOTORISTAS!$D$3:$D$1048576,MOTORISTAS!F$3:$F$1048576),"")</f>
        <v/>
      </c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44"/>
      <c r="AG584" s="254">
        <f>Prog_236[[#This Row],[SAÍDA DO CLIENTE]]-Prog_236[[#This Row],[PROGRAMAÇÃO CLIENTE]]</f>
        <v>0</v>
      </c>
      <c r="AH584" s="44"/>
      <c r="AI584" s="66"/>
      <c r="AJ584" s="66"/>
      <c r="AK584" s="66"/>
      <c r="AL584" s="66"/>
      <c r="AM584" s="66"/>
      <c r="AN584" s="83"/>
      <c r="AO584" s="66"/>
      <c r="AP584" s="66"/>
      <c r="AQ584" s="66"/>
      <c r="AR584" s="81"/>
      <c r="AS584" s="81"/>
      <c r="AT584" s="81"/>
      <c r="AU584" s="81"/>
      <c r="AV584" s="83">
        <f>SUM(Prog_236[[#This Row],[ADIANTAMENTO]]+Prog_236[[#This Row],[SALDO]]+Prog_236[[#This Row],[MARGEM]]+Prog_236[[#This Row],[ESTADIA 1]])</f>
        <v>0</v>
      </c>
      <c r="AW5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4" s="81"/>
      <c r="AY584" s="81"/>
      <c r="AZ584" s="81">
        <f>Prog_236[[#This Row],[VLR NF]]*0.1%</f>
        <v>0</v>
      </c>
      <c r="BA584" s="81">
        <f>Prog_236[[#This Row],[VLR NF]]*0.05%</f>
        <v>0</v>
      </c>
      <c r="BB584" s="81"/>
      <c r="BC584" s="81"/>
      <c r="BD584" s="81"/>
      <c r="BE584" s="81"/>
      <c r="BF584" s="81"/>
      <c r="BG584" s="81"/>
      <c r="BH584" s="81"/>
      <c r="BI584" s="81"/>
      <c r="BJ584" s="81"/>
      <c r="BK584" s="81"/>
      <c r="BL584" s="66"/>
      <c r="BM584" s="66"/>
      <c r="BN584" s="66"/>
      <c r="BO584" s="66" t="str">
        <f>PROPER(TEXT(Prog_236[[#This Row],[PROGRAMAÇÃO CLIENTE]],"mmm"))</f>
        <v>Jan</v>
      </c>
      <c r="BP584" s="66">
        <f>YEAR(Prog_236[[#This Row],[PROGRAMAÇÃO CLIENTE]])</f>
        <v>1900</v>
      </c>
    </row>
    <row r="585" spans="1:68" x14ac:dyDescent="0.25">
      <c r="A585" s="200">
        <f>Prog_236[[#This Row],[CONTEINER]]</f>
        <v>0</v>
      </c>
      <c r="B585" s="86"/>
      <c r="C5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5" s="44"/>
      <c r="E585" s="66"/>
      <c r="F585" s="66"/>
      <c r="G585" s="66"/>
      <c r="H585" s="44"/>
      <c r="I585" s="44"/>
      <c r="J585" s="66"/>
      <c r="K585" s="66"/>
      <c r="L585" s="66"/>
      <c r="M585" s="66"/>
      <c r="N585" s="66">
        <f>SUM(Prog_236[[#This Row],[TARA]]+Prog_236[[#This Row],[PESO]])</f>
        <v>0</v>
      </c>
      <c r="O585" s="44"/>
      <c r="P585" s="66"/>
      <c r="Q585" s="66"/>
      <c r="R585" s="66"/>
      <c r="S585" s="66"/>
      <c r="T585" s="138" t="str">
        <f>IFERROR(LOOKUP($S585,MOTORISTAS!$D$3:$D$1048576,MOTORISTAS!E$3:$E$1048576),"")</f>
        <v/>
      </c>
      <c r="U585" s="138" t="str">
        <f>IFERROR(LOOKUP($S585,MOTORISTAS!$D$3:$D$1048576,MOTORISTAS!F$3:$F$1048576),"")</f>
        <v/>
      </c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44"/>
      <c r="AG585" s="254">
        <f>Prog_236[[#This Row],[SAÍDA DO CLIENTE]]-Prog_236[[#This Row],[PROGRAMAÇÃO CLIENTE]]</f>
        <v>0</v>
      </c>
      <c r="AH585" s="44"/>
      <c r="AI585" s="66"/>
      <c r="AJ585" s="66"/>
      <c r="AK585" s="66"/>
      <c r="AL585" s="66"/>
      <c r="AM585" s="66"/>
      <c r="AN585" s="83"/>
      <c r="AO585" s="66"/>
      <c r="AP585" s="66"/>
      <c r="AQ585" s="66"/>
      <c r="AR585" s="81"/>
      <c r="AS585" s="81"/>
      <c r="AT585" s="81"/>
      <c r="AU585" s="81"/>
      <c r="AV585" s="83">
        <f>SUM(Prog_236[[#This Row],[ADIANTAMENTO]]+Prog_236[[#This Row],[SALDO]]+Prog_236[[#This Row],[MARGEM]]+Prog_236[[#This Row],[ESTADIA 1]])</f>
        <v>0</v>
      </c>
      <c r="AW5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5" s="81"/>
      <c r="AY585" s="81"/>
      <c r="AZ585" s="81">
        <f>Prog_236[[#This Row],[VLR NF]]*0.1%</f>
        <v>0</v>
      </c>
      <c r="BA585" s="81">
        <f>Prog_236[[#This Row],[VLR NF]]*0.05%</f>
        <v>0</v>
      </c>
      <c r="BB585" s="81"/>
      <c r="BC585" s="81"/>
      <c r="BD585" s="81"/>
      <c r="BE585" s="81"/>
      <c r="BF585" s="81"/>
      <c r="BG585" s="81"/>
      <c r="BH585" s="81"/>
      <c r="BI585" s="81"/>
      <c r="BJ585" s="81"/>
      <c r="BK585" s="81"/>
      <c r="BL585" s="66"/>
      <c r="BM585" s="66"/>
      <c r="BN585" s="66"/>
      <c r="BO585" s="66" t="str">
        <f>PROPER(TEXT(Prog_236[[#This Row],[PROGRAMAÇÃO CLIENTE]],"mmm"))</f>
        <v>Jan</v>
      </c>
      <c r="BP585" s="66">
        <f>YEAR(Prog_236[[#This Row],[PROGRAMAÇÃO CLIENTE]])</f>
        <v>1900</v>
      </c>
    </row>
    <row r="586" spans="1:68" x14ac:dyDescent="0.25">
      <c r="A586" s="201">
        <f>Prog_236[[#This Row],[CONTEINER]]</f>
        <v>0</v>
      </c>
      <c r="B586" s="86"/>
      <c r="C5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6" s="44"/>
      <c r="E586" s="66"/>
      <c r="F586" s="66"/>
      <c r="G586" s="66"/>
      <c r="H586" s="44"/>
      <c r="I586" s="44"/>
      <c r="J586" s="66"/>
      <c r="K586" s="66"/>
      <c r="L586" s="66"/>
      <c r="M586" s="66"/>
      <c r="N586" s="66">
        <f>SUM(Prog_236[[#This Row],[TARA]]+Prog_236[[#This Row],[PESO]])</f>
        <v>0</v>
      </c>
      <c r="O586" s="44"/>
      <c r="P586" s="66"/>
      <c r="Q586" s="66"/>
      <c r="R586" s="66"/>
      <c r="S586" s="66"/>
      <c r="T586" s="138" t="str">
        <f>IFERROR(LOOKUP($S586,MOTORISTAS!$D$3:$D$1048576,MOTORISTAS!E$3:$E$1048576),"")</f>
        <v/>
      </c>
      <c r="U586" s="138" t="str">
        <f>IFERROR(LOOKUP($S586,MOTORISTAS!$D$3:$D$1048576,MOTORISTAS!F$3:$F$1048576),"")</f>
        <v/>
      </c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44"/>
      <c r="AG586" s="254">
        <f>Prog_236[[#This Row],[SAÍDA DO CLIENTE]]-Prog_236[[#This Row],[PROGRAMAÇÃO CLIENTE]]</f>
        <v>0</v>
      </c>
      <c r="AH586" s="44"/>
      <c r="AI586" s="66"/>
      <c r="AJ586" s="66"/>
      <c r="AK586" s="66"/>
      <c r="AL586" s="66"/>
      <c r="AM586" s="66"/>
      <c r="AN586" s="83"/>
      <c r="AO586" s="66"/>
      <c r="AP586" s="66"/>
      <c r="AQ586" s="66"/>
      <c r="AR586" s="81"/>
      <c r="AS586" s="81"/>
      <c r="AT586" s="81"/>
      <c r="AU586" s="81"/>
      <c r="AV586" s="83">
        <f>SUM(Prog_236[[#This Row],[ADIANTAMENTO]]+Prog_236[[#This Row],[SALDO]]+Prog_236[[#This Row],[MARGEM]]+Prog_236[[#This Row],[ESTADIA 1]])</f>
        <v>0</v>
      </c>
      <c r="AW5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6" s="81"/>
      <c r="AY586" s="81"/>
      <c r="AZ586" s="81">
        <f>Prog_236[[#This Row],[VLR NF]]*0.1%</f>
        <v>0</v>
      </c>
      <c r="BA586" s="81">
        <f>Prog_236[[#This Row],[VLR NF]]*0.05%</f>
        <v>0</v>
      </c>
      <c r="BB586" s="81"/>
      <c r="BC586" s="81"/>
      <c r="BD586" s="81"/>
      <c r="BE586" s="81"/>
      <c r="BF586" s="81"/>
      <c r="BG586" s="81"/>
      <c r="BH586" s="81"/>
      <c r="BI586" s="81"/>
      <c r="BJ586" s="81"/>
      <c r="BK586" s="81"/>
      <c r="BL586" s="66"/>
      <c r="BM586" s="66"/>
      <c r="BN586" s="66"/>
      <c r="BO586" s="66" t="str">
        <f>PROPER(TEXT(Prog_236[[#This Row],[PROGRAMAÇÃO CLIENTE]],"mmm"))</f>
        <v>Jan</v>
      </c>
      <c r="BP586" s="66">
        <f>YEAR(Prog_236[[#This Row],[PROGRAMAÇÃO CLIENTE]])</f>
        <v>1900</v>
      </c>
    </row>
    <row r="587" spans="1:68" x14ac:dyDescent="0.25">
      <c r="A587" s="200">
        <f>Prog_236[[#This Row],[CONTEINER]]</f>
        <v>0</v>
      </c>
      <c r="B587" s="86"/>
      <c r="C5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7" s="44"/>
      <c r="E587" s="66"/>
      <c r="F587" s="66"/>
      <c r="G587" s="66"/>
      <c r="H587" s="44"/>
      <c r="I587" s="44"/>
      <c r="J587" s="66"/>
      <c r="K587" s="66"/>
      <c r="L587" s="66"/>
      <c r="M587" s="66"/>
      <c r="N587" s="66">
        <f>SUM(Prog_236[[#This Row],[TARA]]+Prog_236[[#This Row],[PESO]])</f>
        <v>0</v>
      </c>
      <c r="O587" s="44"/>
      <c r="P587" s="66"/>
      <c r="Q587" s="66"/>
      <c r="R587" s="66"/>
      <c r="S587" s="66"/>
      <c r="T587" s="138" t="str">
        <f>IFERROR(LOOKUP($S587,MOTORISTAS!$D$3:$D$1048576,MOTORISTAS!E$3:$E$1048576),"")</f>
        <v/>
      </c>
      <c r="U587" s="138" t="str">
        <f>IFERROR(LOOKUP($S587,MOTORISTAS!$D$3:$D$1048576,MOTORISTAS!F$3:$F$1048576),"")</f>
        <v/>
      </c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44"/>
      <c r="AG587" s="254">
        <f>Prog_236[[#This Row],[SAÍDA DO CLIENTE]]-Prog_236[[#This Row],[PROGRAMAÇÃO CLIENTE]]</f>
        <v>0</v>
      </c>
      <c r="AH587" s="44"/>
      <c r="AI587" s="66"/>
      <c r="AJ587" s="66"/>
      <c r="AK587" s="66"/>
      <c r="AL587" s="66"/>
      <c r="AM587" s="66"/>
      <c r="AN587" s="83"/>
      <c r="AO587" s="66"/>
      <c r="AP587" s="66"/>
      <c r="AQ587" s="66"/>
      <c r="AR587" s="81"/>
      <c r="AS587" s="81"/>
      <c r="AT587" s="81"/>
      <c r="AU587" s="81"/>
      <c r="AV587" s="83">
        <f>SUM(Prog_236[[#This Row],[ADIANTAMENTO]]+Prog_236[[#This Row],[SALDO]]+Prog_236[[#This Row],[MARGEM]]+Prog_236[[#This Row],[ESTADIA 1]])</f>
        <v>0</v>
      </c>
      <c r="AW5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7" s="81"/>
      <c r="AY587" s="81"/>
      <c r="AZ587" s="81">
        <f>Prog_236[[#This Row],[VLR NF]]*0.1%</f>
        <v>0</v>
      </c>
      <c r="BA587" s="81">
        <f>Prog_236[[#This Row],[VLR NF]]*0.05%</f>
        <v>0</v>
      </c>
      <c r="BB587" s="81"/>
      <c r="BC587" s="81"/>
      <c r="BD587" s="81"/>
      <c r="BE587" s="81"/>
      <c r="BF587" s="81"/>
      <c r="BG587" s="81"/>
      <c r="BH587" s="81"/>
      <c r="BI587" s="81"/>
      <c r="BJ587" s="81"/>
      <c r="BK587" s="81"/>
      <c r="BL587" s="66"/>
      <c r="BM587" s="66"/>
      <c r="BN587" s="66"/>
      <c r="BO587" s="66" t="str">
        <f>PROPER(TEXT(Prog_236[[#This Row],[PROGRAMAÇÃO CLIENTE]],"mmm"))</f>
        <v>Jan</v>
      </c>
      <c r="BP587" s="66">
        <f>YEAR(Prog_236[[#This Row],[PROGRAMAÇÃO CLIENTE]])</f>
        <v>1900</v>
      </c>
    </row>
    <row r="588" spans="1:68" x14ac:dyDescent="0.25">
      <c r="A588" s="201">
        <f>Prog_236[[#This Row],[CONTEINER]]</f>
        <v>0</v>
      </c>
      <c r="B588" s="86"/>
      <c r="C5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8" s="44"/>
      <c r="E588" s="66"/>
      <c r="F588" s="66"/>
      <c r="G588" s="66"/>
      <c r="H588" s="44"/>
      <c r="I588" s="44"/>
      <c r="J588" s="66"/>
      <c r="K588" s="66"/>
      <c r="L588" s="66"/>
      <c r="M588" s="66"/>
      <c r="N588" s="66">
        <f>SUM(Prog_236[[#This Row],[TARA]]+Prog_236[[#This Row],[PESO]])</f>
        <v>0</v>
      </c>
      <c r="O588" s="44"/>
      <c r="P588" s="66"/>
      <c r="Q588" s="66"/>
      <c r="R588" s="66"/>
      <c r="S588" s="66"/>
      <c r="T588" s="138" t="str">
        <f>IFERROR(LOOKUP($S588,MOTORISTAS!$D$3:$D$1048576,MOTORISTAS!E$3:$E$1048576),"")</f>
        <v/>
      </c>
      <c r="U588" s="138" t="str">
        <f>IFERROR(LOOKUP($S588,MOTORISTAS!$D$3:$D$1048576,MOTORISTAS!F$3:$F$1048576),"")</f>
        <v/>
      </c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44"/>
      <c r="AG588" s="254">
        <f>Prog_236[[#This Row],[SAÍDA DO CLIENTE]]-Prog_236[[#This Row],[PROGRAMAÇÃO CLIENTE]]</f>
        <v>0</v>
      </c>
      <c r="AH588" s="44"/>
      <c r="AI588" s="66"/>
      <c r="AJ588" s="66"/>
      <c r="AK588" s="66"/>
      <c r="AL588" s="66"/>
      <c r="AM588" s="66"/>
      <c r="AN588" s="83"/>
      <c r="AO588" s="66"/>
      <c r="AP588" s="66"/>
      <c r="AQ588" s="66"/>
      <c r="AR588" s="81"/>
      <c r="AS588" s="81"/>
      <c r="AT588" s="81"/>
      <c r="AU588" s="81"/>
      <c r="AV588" s="83">
        <f>SUM(Prog_236[[#This Row],[ADIANTAMENTO]]+Prog_236[[#This Row],[SALDO]]+Prog_236[[#This Row],[MARGEM]]+Prog_236[[#This Row],[ESTADIA 1]])</f>
        <v>0</v>
      </c>
      <c r="AW5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8" s="81"/>
      <c r="AY588" s="81"/>
      <c r="AZ588" s="81">
        <f>Prog_236[[#This Row],[VLR NF]]*0.1%</f>
        <v>0</v>
      </c>
      <c r="BA588" s="81">
        <f>Prog_236[[#This Row],[VLR NF]]*0.05%</f>
        <v>0</v>
      </c>
      <c r="BB588" s="81"/>
      <c r="BC588" s="81"/>
      <c r="BD588" s="81"/>
      <c r="BE588" s="81"/>
      <c r="BF588" s="81"/>
      <c r="BG588" s="81"/>
      <c r="BH588" s="81"/>
      <c r="BI588" s="81"/>
      <c r="BJ588" s="81"/>
      <c r="BK588" s="81"/>
      <c r="BL588" s="66"/>
      <c r="BM588" s="66"/>
      <c r="BN588" s="66"/>
      <c r="BO588" s="66" t="str">
        <f>PROPER(TEXT(Prog_236[[#This Row],[PROGRAMAÇÃO CLIENTE]],"mmm"))</f>
        <v>Jan</v>
      </c>
      <c r="BP588" s="66">
        <f>YEAR(Prog_236[[#This Row],[PROGRAMAÇÃO CLIENTE]])</f>
        <v>1900</v>
      </c>
    </row>
    <row r="589" spans="1:68" x14ac:dyDescent="0.25">
      <c r="A589" s="200">
        <f>Prog_236[[#This Row],[CONTEINER]]</f>
        <v>0</v>
      </c>
      <c r="B589" s="86"/>
      <c r="C5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89" s="44"/>
      <c r="E589" s="66"/>
      <c r="F589" s="66"/>
      <c r="G589" s="66"/>
      <c r="H589" s="44"/>
      <c r="I589" s="44"/>
      <c r="J589" s="66"/>
      <c r="K589" s="66"/>
      <c r="L589" s="66"/>
      <c r="M589" s="66"/>
      <c r="N589" s="66">
        <f>SUM(Prog_236[[#This Row],[TARA]]+Prog_236[[#This Row],[PESO]])</f>
        <v>0</v>
      </c>
      <c r="O589" s="44"/>
      <c r="P589" s="66"/>
      <c r="Q589" s="66"/>
      <c r="R589" s="66"/>
      <c r="S589" s="66"/>
      <c r="T589" s="138" t="str">
        <f>IFERROR(LOOKUP($S589,MOTORISTAS!$D$3:$D$1048576,MOTORISTAS!E$3:$E$1048576),"")</f>
        <v/>
      </c>
      <c r="U589" s="138" t="str">
        <f>IFERROR(LOOKUP($S589,MOTORISTAS!$D$3:$D$1048576,MOTORISTAS!F$3:$F$1048576),"")</f>
        <v/>
      </c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44"/>
      <c r="AG589" s="254">
        <f>Prog_236[[#This Row],[SAÍDA DO CLIENTE]]-Prog_236[[#This Row],[PROGRAMAÇÃO CLIENTE]]</f>
        <v>0</v>
      </c>
      <c r="AH589" s="44"/>
      <c r="AI589" s="66"/>
      <c r="AJ589" s="66"/>
      <c r="AK589" s="66"/>
      <c r="AL589" s="66"/>
      <c r="AM589" s="66"/>
      <c r="AN589" s="83"/>
      <c r="AO589" s="66"/>
      <c r="AP589" s="66"/>
      <c r="AQ589" s="66"/>
      <c r="AR589" s="81"/>
      <c r="AS589" s="81"/>
      <c r="AT589" s="81"/>
      <c r="AU589" s="81"/>
      <c r="AV589" s="83">
        <f>SUM(Prog_236[[#This Row],[ADIANTAMENTO]]+Prog_236[[#This Row],[SALDO]]+Prog_236[[#This Row],[MARGEM]]+Prog_236[[#This Row],[ESTADIA 1]])</f>
        <v>0</v>
      </c>
      <c r="AW5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89" s="81"/>
      <c r="AY589" s="81"/>
      <c r="AZ589" s="81">
        <f>Prog_236[[#This Row],[VLR NF]]*0.1%</f>
        <v>0</v>
      </c>
      <c r="BA589" s="81">
        <f>Prog_236[[#This Row],[VLR NF]]*0.05%</f>
        <v>0</v>
      </c>
      <c r="BB589" s="81"/>
      <c r="BC589" s="81"/>
      <c r="BD589" s="81"/>
      <c r="BE589" s="81"/>
      <c r="BF589" s="81"/>
      <c r="BG589" s="81"/>
      <c r="BH589" s="81"/>
      <c r="BI589" s="81"/>
      <c r="BJ589" s="81"/>
      <c r="BK589" s="81"/>
      <c r="BL589" s="66"/>
      <c r="BM589" s="66"/>
      <c r="BN589" s="66"/>
      <c r="BO589" s="66" t="str">
        <f>PROPER(TEXT(Prog_236[[#This Row],[PROGRAMAÇÃO CLIENTE]],"mmm"))</f>
        <v>Jan</v>
      </c>
      <c r="BP589" s="66">
        <f>YEAR(Prog_236[[#This Row],[PROGRAMAÇÃO CLIENTE]])</f>
        <v>1900</v>
      </c>
    </row>
    <row r="590" spans="1:68" x14ac:dyDescent="0.25">
      <c r="A590" s="201">
        <f>Prog_236[[#This Row],[CONTEINER]]</f>
        <v>0</v>
      </c>
      <c r="B590" s="86"/>
      <c r="C5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0" s="44"/>
      <c r="E590" s="66"/>
      <c r="F590" s="66"/>
      <c r="G590" s="66"/>
      <c r="H590" s="44"/>
      <c r="I590" s="44"/>
      <c r="J590" s="66"/>
      <c r="K590" s="66"/>
      <c r="L590" s="66"/>
      <c r="M590" s="66"/>
      <c r="N590" s="66">
        <f>SUM(Prog_236[[#This Row],[TARA]]+Prog_236[[#This Row],[PESO]])</f>
        <v>0</v>
      </c>
      <c r="O590" s="44"/>
      <c r="P590" s="66"/>
      <c r="Q590" s="66"/>
      <c r="R590" s="66"/>
      <c r="S590" s="66"/>
      <c r="T590" s="138" t="str">
        <f>IFERROR(LOOKUP($S590,MOTORISTAS!$D$3:$D$1048576,MOTORISTAS!E$3:$E$1048576),"")</f>
        <v/>
      </c>
      <c r="U590" s="138" t="str">
        <f>IFERROR(LOOKUP($S590,MOTORISTAS!$D$3:$D$1048576,MOTORISTAS!F$3:$F$1048576),"")</f>
        <v/>
      </c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44"/>
      <c r="AG590" s="254">
        <f>Prog_236[[#This Row],[SAÍDA DO CLIENTE]]-Prog_236[[#This Row],[PROGRAMAÇÃO CLIENTE]]</f>
        <v>0</v>
      </c>
      <c r="AH590" s="44"/>
      <c r="AI590" s="66"/>
      <c r="AJ590" s="66"/>
      <c r="AK590" s="66"/>
      <c r="AL590" s="66"/>
      <c r="AM590" s="66"/>
      <c r="AN590" s="83"/>
      <c r="AO590" s="66"/>
      <c r="AP590" s="66"/>
      <c r="AQ590" s="66"/>
      <c r="AR590" s="81"/>
      <c r="AS590" s="81"/>
      <c r="AT590" s="81"/>
      <c r="AU590" s="81"/>
      <c r="AV590" s="83">
        <f>SUM(Prog_236[[#This Row],[ADIANTAMENTO]]+Prog_236[[#This Row],[SALDO]]+Prog_236[[#This Row],[MARGEM]]+Prog_236[[#This Row],[ESTADIA 1]])</f>
        <v>0</v>
      </c>
      <c r="AW5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0" s="81"/>
      <c r="AY590" s="81"/>
      <c r="AZ590" s="81">
        <f>Prog_236[[#This Row],[VLR NF]]*0.1%</f>
        <v>0</v>
      </c>
      <c r="BA590" s="81">
        <f>Prog_236[[#This Row],[VLR NF]]*0.05%</f>
        <v>0</v>
      </c>
      <c r="BB590" s="81"/>
      <c r="BC590" s="81"/>
      <c r="BD590" s="81"/>
      <c r="BE590" s="81"/>
      <c r="BF590" s="81"/>
      <c r="BG590" s="81"/>
      <c r="BH590" s="81"/>
      <c r="BI590" s="81"/>
      <c r="BJ590" s="81"/>
      <c r="BK590" s="81"/>
      <c r="BL590" s="66"/>
      <c r="BM590" s="66"/>
      <c r="BN590" s="66"/>
      <c r="BO590" s="66" t="str">
        <f>PROPER(TEXT(Prog_236[[#This Row],[PROGRAMAÇÃO CLIENTE]],"mmm"))</f>
        <v>Jan</v>
      </c>
      <c r="BP590" s="66">
        <f>YEAR(Prog_236[[#This Row],[PROGRAMAÇÃO CLIENTE]])</f>
        <v>1900</v>
      </c>
    </row>
    <row r="591" spans="1:68" x14ac:dyDescent="0.25">
      <c r="A591" s="200">
        <f>Prog_236[[#This Row],[CONTEINER]]</f>
        <v>0</v>
      </c>
      <c r="B591" s="86"/>
      <c r="C5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1" s="44"/>
      <c r="E591" s="66"/>
      <c r="F591" s="66"/>
      <c r="G591" s="66"/>
      <c r="H591" s="44"/>
      <c r="I591" s="44"/>
      <c r="J591" s="66"/>
      <c r="K591" s="66"/>
      <c r="L591" s="66"/>
      <c r="M591" s="66"/>
      <c r="N591" s="66">
        <f>SUM(Prog_236[[#This Row],[TARA]]+Prog_236[[#This Row],[PESO]])</f>
        <v>0</v>
      </c>
      <c r="O591" s="44"/>
      <c r="P591" s="66"/>
      <c r="Q591" s="66"/>
      <c r="R591" s="66"/>
      <c r="S591" s="66"/>
      <c r="T591" s="138" t="str">
        <f>IFERROR(LOOKUP($S591,MOTORISTAS!$D$3:$D$1048576,MOTORISTAS!E$3:$E$1048576),"")</f>
        <v/>
      </c>
      <c r="U591" s="138" t="str">
        <f>IFERROR(LOOKUP($S591,MOTORISTAS!$D$3:$D$1048576,MOTORISTAS!F$3:$F$1048576),"")</f>
        <v/>
      </c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44"/>
      <c r="AG591" s="254">
        <f>Prog_236[[#This Row],[SAÍDA DO CLIENTE]]-Prog_236[[#This Row],[PROGRAMAÇÃO CLIENTE]]</f>
        <v>0</v>
      </c>
      <c r="AH591" s="44"/>
      <c r="AI591" s="66"/>
      <c r="AJ591" s="66"/>
      <c r="AK591" s="66"/>
      <c r="AL591" s="66"/>
      <c r="AM591" s="66"/>
      <c r="AN591" s="83"/>
      <c r="AO591" s="66"/>
      <c r="AP591" s="66"/>
      <c r="AQ591" s="66"/>
      <c r="AR591" s="81"/>
      <c r="AS591" s="81"/>
      <c r="AT591" s="81"/>
      <c r="AU591" s="81"/>
      <c r="AV591" s="83">
        <f>SUM(Prog_236[[#This Row],[ADIANTAMENTO]]+Prog_236[[#This Row],[SALDO]]+Prog_236[[#This Row],[MARGEM]]+Prog_236[[#This Row],[ESTADIA 1]])</f>
        <v>0</v>
      </c>
      <c r="AW5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1" s="81"/>
      <c r="AY591" s="81"/>
      <c r="AZ591" s="81">
        <f>Prog_236[[#This Row],[VLR NF]]*0.1%</f>
        <v>0</v>
      </c>
      <c r="BA591" s="81">
        <f>Prog_236[[#This Row],[VLR NF]]*0.05%</f>
        <v>0</v>
      </c>
      <c r="BB591" s="81"/>
      <c r="BC591" s="81"/>
      <c r="BD591" s="81"/>
      <c r="BE591" s="81"/>
      <c r="BF591" s="81"/>
      <c r="BG591" s="81"/>
      <c r="BH591" s="81"/>
      <c r="BI591" s="81"/>
      <c r="BJ591" s="81"/>
      <c r="BK591" s="81"/>
      <c r="BL591" s="66"/>
      <c r="BM591" s="66"/>
      <c r="BN591" s="66"/>
      <c r="BO591" s="66" t="str">
        <f>PROPER(TEXT(Prog_236[[#This Row],[PROGRAMAÇÃO CLIENTE]],"mmm"))</f>
        <v>Jan</v>
      </c>
      <c r="BP591" s="66">
        <f>YEAR(Prog_236[[#This Row],[PROGRAMAÇÃO CLIENTE]])</f>
        <v>1900</v>
      </c>
    </row>
    <row r="592" spans="1:68" x14ac:dyDescent="0.25">
      <c r="A592" s="201">
        <f>Prog_236[[#This Row],[CONTEINER]]</f>
        <v>0</v>
      </c>
      <c r="B592" s="86"/>
      <c r="C5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2" s="44"/>
      <c r="E592" s="66"/>
      <c r="F592" s="66"/>
      <c r="G592" s="66"/>
      <c r="H592" s="44"/>
      <c r="I592" s="44"/>
      <c r="J592" s="66"/>
      <c r="K592" s="66"/>
      <c r="L592" s="66"/>
      <c r="M592" s="66"/>
      <c r="N592" s="66">
        <f>SUM(Prog_236[[#This Row],[TARA]]+Prog_236[[#This Row],[PESO]])</f>
        <v>0</v>
      </c>
      <c r="O592" s="44"/>
      <c r="P592" s="66"/>
      <c r="Q592" s="66"/>
      <c r="R592" s="66"/>
      <c r="S592" s="66"/>
      <c r="T592" s="138" t="str">
        <f>IFERROR(LOOKUP($S592,MOTORISTAS!$D$3:$D$1048576,MOTORISTAS!E$3:$E$1048576),"")</f>
        <v/>
      </c>
      <c r="U592" s="138" t="str">
        <f>IFERROR(LOOKUP($S592,MOTORISTAS!$D$3:$D$1048576,MOTORISTAS!F$3:$F$1048576),"")</f>
        <v/>
      </c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44"/>
      <c r="AG592" s="254">
        <f>Prog_236[[#This Row],[SAÍDA DO CLIENTE]]-Prog_236[[#This Row],[PROGRAMAÇÃO CLIENTE]]</f>
        <v>0</v>
      </c>
      <c r="AH592" s="44"/>
      <c r="AI592" s="66"/>
      <c r="AJ592" s="66"/>
      <c r="AK592" s="66"/>
      <c r="AL592" s="66"/>
      <c r="AM592" s="66"/>
      <c r="AN592" s="83"/>
      <c r="AO592" s="66"/>
      <c r="AP592" s="66"/>
      <c r="AQ592" s="66"/>
      <c r="AR592" s="81"/>
      <c r="AS592" s="81"/>
      <c r="AT592" s="81"/>
      <c r="AU592" s="81"/>
      <c r="AV592" s="83">
        <f>SUM(Prog_236[[#This Row],[ADIANTAMENTO]]+Prog_236[[#This Row],[SALDO]]+Prog_236[[#This Row],[MARGEM]]+Prog_236[[#This Row],[ESTADIA 1]])</f>
        <v>0</v>
      </c>
      <c r="AW5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2" s="81"/>
      <c r="AY592" s="81"/>
      <c r="AZ592" s="81">
        <f>Prog_236[[#This Row],[VLR NF]]*0.1%</f>
        <v>0</v>
      </c>
      <c r="BA592" s="81">
        <f>Prog_236[[#This Row],[VLR NF]]*0.05%</f>
        <v>0</v>
      </c>
      <c r="BB592" s="81"/>
      <c r="BC592" s="81"/>
      <c r="BD592" s="81"/>
      <c r="BE592" s="81"/>
      <c r="BF592" s="81"/>
      <c r="BG592" s="81"/>
      <c r="BH592" s="81"/>
      <c r="BI592" s="81"/>
      <c r="BJ592" s="81"/>
      <c r="BK592" s="81"/>
      <c r="BL592" s="66"/>
      <c r="BM592" s="66"/>
      <c r="BN592" s="66"/>
      <c r="BO592" s="66" t="str">
        <f>PROPER(TEXT(Prog_236[[#This Row],[PROGRAMAÇÃO CLIENTE]],"mmm"))</f>
        <v>Jan</v>
      </c>
      <c r="BP592" s="66">
        <f>YEAR(Prog_236[[#This Row],[PROGRAMAÇÃO CLIENTE]])</f>
        <v>1900</v>
      </c>
    </row>
    <row r="593" spans="1:68" x14ac:dyDescent="0.25">
      <c r="A593" s="200">
        <f>Prog_236[[#This Row],[CONTEINER]]</f>
        <v>0</v>
      </c>
      <c r="B593" s="86"/>
      <c r="C5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3" s="44"/>
      <c r="E593" s="66"/>
      <c r="F593" s="66"/>
      <c r="G593" s="66"/>
      <c r="H593" s="44"/>
      <c r="I593" s="44"/>
      <c r="J593" s="66"/>
      <c r="K593" s="66"/>
      <c r="L593" s="66"/>
      <c r="M593" s="66"/>
      <c r="N593" s="66">
        <f>SUM(Prog_236[[#This Row],[TARA]]+Prog_236[[#This Row],[PESO]])</f>
        <v>0</v>
      </c>
      <c r="O593" s="44"/>
      <c r="P593" s="66"/>
      <c r="Q593" s="66"/>
      <c r="R593" s="66"/>
      <c r="S593" s="66"/>
      <c r="T593" s="138" t="str">
        <f>IFERROR(LOOKUP($S593,MOTORISTAS!$D$3:$D$1048576,MOTORISTAS!E$3:$E$1048576),"")</f>
        <v/>
      </c>
      <c r="U593" s="138" t="str">
        <f>IFERROR(LOOKUP($S593,MOTORISTAS!$D$3:$D$1048576,MOTORISTAS!F$3:$F$1048576),"")</f>
        <v/>
      </c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44"/>
      <c r="AG593" s="254">
        <f>Prog_236[[#This Row],[SAÍDA DO CLIENTE]]-Prog_236[[#This Row],[PROGRAMAÇÃO CLIENTE]]</f>
        <v>0</v>
      </c>
      <c r="AH593" s="44"/>
      <c r="AI593" s="66"/>
      <c r="AJ593" s="66"/>
      <c r="AK593" s="66"/>
      <c r="AL593" s="66"/>
      <c r="AM593" s="66"/>
      <c r="AN593" s="83"/>
      <c r="AO593" s="66"/>
      <c r="AP593" s="66"/>
      <c r="AQ593" s="66"/>
      <c r="AR593" s="81"/>
      <c r="AS593" s="81"/>
      <c r="AT593" s="81"/>
      <c r="AU593" s="81"/>
      <c r="AV593" s="83">
        <f>SUM(Prog_236[[#This Row],[ADIANTAMENTO]]+Prog_236[[#This Row],[SALDO]]+Prog_236[[#This Row],[MARGEM]]+Prog_236[[#This Row],[ESTADIA 1]])</f>
        <v>0</v>
      </c>
      <c r="AW5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3" s="81"/>
      <c r="AY593" s="81"/>
      <c r="AZ593" s="81">
        <f>Prog_236[[#This Row],[VLR NF]]*0.1%</f>
        <v>0</v>
      </c>
      <c r="BA593" s="81">
        <f>Prog_236[[#This Row],[VLR NF]]*0.05%</f>
        <v>0</v>
      </c>
      <c r="BB593" s="81"/>
      <c r="BC593" s="81"/>
      <c r="BD593" s="81"/>
      <c r="BE593" s="81"/>
      <c r="BF593" s="81"/>
      <c r="BG593" s="81"/>
      <c r="BH593" s="81"/>
      <c r="BI593" s="81"/>
      <c r="BJ593" s="81"/>
      <c r="BK593" s="81"/>
      <c r="BL593" s="66"/>
      <c r="BM593" s="66"/>
      <c r="BN593" s="66"/>
      <c r="BO593" s="66" t="str">
        <f>PROPER(TEXT(Prog_236[[#This Row],[PROGRAMAÇÃO CLIENTE]],"mmm"))</f>
        <v>Jan</v>
      </c>
      <c r="BP593" s="66">
        <f>YEAR(Prog_236[[#This Row],[PROGRAMAÇÃO CLIENTE]])</f>
        <v>1900</v>
      </c>
    </row>
    <row r="594" spans="1:68" x14ac:dyDescent="0.25">
      <c r="A594" s="201">
        <f>Prog_236[[#This Row],[CONTEINER]]</f>
        <v>0</v>
      </c>
      <c r="B594" s="86"/>
      <c r="C5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4" s="44"/>
      <c r="E594" s="66"/>
      <c r="F594" s="66"/>
      <c r="G594" s="66"/>
      <c r="H594" s="44"/>
      <c r="I594" s="44"/>
      <c r="J594" s="66"/>
      <c r="K594" s="66"/>
      <c r="L594" s="66"/>
      <c r="M594" s="66"/>
      <c r="N594" s="66">
        <f>SUM(Prog_236[[#This Row],[TARA]]+Prog_236[[#This Row],[PESO]])</f>
        <v>0</v>
      </c>
      <c r="O594" s="44"/>
      <c r="P594" s="66"/>
      <c r="Q594" s="66"/>
      <c r="R594" s="66"/>
      <c r="S594" s="66"/>
      <c r="T594" s="138" t="str">
        <f>IFERROR(LOOKUP($S594,MOTORISTAS!$D$3:$D$1048576,MOTORISTAS!E$3:$E$1048576),"")</f>
        <v/>
      </c>
      <c r="U594" s="138" t="str">
        <f>IFERROR(LOOKUP($S594,MOTORISTAS!$D$3:$D$1048576,MOTORISTAS!F$3:$F$1048576),"")</f>
        <v/>
      </c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44"/>
      <c r="AG594" s="254">
        <f>Prog_236[[#This Row],[SAÍDA DO CLIENTE]]-Prog_236[[#This Row],[PROGRAMAÇÃO CLIENTE]]</f>
        <v>0</v>
      </c>
      <c r="AH594" s="44"/>
      <c r="AI594" s="66"/>
      <c r="AJ594" s="66"/>
      <c r="AK594" s="66"/>
      <c r="AL594" s="66"/>
      <c r="AM594" s="66"/>
      <c r="AN594" s="83"/>
      <c r="AO594" s="66"/>
      <c r="AP594" s="66"/>
      <c r="AQ594" s="66"/>
      <c r="AR594" s="81"/>
      <c r="AS594" s="81"/>
      <c r="AT594" s="81"/>
      <c r="AU594" s="81"/>
      <c r="AV594" s="83">
        <f>SUM(Prog_236[[#This Row],[ADIANTAMENTO]]+Prog_236[[#This Row],[SALDO]]+Prog_236[[#This Row],[MARGEM]]+Prog_236[[#This Row],[ESTADIA 1]])</f>
        <v>0</v>
      </c>
      <c r="AW5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4" s="81"/>
      <c r="AY594" s="81"/>
      <c r="AZ594" s="81">
        <f>Prog_236[[#This Row],[VLR NF]]*0.1%</f>
        <v>0</v>
      </c>
      <c r="BA594" s="81">
        <f>Prog_236[[#This Row],[VLR NF]]*0.05%</f>
        <v>0</v>
      </c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66"/>
      <c r="BM594" s="66"/>
      <c r="BN594" s="66"/>
      <c r="BO594" s="66" t="str">
        <f>PROPER(TEXT(Prog_236[[#This Row],[PROGRAMAÇÃO CLIENTE]],"mmm"))</f>
        <v>Jan</v>
      </c>
      <c r="BP594" s="66">
        <f>YEAR(Prog_236[[#This Row],[PROGRAMAÇÃO CLIENTE]])</f>
        <v>1900</v>
      </c>
    </row>
    <row r="595" spans="1:68" x14ac:dyDescent="0.25">
      <c r="A595" s="200">
        <f>Prog_236[[#This Row],[CONTEINER]]</f>
        <v>0</v>
      </c>
      <c r="B595" s="86"/>
      <c r="C5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5" s="44"/>
      <c r="E595" s="66"/>
      <c r="F595" s="66"/>
      <c r="G595" s="66"/>
      <c r="H595" s="44"/>
      <c r="I595" s="44"/>
      <c r="J595" s="66"/>
      <c r="K595" s="66"/>
      <c r="L595" s="66"/>
      <c r="M595" s="66"/>
      <c r="N595" s="66">
        <f>SUM(Prog_236[[#This Row],[TARA]]+Prog_236[[#This Row],[PESO]])</f>
        <v>0</v>
      </c>
      <c r="O595" s="44"/>
      <c r="P595" s="66"/>
      <c r="Q595" s="66"/>
      <c r="R595" s="66"/>
      <c r="S595" s="66"/>
      <c r="T595" s="138" t="str">
        <f>IFERROR(LOOKUP($S595,MOTORISTAS!$D$3:$D$1048576,MOTORISTAS!E$3:$E$1048576),"")</f>
        <v/>
      </c>
      <c r="U595" s="138" t="str">
        <f>IFERROR(LOOKUP($S595,MOTORISTAS!$D$3:$D$1048576,MOTORISTAS!F$3:$F$1048576),"")</f>
        <v/>
      </c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44"/>
      <c r="AG595" s="254">
        <f>Prog_236[[#This Row],[SAÍDA DO CLIENTE]]-Prog_236[[#This Row],[PROGRAMAÇÃO CLIENTE]]</f>
        <v>0</v>
      </c>
      <c r="AH595" s="44"/>
      <c r="AI595" s="66"/>
      <c r="AJ595" s="66"/>
      <c r="AK595" s="66"/>
      <c r="AL595" s="66"/>
      <c r="AM595" s="66"/>
      <c r="AN595" s="83"/>
      <c r="AO595" s="66"/>
      <c r="AP595" s="66"/>
      <c r="AQ595" s="66"/>
      <c r="AR595" s="81"/>
      <c r="AS595" s="81"/>
      <c r="AT595" s="81"/>
      <c r="AU595" s="81"/>
      <c r="AV595" s="83">
        <f>SUM(Prog_236[[#This Row],[ADIANTAMENTO]]+Prog_236[[#This Row],[SALDO]]+Prog_236[[#This Row],[MARGEM]]+Prog_236[[#This Row],[ESTADIA 1]])</f>
        <v>0</v>
      </c>
      <c r="AW5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5" s="81"/>
      <c r="AY595" s="81"/>
      <c r="AZ595" s="81">
        <f>Prog_236[[#This Row],[VLR NF]]*0.1%</f>
        <v>0</v>
      </c>
      <c r="BA595" s="81">
        <f>Prog_236[[#This Row],[VLR NF]]*0.05%</f>
        <v>0</v>
      </c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66"/>
      <c r="BM595" s="66"/>
      <c r="BN595" s="66"/>
      <c r="BO595" s="66" t="str">
        <f>PROPER(TEXT(Prog_236[[#This Row],[PROGRAMAÇÃO CLIENTE]],"mmm"))</f>
        <v>Jan</v>
      </c>
      <c r="BP595" s="66">
        <f>YEAR(Prog_236[[#This Row],[PROGRAMAÇÃO CLIENTE]])</f>
        <v>1900</v>
      </c>
    </row>
    <row r="596" spans="1:68" x14ac:dyDescent="0.25">
      <c r="A596" s="201">
        <f>Prog_236[[#This Row],[CONTEINER]]</f>
        <v>0</v>
      </c>
      <c r="B596" s="86"/>
      <c r="C5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6" s="44"/>
      <c r="E596" s="66"/>
      <c r="F596" s="66"/>
      <c r="G596" s="66"/>
      <c r="H596" s="44"/>
      <c r="I596" s="44"/>
      <c r="J596" s="66"/>
      <c r="K596" s="66"/>
      <c r="L596" s="66"/>
      <c r="M596" s="66"/>
      <c r="N596" s="66">
        <f>SUM(Prog_236[[#This Row],[TARA]]+Prog_236[[#This Row],[PESO]])</f>
        <v>0</v>
      </c>
      <c r="O596" s="44"/>
      <c r="P596" s="66"/>
      <c r="Q596" s="66"/>
      <c r="R596" s="66"/>
      <c r="S596" s="66"/>
      <c r="T596" s="138" t="str">
        <f>IFERROR(LOOKUP($S596,MOTORISTAS!$D$3:$D$1048576,MOTORISTAS!E$3:$E$1048576),"")</f>
        <v/>
      </c>
      <c r="U596" s="138" t="str">
        <f>IFERROR(LOOKUP($S596,MOTORISTAS!$D$3:$D$1048576,MOTORISTAS!F$3:$F$1048576),"")</f>
        <v/>
      </c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44"/>
      <c r="AG596" s="254">
        <f>Prog_236[[#This Row],[SAÍDA DO CLIENTE]]-Prog_236[[#This Row],[PROGRAMAÇÃO CLIENTE]]</f>
        <v>0</v>
      </c>
      <c r="AH596" s="44"/>
      <c r="AI596" s="66"/>
      <c r="AJ596" s="66"/>
      <c r="AK596" s="66"/>
      <c r="AL596" s="66"/>
      <c r="AM596" s="66"/>
      <c r="AN596" s="83"/>
      <c r="AO596" s="66"/>
      <c r="AP596" s="66"/>
      <c r="AQ596" s="66"/>
      <c r="AR596" s="81"/>
      <c r="AS596" s="81"/>
      <c r="AT596" s="81"/>
      <c r="AU596" s="81"/>
      <c r="AV596" s="83">
        <f>SUM(Prog_236[[#This Row],[ADIANTAMENTO]]+Prog_236[[#This Row],[SALDO]]+Prog_236[[#This Row],[MARGEM]]+Prog_236[[#This Row],[ESTADIA 1]])</f>
        <v>0</v>
      </c>
      <c r="AW5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6" s="81"/>
      <c r="AY596" s="81"/>
      <c r="AZ596" s="81">
        <f>Prog_236[[#This Row],[VLR NF]]*0.1%</f>
        <v>0</v>
      </c>
      <c r="BA596" s="81">
        <f>Prog_236[[#This Row],[VLR NF]]*0.05%</f>
        <v>0</v>
      </c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66"/>
      <c r="BM596" s="66"/>
      <c r="BN596" s="66"/>
      <c r="BO596" s="66" t="str">
        <f>PROPER(TEXT(Prog_236[[#This Row],[PROGRAMAÇÃO CLIENTE]],"mmm"))</f>
        <v>Jan</v>
      </c>
      <c r="BP596" s="66">
        <f>YEAR(Prog_236[[#This Row],[PROGRAMAÇÃO CLIENTE]])</f>
        <v>1900</v>
      </c>
    </row>
    <row r="597" spans="1:68" x14ac:dyDescent="0.25">
      <c r="A597" s="200">
        <f>Prog_236[[#This Row],[CONTEINER]]</f>
        <v>0</v>
      </c>
      <c r="B597" s="86"/>
      <c r="C5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7" s="44"/>
      <c r="E597" s="66"/>
      <c r="F597" s="66"/>
      <c r="G597" s="66"/>
      <c r="H597" s="44"/>
      <c r="I597" s="44"/>
      <c r="J597" s="66"/>
      <c r="K597" s="66"/>
      <c r="L597" s="66"/>
      <c r="M597" s="66"/>
      <c r="N597" s="66">
        <f>SUM(Prog_236[[#This Row],[TARA]]+Prog_236[[#This Row],[PESO]])</f>
        <v>0</v>
      </c>
      <c r="O597" s="44"/>
      <c r="P597" s="66"/>
      <c r="Q597" s="66"/>
      <c r="R597" s="66"/>
      <c r="S597" s="66"/>
      <c r="T597" s="138" t="str">
        <f>IFERROR(LOOKUP($S597,MOTORISTAS!$D$3:$D$1048576,MOTORISTAS!E$3:$E$1048576),"")</f>
        <v/>
      </c>
      <c r="U597" s="138" t="str">
        <f>IFERROR(LOOKUP($S597,MOTORISTAS!$D$3:$D$1048576,MOTORISTAS!F$3:$F$1048576),"")</f>
        <v/>
      </c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44"/>
      <c r="AG597" s="254">
        <f>Prog_236[[#This Row],[SAÍDA DO CLIENTE]]-Prog_236[[#This Row],[PROGRAMAÇÃO CLIENTE]]</f>
        <v>0</v>
      </c>
      <c r="AH597" s="44"/>
      <c r="AI597" s="66"/>
      <c r="AJ597" s="66"/>
      <c r="AK597" s="66"/>
      <c r="AL597" s="66"/>
      <c r="AM597" s="66"/>
      <c r="AN597" s="83"/>
      <c r="AO597" s="66"/>
      <c r="AP597" s="66"/>
      <c r="AQ597" s="66"/>
      <c r="AR597" s="81"/>
      <c r="AS597" s="81"/>
      <c r="AT597" s="81"/>
      <c r="AU597" s="81"/>
      <c r="AV597" s="83">
        <f>SUM(Prog_236[[#This Row],[ADIANTAMENTO]]+Prog_236[[#This Row],[SALDO]]+Prog_236[[#This Row],[MARGEM]]+Prog_236[[#This Row],[ESTADIA 1]])</f>
        <v>0</v>
      </c>
      <c r="AW5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7" s="81"/>
      <c r="AY597" s="81"/>
      <c r="AZ597" s="81">
        <f>Prog_236[[#This Row],[VLR NF]]*0.1%</f>
        <v>0</v>
      </c>
      <c r="BA597" s="81">
        <f>Prog_236[[#This Row],[VLR NF]]*0.05%</f>
        <v>0</v>
      </c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66"/>
      <c r="BM597" s="66"/>
      <c r="BN597" s="66"/>
      <c r="BO597" s="66" t="str">
        <f>PROPER(TEXT(Prog_236[[#This Row],[PROGRAMAÇÃO CLIENTE]],"mmm"))</f>
        <v>Jan</v>
      </c>
      <c r="BP597" s="66">
        <f>YEAR(Prog_236[[#This Row],[PROGRAMAÇÃO CLIENTE]])</f>
        <v>1900</v>
      </c>
    </row>
    <row r="598" spans="1:68" x14ac:dyDescent="0.25">
      <c r="A598" s="201">
        <f>Prog_236[[#This Row],[CONTEINER]]</f>
        <v>0</v>
      </c>
      <c r="B598" s="86"/>
      <c r="C5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8" s="44"/>
      <c r="E598" s="66"/>
      <c r="F598" s="66"/>
      <c r="G598" s="66"/>
      <c r="H598" s="44"/>
      <c r="I598" s="44"/>
      <c r="J598" s="66"/>
      <c r="K598" s="66"/>
      <c r="L598" s="66"/>
      <c r="M598" s="66"/>
      <c r="N598" s="66">
        <f>SUM(Prog_236[[#This Row],[TARA]]+Prog_236[[#This Row],[PESO]])</f>
        <v>0</v>
      </c>
      <c r="O598" s="44"/>
      <c r="P598" s="66"/>
      <c r="Q598" s="66"/>
      <c r="R598" s="66"/>
      <c r="S598" s="66"/>
      <c r="T598" s="138" t="str">
        <f>IFERROR(LOOKUP($S598,MOTORISTAS!$D$3:$D$1048576,MOTORISTAS!E$3:$E$1048576),"")</f>
        <v/>
      </c>
      <c r="U598" s="138" t="str">
        <f>IFERROR(LOOKUP($S598,MOTORISTAS!$D$3:$D$1048576,MOTORISTAS!F$3:$F$1048576),"")</f>
        <v/>
      </c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44"/>
      <c r="AG598" s="254">
        <f>Prog_236[[#This Row],[SAÍDA DO CLIENTE]]-Prog_236[[#This Row],[PROGRAMAÇÃO CLIENTE]]</f>
        <v>0</v>
      </c>
      <c r="AH598" s="44"/>
      <c r="AI598" s="66"/>
      <c r="AJ598" s="66"/>
      <c r="AK598" s="66"/>
      <c r="AL598" s="66"/>
      <c r="AM598" s="66"/>
      <c r="AN598" s="83"/>
      <c r="AO598" s="66"/>
      <c r="AP598" s="66"/>
      <c r="AQ598" s="66"/>
      <c r="AR598" s="81"/>
      <c r="AS598" s="81"/>
      <c r="AT598" s="81"/>
      <c r="AU598" s="81"/>
      <c r="AV598" s="83">
        <f>SUM(Prog_236[[#This Row],[ADIANTAMENTO]]+Prog_236[[#This Row],[SALDO]]+Prog_236[[#This Row],[MARGEM]]+Prog_236[[#This Row],[ESTADIA 1]])</f>
        <v>0</v>
      </c>
      <c r="AW5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8" s="81"/>
      <c r="AY598" s="81"/>
      <c r="AZ598" s="81">
        <f>Prog_236[[#This Row],[VLR NF]]*0.1%</f>
        <v>0</v>
      </c>
      <c r="BA598" s="81">
        <f>Prog_236[[#This Row],[VLR NF]]*0.05%</f>
        <v>0</v>
      </c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66"/>
      <c r="BM598" s="66"/>
      <c r="BN598" s="66"/>
      <c r="BO598" s="66" t="str">
        <f>PROPER(TEXT(Prog_236[[#This Row],[PROGRAMAÇÃO CLIENTE]],"mmm"))</f>
        <v>Jan</v>
      </c>
      <c r="BP598" s="66">
        <f>YEAR(Prog_236[[#This Row],[PROGRAMAÇÃO CLIENTE]])</f>
        <v>1900</v>
      </c>
    </row>
    <row r="599" spans="1:68" x14ac:dyDescent="0.25">
      <c r="A599" s="200">
        <f>Prog_236[[#This Row],[CONTEINER]]</f>
        <v>0</v>
      </c>
      <c r="B599" s="86"/>
      <c r="C5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599" s="44"/>
      <c r="E599" s="66"/>
      <c r="F599" s="66"/>
      <c r="G599" s="66"/>
      <c r="H599" s="44"/>
      <c r="I599" s="44"/>
      <c r="J599" s="66"/>
      <c r="K599" s="66"/>
      <c r="L599" s="66"/>
      <c r="M599" s="66"/>
      <c r="N599" s="66">
        <f>SUM(Prog_236[[#This Row],[TARA]]+Prog_236[[#This Row],[PESO]])</f>
        <v>0</v>
      </c>
      <c r="O599" s="44"/>
      <c r="P599" s="66"/>
      <c r="Q599" s="66"/>
      <c r="R599" s="66"/>
      <c r="S599" s="66"/>
      <c r="T599" s="138" t="str">
        <f>IFERROR(LOOKUP($S599,MOTORISTAS!$D$3:$D$1048576,MOTORISTAS!E$3:$E$1048576),"")</f>
        <v/>
      </c>
      <c r="U599" s="138" t="str">
        <f>IFERROR(LOOKUP($S599,MOTORISTAS!$D$3:$D$1048576,MOTORISTAS!F$3:$F$1048576),"")</f>
        <v/>
      </c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44"/>
      <c r="AG599" s="254">
        <f>Prog_236[[#This Row],[SAÍDA DO CLIENTE]]-Prog_236[[#This Row],[PROGRAMAÇÃO CLIENTE]]</f>
        <v>0</v>
      </c>
      <c r="AH599" s="44"/>
      <c r="AI599" s="66"/>
      <c r="AJ599" s="66"/>
      <c r="AK599" s="66"/>
      <c r="AL599" s="66"/>
      <c r="AM599" s="66"/>
      <c r="AN599" s="83"/>
      <c r="AO599" s="66"/>
      <c r="AP599" s="66"/>
      <c r="AQ599" s="66"/>
      <c r="AR599" s="81"/>
      <c r="AS599" s="81"/>
      <c r="AT599" s="81"/>
      <c r="AU599" s="81"/>
      <c r="AV599" s="83">
        <f>SUM(Prog_236[[#This Row],[ADIANTAMENTO]]+Prog_236[[#This Row],[SALDO]]+Prog_236[[#This Row],[MARGEM]]+Prog_236[[#This Row],[ESTADIA 1]])</f>
        <v>0</v>
      </c>
      <c r="AW5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599" s="81"/>
      <c r="AY599" s="81"/>
      <c r="AZ599" s="81">
        <f>Prog_236[[#This Row],[VLR NF]]*0.1%</f>
        <v>0</v>
      </c>
      <c r="BA599" s="81">
        <f>Prog_236[[#This Row],[VLR NF]]*0.05%</f>
        <v>0</v>
      </c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66"/>
      <c r="BM599" s="66"/>
      <c r="BN599" s="66"/>
      <c r="BO599" s="66" t="str">
        <f>PROPER(TEXT(Prog_236[[#This Row],[PROGRAMAÇÃO CLIENTE]],"mmm"))</f>
        <v>Jan</v>
      </c>
      <c r="BP599" s="66">
        <f>YEAR(Prog_236[[#This Row],[PROGRAMAÇÃO CLIENTE]])</f>
        <v>1900</v>
      </c>
    </row>
    <row r="600" spans="1:68" x14ac:dyDescent="0.25">
      <c r="A600" s="201">
        <f>Prog_236[[#This Row],[CONTEINER]]</f>
        <v>0</v>
      </c>
      <c r="B600" s="86"/>
      <c r="C6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0" s="44"/>
      <c r="E600" s="66"/>
      <c r="F600" s="66"/>
      <c r="G600" s="66"/>
      <c r="H600" s="44"/>
      <c r="I600" s="44"/>
      <c r="J600" s="66"/>
      <c r="K600" s="66"/>
      <c r="L600" s="66"/>
      <c r="M600" s="66"/>
      <c r="N600" s="66">
        <f>SUM(Prog_236[[#This Row],[TARA]]+Prog_236[[#This Row],[PESO]])</f>
        <v>0</v>
      </c>
      <c r="O600" s="44"/>
      <c r="P600" s="66"/>
      <c r="Q600" s="66"/>
      <c r="R600" s="66"/>
      <c r="S600" s="66"/>
      <c r="T600" s="138" t="str">
        <f>IFERROR(LOOKUP($S600,MOTORISTAS!$D$3:$D$1048576,MOTORISTAS!E$3:$E$1048576),"")</f>
        <v/>
      </c>
      <c r="U600" s="138" t="str">
        <f>IFERROR(LOOKUP($S600,MOTORISTAS!$D$3:$D$1048576,MOTORISTAS!F$3:$F$1048576),"")</f>
        <v/>
      </c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44"/>
      <c r="AG600" s="254">
        <f>Prog_236[[#This Row],[SAÍDA DO CLIENTE]]-Prog_236[[#This Row],[PROGRAMAÇÃO CLIENTE]]</f>
        <v>0</v>
      </c>
      <c r="AH600" s="44"/>
      <c r="AI600" s="66"/>
      <c r="AJ600" s="66"/>
      <c r="AK600" s="66"/>
      <c r="AL600" s="66"/>
      <c r="AM600" s="66"/>
      <c r="AN600" s="83"/>
      <c r="AO600" s="66"/>
      <c r="AP600" s="66"/>
      <c r="AQ600" s="66"/>
      <c r="AR600" s="81"/>
      <c r="AS600" s="81"/>
      <c r="AT600" s="81"/>
      <c r="AU600" s="81"/>
      <c r="AV600" s="83">
        <f>SUM(Prog_236[[#This Row],[ADIANTAMENTO]]+Prog_236[[#This Row],[SALDO]]+Prog_236[[#This Row],[MARGEM]]+Prog_236[[#This Row],[ESTADIA 1]])</f>
        <v>0</v>
      </c>
      <c r="AW6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0" s="81"/>
      <c r="AY600" s="81"/>
      <c r="AZ600" s="81">
        <f>Prog_236[[#This Row],[VLR NF]]*0.1%</f>
        <v>0</v>
      </c>
      <c r="BA600" s="81">
        <f>Prog_236[[#This Row],[VLR NF]]*0.05%</f>
        <v>0</v>
      </c>
      <c r="BB600" s="81"/>
      <c r="BC600" s="81"/>
      <c r="BD600" s="81"/>
      <c r="BE600" s="81"/>
      <c r="BF600" s="81"/>
      <c r="BG600" s="81"/>
      <c r="BH600" s="81"/>
      <c r="BI600" s="81"/>
      <c r="BJ600" s="81"/>
      <c r="BK600" s="81"/>
      <c r="BL600" s="66"/>
      <c r="BM600" s="66"/>
      <c r="BN600" s="66"/>
      <c r="BO600" s="66" t="str">
        <f>PROPER(TEXT(Prog_236[[#This Row],[PROGRAMAÇÃO CLIENTE]],"mmm"))</f>
        <v>Jan</v>
      </c>
      <c r="BP600" s="66">
        <f>YEAR(Prog_236[[#This Row],[PROGRAMAÇÃO CLIENTE]])</f>
        <v>1900</v>
      </c>
    </row>
    <row r="601" spans="1:68" x14ac:dyDescent="0.25">
      <c r="A601" s="200">
        <f>Prog_236[[#This Row],[CONTEINER]]</f>
        <v>0</v>
      </c>
      <c r="B601" s="86"/>
      <c r="C6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1" s="44"/>
      <c r="E601" s="66"/>
      <c r="F601" s="66"/>
      <c r="G601" s="66"/>
      <c r="H601" s="44"/>
      <c r="I601" s="44"/>
      <c r="J601" s="66"/>
      <c r="K601" s="66"/>
      <c r="L601" s="66"/>
      <c r="M601" s="66"/>
      <c r="N601" s="66">
        <f>SUM(Prog_236[[#This Row],[TARA]]+Prog_236[[#This Row],[PESO]])</f>
        <v>0</v>
      </c>
      <c r="O601" s="44"/>
      <c r="P601" s="66"/>
      <c r="Q601" s="66"/>
      <c r="R601" s="66"/>
      <c r="S601" s="66"/>
      <c r="T601" s="138" t="str">
        <f>IFERROR(LOOKUP($S601,MOTORISTAS!$D$3:$D$1048576,MOTORISTAS!E$3:$E$1048576),"")</f>
        <v/>
      </c>
      <c r="U601" s="138" t="str">
        <f>IFERROR(LOOKUP($S601,MOTORISTAS!$D$3:$D$1048576,MOTORISTAS!F$3:$F$1048576),"")</f>
        <v/>
      </c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44"/>
      <c r="AG601" s="254">
        <f>Prog_236[[#This Row],[SAÍDA DO CLIENTE]]-Prog_236[[#This Row],[PROGRAMAÇÃO CLIENTE]]</f>
        <v>0</v>
      </c>
      <c r="AH601" s="44"/>
      <c r="AI601" s="66"/>
      <c r="AJ601" s="66"/>
      <c r="AK601" s="66"/>
      <c r="AL601" s="66"/>
      <c r="AM601" s="66"/>
      <c r="AN601" s="83"/>
      <c r="AO601" s="66"/>
      <c r="AP601" s="66"/>
      <c r="AQ601" s="66"/>
      <c r="AR601" s="81"/>
      <c r="AS601" s="81"/>
      <c r="AT601" s="81"/>
      <c r="AU601" s="81"/>
      <c r="AV601" s="83">
        <f>SUM(Prog_236[[#This Row],[ADIANTAMENTO]]+Prog_236[[#This Row],[SALDO]]+Prog_236[[#This Row],[MARGEM]]+Prog_236[[#This Row],[ESTADIA 1]])</f>
        <v>0</v>
      </c>
      <c r="AW6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1" s="81"/>
      <c r="AY601" s="81"/>
      <c r="AZ601" s="81">
        <f>Prog_236[[#This Row],[VLR NF]]*0.1%</f>
        <v>0</v>
      </c>
      <c r="BA601" s="81">
        <f>Prog_236[[#This Row],[VLR NF]]*0.05%</f>
        <v>0</v>
      </c>
      <c r="BB601" s="81"/>
      <c r="BC601" s="81"/>
      <c r="BD601" s="81"/>
      <c r="BE601" s="81"/>
      <c r="BF601" s="81"/>
      <c r="BG601" s="81"/>
      <c r="BH601" s="81"/>
      <c r="BI601" s="81"/>
      <c r="BJ601" s="81"/>
      <c r="BK601" s="81"/>
      <c r="BL601" s="66"/>
      <c r="BM601" s="66"/>
      <c r="BN601" s="66"/>
      <c r="BO601" s="66" t="str">
        <f>PROPER(TEXT(Prog_236[[#This Row],[PROGRAMAÇÃO CLIENTE]],"mmm"))</f>
        <v>Jan</v>
      </c>
      <c r="BP601" s="66">
        <f>YEAR(Prog_236[[#This Row],[PROGRAMAÇÃO CLIENTE]])</f>
        <v>1900</v>
      </c>
    </row>
    <row r="602" spans="1:68" x14ac:dyDescent="0.25">
      <c r="A602" s="201">
        <f>Prog_236[[#This Row],[CONTEINER]]</f>
        <v>0</v>
      </c>
      <c r="B602" s="86"/>
      <c r="C6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2" s="44"/>
      <c r="E602" s="66"/>
      <c r="F602" s="66"/>
      <c r="G602" s="66"/>
      <c r="H602" s="44"/>
      <c r="I602" s="44"/>
      <c r="J602" s="66"/>
      <c r="K602" s="66"/>
      <c r="L602" s="66"/>
      <c r="M602" s="66"/>
      <c r="N602" s="66">
        <f>SUM(Prog_236[[#This Row],[TARA]]+Prog_236[[#This Row],[PESO]])</f>
        <v>0</v>
      </c>
      <c r="O602" s="44"/>
      <c r="P602" s="66"/>
      <c r="Q602" s="66"/>
      <c r="R602" s="66"/>
      <c r="S602" s="66"/>
      <c r="T602" s="138" t="str">
        <f>IFERROR(LOOKUP($S602,MOTORISTAS!$D$3:$D$1048576,MOTORISTAS!E$3:$E$1048576),"")</f>
        <v/>
      </c>
      <c r="U602" s="138" t="str">
        <f>IFERROR(LOOKUP($S602,MOTORISTAS!$D$3:$D$1048576,MOTORISTAS!F$3:$F$1048576),"")</f>
        <v/>
      </c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44"/>
      <c r="AG602" s="254">
        <f>Prog_236[[#This Row],[SAÍDA DO CLIENTE]]-Prog_236[[#This Row],[PROGRAMAÇÃO CLIENTE]]</f>
        <v>0</v>
      </c>
      <c r="AH602" s="44"/>
      <c r="AI602" s="66"/>
      <c r="AJ602" s="66"/>
      <c r="AK602" s="66"/>
      <c r="AL602" s="66"/>
      <c r="AM602" s="66"/>
      <c r="AN602" s="83"/>
      <c r="AO602" s="66"/>
      <c r="AP602" s="66"/>
      <c r="AQ602" s="66"/>
      <c r="AR602" s="81"/>
      <c r="AS602" s="81"/>
      <c r="AT602" s="81"/>
      <c r="AU602" s="81"/>
      <c r="AV602" s="83">
        <f>SUM(Prog_236[[#This Row],[ADIANTAMENTO]]+Prog_236[[#This Row],[SALDO]]+Prog_236[[#This Row],[MARGEM]]+Prog_236[[#This Row],[ESTADIA 1]])</f>
        <v>0</v>
      </c>
      <c r="AW6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2" s="81"/>
      <c r="AY602" s="81"/>
      <c r="AZ602" s="81">
        <f>Prog_236[[#This Row],[VLR NF]]*0.1%</f>
        <v>0</v>
      </c>
      <c r="BA602" s="81">
        <f>Prog_236[[#This Row],[VLR NF]]*0.05%</f>
        <v>0</v>
      </c>
      <c r="BB602" s="81"/>
      <c r="BC602" s="81"/>
      <c r="BD602" s="81"/>
      <c r="BE602" s="81"/>
      <c r="BF602" s="81"/>
      <c r="BG602" s="81"/>
      <c r="BH602" s="81"/>
      <c r="BI602" s="81"/>
      <c r="BJ602" s="81"/>
      <c r="BK602" s="81"/>
      <c r="BL602" s="66"/>
      <c r="BM602" s="66"/>
      <c r="BN602" s="66"/>
      <c r="BO602" s="66" t="str">
        <f>PROPER(TEXT(Prog_236[[#This Row],[PROGRAMAÇÃO CLIENTE]],"mmm"))</f>
        <v>Jan</v>
      </c>
      <c r="BP602" s="66">
        <f>YEAR(Prog_236[[#This Row],[PROGRAMAÇÃO CLIENTE]])</f>
        <v>1900</v>
      </c>
    </row>
    <row r="603" spans="1:68" x14ac:dyDescent="0.25">
      <c r="A603" s="200">
        <f>Prog_236[[#This Row],[CONTEINER]]</f>
        <v>0</v>
      </c>
      <c r="B603" s="86"/>
      <c r="C6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3" s="44"/>
      <c r="E603" s="66"/>
      <c r="F603" s="66"/>
      <c r="G603" s="66"/>
      <c r="H603" s="44"/>
      <c r="I603" s="44"/>
      <c r="J603" s="66"/>
      <c r="K603" s="66"/>
      <c r="L603" s="66"/>
      <c r="M603" s="66"/>
      <c r="N603" s="66">
        <f>SUM(Prog_236[[#This Row],[TARA]]+Prog_236[[#This Row],[PESO]])</f>
        <v>0</v>
      </c>
      <c r="O603" s="44"/>
      <c r="P603" s="66"/>
      <c r="Q603" s="66"/>
      <c r="R603" s="66"/>
      <c r="S603" s="66"/>
      <c r="T603" s="138" t="str">
        <f>IFERROR(LOOKUP($S603,MOTORISTAS!$D$3:$D$1048576,MOTORISTAS!E$3:$E$1048576),"")</f>
        <v/>
      </c>
      <c r="U603" s="138" t="str">
        <f>IFERROR(LOOKUP($S603,MOTORISTAS!$D$3:$D$1048576,MOTORISTAS!F$3:$F$1048576),"")</f>
        <v/>
      </c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44"/>
      <c r="AG603" s="254">
        <f>Prog_236[[#This Row],[SAÍDA DO CLIENTE]]-Prog_236[[#This Row],[PROGRAMAÇÃO CLIENTE]]</f>
        <v>0</v>
      </c>
      <c r="AH603" s="44"/>
      <c r="AI603" s="66"/>
      <c r="AJ603" s="66"/>
      <c r="AK603" s="66"/>
      <c r="AL603" s="66"/>
      <c r="AM603" s="66"/>
      <c r="AN603" s="83"/>
      <c r="AO603" s="66"/>
      <c r="AP603" s="66"/>
      <c r="AQ603" s="66"/>
      <c r="AR603" s="81"/>
      <c r="AS603" s="81"/>
      <c r="AT603" s="81"/>
      <c r="AU603" s="81"/>
      <c r="AV603" s="83">
        <f>SUM(Prog_236[[#This Row],[ADIANTAMENTO]]+Prog_236[[#This Row],[SALDO]]+Prog_236[[#This Row],[MARGEM]]+Prog_236[[#This Row],[ESTADIA 1]])</f>
        <v>0</v>
      </c>
      <c r="AW6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3" s="81"/>
      <c r="AY603" s="81"/>
      <c r="AZ603" s="81">
        <f>Prog_236[[#This Row],[VLR NF]]*0.1%</f>
        <v>0</v>
      </c>
      <c r="BA603" s="81">
        <f>Prog_236[[#This Row],[VLR NF]]*0.05%</f>
        <v>0</v>
      </c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66"/>
      <c r="BM603" s="66"/>
      <c r="BN603" s="66"/>
      <c r="BO603" s="66" t="str">
        <f>PROPER(TEXT(Prog_236[[#This Row],[PROGRAMAÇÃO CLIENTE]],"mmm"))</f>
        <v>Jan</v>
      </c>
      <c r="BP603" s="66">
        <f>YEAR(Prog_236[[#This Row],[PROGRAMAÇÃO CLIENTE]])</f>
        <v>1900</v>
      </c>
    </row>
    <row r="604" spans="1:68" x14ac:dyDescent="0.25">
      <c r="A604" s="201">
        <f>Prog_236[[#This Row],[CONTEINER]]</f>
        <v>0</v>
      </c>
      <c r="B604" s="86"/>
      <c r="C6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4" s="44"/>
      <c r="E604" s="66"/>
      <c r="F604" s="66"/>
      <c r="G604" s="66"/>
      <c r="H604" s="44"/>
      <c r="I604" s="44"/>
      <c r="J604" s="66"/>
      <c r="K604" s="66"/>
      <c r="L604" s="66"/>
      <c r="M604" s="66"/>
      <c r="N604" s="66">
        <f>SUM(Prog_236[[#This Row],[TARA]]+Prog_236[[#This Row],[PESO]])</f>
        <v>0</v>
      </c>
      <c r="O604" s="44"/>
      <c r="P604" s="66"/>
      <c r="Q604" s="66"/>
      <c r="R604" s="66"/>
      <c r="S604" s="66"/>
      <c r="T604" s="138" t="str">
        <f>IFERROR(LOOKUP($S604,MOTORISTAS!$D$3:$D$1048576,MOTORISTAS!E$3:$E$1048576),"")</f>
        <v/>
      </c>
      <c r="U604" s="138" t="str">
        <f>IFERROR(LOOKUP($S604,MOTORISTAS!$D$3:$D$1048576,MOTORISTAS!F$3:$F$1048576),"")</f>
        <v/>
      </c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44"/>
      <c r="AG604" s="254">
        <f>Prog_236[[#This Row],[SAÍDA DO CLIENTE]]-Prog_236[[#This Row],[PROGRAMAÇÃO CLIENTE]]</f>
        <v>0</v>
      </c>
      <c r="AH604" s="44"/>
      <c r="AI604" s="66"/>
      <c r="AJ604" s="66"/>
      <c r="AK604" s="66"/>
      <c r="AL604" s="66"/>
      <c r="AM604" s="66"/>
      <c r="AN604" s="83"/>
      <c r="AO604" s="66"/>
      <c r="AP604" s="66"/>
      <c r="AQ604" s="66"/>
      <c r="AR604" s="81"/>
      <c r="AS604" s="81"/>
      <c r="AT604" s="81"/>
      <c r="AU604" s="81"/>
      <c r="AV604" s="83">
        <f>SUM(Prog_236[[#This Row],[ADIANTAMENTO]]+Prog_236[[#This Row],[SALDO]]+Prog_236[[#This Row],[MARGEM]]+Prog_236[[#This Row],[ESTADIA 1]])</f>
        <v>0</v>
      </c>
      <c r="AW6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4" s="81"/>
      <c r="AY604" s="81"/>
      <c r="AZ604" s="81">
        <f>Prog_236[[#This Row],[VLR NF]]*0.1%</f>
        <v>0</v>
      </c>
      <c r="BA604" s="81">
        <f>Prog_236[[#This Row],[VLR NF]]*0.05%</f>
        <v>0</v>
      </c>
      <c r="BB604" s="81"/>
      <c r="BC604" s="81"/>
      <c r="BD604" s="81"/>
      <c r="BE604" s="81"/>
      <c r="BF604" s="81"/>
      <c r="BG604" s="81"/>
      <c r="BH604" s="81"/>
      <c r="BI604" s="81"/>
      <c r="BJ604" s="81"/>
      <c r="BK604" s="81"/>
      <c r="BL604" s="66"/>
      <c r="BM604" s="66"/>
      <c r="BN604" s="66"/>
      <c r="BO604" s="66" t="str">
        <f>PROPER(TEXT(Prog_236[[#This Row],[PROGRAMAÇÃO CLIENTE]],"mmm"))</f>
        <v>Jan</v>
      </c>
      <c r="BP604" s="66">
        <f>YEAR(Prog_236[[#This Row],[PROGRAMAÇÃO CLIENTE]])</f>
        <v>1900</v>
      </c>
    </row>
    <row r="605" spans="1:68" x14ac:dyDescent="0.25">
      <c r="A605" s="200">
        <f>Prog_236[[#This Row],[CONTEINER]]</f>
        <v>0</v>
      </c>
      <c r="B605" s="86"/>
      <c r="C6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5" s="44"/>
      <c r="E605" s="66"/>
      <c r="F605" s="66"/>
      <c r="G605" s="66"/>
      <c r="H605" s="44"/>
      <c r="I605" s="44"/>
      <c r="J605" s="66"/>
      <c r="K605" s="66"/>
      <c r="L605" s="66"/>
      <c r="M605" s="66"/>
      <c r="N605" s="66">
        <f>SUM(Prog_236[[#This Row],[TARA]]+Prog_236[[#This Row],[PESO]])</f>
        <v>0</v>
      </c>
      <c r="O605" s="44"/>
      <c r="P605" s="66"/>
      <c r="Q605" s="66"/>
      <c r="R605" s="66"/>
      <c r="S605" s="66"/>
      <c r="T605" s="138" t="str">
        <f>IFERROR(LOOKUP($S605,MOTORISTAS!$D$3:$D$1048576,MOTORISTAS!E$3:$E$1048576),"")</f>
        <v/>
      </c>
      <c r="U605" s="138" t="str">
        <f>IFERROR(LOOKUP($S605,MOTORISTAS!$D$3:$D$1048576,MOTORISTAS!F$3:$F$1048576),"")</f>
        <v/>
      </c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44"/>
      <c r="AG605" s="254">
        <f>Prog_236[[#This Row],[SAÍDA DO CLIENTE]]-Prog_236[[#This Row],[PROGRAMAÇÃO CLIENTE]]</f>
        <v>0</v>
      </c>
      <c r="AH605" s="44"/>
      <c r="AI605" s="66"/>
      <c r="AJ605" s="66"/>
      <c r="AK605" s="66"/>
      <c r="AL605" s="66"/>
      <c r="AM605" s="66"/>
      <c r="AN605" s="83"/>
      <c r="AO605" s="66"/>
      <c r="AP605" s="66"/>
      <c r="AQ605" s="66"/>
      <c r="AR605" s="81"/>
      <c r="AS605" s="81"/>
      <c r="AT605" s="81"/>
      <c r="AU605" s="81"/>
      <c r="AV605" s="83">
        <f>SUM(Prog_236[[#This Row],[ADIANTAMENTO]]+Prog_236[[#This Row],[SALDO]]+Prog_236[[#This Row],[MARGEM]]+Prog_236[[#This Row],[ESTADIA 1]])</f>
        <v>0</v>
      </c>
      <c r="AW6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5" s="81"/>
      <c r="AY605" s="81"/>
      <c r="AZ605" s="81">
        <f>Prog_236[[#This Row],[VLR NF]]*0.1%</f>
        <v>0</v>
      </c>
      <c r="BA605" s="81">
        <f>Prog_236[[#This Row],[VLR NF]]*0.05%</f>
        <v>0</v>
      </c>
      <c r="BB605" s="81"/>
      <c r="BC605" s="81"/>
      <c r="BD605" s="81"/>
      <c r="BE605" s="81"/>
      <c r="BF605" s="81"/>
      <c r="BG605" s="81"/>
      <c r="BH605" s="81"/>
      <c r="BI605" s="81"/>
      <c r="BJ605" s="81"/>
      <c r="BK605" s="81"/>
      <c r="BL605" s="66"/>
      <c r="BM605" s="66"/>
      <c r="BN605" s="66"/>
      <c r="BO605" s="66" t="str">
        <f>PROPER(TEXT(Prog_236[[#This Row],[PROGRAMAÇÃO CLIENTE]],"mmm"))</f>
        <v>Jan</v>
      </c>
      <c r="BP605" s="66">
        <f>YEAR(Prog_236[[#This Row],[PROGRAMAÇÃO CLIENTE]])</f>
        <v>1900</v>
      </c>
    </row>
    <row r="606" spans="1:68" x14ac:dyDescent="0.25">
      <c r="A606" s="201">
        <f>Prog_236[[#This Row],[CONTEINER]]</f>
        <v>0</v>
      </c>
      <c r="B606" s="86"/>
      <c r="C6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6" s="44"/>
      <c r="E606" s="66"/>
      <c r="F606" s="66"/>
      <c r="G606" s="66"/>
      <c r="H606" s="44"/>
      <c r="I606" s="44"/>
      <c r="J606" s="66"/>
      <c r="K606" s="66"/>
      <c r="L606" s="66"/>
      <c r="M606" s="66"/>
      <c r="N606" s="66">
        <f>SUM(Prog_236[[#This Row],[TARA]]+Prog_236[[#This Row],[PESO]])</f>
        <v>0</v>
      </c>
      <c r="O606" s="44"/>
      <c r="P606" s="66"/>
      <c r="Q606" s="66"/>
      <c r="R606" s="66"/>
      <c r="S606" s="66"/>
      <c r="T606" s="138" t="str">
        <f>IFERROR(LOOKUP($S606,MOTORISTAS!$D$3:$D$1048576,MOTORISTAS!E$3:$E$1048576),"")</f>
        <v/>
      </c>
      <c r="U606" s="138" t="str">
        <f>IFERROR(LOOKUP($S606,MOTORISTAS!$D$3:$D$1048576,MOTORISTAS!F$3:$F$1048576),"")</f>
        <v/>
      </c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44"/>
      <c r="AG606" s="254">
        <f>Prog_236[[#This Row],[SAÍDA DO CLIENTE]]-Prog_236[[#This Row],[PROGRAMAÇÃO CLIENTE]]</f>
        <v>0</v>
      </c>
      <c r="AH606" s="44"/>
      <c r="AI606" s="66"/>
      <c r="AJ606" s="66"/>
      <c r="AK606" s="66"/>
      <c r="AL606" s="66"/>
      <c r="AM606" s="66"/>
      <c r="AN606" s="83"/>
      <c r="AO606" s="66"/>
      <c r="AP606" s="66"/>
      <c r="AQ606" s="66"/>
      <c r="AR606" s="81"/>
      <c r="AS606" s="81"/>
      <c r="AT606" s="81"/>
      <c r="AU606" s="81"/>
      <c r="AV606" s="83">
        <f>SUM(Prog_236[[#This Row],[ADIANTAMENTO]]+Prog_236[[#This Row],[SALDO]]+Prog_236[[#This Row],[MARGEM]]+Prog_236[[#This Row],[ESTADIA 1]])</f>
        <v>0</v>
      </c>
      <c r="AW6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6" s="81"/>
      <c r="AY606" s="81"/>
      <c r="AZ606" s="81">
        <f>Prog_236[[#This Row],[VLR NF]]*0.1%</f>
        <v>0</v>
      </c>
      <c r="BA606" s="81">
        <f>Prog_236[[#This Row],[VLR NF]]*0.05%</f>
        <v>0</v>
      </c>
      <c r="BB606" s="81"/>
      <c r="BC606" s="81"/>
      <c r="BD606" s="81"/>
      <c r="BE606" s="81"/>
      <c r="BF606" s="81"/>
      <c r="BG606" s="81"/>
      <c r="BH606" s="81"/>
      <c r="BI606" s="81"/>
      <c r="BJ606" s="81"/>
      <c r="BK606" s="81"/>
      <c r="BL606" s="66"/>
      <c r="BM606" s="66"/>
      <c r="BN606" s="66"/>
      <c r="BO606" s="66" t="str">
        <f>PROPER(TEXT(Prog_236[[#This Row],[PROGRAMAÇÃO CLIENTE]],"mmm"))</f>
        <v>Jan</v>
      </c>
      <c r="BP606" s="66">
        <f>YEAR(Prog_236[[#This Row],[PROGRAMAÇÃO CLIENTE]])</f>
        <v>1900</v>
      </c>
    </row>
    <row r="607" spans="1:68" x14ac:dyDescent="0.25">
      <c r="A607" s="200">
        <f>Prog_236[[#This Row],[CONTEINER]]</f>
        <v>0</v>
      </c>
      <c r="B607" s="86"/>
      <c r="C6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7" s="44"/>
      <c r="E607" s="66"/>
      <c r="F607" s="66"/>
      <c r="G607" s="66"/>
      <c r="H607" s="44"/>
      <c r="I607" s="44"/>
      <c r="J607" s="66"/>
      <c r="K607" s="66"/>
      <c r="L607" s="66"/>
      <c r="M607" s="66"/>
      <c r="N607" s="66">
        <f>SUM(Prog_236[[#This Row],[TARA]]+Prog_236[[#This Row],[PESO]])</f>
        <v>0</v>
      </c>
      <c r="O607" s="44"/>
      <c r="P607" s="66"/>
      <c r="Q607" s="66"/>
      <c r="R607" s="66"/>
      <c r="S607" s="66"/>
      <c r="T607" s="138" t="str">
        <f>IFERROR(LOOKUP($S607,MOTORISTAS!$D$3:$D$1048576,MOTORISTAS!E$3:$E$1048576),"")</f>
        <v/>
      </c>
      <c r="U607" s="138" t="str">
        <f>IFERROR(LOOKUP($S607,MOTORISTAS!$D$3:$D$1048576,MOTORISTAS!F$3:$F$1048576),"")</f>
        <v/>
      </c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44"/>
      <c r="AG607" s="254">
        <f>Prog_236[[#This Row],[SAÍDA DO CLIENTE]]-Prog_236[[#This Row],[PROGRAMAÇÃO CLIENTE]]</f>
        <v>0</v>
      </c>
      <c r="AH607" s="44"/>
      <c r="AI607" s="66"/>
      <c r="AJ607" s="66"/>
      <c r="AK607" s="66"/>
      <c r="AL607" s="66"/>
      <c r="AM607" s="66"/>
      <c r="AN607" s="83"/>
      <c r="AO607" s="66"/>
      <c r="AP607" s="66"/>
      <c r="AQ607" s="66"/>
      <c r="AR607" s="81"/>
      <c r="AS607" s="81"/>
      <c r="AT607" s="81"/>
      <c r="AU607" s="81"/>
      <c r="AV607" s="83">
        <f>SUM(Prog_236[[#This Row],[ADIANTAMENTO]]+Prog_236[[#This Row],[SALDO]]+Prog_236[[#This Row],[MARGEM]]+Prog_236[[#This Row],[ESTADIA 1]])</f>
        <v>0</v>
      </c>
      <c r="AW6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7" s="81"/>
      <c r="AY607" s="81"/>
      <c r="AZ607" s="81">
        <f>Prog_236[[#This Row],[VLR NF]]*0.1%</f>
        <v>0</v>
      </c>
      <c r="BA607" s="81">
        <f>Prog_236[[#This Row],[VLR NF]]*0.05%</f>
        <v>0</v>
      </c>
      <c r="BB607" s="81"/>
      <c r="BC607" s="81"/>
      <c r="BD607" s="81"/>
      <c r="BE607" s="81"/>
      <c r="BF607" s="81"/>
      <c r="BG607" s="81"/>
      <c r="BH607" s="81"/>
      <c r="BI607" s="81"/>
      <c r="BJ607" s="81"/>
      <c r="BK607" s="81"/>
      <c r="BL607" s="66"/>
      <c r="BM607" s="66"/>
      <c r="BN607" s="66"/>
      <c r="BO607" s="66" t="str">
        <f>PROPER(TEXT(Prog_236[[#This Row],[PROGRAMAÇÃO CLIENTE]],"mmm"))</f>
        <v>Jan</v>
      </c>
      <c r="BP607" s="66">
        <f>YEAR(Prog_236[[#This Row],[PROGRAMAÇÃO CLIENTE]])</f>
        <v>1900</v>
      </c>
    </row>
    <row r="608" spans="1:68" x14ac:dyDescent="0.25">
      <c r="A608" s="201">
        <f>Prog_236[[#This Row],[CONTEINER]]</f>
        <v>0</v>
      </c>
      <c r="B608" s="86"/>
      <c r="C6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8" s="44"/>
      <c r="E608" s="66"/>
      <c r="F608" s="66"/>
      <c r="G608" s="66"/>
      <c r="H608" s="44"/>
      <c r="I608" s="44"/>
      <c r="J608" s="66"/>
      <c r="K608" s="66"/>
      <c r="L608" s="66"/>
      <c r="M608" s="66"/>
      <c r="N608" s="66">
        <f>SUM(Prog_236[[#This Row],[TARA]]+Prog_236[[#This Row],[PESO]])</f>
        <v>0</v>
      </c>
      <c r="O608" s="44"/>
      <c r="P608" s="66"/>
      <c r="Q608" s="66"/>
      <c r="R608" s="66"/>
      <c r="S608" s="66"/>
      <c r="T608" s="138" t="str">
        <f>IFERROR(LOOKUP($S608,MOTORISTAS!$D$3:$D$1048576,MOTORISTAS!E$3:$E$1048576),"")</f>
        <v/>
      </c>
      <c r="U608" s="138" t="str">
        <f>IFERROR(LOOKUP($S608,MOTORISTAS!$D$3:$D$1048576,MOTORISTAS!F$3:$F$1048576),"")</f>
        <v/>
      </c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44"/>
      <c r="AG608" s="254">
        <f>Prog_236[[#This Row],[SAÍDA DO CLIENTE]]-Prog_236[[#This Row],[PROGRAMAÇÃO CLIENTE]]</f>
        <v>0</v>
      </c>
      <c r="AH608" s="44"/>
      <c r="AI608" s="66"/>
      <c r="AJ608" s="66"/>
      <c r="AK608" s="66"/>
      <c r="AL608" s="66"/>
      <c r="AM608" s="66"/>
      <c r="AN608" s="83"/>
      <c r="AO608" s="66"/>
      <c r="AP608" s="66"/>
      <c r="AQ608" s="66"/>
      <c r="AR608" s="81"/>
      <c r="AS608" s="81"/>
      <c r="AT608" s="81"/>
      <c r="AU608" s="81"/>
      <c r="AV608" s="83">
        <f>SUM(Prog_236[[#This Row],[ADIANTAMENTO]]+Prog_236[[#This Row],[SALDO]]+Prog_236[[#This Row],[MARGEM]]+Prog_236[[#This Row],[ESTADIA 1]])</f>
        <v>0</v>
      </c>
      <c r="AW6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8" s="81"/>
      <c r="AY608" s="81"/>
      <c r="AZ608" s="81">
        <f>Prog_236[[#This Row],[VLR NF]]*0.1%</f>
        <v>0</v>
      </c>
      <c r="BA608" s="81">
        <f>Prog_236[[#This Row],[VLR NF]]*0.05%</f>
        <v>0</v>
      </c>
      <c r="BB608" s="81"/>
      <c r="BC608" s="81"/>
      <c r="BD608" s="81"/>
      <c r="BE608" s="81"/>
      <c r="BF608" s="81"/>
      <c r="BG608" s="81"/>
      <c r="BH608" s="81"/>
      <c r="BI608" s="81"/>
      <c r="BJ608" s="81"/>
      <c r="BK608" s="81"/>
      <c r="BL608" s="66"/>
      <c r="BM608" s="66"/>
      <c r="BN608" s="66"/>
      <c r="BO608" s="66" t="str">
        <f>PROPER(TEXT(Prog_236[[#This Row],[PROGRAMAÇÃO CLIENTE]],"mmm"))</f>
        <v>Jan</v>
      </c>
      <c r="BP608" s="66">
        <f>YEAR(Prog_236[[#This Row],[PROGRAMAÇÃO CLIENTE]])</f>
        <v>1900</v>
      </c>
    </row>
    <row r="609" spans="1:68" x14ac:dyDescent="0.25">
      <c r="A609" s="200">
        <f>Prog_236[[#This Row],[CONTEINER]]</f>
        <v>0</v>
      </c>
      <c r="B609" s="86"/>
      <c r="C6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09" s="44"/>
      <c r="E609" s="66"/>
      <c r="F609" s="66"/>
      <c r="G609" s="66"/>
      <c r="H609" s="44"/>
      <c r="I609" s="44"/>
      <c r="J609" s="66"/>
      <c r="K609" s="66"/>
      <c r="L609" s="66"/>
      <c r="M609" s="66"/>
      <c r="N609" s="66">
        <f>SUM(Prog_236[[#This Row],[TARA]]+Prog_236[[#This Row],[PESO]])</f>
        <v>0</v>
      </c>
      <c r="O609" s="44"/>
      <c r="P609" s="66"/>
      <c r="Q609" s="66"/>
      <c r="R609" s="66"/>
      <c r="S609" s="66"/>
      <c r="T609" s="138" t="str">
        <f>IFERROR(LOOKUP($S609,MOTORISTAS!$D$3:$D$1048576,MOTORISTAS!E$3:$E$1048576),"")</f>
        <v/>
      </c>
      <c r="U609" s="138" t="str">
        <f>IFERROR(LOOKUP($S609,MOTORISTAS!$D$3:$D$1048576,MOTORISTAS!F$3:$F$1048576),"")</f>
        <v/>
      </c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44"/>
      <c r="AG609" s="254">
        <f>Prog_236[[#This Row],[SAÍDA DO CLIENTE]]-Prog_236[[#This Row],[PROGRAMAÇÃO CLIENTE]]</f>
        <v>0</v>
      </c>
      <c r="AH609" s="44"/>
      <c r="AI609" s="66"/>
      <c r="AJ609" s="66"/>
      <c r="AK609" s="66"/>
      <c r="AL609" s="66"/>
      <c r="AM609" s="66"/>
      <c r="AN609" s="83"/>
      <c r="AO609" s="66"/>
      <c r="AP609" s="66"/>
      <c r="AQ609" s="66"/>
      <c r="AR609" s="81"/>
      <c r="AS609" s="81"/>
      <c r="AT609" s="81"/>
      <c r="AU609" s="81"/>
      <c r="AV609" s="83">
        <f>SUM(Prog_236[[#This Row],[ADIANTAMENTO]]+Prog_236[[#This Row],[SALDO]]+Prog_236[[#This Row],[MARGEM]]+Prog_236[[#This Row],[ESTADIA 1]])</f>
        <v>0</v>
      </c>
      <c r="AW6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09" s="81"/>
      <c r="AY609" s="81"/>
      <c r="AZ609" s="81">
        <f>Prog_236[[#This Row],[VLR NF]]*0.1%</f>
        <v>0</v>
      </c>
      <c r="BA609" s="81">
        <f>Prog_236[[#This Row],[VLR NF]]*0.05%</f>
        <v>0</v>
      </c>
      <c r="BB609" s="81"/>
      <c r="BC609" s="81"/>
      <c r="BD609" s="81"/>
      <c r="BE609" s="81"/>
      <c r="BF609" s="81"/>
      <c r="BG609" s="81"/>
      <c r="BH609" s="81"/>
      <c r="BI609" s="81"/>
      <c r="BJ609" s="81"/>
      <c r="BK609" s="81"/>
      <c r="BL609" s="66"/>
      <c r="BM609" s="66"/>
      <c r="BN609" s="66"/>
      <c r="BO609" s="66" t="str">
        <f>PROPER(TEXT(Prog_236[[#This Row],[PROGRAMAÇÃO CLIENTE]],"mmm"))</f>
        <v>Jan</v>
      </c>
      <c r="BP609" s="66">
        <f>YEAR(Prog_236[[#This Row],[PROGRAMAÇÃO CLIENTE]])</f>
        <v>1900</v>
      </c>
    </row>
    <row r="610" spans="1:68" x14ac:dyDescent="0.25">
      <c r="A610" s="201">
        <f>Prog_236[[#This Row],[CONTEINER]]</f>
        <v>0</v>
      </c>
      <c r="B610" s="86"/>
      <c r="C6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0" s="44"/>
      <c r="E610" s="66"/>
      <c r="F610" s="66"/>
      <c r="G610" s="66"/>
      <c r="H610" s="44"/>
      <c r="I610" s="44"/>
      <c r="J610" s="66"/>
      <c r="K610" s="66"/>
      <c r="L610" s="66"/>
      <c r="M610" s="66"/>
      <c r="N610" s="66">
        <f>SUM(Prog_236[[#This Row],[TARA]]+Prog_236[[#This Row],[PESO]])</f>
        <v>0</v>
      </c>
      <c r="O610" s="44"/>
      <c r="P610" s="66"/>
      <c r="Q610" s="66"/>
      <c r="R610" s="66"/>
      <c r="S610" s="66"/>
      <c r="T610" s="138" t="str">
        <f>IFERROR(LOOKUP($S610,MOTORISTAS!$D$3:$D$1048576,MOTORISTAS!E$3:$E$1048576),"")</f>
        <v/>
      </c>
      <c r="U610" s="138" t="str">
        <f>IFERROR(LOOKUP($S610,MOTORISTAS!$D$3:$D$1048576,MOTORISTAS!F$3:$F$1048576),"")</f>
        <v/>
      </c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44"/>
      <c r="AG610" s="254">
        <f>Prog_236[[#This Row],[SAÍDA DO CLIENTE]]-Prog_236[[#This Row],[PROGRAMAÇÃO CLIENTE]]</f>
        <v>0</v>
      </c>
      <c r="AH610" s="44"/>
      <c r="AI610" s="66"/>
      <c r="AJ610" s="66"/>
      <c r="AK610" s="66"/>
      <c r="AL610" s="66"/>
      <c r="AM610" s="66"/>
      <c r="AN610" s="83"/>
      <c r="AO610" s="66"/>
      <c r="AP610" s="66"/>
      <c r="AQ610" s="66"/>
      <c r="AR610" s="81"/>
      <c r="AS610" s="81"/>
      <c r="AT610" s="81"/>
      <c r="AU610" s="81"/>
      <c r="AV610" s="83">
        <f>SUM(Prog_236[[#This Row],[ADIANTAMENTO]]+Prog_236[[#This Row],[SALDO]]+Prog_236[[#This Row],[MARGEM]]+Prog_236[[#This Row],[ESTADIA 1]])</f>
        <v>0</v>
      </c>
      <c r="AW6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0" s="81"/>
      <c r="AY610" s="81"/>
      <c r="AZ610" s="81">
        <f>Prog_236[[#This Row],[VLR NF]]*0.1%</f>
        <v>0</v>
      </c>
      <c r="BA610" s="81">
        <f>Prog_236[[#This Row],[VLR NF]]*0.05%</f>
        <v>0</v>
      </c>
      <c r="BB610" s="81"/>
      <c r="BC610" s="81"/>
      <c r="BD610" s="81"/>
      <c r="BE610" s="81"/>
      <c r="BF610" s="81"/>
      <c r="BG610" s="81"/>
      <c r="BH610" s="81"/>
      <c r="BI610" s="81"/>
      <c r="BJ610" s="81"/>
      <c r="BK610" s="81"/>
      <c r="BL610" s="66"/>
      <c r="BM610" s="66"/>
      <c r="BN610" s="66"/>
      <c r="BO610" s="66" t="str">
        <f>PROPER(TEXT(Prog_236[[#This Row],[PROGRAMAÇÃO CLIENTE]],"mmm"))</f>
        <v>Jan</v>
      </c>
      <c r="BP610" s="66">
        <f>YEAR(Prog_236[[#This Row],[PROGRAMAÇÃO CLIENTE]])</f>
        <v>1900</v>
      </c>
    </row>
    <row r="611" spans="1:68" x14ac:dyDescent="0.25">
      <c r="A611" s="200">
        <f>Prog_236[[#This Row],[CONTEINER]]</f>
        <v>0</v>
      </c>
      <c r="B611" s="86"/>
      <c r="C6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1" s="44"/>
      <c r="E611" s="66"/>
      <c r="F611" s="66"/>
      <c r="G611" s="66"/>
      <c r="H611" s="44"/>
      <c r="I611" s="44"/>
      <c r="J611" s="66"/>
      <c r="K611" s="66"/>
      <c r="L611" s="66"/>
      <c r="M611" s="66"/>
      <c r="N611" s="66">
        <f>SUM(Prog_236[[#This Row],[TARA]]+Prog_236[[#This Row],[PESO]])</f>
        <v>0</v>
      </c>
      <c r="O611" s="44"/>
      <c r="P611" s="66"/>
      <c r="Q611" s="66"/>
      <c r="R611" s="66"/>
      <c r="S611" s="66"/>
      <c r="T611" s="138" t="str">
        <f>IFERROR(LOOKUP($S611,MOTORISTAS!$D$3:$D$1048576,MOTORISTAS!E$3:$E$1048576),"")</f>
        <v/>
      </c>
      <c r="U611" s="138" t="str">
        <f>IFERROR(LOOKUP($S611,MOTORISTAS!$D$3:$D$1048576,MOTORISTAS!F$3:$F$1048576),"")</f>
        <v/>
      </c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44"/>
      <c r="AG611" s="254">
        <f>Prog_236[[#This Row],[SAÍDA DO CLIENTE]]-Prog_236[[#This Row],[PROGRAMAÇÃO CLIENTE]]</f>
        <v>0</v>
      </c>
      <c r="AH611" s="44"/>
      <c r="AI611" s="66"/>
      <c r="AJ611" s="66"/>
      <c r="AK611" s="66"/>
      <c r="AL611" s="66"/>
      <c r="AM611" s="66"/>
      <c r="AN611" s="83"/>
      <c r="AO611" s="66"/>
      <c r="AP611" s="66"/>
      <c r="AQ611" s="66"/>
      <c r="AR611" s="81"/>
      <c r="AS611" s="81"/>
      <c r="AT611" s="81"/>
      <c r="AU611" s="81"/>
      <c r="AV611" s="83">
        <f>SUM(Prog_236[[#This Row],[ADIANTAMENTO]]+Prog_236[[#This Row],[SALDO]]+Prog_236[[#This Row],[MARGEM]]+Prog_236[[#This Row],[ESTADIA 1]])</f>
        <v>0</v>
      </c>
      <c r="AW6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1" s="81"/>
      <c r="AY611" s="81"/>
      <c r="AZ611" s="81">
        <f>Prog_236[[#This Row],[VLR NF]]*0.1%</f>
        <v>0</v>
      </c>
      <c r="BA611" s="81">
        <f>Prog_236[[#This Row],[VLR NF]]*0.05%</f>
        <v>0</v>
      </c>
      <c r="BB611" s="81"/>
      <c r="BC611" s="81"/>
      <c r="BD611" s="81"/>
      <c r="BE611" s="81"/>
      <c r="BF611" s="81"/>
      <c r="BG611" s="81"/>
      <c r="BH611" s="81"/>
      <c r="BI611" s="81"/>
      <c r="BJ611" s="81"/>
      <c r="BK611" s="81"/>
      <c r="BL611" s="66"/>
      <c r="BM611" s="66"/>
      <c r="BN611" s="66"/>
      <c r="BO611" s="66" t="str">
        <f>PROPER(TEXT(Prog_236[[#This Row],[PROGRAMAÇÃO CLIENTE]],"mmm"))</f>
        <v>Jan</v>
      </c>
      <c r="BP611" s="66">
        <f>YEAR(Prog_236[[#This Row],[PROGRAMAÇÃO CLIENTE]])</f>
        <v>1900</v>
      </c>
    </row>
    <row r="612" spans="1:68" x14ac:dyDescent="0.25">
      <c r="A612" s="201">
        <f>Prog_236[[#This Row],[CONTEINER]]</f>
        <v>0</v>
      </c>
      <c r="B612" s="86"/>
      <c r="C6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2" s="44"/>
      <c r="E612" s="66"/>
      <c r="F612" s="66"/>
      <c r="G612" s="66"/>
      <c r="H612" s="44"/>
      <c r="I612" s="44"/>
      <c r="J612" s="66"/>
      <c r="K612" s="66"/>
      <c r="L612" s="66"/>
      <c r="M612" s="66"/>
      <c r="N612" s="66">
        <f>SUM(Prog_236[[#This Row],[TARA]]+Prog_236[[#This Row],[PESO]])</f>
        <v>0</v>
      </c>
      <c r="O612" s="44"/>
      <c r="P612" s="66"/>
      <c r="Q612" s="66"/>
      <c r="R612" s="66"/>
      <c r="S612" s="66"/>
      <c r="T612" s="138" t="str">
        <f>IFERROR(LOOKUP($S612,MOTORISTAS!$D$3:$D$1048576,MOTORISTAS!E$3:$E$1048576),"")</f>
        <v/>
      </c>
      <c r="U612" s="138" t="str">
        <f>IFERROR(LOOKUP($S612,MOTORISTAS!$D$3:$D$1048576,MOTORISTAS!F$3:$F$1048576),"")</f>
        <v/>
      </c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44"/>
      <c r="AG612" s="254">
        <f>Prog_236[[#This Row],[SAÍDA DO CLIENTE]]-Prog_236[[#This Row],[PROGRAMAÇÃO CLIENTE]]</f>
        <v>0</v>
      </c>
      <c r="AH612" s="44"/>
      <c r="AI612" s="66"/>
      <c r="AJ612" s="66"/>
      <c r="AK612" s="66"/>
      <c r="AL612" s="66"/>
      <c r="AM612" s="66"/>
      <c r="AN612" s="83"/>
      <c r="AO612" s="66"/>
      <c r="AP612" s="66"/>
      <c r="AQ612" s="66"/>
      <c r="AR612" s="81"/>
      <c r="AS612" s="81"/>
      <c r="AT612" s="81"/>
      <c r="AU612" s="81"/>
      <c r="AV612" s="83">
        <f>SUM(Prog_236[[#This Row],[ADIANTAMENTO]]+Prog_236[[#This Row],[SALDO]]+Prog_236[[#This Row],[MARGEM]]+Prog_236[[#This Row],[ESTADIA 1]])</f>
        <v>0</v>
      </c>
      <c r="AW6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2" s="81"/>
      <c r="AY612" s="81"/>
      <c r="AZ612" s="81">
        <f>Prog_236[[#This Row],[VLR NF]]*0.1%</f>
        <v>0</v>
      </c>
      <c r="BA612" s="81">
        <f>Prog_236[[#This Row],[VLR NF]]*0.05%</f>
        <v>0</v>
      </c>
      <c r="BB612" s="81"/>
      <c r="BC612" s="81"/>
      <c r="BD612" s="81"/>
      <c r="BE612" s="81"/>
      <c r="BF612" s="81"/>
      <c r="BG612" s="81"/>
      <c r="BH612" s="81"/>
      <c r="BI612" s="81"/>
      <c r="BJ612" s="81"/>
      <c r="BK612" s="81"/>
      <c r="BL612" s="66"/>
      <c r="BM612" s="66"/>
      <c r="BN612" s="66"/>
      <c r="BO612" s="66" t="str">
        <f>PROPER(TEXT(Prog_236[[#This Row],[PROGRAMAÇÃO CLIENTE]],"mmm"))</f>
        <v>Jan</v>
      </c>
      <c r="BP612" s="66">
        <f>YEAR(Prog_236[[#This Row],[PROGRAMAÇÃO CLIENTE]])</f>
        <v>1900</v>
      </c>
    </row>
    <row r="613" spans="1:68" x14ac:dyDescent="0.25">
      <c r="A613" s="200">
        <f>Prog_236[[#This Row],[CONTEINER]]</f>
        <v>0</v>
      </c>
      <c r="B613" s="86"/>
      <c r="C6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3" s="44"/>
      <c r="E613" s="66"/>
      <c r="F613" s="66"/>
      <c r="G613" s="66"/>
      <c r="H613" s="44"/>
      <c r="I613" s="44"/>
      <c r="J613" s="66"/>
      <c r="K613" s="66"/>
      <c r="L613" s="66"/>
      <c r="M613" s="66"/>
      <c r="N613" s="66">
        <f>SUM(Prog_236[[#This Row],[TARA]]+Prog_236[[#This Row],[PESO]])</f>
        <v>0</v>
      </c>
      <c r="O613" s="44"/>
      <c r="P613" s="66"/>
      <c r="Q613" s="66"/>
      <c r="R613" s="66"/>
      <c r="S613" s="66"/>
      <c r="T613" s="138" t="str">
        <f>IFERROR(LOOKUP($S613,MOTORISTAS!$D$3:$D$1048576,MOTORISTAS!E$3:$E$1048576),"")</f>
        <v/>
      </c>
      <c r="U613" s="138" t="str">
        <f>IFERROR(LOOKUP($S613,MOTORISTAS!$D$3:$D$1048576,MOTORISTAS!F$3:$F$1048576),"")</f>
        <v/>
      </c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44"/>
      <c r="AG613" s="254">
        <f>Prog_236[[#This Row],[SAÍDA DO CLIENTE]]-Prog_236[[#This Row],[PROGRAMAÇÃO CLIENTE]]</f>
        <v>0</v>
      </c>
      <c r="AH613" s="44"/>
      <c r="AI613" s="66"/>
      <c r="AJ613" s="66"/>
      <c r="AK613" s="66"/>
      <c r="AL613" s="66"/>
      <c r="AM613" s="66"/>
      <c r="AN613" s="83"/>
      <c r="AO613" s="66"/>
      <c r="AP613" s="66"/>
      <c r="AQ613" s="66"/>
      <c r="AR613" s="81"/>
      <c r="AS613" s="81"/>
      <c r="AT613" s="81"/>
      <c r="AU613" s="81"/>
      <c r="AV613" s="83">
        <f>SUM(Prog_236[[#This Row],[ADIANTAMENTO]]+Prog_236[[#This Row],[SALDO]]+Prog_236[[#This Row],[MARGEM]]+Prog_236[[#This Row],[ESTADIA 1]])</f>
        <v>0</v>
      </c>
      <c r="AW6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3" s="81"/>
      <c r="AY613" s="81"/>
      <c r="AZ613" s="81">
        <f>Prog_236[[#This Row],[VLR NF]]*0.1%</f>
        <v>0</v>
      </c>
      <c r="BA613" s="81">
        <f>Prog_236[[#This Row],[VLR NF]]*0.05%</f>
        <v>0</v>
      </c>
      <c r="BB613" s="81"/>
      <c r="BC613" s="81"/>
      <c r="BD613" s="81"/>
      <c r="BE613" s="81"/>
      <c r="BF613" s="81"/>
      <c r="BG613" s="81"/>
      <c r="BH613" s="81"/>
      <c r="BI613" s="81"/>
      <c r="BJ613" s="81"/>
      <c r="BK613" s="81"/>
      <c r="BL613" s="66"/>
      <c r="BM613" s="66"/>
      <c r="BN613" s="66"/>
      <c r="BO613" s="66" t="str">
        <f>PROPER(TEXT(Prog_236[[#This Row],[PROGRAMAÇÃO CLIENTE]],"mmm"))</f>
        <v>Jan</v>
      </c>
      <c r="BP613" s="66">
        <f>YEAR(Prog_236[[#This Row],[PROGRAMAÇÃO CLIENTE]])</f>
        <v>1900</v>
      </c>
    </row>
    <row r="614" spans="1:68" x14ac:dyDescent="0.25">
      <c r="A614" s="201">
        <f>Prog_236[[#This Row],[CONTEINER]]</f>
        <v>0</v>
      </c>
      <c r="B614" s="86"/>
      <c r="C6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4" s="44"/>
      <c r="E614" s="66"/>
      <c r="F614" s="66"/>
      <c r="G614" s="66"/>
      <c r="H614" s="44"/>
      <c r="I614" s="44"/>
      <c r="J614" s="66"/>
      <c r="K614" s="66"/>
      <c r="L614" s="66"/>
      <c r="M614" s="66"/>
      <c r="N614" s="66">
        <f>SUM(Prog_236[[#This Row],[TARA]]+Prog_236[[#This Row],[PESO]])</f>
        <v>0</v>
      </c>
      <c r="O614" s="44"/>
      <c r="P614" s="66"/>
      <c r="Q614" s="66"/>
      <c r="R614" s="66"/>
      <c r="S614" s="66"/>
      <c r="T614" s="138" t="str">
        <f>IFERROR(LOOKUP($S614,MOTORISTAS!$D$3:$D$1048576,MOTORISTAS!E$3:$E$1048576),"")</f>
        <v/>
      </c>
      <c r="U614" s="138" t="str">
        <f>IFERROR(LOOKUP($S614,MOTORISTAS!$D$3:$D$1048576,MOTORISTAS!F$3:$F$1048576),"")</f>
        <v/>
      </c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44"/>
      <c r="AG614" s="254">
        <f>Prog_236[[#This Row],[SAÍDA DO CLIENTE]]-Prog_236[[#This Row],[PROGRAMAÇÃO CLIENTE]]</f>
        <v>0</v>
      </c>
      <c r="AH614" s="44"/>
      <c r="AI614" s="66"/>
      <c r="AJ614" s="66"/>
      <c r="AK614" s="66"/>
      <c r="AL614" s="66"/>
      <c r="AM614" s="66"/>
      <c r="AN614" s="83"/>
      <c r="AO614" s="66"/>
      <c r="AP614" s="66"/>
      <c r="AQ614" s="66"/>
      <c r="AR614" s="81"/>
      <c r="AS614" s="81"/>
      <c r="AT614" s="81"/>
      <c r="AU614" s="81"/>
      <c r="AV614" s="83">
        <f>SUM(Prog_236[[#This Row],[ADIANTAMENTO]]+Prog_236[[#This Row],[SALDO]]+Prog_236[[#This Row],[MARGEM]]+Prog_236[[#This Row],[ESTADIA 1]])</f>
        <v>0</v>
      </c>
      <c r="AW6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4" s="81"/>
      <c r="AY614" s="81"/>
      <c r="AZ614" s="81">
        <f>Prog_236[[#This Row],[VLR NF]]*0.1%</f>
        <v>0</v>
      </c>
      <c r="BA614" s="81">
        <f>Prog_236[[#This Row],[VLR NF]]*0.05%</f>
        <v>0</v>
      </c>
      <c r="BB614" s="81"/>
      <c r="BC614" s="81"/>
      <c r="BD614" s="81"/>
      <c r="BE614" s="81"/>
      <c r="BF614" s="81"/>
      <c r="BG614" s="81"/>
      <c r="BH614" s="81"/>
      <c r="BI614" s="81"/>
      <c r="BJ614" s="81"/>
      <c r="BK614" s="81"/>
      <c r="BL614" s="66"/>
      <c r="BM614" s="66"/>
      <c r="BN614" s="66"/>
      <c r="BO614" s="66" t="str">
        <f>PROPER(TEXT(Prog_236[[#This Row],[PROGRAMAÇÃO CLIENTE]],"mmm"))</f>
        <v>Jan</v>
      </c>
      <c r="BP614" s="66">
        <f>YEAR(Prog_236[[#This Row],[PROGRAMAÇÃO CLIENTE]])</f>
        <v>1900</v>
      </c>
    </row>
    <row r="615" spans="1:68" x14ac:dyDescent="0.25">
      <c r="A615" s="200">
        <f>Prog_236[[#This Row],[CONTEINER]]</f>
        <v>0</v>
      </c>
      <c r="B615" s="86"/>
      <c r="C6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5" s="44"/>
      <c r="E615" s="66"/>
      <c r="F615" s="66"/>
      <c r="G615" s="66"/>
      <c r="H615" s="44"/>
      <c r="I615" s="44"/>
      <c r="J615" s="66"/>
      <c r="K615" s="66"/>
      <c r="L615" s="66"/>
      <c r="M615" s="66"/>
      <c r="N615" s="66">
        <f>SUM(Prog_236[[#This Row],[TARA]]+Prog_236[[#This Row],[PESO]])</f>
        <v>0</v>
      </c>
      <c r="O615" s="44"/>
      <c r="P615" s="66"/>
      <c r="Q615" s="66"/>
      <c r="R615" s="66"/>
      <c r="S615" s="66"/>
      <c r="T615" s="138" t="str">
        <f>IFERROR(LOOKUP($S615,MOTORISTAS!$D$3:$D$1048576,MOTORISTAS!E$3:$E$1048576),"")</f>
        <v/>
      </c>
      <c r="U615" s="138" t="str">
        <f>IFERROR(LOOKUP($S615,MOTORISTAS!$D$3:$D$1048576,MOTORISTAS!F$3:$F$1048576),"")</f>
        <v/>
      </c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44"/>
      <c r="AG615" s="254">
        <f>Prog_236[[#This Row],[SAÍDA DO CLIENTE]]-Prog_236[[#This Row],[PROGRAMAÇÃO CLIENTE]]</f>
        <v>0</v>
      </c>
      <c r="AH615" s="44"/>
      <c r="AI615" s="66"/>
      <c r="AJ615" s="66"/>
      <c r="AK615" s="66"/>
      <c r="AL615" s="66"/>
      <c r="AM615" s="66"/>
      <c r="AN615" s="83"/>
      <c r="AO615" s="66"/>
      <c r="AP615" s="66"/>
      <c r="AQ615" s="66"/>
      <c r="AR615" s="81"/>
      <c r="AS615" s="81"/>
      <c r="AT615" s="81"/>
      <c r="AU615" s="81"/>
      <c r="AV615" s="83">
        <f>SUM(Prog_236[[#This Row],[ADIANTAMENTO]]+Prog_236[[#This Row],[SALDO]]+Prog_236[[#This Row],[MARGEM]]+Prog_236[[#This Row],[ESTADIA 1]])</f>
        <v>0</v>
      </c>
      <c r="AW6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5" s="81"/>
      <c r="AY615" s="81"/>
      <c r="AZ615" s="81">
        <f>Prog_236[[#This Row],[VLR NF]]*0.1%</f>
        <v>0</v>
      </c>
      <c r="BA615" s="81">
        <f>Prog_236[[#This Row],[VLR NF]]*0.05%</f>
        <v>0</v>
      </c>
      <c r="BB615" s="81"/>
      <c r="BC615" s="81"/>
      <c r="BD615" s="81"/>
      <c r="BE615" s="81"/>
      <c r="BF615" s="81"/>
      <c r="BG615" s="81"/>
      <c r="BH615" s="81"/>
      <c r="BI615" s="81"/>
      <c r="BJ615" s="81"/>
      <c r="BK615" s="81"/>
      <c r="BL615" s="66"/>
      <c r="BM615" s="66"/>
      <c r="BN615" s="66"/>
      <c r="BO615" s="66" t="str">
        <f>PROPER(TEXT(Prog_236[[#This Row],[PROGRAMAÇÃO CLIENTE]],"mmm"))</f>
        <v>Jan</v>
      </c>
      <c r="BP615" s="66">
        <f>YEAR(Prog_236[[#This Row],[PROGRAMAÇÃO CLIENTE]])</f>
        <v>1900</v>
      </c>
    </row>
    <row r="616" spans="1:68" x14ac:dyDescent="0.25">
      <c r="A616" s="201">
        <f>Prog_236[[#This Row],[CONTEINER]]</f>
        <v>0</v>
      </c>
      <c r="B616" s="86"/>
      <c r="C6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6" s="44"/>
      <c r="E616" s="66"/>
      <c r="F616" s="66"/>
      <c r="G616" s="66"/>
      <c r="H616" s="44"/>
      <c r="I616" s="44"/>
      <c r="J616" s="66"/>
      <c r="K616" s="66"/>
      <c r="L616" s="66"/>
      <c r="M616" s="66"/>
      <c r="N616" s="66">
        <f>SUM(Prog_236[[#This Row],[TARA]]+Prog_236[[#This Row],[PESO]])</f>
        <v>0</v>
      </c>
      <c r="O616" s="44"/>
      <c r="P616" s="66"/>
      <c r="Q616" s="66"/>
      <c r="R616" s="66"/>
      <c r="S616" s="66"/>
      <c r="T616" s="138" t="str">
        <f>IFERROR(LOOKUP($S616,MOTORISTAS!$D$3:$D$1048576,MOTORISTAS!E$3:$E$1048576),"")</f>
        <v/>
      </c>
      <c r="U616" s="138" t="str">
        <f>IFERROR(LOOKUP($S616,MOTORISTAS!$D$3:$D$1048576,MOTORISTAS!F$3:$F$1048576),"")</f>
        <v/>
      </c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44"/>
      <c r="AG616" s="254">
        <f>Prog_236[[#This Row],[SAÍDA DO CLIENTE]]-Prog_236[[#This Row],[PROGRAMAÇÃO CLIENTE]]</f>
        <v>0</v>
      </c>
      <c r="AH616" s="44"/>
      <c r="AI616" s="66"/>
      <c r="AJ616" s="66"/>
      <c r="AK616" s="66"/>
      <c r="AL616" s="66"/>
      <c r="AM616" s="66"/>
      <c r="AN616" s="83"/>
      <c r="AO616" s="66"/>
      <c r="AP616" s="66"/>
      <c r="AQ616" s="66"/>
      <c r="AR616" s="81"/>
      <c r="AS616" s="81"/>
      <c r="AT616" s="81"/>
      <c r="AU616" s="81"/>
      <c r="AV616" s="83">
        <f>SUM(Prog_236[[#This Row],[ADIANTAMENTO]]+Prog_236[[#This Row],[SALDO]]+Prog_236[[#This Row],[MARGEM]]+Prog_236[[#This Row],[ESTADIA 1]])</f>
        <v>0</v>
      </c>
      <c r="AW6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6" s="81"/>
      <c r="AY616" s="81"/>
      <c r="AZ616" s="81">
        <f>Prog_236[[#This Row],[VLR NF]]*0.1%</f>
        <v>0</v>
      </c>
      <c r="BA616" s="81">
        <f>Prog_236[[#This Row],[VLR NF]]*0.05%</f>
        <v>0</v>
      </c>
      <c r="BB616" s="81"/>
      <c r="BC616" s="81"/>
      <c r="BD616" s="81"/>
      <c r="BE616" s="81"/>
      <c r="BF616" s="81"/>
      <c r="BG616" s="81"/>
      <c r="BH616" s="81"/>
      <c r="BI616" s="81"/>
      <c r="BJ616" s="81"/>
      <c r="BK616" s="81"/>
      <c r="BL616" s="66"/>
      <c r="BM616" s="66"/>
      <c r="BN616" s="66"/>
      <c r="BO616" s="66" t="str">
        <f>PROPER(TEXT(Prog_236[[#This Row],[PROGRAMAÇÃO CLIENTE]],"mmm"))</f>
        <v>Jan</v>
      </c>
      <c r="BP616" s="66">
        <f>YEAR(Prog_236[[#This Row],[PROGRAMAÇÃO CLIENTE]])</f>
        <v>1900</v>
      </c>
    </row>
    <row r="617" spans="1:68" x14ac:dyDescent="0.25">
      <c r="A617" s="200">
        <f>Prog_236[[#This Row],[CONTEINER]]</f>
        <v>0</v>
      </c>
      <c r="B617" s="86"/>
      <c r="C6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7" s="44"/>
      <c r="E617" s="66"/>
      <c r="F617" s="66"/>
      <c r="G617" s="66"/>
      <c r="H617" s="44"/>
      <c r="I617" s="44"/>
      <c r="J617" s="66"/>
      <c r="K617" s="66"/>
      <c r="L617" s="66"/>
      <c r="M617" s="66"/>
      <c r="N617" s="66">
        <f>SUM(Prog_236[[#This Row],[TARA]]+Prog_236[[#This Row],[PESO]])</f>
        <v>0</v>
      </c>
      <c r="O617" s="44"/>
      <c r="P617" s="66"/>
      <c r="Q617" s="66"/>
      <c r="R617" s="66"/>
      <c r="S617" s="66"/>
      <c r="T617" s="138" t="str">
        <f>IFERROR(LOOKUP($S617,MOTORISTAS!$D$3:$D$1048576,MOTORISTAS!E$3:$E$1048576),"")</f>
        <v/>
      </c>
      <c r="U617" s="138" t="str">
        <f>IFERROR(LOOKUP($S617,MOTORISTAS!$D$3:$D$1048576,MOTORISTAS!F$3:$F$1048576),"")</f>
        <v/>
      </c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44"/>
      <c r="AG617" s="254">
        <f>Prog_236[[#This Row],[SAÍDA DO CLIENTE]]-Prog_236[[#This Row],[PROGRAMAÇÃO CLIENTE]]</f>
        <v>0</v>
      </c>
      <c r="AH617" s="44"/>
      <c r="AI617" s="66"/>
      <c r="AJ617" s="66"/>
      <c r="AK617" s="66"/>
      <c r="AL617" s="66"/>
      <c r="AM617" s="66"/>
      <c r="AN617" s="83"/>
      <c r="AO617" s="66"/>
      <c r="AP617" s="66"/>
      <c r="AQ617" s="66"/>
      <c r="AR617" s="81"/>
      <c r="AS617" s="81"/>
      <c r="AT617" s="81"/>
      <c r="AU617" s="81"/>
      <c r="AV617" s="83">
        <f>SUM(Prog_236[[#This Row],[ADIANTAMENTO]]+Prog_236[[#This Row],[SALDO]]+Prog_236[[#This Row],[MARGEM]]+Prog_236[[#This Row],[ESTADIA 1]])</f>
        <v>0</v>
      </c>
      <c r="AW6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7" s="81"/>
      <c r="AY617" s="81"/>
      <c r="AZ617" s="81">
        <f>Prog_236[[#This Row],[VLR NF]]*0.1%</f>
        <v>0</v>
      </c>
      <c r="BA617" s="81">
        <f>Prog_236[[#This Row],[VLR NF]]*0.05%</f>
        <v>0</v>
      </c>
      <c r="BB617" s="81"/>
      <c r="BC617" s="81"/>
      <c r="BD617" s="81"/>
      <c r="BE617" s="81"/>
      <c r="BF617" s="81"/>
      <c r="BG617" s="81"/>
      <c r="BH617" s="81"/>
      <c r="BI617" s="81"/>
      <c r="BJ617" s="81"/>
      <c r="BK617" s="81"/>
      <c r="BL617" s="66"/>
      <c r="BM617" s="66"/>
      <c r="BN617" s="66"/>
      <c r="BO617" s="66" t="str">
        <f>PROPER(TEXT(Prog_236[[#This Row],[PROGRAMAÇÃO CLIENTE]],"mmm"))</f>
        <v>Jan</v>
      </c>
      <c r="BP617" s="66">
        <f>YEAR(Prog_236[[#This Row],[PROGRAMAÇÃO CLIENTE]])</f>
        <v>1900</v>
      </c>
    </row>
    <row r="618" spans="1:68" x14ac:dyDescent="0.25">
      <c r="A618" s="201">
        <f>Prog_236[[#This Row],[CONTEINER]]</f>
        <v>0</v>
      </c>
      <c r="B618" s="86"/>
      <c r="C6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8" s="44"/>
      <c r="E618" s="66"/>
      <c r="F618" s="66"/>
      <c r="G618" s="66"/>
      <c r="H618" s="44"/>
      <c r="I618" s="44"/>
      <c r="J618" s="66"/>
      <c r="K618" s="66"/>
      <c r="L618" s="66"/>
      <c r="M618" s="66"/>
      <c r="N618" s="66">
        <f>SUM(Prog_236[[#This Row],[TARA]]+Prog_236[[#This Row],[PESO]])</f>
        <v>0</v>
      </c>
      <c r="O618" s="44"/>
      <c r="P618" s="66"/>
      <c r="Q618" s="66"/>
      <c r="R618" s="66"/>
      <c r="S618" s="66"/>
      <c r="T618" s="138" t="str">
        <f>IFERROR(LOOKUP($S618,MOTORISTAS!$D$3:$D$1048576,MOTORISTAS!E$3:$E$1048576),"")</f>
        <v/>
      </c>
      <c r="U618" s="138" t="str">
        <f>IFERROR(LOOKUP($S618,MOTORISTAS!$D$3:$D$1048576,MOTORISTAS!F$3:$F$1048576),"")</f>
        <v/>
      </c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44"/>
      <c r="AG618" s="254">
        <f>Prog_236[[#This Row],[SAÍDA DO CLIENTE]]-Prog_236[[#This Row],[PROGRAMAÇÃO CLIENTE]]</f>
        <v>0</v>
      </c>
      <c r="AH618" s="44"/>
      <c r="AI618" s="66"/>
      <c r="AJ618" s="66"/>
      <c r="AK618" s="66"/>
      <c r="AL618" s="66"/>
      <c r="AM618" s="66"/>
      <c r="AN618" s="83"/>
      <c r="AO618" s="66"/>
      <c r="AP618" s="66"/>
      <c r="AQ618" s="66"/>
      <c r="AR618" s="81"/>
      <c r="AS618" s="81"/>
      <c r="AT618" s="81"/>
      <c r="AU618" s="81"/>
      <c r="AV618" s="83">
        <f>SUM(Prog_236[[#This Row],[ADIANTAMENTO]]+Prog_236[[#This Row],[SALDO]]+Prog_236[[#This Row],[MARGEM]]+Prog_236[[#This Row],[ESTADIA 1]])</f>
        <v>0</v>
      </c>
      <c r="AW6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8" s="81"/>
      <c r="AY618" s="81"/>
      <c r="AZ618" s="81">
        <f>Prog_236[[#This Row],[VLR NF]]*0.1%</f>
        <v>0</v>
      </c>
      <c r="BA618" s="81">
        <f>Prog_236[[#This Row],[VLR NF]]*0.05%</f>
        <v>0</v>
      </c>
      <c r="BB618" s="81"/>
      <c r="BC618" s="81"/>
      <c r="BD618" s="81"/>
      <c r="BE618" s="81"/>
      <c r="BF618" s="81"/>
      <c r="BG618" s="81"/>
      <c r="BH618" s="81"/>
      <c r="BI618" s="81"/>
      <c r="BJ618" s="81"/>
      <c r="BK618" s="81"/>
      <c r="BL618" s="66"/>
      <c r="BM618" s="66"/>
      <c r="BN618" s="66"/>
      <c r="BO618" s="66" t="str">
        <f>PROPER(TEXT(Prog_236[[#This Row],[PROGRAMAÇÃO CLIENTE]],"mmm"))</f>
        <v>Jan</v>
      </c>
      <c r="BP618" s="66">
        <f>YEAR(Prog_236[[#This Row],[PROGRAMAÇÃO CLIENTE]])</f>
        <v>1900</v>
      </c>
    </row>
    <row r="619" spans="1:68" x14ac:dyDescent="0.25">
      <c r="A619" s="200">
        <f>Prog_236[[#This Row],[CONTEINER]]</f>
        <v>0</v>
      </c>
      <c r="B619" s="86"/>
      <c r="C6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19" s="44"/>
      <c r="E619" s="66"/>
      <c r="F619" s="66"/>
      <c r="G619" s="66"/>
      <c r="H619" s="44"/>
      <c r="I619" s="44"/>
      <c r="J619" s="66"/>
      <c r="K619" s="66"/>
      <c r="L619" s="66"/>
      <c r="M619" s="66"/>
      <c r="N619" s="66">
        <f>SUM(Prog_236[[#This Row],[TARA]]+Prog_236[[#This Row],[PESO]])</f>
        <v>0</v>
      </c>
      <c r="O619" s="44"/>
      <c r="P619" s="66"/>
      <c r="Q619" s="66"/>
      <c r="R619" s="66"/>
      <c r="S619" s="66"/>
      <c r="T619" s="138" t="str">
        <f>IFERROR(LOOKUP($S619,MOTORISTAS!$D$3:$D$1048576,MOTORISTAS!E$3:$E$1048576),"")</f>
        <v/>
      </c>
      <c r="U619" s="138" t="str">
        <f>IFERROR(LOOKUP($S619,MOTORISTAS!$D$3:$D$1048576,MOTORISTAS!F$3:$F$1048576),"")</f>
        <v/>
      </c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44"/>
      <c r="AG619" s="254">
        <f>Prog_236[[#This Row],[SAÍDA DO CLIENTE]]-Prog_236[[#This Row],[PROGRAMAÇÃO CLIENTE]]</f>
        <v>0</v>
      </c>
      <c r="AH619" s="44"/>
      <c r="AI619" s="66"/>
      <c r="AJ619" s="66"/>
      <c r="AK619" s="66"/>
      <c r="AL619" s="66"/>
      <c r="AM619" s="66"/>
      <c r="AN619" s="83"/>
      <c r="AO619" s="66"/>
      <c r="AP619" s="66"/>
      <c r="AQ619" s="66"/>
      <c r="AR619" s="81"/>
      <c r="AS619" s="81"/>
      <c r="AT619" s="81"/>
      <c r="AU619" s="81"/>
      <c r="AV619" s="83">
        <f>SUM(Prog_236[[#This Row],[ADIANTAMENTO]]+Prog_236[[#This Row],[SALDO]]+Prog_236[[#This Row],[MARGEM]]+Prog_236[[#This Row],[ESTADIA 1]])</f>
        <v>0</v>
      </c>
      <c r="AW6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19" s="81"/>
      <c r="AY619" s="81"/>
      <c r="AZ619" s="81">
        <f>Prog_236[[#This Row],[VLR NF]]*0.1%</f>
        <v>0</v>
      </c>
      <c r="BA619" s="81">
        <f>Prog_236[[#This Row],[VLR NF]]*0.05%</f>
        <v>0</v>
      </c>
      <c r="BB619" s="81"/>
      <c r="BC619" s="81"/>
      <c r="BD619" s="81"/>
      <c r="BE619" s="81"/>
      <c r="BF619" s="81"/>
      <c r="BG619" s="81"/>
      <c r="BH619" s="81"/>
      <c r="BI619" s="81"/>
      <c r="BJ619" s="81"/>
      <c r="BK619" s="81"/>
      <c r="BL619" s="66"/>
      <c r="BM619" s="66"/>
      <c r="BN619" s="66"/>
      <c r="BO619" s="66" t="str">
        <f>PROPER(TEXT(Prog_236[[#This Row],[PROGRAMAÇÃO CLIENTE]],"mmm"))</f>
        <v>Jan</v>
      </c>
      <c r="BP619" s="66">
        <f>YEAR(Prog_236[[#This Row],[PROGRAMAÇÃO CLIENTE]])</f>
        <v>1900</v>
      </c>
    </row>
    <row r="620" spans="1:68" x14ac:dyDescent="0.25">
      <c r="A620" s="201">
        <f>Prog_236[[#This Row],[CONTEINER]]</f>
        <v>0</v>
      </c>
      <c r="B620" s="86"/>
      <c r="C6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0" s="44"/>
      <c r="E620" s="66"/>
      <c r="F620" s="66"/>
      <c r="G620" s="66"/>
      <c r="H620" s="44"/>
      <c r="I620" s="44"/>
      <c r="J620" s="66"/>
      <c r="K620" s="66"/>
      <c r="L620" s="66"/>
      <c r="M620" s="66"/>
      <c r="N620" s="66">
        <f>SUM(Prog_236[[#This Row],[TARA]]+Prog_236[[#This Row],[PESO]])</f>
        <v>0</v>
      </c>
      <c r="O620" s="44"/>
      <c r="P620" s="66"/>
      <c r="Q620" s="66"/>
      <c r="R620" s="66"/>
      <c r="S620" s="66"/>
      <c r="T620" s="138" t="str">
        <f>IFERROR(LOOKUP($S620,MOTORISTAS!$D$3:$D$1048576,MOTORISTAS!E$3:$E$1048576),"")</f>
        <v/>
      </c>
      <c r="U620" s="138" t="str">
        <f>IFERROR(LOOKUP($S620,MOTORISTAS!$D$3:$D$1048576,MOTORISTAS!F$3:$F$1048576),"")</f>
        <v/>
      </c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44"/>
      <c r="AG620" s="254">
        <f>Prog_236[[#This Row],[SAÍDA DO CLIENTE]]-Prog_236[[#This Row],[PROGRAMAÇÃO CLIENTE]]</f>
        <v>0</v>
      </c>
      <c r="AH620" s="44"/>
      <c r="AI620" s="66"/>
      <c r="AJ620" s="66"/>
      <c r="AK620" s="66"/>
      <c r="AL620" s="66"/>
      <c r="AM620" s="66"/>
      <c r="AN620" s="83"/>
      <c r="AO620" s="66"/>
      <c r="AP620" s="66"/>
      <c r="AQ620" s="66"/>
      <c r="AR620" s="81"/>
      <c r="AS620" s="81"/>
      <c r="AT620" s="81"/>
      <c r="AU620" s="81"/>
      <c r="AV620" s="83">
        <f>SUM(Prog_236[[#This Row],[ADIANTAMENTO]]+Prog_236[[#This Row],[SALDO]]+Prog_236[[#This Row],[MARGEM]]+Prog_236[[#This Row],[ESTADIA 1]])</f>
        <v>0</v>
      </c>
      <c r="AW6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0" s="81"/>
      <c r="AY620" s="81"/>
      <c r="AZ620" s="81">
        <f>Prog_236[[#This Row],[VLR NF]]*0.1%</f>
        <v>0</v>
      </c>
      <c r="BA620" s="81">
        <f>Prog_236[[#This Row],[VLR NF]]*0.05%</f>
        <v>0</v>
      </c>
      <c r="BB620" s="81"/>
      <c r="BC620" s="81"/>
      <c r="BD620" s="81"/>
      <c r="BE620" s="81"/>
      <c r="BF620" s="81"/>
      <c r="BG620" s="81"/>
      <c r="BH620" s="81"/>
      <c r="BI620" s="81"/>
      <c r="BJ620" s="81"/>
      <c r="BK620" s="81"/>
      <c r="BL620" s="66"/>
      <c r="BM620" s="66"/>
      <c r="BN620" s="66"/>
      <c r="BO620" s="66" t="str">
        <f>PROPER(TEXT(Prog_236[[#This Row],[PROGRAMAÇÃO CLIENTE]],"mmm"))</f>
        <v>Jan</v>
      </c>
      <c r="BP620" s="66">
        <f>YEAR(Prog_236[[#This Row],[PROGRAMAÇÃO CLIENTE]])</f>
        <v>1900</v>
      </c>
    </row>
    <row r="621" spans="1:68" x14ac:dyDescent="0.25">
      <c r="A621" s="200">
        <f>Prog_236[[#This Row],[CONTEINER]]</f>
        <v>0</v>
      </c>
      <c r="B621" s="86"/>
      <c r="C6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1" s="44"/>
      <c r="E621" s="66"/>
      <c r="F621" s="66"/>
      <c r="G621" s="66"/>
      <c r="H621" s="44"/>
      <c r="I621" s="44"/>
      <c r="J621" s="66"/>
      <c r="K621" s="66"/>
      <c r="L621" s="66"/>
      <c r="M621" s="66"/>
      <c r="N621" s="66">
        <f>SUM(Prog_236[[#This Row],[TARA]]+Prog_236[[#This Row],[PESO]])</f>
        <v>0</v>
      </c>
      <c r="O621" s="44"/>
      <c r="P621" s="66"/>
      <c r="Q621" s="66"/>
      <c r="R621" s="66"/>
      <c r="S621" s="66"/>
      <c r="T621" s="138" t="str">
        <f>IFERROR(LOOKUP($S621,MOTORISTAS!$D$3:$D$1048576,MOTORISTAS!E$3:$E$1048576),"")</f>
        <v/>
      </c>
      <c r="U621" s="138" t="str">
        <f>IFERROR(LOOKUP($S621,MOTORISTAS!$D$3:$D$1048576,MOTORISTAS!F$3:$F$1048576),"")</f>
        <v/>
      </c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44"/>
      <c r="AG621" s="254">
        <f>Prog_236[[#This Row],[SAÍDA DO CLIENTE]]-Prog_236[[#This Row],[PROGRAMAÇÃO CLIENTE]]</f>
        <v>0</v>
      </c>
      <c r="AH621" s="44"/>
      <c r="AI621" s="66"/>
      <c r="AJ621" s="66"/>
      <c r="AK621" s="66"/>
      <c r="AL621" s="66"/>
      <c r="AM621" s="66"/>
      <c r="AN621" s="83"/>
      <c r="AO621" s="66"/>
      <c r="AP621" s="66"/>
      <c r="AQ621" s="66"/>
      <c r="AR621" s="81"/>
      <c r="AS621" s="81"/>
      <c r="AT621" s="81"/>
      <c r="AU621" s="81"/>
      <c r="AV621" s="83">
        <f>SUM(Prog_236[[#This Row],[ADIANTAMENTO]]+Prog_236[[#This Row],[SALDO]]+Prog_236[[#This Row],[MARGEM]]+Prog_236[[#This Row],[ESTADIA 1]])</f>
        <v>0</v>
      </c>
      <c r="AW6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1" s="81"/>
      <c r="AY621" s="81"/>
      <c r="AZ621" s="81">
        <f>Prog_236[[#This Row],[VLR NF]]*0.1%</f>
        <v>0</v>
      </c>
      <c r="BA621" s="81">
        <f>Prog_236[[#This Row],[VLR NF]]*0.05%</f>
        <v>0</v>
      </c>
      <c r="BB621" s="81"/>
      <c r="BC621" s="81"/>
      <c r="BD621" s="81"/>
      <c r="BE621" s="81"/>
      <c r="BF621" s="81"/>
      <c r="BG621" s="81"/>
      <c r="BH621" s="81"/>
      <c r="BI621" s="81"/>
      <c r="BJ621" s="81"/>
      <c r="BK621" s="81"/>
      <c r="BL621" s="66"/>
      <c r="BM621" s="66"/>
      <c r="BN621" s="66"/>
      <c r="BO621" s="66" t="str">
        <f>PROPER(TEXT(Prog_236[[#This Row],[PROGRAMAÇÃO CLIENTE]],"mmm"))</f>
        <v>Jan</v>
      </c>
      <c r="BP621" s="66">
        <f>YEAR(Prog_236[[#This Row],[PROGRAMAÇÃO CLIENTE]])</f>
        <v>1900</v>
      </c>
    </row>
    <row r="622" spans="1:68" x14ac:dyDescent="0.25">
      <c r="A622" s="201">
        <f>Prog_236[[#This Row],[CONTEINER]]</f>
        <v>0</v>
      </c>
      <c r="B622" s="86"/>
      <c r="C6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2" s="44"/>
      <c r="E622" s="66"/>
      <c r="F622" s="66"/>
      <c r="G622" s="66"/>
      <c r="H622" s="44"/>
      <c r="I622" s="44"/>
      <c r="J622" s="66"/>
      <c r="K622" s="66"/>
      <c r="L622" s="66"/>
      <c r="M622" s="66"/>
      <c r="N622" s="66">
        <f>SUM(Prog_236[[#This Row],[TARA]]+Prog_236[[#This Row],[PESO]])</f>
        <v>0</v>
      </c>
      <c r="O622" s="44"/>
      <c r="P622" s="66"/>
      <c r="Q622" s="66"/>
      <c r="R622" s="66"/>
      <c r="S622" s="66"/>
      <c r="T622" s="138" t="str">
        <f>IFERROR(LOOKUP($S622,MOTORISTAS!$D$3:$D$1048576,MOTORISTAS!E$3:$E$1048576),"")</f>
        <v/>
      </c>
      <c r="U622" s="138" t="str">
        <f>IFERROR(LOOKUP($S622,MOTORISTAS!$D$3:$D$1048576,MOTORISTAS!F$3:$F$1048576),"")</f>
        <v/>
      </c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44"/>
      <c r="AG622" s="254">
        <f>Prog_236[[#This Row],[SAÍDA DO CLIENTE]]-Prog_236[[#This Row],[PROGRAMAÇÃO CLIENTE]]</f>
        <v>0</v>
      </c>
      <c r="AH622" s="44"/>
      <c r="AI622" s="66"/>
      <c r="AJ622" s="66"/>
      <c r="AK622" s="66"/>
      <c r="AL622" s="66"/>
      <c r="AM622" s="66"/>
      <c r="AN622" s="83"/>
      <c r="AO622" s="66"/>
      <c r="AP622" s="66"/>
      <c r="AQ622" s="66"/>
      <c r="AR622" s="81"/>
      <c r="AS622" s="81"/>
      <c r="AT622" s="81"/>
      <c r="AU622" s="81"/>
      <c r="AV622" s="83">
        <f>SUM(Prog_236[[#This Row],[ADIANTAMENTO]]+Prog_236[[#This Row],[SALDO]]+Prog_236[[#This Row],[MARGEM]]+Prog_236[[#This Row],[ESTADIA 1]])</f>
        <v>0</v>
      </c>
      <c r="AW6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2" s="81"/>
      <c r="AY622" s="81"/>
      <c r="AZ622" s="81">
        <f>Prog_236[[#This Row],[VLR NF]]*0.1%</f>
        <v>0</v>
      </c>
      <c r="BA622" s="81">
        <f>Prog_236[[#This Row],[VLR NF]]*0.05%</f>
        <v>0</v>
      </c>
      <c r="BB622" s="81"/>
      <c r="BC622" s="81"/>
      <c r="BD622" s="81"/>
      <c r="BE622" s="81"/>
      <c r="BF622" s="81"/>
      <c r="BG622" s="81"/>
      <c r="BH622" s="81"/>
      <c r="BI622" s="81"/>
      <c r="BJ622" s="81"/>
      <c r="BK622" s="81"/>
      <c r="BL622" s="66"/>
      <c r="BM622" s="66"/>
      <c r="BN622" s="66"/>
      <c r="BO622" s="66" t="str">
        <f>PROPER(TEXT(Prog_236[[#This Row],[PROGRAMAÇÃO CLIENTE]],"mmm"))</f>
        <v>Jan</v>
      </c>
      <c r="BP622" s="66">
        <f>YEAR(Prog_236[[#This Row],[PROGRAMAÇÃO CLIENTE]])</f>
        <v>1900</v>
      </c>
    </row>
    <row r="623" spans="1:68" x14ac:dyDescent="0.25">
      <c r="A623" s="200">
        <f>Prog_236[[#This Row],[CONTEINER]]</f>
        <v>0</v>
      </c>
      <c r="B623" s="86"/>
      <c r="C6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3" s="44"/>
      <c r="E623" s="66"/>
      <c r="F623" s="66"/>
      <c r="G623" s="66"/>
      <c r="H623" s="44"/>
      <c r="I623" s="44"/>
      <c r="J623" s="66"/>
      <c r="K623" s="66"/>
      <c r="L623" s="66"/>
      <c r="M623" s="66"/>
      <c r="N623" s="66">
        <f>SUM(Prog_236[[#This Row],[TARA]]+Prog_236[[#This Row],[PESO]])</f>
        <v>0</v>
      </c>
      <c r="O623" s="44"/>
      <c r="P623" s="66"/>
      <c r="Q623" s="66"/>
      <c r="R623" s="66"/>
      <c r="S623" s="66"/>
      <c r="T623" s="138" t="str">
        <f>IFERROR(LOOKUP($S623,MOTORISTAS!$D$3:$D$1048576,MOTORISTAS!E$3:$E$1048576),"")</f>
        <v/>
      </c>
      <c r="U623" s="138" t="str">
        <f>IFERROR(LOOKUP($S623,MOTORISTAS!$D$3:$D$1048576,MOTORISTAS!F$3:$F$1048576),"")</f>
        <v/>
      </c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44"/>
      <c r="AG623" s="254">
        <f>Prog_236[[#This Row],[SAÍDA DO CLIENTE]]-Prog_236[[#This Row],[PROGRAMAÇÃO CLIENTE]]</f>
        <v>0</v>
      </c>
      <c r="AH623" s="44"/>
      <c r="AI623" s="66"/>
      <c r="AJ623" s="66"/>
      <c r="AK623" s="66"/>
      <c r="AL623" s="66"/>
      <c r="AM623" s="66"/>
      <c r="AN623" s="83"/>
      <c r="AO623" s="66"/>
      <c r="AP623" s="66"/>
      <c r="AQ623" s="66"/>
      <c r="AR623" s="81"/>
      <c r="AS623" s="81"/>
      <c r="AT623" s="81"/>
      <c r="AU623" s="81"/>
      <c r="AV623" s="83">
        <f>SUM(Prog_236[[#This Row],[ADIANTAMENTO]]+Prog_236[[#This Row],[SALDO]]+Prog_236[[#This Row],[MARGEM]]+Prog_236[[#This Row],[ESTADIA 1]])</f>
        <v>0</v>
      </c>
      <c r="AW6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3" s="81"/>
      <c r="AY623" s="81"/>
      <c r="AZ623" s="81">
        <f>Prog_236[[#This Row],[VLR NF]]*0.1%</f>
        <v>0</v>
      </c>
      <c r="BA623" s="81">
        <f>Prog_236[[#This Row],[VLR NF]]*0.05%</f>
        <v>0</v>
      </c>
      <c r="BB623" s="81"/>
      <c r="BC623" s="81"/>
      <c r="BD623" s="81"/>
      <c r="BE623" s="81"/>
      <c r="BF623" s="81"/>
      <c r="BG623" s="81"/>
      <c r="BH623" s="81"/>
      <c r="BI623" s="81"/>
      <c r="BJ623" s="81"/>
      <c r="BK623" s="81"/>
      <c r="BL623" s="66"/>
      <c r="BM623" s="66"/>
      <c r="BN623" s="66"/>
      <c r="BO623" s="66" t="str">
        <f>PROPER(TEXT(Prog_236[[#This Row],[PROGRAMAÇÃO CLIENTE]],"mmm"))</f>
        <v>Jan</v>
      </c>
      <c r="BP623" s="66">
        <f>YEAR(Prog_236[[#This Row],[PROGRAMAÇÃO CLIENTE]])</f>
        <v>1900</v>
      </c>
    </row>
    <row r="624" spans="1:68" x14ac:dyDescent="0.25">
      <c r="A624" s="201">
        <f>Prog_236[[#This Row],[CONTEINER]]</f>
        <v>0</v>
      </c>
      <c r="B624" s="86"/>
      <c r="C6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4" s="44"/>
      <c r="E624" s="66"/>
      <c r="F624" s="66"/>
      <c r="G624" s="66"/>
      <c r="H624" s="44"/>
      <c r="I624" s="44"/>
      <c r="J624" s="66"/>
      <c r="K624" s="66"/>
      <c r="L624" s="66"/>
      <c r="M624" s="66"/>
      <c r="N624" s="66">
        <f>SUM(Prog_236[[#This Row],[TARA]]+Prog_236[[#This Row],[PESO]])</f>
        <v>0</v>
      </c>
      <c r="O624" s="44"/>
      <c r="P624" s="66"/>
      <c r="Q624" s="66"/>
      <c r="R624" s="66"/>
      <c r="S624" s="66"/>
      <c r="T624" s="138" t="str">
        <f>IFERROR(LOOKUP($S624,MOTORISTAS!$D$3:$D$1048576,MOTORISTAS!E$3:$E$1048576),"")</f>
        <v/>
      </c>
      <c r="U624" s="138" t="str">
        <f>IFERROR(LOOKUP($S624,MOTORISTAS!$D$3:$D$1048576,MOTORISTAS!F$3:$F$1048576),"")</f>
        <v/>
      </c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44"/>
      <c r="AG624" s="254">
        <f>Prog_236[[#This Row],[SAÍDA DO CLIENTE]]-Prog_236[[#This Row],[PROGRAMAÇÃO CLIENTE]]</f>
        <v>0</v>
      </c>
      <c r="AH624" s="44"/>
      <c r="AI624" s="66"/>
      <c r="AJ624" s="66"/>
      <c r="AK624" s="66"/>
      <c r="AL624" s="66"/>
      <c r="AM624" s="66"/>
      <c r="AN624" s="83"/>
      <c r="AO624" s="66"/>
      <c r="AP624" s="66"/>
      <c r="AQ624" s="66"/>
      <c r="AR624" s="81"/>
      <c r="AS624" s="81"/>
      <c r="AT624" s="81"/>
      <c r="AU624" s="81"/>
      <c r="AV624" s="83">
        <f>SUM(Prog_236[[#This Row],[ADIANTAMENTO]]+Prog_236[[#This Row],[SALDO]]+Prog_236[[#This Row],[MARGEM]]+Prog_236[[#This Row],[ESTADIA 1]])</f>
        <v>0</v>
      </c>
      <c r="AW6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4" s="81"/>
      <c r="AY624" s="81"/>
      <c r="AZ624" s="81">
        <f>Prog_236[[#This Row],[VLR NF]]*0.1%</f>
        <v>0</v>
      </c>
      <c r="BA624" s="81">
        <f>Prog_236[[#This Row],[VLR NF]]*0.05%</f>
        <v>0</v>
      </c>
      <c r="BB624" s="81"/>
      <c r="BC624" s="81"/>
      <c r="BD624" s="81"/>
      <c r="BE624" s="81"/>
      <c r="BF624" s="81"/>
      <c r="BG624" s="81"/>
      <c r="BH624" s="81"/>
      <c r="BI624" s="81"/>
      <c r="BJ624" s="81"/>
      <c r="BK624" s="81"/>
      <c r="BL624" s="66"/>
      <c r="BM624" s="66"/>
      <c r="BN624" s="66"/>
      <c r="BO624" s="66" t="str">
        <f>PROPER(TEXT(Prog_236[[#This Row],[PROGRAMAÇÃO CLIENTE]],"mmm"))</f>
        <v>Jan</v>
      </c>
      <c r="BP624" s="66">
        <f>YEAR(Prog_236[[#This Row],[PROGRAMAÇÃO CLIENTE]])</f>
        <v>1900</v>
      </c>
    </row>
    <row r="625" spans="1:68" x14ac:dyDescent="0.25">
      <c r="A625" s="200">
        <f>Prog_236[[#This Row],[CONTEINER]]</f>
        <v>0</v>
      </c>
      <c r="B625" s="86"/>
      <c r="C6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5" s="44"/>
      <c r="E625" s="66"/>
      <c r="F625" s="66"/>
      <c r="G625" s="66"/>
      <c r="H625" s="44"/>
      <c r="I625" s="44"/>
      <c r="J625" s="66"/>
      <c r="K625" s="66"/>
      <c r="L625" s="66"/>
      <c r="M625" s="66"/>
      <c r="N625" s="66">
        <f>SUM(Prog_236[[#This Row],[TARA]]+Prog_236[[#This Row],[PESO]])</f>
        <v>0</v>
      </c>
      <c r="O625" s="44"/>
      <c r="P625" s="66"/>
      <c r="Q625" s="66"/>
      <c r="R625" s="66"/>
      <c r="S625" s="66"/>
      <c r="T625" s="138" t="str">
        <f>IFERROR(LOOKUP($S625,MOTORISTAS!$D$3:$D$1048576,MOTORISTAS!E$3:$E$1048576),"")</f>
        <v/>
      </c>
      <c r="U625" s="138" t="str">
        <f>IFERROR(LOOKUP($S625,MOTORISTAS!$D$3:$D$1048576,MOTORISTAS!F$3:$F$1048576),"")</f>
        <v/>
      </c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44"/>
      <c r="AG625" s="254">
        <f>Prog_236[[#This Row],[SAÍDA DO CLIENTE]]-Prog_236[[#This Row],[PROGRAMAÇÃO CLIENTE]]</f>
        <v>0</v>
      </c>
      <c r="AH625" s="44"/>
      <c r="AI625" s="66"/>
      <c r="AJ625" s="66"/>
      <c r="AK625" s="66"/>
      <c r="AL625" s="66"/>
      <c r="AM625" s="66"/>
      <c r="AN625" s="83"/>
      <c r="AO625" s="66"/>
      <c r="AP625" s="66"/>
      <c r="AQ625" s="66"/>
      <c r="AR625" s="81"/>
      <c r="AS625" s="81"/>
      <c r="AT625" s="81"/>
      <c r="AU625" s="81"/>
      <c r="AV625" s="83">
        <f>SUM(Prog_236[[#This Row],[ADIANTAMENTO]]+Prog_236[[#This Row],[SALDO]]+Prog_236[[#This Row],[MARGEM]]+Prog_236[[#This Row],[ESTADIA 1]])</f>
        <v>0</v>
      </c>
      <c r="AW6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5" s="81"/>
      <c r="AY625" s="81"/>
      <c r="AZ625" s="81">
        <f>Prog_236[[#This Row],[VLR NF]]*0.1%</f>
        <v>0</v>
      </c>
      <c r="BA625" s="81">
        <f>Prog_236[[#This Row],[VLR NF]]*0.05%</f>
        <v>0</v>
      </c>
      <c r="BB625" s="81"/>
      <c r="BC625" s="81"/>
      <c r="BD625" s="81"/>
      <c r="BE625" s="81"/>
      <c r="BF625" s="81"/>
      <c r="BG625" s="81"/>
      <c r="BH625" s="81"/>
      <c r="BI625" s="81"/>
      <c r="BJ625" s="81"/>
      <c r="BK625" s="81"/>
      <c r="BL625" s="66"/>
      <c r="BM625" s="66"/>
      <c r="BN625" s="66"/>
      <c r="BO625" s="66" t="str">
        <f>PROPER(TEXT(Prog_236[[#This Row],[PROGRAMAÇÃO CLIENTE]],"mmm"))</f>
        <v>Jan</v>
      </c>
      <c r="BP625" s="66">
        <f>YEAR(Prog_236[[#This Row],[PROGRAMAÇÃO CLIENTE]])</f>
        <v>1900</v>
      </c>
    </row>
    <row r="626" spans="1:68" x14ac:dyDescent="0.25">
      <c r="A626" s="201">
        <f>Prog_236[[#This Row],[CONTEINER]]</f>
        <v>0</v>
      </c>
      <c r="B626" s="86"/>
      <c r="C6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6" s="44"/>
      <c r="E626" s="66"/>
      <c r="F626" s="66"/>
      <c r="G626" s="66"/>
      <c r="H626" s="44"/>
      <c r="I626" s="44"/>
      <c r="J626" s="66"/>
      <c r="K626" s="66"/>
      <c r="L626" s="66"/>
      <c r="M626" s="66"/>
      <c r="N626" s="66">
        <f>SUM(Prog_236[[#This Row],[TARA]]+Prog_236[[#This Row],[PESO]])</f>
        <v>0</v>
      </c>
      <c r="O626" s="44"/>
      <c r="P626" s="66"/>
      <c r="Q626" s="66"/>
      <c r="R626" s="66"/>
      <c r="S626" s="66"/>
      <c r="T626" s="138" t="str">
        <f>IFERROR(LOOKUP($S626,MOTORISTAS!$D$3:$D$1048576,MOTORISTAS!E$3:$E$1048576),"")</f>
        <v/>
      </c>
      <c r="U626" s="138" t="str">
        <f>IFERROR(LOOKUP($S626,MOTORISTAS!$D$3:$D$1048576,MOTORISTAS!F$3:$F$1048576),"")</f>
        <v/>
      </c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44"/>
      <c r="AG626" s="254">
        <f>Prog_236[[#This Row],[SAÍDA DO CLIENTE]]-Prog_236[[#This Row],[PROGRAMAÇÃO CLIENTE]]</f>
        <v>0</v>
      </c>
      <c r="AH626" s="44"/>
      <c r="AI626" s="66"/>
      <c r="AJ626" s="66"/>
      <c r="AK626" s="66"/>
      <c r="AL626" s="66"/>
      <c r="AM626" s="66"/>
      <c r="AN626" s="83"/>
      <c r="AO626" s="66"/>
      <c r="AP626" s="66"/>
      <c r="AQ626" s="66"/>
      <c r="AR626" s="81"/>
      <c r="AS626" s="81"/>
      <c r="AT626" s="81"/>
      <c r="AU626" s="81"/>
      <c r="AV626" s="83">
        <f>SUM(Prog_236[[#This Row],[ADIANTAMENTO]]+Prog_236[[#This Row],[SALDO]]+Prog_236[[#This Row],[MARGEM]]+Prog_236[[#This Row],[ESTADIA 1]])</f>
        <v>0</v>
      </c>
      <c r="AW6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6" s="81"/>
      <c r="AY626" s="81"/>
      <c r="AZ626" s="81">
        <f>Prog_236[[#This Row],[VLR NF]]*0.1%</f>
        <v>0</v>
      </c>
      <c r="BA626" s="81">
        <f>Prog_236[[#This Row],[VLR NF]]*0.05%</f>
        <v>0</v>
      </c>
      <c r="BB626" s="81"/>
      <c r="BC626" s="81"/>
      <c r="BD626" s="81"/>
      <c r="BE626" s="81"/>
      <c r="BF626" s="81"/>
      <c r="BG626" s="81"/>
      <c r="BH626" s="81"/>
      <c r="BI626" s="81"/>
      <c r="BJ626" s="81"/>
      <c r="BK626" s="81"/>
      <c r="BL626" s="66"/>
      <c r="BM626" s="66"/>
      <c r="BN626" s="66"/>
      <c r="BO626" s="66" t="str">
        <f>PROPER(TEXT(Prog_236[[#This Row],[PROGRAMAÇÃO CLIENTE]],"mmm"))</f>
        <v>Jan</v>
      </c>
      <c r="BP626" s="66">
        <f>YEAR(Prog_236[[#This Row],[PROGRAMAÇÃO CLIENTE]])</f>
        <v>1900</v>
      </c>
    </row>
    <row r="627" spans="1:68" x14ac:dyDescent="0.25">
      <c r="A627" s="200">
        <f>Prog_236[[#This Row],[CONTEINER]]</f>
        <v>0</v>
      </c>
      <c r="B627" s="86"/>
      <c r="C6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7" s="44"/>
      <c r="E627" s="66"/>
      <c r="F627" s="66"/>
      <c r="G627" s="66"/>
      <c r="H627" s="44"/>
      <c r="I627" s="44"/>
      <c r="J627" s="66"/>
      <c r="K627" s="66"/>
      <c r="L627" s="66"/>
      <c r="M627" s="66"/>
      <c r="N627" s="66">
        <f>SUM(Prog_236[[#This Row],[TARA]]+Prog_236[[#This Row],[PESO]])</f>
        <v>0</v>
      </c>
      <c r="O627" s="44"/>
      <c r="P627" s="66"/>
      <c r="Q627" s="66"/>
      <c r="R627" s="66"/>
      <c r="S627" s="66"/>
      <c r="T627" s="138" t="str">
        <f>IFERROR(LOOKUP($S627,MOTORISTAS!$D$3:$D$1048576,MOTORISTAS!E$3:$E$1048576),"")</f>
        <v/>
      </c>
      <c r="U627" s="138" t="str">
        <f>IFERROR(LOOKUP($S627,MOTORISTAS!$D$3:$D$1048576,MOTORISTAS!F$3:$F$1048576),"")</f>
        <v/>
      </c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44"/>
      <c r="AG627" s="254">
        <f>Prog_236[[#This Row],[SAÍDA DO CLIENTE]]-Prog_236[[#This Row],[PROGRAMAÇÃO CLIENTE]]</f>
        <v>0</v>
      </c>
      <c r="AH627" s="44"/>
      <c r="AI627" s="66"/>
      <c r="AJ627" s="66"/>
      <c r="AK627" s="66"/>
      <c r="AL627" s="66"/>
      <c r="AM627" s="66"/>
      <c r="AN627" s="83"/>
      <c r="AO627" s="66"/>
      <c r="AP627" s="66"/>
      <c r="AQ627" s="66"/>
      <c r="AR627" s="81"/>
      <c r="AS627" s="81"/>
      <c r="AT627" s="81"/>
      <c r="AU627" s="81"/>
      <c r="AV627" s="83">
        <f>SUM(Prog_236[[#This Row],[ADIANTAMENTO]]+Prog_236[[#This Row],[SALDO]]+Prog_236[[#This Row],[MARGEM]]+Prog_236[[#This Row],[ESTADIA 1]])</f>
        <v>0</v>
      </c>
      <c r="AW6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7" s="81"/>
      <c r="AY627" s="81"/>
      <c r="AZ627" s="81">
        <f>Prog_236[[#This Row],[VLR NF]]*0.1%</f>
        <v>0</v>
      </c>
      <c r="BA627" s="81">
        <f>Prog_236[[#This Row],[VLR NF]]*0.05%</f>
        <v>0</v>
      </c>
      <c r="BB627" s="81"/>
      <c r="BC627" s="81"/>
      <c r="BD627" s="81"/>
      <c r="BE627" s="81"/>
      <c r="BF627" s="81"/>
      <c r="BG627" s="81"/>
      <c r="BH627" s="81"/>
      <c r="BI627" s="81"/>
      <c r="BJ627" s="81"/>
      <c r="BK627" s="81"/>
      <c r="BL627" s="66"/>
      <c r="BM627" s="66"/>
      <c r="BN627" s="66"/>
      <c r="BO627" s="66" t="str">
        <f>PROPER(TEXT(Prog_236[[#This Row],[PROGRAMAÇÃO CLIENTE]],"mmm"))</f>
        <v>Jan</v>
      </c>
      <c r="BP627" s="66">
        <f>YEAR(Prog_236[[#This Row],[PROGRAMAÇÃO CLIENTE]])</f>
        <v>1900</v>
      </c>
    </row>
    <row r="628" spans="1:68" x14ac:dyDescent="0.25">
      <c r="A628" s="201">
        <f>Prog_236[[#This Row],[CONTEINER]]</f>
        <v>0</v>
      </c>
      <c r="B628" s="86"/>
      <c r="C6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8" s="44"/>
      <c r="E628" s="66"/>
      <c r="F628" s="66"/>
      <c r="G628" s="66"/>
      <c r="H628" s="44"/>
      <c r="I628" s="44"/>
      <c r="J628" s="66"/>
      <c r="K628" s="66"/>
      <c r="L628" s="66"/>
      <c r="M628" s="66"/>
      <c r="N628" s="66">
        <f>SUM(Prog_236[[#This Row],[TARA]]+Prog_236[[#This Row],[PESO]])</f>
        <v>0</v>
      </c>
      <c r="O628" s="44"/>
      <c r="P628" s="66"/>
      <c r="Q628" s="66"/>
      <c r="R628" s="66"/>
      <c r="S628" s="66"/>
      <c r="T628" s="138" t="str">
        <f>IFERROR(LOOKUP($S628,MOTORISTAS!$D$3:$D$1048576,MOTORISTAS!E$3:$E$1048576),"")</f>
        <v/>
      </c>
      <c r="U628" s="138" t="str">
        <f>IFERROR(LOOKUP($S628,MOTORISTAS!$D$3:$D$1048576,MOTORISTAS!F$3:$F$1048576),"")</f>
        <v/>
      </c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44"/>
      <c r="AG628" s="254">
        <f>Prog_236[[#This Row],[SAÍDA DO CLIENTE]]-Prog_236[[#This Row],[PROGRAMAÇÃO CLIENTE]]</f>
        <v>0</v>
      </c>
      <c r="AH628" s="44"/>
      <c r="AI628" s="66"/>
      <c r="AJ628" s="66"/>
      <c r="AK628" s="66"/>
      <c r="AL628" s="66"/>
      <c r="AM628" s="66"/>
      <c r="AN628" s="83"/>
      <c r="AO628" s="66"/>
      <c r="AP628" s="66"/>
      <c r="AQ628" s="66"/>
      <c r="AR628" s="81"/>
      <c r="AS628" s="81"/>
      <c r="AT628" s="81"/>
      <c r="AU628" s="81"/>
      <c r="AV628" s="83">
        <f>SUM(Prog_236[[#This Row],[ADIANTAMENTO]]+Prog_236[[#This Row],[SALDO]]+Prog_236[[#This Row],[MARGEM]]+Prog_236[[#This Row],[ESTADIA 1]])</f>
        <v>0</v>
      </c>
      <c r="AW6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8" s="81"/>
      <c r="AY628" s="81"/>
      <c r="AZ628" s="81">
        <f>Prog_236[[#This Row],[VLR NF]]*0.1%</f>
        <v>0</v>
      </c>
      <c r="BA628" s="81">
        <f>Prog_236[[#This Row],[VLR NF]]*0.05%</f>
        <v>0</v>
      </c>
      <c r="BB628" s="81"/>
      <c r="BC628" s="81"/>
      <c r="BD628" s="81"/>
      <c r="BE628" s="81"/>
      <c r="BF628" s="81"/>
      <c r="BG628" s="81"/>
      <c r="BH628" s="81"/>
      <c r="BI628" s="81"/>
      <c r="BJ628" s="81"/>
      <c r="BK628" s="81"/>
      <c r="BL628" s="66"/>
      <c r="BM628" s="66"/>
      <c r="BN628" s="66"/>
      <c r="BO628" s="66" t="str">
        <f>PROPER(TEXT(Prog_236[[#This Row],[PROGRAMAÇÃO CLIENTE]],"mmm"))</f>
        <v>Jan</v>
      </c>
      <c r="BP628" s="66">
        <f>YEAR(Prog_236[[#This Row],[PROGRAMAÇÃO CLIENTE]])</f>
        <v>1900</v>
      </c>
    </row>
    <row r="629" spans="1:68" x14ac:dyDescent="0.25">
      <c r="A629" s="200">
        <f>Prog_236[[#This Row],[CONTEINER]]</f>
        <v>0</v>
      </c>
      <c r="B629" s="86"/>
      <c r="C6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29" s="44"/>
      <c r="E629" s="66"/>
      <c r="F629" s="66"/>
      <c r="G629" s="66"/>
      <c r="H629" s="44"/>
      <c r="I629" s="44"/>
      <c r="J629" s="66"/>
      <c r="K629" s="66"/>
      <c r="L629" s="66"/>
      <c r="M629" s="66"/>
      <c r="N629" s="66">
        <f>SUM(Prog_236[[#This Row],[TARA]]+Prog_236[[#This Row],[PESO]])</f>
        <v>0</v>
      </c>
      <c r="O629" s="44"/>
      <c r="P629" s="66"/>
      <c r="Q629" s="66"/>
      <c r="R629" s="66"/>
      <c r="S629" s="66"/>
      <c r="T629" s="138" t="str">
        <f>IFERROR(LOOKUP($S629,MOTORISTAS!$D$3:$D$1048576,MOTORISTAS!E$3:$E$1048576),"")</f>
        <v/>
      </c>
      <c r="U629" s="138" t="str">
        <f>IFERROR(LOOKUP($S629,MOTORISTAS!$D$3:$D$1048576,MOTORISTAS!F$3:$F$1048576),"")</f>
        <v/>
      </c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44"/>
      <c r="AG629" s="254">
        <f>Prog_236[[#This Row],[SAÍDA DO CLIENTE]]-Prog_236[[#This Row],[PROGRAMAÇÃO CLIENTE]]</f>
        <v>0</v>
      </c>
      <c r="AH629" s="44"/>
      <c r="AI629" s="66"/>
      <c r="AJ629" s="66"/>
      <c r="AK629" s="66"/>
      <c r="AL629" s="66"/>
      <c r="AM629" s="66"/>
      <c r="AN629" s="83"/>
      <c r="AO629" s="66"/>
      <c r="AP629" s="66"/>
      <c r="AQ629" s="66"/>
      <c r="AR629" s="81"/>
      <c r="AS629" s="81"/>
      <c r="AT629" s="81"/>
      <c r="AU629" s="81"/>
      <c r="AV629" s="83">
        <f>SUM(Prog_236[[#This Row],[ADIANTAMENTO]]+Prog_236[[#This Row],[SALDO]]+Prog_236[[#This Row],[MARGEM]]+Prog_236[[#This Row],[ESTADIA 1]])</f>
        <v>0</v>
      </c>
      <c r="AW6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29" s="81"/>
      <c r="AY629" s="81"/>
      <c r="AZ629" s="81">
        <f>Prog_236[[#This Row],[VLR NF]]*0.1%</f>
        <v>0</v>
      </c>
      <c r="BA629" s="81">
        <f>Prog_236[[#This Row],[VLR NF]]*0.05%</f>
        <v>0</v>
      </c>
      <c r="BB629" s="81"/>
      <c r="BC629" s="81"/>
      <c r="BD629" s="81"/>
      <c r="BE629" s="81"/>
      <c r="BF629" s="81"/>
      <c r="BG629" s="81"/>
      <c r="BH629" s="81"/>
      <c r="BI629" s="81"/>
      <c r="BJ629" s="81"/>
      <c r="BK629" s="81"/>
      <c r="BL629" s="66"/>
      <c r="BM629" s="66"/>
      <c r="BN629" s="66"/>
      <c r="BO629" s="66" t="str">
        <f>PROPER(TEXT(Prog_236[[#This Row],[PROGRAMAÇÃO CLIENTE]],"mmm"))</f>
        <v>Jan</v>
      </c>
      <c r="BP629" s="66">
        <f>YEAR(Prog_236[[#This Row],[PROGRAMAÇÃO CLIENTE]])</f>
        <v>1900</v>
      </c>
    </row>
    <row r="630" spans="1:68" x14ac:dyDescent="0.25">
      <c r="A630" s="201">
        <f>Prog_236[[#This Row],[CONTEINER]]</f>
        <v>0</v>
      </c>
      <c r="B630" s="86"/>
      <c r="C6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0" s="44"/>
      <c r="E630" s="66"/>
      <c r="F630" s="66"/>
      <c r="G630" s="66"/>
      <c r="H630" s="44"/>
      <c r="I630" s="44"/>
      <c r="J630" s="66"/>
      <c r="K630" s="66"/>
      <c r="L630" s="66"/>
      <c r="M630" s="66"/>
      <c r="N630" s="66">
        <f>SUM(Prog_236[[#This Row],[TARA]]+Prog_236[[#This Row],[PESO]])</f>
        <v>0</v>
      </c>
      <c r="O630" s="44"/>
      <c r="P630" s="66"/>
      <c r="Q630" s="66"/>
      <c r="R630" s="66"/>
      <c r="S630" s="66"/>
      <c r="T630" s="138" t="str">
        <f>IFERROR(LOOKUP($S630,MOTORISTAS!$D$3:$D$1048576,MOTORISTAS!E$3:$E$1048576),"")</f>
        <v/>
      </c>
      <c r="U630" s="138" t="str">
        <f>IFERROR(LOOKUP($S630,MOTORISTAS!$D$3:$D$1048576,MOTORISTAS!F$3:$F$1048576),"")</f>
        <v/>
      </c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44"/>
      <c r="AG630" s="254">
        <f>Prog_236[[#This Row],[SAÍDA DO CLIENTE]]-Prog_236[[#This Row],[PROGRAMAÇÃO CLIENTE]]</f>
        <v>0</v>
      </c>
      <c r="AH630" s="44"/>
      <c r="AI630" s="66"/>
      <c r="AJ630" s="66"/>
      <c r="AK630" s="66"/>
      <c r="AL630" s="66"/>
      <c r="AM630" s="66"/>
      <c r="AN630" s="83"/>
      <c r="AO630" s="66"/>
      <c r="AP630" s="66"/>
      <c r="AQ630" s="66"/>
      <c r="AR630" s="81"/>
      <c r="AS630" s="81"/>
      <c r="AT630" s="81"/>
      <c r="AU630" s="81"/>
      <c r="AV630" s="83">
        <f>SUM(Prog_236[[#This Row],[ADIANTAMENTO]]+Prog_236[[#This Row],[SALDO]]+Prog_236[[#This Row],[MARGEM]]+Prog_236[[#This Row],[ESTADIA 1]])</f>
        <v>0</v>
      </c>
      <c r="AW6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0" s="81"/>
      <c r="AY630" s="81"/>
      <c r="AZ630" s="81">
        <f>Prog_236[[#This Row],[VLR NF]]*0.1%</f>
        <v>0</v>
      </c>
      <c r="BA630" s="81">
        <f>Prog_236[[#This Row],[VLR NF]]*0.05%</f>
        <v>0</v>
      </c>
      <c r="BB630" s="81"/>
      <c r="BC630" s="81"/>
      <c r="BD630" s="81"/>
      <c r="BE630" s="81"/>
      <c r="BF630" s="81"/>
      <c r="BG630" s="81"/>
      <c r="BH630" s="81"/>
      <c r="BI630" s="81"/>
      <c r="BJ630" s="81"/>
      <c r="BK630" s="81"/>
      <c r="BL630" s="66"/>
      <c r="BM630" s="66"/>
      <c r="BN630" s="66"/>
      <c r="BO630" s="66" t="str">
        <f>PROPER(TEXT(Prog_236[[#This Row],[PROGRAMAÇÃO CLIENTE]],"mmm"))</f>
        <v>Jan</v>
      </c>
      <c r="BP630" s="66">
        <f>YEAR(Prog_236[[#This Row],[PROGRAMAÇÃO CLIENTE]])</f>
        <v>1900</v>
      </c>
    </row>
    <row r="631" spans="1:68" x14ac:dyDescent="0.25">
      <c r="A631" s="200">
        <f>Prog_236[[#This Row],[CONTEINER]]</f>
        <v>0</v>
      </c>
      <c r="B631" s="86"/>
      <c r="C6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1" s="44"/>
      <c r="E631" s="66"/>
      <c r="F631" s="66"/>
      <c r="G631" s="66"/>
      <c r="H631" s="44"/>
      <c r="I631" s="44"/>
      <c r="J631" s="66"/>
      <c r="K631" s="66"/>
      <c r="L631" s="66"/>
      <c r="M631" s="66"/>
      <c r="N631" s="66">
        <f>SUM(Prog_236[[#This Row],[TARA]]+Prog_236[[#This Row],[PESO]])</f>
        <v>0</v>
      </c>
      <c r="O631" s="44"/>
      <c r="P631" s="66"/>
      <c r="Q631" s="66"/>
      <c r="R631" s="66"/>
      <c r="S631" s="66"/>
      <c r="T631" s="138" t="str">
        <f>IFERROR(LOOKUP($S631,MOTORISTAS!$D$3:$D$1048576,MOTORISTAS!E$3:$E$1048576),"")</f>
        <v/>
      </c>
      <c r="U631" s="138" t="str">
        <f>IFERROR(LOOKUP($S631,MOTORISTAS!$D$3:$D$1048576,MOTORISTAS!F$3:$F$1048576),"")</f>
        <v/>
      </c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44"/>
      <c r="AG631" s="254">
        <f>Prog_236[[#This Row],[SAÍDA DO CLIENTE]]-Prog_236[[#This Row],[PROGRAMAÇÃO CLIENTE]]</f>
        <v>0</v>
      </c>
      <c r="AH631" s="44"/>
      <c r="AI631" s="66"/>
      <c r="AJ631" s="66"/>
      <c r="AK631" s="66"/>
      <c r="AL631" s="66"/>
      <c r="AM631" s="66"/>
      <c r="AN631" s="83"/>
      <c r="AO631" s="66"/>
      <c r="AP631" s="66"/>
      <c r="AQ631" s="66"/>
      <c r="AR631" s="81"/>
      <c r="AS631" s="81"/>
      <c r="AT631" s="81"/>
      <c r="AU631" s="81"/>
      <c r="AV631" s="83">
        <f>SUM(Prog_236[[#This Row],[ADIANTAMENTO]]+Prog_236[[#This Row],[SALDO]]+Prog_236[[#This Row],[MARGEM]]+Prog_236[[#This Row],[ESTADIA 1]])</f>
        <v>0</v>
      </c>
      <c r="AW6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1" s="81"/>
      <c r="AY631" s="81"/>
      <c r="AZ631" s="81">
        <f>Prog_236[[#This Row],[VLR NF]]*0.1%</f>
        <v>0</v>
      </c>
      <c r="BA631" s="81">
        <f>Prog_236[[#This Row],[VLR NF]]*0.05%</f>
        <v>0</v>
      </c>
      <c r="BB631" s="81"/>
      <c r="BC631" s="81"/>
      <c r="BD631" s="81"/>
      <c r="BE631" s="81"/>
      <c r="BF631" s="81"/>
      <c r="BG631" s="81"/>
      <c r="BH631" s="81"/>
      <c r="BI631" s="81"/>
      <c r="BJ631" s="81"/>
      <c r="BK631" s="81"/>
      <c r="BL631" s="66"/>
      <c r="BM631" s="66"/>
      <c r="BN631" s="66"/>
      <c r="BO631" s="66" t="str">
        <f>PROPER(TEXT(Prog_236[[#This Row],[PROGRAMAÇÃO CLIENTE]],"mmm"))</f>
        <v>Jan</v>
      </c>
      <c r="BP631" s="66">
        <f>YEAR(Prog_236[[#This Row],[PROGRAMAÇÃO CLIENTE]])</f>
        <v>1900</v>
      </c>
    </row>
    <row r="632" spans="1:68" x14ac:dyDescent="0.25">
      <c r="A632" s="201">
        <f>Prog_236[[#This Row],[CONTEINER]]</f>
        <v>0</v>
      </c>
      <c r="B632" s="86"/>
      <c r="C6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2" s="44"/>
      <c r="E632" s="66"/>
      <c r="F632" s="66"/>
      <c r="G632" s="66"/>
      <c r="H632" s="44"/>
      <c r="I632" s="44"/>
      <c r="J632" s="66"/>
      <c r="K632" s="66"/>
      <c r="L632" s="66"/>
      <c r="M632" s="66"/>
      <c r="N632" s="66">
        <f>SUM(Prog_236[[#This Row],[TARA]]+Prog_236[[#This Row],[PESO]])</f>
        <v>0</v>
      </c>
      <c r="O632" s="44"/>
      <c r="P632" s="66"/>
      <c r="Q632" s="66"/>
      <c r="R632" s="66"/>
      <c r="S632" s="66"/>
      <c r="T632" s="138" t="str">
        <f>IFERROR(LOOKUP($S632,MOTORISTAS!$D$3:$D$1048576,MOTORISTAS!E$3:$E$1048576),"")</f>
        <v/>
      </c>
      <c r="U632" s="138" t="str">
        <f>IFERROR(LOOKUP($S632,MOTORISTAS!$D$3:$D$1048576,MOTORISTAS!F$3:$F$1048576),"")</f>
        <v/>
      </c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44"/>
      <c r="AG632" s="254">
        <f>Prog_236[[#This Row],[SAÍDA DO CLIENTE]]-Prog_236[[#This Row],[PROGRAMAÇÃO CLIENTE]]</f>
        <v>0</v>
      </c>
      <c r="AH632" s="44"/>
      <c r="AI632" s="66"/>
      <c r="AJ632" s="66"/>
      <c r="AK632" s="66"/>
      <c r="AL632" s="66"/>
      <c r="AM632" s="66"/>
      <c r="AN632" s="83"/>
      <c r="AO632" s="66"/>
      <c r="AP632" s="66"/>
      <c r="AQ632" s="66"/>
      <c r="AR632" s="81"/>
      <c r="AS632" s="81"/>
      <c r="AT632" s="81"/>
      <c r="AU632" s="81"/>
      <c r="AV632" s="83">
        <f>SUM(Prog_236[[#This Row],[ADIANTAMENTO]]+Prog_236[[#This Row],[SALDO]]+Prog_236[[#This Row],[MARGEM]]+Prog_236[[#This Row],[ESTADIA 1]])</f>
        <v>0</v>
      </c>
      <c r="AW6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2" s="81"/>
      <c r="AY632" s="81"/>
      <c r="AZ632" s="81">
        <f>Prog_236[[#This Row],[VLR NF]]*0.1%</f>
        <v>0</v>
      </c>
      <c r="BA632" s="81">
        <f>Prog_236[[#This Row],[VLR NF]]*0.05%</f>
        <v>0</v>
      </c>
      <c r="BB632" s="81"/>
      <c r="BC632" s="81"/>
      <c r="BD632" s="81"/>
      <c r="BE632" s="81"/>
      <c r="BF632" s="81"/>
      <c r="BG632" s="81"/>
      <c r="BH632" s="81"/>
      <c r="BI632" s="81"/>
      <c r="BJ632" s="81"/>
      <c r="BK632" s="81"/>
      <c r="BL632" s="66"/>
      <c r="BM632" s="66"/>
      <c r="BN632" s="66"/>
      <c r="BO632" s="66" t="str">
        <f>PROPER(TEXT(Prog_236[[#This Row],[PROGRAMAÇÃO CLIENTE]],"mmm"))</f>
        <v>Jan</v>
      </c>
      <c r="BP632" s="66">
        <f>YEAR(Prog_236[[#This Row],[PROGRAMAÇÃO CLIENTE]])</f>
        <v>1900</v>
      </c>
    </row>
    <row r="633" spans="1:68" x14ac:dyDescent="0.25">
      <c r="A633" s="200">
        <f>Prog_236[[#This Row],[CONTEINER]]</f>
        <v>0</v>
      </c>
      <c r="B633" s="86"/>
      <c r="C6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3" s="44"/>
      <c r="E633" s="66"/>
      <c r="F633" s="66"/>
      <c r="G633" s="66"/>
      <c r="H633" s="44"/>
      <c r="I633" s="44"/>
      <c r="J633" s="66"/>
      <c r="K633" s="66"/>
      <c r="L633" s="66"/>
      <c r="M633" s="66"/>
      <c r="N633" s="66">
        <f>SUM(Prog_236[[#This Row],[TARA]]+Prog_236[[#This Row],[PESO]])</f>
        <v>0</v>
      </c>
      <c r="O633" s="44"/>
      <c r="P633" s="66"/>
      <c r="Q633" s="66"/>
      <c r="R633" s="66"/>
      <c r="S633" s="66"/>
      <c r="T633" s="138" t="str">
        <f>IFERROR(LOOKUP($S633,MOTORISTAS!$D$3:$D$1048576,MOTORISTAS!E$3:$E$1048576),"")</f>
        <v/>
      </c>
      <c r="U633" s="138" t="str">
        <f>IFERROR(LOOKUP($S633,MOTORISTAS!$D$3:$D$1048576,MOTORISTAS!F$3:$F$1048576),"")</f>
        <v/>
      </c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44"/>
      <c r="AG633" s="254">
        <f>Prog_236[[#This Row],[SAÍDA DO CLIENTE]]-Prog_236[[#This Row],[PROGRAMAÇÃO CLIENTE]]</f>
        <v>0</v>
      </c>
      <c r="AH633" s="44"/>
      <c r="AI633" s="66"/>
      <c r="AJ633" s="66"/>
      <c r="AK633" s="66"/>
      <c r="AL633" s="66"/>
      <c r="AM633" s="66"/>
      <c r="AN633" s="83"/>
      <c r="AO633" s="66"/>
      <c r="AP633" s="66"/>
      <c r="AQ633" s="66"/>
      <c r="AR633" s="81"/>
      <c r="AS633" s="81"/>
      <c r="AT633" s="81"/>
      <c r="AU633" s="81"/>
      <c r="AV633" s="83">
        <f>SUM(Prog_236[[#This Row],[ADIANTAMENTO]]+Prog_236[[#This Row],[SALDO]]+Prog_236[[#This Row],[MARGEM]]+Prog_236[[#This Row],[ESTADIA 1]])</f>
        <v>0</v>
      </c>
      <c r="AW6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3" s="81"/>
      <c r="AY633" s="81"/>
      <c r="AZ633" s="81">
        <f>Prog_236[[#This Row],[VLR NF]]*0.1%</f>
        <v>0</v>
      </c>
      <c r="BA633" s="81">
        <f>Prog_236[[#This Row],[VLR NF]]*0.05%</f>
        <v>0</v>
      </c>
      <c r="BB633" s="81"/>
      <c r="BC633" s="81"/>
      <c r="BD633" s="81"/>
      <c r="BE633" s="81"/>
      <c r="BF633" s="81"/>
      <c r="BG633" s="81"/>
      <c r="BH633" s="81"/>
      <c r="BI633" s="81"/>
      <c r="BJ633" s="81"/>
      <c r="BK633" s="81"/>
      <c r="BL633" s="66"/>
      <c r="BM633" s="66"/>
      <c r="BN633" s="66"/>
      <c r="BO633" s="66" t="str">
        <f>PROPER(TEXT(Prog_236[[#This Row],[PROGRAMAÇÃO CLIENTE]],"mmm"))</f>
        <v>Jan</v>
      </c>
      <c r="BP633" s="66">
        <f>YEAR(Prog_236[[#This Row],[PROGRAMAÇÃO CLIENTE]])</f>
        <v>1900</v>
      </c>
    </row>
    <row r="634" spans="1:68" x14ac:dyDescent="0.25">
      <c r="A634" s="201">
        <f>Prog_236[[#This Row],[CONTEINER]]</f>
        <v>0</v>
      </c>
      <c r="B634" s="86"/>
      <c r="C6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4" s="44"/>
      <c r="E634" s="66"/>
      <c r="F634" s="66"/>
      <c r="G634" s="66"/>
      <c r="H634" s="44"/>
      <c r="I634" s="44"/>
      <c r="J634" s="66"/>
      <c r="K634" s="66"/>
      <c r="L634" s="66"/>
      <c r="M634" s="66"/>
      <c r="N634" s="66">
        <f>SUM(Prog_236[[#This Row],[TARA]]+Prog_236[[#This Row],[PESO]])</f>
        <v>0</v>
      </c>
      <c r="O634" s="44"/>
      <c r="P634" s="66"/>
      <c r="Q634" s="66"/>
      <c r="R634" s="66"/>
      <c r="S634" s="66"/>
      <c r="T634" s="138" t="str">
        <f>IFERROR(LOOKUP($S634,MOTORISTAS!$D$3:$D$1048576,MOTORISTAS!E$3:$E$1048576),"")</f>
        <v/>
      </c>
      <c r="U634" s="138" t="str">
        <f>IFERROR(LOOKUP($S634,MOTORISTAS!$D$3:$D$1048576,MOTORISTAS!F$3:$F$1048576),"")</f>
        <v/>
      </c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44"/>
      <c r="AG634" s="254">
        <f>Prog_236[[#This Row],[SAÍDA DO CLIENTE]]-Prog_236[[#This Row],[PROGRAMAÇÃO CLIENTE]]</f>
        <v>0</v>
      </c>
      <c r="AH634" s="44"/>
      <c r="AI634" s="66"/>
      <c r="AJ634" s="66"/>
      <c r="AK634" s="66"/>
      <c r="AL634" s="66"/>
      <c r="AM634" s="66"/>
      <c r="AN634" s="83"/>
      <c r="AO634" s="66"/>
      <c r="AP634" s="66"/>
      <c r="AQ634" s="66"/>
      <c r="AR634" s="81"/>
      <c r="AS634" s="81"/>
      <c r="AT634" s="81"/>
      <c r="AU634" s="81"/>
      <c r="AV634" s="83">
        <f>SUM(Prog_236[[#This Row],[ADIANTAMENTO]]+Prog_236[[#This Row],[SALDO]]+Prog_236[[#This Row],[MARGEM]]+Prog_236[[#This Row],[ESTADIA 1]])</f>
        <v>0</v>
      </c>
      <c r="AW6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4" s="81"/>
      <c r="AY634" s="81"/>
      <c r="AZ634" s="81">
        <f>Prog_236[[#This Row],[VLR NF]]*0.1%</f>
        <v>0</v>
      </c>
      <c r="BA634" s="81">
        <f>Prog_236[[#This Row],[VLR NF]]*0.05%</f>
        <v>0</v>
      </c>
      <c r="BB634" s="81"/>
      <c r="BC634" s="81"/>
      <c r="BD634" s="81"/>
      <c r="BE634" s="81"/>
      <c r="BF634" s="81"/>
      <c r="BG634" s="81"/>
      <c r="BH634" s="81"/>
      <c r="BI634" s="81"/>
      <c r="BJ634" s="81"/>
      <c r="BK634" s="81"/>
      <c r="BL634" s="66"/>
      <c r="BM634" s="66"/>
      <c r="BN634" s="66"/>
      <c r="BO634" s="66" t="str">
        <f>PROPER(TEXT(Prog_236[[#This Row],[PROGRAMAÇÃO CLIENTE]],"mmm"))</f>
        <v>Jan</v>
      </c>
      <c r="BP634" s="66">
        <f>YEAR(Prog_236[[#This Row],[PROGRAMAÇÃO CLIENTE]])</f>
        <v>1900</v>
      </c>
    </row>
    <row r="635" spans="1:68" x14ac:dyDescent="0.25">
      <c r="A635" s="200">
        <f>Prog_236[[#This Row],[CONTEINER]]</f>
        <v>0</v>
      </c>
      <c r="B635" s="86"/>
      <c r="C6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5" s="44"/>
      <c r="E635" s="66"/>
      <c r="F635" s="66"/>
      <c r="G635" s="66"/>
      <c r="H635" s="44"/>
      <c r="I635" s="44"/>
      <c r="J635" s="66"/>
      <c r="K635" s="66"/>
      <c r="L635" s="66"/>
      <c r="M635" s="66"/>
      <c r="N635" s="66">
        <f>SUM(Prog_236[[#This Row],[TARA]]+Prog_236[[#This Row],[PESO]])</f>
        <v>0</v>
      </c>
      <c r="O635" s="44"/>
      <c r="P635" s="66"/>
      <c r="Q635" s="66"/>
      <c r="R635" s="66"/>
      <c r="S635" s="66"/>
      <c r="T635" s="138" t="str">
        <f>IFERROR(LOOKUP($S635,MOTORISTAS!$D$3:$D$1048576,MOTORISTAS!E$3:$E$1048576),"")</f>
        <v/>
      </c>
      <c r="U635" s="138" t="str">
        <f>IFERROR(LOOKUP($S635,MOTORISTAS!$D$3:$D$1048576,MOTORISTAS!F$3:$F$1048576),"")</f>
        <v/>
      </c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44"/>
      <c r="AG635" s="254">
        <f>Prog_236[[#This Row],[SAÍDA DO CLIENTE]]-Prog_236[[#This Row],[PROGRAMAÇÃO CLIENTE]]</f>
        <v>0</v>
      </c>
      <c r="AH635" s="44"/>
      <c r="AI635" s="66"/>
      <c r="AJ635" s="66"/>
      <c r="AK635" s="66"/>
      <c r="AL635" s="66"/>
      <c r="AM635" s="66"/>
      <c r="AN635" s="83"/>
      <c r="AO635" s="66"/>
      <c r="AP635" s="66"/>
      <c r="AQ635" s="66"/>
      <c r="AR635" s="81"/>
      <c r="AS635" s="81"/>
      <c r="AT635" s="81"/>
      <c r="AU635" s="81"/>
      <c r="AV635" s="83">
        <f>SUM(Prog_236[[#This Row],[ADIANTAMENTO]]+Prog_236[[#This Row],[SALDO]]+Prog_236[[#This Row],[MARGEM]]+Prog_236[[#This Row],[ESTADIA 1]])</f>
        <v>0</v>
      </c>
      <c r="AW6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5" s="81"/>
      <c r="AY635" s="81"/>
      <c r="AZ635" s="81">
        <f>Prog_236[[#This Row],[VLR NF]]*0.1%</f>
        <v>0</v>
      </c>
      <c r="BA635" s="81">
        <f>Prog_236[[#This Row],[VLR NF]]*0.05%</f>
        <v>0</v>
      </c>
      <c r="BB635" s="81"/>
      <c r="BC635" s="81"/>
      <c r="BD635" s="81"/>
      <c r="BE635" s="81"/>
      <c r="BF635" s="81"/>
      <c r="BG635" s="81"/>
      <c r="BH635" s="81"/>
      <c r="BI635" s="81"/>
      <c r="BJ635" s="81"/>
      <c r="BK635" s="81"/>
      <c r="BL635" s="66"/>
      <c r="BM635" s="66"/>
      <c r="BN635" s="66"/>
      <c r="BO635" s="66" t="str">
        <f>PROPER(TEXT(Prog_236[[#This Row],[PROGRAMAÇÃO CLIENTE]],"mmm"))</f>
        <v>Jan</v>
      </c>
      <c r="BP635" s="66">
        <f>YEAR(Prog_236[[#This Row],[PROGRAMAÇÃO CLIENTE]])</f>
        <v>1900</v>
      </c>
    </row>
    <row r="636" spans="1:68" x14ac:dyDescent="0.25">
      <c r="A636" s="201">
        <f>Prog_236[[#This Row],[CONTEINER]]</f>
        <v>0</v>
      </c>
      <c r="B636" s="86"/>
      <c r="C6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6" s="44"/>
      <c r="E636" s="66"/>
      <c r="F636" s="66"/>
      <c r="G636" s="66"/>
      <c r="H636" s="44"/>
      <c r="I636" s="44"/>
      <c r="J636" s="66"/>
      <c r="K636" s="66"/>
      <c r="L636" s="66"/>
      <c r="M636" s="66"/>
      <c r="N636" s="66">
        <f>SUM(Prog_236[[#This Row],[TARA]]+Prog_236[[#This Row],[PESO]])</f>
        <v>0</v>
      </c>
      <c r="O636" s="44"/>
      <c r="P636" s="66"/>
      <c r="Q636" s="66"/>
      <c r="R636" s="66"/>
      <c r="S636" s="66"/>
      <c r="T636" s="138" t="str">
        <f>IFERROR(LOOKUP($S636,MOTORISTAS!$D$3:$D$1048576,MOTORISTAS!E$3:$E$1048576),"")</f>
        <v/>
      </c>
      <c r="U636" s="138" t="str">
        <f>IFERROR(LOOKUP($S636,MOTORISTAS!$D$3:$D$1048576,MOTORISTAS!F$3:$F$1048576),"")</f>
        <v/>
      </c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44"/>
      <c r="AG636" s="254">
        <f>Prog_236[[#This Row],[SAÍDA DO CLIENTE]]-Prog_236[[#This Row],[PROGRAMAÇÃO CLIENTE]]</f>
        <v>0</v>
      </c>
      <c r="AH636" s="44"/>
      <c r="AI636" s="66"/>
      <c r="AJ636" s="66"/>
      <c r="AK636" s="66"/>
      <c r="AL636" s="66"/>
      <c r="AM636" s="66"/>
      <c r="AN636" s="83"/>
      <c r="AO636" s="66"/>
      <c r="AP636" s="66"/>
      <c r="AQ636" s="66"/>
      <c r="AR636" s="81"/>
      <c r="AS636" s="81"/>
      <c r="AT636" s="81"/>
      <c r="AU636" s="81"/>
      <c r="AV636" s="83">
        <f>SUM(Prog_236[[#This Row],[ADIANTAMENTO]]+Prog_236[[#This Row],[SALDO]]+Prog_236[[#This Row],[MARGEM]]+Prog_236[[#This Row],[ESTADIA 1]])</f>
        <v>0</v>
      </c>
      <c r="AW6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6" s="81"/>
      <c r="AY636" s="81"/>
      <c r="AZ636" s="81">
        <f>Prog_236[[#This Row],[VLR NF]]*0.1%</f>
        <v>0</v>
      </c>
      <c r="BA636" s="81">
        <f>Prog_236[[#This Row],[VLR NF]]*0.05%</f>
        <v>0</v>
      </c>
      <c r="BB636" s="81"/>
      <c r="BC636" s="81"/>
      <c r="BD636" s="81"/>
      <c r="BE636" s="81"/>
      <c r="BF636" s="81"/>
      <c r="BG636" s="81"/>
      <c r="BH636" s="81"/>
      <c r="BI636" s="81"/>
      <c r="BJ636" s="81"/>
      <c r="BK636" s="81"/>
      <c r="BL636" s="66"/>
      <c r="BM636" s="66"/>
      <c r="BN636" s="66"/>
      <c r="BO636" s="66" t="str">
        <f>PROPER(TEXT(Prog_236[[#This Row],[PROGRAMAÇÃO CLIENTE]],"mmm"))</f>
        <v>Jan</v>
      </c>
      <c r="BP636" s="66">
        <f>YEAR(Prog_236[[#This Row],[PROGRAMAÇÃO CLIENTE]])</f>
        <v>1900</v>
      </c>
    </row>
    <row r="637" spans="1:68" x14ac:dyDescent="0.25">
      <c r="A637" s="200">
        <f>Prog_236[[#This Row],[CONTEINER]]</f>
        <v>0</v>
      </c>
      <c r="B637" s="86"/>
      <c r="C6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7" s="44"/>
      <c r="E637" s="66"/>
      <c r="F637" s="66"/>
      <c r="G637" s="66"/>
      <c r="H637" s="44"/>
      <c r="I637" s="44"/>
      <c r="J637" s="66"/>
      <c r="K637" s="66"/>
      <c r="L637" s="66"/>
      <c r="M637" s="66"/>
      <c r="N637" s="66">
        <f>SUM(Prog_236[[#This Row],[TARA]]+Prog_236[[#This Row],[PESO]])</f>
        <v>0</v>
      </c>
      <c r="O637" s="44"/>
      <c r="P637" s="66"/>
      <c r="Q637" s="66"/>
      <c r="R637" s="66"/>
      <c r="S637" s="66"/>
      <c r="T637" s="138" t="str">
        <f>IFERROR(LOOKUP($S637,MOTORISTAS!$D$3:$D$1048576,MOTORISTAS!E$3:$E$1048576),"")</f>
        <v/>
      </c>
      <c r="U637" s="138" t="str">
        <f>IFERROR(LOOKUP($S637,MOTORISTAS!$D$3:$D$1048576,MOTORISTAS!F$3:$F$1048576),"")</f>
        <v/>
      </c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44"/>
      <c r="AG637" s="254">
        <f>Prog_236[[#This Row],[SAÍDA DO CLIENTE]]-Prog_236[[#This Row],[PROGRAMAÇÃO CLIENTE]]</f>
        <v>0</v>
      </c>
      <c r="AH637" s="44"/>
      <c r="AI637" s="66"/>
      <c r="AJ637" s="66"/>
      <c r="AK637" s="66"/>
      <c r="AL637" s="66"/>
      <c r="AM637" s="66"/>
      <c r="AN637" s="83"/>
      <c r="AO637" s="66"/>
      <c r="AP637" s="66"/>
      <c r="AQ637" s="66"/>
      <c r="AR637" s="81"/>
      <c r="AS637" s="81"/>
      <c r="AT637" s="81"/>
      <c r="AU637" s="81"/>
      <c r="AV637" s="83">
        <f>SUM(Prog_236[[#This Row],[ADIANTAMENTO]]+Prog_236[[#This Row],[SALDO]]+Prog_236[[#This Row],[MARGEM]]+Prog_236[[#This Row],[ESTADIA 1]])</f>
        <v>0</v>
      </c>
      <c r="AW6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7" s="81"/>
      <c r="AY637" s="81"/>
      <c r="AZ637" s="81">
        <f>Prog_236[[#This Row],[VLR NF]]*0.1%</f>
        <v>0</v>
      </c>
      <c r="BA637" s="81">
        <f>Prog_236[[#This Row],[VLR NF]]*0.05%</f>
        <v>0</v>
      </c>
      <c r="BB637" s="81"/>
      <c r="BC637" s="81"/>
      <c r="BD637" s="81"/>
      <c r="BE637" s="81"/>
      <c r="BF637" s="81"/>
      <c r="BG637" s="81"/>
      <c r="BH637" s="81"/>
      <c r="BI637" s="81"/>
      <c r="BJ637" s="81"/>
      <c r="BK637" s="81"/>
      <c r="BL637" s="66"/>
      <c r="BM637" s="66"/>
      <c r="BN637" s="66"/>
      <c r="BO637" s="66" t="str">
        <f>PROPER(TEXT(Prog_236[[#This Row],[PROGRAMAÇÃO CLIENTE]],"mmm"))</f>
        <v>Jan</v>
      </c>
      <c r="BP637" s="66">
        <f>YEAR(Prog_236[[#This Row],[PROGRAMAÇÃO CLIENTE]])</f>
        <v>1900</v>
      </c>
    </row>
    <row r="638" spans="1:68" x14ac:dyDescent="0.25">
      <c r="A638" s="201">
        <f>Prog_236[[#This Row],[CONTEINER]]</f>
        <v>0</v>
      </c>
      <c r="B638" s="86"/>
      <c r="C6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8" s="44"/>
      <c r="E638" s="66"/>
      <c r="F638" s="66"/>
      <c r="G638" s="66"/>
      <c r="H638" s="44"/>
      <c r="I638" s="44"/>
      <c r="J638" s="66"/>
      <c r="K638" s="66"/>
      <c r="L638" s="66"/>
      <c r="M638" s="66"/>
      <c r="N638" s="66">
        <f>SUM(Prog_236[[#This Row],[TARA]]+Prog_236[[#This Row],[PESO]])</f>
        <v>0</v>
      </c>
      <c r="O638" s="44"/>
      <c r="P638" s="66"/>
      <c r="Q638" s="66"/>
      <c r="R638" s="66"/>
      <c r="S638" s="66"/>
      <c r="T638" s="138" t="str">
        <f>IFERROR(LOOKUP($S638,MOTORISTAS!$D$3:$D$1048576,MOTORISTAS!E$3:$E$1048576),"")</f>
        <v/>
      </c>
      <c r="U638" s="138" t="str">
        <f>IFERROR(LOOKUP($S638,MOTORISTAS!$D$3:$D$1048576,MOTORISTAS!F$3:$F$1048576),"")</f>
        <v/>
      </c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44"/>
      <c r="AG638" s="254">
        <f>Prog_236[[#This Row],[SAÍDA DO CLIENTE]]-Prog_236[[#This Row],[PROGRAMAÇÃO CLIENTE]]</f>
        <v>0</v>
      </c>
      <c r="AH638" s="44"/>
      <c r="AI638" s="66"/>
      <c r="AJ638" s="66"/>
      <c r="AK638" s="66"/>
      <c r="AL638" s="66"/>
      <c r="AM638" s="66"/>
      <c r="AN638" s="83"/>
      <c r="AO638" s="66"/>
      <c r="AP638" s="66"/>
      <c r="AQ638" s="66"/>
      <c r="AR638" s="81"/>
      <c r="AS638" s="81"/>
      <c r="AT638" s="81"/>
      <c r="AU638" s="81"/>
      <c r="AV638" s="83">
        <f>SUM(Prog_236[[#This Row],[ADIANTAMENTO]]+Prog_236[[#This Row],[SALDO]]+Prog_236[[#This Row],[MARGEM]]+Prog_236[[#This Row],[ESTADIA 1]])</f>
        <v>0</v>
      </c>
      <c r="AW6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8" s="81"/>
      <c r="AY638" s="81"/>
      <c r="AZ638" s="81">
        <f>Prog_236[[#This Row],[VLR NF]]*0.1%</f>
        <v>0</v>
      </c>
      <c r="BA638" s="81">
        <f>Prog_236[[#This Row],[VLR NF]]*0.05%</f>
        <v>0</v>
      </c>
      <c r="BB638" s="81"/>
      <c r="BC638" s="81"/>
      <c r="BD638" s="81"/>
      <c r="BE638" s="81"/>
      <c r="BF638" s="81"/>
      <c r="BG638" s="81"/>
      <c r="BH638" s="81"/>
      <c r="BI638" s="81"/>
      <c r="BJ638" s="81"/>
      <c r="BK638" s="81"/>
      <c r="BL638" s="66"/>
      <c r="BM638" s="66"/>
      <c r="BN638" s="66"/>
      <c r="BO638" s="66" t="str">
        <f>PROPER(TEXT(Prog_236[[#This Row],[PROGRAMAÇÃO CLIENTE]],"mmm"))</f>
        <v>Jan</v>
      </c>
      <c r="BP638" s="66">
        <f>YEAR(Prog_236[[#This Row],[PROGRAMAÇÃO CLIENTE]])</f>
        <v>1900</v>
      </c>
    </row>
    <row r="639" spans="1:68" x14ac:dyDescent="0.25">
      <c r="A639" s="200">
        <f>Prog_236[[#This Row],[CONTEINER]]</f>
        <v>0</v>
      </c>
      <c r="B639" s="86"/>
      <c r="C6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39" s="44"/>
      <c r="E639" s="66"/>
      <c r="F639" s="66"/>
      <c r="G639" s="66"/>
      <c r="H639" s="44"/>
      <c r="I639" s="44"/>
      <c r="J639" s="66"/>
      <c r="K639" s="66"/>
      <c r="L639" s="66"/>
      <c r="M639" s="66"/>
      <c r="N639" s="66">
        <f>SUM(Prog_236[[#This Row],[TARA]]+Prog_236[[#This Row],[PESO]])</f>
        <v>0</v>
      </c>
      <c r="O639" s="44"/>
      <c r="P639" s="66"/>
      <c r="Q639" s="66"/>
      <c r="R639" s="66"/>
      <c r="S639" s="66"/>
      <c r="T639" s="138" t="str">
        <f>IFERROR(LOOKUP($S639,MOTORISTAS!$D$3:$D$1048576,MOTORISTAS!E$3:$E$1048576),"")</f>
        <v/>
      </c>
      <c r="U639" s="138" t="str">
        <f>IFERROR(LOOKUP($S639,MOTORISTAS!$D$3:$D$1048576,MOTORISTAS!F$3:$F$1048576),"")</f>
        <v/>
      </c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44"/>
      <c r="AG639" s="254">
        <f>Prog_236[[#This Row],[SAÍDA DO CLIENTE]]-Prog_236[[#This Row],[PROGRAMAÇÃO CLIENTE]]</f>
        <v>0</v>
      </c>
      <c r="AH639" s="44"/>
      <c r="AI639" s="66"/>
      <c r="AJ639" s="66"/>
      <c r="AK639" s="66"/>
      <c r="AL639" s="66"/>
      <c r="AM639" s="66"/>
      <c r="AN639" s="83"/>
      <c r="AO639" s="66"/>
      <c r="AP639" s="66"/>
      <c r="AQ639" s="66"/>
      <c r="AR639" s="81"/>
      <c r="AS639" s="81"/>
      <c r="AT639" s="81"/>
      <c r="AU639" s="81"/>
      <c r="AV639" s="83">
        <f>SUM(Prog_236[[#This Row],[ADIANTAMENTO]]+Prog_236[[#This Row],[SALDO]]+Prog_236[[#This Row],[MARGEM]]+Prog_236[[#This Row],[ESTADIA 1]])</f>
        <v>0</v>
      </c>
      <c r="AW6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39" s="81"/>
      <c r="AY639" s="81"/>
      <c r="AZ639" s="81">
        <f>Prog_236[[#This Row],[VLR NF]]*0.1%</f>
        <v>0</v>
      </c>
      <c r="BA639" s="81">
        <f>Prog_236[[#This Row],[VLR NF]]*0.05%</f>
        <v>0</v>
      </c>
      <c r="BB639" s="81"/>
      <c r="BC639" s="81"/>
      <c r="BD639" s="81"/>
      <c r="BE639" s="81"/>
      <c r="BF639" s="81"/>
      <c r="BG639" s="81"/>
      <c r="BH639" s="81"/>
      <c r="BI639" s="81"/>
      <c r="BJ639" s="81"/>
      <c r="BK639" s="81"/>
      <c r="BL639" s="66"/>
      <c r="BM639" s="66"/>
      <c r="BN639" s="66"/>
      <c r="BO639" s="66" t="str">
        <f>PROPER(TEXT(Prog_236[[#This Row],[PROGRAMAÇÃO CLIENTE]],"mmm"))</f>
        <v>Jan</v>
      </c>
      <c r="BP639" s="66">
        <f>YEAR(Prog_236[[#This Row],[PROGRAMAÇÃO CLIENTE]])</f>
        <v>1900</v>
      </c>
    </row>
    <row r="640" spans="1:68" x14ac:dyDescent="0.25">
      <c r="A640" s="201">
        <f>Prog_236[[#This Row],[CONTEINER]]</f>
        <v>0</v>
      </c>
      <c r="B640" s="86"/>
      <c r="C6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0" s="44"/>
      <c r="E640" s="66"/>
      <c r="F640" s="66"/>
      <c r="G640" s="66"/>
      <c r="H640" s="44"/>
      <c r="I640" s="44"/>
      <c r="J640" s="66"/>
      <c r="K640" s="66"/>
      <c r="L640" s="66"/>
      <c r="M640" s="66"/>
      <c r="N640" s="66">
        <f>SUM(Prog_236[[#This Row],[TARA]]+Prog_236[[#This Row],[PESO]])</f>
        <v>0</v>
      </c>
      <c r="O640" s="44"/>
      <c r="P640" s="66"/>
      <c r="Q640" s="66"/>
      <c r="R640" s="66"/>
      <c r="S640" s="66"/>
      <c r="T640" s="138" t="str">
        <f>IFERROR(LOOKUP($S640,MOTORISTAS!$D$3:$D$1048576,MOTORISTAS!E$3:$E$1048576),"")</f>
        <v/>
      </c>
      <c r="U640" s="138" t="str">
        <f>IFERROR(LOOKUP($S640,MOTORISTAS!$D$3:$D$1048576,MOTORISTAS!F$3:$F$1048576),"")</f>
        <v/>
      </c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44"/>
      <c r="AG640" s="254">
        <f>Prog_236[[#This Row],[SAÍDA DO CLIENTE]]-Prog_236[[#This Row],[PROGRAMAÇÃO CLIENTE]]</f>
        <v>0</v>
      </c>
      <c r="AH640" s="44"/>
      <c r="AI640" s="66"/>
      <c r="AJ640" s="66"/>
      <c r="AK640" s="66"/>
      <c r="AL640" s="66"/>
      <c r="AM640" s="66"/>
      <c r="AN640" s="83"/>
      <c r="AO640" s="66"/>
      <c r="AP640" s="66"/>
      <c r="AQ640" s="66"/>
      <c r="AR640" s="81"/>
      <c r="AS640" s="81"/>
      <c r="AT640" s="81"/>
      <c r="AU640" s="81"/>
      <c r="AV640" s="83">
        <f>SUM(Prog_236[[#This Row],[ADIANTAMENTO]]+Prog_236[[#This Row],[SALDO]]+Prog_236[[#This Row],[MARGEM]]+Prog_236[[#This Row],[ESTADIA 1]])</f>
        <v>0</v>
      </c>
      <c r="AW6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0" s="81"/>
      <c r="AY640" s="81"/>
      <c r="AZ640" s="81">
        <f>Prog_236[[#This Row],[VLR NF]]*0.1%</f>
        <v>0</v>
      </c>
      <c r="BA640" s="81">
        <f>Prog_236[[#This Row],[VLR NF]]*0.05%</f>
        <v>0</v>
      </c>
      <c r="BB640" s="81"/>
      <c r="BC640" s="81"/>
      <c r="BD640" s="81"/>
      <c r="BE640" s="81"/>
      <c r="BF640" s="81"/>
      <c r="BG640" s="81"/>
      <c r="BH640" s="81"/>
      <c r="BI640" s="81"/>
      <c r="BJ640" s="81"/>
      <c r="BK640" s="81"/>
      <c r="BL640" s="66"/>
      <c r="BM640" s="66"/>
      <c r="BN640" s="66"/>
      <c r="BO640" s="66" t="str">
        <f>PROPER(TEXT(Prog_236[[#This Row],[PROGRAMAÇÃO CLIENTE]],"mmm"))</f>
        <v>Jan</v>
      </c>
      <c r="BP640" s="66">
        <f>YEAR(Prog_236[[#This Row],[PROGRAMAÇÃO CLIENTE]])</f>
        <v>1900</v>
      </c>
    </row>
    <row r="641" spans="1:68" x14ac:dyDescent="0.25">
      <c r="A641" s="200">
        <f>Prog_236[[#This Row],[CONTEINER]]</f>
        <v>0</v>
      </c>
      <c r="B641" s="86"/>
      <c r="C6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1" s="44"/>
      <c r="E641" s="66"/>
      <c r="F641" s="66"/>
      <c r="G641" s="66"/>
      <c r="H641" s="44"/>
      <c r="I641" s="44"/>
      <c r="J641" s="66"/>
      <c r="K641" s="66"/>
      <c r="L641" s="66"/>
      <c r="M641" s="66"/>
      <c r="N641" s="66">
        <f>SUM(Prog_236[[#This Row],[TARA]]+Prog_236[[#This Row],[PESO]])</f>
        <v>0</v>
      </c>
      <c r="O641" s="44"/>
      <c r="P641" s="66"/>
      <c r="Q641" s="66"/>
      <c r="R641" s="66"/>
      <c r="S641" s="66"/>
      <c r="T641" s="138" t="str">
        <f>IFERROR(LOOKUP($S641,MOTORISTAS!$D$3:$D$1048576,MOTORISTAS!E$3:$E$1048576),"")</f>
        <v/>
      </c>
      <c r="U641" s="138" t="str">
        <f>IFERROR(LOOKUP($S641,MOTORISTAS!$D$3:$D$1048576,MOTORISTAS!F$3:$F$1048576),"")</f>
        <v/>
      </c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44"/>
      <c r="AG641" s="254">
        <f>Prog_236[[#This Row],[SAÍDA DO CLIENTE]]-Prog_236[[#This Row],[PROGRAMAÇÃO CLIENTE]]</f>
        <v>0</v>
      </c>
      <c r="AH641" s="44"/>
      <c r="AI641" s="66"/>
      <c r="AJ641" s="66"/>
      <c r="AK641" s="66"/>
      <c r="AL641" s="66"/>
      <c r="AM641" s="66"/>
      <c r="AN641" s="83"/>
      <c r="AO641" s="66"/>
      <c r="AP641" s="66"/>
      <c r="AQ641" s="66"/>
      <c r="AR641" s="81"/>
      <c r="AS641" s="81"/>
      <c r="AT641" s="81"/>
      <c r="AU641" s="81"/>
      <c r="AV641" s="83">
        <f>SUM(Prog_236[[#This Row],[ADIANTAMENTO]]+Prog_236[[#This Row],[SALDO]]+Prog_236[[#This Row],[MARGEM]]+Prog_236[[#This Row],[ESTADIA 1]])</f>
        <v>0</v>
      </c>
      <c r="AW6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1" s="81"/>
      <c r="AY641" s="81"/>
      <c r="AZ641" s="81">
        <f>Prog_236[[#This Row],[VLR NF]]*0.1%</f>
        <v>0</v>
      </c>
      <c r="BA641" s="81">
        <f>Prog_236[[#This Row],[VLR NF]]*0.05%</f>
        <v>0</v>
      </c>
      <c r="BB641" s="81"/>
      <c r="BC641" s="81"/>
      <c r="BD641" s="81"/>
      <c r="BE641" s="81"/>
      <c r="BF641" s="81"/>
      <c r="BG641" s="81"/>
      <c r="BH641" s="81"/>
      <c r="BI641" s="81"/>
      <c r="BJ641" s="81"/>
      <c r="BK641" s="81"/>
      <c r="BL641" s="66"/>
      <c r="BM641" s="66"/>
      <c r="BN641" s="66"/>
      <c r="BO641" s="66" t="str">
        <f>PROPER(TEXT(Prog_236[[#This Row],[PROGRAMAÇÃO CLIENTE]],"mmm"))</f>
        <v>Jan</v>
      </c>
      <c r="BP641" s="66">
        <f>YEAR(Prog_236[[#This Row],[PROGRAMAÇÃO CLIENTE]])</f>
        <v>1900</v>
      </c>
    </row>
    <row r="642" spans="1:68" x14ac:dyDescent="0.25">
      <c r="A642" s="201">
        <f>Prog_236[[#This Row],[CONTEINER]]</f>
        <v>0</v>
      </c>
      <c r="B642" s="86"/>
      <c r="C6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2" s="44"/>
      <c r="E642" s="66"/>
      <c r="F642" s="66"/>
      <c r="G642" s="66"/>
      <c r="H642" s="44"/>
      <c r="I642" s="44"/>
      <c r="J642" s="66"/>
      <c r="K642" s="66"/>
      <c r="L642" s="66"/>
      <c r="M642" s="66"/>
      <c r="N642" s="66">
        <f>SUM(Prog_236[[#This Row],[TARA]]+Prog_236[[#This Row],[PESO]])</f>
        <v>0</v>
      </c>
      <c r="O642" s="44"/>
      <c r="P642" s="66"/>
      <c r="Q642" s="66"/>
      <c r="R642" s="66"/>
      <c r="S642" s="66"/>
      <c r="T642" s="138" t="str">
        <f>IFERROR(LOOKUP($S642,MOTORISTAS!$D$3:$D$1048576,MOTORISTAS!E$3:$E$1048576),"")</f>
        <v/>
      </c>
      <c r="U642" s="138" t="str">
        <f>IFERROR(LOOKUP($S642,MOTORISTAS!$D$3:$D$1048576,MOTORISTAS!F$3:$F$1048576),"")</f>
        <v/>
      </c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44"/>
      <c r="AG642" s="254">
        <f>Prog_236[[#This Row],[SAÍDA DO CLIENTE]]-Prog_236[[#This Row],[PROGRAMAÇÃO CLIENTE]]</f>
        <v>0</v>
      </c>
      <c r="AH642" s="44"/>
      <c r="AI642" s="66"/>
      <c r="AJ642" s="66"/>
      <c r="AK642" s="66"/>
      <c r="AL642" s="66"/>
      <c r="AM642" s="66"/>
      <c r="AN642" s="83"/>
      <c r="AO642" s="66"/>
      <c r="AP642" s="66"/>
      <c r="AQ642" s="66"/>
      <c r="AR642" s="81"/>
      <c r="AS642" s="81"/>
      <c r="AT642" s="81"/>
      <c r="AU642" s="81"/>
      <c r="AV642" s="83">
        <f>SUM(Prog_236[[#This Row],[ADIANTAMENTO]]+Prog_236[[#This Row],[SALDO]]+Prog_236[[#This Row],[MARGEM]]+Prog_236[[#This Row],[ESTADIA 1]])</f>
        <v>0</v>
      </c>
      <c r="AW6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2" s="81"/>
      <c r="AY642" s="81"/>
      <c r="AZ642" s="81">
        <f>Prog_236[[#This Row],[VLR NF]]*0.1%</f>
        <v>0</v>
      </c>
      <c r="BA642" s="81">
        <f>Prog_236[[#This Row],[VLR NF]]*0.05%</f>
        <v>0</v>
      </c>
      <c r="BB642" s="81"/>
      <c r="BC642" s="81"/>
      <c r="BD642" s="81"/>
      <c r="BE642" s="81"/>
      <c r="BF642" s="81"/>
      <c r="BG642" s="81"/>
      <c r="BH642" s="81"/>
      <c r="BI642" s="81"/>
      <c r="BJ642" s="81"/>
      <c r="BK642" s="81"/>
      <c r="BL642" s="66"/>
      <c r="BM642" s="66"/>
      <c r="BN642" s="66"/>
      <c r="BO642" s="66" t="str">
        <f>PROPER(TEXT(Prog_236[[#This Row],[PROGRAMAÇÃO CLIENTE]],"mmm"))</f>
        <v>Jan</v>
      </c>
      <c r="BP642" s="66">
        <f>YEAR(Prog_236[[#This Row],[PROGRAMAÇÃO CLIENTE]])</f>
        <v>1900</v>
      </c>
    </row>
    <row r="643" spans="1:68" x14ac:dyDescent="0.25">
      <c r="A643" s="200">
        <f>Prog_236[[#This Row],[CONTEINER]]</f>
        <v>0</v>
      </c>
      <c r="B643" s="86"/>
      <c r="C6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3" s="44"/>
      <c r="E643" s="66"/>
      <c r="F643" s="66"/>
      <c r="G643" s="66"/>
      <c r="H643" s="44"/>
      <c r="I643" s="44"/>
      <c r="J643" s="66"/>
      <c r="K643" s="66"/>
      <c r="L643" s="66"/>
      <c r="M643" s="66"/>
      <c r="N643" s="66">
        <f>SUM(Prog_236[[#This Row],[TARA]]+Prog_236[[#This Row],[PESO]])</f>
        <v>0</v>
      </c>
      <c r="O643" s="44"/>
      <c r="P643" s="66"/>
      <c r="Q643" s="66"/>
      <c r="R643" s="66"/>
      <c r="S643" s="66"/>
      <c r="T643" s="138" t="str">
        <f>IFERROR(LOOKUP($S643,MOTORISTAS!$D$3:$D$1048576,MOTORISTAS!E$3:$E$1048576),"")</f>
        <v/>
      </c>
      <c r="U643" s="138" t="str">
        <f>IFERROR(LOOKUP($S643,MOTORISTAS!$D$3:$D$1048576,MOTORISTAS!F$3:$F$1048576),"")</f>
        <v/>
      </c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44"/>
      <c r="AG643" s="254">
        <f>Prog_236[[#This Row],[SAÍDA DO CLIENTE]]-Prog_236[[#This Row],[PROGRAMAÇÃO CLIENTE]]</f>
        <v>0</v>
      </c>
      <c r="AH643" s="44"/>
      <c r="AI643" s="66"/>
      <c r="AJ643" s="66"/>
      <c r="AK643" s="66"/>
      <c r="AL643" s="66"/>
      <c r="AM643" s="66"/>
      <c r="AN643" s="83"/>
      <c r="AO643" s="66"/>
      <c r="AP643" s="66"/>
      <c r="AQ643" s="66"/>
      <c r="AR643" s="81"/>
      <c r="AS643" s="81"/>
      <c r="AT643" s="81"/>
      <c r="AU643" s="81"/>
      <c r="AV643" s="83">
        <f>SUM(Prog_236[[#This Row],[ADIANTAMENTO]]+Prog_236[[#This Row],[SALDO]]+Prog_236[[#This Row],[MARGEM]]+Prog_236[[#This Row],[ESTADIA 1]])</f>
        <v>0</v>
      </c>
      <c r="AW6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3" s="81"/>
      <c r="AY643" s="81"/>
      <c r="AZ643" s="81">
        <f>Prog_236[[#This Row],[VLR NF]]*0.1%</f>
        <v>0</v>
      </c>
      <c r="BA643" s="81">
        <f>Prog_236[[#This Row],[VLR NF]]*0.05%</f>
        <v>0</v>
      </c>
      <c r="BB643" s="81"/>
      <c r="BC643" s="81"/>
      <c r="BD643" s="81"/>
      <c r="BE643" s="81"/>
      <c r="BF643" s="81"/>
      <c r="BG643" s="81"/>
      <c r="BH643" s="81"/>
      <c r="BI643" s="81"/>
      <c r="BJ643" s="81"/>
      <c r="BK643" s="81"/>
      <c r="BL643" s="66"/>
      <c r="BM643" s="66"/>
      <c r="BN643" s="66"/>
      <c r="BO643" s="66" t="str">
        <f>PROPER(TEXT(Prog_236[[#This Row],[PROGRAMAÇÃO CLIENTE]],"mmm"))</f>
        <v>Jan</v>
      </c>
      <c r="BP643" s="66">
        <f>YEAR(Prog_236[[#This Row],[PROGRAMAÇÃO CLIENTE]])</f>
        <v>1900</v>
      </c>
    </row>
    <row r="644" spans="1:68" x14ac:dyDescent="0.25">
      <c r="A644" s="201">
        <f>Prog_236[[#This Row],[CONTEINER]]</f>
        <v>0</v>
      </c>
      <c r="B644" s="86"/>
      <c r="C6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4" s="44"/>
      <c r="E644" s="66"/>
      <c r="F644" s="66"/>
      <c r="G644" s="66"/>
      <c r="H644" s="44"/>
      <c r="I644" s="44"/>
      <c r="J644" s="66"/>
      <c r="K644" s="66"/>
      <c r="L644" s="66"/>
      <c r="M644" s="66"/>
      <c r="N644" s="66">
        <f>SUM(Prog_236[[#This Row],[TARA]]+Prog_236[[#This Row],[PESO]])</f>
        <v>0</v>
      </c>
      <c r="O644" s="44"/>
      <c r="P644" s="66"/>
      <c r="Q644" s="66"/>
      <c r="R644" s="66"/>
      <c r="S644" s="66"/>
      <c r="T644" s="138" t="str">
        <f>IFERROR(LOOKUP($S644,MOTORISTAS!$D$3:$D$1048576,MOTORISTAS!E$3:$E$1048576),"")</f>
        <v/>
      </c>
      <c r="U644" s="138" t="str">
        <f>IFERROR(LOOKUP($S644,MOTORISTAS!$D$3:$D$1048576,MOTORISTAS!F$3:$F$1048576),"")</f>
        <v/>
      </c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44"/>
      <c r="AG644" s="254">
        <f>Prog_236[[#This Row],[SAÍDA DO CLIENTE]]-Prog_236[[#This Row],[PROGRAMAÇÃO CLIENTE]]</f>
        <v>0</v>
      </c>
      <c r="AH644" s="44"/>
      <c r="AI644" s="66"/>
      <c r="AJ644" s="66"/>
      <c r="AK644" s="66"/>
      <c r="AL644" s="66"/>
      <c r="AM644" s="66"/>
      <c r="AN644" s="83"/>
      <c r="AO644" s="66"/>
      <c r="AP644" s="66"/>
      <c r="AQ644" s="66"/>
      <c r="AR644" s="81"/>
      <c r="AS644" s="81"/>
      <c r="AT644" s="81"/>
      <c r="AU644" s="81"/>
      <c r="AV644" s="83">
        <f>SUM(Prog_236[[#This Row],[ADIANTAMENTO]]+Prog_236[[#This Row],[SALDO]]+Prog_236[[#This Row],[MARGEM]]+Prog_236[[#This Row],[ESTADIA 1]])</f>
        <v>0</v>
      </c>
      <c r="AW6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4" s="81"/>
      <c r="AY644" s="81"/>
      <c r="AZ644" s="81">
        <f>Prog_236[[#This Row],[VLR NF]]*0.1%</f>
        <v>0</v>
      </c>
      <c r="BA644" s="81">
        <f>Prog_236[[#This Row],[VLR NF]]*0.05%</f>
        <v>0</v>
      </c>
      <c r="BB644" s="81"/>
      <c r="BC644" s="81"/>
      <c r="BD644" s="81"/>
      <c r="BE644" s="81"/>
      <c r="BF644" s="81"/>
      <c r="BG644" s="81"/>
      <c r="BH644" s="81"/>
      <c r="BI644" s="81"/>
      <c r="BJ644" s="81"/>
      <c r="BK644" s="81"/>
      <c r="BL644" s="66"/>
      <c r="BM644" s="66"/>
      <c r="BN644" s="66"/>
      <c r="BO644" s="66" t="str">
        <f>PROPER(TEXT(Prog_236[[#This Row],[PROGRAMAÇÃO CLIENTE]],"mmm"))</f>
        <v>Jan</v>
      </c>
      <c r="BP644" s="66">
        <f>YEAR(Prog_236[[#This Row],[PROGRAMAÇÃO CLIENTE]])</f>
        <v>1900</v>
      </c>
    </row>
    <row r="645" spans="1:68" x14ac:dyDescent="0.25">
      <c r="A645" s="200">
        <f>Prog_236[[#This Row],[CONTEINER]]</f>
        <v>0</v>
      </c>
      <c r="B645" s="86"/>
      <c r="C6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5" s="44"/>
      <c r="E645" s="66"/>
      <c r="F645" s="66"/>
      <c r="G645" s="66"/>
      <c r="H645" s="44"/>
      <c r="I645" s="44"/>
      <c r="J645" s="66"/>
      <c r="K645" s="66"/>
      <c r="L645" s="66"/>
      <c r="M645" s="66"/>
      <c r="N645" s="66">
        <f>SUM(Prog_236[[#This Row],[TARA]]+Prog_236[[#This Row],[PESO]])</f>
        <v>0</v>
      </c>
      <c r="O645" s="44"/>
      <c r="P645" s="66"/>
      <c r="Q645" s="66"/>
      <c r="R645" s="66"/>
      <c r="S645" s="66"/>
      <c r="T645" s="138" t="str">
        <f>IFERROR(LOOKUP($S645,MOTORISTAS!$D$3:$D$1048576,MOTORISTAS!E$3:$E$1048576),"")</f>
        <v/>
      </c>
      <c r="U645" s="138" t="str">
        <f>IFERROR(LOOKUP($S645,MOTORISTAS!$D$3:$D$1048576,MOTORISTAS!F$3:$F$1048576),"")</f>
        <v/>
      </c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44"/>
      <c r="AG645" s="254">
        <f>Prog_236[[#This Row],[SAÍDA DO CLIENTE]]-Prog_236[[#This Row],[PROGRAMAÇÃO CLIENTE]]</f>
        <v>0</v>
      </c>
      <c r="AH645" s="44"/>
      <c r="AI645" s="66"/>
      <c r="AJ645" s="66"/>
      <c r="AK645" s="66"/>
      <c r="AL645" s="66"/>
      <c r="AM645" s="66"/>
      <c r="AN645" s="83"/>
      <c r="AO645" s="66"/>
      <c r="AP645" s="66"/>
      <c r="AQ645" s="66"/>
      <c r="AR645" s="81"/>
      <c r="AS645" s="81"/>
      <c r="AT645" s="81"/>
      <c r="AU645" s="81"/>
      <c r="AV645" s="83">
        <f>SUM(Prog_236[[#This Row],[ADIANTAMENTO]]+Prog_236[[#This Row],[SALDO]]+Prog_236[[#This Row],[MARGEM]]+Prog_236[[#This Row],[ESTADIA 1]])</f>
        <v>0</v>
      </c>
      <c r="AW6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5" s="81"/>
      <c r="AY645" s="81"/>
      <c r="AZ645" s="81">
        <f>Prog_236[[#This Row],[VLR NF]]*0.1%</f>
        <v>0</v>
      </c>
      <c r="BA645" s="81">
        <f>Prog_236[[#This Row],[VLR NF]]*0.05%</f>
        <v>0</v>
      </c>
      <c r="BB645" s="81"/>
      <c r="BC645" s="81"/>
      <c r="BD645" s="81"/>
      <c r="BE645" s="81"/>
      <c r="BF645" s="81"/>
      <c r="BG645" s="81"/>
      <c r="BH645" s="81"/>
      <c r="BI645" s="81"/>
      <c r="BJ645" s="81"/>
      <c r="BK645" s="81"/>
      <c r="BL645" s="66"/>
      <c r="BM645" s="66"/>
      <c r="BN645" s="66"/>
      <c r="BO645" s="66" t="str">
        <f>PROPER(TEXT(Prog_236[[#This Row],[PROGRAMAÇÃO CLIENTE]],"mmm"))</f>
        <v>Jan</v>
      </c>
      <c r="BP645" s="66">
        <f>YEAR(Prog_236[[#This Row],[PROGRAMAÇÃO CLIENTE]])</f>
        <v>1900</v>
      </c>
    </row>
    <row r="646" spans="1:68" x14ac:dyDescent="0.25">
      <c r="A646" s="201">
        <f>Prog_236[[#This Row],[CONTEINER]]</f>
        <v>0</v>
      </c>
      <c r="B646" s="86"/>
      <c r="C6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6" s="44"/>
      <c r="E646" s="66"/>
      <c r="F646" s="66"/>
      <c r="G646" s="66"/>
      <c r="H646" s="44"/>
      <c r="I646" s="44"/>
      <c r="J646" s="66"/>
      <c r="K646" s="66"/>
      <c r="L646" s="66"/>
      <c r="M646" s="66"/>
      <c r="N646" s="66">
        <f>SUM(Prog_236[[#This Row],[TARA]]+Prog_236[[#This Row],[PESO]])</f>
        <v>0</v>
      </c>
      <c r="O646" s="44"/>
      <c r="P646" s="66"/>
      <c r="Q646" s="66"/>
      <c r="R646" s="66"/>
      <c r="S646" s="66"/>
      <c r="T646" s="138" t="str">
        <f>IFERROR(LOOKUP($S646,MOTORISTAS!$D$3:$D$1048576,MOTORISTAS!E$3:$E$1048576),"")</f>
        <v/>
      </c>
      <c r="U646" s="138" t="str">
        <f>IFERROR(LOOKUP($S646,MOTORISTAS!$D$3:$D$1048576,MOTORISTAS!F$3:$F$1048576),"")</f>
        <v/>
      </c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44"/>
      <c r="AG646" s="254">
        <f>Prog_236[[#This Row],[SAÍDA DO CLIENTE]]-Prog_236[[#This Row],[PROGRAMAÇÃO CLIENTE]]</f>
        <v>0</v>
      </c>
      <c r="AH646" s="44"/>
      <c r="AI646" s="66"/>
      <c r="AJ646" s="66"/>
      <c r="AK646" s="66"/>
      <c r="AL646" s="66"/>
      <c r="AM646" s="66"/>
      <c r="AN646" s="83"/>
      <c r="AO646" s="66"/>
      <c r="AP646" s="66"/>
      <c r="AQ646" s="66"/>
      <c r="AR646" s="81"/>
      <c r="AS646" s="81"/>
      <c r="AT646" s="81"/>
      <c r="AU646" s="81"/>
      <c r="AV646" s="83">
        <f>SUM(Prog_236[[#This Row],[ADIANTAMENTO]]+Prog_236[[#This Row],[SALDO]]+Prog_236[[#This Row],[MARGEM]]+Prog_236[[#This Row],[ESTADIA 1]])</f>
        <v>0</v>
      </c>
      <c r="AW6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6" s="81"/>
      <c r="AY646" s="81"/>
      <c r="AZ646" s="81">
        <f>Prog_236[[#This Row],[VLR NF]]*0.1%</f>
        <v>0</v>
      </c>
      <c r="BA646" s="81">
        <f>Prog_236[[#This Row],[VLR NF]]*0.05%</f>
        <v>0</v>
      </c>
      <c r="BB646" s="81"/>
      <c r="BC646" s="81"/>
      <c r="BD646" s="81"/>
      <c r="BE646" s="81"/>
      <c r="BF646" s="81"/>
      <c r="BG646" s="81"/>
      <c r="BH646" s="81"/>
      <c r="BI646" s="81"/>
      <c r="BJ646" s="81"/>
      <c r="BK646" s="81"/>
      <c r="BL646" s="66"/>
      <c r="BM646" s="66"/>
      <c r="BN646" s="66"/>
      <c r="BO646" s="66" t="str">
        <f>PROPER(TEXT(Prog_236[[#This Row],[PROGRAMAÇÃO CLIENTE]],"mmm"))</f>
        <v>Jan</v>
      </c>
      <c r="BP646" s="66">
        <f>YEAR(Prog_236[[#This Row],[PROGRAMAÇÃO CLIENTE]])</f>
        <v>1900</v>
      </c>
    </row>
    <row r="647" spans="1:68" x14ac:dyDescent="0.25">
      <c r="A647" s="200">
        <f>Prog_236[[#This Row],[CONTEINER]]</f>
        <v>0</v>
      </c>
      <c r="B647" s="86"/>
      <c r="C6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7" s="44"/>
      <c r="E647" s="66"/>
      <c r="F647" s="66"/>
      <c r="G647" s="66"/>
      <c r="H647" s="44"/>
      <c r="I647" s="44"/>
      <c r="J647" s="66"/>
      <c r="K647" s="66"/>
      <c r="L647" s="66"/>
      <c r="M647" s="66"/>
      <c r="N647" s="66">
        <f>SUM(Prog_236[[#This Row],[TARA]]+Prog_236[[#This Row],[PESO]])</f>
        <v>0</v>
      </c>
      <c r="O647" s="44"/>
      <c r="P647" s="66"/>
      <c r="Q647" s="66"/>
      <c r="R647" s="66"/>
      <c r="S647" s="66"/>
      <c r="T647" s="138" t="str">
        <f>IFERROR(LOOKUP($S647,MOTORISTAS!$D$3:$D$1048576,MOTORISTAS!E$3:$E$1048576),"")</f>
        <v/>
      </c>
      <c r="U647" s="138" t="str">
        <f>IFERROR(LOOKUP($S647,MOTORISTAS!$D$3:$D$1048576,MOTORISTAS!F$3:$F$1048576),"")</f>
        <v/>
      </c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44"/>
      <c r="AG647" s="254">
        <f>Prog_236[[#This Row],[SAÍDA DO CLIENTE]]-Prog_236[[#This Row],[PROGRAMAÇÃO CLIENTE]]</f>
        <v>0</v>
      </c>
      <c r="AH647" s="44"/>
      <c r="AI647" s="66"/>
      <c r="AJ647" s="66"/>
      <c r="AK647" s="66"/>
      <c r="AL647" s="66"/>
      <c r="AM647" s="66"/>
      <c r="AN647" s="83"/>
      <c r="AO647" s="66"/>
      <c r="AP647" s="66"/>
      <c r="AQ647" s="66"/>
      <c r="AR647" s="81"/>
      <c r="AS647" s="81"/>
      <c r="AT647" s="81"/>
      <c r="AU647" s="81"/>
      <c r="AV647" s="83">
        <f>SUM(Prog_236[[#This Row],[ADIANTAMENTO]]+Prog_236[[#This Row],[SALDO]]+Prog_236[[#This Row],[MARGEM]]+Prog_236[[#This Row],[ESTADIA 1]])</f>
        <v>0</v>
      </c>
      <c r="AW6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7" s="81"/>
      <c r="AY647" s="81"/>
      <c r="AZ647" s="81">
        <f>Prog_236[[#This Row],[VLR NF]]*0.1%</f>
        <v>0</v>
      </c>
      <c r="BA647" s="81">
        <f>Prog_236[[#This Row],[VLR NF]]*0.05%</f>
        <v>0</v>
      </c>
      <c r="BB647" s="81"/>
      <c r="BC647" s="81"/>
      <c r="BD647" s="81"/>
      <c r="BE647" s="81"/>
      <c r="BF647" s="81"/>
      <c r="BG647" s="81"/>
      <c r="BH647" s="81"/>
      <c r="BI647" s="81"/>
      <c r="BJ647" s="81"/>
      <c r="BK647" s="81"/>
      <c r="BL647" s="66"/>
      <c r="BM647" s="66"/>
      <c r="BN647" s="66"/>
      <c r="BO647" s="66" t="str">
        <f>PROPER(TEXT(Prog_236[[#This Row],[PROGRAMAÇÃO CLIENTE]],"mmm"))</f>
        <v>Jan</v>
      </c>
      <c r="BP647" s="66">
        <f>YEAR(Prog_236[[#This Row],[PROGRAMAÇÃO CLIENTE]])</f>
        <v>1900</v>
      </c>
    </row>
    <row r="648" spans="1:68" x14ac:dyDescent="0.25">
      <c r="A648" s="201">
        <f>Prog_236[[#This Row],[CONTEINER]]</f>
        <v>0</v>
      </c>
      <c r="B648" s="86"/>
      <c r="C6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8" s="44"/>
      <c r="E648" s="66"/>
      <c r="F648" s="66"/>
      <c r="G648" s="66"/>
      <c r="H648" s="44"/>
      <c r="I648" s="44"/>
      <c r="J648" s="66"/>
      <c r="K648" s="66"/>
      <c r="L648" s="66"/>
      <c r="M648" s="66"/>
      <c r="N648" s="66">
        <f>SUM(Prog_236[[#This Row],[TARA]]+Prog_236[[#This Row],[PESO]])</f>
        <v>0</v>
      </c>
      <c r="O648" s="44"/>
      <c r="P648" s="66"/>
      <c r="Q648" s="66"/>
      <c r="R648" s="66"/>
      <c r="S648" s="66"/>
      <c r="T648" s="138" t="str">
        <f>IFERROR(LOOKUP($S648,MOTORISTAS!$D$3:$D$1048576,MOTORISTAS!E$3:$E$1048576),"")</f>
        <v/>
      </c>
      <c r="U648" s="138" t="str">
        <f>IFERROR(LOOKUP($S648,MOTORISTAS!$D$3:$D$1048576,MOTORISTAS!F$3:$F$1048576),"")</f>
        <v/>
      </c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44"/>
      <c r="AG648" s="254">
        <f>Prog_236[[#This Row],[SAÍDA DO CLIENTE]]-Prog_236[[#This Row],[PROGRAMAÇÃO CLIENTE]]</f>
        <v>0</v>
      </c>
      <c r="AH648" s="44"/>
      <c r="AI648" s="66"/>
      <c r="AJ648" s="66"/>
      <c r="AK648" s="66"/>
      <c r="AL648" s="66"/>
      <c r="AM648" s="66"/>
      <c r="AN648" s="83"/>
      <c r="AO648" s="66"/>
      <c r="AP648" s="66"/>
      <c r="AQ648" s="66"/>
      <c r="AR648" s="81"/>
      <c r="AS648" s="81"/>
      <c r="AT648" s="81"/>
      <c r="AU648" s="81"/>
      <c r="AV648" s="83">
        <f>SUM(Prog_236[[#This Row],[ADIANTAMENTO]]+Prog_236[[#This Row],[SALDO]]+Prog_236[[#This Row],[MARGEM]]+Prog_236[[#This Row],[ESTADIA 1]])</f>
        <v>0</v>
      </c>
      <c r="AW6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8" s="81"/>
      <c r="AY648" s="81"/>
      <c r="AZ648" s="81">
        <f>Prog_236[[#This Row],[VLR NF]]*0.1%</f>
        <v>0</v>
      </c>
      <c r="BA648" s="81">
        <f>Prog_236[[#This Row],[VLR NF]]*0.05%</f>
        <v>0</v>
      </c>
      <c r="BB648" s="81"/>
      <c r="BC648" s="81"/>
      <c r="BD648" s="81"/>
      <c r="BE648" s="81"/>
      <c r="BF648" s="81"/>
      <c r="BG648" s="81"/>
      <c r="BH648" s="81"/>
      <c r="BI648" s="81"/>
      <c r="BJ648" s="81"/>
      <c r="BK648" s="81"/>
      <c r="BL648" s="66"/>
      <c r="BM648" s="66"/>
      <c r="BN648" s="66"/>
      <c r="BO648" s="66" t="str">
        <f>PROPER(TEXT(Prog_236[[#This Row],[PROGRAMAÇÃO CLIENTE]],"mmm"))</f>
        <v>Jan</v>
      </c>
      <c r="BP648" s="66">
        <f>YEAR(Prog_236[[#This Row],[PROGRAMAÇÃO CLIENTE]])</f>
        <v>1900</v>
      </c>
    </row>
    <row r="649" spans="1:68" x14ac:dyDescent="0.25">
      <c r="A649" s="200">
        <f>Prog_236[[#This Row],[CONTEINER]]</f>
        <v>0</v>
      </c>
      <c r="B649" s="86"/>
      <c r="C6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49" s="44"/>
      <c r="E649" s="66"/>
      <c r="F649" s="66"/>
      <c r="G649" s="66"/>
      <c r="H649" s="44"/>
      <c r="I649" s="44"/>
      <c r="J649" s="66"/>
      <c r="K649" s="66"/>
      <c r="L649" s="66"/>
      <c r="M649" s="66"/>
      <c r="N649" s="66">
        <f>SUM(Prog_236[[#This Row],[TARA]]+Prog_236[[#This Row],[PESO]])</f>
        <v>0</v>
      </c>
      <c r="O649" s="44"/>
      <c r="P649" s="66"/>
      <c r="Q649" s="66"/>
      <c r="R649" s="66"/>
      <c r="S649" s="66"/>
      <c r="T649" s="138" t="str">
        <f>IFERROR(LOOKUP($S649,MOTORISTAS!$D$3:$D$1048576,MOTORISTAS!E$3:$E$1048576),"")</f>
        <v/>
      </c>
      <c r="U649" s="138" t="str">
        <f>IFERROR(LOOKUP($S649,MOTORISTAS!$D$3:$D$1048576,MOTORISTAS!F$3:$F$1048576),"")</f>
        <v/>
      </c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44"/>
      <c r="AG649" s="254">
        <f>Prog_236[[#This Row],[SAÍDA DO CLIENTE]]-Prog_236[[#This Row],[PROGRAMAÇÃO CLIENTE]]</f>
        <v>0</v>
      </c>
      <c r="AH649" s="44"/>
      <c r="AI649" s="66"/>
      <c r="AJ649" s="66"/>
      <c r="AK649" s="66"/>
      <c r="AL649" s="66"/>
      <c r="AM649" s="66"/>
      <c r="AN649" s="83"/>
      <c r="AO649" s="66"/>
      <c r="AP649" s="66"/>
      <c r="AQ649" s="66"/>
      <c r="AR649" s="81"/>
      <c r="AS649" s="81"/>
      <c r="AT649" s="81"/>
      <c r="AU649" s="81"/>
      <c r="AV649" s="83">
        <f>SUM(Prog_236[[#This Row],[ADIANTAMENTO]]+Prog_236[[#This Row],[SALDO]]+Prog_236[[#This Row],[MARGEM]]+Prog_236[[#This Row],[ESTADIA 1]])</f>
        <v>0</v>
      </c>
      <c r="AW6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49" s="81"/>
      <c r="AY649" s="81"/>
      <c r="AZ649" s="81">
        <f>Prog_236[[#This Row],[VLR NF]]*0.1%</f>
        <v>0</v>
      </c>
      <c r="BA649" s="81">
        <f>Prog_236[[#This Row],[VLR NF]]*0.05%</f>
        <v>0</v>
      </c>
      <c r="BB649" s="81"/>
      <c r="BC649" s="81"/>
      <c r="BD649" s="81"/>
      <c r="BE649" s="81"/>
      <c r="BF649" s="81"/>
      <c r="BG649" s="81"/>
      <c r="BH649" s="81"/>
      <c r="BI649" s="81"/>
      <c r="BJ649" s="81"/>
      <c r="BK649" s="81"/>
      <c r="BL649" s="66"/>
      <c r="BM649" s="66"/>
      <c r="BN649" s="66"/>
      <c r="BO649" s="66" t="str">
        <f>PROPER(TEXT(Prog_236[[#This Row],[PROGRAMAÇÃO CLIENTE]],"mmm"))</f>
        <v>Jan</v>
      </c>
      <c r="BP649" s="66">
        <f>YEAR(Prog_236[[#This Row],[PROGRAMAÇÃO CLIENTE]])</f>
        <v>1900</v>
      </c>
    </row>
    <row r="650" spans="1:68" x14ac:dyDescent="0.25">
      <c r="A650" s="201">
        <f>Prog_236[[#This Row],[CONTEINER]]</f>
        <v>0</v>
      </c>
      <c r="B650" s="86"/>
      <c r="C6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0" s="44"/>
      <c r="E650" s="66"/>
      <c r="F650" s="66"/>
      <c r="G650" s="66"/>
      <c r="H650" s="44"/>
      <c r="I650" s="44"/>
      <c r="J650" s="66"/>
      <c r="K650" s="66"/>
      <c r="L650" s="66"/>
      <c r="M650" s="66"/>
      <c r="N650" s="66">
        <f>SUM(Prog_236[[#This Row],[TARA]]+Prog_236[[#This Row],[PESO]])</f>
        <v>0</v>
      </c>
      <c r="O650" s="44"/>
      <c r="P650" s="66"/>
      <c r="Q650" s="66"/>
      <c r="R650" s="66"/>
      <c r="S650" s="66"/>
      <c r="T650" s="138" t="str">
        <f>IFERROR(LOOKUP($S650,MOTORISTAS!$D$3:$D$1048576,MOTORISTAS!E$3:$E$1048576),"")</f>
        <v/>
      </c>
      <c r="U650" s="138" t="str">
        <f>IFERROR(LOOKUP($S650,MOTORISTAS!$D$3:$D$1048576,MOTORISTAS!F$3:$F$1048576),"")</f>
        <v/>
      </c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44"/>
      <c r="AG650" s="254">
        <f>Prog_236[[#This Row],[SAÍDA DO CLIENTE]]-Prog_236[[#This Row],[PROGRAMAÇÃO CLIENTE]]</f>
        <v>0</v>
      </c>
      <c r="AH650" s="44"/>
      <c r="AI650" s="66"/>
      <c r="AJ650" s="66"/>
      <c r="AK650" s="66"/>
      <c r="AL650" s="66"/>
      <c r="AM650" s="66"/>
      <c r="AN650" s="83"/>
      <c r="AO650" s="66"/>
      <c r="AP650" s="66"/>
      <c r="AQ650" s="66"/>
      <c r="AR650" s="81"/>
      <c r="AS650" s="81"/>
      <c r="AT650" s="81"/>
      <c r="AU650" s="81"/>
      <c r="AV650" s="83">
        <f>SUM(Prog_236[[#This Row],[ADIANTAMENTO]]+Prog_236[[#This Row],[SALDO]]+Prog_236[[#This Row],[MARGEM]]+Prog_236[[#This Row],[ESTADIA 1]])</f>
        <v>0</v>
      </c>
      <c r="AW6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0" s="81"/>
      <c r="AY650" s="81"/>
      <c r="AZ650" s="81">
        <f>Prog_236[[#This Row],[VLR NF]]*0.1%</f>
        <v>0</v>
      </c>
      <c r="BA650" s="81">
        <f>Prog_236[[#This Row],[VLR NF]]*0.05%</f>
        <v>0</v>
      </c>
      <c r="BB650" s="81"/>
      <c r="BC650" s="81"/>
      <c r="BD650" s="81"/>
      <c r="BE650" s="81"/>
      <c r="BF650" s="81"/>
      <c r="BG650" s="81"/>
      <c r="BH650" s="81"/>
      <c r="BI650" s="81"/>
      <c r="BJ650" s="81"/>
      <c r="BK650" s="81"/>
      <c r="BL650" s="66"/>
      <c r="BM650" s="66"/>
      <c r="BN650" s="66"/>
      <c r="BO650" s="66" t="str">
        <f>PROPER(TEXT(Prog_236[[#This Row],[PROGRAMAÇÃO CLIENTE]],"mmm"))</f>
        <v>Jan</v>
      </c>
      <c r="BP650" s="66">
        <f>YEAR(Prog_236[[#This Row],[PROGRAMAÇÃO CLIENTE]])</f>
        <v>1900</v>
      </c>
    </row>
    <row r="651" spans="1:68" x14ac:dyDescent="0.25">
      <c r="A651" s="200">
        <f>Prog_236[[#This Row],[CONTEINER]]</f>
        <v>0</v>
      </c>
      <c r="B651" s="86"/>
      <c r="C6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1" s="44"/>
      <c r="E651" s="66"/>
      <c r="F651" s="66"/>
      <c r="G651" s="66"/>
      <c r="H651" s="44"/>
      <c r="I651" s="44"/>
      <c r="J651" s="66"/>
      <c r="K651" s="66"/>
      <c r="L651" s="66"/>
      <c r="M651" s="66"/>
      <c r="N651" s="66">
        <f>SUM(Prog_236[[#This Row],[TARA]]+Prog_236[[#This Row],[PESO]])</f>
        <v>0</v>
      </c>
      <c r="O651" s="44"/>
      <c r="P651" s="66"/>
      <c r="Q651" s="66"/>
      <c r="R651" s="66"/>
      <c r="S651" s="66"/>
      <c r="T651" s="138" t="str">
        <f>IFERROR(LOOKUP($S651,MOTORISTAS!$D$3:$D$1048576,MOTORISTAS!E$3:$E$1048576),"")</f>
        <v/>
      </c>
      <c r="U651" s="138" t="str">
        <f>IFERROR(LOOKUP($S651,MOTORISTAS!$D$3:$D$1048576,MOTORISTAS!F$3:$F$1048576),"")</f>
        <v/>
      </c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44"/>
      <c r="AG651" s="254">
        <f>Prog_236[[#This Row],[SAÍDA DO CLIENTE]]-Prog_236[[#This Row],[PROGRAMAÇÃO CLIENTE]]</f>
        <v>0</v>
      </c>
      <c r="AH651" s="44"/>
      <c r="AI651" s="66"/>
      <c r="AJ651" s="66"/>
      <c r="AK651" s="66"/>
      <c r="AL651" s="66"/>
      <c r="AM651" s="66"/>
      <c r="AN651" s="83"/>
      <c r="AO651" s="66"/>
      <c r="AP651" s="66"/>
      <c r="AQ651" s="66"/>
      <c r="AR651" s="81"/>
      <c r="AS651" s="81"/>
      <c r="AT651" s="81"/>
      <c r="AU651" s="81"/>
      <c r="AV651" s="83">
        <f>SUM(Prog_236[[#This Row],[ADIANTAMENTO]]+Prog_236[[#This Row],[SALDO]]+Prog_236[[#This Row],[MARGEM]]+Prog_236[[#This Row],[ESTADIA 1]])</f>
        <v>0</v>
      </c>
      <c r="AW6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1" s="81"/>
      <c r="AY651" s="81"/>
      <c r="AZ651" s="81">
        <f>Prog_236[[#This Row],[VLR NF]]*0.1%</f>
        <v>0</v>
      </c>
      <c r="BA651" s="81">
        <f>Prog_236[[#This Row],[VLR NF]]*0.05%</f>
        <v>0</v>
      </c>
      <c r="BB651" s="81"/>
      <c r="BC651" s="81"/>
      <c r="BD651" s="81"/>
      <c r="BE651" s="81"/>
      <c r="BF651" s="81"/>
      <c r="BG651" s="81"/>
      <c r="BH651" s="81"/>
      <c r="BI651" s="81"/>
      <c r="BJ651" s="81"/>
      <c r="BK651" s="81"/>
      <c r="BL651" s="66"/>
      <c r="BM651" s="66"/>
      <c r="BN651" s="66"/>
      <c r="BO651" s="66" t="str">
        <f>PROPER(TEXT(Prog_236[[#This Row],[PROGRAMAÇÃO CLIENTE]],"mmm"))</f>
        <v>Jan</v>
      </c>
      <c r="BP651" s="66">
        <f>YEAR(Prog_236[[#This Row],[PROGRAMAÇÃO CLIENTE]])</f>
        <v>1900</v>
      </c>
    </row>
    <row r="652" spans="1:68" x14ac:dyDescent="0.25">
      <c r="A652" s="201">
        <f>Prog_236[[#This Row],[CONTEINER]]</f>
        <v>0</v>
      </c>
      <c r="B652" s="86"/>
      <c r="C6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2" s="44"/>
      <c r="E652" s="66"/>
      <c r="F652" s="66"/>
      <c r="G652" s="66"/>
      <c r="H652" s="44"/>
      <c r="I652" s="44"/>
      <c r="J652" s="66"/>
      <c r="K652" s="66"/>
      <c r="L652" s="66"/>
      <c r="M652" s="66"/>
      <c r="N652" s="66">
        <f>SUM(Prog_236[[#This Row],[TARA]]+Prog_236[[#This Row],[PESO]])</f>
        <v>0</v>
      </c>
      <c r="O652" s="44"/>
      <c r="P652" s="66"/>
      <c r="Q652" s="66"/>
      <c r="R652" s="66"/>
      <c r="S652" s="66"/>
      <c r="T652" s="138" t="str">
        <f>IFERROR(LOOKUP($S652,MOTORISTAS!$D$3:$D$1048576,MOTORISTAS!E$3:$E$1048576),"")</f>
        <v/>
      </c>
      <c r="U652" s="138" t="str">
        <f>IFERROR(LOOKUP($S652,MOTORISTAS!$D$3:$D$1048576,MOTORISTAS!F$3:$F$1048576),"")</f>
        <v/>
      </c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44"/>
      <c r="AG652" s="254">
        <f>Prog_236[[#This Row],[SAÍDA DO CLIENTE]]-Prog_236[[#This Row],[PROGRAMAÇÃO CLIENTE]]</f>
        <v>0</v>
      </c>
      <c r="AH652" s="44"/>
      <c r="AI652" s="66"/>
      <c r="AJ652" s="66"/>
      <c r="AK652" s="66"/>
      <c r="AL652" s="66"/>
      <c r="AM652" s="66"/>
      <c r="AN652" s="83"/>
      <c r="AO652" s="66"/>
      <c r="AP652" s="66"/>
      <c r="AQ652" s="66"/>
      <c r="AR652" s="81"/>
      <c r="AS652" s="81"/>
      <c r="AT652" s="81"/>
      <c r="AU652" s="81"/>
      <c r="AV652" s="83">
        <f>SUM(Prog_236[[#This Row],[ADIANTAMENTO]]+Prog_236[[#This Row],[SALDO]]+Prog_236[[#This Row],[MARGEM]]+Prog_236[[#This Row],[ESTADIA 1]])</f>
        <v>0</v>
      </c>
      <c r="AW6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2" s="81"/>
      <c r="AY652" s="81"/>
      <c r="AZ652" s="81">
        <f>Prog_236[[#This Row],[VLR NF]]*0.1%</f>
        <v>0</v>
      </c>
      <c r="BA652" s="81">
        <f>Prog_236[[#This Row],[VLR NF]]*0.05%</f>
        <v>0</v>
      </c>
      <c r="BB652" s="81"/>
      <c r="BC652" s="81"/>
      <c r="BD652" s="81"/>
      <c r="BE652" s="81"/>
      <c r="BF652" s="81"/>
      <c r="BG652" s="81"/>
      <c r="BH652" s="81"/>
      <c r="BI652" s="81"/>
      <c r="BJ652" s="81"/>
      <c r="BK652" s="81"/>
      <c r="BL652" s="66"/>
      <c r="BM652" s="66"/>
      <c r="BN652" s="66"/>
      <c r="BO652" s="66" t="str">
        <f>PROPER(TEXT(Prog_236[[#This Row],[PROGRAMAÇÃO CLIENTE]],"mmm"))</f>
        <v>Jan</v>
      </c>
      <c r="BP652" s="66">
        <f>YEAR(Prog_236[[#This Row],[PROGRAMAÇÃO CLIENTE]])</f>
        <v>1900</v>
      </c>
    </row>
    <row r="653" spans="1:68" x14ac:dyDescent="0.25">
      <c r="A653" s="200">
        <f>Prog_236[[#This Row],[CONTEINER]]</f>
        <v>0</v>
      </c>
      <c r="B653" s="86"/>
      <c r="C6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3" s="44"/>
      <c r="E653" s="66"/>
      <c r="F653" s="66"/>
      <c r="G653" s="66"/>
      <c r="H653" s="44"/>
      <c r="I653" s="44"/>
      <c r="J653" s="66"/>
      <c r="K653" s="66"/>
      <c r="L653" s="66"/>
      <c r="M653" s="66"/>
      <c r="N653" s="66">
        <f>SUM(Prog_236[[#This Row],[TARA]]+Prog_236[[#This Row],[PESO]])</f>
        <v>0</v>
      </c>
      <c r="O653" s="44"/>
      <c r="P653" s="66"/>
      <c r="Q653" s="66"/>
      <c r="R653" s="66"/>
      <c r="S653" s="66"/>
      <c r="T653" s="138" t="str">
        <f>IFERROR(LOOKUP($S653,MOTORISTAS!$D$3:$D$1048576,MOTORISTAS!E$3:$E$1048576),"")</f>
        <v/>
      </c>
      <c r="U653" s="138" t="str">
        <f>IFERROR(LOOKUP($S653,MOTORISTAS!$D$3:$D$1048576,MOTORISTAS!F$3:$F$1048576),"")</f>
        <v/>
      </c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44"/>
      <c r="AG653" s="254">
        <f>Prog_236[[#This Row],[SAÍDA DO CLIENTE]]-Prog_236[[#This Row],[PROGRAMAÇÃO CLIENTE]]</f>
        <v>0</v>
      </c>
      <c r="AH653" s="44"/>
      <c r="AI653" s="66"/>
      <c r="AJ653" s="66"/>
      <c r="AK653" s="66"/>
      <c r="AL653" s="66"/>
      <c r="AM653" s="66"/>
      <c r="AN653" s="83"/>
      <c r="AO653" s="66"/>
      <c r="AP653" s="66"/>
      <c r="AQ653" s="66"/>
      <c r="AR653" s="81"/>
      <c r="AS653" s="81"/>
      <c r="AT653" s="81"/>
      <c r="AU653" s="81"/>
      <c r="AV653" s="83">
        <f>SUM(Prog_236[[#This Row],[ADIANTAMENTO]]+Prog_236[[#This Row],[SALDO]]+Prog_236[[#This Row],[MARGEM]]+Prog_236[[#This Row],[ESTADIA 1]])</f>
        <v>0</v>
      </c>
      <c r="AW6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3" s="81"/>
      <c r="AY653" s="81"/>
      <c r="AZ653" s="81">
        <f>Prog_236[[#This Row],[VLR NF]]*0.1%</f>
        <v>0</v>
      </c>
      <c r="BA653" s="81">
        <f>Prog_236[[#This Row],[VLR NF]]*0.05%</f>
        <v>0</v>
      </c>
      <c r="BB653" s="81"/>
      <c r="BC653" s="81"/>
      <c r="BD653" s="81"/>
      <c r="BE653" s="81"/>
      <c r="BF653" s="81"/>
      <c r="BG653" s="81"/>
      <c r="BH653" s="81"/>
      <c r="BI653" s="81"/>
      <c r="BJ653" s="81"/>
      <c r="BK653" s="81"/>
      <c r="BL653" s="66"/>
      <c r="BM653" s="66"/>
      <c r="BN653" s="66"/>
      <c r="BO653" s="66" t="str">
        <f>PROPER(TEXT(Prog_236[[#This Row],[PROGRAMAÇÃO CLIENTE]],"mmm"))</f>
        <v>Jan</v>
      </c>
      <c r="BP653" s="66">
        <f>YEAR(Prog_236[[#This Row],[PROGRAMAÇÃO CLIENTE]])</f>
        <v>1900</v>
      </c>
    </row>
    <row r="654" spans="1:68" x14ac:dyDescent="0.25">
      <c r="A654" s="201">
        <f>Prog_236[[#This Row],[CONTEINER]]</f>
        <v>0</v>
      </c>
      <c r="B654" s="86"/>
      <c r="C6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4" s="44"/>
      <c r="E654" s="66"/>
      <c r="F654" s="66"/>
      <c r="G654" s="66"/>
      <c r="H654" s="44"/>
      <c r="I654" s="44"/>
      <c r="J654" s="66"/>
      <c r="K654" s="66"/>
      <c r="L654" s="66"/>
      <c r="M654" s="66"/>
      <c r="N654" s="66">
        <f>SUM(Prog_236[[#This Row],[TARA]]+Prog_236[[#This Row],[PESO]])</f>
        <v>0</v>
      </c>
      <c r="O654" s="44"/>
      <c r="P654" s="66"/>
      <c r="Q654" s="66"/>
      <c r="R654" s="66"/>
      <c r="S654" s="66"/>
      <c r="T654" s="138" t="str">
        <f>IFERROR(LOOKUP($S654,MOTORISTAS!$D$3:$D$1048576,MOTORISTAS!E$3:$E$1048576),"")</f>
        <v/>
      </c>
      <c r="U654" s="138" t="str">
        <f>IFERROR(LOOKUP($S654,MOTORISTAS!$D$3:$D$1048576,MOTORISTAS!F$3:$F$1048576),"")</f>
        <v/>
      </c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44"/>
      <c r="AG654" s="254">
        <f>Prog_236[[#This Row],[SAÍDA DO CLIENTE]]-Prog_236[[#This Row],[PROGRAMAÇÃO CLIENTE]]</f>
        <v>0</v>
      </c>
      <c r="AH654" s="44"/>
      <c r="AI654" s="66"/>
      <c r="AJ654" s="66"/>
      <c r="AK654" s="66"/>
      <c r="AL654" s="66"/>
      <c r="AM654" s="66"/>
      <c r="AN654" s="83"/>
      <c r="AO654" s="66"/>
      <c r="AP654" s="66"/>
      <c r="AQ654" s="66"/>
      <c r="AR654" s="81"/>
      <c r="AS654" s="81"/>
      <c r="AT654" s="81"/>
      <c r="AU654" s="81"/>
      <c r="AV654" s="83">
        <f>SUM(Prog_236[[#This Row],[ADIANTAMENTO]]+Prog_236[[#This Row],[SALDO]]+Prog_236[[#This Row],[MARGEM]]+Prog_236[[#This Row],[ESTADIA 1]])</f>
        <v>0</v>
      </c>
      <c r="AW6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4" s="81"/>
      <c r="AY654" s="81"/>
      <c r="AZ654" s="81">
        <f>Prog_236[[#This Row],[VLR NF]]*0.1%</f>
        <v>0</v>
      </c>
      <c r="BA654" s="81">
        <f>Prog_236[[#This Row],[VLR NF]]*0.05%</f>
        <v>0</v>
      </c>
      <c r="BB654" s="81"/>
      <c r="BC654" s="81"/>
      <c r="BD654" s="81"/>
      <c r="BE654" s="81"/>
      <c r="BF654" s="81"/>
      <c r="BG654" s="81"/>
      <c r="BH654" s="81"/>
      <c r="BI654" s="81"/>
      <c r="BJ654" s="81"/>
      <c r="BK654" s="81"/>
      <c r="BL654" s="66"/>
      <c r="BM654" s="66"/>
      <c r="BN654" s="66"/>
      <c r="BO654" s="66" t="str">
        <f>PROPER(TEXT(Prog_236[[#This Row],[PROGRAMAÇÃO CLIENTE]],"mmm"))</f>
        <v>Jan</v>
      </c>
      <c r="BP654" s="66">
        <f>YEAR(Prog_236[[#This Row],[PROGRAMAÇÃO CLIENTE]])</f>
        <v>1900</v>
      </c>
    </row>
    <row r="655" spans="1:68" x14ac:dyDescent="0.25">
      <c r="A655" s="200">
        <f>Prog_236[[#This Row],[CONTEINER]]</f>
        <v>0</v>
      </c>
      <c r="B655" s="86"/>
      <c r="C6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5" s="44"/>
      <c r="E655" s="66"/>
      <c r="F655" s="66"/>
      <c r="G655" s="66"/>
      <c r="H655" s="44"/>
      <c r="I655" s="44"/>
      <c r="J655" s="66"/>
      <c r="K655" s="66"/>
      <c r="L655" s="66"/>
      <c r="M655" s="66"/>
      <c r="N655" s="66">
        <f>SUM(Prog_236[[#This Row],[TARA]]+Prog_236[[#This Row],[PESO]])</f>
        <v>0</v>
      </c>
      <c r="O655" s="44"/>
      <c r="P655" s="66"/>
      <c r="Q655" s="66"/>
      <c r="R655" s="66"/>
      <c r="S655" s="66"/>
      <c r="T655" s="138" t="str">
        <f>IFERROR(LOOKUP($S655,MOTORISTAS!$D$3:$D$1048576,MOTORISTAS!E$3:$E$1048576),"")</f>
        <v/>
      </c>
      <c r="U655" s="138" t="str">
        <f>IFERROR(LOOKUP($S655,MOTORISTAS!$D$3:$D$1048576,MOTORISTAS!F$3:$F$1048576),"")</f>
        <v/>
      </c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44"/>
      <c r="AG655" s="254">
        <f>Prog_236[[#This Row],[SAÍDA DO CLIENTE]]-Prog_236[[#This Row],[PROGRAMAÇÃO CLIENTE]]</f>
        <v>0</v>
      </c>
      <c r="AH655" s="44"/>
      <c r="AI655" s="66"/>
      <c r="AJ655" s="66"/>
      <c r="AK655" s="66"/>
      <c r="AL655" s="66"/>
      <c r="AM655" s="66"/>
      <c r="AN655" s="83"/>
      <c r="AO655" s="66"/>
      <c r="AP655" s="66"/>
      <c r="AQ655" s="66"/>
      <c r="AR655" s="81"/>
      <c r="AS655" s="81"/>
      <c r="AT655" s="81"/>
      <c r="AU655" s="81"/>
      <c r="AV655" s="83">
        <f>SUM(Prog_236[[#This Row],[ADIANTAMENTO]]+Prog_236[[#This Row],[SALDO]]+Prog_236[[#This Row],[MARGEM]]+Prog_236[[#This Row],[ESTADIA 1]])</f>
        <v>0</v>
      </c>
      <c r="AW6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5" s="81"/>
      <c r="AY655" s="81"/>
      <c r="AZ655" s="81">
        <f>Prog_236[[#This Row],[VLR NF]]*0.1%</f>
        <v>0</v>
      </c>
      <c r="BA655" s="81">
        <f>Prog_236[[#This Row],[VLR NF]]*0.05%</f>
        <v>0</v>
      </c>
      <c r="BB655" s="81"/>
      <c r="BC655" s="81"/>
      <c r="BD655" s="81"/>
      <c r="BE655" s="81"/>
      <c r="BF655" s="81"/>
      <c r="BG655" s="81"/>
      <c r="BH655" s="81"/>
      <c r="BI655" s="81"/>
      <c r="BJ655" s="81"/>
      <c r="BK655" s="81"/>
      <c r="BL655" s="66"/>
      <c r="BM655" s="66"/>
      <c r="BN655" s="66"/>
      <c r="BO655" s="66" t="str">
        <f>PROPER(TEXT(Prog_236[[#This Row],[PROGRAMAÇÃO CLIENTE]],"mmm"))</f>
        <v>Jan</v>
      </c>
      <c r="BP655" s="66">
        <f>YEAR(Prog_236[[#This Row],[PROGRAMAÇÃO CLIENTE]])</f>
        <v>1900</v>
      </c>
    </row>
    <row r="656" spans="1:68" x14ac:dyDescent="0.25">
      <c r="A656" s="201">
        <f>Prog_236[[#This Row],[CONTEINER]]</f>
        <v>0</v>
      </c>
      <c r="B656" s="86"/>
      <c r="C6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6" s="44"/>
      <c r="E656" s="66"/>
      <c r="F656" s="66"/>
      <c r="G656" s="66"/>
      <c r="H656" s="44"/>
      <c r="I656" s="44"/>
      <c r="J656" s="66"/>
      <c r="K656" s="66"/>
      <c r="L656" s="66"/>
      <c r="M656" s="66"/>
      <c r="N656" s="66">
        <f>SUM(Prog_236[[#This Row],[TARA]]+Prog_236[[#This Row],[PESO]])</f>
        <v>0</v>
      </c>
      <c r="O656" s="44"/>
      <c r="P656" s="66"/>
      <c r="Q656" s="66"/>
      <c r="R656" s="66"/>
      <c r="S656" s="66"/>
      <c r="T656" s="138" t="str">
        <f>IFERROR(LOOKUP($S656,MOTORISTAS!$D$3:$D$1048576,MOTORISTAS!E$3:$E$1048576),"")</f>
        <v/>
      </c>
      <c r="U656" s="138" t="str">
        <f>IFERROR(LOOKUP($S656,MOTORISTAS!$D$3:$D$1048576,MOTORISTAS!F$3:$F$1048576),"")</f>
        <v/>
      </c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44"/>
      <c r="AG656" s="254">
        <f>Prog_236[[#This Row],[SAÍDA DO CLIENTE]]-Prog_236[[#This Row],[PROGRAMAÇÃO CLIENTE]]</f>
        <v>0</v>
      </c>
      <c r="AH656" s="44"/>
      <c r="AI656" s="66"/>
      <c r="AJ656" s="66"/>
      <c r="AK656" s="66"/>
      <c r="AL656" s="66"/>
      <c r="AM656" s="66"/>
      <c r="AN656" s="83"/>
      <c r="AO656" s="66"/>
      <c r="AP656" s="66"/>
      <c r="AQ656" s="66"/>
      <c r="AR656" s="81"/>
      <c r="AS656" s="81"/>
      <c r="AT656" s="81"/>
      <c r="AU656" s="81"/>
      <c r="AV656" s="83">
        <f>SUM(Prog_236[[#This Row],[ADIANTAMENTO]]+Prog_236[[#This Row],[SALDO]]+Prog_236[[#This Row],[MARGEM]]+Prog_236[[#This Row],[ESTADIA 1]])</f>
        <v>0</v>
      </c>
      <c r="AW6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6" s="81"/>
      <c r="AY656" s="81"/>
      <c r="AZ656" s="81">
        <f>Prog_236[[#This Row],[VLR NF]]*0.1%</f>
        <v>0</v>
      </c>
      <c r="BA656" s="81">
        <f>Prog_236[[#This Row],[VLR NF]]*0.05%</f>
        <v>0</v>
      </c>
      <c r="BB656" s="81"/>
      <c r="BC656" s="81"/>
      <c r="BD656" s="81"/>
      <c r="BE656" s="81"/>
      <c r="BF656" s="81"/>
      <c r="BG656" s="81"/>
      <c r="BH656" s="81"/>
      <c r="BI656" s="81"/>
      <c r="BJ656" s="81"/>
      <c r="BK656" s="81"/>
      <c r="BL656" s="66"/>
      <c r="BM656" s="66"/>
      <c r="BN656" s="66"/>
      <c r="BO656" s="66" t="str">
        <f>PROPER(TEXT(Prog_236[[#This Row],[PROGRAMAÇÃO CLIENTE]],"mmm"))</f>
        <v>Jan</v>
      </c>
      <c r="BP656" s="66">
        <f>YEAR(Prog_236[[#This Row],[PROGRAMAÇÃO CLIENTE]])</f>
        <v>1900</v>
      </c>
    </row>
    <row r="657" spans="1:68" x14ac:dyDescent="0.25">
      <c r="A657" s="200">
        <f>Prog_236[[#This Row],[CONTEINER]]</f>
        <v>0</v>
      </c>
      <c r="B657" s="86"/>
      <c r="C6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7" s="44"/>
      <c r="E657" s="66"/>
      <c r="F657" s="66"/>
      <c r="G657" s="66"/>
      <c r="H657" s="44"/>
      <c r="I657" s="44"/>
      <c r="J657" s="66"/>
      <c r="K657" s="66"/>
      <c r="L657" s="66"/>
      <c r="M657" s="66"/>
      <c r="N657" s="66">
        <f>SUM(Prog_236[[#This Row],[TARA]]+Prog_236[[#This Row],[PESO]])</f>
        <v>0</v>
      </c>
      <c r="O657" s="44"/>
      <c r="P657" s="66"/>
      <c r="Q657" s="66"/>
      <c r="R657" s="66"/>
      <c r="S657" s="66"/>
      <c r="T657" s="138" t="str">
        <f>IFERROR(LOOKUP($S657,MOTORISTAS!$D$3:$D$1048576,MOTORISTAS!E$3:$E$1048576),"")</f>
        <v/>
      </c>
      <c r="U657" s="138" t="str">
        <f>IFERROR(LOOKUP($S657,MOTORISTAS!$D$3:$D$1048576,MOTORISTAS!F$3:$F$1048576),"")</f>
        <v/>
      </c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44"/>
      <c r="AG657" s="254">
        <f>Prog_236[[#This Row],[SAÍDA DO CLIENTE]]-Prog_236[[#This Row],[PROGRAMAÇÃO CLIENTE]]</f>
        <v>0</v>
      </c>
      <c r="AH657" s="44"/>
      <c r="AI657" s="66"/>
      <c r="AJ657" s="66"/>
      <c r="AK657" s="66"/>
      <c r="AL657" s="66"/>
      <c r="AM657" s="66"/>
      <c r="AN657" s="83"/>
      <c r="AO657" s="66"/>
      <c r="AP657" s="66"/>
      <c r="AQ657" s="66"/>
      <c r="AR657" s="81"/>
      <c r="AS657" s="81"/>
      <c r="AT657" s="81"/>
      <c r="AU657" s="81"/>
      <c r="AV657" s="83">
        <f>SUM(Prog_236[[#This Row],[ADIANTAMENTO]]+Prog_236[[#This Row],[SALDO]]+Prog_236[[#This Row],[MARGEM]]+Prog_236[[#This Row],[ESTADIA 1]])</f>
        <v>0</v>
      </c>
      <c r="AW6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7" s="81"/>
      <c r="AY657" s="81"/>
      <c r="AZ657" s="81">
        <f>Prog_236[[#This Row],[VLR NF]]*0.1%</f>
        <v>0</v>
      </c>
      <c r="BA657" s="81">
        <f>Prog_236[[#This Row],[VLR NF]]*0.05%</f>
        <v>0</v>
      </c>
      <c r="BB657" s="81"/>
      <c r="BC657" s="81"/>
      <c r="BD657" s="81"/>
      <c r="BE657" s="81"/>
      <c r="BF657" s="81"/>
      <c r="BG657" s="81"/>
      <c r="BH657" s="81"/>
      <c r="BI657" s="81"/>
      <c r="BJ657" s="81"/>
      <c r="BK657" s="81"/>
      <c r="BL657" s="66"/>
      <c r="BM657" s="66"/>
      <c r="BN657" s="66"/>
      <c r="BO657" s="66" t="str">
        <f>PROPER(TEXT(Prog_236[[#This Row],[PROGRAMAÇÃO CLIENTE]],"mmm"))</f>
        <v>Jan</v>
      </c>
      <c r="BP657" s="66">
        <f>YEAR(Prog_236[[#This Row],[PROGRAMAÇÃO CLIENTE]])</f>
        <v>1900</v>
      </c>
    </row>
    <row r="658" spans="1:68" x14ac:dyDescent="0.25">
      <c r="A658" s="201">
        <f>Prog_236[[#This Row],[CONTEINER]]</f>
        <v>0</v>
      </c>
      <c r="B658" s="86"/>
      <c r="C6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8" s="44"/>
      <c r="E658" s="66"/>
      <c r="F658" s="66"/>
      <c r="G658" s="66"/>
      <c r="H658" s="44"/>
      <c r="I658" s="44"/>
      <c r="J658" s="66"/>
      <c r="K658" s="66"/>
      <c r="L658" s="66"/>
      <c r="M658" s="66"/>
      <c r="N658" s="66">
        <f>SUM(Prog_236[[#This Row],[TARA]]+Prog_236[[#This Row],[PESO]])</f>
        <v>0</v>
      </c>
      <c r="O658" s="44"/>
      <c r="P658" s="66"/>
      <c r="Q658" s="66"/>
      <c r="R658" s="66"/>
      <c r="S658" s="66"/>
      <c r="T658" s="138" t="str">
        <f>IFERROR(LOOKUP($S658,MOTORISTAS!$D$3:$D$1048576,MOTORISTAS!E$3:$E$1048576),"")</f>
        <v/>
      </c>
      <c r="U658" s="138" t="str">
        <f>IFERROR(LOOKUP($S658,MOTORISTAS!$D$3:$D$1048576,MOTORISTAS!F$3:$F$1048576),"")</f>
        <v/>
      </c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44"/>
      <c r="AG658" s="254">
        <f>Prog_236[[#This Row],[SAÍDA DO CLIENTE]]-Prog_236[[#This Row],[PROGRAMAÇÃO CLIENTE]]</f>
        <v>0</v>
      </c>
      <c r="AH658" s="44"/>
      <c r="AI658" s="66"/>
      <c r="AJ658" s="66"/>
      <c r="AK658" s="66"/>
      <c r="AL658" s="66"/>
      <c r="AM658" s="66"/>
      <c r="AN658" s="83"/>
      <c r="AO658" s="66"/>
      <c r="AP658" s="66"/>
      <c r="AQ658" s="66"/>
      <c r="AR658" s="81"/>
      <c r="AS658" s="81"/>
      <c r="AT658" s="81"/>
      <c r="AU658" s="81"/>
      <c r="AV658" s="83">
        <f>SUM(Prog_236[[#This Row],[ADIANTAMENTO]]+Prog_236[[#This Row],[SALDO]]+Prog_236[[#This Row],[MARGEM]]+Prog_236[[#This Row],[ESTADIA 1]])</f>
        <v>0</v>
      </c>
      <c r="AW6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8" s="81"/>
      <c r="AY658" s="81"/>
      <c r="AZ658" s="81">
        <f>Prog_236[[#This Row],[VLR NF]]*0.1%</f>
        <v>0</v>
      </c>
      <c r="BA658" s="81">
        <f>Prog_236[[#This Row],[VLR NF]]*0.05%</f>
        <v>0</v>
      </c>
      <c r="BB658" s="81"/>
      <c r="BC658" s="81"/>
      <c r="BD658" s="81"/>
      <c r="BE658" s="81"/>
      <c r="BF658" s="81"/>
      <c r="BG658" s="81"/>
      <c r="BH658" s="81"/>
      <c r="BI658" s="81"/>
      <c r="BJ658" s="81"/>
      <c r="BK658" s="81"/>
      <c r="BL658" s="66"/>
      <c r="BM658" s="66"/>
      <c r="BN658" s="66"/>
      <c r="BO658" s="66" t="str">
        <f>PROPER(TEXT(Prog_236[[#This Row],[PROGRAMAÇÃO CLIENTE]],"mmm"))</f>
        <v>Jan</v>
      </c>
      <c r="BP658" s="66">
        <f>YEAR(Prog_236[[#This Row],[PROGRAMAÇÃO CLIENTE]])</f>
        <v>1900</v>
      </c>
    </row>
    <row r="659" spans="1:68" x14ac:dyDescent="0.25">
      <c r="A659" s="200">
        <f>Prog_236[[#This Row],[CONTEINER]]</f>
        <v>0</v>
      </c>
      <c r="B659" s="86"/>
      <c r="C6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59" s="44"/>
      <c r="E659" s="66"/>
      <c r="F659" s="66"/>
      <c r="G659" s="66"/>
      <c r="H659" s="44"/>
      <c r="I659" s="44"/>
      <c r="J659" s="66"/>
      <c r="K659" s="66"/>
      <c r="L659" s="66"/>
      <c r="M659" s="66"/>
      <c r="N659" s="66">
        <f>SUM(Prog_236[[#This Row],[TARA]]+Prog_236[[#This Row],[PESO]])</f>
        <v>0</v>
      </c>
      <c r="O659" s="44"/>
      <c r="P659" s="66"/>
      <c r="Q659" s="66"/>
      <c r="R659" s="66"/>
      <c r="S659" s="66"/>
      <c r="T659" s="138" t="str">
        <f>IFERROR(LOOKUP($S659,MOTORISTAS!$D$3:$D$1048576,MOTORISTAS!E$3:$E$1048576),"")</f>
        <v/>
      </c>
      <c r="U659" s="138" t="str">
        <f>IFERROR(LOOKUP($S659,MOTORISTAS!$D$3:$D$1048576,MOTORISTAS!F$3:$F$1048576),"")</f>
        <v/>
      </c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44"/>
      <c r="AG659" s="254">
        <f>Prog_236[[#This Row],[SAÍDA DO CLIENTE]]-Prog_236[[#This Row],[PROGRAMAÇÃO CLIENTE]]</f>
        <v>0</v>
      </c>
      <c r="AH659" s="44"/>
      <c r="AI659" s="66"/>
      <c r="AJ659" s="66"/>
      <c r="AK659" s="66"/>
      <c r="AL659" s="66"/>
      <c r="AM659" s="66"/>
      <c r="AN659" s="83"/>
      <c r="AO659" s="66"/>
      <c r="AP659" s="66"/>
      <c r="AQ659" s="66"/>
      <c r="AR659" s="81"/>
      <c r="AS659" s="81"/>
      <c r="AT659" s="81"/>
      <c r="AU659" s="81"/>
      <c r="AV659" s="83">
        <f>SUM(Prog_236[[#This Row],[ADIANTAMENTO]]+Prog_236[[#This Row],[SALDO]]+Prog_236[[#This Row],[MARGEM]]+Prog_236[[#This Row],[ESTADIA 1]])</f>
        <v>0</v>
      </c>
      <c r="AW6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59" s="81"/>
      <c r="AY659" s="81"/>
      <c r="AZ659" s="81">
        <f>Prog_236[[#This Row],[VLR NF]]*0.1%</f>
        <v>0</v>
      </c>
      <c r="BA659" s="81">
        <f>Prog_236[[#This Row],[VLR NF]]*0.05%</f>
        <v>0</v>
      </c>
      <c r="BB659" s="81"/>
      <c r="BC659" s="81"/>
      <c r="BD659" s="81"/>
      <c r="BE659" s="81"/>
      <c r="BF659" s="81"/>
      <c r="BG659" s="81"/>
      <c r="BH659" s="81"/>
      <c r="BI659" s="81"/>
      <c r="BJ659" s="81"/>
      <c r="BK659" s="81"/>
      <c r="BL659" s="66"/>
      <c r="BM659" s="66"/>
      <c r="BN659" s="66"/>
      <c r="BO659" s="66" t="str">
        <f>PROPER(TEXT(Prog_236[[#This Row],[PROGRAMAÇÃO CLIENTE]],"mmm"))</f>
        <v>Jan</v>
      </c>
      <c r="BP659" s="66">
        <f>YEAR(Prog_236[[#This Row],[PROGRAMAÇÃO CLIENTE]])</f>
        <v>1900</v>
      </c>
    </row>
    <row r="660" spans="1:68" x14ac:dyDescent="0.25">
      <c r="A660" s="201">
        <f>Prog_236[[#This Row],[CONTEINER]]</f>
        <v>0</v>
      </c>
      <c r="B660" s="86"/>
      <c r="C6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0" s="44"/>
      <c r="E660" s="66"/>
      <c r="F660" s="66"/>
      <c r="G660" s="66"/>
      <c r="H660" s="44"/>
      <c r="I660" s="44"/>
      <c r="J660" s="66"/>
      <c r="K660" s="66"/>
      <c r="L660" s="66"/>
      <c r="M660" s="66"/>
      <c r="N660" s="66">
        <f>SUM(Prog_236[[#This Row],[TARA]]+Prog_236[[#This Row],[PESO]])</f>
        <v>0</v>
      </c>
      <c r="O660" s="44"/>
      <c r="P660" s="66"/>
      <c r="Q660" s="66"/>
      <c r="R660" s="66"/>
      <c r="S660" s="66"/>
      <c r="T660" s="138" t="str">
        <f>IFERROR(LOOKUP($S660,MOTORISTAS!$D$3:$D$1048576,MOTORISTAS!E$3:$E$1048576),"")</f>
        <v/>
      </c>
      <c r="U660" s="138" t="str">
        <f>IFERROR(LOOKUP($S660,MOTORISTAS!$D$3:$D$1048576,MOTORISTAS!F$3:$F$1048576),"")</f>
        <v/>
      </c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44"/>
      <c r="AG660" s="254">
        <f>Prog_236[[#This Row],[SAÍDA DO CLIENTE]]-Prog_236[[#This Row],[PROGRAMAÇÃO CLIENTE]]</f>
        <v>0</v>
      </c>
      <c r="AH660" s="44"/>
      <c r="AI660" s="66"/>
      <c r="AJ660" s="66"/>
      <c r="AK660" s="66"/>
      <c r="AL660" s="66"/>
      <c r="AM660" s="66"/>
      <c r="AN660" s="83"/>
      <c r="AO660" s="66"/>
      <c r="AP660" s="66"/>
      <c r="AQ660" s="66"/>
      <c r="AR660" s="81"/>
      <c r="AS660" s="81"/>
      <c r="AT660" s="81"/>
      <c r="AU660" s="81"/>
      <c r="AV660" s="83">
        <f>SUM(Prog_236[[#This Row],[ADIANTAMENTO]]+Prog_236[[#This Row],[SALDO]]+Prog_236[[#This Row],[MARGEM]]+Prog_236[[#This Row],[ESTADIA 1]])</f>
        <v>0</v>
      </c>
      <c r="AW6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0" s="81"/>
      <c r="AY660" s="81"/>
      <c r="AZ660" s="81">
        <f>Prog_236[[#This Row],[VLR NF]]*0.1%</f>
        <v>0</v>
      </c>
      <c r="BA660" s="81">
        <f>Prog_236[[#This Row],[VLR NF]]*0.05%</f>
        <v>0</v>
      </c>
      <c r="BB660" s="81"/>
      <c r="BC660" s="81"/>
      <c r="BD660" s="81"/>
      <c r="BE660" s="81"/>
      <c r="BF660" s="81"/>
      <c r="BG660" s="81"/>
      <c r="BH660" s="81"/>
      <c r="BI660" s="81"/>
      <c r="BJ660" s="81"/>
      <c r="BK660" s="81"/>
      <c r="BL660" s="66"/>
      <c r="BM660" s="66"/>
      <c r="BN660" s="66"/>
      <c r="BO660" s="66" t="str">
        <f>PROPER(TEXT(Prog_236[[#This Row],[PROGRAMAÇÃO CLIENTE]],"mmm"))</f>
        <v>Jan</v>
      </c>
      <c r="BP660" s="66">
        <f>YEAR(Prog_236[[#This Row],[PROGRAMAÇÃO CLIENTE]])</f>
        <v>1900</v>
      </c>
    </row>
    <row r="661" spans="1:68" x14ac:dyDescent="0.25">
      <c r="A661" s="200">
        <f>Prog_236[[#This Row],[CONTEINER]]</f>
        <v>0</v>
      </c>
      <c r="B661" s="86"/>
      <c r="C6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1" s="44"/>
      <c r="E661" s="66"/>
      <c r="F661" s="66"/>
      <c r="G661" s="66"/>
      <c r="H661" s="44"/>
      <c r="I661" s="44"/>
      <c r="J661" s="66"/>
      <c r="K661" s="66"/>
      <c r="L661" s="66"/>
      <c r="M661" s="66"/>
      <c r="N661" s="66">
        <f>SUM(Prog_236[[#This Row],[TARA]]+Prog_236[[#This Row],[PESO]])</f>
        <v>0</v>
      </c>
      <c r="O661" s="44"/>
      <c r="P661" s="66"/>
      <c r="Q661" s="66"/>
      <c r="R661" s="66"/>
      <c r="S661" s="66"/>
      <c r="T661" s="138" t="str">
        <f>IFERROR(LOOKUP($S661,MOTORISTAS!$D$3:$D$1048576,MOTORISTAS!E$3:$E$1048576),"")</f>
        <v/>
      </c>
      <c r="U661" s="138" t="str">
        <f>IFERROR(LOOKUP($S661,MOTORISTAS!$D$3:$D$1048576,MOTORISTAS!F$3:$F$1048576),"")</f>
        <v/>
      </c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44"/>
      <c r="AG661" s="254">
        <f>Prog_236[[#This Row],[SAÍDA DO CLIENTE]]-Prog_236[[#This Row],[PROGRAMAÇÃO CLIENTE]]</f>
        <v>0</v>
      </c>
      <c r="AH661" s="44"/>
      <c r="AI661" s="66"/>
      <c r="AJ661" s="66"/>
      <c r="AK661" s="66"/>
      <c r="AL661" s="66"/>
      <c r="AM661" s="66"/>
      <c r="AN661" s="83"/>
      <c r="AO661" s="66"/>
      <c r="AP661" s="66"/>
      <c r="AQ661" s="66"/>
      <c r="AR661" s="81"/>
      <c r="AS661" s="81"/>
      <c r="AT661" s="81"/>
      <c r="AU661" s="81"/>
      <c r="AV661" s="83">
        <f>SUM(Prog_236[[#This Row],[ADIANTAMENTO]]+Prog_236[[#This Row],[SALDO]]+Prog_236[[#This Row],[MARGEM]]+Prog_236[[#This Row],[ESTADIA 1]])</f>
        <v>0</v>
      </c>
      <c r="AW6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1" s="81"/>
      <c r="AY661" s="81"/>
      <c r="AZ661" s="81">
        <f>Prog_236[[#This Row],[VLR NF]]*0.1%</f>
        <v>0</v>
      </c>
      <c r="BA661" s="81">
        <f>Prog_236[[#This Row],[VLR NF]]*0.05%</f>
        <v>0</v>
      </c>
      <c r="BB661" s="81"/>
      <c r="BC661" s="81"/>
      <c r="BD661" s="81"/>
      <c r="BE661" s="81"/>
      <c r="BF661" s="81"/>
      <c r="BG661" s="81"/>
      <c r="BH661" s="81"/>
      <c r="BI661" s="81"/>
      <c r="BJ661" s="81"/>
      <c r="BK661" s="81"/>
      <c r="BL661" s="66"/>
      <c r="BM661" s="66"/>
      <c r="BN661" s="66"/>
      <c r="BO661" s="66" t="str">
        <f>PROPER(TEXT(Prog_236[[#This Row],[PROGRAMAÇÃO CLIENTE]],"mmm"))</f>
        <v>Jan</v>
      </c>
      <c r="BP661" s="66">
        <f>YEAR(Prog_236[[#This Row],[PROGRAMAÇÃO CLIENTE]])</f>
        <v>1900</v>
      </c>
    </row>
    <row r="662" spans="1:68" x14ac:dyDescent="0.25">
      <c r="A662" s="201">
        <f>Prog_236[[#This Row],[CONTEINER]]</f>
        <v>0</v>
      </c>
      <c r="B662" s="86"/>
      <c r="C6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2" s="44"/>
      <c r="E662" s="66"/>
      <c r="F662" s="66"/>
      <c r="G662" s="66"/>
      <c r="H662" s="44"/>
      <c r="I662" s="44"/>
      <c r="J662" s="66"/>
      <c r="K662" s="66"/>
      <c r="L662" s="66"/>
      <c r="M662" s="66"/>
      <c r="N662" s="66">
        <f>SUM(Prog_236[[#This Row],[TARA]]+Prog_236[[#This Row],[PESO]])</f>
        <v>0</v>
      </c>
      <c r="O662" s="44"/>
      <c r="P662" s="66"/>
      <c r="Q662" s="66"/>
      <c r="R662" s="66"/>
      <c r="S662" s="66"/>
      <c r="T662" s="138" t="str">
        <f>IFERROR(LOOKUP($S662,MOTORISTAS!$D$3:$D$1048576,MOTORISTAS!E$3:$E$1048576),"")</f>
        <v/>
      </c>
      <c r="U662" s="138" t="str">
        <f>IFERROR(LOOKUP($S662,MOTORISTAS!$D$3:$D$1048576,MOTORISTAS!F$3:$F$1048576),"")</f>
        <v/>
      </c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44"/>
      <c r="AG662" s="254">
        <f>Prog_236[[#This Row],[SAÍDA DO CLIENTE]]-Prog_236[[#This Row],[PROGRAMAÇÃO CLIENTE]]</f>
        <v>0</v>
      </c>
      <c r="AH662" s="44"/>
      <c r="AI662" s="66"/>
      <c r="AJ662" s="66"/>
      <c r="AK662" s="66"/>
      <c r="AL662" s="66"/>
      <c r="AM662" s="66"/>
      <c r="AN662" s="83"/>
      <c r="AO662" s="66"/>
      <c r="AP662" s="66"/>
      <c r="AQ662" s="66"/>
      <c r="AR662" s="81"/>
      <c r="AS662" s="81"/>
      <c r="AT662" s="81"/>
      <c r="AU662" s="81"/>
      <c r="AV662" s="83">
        <f>SUM(Prog_236[[#This Row],[ADIANTAMENTO]]+Prog_236[[#This Row],[SALDO]]+Prog_236[[#This Row],[MARGEM]]+Prog_236[[#This Row],[ESTADIA 1]])</f>
        <v>0</v>
      </c>
      <c r="AW6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2" s="81"/>
      <c r="AY662" s="81"/>
      <c r="AZ662" s="81">
        <f>Prog_236[[#This Row],[VLR NF]]*0.1%</f>
        <v>0</v>
      </c>
      <c r="BA662" s="81">
        <f>Prog_236[[#This Row],[VLR NF]]*0.05%</f>
        <v>0</v>
      </c>
      <c r="BB662" s="81"/>
      <c r="BC662" s="81"/>
      <c r="BD662" s="81"/>
      <c r="BE662" s="81"/>
      <c r="BF662" s="81"/>
      <c r="BG662" s="81"/>
      <c r="BH662" s="81"/>
      <c r="BI662" s="81"/>
      <c r="BJ662" s="81"/>
      <c r="BK662" s="81"/>
      <c r="BL662" s="66"/>
      <c r="BM662" s="66"/>
      <c r="BN662" s="66"/>
      <c r="BO662" s="66" t="str">
        <f>PROPER(TEXT(Prog_236[[#This Row],[PROGRAMAÇÃO CLIENTE]],"mmm"))</f>
        <v>Jan</v>
      </c>
      <c r="BP662" s="66">
        <f>YEAR(Prog_236[[#This Row],[PROGRAMAÇÃO CLIENTE]])</f>
        <v>1900</v>
      </c>
    </row>
    <row r="663" spans="1:68" x14ac:dyDescent="0.25">
      <c r="A663" s="200">
        <f>Prog_236[[#This Row],[CONTEINER]]</f>
        <v>0</v>
      </c>
      <c r="B663" s="86"/>
      <c r="C6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3" s="44"/>
      <c r="E663" s="66"/>
      <c r="F663" s="66"/>
      <c r="G663" s="66"/>
      <c r="H663" s="44"/>
      <c r="I663" s="44"/>
      <c r="J663" s="66"/>
      <c r="K663" s="66"/>
      <c r="L663" s="66"/>
      <c r="M663" s="66"/>
      <c r="N663" s="66">
        <f>SUM(Prog_236[[#This Row],[TARA]]+Prog_236[[#This Row],[PESO]])</f>
        <v>0</v>
      </c>
      <c r="O663" s="44"/>
      <c r="P663" s="66"/>
      <c r="Q663" s="66"/>
      <c r="R663" s="66"/>
      <c r="S663" s="66"/>
      <c r="T663" s="138" t="str">
        <f>IFERROR(LOOKUP($S663,MOTORISTAS!$D$3:$D$1048576,MOTORISTAS!E$3:$E$1048576),"")</f>
        <v/>
      </c>
      <c r="U663" s="138" t="str">
        <f>IFERROR(LOOKUP($S663,MOTORISTAS!$D$3:$D$1048576,MOTORISTAS!F$3:$F$1048576),"")</f>
        <v/>
      </c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44"/>
      <c r="AG663" s="254">
        <f>Prog_236[[#This Row],[SAÍDA DO CLIENTE]]-Prog_236[[#This Row],[PROGRAMAÇÃO CLIENTE]]</f>
        <v>0</v>
      </c>
      <c r="AH663" s="44"/>
      <c r="AI663" s="66"/>
      <c r="AJ663" s="66"/>
      <c r="AK663" s="66"/>
      <c r="AL663" s="66"/>
      <c r="AM663" s="66"/>
      <c r="AN663" s="83"/>
      <c r="AO663" s="66"/>
      <c r="AP663" s="66"/>
      <c r="AQ663" s="66"/>
      <c r="AR663" s="81"/>
      <c r="AS663" s="81"/>
      <c r="AT663" s="81"/>
      <c r="AU663" s="81"/>
      <c r="AV663" s="83">
        <f>SUM(Prog_236[[#This Row],[ADIANTAMENTO]]+Prog_236[[#This Row],[SALDO]]+Prog_236[[#This Row],[MARGEM]]+Prog_236[[#This Row],[ESTADIA 1]])</f>
        <v>0</v>
      </c>
      <c r="AW6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3" s="81"/>
      <c r="AY663" s="81"/>
      <c r="AZ663" s="81">
        <f>Prog_236[[#This Row],[VLR NF]]*0.1%</f>
        <v>0</v>
      </c>
      <c r="BA663" s="81">
        <f>Prog_236[[#This Row],[VLR NF]]*0.05%</f>
        <v>0</v>
      </c>
      <c r="BB663" s="81"/>
      <c r="BC663" s="81"/>
      <c r="BD663" s="81"/>
      <c r="BE663" s="81"/>
      <c r="BF663" s="81"/>
      <c r="BG663" s="81"/>
      <c r="BH663" s="81"/>
      <c r="BI663" s="81"/>
      <c r="BJ663" s="81"/>
      <c r="BK663" s="81"/>
      <c r="BL663" s="66"/>
      <c r="BM663" s="66"/>
      <c r="BN663" s="66"/>
      <c r="BO663" s="66" t="str">
        <f>PROPER(TEXT(Prog_236[[#This Row],[PROGRAMAÇÃO CLIENTE]],"mmm"))</f>
        <v>Jan</v>
      </c>
      <c r="BP663" s="66">
        <f>YEAR(Prog_236[[#This Row],[PROGRAMAÇÃO CLIENTE]])</f>
        <v>1900</v>
      </c>
    </row>
    <row r="664" spans="1:68" x14ac:dyDescent="0.25">
      <c r="A664" s="201">
        <f>Prog_236[[#This Row],[CONTEINER]]</f>
        <v>0</v>
      </c>
      <c r="B664" s="86"/>
      <c r="C6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4" s="44"/>
      <c r="E664" s="66"/>
      <c r="F664" s="66"/>
      <c r="G664" s="66"/>
      <c r="H664" s="44"/>
      <c r="I664" s="44"/>
      <c r="J664" s="66"/>
      <c r="K664" s="66"/>
      <c r="L664" s="66"/>
      <c r="M664" s="66"/>
      <c r="N664" s="66">
        <f>SUM(Prog_236[[#This Row],[TARA]]+Prog_236[[#This Row],[PESO]])</f>
        <v>0</v>
      </c>
      <c r="O664" s="44"/>
      <c r="P664" s="66"/>
      <c r="Q664" s="66"/>
      <c r="R664" s="66"/>
      <c r="S664" s="66"/>
      <c r="T664" s="138" t="str">
        <f>IFERROR(LOOKUP($S664,MOTORISTAS!$D$3:$D$1048576,MOTORISTAS!E$3:$E$1048576),"")</f>
        <v/>
      </c>
      <c r="U664" s="138" t="str">
        <f>IFERROR(LOOKUP($S664,MOTORISTAS!$D$3:$D$1048576,MOTORISTAS!F$3:$F$1048576),"")</f>
        <v/>
      </c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44"/>
      <c r="AG664" s="254">
        <f>Prog_236[[#This Row],[SAÍDA DO CLIENTE]]-Prog_236[[#This Row],[PROGRAMAÇÃO CLIENTE]]</f>
        <v>0</v>
      </c>
      <c r="AH664" s="44"/>
      <c r="AI664" s="66"/>
      <c r="AJ664" s="66"/>
      <c r="AK664" s="66"/>
      <c r="AL664" s="66"/>
      <c r="AM664" s="66"/>
      <c r="AN664" s="83"/>
      <c r="AO664" s="66"/>
      <c r="AP664" s="66"/>
      <c r="AQ664" s="66"/>
      <c r="AR664" s="81"/>
      <c r="AS664" s="81"/>
      <c r="AT664" s="81"/>
      <c r="AU664" s="81"/>
      <c r="AV664" s="83">
        <f>SUM(Prog_236[[#This Row],[ADIANTAMENTO]]+Prog_236[[#This Row],[SALDO]]+Prog_236[[#This Row],[MARGEM]]+Prog_236[[#This Row],[ESTADIA 1]])</f>
        <v>0</v>
      </c>
      <c r="AW6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4" s="81"/>
      <c r="AY664" s="81"/>
      <c r="AZ664" s="81">
        <f>Prog_236[[#This Row],[VLR NF]]*0.1%</f>
        <v>0</v>
      </c>
      <c r="BA664" s="81">
        <f>Prog_236[[#This Row],[VLR NF]]*0.05%</f>
        <v>0</v>
      </c>
      <c r="BB664" s="81"/>
      <c r="BC664" s="81"/>
      <c r="BD664" s="81"/>
      <c r="BE664" s="81"/>
      <c r="BF664" s="81"/>
      <c r="BG664" s="81"/>
      <c r="BH664" s="81"/>
      <c r="BI664" s="81"/>
      <c r="BJ664" s="81"/>
      <c r="BK664" s="81"/>
      <c r="BL664" s="66"/>
      <c r="BM664" s="66"/>
      <c r="BN664" s="66"/>
      <c r="BO664" s="66" t="str">
        <f>PROPER(TEXT(Prog_236[[#This Row],[PROGRAMAÇÃO CLIENTE]],"mmm"))</f>
        <v>Jan</v>
      </c>
      <c r="BP664" s="66">
        <f>YEAR(Prog_236[[#This Row],[PROGRAMAÇÃO CLIENTE]])</f>
        <v>1900</v>
      </c>
    </row>
    <row r="665" spans="1:68" x14ac:dyDescent="0.25">
      <c r="A665" s="200">
        <f>Prog_236[[#This Row],[CONTEINER]]</f>
        <v>0</v>
      </c>
      <c r="B665" s="86"/>
      <c r="C6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5" s="44"/>
      <c r="E665" s="66"/>
      <c r="F665" s="66"/>
      <c r="G665" s="66"/>
      <c r="H665" s="44"/>
      <c r="I665" s="44"/>
      <c r="J665" s="66"/>
      <c r="K665" s="66"/>
      <c r="L665" s="66"/>
      <c r="M665" s="66"/>
      <c r="N665" s="66">
        <f>SUM(Prog_236[[#This Row],[TARA]]+Prog_236[[#This Row],[PESO]])</f>
        <v>0</v>
      </c>
      <c r="O665" s="44"/>
      <c r="P665" s="66"/>
      <c r="Q665" s="66"/>
      <c r="R665" s="66"/>
      <c r="S665" s="66"/>
      <c r="T665" s="138" t="str">
        <f>IFERROR(LOOKUP($S665,MOTORISTAS!$D$3:$D$1048576,MOTORISTAS!E$3:$E$1048576),"")</f>
        <v/>
      </c>
      <c r="U665" s="138" t="str">
        <f>IFERROR(LOOKUP($S665,MOTORISTAS!$D$3:$D$1048576,MOTORISTAS!F$3:$F$1048576),"")</f>
        <v/>
      </c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44"/>
      <c r="AG665" s="254">
        <f>Prog_236[[#This Row],[SAÍDA DO CLIENTE]]-Prog_236[[#This Row],[PROGRAMAÇÃO CLIENTE]]</f>
        <v>0</v>
      </c>
      <c r="AH665" s="44"/>
      <c r="AI665" s="66"/>
      <c r="AJ665" s="66"/>
      <c r="AK665" s="66"/>
      <c r="AL665" s="66"/>
      <c r="AM665" s="66"/>
      <c r="AN665" s="83"/>
      <c r="AO665" s="66"/>
      <c r="AP665" s="66"/>
      <c r="AQ665" s="66"/>
      <c r="AR665" s="81"/>
      <c r="AS665" s="81"/>
      <c r="AT665" s="81"/>
      <c r="AU665" s="81"/>
      <c r="AV665" s="83">
        <f>SUM(Prog_236[[#This Row],[ADIANTAMENTO]]+Prog_236[[#This Row],[SALDO]]+Prog_236[[#This Row],[MARGEM]]+Prog_236[[#This Row],[ESTADIA 1]])</f>
        <v>0</v>
      </c>
      <c r="AW6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5" s="81"/>
      <c r="AY665" s="81"/>
      <c r="AZ665" s="81">
        <f>Prog_236[[#This Row],[VLR NF]]*0.1%</f>
        <v>0</v>
      </c>
      <c r="BA665" s="81">
        <f>Prog_236[[#This Row],[VLR NF]]*0.05%</f>
        <v>0</v>
      </c>
      <c r="BB665" s="81"/>
      <c r="BC665" s="81"/>
      <c r="BD665" s="81"/>
      <c r="BE665" s="81"/>
      <c r="BF665" s="81"/>
      <c r="BG665" s="81"/>
      <c r="BH665" s="81"/>
      <c r="BI665" s="81"/>
      <c r="BJ665" s="81"/>
      <c r="BK665" s="81"/>
      <c r="BL665" s="66"/>
      <c r="BM665" s="66"/>
      <c r="BN665" s="66"/>
      <c r="BO665" s="66" t="str">
        <f>PROPER(TEXT(Prog_236[[#This Row],[PROGRAMAÇÃO CLIENTE]],"mmm"))</f>
        <v>Jan</v>
      </c>
      <c r="BP665" s="66">
        <f>YEAR(Prog_236[[#This Row],[PROGRAMAÇÃO CLIENTE]])</f>
        <v>1900</v>
      </c>
    </row>
    <row r="666" spans="1:68" x14ac:dyDescent="0.25">
      <c r="A666" s="201">
        <f>Prog_236[[#This Row],[CONTEINER]]</f>
        <v>0</v>
      </c>
      <c r="B666" s="86"/>
      <c r="C6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6" s="44"/>
      <c r="E666" s="66"/>
      <c r="F666" s="66"/>
      <c r="G666" s="66"/>
      <c r="H666" s="44"/>
      <c r="I666" s="44"/>
      <c r="J666" s="66"/>
      <c r="K666" s="66"/>
      <c r="L666" s="66"/>
      <c r="M666" s="66"/>
      <c r="N666" s="66">
        <f>SUM(Prog_236[[#This Row],[TARA]]+Prog_236[[#This Row],[PESO]])</f>
        <v>0</v>
      </c>
      <c r="O666" s="44"/>
      <c r="P666" s="66"/>
      <c r="Q666" s="66"/>
      <c r="R666" s="66"/>
      <c r="S666" s="66"/>
      <c r="T666" s="138" t="str">
        <f>IFERROR(LOOKUP($S666,MOTORISTAS!$D$3:$D$1048576,MOTORISTAS!E$3:$E$1048576),"")</f>
        <v/>
      </c>
      <c r="U666" s="138" t="str">
        <f>IFERROR(LOOKUP($S666,MOTORISTAS!$D$3:$D$1048576,MOTORISTAS!F$3:$F$1048576),"")</f>
        <v/>
      </c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44"/>
      <c r="AG666" s="254">
        <f>Prog_236[[#This Row],[SAÍDA DO CLIENTE]]-Prog_236[[#This Row],[PROGRAMAÇÃO CLIENTE]]</f>
        <v>0</v>
      </c>
      <c r="AH666" s="44"/>
      <c r="AI666" s="66"/>
      <c r="AJ666" s="66"/>
      <c r="AK666" s="66"/>
      <c r="AL666" s="66"/>
      <c r="AM666" s="66"/>
      <c r="AN666" s="83"/>
      <c r="AO666" s="66"/>
      <c r="AP666" s="66"/>
      <c r="AQ666" s="66"/>
      <c r="AR666" s="81"/>
      <c r="AS666" s="81"/>
      <c r="AT666" s="81"/>
      <c r="AU666" s="81"/>
      <c r="AV666" s="83">
        <f>SUM(Prog_236[[#This Row],[ADIANTAMENTO]]+Prog_236[[#This Row],[SALDO]]+Prog_236[[#This Row],[MARGEM]]+Prog_236[[#This Row],[ESTADIA 1]])</f>
        <v>0</v>
      </c>
      <c r="AW6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6" s="81"/>
      <c r="AY666" s="81"/>
      <c r="AZ666" s="81">
        <f>Prog_236[[#This Row],[VLR NF]]*0.1%</f>
        <v>0</v>
      </c>
      <c r="BA666" s="81">
        <f>Prog_236[[#This Row],[VLR NF]]*0.05%</f>
        <v>0</v>
      </c>
      <c r="BB666" s="81"/>
      <c r="BC666" s="81"/>
      <c r="BD666" s="81"/>
      <c r="BE666" s="81"/>
      <c r="BF666" s="81"/>
      <c r="BG666" s="81"/>
      <c r="BH666" s="81"/>
      <c r="BI666" s="81"/>
      <c r="BJ666" s="81"/>
      <c r="BK666" s="81"/>
      <c r="BL666" s="66"/>
      <c r="BM666" s="66"/>
      <c r="BN666" s="66"/>
      <c r="BO666" s="66" t="str">
        <f>PROPER(TEXT(Prog_236[[#This Row],[PROGRAMAÇÃO CLIENTE]],"mmm"))</f>
        <v>Jan</v>
      </c>
      <c r="BP666" s="66">
        <f>YEAR(Prog_236[[#This Row],[PROGRAMAÇÃO CLIENTE]])</f>
        <v>1900</v>
      </c>
    </row>
    <row r="667" spans="1:68" x14ac:dyDescent="0.25">
      <c r="A667" s="200">
        <f>Prog_236[[#This Row],[CONTEINER]]</f>
        <v>0</v>
      </c>
      <c r="B667" s="86"/>
      <c r="C6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7" s="44"/>
      <c r="E667" s="66"/>
      <c r="F667" s="66"/>
      <c r="G667" s="66"/>
      <c r="H667" s="44"/>
      <c r="I667" s="44"/>
      <c r="J667" s="66"/>
      <c r="K667" s="66"/>
      <c r="L667" s="66"/>
      <c r="M667" s="66"/>
      <c r="N667" s="66">
        <f>SUM(Prog_236[[#This Row],[TARA]]+Prog_236[[#This Row],[PESO]])</f>
        <v>0</v>
      </c>
      <c r="O667" s="44"/>
      <c r="P667" s="66"/>
      <c r="Q667" s="66"/>
      <c r="R667" s="66"/>
      <c r="S667" s="66"/>
      <c r="T667" s="138" t="str">
        <f>IFERROR(LOOKUP($S667,MOTORISTAS!$D$3:$D$1048576,MOTORISTAS!E$3:$E$1048576),"")</f>
        <v/>
      </c>
      <c r="U667" s="138" t="str">
        <f>IFERROR(LOOKUP($S667,MOTORISTAS!$D$3:$D$1048576,MOTORISTAS!F$3:$F$1048576),"")</f>
        <v/>
      </c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44"/>
      <c r="AG667" s="254">
        <f>Prog_236[[#This Row],[SAÍDA DO CLIENTE]]-Prog_236[[#This Row],[PROGRAMAÇÃO CLIENTE]]</f>
        <v>0</v>
      </c>
      <c r="AH667" s="44"/>
      <c r="AI667" s="66"/>
      <c r="AJ667" s="66"/>
      <c r="AK667" s="66"/>
      <c r="AL667" s="66"/>
      <c r="AM667" s="66"/>
      <c r="AN667" s="83"/>
      <c r="AO667" s="66"/>
      <c r="AP667" s="66"/>
      <c r="AQ667" s="66"/>
      <c r="AR667" s="81"/>
      <c r="AS667" s="81"/>
      <c r="AT667" s="81"/>
      <c r="AU667" s="81"/>
      <c r="AV667" s="83">
        <f>SUM(Prog_236[[#This Row],[ADIANTAMENTO]]+Prog_236[[#This Row],[SALDO]]+Prog_236[[#This Row],[MARGEM]]+Prog_236[[#This Row],[ESTADIA 1]])</f>
        <v>0</v>
      </c>
      <c r="AW6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7" s="81"/>
      <c r="AY667" s="81"/>
      <c r="AZ667" s="81">
        <f>Prog_236[[#This Row],[VLR NF]]*0.1%</f>
        <v>0</v>
      </c>
      <c r="BA667" s="81">
        <f>Prog_236[[#This Row],[VLR NF]]*0.05%</f>
        <v>0</v>
      </c>
      <c r="BB667" s="81"/>
      <c r="BC667" s="81"/>
      <c r="BD667" s="81"/>
      <c r="BE667" s="81"/>
      <c r="BF667" s="81"/>
      <c r="BG667" s="81"/>
      <c r="BH667" s="81"/>
      <c r="BI667" s="81"/>
      <c r="BJ667" s="81"/>
      <c r="BK667" s="81"/>
      <c r="BL667" s="66"/>
      <c r="BM667" s="66"/>
      <c r="BN667" s="66"/>
      <c r="BO667" s="66" t="str">
        <f>PROPER(TEXT(Prog_236[[#This Row],[PROGRAMAÇÃO CLIENTE]],"mmm"))</f>
        <v>Jan</v>
      </c>
      <c r="BP667" s="66">
        <f>YEAR(Prog_236[[#This Row],[PROGRAMAÇÃO CLIENTE]])</f>
        <v>1900</v>
      </c>
    </row>
    <row r="668" spans="1:68" x14ac:dyDescent="0.25">
      <c r="A668" s="201">
        <f>Prog_236[[#This Row],[CONTEINER]]</f>
        <v>0</v>
      </c>
      <c r="B668" s="86"/>
      <c r="C6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8" s="44"/>
      <c r="E668" s="66"/>
      <c r="F668" s="66"/>
      <c r="G668" s="66"/>
      <c r="H668" s="44"/>
      <c r="I668" s="44"/>
      <c r="J668" s="66"/>
      <c r="K668" s="66"/>
      <c r="L668" s="66"/>
      <c r="M668" s="66"/>
      <c r="N668" s="66">
        <f>SUM(Prog_236[[#This Row],[TARA]]+Prog_236[[#This Row],[PESO]])</f>
        <v>0</v>
      </c>
      <c r="O668" s="44"/>
      <c r="P668" s="66"/>
      <c r="Q668" s="66"/>
      <c r="R668" s="66"/>
      <c r="S668" s="66"/>
      <c r="T668" s="138" t="str">
        <f>IFERROR(LOOKUP($S668,MOTORISTAS!$D$3:$D$1048576,MOTORISTAS!E$3:$E$1048576),"")</f>
        <v/>
      </c>
      <c r="U668" s="138" t="str">
        <f>IFERROR(LOOKUP($S668,MOTORISTAS!$D$3:$D$1048576,MOTORISTAS!F$3:$F$1048576),"")</f>
        <v/>
      </c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44"/>
      <c r="AG668" s="254">
        <f>Prog_236[[#This Row],[SAÍDA DO CLIENTE]]-Prog_236[[#This Row],[PROGRAMAÇÃO CLIENTE]]</f>
        <v>0</v>
      </c>
      <c r="AH668" s="44"/>
      <c r="AI668" s="66"/>
      <c r="AJ668" s="66"/>
      <c r="AK668" s="66"/>
      <c r="AL668" s="66"/>
      <c r="AM668" s="66"/>
      <c r="AN668" s="83"/>
      <c r="AO668" s="66"/>
      <c r="AP668" s="66"/>
      <c r="AQ668" s="66"/>
      <c r="AR668" s="81"/>
      <c r="AS668" s="81"/>
      <c r="AT668" s="81"/>
      <c r="AU668" s="81"/>
      <c r="AV668" s="83">
        <f>SUM(Prog_236[[#This Row],[ADIANTAMENTO]]+Prog_236[[#This Row],[SALDO]]+Prog_236[[#This Row],[MARGEM]]+Prog_236[[#This Row],[ESTADIA 1]])</f>
        <v>0</v>
      </c>
      <c r="AW6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8" s="81"/>
      <c r="AY668" s="81"/>
      <c r="AZ668" s="81">
        <f>Prog_236[[#This Row],[VLR NF]]*0.1%</f>
        <v>0</v>
      </c>
      <c r="BA668" s="81">
        <f>Prog_236[[#This Row],[VLR NF]]*0.05%</f>
        <v>0</v>
      </c>
      <c r="BB668" s="81"/>
      <c r="BC668" s="81"/>
      <c r="BD668" s="81"/>
      <c r="BE668" s="81"/>
      <c r="BF668" s="81"/>
      <c r="BG668" s="81"/>
      <c r="BH668" s="81"/>
      <c r="BI668" s="81"/>
      <c r="BJ668" s="81"/>
      <c r="BK668" s="81"/>
      <c r="BL668" s="66"/>
      <c r="BM668" s="66"/>
      <c r="BN668" s="66"/>
      <c r="BO668" s="66" t="str">
        <f>PROPER(TEXT(Prog_236[[#This Row],[PROGRAMAÇÃO CLIENTE]],"mmm"))</f>
        <v>Jan</v>
      </c>
      <c r="BP668" s="66">
        <f>YEAR(Prog_236[[#This Row],[PROGRAMAÇÃO CLIENTE]])</f>
        <v>1900</v>
      </c>
    </row>
    <row r="669" spans="1:68" x14ac:dyDescent="0.25">
      <c r="A669" s="200">
        <f>Prog_236[[#This Row],[CONTEINER]]</f>
        <v>0</v>
      </c>
      <c r="B669" s="86"/>
      <c r="C6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69" s="44"/>
      <c r="E669" s="66"/>
      <c r="F669" s="66"/>
      <c r="G669" s="66"/>
      <c r="H669" s="44"/>
      <c r="I669" s="44"/>
      <c r="J669" s="66"/>
      <c r="K669" s="66"/>
      <c r="L669" s="66"/>
      <c r="M669" s="66"/>
      <c r="N669" s="66">
        <f>SUM(Prog_236[[#This Row],[TARA]]+Prog_236[[#This Row],[PESO]])</f>
        <v>0</v>
      </c>
      <c r="O669" s="44"/>
      <c r="P669" s="66"/>
      <c r="Q669" s="66"/>
      <c r="R669" s="66"/>
      <c r="S669" s="66"/>
      <c r="T669" s="138" t="str">
        <f>IFERROR(LOOKUP($S669,MOTORISTAS!$D$3:$D$1048576,MOTORISTAS!E$3:$E$1048576),"")</f>
        <v/>
      </c>
      <c r="U669" s="138" t="str">
        <f>IFERROR(LOOKUP($S669,MOTORISTAS!$D$3:$D$1048576,MOTORISTAS!F$3:$F$1048576),"")</f>
        <v/>
      </c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44"/>
      <c r="AG669" s="254">
        <f>Prog_236[[#This Row],[SAÍDA DO CLIENTE]]-Prog_236[[#This Row],[PROGRAMAÇÃO CLIENTE]]</f>
        <v>0</v>
      </c>
      <c r="AH669" s="44"/>
      <c r="AI669" s="66"/>
      <c r="AJ669" s="66"/>
      <c r="AK669" s="66"/>
      <c r="AL669" s="66"/>
      <c r="AM669" s="66"/>
      <c r="AN669" s="83"/>
      <c r="AO669" s="66"/>
      <c r="AP669" s="66"/>
      <c r="AQ669" s="66"/>
      <c r="AR669" s="81"/>
      <c r="AS669" s="81"/>
      <c r="AT669" s="81"/>
      <c r="AU669" s="81"/>
      <c r="AV669" s="83">
        <f>SUM(Prog_236[[#This Row],[ADIANTAMENTO]]+Prog_236[[#This Row],[SALDO]]+Prog_236[[#This Row],[MARGEM]]+Prog_236[[#This Row],[ESTADIA 1]])</f>
        <v>0</v>
      </c>
      <c r="AW6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69" s="81"/>
      <c r="AY669" s="81"/>
      <c r="AZ669" s="81">
        <f>Prog_236[[#This Row],[VLR NF]]*0.1%</f>
        <v>0</v>
      </c>
      <c r="BA669" s="81">
        <f>Prog_236[[#This Row],[VLR NF]]*0.05%</f>
        <v>0</v>
      </c>
      <c r="BB669" s="81"/>
      <c r="BC669" s="81"/>
      <c r="BD669" s="81"/>
      <c r="BE669" s="81"/>
      <c r="BF669" s="81"/>
      <c r="BG669" s="81"/>
      <c r="BH669" s="81"/>
      <c r="BI669" s="81"/>
      <c r="BJ669" s="81"/>
      <c r="BK669" s="81"/>
      <c r="BL669" s="66"/>
      <c r="BM669" s="66"/>
      <c r="BN669" s="66"/>
      <c r="BO669" s="66" t="str">
        <f>PROPER(TEXT(Prog_236[[#This Row],[PROGRAMAÇÃO CLIENTE]],"mmm"))</f>
        <v>Jan</v>
      </c>
      <c r="BP669" s="66">
        <f>YEAR(Prog_236[[#This Row],[PROGRAMAÇÃO CLIENTE]])</f>
        <v>1900</v>
      </c>
    </row>
    <row r="670" spans="1:68" x14ac:dyDescent="0.25">
      <c r="A670" s="201">
        <f>Prog_236[[#This Row],[CONTEINER]]</f>
        <v>0</v>
      </c>
      <c r="B670" s="86"/>
      <c r="C6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0" s="44"/>
      <c r="E670" s="66"/>
      <c r="F670" s="66"/>
      <c r="G670" s="66"/>
      <c r="H670" s="44"/>
      <c r="I670" s="44"/>
      <c r="J670" s="66"/>
      <c r="K670" s="66"/>
      <c r="L670" s="66"/>
      <c r="M670" s="66"/>
      <c r="N670" s="66">
        <f>SUM(Prog_236[[#This Row],[TARA]]+Prog_236[[#This Row],[PESO]])</f>
        <v>0</v>
      </c>
      <c r="O670" s="44"/>
      <c r="P670" s="66"/>
      <c r="Q670" s="66"/>
      <c r="R670" s="66"/>
      <c r="S670" s="66"/>
      <c r="T670" s="138" t="str">
        <f>IFERROR(LOOKUP($S670,MOTORISTAS!$D$3:$D$1048576,MOTORISTAS!E$3:$E$1048576),"")</f>
        <v/>
      </c>
      <c r="U670" s="138" t="str">
        <f>IFERROR(LOOKUP($S670,MOTORISTAS!$D$3:$D$1048576,MOTORISTAS!F$3:$F$1048576),"")</f>
        <v/>
      </c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44"/>
      <c r="AG670" s="254">
        <f>Prog_236[[#This Row],[SAÍDA DO CLIENTE]]-Prog_236[[#This Row],[PROGRAMAÇÃO CLIENTE]]</f>
        <v>0</v>
      </c>
      <c r="AH670" s="44"/>
      <c r="AI670" s="66"/>
      <c r="AJ670" s="66"/>
      <c r="AK670" s="66"/>
      <c r="AL670" s="66"/>
      <c r="AM670" s="66"/>
      <c r="AN670" s="83"/>
      <c r="AO670" s="66"/>
      <c r="AP670" s="66"/>
      <c r="AQ670" s="66"/>
      <c r="AR670" s="81"/>
      <c r="AS670" s="81"/>
      <c r="AT670" s="81"/>
      <c r="AU670" s="81"/>
      <c r="AV670" s="83">
        <f>SUM(Prog_236[[#This Row],[ADIANTAMENTO]]+Prog_236[[#This Row],[SALDO]]+Prog_236[[#This Row],[MARGEM]]+Prog_236[[#This Row],[ESTADIA 1]])</f>
        <v>0</v>
      </c>
      <c r="AW6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0" s="81"/>
      <c r="AY670" s="81"/>
      <c r="AZ670" s="81">
        <f>Prog_236[[#This Row],[VLR NF]]*0.1%</f>
        <v>0</v>
      </c>
      <c r="BA670" s="81">
        <f>Prog_236[[#This Row],[VLR NF]]*0.05%</f>
        <v>0</v>
      </c>
      <c r="BB670" s="81"/>
      <c r="BC670" s="81"/>
      <c r="BD670" s="81"/>
      <c r="BE670" s="81"/>
      <c r="BF670" s="81"/>
      <c r="BG670" s="81"/>
      <c r="BH670" s="81"/>
      <c r="BI670" s="81"/>
      <c r="BJ670" s="81"/>
      <c r="BK670" s="81"/>
      <c r="BL670" s="66"/>
      <c r="BM670" s="66"/>
      <c r="BN670" s="66"/>
      <c r="BO670" s="66" t="str">
        <f>PROPER(TEXT(Prog_236[[#This Row],[PROGRAMAÇÃO CLIENTE]],"mmm"))</f>
        <v>Jan</v>
      </c>
      <c r="BP670" s="66">
        <f>YEAR(Prog_236[[#This Row],[PROGRAMAÇÃO CLIENTE]])</f>
        <v>1900</v>
      </c>
    </row>
    <row r="671" spans="1:68" x14ac:dyDescent="0.25">
      <c r="A671" s="200">
        <f>Prog_236[[#This Row],[CONTEINER]]</f>
        <v>0</v>
      </c>
      <c r="B671" s="86"/>
      <c r="C6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1" s="44"/>
      <c r="E671" s="66"/>
      <c r="F671" s="66"/>
      <c r="G671" s="66"/>
      <c r="H671" s="44"/>
      <c r="I671" s="44"/>
      <c r="J671" s="66"/>
      <c r="K671" s="66"/>
      <c r="L671" s="66"/>
      <c r="M671" s="66"/>
      <c r="N671" s="66">
        <f>SUM(Prog_236[[#This Row],[TARA]]+Prog_236[[#This Row],[PESO]])</f>
        <v>0</v>
      </c>
      <c r="O671" s="44"/>
      <c r="P671" s="66"/>
      <c r="Q671" s="66"/>
      <c r="R671" s="66"/>
      <c r="S671" s="66"/>
      <c r="T671" s="138" t="str">
        <f>IFERROR(LOOKUP($S671,MOTORISTAS!$D$3:$D$1048576,MOTORISTAS!E$3:$E$1048576),"")</f>
        <v/>
      </c>
      <c r="U671" s="138" t="str">
        <f>IFERROR(LOOKUP($S671,MOTORISTAS!$D$3:$D$1048576,MOTORISTAS!F$3:$F$1048576),"")</f>
        <v/>
      </c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44"/>
      <c r="AG671" s="254">
        <f>Prog_236[[#This Row],[SAÍDA DO CLIENTE]]-Prog_236[[#This Row],[PROGRAMAÇÃO CLIENTE]]</f>
        <v>0</v>
      </c>
      <c r="AH671" s="44"/>
      <c r="AI671" s="66"/>
      <c r="AJ671" s="66"/>
      <c r="AK671" s="66"/>
      <c r="AL671" s="66"/>
      <c r="AM671" s="66"/>
      <c r="AN671" s="83"/>
      <c r="AO671" s="66"/>
      <c r="AP671" s="66"/>
      <c r="AQ671" s="66"/>
      <c r="AR671" s="81"/>
      <c r="AS671" s="81"/>
      <c r="AT671" s="81"/>
      <c r="AU671" s="81"/>
      <c r="AV671" s="83">
        <f>SUM(Prog_236[[#This Row],[ADIANTAMENTO]]+Prog_236[[#This Row],[SALDO]]+Prog_236[[#This Row],[MARGEM]]+Prog_236[[#This Row],[ESTADIA 1]])</f>
        <v>0</v>
      </c>
      <c r="AW6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1" s="81"/>
      <c r="AY671" s="81"/>
      <c r="AZ671" s="81">
        <f>Prog_236[[#This Row],[VLR NF]]*0.1%</f>
        <v>0</v>
      </c>
      <c r="BA671" s="81">
        <f>Prog_236[[#This Row],[VLR NF]]*0.05%</f>
        <v>0</v>
      </c>
      <c r="BB671" s="81"/>
      <c r="BC671" s="81"/>
      <c r="BD671" s="81"/>
      <c r="BE671" s="81"/>
      <c r="BF671" s="81"/>
      <c r="BG671" s="81"/>
      <c r="BH671" s="81"/>
      <c r="BI671" s="81"/>
      <c r="BJ671" s="81"/>
      <c r="BK671" s="81"/>
      <c r="BL671" s="66"/>
      <c r="BM671" s="66"/>
      <c r="BN671" s="66"/>
      <c r="BO671" s="66" t="str">
        <f>PROPER(TEXT(Prog_236[[#This Row],[PROGRAMAÇÃO CLIENTE]],"mmm"))</f>
        <v>Jan</v>
      </c>
      <c r="BP671" s="66">
        <f>YEAR(Prog_236[[#This Row],[PROGRAMAÇÃO CLIENTE]])</f>
        <v>1900</v>
      </c>
    </row>
    <row r="672" spans="1:68" x14ac:dyDescent="0.25">
      <c r="A672" s="201">
        <f>Prog_236[[#This Row],[CONTEINER]]</f>
        <v>0</v>
      </c>
      <c r="B672" s="86"/>
      <c r="C6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2" s="44"/>
      <c r="E672" s="66"/>
      <c r="F672" s="66"/>
      <c r="G672" s="66"/>
      <c r="H672" s="44"/>
      <c r="I672" s="44"/>
      <c r="J672" s="66"/>
      <c r="K672" s="66"/>
      <c r="L672" s="66"/>
      <c r="M672" s="66"/>
      <c r="N672" s="66">
        <f>SUM(Prog_236[[#This Row],[TARA]]+Prog_236[[#This Row],[PESO]])</f>
        <v>0</v>
      </c>
      <c r="O672" s="44"/>
      <c r="P672" s="66"/>
      <c r="Q672" s="66"/>
      <c r="R672" s="66"/>
      <c r="S672" s="66"/>
      <c r="T672" s="138" t="str">
        <f>IFERROR(LOOKUP($S672,MOTORISTAS!$D$3:$D$1048576,MOTORISTAS!E$3:$E$1048576),"")</f>
        <v/>
      </c>
      <c r="U672" s="138" t="str">
        <f>IFERROR(LOOKUP($S672,MOTORISTAS!$D$3:$D$1048576,MOTORISTAS!F$3:$F$1048576),"")</f>
        <v/>
      </c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44"/>
      <c r="AG672" s="254">
        <f>Prog_236[[#This Row],[SAÍDA DO CLIENTE]]-Prog_236[[#This Row],[PROGRAMAÇÃO CLIENTE]]</f>
        <v>0</v>
      </c>
      <c r="AH672" s="44"/>
      <c r="AI672" s="66"/>
      <c r="AJ672" s="66"/>
      <c r="AK672" s="66"/>
      <c r="AL672" s="66"/>
      <c r="AM672" s="66"/>
      <c r="AN672" s="83"/>
      <c r="AO672" s="66"/>
      <c r="AP672" s="66"/>
      <c r="AQ672" s="66"/>
      <c r="AR672" s="81"/>
      <c r="AS672" s="81"/>
      <c r="AT672" s="81"/>
      <c r="AU672" s="81"/>
      <c r="AV672" s="83">
        <f>SUM(Prog_236[[#This Row],[ADIANTAMENTO]]+Prog_236[[#This Row],[SALDO]]+Prog_236[[#This Row],[MARGEM]]+Prog_236[[#This Row],[ESTADIA 1]])</f>
        <v>0</v>
      </c>
      <c r="AW6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2" s="81"/>
      <c r="AY672" s="81"/>
      <c r="AZ672" s="81">
        <f>Prog_236[[#This Row],[VLR NF]]*0.1%</f>
        <v>0</v>
      </c>
      <c r="BA672" s="81">
        <f>Prog_236[[#This Row],[VLR NF]]*0.05%</f>
        <v>0</v>
      </c>
      <c r="BB672" s="81"/>
      <c r="BC672" s="81"/>
      <c r="BD672" s="81"/>
      <c r="BE672" s="81"/>
      <c r="BF672" s="81"/>
      <c r="BG672" s="81"/>
      <c r="BH672" s="81"/>
      <c r="BI672" s="81"/>
      <c r="BJ672" s="81"/>
      <c r="BK672" s="81"/>
      <c r="BL672" s="66"/>
      <c r="BM672" s="66"/>
      <c r="BN672" s="66"/>
      <c r="BO672" s="66" t="str">
        <f>PROPER(TEXT(Prog_236[[#This Row],[PROGRAMAÇÃO CLIENTE]],"mmm"))</f>
        <v>Jan</v>
      </c>
      <c r="BP672" s="66">
        <f>YEAR(Prog_236[[#This Row],[PROGRAMAÇÃO CLIENTE]])</f>
        <v>1900</v>
      </c>
    </row>
    <row r="673" spans="1:68" x14ac:dyDescent="0.25">
      <c r="A673" s="200">
        <f>Prog_236[[#This Row],[CONTEINER]]</f>
        <v>0</v>
      </c>
      <c r="B673" s="86"/>
      <c r="C6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3" s="44"/>
      <c r="E673" s="66"/>
      <c r="F673" s="66"/>
      <c r="G673" s="66"/>
      <c r="H673" s="44"/>
      <c r="I673" s="44"/>
      <c r="J673" s="66"/>
      <c r="K673" s="66"/>
      <c r="L673" s="66"/>
      <c r="M673" s="66"/>
      <c r="N673" s="66">
        <f>SUM(Prog_236[[#This Row],[TARA]]+Prog_236[[#This Row],[PESO]])</f>
        <v>0</v>
      </c>
      <c r="O673" s="44"/>
      <c r="P673" s="66"/>
      <c r="Q673" s="66"/>
      <c r="R673" s="66"/>
      <c r="S673" s="66"/>
      <c r="T673" s="138" t="str">
        <f>IFERROR(LOOKUP($S673,MOTORISTAS!$D$3:$D$1048576,MOTORISTAS!E$3:$E$1048576),"")</f>
        <v/>
      </c>
      <c r="U673" s="138" t="str">
        <f>IFERROR(LOOKUP($S673,MOTORISTAS!$D$3:$D$1048576,MOTORISTAS!F$3:$F$1048576),"")</f>
        <v/>
      </c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44"/>
      <c r="AG673" s="254">
        <f>Prog_236[[#This Row],[SAÍDA DO CLIENTE]]-Prog_236[[#This Row],[PROGRAMAÇÃO CLIENTE]]</f>
        <v>0</v>
      </c>
      <c r="AH673" s="44"/>
      <c r="AI673" s="66"/>
      <c r="AJ673" s="66"/>
      <c r="AK673" s="66"/>
      <c r="AL673" s="66"/>
      <c r="AM673" s="66"/>
      <c r="AN673" s="83"/>
      <c r="AO673" s="66"/>
      <c r="AP673" s="66"/>
      <c r="AQ673" s="66"/>
      <c r="AR673" s="81"/>
      <c r="AS673" s="81"/>
      <c r="AT673" s="81"/>
      <c r="AU673" s="81"/>
      <c r="AV673" s="83">
        <f>SUM(Prog_236[[#This Row],[ADIANTAMENTO]]+Prog_236[[#This Row],[SALDO]]+Prog_236[[#This Row],[MARGEM]]+Prog_236[[#This Row],[ESTADIA 1]])</f>
        <v>0</v>
      </c>
      <c r="AW6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3" s="81"/>
      <c r="AY673" s="81"/>
      <c r="AZ673" s="81">
        <f>Prog_236[[#This Row],[VLR NF]]*0.1%</f>
        <v>0</v>
      </c>
      <c r="BA673" s="81">
        <f>Prog_236[[#This Row],[VLR NF]]*0.05%</f>
        <v>0</v>
      </c>
      <c r="BB673" s="81"/>
      <c r="BC673" s="81"/>
      <c r="BD673" s="81"/>
      <c r="BE673" s="81"/>
      <c r="BF673" s="81"/>
      <c r="BG673" s="81"/>
      <c r="BH673" s="81"/>
      <c r="BI673" s="81"/>
      <c r="BJ673" s="81"/>
      <c r="BK673" s="81"/>
      <c r="BL673" s="66"/>
      <c r="BM673" s="66"/>
      <c r="BN673" s="66"/>
      <c r="BO673" s="66" t="str">
        <f>PROPER(TEXT(Prog_236[[#This Row],[PROGRAMAÇÃO CLIENTE]],"mmm"))</f>
        <v>Jan</v>
      </c>
      <c r="BP673" s="66">
        <f>YEAR(Prog_236[[#This Row],[PROGRAMAÇÃO CLIENTE]])</f>
        <v>1900</v>
      </c>
    </row>
    <row r="674" spans="1:68" x14ac:dyDescent="0.25">
      <c r="A674" s="201">
        <f>Prog_236[[#This Row],[CONTEINER]]</f>
        <v>0</v>
      </c>
      <c r="B674" s="86"/>
      <c r="C6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4" s="44"/>
      <c r="E674" s="66"/>
      <c r="F674" s="66"/>
      <c r="G674" s="66"/>
      <c r="H674" s="44"/>
      <c r="I674" s="44"/>
      <c r="J674" s="66"/>
      <c r="K674" s="66"/>
      <c r="L674" s="66"/>
      <c r="M674" s="66"/>
      <c r="N674" s="66">
        <f>SUM(Prog_236[[#This Row],[TARA]]+Prog_236[[#This Row],[PESO]])</f>
        <v>0</v>
      </c>
      <c r="O674" s="44"/>
      <c r="P674" s="66"/>
      <c r="Q674" s="66"/>
      <c r="R674" s="66"/>
      <c r="S674" s="66"/>
      <c r="T674" s="138" t="str">
        <f>IFERROR(LOOKUP($S674,MOTORISTAS!$D$3:$D$1048576,MOTORISTAS!E$3:$E$1048576),"")</f>
        <v/>
      </c>
      <c r="U674" s="138" t="str">
        <f>IFERROR(LOOKUP($S674,MOTORISTAS!$D$3:$D$1048576,MOTORISTAS!F$3:$F$1048576),"")</f>
        <v/>
      </c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44"/>
      <c r="AG674" s="254">
        <f>Prog_236[[#This Row],[SAÍDA DO CLIENTE]]-Prog_236[[#This Row],[PROGRAMAÇÃO CLIENTE]]</f>
        <v>0</v>
      </c>
      <c r="AH674" s="44"/>
      <c r="AI674" s="66"/>
      <c r="AJ674" s="66"/>
      <c r="AK674" s="66"/>
      <c r="AL674" s="66"/>
      <c r="AM674" s="66"/>
      <c r="AN674" s="83"/>
      <c r="AO674" s="66"/>
      <c r="AP674" s="66"/>
      <c r="AQ674" s="66"/>
      <c r="AR674" s="81"/>
      <c r="AS674" s="81"/>
      <c r="AT674" s="81"/>
      <c r="AU674" s="81"/>
      <c r="AV674" s="83">
        <f>SUM(Prog_236[[#This Row],[ADIANTAMENTO]]+Prog_236[[#This Row],[SALDO]]+Prog_236[[#This Row],[MARGEM]]+Prog_236[[#This Row],[ESTADIA 1]])</f>
        <v>0</v>
      </c>
      <c r="AW6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4" s="81"/>
      <c r="AY674" s="81"/>
      <c r="AZ674" s="81">
        <f>Prog_236[[#This Row],[VLR NF]]*0.1%</f>
        <v>0</v>
      </c>
      <c r="BA674" s="81">
        <f>Prog_236[[#This Row],[VLR NF]]*0.05%</f>
        <v>0</v>
      </c>
      <c r="BB674" s="81"/>
      <c r="BC674" s="81"/>
      <c r="BD674" s="81"/>
      <c r="BE674" s="81"/>
      <c r="BF674" s="81"/>
      <c r="BG674" s="81"/>
      <c r="BH674" s="81"/>
      <c r="BI674" s="81"/>
      <c r="BJ674" s="81"/>
      <c r="BK674" s="81"/>
      <c r="BL674" s="66"/>
      <c r="BM674" s="66"/>
      <c r="BN674" s="66"/>
      <c r="BO674" s="66" t="str">
        <f>PROPER(TEXT(Prog_236[[#This Row],[PROGRAMAÇÃO CLIENTE]],"mmm"))</f>
        <v>Jan</v>
      </c>
      <c r="BP674" s="66">
        <f>YEAR(Prog_236[[#This Row],[PROGRAMAÇÃO CLIENTE]])</f>
        <v>1900</v>
      </c>
    </row>
    <row r="675" spans="1:68" x14ac:dyDescent="0.25">
      <c r="A675" s="200">
        <f>Prog_236[[#This Row],[CONTEINER]]</f>
        <v>0</v>
      </c>
      <c r="B675" s="86"/>
      <c r="C6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5" s="44"/>
      <c r="E675" s="66"/>
      <c r="F675" s="66"/>
      <c r="G675" s="66"/>
      <c r="H675" s="44"/>
      <c r="I675" s="44"/>
      <c r="J675" s="66"/>
      <c r="K675" s="66"/>
      <c r="L675" s="66"/>
      <c r="M675" s="66"/>
      <c r="N675" s="66">
        <f>SUM(Prog_236[[#This Row],[TARA]]+Prog_236[[#This Row],[PESO]])</f>
        <v>0</v>
      </c>
      <c r="O675" s="44"/>
      <c r="P675" s="66"/>
      <c r="Q675" s="66"/>
      <c r="R675" s="66"/>
      <c r="S675" s="66"/>
      <c r="T675" s="138" t="str">
        <f>IFERROR(LOOKUP($S675,MOTORISTAS!$D$3:$D$1048576,MOTORISTAS!E$3:$E$1048576),"")</f>
        <v/>
      </c>
      <c r="U675" s="138" t="str">
        <f>IFERROR(LOOKUP($S675,MOTORISTAS!$D$3:$D$1048576,MOTORISTAS!F$3:$F$1048576),"")</f>
        <v/>
      </c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44"/>
      <c r="AG675" s="254">
        <f>Prog_236[[#This Row],[SAÍDA DO CLIENTE]]-Prog_236[[#This Row],[PROGRAMAÇÃO CLIENTE]]</f>
        <v>0</v>
      </c>
      <c r="AH675" s="44"/>
      <c r="AI675" s="66"/>
      <c r="AJ675" s="66"/>
      <c r="AK675" s="66"/>
      <c r="AL675" s="66"/>
      <c r="AM675" s="66"/>
      <c r="AN675" s="83"/>
      <c r="AO675" s="66"/>
      <c r="AP675" s="66"/>
      <c r="AQ675" s="66"/>
      <c r="AR675" s="81"/>
      <c r="AS675" s="81"/>
      <c r="AT675" s="81"/>
      <c r="AU675" s="81"/>
      <c r="AV675" s="83">
        <f>SUM(Prog_236[[#This Row],[ADIANTAMENTO]]+Prog_236[[#This Row],[SALDO]]+Prog_236[[#This Row],[MARGEM]]+Prog_236[[#This Row],[ESTADIA 1]])</f>
        <v>0</v>
      </c>
      <c r="AW6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5" s="81"/>
      <c r="AY675" s="81"/>
      <c r="AZ675" s="81">
        <f>Prog_236[[#This Row],[VLR NF]]*0.1%</f>
        <v>0</v>
      </c>
      <c r="BA675" s="81">
        <f>Prog_236[[#This Row],[VLR NF]]*0.05%</f>
        <v>0</v>
      </c>
      <c r="BB675" s="81"/>
      <c r="BC675" s="81"/>
      <c r="BD675" s="81"/>
      <c r="BE675" s="81"/>
      <c r="BF675" s="81"/>
      <c r="BG675" s="81"/>
      <c r="BH675" s="81"/>
      <c r="BI675" s="81"/>
      <c r="BJ675" s="81"/>
      <c r="BK675" s="81"/>
      <c r="BL675" s="66"/>
      <c r="BM675" s="66"/>
      <c r="BN675" s="66"/>
      <c r="BO675" s="66" t="str">
        <f>PROPER(TEXT(Prog_236[[#This Row],[PROGRAMAÇÃO CLIENTE]],"mmm"))</f>
        <v>Jan</v>
      </c>
      <c r="BP675" s="66">
        <f>YEAR(Prog_236[[#This Row],[PROGRAMAÇÃO CLIENTE]])</f>
        <v>1900</v>
      </c>
    </row>
    <row r="676" spans="1:68" x14ac:dyDescent="0.25">
      <c r="A676" s="201">
        <f>Prog_236[[#This Row],[CONTEINER]]</f>
        <v>0</v>
      </c>
      <c r="B676" s="86"/>
      <c r="C6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6" s="44"/>
      <c r="E676" s="66"/>
      <c r="F676" s="66"/>
      <c r="G676" s="66"/>
      <c r="H676" s="44"/>
      <c r="I676" s="44"/>
      <c r="J676" s="66"/>
      <c r="K676" s="66"/>
      <c r="L676" s="66"/>
      <c r="M676" s="66"/>
      <c r="N676" s="66">
        <f>SUM(Prog_236[[#This Row],[TARA]]+Prog_236[[#This Row],[PESO]])</f>
        <v>0</v>
      </c>
      <c r="O676" s="44"/>
      <c r="P676" s="66"/>
      <c r="Q676" s="66"/>
      <c r="R676" s="66"/>
      <c r="S676" s="66"/>
      <c r="T676" s="138" t="str">
        <f>IFERROR(LOOKUP($S676,MOTORISTAS!$D$3:$D$1048576,MOTORISTAS!E$3:$E$1048576),"")</f>
        <v/>
      </c>
      <c r="U676" s="138" t="str">
        <f>IFERROR(LOOKUP($S676,MOTORISTAS!$D$3:$D$1048576,MOTORISTAS!F$3:$F$1048576),"")</f>
        <v/>
      </c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44"/>
      <c r="AG676" s="254">
        <f>Prog_236[[#This Row],[SAÍDA DO CLIENTE]]-Prog_236[[#This Row],[PROGRAMAÇÃO CLIENTE]]</f>
        <v>0</v>
      </c>
      <c r="AH676" s="44"/>
      <c r="AI676" s="66"/>
      <c r="AJ676" s="66"/>
      <c r="AK676" s="66"/>
      <c r="AL676" s="66"/>
      <c r="AM676" s="66"/>
      <c r="AN676" s="83"/>
      <c r="AO676" s="66"/>
      <c r="AP676" s="66"/>
      <c r="AQ676" s="66"/>
      <c r="AR676" s="81"/>
      <c r="AS676" s="81"/>
      <c r="AT676" s="81"/>
      <c r="AU676" s="81"/>
      <c r="AV676" s="83">
        <f>SUM(Prog_236[[#This Row],[ADIANTAMENTO]]+Prog_236[[#This Row],[SALDO]]+Prog_236[[#This Row],[MARGEM]]+Prog_236[[#This Row],[ESTADIA 1]])</f>
        <v>0</v>
      </c>
      <c r="AW6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6" s="81"/>
      <c r="AY676" s="81"/>
      <c r="AZ676" s="81">
        <f>Prog_236[[#This Row],[VLR NF]]*0.1%</f>
        <v>0</v>
      </c>
      <c r="BA676" s="81">
        <f>Prog_236[[#This Row],[VLR NF]]*0.05%</f>
        <v>0</v>
      </c>
      <c r="BB676" s="81"/>
      <c r="BC676" s="81"/>
      <c r="BD676" s="81"/>
      <c r="BE676" s="81"/>
      <c r="BF676" s="81"/>
      <c r="BG676" s="81"/>
      <c r="BH676" s="81"/>
      <c r="BI676" s="81"/>
      <c r="BJ676" s="81"/>
      <c r="BK676" s="81"/>
      <c r="BL676" s="66"/>
      <c r="BM676" s="66"/>
      <c r="BN676" s="66"/>
      <c r="BO676" s="66" t="str">
        <f>PROPER(TEXT(Prog_236[[#This Row],[PROGRAMAÇÃO CLIENTE]],"mmm"))</f>
        <v>Jan</v>
      </c>
      <c r="BP676" s="66">
        <f>YEAR(Prog_236[[#This Row],[PROGRAMAÇÃO CLIENTE]])</f>
        <v>1900</v>
      </c>
    </row>
    <row r="677" spans="1:68" x14ac:dyDescent="0.25">
      <c r="A677" s="200">
        <f>Prog_236[[#This Row],[CONTEINER]]</f>
        <v>0</v>
      </c>
      <c r="B677" s="86"/>
      <c r="C6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7" s="44"/>
      <c r="E677" s="66"/>
      <c r="F677" s="66"/>
      <c r="G677" s="66"/>
      <c r="H677" s="44"/>
      <c r="I677" s="44"/>
      <c r="J677" s="66"/>
      <c r="K677" s="66"/>
      <c r="L677" s="66"/>
      <c r="M677" s="66"/>
      <c r="N677" s="66">
        <f>SUM(Prog_236[[#This Row],[TARA]]+Prog_236[[#This Row],[PESO]])</f>
        <v>0</v>
      </c>
      <c r="O677" s="44"/>
      <c r="P677" s="66"/>
      <c r="Q677" s="66"/>
      <c r="R677" s="66"/>
      <c r="S677" s="66"/>
      <c r="T677" s="138" t="str">
        <f>IFERROR(LOOKUP($S677,MOTORISTAS!$D$3:$D$1048576,MOTORISTAS!E$3:$E$1048576),"")</f>
        <v/>
      </c>
      <c r="U677" s="138" t="str">
        <f>IFERROR(LOOKUP($S677,MOTORISTAS!$D$3:$D$1048576,MOTORISTAS!F$3:$F$1048576),"")</f>
        <v/>
      </c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44"/>
      <c r="AG677" s="254">
        <f>Prog_236[[#This Row],[SAÍDA DO CLIENTE]]-Prog_236[[#This Row],[PROGRAMAÇÃO CLIENTE]]</f>
        <v>0</v>
      </c>
      <c r="AH677" s="44"/>
      <c r="AI677" s="66"/>
      <c r="AJ677" s="66"/>
      <c r="AK677" s="66"/>
      <c r="AL677" s="66"/>
      <c r="AM677" s="66"/>
      <c r="AN677" s="83"/>
      <c r="AO677" s="66"/>
      <c r="AP677" s="66"/>
      <c r="AQ677" s="66"/>
      <c r="AR677" s="81"/>
      <c r="AS677" s="81"/>
      <c r="AT677" s="81"/>
      <c r="AU677" s="81"/>
      <c r="AV677" s="83">
        <f>SUM(Prog_236[[#This Row],[ADIANTAMENTO]]+Prog_236[[#This Row],[SALDO]]+Prog_236[[#This Row],[MARGEM]]+Prog_236[[#This Row],[ESTADIA 1]])</f>
        <v>0</v>
      </c>
      <c r="AW6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7" s="81"/>
      <c r="AY677" s="81"/>
      <c r="AZ677" s="81">
        <f>Prog_236[[#This Row],[VLR NF]]*0.1%</f>
        <v>0</v>
      </c>
      <c r="BA677" s="81">
        <f>Prog_236[[#This Row],[VLR NF]]*0.05%</f>
        <v>0</v>
      </c>
      <c r="BB677" s="81"/>
      <c r="BC677" s="81"/>
      <c r="BD677" s="81"/>
      <c r="BE677" s="81"/>
      <c r="BF677" s="81"/>
      <c r="BG677" s="81"/>
      <c r="BH677" s="81"/>
      <c r="BI677" s="81"/>
      <c r="BJ677" s="81"/>
      <c r="BK677" s="81"/>
      <c r="BL677" s="66"/>
      <c r="BM677" s="66"/>
      <c r="BN677" s="66"/>
      <c r="BO677" s="66" t="str">
        <f>PROPER(TEXT(Prog_236[[#This Row],[PROGRAMAÇÃO CLIENTE]],"mmm"))</f>
        <v>Jan</v>
      </c>
      <c r="BP677" s="66">
        <f>YEAR(Prog_236[[#This Row],[PROGRAMAÇÃO CLIENTE]])</f>
        <v>1900</v>
      </c>
    </row>
    <row r="678" spans="1:68" x14ac:dyDescent="0.25">
      <c r="A678" s="201">
        <f>Prog_236[[#This Row],[CONTEINER]]</f>
        <v>0</v>
      </c>
      <c r="B678" s="86"/>
      <c r="C6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8" s="44"/>
      <c r="E678" s="66"/>
      <c r="F678" s="66"/>
      <c r="G678" s="66"/>
      <c r="H678" s="44"/>
      <c r="I678" s="44"/>
      <c r="J678" s="66"/>
      <c r="K678" s="66"/>
      <c r="L678" s="66"/>
      <c r="M678" s="66"/>
      <c r="N678" s="66">
        <f>SUM(Prog_236[[#This Row],[TARA]]+Prog_236[[#This Row],[PESO]])</f>
        <v>0</v>
      </c>
      <c r="O678" s="44"/>
      <c r="P678" s="66"/>
      <c r="Q678" s="66"/>
      <c r="R678" s="66"/>
      <c r="S678" s="66"/>
      <c r="T678" s="138" t="str">
        <f>IFERROR(LOOKUP($S678,MOTORISTAS!$D$3:$D$1048576,MOTORISTAS!E$3:$E$1048576),"")</f>
        <v/>
      </c>
      <c r="U678" s="138" t="str">
        <f>IFERROR(LOOKUP($S678,MOTORISTAS!$D$3:$D$1048576,MOTORISTAS!F$3:$F$1048576),"")</f>
        <v/>
      </c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44"/>
      <c r="AG678" s="254">
        <f>Prog_236[[#This Row],[SAÍDA DO CLIENTE]]-Prog_236[[#This Row],[PROGRAMAÇÃO CLIENTE]]</f>
        <v>0</v>
      </c>
      <c r="AH678" s="44"/>
      <c r="AI678" s="66"/>
      <c r="AJ678" s="66"/>
      <c r="AK678" s="66"/>
      <c r="AL678" s="66"/>
      <c r="AM678" s="66"/>
      <c r="AN678" s="83"/>
      <c r="AO678" s="66"/>
      <c r="AP678" s="66"/>
      <c r="AQ678" s="66"/>
      <c r="AR678" s="81"/>
      <c r="AS678" s="81"/>
      <c r="AT678" s="81"/>
      <c r="AU678" s="81"/>
      <c r="AV678" s="83">
        <f>SUM(Prog_236[[#This Row],[ADIANTAMENTO]]+Prog_236[[#This Row],[SALDO]]+Prog_236[[#This Row],[MARGEM]]+Prog_236[[#This Row],[ESTADIA 1]])</f>
        <v>0</v>
      </c>
      <c r="AW6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8" s="81"/>
      <c r="AY678" s="81"/>
      <c r="AZ678" s="81">
        <f>Prog_236[[#This Row],[VLR NF]]*0.1%</f>
        <v>0</v>
      </c>
      <c r="BA678" s="81">
        <f>Prog_236[[#This Row],[VLR NF]]*0.05%</f>
        <v>0</v>
      </c>
      <c r="BB678" s="81"/>
      <c r="BC678" s="81"/>
      <c r="BD678" s="81"/>
      <c r="BE678" s="81"/>
      <c r="BF678" s="81"/>
      <c r="BG678" s="81"/>
      <c r="BH678" s="81"/>
      <c r="BI678" s="81"/>
      <c r="BJ678" s="81"/>
      <c r="BK678" s="81"/>
      <c r="BL678" s="66"/>
      <c r="BM678" s="66"/>
      <c r="BN678" s="66"/>
      <c r="BO678" s="66" t="str">
        <f>PROPER(TEXT(Prog_236[[#This Row],[PROGRAMAÇÃO CLIENTE]],"mmm"))</f>
        <v>Jan</v>
      </c>
      <c r="BP678" s="66">
        <f>YEAR(Prog_236[[#This Row],[PROGRAMAÇÃO CLIENTE]])</f>
        <v>1900</v>
      </c>
    </row>
    <row r="679" spans="1:68" x14ac:dyDescent="0.25">
      <c r="A679" s="200">
        <f>Prog_236[[#This Row],[CONTEINER]]</f>
        <v>0</v>
      </c>
      <c r="B679" s="86"/>
      <c r="C6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79" s="44"/>
      <c r="E679" s="66"/>
      <c r="F679" s="66"/>
      <c r="G679" s="66"/>
      <c r="H679" s="44"/>
      <c r="I679" s="44"/>
      <c r="J679" s="66"/>
      <c r="K679" s="66"/>
      <c r="L679" s="66"/>
      <c r="M679" s="66"/>
      <c r="N679" s="66">
        <f>SUM(Prog_236[[#This Row],[TARA]]+Prog_236[[#This Row],[PESO]])</f>
        <v>0</v>
      </c>
      <c r="O679" s="44"/>
      <c r="P679" s="66"/>
      <c r="Q679" s="66"/>
      <c r="R679" s="66"/>
      <c r="S679" s="66"/>
      <c r="T679" s="138" t="str">
        <f>IFERROR(LOOKUP($S679,MOTORISTAS!$D$3:$D$1048576,MOTORISTAS!E$3:$E$1048576),"")</f>
        <v/>
      </c>
      <c r="U679" s="138" t="str">
        <f>IFERROR(LOOKUP($S679,MOTORISTAS!$D$3:$D$1048576,MOTORISTAS!F$3:$F$1048576),"")</f>
        <v/>
      </c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44"/>
      <c r="AG679" s="254">
        <f>Prog_236[[#This Row],[SAÍDA DO CLIENTE]]-Prog_236[[#This Row],[PROGRAMAÇÃO CLIENTE]]</f>
        <v>0</v>
      </c>
      <c r="AH679" s="44"/>
      <c r="AI679" s="66"/>
      <c r="AJ679" s="66"/>
      <c r="AK679" s="66"/>
      <c r="AL679" s="66"/>
      <c r="AM679" s="66"/>
      <c r="AN679" s="83"/>
      <c r="AO679" s="66"/>
      <c r="AP679" s="66"/>
      <c r="AQ679" s="66"/>
      <c r="AR679" s="81"/>
      <c r="AS679" s="81"/>
      <c r="AT679" s="81"/>
      <c r="AU679" s="81"/>
      <c r="AV679" s="83">
        <f>SUM(Prog_236[[#This Row],[ADIANTAMENTO]]+Prog_236[[#This Row],[SALDO]]+Prog_236[[#This Row],[MARGEM]]+Prog_236[[#This Row],[ESTADIA 1]])</f>
        <v>0</v>
      </c>
      <c r="AW6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79" s="81"/>
      <c r="AY679" s="81"/>
      <c r="AZ679" s="81">
        <f>Prog_236[[#This Row],[VLR NF]]*0.1%</f>
        <v>0</v>
      </c>
      <c r="BA679" s="81">
        <f>Prog_236[[#This Row],[VLR NF]]*0.05%</f>
        <v>0</v>
      </c>
      <c r="BB679" s="81"/>
      <c r="BC679" s="81"/>
      <c r="BD679" s="81"/>
      <c r="BE679" s="81"/>
      <c r="BF679" s="81"/>
      <c r="BG679" s="81"/>
      <c r="BH679" s="81"/>
      <c r="BI679" s="81"/>
      <c r="BJ679" s="81"/>
      <c r="BK679" s="81"/>
      <c r="BL679" s="66"/>
      <c r="BM679" s="66"/>
      <c r="BN679" s="66"/>
      <c r="BO679" s="66" t="str">
        <f>PROPER(TEXT(Prog_236[[#This Row],[PROGRAMAÇÃO CLIENTE]],"mmm"))</f>
        <v>Jan</v>
      </c>
      <c r="BP679" s="66">
        <f>YEAR(Prog_236[[#This Row],[PROGRAMAÇÃO CLIENTE]])</f>
        <v>1900</v>
      </c>
    </row>
    <row r="680" spans="1:68" x14ac:dyDescent="0.25">
      <c r="A680" s="201">
        <f>Prog_236[[#This Row],[CONTEINER]]</f>
        <v>0</v>
      </c>
      <c r="B680" s="86"/>
      <c r="C6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0" s="44"/>
      <c r="E680" s="66"/>
      <c r="F680" s="66"/>
      <c r="G680" s="66"/>
      <c r="H680" s="44"/>
      <c r="I680" s="44"/>
      <c r="J680" s="66"/>
      <c r="K680" s="66"/>
      <c r="L680" s="66"/>
      <c r="M680" s="66"/>
      <c r="N680" s="66">
        <f>SUM(Prog_236[[#This Row],[TARA]]+Prog_236[[#This Row],[PESO]])</f>
        <v>0</v>
      </c>
      <c r="O680" s="44"/>
      <c r="P680" s="66"/>
      <c r="Q680" s="66"/>
      <c r="R680" s="66"/>
      <c r="S680" s="66"/>
      <c r="T680" s="138" t="str">
        <f>IFERROR(LOOKUP($S680,MOTORISTAS!$D$3:$D$1048576,MOTORISTAS!E$3:$E$1048576),"")</f>
        <v/>
      </c>
      <c r="U680" s="138" t="str">
        <f>IFERROR(LOOKUP($S680,MOTORISTAS!$D$3:$D$1048576,MOTORISTAS!F$3:$F$1048576),"")</f>
        <v/>
      </c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44"/>
      <c r="AG680" s="254">
        <f>Prog_236[[#This Row],[SAÍDA DO CLIENTE]]-Prog_236[[#This Row],[PROGRAMAÇÃO CLIENTE]]</f>
        <v>0</v>
      </c>
      <c r="AH680" s="44"/>
      <c r="AI680" s="66"/>
      <c r="AJ680" s="66"/>
      <c r="AK680" s="66"/>
      <c r="AL680" s="66"/>
      <c r="AM680" s="66"/>
      <c r="AN680" s="83"/>
      <c r="AO680" s="66"/>
      <c r="AP680" s="66"/>
      <c r="AQ680" s="66"/>
      <c r="AR680" s="81"/>
      <c r="AS680" s="81"/>
      <c r="AT680" s="81"/>
      <c r="AU680" s="81"/>
      <c r="AV680" s="83">
        <f>SUM(Prog_236[[#This Row],[ADIANTAMENTO]]+Prog_236[[#This Row],[SALDO]]+Prog_236[[#This Row],[MARGEM]]+Prog_236[[#This Row],[ESTADIA 1]])</f>
        <v>0</v>
      </c>
      <c r="AW6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0" s="81"/>
      <c r="AY680" s="81"/>
      <c r="AZ680" s="81">
        <f>Prog_236[[#This Row],[VLR NF]]*0.1%</f>
        <v>0</v>
      </c>
      <c r="BA680" s="81">
        <f>Prog_236[[#This Row],[VLR NF]]*0.05%</f>
        <v>0</v>
      </c>
      <c r="BB680" s="81"/>
      <c r="BC680" s="81"/>
      <c r="BD680" s="81"/>
      <c r="BE680" s="81"/>
      <c r="BF680" s="81"/>
      <c r="BG680" s="81"/>
      <c r="BH680" s="81"/>
      <c r="BI680" s="81"/>
      <c r="BJ680" s="81"/>
      <c r="BK680" s="81"/>
      <c r="BL680" s="66"/>
      <c r="BM680" s="66"/>
      <c r="BN680" s="66"/>
      <c r="BO680" s="66" t="str">
        <f>PROPER(TEXT(Prog_236[[#This Row],[PROGRAMAÇÃO CLIENTE]],"mmm"))</f>
        <v>Jan</v>
      </c>
      <c r="BP680" s="66">
        <f>YEAR(Prog_236[[#This Row],[PROGRAMAÇÃO CLIENTE]])</f>
        <v>1900</v>
      </c>
    </row>
    <row r="681" spans="1:68" x14ac:dyDescent="0.25">
      <c r="A681" s="200">
        <f>Prog_236[[#This Row],[CONTEINER]]</f>
        <v>0</v>
      </c>
      <c r="B681" s="86"/>
      <c r="C6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1" s="44"/>
      <c r="E681" s="66"/>
      <c r="F681" s="66"/>
      <c r="G681" s="66"/>
      <c r="H681" s="44"/>
      <c r="I681" s="44"/>
      <c r="J681" s="66"/>
      <c r="K681" s="66"/>
      <c r="L681" s="66"/>
      <c r="M681" s="66"/>
      <c r="N681" s="66">
        <f>SUM(Prog_236[[#This Row],[TARA]]+Prog_236[[#This Row],[PESO]])</f>
        <v>0</v>
      </c>
      <c r="O681" s="44"/>
      <c r="P681" s="66"/>
      <c r="Q681" s="66"/>
      <c r="R681" s="66"/>
      <c r="S681" s="66"/>
      <c r="T681" s="138" t="str">
        <f>IFERROR(LOOKUP($S681,MOTORISTAS!$D$3:$D$1048576,MOTORISTAS!E$3:$E$1048576),"")</f>
        <v/>
      </c>
      <c r="U681" s="138" t="str">
        <f>IFERROR(LOOKUP($S681,MOTORISTAS!$D$3:$D$1048576,MOTORISTAS!F$3:$F$1048576),"")</f>
        <v/>
      </c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44"/>
      <c r="AG681" s="254">
        <f>Prog_236[[#This Row],[SAÍDA DO CLIENTE]]-Prog_236[[#This Row],[PROGRAMAÇÃO CLIENTE]]</f>
        <v>0</v>
      </c>
      <c r="AH681" s="44"/>
      <c r="AI681" s="66"/>
      <c r="AJ681" s="66"/>
      <c r="AK681" s="66"/>
      <c r="AL681" s="66"/>
      <c r="AM681" s="66"/>
      <c r="AN681" s="83"/>
      <c r="AO681" s="66"/>
      <c r="AP681" s="66"/>
      <c r="AQ681" s="66"/>
      <c r="AR681" s="81"/>
      <c r="AS681" s="81"/>
      <c r="AT681" s="81"/>
      <c r="AU681" s="81"/>
      <c r="AV681" s="83">
        <f>SUM(Prog_236[[#This Row],[ADIANTAMENTO]]+Prog_236[[#This Row],[SALDO]]+Prog_236[[#This Row],[MARGEM]]+Prog_236[[#This Row],[ESTADIA 1]])</f>
        <v>0</v>
      </c>
      <c r="AW6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1" s="81"/>
      <c r="AY681" s="81"/>
      <c r="AZ681" s="81">
        <f>Prog_236[[#This Row],[VLR NF]]*0.1%</f>
        <v>0</v>
      </c>
      <c r="BA681" s="81">
        <f>Prog_236[[#This Row],[VLR NF]]*0.05%</f>
        <v>0</v>
      </c>
      <c r="BB681" s="81"/>
      <c r="BC681" s="81"/>
      <c r="BD681" s="81"/>
      <c r="BE681" s="81"/>
      <c r="BF681" s="81"/>
      <c r="BG681" s="81"/>
      <c r="BH681" s="81"/>
      <c r="BI681" s="81"/>
      <c r="BJ681" s="81"/>
      <c r="BK681" s="81"/>
      <c r="BL681" s="66"/>
      <c r="BM681" s="66"/>
      <c r="BN681" s="66"/>
      <c r="BO681" s="66" t="str">
        <f>PROPER(TEXT(Prog_236[[#This Row],[PROGRAMAÇÃO CLIENTE]],"mmm"))</f>
        <v>Jan</v>
      </c>
      <c r="BP681" s="66">
        <f>YEAR(Prog_236[[#This Row],[PROGRAMAÇÃO CLIENTE]])</f>
        <v>1900</v>
      </c>
    </row>
    <row r="682" spans="1:68" x14ac:dyDescent="0.25">
      <c r="A682" s="201">
        <f>Prog_236[[#This Row],[CONTEINER]]</f>
        <v>0</v>
      </c>
      <c r="B682" s="86"/>
      <c r="C6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2" s="44"/>
      <c r="E682" s="66"/>
      <c r="F682" s="66"/>
      <c r="G682" s="66"/>
      <c r="H682" s="44"/>
      <c r="I682" s="44"/>
      <c r="J682" s="66"/>
      <c r="K682" s="66"/>
      <c r="L682" s="66"/>
      <c r="M682" s="66"/>
      <c r="N682" s="66">
        <f>SUM(Prog_236[[#This Row],[TARA]]+Prog_236[[#This Row],[PESO]])</f>
        <v>0</v>
      </c>
      <c r="O682" s="44"/>
      <c r="P682" s="66"/>
      <c r="Q682" s="66"/>
      <c r="R682" s="66"/>
      <c r="S682" s="66"/>
      <c r="T682" s="138" t="str">
        <f>IFERROR(LOOKUP($S682,MOTORISTAS!$D$3:$D$1048576,MOTORISTAS!E$3:$E$1048576),"")</f>
        <v/>
      </c>
      <c r="U682" s="138" t="str">
        <f>IFERROR(LOOKUP($S682,MOTORISTAS!$D$3:$D$1048576,MOTORISTAS!F$3:$F$1048576),"")</f>
        <v/>
      </c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44"/>
      <c r="AG682" s="254">
        <f>Prog_236[[#This Row],[SAÍDA DO CLIENTE]]-Prog_236[[#This Row],[PROGRAMAÇÃO CLIENTE]]</f>
        <v>0</v>
      </c>
      <c r="AH682" s="44"/>
      <c r="AI682" s="66"/>
      <c r="AJ682" s="66"/>
      <c r="AK682" s="66"/>
      <c r="AL682" s="66"/>
      <c r="AM682" s="66"/>
      <c r="AN682" s="83"/>
      <c r="AO682" s="66"/>
      <c r="AP682" s="66"/>
      <c r="AQ682" s="66"/>
      <c r="AR682" s="81"/>
      <c r="AS682" s="81"/>
      <c r="AT682" s="81"/>
      <c r="AU682" s="81"/>
      <c r="AV682" s="83">
        <f>SUM(Prog_236[[#This Row],[ADIANTAMENTO]]+Prog_236[[#This Row],[SALDO]]+Prog_236[[#This Row],[MARGEM]]+Prog_236[[#This Row],[ESTADIA 1]])</f>
        <v>0</v>
      </c>
      <c r="AW6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2" s="81"/>
      <c r="AY682" s="81"/>
      <c r="AZ682" s="81">
        <f>Prog_236[[#This Row],[VLR NF]]*0.1%</f>
        <v>0</v>
      </c>
      <c r="BA682" s="81">
        <f>Prog_236[[#This Row],[VLR NF]]*0.05%</f>
        <v>0</v>
      </c>
      <c r="BB682" s="81"/>
      <c r="BC682" s="81"/>
      <c r="BD682" s="81"/>
      <c r="BE682" s="81"/>
      <c r="BF682" s="81"/>
      <c r="BG682" s="81"/>
      <c r="BH682" s="81"/>
      <c r="BI682" s="81"/>
      <c r="BJ682" s="81"/>
      <c r="BK682" s="81"/>
      <c r="BL682" s="66"/>
      <c r="BM682" s="66"/>
      <c r="BN682" s="66"/>
      <c r="BO682" s="66" t="str">
        <f>PROPER(TEXT(Prog_236[[#This Row],[PROGRAMAÇÃO CLIENTE]],"mmm"))</f>
        <v>Jan</v>
      </c>
      <c r="BP682" s="66">
        <f>YEAR(Prog_236[[#This Row],[PROGRAMAÇÃO CLIENTE]])</f>
        <v>1900</v>
      </c>
    </row>
    <row r="683" spans="1:68" x14ac:dyDescent="0.25">
      <c r="A683" s="200">
        <f>Prog_236[[#This Row],[CONTEINER]]</f>
        <v>0</v>
      </c>
      <c r="B683" s="86"/>
      <c r="C6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3" s="44"/>
      <c r="E683" s="66"/>
      <c r="F683" s="66"/>
      <c r="G683" s="66"/>
      <c r="H683" s="44"/>
      <c r="I683" s="44"/>
      <c r="J683" s="66"/>
      <c r="K683" s="66"/>
      <c r="L683" s="66"/>
      <c r="M683" s="66"/>
      <c r="N683" s="66">
        <f>SUM(Prog_236[[#This Row],[TARA]]+Prog_236[[#This Row],[PESO]])</f>
        <v>0</v>
      </c>
      <c r="O683" s="44"/>
      <c r="P683" s="66"/>
      <c r="Q683" s="66"/>
      <c r="R683" s="66"/>
      <c r="S683" s="66"/>
      <c r="T683" s="138" t="str">
        <f>IFERROR(LOOKUP($S683,MOTORISTAS!$D$3:$D$1048576,MOTORISTAS!E$3:$E$1048576),"")</f>
        <v/>
      </c>
      <c r="U683" s="138" t="str">
        <f>IFERROR(LOOKUP($S683,MOTORISTAS!$D$3:$D$1048576,MOTORISTAS!F$3:$F$1048576),"")</f>
        <v/>
      </c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44"/>
      <c r="AG683" s="254">
        <f>Prog_236[[#This Row],[SAÍDA DO CLIENTE]]-Prog_236[[#This Row],[PROGRAMAÇÃO CLIENTE]]</f>
        <v>0</v>
      </c>
      <c r="AH683" s="44"/>
      <c r="AI683" s="66"/>
      <c r="AJ683" s="66"/>
      <c r="AK683" s="66"/>
      <c r="AL683" s="66"/>
      <c r="AM683" s="66"/>
      <c r="AN683" s="83"/>
      <c r="AO683" s="66"/>
      <c r="AP683" s="66"/>
      <c r="AQ683" s="66"/>
      <c r="AR683" s="81"/>
      <c r="AS683" s="81"/>
      <c r="AT683" s="81"/>
      <c r="AU683" s="81"/>
      <c r="AV683" s="83">
        <f>SUM(Prog_236[[#This Row],[ADIANTAMENTO]]+Prog_236[[#This Row],[SALDO]]+Prog_236[[#This Row],[MARGEM]]+Prog_236[[#This Row],[ESTADIA 1]])</f>
        <v>0</v>
      </c>
      <c r="AW6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3" s="81"/>
      <c r="AY683" s="81"/>
      <c r="AZ683" s="81">
        <f>Prog_236[[#This Row],[VLR NF]]*0.1%</f>
        <v>0</v>
      </c>
      <c r="BA683" s="81">
        <f>Prog_236[[#This Row],[VLR NF]]*0.05%</f>
        <v>0</v>
      </c>
      <c r="BB683" s="81"/>
      <c r="BC683" s="81"/>
      <c r="BD683" s="81"/>
      <c r="BE683" s="81"/>
      <c r="BF683" s="81"/>
      <c r="BG683" s="81"/>
      <c r="BH683" s="81"/>
      <c r="BI683" s="81"/>
      <c r="BJ683" s="81"/>
      <c r="BK683" s="81"/>
      <c r="BL683" s="66"/>
      <c r="BM683" s="66"/>
      <c r="BN683" s="66"/>
      <c r="BO683" s="66" t="str">
        <f>PROPER(TEXT(Prog_236[[#This Row],[PROGRAMAÇÃO CLIENTE]],"mmm"))</f>
        <v>Jan</v>
      </c>
      <c r="BP683" s="66">
        <f>YEAR(Prog_236[[#This Row],[PROGRAMAÇÃO CLIENTE]])</f>
        <v>1900</v>
      </c>
    </row>
    <row r="684" spans="1:68" x14ac:dyDescent="0.25">
      <c r="A684" s="201">
        <f>Prog_236[[#This Row],[CONTEINER]]</f>
        <v>0</v>
      </c>
      <c r="B684" s="86"/>
      <c r="C6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4" s="44"/>
      <c r="E684" s="66"/>
      <c r="F684" s="66"/>
      <c r="G684" s="66"/>
      <c r="H684" s="44"/>
      <c r="I684" s="44"/>
      <c r="J684" s="66"/>
      <c r="K684" s="66"/>
      <c r="L684" s="66"/>
      <c r="M684" s="66"/>
      <c r="N684" s="66">
        <f>SUM(Prog_236[[#This Row],[TARA]]+Prog_236[[#This Row],[PESO]])</f>
        <v>0</v>
      </c>
      <c r="O684" s="44"/>
      <c r="P684" s="66"/>
      <c r="Q684" s="66"/>
      <c r="R684" s="66"/>
      <c r="S684" s="66"/>
      <c r="T684" s="138" t="str">
        <f>IFERROR(LOOKUP($S684,MOTORISTAS!$D$3:$D$1048576,MOTORISTAS!E$3:$E$1048576),"")</f>
        <v/>
      </c>
      <c r="U684" s="138" t="str">
        <f>IFERROR(LOOKUP($S684,MOTORISTAS!$D$3:$D$1048576,MOTORISTAS!F$3:$F$1048576),"")</f>
        <v/>
      </c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44"/>
      <c r="AG684" s="254">
        <f>Prog_236[[#This Row],[SAÍDA DO CLIENTE]]-Prog_236[[#This Row],[PROGRAMAÇÃO CLIENTE]]</f>
        <v>0</v>
      </c>
      <c r="AH684" s="44"/>
      <c r="AI684" s="66"/>
      <c r="AJ684" s="66"/>
      <c r="AK684" s="66"/>
      <c r="AL684" s="66"/>
      <c r="AM684" s="66"/>
      <c r="AN684" s="83"/>
      <c r="AO684" s="66"/>
      <c r="AP684" s="66"/>
      <c r="AQ684" s="66"/>
      <c r="AR684" s="81"/>
      <c r="AS684" s="81"/>
      <c r="AT684" s="81"/>
      <c r="AU684" s="81"/>
      <c r="AV684" s="83">
        <f>SUM(Prog_236[[#This Row],[ADIANTAMENTO]]+Prog_236[[#This Row],[SALDO]]+Prog_236[[#This Row],[MARGEM]]+Prog_236[[#This Row],[ESTADIA 1]])</f>
        <v>0</v>
      </c>
      <c r="AW6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4" s="81"/>
      <c r="AY684" s="81"/>
      <c r="AZ684" s="81">
        <f>Prog_236[[#This Row],[VLR NF]]*0.1%</f>
        <v>0</v>
      </c>
      <c r="BA684" s="81">
        <f>Prog_236[[#This Row],[VLR NF]]*0.05%</f>
        <v>0</v>
      </c>
      <c r="BB684" s="81"/>
      <c r="BC684" s="81"/>
      <c r="BD684" s="81"/>
      <c r="BE684" s="81"/>
      <c r="BF684" s="81"/>
      <c r="BG684" s="81"/>
      <c r="BH684" s="81"/>
      <c r="BI684" s="81"/>
      <c r="BJ684" s="81"/>
      <c r="BK684" s="81"/>
      <c r="BL684" s="66"/>
      <c r="BM684" s="66"/>
      <c r="BN684" s="66"/>
      <c r="BO684" s="66" t="str">
        <f>PROPER(TEXT(Prog_236[[#This Row],[PROGRAMAÇÃO CLIENTE]],"mmm"))</f>
        <v>Jan</v>
      </c>
      <c r="BP684" s="66">
        <f>YEAR(Prog_236[[#This Row],[PROGRAMAÇÃO CLIENTE]])</f>
        <v>1900</v>
      </c>
    </row>
    <row r="685" spans="1:68" x14ac:dyDescent="0.25">
      <c r="A685" s="200">
        <f>Prog_236[[#This Row],[CONTEINER]]</f>
        <v>0</v>
      </c>
      <c r="B685" s="86"/>
      <c r="C6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5" s="44"/>
      <c r="E685" s="66"/>
      <c r="F685" s="66"/>
      <c r="G685" s="66"/>
      <c r="H685" s="44"/>
      <c r="I685" s="44"/>
      <c r="J685" s="66"/>
      <c r="K685" s="66"/>
      <c r="L685" s="66"/>
      <c r="M685" s="66"/>
      <c r="N685" s="66">
        <f>SUM(Prog_236[[#This Row],[TARA]]+Prog_236[[#This Row],[PESO]])</f>
        <v>0</v>
      </c>
      <c r="O685" s="44"/>
      <c r="P685" s="66"/>
      <c r="Q685" s="66"/>
      <c r="R685" s="66"/>
      <c r="S685" s="66"/>
      <c r="T685" s="138" t="str">
        <f>IFERROR(LOOKUP($S685,MOTORISTAS!$D$3:$D$1048576,MOTORISTAS!E$3:$E$1048576),"")</f>
        <v/>
      </c>
      <c r="U685" s="138" t="str">
        <f>IFERROR(LOOKUP($S685,MOTORISTAS!$D$3:$D$1048576,MOTORISTAS!F$3:$F$1048576),"")</f>
        <v/>
      </c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44"/>
      <c r="AG685" s="254">
        <f>Prog_236[[#This Row],[SAÍDA DO CLIENTE]]-Prog_236[[#This Row],[PROGRAMAÇÃO CLIENTE]]</f>
        <v>0</v>
      </c>
      <c r="AH685" s="44"/>
      <c r="AI685" s="66"/>
      <c r="AJ685" s="66"/>
      <c r="AK685" s="66"/>
      <c r="AL685" s="66"/>
      <c r="AM685" s="66"/>
      <c r="AN685" s="83"/>
      <c r="AO685" s="66"/>
      <c r="AP685" s="66"/>
      <c r="AQ685" s="66"/>
      <c r="AR685" s="81"/>
      <c r="AS685" s="81"/>
      <c r="AT685" s="81"/>
      <c r="AU685" s="81"/>
      <c r="AV685" s="83">
        <f>SUM(Prog_236[[#This Row],[ADIANTAMENTO]]+Prog_236[[#This Row],[SALDO]]+Prog_236[[#This Row],[MARGEM]]+Prog_236[[#This Row],[ESTADIA 1]])</f>
        <v>0</v>
      </c>
      <c r="AW6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5" s="81"/>
      <c r="AY685" s="81"/>
      <c r="AZ685" s="81">
        <f>Prog_236[[#This Row],[VLR NF]]*0.1%</f>
        <v>0</v>
      </c>
      <c r="BA685" s="81">
        <f>Prog_236[[#This Row],[VLR NF]]*0.05%</f>
        <v>0</v>
      </c>
      <c r="BB685" s="81"/>
      <c r="BC685" s="81"/>
      <c r="BD685" s="81"/>
      <c r="BE685" s="81"/>
      <c r="BF685" s="81"/>
      <c r="BG685" s="81"/>
      <c r="BH685" s="81"/>
      <c r="BI685" s="81"/>
      <c r="BJ685" s="81"/>
      <c r="BK685" s="81"/>
      <c r="BL685" s="66"/>
      <c r="BM685" s="66"/>
      <c r="BN685" s="66"/>
      <c r="BO685" s="66" t="str">
        <f>PROPER(TEXT(Prog_236[[#This Row],[PROGRAMAÇÃO CLIENTE]],"mmm"))</f>
        <v>Jan</v>
      </c>
      <c r="BP685" s="66">
        <f>YEAR(Prog_236[[#This Row],[PROGRAMAÇÃO CLIENTE]])</f>
        <v>1900</v>
      </c>
    </row>
    <row r="686" spans="1:68" x14ac:dyDescent="0.25">
      <c r="A686" s="201">
        <f>Prog_236[[#This Row],[CONTEINER]]</f>
        <v>0</v>
      </c>
      <c r="B686" s="86"/>
      <c r="C6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6" s="44"/>
      <c r="E686" s="66"/>
      <c r="F686" s="66"/>
      <c r="G686" s="66"/>
      <c r="H686" s="44"/>
      <c r="I686" s="44"/>
      <c r="J686" s="66"/>
      <c r="K686" s="66"/>
      <c r="L686" s="66"/>
      <c r="M686" s="66"/>
      <c r="N686" s="66">
        <f>SUM(Prog_236[[#This Row],[TARA]]+Prog_236[[#This Row],[PESO]])</f>
        <v>0</v>
      </c>
      <c r="O686" s="44"/>
      <c r="P686" s="66"/>
      <c r="Q686" s="66"/>
      <c r="R686" s="66"/>
      <c r="S686" s="66"/>
      <c r="T686" s="138" t="str">
        <f>IFERROR(LOOKUP($S686,MOTORISTAS!$D$3:$D$1048576,MOTORISTAS!E$3:$E$1048576),"")</f>
        <v/>
      </c>
      <c r="U686" s="138" t="str">
        <f>IFERROR(LOOKUP($S686,MOTORISTAS!$D$3:$D$1048576,MOTORISTAS!F$3:$F$1048576),"")</f>
        <v/>
      </c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44"/>
      <c r="AG686" s="254">
        <f>Prog_236[[#This Row],[SAÍDA DO CLIENTE]]-Prog_236[[#This Row],[PROGRAMAÇÃO CLIENTE]]</f>
        <v>0</v>
      </c>
      <c r="AH686" s="44"/>
      <c r="AI686" s="66"/>
      <c r="AJ686" s="66"/>
      <c r="AK686" s="66"/>
      <c r="AL686" s="66"/>
      <c r="AM686" s="66"/>
      <c r="AN686" s="83"/>
      <c r="AO686" s="66"/>
      <c r="AP686" s="66"/>
      <c r="AQ686" s="66"/>
      <c r="AR686" s="81"/>
      <c r="AS686" s="81"/>
      <c r="AT686" s="81"/>
      <c r="AU686" s="81"/>
      <c r="AV686" s="83">
        <f>SUM(Prog_236[[#This Row],[ADIANTAMENTO]]+Prog_236[[#This Row],[SALDO]]+Prog_236[[#This Row],[MARGEM]]+Prog_236[[#This Row],[ESTADIA 1]])</f>
        <v>0</v>
      </c>
      <c r="AW6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6" s="81"/>
      <c r="AY686" s="81"/>
      <c r="AZ686" s="81">
        <f>Prog_236[[#This Row],[VLR NF]]*0.1%</f>
        <v>0</v>
      </c>
      <c r="BA686" s="81">
        <f>Prog_236[[#This Row],[VLR NF]]*0.05%</f>
        <v>0</v>
      </c>
      <c r="BB686" s="81"/>
      <c r="BC686" s="81"/>
      <c r="BD686" s="81"/>
      <c r="BE686" s="81"/>
      <c r="BF686" s="81"/>
      <c r="BG686" s="81"/>
      <c r="BH686" s="81"/>
      <c r="BI686" s="81"/>
      <c r="BJ686" s="81"/>
      <c r="BK686" s="81"/>
      <c r="BL686" s="66"/>
      <c r="BM686" s="66"/>
      <c r="BN686" s="66"/>
      <c r="BO686" s="66" t="str">
        <f>PROPER(TEXT(Prog_236[[#This Row],[PROGRAMAÇÃO CLIENTE]],"mmm"))</f>
        <v>Jan</v>
      </c>
      <c r="BP686" s="66">
        <f>YEAR(Prog_236[[#This Row],[PROGRAMAÇÃO CLIENTE]])</f>
        <v>1900</v>
      </c>
    </row>
    <row r="687" spans="1:68" x14ac:dyDescent="0.25">
      <c r="A687" s="200">
        <f>Prog_236[[#This Row],[CONTEINER]]</f>
        <v>0</v>
      </c>
      <c r="B687" s="86"/>
      <c r="C6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7" s="44"/>
      <c r="E687" s="66"/>
      <c r="F687" s="66"/>
      <c r="G687" s="66"/>
      <c r="H687" s="44"/>
      <c r="I687" s="44"/>
      <c r="J687" s="66"/>
      <c r="K687" s="66"/>
      <c r="L687" s="66"/>
      <c r="M687" s="66"/>
      <c r="N687" s="66">
        <f>SUM(Prog_236[[#This Row],[TARA]]+Prog_236[[#This Row],[PESO]])</f>
        <v>0</v>
      </c>
      <c r="O687" s="44"/>
      <c r="P687" s="66"/>
      <c r="Q687" s="66"/>
      <c r="R687" s="66"/>
      <c r="S687" s="66"/>
      <c r="T687" s="138" t="str">
        <f>IFERROR(LOOKUP($S687,MOTORISTAS!$D$3:$D$1048576,MOTORISTAS!E$3:$E$1048576),"")</f>
        <v/>
      </c>
      <c r="U687" s="138" t="str">
        <f>IFERROR(LOOKUP($S687,MOTORISTAS!$D$3:$D$1048576,MOTORISTAS!F$3:$F$1048576),"")</f>
        <v/>
      </c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44"/>
      <c r="AG687" s="254">
        <f>Prog_236[[#This Row],[SAÍDA DO CLIENTE]]-Prog_236[[#This Row],[PROGRAMAÇÃO CLIENTE]]</f>
        <v>0</v>
      </c>
      <c r="AH687" s="44"/>
      <c r="AI687" s="66"/>
      <c r="AJ687" s="66"/>
      <c r="AK687" s="66"/>
      <c r="AL687" s="66"/>
      <c r="AM687" s="66"/>
      <c r="AN687" s="83"/>
      <c r="AO687" s="66"/>
      <c r="AP687" s="66"/>
      <c r="AQ687" s="66"/>
      <c r="AR687" s="81"/>
      <c r="AS687" s="81"/>
      <c r="AT687" s="81"/>
      <c r="AU687" s="81"/>
      <c r="AV687" s="83">
        <f>SUM(Prog_236[[#This Row],[ADIANTAMENTO]]+Prog_236[[#This Row],[SALDO]]+Prog_236[[#This Row],[MARGEM]]+Prog_236[[#This Row],[ESTADIA 1]])</f>
        <v>0</v>
      </c>
      <c r="AW6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7" s="81"/>
      <c r="AY687" s="81"/>
      <c r="AZ687" s="81">
        <f>Prog_236[[#This Row],[VLR NF]]*0.1%</f>
        <v>0</v>
      </c>
      <c r="BA687" s="81">
        <f>Prog_236[[#This Row],[VLR NF]]*0.05%</f>
        <v>0</v>
      </c>
      <c r="BB687" s="81"/>
      <c r="BC687" s="81"/>
      <c r="BD687" s="81"/>
      <c r="BE687" s="81"/>
      <c r="BF687" s="81"/>
      <c r="BG687" s="81"/>
      <c r="BH687" s="81"/>
      <c r="BI687" s="81"/>
      <c r="BJ687" s="81"/>
      <c r="BK687" s="81"/>
      <c r="BL687" s="66"/>
      <c r="BM687" s="66"/>
      <c r="BN687" s="66"/>
      <c r="BO687" s="66" t="str">
        <f>PROPER(TEXT(Prog_236[[#This Row],[PROGRAMAÇÃO CLIENTE]],"mmm"))</f>
        <v>Jan</v>
      </c>
      <c r="BP687" s="66">
        <f>YEAR(Prog_236[[#This Row],[PROGRAMAÇÃO CLIENTE]])</f>
        <v>1900</v>
      </c>
    </row>
    <row r="688" spans="1:68" x14ac:dyDescent="0.25">
      <c r="A688" s="201">
        <f>Prog_236[[#This Row],[CONTEINER]]</f>
        <v>0</v>
      </c>
      <c r="B688" s="86"/>
      <c r="C6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8" s="44"/>
      <c r="E688" s="66"/>
      <c r="F688" s="66"/>
      <c r="G688" s="66"/>
      <c r="H688" s="44"/>
      <c r="I688" s="44"/>
      <c r="J688" s="66"/>
      <c r="K688" s="66"/>
      <c r="L688" s="66"/>
      <c r="M688" s="66"/>
      <c r="N688" s="66">
        <f>SUM(Prog_236[[#This Row],[TARA]]+Prog_236[[#This Row],[PESO]])</f>
        <v>0</v>
      </c>
      <c r="O688" s="44"/>
      <c r="P688" s="66"/>
      <c r="Q688" s="66"/>
      <c r="R688" s="66"/>
      <c r="S688" s="66"/>
      <c r="T688" s="138" t="str">
        <f>IFERROR(LOOKUP($S688,MOTORISTAS!$D$3:$D$1048576,MOTORISTAS!E$3:$E$1048576),"")</f>
        <v/>
      </c>
      <c r="U688" s="138" t="str">
        <f>IFERROR(LOOKUP($S688,MOTORISTAS!$D$3:$D$1048576,MOTORISTAS!F$3:$F$1048576),"")</f>
        <v/>
      </c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44"/>
      <c r="AG688" s="254">
        <f>Prog_236[[#This Row],[SAÍDA DO CLIENTE]]-Prog_236[[#This Row],[PROGRAMAÇÃO CLIENTE]]</f>
        <v>0</v>
      </c>
      <c r="AH688" s="44"/>
      <c r="AI688" s="66"/>
      <c r="AJ688" s="66"/>
      <c r="AK688" s="66"/>
      <c r="AL688" s="66"/>
      <c r="AM688" s="66"/>
      <c r="AN688" s="83"/>
      <c r="AO688" s="66"/>
      <c r="AP688" s="66"/>
      <c r="AQ688" s="66"/>
      <c r="AR688" s="81"/>
      <c r="AS688" s="81"/>
      <c r="AT688" s="81"/>
      <c r="AU688" s="81"/>
      <c r="AV688" s="83">
        <f>SUM(Prog_236[[#This Row],[ADIANTAMENTO]]+Prog_236[[#This Row],[SALDO]]+Prog_236[[#This Row],[MARGEM]]+Prog_236[[#This Row],[ESTADIA 1]])</f>
        <v>0</v>
      </c>
      <c r="AW6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8" s="81"/>
      <c r="AY688" s="81"/>
      <c r="AZ688" s="81">
        <f>Prog_236[[#This Row],[VLR NF]]*0.1%</f>
        <v>0</v>
      </c>
      <c r="BA688" s="81">
        <f>Prog_236[[#This Row],[VLR NF]]*0.05%</f>
        <v>0</v>
      </c>
      <c r="BB688" s="81"/>
      <c r="BC688" s="81"/>
      <c r="BD688" s="81"/>
      <c r="BE688" s="81"/>
      <c r="BF688" s="81"/>
      <c r="BG688" s="81"/>
      <c r="BH688" s="81"/>
      <c r="BI688" s="81"/>
      <c r="BJ688" s="81"/>
      <c r="BK688" s="81"/>
      <c r="BL688" s="66"/>
      <c r="BM688" s="66"/>
      <c r="BN688" s="66"/>
      <c r="BO688" s="66" t="str">
        <f>PROPER(TEXT(Prog_236[[#This Row],[PROGRAMAÇÃO CLIENTE]],"mmm"))</f>
        <v>Jan</v>
      </c>
      <c r="BP688" s="66">
        <f>YEAR(Prog_236[[#This Row],[PROGRAMAÇÃO CLIENTE]])</f>
        <v>1900</v>
      </c>
    </row>
    <row r="689" spans="1:68" x14ac:dyDescent="0.25">
      <c r="A689" s="200">
        <f>Prog_236[[#This Row],[CONTEINER]]</f>
        <v>0</v>
      </c>
      <c r="B689" s="86"/>
      <c r="C6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89" s="44"/>
      <c r="E689" s="66"/>
      <c r="F689" s="66"/>
      <c r="G689" s="66"/>
      <c r="H689" s="44"/>
      <c r="I689" s="44"/>
      <c r="J689" s="66"/>
      <c r="K689" s="66"/>
      <c r="L689" s="66"/>
      <c r="M689" s="66"/>
      <c r="N689" s="66">
        <f>SUM(Prog_236[[#This Row],[TARA]]+Prog_236[[#This Row],[PESO]])</f>
        <v>0</v>
      </c>
      <c r="O689" s="44"/>
      <c r="P689" s="66"/>
      <c r="Q689" s="66"/>
      <c r="R689" s="66"/>
      <c r="S689" s="66"/>
      <c r="T689" s="138" t="str">
        <f>IFERROR(LOOKUP($S689,MOTORISTAS!$D$3:$D$1048576,MOTORISTAS!E$3:$E$1048576),"")</f>
        <v/>
      </c>
      <c r="U689" s="138" t="str">
        <f>IFERROR(LOOKUP($S689,MOTORISTAS!$D$3:$D$1048576,MOTORISTAS!F$3:$F$1048576),"")</f>
        <v/>
      </c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44"/>
      <c r="AG689" s="254">
        <f>Prog_236[[#This Row],[SAÍDA DO CLIENTE]]-Prog_236[[#This Row],[PROGRAMAÇÃO CLIENTE]]</f>
        <v>0</v>
      </c>
      <c r="AH689" s="44"/>
      <c r="AI689" s="66"/>
      <c r="AJ689" s="66"/>
      <c r="AK689" s="66"/>
      <c r="AL689" s="66"/>
      <c r="AM689" s="66"/>
      <c r="AN689" s="83"/>
      <c r="AO689" s="66"/>
      <c r="AP689" s="66"/>
      <c r="AQ689" s="66"/>
      <c r="AR689" s="81"/>
      <c r="AS689" s="81"/>
      <c r="AT689" s="81"/>
      <c r="AU689" s="81"/>
      <c r="AV689" s="83">
        <f>SUM(Prog_236[[#This Row],[ADIANTAMENTO]]+Prog_236[[#This Row],[SALDO]]+Prog_236[[#This Row],[MARGEM]]+Prog_236[[#This Row],[ESTADIA 1]])</f>
        <v>0</v>
      </c>
      <c r="AW6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89" s="81"/>
      <c r="AY689" s="81"/>
      <c r="AZ689" s="81">
        <f>Prog_236[[#This Row],[VLR NF]]*0.1%</f>
        <v>0</v>
      </c>
      <c r="BA689" s="81">
        <f>Prog_236[[#This Row],[VLR NF]]*0.05%</f>
        <v>0</v>
      </c>
      <c r="BB689" s="81"/>
      <c r="BC689" s="81"/>
      <c r="BD689" s="81"/>
      <c r="BE689" s="81"/>
      <c r="BF689" s="81"/>
      <c r="BG689" s="81"/>
      <c r="BH689" s="81"/>
      <c r="BI689" s="81"/>
      <c r="BJ689" s="81"/>
      <c r="BK689" s="81"/>
      <c r="BL689" s="66"/>
      <c r="BM689" s="66"/>
      <c r="BN689" s="66"/>
      <c r="BO689" s="66" t="str">
        <f>PROPER(TEXT(Prog_236[[#This Row],[PROGRAMAÇÃO CLIENTE]],"mmm"))</f>
        <v>Jan</v>
      </c>
      <c r="BP689" s="66">
        <f>YEAR(Prog_236[[#This Row],[PROGRAMAÇÃO CLIENTE]])</f>
        <v>1900</v>
      </c>
    </row>
    <row r="690" spans="1:68" x14ac:dyDescent="0.25">
      <c r="A690" s="201">
        <f>Prog_236[[#This Row],[CONTEINER]]</f>
        <v>0</v>
      </c>
      <c r="B690" s="86"/>
      <c r="C6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0" s="44"/>
      <c r="E690" s="66"/>
      <c r="F690" s="66"/>
      <c r="G690" s="66"/>
      <c r="H690" s="44"/>
      <c r="I690" s="44"/>
      <c r="J690" s="66"/>
      <c r="K690" s="66"/>
      <c r="L690" s="66"/>
      <c r="M690" s="66"/>
      <c r="N690" s="66">
        <f>SUM(Prog_236[[#This Row],[TARA]]+Prog_236[[#This Row],[PESO]])</f>
        <v>0</v>
      </c>
      <c r="O690" s="44"/>
      <c r="P690" s="66"/>
      <c r="Q690" s="66"/>
      <c r="R690" s="66"/>
      <c r="S690" s="66"/>
      <c r="T690" s="138" t="str">
        <f>IFERROR(LOOKUP($S690,MOTORISTAS!$D$3:$D$1048576,MOTORISTAS!E$3:$E$1048576),"")</f>
        <v/>
      </c>
      <c r="U690" s="138" t="str">
        <f>IFERROR(LOOKUP($S690,MOTORISTAS!$D$3:$D$1048576,MOTORISTAS!F$3:$F$1048576),"")</f>
        <v/>
      </c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44"/>
      <c r="AG690" s="254">
        <f>Prog_236[[#This Row],[SAÍDA DO CLIENTE]]-Prog_236[[#This Row],[PROGRAMAÇÃO CLIENTE]]</f>
        <v>0</v>
      </c>
      <c r="AH690" s="44"/>
      <c r="AI690" s="66"/>
      <c r="AJ690" s="66"/>
      <c r="AK690" s="66"/>
      <c r="AL690" s="66"/>
      <c r="AM690" s="66"/>
      <c r="AN690" s="83"/>
      <c r="AO690" s="66"/>
      <c r="AP690" s="66"/>
      <c r="AQ690" s="66"/>
      <c r="AR690" s="81"/>
      <c r="AS690" s="81"/>
      <c r="AT690" s="81"/>
      <c r="AU690" s="81"/>
      <c r="AV690" s="83">
        <f>SUM(Prog_236[[#This Row],[ADIANTAMENTO]]+Prog_236[[#This Row],[SALDO]]+Prog_236[[#This Row],[MARGEM]]+Prog_236[[#This Row],[ESTADIA 1]])</f>
        <v>0</v>
      </c>
      <c r="AW6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0" s="81"/>
      <c r="AY690" s="81"/>
      <c r="AZ690" s="81">
        <f>Prog_236[[#This Row],[VLR NF]]*0.1%</f>
        <v>0</v>
      </c>
      <c r="BA690" s="81">
        <f>Prog_236[[#This Row],[VLR NF]]*0.05%</f>
        <v>0</v>
      </c>
      <c r="BB690" s="81"/>
      <c r="BC690" s="81"/>
      <c r="BD690" s="81"/>
      <c r="BE690" s="81"/>
      <c r="BF690" s="81"/>
      <c r="BG690" s="81"/>
      <c r="BH690" s="81"/>
      <c r="BI690" s="81"/>
      <c r="BJ690" s="81"/>
      <c r="BK690" s="81"/>
      <c r="BL690" s="66"/>
      <c r="BM690" s="66"/>
      <c r="BN690" s="66"/>
      <c r="BO690" s="66" t="str">
        <f>PROPER(TEXT(Prog_236[[#This Row],[PROGRAMAÇÃO CLIENTE]],"mmm"))</f>
        <v>Jan</v>
      </c>
      <c r="BP690" s="66">
        <f>YEAR(Prog_236[[#This Row],[PROGRAMAÇÃO CLIENTE]])</f>
        <v>1900</v>
      </c>
    </row>
    <row r="691" spans="1:68" x14ac:dyDescent="0.25">
      <c r="A691" s="200">
        <f>Prog_236[[#This Row],[CONTEINER]]</f>
        <v>0</v>
      </c>
      <c r="B691" s="86"/>
      <c r="C6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1" s="44"/>
      <c r="E691" s="66"/>
      <c r="F691" s="66"/>
      <c r="G691" s="66"/>
      <c r="H691" s="44"/>
      <c r="I691" s="44"/>
      <c r="J691" s="66"/>
      <c r="K691" s="66"/>
      <c r="L691" s="66"/>
      <c r="M691" s="66"/>
      <c r="N691" s="66">
        <f>SUM(Prog_236[[#This Row],[TARA]]+Prog_236[[#This Row],[PESO]])</f>
        <v>0</v>
      </c>
      <c r="O691" s="44"/>
      <c r="P691" s="66"/>
      <c r="Q691" s="66"/>
      <c r="R691" s="66"/>
      <c r="S691" s="66"/>
      <c r="T691" s="138" t="str">
        <f>IFERROR(LOOKUP($S691,MOTORISTAS!$D$3:$D$1048576,MOTORISTAS!E$3:$E$1048576),"")</f>
        <v/>
      </c>
      <c r="U691" s="138" t="str">
        <f>IFERROR(LOOKUP($S691,MOTORISTAS!$D$3:$D$1048576,MOTORISTAS!F$3:$F$1048576),"")</f>
        <v/>
      </c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44"/>
      <c r="AG691" s="254">
        <f>Prog_236[[#This Row],[SAÍDA DO CLIENTE]]-Prog_236[[#This Row],[PROGRAMAÇÃO CLIENTE]]</f>
        <v>0</v>
      </c>
      <c r="AH691" s="44"/>
      <c r="AI691" s="66"/>
      <c r="AJ691" s="66"/>
      <c r="AK691" s="66"/>
      <c r="AL691" s="66"/>
      <c r="AM691" s="66"/>
      <c r="AN691" s="83"/>
      <c r="AO691" s="66"/>
      <c r="AP691" s="66"/>
      <c r="AQ691" s="66"/>
      <c r="AR691" s="81"/>
      <c r="AS691" s="81"/>
      <c r="AT691" s="81"/>
      <c r="AU691" s="81"/>
      <c r="AV691" s="83">
        <f>SUM(Prog_236[[#This Row],[ADIANTAMENTO]]+Prog_236[[#This Row],[SALDO]]+Prog_236[[#This Row],[MARGEM]]+Prog_236[[#This Row],[ESTADIA 1]])</f>
        <v>0</v>
      </c>
      <c r="AW6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1" s="81"/>
      <c r="AY691" s="81"/>
      <c r="AZ691" s="81">
        <f>Prog_236[[#This Row],[VLR NF]]*0.1%</f>
        <v>0</v>
      </c>
      <c r="BA691" s="81">
        <f>Prog_236[[#This Row],[VLR NF]]*0.05%</f>
        <v>0</v>
      </c>
      <c r="BB691" s="81"/>
      <c r="BC691" s="81"/>
      <c r="BD691" s="81"/>
      <c r="BE691" s="81"/>
      <c r="BF691" s="81"/>
      <c r="BG691" s="81"/>
      <c r="BH691" s="81"/>
      <c r="BI691" s="81"/>
      <c r="BJ691" s="81"/>
      <c r="BK691" s="81"/>
      <c r="BL691" s="66"/>
      <c r="BM691" s="66"/>
      <c r="BN691" s="66"/>
      <c r="BO691" s="66" t="str">
        <f>PROPER(TEXT(Prog_236[[#This Row],[PROGRAMAÇÃO CLIENTE]],"mmm"))</f>
        <v>Jan</v>
      </c>
      <c r="BP691" s="66">
        <f>YEAR(Prog_236[[#This Row],[PROGRAMAÇÃO CLIENTE]])</f>
        <v>1900</v>
      </c>
    </row>
    <row r="692" spans="1:68" x14ac:dyDescent="0.25">
      <c r="A692" s="201">
        <f>Prog_236[[#This Row],[CONTEINER]]</f>
        <v>0</v>
      </c>
      <c r="B692" s="86"/>
      <c r="C6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2" s="44"/>
      <c r="E692" s="66"/>
      <c r="F692" s="66"/>
      <c r="G692" s="66"/>
      <c r="H692" s="44"/>
      <c r="I692" s="44"/>
      <c r="J692" s="66"/>
      <c r="K692" s="66"/>
      <c r="L692" s="66"/>
      <c r="M692" s="66"/>
      <c r="N692" s="66">
        <f>SUM(Prog_236[[#This Row],[TARA]]+Prog_236[[#This Row],[PESO]])</f>
        <v>0</v>
      </c>
      <c r="O692" s="44"/>
      <c r="P692" s="66"/>
      <c r="Q692" s="66"/>
      <c r="R692" s="66"/>
      <c r="S692" s="66"/>
      <c r="T692" s="138" t="str">
        <f>IFERROR(LOOKUP($S692,MOTORISTAS!$D$3:$D$1048576,MOTORISTAS!E$3:$E$1048576),"")</f>
        <v/>
      </c>
      <c r="U692" s="138" t="str">
        <f>IFERROR(LOOKUP($S692,MOTORISTAS!$D$3:$D$1048576,MOTORISTAS!F$3:$F$1048576),"")</f>
        <v/>
      </c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44"/>
      <c r="AG692" s="254">
        <f>Prog_236[[#This Row],[SAÍDA DO CLIENTE]]-Prog_236[[#This Row],[PROGRAMAÇÃO CLIENTE]]</f>
        <v>0</v>
      </c>
      <c r="AH692" s="44"/>
      <c r="AI692" s="66"/>
      <c r="AJ692" s="66"/>
      <c r="AK692" s="66"/>
      <c r="AL692" s="66"/>
      <c r="AM692" s="66"/>
      <c r="AN692" s="83"/>
      <c r="AO692" s="66"/>
      <c r="AP692" s="66"/>
      <c r="AQ692" s="66"/>
      <c r="AR692" s="81"/>
      <c r="AS692" s="81"/>
      <c r="AT692" s="81"/>
      <c r="AU692" s="81"/>
      <c r="AV692" s="83">
        <f>SUM(Prog_236[[#This Row],[ADIANTAMENTO]]+Prog_236[[#This Row],[SALDO]]+Prog_236[[#This Row],[MARGEM]]+Prog_236[[#This Row],[ESTADIA 1]])</f>
        <v>0</v>
      </c>
      <c r="AW6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2" s="81"/>
      <c r="AY692" s="81"/>
      <c r="AZ692" s="81">
        <f>Prog_236[[#This Row],[VLR NF]]*0.1%</f>
        <v>0</v>
      </c>
      <c r="BA692" s="81">
        <f>Prog_236[[#This Row],[VLR NF]]*0.05%</f>
        <v>0</v>
      </c>
      <c r="BB692" s="81"/>
      <c r="BC692" s="81"/>
      <c r="BD692" s="81"/>
      <c r="BE692" s="81"/>
      <c r="BF692" s="81"/>
      <c r="BG692" s="81"/>
      <c r="BH692" s="81"/>
      <c r="BI692" s="81"/>
      <c r="BJ692" s="81"/>
      <c r="BK692" s="81"/>
      <c r="BL692" s="66"/>
      <c r="BM692" s="66"/>
      <c r="BN692" s="66"/>
      <c r="BO692" s="66" t="str">
        <f>PROPER(TEXT(Prog_236[[#This Row],[PROGRAMAÇÃO CLIENTE]],"mmm"))</f>
        <v>Jan</v>
      </c>
      <c r="BP692" s="66">
        <f>YEAR(Prog_236[[#This Row],[PROGRAMAÇÃO CLIENTE]])</f>
        <v>1900</v>
      </c>
    </row>
    <row r="693" spans="1:68" x14ac:dyDescent="0.25">
      <c r="A693" s="200">
        <f>Prog_236[[#This Row],[CONTEINER]]</f>
        <v>0</v>
      </c>
      <c r="B693" s="86"/>
      <c r="C6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3" s="44"/>
      <c r="E693" s="66"/>
      <c r="F693" s="66"/>
      <c r="G693" s="66"/>
      <c r="H693" s="44"/>
      <c r="I693" s="44"/>
      <c r="J693" s="66"/>
      <c r="K693" s="66"/>
      <c r="L693" s="66"/>
      <c r="M693" s="66"/>
      <c r="N693" s="66">
        <f>SUM(Prog_236[[#This Row],[TARA]]+Prog_236[[#This Row],[PESO]])</f>
        <v>0</v>
      </c>
      <c r="O693" s="44"/>
      <c r="P693" s="66"/>
      <c r="Q693" s="66"/>
      <c r="R693" s="66"/>
      <c r="S693" s="66"/>
      <c r="T693" s="138" t="str">
        <f>IFERROR(LOOKUP($S693,MOTORISTAS!$D$3:$D$1048576,MOTORISTAS!E$3:$E$1048576),"")</f>
        <v/>
      </c>
      <c r="U693" s="138" t="str">
        <f>IFERROR(LOOKUP($S693,MOTORISTAS!$D$3:$D$1048576,MOTORISTAS!F$3:$F$1048576),"")</f>
        <v/>
      </c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44"/>
      <c r="AG693" s="254">
        <f>Prog_236[[#This Row],[SAÍDA DO CLIENTE]]-Prog_236[[#This Row],[PROGRAMAÇÃO CLIENTE]]</f>
        <v>0</v>
      </c>
      <c r="AH693" s="44"/>
      <c r="AI693" s="66"/>
      <c r="AJ693" s="66"/>
      <c r="AK693" s="66"/>
      <c r="AL693" s="66"/>
      <c r="AM693" s="66"/>
      <c r="AN693" s="83"/>
      <c r="AO693" s="66"/>
      <c r="AP693" s="66"/>
      <c r="AQ693" s="66"/>
      <c r="AR693" s="81"/>
      <c r="AS693" s="81"/>
      <c r="AT693" s="81"/>
      <c r="AU693" s="81"/>
      <c r="AV693" s="83">
        <f>SUM(Prog_236[[#This Row],[ADIANTAMENTO]]+Prog_236[[#This Row],[SALDO]]+Prog_236[[#This Row],[MARGEM]]+Prog_236[[#This Row],[ESTADIA 1]])</f>
        <v>0</v>
      </c>
      <c r="AW6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3" s="81"/>
      <c r="AY693" s="81"/>
      <c r="AZ693" s="81">
        <f>Prog_236[[#This Row],[VLR NF]]*0.1%</f>
        <v>0</v>
      </c>
      <c r="BA693" s="81">
        <f>Prog_236[[#This Row],[VLR NF]]*0.05%</f>
        <v>0</v>
      </c>
      <c r="BB693" s="81"/>
      <c r="BC693" s="81"/>
      <c r="BD693" s="81"/>
      <c r="BE693" s="81"/>
      <c r="BF693" s="81"/>
      <c r="BG693" s="81"/>
      <c r="BH693" s="81"/>
      <c r="BI693" s="81"/>
      <c r="BJ693" s="81"/>
      <c r="BK693" s="81"/>
      <c r="BL693" s="66"/>
      <c r="BM693" s="66"/>
      <c r="BN693" s="66"/>
      <c r="BO693" s="66" t="str">
        <f>PROPER(TEXT(Prog_236[[#This Row],[PROGRAMAÇÃO CLIENTE]],"mmm"))</f>
        <v>Jan</v>
      </c>
      <c r="BP693" s="66">
        <f>YEAR(Prog_236[[#This Row],[PROGRAMAÇÃO CLIENTE]])</f>
        <v>1900</v>
      </c>
    </row>
    <row r="694" spans="1:68" x14ac:dyDescent="0.25">
      <c r="A694" s="201">
        <f>Prog_236[[#This Row],[CONTEINER]]</f>
        <v>0</v>
      </c>
      <c r="B694" s="86"/>
      <c r="C6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4" s="44"/>
      <c r="E694" s="66"/>
      <c r="F694" s="66"/>
      <c r="G694" s="66"/>
      <c r="H694" s="44"/>
      <c r="I694" s="44"/>
      <c r="J694" s="66"/>
      <c r="K694" s="66"/>
      <c r="L694" s="66"/>
      <c r="M694" s="66"/>
      <c r="N694" s="66">
        <f>SUM(Prog_236[[#This Row],[TARA]]+Prog_236[[#This Row],[PESO]])</f>
        <v>0</v>
      </c>
      <c r="O694" s="44"/>
      <c r="P694" s="66"/>
      <c r="Q694" s="66"/>
      <c r="R694" s="66"/>
      <c r="S694" s="66"/>
      <c r="T694" s="138" t="str">
        <f>IFERROR(LOOKUP($S694,MOTORISTAS!$D$3:$D$1048576,MOTORISTAS!E$3:$E$1048576),"")</f>
        <v/>
      </c>
      <c r="U694" s="138" t="str">
        <f>IFERROR(LOOKUP($S694,MOTORISTAS!$D$3:$D$1048576,MOTORISTAS!F$3:$F$1048576),"")</f>
        <v/>
      </c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44"/>
      <c r="AG694" s="254">
        <f>Prog_236[[#This Row],[SAÍDA DO CLIENTE]]-Prog_236[[#This Row],[PROGRAMAÇÃO CLIENTE]]</f>
        <v>0</v>
      </c>
      <c r="AH694" s="44"/>
      <c r="AI694" s="66"/>
      <c r="AJ694" s="66"/>
      <c r="AK694" s="66"/>
      <c r="AL694" s="66"/>
      <c r="AM694" s="66"/>
      <c r="AN694" s="83"/>
      <c r="AO694" s="66"/>
      <c r="AP694" s="66"/>
      <c r="AQ694" s="66"/>
      <c r="AR694" s="81"/>
      <c r="AS694" s="81"/>
      <c r="AT694" s="81"/>
      <c r="AU694" s="81"/>
      <c r="AV694" s="83">
        <f>SUM(Prog_236[[#This Row],[ADIANTAMENTO]]+Prog_236[[#This Row],[SALDO]]+Prog_236[[#This Row],[MARGEM]]+Prog_236[[#This Row],[ESTADIA 1]])</f>
        <v>0</v>
      </c>
      <c r="AW6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4" s="81"/>
      <c r="AY694" s="81"/>
      <c r="AZ694" s="81">
        <f>Prog_236[[#This Row],[VLR NF]]*0.1%</f>
        <v>0</v>
      </c>
      <c r="BA694" s="81">
        <f>Prog_236[[#This Row],[VLR NF]]*0.05%</f>
        <v>0</v>
      </c>
      <c r="BB694" s="81"/>
      <c r="BC694" s="81"/>
      <c r="BD694" s="81"/>
      <c r="BE694" s="81"/>
      <c r="BF694" s="81"/>
      <c r="BG694" s="81"/>
      <c r="BH694" s="81"/>
      <c r="BI694" s="81"/>
      <c r="BJ694" s="81"/>
      <c r="BK694" s="81"/>
      <c r="BL694" s="66"/>
      <c r="BM694" s="66"/>
      <c r="BN694" s="66"/>
      <c r="BO694" s="66" t="str">
        <f>PROPER(TEXT(Prog_236[[#This Row],[PROGRAMAÇÃO CLIENTE]],"mmm"))</f>
        <v>Jan</v>
      </c>
      <c r="BP694" s="66">
        <f>YEAR(Prog_236[[#This Row],[PROGRAMAÇÃO CLIENTE]])</f>
        <v>1900</v>
      </c>
    </row>
    <row r="695" spans="1:68" x14ac:dyDescent="0.25">
      <c r="A695" s="200">
        <f>Prog_236[[#This Row],[CONTEINER]]</f>
        <v>0</v>
      </c>
      <c r="B695" s="86"/>
      <c r="C6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5" s="44"/>
      <c r="E695" s="66"/>
      <c r="F695" s="66"/>
      <c r="G695" s="66"/>
      <c r="H695" s="44"/>
      <c r="I695" s="44"/>
      <c r="J695" s="66"/>
      <c r="K695" s="66"/>
      <c r="L695" s="66"/>
      <c r="M695" s="66"/>
      <c r="N695" s="66">
        <f>SUM(Prog_236[[#This Row],[TARA]]+Prog_236[[#This Row],[PESO]])</f>
        <v>0</v>
      </c>
      <c r="O695" s="44"/>
      <c r="P695" s="66"/>
      <c r="Q695" s="66"/>
      <c r="R695" s="66"/>
      <c r="S695" s="66"/>
      <c r="T695" s="138" t="str">
        <f>IFERROR(LOOKUP($S695,MOTORISTAS!$D$3:$D$1048576,MOTORISTAS!E$3:$E$1048576),"")</f>
        <v/>
      </c>
      <c r="U695" s="138" t="str">
        <f>IFERROR(LOOKUP($S695,MOTORISTAS!$D$3:$D$1048576,MOTORISTAS!F$3:$F$1048576),"")</f>
        <v/>
      </c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44"/>
      <c r="AG695" s="254">
        <f>Prog_236[[#This Row],[SAÍDA DO CLIENTE]]-Prog_236[[#This Row],[PROGRAMAÇÃO CLIENTE]]</f>
        <v>0</v>
      </c>
      <c r="AH695" s="44"/>
      <c r="AI695" s="66"/>
      <c r="AJ695" s="66"/>
      <c r="AK695" s="66"/>
      <c r="AL695" s="66"/>
      <c r="AM695" s="66"/>
      <c r="AN695" s="83"/>
      <c r="AO695" s="66"/>
      <c r="AP695" s="66"/>
      <c r="AQ695" s="66"/>
      <c r="AR695" s="81"/>
      <c r="AS695" s="81"/>
      <c r="AT695" s="81"/>
      <c r="AU695" s="81"/>
      <c r="AV695" s="83">
        <f>SUM(Prog_236[[#This Row],[ADIANTAMENTO]]+Prog_236[[#This Row],[SALDO]]+Prog_236[[#This Row],[MARGEM]]+Prog_236[[#This Row],[ESTADIA 1]])</f>
        <v>0</v>
      </c>
      <c r="AW6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5" s="81"/>
      <c r="AY695" s="81"/>
      <c r="AZ695" s="81">
        <f>Prog_236[[#This Row],[VLR NF]]*0.1%</f>
        <v>0</v>
      </c>
      <c r="BA695" s="81">
        <f>Prog_236[[#This Row],[VLR NF]]*0.05%</f>
        <v>0</v>
      </c>
      <c r="BB695" s="81"/>
      <c r="BC695" s="81"/>
      <c r="BD695" s="81"/>
      <c r="BE695" s="81"/>
      <c r="BF695" s="81"/>
      <c r="BG695" s="81"/>
      <c r="BH695" s="81"/>
      <c r="BI695" s="81"/>
      <c r="BJ695" s="81"/>
      <c r="BK695" s="81"/>
      <c r="BL695" s="66"/>
      <c r="BM695" s="66"/>
      <c r="BN695" s="66"/>
      <c r="BO695" s="66" t="str">
        <f>PROPER(TEXT(Prog_236[[#This Row],[PROGRAMAÇÃO CLIENTE]],"mmm"))</f>
        <v>Jan</v>
      </c>
      <c r="BP695" s="66">
        <f>YEAR(Prog_236[[#This Row],[PROGRAMAÇÃO CLIENTE]])</f>
        <v>1900</v>
      </c>
    </row>
    <row r="696" spans="1:68" x14ac:dyDescent="0.25">
      <c r="A696" s="201">
        <f>Prog_236[[#This Row],[CONTEINER]]</f>
        <v>0</v>
      </c>
      <c r="B696" s="86"/>
      <c r="C6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6" s="44"/>
      <c r="E696" s="66"/>
      <c r="F696" s="66"/>
      <c r="G696" s="66"/>
      <c r="H696" s="44"/>
      <c r="I696" s="44"/>
      <c r="J696" s="66"/>
      <c r="K696" s="66"/>
      <c r="L696" s="66"/>
      <c r="M696" s="66"/>
      <c r="N696" s="66">
        <f>SUM(Prog_236[[#This Row],[TARA]]+Prog_236[[#This Row],[PESO]])</f>
        <v>0</v>
      </c>
      <c r="O696" s="44"/>
      <c r="P696" s="66"/>
      <c r="Q696" s="66"/>
      <c r="R696" s="66"/>
      <c r="S696" s="66"/>
      <c r="T696" s="138" t="str">
        <f>IFERROR(LOOKUP($S696,MOTORISTAS!$D$3:$D$1048576,MOTORISTAS!E$3:$E$1048576),"")</f>
        <v/>
      </c>
      <c r="U696" s="138" t="str">
        <f>IFERROR(LOOKUP($S696,MOTORISTAS!$D$3:$D$1048576,MOTORISTAS!F$3:$F$1048576),"")</f>
        <v/>
      </c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44"/>
      <c r="AG696" s="254">
        <f>Prog_236[[#This Row],[SAÍDA DO CLIENTE]]-Prog_236[[#This Row],[PROGRAMAÇÃO CLIENTE]]</f>
        <v>0</v>
      </c>
      <c r="AH696" s="44"/>
      <c r="AI696" s="66"/>
      <c r="AJ696" s="66"/>
      <c r="AK696" s="66"/>
      <c r="AL696" s="66"/>
      <c r="AM696" s="66"/>
      <c r="AN696" s="83"/>
      <c r="AO696" s="66"/>
      <c r="AP696" s="66"/>
      <c r="AQ696" s="66"/>
      <c r="AR696" s="81"/>
      <c r="AS696" s="81"/>
      <c r="AT696" s="81"/>
      <c r="AU696" s="81"/>
      <c r="AV696" s="83">
        <f>SUM(Prog_236[[#This Row],[ADIANTAMENTO]]+Prog_236[[#This Row],[SALDO]]+Prog_236[[#This Row],[MARGEM]]+Prog_236[[#This Row],[ESTADIA 1]])</f>
        <v>0</v>
      </c>
      <c r="AW6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6" s="81"/>
      <c r="AY696" s="81"/>
      <c r="AZ696" s="81">
        <f>Prog_236[[#This Row],[VLR NF]]*0.1%</f>
        <v>0</v>
      </c>
      <c r="BA696" s="81">
        <f>Prog_236[[#This Row],[VLR NF]]*0.05%</f>
        <v>0</v>
      </c>
      <c r="BB696" s="81"/>
      <c r="BC696" s="81"/>
      <c r="BD696" s="81"/>
      <c r="BE696" s="81"/>
      <c r="BF696" s="81"/>
      <c r="BG696" s="81"/>
      <c r="BH696" s="81"/>
      <c r="BI696" s="81"/>
      <c r="BJ696" s="81"/>
      <c r="BK696" s="81"/>
      <c r="BL696" s="66"/>
      <c r="BM696" s="66"/>
      <c r="BN696" s="66"/>
      <c r="BO696" s="66" t="str">
        <f>PROPER(TEXT(Prog_236[[#This Row],[PROGRAMAÇÃO CLIENTE]],"mmm"))</f>
        <v>Jan</v>
      </c>
      <c r="BP696" s="66">
        <f>YEAR(Prog_236[[#This Row],[PROGRAMAÇÃO CLIENTE]])</f>
        <v>1900</v>
      </c>
    </row>
    <row r="697" spans="1:68" x14ac:dyDescent="0.25">
      <c r="A697" s="200">
        <f>Prog_236[[#This Row],[CONTEINER]]</f>
        <v>0</v>
      </c>
      <c r="B697" s="86"/>
      <c r="C6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7" s="44"/>
      <c r="E697" s="66"/>
      <c r="F697" s="66"/>
      <c r="G697" s="66"/>
      <c r="H697" s="44"/>
      <c r="I697" s="44"/>
      <c r="J697" s="66"/>
      <c r="K697" s="66"/>
      <c r="L697" s="66"/>
      <c r="M697" s="66"/>
      <c r="N697" s="66">
        <f>SUM(Prog_236[[#This Row],[TARA]]+Prog_236[[#This Row],[PESO]])</f>
        <v>0</v>
      </c>
      <c r="O697" s="44"/>
      <c r="P697" s="66"/>
      <c r="Q697" s="66"/>
      <c r="R697" s="66"/>
      <c r="S697" s="66"/>
      <c r="T697" s="138" t="str">
        <f>IFERROR(LOOKUP($S697,MOTORISTAS!$D$3:$D$1048576,MOTORISTAS!E$3:$E$1048576),"")</f>
        <v/>
      </c>
      <c r="U697" s="138" t="str">
        <f>IFERROR(LOOKUP($S697,MOTORISTAS!$D$3:$D$1048576,MOTORISTAS!F$3:$F$1048576),"")</f>
        <v/>
      </c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44"/>
      <c r="AG697" s="254">
        <f>Prog_236[[#This Row],[SAÍDA DO CLIENTE]]-Prog_236[[#This Row],[PROGRAMAÇÃO CLIENTE]]</f>
        <v>0</v>
      </c>
      <c r="AH697" s="44"/>
      <c r="AI697" s="66"/>
      <c r="AJ697" s="66"/>
      <c r="AK697" s="66"/>
      <c r="AL697" s="66"/>
      <c r="AM697" s="66"/>
      <c r="AN697" s="83"/>
      <c r="AO697" s="66"/>
      <c r="AP697" s="66"/>
      <c r="AQ697" s="66"/>
      <c r="AR697" s="81"/>
      <c r="AS697" s="81"/>
      <c r="AT697" s="81"/>
      <c r="AU697" s="81"/>
      <c r="AV697" s="83">
        <f>SUM(Prog_236[[#This Row],[ADIANTAMENTO]]+Prog_236[[#This Row],[SALDO]]+Prog_236[[#This Row],[MARGEM]]+Prog_236[[#This Row],[ESTADIA 1]])</f>
        <v>0</v>
      </c>
      <c r="AW6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7" s="81"/>
      <c r="AY697" s="81"/>
      <c r="AZ697" s="81">
        <f>Prog_236[[#This Row],[VLR NF]]*0.1%</f>
        <v>0</v>
      </c>
      <c r="BA697" s="81">
        <f>Prog_236[[#This Row],[VLR NF]]*0.05%</f>
        <v>0</v>
      </c>
      <c r="BB697" s="81"/>
      <c r="BC697" s="81"/>
      <c r="BD697" s="81"/>
      <c r="BE697" s="81"/>
      <c r="BF697" s="81"/>
      <c r="BG697" s="81"/>
      <c r="BH697" s="81"/>
      <c r="BI697" s="81"/>
      <c r="BJ697" s="81"/>
      <c r="BK697" s="81"/>
      <c r="BL697" s="66"/>
      <c r="BM697" s="66"/>
      <c r="BN697" s="66"/>
      <c r="BO697" s="66" t="str">
        <f>PROPER(TEXT(Prog_236[[#This Row],[PROGRAMAÇÃO CLIENTE]],"mmm"))</f>
        <v>Jan</v>
      </c>
      <c r="BP697" s="66">
        <f>YEAR(Prog_236[[#This Row],[PROGRAMAÇÃO CLIENTE]])</f>
        <v>1900</v>
      </c>
    </row>
    <row r="698" spans="1:68" x14ac:dyDescent="0.25">
      <c r="A698" s="201">
        <f>Prog_236[[#This Row],[CONTEINER]]</f>
        <v>0</v>
      </c>
      <c r="B698" s="86"/>
      <c r="C6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8" s="44"/>
      <c r="E698" s="66"/>
      <c r="F698" s="66"/>
      <c r="G698" s="66"/>
      <c r="H698" s="44"/>
      <c r="I698" s="44"/>
      <c r="J698" s="66"/>
      <c r="K698" s="66"/>
      <c r="L698" s="66"/>
      <c r="M698" s="66"/>
      <c r="N698" s="66">
        <f>SUM(Prog_236[[#This Row],[TARA]]+Prog_236[[#This Row],[PESO]])</f>
        <v>0</v>
      </c>
      <c r="O698" s="44"/>
      <c r="P698" s="66"/>
      <c r="Q698" s="66"/>
      <c r="R698" s="66"/>
      <c r="S698" s="66"/>
      <c r="T698" s="138" t="str">
        <f>IFERROR(LOOKUP($S698,MOTORISTAS!$D$3:$D$1048576,MOTORISTAS!E$3:$E$1048576),"")</f>
        <v/>
      </c>
      <c r="U698" s="138" t="str">
        <f>IFERROR(LOOKUP($S698,MOTORISTAS!$D$3:$D$1048576,MOTORISTAS!F$3:$F$1048576),"")</f>
        <v/>
      </c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44"/>
      <c r="AG698" s="254">
        <f>Prog_236[[#This Row],[SAÍDA DO CLIENTE]]-Prog_236[[#This Row],[PROGRAMAÇÃO CLIENTE]]</f>
        <v>0</v>
      </c>
      <c r="AH698" s="44"/>
      <c r="AI698" s="66"/>
      <c r="AJ698" s="66"/>
      <c r="AK698" s="66"/>
      <c r="AL698" s="66"/>
      <c r="AM698" s="66"/>
      <c r="AN698" s="83"/>
      <c r="AO698" s="66"/>
      <c r="AP698" s="66"/>
      <c r="AQ698" s="66"/>
      <c r="AR698" s="81"/>
      <c r="AS698" s="81"/>
      <c r="AT698" s="81"/>
      <c r="AU698" s="81"/>
      <c r="AV698" s="83">
        <f>SUM(Prog_236[[#This Row],[ADIANTAMENTO]]+Prog_236[[#This Row],[SALDO]]+Prog_236[[#This Row],[MARGEM]]+Prog_236[[#This Row],[ESTADIA 1]])</f>
        <v>0</v>
      </c>
      <c r="AW6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8" s="81"/>
      <c r="AY698" s="81"/>
      <c r="AZ698" s="81">
        <f>Prog_236[[#This Row],[VLR NF]]*0.1%</f>
        <v>0</v>
      </c>
      <c r="BA698" s="81">
        <f>Prog_236[[#This Row],[VLR NF]]*0.05%</f>
        <v>0</v>
      </c>
      <c r="BB698" s="81"/>
      <c r="BC698" s="81"/>
      <c r="BD698" s="81"/>
      <c r="BE698" s="81"/>
      <c r="BF698" s="81"/>
      <c r="BG698" s="81"/>
      <c r="BH698" s="81"/>
      <c r="BI698" s="81"/>
      <c r="BJ698" s="81"/>
      <c r="BK698" s="81"/>
      <c r="BL698" s="66"/>
      <c r="BM698" s="66"/>
      <c r="BN698" s="66"/>
      <c r="BO698" s="66" t="str">
        <f>PROPER(TEXT(Prog_236[[#This Row],[PROGRAMAÇÃO CLIENTE]],"mmm"))</f>
        <v>Jan</v>
      </c>
      <c r="BP698" s="66">
        <f>YEAR(Prog_236[[#This Row],[PROGRAMAÇÃO CLIENTE]])</f>
        <v>1900</v>
      </c>
    </row>
    <row r="699" spans="1:68" x14ac:dyDescent="0.25">
      <c r="A699" s="200">
        <f>Prog_236[[#This Row],[CONTEINER]]</f>
        <v>0</v>
      </c>
      <c r="B699" s="86"/>
      <c r="C6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699" s="44"/>
      <c r="E699" s="66"/>
      <c r="F699" s="66"/>
      <c r="G699" s="66"/>
      <c r="H699" s="44"/>
      <c r="I699" s="44"/>
      <c r="J699" s="66"/>
      <c r="K699" s="66"/>
      <c r="L699" s="66"/>
      <c r="M699" s="66"/>
      <c r="N699" s="66">
        <f>SUM(Prog_236[[#This Row],[TARA]]+Prog_236[[#This Row],[PESO]])</f>
        <v>0</v>
      </c>
      <c r="O699" s="44"/>
      <c r="P699" s="66"/>
      <c r="Q699" s="66"/>
      <c r="R699" s="66"/>
      <c r="S699" s="66"/>
      <c r="T699" s="138" t="str">
        <f>IFERROR(LOOKUP($S699,MOTORISTAS!$D$3:$D$1048576,MOTORISTAS!E$3:$E$1048576),"")</f>
        <v/>
      </c>
      <c r="U699" s="138" t="str">
        <f>IFERROR(LOOKUP($S699,MOTORISTAS!$D$3:$D$1048576,MOTORISTAS!F$3:$F$1048576),"")</f>
        <v/>
      </c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44"/>
      <c r="AG699" s="254">
        <f>Prog_236[[#This Row],[SAÍDA DO CLIENTE]]-Prog_236[[#This Row],[PROGRAMAÇÃO CLIENTE]]</f>
        <v>0</v>
      </c>
      <c r="AH699" s="44"/>
      <c r="AI699" s="66"/>
      <c r="AJ699" s="66"/>
      <c r="AK699" s="66"/>
      <c r="AL699" s="66"/>
      <c r="AM699" s="66"/>
      <c r="AN699" s="83"/>
      <c r="AO699" s="66"/>
      <c r="AP699" s="66"/>
      <c r="AQ699" s="66"/>
      <c r="AR699" s="81"/>
      <c r="AS699" s="81"/>
      <c r="AT699" s="81"/>
      <c r="AU699" s="81"/>
      <c r="AV699" s="83">
        <f>SUM(Prog_236[[#This Row],[ADIANTAMENTO]]+Prog_236[[#This Row],[SALDO]]+Prog_236[[#This Row],[MARGEM]]+Prog_236[[#This Row],[ESTADIA 1]])</f>
        <v>0</v>
      </c>
      <c r="AW6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699" s="81"/>
      <c r="AY699" s="81"/>
      <c r="AZ699" s="81">
        <f>Prog_236[[#This Row],[VLR NF]]*0.1%</f>
        <v>0</v>
      </c>
      <c r="BA699" s="81">
        <f>Prog_236[[#This Row],[VLR NF]]*0.05%</f>
        <v>0</v>
      </c>
      <c r="BB699" s="81"/>
      <c r="BC699" s="81"/>
      <c r="BD699" s="81"/>
      <c r="BE699" s="81"/>
      <c r="BF699" s="81"/>
      <c r="BG699" s="81"/>
      <c r="BH699" s="81"/>
      <c r="BI699" s="81"/>
      <c r="BJ699" s="81"/>
      <c r="BK699" s="81"/>
      <c r="BL699" s="66"/>
      <c r="BM699" s="66"/>
      <c r="BN699" s="66"/>
      <c r="BO699" s="66" t="str">
        <f>PROPER(TEXT(Prog_236[[#This Row],[PROGRAMAÇÃO CLIENTE]],"mmm"))</f>
        <v>Jan</v>
      </c>
      <c r="BP699" s="66">
        <f>YEAR(Prog_236[[#This Row],[PROGRAMAÇÃO CLIENTE]])</f>
        <v>1900</v>
      </c>
    </row>
    <row r="700" spans="1:68" x14ac:dyDescent="0.25">
      <c r="A700" s="201">
        <f>Prog_236[[#This Row],[CONTEINER]]</f>
        <v>0</v>
      </c>
      <c r="B700" s="86"/>
      <c r="C7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0" s="44"/>
      <c r="E700" s="66"/>
      <c r="F700" s="66"/>
      <c r="G700" s="66"/>
      <c r="H700" s="44"/>
      <c r="I700" s="44"/>
      <c r="J700" s="66"/>
      <c r="K700" s="66"/>
      <c r="L700" s="66"/>
      <c r="M700" s="66"/>
      <c r="N700" s="66">
        <f>SUM(Prog_236[[#This Row],[TARA]]+Prog_236[[#This Row],[PESO]])</f>
        <v>0</v>
      </c>
      <c r="O700" s="44"/>
      <c r="P700" s="66"/>
      <c r="Q700" s="66"/>
      <c r="R700" s="66"/>
      <c r="S700" s="66"/>
      <c r="T700" s="138" t="str">
        <f>IFERROR(LOOKUP($S700,MOTORISTAS!$D$3:$D$1048576,MOTORISTAS!E$3:$E$1048576),"")</f>
        <v/>
      </c>
      <c r="U700" s="138" t="str">
        <f>IFERROR(LOOKUP($S700,MOTORISTAS!$D$3:$D$1048576,MOTORISTAS!F$3:$F$1048576),"")</f>
        <v/>
      </c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44"/>
      <c r="AG700" s="254">
        <f>Prog_236[[#This Row],[SAÍDA DO CLIENTE]]-Prog_236[[#This Row],[PROGRAMAÇÃO CLIENTE]]</f>
        <v>0</v>
      </c>
      <c r="AH700" s="44"/>
      <c r="AI700" s="66"/>
      <c r="AJ700" s="66"/>
      <c r="AK700" s="66"/>
      <c r="AL700" s="66"/>
      <c r="AM700" s="66"/>
      <c r="AN700" s="83"/>
      <c r="AO700" s="66"/>
      <c r="AP700" s="66"/>
      <c r="AQ700" s="66"/>
      <c r="AR700" s="81"/>
      <c r="AS700" s="81"/>
      <c r="AT700" s="81"/>
      <c r="AU700" s="81"/>
      <c r="AV700" s="83">
        <f>SUM(Prog_236[[#This Row],[ADIANTAMENTO]]+Prog_236[[#This Row],[SALDO]]+Prog_236[[#This Row],[MARGEM]]+Prog_236[[#This Row],[ESTADIA 1]])</f>
        <v>0</v>
      </c>
      <c r="AW7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0" s="81"/>
      <c r="AY700" s="81"/>
      <c r="AZ700" s="81">
        <f>Prog_236[[#This Row],[VLR NF]]*0.1%</f>
        <v>0</v>
      </c>
      <c r="BA700" s="81">
        <f>Prog_236[[#This Row],[VLR NF]]*0.05%</f>
        <v>0</v>
      </c>
      <c r="BB700" s="81"/>
      <c r="BC700" s="81"/>
      <c r="BD700" s="81"/>
      <c r="BE700" s="81"/>
      <c r="BF700" s="81"/>
      <c r="BG700" s="81"/>
      <c r="BH700" s="81"/>
      <c r="BI700" s="81"/>
      <c r="BJ700" s="81"/>
      <c r="BK700" s="81"/>
      <c r="BL700" s="66"/>
      <c r="BM700" s="66"/>
      <c r="BN700" s="66"/>
      <c r="BO700" s="66" t="str">
        <f>PROPER(TEXT(Prog_236[[#This Row],[PROGRAMAÇÃO CLIENTE]],"mmm"))</f>
        <v>Jan</v>
      </c>
      <c r="BP700" s="66">
        <f>YEAR(Prog_236[[#This Row],[PROGRAMAÇÃO CLIENTE]])</f>
        <v>1900</v>
      </c>
    </row>
    <row r="701" spans="1:68" x14ac:dyDescent="0.25">
      <c r="A701" s="200">
        <f>Prog_236[[#This Row],[CONTEINER]]</f>
        <v>0</v>
      </c>
      <c r="B701" s="86"/>
      <c r="C7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1" s="44"/>
      <c r="E701" s="66"/>
      <c r="F701" s="66"/>
      <c r="G701" s="66"/>
      <c r="H701" s="44"/>
      <c r="I701" s="44"/>
      <c r="J701" s="66"/>
      <c r="K701" s="66"/>
      <c r="L701" s="66"/>
      <c r="M701" s="66"/>
      <c r="N701" s="66">
        <f>SUM(Prog_236[[#This Row],[TARA]]+Prog_236[[#This Row],[PESO]])</f>
        <v>0</v>
      </c>
      <c r="O701" s="44"/>
      <c r="P701" s="66"/>
      <c r="Q701" s="66"/>
      <c r="R701" s="66"/>
      <c r="S701" s="66"/>
      <c r="T701" s="138" t="str">
        <f>IFERROR(LOOKUP($S701,MOTORISTAS!$D$3:$D$1048576,MOTORISTAS!E$3:$E$1048576),"")</f>
        <v/>
      </c>
      <c r="U701" s="138" t="str">
        <f>IFERROR(LOOKUP($S701,MOTORISTAS!$D$3:$D$1048576,MOTORISTAS!F$3:$F$1048576),"")</f>
        <v/>
      </c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44"/>
      <c r="AG701" s="254">
        <f>Prog_236[[#This Row],[SAÍDA DO CLIENTE]]-Prog_236[[#This Row],[PROGRAMAÇÃO CLIENTE]]</f>
        <v>0</v>
      </c>
      <c r="AH701" s="44"/>
      <c r="AI701" s="66"/>
      <c r="AJ701" s="66"/>
      <c r="AK701" s="66"/>
      <c r="AL701" s="66"/>
      <c r="AM701" s="66"/>
      <c r="AN701" s="83"/>
      <c r="AO701" s="66"/>
      <c r="AP701" s="66"/>
      <c r="AQ701" s="66"/>
      <c r="AR701" s="81"/>
      <c r="AS701" s="81"/>
      <c r="AT701" s="81"/>
      <c r="AU701" s="81"/>
      <c r="AV701" s="83">
        <f>SUM(Prog_236[[#This Row],[ADIANTAMENTO]]+Prog_236[[#This Row],[SALDO]]+Prog_236[[#This Row],[MARGEM]]+Prog_236[[#This Row],[ESTADIA 1]])</f>
        <v>0</v>
      </c>
      <c r="AW7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1" s="81"/>
      <c r="AY701" s="81"/>
      <c r="AZ701" s="81">
        <f>Prog_236[[#This Row],[VLR NF]]*0.1%</f>
        <v>0</v>
      </c>
      <c r="BA701" s="81">
        <f>Prog_236[[#This Row],[VLR NF]]*0.05%</f>
        <v>0</v>
      </c>
      <c r="BB701" s="81"/>
      <c r="BC701" s="81"/>
      <c r="BD701" s="81"/>
      <c r="BE701" s="81"/>
      <c r="BF701" s="81"/>
      <c r="BG701" s="81"/>
      <c r="BH701" s="81"/>
      <c r="BI701" s="81"/>
      <c r="BJ701" s="81"/>
      <c r="BK701" s="81"/>
      <c r="BL701" s="66"/>
      <c r="BM701" s="66"/>
      <c r="BN701" s="66"/>
      <c r="BO701" s="66" t="str">
        <f>PROPER(TEXT(Prog_236[[#This Row],[PROGRAMAÇÃO CLIENTE]],"mmm"))</f>
        <v>Jan</v>
      </c>
      <c r="BP701" s="66">
        <f>YEAR(Prog_236[[#This Row],[PROGRAMAÇÃO CLIENTE]])</f>
        <v>1900</v>
      </c>
    </row>
    <row r="702" spans="1:68" x14ac:dyDescent="0.25">
      <c r="A702" s="201">
        <f>Prog_236[[#This Row],[CONTEINER]]</f>
        <v>0</v>
      </c>
      <c r="B702" s="86"/>
      <c r="C7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2" s="44"/>
      <c r="E702" s="66"/>
      <c r="F702" s="66"/>
      <c r="G702" s="66"/>
      <c r="H702" s="44"/>
      <c r="I702" s="44"/>
      <c r="J702" s="66"/>
      <c r="K702" s="66"/>
      <c r="L702" s="66"/>
      <c r="M702" s="66"/>
      <c r="N702" s="66">
        <f>SUM(Prog_236[[#This Row],[TARA]]+Prog_236[[#This Row],[PESO]])</f>
        <v>0</v>
      </c>
      <c r="O702" s="44"/>
      <c r="P702" s="66"/>
      <c r="Q702" s="66"/>
      <c r="R702" s="66"/>
      <c r="S702" s="66"/>
      <c r="T702" s="138" t="str">
        <f>IFERROR(LOOKUP($S702,MOTORISTAS!$D$3:$D$1048576,MOTORISTAS!E$3:$E$1048576),"")</f>
        <v/>
      </c>
      <c r="U702" s="138" t="str">
        <f>IFERROR(LOOKUP($S702,MOTORISTAS!$D$3:$D$1048576,MOTORISTAS!F$3:$F$1048576),"")</f>
        <v/>
      </c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44"/>
      <c r="AG702" s="254">
        <f>Prog_236[[#This Row],[SAÍDA DO CLIENTE]]-Prog_236[[#This Row],[PROGRAMAÇÃO CLIENTE]]</f>
        <v>0</v>
      </c>
      <c r="AH702" s="44"/>
      <c r="AI702" s="66"/>
      <c r="AJ702" s="66"/>
      <c r="AK702" s="66"/>
      <c r="AL702" s="66"/>
      <c r="AM702" s="66"/>
      <c r="AN702" s="83"/>
      <c r="AO702" s="66"/>
      <c r="AP702" s="66"/>
      <c r="AQ702" s="66"/>
      <c r="AR702" s="81"/>
      <c r="AS702" s="81"/>
      <c r="AT702" s="81"/>
      <c r="AU702" s="81"/>
      <c r="AV702" s="83">
        <f>SUM(Prog_236[[#This Row],[ADIANTAMENTO]]+Prog_236[[#This Row],[SALDO]]+Prog_236[[#This Row],[MARGEM]]+Prog_236[[#This Row],[ESTADIA 1]])</f>
        <v>0</v>
      </c>
      <c r="AW7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2" s="81"/>
      <c r="AY702" s="81"/>
      <c r="AZ702" s="81">
        <f>Prog_236[[#This Row],[VLR NF]]*0.1%</f>
        <v>0</v>
      </c>
      <c r="BA702" s="81">
        <f>Prog_236[[#This Row],[VLR NF]]*0.05%</f>
        <v>0</v>
      </c>
      <c r="BB702" s="81"/>
      <c r="BC702" s="81"/>
      <c r="BD702" s="81"/>
      <c r="BE702" s="81"/>
      <c r="BF702" s="81"/>
      <c r="BG702" s="81"/>
      <c r="BH702" s="81"/>
      <c r="BI702" s="81"/>
      <c r="BJ702" s="81"/>
      <c r="BK702" s="81"/>
      <c r="BL702" s="66"/>
      <c r="BM702" s="66"/>
      <c r="BN702" s="66"/>
      <c r="BO702" s="66" t="str">
        <f>PROPER(TEXT(Prog_236[[#This Row],[PROGRAMAÇÃO CLIENTE]],"mmm"))</f>
        <v>Jan</v>
      </c>
      <c r="BP702" s="66">
        <f>YEAR(Prog_236[[#This Row],[PROGRAMAÇÃO CLIENTE]])</f>
        <v>1900</v>
      </c>
    </row>
    <row r="703" spans="1:68" x14ac:dyDescent="0.25">
      <c r="A703" s="200">
        <f>Prog_236[[#This Row],[CONTEINER]]</f>
        <v>0</v>
      </c>
      <c r="B703" s="86"/>
      <c r="C7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3" s="44"/>
      <c r="E703" s="66"/>
      <c r="F703" s="66"/>
      <c r="G703" s="66"/>
      <c r="H703" s="44"/>
      <c r="I703" s="44"/>
      <c r="J703" s="66"/>
      <c r="K703" s="66"/>
      <c r="L703" s="66"/>
      <c r="M703" s="66"/>
      <c r="N703" s="66">
        <f>SUM(Prog_236[[#This Row],[TARA]]+Prog_236[[#This Row],[PESO]])</f>
        <v>0</v>
      </c>
      <c r="O703" s="44"/>
      <c r="P703" s="66"/>
      <c r="Q703" s="66"/>
      <c r="R703" s="66"/>
      <c r="S703" s="66"/>
      <c r="T703" s="138" t="str">
        <f>IFERROR(LOOKUP($S703,MOTORISTAS!$D$3:$D$1048576,MOTORISTAS!E$3:$E$1048576),"")</f>
        <v/>
      </c>
      <c r="U703" s="138" t="str">
        <f>IFERROR(LOOKUP($S703,MOTORISTAS!$D$3:$D$1048576,MOTORISTAS!F$3:$F$1048576),"")</f>
        <v/>
      </c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44"/>
      <c r="AG703" s="254">
        <f>Prog_236[[#This Row],[SAÍDA DO CLIENTE]]-Prog_236[[#This Row],[PROGRAMAÇÃO CLIENTE]]</f>
        <v>0</v>
      </c>
      <c r="AH703" s="44"/>
      <c r="AI703" s="66"/>
      <c r="AJ703" s="66"/>
      <c r="AK703" s="66"/>
      <c r="AL703" s="66"/>
      <c r="AM703" s="66"/>
      <c r="AN703" s="83"/>
      <c r="AO703" s="66"/>
      <c r="AP703" s="66"/>
      <c r="AQ703" s="66"/>
      <c r="AR703" s="81"/>
      <c r="AS703" s="81"/>
      <c r="AT703" s="81"/>
      <c r="AU703" s="81"/>
      <c r="AV703" s="83">
        <f>SUM(Prog_236[[#This Row],[ADIANTAMENTO]]+Prog_236[[#This Row],[SALDO]]+Prog_236[[#This Row],[MARGEM]]+Prog_236[[#This Row],[ESTADIA 1]])</f>
        <v>0</v>
      </c>
      <c r="AW7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3" s="81"/>
      <c r="AY703" s="81"/>
      <c r="AZ703" s="81">
        <f>Prog_236[[#This Row],[VLR NF]]*0.1%</f>
        <v>0</v>
      </c>
      <c r="BA703" s="81">
        <f>Prog_236[[#This Row],[VLR NF]]*0.05%</f>
        <v>0</v>
      </c>
      <c r="BB703" s="81"/>
      <c r="BC703" s="81"/>
      <c r="BD703" s="81"/>
      <c r="BE703" s="81"/>
      <c r="BF703" s="81"/>
      <c r="BG703" s="81"/>
      <c r="BH703" s="81"/>
      <c r="BI703" s="81"/>
      <c r="BJ703" s="81"/>
      <c r="BK703" s="81"/>
      <c r="BL703" s="66"/>
      <c r="BM703" s="66"/>
      <c r="BN703" s="66"/>
      <c r="BO703" s="66" t="str">
        <f>PROPER(TEXT(Prog_236[[#This Row],[PROGRAMAÇÃO CLIENTE]],"mmm"))</f>
        <v>Jan</v>
      </c>
      <c r="BP703" s="66">
        <f>YEAR(Prog_236[[#This Row],[PROGRAMAÇÃO CLIENTE]])</f>
        <v>1900</v>
      </c>
    </row>
    <row r="704" spans="1:68" x14ac:dyDescent="0.25">
      <c r="A704" s="201">
        <f>Prog_236[[#This Row],[CONTEINER]]</f>
        <v>0</v>
      </c>
      <c r="B704" s="86"/>
      <c r="C7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4" s="44"/>
      <c r="E704" s="66"/>
      <c r="F704" s="66"/>
      <c r="G704" s="66"/>
      <c r="H704" s="44"/>
      <c r="I704" s="44"/>
      <c r="J704" s="66"/>
      <c r="K704" s="66"/>
      <c r="L704" s="66"/>
      <c r="M704" s="66"/>
      <c r="N704" s="66">
        <f>SUM(Prog_236[[#This Row],[TARA]]+Prog_236[[#This Row],[PESO]])</f>
        <v>0</v>
      </c>
      <c r="O704" s="44"/>
      <c r="P704" s="66"/>
      <c r="Q704" s="66"/>
      <c r="R704" s="66"/>
      <c r="S704" s="66"/>
      <c r="T704" s="138" t="str">
        <f>IFERROR(LOOKUP($S704,MOTORISTAS!$D$3:$D$1048576,MOTORISTAS!E$3:$E$1048576),"")</f>
        <v/>
      </c>
      <c r="U704" s="138" t="str">
        <f>IFERROR(LOOKUP($S704,MOTORISTAS!$D$3:$D$1048576,MOTORISTAS!F$3:$F$1048576),"")</f>
        <v/>
      </c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44"/>
      <c r="AG704" s="254">
        <f>Prog_236[[#This Row],[SAÍDA DO CLIENTE]]-Prog_236[[#This Row],[PROGRAMAÇÃO CLIENTE]]</f>
        <v>0</v>
      </c>
      <c r="AH704" s="44"/>
      <c r="AI704" s="66"/>
      <c r="AJ704" s="66"/>
      <c r="AK704" s="66"/>
      <c r="AL704" s="66"/>
      <c r="AM704" s="66"/>
      <c r="AN704" s="83"/>
      <c r="AO704" s="66"/>
      <c r="AP704" s="66"/>
      <c r="AQ704" s="66"/>
      <c r="AR704" s="81"/>
      <c r="AS704" s="81"/>
      <c r="AT704" s="81"/>
      <c r="AU704" s="81"/>
      <c r="AV704" s="83">
        <f>SUM(Prog_236[[#This Row],[ADIANTAMENTO]]+Prog_236[[#This Row],[SALDO]]+Prog_236[[#This Row],[MARGEM]]+Prog_236[[#This Row],[ESTADIA 1]])</f>
        <v>0</v>
      </c>
      <c r="AW7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4" s="81"/>
      <c r="AY704" s="81"/>
      <c r="AZ704" s="81">
        <f>Prog_236[[#This Row],[VLR NF]]*0.1%</f>
        <v>0</v>
      </c>
      <c r="BA704" s="81">
        <f>Prog_236[[#This Row],[VLR NF]]*0.05%</f>
        <v>0</v>
      </c>
      <c r="BB704" s="81"/>
      <c r="BC704" s="81"/>
      <c r="BD704" s="81"/>
      <c r="BE704" s="81"/>
      <c r="BF704" s="81"/>
      <c r="BG704" s="81"/>
      <c r="BH704" s="81"/>
      <c r="BI704" s="81"/>
      <c r="BJ704" s="81"/>
      <c r="BK704" s="81"/>
      <c r="BL704" s="66"/>
      <c r="BM704" s="66"/>
      <c r="BN704" s="66"/>
      <c r="BO704" s="66" t="str">
        <f>PROPER(TEXT(Prog_236[[#This Row],[PROGRAMAÇÃO CLIENTE]],"mmm"))</f>
        <v>Jan</v>
      </c>
      <c r="BP704" s="66">
        <f>YEAR(Prog_236[[#This Row],[PROGRAMAÇÃO CLIENTE]])</f>
        <v>1900</v>
      </c>
    </row>
    <row r="705" spans="1:68" x14ac:dyDescent="0.25">
      <c r="A705" s="200">
        <f>Prog_236[[#This Row],[CONTEINER]]</f>
        <v>0</v>
      </c>
      <c r="B705" s="86"/>
      <c r="C7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5" s="44"/>
      <c r="E705" s="66"/>
      <c r="F705" s="66"/>
      <c r="G705" s="66"/>
      <c r="H705" s="44"/>
      <c r="I705" s="44"/>
      <c r="J705" s="66"/>
      <c r="K705" s="66"/>
      <c r="L705" s="66"/>
      <c r="M705" s="66"/>
      <c r="N705" s="66">
        <f>SUM(Prog_236[[#This Row],[TARA]]+Prog_236[[#This Row],[PESO]])</f>
        <v>0</v>
      </c>
      <c r="O705" s="44"/>
      <c r="P705" s="66"/>
      <c r="Q705" s="66"/>
      <c r="R705" s="66"/>
      <c r="S705" s="66"/>
      <c r="T705" s="138" t="str">
        <f>IFERROR(LOOKUP($S705,MOTORISTAS!$D$3:$D$1048576,MOTORISTAS!E$3:$E$1048576),"")</f>
        <v/>
      </c>
      <c r="U705" s="138" t="str">
        <f>IFERROR(LOOKUP($S705,MOTORISTAS!$D$3:$D$1048576,MOTORISTAS!F$3:$F$1048576),"")</f>
        <v/>
      </c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44"/>
      <c r="AG705" s="254">
        <f>Prog_236[[#This Row],[SAÍDA DO CLIENTE]]-Prog_236[[#This Row],[PROGRAMAÇÃO CLIENTE]]</f>
        <v>0</v>
      </c>
      <c r="AH705" s="44"/>
      <c r="AI705" s="66"/>
      <c r="AJ705" s="66"/>
      <c r="AK705" s="66"/>
      <c r="AL705" s="66"/>
      <c r="AM705" s="66"/>
      <c r="AN705" s="83"/>
      <c r="AO705" s="66"/>
      <c r="AP705" s="66"/>
      <c r="AQ705" s="66"/>
      <c r="AR705" s="81"/>
      <c r="AS705" s="81"/>
      <c r="AT705" s="81"/>
      <c r="AU705" s="81"/>
      <c r="AV705" s="83">
        <f>SUM(Prog_236[[#This Row],[ADIANTAMENTO]]+Prog_236[[#This Row],[SALDO]]+Prog_236[[#This Row],[MARGEM]]+Prog_236[[#This Row],[ESTADIA 1]])</f>
        <v>0</v>
      </c>
      <c r="AW7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5" s="81"/>
      <c r="AY705" s="81"/>
      <c r="AZ705" s="81">
        <f>Prog_236[[#This Row],[VLR NF]]*0.1%</f>
        <v>0</v>
      </c>
      <c r="BA705" s="81">
        <f>Prog_236[[#This Row],[VLR NF]]*0.05%</f>
        <v>0</v>
      </c>
      <c r="BB705" s="81"/>
      <c r="BC705" s="81"/>
      <c r="BD705" s="81"/>
      <c r="BE705" s="81"/>
      <c r="BF705" s="81"/>
      <c r="BG705" s="81"/>
      <c r="BH705" s="81"/>
      <c r="BI705" s="81"/>
      <c r="BJ705" s="81"/>
      <c r="BK705" s="81"/>
      <c r="BL705" s="66"/>
      <c r="BM705" s="66"/>
      <c r="BN705" s="66"/>
      <c r="BO705" s="66" t="str">
        <f>PROPER(TEXT(Prog_236[[#This Row],[PROGRAMAÇÃO CLIENTE]],"mmm"))</f>
        <v>Jan</v>
      </c>
      <c r="BP705" s="66">
        <f>YEAR(Prog_236[[#This Row],[PROGRAMAÇÃO CLIENTE]])</f>
        <v>1900</v>
      </c>
    </row>
    <row r="706" spans="1:68" x14ac:dyDescent="0.25">
      <c r="A706" s="201">
        <f>Prog_236[[#This Row],[CONTEINER]]</f>
        <v>0</v>
      </c>
      <c r="B706" s="86"/>
      <c r="C7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6" s="44"/>
      <c r="E706" s="66"/>
      <c r="F706" s="66"/>
      <c r="G706" s="66"/>
      <c r="H706" s="44"/>
      <c r="I706" s="44"/>
      <c r="J706" s="66"/>
      <c r="K706" s="66"/>
      <c r="L706" s="66"/>
      <c r="M706" s="66"/>
      <c r="N706" s="66">
        <f>SUM(Prog_236[[#This Row],[TARA]]+Prog_236[[#This Row],[PESO]])</f>
        <v>0</v>
      </c>
      <c r="O706" s="44"/>
      <c r="P706" s="66"/>
      <c r="Q706" s="66"/>
      <c r="R706" s="66"/>
      <c r="S706" s="66"/>
      <c r="T706" s="138" t="str">
        <f>IFERROR(LOOKUP($S706,MOTORISTAS!$D$3:$D$1048576,MOTORISTAS!E$3:$E$1048576),"")</f>
        <v/>
      </c>
      <c r="U706" s="138" t="str">
        <f>IFERROR(LOOKUP($S706,MOTORISTAS!$D$3:$D$1048576,MOTORISTAS!F$3:$F$1048576),"")</f>
        <v/>
      </c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44"/>
      <c r="AG706" s="254">
        <f>Prog_236[[#This Row],[SAÍDA DO CLIENTE]]-Prog_236[[#This Row],[PROGRAMAÇÃO CLIENTE]]</f>
        <v>0</v>
      </c>
      <c r="AH706" s="44"/>
      <c r="AI706" s="66"/>
      <c r="AJ706" s="66"/>
      <c r="AK706" s="66"/>
      <c r="AL706" s="66"/>
      <c r="AM706" s="66"/>
      <c r="AN706" s="83"/>
      <c r="AO706" s="66"/>
      <c r="AP706" s="66"/>
      <c r="AQ706" s="66"/>
      <c r="AR706" s="81"/>
      <c r="AS706" s="81"/>
      <c r="AT706" s="81"/>
      <c r="AU706" s="81"/>
      <c r="AV706" s="83">
        <f>SUM(Prog_236[[#This Row],[ADIANTAMENTO]]+Prog_236[[#This Row],[SALDO]]+Prog_236[[#This Row],[MARGEM]]+Prog_236[[#This Row],[ESTADIA 1]])</f>
        <v>0</v>
      </c>
      <c r="AW7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6" s="81"/>
      <c r="AY706" s="81"/>
      <c r="AZ706" s="81">
        <f>Prog_236[[#This Row],[VLR NF]]*0.1%</f>
        <v>0</v>
      </c>
      <c r="BA706" s="81">
        <f>Prog_236[[#This Row],[VLR NF]]*0.05%</f>
        <v>0</v>
      </c>
      <c r="BB706" s="81"/>
      <c r="BC706" s="81"/>
      <c r="BD706" s="81"/>
      <c r="BE706" s="81"/>
      <c r="BF706" s="81"/>
      <c r="BG706" s="81"/>
      <c r="BH706" s="81"/>
      <c r="BI706" s="81"/>
      <c r="BJ706" s="81"/>
      <c r="BK706" s="81"/>
      <c r="BL706" s="66"/>
      <c r="BM706" s="66"/>
      <c r="BN706" s="66"/>
      <c r="BO706" s="66" t="str">
        <f>PROPER(TEXT(Prog_236[[#This Row],[PROGRAMAÇÃO CLIENTE]],"mmm"))</f>
        <v>Jan</v>
      </c>
      <c r="BP706" s="66">
        <f>YEAR(Prog_236[[#This Row],[PROGRAMAÇÃO CLIENTE]])</f>
        <v>1900</v>
      </c>
    </row>
    <row r="707" spans="1:68" x14ac:dyDescent="0.25">
      <c r="A707" s="200">
        <f>Prog_236[[#This Row],[CONTEINER]]</f>
        <v>0</v>
      </c>
      <c r="B707" s="86"/>
      <c r="C7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7" s="44"/>
      <c r="E707" s="66"/>
      <c r="F707" s="66"/>
      <c r="G707" s="66"/>
      <c r="H707" s="44"/>
      <c r="I707" s="44"/>
      <c r="J707" s="66"/>
      <c r="K707" s="66"/>
      <c r="L707" s="66"/>
      <c r="M707" s="66"/>
      <c r="N707" s="66">
        <f>SUM(Prog_236[[#This Row],[TARA]]+Prog_236[[#This Row],[PESO]])</f>
        <v>0</v>
      </c>
      <c r="O707" s="44"/>
      <c r="P707" s="66"/>
      <c r="Q707" s="66"/>
      <c r="R707" s="66"/>
      <c r="S707" s="66"/>
      <c r="T707" s="138" t="str">
        <f>IFERROR(LOOKUP($S707,MOTORISTAS!$D$3:$D$1048576,MOTORISTAS!E$3:$E$1048576),"")</f>
        <v/>
      </c>
      <c r="U707" s="138" t="str">
        <f>IFERROR(LOOKUP($S707,MOTORISTAS!$D$3:$D$1048576,MOTORISTAS!F$3:$F$1048576),"")</f>
        <v/>
      </c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44"/>
      <c r="AG707" s="254">
        <f>Prog_236[[#This Row],[SAÍDA DO CLIENTE]]-Prog_236[[#This Row],[PROGRAMAÇÃO CLIENTE]]</f>
        <v>0</v>
      </c>
      <c r="AH707" s="44"/>
      <c r="AI707" s="66"/>
      <c r="AJ707" s="66"/>
      <c r="AK707" s="66"/>
      <c r="AL707" s="66"/>
      <c r="AM707" s="66"/>
      <c r="AN707" s="83"/>
      <c r="AO707" s="66"/>
      <c r="AP707" s="66"/>
      <c r="AQ707" s="66"/>
      <c r="AR707" s="81"/>
      <c r="AS707" s="81"/>
      <c r="AT707" s="81"/>
      <c r="AU707" s="81"/>
      <c r="AV707" s="83">
        <f>SUM(Prog_236[[#This Row],[ADIANTAMENTO]]+Prog_236[[#This Row],[SALDO]]+Prog_236[[#This Row],[MARGEM]]+Prog_236[[#This Row],[ESTADIA 1]])</f>
        <v>0</v>
      </c>
      <c r="AW7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7" s="81"/>
      <c r="AY707" s="81"/>
      <c r="AZ707" s="81">
        <f>Prog_236[[#This Row],[VLR NF]]*0.1%</f>
        <v>0</v>
      </c>
      <c r="BA707" s="81">
        <f>Prog_236[[#This Row],[VLR NF]]*0.05%</f>
        <v>0</v>
      </c>
      <c r="BB707" s="81"/>
      <c r="BC707" s="81"/>
      <c r="BD707" s="81"/>
      <c r="BE707" s="81"/>
      <c r="BF707" s="81"/>
      <c r="BG707" s="81"/>
      <c r="BH707" s="81"/>
      <c r="BI707" s="81"/>
      <c r="BJ707" s="81"/>
      <c r="BK707" s="81"/>
      <c r="BL707" s="66"/>
      <c r="BM707" s="66"/>
      <c r="BN707" s="66"/>
      <c r="BO707" s="66" t="str">
        <f>PROPER(TEXT(Prog_236[[#This Row],[PROGRAMAÇÃO CLIENTE]],"mmm"))</f>
        <v>Jan</v>
      </c>
      <c r="BP707" s="66">
        <f>YEAR(Prog_236[[#This Row],[PROGRAMAÇÃO CLIENTE]])</f>
        <v>1900</v>
      </c>
    </row>
    <row r="708" spans="1:68" x14ac:dyDescent="0.25">
      <c r="A708" s="201">
        <f>Prog_236[[#This Row],[CONTEINER]]</f>
        <v>0</v>
      </c>
      <c r="B708" s="86"/>
      <c r="C7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8" s="44"/>
      <c r="E708" s="66"/>
      <c r="F708" s="66"/>
      <c r="G708" s="66"/>
      <c r="H708" s="44"/>
      <c r="I708" s="44"/>
      <c r="J708" s="66"/>
      <c r="K708" s="66"/>
      <c r="L708" s="66"/>
      <c r="M708" s="66"/>
      <c r="N708" s="66">
        <f>SUM(Prog_236[[#This Row],[TARA]]+Prog_236[[#This Row],[PESO]])</f>
        <v>0</v>
      </c>
      <c r="O708" s="44"/>
      <c r="P708" s="66"/>
      <c r="Q708" s="66"/>
      <c r="R708" s="66"/>
      <c r="S708" s="66"/>
      <c r="T708" s="138" t="str">
        <f>IFERROR(LOOKUP($S708,MOTORISTAS!$D$3:$D$1048576,MOTORISTAS!E$3:$E$1048576),"")</f>
        <v/>
      </c>
      <c r="U708" s="138" t="str">
        <f>IFERROR(LOOKUP($S708,MOTORISTAS!$D$3:$D$1048576,MOTORISTAS!F$3:$F$1048576),"")</f>
        <v/>
      </c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44"/>
      <c r="AG708" s="254">
        <f>Prog_236[[#This Row],[SAÍDA DO CLIENTE]]-Prog_236[[#This Row],[PROGRAMAÇÃO CLIENTE]]</f>
        <v>0</v>
      </c>
      <c r="AH708" s="44"/>
      <c r="AI708" s="66"/>
      <c r="AJ708" s="66"/>
      <c r="AK708" s="66"/>
      <c r="AL708" s="66"/>
      <c r="AM708" s="66"/>
      <c r="AN708" s="83"/>
      <c r="AO708" s="66"/>
      <c r="AP708" s="66"/>
      <c r="AQ708" s="66"/>
      <c r="AR708" s="81"/>
      <c r="AS708" s="81"/>
      <c r="AT708" s="81"/>
      <c r="AU708" s="81"/>
      <c r="AV708" s="83">
        <f>SUM(Prog_236[[#This Row],[ADIANTAMENTO]]+Prog_236[[#This Row],[SALDO]]+Prog_236[[#This Row],[MARGEM]]+Prog_236[[#This Row],[ESTADIA 1]])</f>
        <v>0</v>
      </c>
      <c r="AW7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8" s="81"/>
      <c r="AY708" s="81"/>
      <c r="AZ708" s="81">
        <f>Prog_236[[#This Row],[VLR NF]]*0.1%</f>
        <v>0</v>
      </c>
      <c r="BA708" s="81">
        <f>Prog_236[[#This Row],[VLR NF]]*0.05%</f>
        <v>0</v>
      </c>
      <c r="BB708" s="81"/>
      <c r="BC708" s="81"/>
      <c r="BD708" s="81"/>
      <c r="BE708" s="81"/>
      <c r="BF708" s="81"/>
      <c r="BG708" s="81"/>
      <c r="BH708" s="81"/>
      <c r="BI708" s="81"/>
      <c r="BJ708" s="81"/>
      <c r="BK708" s="81"/>
      <c r="BL708" s="66"/>
      <c r="BM708" s="66"/>
      <c r="BN708" s="66"/>
      <c r="BO708" s="66" t="str">
        <f>PROPER(TEXT(Prog_236[[#This Row],[PROGRAMAÇÃO CLIENTE]],"mmm"))</f>
        <v>Jan</v>
      </c>
      <c r="BP708" s="66">
        <f>YEAR(Prog_236[[#This Row],[PROGRAMAÇÃO CLIENTE]])</f>
        <v>1900</v>
      </c>
    </row>
    <row r="709" spans="1:68" x14ac:dyDescent="0.25">
      <c r="A709" s="200">
        <f>Prog_236[[#This Row],[CONTEINER]]</f>
        <v>0</v>
      </c>
      <c r="B709" s="86"/>
      <c r="C7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09" s="44"/>
      <c r="E709" s="66"/>
      <c r="F709" s="66"/>
      <c r="G709" s="66"/>
      <c r="H709" s="44"/>
      <c r="I709" s="44"/>
      <c r="J709" s="66"/>
      <c r="K709" s="66"/>
      <c r="L709" s="66"/>
      <c r="M709" s="66"/>
      <c r="N709" s="66">
        <f>SUM(Prog_236[[#This Row],[TARA]]+Prog_236[[#This Row],[PESO]])</f>
        <v>0</v>
      </c>
      <c r="O709" s="44"/>
      <c r="P709" s="66"/>
      <c r="Q709" s="66"/>
      <c r="R709" s="66"/>
      <c r="S709" s="66"/>
      <c r="T709" s="138" t="str">
        <f>IFERROR(LOOKUP($S709,MOTORISTAS!$D$3:$D$1048576,MOTORISTAS!E$3:$E$1048576),"")</f>
        <v/>
      </c>
      <c r="U709" s="138" t="str">
        <f>IFERROR(LOOKUP($S709,MOTORISTAS!$D$3:$D$1048576,MOTORISTAS!F$3:$F$1048576),"")</f>
        <v/>
      </c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44"/>
      <c r="AG709" s="254">
        <f>Prog_236[[#This Row],[SAÍDA DO CLIENTE]]-Prog_236[[#This Row],[PROGRAMAÇÃO CLIENTE]]</f>
        <v>0</v>
      </c>
      <c r="AH709" s="44"/>
      <c r="AI709" s="66"/>
      <c r="AJ709" s="66"/>
      <c r="AK709" s="66"/>
      <c r="AL709" s="66"/>
      <c r="AM709" s="66"/>
      <c r="AN709" s="83"/>
      <c r="AO709" s="66"/>
      <c r="AP709" s="66"/>
      <c r="AQ709" s="66"/>
      <c r="AR709" s="81"/>
      <c r="AS709" s="81"/>
      <c r="AT709" s="81"/>
      <c r="AU709" s="81"/>
      <c r="AV709" s="83">
        <f>SUM(Prog_236[[#This Row],[ADIANTAMENTO]]+Prog_236[[#This Row],[SALDO]]+Prog_236[[#This Row],[MARGEM]]+Prog_236[[#This Row],[ESTADIA 1]])</f>
        <v>0</v>
      </c>
      <c r="AW7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09" s="81"/>
      <c r="AY709" s="81"/>
      <c r="AZ709" s="81">
        <f>Prog_236[[#This Row],[VLR NF]]*0.1%</f>
        <v>0</v>
      </c>
      <c r="BA709" s="81">
        <f>Prog_236[[#This Row],[VLR NF]]*0.05%</f>
        <v>0</v>
      </c>
      <c r="BB709" s="81"/>
      <c r="BC709" s="81"/>
      <c r="BD709" s="81"/>
      <c r="BE709" s="81"/>
      <c r="BF709" s="81"/>
      <c r="BG709" s="81"/>
      <c r="BH709" s="81"/>
      <c r="BI709" s="81"/>
      <c r="BJ709" s="81"/>
      <c r="BK709" s="81"/>
      <c r="BL709" s="66"/>
      <c r="BM709" s="66"/>
      <c r="BN709" s="66"/>
      <c r="BO709" s="66" t="str">
        <f>PROPER(TEXT(Prog_236[[#This Row],[PROGRAMAÇÃO CLIENTE]],"mmm"))</f>
        <v>Jan</v>
      </c>
      <c r="BP709" s="66">
        <f>YEAR(Prog_236[[#This Row],[PROGRAMAÇÃO CLIENTE]])</f>
        <v>1900</v>
      </c>
    </row>
    <row r="710" spans="1:68" x14ac:dyDescent="0.25">
      <c r="A710" s="201">
        <f>Prog_236[[#This Row],[CONTEINER]]</f>
        <v>0</v>
      </c>
      <c r="B710" s="86"/>
      <c r="C7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0" s="44"/>
      <c r="E710" s="66"/>
      <c r="F710" s="66"/>
      <c r="G710" s="66"/>
      <c r="H710" s="44"/>
      <c r="I710" s="44"/>
      <c r="J710" s="66"/>
      <c r="K710" s="66"/>
      <c r="L710" s="66"/>
      <c r="M710" s="66"/>
      <c r="N710" s="66">
        <f>SUM(Prog_236[[#This Row],[TARA]]+Prog_236[[#This Row],[PESO]])</f>
        <v>0</v>
      </c>
      <c r="O710" s="44"/>
      <c r="P710" s="66"/>
      <c r="Q710" s="66"/>
      <c r="R710" s="66"/>
      <c r="S710" s="66"/>
      <c r="T710" s="138" t="str">
        <f>IFERROR(LOOKUP($S710,MOTORISTAS!$D$3:$D$1048576,MOTORISTAS!E$3:$E$1048576),"")</f>
        <v/>
      </c>
      <c r="U710" s="138" t="str">
        <f>IFERROR(LOOKUP($S710,MOTORISTAS!$D$3:$D$1048576,MOTORISTAS!F$3:$F$1048576),"")</f>
        <v/>
      </c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44"/>
      <c r="AG710" s="254">
        <f>Prog_236[[#This Row],[SAÍDA DO CLIENTE]]-Prog_236[[#This Row],[PROGRAMAÇÃO CLIENTE]]</f>
        <v>0</v>
      </c>
      <c r="AH710" s="44"/>
      <c r="AI710" s="66"/>
      <c r="AJ710" s="66"/>
      <c r="AK710" s="66"/>
      <c r="AL710" s="66"/>
      <c r="AM710" s="66"/>
      <c r="AN710" s="83"/>
      <c r="AO710" s="66"/>
      <c r="AP710" s="66"/>
      <c r="AQ710" s="66"/>
      <c r="AR710" s="81"/>
      <c r="AS710" s="81"/>
      <c r="AT710" s="81"/>
      <c r="AU710" s="81"/>
      <c r="AV710" s="83">
        <f>SUM(Prog_236[[#This Row],[ADIANTAMENTO]]+Prog_236[[#This Row],[SALDO]]+Prog_236[[#This Row],[MARGEM]]+Prog_236[[#This Row],[ESTADIA 1]])</f>
        <v>0</v>
      </c>
      <c r="AW7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0" s="81"/>
      <c r="AY710" s="81"/>
      <c r="AZ710" s="81">
        <f>Prog_236[[#This Row],[VLR NF]]*0.1%</f>
        <v>0</v>
      </c>
      <c r="BA710" s="81">
        <f>Prog_236[[#This Row],[VLR NF]]*0.05%</f>
        <v>0</v>
      </c>
      <c r="BB710" s="81"/>
      <c r="BC710" s="81"/>
      <c r="BD710" s="81"/>
      <c r="BE710" s="81"/>
      <c r="BF710" s="81"/>
      <c r="BG710" s="81"/>
      <c r="BH710" s="81"/>
      <c r="BI710" s="81"/>
      <c r="BJ710" s="81"/>
      <c r="BK710" s="81"/>
      <c r="BL710" s="66"/>
      <c r="BM710" s="66"/>
      <c r="BN710" s="66"/>
      <c r="BO710" s="66" t="str">
        <f>PROPER(TEXT(Prog_236[[#This Row],[PROGRAMAÇÃO CLIENTE]],"mmm"))</f>
        <v>Jan</v>
      </c>
      <c r="BP710" s="66">
        <f>YEAR(Prog_236[[#This Row],[PROGRAMAÇÃO CLIENTE]])</f>
        <v>1900</v>
      </c>
    </row>
    <row r="711" spans="1:68" x14ac:dyDescent="0.25">
      <c r="A711" s="200">
        <f>Prog_236[[#This Row],[CONTEINER]]</f>
        <v>0</v>
      </c>
      <c r="B711" s="86"/>
      <c r="C7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1" s="44"/>
      <c r="E711" s="66"/>
      <c r="F711" s="66"/>
      <c r="G711" s="66"/>
      <c r="H711" s="44"/>
      <c r="I711" s="44"/>
      <c r="J711" s="66"/>
      <c r="K711" s="66"/>
      <c r="L711" s="66"/>
      <c r="M711" s="66"/>
      <c r="N711" s="66">
        <f>SUM(Prog_236[[#This Row],[TARA]]+Prog_236[[#This Row],[PESO]])</f>
        <v>0</v>
      </c>
      <c r="O711" s="44"/>
      <c r="P711" s="66"/>
      <c r="Q711" s="66"/>
      <c r="R711" s="66"/>
      <c r="S711" s="66"/>
      <c r="T711" s="138" t="str">
        <f>IFERROR(LOOKUP($S711,MOTORISTAS!$D$3:$D$1048576,MOTORISTAS!E$3:$E$1048576),"")</f>
        <v/>
      </c>
      <c r="U711" s="138" t="str">
        <f>IFERROR(LOOKUP($S711,MOTORISTAS!$D$3:$D$1048576,MOTORISTAS!F$3:$F$1048576),"")</f>
        <v/>
      </c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44"/>
      <c r="AG711" s="254">
        <f>Prog_236[[#This Row],[SAÍDA DO CLIENTE]]-Prog_236[[#This Row],[PROGRAMAÇÃO CLIENTE]]</f>
        <v>0</v>
      </c>
      <c r="AH711" s="44"/>
      <c r="AI711" s="66"/>
      <c r="AJ711" s="66"/>
      <c r="AK711" s="66"/>
      <c r="AL711" s="66"/>
      <c r="AM711" s="66"/>
      <c r="AN711" s="83"/>
      <c r="AO711" s="66"/>
      <c r="AP711" s="66"/>
      <c r="AQ711" s="66"/>
      <c r="AR711" s="81"/>
      <c r="AS711" s="81"/>
      <c r="AT711" s="81"/>
      <c r="AU711" s="81"/>
      <c r="AV711" s="83">
        <f>SUM(Prog_236[[#This Row],[ADIANTAMENTO]]+Prog_236[[#This Row],[SALDO]]+Prog_236[[#This Row],[MARGEM]]+Prog_236[[#This Row],[ESTADIA 1]])</f>
        <v>0</v>
      </c>
      <c r="AW7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1" s="81"/>
      <c r="AY711" s="81"/>
      <c r="AZ711" s="81">
        <f>Prog_236[[#This Row],[VLR NF]]*0.1%</f>
        <v>0</v>
      </c>
      <c r="BA711" s="81">
        <f>Prog_236[[#This Row],[VLR NF]]*0.05%</f>
        <v>0</v>
      </c>
      <c r="BB711" s="81"/>
      <c r="BC711" s="81"/>
      <c r="BD711" s="81"/>
      <c r="BE711" s="81"/>
      <c r="BF711" s="81"/>
      <c r="BG711" s="81"/>
      <c r="BH711" s="81"/>
      <c r="BI711" s="81"/>
      <c r="BJ711" s="81"/>
      <c r="BK711" s="81"/>
      <c r="BL711" s="66"/>
      <c r="BM711" s="66"/>
      <c r="BN711" s="66"/>
      <c r="BO711" s="66" t="str">
        <f>PROPER(TEXT(Prog_236[[#This Row],[PROGRAMAÇÃO CLIENTE]],"mmm"))</f>
        <v>Jan</v>
      </c>
      <c r="BP711" s="66">
        <f>YEAR(Prog_236[[#This Row],[PROGRAMAÇÃO CLIENTE]])</f>
        <v>1900</v>
      </c>
    </row>
    <row r="712" spans="1:68" x14ac:dyDescent="0.25">
      <c r="A712" s="201">
        <f>Prog_236[[#This Row],[CONTEINER]]</f>
        <v>0</v>
      </c>
      <c r="B712" s="86"/>
      <c r="C7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2" s="44"/>
      <c r="E712" s="66"/>
      <c r="F712" s="66"/>
      <c r="G712" s="66"/>
      <c r="H712" s="44"/>
      <c r="I712" s="44"/>
      <c r="J712" s="66"/>
      <c r="K712" s="66"/>
      <c r="L712" s="66"/>
      <c r="M712" s="66"/>
      <c r="N712" s="66">
        <f>SUM(Prog_236[[#This Row],[TARA]]+Prog_236[[#This Row],[PESO]])</f>
        <v>0</v>
      </c>
      <c r="O712" s="44"/>
      <c r="P712" s="66"/>
      <c r="Q712" s="66"/>
      <c r="R712" s="66"/>
      <c r="S712" s="66"/>
      <c r="T712" s="138" t="str">
        <f>IFERROR(LOOKUP($S712,MOTORISTAS!$D$3:$D$1048576,MOTORISTAS!E$3:$E$1048576),"")</f>
        <v/>
      </c>
      <c r="U712" s="138" t="str">
        <f>IFERROR(LOOKUP($S712,MOTORISTAS!$D$3:$D$1048576,MOTORISTAS!F$3:$F$1048576),"")</f>
        <v/>
      </c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44"/>
      <c r="AG712" s="254">
        <f>Prog_236[[#This Row],[SAÍDA DO CLIENTE]]-Prog_236[[#This Row],[PROGRAMAÇÃO CLIENTE]]</f>
        <v>0</v>
      </c>
      <c r="AH712" s="44"/>
      <c r="AI712" s="66"/>
      <c r="AJ712" s="66"/>
      <c r="AK712" s="66"/>
      <c r="AL712" s="66"/>
      <c r="AM712" s="66"/>
      <c r="AN712" s="83"/>
      <c r="AO712" s="66"/>
      <c r="AP712" s="66"/>
      <c r="AQ712" s="66"/>
      <c r="AR712" s="81"/>
      <c r="AS712" s="81"/>
      <c r="AT712" s="81"/>
      <c r="AU712" s="81"/>
      <c r="AV712" s="83">
        <f>SUM(Prog_236[[#This Row],[ADIANTAMENTO]]+Prog_236[[#This Row],[SALDO]]+Prog_236[[#This Row],[MARGEM]]+Prog_236[[#This Row],[ESTADIA 1]])</f>
        <v>0</v>
      </c>
      <c r="AW7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2" s="81"/>
      <c r="AY712" s="81"/>
      <c r="AZ712" s="81">
        <f>Prog_236[[#This Row],[VLR NF]]*0.1%</f>
        <v>0</v>
      </c>
      <c r="BA712" s="81">
        <f>Prog_236[[#This Row],[VLR NF]]*0.05%</f>
        <v>0</v>
      </c>
      <c r="BB712" s="81"/>
      <c r="BC712" s="81"/>
      <c r="BD712" s="81"/>
      <c r="BE712" s="81"/>
      <c r="BF712" s="81"/>
      <c r="BG712" s="81"/>
      <c r="BH712" s="81"/>
      <c r="BI712" s="81"/>
      <c r="BJ712" s="81"/>
      <c r="BK712" s="81"/>
      <c r="BL712" s="66"/>
      <c r="BM712" s="66"/>
      <c r="BN712" s="66"/>
      <c r="BO712" s="66" t="str">
        <f>PROPER(TEXT(Prog_236[[#This Row],[PROGRAMAÇÃO CLIENTE]],"mmm"))</f>
        <v>Jan</v>
      </c>
      <c r="BP712" s="66">
        <f>YEAR(Prog_236[[#This Row],[PROGRAMAÇÃO CLIENTE]])</f>
        <v>1900</v>
      </c>
    </row>
    <row r="713" spans="1:68" x14ac:dyDescent="0.25">
      <c r="A713" s="200">
        <f>Prog_236[[#This Row],[CONTEINER]]</f>
        <v>0</v>
      </c>
      <c r="B713" s="86"/>
      <c r="C7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3" s="44"/>
      <c r="E713" s="66"/>
      <c r="F713" s="66"/>
      <c r="G713" s="66"/>
      <c r="H713" s="44"/>
      <c r="I713" s="44"/>
      <c r="J713" s="66"/>
      <c r="K713" s="66"/>
      <c r="L713" s="66"/>
      <c r="M713" s="66"/>
      <c r="N713" s="66">
        <f>SUM(Prog_236[[#This Row],[TARA]]+Prog_236[[#This Row],[PESO]])</f>
        <v>0</v>
      </c>
      <c r="O713" s="44"/>
      <c r="P713" s="66"/>
      <c r="Q713" s="66"/>
      <c r="R713" s="66"/>
      <c r="S713" s="66"/>
      <c r="T713" s="138" t="str">
        <f>IFERROR(LOOKUP($S713,MOTORISTAS!$D$3:$D$1048576,MOTORISTAS!E$3:$E$1048576),"")</f>
        <v/>
      </c>
      <c r="U713" s="138" t="str">
        <f>IFERROR(LOOKUP($S713,MOTORISTAS!$D$3:$D$1048576,MOTORISTAS!F$3:$F$1048576),"")</f>
        <v/>
      </c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44"/>
      <c r="AG713" s="254">
        <f>Prog_236[[#This Row],[SAÍDA DO CLIENTE]]-Prog_236[[#This Row],[PROGRAMAÇÃO CLIENTE]]</f>
        <v>0</v>
      </c>
      <c r="AH713" s="44"/>
      <c r="AI713" s="66"/>
      <c r="AJ713" s="66"/>
      <c r="AK713" s="66"/>
      <c r="AL713" s="66"/>
      <c r="AM713" s="66"/>
      <c r="AN713" s="83"/>
      <c r="AO713" s="66"/>
      <c r="AP713" s="66"/>
      <c r="AQ713" s="66"/>
      <c r="AR713" s="81"/>
      <c r="AS713" s="81"/>
      <c r="AT713" s="81"/>
      <c r="AU713" s="81"/>
      <c r="AV713" s="83">
        <f>SUM(Prog_236[[#This Row],[ADIANTAMENTO]]+Prog_236[[#This Row],[SALDO]]+Prog_236[[#This Row],[MARGEM]]+Prog_236[[#This Row],[ESTADIA 1]])</f>
        <v>0</v>
      </c>
      <c r="AW7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3" s="81"/>
      <c r="AY713" s="81"/>
      <c r="AZ713" s="81">
        <f>Prog_236[[#This Row],[VLR NF]]*0.1%</f>
        <v>0</v>
      </c>
      <c r="BA713" s="81">
        <f>Prog_236[[#This Row],[VLR NF]]*0.05%</f>
        <v>0</v>
      </c>
      <c r="BB713" s="81"/>
      <c r="BC713" s="81"/>
      <c r="BD713" s="81"/>
      <c r="BE713" s="81"/>
      <c r="BF713" s="81"/>
      <c r="BG713" s="81"/>
      <c r="BH713" s="81"/>
      <c r="BI713" s="81"/>
      <c r="BJ713" s="81"/>
      <c r="BK713" s="81"/>
      <c r="BL713" s="66"/>
      <c r="BM713" s="66"/>
      <c r="BN713" s="66"/>
      <c r="BO713" s="66" t="str">
        <f>PROPER(TEXT(Prog_236[[#This Row],[PROGRAMAÇÃO CLIENTE]],"mmm"))</f>
        <v>Jan</v>
      </c>
      <c r="BP713" s="66">
        <f>YEAR(Prog_236[[#This Row],[PROGRAMAÇÃO CLIENTE]])</f>
        <v>1900</v>
      </c>
    </row>
    <row r="714" spans="1:68" x14ac:dyDescent="0.25">
      <c r="A714" s="201">
        <f>Prog_236[[#This Row],[CONTEINER]]</f>
        <v>0</v>
      </c>
      <c r="B714" s="86"/>
      <c r="C7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4" s="44"/>
      <c r="E714" s="66"/>
      <c r="F714" s="66"/>
      <c r="G714" s="66"/>
      <c r="H714" s="44"/>
      <c r="I714" s="44"/>
      <c r="J714" s="66"/>
      <c r="K714" s="66"/>
      <c r="L714" s="66"/>
      <c r="M714" s="66"/>
      <c r="N714" s="66">
        <f>SUM(Prog_236[[#This Row],[TARA]]+Prog_236[[#This Row],[PESO]])</f>
        <v>0</v>
      </c>
      <c r="O714" s="44"/>
      <c r="P714" s="66"/>
      <c r="Q714" s="66"/>
      <c r="R714" s="66"/>
      <c r="S714" s="66"/>
      <c r="T714" s="138" t="str">
        <f>IFERROR(LOOKUP($S714,MOTORISTAS!$D$3:$D$1048576,MOTORISTAS!E$3:$E$1048576),"")</f>
        <v/>
      </c>
      <c r="U714" s="138" t="str">
        <f>IFERROR(LOOKUP($S714,MOTORISTAS!$D$3:$D$1048576,MOTORISTAS!F$3:$F$1048576),"")</f>
        <v/>
      </c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44"/>
      <c r="AG714" s="254">
        <f>Prog_236[[#This Row],[SAÍDA DO CLIENTE]]-Prog_236[[#This Row],[PROGRAMAÇÃO CLIENTE]]</f>
        <v>0</v>
      </c>
      <c r="AH714" s="44"/>
      <c r="AI714" s="66"/>
      <c r="AJ714" s="66"/>
      <c r="AK714" s="66"/>
      <c r="AL714" s="66"/>
      <c r="AM714" s="66"/>
      <c r="AN714" s="83"/>
      <c r="AO714" s="66"/>
      <c r="AP714" s="66"/>
      <c r="AQ714" s="66"/>
      <c r="AR714" s="81"/>
      <c r="AS714" s="81"/>
      <c r="AT714" s="81"/>
      <c r="AU714" s="81"/>
      <c r="AV714" s="83">
        <f>SUM(Prog_236[[#This Row],[ADIANTAMENTO]]+Prog_236[[#This Row],[SALDO]]+Prog_236[[#This Row],[MARGEM]]+Prog_236[[#This Row],[ESTADIA 1]])</f>
        <v>0</v>
      </c>
      <c r="AW7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4" s="81"/>
      <c r="AY714" s="81"/>
      <c r="AZ714" s="81">
        <f>Prog_236[[#This Row],[VLR NF]]*0.1%</f>
        <v>0</v>
      </c>
      <c r="BA714" s="81">
        <f>Prog_236[[#This Row],[VLR NF]]*0.05%</f>
        <v>0</v>
      </c>
      <c r="BB714" s="81"/>
      <c r="BC714" s="81"/>
      <c r="BD714" s="81"/>
      <c r="BE714" s="81"/>
      <c r="BF714" s="81"/>
      <c r="BG714" s="81"/>
      <c r="BH714" s="81"/>
      <c r="BI714" s="81"/>
      <c r="BJ714" s="81"/>
      <c r="BK714" s="81"/>
      <c r="BL714" s="66"/>
      <c r="BM714" s="66"/>
      <c r="BN714" s="66"/>
      <c r="BO714" s="66" t="str">
        <f>PROPER(TEXT(Prog_236[[#This Row],[PROGRAMAÇÃO CLIENTE]],"mmm"))</f>
        <v>Jan</v>
      </c>
      <c r="BP714" s="66">
        <f>YEAR(Prog_236[[#This Row],[PROGRAMAÇÃO CLIENTE]])</f>
        <v>1900</v>
      </c>
    </row>
    <row r="715" spans="1:68" x14ac:dyDescent="0.25">
      <c r="A715" s="200">
        <f>Prog_236[[#This Row],[CONTEINER]]</f>
        <v>0</v>
      </c>
      <c r="B715" s="86"/>
      <c r="C7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5" s="44"/>
      <c r="E715" s="66"/>
      <c r="F715" s="66"/>
      <c r="G715" s="66"/>
      <c r="H715" s="44"/>
      <c r="I715" s="44"/>
      <c r="J715" s="66"/>
      <c r="K715" s="66"/>
      <c r="L715" s="66"/>
      <c r="M715" s="66"/>
      <c r="N715" s="66">
        <f>SUM(Prog_236[[#This Row],[TARA]]+Prog_236[[#This Row],[PESO]])</f>
        <v>0</v>
      </c>
      <c r="O715" s="44"/>
      <c r="P715" s="66"/>
      <c r="Q715" s="66"/>
      <c r="R715" s="66"/>
      <c r="S715" s="66"/>
      <c r="T715" s="138" t="str">
        <f>IFERROR(LOOKUP($S715,MOTORISTAS!$D$3:$D$1048576,MOTORISTAS!E$3:$E$1048576),"")</f>
        <v/>
      </c>
      <c r="U715" s="138" t="str">
        <f>IFERROR(LOOKUP($S715,MOTORISTAS!$D$3:$D$1048576,MOTORISTAS!F$3:$F$1048576),"")</f>
        <v/>
      </c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44"/>
      <c r="AG715" s="254">
        <f>Prog_236[[#This Row],[SAÍDA DO CLIENTE]]-Prog_236[[#This Row],[PROGRAMAÇÃO CLIENTE]]</f>
        <v>0</v>
      </c>
      <c r="AH715" s="44"/>
      <c r="AI715" s="66"/>
      <c r="AJ715" s="66"/>
      <c r="AK715" s="66"/>
      <c r="AL715" s="66"/>
      <c r="AM715" s="66"/>
      <c r="AN715" s="83"/>
      <c r="AO715" s="66"/>
      <c r="AP715" s="66"/>
      <c r="AQ715" s="66"/>
      <c r="AR715" s="81"/>
      <c r="AS715" s="81"/>
      <c r="AT715" s="81"/>
      <c r="AU715" s="81"/>
      <c r="AV715" s="83">
        <f>SUM(Prog_236[[#This Row],[ADIANTAMENTO]]+Prog_236[[#This Row],[SALDO]]+Prog_236[[#This Row],[MARGEM]]+Prog_236[[#This Row],[ESTADIA 1]])</f>
        <v>0</v>
      </c>
      <c r="AW7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5" s="81"/>
      <c r="AY715" s="81"/>
      <c r="AZ715" s="81">
        <f>Prog_236[[#This Row],[VLR NF]]*0.1%</f>
        <v>0</v>
      </c>
      <c r="BA715" s="81">
        <f>Prog_236[[#This Row],[VLR NF]]*0.05%</f>
        <v>0</v>
      </c>
      <c r="BB715" s="81"/>
      <c r="BC715" s="81"/>
      <c r="BD715" s="81"/>
      <c r="BE715" s="81"/>
      <c r="BF715" s="81"/>
      <c r="BG715" s="81"/>
      <c r="BH715" s="81"/>
      <c r="BI715" s="81"/>
      <c r="BJ715" s="81"/>
      <c r="BK715" s="81"/>
      <c r="BL715" s="66"/>
      <c r="BM715" s="66"/>
      <c r="BN715" s="66"/>
      <c r="BO715" s="66" t="str">
        <f>PROPER(TEXT(Prog_236[[#This Row],[PROGRAMAÇÃO CLIENTE]],"mmm"))</f>
        <v>Jan</v>
      </c>
      <c r="BP715" s="66">
        <f>YEAR(Prog_236[[#This Row],[PROGRAMAÇÃO CLIENTE]])</f>
        <v>1900</v>
      </c>
    </row>
    <row r="716" spans="1:68" x14ac:dyDescent="0.25">
      <c r="A716" s="201">
        <f>Prog_236[[#This Row],[CONTEINER]]</f>
        <v>0</v>
      </c>
      <c r="B716" s="86"/>
      <c r="C7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6" s="44"/>
      <c r="E716" s="66"/>
      <c r="F716" s="66"/>
      <c r="G716" s="66"/>
      <c r="H716" s="44"/>
      <c r="I716" s="44"/>
      <c r="J716" s="66"/>
      <c r="K716" s="66"/>
      <c r="L716" s="66"/>
      <c r="M716" s="66"/>
      <c r="N716" s="66">
        <f>SUM(Prog_236[[#This Row],[TARA]]+Prog_236[[#This Row],[PESO]])</f>
        <v>0</v>
      </c>
      <c r="O716" s="44"/>
      <c r="P716" s="66"/>
      <c r="Q716" s="66"/>
      <c r="R716" s="66"/>
      <c r="S716" s="66"/>
      <c r="T716" s="138" t="str">
        <f>IFERROR(LOOKUP($S716,MOTORISTAS!$D$3:$D$1048576,MOTORISTAS!E$3:$E$1048576),"")</f>
        <v/>
      </c>
      <c r="U716" s="138" t="str">
        <f>IFERROR(LOOKUP($S716,MOTORISTAS!$D$3:$D$1048576,MOTORISTAS!F$3:$F$1048576),"")</f>
        <v/>
      </c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44"/>
      <c r="AG716" s="254">
        <f>Prog_236[[#This Row],[SAÍDA DO CLIENTE]]-Prog_236[[#This Row],[PROGRAMAÇÃO CLIENTE]]</f>
        <v>0</v>
      </c>
      <c r="AH716" s="44"/>
      <c r="AI716" s="66"/>
      <c r="AJ716" s="66"/>
      <c r="AK716" s="66"/>
      <c r="AL716" s="66"/>
      <c r="AM716" s="66"/>
      <c r="AN716" s="83"/>
      <c r="AO716" s="66"/>
      <c r="AP716" s="66"/>
      <c r="AQ716" s="66"/>
      <c r="AR716" s="81"/>
      <c r="AS716" s="81"/>
      <c r="AT716" s="81"/>
      <c r="AU716" s="81"/>
      <c r="AV716" s="83">
        <f>SUM(Prog_236[[#This Row],[ADIANTAMENTO]]+Prog_236[[#This Row],[SALDO]]+Prog_236[[#This Row],[MARGEM]]+Prog_236[[#This Row],[ESTADIA 1]])</f>
        <v>0</v>
      </c>
      <c r="AW7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6" s="81"/>
      <c r="AY716" s="81"/>
      <c r="AZ716" s="81">
        <f>Prog_236[[#This Row],[VLR NF]]*0.1%</f>
        <v>0</v>
      </c>
      <c r="BA716" s="81">
        <f>Prog_236[[#This Row],[VLR NF]]*0.05%</f>
        <v>0</v>
      </c>
      <c r="BB716" s="81"/>
      <c r="BC716" s="81"/>
      <c r="BD716" s="81"/>
      <c r="BE716" s="81"/>
      <c r="BF716" s="81"/>
      <c r="BG716" s="81"/>
      <c r="BH716" s="81"/>
      <c r="BI716" s="81"/>
      <c r="BJ716" s="81"/>
      <c r="BK716" s="81"/>
      <c r="BL716" s="66"/>
      <c r="BM716" s="66"/>
      <c r="BN716" s="66"/>
      <c r="BO716" s="66" t="str">
        <f>PROPER(TEXT(Prog_236[[#This Row],[PROGRAMAÇÃO CLIENTE]],"mmm"))</f>
        <v>Jan</v>
      </c>
      <c r="BP716" s="66">
        <f>YEAR(Prog_236[[#This Row],[PROGRAMAÇÃO CLIENTE]])</f>
        <v>1900</v>
      </c>
    </row>
    <row r="717" spans="1:68" x14ac:dyDescent="0.25">
      <c r="A717" s="200">
        <f>Prog_236[[#This Row],[CONTEINER]]</f>
        <v>0</v>
      </c>
      <c r="B717" s="86"/>
      <c r="C7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7" s="44"/>
      <c r="E717" s="66"/>
      <c r="F717" s="66"/>
      <c r="G717" s="66"/>
      <c r="H717" s="44"/>
      <c r="I717" s="44"/>
      <c r="J717" s="66"/>
      <c r="K717" s="66"/>
      <c r="L717" s="66"/>
      <c r="M717" s="66"/>
      <c r="N717" s="66">
        <f>SUM(Prog_236[[#This Row],[TARA]]+Prog_236[[#This Row],[PESO]])</f>
        <v>0</v>
      </c>
      <c r="O717" s="44"/>
      <c r="P717" s="66"/>
      <c r="Q717" s="66"/>
      <c r="R717" s="66"/>
      <c r="S717" s="66"/>
      <c r="T717" s="138" t="str">
        <f>IFERROR(LOOKUP($S717,MOTORISTAS!$D$3:$D$1048576,MOTORISTAS!E$3:$E$1048576),"")</f>
        <v/>
      </c>
      <c r="U717" s="138" t="str">
        <f>IFERROR(LOOKUP($S717,MOTORISTAS!$D$3:$D$1048576,MOTORISTAS!F$3:$F$1048576),"")</f>
        <v/>
      </c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44"/>
      <c r="AG717" s="254">
        <f>Prog_236[[#This Row],[SAÍDA DO CLIENTE]]-Prog_236[[#This Row],[PROGRAMAÇÃO CLIENTE]]</f>
        <v>0</v>
      </c>
      <c r="AH717" s="44"/>
      <c r="AI717" s="66"/>
      <c r="AJ717" s="66"/>
      <c r="AK717" s="66"/>
      <c r="AL717" s="66"/>
      <c r="AM717" s="66"/>
      <c r="AN717" s="83"/>
      <c r="AO717" s="66"/>
      <c r="AP717" s="66"/>
      <c r="AQ717" s="66"/>
      <c r="AR717" s="81"/>
      <c r="AS717" s="81"/>
      <c r="AT717" s="81"/>
      <c r="AU717" s="81"/>
      <c r="AV717" s="83">
        <f>SUM(Prog_236[[#This Row],[ADIANTAMENTO]]+Prog_236[[#This Row],[SALDO]]+Prog_236[[#This Row],[MARGEM]]+Prog_236[[#This Row],[ESTADIA 1]])</f>
        <v>0</v>
      </c>
      <c r="AW7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7" s="81"/>
      <c r="AY717" s="81"/>
      <c r="AZ717" s="81">
        <f>Prog_236[[#This Row],[VLR NF]]*0.1%</f>
        <v>0</v>
      </c>
      <c r="BA717" s="81">
        <f>Prog_236[[#This Row],[VLR NF]]*0.05%</f>
        <v>0</v>
      </c>
      <c r="BB717" s="81"/>
      <c r="BC717" s="81"/>
      <c r="BD717" s="81"/>
      <c r="BE717" s="81"/>
      <c r="BF717" s="81"/>
      <c r="BG717" s="81"/>
      <c r="BH717" s="81"/>
      <c r="BI717" s="81"/>
      <c r="BJ717" s="81"/>
      <c r="BK717" s="81"/>
      <c r="BL717" s="66"/>
      <c r="BM717" s="66"/>
      <c r="BN717" s="66"/>
      <c r="BO717" s="66" t="str">
        <f>PROPER(TEXT(Prog_236[[#This Row],[PROGRAMAÇÃO CLIENTE]],"mmm"))</f>
        <v>Jan</v>
      </c>
      <c r="BP717" s="66">
        <f>YEAR(Prog_236[[#This Row],[PROGRAMAÇÃO CLIENTE]])</f>
        <v>1900</v>
      </c>
    </row>
    <row r="718" spans="1:68" x14ac:dyDescent="0.25">
      <c r="A718" s="201">
        <f>Prog_236[[#This Row],[CONTEINER]]</f>
        <v>0</v>
      </c>
      <c r="B718" s="86"/>
      <c r="C7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8" s="44"/>
      <c r="E718" s="66"/>
      <c r="F718" s="66"/>
      <c r="G718" s="66"/>
      <c r="H718" s="44"/>
      <c r="I718" s="44"/>
      <c r="J718" s="66"/>
      <c r="K718" s="66"/>
      <c r="L718" s="66"/>
      <c r="M718" s="66"/>
      <c r="N718" s="66">
        <f>SUM(Prog_236[[#This Row],[TARA]]+Prog_236[[#This Row],[PESO]])</f>
        <v>0</v>
      </c>
      <c r="O718" s="44"/>
      <c r="P718" s="66"/>
      <c r="Q718" s="66"/>
      <c r="R718" s="66"/>
      <c r="S718" s="66"/>
      <c r="T718" s="138" t="str">
        <f>IFERROR(LOOKUP($S718,MOTORISTAS!$D$3:$D$1048576,MOTORISTAS!E$3:$E$1048576),"")</f>
        <v/>
      </c>
      <c r="U718" s="138" t="str">
        <f>IFERROR(LOOKUP($S718,MOTORISTAS!$D$3:$D$1048576,MOTORISTAS!F$3:$F$1048576),"")</f>
        <v/>
      </c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44"/>
      <c r="AG718" s="254">
        <f>Prog_236[[#This Row],[SAÍDA DO CLIENTE]]-Prog_236[[#This Row],[PROGRAMAÇÃO CLIENTE]]</f>
        <v>0</v>
      </c>
      <c r="AH718" s="44"/>
      <c r="AI718" s="66"/>
      <c r="AJ718" s="66"/>
      <c r="AK718" s="66"/>
      <c r="AL718" s="66"/>
      <c r="AM718" s="66"/>
      <c r="AN718" s="83"/>
      <c r="AO718" s="66"/>
      <c r="AP718" s="66"/>
      <c r="AQ718" s="66"/>
      <c r="AR718" s="81"/>
      <c r="AS718" s="81"/>
      <c r="AT718" s="81"/>
      <c r="AU718" s="81"/>
      <c r="AV718" s="83">
        <f>SUM(Prog_236[[#This Row],[ADIANTAMENTO]]+Prog_236[[#This Row],[SALDO]]+Prog_236[[#This Row],[MARGEM]]+Prog_236[[#This Row],[ESTADIA 1]])</f>
        <v>0</v>
      </c>
      <c r="AW7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8" s="81"/>
      <c r="AY718" s="81"/>
      <c r="AZ718" s="81">
        <f>Prog_236[[#This Row],[VLR NF]]*0.1%</f>
        <v>0</v>
      </c>
      <c r="BA718" s="81">
        <f>Prog_236[[#This Row],[VLR NF]]*0.05%</f>
        <v>0</v>
      </c>
      <c r="BB718" s="81"/>
      <c r="BC718" s="81"/>
      <c r="BD718" s="81"/>
      <c r="BE718" s="81"/>
      <c r="BF718" s="81"/>
      <c r="BG718" s="81"/>
      <c r="BH718" s="81"/>
      <c r="BI718" s="81"/>
      <c r="BJ718" s="81"/>
      <c r="BK718" s="81"/>
      <c r="BL718" s="66"/>
      <c r="BM718" s="66"/>
      <c r="BN718" s="66"/>
      <c r="BO718" s="66" t="str">
        <f>PROPER(TEXT(Prog_236[[#This Row],[PROGRAMAÇÃO CLIENTE]],"mmm"))</f>
        <v>Jan</v>
      </c>
      <c r="BP718" s="66">
        <f>YEAR(Prog_236[[#This Row],[PROGRAMAÇÃO CLIENTE]])</f>
        <v>1900</v>
      </c>
    </row>
    <row r="719" spans="1:68" x14ac:dyDescent="0.25">
      <c r="A719" s="200">
        <f>Prog_236[[#This Row],[CONTEINER]]</f>
        <v>0</v>
      </c>
      <c r="B719" s="86"/>
      <c r="C7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19" s="44"/>
      <c r="E719" s="66"/>
      <c r="F719" s="66"/>
      <c r="G719" s="66"/>
      <c r="H719" s="44"/>
      <c r="I719" s="44"/>
      <c r="J719" s="66"/>
      <c r="K719" s="66"/>
      <c r="L719" s="66"/>
      <c r="M719" s="66"/>
      <c r="N719" s="66">
        <f>SUM(Prog_236[[#This Row],[TARA]]+Prog_236[[#This Row],[PESO]])</f>
        <v>0</v>
      </c>
      <c r="O719" s="44"/>
      <c r="P719" s="66"/>
      <c r="Q719" s="66"/>
      <c r="R719" s="66"/>
      <c r="S719" s="66"/>
      <c r="T719" s="138" t="str">
        <f>IFERROR(LOOKUP($S719,MOTORISTAS!$D$3:$D$1048576,MOTORISTAS!E$3:$E$1048576),"")</f>
        <v/>
      </c>
      <c r="U719" s="138" t="str">
        <f>IFERROR(LOOKUP($S719,MOTORISTAS!$D$3:$D$1048576,MOTORISTAS!F$3:$F$1048576),"")</f>
        <v/>
      </c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44"/>
      <c r="AG719" s="254">
        <f>Prog_236[[#This Row],[SAÍDA DO CLIENTE]]-Prog_236[[#This Row],[PROGRAMAÇÃO CLIENTE]]</f>
        <v>0</v>
      </c>
      <c r="AH719" s="44"/>
      <c r="AI719" s="66"/>
      <c r="AJ719" s="66"/>
      <c r="AK719" s="66"/>
      <c r="AL719" s="66"/>
      <c r="AM719" s="66"/>
      <c r="AN719" s="83"/>
      <c r="AO719" s="66"/>
      <c r="AP719" s="66"/>
      <c r="AQ719" s="66"/>
      <c r="AR719" s="81"/>
      <c r="AS719" s="81"/>
      <c r="AT719" s="81"/>
      <c r="AU719" s="81"/>
      <c r="AV719" s="83">
        <f>SUM(Prog_236[[#This Row],[ADIANTAMENTO]]+Prog_236[[#This Row],[SALDO]]+Prog_236[[#This Row],[MARGEM]]+Prog_236[[#This Row],[ESTADIA 1]])</f>
        <v>0</v>
      </c>
      <c r="AW7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19" s="81"/>
      <c r="AY719" s="81"/>
      <c r="AZ719" s="81">
        <f>Prog_236[[#This Row],[VLR NF]]*0.1%</f>
        <v>0</v>
      </c>
      <c r="BA719" s="81">
        <f>Prog_236[[#This Row],[VLR NF]]*0.05%</f>
        <v>0</v>
      </c>
      <c r="BB719" s="81"/>
      <c r="BC719" s="81"/>
      <c r="BD719" s="81"/>
      <c r="BE719" s="81"/>
      <c r="BF719" s="81"/>
      <c r="BG719" s="81"/>
      <c r="BH719" s="81"/>
      <c r="BI719" s="81"/>
      <c r="BJ719" s="81"/>
      <c r="BK719" s="81"/>
      <c r="BL719" s="66"/>
      <c r="BM719" s="66"/>
      <c r="BN719" s="66"/>
      <c r="BO719" s="66" t="str">
        <f>PROPER(TEXT(Prog_236[[#This Row],[PROGRAMAÇÃO CLIENTE]],"mmm"))</f>
        <v>Jan</v>
      </c>
      <c r="BP719" s="66">
        <f>YEAR(Prog_236[[#This Row],[PROGRAMAÇÃO CLIENTE]])</f>
        <v>1900</v>
      </c>
    </row>
    <row r="720" spans="1:68" x14ac:dyDescent="0.25">
      <c r="A720" s="201">
        <f>Prog_236[[#This Row],[CONTEINER]]</f>
        <v>0</v>
      </c>
      <c r="B720" s="86"/>
      <c r="C7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0" s="44"/>
      <c r="E720" s="66"/>
      <c r="F720" s="66"/>
      <c r="G720" s="66"/>
      <c r="H720" s="44"/>
      <c r="I720" s="44"/>
      <c r="J720" s="66"/>
      <c r="K720" s="66"/>
      <c r="L720" s="66"/>
      <c r="M720" s="66"/>
      <c r="N720" s="66">
        <f>SUM(Prog_236[[#This Row],[TARA]]+Prog_236[[#This Row],[PESO]])</f>
        <v>0</v>
      </c>
      <c r="O720" s="44"/>
      <c r="P720" s="66"/>
      <c r="Q720" s="66"/>
      <c r="R720" s="66"/>
      <c r="S720" s="66"/>
      <c r="T720" s="138" t="str">
        <f>IFERROR(LOOKUP($S720,MOTORISTAS!$D$3:$D$1048576,MOTORISTAS!E$3:$E$1048576),"")</f>
        <v/>
      </c>
      <c r="U720" s="138" t="str">
        <f>IFERROR(LOOKUP($S720,MOTORISTAS!$D$3:$D$1048576,MOTORISTAS!F$3:$F$1048576),"")</f>
        <v/>
      </c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44"/>
      <c r="AG720" s="254">
        <f>Prog_236[[#This Row],[SAÍDA DO CLIENTE]]-Prog_236[[#This Row],[PROGRAMAÇÃO CLIENTE]]</f>
        <v>0</v>
      </c>
      <c r="AH720" s="44"/>
      <c r="AI720" s="66"/>
      <c r="AJ720" s="66"/>
      <c r="AK720" s="66"/>
      <c r="AL720" s="66"/>
      <c r="AM720" s="66"/>
      <c r="AN720" s="83"/>
      <c r="AO720" s="66"/>
      <c r="AP720" s="66"/>
      <c r="AQ720" s="66"/>
      <c r="AR720" s="81"/>
      <c r="AS720" s="81"/>
      <c r="AT720" s="81"/>
      <c r="AU720" s="81"/>
      <c r="AV720" s="83">
        <f>SUM(Prog_236[[#This Row],[ADIANTAMENTO]]+Prog_236[[#This Row],[SALDO]]+Prog_236[[#This Row],[MARGEM]]+Prog_236[[#This Row],[ESTADIA 1]])</f>
        <v>0</v>
      </c>
      <c r="AW7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0" s="81"/>
      <c r="AY720" s="81"/>
      <c r="AZ720" s="81">
        <f>Prog_236[[#This Row],[VLR NF]]*0.1%</f>
        <v>0</v>
      </c>
      <c r="BA720" s="81">
        <f>Prog_236[[#This Row],[VLR NF]]*0.05%</f>
        <v>0</v>
      </c>
      <c r="BB720" s="81"/>
      <c r="BC720" s="81"/>
      <c r="BD720" s="81"/>
      <c r="BE720" s="81"/>
      <c r="BF720" s="81"/>
      <c r="BG720" s="81"/>
      <c r="BH720" s="81"/>
      <c r="BI720" s="81"/>
      <c r="BJ720" s="81"/>
      <c r="BK720" s="81"/>
      <c r="BL720" s="66"/>
      <c r="BM720" s="66"/>
      <c r="BN720" s="66"/>
      <c r="BO720" s="66" t="str">
        <f>PROPER(TEXT(Prog_236[[#This Row],[PROGRAMAÇÃO CLIENTE]],"mmm"))</f>
        <v>Jan</v>
      </c>
      <c r="BP720" s="66">
        <f>YEAR(Prog_236[[#This Row],[PROGRAMAÇÃO CLIENTE]])</f>
        <v>1900</v>
      </c>
    </row>
    <row r="721" spans="1:68" x14ac:dyDescent="0.25">
      <c r="A721" s="200">
        <f>Prog_236[[#This Row],[CONTEINER]]</f>
        <v>0</v>
      </c>
      <c r="B721" s="86"/>
      <c r="C7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1" s="44"/>
      <c r="E721" s="66"/>
      <c r="F721" s="66"/>
      <c r="G721" s="66"/>
      <c r="H721" s="44"/>
      <c r="I721" s="44"/>
      <c r="J721" s="66"/>
      <c r="K721" s="66"/>
      <c r="L721" s="66"/>
      <c r="M721" s="66"/>
      <c r="N721" s="66">
        <f>SUM(Prog_236[[#This Row],[TARA]]+Prog_236[[#This Row],[PESO]])</f>
        <v>0</v>
      </c>
      <c r="O721" s="44"/>
      <c r="P721" s="66"/>
      <c r="Q721" s="66"/>
      <c r="R721" s="66"/>
      <c r="S721" s="66"/>
      <c r="T721" s="138" t="str">
        <f>IFERROR(LOOKUP($S721,MOTORISTAS!$D$3:$D$1048576,MOTORISTAS!E$3:$E$1048576),"")</f>
        <v/>
      </c>
      <c r="U721" s="138" t="str">
        <f>IFERROR(LOOKUP($S721,MOTORISTAS!$D$3:$D$1048576,MOTORISTAS!F$3:$F$1048576),"")</f>
        <v/>
      </c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44"/>
      <c r="AG721" s="254">
        <f>Prog_236[[#This Row],[SAÍDA DO CLIENTE]]-Prog_236[[#This Row],[PROGRAMAÇÃO CLIENTE]]</f>
        <v>0</v>
      </c>
      <c r="AH721" s="44"/>
      <c r="AI721" s="66"/>
      <c r="AJ721" s="66"/>
      <c r="AK721" s="66"/>
      <c r="AL721" s="66"/>
      <c r="AM721" s="66"/>
      <c r="AN721" s="83"/>
      <c r="AO721" s="66"/>
      <c r="AP721" s="66"/>
      <c r="AQ721" s="66"/>
      <c r="AR721" s="81"/>
      <c r="AS721" s="81"/>
      <c r="AT721" s="81"/>
      <c r="AU721" s="81"/>
      <c r="AV721" s="83">
        <f>SUM(Prog_236[[#This Row],[ADIANTAMENTO]]+Prog_236[[#This Row],[SALDO]]+Prog_236[[#This Row],[MARGEM]]+Prog_236[[#This Row],[ESTADIA 1]])</f>
        <v>0</v>
      </c>
      <c r="AW7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1" s="81"/>
      <c r="AY721" s="81"/>
      <c r="AZ721" s="81">
        <f>Prog_236[[#This Row],[VLR NF]]*0.1%</f>
        <v>0</v>
      </c>
      <c r="BA721" s="81">
        <f>Prog_236[[#This Row],[VLR NF]]*0.05%</f>
        <v>0</v>
      </c>
      <c r="BB721" s="81"/>
      <c r="BC721" s="81"/>
      <c r="BD721" s="81"/>
      <c r="BE721" s="81"/>
      <c r="BF721" s="81"/>
      <c r="BG721" s="81"/>
      <c r="BH721" s="81"/>
      <c r="BI721" s="81"/>
      <c r="BJ721" s="81"/>
      <c r="BK721" s="81"/>
      <c r="BL721" s="66"/>
      <c r="BM721" s="66"/>
      <c r="BN721" s="66"/>
      <c r="BO721" s="66" t="str">
        <f>PROPER(TEXT(Prog_236[[#This Row],[PROGRAMAÇÃO CLIENTE]],"mmm"))</f>
        <v>Jan</v>
      </c>
      <c r="BP721" s="66">
        <f>YEAR(Prog_236[[#This Row],[PROGRAMAÇÃO CLIENTE]])</f>
        <v>1900</v>
      </c>
    </row>
    <row r="722" spans="1:68" x14ac:dyDescent="0.25">
      <c r="A722" s="201">
        <f>Prog_236[[#This Row],[CONTEINER]]</f>
        <v>0</v>
      </c>
      <c r="B722" s="86"/>
      <c r="C7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2" s="44"/>
      <c r="E722" s="66"/>
      <c r="F722" s="66"/>
      <c r="G722" s="66"/>
      <c r="H722" s="44"/>
      <c r="I722" s="44"/>
      <c r="J722" s="66"/>
      <c r="K722" s="66"/>
      <c r="L722" s="66"/>
      <c r="M722" s="66"/>
      <c r="N722" s="66">
        <f>SUM(Prog_236[[#This Row],[TARA]]+Prog_236[[#This Row],[PESO]])</f>
        <v>0</v>
      </c>
      <c r="O722" s="44"/>
      <c r="P722" s="66"/>
      <c r="Q722" s="66"/>
      <c r="R722" s="66"/>
      <c r="S722" s="66"/>
      <c r="T722" s="138" t="str">
        <f>IFERROR(LOOKUP($S722,MOTORISTAS!$D$3:$D$1048576,MOTORISTAS!E$3:$E$1048576),"")</f>
        <v/>
      </c>
      <c r="U722" s="138" t="str">
        <f>IFERROR(LOOKUP($S722,MOTORISTAS!$D$3:$D$1048576,MOTORISTAS!F$3:$F$1048576),"")</f>
        <v/>
      </c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44"/>
      <c r="AG722" s="254">
        <f>Prog_236[[#This Row],[SAÍDA DO CLIENTE]]-Prog_236[[#This Row],[PROGRAMAÇÃO CLIENTE]]</f>
        <v>0</v>
      </c>
      <c r="AH722" s="44"/>
      <c r="AI722" s="66"/>
      <c r="AJ722" s="66"/>
      <c r="AK722" s="66"/>
      <c r="AL722" s="66"/>
      <c r="AM722" s="66"/>
      <c r="AN722" s="83"/>
      <c r="AO722" s="66"/>
      <c r="AP722" s="66"/>
      <c r="AQ722" s="66"/>
      <c r="AR722" s="81"/>
      <c r="AS722" s="81"/>
      <c r="AT722" s="81"/>
      <c r="AU722" s="81"/>
      <c r="AV722" s="83">
        <f>SUM(Prog_236[[#This Row],[ADIANTAMENTO]]+Prog_236[[#This Row],[SALDO]]+Prog_236[[#This Row],[MARGEM]]+Prog_236[[#This Row],[ESTADIA 1]])</f>
        <v>0</v>
      </c>
      <c r="AW7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2" s="81"/>
      <c r="AY722" s="81"/>
      <c r="AZ722" s="81">
        <f>Prog_236[[#This Row],[VLR NF]]*0.1%</f>
        <v>0</v>
      </c>
      <c r="BA722" s="81">
        <f>Prog_236[[#This Row],[VLR NF]]*0.05%</f>
        <v>0</v>
      </c>
      <c r="BB722" s="81"/>
      <c r="BC722" s="81"/>
      <c r="BD722" s="81"/>
      <c r="BE722" s="81"/>
      <c r="BF722" s="81"/>
      <c r="BG722" s="81"/>
      <c r="BH722" s="81"/>
      <c r="BI722" s="81"/>
      <c r="BJ722" s="81"/>
      <c r="BK722" s="81"/>
      <c r="BL722" s="66"/>
      <c r="BM722" s="66"/>
      <c r="BN722" s="66"/>
      <c r="BO722" s="66" t="str">
        <f>PROPER(TEXT(Prog_236[[#This Row],[PROGRAMAÇÃO CLIENTE]],"mmm"))</f>
        <v>Jan</v>
      </c>
      <c r="BP722" s="66">
        <f>YEAR(Prog_236[[#This Row],[PROGRAMAÇÃO CLIENTE]])</f>
        <v>1900</v>
      </c>
    </row>
    <row r="723" spans="1:68" x14ac:dyDescent="0.25">
      <c r="A723" s="200">
        <f>Prog_236[[#This Row],[CONTEINER]]</f>
        <v>0</v>
      </c>
      <c r="B723" s="86"/>
      <c r="C7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3" s="44"/>
      <c r="E723" s="66"/>
      <c r="F723" s="66"/>
      <c r="G723" s="66"/>
      <c r="H723" s="44"/>
      <c r="I723" s="44"/>
      <c r="J723" s="66"/>
      <c r="K723" s="66"/>
      <c r="L723" s="66"/>
      <c r="M723" s="66"/>
      <c r="N723" s="66">
        <f>SUM(Prog_236[[#This Row],[TARA]]+Prog_236[[#This Row],[PESO]])</f>
        <v>0</v>
      </c>
      <c r="O723" s="44"/>
      <c r="P723" s="66"/>
      <c r="Q723" s="66"/>
      <c r="R723" s="66"/>
      <c r="S723" s="66"/>
      <c r="T723" s="138" t="str">
        <f>IFERROR(LOOKUP($S723,MOTORISTAS!$D$3:$D$1048576,MOTORISTAS!E$3:$E$1048576),"")</f>
        <v/>
      </c>
      <c r="U723" s="138" t="str">
        <f>IFERROR(LOOKUP($S723,MOTORISTAS!$D$3:$D$1048576,MOTORISTAS!F$3:$F$1048576),"")</f>
        <v/>
      </c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44"/>
      <c r="AG723" s="254">
        <f>Prog_236[[#This Row],[SAÍDA DO CLIENTE]]-Prog_236[[#This Row],[PROGRAMAÇÃO CLIENTE]]</f>
        <v>0</v>
      </c>
      <c r="AH723" s="44"/>
      <c r="AI723" s="66"/>
      <c r="AJ723" s="66"/>
      <c r="AK723" s="66"/>
      <c r="AL723" s="66"/>
      <c r="AM723" s="66"/>
      <c r="AN723" s="83"/>
      <c r="AO723" s="66"/>
      <c r="AP723" s="66"/>
      <c r="AQ723" s="66"/>
      <c r="AR723" s="81"/>
      <c r="AS723" s="81"/>
      <c r="AT723" s="81"/>
      <c r="AU723" s="81"/>
      <c r="AV723" s="83">
        <f>SUM(Prog_236[[#This Row],[ADIANTAMENTO]]+Prog_236[[#This Row],[SALDO]]+Prog_236[[#This Row],[MARGEM]]+Prog_236[[#This Row],[ESTADIA 1]])</f>
        <v>0</v>
      </c>
      <c r="AW7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3" s="81"/>
      <c r="AY723" s="81"/>
      <c r="AZ723" s="81">
        <f>Prog_236[[#This Row],[VLR NF]]*0.1%</f>
        <v>0</v>
      </c>
      <c r="BA723" s="81">
        <f>Prog_236[[#This Row],[VLR NF]]*0.05%</f>
        <v>0</v>
      </c>
      <c r="BB723" s="81"/>
      <c r="BC723" s="81"/>
      <c r="BD723" s="81"/>
      <c r="BE723" s="81"/>
      <c r="BF723" s="81"/>
      <c r="BG723" s="81"/>
      <c r="BH723" s="81"/>
      <c r="BI723" s="81"/>
      <c r="BJ723" s="81"/>
      <c r="BK723" s="81"/>
      <c r="BL723" s="66"/>
      <c r="BM723" s="66"/>
      <c r="BN723" s="66"/>
      <c r="BO723" s="66" t="str">
        <f>PROPER(TEXT(Prog_236[[#This Row],[PROGRAMAÇÃO CLIENTE]],"mmm"))</f>
        <v>Jan</v>
      </c>
      <c r="BP723" s="66">
        <f>YEAR(Prog_236[[#This Row],[PROGRAMAÇÃO CLIENTE]])</f>
        <v>1900</v>
      </c>
    </row>
    <row r="724" spans="1:68" x14ac:dyDescent="0.25">
      <c r="A724" s="201">
        <f>Prog_236[[#This Row],[CONTEINER]]</f>
        <v>0</v>
      </c>
      <c r="B724" s="86"/>
      <c r="C7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4" s="44"/>
      <c r="E724" s="66"/>
      <c r="F724" s="66"/>
      <c r="G724" s="66"/>
      <c r="H724" s="44"/>
      <c r="I724" s="44"/>
      <c r="J724" s="66"/>
      <c r="K724" s="66"/>
      <c r="L724" s="66"/>
      <c r="M724" s="66"/>
      <c r="N724" s="66">
        <f>SUM(Prog_236[[#This Row],[TARA]]+Prog_236[[#This Row],[PESO]])</f>
        <v>0</v>
      </c>
      <c r="O724" s="44"/>
      <c r="P724" s="66"/>
      <c r="Q724" s="66"/>
      <c r="R724" s="66"/>
      <c r="S724" s="66"/>
      <c r="T724" s="138" t="str">
        <f>IFERROR(LOOKUP($S724,MOTORISTAS!$D$3:$D$1048576,MOTORISTAS!E$3:$E$1048576),"")</f>
        <v/>
      </c>
      <c r="U724" s="138" t="str">
        <f>IFERROR(LOOKUP($S724,MOTORISTAS!$D$3:$D$1048576,MOTORISTAS!F$3:$F$1048576),"")</f>
        <v/>
      </c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44"/>
      <c r="AG724" s="254">
        <f>Prog_236[[#This Row],[SAÍDA DO CLIENTE]]-Prog_236[[#This Row],[PROGRAMAÇÃO CLIENTE]]</f>
        <v>0</v>
      </c>
      <c r="AH724" s="44"/>
      <c r="AI724" s="66"/>
      <c r="AJ724" s="66"/>
      <c r="AK724" s="66"/>
      <c r="AL724" s="66"/>
      <c r="AM724" s="66"/>
      <c r="AN724" s="83"/>
      <c r="AO724" s="66"/>
      <c r="AP724" s="66"/>
      <c r="AQ724" s="66"/>
      <c r="AR724" s="81"/>
      <c r="AS724" s="81"/>
      <c r="AT724" s="81"/>
      <c r="AU724" s="81"/>
      <c r="AV724" s="83">
        <f>SUM(Prog_236[[#This Row],[ADIANTAMENTO]]+Prog_236[[#This Row],[SALDO]]+Prog_236[[#This Row],[MARGEM]]+Prog_236[[#This Row],[ESTADIA 1]])</f>
        <v>0</v>
      </c>
      <c r="AW7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4" s="81"/>
      <c r="AY724" s="81"/>
      <c r="AZ724" s="81">
        <f>Prog_236[[#This Row],[VLR NF]]*0.1%</f>
        <v>0</v>
      </c>
      <c r="BA724" s="81">
        <f>Prog_236[[#This Row],[VLR NF]]*0.05%</f>
        <v>0</v>
      </c>
      <c r="BB724" s="81"/>
      <c r="BC724" s="81"/>
      <c r="BD724" s="81"/>
      <c r="BE724" s="81"/>
      <c r="BF724" s="81"/>
      <c r="BG724" s="81"/>
      <c r="BH724" s="81"/>
      <c r="BI724" s="81"/>
      <c r="BJ724" s="81"/>
      <c r="BK724" s="81"/>
      <c r="BL724" s="66"/>
      <c r="BM724" s="66"/>
      <c r="BN724" s="66"/>
      <c r="BO724" s="66" t="str">
        <f>PROPER(TEXT(Prog_236[[#This Row],[PROGRAMAÇÃO CLIENTE]],"mmm"))</f>
        <v>Jan</v>
      </c>
      <c r="BP724" s="66">
        <f>YEAR(Prog_236[[#This Row],[PROGRAMAÇÃO CLIENTE]])</f>
        <v>1900</v>
      </c>
    </row>
    <row r="725" spans="1:68" x14ac:dyDescent="0.25">
      <c r="A725" s="200">
        <f>Prog_236[[#This Row],[CONTEINER]]</f>
        <v>0</v>
      </c>
      <c r="B725" s="86"/>
      <c r="C7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5" s="44"/>
      <c r="E725" s="66"/>
      <c r="F725" s="66"/>
      <c r="G725" s="66"/>
      <c r="H725" s="44"/>
      <c r="I725" s="44"/>
      <c r="J725" s="66"/>
      <c r="K725" s="66"/>
      <c r="L725" s="66"/>
      <c r="M725" s="66"/>
      <c r="N725" s="66">
        <f>SUM(Prog_236[[#This Row],[TARA]]+Prog_236[[#This Row],[PESO]])</f>
        <v>0</v>
      </c>
      <c r="O725" s="44"/>
      <c r="P725" s="66"/>
      <c r="Q725" s="66"/>
      <c r="R725" s="66"/>
      <c r="S725" s="66"/>
      <c r="T725" s="138" t="str">
        <f>IFERROR(LOOKUP($S725,MOTORISTAS!$D$3:$D$1048576,MOTORISTAS!E$3:$E$1048576),"")</f>
        <v/>
      </c>
      <c r="U725" s="138" t="str">
        <f>IFERROR(LOOKUP($S725,MOTORISTAS!$D$3:$D$1048576,MOTORISTAS!F$3:$F$1048576),"")</f>
        <v/>
      </c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44"/>
      <c r="AG725" s="254">
        <f>Prog_236[[#This Row],[SAÍDA DO CLIENTE]]-Prog_236[[#This Row],[PROGRAMAÇÃO CLIENTE]]</f>
        <v>0</v>
      </c>
      <c r="AH725" s="44"/>
      <c r="AI725" s="66"/>
      <c r="AJ725" s="66"/>
      <c r="AK725" s="66"/>
      <c r="AL725" s="66"/>
      <c r="AM725" s="66"/>
      <c r="AN725" s="83"/>
      <c r="AO725" s="66"/>
      <c r="AP725" s="66"/>
      <c r="AQ725" s="66"/>
      <c r="AR725" s="81"/>
      <c r="AS725" s="81"/>
      <c r="AT725" s="81"/>
      <c r="AU725" s="81"/>
      <c r="AV725" s="83">
        <f>SUM(Prog_236[[#This Row],[ADIANTAMENTO]]+Prog_236[[#This Row],[SALDO]]+Prog_236[[#This Row],[MARGEM]]+Prog_236[[#This Row],[ESTADIA 1]])</f>
        <v>0</v>
      </c>
      <c r="AW7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5" s="81"/>
      <c r="AY725" s="81"/>
      <c r="AZ725" s="81">
        <f>Prog_236[[#This Row],[VLR NF]]*0.1%</f>
        <v>0</v>
      </c>
      <c r="BA725" s="81">
        <f>Prog_236[[#This Row],[VLR NF]]*0.05%</f>
        <v>0</v>
      </c>
      <c r="BB725" s="81"/>
      <c r="BC725" s="81"/>
      <c r="BD725" s="81"/>
      <c r="BE725" s="81"/>
      <c r="BF725" s="81"/>
      <c r="BG725" s="81"/>
      <c r="BH725" s="81"/>
      <c r="BI725" s="81"/>
      <c r="BJ725" s="81"/>
      <c r="BK725" s="81"/>
      <c r="BL725" s="66"/>
      <c r="BM725" s="66"/>
      <c r="BN725" s="66"/>
      <c r="BO725" s="66" t="str">
        <f>PROPER(TEXT(Prog_236[[#This Row],[PROGRAMAÇÃO CLIENTE]],"mmm"))</f>
        <v>Jan</v>
      </c>
      <c r="BP725" s="66">
        <f>YEAR(Prog_236[[#This Row],[PROGRAMAÇÃO CLIENTE]])</f>
        <v>1900</v>
      </c>
    </row>
    <row r="726" spans="1:68" x14ac:dyDescent="0.25">
      <c r="A726" s="201">
        <f>Prog_236[[#This Row],[CONTEINER]]</f>
        <v>0</v>
      </c>
      <c r="B726" s="86"/>
      <c r="C7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6" s="44"/>
      <c r="E726" s="66"/>
      <c r="F726" s="66"/>
      <c r="G726" s="66"/>
      <c r="H726" s="44"/>
      <c r="I726" s="44"/>
      <c r="J726" s="66"/>
      <c r="K726" s="66"/>
      <c r="L726" s="66"/>
      <c r="M726" s="66"/>
      <c r="N726" s="66">
        <f>SUM(Prog_236[[#This Row],[TARA]]+Prog_236[[#This Row],[PESO]])</f>
        <v>0</v>
      </c>
      <c r="O726" s="44"/>
      <c r="P726" s="66"/>
      <c r="Q726" s="66"/>
      <c r="R726" s="66"/>
      <c r="S726" s="66"/>
      <c r="T726" s="138" t="str">
        <f>IFERROR(LOOKUP($S726,MOTORISTAS!$D$3:$D$1048576,MOTORISTAS!E$3:$E$1048576),"")</f>
        <v/>
      </c>
      <c r="U726" s="138" t="str">
        <f>IFERROR(LOOKUP($S726,MOTORISTAS!$D$3:$D$1048576,MOTORISTAS!F$3:$F$1048576),"")</f>
        <v/>
      </c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44"/>
      <c r="AG726" s="254">
        <f>Prog_236[[#This Row],[SAÍDA DO CLIENTE]]-Prog_236[[#This Row],[PROGRAMAÇÃO CLIENTE]]</f>
        <v>0</v>
      </c>
      <c r="AH726" s="44"/>
      <c r="AI726" s="66"/>
      <c r="AJ726" s="66"/>
      <c r="AK726" s="66"/>
      <c r="AL726" s="66"/>
      <c r="AM726" s="66"/>
      <c r="AN726" s="83"/>
      <c r="AO726" s="66"/>
      <c r="AP726" s="66"/>
      <c r="AQ726" s="66"/>
      <c r="AR726" s="81"/>
      <c r="AS726" s="81"/>
      <c r="AT726" s="81"/>
      <c r="AU726" s="81"/>
      <c r="AV726" s="83">
        <f>SUM(Prog_236[[#This Row],[ADIANTAMENTO]]+Prog_236[[#This Row],[SALDO]]+Prog_236[[#This Row],[MARGEM]]+Prog_236[[#This Row],[ESTADIA 1]])</f>
        <v>0</v>
      </c>
      <c r="AW7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6" s="81"/>
      <c r="AY726" s="81"/>
      <c r="AZ726" s="81">
        <f>Prog_236[[#This Row],[VLR NF]]*0.1%</f>
        <v>0</v>
      </c>
      <c r="BA726" s="81">
        <f>Prog_236[[#This Row],[VLR NF]]*0.05%</f>
        <v>0</v>
      </c>
      <c r="BB726" s="81"/>
      <c r="BC726" s="81"/>
      <c r="BD726" s="81"/>
      <c r="BE726" s="81"/>
      <c r="BF726" s="81"/>
      <c r="BG726" s="81"/>
      <c r="BH726" s="81"/>
      <c r="BI726" s="81"/>
      <c r="BJ726" s="81"/>
      <c r="BK726" s="81"/>
      <c r="BL726" s="66"/>
      <c r="BM726" s="66"/>
      <c r="BN726" s="66"/>
      <c r="BO726" s="66" t="str">
        <f>PROPER(TEXT(Prog_236[[#This Row],[PROGRAMAÇÃO CLIENTE]],"mmm"))</f>
        <v>Jan</v>
      </c>
      <c r="BP726" s="66">
        <f>YEAR(Prog_236[[#This Row],[PROGRAMAÇÃO CLIENTE]])</f>
        <v>1900</v>
      </c>
    </row>
    <row r="727" spans="1:68" x14ac:dyDescent="0.25">
      <c r="A727" s="200">
        <f>Prog_236[[#This Row],[CONTEINER]]</f>
        <v>0</v>
      </c>
      <c r="B727" s="86"/>
      <c r="C7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7" s="44"/>
      <c r="E727" s="66"/>
      <c r="F727" s="66"/>
      <c r="G727" s="66"/>
      <c r="H727" s="44"/>
      <c r="I727" s="44"/>
      <c r="J727" s="66"/>
      <c r="K727" s="66"/>
      <c r="L727" s="66"/>
      <c r="M727" s="66"/>
      <c r="N727" s="66">
        <f>SUM(Prog_236[[#This Row],[TARA]]+Prog_236[[#This Row],[PESO]])</f>
        <v>0</v>
      </c>
      <c r="O727" s="44"/>
      <c r="P727" s="66"/>
      <c r="Q727" s="66"/>
      <c r="R727" s="66"/>
      <c r="S727" s="66"/>
      <c r="T727" s="138" t="str">
        <f>IFERROR(LOOKUP($S727,MOTORISTAS!$D$3:$D$1048576,MOTORISTAS!E$3:$E$1048576),"")</f>
        <v/>
      </c>
      <c r="U727" s="138" t="str">
        <f>IFERROR(LOOKUP($S727,MOTORISTAS!$D$3:$D$1048576,MOTORISTAS!F$3:$F$1048576),"")</f>
        <v/>
      </c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44"/>
      <c r="AG727" s="254">
        <f>Prog_236[[#This Row],[SAÍDA DO CLIENTE]]-Prog_236[[#This Row],[PROGRAMAÇÃO CLIENTE]]</f>
        <v>0</v>
      </c>
      <c r="AH727" s="44"/>
      <c r="AI727" s="66"/>
      <c r="AJ727" s="66"/>
      <c r="AK727" s="66"/>
      <c r="AL727" s="66"/>
      <c r="AM727" s="66"/>
      <c r="AN727" s="83"/>
      <c r="AO727" s="66"/>
      <c r="AP727" s="66"/>
      <c r="AQ727" s="66"/>
      <c r="AR727" s="81"/>
      <c r="AS727" s="81"/>
      <c r="AT727" s="81"/>
      <c r="AU727" s="81"/>
      <c r="AV727" s="83">
        <f>SUM(Prog_236[[#This Row],[ADIANTAMENTO]]+Prog_236[[#This Row],[SALDO]]+Prog_236[[#This Row],[MARGEM]]+Prog_236[[#This Row],[ESTADIA 1]])</f>
        <v>0</v>
      </c>
      <c r="AW7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7" s="81"/>
      <c r="AY727" s="81"/>
      <c r="AZ727" s="81">
        <f>Prog_236[[#This Row],[VLR NF]]*0.1%</f>
        <v>0</v>
      </c>
      <c r="BA727" s="81">
        <f>Prog_236[[#This Row],[VLR NF]]*0.05%</f>
        <v>0</v>
      </c>
      <c r="BB727" s="81"/>
      <c r="BC727" s="81"/>
      <c r="BD727" s="81"/>
      <c r="BE727" s="81"/>
      <c r="BF727" s="81"/>
      <c r="BG727" s="81"/>
      <c r="BH727" s="81"/>
      <c r="BI727" s="81"/>
      <c r="BJ727" s="81"/>
      <c r="BK727" s="81"/>
      <c r="BL727" s="66"/>
      <c r="BM727" s="66"/>
      <c r="BN727" s="66"/>
      <c r="BO727" s="66" t="str">
        <f>PROPER(TEXT(Prog_236[[#This Row],[PROGRAMAÇÃO CLIENTE]],"mmm"))</f>
        <v>Jan</v>
      </c>
      <c r="BP727" s="66">
        <f>YEAR(Prog_236[[#This Row],[PROGRAMAÇÃO CLIENTE]])</f>
        <v>1900</v>
      </c>
    </row>
    <row r="728" spans="1:68" x14ac:dyDescent="0.25">
      <c r="A728" s="201">
        <f>Prog_236[[#This Row],[CONTEINER]]</f>
        <v>0</v>
      </c>
      <c r="B728" s="86"/>
      <c r="C7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8" s="44"/>
      <c r="E728" s="66"/>
      <c r="F728" s="66"/>
      <c r="G728" s="66"/>
      <c r="H728" s="44"/>
      <c r="I728" s="44"/>
      <c r="J728" s="66"/>
      <c r="K728" s="66"/>
      <c r="L728" s="66"/>
      <c r="M728" s="66"/>
      <c r="N728" s="66">
        <f>SUM(Prog_236[[#This Row],[TARA]]+Prog_236[[#This Row],[PESO]])</f>
        <v>0</v>
      </c>
      <c r="O728" s="44"/>
      <c r="P728" s="66"/>
      <c r="Q728" s="66"/>
      <c r="R728" s="66"/>
      <c r="S728" s="66"/>
      <c r="T728" s="138" t="str">
        <f>IFERROR(LOOKUP($S728,MOTORISTAS!$D$3:$D$1048576,MOTORISTAS!E$3:$E$1048576),"")</f>
        <v/>
      </c>
      <c r="U728" s="138" t="str">
        <f>IFERROR(LOOKUP($S728,MOTORISTAS!$D$3:$D$1048576,MOTORISTAS!F$3:$F$1048576),"")</f>
        <v/>
      </c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44"/>
      <c r="AG728" s="254">
        <f>Prog_236[[#This Row],[SAÍDA DO CLIENTE]]-Prog_236[[#This Row],[PROGRAMAÇÃO CLIENTE]]</f>
        <v>0</v>
      </c>
      <c r="AH728" s="44"/>
      <c r="AI728" s="66"/>
      <c r="AJ728" s="66"/>
      <c r="AK728" s="66"/>
      <c r="AL728" s="66"/>
      <c r="AM728" s="66"/>
      <c r="AN728" s="83"/>
      <c r="AO728" s="66"/>
      <c r="AP728" s="66"/>
      <c r="AQ728" s="66"/>
      <c r="AR728" s="81"/>
      <c r="AS728" s="81"/>
      <c r="AT728" s="81"/>
      <c r="AU728" s="81"/>
      <c r="AV728" s="83">
        <f>SUM(Prog_236[[#This Row],[ADIANTAMENTO]]+Prog_236[[#This Row],[SALDO]]+Prog_236[[#This Row],[MARGEM]]+Prog_236[[#This Row],[ESTADIA 1]])</f>
        <v>0</v>
      </c>
      <c r="AW7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8" s="81"/>
      <c r="AY728" s="81"/>
      <c r="AZ728" s="81">
        <f>Prog_236[[#This Row],[VLR NF]]*0.1%</f>
        <v>0</v>
      </c>
      <c r="BA728" s="81">
        <f>Prog_236[[#This Row],[VLR NF]]*0.05%</f>
        <v>0</v>
      </c>
      <c r="BB728" s="81"/>
      <c r="BC728" s="81"/>
      <c r="BD728" s="81"/>
      <c r="BE728" s="81"/>
      <c r="BF728" s="81"/>
      <c r="BG728" s="81"/>
      <c r="BH728" s="81"/>
      <c r="BI728" s="81"/>
      <c r="BJ728" s="81"/>
      <c r="BK728" s="81"/>
      <c r="BL728" s="66"/>
      <c r="BM728" s="66"/>
      <c r="BN728" s="66"/>
      <c r="BO728" s="66" t="str">
        <f>PROPER(TEXT(Prog_236[[#This Row],[PROGRAMAÇÃO CLIENTE]],"mmm"))</f>
        <v>Jan</v>
      </c>
      <c r="BP728" s="66">
        <f>YEAR(Prog_236[[#This Row],[PROGRAMAÇÃO CLIENTE]])</f>
        <v>1900</v>
      </c>
    </row>
    <row r="729" spans="1:68" x14ac:dyDescent="0.25">
      <c r="A729" s="200">
        <f>Prog_236[[#This Row],[CONTEINER]]</f>
        <v>0</v>
      </c>
      <c r="B729" s="86"/>
      <c r="C7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29" s="44"/>
      <c r="E729" s="66"/>
      <c r="F729" s="66"/>
      <c r="G729" s="66"/>
      <c r="H729" s="44"/>
      <c r="I729" s="44"/>
      <c r="J729" s="66"/>
      <c r="K729" s="66"/>
      <c r="L729" s="66"/>
      <c r="M729" s="66"/>
      <c r="N729" s="66">
        <f>SUM(Prog_236[[#This Row],[TARA]]+Prog_236[[#This Row],[PESO]])</f>
        <v>0</v>
      </c>
      <c r="O729" s="44"/>
      <c r="P729" s="66"/>
      <c r="Q729" s="66"/>
      <c r="R729" s="66"/>
      <c r="S729" s="66"/>
      <c r="T729" s="138" t="str">
        <f>IFERROR(LOOKUP($S729,MOTORISTAS!$D$3:$D$1048576,MOTORISTAS!E$3:$E$1048576),"")</f>
        <v/>
      </c>
      <c r="U729" s="138" t="str">
        <f>IFERROR(LOOKUP($S729,MOTORISTAS!$D$3:$D$1048576,MOTORISTAS!F$3:$F$1048576),"")</f>
        <v/>
      </c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44"/>
      <c r="AG729" s="254">
        <f>Prog_236[[#This Row],[SAÍDA DO CLIENTE]]-Prog_236[[#This Row],[PROGRAMAÇÃO CLIENTE]]</f>
        <v>0</v>
      </c>
      <c r="AH729" s="44"/>
      <c r="AI729" s="66"/>
      <c r="AJ729" s="66"/>
      <c r="AK729" s="66"/>
      <c r="AL729" s="66"/>
      <c r="AM729" s="66"/>
      <c r="AN729" s="83"/>
      <c r="AO729" s="66"/>
      <c r="AP729" s="66"/>
      <c r="AQ729" s="66"/>
      <c r="AR729" s="81"/>
      <c r="AS729" s="81"/>
      <c r="AT729" s="81"/>
      <c r="AU729" s="81"/>
      <c r="AV729" s="83">
        <f>SUM(Prog_236[[#This Row],[ADIANTAMENTO]]+Prog_236[[#This Row],[SALDO]]+Prog_236[[#This Row],[MARGEM]]+Prog_236[[#This Row],[ESTADIA 1]])</f>
        <v>0</v>
      </c>
      <c r="AW7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29" s="81"/>
      <c r="AY729" s="81"/>
      <c r="AZ729" s="81">
        <f>Prog_236[[#This Row],[VLR NF]]*0.1%</f>
        <v>0</v>
      </c>
      <c r="BA729" s="81">
        <f>Prog_236[[#This Row],[VLR NF]]*0.05%</f>
        <v>0</v>
      </c>
      <c r="BB729" s="81"/>
      <c r="BC729" s="81"/>
      <c r="BD729" s="81"/>
      <c r="BE729" s="81"/>
      <c r="BF729" s="81"/>
      <c r="BG729" s="81"/>
      <c r="BH729" s="81"/>
      <c r="BI729" s="81"/>
      <c r="BJ729" s="81"/>
      <c r="BK729" s="81"/>
      <c r="BL729" s="66"/>
      <c r="BM729" s="66"/>
      <c r="BN729" s="66"/>
      <c r="BO729" s="66" t="str">
        <f>PROPER(TEXT(Prog_236[[#This Row],[PROGRAMAÇÃO CLIENTE]],"mmm"))</f>
        <v>Jan</v>
      </c>
      <c r="BP729" s="66">
        <f>YEAR(Prog_236[[#This Row],[PROGRAMAÇÃO CLIENTE]])</f>
        <v>1900</v>
      </c>
    </row>
    <row r="730" spans="1:68" x14ac:dyDescent="0.25">
      <c r="A730" s="201">
        <f>Prog_236[[#This Row],[CONTEINER]]</f>
        <v>0</v>
      </c>
      <c r="B730" s="86"/>
      <c r="C7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0" s="44"/>
      <c r="E730" s="66"/>
      <c r="F730" s="66"/>
      <c r="G730" s="66"/>
      <c r="H730" s="44"/>
      <c r="I730" s="44"/>
      <c r="J730" s="66"/>
      <c r="K730" s="66"/>
      <c r="L730" s="66"/>
      <c r="M730" s="66"/>
      <c r="N730" s="66">
        <f>SUM(Prog_236[[#This Row],[TARA]]+Prog_236[[#This Row],[PESO]])</f>
        <v>0</v>
      </c>
      <c r="O730" s="44"/>
      <c r="P730" s="66"/>
      <c r="Q730" s="66"/>
      <c r="R730" s="66"/>
      <c r="S730" s="66"/>
      <c r="T730" s="138" t="str">
        <f>IFERROR(LOOKUP($S730,MOTORISTAS!$D$3:$D$1048576,MOTORISTAS!E$3:$E$1048576),"")</f>
        <v/>
      </c>
      <c r="U730" s="138" t="str">
        <f>IFERROR(LOOKUP($S730,MOTORISTAS!$D$3:$D$1048576,MOTORISTAS!F$3:$F$1048576),"")</f>
        <v/>
      </c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44"/>
      <c r="AG730" s="254">
        <f>Prog_236[[#This Row],[SAÍDA DO CLIENTE]]-Prog_236[[#This Row],[PROGRAMAÇÃO CLIENTE]]</f>
        <v>0</v>
      </c>
      <c r="AH730" s="44"/>
      <c r="AI730" s="66"/>
      <c r="AJ730" s="66"/>
      <c r="AK730" s="66"/>
      <c r="AL730" s="66"/>
      <c r="AM730" s="66"/>
      <c r="AN730" s="83"/>
      <c r="AO730" s="66"/>
      <c r="AP730" s="66"/>
      <c r="AQ730" s="66"/>
      <c r="AR730" s="81"/>
      <c r="AS730" s="81"/>
      <c r="AT730" s="81"/>
      <c r="AU730" s="81"/>
      <c r="AV730" s="83">
        <f>SUM(Prog_236[[#This Row],[ADIANTAMENTO]]+Prog_236[[#This Row],[SALDO]]+Prog_236[[#This Row],[MARGEM]]+Prog_236[[#This Row],[ESTADIA 1]])</f>
        <v>0</v>
      </c>
      <c r="AW7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0" s="81"/>
      <c r="AY730" s="81"/>
      <c r="AZ730" s="81">
        <f>Prog_236[[#This Row],[VLR NF]]*0.1%</f>
        <v>0</v>
      </c>
      <c r="BA730" s="81">
        <f>Prog_236[[#This Row],[VLR NF]]*0.05%</f>
        <v>0</v>
      </c>
      <c r="BB730" s="81"/>
      <c r="BC730" s="81"/>
      <c r="BD730" s="81"/>
      <c r="BE730" s="81"/>
      <c r="BF730" s="81"/>
      <c r="BG730" s="81"/>
      <c r="BH730" s="81"/>
      <c r="BI730" s="81"/>
      <c r="BJ730" s="81"/>
      <c r="BK730" s="81"/>
      <c r="BL730" s="66"/>
      <c r="BM730" s="66"/>
      <c r="BN730" s="66"/>
      <c r="BO730" s="66" t="str">
        <f>PROPER(TEXT(Prog_236[[#This Row],[PROGRAMAÇÃO CLIENTE]],"mmm"))</f>
        <v>Jan</v>
      </c>
      <c r="BP730" s="66">
        <f>YEAR(Prog_236[[#This Row],[PROGRAMAÇÃO CLIENTE]])</f>
        <v>1900</v>
      </c>
    </row>
    <row r="731" spans="1:68" x14ac:dyDescent="0.25">
      <c r="A731" s="200">
        <f>Prog_236[[#This Row],[CONTEINER]]</f>
        <v>0</v>
      </c>
      <c r="B731" s="86"/>
      <c r="C7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1" s="44"/>
      <c r="E731" s="66"/>
      <c r="F731" s="66"/>
      <c r="G731" s="66"/>
      <c r="H731" s="44"/>
      <c r="I731" s="44"/>
      <c r="J731" s="66"/>
      <c r="K731" s="66"/>
      <c r="L731" s="66"/>
      <c r="M731" s="66"/>
      <c r="N731" s="66">
        <f>SUM(Prog_236[[#This Row],[TARA]]+Prog_236[[#This Row],[PESO]])</f>
        <v>0</v>
      </c>
      <c r="O731" s="44"/>
      <c r="P731" s="66"/>
      <c r="Q731" s="66"/>
      <c r="R731" s="66"/>
      <c r="S731" s="66"/>
      <c r="T731" s="138" t="str">
        <f>IFERROR(LOOKUP($S731,MOTORISTAS!$D$3:$D$1048576,MOTORISTAS!E$3:$E$1048576),"")</f>
        <v/>
      </c>
      <c r="U731" s="138" t="str">
        <f>IFERROR(LOOKUP($S731,MOTORISTAS!$D$3:$D$1048576,MOTORISTAS!F$3:$F$1048576),"")</f>
        <v/>
      </c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44"/>
      <c r="AG731" s="254">
        <f>Prog_236[[#This Row],[SAÍDA DO CLIENTE]]-Prog_236[[#This Row],[PROGRAMAÇÃO CLIENTE]]</f>
        <v>0</v>
      </c>
      <c r="AH731" s="44"/>
      <c r="AI731" s="66"/>
      <c r="AJ731" s="66"/>
      <c r="AK731" s="66"/>
      <c r="AL731" s="66"/>
      <c r="AM731" s="66"/>
      <c r="AN731" s="83"/>
      <c r="AO731" s="66"/>
      <c r="AP731" s="66"/>
      <c r="AQ731" s="66"/>
      <c r="AR731" s="81"/>
      <c r="AS731" s="81"/>
      <c r="AT731" s="81"/>
      <c r="AU731" s="81"/>
      <c r="AV731" s="83">
        <f>SUM(Prog_236[[#This Row],[ADIANTAMENTO]]+Prog_236[[#This Row],[SALDO]]+Prog_236[[#This Row],[MARGEM]]+Prog_236[[#This Row],[ESTADIA 1]])</f>
        <v>0</v>
      </c>
      <c r="AW7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1" s="81"/>
      <c r="AY731" s="81"/>
      <c r="AZ731" s="81">
        <f>Prog_236[[#This Row],[VLR NF]]*0.1%</f>
        <v>0</v>
      </c>
      <c r="BA731" s="81">
        <f>Prog_236[[#This Row],[VLR NF]]*0.05%</f>
        <v>0</v>
      </c>
      <c r="BB731" s="81"/>
      <c r="BC731" s="81"/>
      <c r="BD731" s="81"/>
      <c r="BE731" s="81"/>
      <c r="BF731" s="81"/>
      <c r="BG731" s="81"/>
      <c r="BH731" s="81"/>
      <c r="BI731" s="81"/>
      <c r="BJ731" s="81"/>
      <c r="BK731" s="81"/>
      <c r="BL731" s="66"/>
      <c r="BM731" s="66"/>
      <c r="BN731" s="66"/>
      <c r="BO731" s="66" t="str">
        <f>PROPER(TEXT(Prog_236[[#This Row],[PROGRAMAÇÃO CLIENTE]],"mmm"))</f>
        <v>Jan</v>
      </c>
      <c r="BP731" s="66">
        <f>YEAR(Prog_236[[#This Row],[PROGRAMAÇÃO CLIENTE]])</f>
        <v>1900</v>
      </c>
    </row>
    <row r="732" spans="1:68" x14ac:dyDescent="0.25">
      <c r="A732" s="201">
        <f>Prog_236[[#This Row],[CONTEINER]]</f>
        <v>0</v>
      </c>
      <c r="B732" s="86"/>
      <c r="C7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2" s="44"/>
      <c r="E732" s="66"/>
      <c r="F732" s="66"/>
      <c r="G732" s="66"/>
      <c r="H732" s="44"/>
      <c r="I732" s="44"/>
      <c r="J732" s="66"/>
      <c r="K732" s="66"/>
      <c r="L732" s="66"/>
      <c r="M732" s="66"/>
      <c r="N732" s="66">
        <f>SUM(Prog_236[[#This Row],[TARA]]+Prog_236[[#This Row],[PESO]])</f>
        <v>0</v>
      </c>
      <c r="O732" s="44"/>
      <c r="P732" s="66"/>
      <c r="Q732" s="66"/>
      <c r="R732" s="66"/>
      <c r="S732" s="66"/>
      <c r="T732" s="138" t="str">
        <f>IFERROR(LOOKUP($S732,MOTORISTAS!$D$3:$D$1048576,MOTORISTAS!E$3:$E$1048576),"")</f>
        <v/>
      </c>
      <c r="U732" s="138" t="str">
        <f>IFERROR(LOOKUP($S732,MOTORISTAS!$D$3:$D$1048576,MOTORISTAS!F$3:$F$1048576),"")</f>
        <v/>
      </c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44"/>
      <c r="AG732" s="254">
        <f>Prog_236[[#This Row],[SAÍDA DO CLIENTE]]-Prog_236[[#This Row],[PROGRAMAÇÃO CLIENTE]]</f>
        <v>0</v>
      </c>
      <c r="AH732" s="44"/>
      <c r="AI732" s="66"/>
      <c r="AJ732" s="66"/>
      <c r="AK732" s="66"/>
      <c r="AL732" s="66"/>
      <c r="AM732" s="66"/>
      <c r="AN732" s="83"/>
      <c r="AO732" s="66"/>
      <c r="AP732" s="66"/>
      <c r="AQ732" s="66"/>
      <c r="AR732" s="81"/>
      <c r="AS732" s="81"/>
      <c r="AT732" s="81"/>
      <c r="AU732" s="81"/>
      <c r="AV732" s="83">
        <f>SUM(Prog_236[[#This Row],[ADIANTAMENTO]]+Prog_236[[#This Row],[SALDO]]+Prog_236[[#This Row],[MARGEM]]+Prog_236[[#This Row],[ESTADIA 1]])</f>
        <v>0</v>
      </c>
      <c r="AW7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2" s="81"/>
      <c r="AY732" s="81"/>
      <c r="AZ732" s="81">
        <f>Prog_236[[#This Row],[VLR NF]]*0.1%</f>
        <v>0</v>
      </c>
      <c r="BA732" s="81">
        <f>Prog_236[[#This Row],[VLR NF]]*0.05%</f>
        <v>0</v>
      </c>
      <c r="BB732" s="81"/>
      <c r="BC732" s="81"/>
      <c r="BD732" s="81"/>
      <c r="BE732" s="81"/>
      <c r="BF732" s="81"/>
      <c r="BG732" s="81"/>
      <c r="BH732" s="81"/>
      <c r="BI732" s="81"/>
      <c r="BJ732" s="81"/>
      <c r="BK732" s="81"/>
      <c r="BL732" s="66"/>
      <c r="BM732" s="66"/>
      <c r="BN732" s="66"/>
      <c r="BO732" s="66" t="str">
        <f>PROPER(TEXT(Prog_236[[#This Row],[PROGRAMAÇÃO CLIENTE]],"mmm"))</f>
        <v>Jan</v>
      </c>
      <c r="BP732" s="66">
        <f>YEAR(Prog_236[[#This Row],[PROGRAMAÇÃO CLIENTE]])</f>
        <v>1900</v>
      </c>
    </row>
    <row r="733" spans="1:68" x14ac:dyDescent="0.25">
      <c r="A733" s="200">
        <f>Prog_236[[#This Row],[CONTEINER]]</f>
        <v>0</v>
      </c>
      <c r="B733" s="86"/>
      <c r="C7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3" s="44"/>
      <c r="E733" s="66"/>
      <c r="F733" s="66"/>
      <c r="G733" s="66"/>
      <c r="H733" s="44"/>
      <c r="I733" s="44"/>
      <c r="J733" s="66"/>
      <c r="K733" s="66"/>
      <c r="L733" s="66"/>
      <c r="M733" s="66"/>
      <c r="N733" s="66">
        <f>SUM(Prog_236[[#This Row],[TARA]]+Prog_236[[#This Row],[PESO]])</f>
        <v>0</v>
      </c>
      <c r="O733" s="44"/>
      <c r="P733" s="66"/>
      <c r="Q733" s="66"/>
      <c r="R733" s="66"/>
      <c r="S733" s="66"/>
      <c r="T733" s="138" t="str">
        <f>IFERROR(LOOKUP($S733,MOTORISTAS!$D$3:$D$1048576,MOTORISTAS!E$3:$E$1048576),"")</f>
        <v/>
      </c>
      <c r="U733" s="138" t="str">
        <f>IFERROR(LOOKUP($S733,MOTORISTAS!$D$3:$D$1048576,MOTORISTAS!F$3:$F$1048576),"")</f>
        <v/>
      </c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44"/>
      <c r="AG733" s="254">
        <f>Prog_236[[#This Row],[SAÍDA DO CLIENTE]]-Prog_236[[#This Row],[PROGRAMAÇÃO CLIENTE]]</f>
        <v>0</v>
      </c>
      <c r="AH733" s="44"/>
      <c r="AI733" s="66"/>
      <c r="AJ733" s="66"/>
      <c r="AK733" s="66"/>
      <c r="AL733" s="66"/>
      <c r="AM733" s="66"/>
      <c r="AN733" s="83"/>
      <c r="AO733" s="66"/>
      <c r="AP733" s="66"/>
      <c r="AQ733" s="66"/>
      <c r="AR733" s="81"/>
      <c r="AS733" s="81"/>
      <c r="AT733" s="81"/>
      <c r="AU733" s="81"/>
      <c r="AV733" s="83">
        <f>SUM(Prog_236[[#This Row],[ADIANTAMENTO]]+Prog_236[[#This Row],[SALDO]]+Prog_236[[#This Row],[MARGEM]]+Prog_236[[#This Row],[ESTADIA 1]])</f>
        <v>0</v>
      </c>
      <c r="AW7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3" s="81"/>
      <c r="AY733" s="81"/>
      <c r="AZ733" s="81">
        <f>Prog_236[[#This Row],[VLR NF]]*0.1%</f>
        <v>0</v>
      </c>
      <c r="BA733" s="81">
        <f>Prog_236[[#This Row],[VLR NF]]*0.05%</f>
        <v>0</v>
      </c>
      <c r="BB733" s="81"/>
      <c r="BC733" s="81"/>
      <c r="BD733" s="81"/>
      <c r="BE733" s="81"/>
      <c r="BF733" s="81"/>
      <c r="BG733" s="81"/>
      <c r="BH733" s="81"/>
      <c r="BI733" s="81"/>
      <c r="BJ733" s="81"/>
      <c r="BK733" s="81"/>
      <c r="BL733" s="66"/>
      <c r="BM733" s="66"/>
      <c r="BN733" s="66"/>
      <c r="BO733" s="66" t="str">
        <f>PROPER(TEXT(Prog_236[[#This Row],[PROGRAMAÇÃO CLIENTE]],"mmm"))</f>
        <v>Jan</v>
      </c>
      <c r="BP733" s="66">
        <f>YEAR(Prog_236[[#This Row],[PROGRAMAÇÃO CLIENTE]])</f>
        <v>1900</v>
      </c>
    </row>
    <row r="734" spans="1:68" x14ac:dyDescent="0.25">
      <c r="A734" s="201">
        <f>Prog_236[[#This Row],[CONTEINER]]</f>
        <v>0</v>
      </c>
      <c r="B734" s="86"/>
      <c r="C7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4" s="44"/>
      <c r="E734" s="66"/>
      <c r="F734" s="66"/>
      <c r="G734" s="66"/>
      <c r="H734" s="44"/>
      <c r="I734" s="44"/>
      <c r="J734" s="66"/>
      <c r="K734" s="66"/>
      <c r="L734" s="66"/>
      <c r="M734" s="66"/>
      <c r="N734" s="66">
        <f>SUM(Prog_236[[#This Row],[TARA]]+Prog_236[[#This Row],[PESO]])</f>
        <v>0</v>
      </c>
      <c r="O734" s="44"/>
      <c r="P734" s="66"/>
      <c r="Q734" s="66"/>
      <c r="R734" s="66"/>
      <c r="S734" s="66"/>
      <c r="T734" s="138" t="str">
        <f>IFERROR(LOOKUP($S734,MOTORISTAS!$D$3:$D$1048576,MOTORISTAS!E$3:$E$1048576),"")</f>
        <v/>
      </c>
      <c r="U734" s="138" t="str">
        <f>IFERROR(LOOKUP($S734,MOTORISTAS!$D$3:$D$1048576,MOTORISTAS!F$3:$F$1048576),"")</f>
        <v/>
      </c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44"/>
      <c r="AG734" s="254">
        <f>Prog_236[[#This Row],[SAÍDA DO CLIENTE]]-Prog_236[[#This Row],[PROGRAMAÇÃO CLIENTE]]</f>
        <v>0</v>
      </c>
      <c r="AH734" s="44"/>
      <c r="AI734" s="66"/>
      <c r="AJ734" s="66"/>
      <c r="AK734" s="66"/>
      <c r="AL734" s="66"/>
      <c r="AM734" s="66"/>
      <c r="AN734" s="83"/>
      <c r="AO734" s="66"/>
      <c r="AP734" s="66"/>
      <c r="AQ734" s="66"/>
      <c r="AR734" s="81"/>
      <c r="AS734" s="81"/>
      <c r="AT734" s="81"/>
      <c r="AU734" s="81"/>
      <c r="AV734" s="83">
        <f>SUM(Prog_236[[#This Row],[ADIANTAMENTO]]+Prog_236[[#This Row],[SALDO]]+Prog_236[[#This Row],[MARGEM]]+Prog_236[[#This Row],[ESTADIA 1]])</f>
        <v>0</v>
      </c>
      <c r="AW7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4" s="81"/>
      <c r="AY734" s="81"/>
      <c r="AZ734" s="81">
        <f>Prog_236[[#This Row],[VLR NF]]*0.1%</f>
        <v>0</v>
      </c>
      <c r="BA734" s="81">
        <f>Prog_236[[#This Row],[VLR NF]]*0.05%</f>
        <v>0</v>
      </c>
      <c r="BB734" s="81"/>
      <c r="BC734" s="81"/>
      <c r="BD734" s="81"/>
      <c r="BE734" s="81"/>
      <c r="BF734" s="81"/>
      <c r="BG734" s="81"/>
      <c r="BH734" s="81"/>
      <c r="BI734" s="81"/>
      <c r="BJ734" s="81"/>
      <c r="BK734" s="81"/>
      <c r="BL734" s="66"/>
      <c r="BM734" s="66"/>
      <c r="BN734" s="66"/>
      <c r="BO734" s="66" t="str">
        <f>PROPER(TEXT(Prog_236[[#This Row],[PROGRAMAÇÃO CLIENTE]],"mmm"))</f>
        <v>Jan</v>
      </c>
      <c r="BP734" s="66">
        <f>YEAR(Prog_236[[#This Row],[PROGRAMAÇÃO CLIENTE]])</f>
        <v>1900</v>
      </c>
    </row>
    <row r="735" spans="1:68" x14ac:dyDescent="0.25">
      <c r="A735" s="200">
        <f>Prog_236[[#This Row],[CONTEINER]]</f>
        <v>0</v>
      </c>
      <c r="B735" s="86"/>
      <c r="C7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5" s="44"/>
      <c r="E735" s="66"/>
      <c r="F735" s="66"/>
      <c r="G735" s="66"/>
      <c r="H735" s="44"/>
      <c r="I735" s="44"/>
      <c r="J735" s="66"/>
      <c r="K735" s="66"/>
      <c r="L735" s="66"/>
      <c r="M735" s="66"/>
      <c r="N735" s="66">
        <f>SUM(Prog_236[[#This Row],[TARA]]+Prog_236[[#This Row],[PESO]])</f>
        <v>0</v>
      </c>
      <c r="O735" s="44"/>
      <c r="P735" s="66"/>
      <c r="Q735" s="66"/>
      <c r="R735" s="66"/>
      <c r="S735" s="66"/>
      <c r="T735" s="138" t="str">
        <f>IFERROR(LOOKUP($S735,MOTORISTAS!$D$3:$D$1048576,MOTORISTAS!E$3:$E$1048576),"")</f>
        <v/>
      </c>
      <c r="U735" s="138" t="str">
        <f>IFERROR(LOOKUP($S735,MOTORISTAS!$D$3:$D$1048576,MOTORISTAS!F$3:$F$1048576),"")</f>
        <v/>
      </c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44"/>
      <c r="AG735" s="254">
        <f>Prog_236[[#This Row],[SAÍDA DO CLIENTE]]-Prog_236[[#This Row],[PROGRAMAÇÃO CLIENTE]]</f>
        <v>0</v>
      </c>
      <c r="AH735" s="44"/>
      <c r="AI735" s="66"/>
      <c r="AJ735" s="66"/>
      <c r="AK735" s="66"/>
      <c r="AL735" s="66"/>
      <c r="AM735" s="66"/>
      <c r="AN735" s="83"/>
      <c r="AO735" s="66"/>
      <c r="AP735" s="66"/>
      <c r="AQ735" s="66"/>
      <c r="AR735" s="81"/>
      <c r="AS735" s="81"/>
      <c r="AT735" s="81"/>
      <c r="AU735" s="81"/>
      <c r="AV735" s="83">
        <f>SUM(Prog_236[[#This Row],[ADIANTAMENTO]]+Prog_236[[#This Row],[SALDO]]+Prog_236[[#This Row],[MARGEM]]+Prog_236[[#This Row],[ESTADIA 1]])</f>
        <v>0</v>
      </c>
      <c r="AW7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5" s="81"/>
      <c r="AY735" s="81"/>
      <c r="AZ735" s="81">
        <f>Prog_236[[#This Row],[VLR NF]]*0.1%</f>
        <v>0</v>
      </c>
      <c r="BA735" s="81">
        <f>Prog_236[[#This Row],[VLR NF]]*0.05%</f>
        <v>0</v>
      </c>
      <c r="BB735" s="81"/>
      <c r="BC735" s="81"/>
      <c r="BD735" s="81"/>
      <c r="BE735" s="81"/>
      <c r="BF735" s="81"/>
      <c r="BG735" s="81"/>
      <c r="BH735" s="81"/>
      <c r="BI735" s="81"/>
      <c r="BJ735" s="81"/>
      <c r="BK735" s="81"/>
      <c r="BL735" s="66"/>
      <c r="BM735" s="66"/>
      <c r="BN735" s="66"/>
      <c r="BO735" s="66" t="str">
        <f>PROPER(TEXT(Prog_236[[#This Row],[PROGRAMAÇÃO CLIENTE]],"mmm"))</f>
        <v>Jan</v>
      </c>
      <c r="BP735" s="66">
        <f>YEAR(Prog_236[[#This Row],[PROGRAMAÇÃO CLIENTE]])</f>
        <v>1900</v>
      </c>
    </row>
    <row r="736" spans="1:68" x14ac:dyDescent="0.25">
      <c r="A736" s="201">
        <f>Prog_236[[#This Row],[CONTEINER]]</f>
        <v>0</v>
      </c>
      <c r="B736" s="86"/>
      <c r="C7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6" s="44"/>
      <c r="E736" s="66"/>
      <c r="F736" s="66"/>
      <c r="G736" s="66"/>
      <c r="H736" s="44"/>
      <c r="I736" s="44"/>
      <c r="J736" s="66"/>
      <c r="K736" s="66"/>
      <c r="L736" s="66"/>
      <c r="M736" s="66"/>
      <c r="N736" s="66">
        <f>SUM(Prog_236[[#This Row],[TARA]]+Prog_236[[#This Row],[PESO]])</f>
        <v>0</v>
      </c>
      <c r="O736" s="44"/>
      <c r="P736" s="66"/>
      <c r="Q736" s="66"/>
      <c r="R736" s="66"/>
      <c r="S736" s="66"/>
      <c r="T736" s="138" t="str">
        <f>IFERROR(LOOKUP($S736,MOTORISTAS!$D$3:$D$1048576,MOTORISTAS!E$3:$E$1048576),"")</f>
        <v/>
      </c>
      <c r="U736" s="138" t="str">
        <f>IFERROR(LOOKUP($S736,MOTORISTAS!$D$3:$D$1048576,MOTORISTAS!F$3:$F$1048576),"")</f>
        <v/>
      </c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44"/>
      <c r="AG736" s="254">
        <f>Prog_236[[#This Row],[SAÍDA DO CLIENTE]]-Prog_236[[#This Row],[PROGRAMAÇÃO CLIENTE]]</f>
        <v>0</v>
      </c>
      <c r="AH736" s="44"/>
      <c r="AI736" s="66"/>
      <c r="AJ736" s="66"/>
      <c r="AK736" s="66"/>
      <c r="AL736" s="66"/>
      <c r="AM736" s="66"/>
      <c r="AN736" s="83"/>
      <c r="AO736" s="66"/>
      <c r="AP736" s="66"/>
      <c r="AQ736" s="66"/>
      <c r="AR736" s="81"/>
      <c r="AS736" s="81"/>
      <c r="AT736" s="81"/>
      <c r="AU736" s="81"/>
      <c r="AV736" s="83">
        <f>SUM(Prog_236[[#This Row],[ADIANTAMENTO]]+Prog_236[[#This Row],[SALDO]]+Prog_236[[#This Row],[MARGEM]]+Prog_236[[#This Row],[ESTADIA 1]])</f>
        <v>0</v>
      </c>
      <c r="AW7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6" s="81"/>
      <c r="AY736" s="81"/>
      <c r="AZ736" s="81">
        <f>Prog_236[[#This Row],[VLR NF]]*0.1%</f>
        <v>0</v>
      </c>
      <c r="BA736" s="81">
        <f>Prog_236[[#This Row],[VLR NF]]*0.05%</f>
        <v>0</v>
      </c>
      <c r="BB736" s="81"/>
      <c r="BC736" s="81"/>
      <c r="BD736" s="81"/>
      <c r="BE736" s="81"/>
      <c r="BF736" s="81"/>
      <c r="BG736" s="81"/>
      <c r="BH736" s="81"/>
      <c r="BI736" s="81"/>
      <c r="BJ736" s="81"/>
      <c r="BK736" s="81"/>
      <c r="BL736" s="66"/>
      <c r="BM736" s="66"/>
      <c r="BN736" s="66"/>
      <c r="BO736" s="66" t="str">
        <f>PROPER(TEXT(Prog_236[[#This Row],[PROGRAMAÇÃO CLIENTE]],"mmm"))</f>
        <v>Jan</v>
      </c>
      <c r="BP736" s="66">
        <f>YEAR(Prog_236[[#This Row],[PROGRAMAÇÃO CLIENTE]])</f>
        <v>1900</v>
      </c>
    </row>
    <row r="737" spans="1:68" x14ac:dyDescent="0.25">
      <c r="A737" s="200">
        <f>Prog_236[[#This Row],[CONTEINER]]</f>
        <v>0</v>
      </c>
      <c r="B737" s="86"/>
      <c r="C7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7" s="44"/>
      <c r="E737" s="66"/>
      <c r="F737" s="66"/>
      <c r="G737" s="66"/>
      <c r="H737" s="44"/>
      <c r="I737" s="44"/>
      <c r="J737" s="66"/>
      <c r="K737" s="66"/>
      <c r="L737" s="66"/>
      <c r="M737" s="66"/>
      <c r="N737" s="66">
        <f>SUM(Prog_236[[#This Row],[TARA]]+Prog_236[[#This Row],[PESO]])</f>
        <v>0</v>
      </c>
      <c r="O737" s="44"/>
      <c r="P737" s="66"/>
      <c r="Q737" s="66"/>
      <c r="R737" s="66"/>
      <c r="S737" s="66"/>
      <c r="T737" s="138" t="str">
        <f>IFERROR(LOOKUP($S737,MOTORISTAS!$D$3:$D$1048576,MOTORISTAS!E$3:$E$1048576),"")</f>
        <v/>
      </c>
      <c r="U737" s="138" t="str">
        <f>IFERROR(LOOKUP($S737,MOTORISTAS!$D$3:$D$1048576,MOTORISTAS!F$3:$F$1048576),"")</f>
        <v/>
      </c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44"/>
      <c r="AG737" s="254">
        <f>Prog_236[[#This Row],[SAÍDA DO CLIENTE]]-Prog_236[[#This Row],[PROGRAMAÇÃO CLIENTE]]</f>
        <v>0</v>
      </c>
      <c r="AH737" s="44"/>
      <c r="AI737" s="66"/>
      <c r="AJ737" s="66"/>
      <c r="AK737" s="66"/>
      <c r="AL737" s="66"/>
      <c r="AM737" s="66"/>
      <c r="AN737" s="83"/>
      <c r="AO737" s="66"/>
      <c r="AP737" s="66"/>
      <c r="AQ737" s="66"/>
      <c r="AR737" s="81"/>
      <c r="AS737" s="81"/>
      <c r="AT737" s="81"/>
      <c r="AU737" s="81"/>
      <c r="AV737" s="83">
        <f>SUM(Prog_236[[#This Row],[ADIANTAMENTO]]+Prog_236[[#This Row],[SALDO]]+Prog_236[[#This Row],[MARGEM]]+Prog_236[[#This Row],[ESTADIA 1]])</f>
        <v>0</v>
      </c>
      <c r="AW7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7" s="81"/>
      <c r="AY737" s="81"/>
      <c r="AZ737" s="81">
        <f>Prog_236[[#This Row],[VLR NF]]*0.1%</f>
        <v>0</v>
      </c>
      <c r="BA737" s="81">
        <f>Prog_236[[#This Row],[VLR NF]]*0.05%</f>
        <v>0</v>
      </c>
      <c r="BB737" s="81"/>
      <c r="BC737" s="81"/>
      <c r="BD737" s="81"/>
      <c r="BE737" s="81"/>
      <c r="BF737" s="81"/>
      <c r="BG737" s="81"/>
      <c r="BH737" s="81"/>
      <c r="BI737" s="81"/>
      <c r="BJ737" s="81"/>
      <c r="BK737" s="81"/>
      <c r="BL737" s="66"/>
      <c r="BM737" s="66"/>
      <c r="BN737" s="66"/>
      <c r="BO737" s="66" t="str">
        <f>PROPER(TEXT(Prog_236[[#This Row],[PROGRAMAÇÃO CLIENTE]],"mmm"))</f>
        <v>Jan</v>
      </c>
      <c r="BP737" s="66">
        <f>YEAR(Prog_236[[#This Row],[PROGRAMAÇÃO CLIENTE]])</f>
        <v>1900</v>
      </c>
    </row>
    <row r="738" spans="1:68" x14ac:dyDescent="0.25">
      <c r="A738" s="201">
        <f>Prog_236[[#This Row],[CONTEINER]]</f>
        <v>0</v>
      </c>
      <c r="B738" s="86"/>
      <c r="C7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8" s="44"/>
      <c r="E738" s="66"/>
      <c r="F738" s="66"/>
      <c r="G738" s="66"/>
      <c r="H738" s="44"/>
      <c r="I738" s="44"/>
      <c r="J738" s="66"/>
      <c r="K738" s="66"/>
      <c r="L738" s="66"/>
      <c r="M738" s="66"/>
      <c r="N738" s="66">
        <f>SUM(Prog_236[[#This Row],[TARA]]+Prog_236[[#This Row],[PESO]])</f>
        <v>0</v>
      </c>
      <c r="O738" s="44"/>
      <c r="P738" s="66"/>
      <c r="Q738" s="66"/>
      <c r="R738" s="66"/>
      <c r="S738" s="66"/>
      <c r="T738" s="138" t="str">
        <f>IFERROR(LOOKUP($S738,MOTORISTAS!$D$3:$D$1048576,MOTORISTAS!E$3:$E$1048576),"")</f>
        <v/>
      </c>
      <c r="U738" s="138" t="str">
        <f>IFERROR(LOOKUP($S738,MOTORISTAS!$D$3:$D$1048576,MOTORISTAS!F$3:$F$1048576),"")</f>
        <v/>
      </c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44"/>
      <c r="AG738" s="254">
        <f>Prog_236[[#This Row],[SAÍDA DO CLIENTE]]-Prog_236[[#This Row],[PROGRAMAÇÃO CLIENTE]]</f>
        <v>0</v>
      </c>
      <c r="AH738" s="44"/>
      <c r="AI738" s="66"/>
      <c r="AJ738" s="66"/>
      <c r="AK738" s="66"/>
      <c r="AL738" s="66"/>
      <c r="AM738" s="66"/>
      <c r="AN738" s="83"/>
      <c r="AO738" s="66"/>
      <c r="AP738" s="66"/>
      <c r="AQ738" s="66"/>
      <c r="AR738" s="81"/>
      <c r="AS738" s="81"/>
      <c r="AT738" s="81"/>
      <c r="AU738" s="81"/>
      <c r="AV738" s="83">
        <f>SUM(Prog_236[[#This Row],[ADIANTAMENTO]]+Prog_236[[#This Row],[SALDO]]+Prog_236[[#This Row],[MARGEM]]+Prog_236[[#This Row],[ESTADIA 1]])</f>
        <v>0</v>
      </c>
      <c r="AW7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8" s="81"/>
      <c r="AY738" s="81"/>
      <c r="AZ738" s="81">
        <f>Prog_236[[#This Row],[VLR NF]]*0.1%</f>
        <v>0</v>
      </c>
      <c r="BA738" s="81">
        <f>Prog_236[[#This Row],[VLR NF]]*0.05%</f>
        <v>0</v>
      </c>
      <c r="BB738" s="81"/>
      <c r="BC738" s="81"/>
      <c r="BD738" s="81"/>
      <c r="BE738" s="81"/>
      <c r="BF738" s="81"/>
      <c r="BG738" s="81"/>
      <c r="BH738" s="81"/>
      <c r="BI738" s="81"/>
      <c r="BJ738" s="81"/>
      <c r="BK738" s="81"/>
      <c r="BL738" s="66"/>
      <c r="BM738" s="66"/>
      <c r="BN738" s="66"/>
      <c r="BO738" s="66" t="str">
        <f>PROPER(TEXT(Prog_236[[#This Row],[PROGRAMAÇÃO CLIENTE]],"mmm"))</f>
        <v>Jan</v>
      </c>
      <c r="BP738" s="66">
        <f>YEAR(Prog_236[[#This Row],[PROGRAMAÇÃO CLIENTE]])</f>
        <v>1900</v>
      </c>
    </row>
    <row r="739" spans="1:68" x14ac:dyDescent="0.25">
      <c r="A739" s="200">
        <f>Prog_236[[#This Row],[CONTEINER]]</f>
        <v>0</v>
      </c>
      <c r="B739" s="86"/>
      <c r="C7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39" s="44"/>
      <c r="E739" s="66"/>
      <c r="F739" s="66"/>
      <c r="G739" s="66"/>
      <c r="H739" s="44"/>
      <c r="I739" s="44"/>
      <c r="J739" s="66"/>
      <c r="K739" s="66"/>
      <c r="L739" s="66"/>
      <c r="M739" s="66"/>
      <c r="N739" s="66">
        <f>SUM(Prog_236[[#This Row],[TARA]]+Prog_236[[#This Row],[PESO]])</f>
        <v>0</v>
      </c>
      <c r="O739" s="44"/>
      <c r="P739" s="66"/>
      <c r="Q739" s="66"/>
      <c r="R739" s="66"/>
      <c r="S739" s="66"/>
      <c r="T739" s="138" t="str">
        <f>IFERROR(LOOKUP($S739,MOTORISTAS!$D$3:$D$1048576,MOTORISTAS!E$3:$E$1048576),"")</f>
        <v/>
      </c>
      <c r="U739" s="138" t="str">
        <f>IFERROR(LOOKUP($S739,MOTORISTAS!$D$3:$D$1048576,MOTORISTAS!F$3:$F$1048576),"")</f>
        <v/>
      </c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44"/>
      <c r="AG739" s="254">
        <f>Prog_236[[#This Row],[SAÍDA DO CLIENTE]]-Prog_236[[#This Row],[PROGRAMAÇÃO CLIENTE]]</f>
        <v>0</v>
      </c>
      <c r="AH739" s="44"/>
      <c r="AI739" s="66"/>
      <c r="AJ739" s="66"/>
      <c r="AK739" s="66"/>
      <c r="AL739" s="66"/>
      <c r="AM739" s="66"/>
      <c r="AN739" s="83"/>
      <c r="AO739" s="66"/>
      <c r="AP739" s="66"/>
      <c r="AQ739" s="66"/>
      <c r="AR739" s="81"/>
      <c r="AS739" s="81"/>
      <c r="AT739" s="81"/>
      <c r="AU739" s="81"/>
      <c r="AV739" s="83">
        <f>SUM(Prog_236[[#This Row],[ADIANTAMENTO]]+Prog_236[[#This Row],[SALDO]]+Prog_236[[#This Row],[MARGEM]]+Prog_236[[#This Row],[ESTADIA 1]])</f>
        <v>0</v>
      </c>
      <c r="AW7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39" s="81"/>
      <c r="AY739" s="81"/>
      <c r="AZ739" s="81">
        <f>Prog_236[[#This Row],[VLR NF]]*0.1%</f>
        <v>0</v>
      </c>
      <c r="BA739" s="81">
        <f>Prog_236[[#This Row],[VLR NF]]*0.05%</f>
        <v>0</v>
      </c>
      <c r="BB739" s="81"/>
      <c r="BC739" s="81"/>
      <c r="BD739" s="81"/>
      <c r="BE739" s="81"/>
      <c r="BF739" s="81"/>
      <c r="BG739" s="81"/>
      <c r="BH739" s="81"/>
      <c r="BI739" s="81"/>
      <c r="BJ739" s="81"/>
      <c r="BK739" s="81"/>
      <c r="BL739" s="66"/>
      <c r="BM739" s="66"/>
      <c r="BN739" s="66"/>
      <c r="BO739" s="66" t="str">
        <f>PROPER(TEXT(Prog_236[[#This Row],[PROGRAMAÇÃO CLIENTE]],"mmm"))</f>
        <v>Jan</v>
      </c>
      <c r="BP739" s="66">
        <f>YEAR(Prog_236[[#This Row],[PROGRAMAÇÃO CLIENTE]])</f>
        <v>1900</v>
      </c>
    </row>
    <row r="740" spans="1:68" x14ac:dyDescent="0.25">
      <c r="A740" s="201">
        <f>Prog_236[[#This Row],[CONTEINER]]</f>
        <v>0</v>
      </c>
      <c r="B740" s="86"/>
      <c r="C7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0" s="44"/>
      <c r="E740" s="66"/>
      <c r="F740" s="66"/>
      <c r="G740" s="66"/>
      <c r="H740" s="44"/>
      <c r="I740" s="44"/>
      <c r="J740" s="66"/>
      <c r="K740" s="66"/>
      <c r="L740" s="66"/>
      <c r="M740" s="66"/>
      <c r="N740" s="66">
        <f>SUM(Prog_236[[#This Row],[TARA]]+Prog_236[[#This Row],[PESO]])</f>
        <v>0</v>
      </c>
      <c r="O740" s="44"/>
      <c r="P740" s="66"/>
      <c r="Q740" s="66"/>
      <c r="R740" s="66"/>
      <c r="S740" s="66"/>
      <c r="T740" s="138" t="str">
        <f>IFERROR(LOOKUP($S740,MOTORISTAS!$D$3:$D$1048576,MOTORISTAS!E$3:$E$1048576),"")</f>
        <v/>
      </c>
      <c r="U740" s="138" t="str">
        <f>IFERROR(LOOKUP($S740,MOTORISTAS!$D$3:$D$1048576,MOTORISTAS!F$3:$F$1048576),"")</f>
        <v/>
      </c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44"/>
      <c r="AG740" s="254">
        <f>Prog_236[[#This Row],[SAÍDA DO CLIENTE]]-Prog_236[[#This Row],[PROGRAMAÇÃO CLIENTE]]</f>
        <v>0</v>
      </c>
      <c r="AH740" s="44"/>
      <c r="AI740" s="66"/>
      <c r="AJ740" s="66"/>
      <c r="AK740" s="66"/>
      <c r="AL740" s="66"/>
      <c r="AM740" s="66"/>
      <c r="AN740" s="83"/>
      <c r="AO740" s="66"/>
      <c r="AP740" s="66"/>
      <c r="AQ740" s="66"/>
      <c r="AR740" s="81"/>
      <c r="AS740" s="81"/>
      <c r="AT740" s="81"/>
      <c r="AU740" s="81"/>
      <c r="AV740" s="83">
        <f>SUM(Prog_236[[#This Row],[ADIANTAMENTO]]+Prog_236[[#This Row],[SALDO]]+Prog_236[[#This Row],[MARGEM]]+Prog_236[[#This Row],[ESTADIA 1]])</f>
        <v>0</v>
      </c>
      <c r="AW7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0" s="81"/>
      <c r="AY740" s="81"/>
      <c r="AZ740" s="81">
        <f>Prog_236[[#This Row],[VLR NF]]*0.1%</f>
        <v>0</v>
      </c>
      <c r="BA740" s="81">
        <f>Prog_236[[#This Row],[VLR NF]]*0.05%</f>
        <v>0</v>
      </c>
      <c r="BB740" s="81"/>
      <c r="BC740" s="81"/>
      <c r="BD740" s="81"/>
      <c r="BE740" s="81"/>
      <c r="BF740" s="81"/>
      <c r="BG740" s="81"/>
      <c r="BH740" s="81"/>
      <c r="BI740" s="81"/>
      <c r="BJ740" s="81"/>
      <c r="BK740" s="81"/>
      <c r="BL740" s="66"/>
      <c r="BM740" s="66"/>
      <c r="BN740" s="66"/>
      <c r="BO740" s="66" t="str">
        <f>PROPER(TEXT(Prog_236[[#This Row],[PROGRAMAÇÃO CLIENTE]],"mmm"))</f>
        <v>Jan</v>
      </c>
      <c r="BP740" s="66">
        <f>YEAR(Prog_236[[#This Row],[PROGRAMAÇÃO CLIENTE]])</f>
        <v>1900</v>
      </c>
    </row>
    <row r="741" spans="1:68" x14ac:dyDescent="0.25">
      <c r="A741" s="200">
        <f>Prog_236[[#This Row],[CONTEINER]]</f>
        <v>0</v>
      </c>
      <c r="B741" s="86"/>
      <c r="C7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1" s="44"/>
      <c r="E741" s="66"/>
      <c r="F741" s="66"/>
      <c r="G741" s="66"/>
      <c r="H741" s="44"/>
      <c r="I741" s="44"/>
      <c r="J741" s="66"/>
      <c r="K741" s="66"/>
      <c r="L741" s="66"/>
      <c r="M741" s="66"/>
      <c r="N741" s="66">
        <f>SUM(Prog_236[[#This Row],[TARA]]+Prog_236[[#This Row],[PESO]])</f>
        <v>0</v>
      </c>
      <c r="O741" s="44"/>
      <c r="P741" s="66"/>
      <c r="Q741" s="66"/>
      <c r="R741" s="66"/>
      <c r="S741" s="66"/>
      <c r="T741" s="138" t="str">
        <f>IFERROR(LOOKUP($S741,MOTORISTAS!$D$3:$D$1048576,MOTORISTAS!E$3:$E$1048576),"")</f>
        <v/>
      </c>
      <c r="U741" s="138" t="str">
        <f>IFERROR(LOOKUP($S741,MOTORISTAS!$D$3:$D$1048576,MOTORISTAS!F$3:$F$1048576),"")</f>
        <v/>
      </c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44"/>
      <c r="AG741" s="254">
        <f>Prog_236[[#This Row],[SAÍDA DO CLIENTE]]-Prog_236[[#This Row],[PROGRAMAÇÃO CLIENTE]]</f>
        <v>0</v>
      </c>
      <c r="AH741" s="44"/>
      <c r="AI741" s="66"/>
      <c r="AJ741" s="66"/>
      <c r="AK741" s="66"/>
      <c r="AL741" s="66"/>
      <c r="AM741" s="66"/>
      <c r="AN741" s="83"/>
      <c r="AO741" s="66"/>
      <c r="AP741" s="66"/>
      <c r="AQ741" s="66"/>
      <c r="AR741" s="81"/>
      <c r="AS741" s="81"/>
      <c r="AT741" s="81"/>
      <c r="AU741" s="81"/>
      <c r="AV741" s="83">
        <f>SUM(Prog_236[[#This Row],[ADIANTAMENTO]]+Prog_236[[#This Row],[SALDO]]+Prog_236[[#This Row],[MARGEM]]+Prog_236[[#This Row],[ESTADIA 1]])</f>
        <v>0</v>
      </c>
      <c r="AW7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1" s="81"/>
      <c r="AY741" s="81"/>
      <c r="AZ741" s="81">
        <f>Prog_236[[#This Row],[VLR NF]]*0.1%</f>
        <v>0</v>
      </c>
      <c r="BA741" s="81">
        <f>Prog_236[[#This Row],[VLR NF]]*0.05%</f>
        <v>0</v>
      </c>
      <c r="BB741" s="81"/>
      <c r="BC741" s="81"/>
      <c r="BD741" s="81"/>
      <c r="BE741" s="81"/>
      <c r="BF741" s="81"/>
      <c r="BG741" s="81"/>
      <c r="BH741" s="81"/>
      <c r="BI741" s="81"/>
      <c r="BJ741" s="81"/>
      <c r="BK741" s="81"/>
      <c r="BL741" s="66"/>
      <c r="BM741" s="66"/>
      <c r="BN741" s="66"/>
      <c r="BO741" s="66" t="str">
        <f>PROPER(TEXT(Prog_236[[#This Row],[PROGRAMAÇÃO CLIENTE]],"mmm"))</f>
        <v>Jan</v>
      </c>
      <c r="BP741" s="66">
        <f>YEAR(Prog_236[[#This Row],[PROGRAMAÇÃO CLIENTE]])</f>
        <v>1900</v>
      </c>
    </row>
    <row r="742" spans="1:68" x14ac:dyDescent="0.25">
      <c r="A742" s="201">
        <f>Prog_236[[#This Row],[CONTEINER]]</f>
        <v>0</v>
      </c>
      <c r="B742" s="86"/>
      <c r="C7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2" s="44"/>
      <c r="E742" s="66"/>
      <c r="F742" s="66"/>
      <c r="G742" s="66"/>
      <c r="H742" s="44"/>
      <c r="I742" s="44"/>
      <c r="J742" s="66"/>
      <c r="K742" s="66"/>
      <c r="L742" s="66"/>
      <c r="M742" s="66"/>
      <c r="N742" s="66">
        <f>SUM(Prog_236[[#This Row],[TARA]]+Prog_236[[#This Row],[PESO]])</f>
        <v>0</v>
      </c>
      <c r="O742" s="44"/>
      <c r="P742" s="66"/>
      <c r="Q742" s="66"/>
      <c r="R742" s="66"/>
      <c r="S742" s="66"/>
      <c r="T742" s="138" t="str">
        <f>IFERROR(LOOKUP($S742,MOTORISTAS!$D$3:$D$1048576,MOTORISTAS!E$3:$E$1048576),"")</f>
        <v/>
      </c>
      <c r="U742" s="138" t="str">
        <f>IFERROR(LOOKUP($S742,MOTORISTAS!$D$3:$D$1048576,MOTORISTAS!F$3:$F$1048576),"")</f>
        <v/>
      </c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44"/>
      <c r="AG742" s="254">
        <f>Prog_236[[#This Row],[SAÍDA DO CLIENTE]]-Prog_236[[#This Row],[PROGRAMAÇÃO CLIENTE]]</f>
        <v>0</v>
      </c>
      <c r="AH742" s="44"/>
      <c r="AI742" s="66"/>
      <c r="AJ742" s="66"/>
      <c r="AK742" s="66"/>
      <c r="AL742" s="66"/>
      <c r="AM742" s="66"/>
      <c r="AN742" s="83"/>
      <c r="AO742" s="66"/>
      <c r="AP742" s="66"/>
      <c r="AQ742" s="66"/>
      <c r="AR742" s="81"/>
      <c r="AS742" s="81"/>
      <c r="AT742" s="81"/>
      <c r="AU742" s="81"/>
      <c r="AV742" s="83">
        <f>SUM(Prog_236[[#This Row],[ADIANTAMENTO]]+Prog_236[[#This Row],[SALDO]]+Prog_236[[#This Row],[MARGEM]]+Prog_236[[#This Row],[ESTADIA 1]])</f>
        <v>0</v>
      </c>
      <c r="AW7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2" s="81"/>
      <c r="AY742" s="81"/>
      <c r="AZ742" s="81">
        <f>Prog_236[[#This Row],[VLR NF]]*0.1%</f>
        <v>0</v>
      </c>
      <c r="BA742" s="81">
        <f>Prog_236[[#This Row],[VLR NF]]*0.05%</f>
        <v>0</v>
      </c>
      <c r="BB742" s="81"/>
      <c r="BC742" s="81"/>
      <c r="BD742" s="81"/>
      <c r="BE742" s="81"/>
      <c r="BF742" s="81"/>
      <c r="BG742" s="81"/>
      <c r="BH742" s="81"/>
      <c r="BI742" s="81"/>
      <c r="BJ742" s="81"/>
      <c r="BK742" s="81"/>
      <c r="BL742" s="66"/>
      <c r="BM742" s="66"/>
      <c r="BN742" s="66"/>
      <c r="BO742" s="66" t="str">
        <f>PROPER(TEXT(Prog_236[[#This Row],[PROGRAMAÇÃO CLIENTE]],"mmm"))</f>
        <v>Jan</v>
      </c>
      <c r="BP742" s="66">
        <f>YEAR(Prog_236[[#This Row],[PROGRAMAÇÃO CLIENTE]])</f>
        <v>1900</v>
      </c>
    </row>
    <row r="743" spans="1:68" x14ac:dyDescent="0.25">
      <c r="A743" s="200">
        <f>Prog_236[[#This Row],[CONTEINER]]</f>
        <v>0</v>
      </c>
      <c r="B743" s="86"/>
      <c r="C7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3" s="44"/>
      <c r="E743" s="66"/>
      <c r="F743" s="66"/>
      <c r="G743" s="66"/>
      <c r="H743" s="44"/>
      <c r="I743" s="44"/>
      <c r="J743" s="66"/>
      <c r="K743" s="66"/>
      <c r="L743" s="66"/>
      <c r="M743" s="66"/>
      <c r="N743" s="66">
        <f>SUM(Prog_236[[#This Row],[TARA]]+Prog_236[[#This Row],[PESO]])</f>
        <v>0</v>
      </c>
      <c r="O743" s="44"/>
      <c r="P743" s="66"/>
      <c r="Q743" s="66"/>
      <c r="R743" s="66"/>
      <c r="S743" s="66"/>
      <c r="T743" s="138" t="str">
        <f>IFERROR(LOOKUP($S743,MOTORISTAS!$D$3:$D$1048576,MOTORISTAS!E$3:$E$1048576),"")</f>
        <v/>
      </c>
      <c r="U743" s="138" t="str">
        <f>IFERROR(LOOKUP($S743,MOTORISTAS!$D$3:$D$1048576,MOTORISTAS!F$3:$F$1048576),"")</f>
        <v/>
      </c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44"/>
      <c r="AG743" s="254">
        <f>Prog_236[[#This Row],[SAÍDA DO CLIENTE]]-Prog_236[[#This Row],[PROGRAMAÇÃO CLIENTE]]</f>
        <v>0</v>
      </c>
      <c r="AH743" s="44"/>
      <c r="AI743" s="66"/>
      <c r="AJ743" s="66"/>
      <c r="AK743" s="66"/>
      <c r="AL743" s="66"/>
      <c r="AM743" s="66"/>
      <c r="AN743" s="83"/>
      <c r="AO743" s="66"/>
      <c r="AP743" s="66"/>
      <c r="AQ743" s="66"/>
      <c r="AR743" s="81"/>
      <c r="AS743" s="81"/>
      <c r="AT743" s="81"/>
      <c r="AU743" s="81"/>
      <c r="AV743" s="83">
        <f>SUM(Prog_236[[#This Row],[ADIANTAMENTO]]+Prog_236[[#This Row],[SALDO]]+Prog_236[[#This Row],[MARGEM]]+Prog_236[[#This Row],[ESTADIA 1]])</f>
        <v>0</v>
      </c>
      <c r="AW7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3" s="81"/>
      <c r="AY743" s="81"/>
      <c r="AZ743" s="81">
        <f>Prog_236[[#This Row],[VLR NF]]*0.1%</f>
        <v>0</v>
      </c>
      <c r="BA743" s="81">
        <f>Prog_236[[#This Row],[VLR NF]]*0.05%</f>
        <v>0</v>
      </c>
      <c r="BB743" s="81"/>
      <c r="BC743" s="81"/>
      <c r="BD743" s="81"/>
      <c r="BE743" s="81"/>
      <c r="BF743" s="81"/>
      <c r="BG743" s="81"/>
      <c r="BH743" s="81"/>
      <c r="BI743" s="81"/>
      <c r="BJ743" s="81"/>
      <c r="BK743" s="81"/>
      <c r="BL743" s="66"/>
      <c r="BM743" s="66"/>
      <c r="BN743" s="66"/>
      <c r="BO743" s="66" t="str">
        <f>PROPER(TEXT(Prog_236[[#This Row],[PROGRAMAÇÃO CLIENTE]],"mmm"))</f>
        <v>Jan</v>
      </c>
      <c r="BP743" s="66">
        <f>YEAR(Prog_236[[#This Row],[PROGRAMAÇÃO CLIENTE]])</f>
        <v>1900</v>
      </c>
    </row>
    <row r="744" spans="1:68" x14ac:dyDescent="0.25">
      <c r="A744" s="201">
        <f>Prog_236[[#This Row],[CONTEINER]]</f>
        <v>0</v>
      </c>
      <c r="B744" s="86"/>
      <c r="C7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4" s="44"/>
      <c r="E744" s="66"/>
      <c r="F744" s="66"/>
      <c r="G744" s="66"/>
      <c r="H744" s="44"/>
      <c r="I744" s="44"/>
      <c r="J744" s="66"/>
      <c r="K744" s="66"/>
      <c r="L744" s="66"/>
      <c r="M744" s="66"/>
      <c r="N744" s="66">
        <f>SUM(Prog_236[[#This Row],[TARA]]+Prog_236[[#This Row],[PESO]])</f>
        <v>0</v>
      </c>
      <c r="O744" s="44"/>
      <c r="P744" s="66"/>
      <c r="Q744" s="66"/>
      <c r="R744" s="66"/>
      <c r="S744" s="66"/>
      <c r="T744" s="138" t="str">
        <f>IFERROR(LOOKUP($S744,MOTORISTAS!$D$3:$D$1048576,MOTORISTAS!E$3:$E$1048576),"")</f>
        <v/>
      </c>
      <c r="U744" s="138" t="str">
        <f>IFERROR(LOOKUP($S744,MOTORISTAS!$D$3:$D$1048576,MOTORISTAS!F$3:$F$1048576),"")</f>
        <v/>
      </c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44"/>
      <c r="AG744" s="254">
        <f>Prog_236[[#This Row],[SAÍDA DO CLIENTE]]-Prog_236[[#This Row],[PROGRAMAÇÃO CLIENTE]]</f>
        <v>0</v>
      </c>
      <c r="AH744" s="44"/>
      <c r="AI744" s="66"/>
      <c r="AJ744" s="66"/>
      <c r="AK744" s="66"/>
      <c r="AL744" s="66"/>
      <c r="AM744" s="66"/>
      <c r="AN744" s="83"/>
      <c r="AO744" s="66"/>
      <c r="AP744" s="66"/>
      <c r="AQ744" s="66"/>
      <c r="AR744" s="81"/>
      <c r="AS744" s="81"/>
      <c r="AT744" s="81"/>
      <c r="AU744" s="81"/>
      <c r="AV744" s="83">
        <f>SUM(Prog_236[[#This Row],[ADIANTAMENTO]]+Prog_236[[#This Row],[SALDO]]+Prog_236[[#This Row],[MARGEM]]+Prog_236[[#This Row],[ESTADIA 1]])</f>
        <v>0</v>
      </c>
      <c r="AW7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4" s="81"/>
      <c r="AY744" s="81"/>
      <c r="AZ744" s="81">
        <f>Prog_236[[#This Row],[VLR NF]]*0.1%</f>
        <v>0</v>
      </c>
      <c r="BA744" s="81">
        <f>Prog_236[[#This Row],[VLR NF]]*0.05%</f>
        <v>0</v>
      </c>
      <c r="BB744" s="81"/>
      <c r="BC744" s="81"/>
      <c r="BD744" s="81"/>
      <c r="BE744" s="81"/>
      <c r="BF744" s="81"/>
      <c r="BG744" s="81"/>
      <c r="BH744" s="81"/>
      <c r="BI744" s="81"/>
      <c r="BJ744" s="81"/>
      <c r="BK744" s="81"/>
      <c r="BL744" s="66"/>
      <c r="BM744" s="66"/>
      <c r="BN744" s="66"/>
      <c r="BO744" s="66" t="str">
        <f>PROPER(TEXT(Prog_236[[#This Row],[PROGRAMAÇÃO CLIENTE]],"mmm"))</f>
        <v>Jan</v>
      </c>
      <c r="BP744" s="66">
        <f>YEAR(Prog_236[[#This Row],[PROGRAMAÇÃO CLIENTE]])</f>
        <v>1900</v>
      </c>
    </row>
    <row r="745" spans="1:68" x14ac:dyDescent="0.25">
      <c r="A745" s="200">
        <f>Prog_236[[#This Row],[CONTEINER]]</f>
        <v>0</v>
      </c>
      <c r="B745" s="86"/>
      <c r="C7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5" s="44"/>
      <c r="E745" s="66"/>
      <c r="F745" s="66"/>
      <c r="G745" s="66"/>
      <c r="H745" s="44"/>
      <c r="I745" s="44"/>
      <c r="J745" s="66"/>
      <c r="K745" s="66"/>
      <c r="L745" s="66"/>
      <c r="M745" s="66"/>
      <c r="N745" s="66">
        <f>SUM(Prog_236[[#This Row],[TARA]]+Prog_236[[#This Row],[PESO]])</f>
        <v>0</v>
      </c>
      <c r="O745" s="44"/>
      <c r="P745" s="66"/>
      <c r="Q745" s="66"/>
      <c r="R745" s="66"/>
      <c r="S745" s="66"/>
      <c r="T745" s="138" t="str">
        <f>IFERROR(LOOKUP($S745,MOTORISTAS!$D$3:$D$1048576,MOTORISTAS!E$3:$E$1048576),"")</f>
        <v/>
      </c>
      <c r="U745" s="138" t="str">
        <f>IFERROR(LOOKUP($S745,MOTORISTAS!$D$3:$D$1048576,MOTORISTAS!F$3:$F$1048576),"")</f>
        <v/>
      </c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44"/>
      <c r="AG745" s="254">
        <f>Prog_236[[#This Row],[SAÍDA DO CLIENTE]]-Prog_236[[#This Row],[PROGRAMAÇÃO CLIENTE]]</f>
        <v>0</v>
      </c>
      <c r="AH745" s="44"/>
      <c r="AI745" s="66"/>
      <c r="AJ745" s="66"/>
      <c r="AK745" s="66"/>
      <c r="AL745" s="66"/>
      <c r="AM745" s="66"/>
      <c r="AN745" s="83"/>
      <c r="AO745" s="66"/>
      <c r="AP745" s="66"/>
      <c r="AQ745" s="66"/>
      <c r="AR745" s="81"/>
      <c r="AS745" s="81"/>
      <c r="AT745" s="81"/>
      <c r="AU745" s="81"/>
      <c r="AV745" s="83">
        <f>SUM(Prog_236[[#This Row],[ADIANTAMENTO]]+Prog_236[[#This Row],[SALDO]]+Prog_236[[#This Row],[MARGEM]]+Prog_236[[#This Row],[ESTADIA 1]])</f>
        <v>0</v>
      </c>
      <c r="AW7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5" s="81"/>
      <c r="AY745" s="81"/>
      <c r="AZ745" s="81">
        <f>Prog_236[[#This Row],[VLR NF]]*0.1%</f>
        <v>0</v>
      </c>
      <c r="BA745" s="81">
        <f>Prog_236[[#This Row],[VLR NF]]*0.05%</f>
        <v>0</v>
      </c>
      <c r="BB745" s="81"/>
      <c r="BC745" s="81"/>
      <c r="BD745" s="81"/>
      <c r="BE745" s="81"/>
      <c r="BF745" s="81"/>
      <c r="BG745" s="81"/>
      <c r="BH745" s="81"/>
      <c r="BI745" s="81"/>
      <c r="BJ745" s="81"/>
      <c r="BK745" s="81"/>
      <c r="BL745" s="66"/>
      <c r="BM745" s="66"/>
      <c r="BN745" s="66"/>
      <c r="BO745" s="66" t="str">
        <f>PROPER(TEXT(Prog_236[[#This Row],[PROGRAMAÇÃO CLIENTE]],"mmm"))</f>
        <v>Jan</v>
      </c>
      <c r="BP745" s="66">
        <f>YEAR(Prog_236[[#This Row],[PROGRAMAÇÃO CLIENTE]])</f>
        <v>1900</v>
      </c>
    </row>
    <row r="746" spans="1:68" x14ac:dyDescent="0.25">
      <c r="A746" s="201">
        <f>Prog_236[[#This Row],[CONTEINER]]</f>
        <v>0</v>
      </c>
      <c r="B746" s="86"/>
      <c r="C7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6" s="44"/>
      <c r="E746" s="66"/>
      <c r="F746" s="66"/>
      <c r="G746" s="66"/>
      <c r="H746" s="44"/>
      <c r="I746" s="44"/>
      <c r="J746" s="66"/>
      <c r="K746" s="66"/>
      <c r="L746" s="66"/>
      <c r="M746" s="66"/>
      <c r="N746" s="66">
        <f>SUM(Prog_236[[#This Row],[TARA]]+Prog_236[[#This Row],[PESO]])</f>
        <v>0</v>
      </c>
      <c r="O746" s="44"/>
      <c r="P746" s="66"/>
      <c r="Q746" s="66"/>
      <c r="R746" s="66"/>
      <c r="S746" s="66"/>
      <c r="T746" s="138" t="str">
        <f>IFERROR(LOOKUP($S746,MOTORISTAS!$D$3:$D$1048576,MOTORISTAS!E$3:$E$1048576),"")</f>
        <v/>
      </c>
      <c r="U746" s="138" t="str">
        <f>IFERROR(LOOKUP($S746,MOTORISTAS!$D$3:$D$1048576,MOTORISTAS!F$3:$F$1048576),"")</f>
        <v/>
      </c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44"/>
      <c r="AG746" s="254">
        <f>Prog_236[[#This Row],[SAÍDA DO CLIENTE]]-Prog_236[[#This Row],[PROGRAMAÇÃO CLIENTE]]</f>
        <v>0</v>
      </c>
      <c r="AH746" s="44"/>
      <c r="AI746" s="66"/>
      <c r="AJ746" s="66"/>
      <c r="AK746" s="66"/>
      <c r="AL746" s="66"/>
      <c r="AM746" s="66"/>
      <c r="AN746" s="83"/>
      <c r="AO746" s="66"/>
      <c r="AP746" s="66"/>
      <c r="AQ746" s="66"/>
      <c r="AR746" s="81"/>
      <c r="AS746" s="81"/>
      <c r="AT746" s="81"/>
      <c r="AU746" s="81"/>
      <c r="AV746" s="83">
        <f>SUM(Prog_236[[#This Row],[ADIANTAMENTO]]+Prog_236[[#This Row],[SALDO]]+Prog_236[[#This Row],[MARGEM]]+Prog_236[[#This Row],[ESTADIA 1]])</f>
        <v>0</v>
      </c>
      <c r="AW7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6" s="81"/>
      <c r="AY746" s="81"/>
      <c r="AZ746" s="81">
        <f>Prog_236[[#This Row],[VLR NF]]*0.1%</f>
        <v>0</v>
      </c>
      <c r="BA746" s="81">
        <f>Prog_236[[#This Row],[VLR NF]]*0.05%</f>
        <v>0</v>
      </c>
      <c r="BB746" s="81"/>
      <c r="BC746" s="81"/>
      <c r="BD746" s="81"/>
      <c r="BE746" s="81"/>
      <c r="BF746" s="81"/>
      <c r="BG746" s="81"/>
      <c r="BH746" s="81"/>
      <c r="BI746" s="81"/>
      <c r="BJ746" s="81"/>
      <c r="BK746" s="81"/>
      <c r="BL746" s="66"/>
      <c r="BM746" s="66"/>
      <c r="BN746" s="66"/>
      <c r="BO746" s="66" t="str">
        <f>PROPER(TEXT(Prog_236[[#This Row],[PROGRAMAÇÃO CLIENTE]],"mmm"))</f>
        <v>Jan</v>
      </c>
      <c r="BP746" s="66">
        <f>YEAR(Prog_236[[#This Row],[PROGRAMAÇÃO CLIENTE]])</f>
        <v>1900</v>
      </c>
    </row>
    <row r="747" spans="1:68" x14ac:dyDescent="0.25">
      <c r="A747" s="200">
        <f>Prog_236[[#This Row],[CONTEINER]]</f>
        <v>0</v>
      </c>
      <c r="B747" s="86"/>
      <c r="C7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7" s="44"/>
      <c r="E747" s="66"/>
      <c r="F747" s="66"/>
      <c r="G747" s="66"/>
      <c r="H747" s="44"/>
      <c r="I747" s="44"/>
      <c r="J747" s="66"/>
      <c r="K747" s="66"/>
      <c r="L747" s="66"/>
      <c r="M747" s="66"/>
      <c r="N747" s="66">
        <f>SUM(Prog_236[[#This Row],[TARA]]+Prog_236[[#This Row],[PESO]])</f>
        <v>0</v>
      </c>
      <c r="O747" s="44"/>
      <c r="P747" s="66"/>
      <c r="Q747" s="66"/>
      <c r="R747" s="66"/>
      <c r="S747" s="66"/>
      <c r="T747" s="138" t="str">
        <f>IFERROR(LOOKUP($S747,MOTORISTAS!$D$3:$D$1048576,MOTORISTAS!E$3:$E$1048576),"")</f>
        <v/>
      </c>
      <c r="U747" s="138" t="str">
        <f>IFERROR(LOOKUP($S747,MOTORISTAS!$D$3:$D$1048576,MOTORISTAS!F$3:$F$1048576),"")</f>
        <v/>
      </c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44"/>
      <c r="AG747" s="254">
        <f>Prog_236[[#This Row],[SAÍDA DO CLIENTE]]-Prog_236[[#This Row],[PROGRAMAÇÃO CLIENTE]]</f>
        <v>0</v>
      </c>
      <c r="AH747" s="44"/>
      <c r="AI747" s="66"/>
      <c r="AJ747" s="66"/>
      <c r="AK747" s="66"/>
      <c r="AL747" s="66"/>
      <c r="AM747" s="66"/>
      <c r="AN747" s="83"/>
      <c r="AO747" s="66"/>
      <c r="AP747" s="66"/>
      <c r="AQ747" s="66"/>
      <c r="AR747" s="81"/>
      <c r="AS747" s="81"/>
      <c r="AT747" s="81"/>
      <c r="AU747" s="81"/>
      <c r="AV747" s="83">
        <f>SUM(Prog_236[[#This Row],[ADIANTAMENTO]]+Prog_236[[#This Row],[SALDO]]+Prog_236[[#This Row],[MARGEM]]+Prog_236[[#This Row],[ESTADIA 1]])</f>
        <v>0</v>
      </c>
      <c r="AW7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7" s="81"/>
      <c r="AY747" s="81"/>
      <c r="AZ747" s="81">
        <f>Prog_236[[#This Row],[VLR NF]]*0.1%</f>
        <v>0</v>
      </c>
      <c r="BA747" s="81">
        <f>Prog_236[[#This Row],[VLR NF]]*0.05%</f>
        <v>0</v>
      </c>
      <c r="BB747" s="81"/>
      <c r="BC747" s="81"/>
      <c r="BD747" s="81"/>
      <c r="BE747" s="81"/>
      <c r="BF747" s="81"/>
      <c r="BG747" s="81"/>
      <c r="BH747" s="81"/>
      <c r="BI747" s="81"/>
      <c r="BJ747" s="81"/>
      <c r="BK747" s="81"/>
      <c r="BL747" s="66"/>
      <c r="BM747" s="66"/>
      <c r="BN747" s="66"/>
      <c r="BO747" s="66" t="str">
        <f>PROPER(TEXT(Prog_236[[#This Row],[PROGRAMAÇÃO CLIENTE]],"mmm"))</f>
        <v>Jan</v>
      </c>
      <c r="BP747" s="66">
        <f>YEAR(Prog_236[[#This Row],[PROGRAMAÇÃO CLIENTE]])</f>
        <v>1900</v>
      </c>
    </row>
    <row r="748" spans="1:68" x14ac:dyDescent="0.25">
      <c r="A748" s="201">
        <f>Prog_236[[#This Row],[CONTEINER]]</f>
        <v>0</v>
      </c>
      <c r="B748" s="86"/>
      <c r="C7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8" s="44"/>
      <c r="E748" s="66"/>
      <c r="F748" s="66"/>
      <c r="G748" s="66"/>
      <c r="H748" s="44"/>
      <c r="I748" s="44"/>
      <c r="J748" s="66"/>
      <c r="K748" s="66"/>
      <c r="L748" s="66"/>
      <c r="M748" s="66"/>
      <c r="N748" s="66">
        <f>SUM(Prog_236[[#This Row],[TARA]]+Prog_236[[#This Row],[PESO]])</f>
        <v>0</v>
      </c>
      <c r="O748" s="44"/>
      <c r="P748" s="66"/>
      <c r="Q748" s="66"/>
      <c r="R748" s="66"/>
      <c r="S748" s="66"/>
      <c r="T748" s="138" t="str">
        <f>IFERROR(LOOKUP($S748,MOTORISTAS!$D$3:$D$1048576,MOTORISTAS!E$3:$E$1048576),"")</f>
        <v/>
      </c>
      <c r="U748" s="138" t="str">
        <f>IFERROR(LOOKUP($S748,MOTORISTAS!$D$3:$D$1048576,MOTORISTAS!F$3:$F$1048576),"")</f>
        <v/>
      </c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44"/>
      <c r="AG748" s="254">
        <f>Prog_236[[#This Row],[SAÍDA DO CLIENTE]]-Prog_236[[#This Row],[PROGRAMAÇÃO CLIENTE]]</f>
        <v>0</v>
      </c>
      <c r="AH748" s="44"/>
      <c r="AI748" s="66"/>
      <c r="AJ748" s="66"/>
      <c r="AK748" s="66"/>
      <c r="AL748" s="66"/>
      <c r="AM748" s="66"/>
      <c r="AN748" s="83"/>
      <c r="AO748" s="66"/>
      <c r="AP748" s="66"/>
      <c r="AQ748" s="66"/>
      <c r="AR748" s="81"/>
      <c r="AS748" s="81"/>
      <c r="AT748" s="81"/>
      <c r="AU748" s="81"/>
      <c r="AV748" s="83">
        <f>SUM(Prog_236[[#This Row],[ADIANTAMENTO]]+Prog_236[[#This Row],[SALDO]]+Prog_236[[#This Row],[MARGEM]]+Prog_236[[#This Row],[ESTADIA 1]])</f>
        <v>0</v>
      </c>
      <c r="AW7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8" s="81"/>
      <c r="AY748" s="81"/>
      <c r="AZ748" s="81">
        <f>Prog_236[[#This Row],[VLR NF]]*0.1%</f>
        <v>0</v>
      </c>
      <c r="BA748" s="81">
        <f>Prog_236[[#This Row],[VLR NF]]*0.05%</f>
        <v>0</v>
      </c>
      <c r="BB748" s="81"/>
      <c r="BC748" s="81"/>
      <c r="BD748" s="81"/>
      <c r="BE748" s="81"/>
      <c r="BF748" s="81"/>
      <c r="BG748" s="81"/>
      <c r="BH748" s="81"/>
      <c r="BI748" s="81"/>
      <c r="BJ748" s="81"/>
      <c r="BK748" s="81"/>
      <c r="BL748" s="66"/>
      <c r="BM748" s="66"/>
      <c r="BN748" s="66"/>
      <c r="BO748" s="66" t="str">
        <f>PROPER(TEXT(Prog_236[[#This Row],[PROGRAMAÇÃO CLIENTE]],"mmm"))</f>
        <v>Jan</v>
      </c>
      <c r="BP748" s="66">
        <f>YEAR(Prog_236[[#This Row],[PROGRAMAÇÃO CLIENTE]])</f>
        <v>1900</v>
      </c>
    </row>
    <row r="749" spans="1:68" x14ac:dyDescent="0.25">
      <c r="A749" s="200">
        <f>Prog_236[[#This Row],[CONTEINER]]</f>
        <v>0</v>
      </c>
      <c r="B749" s="86"/>
      <c r="C7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49" s="44"/>
      <c r="E749" s="66"/>
      <c r="F749" s="66"/>
      <c r="G749" s="66"/>
      <c r="H749" s="44"/>
      <c r="I749" s="44"/>
      <c r="J749" s="66"/>
      <c r="K749" s="66"/>
      <c r="L749" s="66"/>
      <c r="M749" s="66"/>
      <c r="N749" s="66">
        <f>SUM(Prog_236[[#This Row],[TARA]]+Prog_236[[#This Row],[PESO]])</f>
        <v>0</v>
      </c>
      <c r="O749" s="44"/>
      <c r="P749" s="66"/>
      <c r="Q749" s="66"/>
      <c r="R749" s="66"/>
      <c r="S749" s="66"/>
      <c r="T749" s="138" t="str">
        <f>IFERROR(LOOKUP($S749,MOTORISTAS!$D$3:$D$1048576,MOTORISTAS!E$3:$E$1048576),"")</f>
        <v/>
      </c>
      <c r="U749" s="138" t="str">
        <f>IFERROR(LOOKUP($S749,MOTORISTAS!$D$3:$D$1048576,MOTORISTAS!F$3:$F$1048576),"")</f>
        <v/>
      </c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44"/>
      <c r="AG749" s="254">
        <f>Prog_236[[#This Row],[SAÍDA DO CLIENTE]]-Prog_236[[#This Row],[PROGRAMAÇÃO CLIENTE]]</f>
        <v>0</v>
      </c>
      <c r="AH749" s="44"/>
      <c r="AI749" s="66"/>
      <c r="AJ749" s="66"/>
      <c r="AK749" s="66"/>
      <c r="AL749" s="66"/>
      <c r="AM749" s="66"/>
      <c r="AN749" s="83"/>
      <c r="AO749" s="66"/>
      <c r="AP749" s="66"/>
      <c r="AQ749" s="66"/>
      <c r="AR749" s="81"/>
      <c r="AS749" s="81"/>
      <c r="AT749" s="81"/>
      <c r="AU749" s="81"/>
      <c r="AV749" s="83">
        <f>SUM(Prog_236[[#This Row],[ADIANTAMENTO]]+Prog_236[[#This Row],[SALDO]]+Prog_236[[#This Row],[MARGEM]]+Prog_236[[#This Row],[ESTADIA 1]])</f>
        <v>0</v>
      </c>
      <c r="AW7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49" s="81"/>
      <c r="AY749" s="81"/>
      <c r="AZ749" s="81">
        <f>Prog_236[[#This Row],[VLR NF]]*0.1%</f>
        <v>0</v>
      </c>
      <c r="BA749" s="81">
        <f>Prog_236[[#This Row],[VLR NF]]*0.05%</f>
        <v>0</v>
      </c>
      <c r="BB749" s="81"/>
      <c r="BC749" s="81"/>
      <c r="BD749" s="81"/>
      <c r="BE749" s="81"/>
      <c r="BF749" s="81"/>
      <c r="BG749" s="81"/>
      <c r="BH749" s="81"/>
      <c r="BI749" s="81"/>
      <c r="BJ749" s="81"/>
      <c r="BK749" s="81"/>
      <c r="BL749" s="66"/>
      <c r="BM749" s="66"/>
      <c r="BN749" s="66"/>
      <c r="BO749" s="66" t="str">
        <f>PROPER(TEXT(Prog_236[[#This Row],[PROGRAMAÇÃO CLIENTE]],"mmm"))</f>
        <v>Jan</v>
      </c>
      <c r="BP749" s="66">
        <f>YEAR(Prog_236[[#This Row],[PROGRAMAÇÃO CLIENTE]])</f>
        <v>1900</v>
      </c>
    </row>
    <row r="750" spans="1:68" x14ac:dyDescent="0.25">
      <c r="A750" s="201">
        <f>Prog_236[[#This Row],[CONTEINER]]</f>
        <v>0</v>
      </c>
      <c r="B750" s="86"/>
      <c r="C7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0" s="44"/>
      <c r="E750" s="66"/>
      <c r="F750" s="66"/>
      <c r="G750" s="66"/>
      <c r="H750" s="44"/>
      <c r="I750" s="44"/>
      <c r="J750" s="66"/>
      <c r="K750" s="66"/>
      <c r="L750" s="66"/>
      <c r="M750" s="66"/>
      <c r="N750" s="66">
        <f>SUM(Prog_236[[#This Row],[TARA]]+Prog_236[[#This Row],[PESO]])</f>
        <v>0</v>
      </c>
      <c r="O750" s="44"/>
      <c r="P750" s="66"/>
      <c r="Q750" s="66"/>
      <c r="R750" s="66"/>
      <c r="S750" s="66"/>
      <c r="T750" s="138" t="str">
        <f>IFERROR(LOOKUP($S750,MOTORISTAS!$D$3:$D$1048576,MOTORISTAS!E$3:$E$1048576),"")</f>
        <v/>
      </c>
      <c r="U750" s="138" t="str">
        <f>IFERROR(LOOKUP($S750,MOTORISTAS!$D$3:$D$1048576,MOTORISTAS!F$3:$F$1048576),"")</f>
        <v/>
      </c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44"/>
      <c r="AG750" s="254">
        <f>Prog_236[[#This Row],[SAÍDA DO CLIENTE]]-Prog_236[[#This Row],[PROGRAMAÇÃO CLIENTE]]</f>
        <v>0</v>
      </c>
      <c r="AH750" s="44"/>
      <c r="AI750" s="66"/>
      <c r="AJ750" s="66"/>
      <c r="AK750" s="66"/>
      <c r="AL750" s="66"/>
      <c r="AM750" s="66"/>
      <c r="AN750" s="83"/>
      <c r="AO750" s="66"/>
      <c r="AP750" s="66"/>
      <c r="AQ750" s="66"/>
      <c r="AR750" s="81"/>
      <c r="AS750" s="81"/>
      <c r="AT750" s="81"/>
      <c r="AU750" s="81"/>
      <c r="AV750" s="83">
        <f>SUM(Prog_236[[#This Row],[ADIANTAMENTO]]+Prog_236[[#This Row],[SALDO]]+Prog_236[[#This Row],[MARGEM]]+Prog_236[[#This Row],[ESTADIA 1]])</f>
        <v>0</v>
      </c>
      <c r="AW7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0" s="81"/>
      <c r="AY750" s="81"/>
      <c r="AZ750" s="81">
        <f>Prog_236[[#This Row],[VLR NF]]*0.1%</f>
        <v>0</v>
      </c>
      <c r="BA750" s="81">
        <f>Prog_236[[#This Row],[VLR NF]]*0.05%</f>
        <v>0</v>
      </c>
      <c r="BB750" s="81"/>
      <c r="BC750" s="81"/>
      <c r="BD750" s="81"/>
      <c r="BE750" s="81"/>
      <c r="BF750" s="81"/>
      <c r="BG750" s="81"/>
      <c r="BH750" s="81"/>
      <c r="BI750" s="81"/>
      <c r="BJ750" s="81"/>
      <c r="BK750" s="81"/>
      <c r="BL750" s="66"/>
      <c r="BM750" s="66"/>
      <c r="BN750" s="66"/>
      <c r="BO750" s="66" t="str">
        <f>PROPER(TEXT(Prog_236[[#This Row],[PROGRAMAÇÃO CLIENTE]],"mmm"))</f>
        <v>Jan</v>
      </c>
      <c r="BP750" s="66">
        <f>YEAR(Prog_236[[#This Row],[PROGRAMAÇÃO CLIENTE]])</f>
        <v>1900</v>
      </c>
    </row>
    <row r="751" spans="1:68" x14ac:dyDescent="0.25">
      <c r="A751" s="200">
        <f>Prog_236[[#This Row],[CONTEINER]]</f>
        <v>0</v>
      </c>
      <c r="B751" s="86"/>
      <c r="C7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1" s="44"/>
      <c r="E751" s="66"/>
      <c r="F751" s="66"/>
      <c r="G751" s="66"/>
      <c r="H751" s="44"/>
      <c r="I751" s="44"/>
      <c r="J751" s="66"/>
      <c r="K751" s="66"/>
      <c r="L751" s="66"/>
      <c r="M751" s="66"/>
      <c r="N751" s="66">
        <f>SUM(Prog_236[[#This Row],[TARA]]+Prog_236[[#This Row],[PESO]])</f>
        <v>0</v>
      </c>
      <c r="O751" s="44"/>
      <c r="P751" s="66"/>
      <c r="Q751" s="66"/>
      <c r="R751" s="66"/>
      <c r="S751" s="66"/>
      <c r="T751" s="138" t="str">
        <f>IFERROR(LOOKUP($S751,MOTORISTAS!$D$3:$D$1048576,MOTORISTAS!E$3:$E$1048576),"")</f>
        <v/>
      </c>
      <c r="U751" s="138" t="str">
        <f>IFERROR(LOOKUP($S751,MOTORISTAS!$D$3:$D$1048576,MOTORISTAS!F$3:$F$1048576),"")</f>
        <v/>
      </c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44"/>
      <c r="AG751" s="254">
        <f>Prog_236[[#This Row],[SAÍDA DO CLIENTE]]-Prog_236[[#This Row],[PROGRAMAÇÃO CLIENTE]]</f>
        <v>0</v>
      </c>
      <c r="AH751" s="44"/>
      <c r="AI751" s="66"/>
      <c r="AJ751" s="66"/>
      <c r="AK751" s="66"/>
      <c r="AL751" s="66"/>
      <c r="AM751" s="66"/>
      <c r="AN751" s="83"/>
      <c r="AO751" s="66"/>
      <c r="AP751" s="66"/>
      <c r="AQ751" s="66"/>
      <c r="AR751" s="81"/>
      <c r="AS751" s="81"/>
      <c r="AT751" s="81"/>
      <c r="AU751" s="81"/>
      <c r="AV751" s="83">
        <f>SUM(Prog_236[[#This Row],[ADIANTAMENTO]]+Prog_236[[#This Row],[SALDO]]+Prog_236[[#This Row],[MARGEM]]+Prog_236[[#This Row],[ESTADIA 1]])</f>
        <v>0</v>
      </c>
      <c r="AW7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1" s="81"/>
      <c r="AY751" s="81"/>
      <c r="AZ751" s="81">
        <f>Prog_236[[#This Row],[VLR NF]]*0.1%</f>
        <v>0</v>
      </c>
      <c r="BA751" s="81">
        <f>Prog_236[[#This Row],[VLR NF]]*0.05%</f>
        <v>0</v>
      </c>
      <c r="BB751" s="81"/>
      <c r="BC751" s="81"/>
      <c r="BD751" s="81"/>
      <c r="BE751" s="81"/>
      <c r="BF751" s="81"/>
      <c r="BG751" s="81"/>
      <c r="BH751" s="81"/>
      <c r="BI751" s="81"/>
      <c r="BJ751" s="81"/>
      <c r="BK751" s="81"/>
      <c r="BL751" s="66"/>
      <c r="BM751" s="66"/>
      <c r="BN751" s="66"/>
      <c r="BO751" s="66" t="str">
        <f>PROPER(TEXT(Prog_236[[#This Row],[PROGRAMAÇÃO CLIENTE]],"mmm"))</f>
        <v>Jan</v>
      </c>
      <c r="BP751" s="66">
        <f>YEAR(Prog_236[[#This Row],[PROGRAMAÇÃO CLIENTE]])</f>
        <v>1900</v>
      </c>
    </row>
    <row r="752" spans="1:68" x14ac:dyDescent="0.25">
      <c r="A752" s="201">
        <f>Prog_236[[#This Row],[CONTEINER]]</f>
        <v>0</v>
      </c>
      <c r="B752" s="86"/>
      <c r="C7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2" s="44"/>
      <c r="E752" s="66"/>
      <c r="F752" s="66"/>
      <c r="G752" s="66"/>
      <c r="H752" s="44"/>
      <c r="I752" s="44"/>
      <c r="J752" s="66"/>
      <c r="K752" s="66"/>
      <c r="L752" s="66"/>
      <c r="M752" s="66"/>
      <c r="N752" s="66">
        <f>SUM(Prog_236[[#This Row],[TARA]]+Prog_236[[#This Row],[PESO]])</f>
        <v>0</v>
      </c>
      <c r="O752" s="44"/>
      <c r="P752" s="66"/>
      <c r="Q752" s="66"/>
      <c r="R752" s="66"/>
      <c r="S752" s="66"/>
      <c r="T752" s="138" t="str">
        <f>IFERROR(LOOKUP($S752,MOTORISTAS!$D$3:$D$1048576,MOTORISTAS!E$3:$E$1048576),"")</f>
        <v/>
      </c>
      <c r="U752" s="138" t="str">
        <f>IFERROR(LOOKUP($S752,MOTORISTAS!$D$3:$D$1048576,MOTORISTAS!F$3:$F$1048576),"")</f>
        <v/>
      </c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44"/>
      <c r="AG752" s="254">
        <f>Prog_236[[#This Row],[SAÍDA DO CLIENTE]]-Prog_236[[#This Row],[PROGRAMAÇÃO CLIENTE]]</f>
        <v>0</v>
      </c>
      <c r="AH752" s="44"/>
      <c r="AI752" s="66"/>
      <c r="AJ752" s="66"/>
      <c r="AK752" s="66"/>
      <c r="AL752" s="66"/>
      <c r="AM752" s="66"/>
      <c r="AN752" s="83"/>
      <c r="AO752" s="66"/>
      <c r="AP752" s="66"/>
      <c r="AQ752" s="66"/>
      <c r="AR752" s="81"/>
      <c r="AS752" s="81"/>
      <c r="AT752" s="81"/>
      <c r="AU752" s="81"/>
      <c r="AV752" s="83">
        <f>SUM(Prog_236[[#This Row],[ADIANTAMENTO]]+Prog_236[[#This Row],[SALDO]]+Prog_236[[#This Row],[MARGEM]]+Prog_236[[#This Row],[ESTADIA 1]])</f>
        <v>0</v>
      </c>
      <c r="AW7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2" s="81"/>
      <c r="AY752" s="81"/>
      <c r="AZ752" s="81">
        <f>Prog_236[[#This Row],[VLR NF]]*0.1%</f>
        <v>0</v>
      </c>
      <c r="BA752" s="81">
        <f>Prog_236[[#This Row],[VLR NF]]*0.05%</f>
        <v>0</v>
      </c>
      <c r="BB752" s="81"/>
      <c r="BC752" s="81"/>
      <c r="BD752" s="81"/>
      <c r="BE752" s="81"/>
      <c r="BF752" s="81"/>
      <c r="BG752" s="81"/>
      <c r="BH752" s="81"/>
      <c r="BI752" s="81"/>
      <c r="BJ752" s="81"/>
      <c r="BK752" s="81"/>
      <c r="BL752" s="66"/>
      <c r="BM752" s="66"/>
      <c r="BN752" s="66"/>
      <c r="BO752" s="66" t="str">
        <f>PROPER(TEXT(Prog_236[[#This Row],[PROGRAMAÇÃO CLIENTE]],"mmm"))</f>
        <v>Jan</v>
      </c>
      <c r="BP752" s="66">
        <f>YEAR(Prog_236[[#This Row],[PROGRAMAÇÃO CLIENTE]])</f>
        <v>1900</v>
      </c>
    </row>
    <row r="753" spans="1:68" x14ac:dyDescent="0.25">
      <c r="A753" s="200">
        <f>Prog_236[[#This Row],[CONTEINER]]</f>
        <v>0</v>
      </c>
      <c r="B753" s="86"/>
      <c r="C7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3" s="44"/>
      <c r="E753" s="66"/>
      <c r="F753" s="66"/>
      <c r="G753" s="66"/>
      <c r="H753" s="44"/>
      <c r="I753" s="44"/>
      <c r="J753" s="66"/>
      <c r="K753" s="66"/>
      <c r="L753" s="66"/>
      <c r="M753" s="66"/>
      <c r="N753" s="66">
        <f>SUM(Prog_236[[#This Row],[TARA]]+Prog_236[[#This Row],[PESO]])</f>
        <v>0</v>
      </c>
      <c r="O753" s="44"/>
      <c r="P753" s="66"/>
      <c r="Q753" s="66"/>
      <c r="R753" s="66"/>
      <c r="S753" s="66"/>
      <c r="T753" s="138" t="str">
        <f>IFERROR(LOOKUP($S753,MOTORISTAS!$D$3:$D$1048576,MOTORISTAS!E$3:$E$1048576),"")</f>
        <v/>
      </c>
      <c r="U753" s="138" t="str">
        <f>IFERROR(LOOKUP($S753,MOTORISTAS!$D$3:$D$1048576,MOTORISTAS!F$3:$F$1048576),"")</f>
        <v/>
      </c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44"/>
      <c r="AG753" s="254">
        <f>Prog_236[[#This Row],[SAÍDA DO CLIENTE]]-Prog_236[[#This Row],[PROGRAMAÇÃO CLIENTE]]</f>
        <v>0</v>
      </c>
      <c r="AH753" s="44"/>
      <c r="AI753" s="66"/>
      <c r="AJ753" s="66"/>
      <c r="AK753" s="66"/>
      <c r="AL753" s="66"/>
      <c r="AM753" s="66"/>
      <c r="AN753" s="83"/>
      <c r="AO753" s="66"/>
      <c r="AP753" s="66"/>
      <c r="AQ753" s="66"/>
      <c r="AR753" s="81"/>
      <c r="AS753" s="81"/>
      <c r="AT753" s="81"/>
      <c r="AU753" s="81"/>
      <c r="AV753" s="83">
        <f>SUM(Prog_236[[#This Row],[ADIANTAMENTO]]+Prog_236[[#This Row],[SALDO]]+Prog_236[[#This Row],[MARGEM]]+Prog_236[[#This Row],[ESTADIA 1]])</f>
        <v>0</v>
      </c>
      <c r="AW7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3" s="81"/>
      <c r="AY753" s="81"/>
      <c r="AZ753" s="81">
        <f>Prog_236[[#This Row],[VLR NF]]*0.1%</f>
        <v>0</v>
      </c>
      <c r="BA753" s="81">
        <f>Prog_236[[#This Row],[VLR NF]]*0.05%</f>
        <v>0</v>
      </c>
      <c r="BB753" s="81"/>
      <c r="BC753" s="81"/>
      <c r="BD753" s="81"/>
      <c r="BE753" s="81"/>
      <c r="BF753" s="81"/>
      <c r="BG753" s="81"/>
      <c r="BH753" s="81"/>
      <c r="BI753" s="81"/>
      <c r="BJ753" s="81"/>
      <c r="BK753" s="81"/>
      <c r="BL753" s="66"/>
      <c r="BM753" s="66"/>
      <c r="BN753" s="66"/>
      <c r="BO753" s="66" t="str">
        <f>PROPER(TEXT(Prog_236[[#This Row],[PROGRAMAÇÃO CLIENTE]],"mmm"))</f>
        <v>Jan</v>
      </c>
      <c r="BP753" s="66">
        <f>YEAR(Prog_236[[#This Row],[PROGRAMAÇÃO CLIENTE]])</f>
        <v>1900</v>
      </c>
    </row>
    <row r="754" spans="1:68" x14ac:dyDescent="0.25">
      <c r="A754" s="201">
        <f>Prog_236[[#This Row],[CONTEINER]]</f>
        <v>0</v>
      </c>
      <c r="B754" s="86"/>
      <c r="C7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4" s="44"/>
      <c r="E754" s="66"/>
      <c r="F754" s="66"/>
      <c r="G754" s="66"/>
      <c r="H754" s="44"/>
      <c r="I754" s="44"/>
      <c r="J754" s="66"/>
      <c r="K754" s="66"/>
      <c r="L754" s="66"/>
      <c r="M754" s="66"/>
      <c r="N754" s="66">
        <f>SUM(Prog_236[[#This Row],[TARA]]+Prog_236[[#This Row],[PESO]])</f>
        <v>0</v>
      </c>
      <c r="O754" s="44"/>
      <c r="P754" s="66"/>
      <c r="Q754" s="66"/>
      <c r="R754" s="66"/>
      <c r="S754" s="66"/>
      <c r="T754" s="138" t="str">
        <f>IFERROR(LOOKUP($S754,MOTORISTAS!$D$3:$D$1048576,MOTORISTAS!E$3:$E$1048576),"")</f>
        <v/>
      </c>
      <c r="U754" s="138" t="str">
        <f>IFERROR(LOOKUP($S754,MOTORISTAS!$D$3:$D$1048576,MOTORISTAS!F$3:$F$1048576),"")</f>
        <v/>
      </c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44"/>
      <c r="AG754" s="254">
        <f>Prog_236[[#This Row],[SAÍDA DO CLIENTE]]-Prog_236[[#This Row],[PROGRAMAÇÃO CLIENTE]]</f>
        <v>0</v>
      </c>
      <c r="AH754" s="44"/>
      <c r="AI754" s="66"/>
      <c r="AJ754" s="66"/>
      <c r="AK754" s="66"/>
      <c r="AL754" s="66"/>
      <c r="AM754" s="66"/>
      <c r="AN754" s="83"/>
      <c r="AO754" s="66"/>
      <c r="AP754" s="66"/>
      <c r="AQ754" s="66"/>
      <c r="AR754" s="81"/>
      <c r="AS754" s="81"/>
      <c r="AT754" s="81"/>
      <c r="AU754" s="81"/>
      <c r="AV754" s="83">
        <f>SUM(Prog_236[[#This Row],[ADIANTAMENTO]]+Prog_236[[#This Row],[SALDO]]+Prog_236[[#This Row],[MARGEM]]+Prog_236[[#This Row],[ESTADIA 1]])</f>
        <v>0</v>
      </c>
      <c r="AW7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4" s="81"/>
      <c r="AY754" s="81"/>
      <c r="AZ754" s="81">
        <f>Prog_236[[#This Row],[VLR NF]]*0.1%</f>
        <v>0</v>
      </c>
      <c r="BA754" s="81">
        <f>Prog_236[[#This Row],[VLR NF]]*0.05%</f>
        <v>0</v>
      </c>
      <c r="BB754" s="81"/>
      <c r="BC754" s="81"/>
      <c r="BD754" s="81"/>
      <c r="BE754" s="81"/>
      <c r="BF754" s="81"/>
      <c r="BG754" s="81"/>
      <c r="BH754" s="81"/>
      <c r="BI754" s="81"/>
      <c r="BJ754" s="81"/>
      <c r="BK754" s="81"/>
      <c r="BL754" s="66"/>
      <c r="BM754" s="66"/>
      <c r="BN754" s="66"/>
      <c r="BO754" s="66" t="str">
        <f>PROPER(TEXT(Prog_236[[#This Row],[PROGRAMAÇÃO CLIENTE]],"mmm"))</f>
        <v>Jan</v>
      </c>
      <c r="BP754" s="66">
        <f>YEAR(Prog_236[[#This Row],[PROGRAMAÇÃO CLIENTE]])</f>
        <v>1900</v>
      </c>
    </row>
    <row r="755" spans="1:68" x14ac:dyDescent="0.25">
      <c r="A755" s="200">
        <f>Prog_236[[#This Row],[CONTEINER]]</f>
        <v>0</v>
      </c>
      <c r="B755" s="86"/>
      <c r="C7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5" s="44"/>
      <c r="E755" s="66"/>
      <c r="F755" s="66"/>
      <c r="G755" s="66"/>
      <c r="H755" s="44"/>
      <c r="I755" s="44"/>
      <c r="J755" s="66"/>
      <c r="K755" s="66"/>
      <c r="L755" s="66"/>
      <c r="M755" s="66"/>
      <c r="N755" s="66">
        <f>SUM(Prog_236[[#This Row],[TARA]]+Prog_236[[#This Row],[PESO]])</f>
        <v>0</v>
      </c>
      <c r="O755" s="44"/>
      <c r="P755" s="66"/>
      <c r="Q755" s="66"/>
      <c r="R755" s="66"/>
      <c r="S755" s="66"/>
      <c r="T755" s="138" t="str">
        <f>IFERROR(LOOKUP($S755,MOTORISTAS!$D$3:$D$1048576,MOTORISTAS!E$3:$E$1048576),"")</f>
        <v/>
      </c>
      <c r="U755" s="138" t="str">
        <f>IFERROR(LOOKUP($S755,MOTORISTAS!$D$3:$D$1048576,MOTORISTAS!F$3:$F$1048576),"")</f>
        <v/>
      </c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44"/>
      <c r="AG755" s="254">
        <f>Prog_236[[#This Row],[SAÍDA DO CLIENTE]]-Prog_236[[#This Row],[PROGRAMAÇÃO CLIENTE]]</f>
        <v>0</v>
      </c>
      <c r="AH755" s="44"/>
      <c r="AI755" s="66"/>
      <c r="AJ755" s="66"/>
      <c r="AK755" s="66"/>
      <c r="AL755" s="66"/>
      <c r="AM755" s="66"/>
      <c r="AN755" s="83"/>
      <c r="AO755" s="66"/>
      <c r="AP755" s="66"/>
      <c r="AQ755" s="66"/>
      <c r="AR755" s="81"/>
      <c r="AS755" s="81"/>
      <c r="AT755" s="81"/>
      <c r="AU755" s="81"/>
      <c r="AV755" s="83">
        <f>SUM(Prog_236[[#This Row],[ADIANTAMENTO]]+Prog_236[[#This Row],[SALDO]]+Prog_236[[#This Row],[MARGEM]]+Prog_236[[#This Row],[ESTADIA 1]])</f>
        <v>0</v>
      </c>
      <c r="AW7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5" s="81"/>
      <c r="AY755" s="81"/>
      <c r="AZ755" s="81">
        <f>Prog_236[[#This Row],[VLR NF]]*0.1%</f>
        <v>0</v>
      </c>
      <c r="BA755" s="81">
        <f>Prog_236[[#This Row],[VLR NF]]*0.05%</f>
        <v>0</v>
      </c>
      <c r="BB755" s="81"/>
      <c r="BC755" s="81"/>
      <c r="BD755" s="81"/>
      <c r="BE755" s="81"/>
      <c r="BF755" s="81"/>
      <c r="BG755" s="81"/>
      <c r="BH755" s="81"/>
      <c r="BI755" s="81"/>
      <c r="BJ755" s="81"/>
      <c r="BK755" s="81"/>
      <c r="BL755" s="66"/>
      <c r="BM755" s="66"/>
      <c r="BN755" s="66"/>
      <c r="BO755" s="66" t="str">
        <f>PROPER(TEXT(Prog_236[[#This Row],[PROGRAMAÇÃO CLIENTE]],"mmm"))</f>
        <v>Jan</v>
      </c>
      <c r="BP755" s="66">
        <f>YEAR(Prog_236[[#This Row],[PROGRAMAÇÃO CLIENTE]])</f>
        <v>1900</v>
      </c>
    </row>
    <row r="756" spans="1:68" x14ac:dyDescent="0.25">
      <c r="A756" s="201">
        <f>Prog_236[[#This Row],[CONTEINER]]</f>
        <v>0</v>
      </c>
      <c r="B756" s="86"/>
      <c r="C7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6" s="44"/>
      <c r="E756" s="66"/>
      <c r="F756" s="66"/>
      <c r="G756" s="66"/>
      <c r="H756" s="44"/>
      <c r="I756" s="44"/>
      <c r="J756" s="66"/>
      <c r="K756" s="66"/>
      <c r="L756" s="66"/>
      <c r="M756" s="66"/>
      <c r="N756" s="66">
        <f>SUM(Prog_236[[#This Row],[TARA]]+Prog_236[[#This Row],[PESO]])</f>
        <v>0</v>
      </c>
      <c r="O756" s="44"/>
      <c r="P756" s="66"/>
      <c r="Q756" s="66"/>
      <c r="R756" s="66"/>
      <c r="S756" s="66"/>
      <c r="T756" s="138" t="str">
        <f>IFERROR(LOOKUP($S756,MOTORISTAS!$D$3:$D$1048576,MOTORISTAS!E$3:$E$1048576),"")</f>
        <v/>
      </c>
      <c r="U756" s="138" t="str">
        <f>IFERROR(LOOKUP($S756,MOTORISTAS!$D$3:$D$1048576,MOTORISTAS!F$3:$F$1048576),"")</f>
        <v/>
      </c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44"/>
      <c r="AG756" s="254">
        <f>Prog_236[[#This Row],[SAÍDA DO CLIENTE]]-Prog_236[[#This Row],[PROGRAMAÇÃO CLIENTE]]</f>
        <v>0</v>
      </c>
      <c r="AH756" s="44"/>
      <c r="AI756" s="66"/>
      <c r="AJ756" s="66"/>
      <c r="AK756" s="66"/>
      <c r="AL756" s="66"/>
      <c r="AM756" s="66"/>
      <c r="AN756" s="83"/>
      <c r="AO756" s="66"/>
      <c r="AP756" s="66"/>
      <c r="AQ756" s="66"/>
      <c r="AR756" s="81"/>
      <c r="AS756" s="81"/>
      <c r="AT756" s="81"/>
      <c r="AU756" s="81"/>
      <c r="AV756" s="83">
        <f>SUM(Prog_236[[#This Row],[ADIANTAMENTO]]+Prog_236[[#This Row],[SALDO]]+Prog_236[[#This Row],[MARGEM]]+Prog_236[[#This Row],[ESTADIA 1]])</f>
        <v>0</v>
      </c>
      <c r="AW7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6" s="81"/>
      <c r="AY756" s="81"/>
      <c r="AZ756" s="81">
        <f>Prog_236[[#This Row],[VLR NF]]*0.1%</f>
        <v>0</v>
      </c>
      <c r="BA756" s="81">
        <f>Prog_236[[#This Row],[VLR NF]]*0.05%</f>
        <v>0</v>
      </c>
      <c r="BB756" s="81"/>
      <c r="BC756" s="81"/>
      <c r="BD756" s="81"/>
      <c r="BE756" s="81"/>
      <c r="BF756" s="81"/>
      <c r="BG756" s="81"/>
      <c r="BH756" s="81"/>
      <c r="BI756" s="81"/>
      <c r="BJ756" s="81"/>
      <c r="BK756" s="81"/>
      <c r="BL756" s="66"/>
      <c r="BM756" s="66"/>
      <c r="BN756" s="66"/>
      <c r="BO756" s="66" t="str">
        <f>PROPER(TEXT(Prog_236[[#This Row],[PROGRAMAÇÃO CLIENTE]],"mmm"))</f>
        <v>Jan</v>
      </c>
      <c r="BP756" s="66">
        <f>YEAR(Prog_236[[#This Row],[PROGRAMAÇÃO CLIENTE]])</f>
        <v>1900</v>
      </c>
    </row>
    <row r="757" spans="1:68" x14ac:dyDescent="0.25">
      <c r="A757" s="200">
        <f>Prog_236[[#This Row],[CONTEINER]]</f>
        <v>0</v>
      </c>
      <c r="B757" s="86"/>
      <c r="C7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7" s="44"/>
      <c r="E757" s="66"/>
      <c r="F757" s="66"/>
      <c r="G757" s="66"/>
      <c r="H757" s="44"/>
      <c r="I757" s="44"/>
      <c r="J757" s="66"/>
      <c r="K757" s="66"/>
      <c r="L757" s="66"/>
      <c r="M757" s="66"/>
      <c r="N757" s="66">
        <f>SUM(Prog_236[[#This Row],[TARA]]+Prog_236[[#This Row],[PESO]])</f>
        <v>0</v>
      </c>
      <c r="O757" s="44"/>
      <c r="P757" s="66"/>
      <c r="Q757" s="66"/>
      <c r="R757" s="66"/>
      <c r="S757" s="66"/>
      <c r="T757" s="138" t="str">
        <f>IFERROR(LOOKUP($S757,MOTORISTAS!$D$3:$D$1048576,MOTORISTAS!E$3:$E$1048576),"")</f>
        <v/>
      </c>
      <c r="U757" s="138" t="str">
        <f>IFERROR(LOOKUP($S757,MOTORISTAS!$D$3:$D$1048576,MOTORISTAS!F$3:$F$1048576),"")</f>
        <v/>
      </c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44"/>
      <c r="AG757" s="254">
        <f>Prog_236[[#This Row],[SAÍDA DO CLIENTE]]-Prog_236[[#This Row],[PROGRAMAÇÃO CLIENTE]]</f>
        <v>0</v>
      </c>
      <c r="AH757" s="44"/>
      <c r="AI757" s="66"/>
      <c r="AJ757" s="66"/>
      <c r="AK757" s="66"/>
      <c r="AL757" s="66"/>
      <c r="AM757" s="66"/>
      <c r="AN757" s="83"/>
      <c r="AO757" s="66"/>
      <c r="AP757" s="66"/>
      <c r="AQ757" s="66"/>
      <c r="AR757" s="81"/>
      <c r="AS757" s="81"/>
      <c r="AT757" s="81"/>
      <c r="AU757" s="81"/>
      <c r="AV757" s="83">
        <f>SUM(Prog_236[[#This Row],[ADIANTAMENTO]]+Prog_236[[#This Row],[SALDO]]+Prog_236[[#This Row],[MARGEM]]+Prog_236[[#This Row],[ESTADIA 1]])</f>
        <v>0</v>
      </c>
      <c r="AW7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7" s="81"/>
      <c r="AY757" s="81"/>
      <c r="AZ757" s="81">
        <f>Prog_236[[#This Row],[VLR NF]]*0.1%</f>
        <v>0</v>
      </c>
      <c r="BA757" s="81">
        <f>Prog_236[[#This Row],[VLR NF]]*0.05%</f>
        <v>0</v>
      </c>
      <c r="BB757" s="81"/>
      <c r="BC757" s="81"/>
      <c r="BD757" s="81"/>
      <c r="BE757" s="81"/>
      <c r="BF757" s="81"/>
      <c r="BG757" s="81"/>
      <c r="BH757" s="81"/>
      <c r="BI757" s="81"/>
      <c r="BJ757" s="81"/>
      <c r="BK757" s="81"/>
      <c r="BL757" s="66"/>
      <c r="BM757" s="66"/>
      <c r="BN757" s="66"/>
      <c r="BO757" s="66" t="str">
        <f>PROPER(TEXT(Prog_236[[#This Row],[PROGRAMAÇÃO CLIENTE]],"mmm"))</f>
        <v>Jan</v>
      </c>
      <c r="BP757" s="66">
        <f>YEAR(Prog_236[[#This Row],[PROGRAMAÇÃO CLIENTE]])</f>
        <v>1900</v>
      </c>
    </row>
    <row r="758" spans="1:68" x14ac:dyDescent="0.25">
      <c r="A758" s="201">
        <f>Prog_236[[#This Row],[CONTEINER]]</f>
        <v>0</v>
      </c>
      <c r="B758" s="86"/>
      <c r="C7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8" s="44"/>
      <c r="E758" s="66"/>
      <c r="F758" s="66"/>
      <c r="G758" s="66"/>
      <c r="H758" s="44"/>
      <c r="I758" s="44"/>
      <c r="J758" s="66"/>
      <c r="K758" s="66"/>
      <c r="L758" s="66"/>
      <c r="M758" s="66"/>
      <c r="N758" s="66">
        <f>SUM(Prog_236[[#This Row],[TARA]]+Prog_236[[#This Row],[PESO]])</f>
        <v>0</v>
      </c>
      <c r="O758" s="44"/>
      <c r="P758" s="66"/>
      <c r="Q758" s="66"/>
      <c r="R758" s="66"/>
      <c r="S758" s="66"/>
      <c r="T758" s="138" t="str">
        <f>IFERROR(LOOKUP($S758,MOTORISTAS!$D$3:$D$1048576,MOTORISTAS!E$3:$E$1048576),"")</f>
        <v/>
      </c>
      <c r="U758" s="138" t="str">
        <f>IFERROR(LOOKUP($S758,MOTORISTAS!$D$3:$D$1048576,MOTORISTAS!F$3:$F$1048576),"")</f>
        <v/>
      </c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44"/>
      <c r="AG758" s="254">
        <f>Prog_236[[#This Row],[SAÍDA DO CLIENTE]]-Prog_236[[#This Row],[PROGRAMAÇÃO CLIENTE]]</f>
        <v>0</v>
      </c>
      <c r="AH758" s="44"/>
      <c r="AI758" s="66"/>
      <c r="AJ758" s="66"/>
      <c r="AK758" s="66"/>
      <c r="AL758" s="66"/>
      <c r="AM758" s="66"/>
      <c r="AN758" s="83"/>
      <c r="AO758" s="66"/>
      <c r="AP758" s="66"/>
      <c r="AQ758" s="66"/>
      <c r="AR758" s="81"/>
      <c r="AS758" s="81"/>
      <c r="AT758" s="81"/>
      <c r="AU758" s="81"/>
      <c r="AV758" s="83">
        <f>SUM(Prog_236[[#This Row],[ADIANTAMENTO]]+Prog_236[[#This Row],[SALDO]]+Prog_236[[#This Row],[MARGEM]]+Prog_236[[#This Row],[ESTADIA 1]])</f>
        <v>0</v>
      </c>
      <c r="AW7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8" s="81"/>
      <c r="AY758" s="81"/>
      <c r="AZ758" s="81">
        <f>Prog_236[[#This Row],[VLR NF]]*0.1%</f>
        <v>0</v>
      </c>
      <c r="BA758" s="81">
        <f>Prog_236[[#This Row],[VLR NF]]*0.05%</f>
        <v>0</v>
      </c>
      <c r="BB758" s="81"/>
      <c r="BC758" s="81"/>
      <c r="BD758" s="81"/>
      <c r="BE758" s="81"/>
      <c r="BF758" s="81"/>
      <c r="BG758" s="81"/>
      <c r="BH758" s="81"/>
      <c r="BI758" s="81"/>
      <c r="BJ758" s="81"/>
      <c r="BK758" s="81"/>
      <c r="BL758" s="66"/>
      <c r="BM758" s="66"/>
      <c r="BN758" s="66"/>
      <c r="BO758" s="66" t="str">
        <f>PROPER(TEXT(Prog_236[[#This Row],[PROGRAMAÇÃO CLIENTE]],"mmm"))</f>
        <v>Jan</v>
      </c>
      <c r="BP758" s="66">
        <f>YEAR(Prog_236[[#This Row],[PROGRAMAÇÃO CLIENTE]])</f>
        <v>1900</v>
      </c>
    </row>
    <row r="759" spans="1:68" x14ac:dyDescent="0.25">
      <c r="A759" s="200">
        <f>Prog_236[[#This Row],[CONTEINER]]</f>
        <v>0</v>
      </c>
      <c r="B759" s="86"/>
      <c r="C7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59" s="44"/>
      <c r="E759" s="66"/>
      <c r="F759" s="66"/>
      <c r="G759" s="66"/>
      <c r="H759" s="44"/>
      <c r="I759" s="44"/>
      <c r="J759" s="66"/>
      <c r="K759" s="66"/>
      <c r="L759" s="66"/>
      <c r="M759" s="66"/>
      <c r="N759" s="66">
        <f>SUM(Prog_236[[#This Row],[TARA]]+Prog_236[[#This Row],[PESO]])</f>
        <v>0</v>
      </c>
      <c r="O759" s="44"/>
      <c r="P759" s="66"/>
      <c r="Q759" s="66"/>
      <c r="R759" s="66"/>
      <c r="S759" s="66"/>
      <c r="T759" s="138" t="str">
        <f>IFERROR(LOOKUP($S759,MOTORISTAS!$D$3:$D$1048576,MOTORISTAS!E$3:$E$1048576),"")</f>
        <v/>
      </c>
      <c r="U759" s="138" t="str">
        <f>IFERROR(LOOKUP($S759,MOTORISTAS!$D$3:$D$1048576,MOTORISTAS!F$3:$F$1048576),"")</f>
        <v/>
      </c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44"/>
      <c r="AG759" s="254">
        <f>Prog_236[[#This Row],[SAÍDA DO CLIENTE]]-Prog_236[[#This Row],[PROGRAMAÇÃO CLIENTE]]</f>
        <v>0</v>
      </c>
      <c r="AH759" s="44"/>
      <c r="AI759" s="66"/>
      <c r="AJ759" s="66"/>
      <c r="AK759" s="66"/>
      <c r="AL759" s="66"/>
      <c r="AM759" s="66"/>
      <c r="AN759" s="83"/>
      <c r="AO759" s="66"/>
      <c r="AP759" s="66"/>
      <c r="AQ759" s="66"/>
      <c r="AR759" s="81"/>
      <c r="AS759" s="81"/>
      <c r="AT759" s="81"/>
      <c r="AU759" s="81"/>
      <c r="AV759" s="83">
        <f>SUM(Prog_236[[#This Row],[ADIANTAMENTO]]+Prog_236[[#This Row],[SALDO]]+Prog_236[[#This Row],[MARGEM]]+Prog_236[[#This Row],[ESTADIA 1]])</f>
        <v>0</v>
      </c>
      <c r="AW7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59" s="81"/>
      <c r="AY759" s="81"/>
      <c r="AZ759" s="81">
        <f>Prog_236[[#This Row],[VLR NF]]*0.1%</f>
        <v>0</v>
      </c>
      <c r="BA759" s="81">
        <f>Prog_236[[#This Row],[VLR NF]]*0.05%</f>
        <v>0</v>
      </c>
      <c r="BB759" s="81"/>
      <c r="BC759" s="81"/>
      <c r="BD759" s="81"/>
      <c r="BE759" s="81"/>
      <c r="BF759" s="81"/>
      <c r="BG759" s="81"/>
      <c r="BH759" s="81"/>
      <c r="BI759" s="81"/>
      <c r="BJ759" s="81"/>
      <c r="BK759" s="81"/>
      <c r="BL759" s="66"/>
      <c r="BM759" s="66"/>
      <c r="BN759" s="66"/>
      <c r="BO759" s="66" t="str">
        <f>PROPER(TEXT(Prog_236[[#This Row],[PROGRAMAÇÃO CLIENTE]],"mmm"))</f>
        <v>Jan</v>
      </c>
      <c r="BP759" s="66">
        <f>YEAR(Prog_236[[#This Row],[PROGRAMAÇÃO CLIENTE]])</f>
        <v>1900</v>
      </c>
    </row>
    <row r="760" spans="1:68" x14ac:dyDescent="0.25">
      <c r="A760" s="201">
        <f>Prog_236[[#This Row],[CONTEINER]]</f>
        <v>0</v>
      </c>
      <c r="B760" s="86"/>
      <c r="C7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0" s="44"/>
      <c r="E760" s="66"/>
      <c r="F760" s="66"/>
      <c r="G760" s="66"/>
      <c r="H760" s="44"/>
      <c r="I760" s="44"/>
      <c r="J760" s="66"/>
      <c r="K760" s="66"/>
      <c r="L760" s="66"/>
      <c r="M760" s="66"/>
      <c r="N760" s="66">
        <f>SUM(Prog_236[[#This Row],[TARA]]+Prog_236[[#This Row],[PESO]])</f>
        <v>0</v>
      </c>
      <c r="O760" s="44"/>
      <c r="P760" s="66"/>
      <c r="Q760" s="66"/>
      <c r="R760" s="66"/>
      <c r="S760" s="66"/>
      <c r="T760" s="138" t="str">
        <f>IFERROR(LOOKUP($S760,MOTORISTAS!$D$3:$D$1048576,MOTORISTAS!E$3:$E$1048576),"")</f>
        <v/>
      </c>
      <c r="U760" s="138" t="str">
        <f>IFERROR(LOOKUP($S760,MOTORISTAS!$D$3:$D$1048576,MOTORISTAS!F$3:$F$1048576),"")</f>
        <v/>
      </c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44"/>
      <c r="AG760" s="254">
        <f>Prog_236[[#This Row],[SAÍDA DO CLIENTE]]-Prog_236[[#This Row],[PROGRAMAÇÃO CLIENTE]]</f>
        <v>0</v>
      </c>
      <c r="AH760" s="44"/>
      <c r="AI760" s="66"/>
      <c r="AJ760" s="66"/>
      <c r="AK760" s="66"/>
      <c r="AL760" s="66"/>
      <c r="AM760" s="66"/>
      <c r="AN760" s="83"/>
      <c r="AO760" s="66"/>
      <c r="AP760" s="66"/>
      <c r="AQ760" s="66"/>
      <c r="AR760" s="81"/>
      <c r="AS760" s="81"/>
      <c r="AT760" s="81"/>
      <c r="AU760" s="81"/>
      <c r="AV760" s="83">
        <f>SUM(Prog_236[[#This Row],[ADIANTAMENTO]]+Prog_236[[#This Row],[SALDO]]+Prog_236[[#This Row],[MARGEM]]+Prog_236[[#This Row],[ESTADIA 1]])</f>
        <v>0</v>
      </c>
      <c r="AW7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0" s="81"/>
      <c r="AY760" s="81"/>
      <c r="AZ760" s="81">
        <f>Prog_236[[#This Row],[VLR NF]]*0.1%</f>
        <v>0</v>
      </c>
      <c r="BA760" s="81">
        <f>Prog_236[[#This Row],[VLR NF]]*0.05%</f>
        <v>0</v>
      </c>
      <c r="BB760" s="81"/>
      <c r="BC760" s="81"/>
      <c r="BD760" s="81"/>
      <c r="BE760" s="81"/>
      <c r="BF760" s="81"/>
      <c r="BG760" s="81"/>
      <c r="BH760" s="81"/>
      <c r="BI760" s="81"/>
      <c r="BJ760" s="81"/>
      <c r="BK760" s="81"/>
      <c r="BL760" s="66"/>
      <c r="BM760" s="66"/>
      <c r="BN760" s="66"/>
      <c r="BO760" s="66" t="str">
        <f>PROPER(TEXT(Prog_236[[#This Row],[PROGRAMAÇÃO CLIENTE]],"mmm"))</f>
        <v>Jan</v>
      </c>
      <c r="BP760" s="66">
        <f>YEAR(Prog_236[[#This Row],[PROGRAMAÇÃO CLIENTE]])</f>
        <v>1900</v>
      </c>
    </row>
    <row r="761" spans="1:68" x14ac:dyDescent="0.25">
      <c r="A761" s="200">
        <f>Prog_236[[#This Row],[CONTEINER]]</f>
        <v>0</v>
      </c>
      <c r="B761" s="86"/>
      <c r="C7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1" s="44"/>
      <c r="E761" s="66"/>
      <c r="F761" s="66"/>
      <c r="G761" s="66"/>
      <c r="H761" s="44"/>
      <c r="I761" s="44"/>
      <c r="J761" s="66"/>
      <c r="K761" s="66"/>
      <c r="L761" s="66"/>
      <c r="M761" s="66"/>
      <c r="N761" s="66">
        <f>SUM(Prog_236[[#This Row],[TARA]]+Prog_236[[#This Row],[PESO]])</f>
        <v>0</v>
      </c>
      <c r="O761" s="44"/>
      <c r="P761" s="66"/>
      <c r="Q761" s="66"/>
      <c r="R761" s="66"/>
      <c r="S761" s="66"/>
      <c r="T761" s="138" t="str">
        <f>IFERROR(LOOKUP($S761,MOTORISTAS!$D$3:$D$1048576,MOTORISTAS!E$3:$E$1048576),"")</f>
        <v/>
      </c>
      <c r="U761" s="138" t="str">
        <f>IFERROR(LOOKUP($S761,MOTORISTAS!$D$3:$D$1048576,MOTORISTAS!F$3:$F$1048576),"")</f>
        <v/>
      </c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44"/>
      <c r="AG761" s="254">
        <f>Prog_236[[#This Row],[SAÍDA DO CLIENTE]]-Prog_236[[#This Row],[PROGRAMAÇÃO CLIENTE]]</f>
        <v>0</v>
      </c>
      <c r="AH761" s="44"/>
      <c r="AI761" s="66"/>
      <c r="AJ761" s="66"/>
      <c r="AK761" s="66"/>
      <c r="AL761" s="66"/>
      <c r="AM761" s="66"/>
      <c r="AN761" s="83"/>
      <c r="AO761" s="66"/>
      <c r="AP761" s="66"/>
      <c r="AQ761" s="66"/>
      <c r="AR761" s="81"/>
      <c r="AS761" s="81"/>
      <c r="AT761" s="81"/>
      <c r="AU761" s="81"/>
      <c r="AV761" s="83">
        <f>SUM(Prog_236[[#This Row],[ADIANTAMENTO]]+Prog_236[[#This Row],[SALDO]]+Prog_236[[#This Row],[MARGEM]]+Prog_236[[#This Row],[ESTADIA 1]])</f>
        <v>0</v>
      </c>
      <c r="AW7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1" s="81"/>
      <c r="AY761" s="81"/>
      <c r="AZ761" s="81">
        <f>Prog_236[[#This Row],[VLR NF]]*0.1%</f>
        <v>0</v>
      </c>
      <c r="BA761" s="81">
        <f>Prog_236[[#This Row],[VLR NF]]*0.05%</f>
        <v>0</v>
      </c>
      <c r="BB761" s="81"/>
      <c r="BC761" s="81"/>
      <c r="BD761" s="81"/>
      <c r="BE761" s="81"/>
      <c r="BF761" s="81"/>
      <c r="BG761" s="81"/>
      <c r="BH761" s="81"/>
      <c r="BI761" s="81"/>
      <c r="BJ761" s="81"/>
      <c r="BK761" s="81"/>
      <c r="BL761" s="66"/>
      <c r="BM761" s="66"/>
      <c r="BN761" s="66"/>
      <c r="BO761" s="66" t="str">
        <f>PROPER(TEXT(Prog_236[[#This Row],[PROGRAMAÇÃO CLIENTE]],"mmm"))</f>
        <v>Jan</v>
      </c>
      <c r="BP761" s="66">
        <f>YEAR(Prog_236[[#This Row],[PROGRAMAÇÃO CLIENTE]])</f>
        <v>1900</v>
      </c>
    </row>
    <row r="762" spans="1:68" x14ac:dyDescent="0.25">
      <c r="A762" s="201">
        <f>Prog_236[[#This Row],[CONTEINER]]</f>
        <v>0</v>
      </c>
      <c r="B762" s="86"/>
      <c r="C7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2" s="44"/>
      <c r="E762" s="66"/>
      <c r="F762" s="66"/>
      <c r="G762" s="66"/>
      <c r="H762" s="44"/>
      <c r="I762" s="44"/>
      <c r="J762" s="66"/>
      <c r="K762" s="66"/>
      <c r="L762" s="66"/>
      <c r="M762" s="66"/>
      <c r="N762" s="66">
        <f>SUM(Prog_236[[#This Row],[TARA]]+Prog_236[[#This Row],[PESO]])</f>
        <v>0</v>
      </c>
      <c r="O762" s="44"/>
      <c r="P762" s="66"/>
      <c r="Q762" s="66"/>
      <c r="R762" s="66"/>
      <c r="S762" s="66"/>
      <c r="T762" s="138" t="str">
        <f>IFERROR(LOOKUP($S762,MOTORISTAS!$D$3:$D$1048576,MOTORISTAS!E$3:$E$1048576),"")</f>
        <v/>
      </c>
      <c r="U762" s="138" t="str">
        <f>IFERROR(LOOKUP($S762,MOTORISTAS!$D$3:$D$1048576,MOTORISTAS!F$3:$F$1048576),"")</f>
        <v/>
      </c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44"/>
      <c r="AG762" s="254">
        <f>Prog_236[[#This Row],[SAÍDA DO CLIENTE]]-Prog_236[[#This Row],[PROGRAMAÇÃO CLIENTE]]</f>
        <v>0</v>
      </c>
      <c r="AH762" s="44"/>
      <c r="AI762" s="66"/>
      <c r="AJ762" s="66"/>
      <c r="AK762" s="66"/>
      <c r="AL762" s="66"/>
      <c r="AM762" s="66"/>
      <c r="AN762" s="83"/>
      <c r="AO762" s="66"/>
      <c r="AP762" s="66"/>
      <c r="AQ762" s="66"/>
      <c r="AR762" s="81"/>
      <c r="AS762" s="81"/>
      <c r="AT762" s="81"/>
      <c r="AU762" s="81"/>
      <c r="AV762" s="83">
        <f>SUM(Prog_236[[#This Row],[ADIANTAMENTO]]+Prog_236[[#This Row],[SALDO]]+Prog_236[[#This Row],[MARGEM]]+Prog_236[[#This Row],[ESTADIA 1]])</f>
        <v>0</v>
      </c>
      <c r="AW7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2" s="81"/>
      <c r="AY762" s="81"/>
      <c r="AZ762" s="81">
        <f>Prog_236[[#This Row],[VLR NF]]*0.1%</f>
        <v>0</v>
      </c>
      <c r="BA762" s="81">
        <f>Prog_236[[#This Row],[VLR NF]]*0.05%</f>
        <v>0</v>
      </c>
      <c r="BB762" s="81"/>
      <c r="BC762" s="81"/>
      <c r="BD762" s="81"/>
      <c r="BE762" s="81"/>
      <c r="BF762" s="81"/>
      <c r="BG762" s="81"/>
      <c r="BH762" s="81"/>
      <c r="BI762" s="81"/>
      <c r="BJ762" s="81"/>
      <c r="BK762" s="81"/>
      <c r="BL762" s="66"/>
      <c r="BM762" s="66"/>
      <c r="BN762" s="66"/>
      <c r="BO762" s="66" t="str">
        <f>PROPER(TEXT(Prog_236[[#This Row],[PROGRAMAÇÃO CLIENTE]],"mmm"))</f>
        <v>Jan</v>
      </c>
      <c r="BP762" s="66">
        <f>YEAR(Prog_236[[#This Row],[PROGRAMAÇÃO CLIENTE]])</f>
        <v>1900</v>
      </c>
    </row>
    <row r="763" spans="1:68" x14ac:dyDescent="0.25">
      <c r="A763" s="200">
        <f>Prog_236[[#This Row],[CONTEINER]]</f>
        <v>0</v>
      </c>
      <c r="B763" s="86"/>
      <c r="C7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3" s="44"/>
      <c r="E763" s="66"/>
      <c r="F763" s="66"/>
      <c r="G763" s="66"/>
      <c r="H763" s="44"/>
      <c r="I763" s="44"/>
      <c r="J763" s="66"/>
      <c r="K763" s="66"/>
      <c r="L763" s="66"/>
      <c r="M763" s="66"/>
      <c r="N763" s="66">
        <f>SUM(Prog_236[[#This Row],[TARA]]+Prog_236[[#This Row],[PESO]])</f>
        <v>0</v>
      </c>
      <c r="O763" s="44"/>
      <c r="P763" s="66"/>
      <c r="Q763" s="66"/>
      <c r="R763" s="66"/>
      <c r="S763" s="66"/>
      <c r="T763" s="138" t="str">
        <f>IFERROR(LOOKUP($S763,MOTORISTAS!$D$3:$D$1048576,MOTORISTAS!E$3:$E$1048576),"")</f>
        <v/>
      </c>
      <c r="U763" s="138" t="str">
        <f>IFERROR(LOOKUP($S763,MOTORISTAS!$D$3:$D$1048576,MOTORISTAS!F$3:$F$1048576),"")</f>
        <v/>
      </c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44"/>
      <c r="AG763" s="254">
        <f>Prog_236[[#This Row],[SAÍDA DO CLIENTE]]-Prog_236[[#This Row],[PROGRAMAÇÃO CLIENTE]]</f>
        <v>0</v>
      </c>
      <c r="AH763" s="44"/>
      <c r="AI763" s="66"/>
      <c r="AJ763" s="66"/>
      <c r="AK763" s="66"/>
      <c r="AL763" s="66"/>
      <c r="AM763" s="66"/>
      <c r="AN763" s="83"/>
      <c r="AO763" s="66"/>
      <c r="AP763" s="66"/>
      <c r="AQ763" s="66"/>
      <c r="AR763" s="81"/>
      <c r="AS763" s="81"/>
      <c r="AT763" s="81"/>
      <c r="AU763" s="81"/>
      <c r="AV763" s="83">
        <f>SUM(Prog_236[[#This Row],[ADIANTAMENTO]]+Prog_236[[#This Row],[SALDO]]+Prog_236[[#This Row],[MARGEM]]+Prog_236[[#This Row],[ESTADIA 1]])</f>
        <v>0</v>
      </c>
      <c r="AW7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3" s="81"/>
      <c r="AY763" s="81"/>
      <c r="AZ763" s="81">
        <f>Prog_236[[#This Row],[VLR NF]]*0.1%</f>
        <v>0</v>
      </c>
      <c r="BA763" s="81">
        <f>Prog_236[[#This Row],[VLR NF]]*0.05%</f>
        <v>0</v>
      </c>
      <c r="BB763" s="81"/>
      <c r="BC763" s="81"/>
      <c r="BD763" s="81"/>
      <c r="BE763" s="81"/>
      <c r="BF763" s="81"/>
      <c r="BG763" s="81"/>
      <c r="BH763" s="81"/>
      <c r="BI763" s="81"/>
      <c r="BJ763" s="81"/>
      <c r="BK763" s="81"/>
      <c r="BL763" s="66"/>
      <c r="BM763" s="66"/>
      <c r="BN763" s="66"/>
      <c r="BO763" s="66" t="str">
        <f>PROPER(TEXT(Prog_236[[#This Row],[PROGRAMAÇÃO CLIENTE]],"mmm"))</f>
        <v>Jan</v>
      </c>
      <c r="BP763" s="66">
        <f>YEAR(Prog_236[[#This Row],[PROGRAMAÇÃO CLIENTE]])</f>
        <v>1900</v>
      </c>
    </row>
    <row r="764" spans="1:68" x14ac:dyDescent="0.25">
      <c r="A764" s="201">
        <f>Prog_236[[#This Row],[CONTEINER]]</f>
        <v>0</v>
      </c>
      <c r="B764" s="86"/>
      <c r="C7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4" s="44"/>
      <c r="E764" s="66"/>
      <c r="F764" s="66"/>
      <c r="G764" s="66"/>
      <c r="H764" s="44"/>
      <c r="I764" s="44"/>
      <c r="J764" s="66"/>
      <c r="K764" s="66"/>
      <c r="L764" s="66"/>
      <c r="M764" s="66"/>
      <c r="N764" s="66">
        <f>SUM(Prog_236[[#This Row],[TARA]]+Prog_236[[#This Row],[PESO]])</f>
        <v>0</v>
      </c>
      <c r="O764" s="44"/>
      <c r="P764" s="66"/>
      <c r="Q764" s="66"/>
      <c r="R764" s="66"/>
      <c r="S764" s="66"/>
      <c r="T764" s="138" t="str">
        <f>IFERROR(LOOKUP($S764,MOTORISTAS!$D$3:$D$1048576,MOTORISTAS!E$3:$E$1048576),"")</f>
        <v/>
      </c>
      <c r="U764" s="138" t="str">
        <f>IFERROR(LOOKUP($S764,MOTORISTAS!$D$3:$D$1048576,MOTORISTAS!F$3:$F$1048576),"")</f>
        <v/>
      </c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44"/>
      <c r="AG764" s="254">
        <f>Prog_236[[#This Row],[SAÍDA DO CLIENTE]]-Prog_236[[#This Row],[PROGRAMAÇÃO CLIENTE]]</f>
        <v>0</v>
      </c>
      <c r="AH764" s="44"/>
      <c r="AI764" s="66"/>
      <c r="AJ764" s="66"/>
      <c r="AK764" s="66"/>
      <c r="AL764" s="66"/>
      <c r="AM764" s="66"/>
      <c r="AN764" s="83"/>
      <c r="AO764" s="66"/>
      <c r="AP764" s="66"/>
      <c r="AQ764" s="66"/>
      <c r="AR764" s="81"/>
      <c r="AS764" s="81"/>
      <c r="AT764" s="81"/>
      <c r="AU764" s="81"/>
      <c r="AV764" s="83">
        <f>SUM(Prog_236[[#This Row],[ADIANTAMENTO]]+Prog_236[[#This Row],[SALDO]]+Prog_236[[#This Row],[MARGEM]]+Prog_236[[#This Row],[ESTADIA 1]])</f>
        <v>0</v>
      </c>
      <c r="AW7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4" s="81"/>
      <c r="AY764" s="81"/>
      <c r="AZ764" s="81">
        <f>Prog_236[[#This Row],[VLR NF]]*0.1%</f>
        <v>0</v>
      </c>
      <c r="BA764" s="81">
        <f>Prog_236[[#This Row],[VLR NF]]*0.05%</f>
        <v>0</v>
      </c>
      <c r="BB764" s="81"/>
      <c r="BC764" s="81"/>
      <c r="BD764" s="81"/>
      <c r="BE764" s="81"/>
      <c r="BF764" s="81"/>
      <c r="BG764" s="81"/>
      <c r="BH764" s="81"/>
      <c r="BI764" s="81"/>
      <c r="BJ764" s="81"/>
      <c r="BK764" s="81"/>
      <c r="BL764" s="66"/>
      <c r="BM764" s="66"/>
      <c r="BN764" s="66"/>
      <c r="BO764" s="66" t="str">
        <f>PROPER(TEXT(Prog_236[[#This Row],[PROGRAMAÇÃO CLIENTE]],"mmm"))</f>
        <v>Jan</v>
      </c>
      <c r="BP764" s="66">
        <f>YEAR(Prog_236[[#This Row],[PROGRAMAÇÃO CLIENTE]])</f>
        <v>1900</v>
      </c>
    </row>
    <row r="765" spans="1:68" x14ac:dyDescent="0.25">
      <c r="A765" s="200">
        <f>Prog_236[[#This Row],[CONTEINER]]</f>
        <v>0</v>
      </c>
      <c r="B765" s="86"/>
      <c r="C7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5" s="44"/>
      <c r="E765" s="66"/>
      <c r="F765" s="66"/>
      <c r="G765" s="66"/>
      <c r="H765" s="44"/>
      <c r="I765" s="44"/>
      <c r="J765" s="66"/>
      <c r="K765" s="66"/>
      <c r="L765" s="66"/>
      <c r="M765" s="66"/>
      <c r="N765" s="66">
        <f>SUM(Prog_236[[#This Row],[TARA]]+Prog_236[[#This Row],[PESO]])</f>
        <v>0</v>
      </c>
      <c r="O765" s="44"/>
      <c r="P765" s="66"/>
      <c r="Q765" s="66"/>
      <c r="R765" s="66"/>
      <c r="S765" s="66"/>
      <c r="T765" s="138" t="str">
        <f>IFERROR(LOOKUP($S765,MOTORISTAS!$D$3:$D$1048576,MOTORISTAS!E$3:$E$1048576),"")</f>
        <v/>
      </c>
      <c r="U765" s="138" t="str">
        <f>IFERROR(LOOKUP($S765,MOTORISTAS!$D$3:$D$1048576,MOTORISTAS!F$3:$F$1048576),"")</f>
        <v/>
      </c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44"/>
      <c r="AG765" s="254">
        <f>Prog_236[[#This Row],[SAÍDA DO CLIENTE]]-Prog_236[[#This Row],[PROGRAMAÇÃO CLIENTE]]</f>
        <v>0</v>
      </c>
      <c r="AH765" s="44"/>
      <c r="AI765" s="66"/>
      <c r="AJ765" s="66"/>
      <c r="AK765" s="66"/>
      <c r="AL765" s="66"/>
      <c r="AM765" s="66"/>
      <c r="AN765" s="83"/>
      <c r="AO765" s="66"/>
      <c r="AP765" s="66"/>
      <c r="AQ765" s="66"/>
      <c r="AR765" s="81"/>
      <c r="AS765" s="81"/>
      <c r="AT765" s="81"/>
      <c r="AU765" s="81"/>
      <c r="AV765" s="83">
        <f>SUM(Prog_236[[#This Row],[ADIANTAMENTO]]+Prog_236[[#This Row],[SALDO]]+Prog_236[[#This Row],[MARGEM]]+Prog_236[[#This Row],[ESTADIA 1]])</f>
        <v>0</v>
      </c>
      <c r="AW7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5" s="81"/>
      <c r="AY765" s="81"/>
      <c r="AZ765" s="81">
        <f>Prog_236[[#This Row],[VLR NF]]*0.1%</f>
        <v>0</v>
      </c>
      <c r="BA765" s="81">
        <f>Prog_236[[#This Row],[VLR NF]]*0.05%</f>
        <v>0</v>
      </c>
      <c r="BB765" s="81"/>
      <c r="BC765" s="81"/>
      <c r="BD765" s="81"/>
      <c r="BE765" s="81"/>
      <c r="BF765" s="81"/>
      <c r="BG765" s="81"/>
      <c r="BH765" s="81"/>
      <c r="BI765" s="81"/>
      <c r="BJ765" s="81"/>
      <c r="BK765" s="81"/>
      <c r="BL765" s="66"/>
      <c r="BM765" s="66"/>
      <c r="BN765" s="66"/>
      <c r="BO765" s="66" t="str">
        <f>PROPER(TEXT(Prog_236[[#This Row],[PROGRAMAÇÃO CLIENTE]],"mmm"))</f>
        <v>Jan</v>
      </c>
      <c r="BP765" s="66">
        <f>YEAR(Prog_236[[#This Row],[PROGRAMAÇÃO CLIENTE]])</f>
        <v>1900</v>
      </c>
    </row>
    <row r="766" spans="1:68" x14ac:dyDescent="0.25">
      <c r="A766" s="201">
        <f>Prog_236[[#This Row],[CONTEINER]]</f>
        <v>0</v>
      </c>
      <c r="B766" s="86"/>
      <c r="C7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6" s="44"/>
      <c r="E766" s="66"/>
      <c r="F766" s="66"/>
      <c r="G766" s="66"/>
      <c r="H766" s="44"/>
      <c r="I766" s="44"/>
      <c r="J766" s="66"/>
      <c r="K766" s="66"/>
      <c r="L766" s="66"/>
      <c r="M766" s="66"/>
      <c r="N766" s="66">
        <f>SUM(Prog_236[[#This Row],[TARA]]+Prog_236[[#This Row],[PESO]])</f>
        <v>0</v>
      </c>
      <c r="O766" s="44"/>
      <c r="P766" s="66"/>
      <c r="Q766" s="66"/>
      <c r="R766" s="66"/>
      <c r="S766" s="66"/>
      <c r="T766" s="138" t="str">
        <f>IFERROR(LOOKUP($S766,MOTORISTAS!$D$3:$D$1048576,MOTORISTAS!E$3:$E$1048576),"")</f>
        <v/>
      </c>
      <c r="U766" s="138" t="str">
        <f>IFERROR(LOOKUP($S766,MOTORISTAS!$D$3:$D$1048576,MOTORISTAS!F$3:$F$1048576),"")</f>
        <v/>
      </c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44"/>
      <c r="AG766" s="254">
        <f>Prog_236[[#This Row],[SAÍDA DO CLIENTE]]-Prog_236[[#This Row],[PROGRAMAÇÃO CLIENTE]]</f>
        <v>0</v>
      </c>
      <c r="AH766" s="44"/>
      <c r="AI766" s="66"/>
      <c r="AJ766" s="66"/>
      <c r="AK766" s="66"/>
      <c r="AL766" s="66"/>
      <c r="AM766" s="66"/>
      <c r="AN766" s="83"/>
      <c r="AO766" s="66"/>
      <c r="AP766" s="66"/>
      <c r="AQ766" s="66"/>
      <c r="AR766" s="81"/>
      <c r="AS766" s="81"/>
      <c r="AT766" s="81"/>
      <c r="AU766" s="81"/>
      <c r="AV766" s="83">
        <f>SUM(Prog_236[[#This Row],[ADIANTAMENTO]]+Prog_236[[#This Row],[SALDO]]+Prog_236[[#This Row],[MARGEM]]+Prog_236[[#This Row],[ESTADIA 1]])</f>
        <v>0</v>
      </c>
      <c r="AW7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6" s="81"/>
      <c r="AY766" s="81"/>
      <c r="AZ766" s="81">
        <f>Prog_236[[#This Row],[VLR NF]]*0.1%</f>
        <v>0</v>
      </c>
      <c r="BA766" s="81">
        <f>Prog_236[[#This Row],[VLR NF]]*0.05%</f>
        <v>0</v>
      </c>
      <c r="BB766" s="81"/>
      <c r="BC766" s="81"/>
      <c r="BD766" s="81"/>
      <c r="BE766" s="81"/>
      <c r="BF766" s="81"/>
      <c r="BG766" s="81"/>
      <c r="BH766" s="81"/>
      <c r="BI766" s="81"/>
      <c r="BJ766" s="81"/>
      <c r="BK766" s="81"/>
      <c r="BL766" s="66"/>
      <c r="BM766" s="66"/>
      <c r="BN766" s="66"/>
      <c r="BO766" s="66" t="str">
        <f>PROPER(TEXT(Prog_236[[#This Row],[PROGRAMAÇÃO CLIENTE]],"mmm"))</f>
        <v>Jan</v>
      </c>
      <c r="BP766" s="66">
        <f>YEAR(Prog_236[[#This Row],[PROGRAMAÇÃO CLIENTE]])</f>
        <v>1900</v>
      </c>
    </row>
    <row r="767" spans="1:68" x14ac:dyDescent="0.25">
      <c r="A767" s="200">
        <f>Prog_236[[#This Row],[CONTEINER]]</f>
        <v>0</v>
      </c>
      <c r="B767" s="86"/>
      <c r="C7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7" s="44"/>
      <c r="E767" s="66"/>
      <c r="F767" s="66"/>
      <c r="G767" s="66"/>
      <c r="H767" s="44"/>
      <c r="I767" s="44"/>
      <c r="J767" s="66"/>
      <c r="K767" s="66"/>
      <c r="L767" s="66"/>
      <c r="M767" s="66"/>
      <c r="N767" s="66">
        <f>SUM(Prog_236[[#This Row],[TARA]]+Prog_236[[#This Row],[PESO]])</f>
        <v>0</v>
      </c>
      <c r="O767" s="44"/>
      <c r="P767" s="66"/>
      <c r="Q767" s="66"/>
      <c r="R767" s="66"/>
      <c r="S767" s="66"/>
      <c r="T767" s="138" t="str">
        <f>IFERROR(LOOKUP($S767,MOTORISTAS!$D$3:$D$1048576,MOTORISTAS!E$3:$E$1048576),"")</f>
        <v/>
      </c>
      <c r="U767" s="138" t="str">
        <f>IFERROR(LOOKUP($S767,MOTORISTAS!$D$3:$D$1048576,MOTORISTAS!F$3:$F$1048576),"")</f>
        <v/>
      </c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44"/>
      <c r="AG767" s="254">
        <f>Prog_236[[#This Row],[SAÍDA DO CLIENTE]]-Prog_236[[#This Row],[PROGRAMAÇÃO CLIENTE]]</f>
        <v>0</v>
      </c>
      <c r="AH767" s="44"/>
      <c r="AI767" s="66"/>
      <c r="AJ767" s="66"/>
      <c r="AK767" s="66"/>
      <c r="AL767" s="66"/>
      <c r="AM767" s="66"/>
      <c r="AN767" s="83"/>
      <c r="AO767" s="66"/>
      <c r="AP767" s="66"/>
      <c r="AQ767" s="66"/>
      <c r="AR767" s="81"/>
      <c r="AS767" s="81"/>
      <c r="AT767" s="81"/>
      <c r="AU767" s="81"/>
      <c r="AV767" s="83">
        <f>SUM(Prog_236[[#This Row],[ADIANTAMENTO]]+Prog_236[[#This Row],[SALDO]]+Prog_236[[#This Row],[MARGEM]]+Prog_236[[#This Row],[ESTADIA 1]])</f>
        <v>0</v>
      </c>
      <c r="AW7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7" s="81"/>
      <c r="AY767" s="81"/>
      <c r="AZ767" s="81">
        <f>Prog_236[[#This Row],[VLR NF]]*0.1%</f>
        <v>0</v>
      </c>
      <c r="BA767" s="81">
        <f>Prog_236[[#This Row],[VLR NF]]*0.05%</f>
        <v>0</v>
      </c>
      <c r="BB767" s="81"/>
      <c r="BC767" s="81"/>
      <c r="BD767" s="81"/>
      <c r="BE767" s="81"/>
      <c r="BF767" s="81"/>
      <c r="BG767" s="81"/>
      <c r="BH767" s="81"/>
      <c r="BI767" s="81"/>
      <c r="BJ767" s="81"/>
      <c r="BK767" s="81"/>
      <c r="BL767" s="66"/>
      <c r="BM767" s="66"/>
      <c r="BN767" s="66"/>
      <c r="BO767" s="66" t="str">
        <f>PROPER(TEXT(Prog_236[[#This Row],[PROGRAMAÇÃO CLIENTE]],"mmm"))</f>
        <v>Jan</v>
      </c>
      <c r="BP767" s="66">
        <f>YEAR(Prog_236[[#This Row],[PROGRAMAÇÃO CLIENTE]])</f>
        <v>1900</v>
      </c>
    </row>
    <row r="768" spans="1:68" x14ac:dyDescent="0.25">
      <c r="A768" s="201">
        <f>Prog_236[[#This Row],[CONTEINER]]</f>
        <v>0</v>
      </c>
      <c r="B768" s="86"/>
      <c r="C7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8" s="44"/>
      <c r="E768" s="66"/>
      <c r="F768" s="66"/>
      <c r="G768" s="66"/>
      <c r="H768" s="44"/>
      <c r="I768" s="44"/>
      <c r="J768" s="66"/>
      <c r="K768" s="66"/>
      <c r="L768" s="66"/>
      <c r="M768" s="66"/>
      <c r="N768" s="66">
        <f>SUM(Prog_236[[#This Row],[TARA]]+Prog_236[[#This Row],[PESO]])</f>
        <v>0</v>
      </c>
      <c r="O768" s="44"/>
      <c r="P768" s="66"/>
      <c r="Q768" s="66"/>
      <c r="R768" s="66"/>
      <c r="S768" s="66"/>
      <c r="T768" s="138" t="str">
        <f>IFERROR(LOOKUP($S768,MOTORISTAS!$D$3:$D$1048576,MOTORISTAS!E$3:$E$1048576),"")</f>
        <v/>
      </c>
      <c r="U768" s="138" t="str">
        <f>IFERROR(LOOKUP($S768,MOTORISTAS!$D$3:$D$1048576,MOTORISTAS!F$3:$F$1048576),"")</f>
        <v/>
      </c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44"/>
      <c r="AG768" s="254">
        <f>Prog_236[[#This Row],[SAÍDA DO CLIENTE]]-Prog_236[[#This Row],[PROGRAMAÇÃO CLIENTE]]</f>
        <v>0</v>
      </c>
      <c r="AH768" s="44"/>
      <c r="AI768" s="66"/>
      <c r="AJ768" s="66"/>
      <c r="AK768" s="66"/>
      <c r="AL768" s="66"/>
      <c r="AM768" s="66"/>
      <c r="AN768" s="83"/>
      <c r="AO768" s="66"/>
      <c r="AP768" s="66"/>
      <c r="AQ768" s="66"/>
      <c r="AR768" s="81"/>
      <c r="AS768" s="81"/>
      <c r="AT768" s="81"/>
      <c r="AU768" s="81"/>
      <c r="AV768" s="83">
        <f>SUM(Prog_236[[#This Row],[ADIANTAMENTO]]+Prog_236[[#This Row],[SALDO]]+Prog_236[[#This Row],[MARGEM]]+Prog_236[[#This Row],[ESTADIA 1]])</f>
        <v>0</v>
      </c>
      <c r="AW7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8" s="81"/>
      <c r="AY768" s="81"/>
      <c r="AZ768" s="81">
        <f>Prog_236[[#This Row],[VLR NF]]*0.1%</f>
        <v>0</v>
      </c>
      <c r="BA768" s="81">
        <f>Prog_236[[#This Row],[VLR NF]]*0.05%</f>
        <v>0</v>
      </c>
      <c r="BB768" s="81"/>
      <c r="BC768" s="81"/>
      <c r="BD768" s="81"/>
      <c r="BE768" s="81"/>
      <c r="BF768" s="81"/>
      <c r="BG768" s="81"/>
      <c r="BH768" s="81"/>
      <c r="BI768" s="81"/>
      <c r="BJ768" s="81"/>
      <c r="BK768" s="81"/>
      <c r="BL768" s="66"/>
      <c r="BM768" s="66"/>
      <c r="BN768" s="66"/>
      <c r="BO768" s="66" t="str">
        <f>PROPER(TEXT(Prog_236[[#This Row],[PROGRAMAÇÃO CLIENTE]],"mmm"))</f>
        <v>Jan</v>
      </c>
      <c r="BP768" s="66">
        <f>YEAR(Prog_236[[#This Row],[PROGRAMAÇÃO CLIENTE]])</f>
        <v>1900</v>
      </c>
    </row>
    <row r="769" spans="1:68" x14ac:dyDescent="0.25">
      <c r="A769" s="200">
        <f>Prog_236[[#This Row],[CONTEINER]]</f>
        <v>0</v>
      </c>
      <c r="B769" s="86"/>
      <c r="C7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69" s="44"/>
      <c r="E769" s="66"/>
      <c r="F769" s="66"/>
      <c r="G769" s="66"/>
      <c r="H769" s="44"/>
      <c r="I769" s="44"/>
      <c r="J769" s="66"/>
      <c r="K769" s="66"/>
      <c r="L769" s="66"/>
      <c r="M769" s="66"/>
      <c r="N769" s="66">
        <f>SUM(Prog_236[[#This Row],[TARA]]+Prog_236[[#This Row],[PESO]])</f>
        <v>0</v>
      </c>
      <c r="O769" s="44"/>
      <c r="P769" s="66"/>
      <c r="Q769" s="66"/>
      <c r="R769" s="66"/>
      <c r="S769" s="66"/>
      <c r="T769" s="138" t="str">
        <f>IFERROR(LOOKUP($S769,MOTORISTAS!$D$3:$D$1048576,MOTORISTAS!E$3:$E$1048576),"")</f>
        <v/>
      </c>
      <c r="U769" s="138" t="str">
        <f>IFERROR(LOOKUP($S769,MOTORISTAS!$D$3:$D$1048576,MOTORISTAS!F$3:$F$1048576),"")</f>
        <v/>
      </c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44"/>
      <c r="AG769" s="254">
        <f>Prog_236[[#This Row],[SAÍDA DO CLIENTE]]-Prog_236[[#This Row],[PROGRAMAÇÃO CLIENTE]]</f>
        <v>0</v>
      </c>
      <c r="AH769" s="44"/>
      <c r="AI769" s="66"/>
      <c r="AJ769" s="66"/>
      <c r="AK769" s="66"/>
      <c r="AL769" s="66"/>
      <c r="AM769" s="66"/>
      <c r="AN769" s="83"/>
      <c r="AO769" s="66"/>
      <c r="AP769" s="66"/>
      <c r="AQ769" s="66"/>
      <c r="AR769" s="81"/>
      <c r="AS769" s="81"/>
      <c r="AT769" s="81"/>
      <c r="AU769" s="81"/>
      <c r="AV769" s="83">
        <f>SUM(Prog_236[[#This Row],[ADIANTAMENTO]]+Prog_236[[#This Row],[SALDO]]+Prog_236[[#This Row],[MARGEM]]+Prog_236[[#This Row],[ESTADIA 1]])</f>
        <v>0</v>
      </c>
      <c r="AW7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69" s="81"/>
      <c r="AY769" s="81"/>
      <c r="AZ769" s="81">
        <f>Prog_236[[#This Row],[VLR NF]]*0.1%</f>
        <v>0</v>
      </c>
      <c r="BA769" s="81">
        <f>Prog_236[[#This Row],[VLR NF]]*0.05%</f>
        <v>0</v>
      </c>
      <c r="BB769" s="81"/>
      <c r="BC769" s="81"/>
      <c r="BD769" s="81"/>
      <c r="BE769" s="81"/>
      <c r="BF769" s="81"/>
      <c r="BG769" s="81"/>
      <c r="BH769" s="81"/>
      <c r="BI769" s="81"/>
      <c r="BJ769" s="81"/>
      <c r="BK769" s="81"/>
      <c r="BL769" s="66"/>
      <c r="BM769" s="66"/>
      <c r="BN769" s="66"/>
      <c r="BO769" s="66" t="str">
        <f>PROPER(TEXT(Prog_236[[#This Row],[PROGRAMAÇÃO CLIENTE]],"mmm"))</f>
        <v>Jan</v>
      </c>
      <c r="BP769" s="66">
        <f>YEAR(Prog_236[[#This Row],[PROGRAMAÇÃO CLIENTE]])</f>
        <v>1900</v>
      </c>
    </row>
    <row r="770" spans="1:68" x14ac:dyDescent="0.25">
      <c r="A770" s="201">
        <f>Prog_236[[#This Row],[CONTEINER]]</f>
        <v>0</v>
      </c>
      <c r="B770" s="86"/>
      <c r="C7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0" s="44"/>
      <c r="E770" s="66"/>
      <c r="F770" s="66"/>
      <c r="G770" s="66"/>
      <c r="H770" s="44"/>
      <c r="I770" s="44"/>
      <c r="J770" s="66"/>
      <c r="K770" s="66"/>
      <c r="L770" s="66"/>
      <c r="M770" s="66"/>
      <c r="N770" s="66">
        <f>SUM(Prog_236[[#This Row],[TARA]]+Prog_236[[#This Row],[PESO]])</f>
        <v>0</v>
      </c>
      <c r="O770" s="44"/>
      <c r="P770" s="66"/>
      <c r="Q770" s="66"/>
      <c r="R770" s="66"/>
      <c r="S770" s="66"/>
      <c r="T770" s="138" t="str">
        <f>IFERROR(LOOKUP($S770,MOTORISTAS!$D$3:$D$1048576,MOTORISTAS!E$3:$E$1048576),"")</f>
        <v/>
      </c>
      <c r="U770" s="138" t="str">
        <f>IFERROR(LOOKUP($S770,MOTORISTAS!$D$3:$D$1048576,MOTORISTAS!F$3:$F$1048576),"")</f>
        <v/>
      </c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44"/>
      <c r="AG770" s="254">
        <f>Prog_236[[#This Row],[SAÍDA DO CLIENTE]]-Prog_236[[#This Row],[PROGRAMAÇÃO CLIENTE]]</f>
        <v>0</v>
      </c>
      <c r="AH770" s="44"/>
      <c r="AI770" s="66"/>
      <c r="AJ770" s="66"/>
      <c r="AK770" s="66"/>
      <c r="AL770" s="66"/>
      <c r="AM770" s="66"/>
      <c r="AN770" s="83"/>
      <c r="AO770" s="66"/>
      <c r="AP770" s="66"/>
      <c r="AQ770" s="66"/>
      <c r="AR770" s="81"/>
      <c r="AS770" s="81"/>
      <c r="AT770" s="81"/>
      <c r="AU770" s="81"/>
      <c r="AV770" s="83">
        <f>SUM(Prog_236[[#This Row],[ADIANTAMENTO]]+Prog_236[[#This Row],[SALDO]]+Prog_236[[#This Row],[MARGEM]]+Prog_236[[#This Row],[ESTADIA 1]])</f>
        <v>0</v>
      </c>
      <c r="AW7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0" s="81"/>
      <c r="AY770" s="81"/>
      <c r="AZ770" s="81">
        <f>Prog_236[[#This Row],[VLR NF]]*0.1%</f>
        <v>0</v>
      </c>
      <c r="BA770" s="81">
        <f>Prog_236[[#This Row],[VLR NF]]*0.05%</f>
        <v>0</v>
      </c>
      <c r="BB770" s="81"/>
      <c r="BC770" s="81"/>
      <c r="BD770" s="81"/>
      <c r="BE770" s="81"/>
      <c r="BF770" s="81"/>
      <c r="BG770" s="81"/>
      <c r="BH770" s="81"/>
      <c r="BI770" s="81"/>
      <c r="BJ770" s="81"/>
      <c r="BK770" s="81"/>
      <c r="BL770" s="66"/>
      <c r="BM770" s="66"/>
      <c r="BN770" s="66"/>
      <c r="BO770" s="66" t="str">
        <f>PROPER(TEXT(Prog_236[[#This Row],[PROGRAMAÇÃO CLIENTE]],"mmm"))</f>
        <v>Jan</v>
      </c>
      <c r="BP770" s="66">
        <f>YEAR(Prog_236[[#This Row],[PROGRAMAÇÃO CLIENTE]])</f>
        <v>1900</v>
      </c>
    </row>
    <row r="771" spans="1:68" x14ac:dyDescent="0.25">
      <c r="A771" s="200">
        <f>Prog_236[[#This Row],[CONTEINER]]</f>
        <v>0</v>
      </c>
      <c r="B771" s="86"/>
      <c r="C7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1" s="44"/>
      <c r="E771" s="66"/>
      <c r="F771" s="66"/>
      <c r="G771" s="66"/>
      <c r="H771" s="44"/>
      <c r="I771" s="44"/>
      <c r="J771" s="66"/>
      <c r="K771" s="66"/>
      <c r="L771" s="66"/>
      <c r="M771" s="66"/>
      <c r="N771" s="66">
        <f>SUM(Prog_236[[#This Row],[TARA]]+Prog_236[[#This Row],[PESO]])</f>
        <v>0</v>
      </c>
      <c r="O771" s="44"/>
      <c r="P771" s="66"/>
      <c r="Q771" s="66"/>
      <c r="R771" s="66"/>
      <c r="S771" s="66"/>
      <c r="T771" s="138" t="str">
        <f>IFERROR(LOOKUP($S771,MOTORISTAS!$D$3:$D$1048576,MOTORISTAS!E$3:$E$1048576),"")</f>
        <v/>
      </c>
      <c r="U771" s="138" t="str">
        <f>IFERROR(LOOKUP($S771,MOTORISTAS!$D$3:$D$1048576,MOTORISTAS!F$3:$F$1048576),"")</f>
        <v/>
      </c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44"/>
      <c r="AG771" s="254">
        <f>Prog_236[[#This Row],[SAÍDA DO CLIENTE]]-Prog_236[[#This Row],[PROGRAMAÇÃO CLIENTE]]</f>
        <v>0</v>
      </c>
      <c r="AH771" s="44"/>
      <c r="AI771" s="66"/>
      <c r="AJ771" s="66"/>
      <c r="AK771" s="66"/>
      <c r="AL771" s="66"/>
      <c r="AM771" s="66"/>
      <c r="AN771" s="83"/>
      <c r="AO771" s="66"/>
      <c r="AP771" s="66"/>
      <c r="AQ771" s="66"/>
      <c r="AR771" s="81"/>
      <c r="AS771" s="81"/>
      <c r="AT771" s="81"/>
      <c r="AU771" s="81"/>
      <c r="AV771" s="83">
        <f>SUM(Prog_236[[#This Row],[ADIANTAMENTO]]+Prog_236[[#This Row],[SALDO]]+Prog_236[[#This Row],[MARGEM]]+Prog_236[[#This Row],[ESTADIA 1]])</f>
        <v>0</v>
      </c>
      <c r="AW7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1" s="81"/>
      <c r="AY771" s="81"/>
      <c r="AZ771" s="81">
        <f>Prog_236[[#This Row],[VLR NF]]*0.1%</f>
        <v>0</v>
      </c>
      <c r="BA771" s="81">
        <f>Prog_236[[#This Row],[VLR NF]]*0.05%</f>
        <v>0</v>
      </c>
      <c r="BB771" s="81"/>
      <c r="BC771" s="81"/>
      <c r="BD771" s="81"/>
      <c r="BE771" s="81"/>
      <c r="BF771" s="81"/>
      <c r="BG771" s="81"/>
      <c r="BH771" s="81"/>
      <c r="BI771" s="81"/>
      <c r="BJ771" s="81"/>
      <c r="BK771" s="81"/>
      <c r="BL771" s="66"/>
      <c r="BM771" s="66"/>
      <c r="BN771" s="66"/>
      <c r="BO771" s="66" t="str">
        <f>PROPER(TEXT(Prog_236[[#This Row],[PROGRAMAÇÃO CLIENTE]],"mmm"))</f>
        <v>Jan</v>
      </c>
      <c r="BP771" s="66">
        <f>YEAR(Prog_236[[#This Row],[PROGRAMAÇÃO CLIENTE]])</f>
        <v>1900</v>
      </c>
    </row>
    <row r="772" spans="1:68" x14ac:dyDescent="0.25">
      <c r="A772" s="201">
        <f>Prog_236[[#This Row],[CONTEINER]]</f>
        <v>0</v>
      </c>
      <c r="B772" s="86"/>
      <c r="C7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2" s="44"/>
      <c r="E772" s="66"/>
      <c r="F772" s="66"/>
      <c r="G772" s="66"/>
      <c r="H772" s="44"/>
      <c r="I772" s="44"/>
      <c r="J772" s="66"/>
      <c r="K772" s="66"/>
      <c r="L772" s="66"/>
      <c r="M772" s="66"/>
      <c r="N772" s="66">
        <f>SUM(Prog_236[[#This Row],[TARA]]+Prog_236[[#This Row],[PESO]])</f>
        <v>0</v>
      </c>
      <c r="O772" s="44"/>
      <c r="P772" s="66"/>
      <c r="Q772" s="66"/>
      <c r="R772" s="66"/>
      <c r="S772" s="66"/>
      <c r="T772" s="138" t="str">
        <f>IFERROR(LOOKUP($S772,MOTORISTAS!$D$3:$D$1048576,MOTORISTAS!E$3:$E$1048576),"")</f>
        <v/>
      </c>
      <c r="U772" s="138" t="str">
        <f>IFERROR(LOOKUP($S772,MOTORISTAS!$D$3:$D$1048576,MOTORISTAS!F$3:$F$1048576),"")</f>
        <v/>
      </c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44"/>
      <c r="AG772" s="254">
        <f>Prog_236[[#This Row],[SAÍDA DO CLIENTE]]-Prog_236[[#This Row],[PROGRAMAÇÃO CLIENTE]]</f>
        <v>0</v>
      </c>
      <c r="AH772" s="44"/>
      <c r="AI772" s="66"/>
      <c r="AJ772" s="66"/>
      <c r="AK772" s="66"/>
      <c r="AL772" s="66"/>
      <c r="AM772" s="66"/>
      <c r="AN772" s="83"/>
      <c r="AO772" s="66"/>
      <c r="AP772" s="66"/>
      <c r="AQ772" s="66"/>
      <c r="AR772" s="81"/>
      <c r="AS772" s="81"/>
      <c r="AT772" s="81"/>
      <c r="AU772" s="81"/>
      <c r="AV772" s="83">
        <f>SUM(Prog_236[[#This Row],[ADIANTAMENTO]]+Prog_236[[#This Row],[SALDO]]+Prog_236[[#This Row],[MARGEM]]+Prog_236[[#This Row],[ESTADIA 1]])</f>
        <v>0</v>
      </c>
      <c r="AW7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2" s="81"/>
      <c r="AY772" s="81"/>
      <c r="AZ772" s="81">
        <f>Prog_236[[#This Row],[VLR NF]]*0.1%</f>
        <v>0</v>
      </c>
      <c r="BA772" s="81">
        <f>Prog_236[[#This Row],[VLR NF]]*0.05%</f>
        <v>0</v>
      </c>
      <c r="BB772" s="81"/>
      <c r="BC772" s="81"/>
      <c r="BD772" s="81"/>
      <c r="BE772" s="81"/>
      <c r="BF772" s="81"/>
      <c r="BG772" s="81"/>
      <c r="BH772" s="81"/>
      <c r="BI772" s="81"/>
      <c r="BJ772" s="81"/>
      <c r="BK772" s="81"/>
      <c r="BL772" s="66"/>
      <c r="BM772" s="66"/>
      <c r="BN772" s="66"/>
      <c r="BO772" s="66" t="str">
        <f>PROPER(TEXT(Prog_236[[#This Row],[PROGRAMAÇÃO CLIENTE]],"mmm"))</f>
        <v>Jan</v>
      </c>
      <c r="BP772" s="66">
        <f>YEAR(Prog_236[[#This Row],[PROGRAMAÇÃO CLIENTE]])</f>
        <v>1900</v>
      </c>
    </row>
    <row r="773" spans="1:68" x14ac:dyDescent="0.25">
      <c r="A773" s="200">
        <f>Prog_236[[#This Row],[CONTEINER]]</f>
        <v>0</v>
      </c>
      <c r="B773" s="86"/>
      <c r="C7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3" s="44"/>
      <c r="E773" s="66"/>
      <c r="F773" s="66"/>
      <c r="G773" s="66"/>
      <c r="H773" s="44"/>
      <c r="I773" s="44"/>
      <c r="J773" s="66"/>
      <c r="K773" s="66"/>
      <c r="L773" s="66"/>
      <c r="M773" s="66"/>
      <c r="N773" s="66">
        <f>SUM(Prog_236[[#This Row],[TARA]]+Prog_236[[#This Row],[PESO]])</f>
        <v>0</v>
      </c>
      <c r="O773" s="44"/>
      <c r="P773" s="66"/>
      <c r="Q773" s="66"/>
      <c r="R773" s="66"/>
      <c r="S773" s="66"/>
      <c r="T773" s="138" t="str">
        <f>IFERROR(LOOKUP($S773,MOTORISTAS!$D$3:$D$1048576,MOTORISTAS!E$3:$E$1048576),"")</f>
        <v/>
      </c>
      <c r="U773" s="138" t="str">
        <f>IFERROR(LOOKUP($S773,MOTORISTAS!$D$3:$D$1048576,MOTORISTAS!F$3:$F$1048576),"")</f>
        <v/>
      </c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44"/>
      <c r="AG773" s="254">
        <f>Prog_236[[#This Row],[SAÍDA DO CLIENTE]]-Prog_236[[#This Row],[PROGRAMAÇÃO CLIENTE]]</f>
        <v>0</v>
      </c>
      <c r="AH773" s="44"/>
      <c r="AI773" s="66"/>
      <c r="AJ773" s="66"/>
      <c r="AK773" s="66"/>
      <c r="AL773" s="66"/>
      <c r="AM773" s="66"/>
      <c r="AN773" s="83"/>
      <c r="AO773" s="66"/>
      <c r="AP773" s="66"/>
      <c r="AQ773" s="66"/>
      <c r="AR773" s="81"/>
      <c r="AS773" s="81"/>
      <c r="AT773" s="81"/>
      <c r="AU773" s="81"/>
      <c r="AV773" s="83">
        <f>SUM(Prog_236[[#This Row],[ADIANTAMENTO]]+Prog_236[[#This Row],[SALDO]]+Prog_236[[#This Row],[MARGEM]]+Prog_236[[#This Row],[ESTADIA 1]])</f>
        <v>0</v>
      </c>
      <c r="AW7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3" s="81"/>
      <c r="AY773" s="81"/>
      <c r="AZ773" s="81">
        <f>Prog_236[[#This Row],[VLR NF]]*0.1%</f>
        <v>0</v>
      </c>
      <c r="BA773" s="81">
        <f>Prog_236[[#This Row],[VLR NF]]*0.05%</f>
        <v>0</v>
      </c>
      <c r="BB773" s="81"/>
      <c r="BC773" s="81"/>
      <c r="BD773" s="81"/>
      <c r="BE773" s="81"/>
      <c r="BF773" s="81"/>
      <c r="BG773" s="81"/>
      <c r="BH773" s="81"/>
      <c r="BI773" s="81"/>
      <c r="BJ773" s="81"/>
      <c r="BK773" s="81"/>
      <c r="BL773" s="66"/>
      <c r="BM773" s="66"/>
      <c r="BN773" s="66"/>
      <c r="BO773" s="66" t="str">
        <f>PROPER(TEXT(Prog_236[[#This Row],[PROGRAMAÇÃO CLIENTE]],"mmm"))</f>
        <v>Jan</v>
      </c>
      <c r="BP773" s="66">
        <f>YEAR(Prog_236[[#This Row],[PROGRAMAÇÃO CLIENTE]])</f>
        <v>1900</v>
      </c>
    </row>
    <row r="774" spans="1:68" x14ac:dyDescent="0.25">
      <c r="A774" s="201">
        <f>Prog_236[[#This Row],[CONTEINER]]</f>
        <v>0</v>
      </c>
      <c r="B774" s="86"/>
      <c r="C7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4" s="44"/>
      <c r="E774" s="66"/>
      <c r="F774" s="66"/>
      <c r="G774" s="66"/>
      <c r="H774" s="44"/>
      <c r="I774" s="44"/>
      <c r="J774" s="66"/>
      <c r="K774" s="66"/>
      <c r="L774" s="66"/>
      <c r="M774" s="66"/>
      <c r="N774" s="66">
        <f>SUM(Prog_236[[#This Row],[TARA]]+Prog_236[[#This Row],[PESO]])</f>
        <v>0</v>
      </c>
      <c r="O774" s="44"/>
      <c r="P774" s="66"/>
      <c r="Q774" s="66"/>
      <c r="R774" s="66"/>
      <c r="S774" s="66"/>
      <c r="T774" s="138" t="str">
        <f>IFERROR(LOOKUP($S774,MOTORISTAS!$D$3:$D$1048576,MOTORISTAS!E$3:$E$1048576),"")</f>
        <v/>
      </c>
      <c r="U774" s="138" t="str">
        <f>IFERROR(LOOKUP($S774,MOTORISTAS!$D$3:$D$1048576,MOTORISTAS!F$3:$F$1048576),"")</f>
        <v/>
      </c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44"/>
      <c r="AG774" s="254">
        <f>Prog_236[[#This Row],[SAÍDA DO CLIENTE]]-Prog_236[[#This Row],[PROGRAMAÇÃO CLIENTE]]</f>
        <v>0</v>
      </c>
      <c r="AH774" s="44"/>
      <c r="AI774" s="66"/>
      <c r="AJ774" s="66"/>
      <c r="AK774" s="66"/>
      <c r="AL774" s="66"/>
      <c r="AM774" s="66"/>
      <c r="AN774" s="83"/>
      <c r="AO774" s="66"/>
      <c r="AP774" s="66"/>
      <c r="AQ774" s="66"/>
      <c r="AR774" s="81"/>
      <c r="AS774" s="81"/>
      <c r="AT774" s="81"/>
      <c r="AU774" s="81"/>
      <c r="AV774" s="83">
        <f>SUM(Prog_236[[#This Row],[ADIANTAMENTO]]+Prog_236[[#This Row],[SALDO]]+Prog_236[[#This Row],[MARGEM]]+Prog_236[[#This Row],[ESTADIA 1]])</f>
        <v>0</v>
      </c>
      <c r="AW7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4" s="81"/>
      <c r="AY774" s="81"/>
      <c r="AZ774" s="81">
        <f>Prog_236[[#This Row],[VLR NF]]*0.1%</f>
        <v>0</v>
      </c>
      <c r="BA774" s="81">
        <f>Prog_236[[#This Row],[VLR NF]]*0.05%</f>
        <v>0</v>
      </c>
      <c r="BB774" s="81"/>
      <c r="BC774" s="81"/>
      <c r="BD774" s="81"/>
      <c r="BE774" s="81"/>
      <c r="BF774" s="81"/>
      <c r="BG774" s="81"/>
      <c r="BH774" s="81"/>
      <c r="BI774" s="81"/>
      <c r="BJ774" s="81"/>
      <c r="BK774" s="81"/>
      <c r="BL774" s="66"/>
      <c r="BM774" s="66"/>
      <c r="BN774" s="66"/>
      <c r="BO774" s="66" t="str">
        <f>PROPER(TEXT(Prog_236[[#This Row],[PROGRAMAÇÃO CLIENTE]],"mmm"))</f>
        <v>Jan</v>
      </c>
      <c r="BP774" s="66">
        <f>YEAR(Prog_236[[#This Row],[PROGRAMAÇÃO CLIENTE]])</f>
        <v>1900</v>
      </c>
    </row>
    <row r="775" spans="1:68" x14ac:dyDescent="0.25">
      <c r="A775" s="200">
        <f>Prog_236[[#This Row],[CONTEINER]]</f>
        <v>0</v>
      </c>
      <c r="B775" s="86"/>
      <c r="C7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5" s="44"/>
      <c r="E775" s="66"/>
      <c r="F775" s="66"/>
      <c r="G775" s="66"/>
      <c r="H775" s="44"/>
      <c r="I775" s="44"/>
      <c r="J775" s="66"/>
      <c r="K775" s="66"/>
      <c r="L775" s="66"/>
      <c r="M775" s="66"/>
      <c r="N775" s="66">
        <f>SUM(Prog_236[[#This Row],[TARA]]+Prog_236[[#This Row],[PESO]])</f>
        <v>0</v>
      </c>
      <c r="O775" s="44"/>
      <c r="P775" s="66"/>
      <c r="Q775" s="66"/>
      <c r="R775" s="66"/>
      <c r="S775" s="66"/>
      <c r="T775" s="138" t="str">
        <f>IFERROR(LOOKUP($S775,MOTORISTAS!$D$3:$D$1048576,MOTORISTAS!E$3:$E$1048576),"")</f>
        <v/>
      </c>
      <c r="U775" s="138" t="str">
        <f>IFERROR(LOOKUP($S775,MOTORISTAS!$D$3:$D$1048576,MOTORISTAS!F$3:$F$1048576),"")</f>
        <v/>
      </c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44"/>
      <c r="AG775" s="254">
        <f>Prog_236[[#This Row],[SAÍDA DO CLIENTE]]-Prog_236[[#This Row],[PROGRAMAÇÃO CLIENTE]]</f>
        <v>0</v>
      </c>
      <c r="AH775" s="44"/>
      <c r="AI775" s="66"/>
      <c r="AJ775" s="66"/>
      <c r="AK775" s="66"/>
      <c r="AL775" s="66"/>
      <c r="AM775" s="66"/>
      <c r="AN775" s="83"/>
      <c r="AO775" s="66"/>
      <c r="AP775" s="66"/>
      <c r="AQ775" s="66"/>
      <c r="AR775" s="81"/>
      <c r="AS775" s="81"/>
      <c r="AT775" s="81"/>
      <c r="AU775" s="81"/>
      <c r="AV775" s="83">
        <f>SUM(Prog_236[[#This Row],[ADIANTAMENTO]]+Prog_236[[#This Row],[SALDO]]+Prog_236[[#This Row],[MARGEM]]+Prog_236[[#This Row],[ESTADIA 1]])</f>
        <v>0</v>
      </c>
      <c r="AW7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5" s="81"/>
      <c r="AY775" s="81"/>
      <c r="AZ775" s="81">
        <f>Prog_236[[#This Row],[VLR NF]]*0.1%</f>
        <v>0</v>
      </c>
      <c r="BA775" s="81">
        <f>Prog_236[[#This Row],[VLR NF]]*0.05%</f>
        <v>0</v>
      </c>
      <c r="BB775" s="81"/>
      <c r="BC775" s="81"/>
      <c r="BD775" s="81"/>
      <c r="BE775" s="81"/>
      <c r="BF775" s="81"/>
      <c r="BG775" s="81"/>
      <c r="BH775" s="81"/>
      <c r="BI775" s="81"/>
      <c r="BJ775" s="81"/>
      <c r="BK775" s="81"/>
      <c r="BL775" s="66"/>
      <c r="BM775" s="66"/>
      <c r="BN775" s="66"/>
      <c r="BO775" s="66" t="str">
        <f>PROPER(TEXT(Prog_236[[#This Row],[PROGRAMAÇÃO CLIENTE]],"mmm"))</f>
        <v>Jan</v>
      </c>
      <c r="BP775" s="66">
        <f>YEAR(Prog_236[[#This Row],[PROGRAMAÇÃO CLIENTE]])</f>
        <v>1900</v>
      </c>
    </row>
    <row r="776" spans="1:68" x14ac:dyDescent="0.25">
      <c r="A776" s="201">
        <f>Prog_236[[#This Row],[CONTEINER]]</f>
        <v>0</v>
      </c>
      <c r="B776" s="86"/>
      <c r="C7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6" s="44"/>
      <c r="E776" s="66"/>
      <c r="F776" s="66"/>
      <c r="G776" s="66"/>
      <c r="H776" s="44"/>
      <c r="I776" s="44"/>
      <c r="J776" s="66"/>
      <c r="K776" s="66"/>
      <c r="L776" s="66"/>
      <c r="M776" s="66"/>
      <c r="N776" s="66">
        <f>SUM(Prog_236[[#This Row],[TARA]]+Prog_236[[#This Row],[PESO]])</f>
        <v>0</v>
      </c>
      <c r="O776" s="44"/>
      <c r="P776" s="66"/>
      <c r="Q776" s="66"/>
      <c r="R776" s="66"/>
      <c r="S776" s="66"/>
      <c r="T776" s="138" t="str">
        <f>IFERROR(LOOKUP($S776,MOTORISTAS!$D$3:$D$1048576,MOTORISTAS!E$3:$E$1048576),"")</f>
        <v/>
      </c>
      <c r="U776" s="138" t="str">
        <f>IFERROR(LOOKUP($S776,MOTORISTAS!$D$3:$D$1048576,MOTORISTAS!F$3:$F$1048576),"")</f>
        <v/>
      </c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44"/>
      <c r="AG776" s="254">
        <f>Prog_236[[#This Row],[SAÍDA DO CLIENTE]]-Prog_236[[#This Row],[PROGRAMAÇÃO CLIENTE]]</f>
        <v>0</v>
      </c>
      <c r="AH776" s="44"/>
      <c r="AI776" s="66"/>
      <c r="AJ776" s="66"/>
      <c r="AK776" s="66"/>
      <c r="AL776" s="66"/>
      <c r="AM776" s="66"/>
      <c r="AN776" s="83"/>
      <c r="AO776" s="66"/>
      <c r="AP776" s="66"/>
      <c r="AQ776" s="66"/>
      <c r="AR776" s="81"/>
      <c r="AS776" s="81"/>
      <c r="AT776" s="81"/>
      <c r="AU776" s="81"/>
      <c r="AV776" s="83">
        <f>SUM(Prog_236[[#This Row],[ADIANTAMENTO]]+Prog_236[[#This Row],[SALDO]]+Prog_236[[#This Row],[MARGEM]]+Prog_236[[#This Row],[ESTADIA 1]])</f>
        <v>0</v>
      </c>
      <c r="AW7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6" s="81"/>
      <c r="AY776" s="81"/>
      <c r="AZ776" s="81">
        <f>Prog_236[[#This Row],[VLR NF]]*0.1%</f>
        <v>0</v>
      </c>
      <c r="BA776" s="81">
        <f>Prog_236[[#This Row],[VLR NF]]*0.05%</f>
        <v>0</v>
      </c>
      <c r="BB776" s="81"/>
      <c r="BC776" s="81"/>
      <c r="BD776" s="81"/>
      <c r="BE776" s="81"/>
      <c r="BF776" s="81"/>
      <c r="BG776" s="81"/>
      <c r="BH776" s="81"/>
      <c r="BI776" s="81"/>
      <c r="BJ776" s="81"/>
      <c r="BK776" s="81"/>
      <c r="BL776" s="66"/>
      <c r="BM776" s="66"/>
      <c r="BN776" s="66"/>
      <c r="BO776" s="66" t="str">
        <f>PROPER(TEXT(Prog_236[[#This Row],[PROGRAMAÇÃO CLIENTE]],"mmm"))</f>
        <v>Jan</v>
      </c>
      <c r="BP776" s="66">
        <f>YEAR(Prog_236[[#This Row],[PROGRAMAÇÃO CLIENTE]])</f>
        <v>1900</v>
      </c>
    </row>
    <row r="777" spans="1:68" x14ac:dyDescent="0.25">
      <c r="A777" s="200">
        <f>Prog_236[[#This Row],[CONTEINER]]</f>
        <v>0</v>
      </c>
      <c r="B777" s="86"/>
      <c r="C7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7" s="44"/>
      <c r="E777" s="66"/>
      <c r="F777" s="66"/>
      <c r="G777" s="66"/>
      <c r="H777" s="44"/>
      <c r="I777" s="44"/>
      <c r="J777" s="66"/>
      <c r="K777" s="66"/>
      <c r="L777" s="66"/>
      <c r="M777" s="66"/>
      <c r="N777" s="66">
        <f>SUM(Prog_236[[#This Row],[TARA]]+Prog_236[[#This Row],[PESO]])</f>
        <v>0</v>
      </c>
      <c r="O777" s="44"/>
      <c r="P777" s="66"/>
      <c r="Q777" s="66"/>
      <c r="R777" s="66"/>
      <c r="S777" s="66"/>
      <c r="T777" s="138" t="str">
        <f>IFERROR(LOOKUP($S777,MOTORISTAS!$D$3:$D$1048576,MOTORISTAS!E$3:$E$1048576),"")</f>
        <v/>
      </c>
      <c r="U777" s="138" t="str">
        <f>IFERROR(LOOKUP($S777,MOTORISTAS!$D$3:$D$1048576,MOTORISTAS!F$3:$F$1048576),"")</f>
        <v/>
      </c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44"/>
      <c r="AG777" s="254">
        <f>Prog_236[[#This Row],[SAÍDA DO CLIENTE]]-Prog_236[[#This Row],[PROGRAMAÇÃO CLIENTE]]</f>
        <v>0</v>
      </c>
      <c r="AH777" s="44"/>
      <c r="AI777" s="66"/>
      <c r="AJ777" s="66"/>
      <c r="AK777" s="66"/>
      <c r="AL777" s="66"/>
      <c r="AM777" s="66"/>
      <c r="AN777" s="83"/>
      <c r="AO777" s="66"/>
      <c r="AP777" s="66"/>
      <c r="AQ777" s="66"/>
      <c r="AR777" s="81"/>
      <c r="AS777" s="81"/>
      <c r="AT777" s="81"/>
      <c r="AU777" s="81"/>
      <c r="AV777" s="83">
        <f>SUM(Prog_236[[#This Row],[ADIANTAMENTO]]+Prog_236[[#This Row],[SALDO]]+Prog_236[[#This Row],[MARGEM]]+Prog_236[[#This Row],[ESTADIA 1]])</f>
        <v>0</v>
      </c>
      <c r="AW7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7" s="81"/>
      <c r="AY777" s="81"/>
      <c r="AZ777" s="81">
        <f>Prog_236[[#This Row],[VLR NF]]*0.1%</f>
        <v>0</v>
      </c>
      <c r="BA777" s="81">
        <f>Prog_236[[#This Row],[VLR NF]]*0.05%</f>
        <v>0</v>
      </c>
      <c r="BB777" s="81"/>
      <c r="BC777" s="81"/>
      <c r="BD777" s="81"/>
      <c r="BE777" s="81"/>
      <c r="BF777" s="81"/>
      <c r="BG777" s="81"/>
      <c r="BH777" s="81"/>
      <c r="BI777" s="81"/>
      <c r="BJ777" s="81"/>
      <c r="BK777" s="81"/>
      <c r="BL777" s="66"/>
      <c r="BM777" s="66"/>
      <c r="BN777" s="66"/>
      <c r="BO777" s="66" t="str">
        <f>PROPER(TEXT(Prog_236[[#This Row],[PROGRAMAÇÃO CLIENTE]],"mmm"))</f>
        <v>Jan</v>
      </c>
      <c r="BP777" s="66">
        <f>YEAR(Prog_236[[#This Row],[PROGRAMAÇÃO CLIENTE]])</f>
        <v>1900</v>
      </c>
    </row>
    <row r="778" spans="1:68" x14ac:dyDescent="0.25">
      <c r="A778" s="201">
        <f>Prog_236[[#This Row],[CONTEINER]]</f>
        <v>0</v>
      </c>
      <c r="B778" s="86"/>
      <c r="C7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8" s="44"/>
      <c r="E778" s="66"/>
      <c r="F778" s="66"/>
      <c r="G778" s="66"/>
      <c r="H778" s="44"/>
      <c r="I778" s="44"/>
      <c r="J778" s="66"/>
      <c r="K778" s="66"/>
      <c r="L778" s="66"/>
      <c r="M778" s="66"/>
      <c r="N778" s="66">
        <f>SUM(Prog_236[[#This Row],[TARA]]+Prog_236[[#This Row],[PESO]])</f>
        <v>0</v>
      </c>
      <c r="O778" s="44"/>
      <c r="P778" s="66"/>
      <c r="Q778" s="66"/>
      <c r="R778" s="66"/>
      <c r="S778" s="66"/>
      <c r="T778" s="138" t="str">
        <f>IFERROR(LOOKUP($S778,MOTORISTAS!$D$3:$D$1048576,MOTORISTAS!E$3:$E$1048576),"")</f>
        <v/>
      </c>
      <c r="U778" s="138" t="str">
        <f>IFERROR(LOOKUP($S778,MOTORISTAS!$D$3:$D$1048576,MOTORISTAS!F$3:$F$1048576),"")</f>
        <v/>
      </c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44"/>
      <c r="AG778" s="254">
        <f>Prog_236[[#This Row],[SAÍDA DO CLIENTE]]-Prog_236[[#This Row],[PROGRAMAÇÃO CLIENTE]]</f>
        <v>0</v>
      </c>
      <c r="AH778" s="44"/>
      <c r="AI778" s="66"/>
      <c r="AJ778" s="66"/>
      <c r="AK778" s="66"/>
      <c r="AL778" s="66"/>
      <c r="AM778" s="66"/>
      <c r="AN778" s="83"/>
      <c r="AO778" s="66"/>
      <c r="AP778" s="66"/>
      <c r="AQ778" s="66"/>
      <c r="AR778" s="81"/>
      <c r="AS778" s="81"/>
      <c r="AT778" s="81"/>
      <c r="AU778" s="81"/>
      <c r="AV778" s="83">
        <f>SUM(Prog_236[[#This Row],[ADIANTAMENTO]]+Prog_236[[#This Row],[SALDO]]+Prog_236[[#This Row],[MARGEM]]+Prog_236[[#This Row],[ESTADIA 1]])</f>
        <v>0</v>
      </c>
      <c r="AW7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8" s="81"/>
      <c r="AY778" s="81"/>
      <c r="AZ778" s="81">
        <f>Prog_236[[#This Row],[VLR NF]]*0.1%</f>
        <v>0</v>
      </c>
      <c r="BA778" s="81">
        <f>Prog_236[[#This Row],[VLR NF]]*0.05%</f>
        <v>0</v>
      </c>
      <c r="BB778" s="81"/>
      <c r="BC778" s="81"/>
      <c r="BD778" s="81"/>
      <c r="BE778" s="81"/>
      <c r="BF778" s="81"/>
      <c r="BG778" s="81"/>
      <c r="BH778" s="81"/>
      <c r="BI778" s="81"/>
      <c r="BJ778" s="81"/>
      <c r="BK778" s="81"/>
      <c r="BL778" s="66"/>
      <c r="BM778" s="66"/>
      <c r="BN778" s="66"/>
      <c r="BO778" s="66" t="str">
        <f>PROPER(TEXT(Prog_236[[#This Row],[PROGRAMAÇÃO CLIENTE]],"mmm"))</f>
        <v>Jan</v>
      </c>
      <c r="BP778" s="66">
        <f>YEAR(Prog_236[[#This Row],[PROGRAMAÇÃO CLIENTE]])</f>
        <v>1900</v>
      </c>
    </row>
    <row r="779" spans="1:68" x14ac:dyDescent="0.25">
      <c r="A779" s="200">
        <f>Prog_236[[#This Row],[CONTEINER]]</f>
        <v>0</v>
      </c>
      <c r="B779" s="86"/>
      <c r="C7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79" s="44"/>
      <c r="E779" s="66"/>
      <c r="F779" s="66"/>
      <c r="G779" s="66"/>
      <c r="H779" s="44"/>
      <c r="I779" s="44"/>
      <c r="J779" s="66"/>
      <c r="K779" s="66"/>
      <c r="L779" s="66"/>
      <c r="M779" s="66"/>
      <c r="N779" s="66">
        <f>SUM(Prog_236[[#This Row],[TARA]]+Prog_236[[#This Row],[PESO]])</f>
        <v>0</v>
      </c>
      <c r="O779" s="44"/>
      <c r="P779" s="66"/>
      <c r="Q779" s="66"/>
      <c r="R779" s="66"/>
      <c r="S779" s="66"/>
      <c r="T779" s="138" t="str">
        <f>IFERROR(LOOKUP($S779,MOTORISTAS!$D$3:$D$1048576,MOTORISTAS!E$3:$E$1048576),"")</f>
        <v/>
      </c>
      <c r="U779" s="138" t="str">
        <f>IFERROR(LOOKUP($S779,MOTORISTAS!$D$3:$D$1048576,MOTORISTAS!F$3:$F$1048576),"")</f>
        <v/>
      </c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44"/>
      <c r="AG779" s="254">
        <f>Prog_236[[#This Row],[SAÍDA DO CLIENTE]]-Prog_236[[#This Row],[PROGRAMAÇÃO CLIENTE]]</f>
        <v>0</v>
      </c>
      <c r="AH779" s="44"/>
      <c r="AI779" s="66"/>
      <c r="AJ779" s="66"/>
      <c r="AK779" s="66"/>
      <c r="AL779" s="66"/>
      <c r="AM779" s="66"/>
      <c r="AN779" s="83"/>
      <c r="AO779" s="66"/>
      <c r="AP779" s="66"/>
      <c r="AQ779" s="66"/>
      <c r="AR779" s="81"/>
      <c r="AS779" s="81"/>
      <c r="AT779" s="81"/>
      <c r="AU779" s="81"/>
      <c r="AV779" s="83">
        <f>SUM(Prog_236[[#This Row],[ADIANTAMENTO]]+Prog_236[[#This Row],[SALDO]]+Prog_236[[#This Row],[MARGEM]]+Prog_236[[#This Row],[ESTADIA 1]])</f>
        <v>0</v>
      </c>
      <c r="AW7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79" s="81"/>
      <c r="AY779" s="81"/>
      <c r="AZ779" s="81">
        <f>Prog_236[[#This Row],[VLR NF]]*0.1%</f>
        <v>0</v>
      </c>
      <c r="BA779" s="81">
        <f>Prog_236[[#This Row],[VLR NF]]*0.05%</f>
        <v>0</v>
      </c>
      <c r="BB779" s="81"/>
      <c r="BC779" s="81"/>
      <c r="BD779" s="81"/>
      <c r="BE779" s="81"/>
      <c r="BF779" s="81"/>
      <c r="BG779" s="81"/>
      <c r="BH779" s="81"/>
      <c r="BI779" s="81"/>
      <c r="BJ779" s="81"/>
      <c r="BK779" s="81"/>
      <c r="BL779" s="66"/>
      <c r="BM779" s="66"/>
      <c r="BN779" s="66"/>
      <c r="BO779" s="66" t="str">
        <f>PROPER(TEXT(Prog_236[[#This Row],[PROGRAMAÇÃO CLIENTE]],"mmm"))</f>
        <v>Jan</v>
      </c>
      <c r="BP779" s="66">
        <f>YEAR(Prog_236[[#This Row],[PROGRAMAÇÃO CLIENTE]])</f>
        <v>1900</v>
      </c>
    </row>
    <row r="780" spans="1:68" x14ac:dyDescent="0.25">
      <c r="A780" s="201">
        <f>Prog_236[[#This Row],[CONTEINER]]</f>
        <v>0</v>
      </c>
      <c r="B780" s="86"/>
      <c r="C7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0" s="44"/>
      <c r="E780" s="66"/>
      <c r="F780" s="66"/>
      <c r="G780" s="66"/>
      <c r="H780" s="44"/>
      <c r="I780" s="44"/>
      <c r="J780" s="66"/>
      <c r="K780" s="66"/>
      <c r="L780" s="66"/>
      <c r="M780" s="66"/>
      <c r="N780" s="66">
        <f>SUM(Prog_236[[#This Row],[TARA]]+Prog_236[[#This Row],[PESO]])</f>
        <v>0</v>
      </c>
      <c r="O780" s="44"/>
      <c r="P780" s="66"/>
      <c r="Q780" s="66"/>
      <c r="R780" s="66"/>
      <c r="S780" s="66"/>
      <c r="T780" s="138" t="str">
        <f>IFERROR(LOOKUP($S780,MOTORISTAS!$D$3:$D$1048576,MOTORISTAS!E$3:$E$1048576),"")</f>
        <v/>
      </c>
      <c r="U780" s="138" t="str">
        <f>IFERROR(LOOKUP($S780,MOTORISTAS!$D$3:$D$1048576,MOTORISTAS!F$3:$F$1048576),"")</f>
        <v/>
      </c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44"/>
      <c r="AG780" s="254">
        <f>Prog_236[[#This Row],[SAÍDA DO CLIENTE]]-Prog_236[[#This Row],[PROGRAMAÇÃO CLIENTE]]</f>
        <v>0</v>
      </c>
      <c r="AH780" s="44"/>
      <c r="AI780" s="66"/>
      <c r="AJ780" s="66"/>
      <c r="AK780" s="66"/>
      <c r="AL780" s="66"/>
      <c r="AM780" s="66"/>
      <c r="AN780" s="83"/>
      <c r="AO780" s="66"/>
      <c r="AP780" s="66"/>
      <c r="AQ780" s="66"/>
      <c r="AR780" s="81"/>
      <c r="AS780" s="81"/>
      <c r="AT780" s="81"/>
      <c r="AU780" s="81"/>
      <c r="AV780" s="83">
        <f>SUM(Prog_236[[#This Row],[ADIANTAMENTO]]+Prog_236[[#This Row],[SALDO]]+Prog_236[[#This Row],[MARGEM]]+Prog_236[[#This Row],[ESTADIA 1]])</f>
        <v>0</v>
      </c>
      <c r="AW7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0" s="81"/>
      <c r="AY780" s="81"/>
      <c r="AZ780" s="81">
        <f>Prog_236[[#This Row],[VLR NF]]*0.1%</f>
        <v>0</v>
      </c>
      <c r="BA780" s="81">
        <f>Prog_236[[#This Row],[VLR NF]]*0.05%</f>
        <v>0</v>
      </c>
      <c r="BB780" s="81"/>
      <c r="BC780" s="81"/>
      <c r="BD780" s="81"/>
      <c r="BE780" s="81"/>
      <c r="BF780" s="81"/>
      <c r="BG780" s="81"/>
      <c r="BH780" s="81"/>
      <c r="BI780" s="81"/>
      <c r="BJ780" s="81"/>
      <c r="BK780" s="81"/>
      <c r="BL780" s="66"/>
      <c r="BM780" s="66"/>
      <c r="BN780" s="66"/>
      <c r="BO780" s="66" t="str">
        <f>PROPER(TEXT(Prog_236[[#This Row],[PROGRAMAÇÃO CLIENTE]],"mmm"))</f>
        <v>Jan</v>
      </c>
      <c r="BP780" s="66">
        <f>YEAR(Prog_236[[#This Row],[PROGRAMAÇÃO CLIENTE]])</f>
        <v>1900</v>
      </c>
    </row>
    <row r="781" spans="1:68" x14ac:dyDescent="0.25">
      <c r="A781" s="200">
        <f>Prog_236[[#This Row],[CONTEINER]]</f>
        <v>0</v>
      </c>
      <c r="B781" s="86"/>
      <c r="C7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1" s="44"/>
      <c r="E781" s="66"/>
      <c r="F781" s="66"/>
      <c r="G781" s="66"/>
      <c r="H781" s="44"/>
      <c r="I781" s="44"/>
      <c r="J781" s="66"/>
      <c r="K781" s="66"/>
      <c r="L781" s="66"/>
      <c r="M781" s="66"/>
      <c r="N781" s="66">
        <f>SUM(Prog_236[[#This Row],[TARA]]+Prog_236[[#This Row],[PESO]])</f>
        <v>0</v>
      </c>
      <c r="O781" s="44"/>
      <c r="P781" s="66"/>
      <c r="Q781" s="66"/>
      <c r="R781" s="66"/>
      <c r="S781" s="66"/>
      <c r="T781" s="138" t="str">
        <f>IFERROR(LOOKUP($S781,MOTORISTAS!$D$3:$D$1048576,MOTORISTAS!E$3:$E$1048576),"")</f>
        <v/>
      </c>
      <c r="U781" s="138" t="str">
        <f>IFERROR(LOOKUP($S781,MOTORISTAS!$D$3:$D$1048576,MOTORISTAS!F$3:$F$1048576),"")</f>
        <v/>
      </c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44"/>
      <c r="AG781" s="254">
        <f>Prog_236[[#This Row],[SAÍDA DO CLIENTE]]-Prog_236[[#This Row],[PROGRAMAÇÃO CLIENTE]]</f>
        <v>0</v>
      </c>
      <c r="AH781" s="44"/>
      <c r="AI781" s="66"/>
      <c r="AJ781" s="66"/>
      <c r="AK781" s="66"/>
      <c r="AL781" s="66"/>
      <c r="AM781" s="66"/>
      <c r="AN781" s="83"/>
      <c r="AO781" s="66"/>
      <c r="AP781" s="66"/>
      <c r="AQ781" s="66"/>
      <c r="AR781" s="81"/>
      <c r="AS781" s="81"/>
      <c r="AT781" s="81"/>
      <c r="AU781" s="81"/>
      <c r="AV781" s="83">
        <f>SUM(Prog_236[[#This Row],[ADIANTAMENTO]]+Prog_236[[#This Row],[SALDO]]+Prog_236[[#This Row],[MARGEM]]+Prog_236[[#This Row],[ESTADIA 1]])</f>
        <v>0</v>
      </c>
      <c r="AW7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1" s="81"/>
      <c r="AY781" s="81"/>
      <c r="AZ781" s="81">
        <f>Prog_236[[#This Row],[VLR NF]]*0.1%</f>
        <v>0</v>
      </c>
      <c r="BA781" s="81">
        <f>Prog_236[[#This Row],[VLR NF]]*0.05%</f>
        <v>0</v>
      </c>
      <c r="BB781" s="81"/>
      <c r="BC781" s="81"/>
      <c r="BD781" s="81"/>
      <c r="BE781" s="81"/>
      <c r="BF781" s="81"/>
      <c r="BG781" s="81"/>
      <c r="BH781" s="81"/>
      <c r="BI781" s="81"/>
      <c r="BJ781" s="81"/>
      <c r="BK781" s="81"/>
      <c r="BL781" s="66"/>
      <c r="BM781" s="66"/>
      <c r="BN781" s="66"/>
      <c r="BO781" s="66" t="str">
        <f>PROPER(TEXT(Prog_236[[#This Row],[PROGRAMAÇÃO CLIENTE]],"mmm"))</f>
        <v>Jan</v>
      </c>
      <c r="BP781" s="66">
        <f>YEAR(Prog_236[[#This Row],[PROGRAMAÇÃO CLIENTE]])</f>
        <v>1900</v>
      </c>
    </row>
    <row r="782" spans="1:68" x14ac:dyDescent="0.25">
      <c r="A782" s="201">
        <f>Prog_236[[#This Row],[CONTEINER]]</f>
        <v>0</v>
      </c>
      <c r="B782" s="86"/>
      <c r="C7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2" s="44"/>
      <c r="E782" s="66"/>
      <c r="F782" s="66"/>
      <c r="G782" s="66"/>
      <c r="H782" s="44"/>
      <c r="I782" s="44"/>
      <c r="J782" s="66"/>
      <c r="K782" s="66"/>
      <c r="L782" s="66"/>
      <c r="M782" s="66"/>
      <c r="N782" s="66">
        <f>SUM(Prog_236[[#This Row],[TARA]]+Prog_236[[#This Row],[PESO]])</f>
        <v>0</v>
      </c>
      <c r="O782" s="44"/>
      <c r="P782" s="66"/>
      <c r="Q782" s="66"/>
      <c r="R782" s="66"/>
      <c r="S782" s="66"/>
      <c r="T782" s="138" t="str">
        <f>IFERROR(LOOKUP($S782,MOTORISTAS!$D$3:$D$1048576,MOTORISTAS!E$3:$E$1048576),"")</f>
        <v/>
      </c>
      <c r="U782" s="138" t="str">
        <f>IFERROR(LOOKUP($S782,MOTORISTAS!$D$3:$D$1048576,MOTORISTAS!F$3:$F$1048576),"")</f>
        <v/>
      </c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44"/>
      <c r="AG782" s="254">
        <f>Prog_236[[#This Row],[SAÍDA DO CLIENTE]]-Prog_236[[#This Row],[PROGRAMAÇÃO CLIENTE]]</f>
        <v>0</v>
      </c>
      <c r="AH782" s="44"/>
      <c r="AI782" s="66"/>
      <c r="AJ782" s="66"/>
      <c r="AK782" s="66"/>
      <c r="AL782" s="66"/>
      <c r="AM782" s="66"/>
      <c r="AN782" s="83"/>
      <c r="AO782" s="66"/>
      <c r="AP782" s="66"/>
      <c r="AQ782" s="66"/>
      <c r="AR782" s="81"/>
      <c r="AS782" s="81"/>
      <c r="AT782" s="81"/>
      <c r="AU782" s="81"/>
      <c r="AV782" s="83">
        <f>SUM(Prog_236[[#This Row],[ADIANTAMENTO]]+Prog_236[[#This Row],[SALDO]]+Prog_236[[#This Row],[MARGEM]]+Prog_236[[#This Row],[ESTADIA 1]])</f>
        <v>0</v>
      </c>
      <c r="AW7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2" s="81"/>
      <c r="AY782" s="81"/>
      <c r="AZ782" s="81">
        <f>Prog_236[[#This Row],[VLR NF]]*0.1%</f>
        <v>0</v>
      </c>
      <c r="BA782" s="81">
        <f>Prog_236[[#This Row],[VLR NF]]*0.05%</f>
        <v>0</v>
      </c>
      <c r="BB782" s="81"/>
      <c r="BC782" s="81"/>
      <c r="BD782" s="81"/>
      <c r="BE782" s="81"/>
      <c r="BF782" s="81"/>
      <c r="BG782" s="81"/>
      <c r="BH782" s="81"/>
      <c r="BI782" s="81"/>
      <c r="BJ782" s="81"/>
      <c r="BK782" s="81"/>
      <c r="BL782" s="66"/>
      <c r="BM782" s="66"/>
      <c r="BN782" s="66"/>
      <c r="BO782" s="66" t="str">
        <f>PROPER(TEXT(Prog_236[[#This Row],[PROGRAMAÇÃO CLIENTE]],"mmm"))</f>
        <v>Jan</v>
      </c>
      <c r="BP782" s="66">
        <f>YEAR(Prog_236[[#This Row],[PROGRAMAÇÃO CLIENTE]])</f>
        <v>1900</v>
      </c>
    </row>
    <row r="783" spans="1:68" x14ac:dyDescent="0.25">
      <c r="A783" s="200">
        <f>Prog_236[[#This Row],[CONTEINER]]</f>
        <v>0</v>
      </c>
      <c r="B783" s="86"/>
      <c r="C7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3" s="44"/>
      <c r="E783" s="66"/>
      <c r="F783" s="66"/>
      <c r="G783" s="66"/>
      <c r="H783" s="44"/>
      <c r="I783" s="44"/>
      <c r="J783" s="66"/>
      <c r="K783" s="66"/>
      <c r="L783" s="66"/>
      <c r="M783" s="66"/>
      <c r="N783" s="66">
        <f>SUM(Prog_236[[#This Row],[TARA]]+Prog_236[[#This Row],[PESO]])</f>
        <v>0</v>
      </c>
      <c r="O783" s="44"/>
      <c r="P783" s="66"/>
      <c r="Q783" s="66"/>
      <c r="R783" s="66"/>
      <c r="S783" s="66"/>
      <c r="T783" s="138" t="str">
        <f>IFERROR(LOOKUP($S783,MOTORISTAS!$D$3:$D$1048576,MOTORISTAS!E$3:$E$1048576),"")</f>
        <v/>
      </c>
      <c r="U783" s="138" t="str">
        <f>IFERROR(LOOKUP($S783,MOTORISTAS!$D$3:$D$1048576,MOTORISTAS!F$3:$F$1048576),"")</f>
        <v/>
      </c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44"/>
      <c r="AG783" s="254">
        <f>Prog_236[[#This Row],[SAÍDA DO CLIENTE]]-Prog_236[[#This Row],[PROGRAMAÇÃO CLIENTE]]</f>
        <v>0</v>
      </c>
      <c r="AH783" s="44"/>
      <c r="AI783" s="66"/>
      <c r="AJ783" s="66"/>
      <c r="AK783" s="66"/>
      <c r="AL783" s="66"/>
      <c r="AM783" s="66"/>
      <c r="AN783" s="83"/>
      <c r="AO783" s="66"/>
      <c r="AP783" s="66"/>
      <c r="AQ783" s="66"/>
      <c r="AR783" s="81"/>
      <c r="AS783" s="81"/>
      <c r="AT783" s="81"/>
      <c r="AU783" s="81"/>
      <c r="AV783" s="83">
        <f>SUM(Prog_236[[#This Row],[ADIANTAMENTO]]+Prog_236[[#This Row],[SALDO]]+Prog_236[[#This Row],[MARGEM]]+Prog_236[[#This Row],[ESTADIA 1]])</f>
        <v>0</v>
      </c>
      <c r="AW7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3" s="81"/>
      <c r="AY783" s="81"/>
      <c r="AZ783" s="81">
        <f>Prog_236[[#This Row],[VLR NF]]*0.1%</f>
        <v>0</v>
      </c>
      <c r="BA783" s="81">
        <f>Prog_236[[#This Row],[VLR NF]]*0.05%</f>
        <v>0</v>
      </c>
      <c r="BB783" s="81"/>
      <c r="BC783" s="81"/>
      <c r="BD783" s="81"/>
      <c r="BE783" s="81"/>
      <c r="BF783" s="81"/>
      <c r="BG783" s="81"/>
      <c r="BH783" s="81"/>
      <c r="BI783" s="81"/>
      <c r="BJ783" s="81"/>
      <c r="BK783" s="81"/>
      <c r="BL783" s="66"/>
      <c r="BM783" s="66"/>
      <c r="BN783" s="66"/>
      <c r="BO783" s="66" t="str">
        <f>PROPER(TEXT(Prog_236[[#This Row],[PROGRAMAÇÃO CLIENTE]],"mmm"))</f>
        <v>Jan</v>
      </c>
      <c r="BP783" s="66">
        <f>YEAR(Prog_236[[#This Row],[PROGRAMAÇÃO CLIENTE]])</f>
        <v>1900</v>
      </c>
    </row>
    <row r="784" spans="1:68" x14ac:dyDescent="0.25">
      <c r="A784" s="201">
        <f>Prog_236[[#This Row],[CONTEINER]]</f>
        <v>0</v>
      </c>
      <c r="B784" s="86"/>
      <c r="C7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4" s="44"/>
      <c r="E784" s="66"/>
      <c r="F784" s="66"/>
      <c r="G784" s="66"/>
      <c r="H784" s="44"/>
      <c r="I784" s="44"/>
      <c r="J784" s="66"/>
      <c r="K784" s="66"/>
      <c r="L784" s="66"/>
      <c r="M784" s="66"/>
      <c r="N784" s="66">
        <f>SUM(Prog_236[[#This Row],[TARA]]+Prog_236[[#This Row],[PESO]])</f>
        <v>0</v>
      </c>
      <c r="O784" s="44"/>
      <c r="P784" s="66"/>
      <c r="Q784" s="66"/>
      <c r="R784" s="66"/>
      <c r="S784" s="66"/>
      <c r="T784" s="138" t="str">
        <f>IFERROR(LOOKUP($S784,MOTORISTAS!$D$3:$D$1048576,MOTORISTAS!E$3:$E$1048576),"")</f>
        <v/>
      </c>
      <c r="U784" s="138" t="str">
        <f>IFERROR(LOOKUP($S784,MOTORISTAS!$D$3:$D$1048576,MOTORISTAS!F$3:$F$1048576),"")</f>
        <v/>
      </c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44"/>
      <c r="AG784" s="254">
        <f>Prog_236[[#This Row],[SAÍDA DO CLIENTE]]-Prog_236[[#This Row],[PROGRAMAÇÃO CLIENTE]]</f>
        <v>0</v>
      </c>
      <c r="AH784" s="44"/>
      <c r="AI784" s="66"/>
      <c r="AJ784" s="66"/>
      <c r="AK784" s="66"/>
      <c r="AL784" s="66"/>
      <c r="AM784" s="66"/>
      <c r="AN784" s="83"/>
      <c r="AO784" s="66"/>
      <c r="AP784" s="66"/>
      <c r="AQ784" s="66"/>
      <c r="AR784" s="81"/>
      <c r="AS784" s="81"/>
      <c r="AT784" s="81"/>
      <c r="AU784" s="81"/>
      <c r="AV784" s="83">
        <f>SUM(Prog_236[[#This Row],[ADIANTAMENTO]]+Prog_236[[#This Row],[SALDO]]+Prog_236[[#This Row],[MARGEM]]+Prog_236[[#This Row],[ESTADIA 1]])</f>
        <v>0</v>
      </c>
      <c r="AW7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4" s="81"/>
      <c r="AY784" s="81"/>
      <c r="AZ784" s="81">
        <f>Prog_236[[#This Row],[VLR NF]]*0.1%</f>
        <v>0</v>
      </c>
      <c r="BA784" s="81">
        <f>Prog_236[[#This Row],[VLR NF]]*0.05%</f>
        <v>0</v>
      </c>
      <c r="BB784" s="81"/>
      <c r="BC784" s="81"/>
      <c r="BD784" s="81"/>
      <c r="BE784" s="81"/>
      <c r="BF784" s="81"/>
      <c r="BG784" s="81"/>
      <c r="BH784" s="81"/>
      <c r="BI784" s="81"/>
      <c r="BJ784" s="81"/>
      <c r="BK784" s="81"/>
      <c r="BL784" s="66"/>
      <c r="BM784" s="66"/>
      <c r="BN784" s="66"/>
      <c r="BO784" s="66" t="str">
        <f>PROPER(TEXT(Prog_236[[#This Row],[PROGRAMAÇÃO CLIENTE]],"mmm"))</f>
        <v>Jan</v>
      </c>
      <c r="BP784" s="66">
        <f>YEAR(Prog_236[[#This Row],[PROGRAMAÇÃO CLIENTE]])</f>
        <v>1900</v>
      </c>
    </row>
    <row r="785" spans="1:68" x14ac:dyDescent="0.25">
      <c r="A785" s="200">
        <f>Prog_236[[#This Row],[CONTEINER]]</f>
        <v>0</v>
      </c>
      <c r="B785" s="86"/>
      <c r="C7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5" s="44"/>
      <c r="E785" s="66"/>
      <c r="F785" s="66"/>
      <c r="G785" s="66"/>
      <c r="H785" s="44"/>
      <c r="I785" s="44"/>
      <c r="J785" s="66"/>
      <c r="K785" s="66"/>
      <c r="L785" s="66"/>
      <c r="M785" s="66"/>
      <c r="N785" s="66">
        <f>SUM(Prog_236[[#This Row],[TARA]]+Prog_236[[#This Row],[PESO]])</f>
        <v>0</v>
      </c>
      <c r="O785" s="44"/>
      <c r="P785" s="66"/>
      <c r="Q785" s="66"/>
      <c r="R785" s="66"/>
      <c r="S785" s="66"/>
      <c r="T785" s="138" t="str">
        <f>IFERROR(LOOKUP($S785,MOTORISTAS!$D$3:$D$1048576,MOTORISTAS!E$3:$E$1048576),"")</f>
        <v/>
      </c>
      <c r="U785" s="138" t="str">
        <f>IFERROR(LOOKUP($S785,MOTORISTAS!$D$3:$D$1048576,MOTORISTAS!F$3:$F$1048576),"")</f>
        <v/>
      </c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44"/>
      <c r="AG785" s="254">
        <f>Prog_236[[#This Row],[SAÍDA DO CLIENTE]]-Prog_236[[#This Row],[PROGRAMAÇÃO CLIENTE]]</f>
        <v>0</v>
      </c>
      <c r="AH785" s="44"/>
      <c r="AI785" s="66"/>
      <c r="AJ785" s="66"/>
      <c r="AK785" s="66"/>
      <c r="AL785" s="66"/>
      <c r="AM785" s="66"/>
      <c r="AN785" s="83"/>
      <c r="AO785" s="66"/>
      <c r="AP785" s="66"/>
      <c r="AQ785" s="66"/>
      <c r="AR785" s="81"/>
      <c r="AS785" s="81"/>
      <c r="AT785" s="81"/>
      <c r="AU785" s="81"/>
      <c r="AV785" s="83">
        <f>SUM(Prog_236[[#This Row],[ADIANTAMENTO]]+Prog_236[[#This Row],[SALDO]]+Prog_236[[#This Row],[MARGEM]]+Prog_236[[#This Row],[ESTADIA 1]])</f>
        <v>0</v>
      </c>
      <c r="AW7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5" s="81"/>
      <c r="AY785" s="81"/>
      <c r="AZ785" s="81">
        <f>Prog_236[[#This Row],[VLR NF]]*0.1%</f>
        <v>0</v>
      </c>
      <c r="BA785" s="81">
        <f>Prog_236[[#This Row],[VLR NF]]*0.05%</f>
        <v>0</v>
      </c>
      <c r="BB785" s="81"/>
      <c r="BC785" s="81"/>
      <c r="BD785" s="81"/>
      <c r="BE785" s="81"/>
      <c r="BF785" s="81"/>
      <c r="BG785" s="81"/>
      <c r="BH785" s="81"/>
      <c r="BI785" s="81"/>
      <c r="BJ785" s="81"/>
      <c r="BK785" s="81"/>
      <c r="BL785" s="66"/>
      <c r="BM785" s="66"/>
      <c r="BN785" s="66"/>
      <c r="BO785" s="66" t="str">
        <f>PROPER(TEXT(Prog_236[[#This Row],[PROGRAMAÇÃO CLIENTE]],"mmm"))</f>
        <v>Jan</v>
      </c>
      <c r="BP785" s="66">
        <f>YEAR(Prog_236[[#This Row],[PROGRAMAÇÃO CLIENTE]])</f>
        <v>1900</v>
      </c>
    </row>
    <row r="786" spans="1:68" x14ac:dyDescent="0.25">
      <c r="A786" s="201">
        <f>Prog_236[[#This Row],[CONTEINER]]</f>
        <v>0</v>
      </c>
      <c r="B786" s="86"/>
      <c r="C7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6" s="44"/>
      <c r="E786" s="66"/>
      <c r="F786" s="66"/>
      <c r="G786" s="66"/>
      <c r="H786" s="44"/>
      <c r="I786" s="44"/>
      <c r="J786" s="66"/>
      <c r="K786" s="66"/>
      <c r="L786" s="66"/>
      <c r="M786" s="66"/>
      <c r="N786" s="66">
        <f>SUM(Prog_236[[#This Row],[TARA]]+Prog_236[[#This Row],[PESO]])</f>
        <v>0</v>
      </c>
      <c r="O786" s="44"/>
      <c r="P786" s="66"/>
      <c r="Q786" s="66"/>
      <c r="R786" s="66"/>
      <c r="S786" s="66"/>
      <c r="T786" s="138" t="str">
        <f>IFERROR(LOOKUP($S786,MOTORISTAS!$D$3:$D$1048576,MOTORISTAS!E$3:$E$1048576),"")</f>
        <v/>
      </c>
      <c r="U786" s="138" t="str">
        <f>IFERROR(LOOKUP($S786,MOTORISTAS!$D$3:$D$1048576,MOTORISTAS!F$3:$F$1048576),"")</f>
        <v/>
      </c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44"/>
      <c r="AG786" s="254">
        <f>Prog_236[[#This Row],[SAÍDA DO CLIENTE]]-Prog_236[[#This Row],[PROGRAMAÇÃO CLIENTE]]</f>
        <v>0</v>
      </c>
      <c r="AH786" s="44"/>
      <c r="AI786" s="66"/>
      <c r="AJ786" s="66"/>
      <c r="AK786" s="66"/>
      <c r="AL786" s="66"/>
      <c r="AM786" s="66"/>
      <c r="AN786" s="83"/>
      <c r="AO786" s="66"/>
      <c r="AP786" s="66"/>
      <c r="AQ786" s="66"/>
      <c r="AR786" s="81"/>
      <c r="AS786" s="81"/>
      <c r="AT786" s="81"/>
      <c r="AU786" s="81"/>
      <c r="AV786" s="83">
        <f>SUM(Prog_236[[#This Row],[ADIANTAMENTO]]+Prog_236[[#This Row],[SALDO]]+Prog_236[[#This Row],[MARGEM]]+Prog_236[[#This Row],[ESTADIA 1]])</f>
        <v>0</v>
      </c>
      <c r="AW7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6" s="81"/>
      <c r="AY786" s="81"/>
      <c r="AZ786" s="81">
        <f>Prog_236[[#This Row],[VLR NF]]*0.1%</f>
        <v>0</v>
      </c>
      <c r="BA786" s="81">
        <f>Prog_236[[#This Row],[VLR NF]]*0.05%</f>
        <v>0</v>
      </c>
      <c r="BB786" s="81"/>
      <c r="BC786" s="81"/>
      <c r="BD786" s="81"/>
      <c r="BE786" s="81"/>
      <c r="BF786" s="81"/>
      <c r="BG786" s="81"/>
      <c r="BH786" s="81"/>
      <c r="BI786" s="81"/>
      <c r="BJ786" s="81"/>
      <c r="BK786" s="81"/>
      <c r="BL786" s="66"/>
      <c r="BM786" s="66"/>
      <c r="BN786" s="66"/>
      <c r="BO786" s="66" t="str">
        <f>PROPER(TEXT(Prog_236[[#This Row],[PROGRAMAÇÃO CLIENTE]],"mmm"))</f>
        <v>Jan</v>
      </c>
      <c r="BP786" s="66">
        <f>YEAR(Prog_236[[#This Row],[PROGRAMAÇÃO CLIENTE]])</f>
        <v>1900</v>
      </c>
    </row>
    <row r="787" spans="1:68" x14ac:dyDescent="0.25">
      <c r="A787" s="200">
        <f>Prog_236[[#This Row],[CONTEINER]]</f>
        <v>0</v>
      </c>
      <c r="B787" s="86"/>
      <c r="C7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7" s="44"/>
      <c r="E787" s="66"/>
      <c r="F787" s="66"/>
      <c r="G787" s="66"/>
      <c r="H787" s="44"/>
      <c r="I787" s="44"/>
      <c r="J787" s="66"/>
      <c r="K787" s="66"/>
      <c r="L787" s="66"/>
      <c r="M787" s="66"/>
      <c r="N787" s="66">
        <f>SUM(Prog_236[[#This Row],[TARA]]+Prog_236[[#This Row],[PESO]])</f>
        <v>0</v>
      </c>
      <c r="O787" s="44"/>
      <c r="P787" s="66"/>
      <c r="Q787" s="66"/>
      <c r="R787" s="66"/>
      <c r="S787" s="66"/>
      <c r="T787" s="138" t="str">
        <f>IFERROR(LOOKUP($S787,MOTORISTAS!$D$3:$D$1048576,MOTORISTAS!E$3:$E$1048576),"")</f>
        <v/>
      </c>
      <c r="U787" s="138" t="str">
        <f>IFERROR(LOOKUP($S787,MOTORISTAS!$D$3:$D$1048576,MOTORISTAS!F$3:$F$1048576),"")</f>
        <v/>
      </c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44"/>
      <c r="AG787" s="254">
        <f>Prog_236[[#This Row],[SAÍDA DO CLIENTE]]-Prog_236[[#This Row],[PROGRAMAÇÃO CLIENTE]]</f>
        <v>0</v>
      </c>
      <c r="AH787" s="44"/>
      <c r="AI787" s="66"/>
      <c r="AJ787" s="66"/>
      <c r="AK787" s="66"/>
      <c r="AL787" s="66"/>
      <c r="AM787" s="66"/>
      <c r="AN787" s="83"/>
      <c r="AO787" s="66"/>
      <c r="AP787" s="66"/>
      <c r="AQ787" s="66"/>
      <c r="AR787" s="81"/>
      <c r="AS787" s="81"/>
      <c r="AT787" s="81"/>
      <c r="AU787" s="81"/>
      <c r="AV787" s="83">
        <f>SUM(Prog_236[[#This Row],[ADIANTAMENTO]]+Prog_236[[#This Row],[SALDO]]+Prog_236[[#This Row],[MARGEM]]+Prog_236[[#This Row],[ESTADIA 1]])</f>
        <v>0</v>
      </c>
      <c r="AW7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7" s="81"/>
      <c r="AY787" s="81"/>
      <c r="AZ787" s="81">
        <f>Prog_236[[#This Row],[VLR NF]]*0.1%</f>
        <v>0</v>
      </c>
      <c r="BA787" s="81">
        <f>Prog_236[[#This Row],[VLR NF]]*0.05%</f>
        <v>0</v>
      </c>
      <c r="BB787" s="81"/>
      <c r="BC787" s="81"/>
      <c r="BD787" s="81"/>
      <c r="BE787" s="81"/>
      <c r="BF787" s="81"/>
      <c r="BG787" s="81"/>
      <c r="BH787" s="81"/>
      <c r="BI787" s="81"/>
      <c r="BJ787" s="81"/>
      <c r="BK787" s="81"/>
      <c r="BL787" s="66"/>
      <c r="BM787" s="66"/>
      <c r="BN787" s="66"/>
      <c r="BO787" s="66" t="str">
        <f>PROPER(TEXT(Prog_236[[#This Row],[PROGRAMAÇÃO CLIENTE]],"mmm"))</f>
        <v>Jan</v>
      </c>
      <c r="BP787" s="66">
        <f>YEAR(Prog_236[[#This Row],[PROGRAMAÇÃO CLIENTE]])</f>
        <v>1900</v>
      </c>
    </row>
    <row r="788" spans="1:68" x14ac:dyDescent="0.25">
      <c r="A788" s="201">
        <f>Prog_236[[#This Row],[CONTEINER]]</f>
        <v>0</v>
      </c>
      <c r="B788" s="86"/>
      <c r="C7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8" s="44"/>
      <c r="E788" s="66"/>
      <c r="F788" s="66"/>
      <c r="G788" s="66"/>
      <c r="H788" s="44"/>
      <c r="I788" s="44"/>
      <c r="J788" s="66"/>
      <c r="K788" s="66"/>
      <c r="L788" s="66"/>
      <c r="M788" s="66"/>
      <c r="N788" s="66">
        <f>SUM(Prog_236[[#This Row],[TARA]]+Prog_236[[#This Row],[PESO]])</f>
        <v>0</v>
      </c>
      <c r="O788" s="44"/>
      <c r="P788" s="66"/>
      <c r="Q788" s="66"/>
      <c r="R788" s="66"/>
      <c r="S788" s="66"/>
      <c r="T788" s="138" t="str">
        <f>IFERROR(LOOKUP($S788,MOTORISTAS!$D$3:$D$1048576,MOTORISTAS!E$3:$E$1048576),"")</f>
        <v/>
      </c>
      <c r="U788" s="138" t="str">
        <f>IFERROR(LOOKUP($S788,MOTORISTAS!$D$3:$D$1048576,MOTORISTAS!F$3:$F$1048576),"")</f>
        <v/>
      </c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44"/>
      <c r="AG788" s="254">
        <f>Prog_236[[#This Row],[SAÍDA DO CLIENTE]]-Prog_236[[#This Row],[PROGRAMAÇÃO CLIENTE]]</f>
        <v>0</v>
      </c>
      <c r="AH788" s="44"/>
      <c r="AI788" s="66"/>
      <c r="AJ788" s="66"/>
      <c r="AK788" s="66"/>
      <c r="AL788" s="66"/>
      <c r="AM788" s="66"/>
      <c r="AN788" s="83"/>
      <c r="AO788" s="66"/>
      <c r="AP788" s="66"/>
      <c r="AQ788" s="66"/>
      <c r="AR788" s="81"/>
      <c r="AS788" s="81"/>
      <c r="AT788" s="81"/>
      <c r="AU788" s="81"/>
      <c r="AV788" s="83">
        <f>SUM(Prog_236[[#This Row],[ADIANTAMENTO]]+Prog_236[[#This Row],[SALDO]]+Prog_236[[#This Row],[MARGEM]]+Prog_236[[#This Row],[ESTADIA 1]])</f>
        <v>0</v>
      </c>
      <c r="AW7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8" s="81"/>
      <c r="AY788" s="81"/>
      <c r="AZ788" s="81">
        <f>Prog_236[[#This Row],[VLR NF]]*0.1%</f>
        <v>0</v>
      </c>
      <c r="BA788" s="81">
        <f>Prog_236[[#This Row],[VLR NF]]*0.05%</f>
        <v>0</v>
      </c>
      <c r="BB788" s="81"/>
      <c r="BC788" s="81"/>
      <c r="BD788" s="81"/>
      <c r="BE788" s="81"/>
      <c r="BF788" s="81"/>
      <c r="BG788" s="81"/>
      <c r="BH788" s="81"/>
      <c r="BI788" s="81"/>
      <c r="BJ788" s="81"/>
      <c r="BK788" s="81"/>
      <c r="BL788" s="66"/>
      <c r="BM788" s="66"/>
      <c r="BN788" s="66"/>
      <c r="BO788" s="66" t="str">
        <f>PROPER(TEXT(Prog_236[[#This Row],[PROGRAMAÇÃO CLIENTE]],"mmm"))</f>
        <v>Jan</v>
      </c>
      <c r="BP788" s="66">
        <f>YEAR(Prog_236[[#This Row],[PROGRAMAÇÃO CLIENTE]])</f>
        <v>1900</v>
      </c>
    </row>
    <row r="789" spans="1:68" x14ac:dyDescent="0.25">
      <c r="A789" s="200">
        <f>Prog_236[[#This Row],[CONTEINER]]</f>
        <v>0</v>
      </c>
      <c r="B789" s="86"/>
      <c r="C7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89" s="44"/>
      <c r="E789" s="66"/>
      <c r="F789" s="66"/>
      <c r="G789" s="66"/>
      <c r="H789" s="44"/>
      <c r="I789" s="44"/>
      <c r="J789" s="66"/>
      <c r="K789" s="66"/>
      <c r="L789" s="66"/>
      <c r="M789" s="66"/>
      <c r="N789" s="66">
        <f>SUM(Prog_236[[#This Row],[TARA]]+Prog_236[[#This Row],[PESO]])</f>
        <v>0</v>
      </c>
      <c r="O789" s="44"/>
      <c r="P789" s="66"/>
      <c r="Q789" s="66"/>
      <c r="R789" s="66"/>
      <c r="S789" s="66"/>
      <c r="T789" s="138" t="str">
        <f>IFERROR(LOOKUP($S789,MOTORISTAS!$D$3:$D$1048576,MOTORISTAS!E$3:$E$1048576),"")</f>
        <v/>
      </c>
      <c r="U789" s="138" t="str">
        <f>IFERROR(LOOKUP($S789,MOTORISTAS!$D$3:$D$1048576,MOTORISTAS!F$3:$F$1048576),"")</f>
        <v/>
      </c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44"/>
      <c r="AG789" s="254">
        <f>Prog_236[[#This Row],[SAÍDA DO CLIENTE]]-Prog_236[[#This Row],[PROGRAMAÇÃO CLIENTE]]</f>
        <v>0</v>
      </c>
      <c r="AH789" s="44"/>
      <c r="AI789" s="66"/>
      <c r="AJ789" s="66"/>
      <c r="AK789" s="66"/>
      <c r="AL789" s="66"/>
      <c r="AM789" s="66"/>
      <c r="AN789" s="83"/>
      <c r="AO789" s="66"/>
      <c r="AP789" s="66"/>
      <c r="AQ789" s="66"/>
      <c r="AR789" s="81"/>
      <c r="AS789" s="81"/>
      <c r="AT789" s="81"/>
      <c r="AU789" s="81"/>
      <c r="AV789" s="83">
        <f>SUM(Prog_236[[#This Row],[ADIANTAMENTO]]+Prog_236[[#This Row],[SALDO]]+Prog_236[[#This Row],[MARGEM]]+Prog_236[[#This Row],[ESTADIA 1]])</f>
        <v>0</v>
      </c>
      <c r="AW7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89" s="81"/>
      <c r="AY789" s="81"/>
      <c r="AZ789" s="81">
        <f>Prog_236[[#This Row],[VLR NF]]*0.1%</f>
        <v>0</v>
      </c>
      <c r="BA789" s="81">
        <f>Prog_236[[#This Row],[VLR NF]]*0.05%</f>
        <v>0</v>
      </c>
      <c r="BB789" s="81"/>
      <c r="BC789" s="81"/>
      <c r="BD789" s="81"/>
      <c r="BE789" s="81"/>
      <c r="BF789" s="81"/>
      <c r="BG789" s="81"/>
      <c r="BH789" s="81"/>
      <c r="BI789" s="81"/>
      <c r="BJ789" s="81"/>
      <c r="BK789" s="81"/>
      <c r="BL789" s="66"/>
      <c r="BM789" s="66"/>
      <c r="BN789" s="66"/>
      <c r="BO789" s="66" t="str">
        <f>PROPER(TEXT(Prog_236[[#This Row],[PROGRAMAÇÃO CLIENTE]],"mmm"))</f>
        <v>Jan</v>
      </c>
      <c r="BP789" s="66">
        <f>YEAR(Prog_236[[#This Row],[PROGRAMAÇÃO CLIENTE]])</f>
        <v>1900</v>
      </c>
    </row>
    <row r="790" spans="1:68" x14ac:dyDescent="0.25">
      <c r="A790" s="201">
        <f>Prog_236[[#This Row],[CONTEINER]]</f>
        <v>0</v>
      </c>
      <c r="B790" s="86"/>
      <c r="C7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0" s="44"/>
      <c r="E790" s="66"/>
      <c r="F790" s="66"/>
      <c r="G790" s="66"/>
      <c r="H790" s="44"/>
      <c r="I790" s="44"/>
      <c r="J790" s="66"/>
      <c r="K790" s="66"/>
      <c r="L790" s="66"/>
      <c r="M790" s="66"/>
      <c r="N790" s="66">
        <f>SUM(Prog_236[[#This Row],[TARA]]+Prog_236[[#This Row],[PESO]])</f>
        <v>0</v>
      </c>
      <c r="O790" s="44"/>
      <c r="P790" s="66"/>
      <c r="Q790" s="66"/>
      <c r="R790" s="66"/>
      <c r="S790" s="66"/>
      <c r="T790" s="138" t="str">
        <f>IFERROR(LOOKUP($S790,MOTORISTAS!$D$3:$D$1048576,MOTORISTAS!E$3:$E$1048576),"")</f>
        <v/>
      </c>
      <c r="U790" s="138" t="str">
        <f>IFERROR(LOOKUP($S790,MOTORISTAS!$D$3:$D$1048576,MOTORISTAS!F$3:$F$1048576),"")</f>
        <v/>
      </c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44"/>
      <c r="AG790" s="254">
        <f>Prog_236[[#This Row],[SAÍDA DO CLIENTE]]-Prog_236[[#This Row],[PROGRAMAÇÃO CLIENTE]]</f>
        <v>0</v>
      </c>
      <c r="AH790" s="44"/>
      <c r="AI790" s="66"/>
      <c r="AJ790" s="66"/>
      <c r="AK790" s="66"/>
      <c r="AL790" s="66"/>
      <c r="AM790" s="66"/>
      <c r="AN790" s="83"/>
      <c r="AO790" s="66"/>
      <c r="AP790" s="66"/>
      <c r="AQ790" s="66"/>
      <c r="AR790" s="81"/>
      <c r="AS790" s="81"/>
      <c r="AT790" s="81"/>
      <c r="AU790" s="81"/>
      <c r="AV790" s="83">
        <f>SUM(Prog_236[[#This Row],[ADIANTAMENTO]]+Prog_236[[#This Row],[SALDO]]+Prog_236[[#This Row],[MARGEM]]+Prog_236[[#This Row],[ESTADIA 1]])</f>
        <v>0</v>
      </c>
      <c r="AW7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0" s="81"/>
      <c r="AY790" s="81"/>
      <c r="AZ790" s="81">
        <f>Prog_236[[#This Row],[VLR NF]]*0.1%</f>
        <v>0</v>
      </c>
      <c r="BA790" s="81">
        <f>Prog_236[[#This Row],[VLR NF]]*0.05%</f>
        <v>0</v>
      </c>
      <c r="BB790" s="81"/>
      <c r="BC790" s="81"/>
      <c r="BD790" s="81"/>
      <c r="BE790" s="81"/>
      <c r="BF790" s="81"/>
      <c r="BG790" s="81"/>
      <c r="BH790" s="81"/>
      <c r="BI790" s="81"/>
      <c r="BJ790" s="81"/>
      <c r="BK790" s="81"/>
      <c r="BL790" s="66"/>
      <c r="BM790" s="66"/>
      <c r="BN790" s="66"/>
      <c r="BO790" s="66" t="str">
        <f>PROPER(TEXT(Prog_236[[#This Row],[PROGRAMAÇÃO CLIENTE]],"mmm"))</f>
        <v>Jan</v>
      </c>
      <c r="BP790" s="66">
        <f>YEAR(Prog_236[[#This Row],[PROGRAMAÇÃO CLIENTE]])</f>
        <v>1900</v>
      </c>
    </row>
    <row r="791" spans="1:68" x14ac:dyDescent="0.25">
      <c r="A791" s="200">
        <f>Prog_236[[#This Row],[CONTEINER]]</f>
        <v>0</v>
      </c>
      <c r="B791" s="86"/>
      <c r="C7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1" s="44"/>
      <c r="E791" s="66"/>
      <c r="F791" s="66"/>
      <c r="G791" s="66"/>
      <c r="H791" s="44"/>
      <c r="I791" s="44"/>
      <c r="J791" s="66"/>
      <c r="K791" s="66"/>
      <c r="L791" s="66"/>
      <c r="M791" s="66"/>
      <c r="N791" s="66">
        <f>SUM(Prog_236[[#This Row],[TARA]]+Prog_236[[#This Row],[PESO]])</f>
        <v>0</v>
      </c>
      <c r="O791" s="44"/>
      <c r="P791" s="66"/>
      <c r="Q791" s="66"/>
      <c r="R791" s="66"/>
      <c r="S791" s="66"/>
      <c r="T791" s="138" t="str">
        <f>IFERROR(LOOKUP($S791,MOTORISTAS!$D$3:$D$1048576,MOTORISTAS!E$3:$E$1048576),"")</f>
        <v/>
      </c>
      <c r="U791" s="138" t="str">
        <f>IFERROR(LOOKUP($S791,MOTORISTAS!$D$3:$D$1048576,MOTORISTAS!F$3:$F$1048576),"")</f>
        <v/>
      </c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44"/>
      <c r="AG791" s="254">
        <f>Prog_236[[#This Row],[SAÍDA DO CLIENTE]]-Prog_236[[#This Row],[PROGRAMAÇÃO CLIENTE]]</f>
        <v>0</v>
      </c>
      <c r="AH791" s="44"/>
      <c r="AI791" s="66"/>
      <c r="AJ791" s="66"/>
      <c r="AK791" s="66"/>
      <c r="AL791" s="66"/>
      <c r="AM791" s="66"/>
      <c r="AN791" s="83"/>
      <c r="AO791" s="66"/>
      <c r="AP791" s="66"/>
      <c r="AQ791" s="66"/>
      <c r="AR791" s="81"/>
      <c r="AS791" s="81"/>
      <c r="AT791" s="81"/>
      <c r="AU791" s="81"/>
      <c r="AV791" s="83">
        <f>SUM(Prog_236[[#This Row],[ADIANTAMENTO]]+Prog_236[[#This Row],[SALDO]]+Prog_236[[#This Row],[MARGEM]]+Prog_236[[#This Row],[ESTADIA 1]])</f>
        <v>0</v>
      </c>
      <c r="AW7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1" s="81"/>
      <c r="AY791" s="81"/>
      <c r="AZ791" s="81">
        <f>Prog_236[[#This Row],[VLR NF]]*0.1%</f>
        <v>0</v>
      </c>
      <c r="BA791" s="81">
        <f>Prog_236[[#This Row],[VLR NF]]*0.05%</f>
        <v>0</v>
      </c>
      <c r="BB791" s="81"/>
      <c r="BC791" s="81"/>
      <c r="BD791" s="81"/>
      <c r="BE791" s="81"/>
      <c r="BF791" s="81"/>
      <c r="BG791" s="81"/>
      <c r="BH791" s="81"/>
      <c r="BI791" s="81"/>
      <c r="BJ791" s="81"/>
      <c r="BK791" s="81"/>
      <c r="BL791" s="66"/>
      <c r="BM791" s="66"/>
      <c r="BN791" s="66"/>
      <c r="BO791" s="66" t="str">
        <f>PROPER(TEXT(Prog_236[[#This Row],[PROGRAMAÇÃO CLIENTE]],"mmm"))</f>
        <v>Jan</v>
      </c>
      <c r="BP791" s="66">
        <f>YEAR(Prog_236[[#This Row],[PROGRAMAÇÃO CLIENTE]])</f>
        <v>1900</v>
      </c>
    </row>
    <row r="792" spans="1:68" x14ac:dyDescent="0.25">
      <c r="A792" s="201">
        <f>Prog_236[[#This Row],[CONTEINER]]</f>
        <v>0</v>
      </c>
      <c r="B792" s="86"/>
      <c r="C7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2" s="44"/>
      <c r="E792" s="66"/>
      <c r="F792" s="66"/>
      <c r="G792" s="66"/>
      <c r="H792" s="44"/>
      <c r="I792" s="44"/>
      <c r="J792" s="66"/>
      <c r="K792" s="66"/>
      <c r="L792" s="66"/>
      <c r="M792" s="66"/>
      <c r="N792" s="66">
        <f>SUM(Prog_236[[#This Row],[TARA]]+Prog_236[[#This Row],[PESO]])</f>
        <v>0</v>
      </c>
      <c r="O792" s="44"/>
      <c r="P792" s="66"/>
      <c r="Q792" s="66"/>
      <c r="R792" s="66"/>
      <c r="S792" s="66"/>
      <c r="T792" s="138" t="str">
        <f>IFERROR(LOOKUP($S792,MOTORISTAS!$D$3:$D$1048576,MOTORISTAS!E$3:$E$1048576),"")</f>
        <v/>
      </c>
      <c r="U792" s="138" t="str">
        <f>IFERROR(LOOKUP($S792,MOTORISTAS!$D$3:$D$1048576,MOTORISTAS!F$3:$F$1048576),"")</f>
        <v/>
      </c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44"/>
      <c r="AG792" s="254">
        <f>Prog_236[[#This Row],[SAÍDA DO CLIENTE]]-Prog_236[[#This Row],[PROGRAMAÇÃO CLIENTE]]</f>
        <v>0</v>
      </c>
      <c r="AH792" s="44"/>
      <c r="AI792" s="66"/>
      <c r="AJ792" s="66"/>
      <c r="AK792" s="66"/>
      <c r="AL792" s="66"/>
      <c r="AM792" s="66"/>
      <c r="AN792" s="83"/>
      <c r="AO792" s="66"/>
      <c r="AP792" s="66"/>
      <c r="AQ792" s="66"/>
      <c r="AR792" s="81"/>
      <c r="AS792" s="81"/>
      <c r="AT792" s="81"/>
      <c r="AU792" s="81"/>
      <c r="AV792" s="83">
        <f>SUM(Prog_236[[#This Row],[ADIANTAMENTO]]+Prog_236[[#This Row],[SALDO]]+Prog_236[[#This Row],[MARGEM]]+Prog_236[[#This Row],[ESTADIA 1]])</f>
        <v>0</v>
      </c>
      <c r="AW7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2" s="81"/>
      <c r="AY792" s="81"/>
      <c r="AZ792" s="81">
        <f>Prog_236[[#This Row],[VLR NF]]*0.1%</f>
        <v>0</v>
      </c>
      <c r="BA792" s="81">
        <f>Prog_236[[#This Row],[VLR NF]]*0.05%</f>
        <v>0</v>
      </c>
      <c r="BB792" s="81"/>
      <c r="BC792" s="81"/>
      <c r="BD792" s="81"/>
      <c r="BE792" s="81"/>
      <c r="BF792" s="81"/>
      <c r="BG792" s="81"/>
      <c r="BH792" s="81"/>
      <c r="BI792" s="81"/>
      <c r="BJ792" s="81"/>
      <c r="BK792" s="81"/>
      <c r="BL792" s="66"/>
      <c r="BM792" s="66"/>
      <c r="BN792" s="66"/>
      <c r="BO792" s="66" t="str">
        <f>PROPER(TEXT(Prog_236[[#This Row],[PROGRAMAÇÃO CLIENTE]],"mmm"))</f>
        <v>Jan</v>
      </c>
      <c r="BP792" s="66">
        <f>YEAR(Prog_236[[#This Row],[PROGRAMAÇÃO CLIENTE]])</f>
        <v>1900</v>
      </c>
    </row>
    <row r="793" spans="1:68" x14ac:dyDescent="0.25">
      <c r="A793" s="200">
        <f>Prog_236[[#This Row],[CONTEINER]]</f>
        <v>0</v>
      </c>
      <c r="B793" s="86"/>
      <c r="C7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3" s="44"/>
      <c r="E793" s="66"/>
      <c r="F793" s="66"/>
      <c r="G793" s="66"/>
      <c r="H793" s="44"/>
      <c r="I793" s="44"/>
      <c r="J793" s="66"/>
      <c r="K793" s="66"/>
      <c r="L793" s="66"/>
      <c r="M793" s="66"/>
      <c r="N793" s="66">
        <f>SUM(Prog_236[[#This Row],[TARA]]+Prog_236[[#This Row],[PESO]])</f>
        <v>0</v>
      </c>
      <c r="O793" s="44"/>
      <c r="P793" s="66"/>
      <c r="Q793" s="66"/>
      <c r="R793" s="66"/>
      <c r="S793" s="66"/>
      <c r="T793" s="138" t="str">
        <f>IFERROR(LOOKUP($S793,MOTORISTAS!$D$3:$D$1048576,MOTORISTAS!E$3:$E$1048576),"")</f>
        <v/>
      </c>
      <c r="U793" s="138" t="str">
        <f>IFERROR(LOOKUP($S793,MOTORISTAS!$D$3:$D$1048576,MOTORISTAS!F$3:$F$1048576),"")</f>
        <v/>
      </c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44"/>
      <c r="AG793" s="254">
        <f>Prog_236[[#This Row],[SAÍDA DO CLIENTE]]-Prog_236[[#This Row],[PROGRAMAÇÃO CLIENTE]]</f>
        <v>0</v>
      </c>
      <c r="AH793" s="44"/>
      <c r="AI793" s="66"/>
      <c r="AJ793" s="66"/>
      <c r="AK793" s="66"/>
      <c r="AL793" s="66"/>
      <c r="AM793" s="66"/>
      <c r="AN793" s="83"/>
      <c r="AO793" s="66"/>
      <c r="AP793" s="66"/>
      <c r="AQ793" s="66"/>
      <c r="AR793" s="81"/>
      <c r="AS793" s="81"/>
      <c r="AT793" s="81"/>
      <c r="AU793" s="81"/>
      <c r="AV793" s="83">
        <f>SUM(Prog_236[[#This Row],[ADIANTAMENTO]]+Prog_236[[#This Row],[SALDO]]+Prog_236[[#This Row],[MARGEM]]+Prog_236[[#This Row],[ESTADIA 1]])</f>
        <v>0</v>
      </c>
      <c r="AW7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3" s="81"/>
      <c r="AY793" s="81"/>
      <c r="AZ793" s="81">
        <f>Prog_236[[#This Row],[VLR NF]]*0.1%</f>
        <v>0</v>
      </c>
      <c r="BA793" s="81">
        <f>Prog_236[[#This Row],[VLR NF]]*0.05%</f>
        <v>0</v>
      </c>
      <c r="BB793" s="81"/>
      <c r="BC793" s="81"/>
      <c r="BD793" s="81"/>
      <c r="BE793" s="81"/>
      <c r="BF793" s="81"/>
      <c r="BG793" s="81"/>
      <c r="BH793" s="81"/>
      <c r="BI793" s="81"/>
      <c r="BJ793" s="81"/>
      <c r="BK793" s="81"/>
      <c r="BL793" s="66"/>
      <c r="BM793" s="66"/>
      <c r="BN793" s="66"/>
      <c r="BO793" s="66" t="str">
        <f>PROPER(TEXT(Prog_236[[#This Row],[PROGRAMAÇÃO CLIENTE]],"mmm"))</f>
        <v>Jan</v>
      </c>
      <c r="BP793" s="66">
        <f>YEAR(Prog_236[[#This Row],[PROGRAMAÇÃO CLIENTE]])</f>
        <v>1900</v>
      </c>
    </row>
    <row r="794" spans="1:68" x14ac:dyDescent="0.25">
      <c r="A794" s="201">
        <f>Prog_236[[#This Row],[CONTEINER]]</f>
        <v>0</v>
      </c>
      <c r="B794" s="86"/>
      <c r="C7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4" s="44"/>
      <c r="E794" s="66"/>
      <c r="F794" s="66"/>
      <c r="G794" s="66"/>
      <c r="H794" s="44"/>
      <c r="I794" s="44"/>
      <c r="J794" s="66"/>
      <c r="K794" s="66"/>
      <c r="L794" s="66"/>
      <c r="M794" s="66"/>
      <c r="N794" s="66">
        <f>SUM(Prog_236[[#This Row],[TARA]]+Prog_236[[#This Row],[PESO]])</f>
        <v>0</v>
      </c>
      <c r="O794" s="44"/>
      <c r="P794" s="66"/>
      <c r="Q794" s="66"/>
      <c r="R794" s="66"/>
      <c r="S794" s="66"/>
      <c r="T794" s="138" t="str">
        <f>IFERROR(LOOKUP($S794,MOTORISTAS!$D$3:$D$1048576,MOTORISTAS!E$3:$E$1048576),"")</f>
        <v/>
      </c>
      <c r="U794" s="138" t="str">
        <f>IFERROR(LOOKUP($S794,MOTORISTAS!$D$3:$D$1048576,MOTORISTAS!F$3:$F$1048576),"")</f>
        <v/>
      </c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44"/>
      <c r="AG794" s="254">
        <f>Prog_236[[#This Row],[SAÍDA DO CLIENTE]]-Prog_236[[#This Row],[PROGRAMAÇÃO CLIENTE]]</f>
        <v>0</v>
      </c>
      <c r="AH794" s="44"/>
      <c r="AI794" s="66"/>
      <c r="AJ794" s="66"/>
      <c r="AK794" s="66"/>
      <c r="AL794" s="66"/>
      <c r="AM794" s="66"/>
      <c r="AN794" s="83"/>
      <c r="AO794" s="66"/>
      <c r="AP794" s="66"/>
      <c r="AQ794" s="66"/>
      <c r="AR794" s="81"/>
      <c r="AS794" s="81"/>
      <c r="AT794" s="81"/>
      <c r="AU794" s="81"/>
      <c r="AV794" s="83">
        <f>SUM(Prog_236[[#This Row],[ADIANTAMENTO]]+Prog_236[[#This Row],[SALDO]]+Prog_236[[#This Row],[MARGEM]]+Prog_236[[#This Row],[ESTADIA 1]])</f>
        <v>0</v>
      </c>
      <c r="AW7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4" s="81"/>
      <c r="AY794" s="81"/>
      <c r="AZ794" s="81">
        <f>Prog_236[[#This Row],[VLR NF]]*0.1%</f>
        <v>0</v>
      </c>
      <c r="BA794" s="81">
        <f>Prog_236[[#This Row],[VLR NF]]*0.05%</f>
        <v>0</v>
      </c>
      <c r="BB794" s="81"/>
      <c r="BC794" s="81"/>
      <c r="BD794" s="81"/>
      <c r="BE794" s="81"/>
      <c r="BF794" s="81"/>
      <c r="BG794" s="81"/>
      <c r="BH794" s="81"/>
      <c r="BI794" s="81"/>
      <c r="BJ794" s="81"/>
      <c r="BK794" s="81"/>
      <c r="BL794" s="66"/>
      <c r="BM794" s="66"/>
      <c r="BN794" s="66"/>
      <c r="BO794" s="66" t="str">
        <f>PROPER(TEXT(Prog_236[[#This Row],[PROGRAMAÇÃO CLIENTE]],"mmm"))</f>
        <v>Jan</v>
      </c>
      <c r="BP794" s="66">
        <f>YEAR(Prog_236[[#This Row],[PROGRAMAÇÃO CLIENTE]])</f>
        <v>1900</v>
      </c>
    </row>
    <row r="795" spans="1:68" x14ac:dyDescent="0.25">
      <c r="A795" s="200">
        <f>Prog_236[[#This Row],[CONTEINER]]</f>
        <v>0</v>
      </c>
      <c r="B795" s="86"/>
      <c r="C7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5" s="44"/>
      <c r="E795" s="66"/>
      <c r="F795" s="66"/>
      <c r="G795" s="66"/>
      <c r="H795" s="44"/>
      <c r="I795" s="44"/>
      <c r="J795" s="66"/>
      <c r="K795" s="66"/>
      <c r="L795" s="66"/>
      <c r="M795" s="66"/>
      <c r="N795" s="66">
        <f>SUM(Prog_236[[#This Row],[TARA]]+Prog_236[[#This Row],[PESO]])</f>
        <v>0</v>
      </c>
      <c r="O795" s="44"/>
      <c r="P795" s="66"/>
      <c r="Q795" s="66"/>
      <c r="R795" s="66"/>
      <c r="S795" s="66"/>
      <c r="T795" s="138" t="str">
        <f>IFERROR(LOOKUP($S795,MOTORISTAS!$D$3:$D$1048576,MOTORISTAS!E$3:$E$1048576),"")</f>
        <v/>
      </c>
      <c r="U795" s="138" t="str">
        <f>IFERROR(LOOKUP($S795,MOTORISTAS!$D$3:$D$1048576,MOTORISTAS!F$3:$F$1048576),"")</f>
        <v/>
      </c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44"/>
      <c r="AG795" s="254">
        <f>Prog_236[[#This Row],[SAÍDA DO CLIENTE]]-Prog_236[[#This Row],[PROGRAMAÇÃO CLIENTE]]</f>
        <v>0</v>
      </c>
      <c r="AH795" s="44"/>
      <c r="AI795" s="66"/>
      <c r="AJ795" s="66"/>
      <c r="AK795" s="66"/>
      <c r="AL795" s="66"/>
      <c r="AM795" s="66"/>
      <c r="AN795" s="83"/>
      <c r="AO795" s="66"/>
      <c r="AP795" s="66"/>
      <c r="AQ795" s="66"/>
      <c r="AR795" s="81"/>
      <c r="AS795" s="81"/>
      <c r="AT795" s="81"/>
      <c r="AU795" s="81"/>
      <c r="AV795" s="83">
        <f>SUM(Prog_236[[#This Row],[ADIANTAMENTO]]+Prog_236[[#This Row],[SALDO]]+Prog_236[[#This Row],[MARGEM]]+Prog_236[[#This Row],[ESTADIA 1]])</f>
        <v>0</v>
      </c>
      <c r="AW7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5" s="81"/>
      <c r="AY795" s="81"/>
      <c r="AZ795" s="81">
        <f>Prog_236[[#This Row],[VLR NF]]*0.1%</f>
        <v>0</v>
      </c>
      <c r="BA795" s="81">
        <f>Prog_236[[#This Row],[VLR NF]]*0.05%</f>
        <v>0</v>
      </c>
      <c r="BB795" s="81"/>
      <c r="BC795" s="81"/>
      <c r="BD795" s="81"/>
      <c r="BE795" s="81"/>
      <c r="BF795" s="81"/>
      <c r="BG795" s="81"/>
      <c r="BH795" s="81"/>
      <c r="BI795" s="81"/>
      <c r="BJ795" s="81"/>
      <c r="BK795" s="81"/>
      <c r="BL795" s="66"/>
      <c r="BM795" s="66"/>
      <c r="BN795" s="66"/>
      <c r="BO795" s="66" t="str">
        <f>PROPER(TEXT(Prog_236[[#This Row],[PROGRAMAÇÃO CLIENTE]],"mmm"))</f>
        <v>Jan</v>
      </c>
      <c r="BP795" s="66">
        <f>YEAR(Prog_236[[#This Row],[PROGRAMAÇÃO CLIENTE]])</f>
        <v>1900</v>
      </c>
    </row>
    <row r="796" spans="1:68" x14ac:dyDescent="0.25">
      <c r="A796" s="201">
        <f>Prog_236[[#This Row],[CONTEINER]]</f>
        <v>0</v>
      </c>
      <c r="B796" s="86"/>
      <c r="C7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6" s="44"/>
      <c r="E796" s="66"/>
      <c r="F796" s="66"/>
      <c r="G796" s="66"/>
      <c r="H796" s="44"/>
      <c r="I796" s="44"/>
      <c r="J796" s="66"/>
      <c r="K796" s="66"/>
      <c r="L796" s="66"/>
      <c r="M796" s="66"/>
      <c r="N796" s="66">
        <f>SUM(Prog_236[[#This Row],[TARA]]+Prog_236[[#This Row],[PESO]])</f>
        <v>0</v>
      </c>
      <c r="O796" s="44"/>
      <c r="P796" s="66"/>
      <c r="Q796" s="66"/>
      <c r="R796" s="66"/>
      <c r="S796" s="66"/>
      <c r="T796" s="138" t="str">
        <f>IFERROR(LOOKUP($S796,MOTORISTAS!$D$3:$D$1048576,MOTORISTAS!E$3:$E$1048576),"")</f>
        <v/>
      </c>
      <c r="U796" s="138" t="str">
        <f>IFERROR(LOOKUP($S796,MOTORISTAS!$D$3:$D$1048576,MOTORISTAS!F$3:$F$1048576),"")</f>
        <v/>
      </c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44"/>
      <c r="AG796" s="254">
        <f>Prog_236[[#This Row],[SAÍDA DO CLIENTE]]-Prog_236[[#This Row],[PROGRAMAÇÃO CLIENTE]]</f>
        <v>0</v>
      </c>
      <c r="AH796" s="44"/>
      <c r="AI796" s="66"/>
      <c r="AJ796" s="66"/>
      <c r="AK796" s="66"/>
      <c r="AL796" s="66"/>
      <c r="AM796" s="66"/>
      <c r="AN796" s="83"/>
      <c r="AO796" s="66"/>
      <c r="AP796" s="66"/>
      <c r="AQ796" s="66"/>
      <c r="AR796" s="81"/>
      <c r="AS796" s="81"/>
      <c r="AT796" s="81"/>
      <c r="AU796" s="81"/>
      <c r="AV796" s="83">
        <f>SUM(Prog_236[[#This Row],[ADIANTAMENTO]]+Prog_236[[#This Row],[SALDO]]+Prog_236[[#This Row],[MARGEM]]+Prog_236[[#This Row],[ESTADIA 1]])</f>
        <v>0</v>
      </c>
      <c r="AW7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6" s="81"/>
      <c r="AY796" s="81"/>
      <c r="AZ796" s="81">
        <f>Prog_236[[#This Row],[VLR NF]]*0.1%</f>
        <v>0</v>
      </c>
      <c r="BA796" s="81">
        <f>Prog_236[[#This Row],[VLR NF]]*0.05%</f>
        <v>0</v>
      </c>
      <c r="BB796" s="81"/>
      <c r="BC796" s="81"/>
      <c r="BD796" s="81"/>
      <c r="BE796" s="81"/>
      <c r="BF796" s="81"/>
      <c r="BG796" s="81"/>
      <c r="BH796" s="81"/>
      <c r="BI796" s="81"/>
      <c r="BJ796" s="81"/>
      <c r="BK796" s="81"/>
      <c r="BL796" s="66"/>
      <c r="BM796" s="66"/>
      <c r="BN796" s="66"/>
      <c r="BO796" s="66" t="str">
        <f>PROPER(TEXT(Prog_236[[#This Row],[PROGRAMAÇÃO CLIENTE]],"mmm"))</f>
        <v>Jan</v>
      </c>
      <c r="BP796" s="66">
        <f>YEAR(Prog_236[[#This Row],[PROGRAMAÇÃO CLIENTE]])</f>
        <v>1900</v>
      </c>
    </row>
    <row r="797" spans="1:68" x14ac:dyDescent="0.25">
      <c r="A797" s="200">
        <f>Prog_236[[#This Row],[CONTEINER]]</f>
        <v>0</v>
      </c>
      <c r="B797" s="86"/>
      <c r="C7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7" s="44"/>
      <c r="E797" s="66"/>
      <c r="F797" s="66"/>
      <c r="G797" s="66"/>
      <c r="H797" s="44"/>
      <c r="I797" s="44"/>
      <c r="J797" s="66"/>
      <c r="K797" s="66"/>
      <c r="L797" s="66"/>
      <c r="M797" s="66"/>
      <c r="N797" s="66">
        <f>SUM(Prog_236[[#This Row],[TARA]]+Prog_236[[#This Row],[PESO]])</f>
        <v>0</v>
      </c>
      <c r="O797" s="44"/>
      <c r="P797" s="66"/>
      <c r="Q797" s="66"/>
      <c r="R797" s="66"/>
      <c r="S797" s="66"/>
      <c r="T797" s="138" t="str">
        <f>IFERROR(LOOKUP($S797,MOTORISTAS!$D$3:$D$1048576,MOTORISTAS!E$3:$E$1048576),"")</f>
        <v/>
      </c>
      <c r="U797" s="138" t="str">
        <f>IFERROR(LOOKUP($S797,MOTORISTAS!$D$3:$D$1048576,MOTORISTAS!F$3:$F$1048576),"")</f>
        <v/>
      </c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44"/>
      <c r="AG797" s="254">
        <f>Prog_236[[#This Row],[SAÍDA DO CLIENTE]]-Prog_236[[#This Row],[PROGRAMAÇÃO CLIENTE]]</f>
        <v>0</v>
      </c>
      <c r="AH797" s="44"/>
      <c r="AI797" s="66"/>
      <c r="AJ797" s="66"/>
      <c r="AK797" s="66"/>
      <c r="AL797" s="66"/>
      <c r="AM797" s="66"/>
      <c r="AN797" s="83"/>
      <c r="AO797" s="66"/>
      <c r="AP797" s="66"/>
      <c r="AQ797" s="66"/>
      <c r="AR797" s="81"/>
      <c r="AS797" s="81"/>
      <c r="AT797" s="81"/>
      <c r="AU797" s="81"/>
      <c r="AV797" s="83">
        <f>SUM(Prog_236[[#This Row],[ADIANTAMENTO]]+Prog_236[[#This Row],[SALDO]]+Prog_236[[#This Row],[MARGEM]]+Prog_236[[#This Row],[ESTADIA 1]])</f>
        <v>0</v>
      </c>
      <c r="AW7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7" s="81"/>
      <c r="AY797" s="81"/>
      <c r="AZ797" s="81">
        <f>Prog_236[[#This Row],[VLR NF]]*0.1%</f>
        <v>0</v>
      </c>
      <c r="BA797" s="81">
        <f>Prog_236[[#This Row],[VLR NF]]*0.05%</f>
        <v>0</v>
      </c>
      <c r="BB797" s="81"/>
      <c r="BC797" s="81"/>
      <c r="BD797" s="81"/>
      <c r="BE797" s="81"/>
      <c r="BF797" s="81"/>
      <c r="BG797" s="81"/>
      <c r="BH797" s="81"/>
      <c r="BI797" s="81"/>
      <c r="BJ797" s="81"/>
      <c r="BK797" s="81"/>
      <c r="BL797" s="66"/>
      <c r="BM797" s="66"/>
      <c r="BN797" s="66"/>
      <c r="BO797" s="66" t="str">
        <f>PROPER(TEXT(Prog_236[[#This Row],[PROGRAMAÇÃO CLIENTE]],"mmm"))</f>
        <v>Jan</v>
      </c>
      <c r="BP797" s="66">
        <f>YEAR(Prog_236[[#This Row],[PROGRAMAÇÃO CLIENTE]])</f>
        <v>1900</v>
      </c>
    </row>
    <row r="798" spans="1:68" x14ac:dyDescent="0.25">
      <c r="A798" s="201">
        <f>Prog_236[[#This Row],[CONTEINER]]</f>
        <v>0</v>
      </c>
      <c r="B798" s="86"/>
      <c r="C7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8" s="44"/>
      <c r="E798" s="66"/>
      <c r="F798" s="66"/>
      <c r="G798" s="66"/>
      <c r="H798" s="44"/>
      <c r="I798" s="44"/>
      <c r="J798" s="66"/>
      <c r="K798" s="66"/>
      <c r="L798" s="66"/>
      <c r="M798" s="66"/>
      <c r="N798" s="66">
        <f>SUM(Prog_236[[#This Row],[TARA]]+Prog_236[[#This Row],[PESO]])</f>
        <v>0</v>
      </c>
      <c r="O798" s="44"/>
      <c r="P798" s="66"/>
      <c r="Q798" s="66"/>
      <c r="R798" s="66"/>
      <c r="S798" s="66"/>
      <c r="T798" s="138" t="str">
        <f>IFERROR(LOOKUP($S798,MOTORISTAS!$D$3:$D$1048576,MOTORISTAS!E$3:$E$1048576),"")</f>
        <v/>
      </c>
      <c r="U798" s="138" t="str">
        <f>IFERROR(LOOKUP($S798,MOTORISTAS!$D$3:$D$1048576,MOTORISTAS!F$3:$F$1048576),"")</f>
        <v/>
      </c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44"/>
      <c r="AG798" s="254">
        <f>Prog_236[[#This Row],[SAÍDA DO CLIENTE]]-Prog_236[[#This Row],[PROGRAMAÇÃO CLIENTE]]</f>
        <v>0</v>
      </c>
      <c r="AH798" s="44"/>
      <c r="AI798" s="66"/>
      <c r="AJ798" s="66"/>
      <c r="AK798" s="66"/>
      <c r="AL798" s="66"/>
      <c r="AM798" s="66"/>
      <c r="AN798" s="83"/>
      <c r="AO798" s="66"/>
      <c r="AP798" s="66"/>
      <c r="AQ798" s="66"/>
      <c r="AR798" s="81"/>
      <c r="AS798" s="81"/>
      <c r="AT798" s="81"/>
      <c r="AU798" s="81"/>
      <c r="AV798" s="83">
        <f>SUM(Prog_236[[#This Row],[ADIANTAMENTO]]+Prog_236[[#This Row],[SALDO]]+Prog_236[[#This Row],[MARGEM]]+Prog_236[[#This Row],[ESTADIA 1]])</f>
        <v>0</v>
      </c>
      <c r="AW7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8" s="81"/>
      <c r="AY798" s="81"/>
      <c r="AZ798" s="81">
        <f>Prog_236[[#This Row],[VLR NF]]*0.1%</f>
        <v>0</v>
      </c>
      <c r="BA798" s="81">
        <f>Prog_236[[#This Row],[VLR NF]]*0.05%</f>
        <v>0</v>
      </c>
      <c r="BB798" s="81"/>
      <c r="BC798" s="81"/>
      <c r="BD798" s="81"/>
      <c r="BE798" s="81"/>
      <c r="BF798" s="81"/>
      <c r="BG798" s="81"/>
      <c r="BH798" s="81"/>
      <c r="BI798" s="81"/>
      <c r="BJ798" s="81"/>
      <c r="BK798" s="81"/>
      <c r="BL798" s="66"/>
      <c r="BM798" s="66"/>
      <c r="BN798" s="66"/>
      <c r="BO798" s="66" t="str">
        <f>PROPER(TEXT(Prog_236[[#This Row],[PROGRAMAÇÃO CLIENTE]],"mmm"))</f>
        <v>Jan</v>
      </c>
      <c r="BP798" s="66">
        <f>YEAR(Prog_236[[#This Row],[PROGRAMAÇÃO CLIENTE]])</f>
        <v>1900</v>
      </c>
    </row>
    <row r="799" spans="1:68" x14ac:dyDescent="0.25">
      <c r="A799" s="200">
        <f>Prog_236[[#This Row],[CONTEINER]]</f>
        <v>0</v>
      </c>
      <c r="B799" s="86"/>
      <c r="C7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799" s="44"/>
      <c r="E799" s="66"/>
      <c r="F799" s="66"/>
      <c r="G799" s="66"/>
      <c r="H799" s="44"/>
      <c r="I799" s="44"/>
      <c r="J799" s="66"/>
      <c r="K799" s="66"/>
      <c r="L799" s="66"/>
      <c r="M799" s="66"/>
      <c r="N799" s="66">
        <f>SUM(Prog_236[[#This Row],[TARA]]+Prog_236[[#This Row],[PESO]])</f>
        <v>0</v>
      </c>
      <c r="O799" s="44"/>
      <c r="P799" s="66"/>
      <c r="Q799" s="66"/>
      <c r="R799" s="66"/>
      <c r="S799" s="66"/>
      <c r="T799" s="138" t="str">
        <f>IFERROR(LOOKUP($S799,MOTORISTAS!$D$3:$D$1048576,MOTORISTAS!E$3:$E$1048576),"")</f>
        <v/>
      </c>
      <c r="U799" s="138" t="str">
        <f>IFERROR(LOOKUP($S799,MOTORISTAS!$D$3:$D$1048576,MOTORISTAS!F$3:$F$1048576),"")</f>
        <v/>
      </c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44"/>
      <c r="AG799" s="254">
        <f>Prog_236[[#This Row],[SAÍDA DO CLIENTE]]-Prog_236[[#This Row],[PROGRAMAÇÃO CLIENTE]]</f>
        <v>0</v>
      </c>
      <c r="AH799" s="44"/>
      <c r="AI799" s="66"/>
      <c r="AJ799" s="66"/>
      <c r="AK799" s="66"/>
      <c r="AL799" s="66"/>
      <c r="AM799" s="66"/>
      <c r="AN799" s="83"/>
      <c r="AO799" s="66"/>
      <c r="AP799" s="66"/>
      <c r="AQ799" s="66"/>
      <c r="AR799" s="81"/>
      <c r="AS799" s="81"/>
      <c r="AT799" s="81"/>
      <c r="AU799" s="81"/>
      <c r="AV799" s="83">
        <f>SUM(Prog_236[[#This Row],[ADIANTAMENTO]]+Prog_236[[#This Row],[SALDO]]+Prog_236[[#This Row],[MARGEM]]+Prog_236[[#This Row],[ESTADIA 1]])</f>
        <v>0</v>
      </c>
      <c r="AW7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799" s="81"/>
      <c r="AY799" s="81"/>
      <c r="AZ799" s="81">
        <f>Prog_236[[#This Row],[VLR NF]]*0.1%</f>
        <v>0</v>
      </c>
      <c r="BA799" s="81">
        <f>Prog_236[[#This Row],[VLR NF]]*0.05%</f>
        <v>0</v>
      </c>
      <c r="BB799" s="81"/>
      <c r="BC799" s="81"/>
      <c r="BD799" s="81"/>
      <c r="BE799" s="81"/>
      <c r="BF799" s="81"/>
      <c r="BG799" s="81"/>
      <c r="BH799" s="81"/>
      <c r="BI799" s="81"/>
      <c r="BJ799" s="81"/>
      <c r="BK799" s="81"/>
      <c r="BL799" s="66"/>
      <c r="BM799" s="66"/>
      <c r="BN799" s="66"/>
      <c r="BO799" s="66" t="str">
        <f>PROPER(TEXT(Prog_236[[#This Row],[PROGRAMAÇÃO CLIENTE]],"mmm"))</f>
        <v>Jan</v>
      </c>
      <c r="BP799" s="66">
        <f>YEAR(Prog_236[[#This Row],[PROGRAMAÇÃO CLIENTE]])</f>
        <v>1900</v>
      </c>
    </row>
    <row r="800" spans="1:68" x14ac:dyDescent="0.25">
      <c r="A800" s="201">
        <f>Prog_236[[#This Row],[CONTEINER]]</f>
        <v>0</v>
      </c>
      <c r="B800" s="86"/>
      <c r="C8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0" s="44"/>
      <c r="E800" s="66"/>
      <c r="F800" s="66"/>
      <c r="G800" s="66"/>
      <c r="H800" s="44"/>
      <c r="I800" s="44"/>
      <c r="J800" s="66"/>
      <c r="K800" s="66"/>
      <c r="L800" s="66"/>
      <c r="M800" s="66"/>
      <c r="N800" s="66">
        <f>SUM(Prog_236[[#This Row],[TARA]]+Prog_236[[#This Row],[PESO]])</f>
        <v>0</v>
      </c>
      <c r="O800" s="44"/>
      <c r="P800" s="66"/>
      <c r="Q800" s="66"/>
      <c r="R800" s="66"/>
      <c r="S800" s="66"/>
      <c r="T800" s="138" t="str">
        <f>IFERROR(LOOKUP($S800,MOTORISTAS!$D$3:$D$1048576,MOTORISTAS!E$3:$E$1048576),"")</f>
        <v/>
      </c>
      <c r="U800" s="138" t="str">
        <f>IFERROR(LOOKUP($S800,MOTORISTAS!$D$3:$D$1048576,MOTORISTAS!F$3:$F$1048576),"")</f>
        <v/>
      </c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44"/>
      <c r="AG800" s="254">
        <f>Prog_236[[#This Row],[SAÍDA DO CLIENTE]]-Prog_236[[#This Row],[PROGRAMAÇÃO CLIENTE]]</f>
        <v>0</v>
      </c>
      <c r="AH800" s="44"/>
      <c r="AI800" s="66"/>
      <c r="AJ800" s="66"/>
      <c r="AK800" s="66"/>
      <c r="AL800" s="66"/>
      <c r="AM800" s="66"/>
      <c r="AN800" s="83"/>
      <c r="AO800" s="66"/>
      <c r="AP800" s="66"/>
      <c r="AQ800" s="66"/>
      <c r="AR800" s="81"/>
      <c r="AS800" s="81"/>
      <c r="AT800" s="81"/>
      <c r="AU800" s="81"/>
      <c r="AV800" s="83">
        <f>SUM(Prog_236[[#This Row],[ADIANTAMENTO]]+Prog_236[[#This Row],[SALDO]]+Prog_236[[#This Row],[MARGEM]]+Prog_236[[#This Row],[ESTADIA 1]])</f>
        <v>0</v>
      </c>
      <c r="AW8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0" s="81"/>
      <c r="AY800" s="81"/>
      <c r="AZ800" s="81">
        <f>Prog_236[[#This Row],[VLR NF]]*0.1%</f>
        <v>0</v>
      </c>
      <c r="BA800" s="81">
        <f>Prog_236[[#This Row],[VLR NF]]*0.05%</f>
        <v>0</v>
      </c>
      <c r="BB800" s="81"/>
      <c r="BC800" s="81"/>
      <c r="BD800" s="81"/>
      <c r="BE800" s="81"/>
      <c r="BF800" s="81"/>
      <c r="BG800" s="81"/>
      <c r="BH800" s="81"/>
      <c r="BI800" s="81"/>
      <c r="BJ800" s="81"/>
      <c r="BK800" s="81"/>
      <c r="BL800" s="66"/>
      <c r="BM800" s="66"/>
      <c r="BN800" s="66"/>
      <c r="BO800" s="66" t="str">
        <f>PROPER(TEXT(Prog_236[[#This Row],[PROGRAMAÇÃO CLIENTE]],"mmm"))</f>
        <v>Jan</v>
      </c>
      <c r="BP800" s="66">
        <f>YEAR(Prog_236[[#This Row],[PROGRAMAÇÃO CLIENTE]])</f>
        <v>1900</v>
      </c>
    </row>
    <row r="801" spans="1:68" x14ac:dyDescent="0.25">
      <c r="A801" s="200">
        <f>Prog_236[[#This Row],[CONTEINER]]</f>
        <v>0</v>
      </c>
      <c r="B801" s="86"/>
      <c r="C8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1" s="44"/>
      <c r="E801" s="66"/>
      <c r="F801" s="66"/>
      <c r="G801" s="66"/>
      <c r="H801" s="44"/>
      <c r="I801" s="44"/>
      <c r="J801" s="66"/>
      <c r="K801" s="66"/>
      <c r="L801" s="66"/>
      <c r="M801" s="66"/>
      <c r="N801" s="66">
        <f>SUM(Prog_236[[#This Row],[TARA]]+Prog_236[[#This Row],[PESO]])</f>
        <v>0</v>
      </c>
      <c r="O801" s="44"/>
      <c r="P801" s="66"/>
      <c r="Q801" s="66"/>
      <c r="R801" s="66"/>
      <c r="S801" s="66"/>
      <c r="T801" s="138" t="str">
        <f>IFERROR(LOOKUP($S801,MOTORISTAS!$D$3:$D$1048576,MOTORISTAS!E$3:$E$1048576),"")</f>
        <v/>
      </c>
      <c r="U801" s="138" t="str">
        <f>IFERROR(LOOKUP($S801,MOTORISTAS!$D$3:$D$1048576,MOTORISTAS!F$3:$F$1048576),"")</f>
        <v/>
      </c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44"/>
      <c r="AG801" s="254">
        <f>Prog_236[[#This Row],[SAÍDA DO CLIENTE]]-Prog_236[[#This Row],[PROGRAMAÇÃO CLIENTE]]</f>
        <v>0</v>
      </c>
      <c r="AH801" s="44"/>
      <c r="AI801" s="66"/>
      <c r="AJ801" s="66"/>
      <c r="AK801" s="66"/>
      <c r="AL801" s="66"/>
      <c r="AM801" s="66"/>
      <c r="AN801" s="83"/>
      <c r="AO801" s="66"/>
      <c r="AP801" s="66"/>
      <c r="AQ801" s="66"/>
      <c r="AR801" s="81"/>
      <c r="AS801" s="81"/>
      <c r="AT801" s="81"/>
      <c r="AU801" s="81"/>
      <c r="AV801" s="83">
        <f>SUM(Prog_236[[#This Row],[ADIANTAMENTO]]+Prog_236[[#This Row],[SALDO]]+Prog_236[[#This Row],[MARGEM]]+Prog_236[[#This Row],[ESTADIA 1]])</f>
        <v>0</v>
      </c>
      <c r="AW8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1" s="81"/>
      <c r="AY801" s="81"/>
      <c r="AZ801" s="81">
        <f>Prog_236[[#This Row],[VLR NF]]*0.1%</f>
        <v>0</v>
      </c>
      <c r="BA801" s="81">
        <f>Prog_236[[#This Row],[VLR NF]]*0.05%</f>
        <v>0</v>
      </c>
      <c r="BB801" s="81"/>
      <c r="BC801" s="81"/>
      <c r="BD801" s="81"/>
      <c r="BE801" s="81"/>
      <c r="BF801" s="81"/>
      <c r="BG801" s="81"/>
      <c r="BH801" s="81"/>
      <c r="BI801" s="81"/>
      <c r="BJ801" s="81"/>
      <c r="BK801" s="81"/>
      <c r="BL801" s="66"/>
      <c r="BM801" s="66"/>
      <c r="BN801" s="66"/>
      <c r="BO801" s="66" t="str">
        <f>PROPER(TEXT(Prog_236[[#This Row],[PROGRAMAÇÃO CLIENTE]],"mmm"))</f>
        <v>Jan</v>
      </c>
      <c r="BP801" s="66">
        <f>YEAR(Prog_236[[#This Row],[PROGRAMAÇÃO CLIENTE]])</f>
        <v>1900</v>
      </c>
    </row>
    <row r="802" spans="1:68" x14ac:dyDescent="0.25">
      <c r="A802" s="201">
        <f>Prog_236[[#This Row],[CONTEINER]]</f>
        <v>0</v>
      </c>
      <c r="B802" s="86"/>
      <c r="C8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2" s="44"/>
      <c r="E802" s="66"/>
      <c r="F802" s="66"/>
      <c r="G802" s="66"/>
      <c r="H802" s="44"/>
      <c r="I802" s="44"/>
      <c r="J802" s="66"/>
      <c r="K802" s="66"/>
      <c r="L802" s="66"/>
      <c r="M802" s="66"/>
      <c r="N802" s="66">
        <f>SUM(Prog_236[[#This Row],[TARA]]+Prog_236[[#This Row],[PESO]])</f>
        <v>0</v>
      </c>
      <c r="O802" s="44"/>
      <c r="P802" s="66"/>
      <c r="Q802" s="66"/>
      <c r="R802" s="66"/>
      <c r="S802" s="66"/>
      <c r="T802" s="138" t="str">
        <f>IFERROR(LOOKUP($S802,MOTORISTAS!$D$3:$D$1048576,MOTORISTAS!E$3:$E$1048576),"")</f>
        <v/>
      </c>
      <c r="U802" s="138" t="str">
        <f>IFERROR(LOOKUP($S802,MOTORISTAS!$D$3:$D$1048576,MOTORISTAS!F$3:$F$1048576),"")</f>
        <v/>
      </c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44"/>
      <c r="AG802" s="254">
        <f>Prog_236[[#This Row],[SAÍDA DO CLIENTE]]-Prog_236[[#This Row],[PROGRAMAÇÃO CLIENTE]]</f>
        <v>0</v>
      </c>
      <c r="AH802" s="44"/>
      <c r="AI802" s="66"/>
      <c r="AJ802" s="66"/>
      <c r="AK802" s="66"/>
      <c r="AL802" s="66"/>
      <c r="AM802" s="66"/>
      <c r="AN802" s="83"/>
      <c r="AO802" s="66"/>
      <c r="AP802" s="66"/>
      <c r="AQ802" s="66"/>
      <c r="AR802" s="81"/>
      <c r="AS802" s="81"/>
      <c r="AT802" s="81"/>
      <c r="AU802" s="81"/>
      <c r="AV802" s="83">
        <f>SUM(Prog_236[[#This Row],[ADIANTAMENTO]]+Prog_236[[#This Row],[SALDO]]+Prog_236[[#This Row],[MARGEM]]+Prog_236[[#This Row],[ESTADIA 1]])</f>
        <v>0</v>
      </c>
      <c r="AW8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2" s="81"/>
      <c r="AY802" s="81"/>
      <c r="AZ802" s="81">
        <f>Prog_236[[#This Row],[VLR NF]]*0.1%</f>
        <v>0</v>
      </c>
      <c r="BA802" s="81">
        <f>Prog_236[[#This Row],[VLR NF]]*0.05%</f>
        <v>0</v>
      </c>
      <c r="BB802" s="81"/>
      <c r="BC802" s="81"/>
      <c r="BD802" s="81"/>
      <c r="BE802" s="81"/>
      <c r="BF802" s="81"/>
      <c r="BG802" s="81"/>
      <c r="BH802" s="81"/>
      <c r="BI802" s="81"/>
      <c r="BJ802" s="81"/>
      <c r="BK802" s="81"/>
      <c r="BL802" s="66"/>
      <c r="BM802" s="66"/>
      <c r="BN802" s="66"/>
      <c r="BO802" s="66" t="str">
        <f>PROPER(TEXT(Prog_236[[#This Row],[PROGRAMAÇÃO CLIENTE]],"mmm"))</f>
        <v>Jan</v>
      </c>
      <c r="BP802" s="66">
        <f>YEAR(Prog_236[[#This Row],[PROGRAMAÇÃO CLIENTE]])</f>
        <v>1900</v>
      </c>
    </row>
    <row r="803" spans="1:68" x14ac:dyDescent="0.25">
      <c r="A803" s="200">
        <f>Prog_236[[#This Row],[CONTEINER]]</f>
        <v>0</v>
      </c>
      <c r="B803" s="86"/>
      <c r="C8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3" s="44"/>
      <c r="E803" s="66"/>
      <c r="F803" s="66"/>
      <c r="G803" s="66"/>
      <c r="H803" s="44"/>
      <c r="I803" s="44"/>
      <c r="J803" s="66"/>
      <c r="K803" s="66"/>
      <c r="L803" s="66"/>
      <c r="M803" s="66"/>
      <c r="N803" s="66">
        <f>SUM(Prog_236[[#This Row],[TARA]]+Prog_236[[#This Row],[PESO]])</f>
        <v>0</v>
      </c>
      <c r="O803" s="44"/>
      <c r="P803" s="66"/>
      <c r="Q803" s="66"/>
      <c r="R803" s="66"/>
      <c r="S803" s="66"/>
      <c r="T803" s="138" t="str">
        <f>IFERROR(LOOKUP($S803,MOTORISTAS!$D$3:$D$1048576,MOTORISTAS!E$3:$E$1048576),"")</f>
        <v/>
      </c>
      <c r="U803" s="138" t="str">
        <f>IFERROR(LOOKUP($S803,MOTORISTAS!$D$3:$D$1048576,MOTORISTAS!F$3:$F$1048576),"")</f>
        <v/>
      </c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44"/>
      <c r="AG803" s="254">
        <f>Prog_236[[#This Row],[SAÍDA DO CLIENTE]]-Prog_236[[#This Row],[PROGRAMAÇÃO CLIENTE]]</f>
        <v>0</v>
      </c>
      <c r="AH803" s="44"/>
      <c r="AI803" s="66"/>
      <c r="AJ803" s="66"/>
      <c r="AK803" s="66"/>
      <c r="AL803" s="66"/>
      <c r="AM803" s="66"/>
      <c r="AN803" s="83"/>
      <c r="AO803" s="66"/>
      <c r="AP803" s="66"/>
      <c r="AQ803" s="66"/>
      <c r="AR803" s="81"/>
      <c r="AS803" s="81"/>
      <c r="AT803" s="81"/>
      <c r="AU803" s="81"/>
      <c r="AV803" s="83">
        <f>SUM(Prog_236[[#This Row],[ADIANTAMENTO]]+Prog_236[[#This Row],[SALDO]]+Prog_236[[#This Row],[MARGEM]]+Prog_236[[#This Row],[ESTADIA 1]])</f>
        <v>0</v>
      </c>
      <c r="AW8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3" s="81"/>
      <c r="AY803" s="81"/>
      <c r="AZ803" s="81">
        <f>Prog_236[[#This Row],[VLR NF]]*0.1%</f>
        <v>0</v>
      </c>
      <c r="BA803" s="81">
        <f>Prog_236[[#This Row],[VLR NF]]*0.05%</f>
        <v>0</v>
      </c>
      <c r="BB803" s="81"/>
      <c r="BC803" s="81"/>
      <c r="BD803" s="81"/>
      <c r="BE803" s="81"/>
      <c r="BF803" s="81"/>
      <c r="BG803" s="81"/>
      <c r="BH803" s="81"/>
      <c r="BI803" s="81"/>
      <c r="BJ803" s="81"/>
      <c r="BK803" s="81"/>
      <c r="BL803" s="66"/>
      <c r="BM803" s="66"/>
      <c r="BN803" s="66"/>
      <c r="BO803" s="66" t="str">
        <f>PROPER(TEXT(Prog_236[[#This Row],[PROGRAMAÇÃO CLIENTE]],"mmm"))</f>
        <v>Jan</v>
      </c>
      <c r="BP803" s="66">
        <f>YEAR(Prog_236[[#This Row],[PROGRAMAÇÃO CLIENTE]])</f>
        <v>1900</v>
      </c>
    </row>
    <row r="804" spans="1:68" x14ac:dyDescent="0.25">
      <c r="A804" s="201">
        <f>Prog_236[[#This Row],[CONTEINER]]</f>
        <v>0</v>
      </c>
      <c r="B804" s="86"/>
      <c r="C8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4" s="44"/>
      <c r="E804" s="66"/>
      <c r="F804" s="66"/>
      <c r="G804" s="66"/>
      <c r="H804" s="44"/>
      <c r="I804" s="44"/>
      <c r="J804" s="66"/>
      <c r="K804" s="66"/>
      <c r="L804" s="66"/>
      <c r="M804" s="66"/>
      <c r="N804" s="66">
        <f>SUM(Prog_236[[#This Row],[TARA]]+Prog_236[[#This Row],[PESO]])</f>
        <v>0</v>
      </c>
      <c r="O804" s="44"/>
      <c r="P804" s="66"/>
      <c r="Q804" s="66"/>
      <c r="R804" s="66"/>
      <c r="S804" s="66"/>
      <c r="T804" s="138" t="str">
        <f>IFERROR(LOOKUP($S804,MOTORISTAS!$D$3:$D$1048576,MOTORISTAS!E$3:$E$1048576),"")</f>
        <v/>
      </c>
      <c r="U804" s="138" t="str">
        <f>IFERROR(LOOKUP($S804,MOTORISTAS!$D$3:$D$1048576,MOTORISTAS!F$3:$F$1048576),"")</f>
        <v/>
      </c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44"/>
      <c r="AG804" s="254">
        <f>Prog_236[[#This Row],[SAÍDA DO CLIENTE]]-Prog_236[[#This Row],[PROGRAMAÇÃO CLIENTE]]</f>
        <v>0</v>
      </c>
      <c r="AH804" s="44"/>
      <c r="AI804" s="66"/>
      <c r="AJ804" s="66"/>
      <c r="AK804" s="66"/>
      <c r="AL804" s="66"/>
      <c r="AM804" s="66"/>
      <c r="AN804" s="83"/>
      <c r="AO804" s="66"/>
      <c r="AP804" s="66"/>
      <c r="AQ804" s="66"/>
      <c r="AR804" s="81"/>
      <c r="AS804" s="81"/>
      <c r="AT804" s="81"/>
      <c r="AU804" s="81"/>
      <c r="AV804" s="83">
        <f>SUM(Prog_236[[#This Row],[ADIANTAMENTO]]+Prog_236[[#This Row],[SALDO]]+Prog_236[[#This Row],[MARGEM]]+Prog_236[[#This Row],[ESTADIA 1]])</f>
        <v>0</v>
      </c>
      <c r="AW8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4" s="81"/>
      <c r="AY804" s="81"/>
      <c r="AZ804" s="81">
        <f>Prog_236[[#This Row],[VLR NF]]*0.1%</f>
        <v>0</v>
      </c>
      <c r="BA804" s="81">
        <f>Prog_236[[#This Row],[VLR NF]]*0.05%</f>
        <v>0</v>
      </c>
      <c r="BB804" s="81"/>
      <c r="BC804" s="81"/>
      <c r="BD804" s="81"/>
      <c r="BE804" s="81"/>
      <c r="BF804" s="81"/>
      <c r="BG804" s="81"/>
      <c r="BH804" s="81"/>
      <c r="BI804" s="81"/>
      <c r="BJ804" s="81"/>
      <c r="BK804" s="81"/>
      <c r="BL804" s="66"/>
      <c r="BM804" s="66"/>
      <c r="BN804" s="66"/>
      <c r="BO804" s="66" t="str">
        <f>PROPER(TEXT(Prog_236[[#This Row],[PROGRAMAÇÃO CLIENTE]],"mmm"))</f>
        <v>Jan</v>
      </c>
      <c r="BP804" s="66">
        <f>YEAR(Prog_236[[#This Row],[PROGRAMAÇÃO CLIENTE]])</f>
        <v>1900</v>
      </c>
    </row>
    <row r="805" spans="1:68" x14ac:dyDescent="0.25">
      <c r="A805" s="200">
        <f>Prog_236[[#This Row],[CONTEINER]]</f>
        <v>0</v>
      </c>
      <c r="B805" s="86"/>
      <c r="C8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5" s="44"/>
      <c r="E805" s="66"/>
      <c r="F805" s="66"/>
      <c r="G805" s="66"/>
      <c r="H805" s="44"/>
      <c r="I805" s="44"/>
      <c r="J805" s="66"/>
      <c r="K805" s="66"/>
      <c r="L805" s="66"/>
      <c r="M805" s="66"/>
      <c r="N805" s="66">
        <f>SUM(Prog_236[[#This Row],[TARA]]+Prog_236[[#This Row],[PESO]])</f>
        <v>0</v>
      </c>
      <c r="O805" s="44"/>
      <c r="P805" s="66"/>
      <c r="Q805" s="66"/>
      <c r="R805" s="66"/>
      <c r="S805" s="66"/>
      <c r="T805" s="138" t="str">
        <f>IFERROR(LOOKUP($S805,MOTORISTAS!$D$3:$D$1048576,MOTORISTAS!E$3:$E$1048576),"")</f>
        <v/>
      </c>
      <c r="U805" s="138" t="str">
        <f>IFERROR(LOOKUP($S805,MOTORISTAS!$D$3:$D$1048576,MOTORISTAS!F$3:$F$1048576),"")</f>
        <v/>
      </c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44"/>
      <c r="AG805" s="254">
        <f>Prog_236[[#This Row],[SAÍDA DO CLIENTE]]-Prog_236[[#This Row],[PROGRAMAÇÃO CLIENTE]]</f>
        <v>0</v>
      </c>
      <c r="AH805" s="44"/>
      <c r="AI805" s="66"/>
      <c r="AJ805" s="66"/>
      <c r="AK805" s="66"/>
      <c r="AL805" s="66"/>
      <c r="AM805" s="66"/>
      <c r="AN805" s="83"/>
      <c r="AO805" s="66"/>
      <c r="AP805" s="66"/>
      <c r="AQ805" s="66"/>
      <c r="AR805" s="81"/>
      <c r="AS805" s="81"/>
      <c r="AT805" s="81"/>
      <c r="AU805" s="81"/>
      <c r="AV805" s="83">
        <f>SUM(Prog_236[[#This Row],[ADIANTAMENTO]]+Prog_236[[#This Row],[SALDO]]+Prog_236[[#This Row],[MARGEM]]+Prog_236[[#This Row],[ESTADIA 1]])</f>
        <v>0</v>
      </c>
      <c r="AW8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5" s="81"/>
      <c r="AY805" s="81"/>
      <c r="AZ805" s="81">
        <f>Prog_236[[#This Row],[VLR NF]]*0.1%</f>
        <v>0</v>
      </c>
      <c r="BA805" s="81">
        <f>Prog_236[[#This Row],[VLR NF]]*0.05%</f>
        <v>0</v>
      </c>
      <c r="BB805" s="81"/>
      <c r="BC805" s="81"/>
      <c r="BD805" s="81"/>
      <c r="BE805" s="81"/>
      <c r="BF805" s="81"/>
      <c r="BG805" s="81"/>
      <c r="BH805" s="81"/>
      <c r="BI805" s="81"/>
      <c r="BJ805" s="81"/>
      <c r="BK805" s="81"/>
      <c r="BL805" s="66"/>
      <c r="BM805" s="66"/>
      <c r="BN805" s="66"/>
      <c r="BO805" s="66" t="str">
        <f>PROPER(TEXT(Prog_236[[#This Row],[PROGRAMAÇÃO CLIENTE]],"mmm"))</f>
        <v>Jan</v>
      </c>
      <c r="BP805" s="66">
        <f>YEAR(Prog_236[[#This Row],[PROGRAMAÇÃO CLIENTE]])</f>
        <v>1900</v>
      </c>
    </row>
    <row r="806" spans="1:68" x14ac:dyDescent="0.25">
      <c r="A806" s="201">
        <f>Prog_236[[#This Row],[CONTEINER]]</f>
        <v>0</v>
      </c>
      <c r="B806" s="86"/>
      <c r="C8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6" s="44"/>
      <c r="E806" s="66"/>
      <c r="F806" s="66"/>
      <c r="G806" s="66"/>
      <c r="H806" s="44"/>
      <c r="I806" s="44"/>
      <c r="J806" s="66"/>
      <c r="K806" s="66"/>
      <c r="L806" s="66"/>
      <c r="M806" s="66"/>
      <c r="N806" s="66">
        <f>SUM(Prog_236[[#This Row],[TARA]]+Prog_236[[#This Row],[PESO]])</f>
        <v>0</v>
      </c>
      <c r="O806" s="44"/>
      <c r="P806" s="66"/>
      <c r="Q806" s="66"/>
      <c r="R806" s="66"/>
      <c r="S806" s="66"/>
      <c r="T806" s="138" t="str">
        <f>IFERROR(LOOKUP($S806,MOTORISTAS!$D$3:$D$1048576,MOTORISTAS!E$3:$E$1048576),"")</f>
        <v/>
      </c>
      <c r="U806" s="138" t="str">
        <f>IFERROR(LOOKUP($S806,MOTORISTAS!$D$3:$D$1048576,MOTORISTAS!F$3:$F$1048576),"")</f>
        <v/>
      </c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44"/>
      <c r="AG806" s="254">
        <f>Prog_236[[#This Row],[SAÍDA DO CLIENTE]]-Prog_236[[#This Row],[PROGRAMAÇÃO CLIENTE]]</f>
        <v>0</v>
      </c>
      <c r="AH806" s="44"/>
      <c r="AI806" s="66"/>
      <c r="AJ806" s="66"/>
      <c r="AK806" s="66"/>
      <c r="AL806" s="66"/>
      <c r="AM806" s="66"/>
      <c r="AN806" s="83"/>
      <c r="AO806" s="66"/>
      <c r="AP806" s="66"/>
      <c r="AQ806" s="66"/>
      <c r="AR806" s="81"/>
      <c r="AS806" s="81"/>
      <c r="AT806" s="81"/>
      <c r="AU806" s="81"/>
      <c r="AV806" s="83">
        <f>SUM(Prog_236[[#This Row],[ADIANTAMENTO]]+Prog_236[[#This Row],[SALDO]]+Prog_236[[#This Row],[MARGEM]]+Prog_236[[#This Row],[ESTADIA 1]])</f>
        <v>0</v>
      </c>
      <c r="AW8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6" s="81"/>
      <c r="AY806" s="81"/>
      <c r="AZ806" s="81">
        <f>Prog_236[[#This Row],[VLR NF]]*0.1%</f>
        <v>0</v>
      </c>
      <c r="BA806" s="81">
        <f>Prog_236[[#This Row],[VLR NF]]*0.05%</f>
        <v>0</v>
      </c>
      <c r="BB806" s="81"/>
      <c r="BC806" s="81"/>
      <c r="BD806" s="81"/>
      <c r="BE806" s="81"/>
      <c r="BF806" s="81"/>
      <c r="BG806" s="81"/>
      <c r="BH806" s="81"/>
      <c r="BI806" s="81"/>
      <c r="BJ806" s="81"/>
      <c r="BK806" s="81"/>
      <c r="BL806" s="66"/>
      <c r="BM806" s="66"/>
      <c r="BN806" s="66"/>
      <c r="BO806" s="66" t="str">
        <f>PROPER(TEXT(Prog_236[[#This Row],[PROGRAMAÇÃO CLIENTE]],"mmm"))</f>
        <v>Jan</v>
      </c>
      <c r="BP806" s="66">
        <f>YEAR(Prog_236[[#This Row],[PROGRAMAÇÃO CLIENTE]])</f>
        <v>1900</v>
      </c>
    </row>
    <row r="807" spans="1:68" x14ac:dyDescent="0.25">
      <c r="A807" s="200">
        <f>Prog_236[[#This Row],[CONTEINER]]</f>
        <v>0</v>
      </c>
      <c r="B807" s="86"/>
      <c r="C8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7" s="44"/>
      <c r="E807" s="66"/>
      <c r="F807" s="66"/>
      <c r="G807" s="66"/>
      <c r="H807" s="44"/>
      <c r="I807" s="44"/>
      <c r="J807" s="66"/>
      <c r="K807" s="66"/>
      <c r="L807" s="66"/>
      <c r="M807" s="66"/>
      <c r="N807" s="66">
        <f>SUM(Prog_236[[#This Row],[TARA]]+Prog_236[[#This Row],[PESO]])</f>
        <v>0</v>
      </c>
      <c r="O807" s="44"/>
      <c r="P807" s="66"/>
      <c r="Q807" s="66"/>
      <c r="R807" s="66"/>
      <c r="S807" s="66"/>
      <c r="T807" s="138" t="str">
        <f>IFERROR(LOOKUP($S807,MOTORISTAS!$D$3:$D$1048576,MOTORISTAS!E$3:$E$1048576),"")</f>
        <v/>
      </c>
      <c r="U807" s="138" t="str">
        <f>IFERROR(LOOKUP($S807,MOTORISTAS!$D$3:$D$1048576,MOTORISTAS!F$3:$F$1048576),"")</f>
        <v/>
      </c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44"/>
      <c r="AG807" s="254">
        <f>Prog_236[[#This Row],[SAÍDA DO CLIENTE]]-Prog_236[[#This Row],[PROGRAMAÇÃO CLIENTE]]</f>
        <v>0</v>
      </c>
      <c r="AH807" s="44"/>
      <c r="AI807" s="66"/>
      <c r="AJ807" s="66"/>
      <c r="AK807" s="66"/>
      <c r="AL807" s="66"/>
      <c r="AM807" s="66"/>
      <c r="AN807" s="83"/>
      <c r="AO807" s="66"/>
      <c r="AP807" s="66"/>
      <c r="AQ807" s="66"/>
      <c r="AR807" s="81"/>
      <c r="AS807" s="81"/>
      <c r="AT807" s="81"/>
      <c r="AU807" s="81"/>
      <c r="AV807" s="83">
        <f>SUM(Prog_236[[#This Row],[ADIANTAMENTO]]+Prog_236[[#This Row],[SALDO]]+Prog_236[[#This Row],[MARGEM]]+Prog_236[[#This Row],[ESTADIA 1]])</f>
        <v>0</v>
      </c>
      <c r="AW8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7" s="81"/>
      <c r="AY807" s="81"/>
      <c r="AZ807" s="81">
        <f>Prog_236[[#This Row],[VLR NF]]*0.1%</f>
        <v>0</v>
      </c>
      <c r="BA807" s="81">
        <f>Prog_236[[#This Row],[VLR NF]]*0.05%</f>
        <v>0</v>
      </c>
      <c r="BB807" s="81"/>
      <c r="BC807" s="81"/>
      <c r="BD807" s="81"/>
      <c r="BE807" s="81"/>
      <c r="BF807" s="81"/>
      <c r="BG807" s="81"/>
      <c r="BH807" s="81"/>
      <c r="BI807" s="81"/>
      <c r="BJ807" s="81"/>
      <c r="BK807" s="81"/>
      <c r="BL807" s="66"/>
      <c r="BM807" s="66"/>
      <c r="BN807" s="66"/>
      <c r="BO807" s="66" t="str">
        <f>PROPER(TEXT(Prog_236[[#This Row],[PROGRAMAÇÃO CLIENTE]],"mmm"))</f>
        <v>Jan</v>
      </c>
      <c r="BP807" s="66">
        <f>YEAR(Prog_236[[#This Row],[PROGRAMAÇÃO CLIENTE]])</f>
        <v>1900</v>
      </c>
    </row>
    <row r="808" spans="1:68" x14ac:dyDescent="0.25">
      <c r="A808" s="201">
        <f>Prog_236[[#This Row],[CONTEINER]]</f>
        <v>0</v>
      </c>
      <c r="B808" s="86"/>
      <c r="C8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8" s="44"/>
      <c r="E808" s="66"/>
      <c r="F808" s="66"/>
      <c r="G808" s="66"/>
      <c r="H808" s="44"/>
      <c r="I808" s="44"/>
      <c r="J808" s="66"/>
      <c r="K808" s="66"/>
      <c r="L808" s="66"/>
      <c r="M808" s="66"/>
      <c r="N808" s="66">
        <f>SUM(Prog_236[[#This Row],[TARA]]+Prog_236[[#This Row],[PESO]])</f>
        <v>0</v>
      </c>
      <c r="O808" s="44"/>
      <c r="P808" s="66"/>
      <c r="Q808" s="66"/>
      <c r="R808" s="66"/>
      <c r="S808" s="66"/>
      <c r="T808" s="138" t="str">
        <f>IFERROR(LOOKUP($S808,MOTORISTAS!$D$3:$D$1048576,MOTORISTAS!E$3:$E$1048576),"")</f>
        <v/>
      </c>
      <c r="U808" s="138" t="str">
        <f>IFERROR(LOOKUP($S808,MOTORISTAS!$D$3:$D$1048576,MOTORISTAS!F$3:$F$1048576),"")</f>
        <v/>
      </c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44"/>
      <c r="AG808" s="254">
        <f>Prog_236[[#This Row],[SAÍDA DO CLIENTE]]-Prog_236[[#This Row],[PROGRAMAÇÃO CLIENTE]]</f>
        <v>0</v>
      </c>
      <c r="AH808" s="44"/>
      <c r="AI808" s="66"/>
      <c r="AJ808" s="66"/>
      <c r="AK808" s="66"/>
      <c r="AL808" s="66"/>
      <c r="AM808" s="66"/>
      <c r="AN808" s="83"/>
      <c r="AO808" s="66"/>
      <c r="AP808" s="66"/>
      <c r="AQ808" s="66"/>
      <c r="AR808" s="81"/>
      <c r="AS808" s="81"/>
      <c r="AT808" s="81"/>
      <c r="AU808" s="81"/>
      <c r="AV808" s="83">
        <f>SUM(Prog_236[[#This Row],[ADIANTAMENTO]]+Prog_236[[#This Row],[SALDO]]+Prog_236[[#This Row],[MARGEM]]+Prog_236[[#This Row],[ESTADIA 1]])</f>
        <v>0</v>
      </c>
      <c r="AW8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8" s="81"/>
      <c r="AY808" s="81"/>
      <c r="AZ808" s="81">
        <f>Prog_236[[#This Row],[VLR NF]]*0.1%</f>
        <v>0</v>
      </c>
      <c r="BA808" s="81">
        <f>Prog_236[[#This Row],[VLR NF]]*0.05%</f>
        <v>0</v>
      </c>
      <c r="BB808" s="81"/>
      <c r="BC808" s="81"/>
      <c r="BD808" s="81"/>
      <c r="BE808" s="81"/>
      <c r="BF808" s="81"/>
      <c r="BG808" s="81"/>
      <c r="BH808" s="81"/>
      <c r="BI808" s="81"/>
      <c r="BJ808" s="81"/>
      <c r="BK808" s="81"/>
      <c r="BL808" s="66"/>
      <c r="BM808" s="66"/>
      <c r="BN808" s="66"/>
      <c r="BO808" s="66" t="str">
        <f>PROPER(TEXT(Prog_236[[#This Row],[PROGRAMAÇÃO CLIENTE]],"mmm"))</f>
        <v>Jan</v>
      </c>
      <c r="BP808" s="66">
        <f>YEAR(Prog_236[[#This Row],[PROGRAMAÇÃO CLIENTE]])</f>
        <v>1900</v>
      </c>
    </row>
    <row r="809" spans="1:68" x14ac:dyDescent="0.25">
      <c r="A809" s="200">
        <f>Prog_236[[#This Row],[CONTEINER]]</f>
        <v>0</v>
      </c>
      <c r="B809" s="86"/>
      <c r="C8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09" s="44"/>
      <c r="E809" s="66"/>
      <c r="F809" s="66"/>
      <c r="G809" s="66"/>
      <c r="H809" s="44"/>
      <c r="I809" s="44"/>
      <c r="J809" s="66"/>
      <c r="K809" s="66"/>
      <c r="L809" s="66"/>
      <c r="M809" s="66"/>
      <c r="N809" s="66">
        <f>SUM(Prog_236[[#This Row],[TARA]]+Prog_236[[#This Row],[PESO]])</f>
        <v>0</v>
      </c>
      <c r="O809" s="44"/>
      <c r="P809" s="66"/>
      <c r="Q809" s="66"/>
      <c r="R809" s="66"/>
      <c r="S809" s="66"/>
      <c r="T809" s="138" t="str">
        <f>IFERROR(LOOKUP($S809,MOTORISTAS!$D$3:$D$1048576,MOTORISTAS!E$3:$E$1048576),"")</f>
        <v/>
      </c>
      <c r="U809" s="138" t="str">
        <f>IFERROR(LOOKUP($S809,MOTORISTAS!$D$3:$D$1048576,MOTORISTAS!F$3:$F$1048576),"")</f>
        <v/>
      </c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44"/>
      <c r="AG809" s="254">
        <f>Prog_236[[#This Row],[SAÍDA DO CLIENTE]]-Prog_236[[#This Row],[PROGRAMAÇÃO CLIENTE]]</f>
        <v>0</v>
      </c>
      <c r="AH809" s="44"/>
      <c r="AI809" s="66"/>
      <c r="AJ809" s="66"/>
      <c r="AK809" s="66"/>
      <c r="AL809" s="66"/>
      <c r="AM809" s="66"/>
      <c r="AN809" s="83"/>
      <c r="AO809" s="66"/>
      <c r="AP809" s="66"/>
      <c r="AQ809" s="66"/>
      <c r="AR809" s="81"/>
      <c r="AS809" s="81"/>
      <c r="AT809" s="81"/>
      <c r="AU809" s="81"/>
      <c r="AV809" s="83">
        <f>SUM(Prog_236[[#This Row],[ADIANTAMENTO]]+Prog_236[[#This Row],[SALDO]]+Prog_236[[#This Row],[MARGEM]]+Prog_236[[#This Row],[ESTADIA 1]])</f>
        <v>0</v>
      </c>
      <c r="AW8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09" s="81"/>
      <c r="AY809" s="81"/>
      <c r="AZ809" s="81">
        <f>Prog_236[[#This Row],[VLR NF]]*0.1%</f>
        <v>0</v>
      </c>
      <c r="BA809" s="81">
        <f>Prog_236[[#This Row],[VLR NF]]*0.05%</f>
        <v>0</v>
      </c>
      <c r="BB809" s="81"/>
      <c r="BC809" s="81"/>
      <c r="BD809" s="81"/>
      <c r="BE809" s="81"/>
      <c r="BF809" s="81"/>
      <c r="BG809" s="81"/>
      <c r="BH809" s="81"/>
      <c r="BI809" s="81"/>
      <c r="BJ809" s="81"/>
      <c r="BK809" s="81"/>
      <c r="BL809" s="66"/>
      <c r="BM809" s="66"/>
      <c r="BN809" s="66"/>
      <c r="BO809" s="66" t="str">
        <f>PROPER(TEXT(Prog_236[[#This Row],[PROGRAMAÇÃO CLIENTE]],"mmm"))</f>
        <v>Jan</v>
      </c>
      <c r="BP809" s="66">
        <f>YEAR(Prog_236[[#This Row],[PROGRAMAÇÃO CLIENTE]])</f>
        <v>1900</v>
      </c>
    </row>
    <row r="810" spans="1:68" x14ac:dyDescent="0.25">
      <c r="A810" s="201">
        <f>Prog_236[[#This Row],[CONTEINER]]</f>
        <v>0</v>
      </c>
      <c r="B810" s="86"/>
      <c r="C8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0" s="44"/>
      <c r="E810" s="66"/>
      <c r="F810" s="66"/>
      <c r="G810" s="66"/>
      <c r="H810" s="44"/>
      <c r="I810" s="44"/>
      <c r="J810" s="66"/>
      <c r="K810" s="66"/>
      <c r="L810" s="66"/>
      <c r="M810" s="66"/>
      <c r="N810" s="66">
        <f>SUM(Prog_236[[#This Row],[TARA]]+Prog_236[[#This Row],[PESO]])</f>
        <v>0</v>
      </c>
      <c r="O810" s="44"/>
      <c r="P810" s="66"/>
      <c r="Q810" s="66"/>
      <c r="R810" s="66"/>
      <c r="S810" s="66"/>
      <c r="T810" s="138" t="str">
        <f>IFERROR(LOOKUP($S810,MOTORISTAS!$D$3:$D$1048576,MOTORISTAS!E$3:$E$1048576),"")</f>
        <v/>
      </c>
      <c r="U810" s="138" t="str">
        <f>IFERROR(LOOKUP($S810,MOTORISTAS!$D$3:$D$1048576,MOTORISTAS!F$3:$F$1048576),"")</f>
        <v/>
      </c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44"/>
      <c r="AG810" s="254">
        <f>Prog_236[[#This Row],[SAÍDA DO CLIENTE]]-Prog_236[[#This Row],[PROGRAMAÇÃO CLIENTE]]</f>
        <v>0</v>
      </c>
      <c r="AH810" s="44"/>
      <c r="AI810" s="66"/>
      <c r="AJ810" s="66"/>
      <c r="AK810" s="66"/>
      <c r="AL810" s="66"/>
      <c r="AM810" s="66"/>
      <c r="AN810" s="83"/>
      <c r="AO810" s="66"/>
      <c r="AP810" s="66"/>
      <c r="AQ810" s="66"/>
      <c r="AR810" s="81"/>
      <c r="AS810" s="81"/>
      <c r="AT810" s="81"/>
      <c r="AU810" s="81"/>
      <c r="AV810" s="83">
        <f>SUM(Prog_236[[#This Row],[ADIANTAMENTO]]+Prog_236[[#This Row],[SALDO]]+Prog_236[[#This Row],[MARGEM]]+Prog_236[[#This Row],[ESTADIA 1]])</f>
        <v>0</v>
      </c>
      <c r="AW8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0" s="81"/>
      <c r="AY810" s="81"/>
      <c r="AZ810" s="81">
        <f>Prog_236[[#This Row],[VLR NF]]*0.1%</f>
        <v>0</v>
      </c>
      <c r="BA810" s="81">
        <f>Prog_236[[#This Row],[VLR NF]]*0.05%</f>
        <v>0</v>
      </c>
      <c r="BB810" s="81"/>
      <c r="BC810" s="81"/>
      <c r="BD810" s="81"/>
      <c r="BE810" s="81"/>
      <c r="BF810" s="81"/>
      <c r="BG810" s="81"/>
      <c r="BH810" s="81"/>
      <c r="BI810" s="81"/>
      <c r="BJ810" s="81"/>
      <c r="BK810" s="81"/>
      <c r="BL810" s="66"/>
      <c r="BM810" s="66"/>
      <c r="BN810" s="66"/>
      <c r="BO810" s="66" t="str">
        <f>PROPER(TEXT(Prog_236[[#This Row],[PROGRAMAÇÃO CLIENTE]],"mmm"))</f>
        <v>Jan</v>
      </c>
      <c r="BP810" s="66">
        <f>YEAR(Prog_236[[#This Row],[PROGRAMAÇÃO CLIENTE]])</f>
        <v>1900</v>
      </c>
    </row>
    <row r="811" spans="1:68" x14ac:dyDescent="0.25">
      <c r="A811" s="200">
        <f>Prog_236[[#This Row],[CONTEINER]]</f>
        <v>0</v>
      </c>
      <c r="B811" s="86"/>
      <c r="C8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1" s="44"/>
      <c r="E811" s="66"/>
      <c r="F811" s="66"/>
      <c r="G811" s="66"/>
      <c r="H811" s="44"/>
      <c r="I811" s="44"/>
      <c r="J811" s="66"/>
      <c r="K811" s="66"/>
      <c r="L811" s="66"/>
      <c r="M811" s="66"/>
      <c r="N811" s="66">
        <f>SUM(Prog_236[[#This Row],[TARA]]+Prog_236[[#This Row],[PESO]])</f>
        <v>0</v>
      </c>
      <c r="O811" s="44"/>
      <c r="P811" s="66"/>
      <c r="Q811" s="66"/>
      <c r="R811" s="66"/>
      <c r="S811" s="66"/>
      <c r="T811" s="138" t="str">
        <f>IFERROR(LOOKUP($S811,MOTORISTAS!$D$3:$D$1048576,MOTORISTAS!E$3:$E$1048576),"")</f>
        <v/>
      </c>
      <c r="U811" s="138" t="str">
        <f>IFERROR(LOOKUP($S811,MOTORISTAS!$D$3:$D$1048576,MOTORISTAS!F$3:$F$1048576),"")</f>
        <v/>
      </c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44"/>
      <c r="AG811" s="254">
        <f>Prog_236[[#This Row],[SAÍDA DO CLIENTE]]-Prog_236[[#This Row],[PROGRAMAÇÃO CLIENTE]]</f>
        <v>0</v>
      </c>
      <c r="AH811" s="44"/>
      <c r="AI811" s="66"/>
      <c r="AJ811" s="66"/>
      <c r="AK811" s="66"/>
      <c r="AL811" s="66"/>
      <c r="AM811" s="66"/>
      <c r="AN811" s="83"/>
      <c r="AO811" s="66"/>
      <c r="AP811" s="66"/>
      <c r="AQ811" s="66"/>
      <c r="AR811" s="81"/>
      <c r="AS811" s="81"/>
      <c r="AT811" s="81"/>
      <c r="AU811" s="81"/>
      <c r="AV811" s="83">
        <f>SUM(Prog_236[[#This Row],[ADIANTAMENTO]]+Prog_236[[#This Row],[SALDO]]+Prog_236[[#This Row],[MARGEM]]+Prog_236[[#This Row],[ESTADIA 1]])</f>
        <v>0</v>
      </c>
      <c r="AW8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1" s="81"/>
      <c r="AY811" s="81"/>
      <c r="AZ811" s="81">
        <f>Prog_236[[#This Row],[VLR NF]]*0.1%</f>
        <v>0</v>
      </c>
      <c r="BA811" s="81">
        <f>Prog_236[[#This Row],[VLR NF]]*0.05%</f>
        <v>0</v>
      </c>
      <c r="BB811" s="81"/>
      <c r="BC811" s="81"/>
      <c r="BD811" s="81"/>
      <c r="BE811" s="81"/>
      <c r="BF811" s="81"/>
      <c r="BG811" s="81"/>
      <c r="BH811" s="81"/>
      <c r="BI811" s="81"/>
      <c r="BJ811" s="81"/>
      <c r="BK811" s="81"/>
      <c r="BL811" s="66"/>
      <c r="BM811" s="66"/>
      <c r="BN811" s="66"/>
      <c r="BO811" s="66" t="str">
        <f>PROPER(TEXT(Prog_236[[#This Row],[PROGRAMAÇÃO CLIENTE]],"mmm"))</f>
        <v>Jan</v>
      </c>
      <c r="BP811" s="66">
        <f>YEAR(Prog_236[[#This Row],[PROGRAMAÇÃO CLIENTE]])</f>
        <v>1900</v>
      </c>
    </row>
    <row r="812" spans="1:68" x14ac:dyDescent="0.25">
      <c r="A812" s="201">
        <f>Prog_236[[#This Row],[CONTEINER]]</f>
        <v>0</v>
      </c>
      <c r="B812" s="86"/>
      <c r="C8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2" s="44"/>
      <c r="E812" s="66"/>
      <c r="F812" s="66"/>
      <c r="G812" s="66"/>
      <c r="H812" s="44"/>
      <c r="I812" s="44"/>
      <c r="J812" s="66"/>
      <c r="K812" s="66"/>
      <c r="L812" s="66"/>
      <c r="M812" s="66"/>
      <c r="N812" s="66">
        <f>SUM(Prog_236[[#This Row],[TARA]]+Prog_236[[#This Row],[PESO]])</f>
        <v>0</v>
      </c>
      <c r="O812" s="44"/>
      <c r="P812" s="66"/>
      <c r="Q812" s="66"/>
      <c r="R812" s="66"/>
      <c r="S812" s="66"/>
      <c r="T812" s="138" t="str">
        <f>IFERROR(LOOKUP($S812,MOTORISTAS!$D$3:$D$1048576,MOTORISTAS!E$3:$E$1048576),"")</f>
        <v/>
      </c>
      <c r="U812" s="138" t="str">
        <f>IFERROR(LOOKUP($S812,MOTORISTAS!$D$3:$D$1048576,MOTORISTAS!F$3:$F$1048576),"")</f>
        <v/>
      </c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44"/>
      <c r="AG812" s="254">
        <f>Prog_236[[#This Row],[SAÍDA DO CLIENTE]]-Prog_236[[#This Row],[PROGRAMAÇÃO CLIENTE]]</f>
        <v>0</v>
      </c>
      <c r="AH812" s="44"/>
      <c r="AI812" s="66"/>
      <c r="AJ812" s="66"/>
      <c r="AK812" s="66"/>
      <c r="AL812" s="66"/>
      <c r="AM812" s="66"/>
      <c r="AN812" s="83"/>
      <c r="AO812" s="66"/>
      <c r="AP812" s="66"/>
      <c r="AQ812" s="66"/>
      <c r="AR812" s="81"/>
      <c r="AS812" s="81"/>
      <c r="AT812" s="81"/>
      <c r="AU812" s="81"/>
      <c r="AV812" s="83">
        <f>SUM(Prog_236[[#This Row],[ADIANTAMENTO]]+Prog_236[[#This Row],[SALDO]]+Prog_236[[#This Row],[MARGEM]]+Prog_236[[#This Row],[ESTADIA 1]])</f>
        <v>0</v>
      </c>
      <c r="AW8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2" s="81"/>
      <c r="AY812" s="81"/>
      <c r="AZ812" s="81">
        <f>Prog_236[[#This Row],[VLR NF]]*0.1%</f>
        <v>0</v>
      </c>
      <c r="BA812" s="81">
        <f>Prog_236[[#This Row],[VLR NF]]*0.05%</f>
        <v>0</v>
      </c>
      <c r="BB812" s="81"/>
      <c r="BC812" s="81"/>
      <c r="BD812" s="81"/>
      <c r="BE812" s="81"/>
      <c r="BF812" s="81"/>
      <c r="BG812" s="81"/>
      <c r="BH812" s="81"/>
      <c r="BI812" s="81"/>
      <c r="BJ812" s="81"/>
      <c r="BK812" s="81"/>
      <c r="BL812" s="66"/>
      <c r="BM812" s="66"/>
      <c r="BN812" s="66"/>
      <c r="BO812" s="66" t="str">
        <f>PROPER(TEXT(Prog_236[[#This Row],[PROGRAMAÇÃO CLIENTE]],"mmm"))</f>
        <v>Jan</v>
      </c>
      <c r="BP812" s="66">
        <f>YEAR(Prog_236[[#This Row],[PROGRAMAÇÃO CLIENTE]])</f>
        <v>1900</v>
      </c>
    </row>
    <row r="813" spans="1:68" x14ac:dyDescent="0.25">
      <c r="A813" s="200">
        <f>Prog_236[[#This Row],[CONTEINER]]</f>
        <v>0</v>
      </c>
      <c r="B813" s="86"/>
      <c r="C8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3" s="44"/>
      <c r="E813" s="66"/>
      <c r="F813" s="66"/>
      <c r="G813" s="66"/>
      <c r="H813" s="44"/>
      <c r="I813" s="44"/>
      <c r="J813" s="66"/>
      <c r="K813" s="66"/>
      <c r="L813" s="66"/>
      <c r="M813" s="66"/>
      <c r="N813" s="66">
        <f>SUM(Prog_236[[#This Row],[TARA]]+Prog_236[[#This Row],[PESO]])</f>
        <v>0</v>
      </c>
      <c r="O813" s="44"/>
      <c r="P813" s="66"/>
      <c r="Q813" s="66"/>
      <c r="R813" s="66"/>
      <c r="S813" s="66"/>
      <c r="T813" s="138" t="str">
        <f>IFERROR(LOOKUP($S813,MOTORISTAS!$D$3:$D$1048576,MOTORISTAS!E$3:$E$1048576),"")</f>
        <v/>
      </c>
      <c r="U813" s="138" t="str">
        <f>IFERROR(LOOKUP($S813,MOTORISTAS!$D$3:$D$1048576,MOTORISTAS!F$3:$F$1048576),"")</f>
        <v/>
      </c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44"/>
      <c r="AG813" s="254">
        <f>Prog_236[[#This Row],[SAÍDA DO CLIENTE]]-Prog_236[[#This Row],[PROGRAMAÇÃO CLIENTE]]</f>
        <v>0</v>
      </c>
      <c r="AH813" s="44"/>
      <c r="AI813" s="66"/>
      <c r="AJ813" s="66"/>
      <c r="AK813" s="66"/>
      <c r="AL813" s="66"/>
      <c r="AM813" s="66"/>
      <c r="AN813" s="83"/>
      <c r="AO813" s="66"/>
      <c r="AP813" s="66"/>
      <c r="AQ813" s="66"/>
      <c r="AR813" s="81"/>
      <c r="AS813" s="81"/>
      <c r="AT813" s="81"/>
      <c r="AU813" s="81"/>
      <c r="AV813" s="83">
        <f>SUM(Prog_236[[#This Row],[ADIANTAMENTO]]+Prog_236[[#This Row],[SALDO]]+Prog_236[[#This Row],[MARGEM]]+Prog_236[[#This Row],[ESTADIA 1]])</f>
        <v>0</v>
      </c>
      <c r="AW8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3" s="81"/>
      <c r="AY813" s="81"/>
      <c r="AZ813" s="81">
        <f>Prog_236[[#This Row],[VLR NF]]*0.1%</f>
        <v>0</v>
      </c>
      <c r="BA813" s="81">
        <f>Prog_236[[#This Row],[VLR NF]]*0.05%</f>
        <v>0</v>
      </c>
      <c r="BB813" s="81"/>
      <c r="BC813" s="81"/>
      <c r="BD813" s="81"/>
      <c r="BE813" s="81"/>
      <c r="BF813" s="81"/>
      <c r="BG813" s="81"/>
      <c r="BH813" s="81"/>
      <c r="BI813" s="81"/>
      <c r="BJ813" s="81"/>
      <c r="BK813" s="81"/>
      <c r="BL813" s="66"/>
      <c r="BM813" s="66"/>
      <c r="BN813" s="66"/>
      <c r="BO813" s="66" t="str">
        <f>PROPER(TEXT(Prog_236[[#This Row],[PROGRAMAÇÃO CLIENTE]],"mmm"))</f>
        <v>Jan</v>
      </c>
      <c r="BP813" s="66">
        <f>YEAR(Prog_236[[#This Row],[PROGRAMAÇÃO CLIENTE]])</f>
        <v>1900</v>
      </c>
    </row>
    <row r="814" spans="1:68" x14ac:dyDescent="0.25">
      <c r="A814" s="201">
        <f>Prog_236[[#This Row],[CONTEINER]]</f>
        <v>0</v>
      </c>
      <c r="B814" s="86"/>
      <c r="C8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4" s="44"/>
      <c r="E814" s="66"/>
      <c r="F814" s="66"/>
      <c r="G814" s="66"/>
      <c r="H814" s="44"/>
      <c r="I814" s="44"/>
      <c r="J814" s="66"/>
      <c r="K814" s="66"/>
      <c r="L814" s="66"/>
      <c r="M814" s="66"/>
      <c r="N814" s="66">
        <f>SUM(Prog_236[[#This Row],[TARA]]+Prog_236[[#This Row],[PESO]])</f>
        <v>0</v>
      </c>
      <c r="O814" s="44"/>
      <c r="P814" s="66"/>
      <c r="Q814" s="66"/>
      <c r="R814" s="66"/>
      <c r="S814" s="66"/>
      <c r="T814" s="138" t="str">
        <f>IFERROR(LOOKUP($S814,MOTORISTAS!$D$3:$D$1048576,MOTORISTAS!E$3:$E$1048576),"")</f>
        <v/>
      </c>
      <c r="U814" s="138" t="str">
        <f>IFERROR(LOOKUP($S814,MOTORISTAS!$D$3:$D$1048576,MOTORISTAS!F$3:$F$1048576),"")</f>
        <v/>
      </c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44"/>
      <c r="AG814" s="254">
        <f>Prog_236[[#This Row],[SAÍDA DO CLIENTE]]-Prog_236[[#This Row],[PROGRAMAÇÃO CLIENTE]]</f>
        <v>0</v>
      </c>
      <c r="AH814" s="44"/>
      <c r="AI814" s="66"/>
      <c r="AJ814" s="66"/>
      <c r="AK814" s="66"/>
      <c r="AL814" s="66"/>
      <c r="AM814" s="66"/>
      <c r="AN814" s="83"/>
      <c r="AO814" s="66"/>
      <c r="AP814" s="66"/>
      <c r="AQ814" s="66"/>
      <c r="AR814" s="81"/>
      <c r="AS814" s="81"/>
      <c r="AT814" s="81"/>
      <c r="AU814" s="81"/>
      <c r="AV814" s="83">
        <f>SUM(Prog_236[[#This Row],[ADIANTAMENTO]]+Prog_236[[#This Row],[SALDO]]+Prog_236[[#This Row],[MARGEM]]+Prog_236[[#This Row],[ESTADIA 1]])</f>
        <v>0</v>
      </c>
      <c r="AW8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4" s="81"/>
      <c r="AY814" s="81"/>
      <c r="AZ814" s="81">
        <f>Prog_236[[#This Row],[VLR NF]]*0.1%</f>
        <v>0</v>
      </c>
      <c r="BA814" s="81">
        <f>Prog_236[[#This Row],[VLR NF]]*0.05%</f>
        <v>0</v>
      </c>
      <c r="BB814" s="81"/>
      <c r="BC814" s="81"/>
      <c r="BD814" s="81"/>
      <c r="BE814" s="81"/>
      <c r="BF814" s="81"/>
      <c r="BG814" s="81"/>
      <c r="BH814" s="81"/>
      <c r="BI814" s="81"/>
      <c r="BJ814" s="81"/>
      <c r="BK814" s="81"/>
      <c r="BL814" s="66"/>
      <c r="BM814" s="66"/>
      <c r="BN814" s="66"/>
      <c r="BO814" s="66" t="str">
        <f>PROPER(TEXT(Prog_236[[#This Row],[PROGRAMAÇÃO CLIENTE]],"mmm"))</f>
        <v>Jan</v>
      </c>
      <c r="BP814" s="66">
        <f>YEAR(Prog_236[[#This Row],[PROGRAMAÇÃO CLIENTE]])</f>
        <v>1900</v>
      </c>
    </row>
    <row r="815" spans="1:68" x14ac:dyDescent="0.25">
      <c r="A815" s="200">
        <f>Prog_236[[#This Row],[CONTEINER]]</f>
        <v>0</v>
      </c>
      <c r="B815" s="86"/>
      <c r="C8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5" s="44"/>
      <c r="E815" s="66"/>
      <c r="F815" s="66"/>
      <c r="G815" s="66"/>
      <c r="H815" s="44"/>
      <c r="I815" s="44"/>
      <c r="J815" s="66"/>
      <c r="K815" s="66"/>
      <c r="L815" s="66"/>
      <c r="M815" s="66"/>
      <c r="N815" s="66">
        <f>SUM(Prog_236[[#This Row],[TARA]]+Prog_236[[#This Row],[PESO]])</f>
        <v>0</v>
      </c>
      <c r="O815" s="44"/>
      <c r="P815" s="66"/>
      <c r="Q815" s="66"/>
      <c r="R815" s="66"/>
      <c r="S815" s="66"/>
      <c r="T815" s="138" t="str">
        <f>IFERROR(LOOKUP($S815,MOTORISTAS!$D$3:$D$1048576,MOTORISTAS!E$3:$E$1048576),"")</f>
        <v/>
      </c>
      <c r="U815" s="138" t="str">
        <f>IFERROR(LOOKUP($S815,MOTORISTAS!$D$3:$D$1048576,MOTORISTAS!F$3:$F$1048576),"")</f>
        <v/>
      </c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44"/>
      <c r="AG815" s="254">
        <f>Prog_236[[#This Row],[SAÍDA DO CLIENTE]]-Prog_236[[#This Row],[PROGRAMAÇÃO CLIENTE]]</f>
        <v>0</v>
      </c>
      <c r="AH815" s="44"/>
      <c r="AI815" s="66"/>
      <c r="AJ815" s="66"/>
      <c r="AK815" s="66"/>
      <c r="AL815" s="66"/>
      <c r="AM815" s="66"/>
      <c r="AN815" s="83"/>
      <c r="AO815" s="66"/>
      <c r="AP815" s="66"/>
      <c r="AQ815" s="66"/>
      <c r="AR815" s="81"/>
      <c r="AS815" s="81"/>
      <c r="AT815" s="81"/>
      <c r="AU815" s="81"/>
      <c r="AV815" s="83">
        <f>SUM(Prog_236[[#This Row],[ADIANTAMENTO]]+Prog_236[[#This Row],[SALDO]]+Prog_236[[#This Row],[MARGEM]]+Prog_236[[#This Row],[ESTADIA 1]])</f>
        <v>0</v>
      </c>
      <c r="AW8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5" s="81"/>
      <c r="AY815" s="81"/>
      <c r="AZ815" s="81">
        <f>Prog_236[[#This Row],[VLR NF]]*0.1%</f>
        <v>0</v>
      </c>
      <c r="BA815" s="81">
        <f>Prog_236[[#This Row],[VLR NF]]*0.05%</f>
        <v>0</v>
      </c>
      <c r="BB815" s="81"/>
      <c r="BC815" s="81"/>
      <c r="BD815" s="81"/>
      <c r="BE815" s="81"/>
      <c r="BF815" s="81"/>
      <c r="BG815" s="81"/>
      <c r="BH815" s="81"/>
      <c r="BI815" s="81"/>
      <c r="BJ815" s="81"/>
      <c r="BK815" s="81"/>
      <c r="BL815" s="66"/>
      <c r="BM815" s="66"/>
      <c r="BN815" s="66"/>
      <c r="BO815" s="66" t="str">
        <f>PROPER(TEXT(Prog_236[[#This Row],[PROGRAMAÇÃO CLIENTE]],"mmm"))</f>
        <v>Jan</v>
      </c>
      <c r="BP815" s="66">
        <f>YEAR(Prog_236[[#This Row],[PROGRAMAÇÃO CLIENTE]])</f>
        <v>1900</v>
      </c>
    </row>
    <row r="816" spans="1:68" x14ac:dyDescent="0.25">
      <c r="A816" s="201">
        <f>Prog_236[[#This Row],[CONTEINER]]</f>
        <v>0</v>
      </c>
      <c r="B816" s="86"/>
      <c r="C8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6" s="44"/>
      <c r="E816" s="66"/>
      <c r="F816" s="66"/>
      <c r="G816" s="66"/>
      <c r="H816" s="44"/>
      <c r="I816" s="44"/>
      <c r="J816" s="66"/>
      <c r="K816" s="66"/>
      <c r="L816" s="66"/>
      <c r="M816" s="66"/>
      <c r="N816" s="66">
        <f>SUM(Prog_236[[#This Row],[TARA]]+Prog_236[[#This Row],[PESO]])</f>
        <v>0</v>
      </c>
      <c r="O816" s="44"/>
      <c r="P816" s="66"/>
      <c r="Q816" s="66"/>
      <c r="R816" s="66"/>
      <c r="S816" s="66"/>
      <c r="T816" s="138" t="str">
        <f>IFERROR(LOOKUP($S816,MOTORISTAS!$D$3:$D$1048576,MOTORISTAS!E$3:$E$1048576),"")</f>
        <v/>
      </c>
      <c r="U816" s="138" t="str">
        <f>IFERROR(LOOKUP($S816,MOTORISTAS!$D$3:$D$1048576,MOTORISTAS!F$3:$F$1048576),"")</f>
        <v/>
      </c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44"/>
      <c r="AG816" s="254">
        <f>Prog_236[[#This Row],[SAÍDA DO CLIENTE]]-Prog_236[[#This Row],[PROGRAMAÇÃO CLIENTE]]</f>
        <v>0</v>
      </c>
      <c r="AH816" s="44"/>
      <c r="AI816" s="66"/>
      <c r="AJ816" s="66"/>
      <c r="AK816" s="66"/>
      <c r="AL816" s="66"/>
      <c r="AM816" s="66"/>
      <c r="AN816" s="83"/>
      <c r="AO816" s="66"/>
      <c r="AP816" s="66"/>
      <c r="AQ816" s="66"/>
      <c r="AR816" s="81"/>
      <c r="AS816" s="81"/>
      <c r="AT816" s="81"/>
      <c r="AU816" s="81"/>
      <c r="AV816" s="83">
        <f>SUM(Prog_236[[#This Row],[ADIANTAMENTO]]+Prog_236[[#This Row],[SALDO]]+Prog_236[[#This Row],[MARGEM]]+Prog_236[[#This Row],[ESTADIA 1]])</f>
        <v>0</v>
      </c>
      <c r="AW8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6" s="81"/>
      <c r="AY816" s="81"/>
      <c r="AZ816" s="81">
        <f>Prog_236[[#This Row],[VLR NF]]*0.1%</f>
        <v>0</v>
      </c>
      <c r="BA816" s="81">
        <f>Prog_236[[#This Row],[VLR NF]]*0.05%</f>
        <v>0</v>
      </c>
      <c r="BB816" s="81"/>
      <c r="BC816" s="81"/>
      <c r="BD816" s="81"/>
      <c r="BE816" s="81"/>
      <c r="BF816" s="81"/>
      <c r="BG816" s="81"/>
      <c r="BH816" s="81"/>
      <c r="BI816" s="81"/>
      <c r="BJ816" s="81"/>
      <c r="BK816" s="81"/>
      <c r="BL816" s="66"/>
      <c r="BM816" s="66"/>
      <c r="BN816" s="66"/>
      <c r="BO816" s="66" t="str">
        <f>PROPER(TEXT(Prog_236[[#This Row],[PROGRAMAÇÃO CLIENTE]],"mmm"))</f>
        <v>Jan</v>
      </c>
      <c r="BP816" s="66">
        <f>YEAR(Prog_236[[#This Row],[PROGRAMAÇÃO CLIENTE]])</f>
        <v>1900</v>
      </c>
    </row>
    <row r="817" spans="1:68" x14ac:dyDescent="0.25">
      <c r="A817" s="200">
        <f>Prog_236[[#This Row],[CONTEINER]]</f>
        <v>0</v>
      </c>
      <c r="B817" s="86"/>
      <c r="C8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7" s="44"/>
      <c r="E817" s="66"/>
      <c r="F817" s="66"/>
      <c r="G817" s="66"/>
      <c r="H817" s="44"/>
      <c r="I817" s="44"/>
      <c r="J817" s="66"/>
      <c r="K817" s="66"/>
      <c r="L817" s="66"/>
      <c r="M817" s="66"/>
      <c r="N817" s="66">
        <f>SUM(Prog_236[[#This Row],[TARA]]+Prog_236[[#This Row],[PESO]])</f>
        <v>0</v>
      </c>
      <c r="O817" s="44"/>
      <c r="P817" s="66"/>
      <c r="Q817" s="66"/>
      <c r="R817" s="66"/>
      <c r="S817" s="66"/>
      <c r="T817" s="138" t="str">
        <f>IFERROR(LOOKUP($S817,MOTORISTAS!$D$3:$D$1048576,MOTORISTAS!E$3:$E$1048576),"")</f>
        <v/>
      </c>
      <c r="U817" s="138" t="str">
        <f>IFERROR(LOOKUP($S817,MOTORISTAS!$D$3:$D$1048576,MOTORISTAS!F$3:$F$1048576),"")</f>
        <v/>
      </c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44"/>
      <c r="AG817" s="254">
        <f>Prog_236[[#This Row],[SAÍDA DO CLIENTE]]-Prog_236[[#This Row],[PROGRAMAÇÃO CLIENTE]]</f>
        <v>0</v>
      </c>
      <c r="AH817" s="44"/>
      <c r="AI817" s="66"/>
      <c r="AJ817" s="66"/>
      <c r="AK817" s="66"/>
      <c r="AL817" s="66"/>
      <c r="AM817" s="66"/>
      <c r="AN817" s="83"/>
      <c r="AO817" s="66"/>
      <c r="AP817" s="66"/>
      <c r="AQ817" s="66"/>
      <c r="AR817" s="81"/>
      <c r="AS817" s="81"/>
      <c r="AT817" s="81"/>
      <c r="AU817" s="81"/>
      <c r="AV817" s="83">
        <f>SUM(Prog_236[[#This Row],[ADIANTAMENTO]]+Prog_236[[#This Row],[SALDO]]+Prog_236[[#This Row],[MARGEM]]+Prog_236[[#This Row],[ESTADIA 1]])</f>
        <v>0</v>
      </c>
      <c r="AW8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7" s="81"/>
      <c r="AY817" s="81"/>
      <c r="AZ817" s="81">
        <f>Prog_236[[#This Row],[VLR NF]]*0.1%</f>
        <v>0</v>
      </c>
      <c r="BA817" s="81">
        <f>Prog_236[[#This Row],[VLR NF]]*0.05%</f>
        <v>0</v>
      </c>
      <c r="BB817" s="81"/>
      <c r="BC817" s="81"/>
      <c r="BD817" s="81"/>
      <c r="BE817" s="81"/>
      <c r="BF817" s="81"/>
      <c r="BG817" s="81"/>
      <c r="BH817" s="81"/>
      <c r="BI817" s="81"/>
      <c r="BJ817" s="81"/>
      <c r="BK817" s="81"/>
      <c r="BL817" s="66"/>
      <c r="BM817" s="66"/>
      <c r="BN817" s="66"/>
      <c r="BO817" s="66" t="str">
        <f>PROPER(TEXT(Prog_236[[#This Row],[PROGRAMAÇÃO CLIENTE]],"mmm"))</f>
        <v>Jan</v>
      </c>
      <c r="BP817" s="66">
        <f>YEAR(Prog_236[[#This Row],[PROGRAMAÇÃO CLIENTE]])</f>
        <v>1900</v>
      </c>
    </row>
    <row r="818" spans="1:68" x14ac:dyDescent="0.25">
      <c r="A818" s="201">
        <f>Prog_236[[#This Row],[CONTEINER]]</f>
        <v>0</v>
      </c>
      <c r="B818" s="86"/>
      <c r="C8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8" s="44"/>
      <c r="E818" s="66"/>
      <c r="F818" s="66"/>
      <c r="G818" s="66"/>
      <c r="H818" s="44"/>
      <c r="I818" s="44"/>
      <c r="J818" s="66"/>
      <c r="K818" s="66"/>
      <c r="L818" s="66"/>
      <c r="M818" s="66"/>
      <c r="N818" s="66">
        <f>SUM(Prog_236[[#This Row],[TARA]]+Prog_236[[#This Row],[PESO]])</f>
        <v>0</v>
      </c>
      <c r="O818" s="44"/>
      <c r="P818" s="66"/>
      <c r="Q818" s="66"/>
      <c r="R818" s="66"/>
      <c r="S818" s="66"/>
      <c r="T818" s="138" t="str">
        <f>IFERROR(LOOKUP($S818,MOTORISTAS!$D$3:$D$1048576,MOTORISTAS!E$3:$E$1048576),"")</f>
        <v/>
      </c>
      <c r="U818" s="138" t="str">
        <f>IFERROR(LOOKUP($S818,MOTORISTAS!$D$3:$D$1048576,MOTORISTAS!F$3:$F$1048576),"")</f>
        <v/>
      </c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44"/>
      <c r="AG818" s="254">
        <f>Prog_236[[#This Row],[SAÍDA DO CLIENTE]]-Prog_236[[#This Row],[PROGRAMAÇÃO CLIENTE]]</f>
        <v>0</v>
      </c>
      <c r="AH818" s="44"/>
      <c r="AI818" s="66"/>
      <c r="AJ818" s="66"/>
      <c r="AK818" s="66"/>
      <c r="AL818" s="66"/>
      <c r="AM818" s="66"/>
      <c r="AN818" s="83"/>
      <c r="AO818" s="66"/>
      <c r="AP818" s="66"/>
      <c r="AQ818" s="66"/>
      <c r="AR818" s="81"/>
      <c r="AS818" s="81"/>
      <c r="AT818" s="81"/>
      <c r="AU818" s="81"/>
      <c r="AV818" s="83">
        <f>SUM(Prog_236[[#This Row],[ADIANTAMENTO]]+Prog_236[[#This Row],[SALDO]]+Prog_236[[#This Row],[MARGEM]]+Prog_236[[#This Row],[ESTADIA 1]])</f>
        <v>0</v>
      </c>
      <c r="AW8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8" s="81"/>
      <c r="AY818" s="81"/>
      <c r="AZ818" s="81">
        <f>Prog_236[[#This Row],[VLR NF]]*0.1%</f>
        <v>0</v>
      </c>
      <c r="BA818" s="81">
        <f>Prog_236[[#This Row],[VLR NF]]*0.05%</f>
        <v>0</v>
      </c>
      <c r="BB818" s="81"/>
      <c r="BC818" s="81"/>
      <c r="BD818" s="81"/>
      <c r="BE818" s="81"/>
      <c r="BF818" s="81"/>
      <c r="BG818" s="81"/>
      <c r="BH818" s="81"/>
      <c r="BI818" s="81"/>
      <c r="BJ818" s="81"/>
      <c r="BK818" s="81"/>
      <c r="BL818" s="66"/>
      <c r="BM818" s="66"/>
      <c r="BN818" s="66"/>
      <c r="BO818" s="66" t="str">
        <f>PROPER(TEXT(Prog_236[[#This Row],[PROGRAMAÇÃO CLIENTE]],"mmm"))</f>
        <v>Jan</v>
      </c>
      <c r="BP818" s="66">
        <f>YEAR(Prog_236[[#This Row],[PROGRAMAÇÃO CLIENTE]])</f>
        <v>1900</v>
      </c>
    </row>
    <row r="819" spans="1:68" x14ac:dyDescent="0.25">
      <c r="A819" s="200">
        <f>Prog_236[[#This Row],[CONTEINER]]</f>
        <v>0</v>
      </c>
      <c r="B819" s="86"/>
      <c r="C8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19" s="44"/>
      <c r="E819" s="66"/>
      <c r="F819" s="66"/>
      <c r="G819" s="66"/>
      <c r="H819" s="44"/>
      <c r="I819" s="44"/>
      <c r="J819" s="66"/>
      <c r="K819" s="66"/>
      <c r="L819" s="66"/>
      <c r="M819" s="66"/>
      <c r="N819" s="66">
        <f>SUM(Prog_236[[#This Row],[TARA]]+Prog_236[[#This Row],[PESO]])</f>
        <v>0</v>
      </c>
      <c r="O819" s="44"/>
      <c r="P819" s="66"/>
      <c r="Q819" s="66"/>
      <c r="R819" s="66"/>
      <c r="S819" s="66"/>
      <c r="T819" s="138" t="str">
        <f>IFERROR(LOOKUP($S819,MOTORISTAS!$D$3:$D$1048576,MOTORISTAS!E$3:$E$1048576),"")</f>
        <v/>
      </c>
      <c r="U819" s="138" t="str">
        <f>IFERROR(LOOKUP($S819,MOTORISTAS!$D$3:$D$1048576,MOTORISTAS!F$3:$F$1048576),"")</f>
        <v/>
      </c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44"/>
      <c r="AG819" s="254">
        <f>Prog_236[[#This Row],[SAÍDA DO CLIENTE]]-Prog_236[[#This Row],[PROGRAMAÇÃO CLIENTE]]</f>
        <v>0</v>
      </c>
      <c r="AH819" s="44"/>
      <c r="AI819" s="66"/>
      <c r="AJ819" s="66"/>
      <c r="AK819" s="66"/>
      <c r="AL819" s="66"/>
      <c r="AM819" s="66"/>
      <c r="AN819" s="83"/>
      <c r="AO819" s="66"/>
      <c r="AP819" s="66"/>
      <c r="AQ819" s="66"/>
      <c r="AR819" s="81"/>
      <c r="AS819" s="81"/>
      <c r="AT819" s="81"/>
      <c r="AU819" s="81"/>
      <c r="AV819" s="83">
        <f>SUM(Prog_236[[#This Row],[ADIANTAMENTO]]+Prog_236[[#This Row],[SALDO]]+Prog_236[[#This Row],[MARGEM]]+Prog_236[[#This Row],[ESTADIA 1]])</f>
        <v>0</v>
      </c>
      <c r="AW8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19" s="81"/>
      <c r="AY819" s="81"/>
      <c r="AZ819" s="81">
        <f>Prog_236[[#This Row],[VLR NF]]*0.1%</f>
        <v>0</v>
      </c>
      <c r="BA819" s="81">
        <f>Prog_236[[#This Row],[VLR NF]]*0.05%</f>
        <v>0</v>
      </c>
      <c r="BB819" s="81"/>
      <c r="BC819" s="81"/>
      <c r="BD819" s="81"/>
      <c r="BE819" s="81"/>
      <c r="BF819" s="81"/>
      <c r="BG819" s="81"/>
      <c r="BH819" s="81"/>
      <c r="BI819" s="81"/>
      <c r="BJ819" s="81"/>
      <c r="BK819" s="81"/>
      <c r="BL819" s="66"/>
      <c r="BM819" s="66"/>
      <c r="BN819" s="66"/>
      <c r="BO819" s="66" t="str">
        <f>PROPER(TEXT(Prog_236[[#This Row],[PROGRAMAÇÃO CLIENTE]],"mmm"))</f>
        <v>Jan</v>
      </c>
      <c r="BP819" s="66">
        <f>YEAR(Prog_236[[#This Row],[PROGRAMAÇÃO CLIENTE]])</f>
        <v>1900</v>
      </c>
    </row>
    <row r="820" spans="1:68" x14ac:dyDescent="0.25">
      <c r="A820" s="201">
        <f>Prog_236[[#This Row],[CONTEINER]]</f>
        <v>0</v>
      </c>
      <c r="B820" s="86"/>
      <c r="C8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0" s="44"/>
      <c r="E820" s="66"/>
      <c r="F820" s="66"/>
      <c r="G820" s="66"/>
      <c r="H820" s="44"/>
      <c r="I820" s="44"/>
      <c r="J820" s="66"/>
      <c r="K820" s="66"/>
      <c r="L820" s="66"/>
      <c r="M820" s="66"/>
      <c r="N820" s="66">
        <f>SUM(Prog_236[[#This Row],[TARA]]+Prog_236[[#This Row],[PESO]])</f>
        <v>0</v>
      </c>
      <c r="O820" s="44"/>
      <c r="P820" s="66"/>
      <c r="Q820" s="66"/>
      <c r="R820" s="66"/>
      <c r="S820" s="66"/>
      <c r="T820" s="138" t="str">
        <f>IFERROR(LOOKUP($S820,MOTORISTAS!$D$3:$D$1048576,MOTORISTAS!E$3:$E$1048576),"")</f>
        <v/>
      </c>
      <c r="U820" s="138" t="str">
        <f>IFERROR(LOOKUP($S820,MOTORISTAS!$D$3:$D$1048576,MOTORISTAS!F$3:$F$1048576),"")</f>
        <v/>
      </c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44"/>
      <c r="AG820" s="254">
        <f>Prog_236[[#This Row],[SAÍDA DO CLIENTE]]-Prog_236[[#This Row],[PROGRAMAÇÃO CLIENTE]]</f>
        <v>0</v>
      </c>
      <c r="AH820" s="44"/>
      <c r="AI820" s="66"/>
      <c r="AJ820" s="66"/>
      <c r="AK820" s="66"/>
      <c r="AL820" s="66"/>
      <c r="AM820" s="66"/>
      <c r="AN820" s="83"/>
      <c r="AO820" s="66"/>
      <c r="AP820" s="66"/>
      <c r="AQ820" s="66"/>
      <c r="AR820" s="81"/>
      <c r="AS820" s="81"/>
      <c r="AT820" s="81"/>
      <c r="AU820" s="81"/>
      <c r="AV820" s="83">
        <f>SUM(Prog_236[[#This Row],[ADIANTAMENTO]]+Prog_236[[#This Row],[SALDO]]+Prog_236[[#This Row],[MARGEM]]+Prog_236[[#This Row],[ESTADIA 1]])</f>
        <v>0</v>
      </c>
      <c r="AW8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0" s="81"/>
      <c r="AY820" s="81"/>
      <c r="AZ820" s="81">
        <f>Prog_236[[#This Row],[VLR NF]]*0.1%</f>
        <v>0</v>
      </c>
      <c r="BA820" s="81">
        <f>Prog_236[[#This Row],[VLR NF]]*0.05%</f>
        <v>0</v>
      </c>
      <c r="BB820" s="81"/>
      <c r="BC820" s="81"/>
      <c r="BD820" s="81"/>
      <c r="BE820" s="81"/>
      <c r="BF820" s="81"/>
      <c r="BG820" s="81"/>
      <c r="BH820" s="81"/>
      <c r="BI820" s="81"/>
      <c r="BJ820" s="81"/>
      <c r="BK820" s="81"/>
      <c r="BL820" s="66"/>
      <c r="BM820" s="66"/>
      <c r="BN820" s="66"/>
      <c r="BO820" s="66" t="str">
        <f>PROPER(TEXT(Prog_236[[#This Row],[PROGRAMAÇÃO CLIENTE]],"mmm"))</f>
        <v>Jan</v>
      </c>
      <c r="BP820" s="66">
        <f>YEAR(Prog_236[[#This Row],[PROGRAMAÇÃO CLIENTE]])</f>
        <v>1900</v>
      </c>
    </row>
    <row r="821" spans="1:68" x14ac:dyDescent="0.25">
      <c r="A821" s="200">
        <f>Prog_236[[#This Row],[CONTEINER]]</f>
        <v>0</v>
      </c>
      <c r="B821" s="86"/>
      <c r="C8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1" s="44"/>
      <c r="E821" s="66"/>
      <c r="F821" s="66"/>
      <c r="G821" s="66"/>
      <c r="H821" s="44"/>
      <c r="I821" s="44"/>
      <c r="J821" s="66"/>
      <c r="K821" s="66"/>
      <c r="L821" s="66"/>
      <c r="M821" s="66"/>
      <c r="N821" s="66">
        <f>SUM(Prog_236[[#This Row],[TARA]]+Prog_236[[#This Row],[PESO]])</f>
        <v>0</v>
      </c>
      <c r="O821" s="44"/>
      <c r="P821" s="66"/>
      <c r="Q821" s="66"/>
      <c r="R821" s="66"/>
      <c r="S821" s="66"/>
      <c r="T821" s="138" t="str">
        <f>IFERROR(LOOKUP($S821,MOTORISTAS!$D$3:$D$1048576,MOTORISTAS!E$3:$E$1048576),"")</f>
        <v/>
      </c>
      <c r="U821" s="138" t="str">
        <f>IFERROR(LOOKUP($S821,MOTORISTAS!$D$3:$D$1048576,MOTORISTAS!F$3:$F$1048576),"")</f>
        <v/>
      </c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44"/>
      <c r="AG821" s="254">
        <f>Prog_236[[#This Row],[SAÍDA DO CLIENTE]]-Prog_236[[#This Row],[PROGRAMAÇÃO CLIENTE]]</f>
        <v>0</v>
      </c>
      <c r="AH821" s="44"/>
      <c r="AI821" s="66"/>
      <c r="AJ821" s="66"/>
      <c r="AK821" s="66"/>
      <c r="AL821" s="66"/>
      <c r="AM821" s="66"/>
      <c r="AN821" s="83"/>
      <c r="AO821" s="66"/>
      <c r="AP821" s="66"/>
      <c r="AQ821" s="66"/>
      <c r="AR821" s="81"/>
      <c r="AS821" s="81"/>
      <c r="AT821" s="81"/>
      <c r="AU821" s="81"/>
      <c r="AV821" s="83">
        <f>SUM(Prog_236[[#This Row],[ADIANTAMENTO]]+Prog_236[[#This Row],[SALDO]]+Prog_236[[#This Row],[MARGEM]]+Prog_236[[#This Row],[ESTADIA 1]])</f>
        <v>0</v>
      </c>
      <c r="AW8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1" s="81"/>
      <c r="AY821" s="81"/>
      <c r="AZ821" s="81">
        <f>Prog_236[[#This Row],[VLR NF]]*0.1%</f>
        <v>0</v>
      </c>
      <c r="BA821" s="81">
        <f>Prog_236[[#This Row],[VLR NF]]*0.05%</f>
        <v>0</v>
      </c>
      <c r="BB821" s="81"/>
      <c r="BC821" s="81"/>
      <c r="BD821" s="81"/>
      <c r="BE821" s="81"/>
      <c r="BF821" s="81"/>
      <c r="BG821" s="81"/>
      <c r="BH821" s="81"/>
      <c r="BI821" s="81"/>
      <c r="BJ821" s="81"/>
      <c r="BK821" s="81"/>
      <c r="BL821" s="66"/>
      <c r="BM821" s="66"/>
      <c r="BN821" s="66"/>
      <c r="BO821" s="66" t="str">
        <f>PROPER(TEXT(Prog_236[[#This Row],[PROGRAMAÇÃO CLIENTE]],"mmm"))</f>
        <v>Jan</v>
      </c>
      <c r="BP821" s="66">
        <f>YEAR(Prog_236[[#This Row],[PROGRAMAÇÃO CLIENTE]])</f>
        <v>1900</v>
      </c>
    </row>
    <row r="822" spans="1:68" x14ac:dyDescent="0.25">
      <c r="A822" s="201">
        <f>Prog_236[[#This Row],[CONTEINER]]</f>
        <v>0</v>
      </c>
      <c r="B822" s="86"/>
      <c r="C8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2" s="44"/>
      <c r="E822" s="66"/>
      <c r="F822" s="66"/>
      <c r="G822" s="66"/>
      <c r="H822" s="44"/>
      <c r="I822" s="44"/>
      <c r="J822" s="66"/>
      <c r="K822" s="66"/>
      <c r="L822" s="66"/>
      <c r="M822" s="66"/>
      <c r="N822" s="66">
        <f>SUM(Prog_236[[#This Row],[TARA]]+Prog_236[[#This Row],[PESO]])</f>
        <v>0</v>
      </c>
      <c r="O822" s="44"/>
      <c r="P822" s="66"/>
      <c r="Q822" s="66"/>
      <c r="R822" s="66"/>
      <c r="S822" s="66"/>
      <c r="T822" s="138" t="str">
        <f>IFERROR(LOOKUP($S822,MOTORISTAS!$D$3:$D$1048576,MOTORISTAS!E$3:$E$1048576),"")</f>
        <v/>
      </c>
      <c r="U822" s="138" t="str">
        <f>IFERROR(LOOKUP($S822,MOTORISTAS!$D$3:$D$1048576,MOTORISTAS!F$3:$F$1048576),"")</f>
        <v/>
      </c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44"/>
      <c r="AG822" s="254">
        <f>Prog_236[[#This Row],[SAÍDA DO CLIENTE]]-Prog_236[[#This Row],[PROGRAMAÇÃO CLIENTE]]</f>
        <v>0</v>
      </c>
      <c r="AH822" s="44"/>
      <c r="AI822" s="66"/>
      <c r="AJ822" s="66"/>
      <c r="AK822" s="66"/>
      <c r="AL822" s="66"/>
      <c r="AM822" s="66"/>
      <c r="AN822" s="83"/>
      <c r="AO822" s="66"/>
      <c r="AP822" s="66"/>
      <c r="AQ822" s="66"/>
      <c r="AR822" s="81"/>
      <c r="AS822" s="81"/>
      <c r="AT822" s="81"/>
      <c r="AU822" s="81"/>
      <c r="AV822" s="83">
        <f>SUM(Prog_236[[#This Row],[ADIANTAMENTO]]+Prog_236[[#This Row],[SALDO]]+Prog_236[[#This Row],[MARGEM]]+Prog_236[[#This Row],[ESTADIA 1]])</f>
        <v>0</v>
      </c>
      <c r="AW8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2" s="81"/>
      <c r="AY822" s="81"/>
      <c r="AZ822" s="81">
        <f>Prog_236[[#This Row],[VLR NF]]*0.1%</f>
        <v>0</v>
      </c>
      <c r="BA822" s="81">
        <f>Prog_236[[#This Row],[VLR NF]]*0.05%</f>
        <v>0</v>
      </c>
      <c r="BB822" s="81"/>
      <c r="BC822" s="81"/>
      <c r="BD822" s="81"/>
      <c r="BE822" s="81"/>
      <c r="BF822" s="81"/>
      <c r="BG822" s="81"/>
      <c r="BH822" s="81"/>
      <c r="BI822" s="81"/>
      <c r="BJ822" s="81"/>
      <c r="BK822" s="81"/>
      <c r="BL822" s="66"/>
      <c r="BM822" s="66"/>
      <c r="BN822" s="66"/>
      <c r="BO822" s="66" t="str">
        <f>PROPER(TEXT(Prog_236[[#This Row],[PROGRAMAÇÃO CLIENTE]],"mmm"))</f>
        <v>Jan</v>
      </c>
      <c r="BP822" s="66">
        <f>YEAR(Prog_236[[#This Row],[PROGRAMAÇÃO CLIENTE]])</f>
        <v>1900</v>
      </c>
    </row>
    <row r="823" spans="1:68" x14ac:dyDescent="0.25">
      <c r="A823" s="200">
        <f>Prog_236[[#This Row],[CONTEINER]]</f>
        <v>0</v>
      </c>
      <c r="B823" s="86"/>
      <c r="C8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3" s="44"/>
      <c r="E823" s="66"/>
      <c r="F823" s="66"/>
      <c r="G823" s="66"/>
      <c r="H823" s="44"/>
      <c r="I823" s="44"/>
      <c r="J823" s="66"/>
      <c r="K823" s="66"/>
      <c r="L823" s="66"/>
      <c r="M823" s="66"/>
      <c r="N823" s="66">
        <f>SUM(Prog_236[[#This Row],[TARA]]+Prog_236[[#This Row],[PESO]])</f>
        <v>0</v>
      </c>
      <c r="O823" s="44"/>
      <c r="P823" s="66"/>
      <c r="Q823" s="66"/>
      <c r="R823" s="66"/>
      <c r="S823" s="66"/>
      <c r="T823" s="138" t="str">
        <f>IFERROR(LOOKUP($S823,MOTORISTAS!$D$3:$D$1048576,MOTORISTAS!E$3:$E$1048576),"")</f>
        <v/>
      </c>
      <c r="U823" s="138" t="str">
        <f>IFERROR(LOOKUP($S823,MOTORISTAS!$D$3:$D$1048576,MOTORISTAS!F$3:$F$1048576),"")</f>
        <v/>
      </c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44"/>
      <c r="AG823" s="254">
        <f>Prog_236[[#This Row],[SAÍDA DO CLIENTE]]-Prog_236[[#This Row],[PROGRAMAÇÃO CLIENTE]]</f>
        <v>0</v>
      </c>
      <c r="AH823" s="44"/>
      <c r="AI823" s="66"/>
      <c r="AJ823" s="66"/>
      <c r="AK823" s="66"/>
      <c r="AL823" s="66"/>
      <c r="AM823" s="66"/>
      <c r="AN823" s="83"/>
      <c r="AO823" s="66"/>
      <c r="AP823" s="66"/>
      <c r="AQ823" s="66"/>
      <c r="AR823" s="81"/>
      <c r="AS823" s="81"/>
      <c r="AT823" s="81"/>
      <c r="AU823" s="81"/>
      <c r="AV823" s="83">
        <f>SUM(Prog_236[[#This Row],[ADIANTAMENTO]]+Prog_236[[#This Row],[SALDO]]+Prog_236[[#This Row],[MARGEM]]+Prog_236[[#This Row],[ESTADIA 1]])</f>
        <v>0</v>
      </c>
      <c r="AW8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3" s="81"/>
      <c r="AY823" s="81"/>
      <c r="AZ823" s="81">
        <f>Prog_236[[#This Row],[VLR NF]]*0.1%</f>
        <v>0</v>
      </c>
      <c r="BA823" s="81">
        <f>Prog_236[[#This Row],[VLR NF]]*0.05%</f>
        <v>0</v>
      </c>
      <c r="BB823" s="81"/>
      <c r="BC823" s="81"/>
      <c r="BD823" s="81"/>
      <c r="BE823" s="81"/>
      <c r="BF823" s="81"/>
      <c r="BG823" s="81"/>
      <c r="BH823" s="81"/>
      <c r="BI823" s="81"/>
      <c r="BJ823" s="81"/>
      <c r="BK823" s="81"/>
      <c r="BL823" s="66"/>
      <c r="BM823" s="66"/>
      <c r="BN823" s="66"/>
      <c r="BO823" s="66" t="str">
        <f>PROPER(TEXT(Prog_236[[#This Row],[PROGRAMAÇÃO CLIENTE]],"mmm"))</f>
        <v>Jan</v>
      </c>
      <c r="BP823" s="66">
        <f>YEAR(Prog_236[[#This Row],[PROGRAMAÇÃO CLIENTE]])</f>
        <v>1900</v>
      </c>
    </row>
    <row r="824" spans="1:68" x14ac:dyDescent="0.25">
      <c r="A824" s="201">
        <f>Prog_236[[#This Row],[CONTEINER]]</f>
        <v>0</v>
      </c>
      <c r="B824" s="86"/>
      <c r="C8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4" s="44"/>
      <c r="E824" s="66"/>
      <c r="F824" s="66"/>
      <c r="G824" s="66"/>
      <c r="H824" s="44"/>
      <c r="I824" s="44"/>
      <c r="J824" s="66"/>
      <c r="K824" s="66"/>
      <c r="L824" s="66"/>
      <c r="M824" s="66"/>
      <c r="N824" s="66">
        <f>SUM(Prog_236[[#This Row],[TARA]]+Prog_236[[#This Row],[PESO]])</f>
        <v>0</v>
      </c>
      <c r="O824" s="44"/>
      <c r="P824" s="66"/>
      <c r="Q824" s="66"/>
      <c r="R824" s="66"/>
      <c r="S824" s="66"/>
      <c r="T824" s="138" t="str">
        <f>IFERROR(LOOKUP($S824,MOTORISTAS!$D$3:$D$1048576,MOTORISTAS!E$3:$E$1048576),"")</f>
        <v/>
      </c>
      <c r="U824" s="138" t="str">
        <f>IFERROR(LOOKUP($S824,MOTORISTAS!$D$3:$D$1048576,MOTORISTAS!F$3:$F$1048576),"")</f>
        <v/>
      </c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44"/>
      <c r="AG824" s="254">
        <f>Prog_236[[#This Row],[SAÍDA DO CLIENTE]]-Prog_236[[#This Row],[PROGRAMAÇÃO CLIENTE]]</f>
        <v>0</v>
      </c>
      <c r="AH824" s="44"/>
      <c r="AI824" s="66"/>
      <c r="AJ824" s="66"/>
      <c r="AK824" s="66"/>
      <c r="AL824" s="66"/>
      <c r="AM824" s="66"/>
      <c r="AN824" s="83"/>
      <c r="AO824" s="66"/>
      <c r="AP824" s="66"/>
      <c r="AQ824" s="66"/>
      <c r="AR824" s="81"/>
      <c r="AS824" s="81"/>
      <c r="AT824" s="81"/>
      <c r="AU824" s="81"/>
      <c r="AV824" s="83">
        <f>SUM(Prog_236[[#This Row],[ADIANTAMENTO]]+Prog_236[[#This Row],[SALDO]]+Prog_236[[#This Row],[MARGEM]]+Prog_236[[#This Row],[ESTADIA 1]])</f>
        <v>0</v>
      </c>
      <c r="AW8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4" s="81"/>
      <c r="AY824" s="81"/>
      <c r="AZ824" s="81">
        <f>Prog_236[[#This Row],[VLR NF]]*0.1%</f>
        <v>0</v>
      </c>
      <c r="BA824" s="81">
        <f>Prog_236[[#This Row],[VLR NF]]*0.05%</f>
        <v>0</v>
      </c>
      <c r="BB824" s="81"/>
      <c r="BC824" s="81"/>
      <c r="BD824" s="81"/>
      <c r="BE824" s="81"/>
      <c r="BF824" s="81"/>
      <c r="BG824" s="81"/>
      <c r="BH824" s="81"/>
      <c r="BI824" s="81"/>
      <c r="BJ824" s="81"/>
      <c r="BK824" s="81"/>
      <c r="BL824" s="66"/>
      <c r="BM824" s="66"/>
      <c r="BN824" s="66"/>
      <c r="BO824" s="66" t="str">
        <f>PROPER(TEXT(Prog_236[[#This Row],[PROGRAMAÇÃO CLIENTE]],"mmm"))</f>
        <v>Jan</v>
      </c>
      <c r="BP824" s="66">
        <f>YEAR(Prog_236[[#This Row],[PROGRAMAÇÃO CLIENTE]])</f>
        <v>1900</v>
      </c>
    </row>
    <row r="825" spans="1:68" x14ac:dyDescent="0.25">
      <c r="A825" s="200">
        <f>Prog_236[[#This Row],[CONTEINER]]</f>
        <v>0</v>
      </c>
      <c r="B825" s="86"/>
      <c r="C8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5" s="44"/>
      <c r="E825" s="66"/>
      <c r="F825" s="66"/>
      <c r="G825" s="66"/>
      <c r="H825" s="44"/>
      <c r="I825" s="44"/>
      <c r="J825" s="66"/>
      <c r="K825" s="66"/>
      <c r="L825" s="66"/>
      <c r="M825" s="66"/>
      <c r="N825" s="66">
        <f>SUM(Prog_236[[#This Row],[TARA]]+Prog_236[[#This Row],[PESO]])</f>
        <v>0</v>
      </c>
      <c r="O825" s="44"/>
      <c r="P825" s="66"/>
      <c r="Q825" s="66"/>
      <c r="R825" s="66"/>
      <c r="S825" s="66"/>
      <c r="T825" s="138" t="str">
        <f>IFERROR(LOOKUP($S825,MOTORISTAS!$D$3:$D$1048576,MOTORISTAS!E$3:$E$1048576),"")</f>
        <v/>
      </c>
      <c r="U825" s="138" t="str">
        <f>IFERROR(LOOKUP($S825,MOTORISTAS!$D$3:$D$1048576,MOTORISTAS!F$3:$F$1048576),"")</f>
        <v/>
      </c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44"/>
      <c r="AG825" s="254">
        <f>Prog_236[[#This Row],[SAÍDA DO CLIENTE]]-Prog_236[[#This Row],[PROGRAMAÇÃO CLIENTE]]</f>
        <v>0</v>
      </c>
      <c r="AH825" s="44"/>
      <c r="AI825" s="66"/>
      <c r="AJ825" s="66"/>
      <c r="AK825" s="66"/>
      <c r="AL825" s="66"/>
      <c r="AM825" s="66"/>
      <c r="AN825" s="83"/>
      <c r="AO825" s="66"/>
      <c r="AP825" s="66"/>
      <c r="AQ825" s="66"/>
      <c r="AR825" s="81"/>
      <c r="AS825" s="81"/>
      <c r="AT825" s="81"/>
      <c r="AU825" s="81"/>
      <c r="AV825" s="83">
        <f>SUM(Prog_236[[#This Row],[ADIANTAMENTO]]+Prog_236[[#This Row],[SALDO]]+Prog_236[[#This Row],[MARGEM]]+Prog_236[[#This Row],[ESTADIA 1]])</f>
        <v>0</v>
      </c>
      <c r="AW8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5" s="81"/>
      <c r="AY825" s="81"/>
      <c r="AZ825" s="81">
        <f>Prog_236[[#This Row],[VLR NF]]*0.1%</f>
        <v>0</v>
      </c>
      <c r="BA825" s="81">
        <f>Prog_236[[#This Row],[VLR NF]]*0.05%</f>
        <v>0</v>
      </c>
      <c r="BB825" s="81"/>
      <c r="BC825" s="81"/>
      <c r="BD825" s="81"/>
      <c r="BE825" s="81"/>
      <c r="BF825" s="81"/>
      <c r="BG825" s="81"/>
      <c r="BH825" s="81"/>
      <c r="BI825" s="81"/>
      <c r="BJ825" s="81"/>
      <c r="BK825" s="81"/>
      <c r="BL825" s="66"/>
      <c r="BM825" s="66"/>
      <c r="BN825" s="66"/>
      <c r="BO825" s="66" t="str">
        <f>PROPER(TEXT(Prog_236[[#This Row],[PROGRAMAÇÃO CLIENTE]],"mmm"))</f>
        <v>Jan</v>
      </c>
      <c r="BP825" s="66">
        <f>YEAR(Prog_236[[#This Row],[PROGRAMAÇÃO CLIENTE]])</f>
        <v>1900</v>
      </c>
    </row>
    <row r="826" spans="1:68" x14ac:dyDescent="0.25">
      <c r="A826" s="201">
        <f>Prog_236[[#This Row],[CONTEINER]]</f>
        <v>0</v>
      </c>
      <c r="B826" s="86"/>
      <c r="C8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6" s="44"/>
      <c r="E826" s="66"/>
      <c r="F826" s="66"/>
      <c r="G826" s="66"/>
      <c r="H826" s="44"/>
      <c r="I826" s="44"/>
      <c r="J826" s="66"/>
      <c r="K826" s="66"/>
      <c r="L826" s="66"/>
      <c r="M826" s="66"/>
      <c r="N826" s="66">
        <f>SUM(Prog_236[[#This Row],[TARA]]+Prog_236[[#This Row],[PESO]])</f>
        <v>0</v>
      </c>
      <c r="O826" s="44"/>
      <c r="P826" s="66"/>
      <c r="Q826" s="66"/>
      <c r="R826" s="66"/>
      <c r="S826" s="66"/>
      <c r="T826" s="138" t="str">
        <f>IFERROR(LOOKUP($S826,MOTORISTAS!$D$3:$D$1048576,MOTORISTAS!E$3:$E$1048576),"")</f>
        <v/>
      </c>
      <c r="U826" s="138" t="str">
        <f>IFERROR(LOOKUP($S826,MOTORISTAS!$D$3:$D$1048576,MOTORISTAS!F$3:$F$1048576),"")</f>
        <v/>
      </c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44"/>
      <c r="AG826" s="254">
        <f>Prog_236[[#This Row],[SAÍDA DO CLIENTE]]-Prog_236[[#This Row],[PROGRAMAÇÃO CLIENTE]]</f>
        <v>0</v>
      </c>
      <c r="AH826" s="44"/>
      <c r="AI826" s="66"/>
      <c r="AJ826" s="66"/>
      <c r="AK826" s="66"/>
      <c r="AL826" s="66"/>
      <c r="AM826" s="66"/>
      <c r="AN826" s="83"/>
      <c r="AO826" s="66"/>
      <c r="AP826" s="66"/>
      <c r="AQ826" s="66"/>
      <c r="AR826" s="81"/>
      <c r="AS826" s="81"/>
      <c r="AT826" s="81"/>
      <c r="AU826" s="81"/>
      <c r="AV826" s="83">
        <f>SUM(Prog_236[[#This Row],[ADIANTAMENTO]]+Prog_236[[#This Row],[SALDO]]+Prog_236[[#This Row],[MARGEM]]+Prog_236[[#This Row],[ESTADIA 1]])</f>
        <v>0</v>
      </c>
      <c r="AW8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6" s="81"/>
      <c r="AY826" s="81"/>
      <c r="AZ826" s="81">
        <f>Prog_236[[#This Row],[VLR NF]]*0.1%</f>
        <v>0</v>
      </c>
      <c r="BA826" s="81">
        <f>Prog_236[[#This Row],[VLR NF]]*0.05%</f>
        <v>0</v>
      </c>
      <c r="BB826" s="81"/>
      <c r="BC826" s="81"/>
      <c r="BD826" s="81"/>
      <c r="BE826" s="81"/>
      <c r="BF826" s="81"/>
      <c r="BG826" s="81"/>
      <c r="BH826" s="81"/>
      <c r="BI826" s="81"/>
      <c r="BJ826" s="81"/>
      <c r="BK826" s="81"/>
      <c r="BL826" s="66"/>
      <c r="BM826" s="66"/>
      <c r="BN826" s="66"/>
      <c r="BO826" s="66" t="str">
        <f>PROPER(TEXT(Prog_236[[#This Row],[PROGRAMAÇÃO CLIENTE]],"mmm"))</f>
        <v>Jan</v>
      </c>
      <c r="BP826" s="66">
        <f>YEAR(Prog_236[[#This Row],[PROGRAMAÇÃO CLIENTE]])</f>
        <v>1900</v>
      </c>
    </row>
    <row r="827" spans="1:68" x14ac:dyDescent="0.25">
      <c r="A827" s="200">
        <f>Prog_236[[#This Row],[CONTEINER]]</f>
        <v>0</v>
      </c>
      <c r="B827" s="86"/>
      <c r="C8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7" s="44"/>
      <c r="E827" s="66"/>
      <c r="F827" s="66"/>
      <c r="G827" s="66"/>
      <c r="H827" s="44"/>
      <c r="I827" s="44"/>
      <c r="J827" s="66"/>
      <c r="K827" s="66"/>
      <c r="L827" s="66"/>
      <c r="M827" s="66"/>
      <c r="N827" s="66">
        <f>SUM(Prog_236[[#This Row],[TARA]]+Prog_236[[#This Row],[PESO]])</f>
        <v>0</v>
      </c>
      <c r="O827" s="44"/>
      <c r="P827" s="66"/>
      <c r="Q827" s="66"/>
      <c r="R827" s="66"/>
      <c r="S827" s="66"/>
      <c r="T827" s="138" t="str">
        <f>IFERROR(LOOKUP($S827,MOTORISTAS!$D$3:$D$1048576,MOTORISTAS!E$3:$E$1048576),"")</f>
        <v/>
      </c>
      <c r="U827" s="138" t="str">
        <f>IFERROR(LOOKUP($S827,MOTORISTAS!$D$3:$D$1048576,MOTORISTAS!F$3:$F$1048576),"")</f>
        <v/>
      </c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44"/>
      <c r="AG827" s="254">
        <f>Prog_236[[#This Row],[SAÍDA DO CLIENTE]]-Prog_236[[#This Row],[PROGRAMAÇÃO CLIENTE]]</f>
        <v>0</v>
      </c>
      <c r="AH827" s="44"/>
      <c r="AI827" s="66"/>
      <c r="AJ827" s="66"/>
      <c r="AK827" s="66"/>
      <c r="AL827" s="66"/>
      <c r="AM827" s="66"/>
      <c r="AN827" s="83"/>
      <c r="AO827" s="66"/>
      <c r="AP827" s="66"/>
      <c r="AQ827" s="66"/>
      <c r="AR827" s="81"/>
      <c r="AS827" s="81"/>
      <c r="AT827" s="81"/>
      <c r="AU827" s="81"/>
      <c r="AV827" s="83">
        <f>SUM(Prog_236[[#This Row],[ADIANTAMENTO]]+Prog_236[[#This Row],[SALDO]]+Prog_236[[#This Row],[MARGEM]]+Prog_236[[#This Row],[ESTADIA 1]])</f>
        <v>0</v>
      </c>
      <c r="AW8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7" s="81"/>
      <c r="AY827" s="81"/>
      <c r="AZ827" s="81">
        <f>Prog_236[[#This Row],[VLR NF]]*0.1%</f>
        <v>0</v>
      </c>
      <c r="BA827" s="81">
        <f>Prog_236[[#This Row],[VLR NF]]*0.05%</f>
        <v>0</v>
      </c>
      <c r="BB827" s="81"/>
      <c r="BC827" s="81"/>
      <c r="BD827" s="81"/>
      <c r="BE827" s="81"/>
      <c r="BF827" s="81"/>
      <c r="BG827" s="81"/>
      <c r="BH827" s="81"/>
      <c r="BI827" s="81"/>
      <c r="BJ827" s="81"/>
      <c r="BK827" s="81"/>
      <c r="BL827" s="66"/>
      <c r="BM827" s="66"/>
      <c r="BN827" s="66"/>
      <c r="BO827" s="66" t="str">
        <f>PROPER(TEXT(Prog_236[[#This Row],[PROGRAMAÇÃO CLIENTE]],"mmm"))</f>
        <v>Jan</v>
      </c>
      <c r="BP827" s="66">
        <f>YEAR(Prog_236[[#This Row],[PROGRAMAÇÃO CLIENTE]])</f>
        <v>1900</v>
      </c>
    </row>
    <row r="828" spans="1:68" x14ac:dyDescent="0.25">
      <c r="A828" s="201">
        <f>Prog_236[[#This Row],[CONTEINER]]</f>
        <v>0</v>
      </c>
      <c r="B828" s="86"/>
      <c r="C8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8" s="44"/>
      <c r="E828" s="66"/>
      <c r="F828" s="66"/>
      <c r="G828" s="66"/>
      <c r="H828" s="44"/>
      <c r="I828" s="44"/>
      <c r="J828" s="66"/>
      <c r="K828" s="66"/>
      <c r="L828" s="66"/>
      <c r="M828" s="66"/>
      <c r="N828" s="66">
        <f>SUM(Prog_236[[#This Row],[TARA]]+Prog_236[[#This Row],[PESO]])</f>
        <v>0</v>
      </c>
      <c r="O828" s="44"/>
      <c r="P828" s="66"/>
      <c r="Q828" s="66"/>
      <c r="R828" s="66"/>
      <c r="S828" s="66"/>
      <c r="T828" s="138" t="str">
        <f>IFERROR(LOOKUP($S828,MOTORISTAS!$D$3:$D$1048576,MOTORISTAS!E$3:$E$1048576),"")</f>
        <v/>
      </c>
      <c r="U828" s="138" t="str">
        <f>IFERROR(LOOKUP($S828,MOTORISTAS!$D$3:$D$1048576,MOTORISTAS!F$3:$F$1048576),"")</f>
        <v/>
      </c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44"/>
      <c r="AG828" s="254">
        <f>Prog_236[[#This Row],[SAÍDA DO CLIENTE]]-Prog_236[[#This Row],[PROGRAMAÇÃO CLIENTE]]</f>
        <v>0</v>
      </c>
      <c r="AH828" s="44"/>
      <c r="AI828" s="66"/>
      <c r="AJ828" s="66"/>
      <c r="AK828" s="66"/>
      <c r="AL828" s="66"/>
      <c r="AM828" s="66"/>
      <c r="AN828" s="83"/>
      <c r="AO828" s="66"/>
      <c r="AP828" s="66"/>
      <c r="AQ828" s="66"/>
      <c r="AR828" s="81"/>
      <c r="AS828" s="81"/>
      <c r="AT828" s="81"/>
      <c r="AU828" s="81"/>
      <c r="AV828" s="83">
        <f>SUM(Prog_236[[#This Row],[ADIANTAMENTO]]+Prog_236[[#This Row],[SALDO]]+Prog_236[[#This Row],[MARGEM]]+Prog_236[[#This Row],[ESTADIA 1]])</f>
        <v>0</v>
      </c>
      <c r="AW8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8" s="81"/>
      <c r="AY828" s="81"/>
      <c r="AZ828" s="81">
        <f>Prog_236[[#This Row],[VLR NF]]*0.1%</f>
        <v>0</v>
      </c>
      <c r="BA828" s="81">
        <f>Prog_236[[#This Row],[VLR NF]]*0.05%</f>
        <v>0</v>
      </c>
      <c r="BB828" s="81"/>
      <c r="BC828" s="81"/>
      <c r="BD828" s="81"/>
      <c r="BE828" s="81"/>
      <c r="BF828" s="81"/>
      <c r="BG828" s="81"/>
      <c r="BH828" s="81"/>
      <c r="BI828" s="81"/>
      <c r="BJ828" s="81"/>
      <c r="BK828" s="81"/>
      <c r="BL828" s="66"/>
      <c r="BM828" s="66"/>
      <c r="BN828" s="66"/>
      <c r="BO828" s="66" t="str">
        <f>PROPER(TEXT(Prog_236[[#This Row],[PROGRAMAÇÃO CLIENTE]],"mmm"))</f>
        <v>Jan</v>
      </c>
      <c r="BP828" s="66">
        <f>YEAR(Prog_236[[#This Row],[PROGRAMAÇÃO CLIENTE]])</f>
        <v>1900</v>
      </c>
    </row>
    <row r="829" spans="1:68" x14ac:dyDescent="0.25">
      <c r="A829" s="200">
        <f>Prog_236[[#This Row],[CONTEINER]]</f>
        <v>0</v>
      </c>
      <c r="B829" s="86"/>
      <c r="C8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29" s="44"/>
      <c r="E829" s="66"/>
      <c r="F829" s="66"/>
      <c r="G829" s="66"/>
      <c r="H829" s="44"/>
      <c r="I829" s="44"/>
      <c r="J829" s="66"/>
      <c r="K829" s="66"/>
      <c r="L829" s="66"/>
      <c r="M829" s="66"/>
      <c r="N829" s="66">
        <f>SUM(Prog_236[[#This Row],[TARA]]+Prog_236[[#This Row],[PESO]])</f>
        <v>0</v>
      </c>
      <c r="O829" s="44"/>
      <c r="P829" s="66"/>
      <c r="Q829" s="66"/>
      <c r="R829" s="66"/>
      <c r="S829" s="66"/>
      <c r="T829" s="138" t="str">
        <f>IFERROR(LOOKUP($S829,MOTORISTAS!$D$3:$D$1048576,MOTORISTAS!E$3:$E$1048576),"")</f>
        <v/>
      </c>
      <c r="U829" s="138" t="str">
        <f>IFERROR(LOOKUP($S829,MOTORISTAS!$D$3:$D$1048576,MOTORISTAS!F$3:$F$1048576),"")</f>
        <v/>
      </c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44"/>
      <c r="AG829" s="254">
        <f>Prog_236[[#This Row],[SAÍDA DO CLIENTE]]-Prog_236[[#This Row],[PROGRAMAÇÃO CLIENTE]]</f>
        <v>0</v>
      </c>
      <c r="AH829" s="44"/>
      <c r="AI829" s="66"/>
      <c r="AJ829" s="66"/>
      <c r="AK829" s="66"/>
      <c r="AL829" s="66"/>
      <c r="AM829" s="66"/>
      <c r="AN829" s="83"/>
      <c r="AO829" s="66"/>
      <c r="AP829" s="66"/>
      <c r="AQ829" s="66"/>
      <c r="AR829" s="81"/>
      <c r="AS829" s="81"/>
      <c r="AT829" s="81"/>
      <c r="AU829" s="81"/>
      <c r="AV829" s="83">
        <f>SUM(Prog_236[[#This Row],[ADIANTAMENTO]]+Prog_236[[#This Row],[SALDO]]+Prog_236[[#This Row],[MARGEM]]+Prog_236[[#This Row],[ESTADIA 1]])</f>
        <v>0</v>
      </c>
      <c r="AW8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29" s="81"/>
      <c r="AY829" s="81"/>
      <c r="AZ829" s="81">
        <f>Prog_236[[#This Row],[VLR NF]]*0.1%</f>
        <v>0</v>
      </c>
      <c r="BA829" s="81">
        <f>Prog_236[[#This Row],[VLR NF]]*0.05%</f>
        <v>0</v>
      </c>
      <c r="BB829" s="81"/>
      <c r="BC829" s="81"/>
      <c r="BD829" s="81"/>
      <c r="BE829" s="81"/>
      <c r="BF829" s="81"/>
      <c r="BG829" s="81"/>
      <c r="BH829" s="81"/>
      <c r="BI829" s="81"/>
      <c r="BJ829" s="81"/>
      <c r="BK829" s="81"/>
      <c r="BL829" s="66"/>
      <c r="BM829" s="66"/>
      <c r="BN829" s="66"/>
      <c r="BO829" s="66" t="str">
        <f>PROPER(TEXT(Prog_236[[#This Row],[PROGRAMAÇÃO CLIENTE]],"mmm"))</f>
        <v>Jan</v>
      </c>
      <c r="BP829" s="66">
        <f>YEAR(Prog_236[[#This Row],[PROGRAMAÇÃO CLIENTE]])</f>
        <v>1900</v>
      </c>
    </row>
    <row r="830" spans="1:68" x14ac:dyDescent="0.25">
      <c r="A830" s="201">
        <f>Prog_236[[#This Row],[CONTEINER]]</f>
        <v>0</v>
      </c>
      <c r="B830" s="86"/>
      <c r="C8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0" s="44"/>
      <c r="E830" s="66"/>
      <c r="F830" s="66"/>
      <c r="G830" s="66"/>
      <c r="H830" s="44"/>
      <c r="I830" s="44"/>
      <c r="J830" s="66"/>
      <c r="K830" s="66"/>
      <c r="L830" s="66"/>
      <c r="M830" s="66"/>
      <c r="N830" s="66">
        <f>SUM(Prog_236[[#This Row],[TARA]]+Prog_236[[#This Row],[PESO]])</f>
        <v>0</v>
      </c>
      <c r="O830" s="44"/>
      <c r="P830" s="66"/>
      <c r="Q830" s="66"/>
      <c r="R830" s="66"/>
      <c r="S830" s="66"/>
      <c r="T830" s="138" t="str">
        <f>IFERROR(LOOKUP($S830,MOTORISTAS!$D$3:$D$1048576,MOTORISTAS!E$3:$E$1048576),"")</f>
        <v/>
      </c>
      <c r="U830" s="138" t="str">
        <f>IFERROR(LOOKUP($S830,MOTORISTAS!$D$3:$D$1048576,MOTORISTAS!F$3:$F$1048576),"")</f>
        <v/>
      </c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44"/>
      <c r="AG830" s="254">
        <f>Prog_236[[#This Row],[SAÍDA DO CLIENTE]]-Prog_236[[#This Row],[PROGRAMAÇÃO CLIENTE]]</f>
        <v>0</v>
      </c>
      <c r="AH830" s="44"/>
      <c r="AI830" s="66"/>
      <c r="AJ830" s="66"/>
      <c r="AK830" s="66"/>
      <c r="AL830" s="66"/>
      <c r="AM830" s="66"/>
      <c r="AN830" s="83"/>
      <c r="AO830" s="66"/>
      <c r="AP830" s="66"/>
      <c r="AQ830" s="66"/>
      <c r="AR830" s="81"/>
      <c r="AS830" s="81"/>
      <c r="AT830" s="81"/>
      <c r="AU830" s="81"/>
      <c r="AV830" s="83">
        <f>SUM(Prog_236[[#This Row],[ADIANTAMENTO]]+Prog_236[[#This Row],[SALDO]]+Prog_236[[#This Row],[MARGEM]]+Prog_236[[#This Row],[ESTADIA 1]])</f>
        <v>0</v>
      </c>
      <c r="AW8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0" s="81"/>
      <c r="AY830" s="81"/>
      <c r="AZ830" s="81">
        <f>Prog_236[[#This Row],[VLR NF]]*0.1%</f>
        <v>0</v>
      </c>
      <c r="BA830" s="81">
        <f>Prog_236[[#This Row],[VLR NF]]*0.05%</f>
        <v>0</v>
      </c>
      <c r="BB830" s="81"/>
      <c r="BC830" s="81"/>
      <c r="BD830" s="81"/>
      <c r="BE830" s="81"/>
      <c r="BF830" s="81"/>
      <c r="BG830" s="81"/>
      <c r="BH830" s="81"/>
      <c r="BI830" s="81"/>
      <c r="BJ830" s="81"/>
      <c r="BK830" s="81"/>
      <c r="BL830" s="66"/>
      <c r="BM830" s="66"/>
      <c r="BN830" s="66"/>
      <c r="BO830" s="66" t="str">
        <f>PROPER(TEXT(Prog_236[[#This Row],[PROGRAMAÇÃO CLIENTE]],"mmm"))</f>
        <v>Jan</v>
      </c>
      <c r="BP830" s="66">
        <f>YEAR(Prog_236[[#This Row],[PROGRAMAÇÃO CLIENTE]])</f>
        <v>1900</v>
      </c>
    </row>
    <row r="831" spans="1:68" x14ac:dyDescent="0.25">
      <c r="A831" s="200">
        <f>Prog_236[[#This Row],[CONTEINER]]</f>
        <v>0</v>
      </c>
      <c r="B831" s="86"/>
      <c r="C8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1" s="44"/>
      <c r="E831" s="66"/>
      <c r="F831" s="66"/>
      <c r="G831" s="66"/>
      <c r="H831" s="44"/>
      <c r="I831" s="44"/>
      <c r="J831" s="66"/>
      <c r="K831" s="66"/>
      <c r="L831" s="66"/>
      <c r="M831" s="66"/>
      <c r="N831" s="66">
        <f>SUM(Prog_236[[#This Row],[TARA]]+Prog_236[[#This Row],[PESO]])</f>
        <v>0</v>
      </c>
      <c r="O831" s="44"/>
      <c r="P831" s="66"/>
      <c r="Q831" s="66"/>
      <c r="R831" s="66"/>
      <c r="S831" s="66"/>
      <c r="T831" s="138" t="str">
        <f>IFERROR(LOOKUP($S831,MOTORISTAS!$D$3:$D$1048576,MOTORISTAS!E$3:$E$1048576),"")</f>
        <v/>
      </c>
      <c r="U831" s="138" t="str">
        <f>IFERROR(LOOKUP($S831,MOTORISTAS!$D$3:$D$1048576,MOTORISTAS!F$3:$F$1048576),"")</f>
        <v/>
      </c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44"/>
      <c r="AG831" s="254">
        <f>Prog_236[[#This Row],[SAÍDA DO CLIENTE]]-Prog_236[[#This Row],[PROGRAMAÇÃO CLIENTE]]</f>
        <v>0</v>
      </c>
      <c r="AH831" s="44"/>
      <c r="AI831" s="66"/>
      <c r="AJ831" s="66"/>
      <c r="AK831" s="66"/>
      <c r="AL831" s="66"/>
      <c r="AM831" s="66"/>
      <c r="AN831" s="83"/>
      <c r="AO831" s="66"/>
      <c r="AP831" s="66"/>
      <c r="AQ831" s="66"/>
      <c r="AR831" s="81"/>
      <c r="AS831" s="81"/>
      <c r="AT831" s="81"/>
      <c r="AU831" s="81"/>
      <c r="AV831" s="83">
        <f>SUM(Prog_236[[#This Row],[ADIANTAMENTO]]+Prog_236[[#This Row],[SALDO]]+Prog_236[[#This Row],[MARGEM]]+Prog_236[[#This Row],[ESTADIA 1]])</f>
        <v>0</v>
      </c>
      <c r="AW8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1" s="81"/>
      <c r="AY831" s="81"/>
      <c r="AZ831" s="81">
        <f>Prog_236[[#This Row],[VLR NF]]*0.1%</f>
        <v>0</v>
      </c>
      <c r="BA831" s="81">
        <f>Prog_236[[#This Row],[VLR NF]]*0.05%</f>
        <v>0</v>
      </c>
      <c r="BB831" s="81"/>
      <c r="BC831" s="81"/>
      <c r="BD831" s="81"/>
      <c r="BE831" s="81"/>
      <c r="BF831" s="81"/>
      <c r="BG831" s="81"/>
      <c r="BH831" s="81"/>
      <c r="BI831" s="81"/>
      <c r="BJ831" s="81"/>
      <c r="BK831" s="81"/>
      <c r="BL831" s="66"/>
      <c r="BM831" s="66"/>
      <c r="BN831" s="66"/>
      <c r="BO831" s="66" t="str">
        <f>PROPER(TEXT(Prog_236[[#This Row],[PROGRAMAÇÃO CLIENTE]],"mmm"))</f>
        <v>Jan</v>
      </c>
      <c r="BP831" s="66">
        <f>YEAR(Prog_236[[#This Row],[PROGRAMAÇÃO CLIENTE]])</f>
        <v>1900</v>
      </c>
    </row>
    <row r="832" spans="1:68" x14ac:dyDescent="0.25">
      <c r="A832" s="201">
        <f>Prog_236[[#This Row],[CONTEINER]]</f>
        <v>0</v>
      </c>
      <c r="B832" s="86"/>
      <c r="C8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2" s="44"/>
      <c r="E832" s="66"/>
      <c r="F832" s="66"/>
      <c r="G832" s="66"/>
      <c r="H832" s="44"/>
      <c r="I832" s="44"/>
      <c r="J832" s="66"/>
      <c r="K832" s="66"/>
      <c r="L832" s="66"/>
      <c r="M832" s="66"/>
      <c r="N832" s="66">
        <f>SUM(Prog_236[[#This Row],[TARA]]+Prog_236[[#This Row],[PESO]])</f>
        <v>0</v>
      </c>
      <c r="O832" s="44"/>
      <c r="P832" s="66"/>
      <c r="Q832" s="66"/>
      <c r="R832" s="66"/>
      <c r="S832" s="66"/>
      <c r="T832" s="138" t="str">
        <f>IFERROR(LOOKUP($S832,MOTORISTAS!$D$3:$D$1048576,MOTORISTAS!E$3:$E$1048576),"")</f>
        <v/>
      </c>
      <c r="U832" s="138" t="str">
        <f>IFERROR(LOOKUP($S832,MOTORISTAS!$D$3:$D$1048576,MOTORISTAS!F$3:$F$1048576),"")</f>
        <v/>
      </c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44"/>
      <c r="AG832" s="254">
        <f>Prog_236[[#This Row],[SAÍDA DO CLIENTE]]-Prog_236[[#This Row],[PROGRAMAÇÃO CLIENTE]]</f>
        <v>0</v>
      </c>
      <c r="AH832" s="44"/>
      <c r="AI832" s="66"/>
      <c r="AJ832" s="66"/>
      <c r="AK832" s="66"/>
      <c r="AL832" s="66"/>
      <c r="AM832" s="66"/>
      <c r="AN832" s="83"/>
      <c r="AO832" s="66"/>
      <c r="AP832" s="66"/>
      <c r="AQ832" s="66"/>
      <c r="AR832" s="81"/>
      <c r="AS832" s="81"/>
      <c r="AT832" s="81"/>
      <c r="AU832" s="81"/>
      <c r="AV832" s="83">
        <f>SUM(Prog_236[[#This Row],[ADIANTAMENTO]]+Prog_236[[#This Row],[SALDO]]+Prog_236[[#This Row],[MARGEM]]+Prog_236[[#This Row],[ESTADIA 1]])</f>
        <v>0</v>
      </c>
      <c r="AW8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2" s="81"/>
      <c r="AY832" s="81"/>
      <c r="AZ832" s="81">
        <f>Prog_236[[#This Row],[VLR NF]]*0.1%</f>
        <v>0</v>
      </c>
      <c r="BA832" s="81">
        <f>Prog_236[[#This Row],[VLR NF]]*0.05%</f>
        <v>0</v>
      </c>
      <c r="BB832" s="81"/>
      <c r="BC832" s="81"/>
      <c r="BD832" s="81"/>
      <c r="BE832" s="81"/>
      <c r="BF832" s="81"/>
      <c r="BG832" s="81"/>
      <c r="BH832" s="81"/>
      <c r="BI832" s="81"/>
      <c r="BJ832" s="81"/>
      <c r="BK832" s="81"/>
      <c r="BL832" s="66"/>
      <c r="BM832" s="66"/>
      <c r="BN832" s="66"/>
      <c r="BO832" s="66" t="str">
        <f>PROPER(TEXT(Prog_236[[#This Row],[PROGRAMAÇÃO CLIENTE]],"mmm"))</f>
        <v>Jan</v>
      </c>
      <c r="BP832" s="66">
        <f>YEAR(Prog_236[[#This Row],[PROGRAMAÇÃO CLIENTE]])</f>
        <v>1900</v>
      </c>
    </row>
    <row r="833" spans="1:68" x14ac:dyDescent="0.25">
      <c r="A833" s="200">
        <f>Prog_236[[#This Row],[CONTEINER]]</f>
        <v>0</v>
      </c>
      <c r="B833" s="86"/>
      <c r="C8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3" s="44"/>
      <c r="E833" s="66"/>
      <c r="F833" s="66"/>
      <c r="G833" s="66"/>
      <c r="H833" s="44"/>
      <c r="I833" s="44"/>
      <c r="J833" s="66"/>
      <c r="K833" s="66"/>
      <c r="L833" s="66"/>
      <c r="M833" s="66"/>
      <c r="N833" s="66">
        <f>SUM(Prog_236[[#This Row],[TARA]]+Prog_236[[#This Row],[PESO]])</f>
        <v>0</v>
      </c>
      <c r="O833" s="44"/>
      <c r="P833" s="66"/>
      <c r="Q833" s="66"/>
      <c r="R833" s="66"/>
      <c r="S833" s="66"/>
      <c r="T833" s="138" t="str">
        <f>IFERROR(LOOKUP($S833,MOTORISTAS!$D$3:$D$1048576,MOTORISTAS!E$3:$E$1048576),"")</f>
        <v/>
      </c>
      <c r="U833" s="138" t="str">
        <f>IFERROR(LOOKUP($S833,MOTORISTAS!$D$3:$D$1048576,MOTORISTAS!F$3:$F$1048576),"")</f>
        <v/>
      </c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44"/>
      <c r="AG833" s="254">
        <f>Prog_236[[#This Row],[SAÍDA DO CLIENTE]]-Prog_236[[#This Row],[PROGRAMAÇÃO CLIENTE]]</f>
        <v>0</v>
      </c>
      <c r="AH833" s="44"/>
      <c r="AI833" s="66"/>
      <c r="AJ833" s="66"/>
      <c r="AK833" s="66"/>
      <c r="AL833" s="66"/>
      <c r="AM833" s="66"/>
      <c r="AN833" s="83"/>
      <c r="AO833" s="66"/>
      <c r="AP833" s="66"/>
      <c r="AQ833" s="66"/>
      <c r="AR833" s="81"/>
      <c r="AS833" s="81"/>
      <c r="AT833" s="81"/>
      <c r="AU833" s="81"/>
      <c r="AV833" s="83">
        <f>SUM(Prog_236[[#This Row],[ADIANTAMENTO]]+Prog_236[[#This Row],[SALDO]]+Prog_236[[#This Row],[MARGEM]]+Prog_236[[#This Row],[ESTADIA 1]])</f>
        <v>0</v>
      </c>
      <c r="AW8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3" s="81"/>
      <c r="AY833" s="81"/>
      <c r="AZ833" s="81">
        <f>Prog_236[[#This Row],[VLR NF]]*0.1%</f>
        <v>0</v>
      </c>
      <c r="BA833" s="81">
        <f>Prog_236[[#This Row],[VLR NF]]*0.05%</f>
        <v>0</v>
      </c>
      <c r="BB833" s="81"/>
      <c r="BC833" s="81"/>
      <c r="BD833" s="81"/>
      <c r="BE833" s="81"/>
      <c r="BF833" s="81"/>
      <c r="BG833" s="81"/>
      <c r="BH833" s="81"/>
      <c r="BI833" s="81"/>
      <c r="BJ833" s="81"/>
      <c r="BK833" s="81"/>
      <c r="BL833" s="66"/>
      <c r="BM833" s="66"/>
      <c r="BN833" s="66"/>
      <c r="BO833" s="66" t="str">
        <f>PROPER(TEXT(Prog_236[[#This Row],[PROGRAMAÇÃO CLIENTE]],"mmm"))</f>
        <v>Jan</v>
      </c>
      <c r="BP833" s="66">
        <f>YEAR(Prog_236[[#This Row],[PROGRAMAÇÃO CLIENTE]])</f>
        <v>1900</v>
      </c>
    </row>
    <row r="834" spans="1:68" x14ac:dyDescent="0.25">
      <c r="A834" s="201">
        <f>Prog_236[[#This Row],[CONTEINER]]</f>
        <v>0</v>
      </c>
      <c r="B834" s="86"/>
      <c r="C8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4" s="44"/>
      <c r="E834" s="66"/>
      <c r="F834" s="66"/>
      <c r="G834" s="66"/>
      <c r="H834" s="44"/>
      <c r="I834" s="44"/>
      <c r="J834" s="66"/>
      <c r="K834" s="66"/>
      <c r="L834" s="66"/>
      <c r="M834" s="66"/>
      <c r="N834" s="66">
        <f>SUM(Prog_236[[#This Row],[TARA]]+Prog_236[[#This Row],[PESO]])</f>
        <v>0</v>
      </c>
      <c r="O834" s="44"/>
      <c r="P834" s="66"/>
      <c r="Q834" s="66"/>
      <c r="R834" s="66"/>
      <c r="S834" s="66"/>
      <c r="T834" s="138" t="str">
        <f>IFERROR(LOOKUP($S834,MOTORISTAS!$D$3:$D$1048576,MOTORISTAS!E$3:$E$1048576),"")</f>
        <v/>
      </c>
      <c r="U834" s="138" t="str">
        <f>IFERROR(LOOKUP($S834,MOTORISTAS!$D$3:$D$1048576,MOTORISTAS!F$3:$F$1048576),"")</f>
        <v/>
      </c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44"/>
      <c r="AG834" s="254">
        <f>Prog_236[[#This Row],[SAÍDA DO CLIENTE]]-Prog_236[[#This Row],[PROGRAMAÇÃO CLIENTE]]</f>
        <v>0</v>
      </c>
      <c r="AH834" s="44"/>
      <c r="AI834" s="66"/>
      <c r="AJ834" s="66"/>
      <c r="AK834" s="66"/>
      <c r="AL834" s="66"/>
      <c r="AM834" s="66"/>
      <c r="AN834" s="83"/>
      <c r="AO834" s="66"/>
      <c r="AP834" s="66"/>
      <c r="AQ834" s="66"/>
      <c r="AR834" s="81"/>
      <c r="AS834" s="81"/>
      <c r="AT834" s="81"/>
      <c r="AU834" s="81"/>
      <c r="AV834" s="83">
        <f>SUM(Prog_236[[#This Row],[ADIANTAMENTO]]+Prog_236[[#This Row],[SALDO]]+Prog_236[[#This Row],[MARGEM]]+Prog_236[[#This Row],[ESTADIA 1]])</f>
        <v>0</v>
      </c>
      <c r="AW8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4" s="81"/>
      <c r="AY834" s="81"/>
      <c r="AZ834" s="81">
        <f>Prog_236[[#This Row],[VLR NF]]*0.1%</f>
        <v>0</v>
      </c>
      <c r="BA834" s="81">
        <f>Prog_236[[#This Row],[VLR NF]]*0.05%</f>
        <v>0</v>
      </c>
      <c r="BB834" s="81"/>
      <c r="BC834" s="81"/>
      <c r="BD834" s="81"/>
      <c r="BE834" s="81"/>
      <c r="BF834" s="81"/>
      <c r="BG834" s="81"/>
      <c r="BH834" s="81"/>
      <c r="BI834" s="81"/>
      <c r="BJ834" s="81"/>
      <c r="BK834" s="81"/>
      <c r="BL834" s="66"/>
      <c r="BM834" s="66"/>
      <c r="BN834" s="66"/>
      <c r="BO834" s="66" t="str">
        <f>PROPER(TEXT(Prog_236[[#This Row],[PROGRAMAÇÃO CLIENTE]],"mmm"))</f>
        <v>Jan</v>
      </c>
      <c r="BP834" s="66">
        <f>YEAR(Prog_236[[#This Row],[PROGRAMAÇÃO CLIENTE]])</f>
        <v>1900</v>
      </c>
    </row>
    <row r="835" spans="1:68" x14ac:dyDescent="0.25">
      <c r="A835" s="200">
        <f>Prog_236[[#This Row],[CONTEINER]]</f>
        <v>0</v>
      </c>
      <c r="B835" s="86"/>
      <c r="C8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5" s="44"/>
      <c r="E835" s="66"/>
      <c r="F835" s="66"/>
      <c r="G835" s="66"/>
      <c r="H835" s="44"/>
      <c r="I835" s="44"/>
      <c r="J835" s="66"/>
      <c r="K835" s="66"/>
      <c r="L835" s="66"/>
      <c r="M835" s="66"/>
      <c r="N835" s="66">
        <f>SUM(Prog_236[[#This Row],[TARA]]+Prog_236[[#This Row],[PESO]])</f>
        <v>0</v>
      </c>
      <c r="O835" s="44"/>
      <c r="P835" s="66"/>
      <c r="Q835" s="66"/>
      <c r="R835" s="66"/>
      <c r="S835" s="66"/>
      <c r="T835" s="138" t="str">
        <f>IFERROR(LOOKUP($S835,MOTORISTAS!$D$3:$D$1048576,MOTORISTAS!E$3:$E$1048576),"")</f>
        <v/>
      </c>
      <c r="U835" s="138" t="str">
        <f>IFERROR(LOOKUP($S835,MOTORISTAS!$D$3:$D$1048576,MOTORISTAS!F$3:$F$1048576),"")</f>
        <v/>
      </c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44"/>
      <c r="AG835" s="254">
        <f>Prog_236[[#This Row],[SAÍDA DO CLIENTE]]-Prog_236[[#This Row],[PROGRAMAÇÃO CLIENTE]]</f>
        <v>0</v>
      </c>
      <c r="AH835" s="44"/>
      <c r="AI835" s="66"/>
      <c r="AJ835" s="66"/>
      <c r="AK835" s="66"/>
      <c r="AL835" s="66"/>
      <c r="AM835" s="66"/>
      <c r="AN835" s="83"/>
      <c r="AO835" s="66"/>
      <c r="AP835" s="66"/>
      <c r="AQ835" s="66"/>
      <c r="AR835" s="81"/>
      <c r="AS835" s="81"/>
      <c r="AT835" s="81"/>
      <c r="AU835" s="81"/>
      <c r="AV835" s="83">
        <f>SUM(Prog_236[[#This Row],[ADIANTAMENTO]]+Prog_236[[#This Row],[SALDO]]+Prog_236[[#This Row],[MARGEM]]+Prog_236[[#This Row],[ESTADIA 1]])</f>
        <v>0</v>
      </c>
      <c r="AW8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5" s="81"/>
      <c r="AY835" s="81"/>
      <c r="AZ835" s="81">
        <f>Prog_236[[#This Row],[VLR NF]]*0.1%</f>
        <v>0</v>
      </c>
      <c r="BA835" s="81">
        <f>Prog_236[[#This Row],[VLR NF]]*0.05%</f>
        <v>0</v>
      </c>
      <c r="BB835" s="81"/>
      <c r="BC835" s="81"/>
      <c r="BD835" s="81"/>
      <c r="BE835" s="81"/>
      <c r="BF835" s="81"/>
      <c r="BG835" s="81"/>
      <c r="BH835" s="81"/>
      <c r="BI835" s="81"/>
      <c r="BJ835" s="81"/>
      <c r="BK835" s="81"/>
      <c r="BL835" s="66"/>
      <c r="BM835" s="66"/>
      <c r="BN835" s="66"/>
      <c r="BO835" s="66" t="str">
        <f>PROPER(TEXT(Prog_236[[#This Row],[PROGRAMAÇÃO CLIENTE]],"mmm"))</f>
        <v>Jan</v>
      </c>
      <c r="BP835" s="66">
        <f>YEAR(Prog_236[[#This Row],[PROGRAMAÇÃO CLIENTE]])</f>
        <v>1900</v>
      </c>
    </row>
    <row r="836" spans="1:68" x14ac:dyDescent="0.25">
      <c r="A836" s="201">
        <f>Prog_236[[#This Row],[CONTEINER]]</f>
        <v>0</v>
      </c>
      <c r="B836" s="86"/>
      <c r="C8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6" s="44"/>
      <c r="E836" s="66"/>
      <c r="F836" s="66"/>
      <c r="G836" s="66"/>
      <c r="H836" s="44"/>
      <c r="I836" s="44"/>
      <c r="J836" s="66"/>
      <c r="K836" s="66"/>
      <c r="L836" s="66"/>
      <c r="M836" s="66"/>
      <c r="N836" s="66">
        <f>SUM(Prog_236[[#This Row],[TARA]]+Prog_236[[#This Row],[PESO]])</f>
        <v>0</v>
      </c>
      <c r="O836" s="44"/>
      <c r="P836" s="66"/>
      <c r="Q836" s="66"/>
      <c r="R836" s="66"/>
      <c r="S836" s="66"/>
      <c r="T836" s="138" t="str">
        <f>IFERROR(LOOKUP($S836,MOTORISTAS!$D$3:$D$1048576,MOTORISTAS!E$3:$E$1048576),"")</f>
        <v/>
      </c>
      <c r="U836" s="138" t="str">
        <f>IFERROR(LOOKUP($S836,MOTORISTAS!$D$3:$D$1048576,MOTORISTAS!F$3:$F$1048576),"")</f>
        <v/>
      </c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44"/>
      <c r="AG836" s="254">
        <f>Prog_236[[#This Row],[SAÍDA DO CLIENTE]]-Prog_236[[#This Row],[PROGRAMAÇÃO CLIENTE]]</f>
        <v>0</v>
      </c>
      <c r="AH836" s="44"/>
      <c r="AI836" s="66"/>
      <c r="AJ836" s="66"/>
      <c r="AK836" s="66"/>
      <c r="AL836" s="66"/>
      <c r="AM836" s="66"/>
      <c r="AN836" s="83"/>
      <c r="AO836" s="66"/>
      <c r="AP836" s="66"/>
      <c r="AQ836" s="66"/>
      <c r="AR836" s="81"/>
      <c r="AS836" s="81"/>
      <c r="AT836" s="81"/>
      <c r="AU836" s="81"/>
      <c r="AV836" s="83">
        <f>SUM(Prog_236[[#This Row],[ADIANTAMENTO]]+Prog_236[[#This Row],[SALDO]]+Prog_236[[#This Row],[MARGEM]]+Prog_236[[#This Row],[ESTADIA 1]])</f>
        <v>0</v>
      </c>
      <c r="AW8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6" s="81"/>
      <c r="AY836" s="81"/>
      <c r="AZ836" s="81">
        <f>Prog_236[[#This Row],[VLR NF]]*0.1%</f>
        <v>0</v>
      </c>
      <c r="BA836" s="81">
        <f>Prog_236[[#This Row],[VLR NF]]*0.05%</f>
        <v>0</v>
      </c>
      <c r="BB836" s="81"/>
      <c r="BC836" s="81"/>
      <c r="BD836" s="81"/>
      <c r="BE836" s="81"/>
      <c r="BF836" s="81"/>
      <c r="BG836" s="81"/>
      <c r="BH836" s="81"/>
      <c r="BI836" s="81"/>
      <c r="BJ836" s="81"/>
      <c r="BK836" s="81"/>
      <c r="BL836" s="66"/>
      <c r="BM836" s="66"/>
      <c r="BN836" s="66"/>
      <c r="BO836" s="66" t="str">
        <f>PROPER(TEXT(Prog_236[[#This Row],[PROGRAMAÇÃO CLIENTE]],"mmm"))</f>
        <v>Jan</v>
      </c>
      <c r="BP836" s="66">
        <f>YEAR(Prog_236[[#This Row],[PROGRAMAÇÃO CLIENTE]])</f>
        <v>1900</v>
      </c>
    </row>
    <row r="837" spans="1:68" x14ac:dyDescent="0.25">
      <c r="A837" s="200">
        <f>Prog_236[[#This Row],[CONTEINER]]</f>
        <v>0</v>
      </c>
      <c r="B837" s="86"/>
      <c r="C8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7" s="44"/>
      <c r="E837" s="66"/>
      <c r="F837" s="66"/>
      <c r="G837" s="66"/>
      <c r="H837" s="44"/>
      <c r="I837" s="44"/>
      <c r="J837" s="66"/>
      <c r="K837" s="66"/>
      <c r="L837" s="66"/>
      <c r="M837" s="66"/>
      <c r="N837" s="66">
        <f>SUM(Prog_236[[#This Row],[TARA]]+Prog_236[[#This Row],[PESO]])</f>
        <v>0</v>
      </c>
      <c r="O837" s="44"/>
      <c r="P837" s="66"/>
      <c r="Q837" s="66"/>
      <c r="R837" s="66"/>
      <c r="S837" s="66"/>
      <c r="T837" s="138" t="str">
        <f>IFERROR(LOOKUP($S837,MOTORISTAS!$D$3:$D$1048576,MOTORISTAS!E$3:$E$1048576),"")</f>
        <v/>
      </c>
      <c r="U837" s="138" t="str">
        <f>IFERROR(LOOKUP($S837,MOTORISTAS!$D$3:$D$1048576,MOTORISTAS!F$3:$F$1048576),"")</f>
        <v/>
      </c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44"/>
      <c r="AG837" s="254">
        <f>Prog_236[[#This Row],[SAÍDA DO CLIENTE]]-Prog_236[[#This Row],[PROGRAMAÇÃO CLIENTE]]</f>
        <v>0</v>
      </c>
      <c r="AH837" s="44"/>
      <c r="AI837" s="66"/>
      <c r="AJ837" s="66"/>
      <c r="AK837" s="66"/>
      <c r="AL837" s="66"/>
      <c r="AM837" s="66"/>
      <c r="AN837" s="83"/>
      <c r="AO837" s="66"/>
      <c r="AP837" s="66"/>
      <c r="AQ837" s="66"/>
      <c r="AR837" s="81"/>
      <c r="AS837" s="81"/>
      <c r="AT837" s="81"/>
      <c r="AU837" s="81"/>
      <c r="AV837" s="83">
        <f>SUM(Prog_236[[#This Row],[ADIANTAMENTO]]+Prog_236[[#This Row],[SALDO]]+Prog_236[[#This Row],[MARGEM]]+Prog_236[[#This Row],[ESTADIA 1]])</f>
        <v>0</v>
      </c>
      <c r="AW8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7" s="81"/>
      <c r="AY837" s="81"/>
      <c r="AZ837" s="81">
        <f>Prog_236[[#This Row],[VLR NF]]*0.1%</f>
        <v>0</v>
      </c>
      <c r="BA837" s="81">
        <f>Prog_236[[#This Row],[VLR NF]]*0.05%</f>
        <v>0</v>
      </c>
      <c r="BB837" s="81"/>
      <c r="BC837" s="81"/>
      <c r="BD837" s="81"/>
      <c r="BE837" s="81"/>
      <c r="BF837" s="81"/>
      <c r="BG837" s="81"/>
      <c r="BH837" s="81"/>
      <c r="BI837" s="81"/>
      <c r="BJ837" s="81"/>
      <c r="BK837" s="81"/>
      <c r="BL837" s="66"/>
      <c r="BM837" s="66"/>
      <c r="BN837" s="66"/>
      <c r="BO837" s="66" t="str">
        <f>PROPER(TEXT(Prog_236[[#This Row],[PROGRAMAÇÃO CLIENTE]],"mmm"))</f>
        <v>Jan</v>
      </c>
      <c r="BP837" s="66">
        <f>YEAR(Prog_236[[#This Row],[PROGRAMAÇÃO CLIENTE]])</f>
        <v>1900</v>
      </c>
    </row>
    <row r="838" spans="1:68" x14ac:dyDescent="0.25">
      <c r="A838" s="201">
        <f>Prog_236[[#This Row],[CONTEINER]]</f>
        <v>0</v>
      </c>
      <c r="B838" s="86"/>
      <c r="C8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8" s="44"/>
      <c r="E838" s="66"/>
      <c r="F838" s="66"/>
      <c r="G838" s="66"/>
      <c r="H838" s="44"/>
      <c r="I838" s="44"/>
      <c r="J838" s="66"/>
      <c r="K838" s="66"/>
      <c r="L838" s="66"/>
      <c r="M838" s="66"/>
      <c r="N838" s="66">
        <f>SUM(Prog_236[[#This Row],[TARA]]+Prog_236[[#This Row],[PESO]])</f>
        <v>0</v>
      </c>
      <c r="O838" s="44"/>
      <c r="P838" s="66"/>
      <c r="Q838" s="66"/>
      <c r="R838" s="66"/>
      <c r="S838" s="66"/>
      <c r="T838" s="138" t="str">
        <f>IFERROR(LOOKUP($S838,MOTORISTAS!$D$3:$D$1048576,MOTORISTAS!E$3:$E$1048576),"")</f>
        <v/>
      </c>
      <c r="U838" s="138" t="str">
        <f>IFERROR(LOOKUP($S838,MOTORISTAS!$D$3:$D$1048576,MOTORISTAS!F$3:$F$1048576),"")</f>
        <v/>
      </c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44"/>
      <c r="AG838" s="254">
        <f>Prog_236[[#This Row],[SAÍDA DO CLIENTE]]-Prog_236[[#This Row],[PROGRAMAÇÃO CLIENTE]]</f>
        <v>0</v>
      </c>
      <c r="AH838" s="44"/>
      <c r="AI838" s="66"/>
      <c r="AJ838" s="66"/>
      <c r="AK838" s="66"/>
      <c r="AL838" s="66"/>
      <c r="AM838" s="66"/>
      <c r="AN838" s="83"/>
      <c r="AO838" s="66"/>
      <c r="AP838" s="66"/>
      <c r="AQ838" s="66"/>
      <c r="AR838" s="81"/>
      <c r="AS838" s="81"/>
      <c r="AT838" s="81"/>
      <c r="AU838" s="81"/>
      <c r="AV838" s="83">
        <f>SUM(Prog_236[[#This Row],[ADIANTAMENTO]]+Prog_236[[#This Row],[SALDO]]+Prog_236[[#This Row],[MARGEM]]+Prog_236[[#This Row],[ESTADIA 1]])</f>
        <v>0</v>
      </c>
      <c r="AW8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8" s="81"/>
      <c r="AY838" s="81"/>
      <c r="AZ838" s="81">
        <f>Prog_236[[#This Row],[VLR NF]]*0.1%</f>
        <v>0</v>
      </c>
      <c r="BA838" s="81">
        <f>Prog_236[[#This Row],[VLR NF]]*0.05%</f>
        <v>0</v>
      </c>
      <c r="BB838" s="81"/>
      <c r="BC838" s="81"/>
      <c r="BD838" s="81"/>
      <c r="BE838" s="81"/>
      <c r="BF838" s="81"/>
      <c r="BG838" s="81"/>
      <c r="BH838" s="81"/>
      <c r="BI838" s="81"/>
      <c r="BJ838" s="81"/>
      <c r="BK838" s="81"/>
      <c r="BL838" s="66"/>
      <c r="BM838" s="66"/>
      <c r="BN838" s="66"/>
      <c r="BO838" s="66" t="str">
        <f>PROPER(TEXT(Prog_236[[#This Row],[PROGRAMAÇÃO CLIENTE]],"mmm"))</f>
        <v>Jan</v>
      </c>
      <c r="BP838" s="66">
        <f>YEAR(Prog_236[[#This Row],[PROGRAMAÇÃO CLIENTE]])</f>
        <v>1900</v>
      </c>
    </row>
    <row r="839" spans="1:68" x14ac:dyDescent="0.25">
      <c r="A839" s="200">
        <f>Prog_236[[#This Row],[CONTEINER]]</f>
        <v>0</v>
      </c>
      <c r="B839" s="86"/>
      <c r="C8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39" s="44"/>
      <c r="E839" s="66"/>
      <c r="F839" s="66"/>
      <c r="G839" s="66"/>
      <c r="H839" s="44"/>
      <c r="I839" s="44"/>
      <c r="J839" s="66"/>
      <c r="K839" s="66"/>
      <c r="L839" s="66"/>
      <c r="M839" s="66"/>
      <c r="N839" s="66">
        <f>SUM(Prog_236[[#This Row],[TARA]]+Prog_236[[#This Row],[PESO]])</f>
        <v>0</v>
      </c>
      <c r="O839" s="44"/>
      <c r="P839" s="66"/>
      <c r="Q839" s="66"/>
      <c r="R839" s="66"/>
      <c r="S839" s="66"/>
      <c r="T839" s="138" t="str">
        <f>IFERROR(LOOKUP($S839,MOTORISTAS!$D$3:$D$1048576,MOTORISTAS!E$3:$E$1048576),"")</f>
        <v/>
      </c>
      <c r="U839" s="138" t="str">
        <f>IFERROR(LOOKUP($S839,MOTORISTAS!$D$3:$D$1048576,MOTORISTAS!F$3:$F$1048576),"")</f>
        <v/>
      </c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44"/>
      <c r="AG839" s="254">
        <f>Prog_236[[#This Row],[SAÍDA DO CLIENTE]]-Prog_236[[#This Row],[PROGRAMAÇÃO CLIENTE]]</f>
        <v>0</v>
      </c>
      <c r="AH839" s="44"/>
      <c r="AI839" s="66"/>
      <c r="AJ839" s="66"/>
      <c r="AK839" s="66"/>
      <c r="AL839" s="66"/>
      <c r="AM839" s="66"/>
      <c r="AN839" s="83"/>
      <c r="AO839" s="66"/>
      <c r="AP839" s="66"/>
      <c r="AQ839" s="66"/>
      <c r="AR839" s="81"/>
      <c r="AS839" s="81"/>
      <c r="AT839" s="81"/>
      <c r="AU839" s="81"/>
      <c r="AV839" s="83">
        <f>SUM(Prog_236[[#This Row],[ADIANTAMENTO]]+Prog_236[[#This Row],[SALDO]]+Prog_236[[#This Row],[MARGEM]]+Prog_236[[#This Row],[ESTADIA 1]])</f>
        <v>0</v>
      </c>
      <c r="AW8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39" s="81"/>
      <c r="AY839" s="81"/>
      <c r="AZ839" s="81">
        <f>Prog_236[[#This Row],[VLR NF]]*0.1%</f>
        <v>0</v>
      </c>
      <c r="BA839" s="81">
        <f>Prog_236[[#This Row],[VLR NF]]*0.05%</f>
        <v>0</v>
      </c>
      <c r="BB839" s="81"/>
      <c r="BC839" s="81"/>
      <c r="BD839" s="81"/>
      <c r="BE839" s="81"/>
      <c r="BF839" s="81"/>
      <c r="BG839" s="81"/>
      <c r="BH839" s="81"/>
      <c r="BI839" s="81"/>
      <c r="BJ839" s="81"/>
      <c r="BK839" s="81"/>
      <c r="BL839" s="66"/>
      <c r="BM839" s="66"/>
      <c r="BN839" s="66"/>
      <c r="BO839" s="66" t="str">
        <f>PROPER(TEXT(Prog_236[[#This Row],[PROGRAMAÇÃO CLIENTE]],"mmm"))</f>
        <v>Jan</v>
      </c>
      <c r="BP839" s="66">
        <f>YEAR(Prog_236[[#This Row],[PROGRAMAÇÃO CLIENTE]])</f>
        <v>1900</v>
      </c>
    </row>
    <row r="840" spans="1:68" x14ac:dyDescent="0.25">
      <c r="A840" s="201">
        <f>Prog_236[[#This Row],[CONTEINER]]</f>
        <v>0</v>
      </c>
      <c r="B840" s="86"/>
      <c r="C8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0" s="44"/>
      <c r="E840" s="66"/>
      <c r="F840" s="66"/>
      <c r="G840" s="66"/>
      <c r="H840" s="44"/>
      <c r="I840" s="44"/>
      <c r="J840" s="66"/>
      <c r="K840" s="66"/>
      <c r="L840" s="66"/>
      <c r="M840" s="66"/>
      <c r="N840" s="66">
        <f>SUM(Prog_236[[#This Row],[TARA]]+Prog_236[[#This Row],[PESO]])</f>
        <v>0</v>
      </c>
      <c r="O840" s="44"/>
      <c r="P840" s="66"/>
      <c r="Q840" s="66"/>
      <c r="R840" s="66"/>
      <c r="S840" s="66"/>
      <c r="T840" s="138" t="str">
        <f>IFERROR(LOOKUP($S840,MOTORISTAS!$D$3:$D$1048576,MOTORISTAS!E$3:$E$1048576),"")</f>
        <v/>
      </c>
      <c r="U840" s="138" t="str">
        <f>IFERROR(LOOKUP($S840,MOTORISTAS!$D$3:$D$1048576,MOTORISTAS!F$3:$F$1048576),"")</f>
        <v/>
      </c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44"/>
      <c r="AG840" s="254">
        <f>Prog_236[[#This Row],[SAÍDA DO CLIENTE]]-Prog_236[[#This Row],[PROGRAMAÇÃO CLIENTE]]</f>
        <v>0</v>
      </c>
      <c r="AH840" s="44"/>
      <c r="AI840" s="66"/>
      <c r="AJ840" s="66"/>
      <c r="AK840" s="66"/>
      <c r="AL840" s="66"/>
      <c r="AM840" s="66"/>
      <c r="AN840" s="83"/>
      <c r="AO840" s="66"/>
      <c r="AP840" s="66"/>
      <c r="AQ840" s="66"/>
      <c r="AR840" s="81"/>
      <c r="AS840" s="81"/>
      <c r="AT840" s="81"/>
      <c r="AU840" s="81"/>
      <c r="AV840" s="83">
        <f>SUM(Prog_236[[#This Row],[ADIANTAMENTO]]+Prog_236[[#This Row],[SALDO]]+Prog_236[[#This Row],[MARGEM]]+Prog_236[[#This Row],[ESTADIA 1]])</f>
        <v>0</v>
      </c>
      <c r="AW8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0" s="81"/>
      <c r="AY840" s="81"/>
      <c r="AZ840" s="81">
        <f>Prog_236[[#This Row],[VLR NF]]*0.1%</f>
        <v>0</v>
      </c>
      <c r="BA840" s="81">
        <f>Prog_236[[#This Row],[VLR NF]]*0.05%</f>
        <v>0</v>
      </c>
      <c r="BB840" s="81"/>
      <c r="BC840" s="81"/>
      <c r="BD840" s="81"/>
      <c r="BE840" s="81"/>
      <c r="BF840" s="81"/>
      <c r="BG840" s="81"/>
      <c r="BH840" s="81"/>
      <c r="BI840" s="81"/>
      <c r="BJ840" s="81"/>
      <c r="BK840" s="81"/>
      <c r="BL840" s="66"/>
      <c r="BM840" s="66"/>
      <c r="BN840" s="66"/>
      <c r="BO840" s="66" t="str">
        <f>PROPER(TEXT(Prog_236[[#This Row],[PROGRAMAÇÃO CLIENTE]],"mmm"))</f>
        <v>Jan</v>
      </c>
      <c r="BP840" s="66">
        <f>YEAR(Prog_236[[#This Row],[PROGRAMAÇÃO CLIENTE]])</f>
        <v>1900</v>
      </c>
    </row>
    <row r="841" spans="1:68" x14ac:dyDescent="0.25">
      <c r="A841" s="200">
        <f>Prog_236[[#This Row],[CONTEINER]]</f>
        <v>0</v>
      </c>
      <c r="B841" s="86"/>
      <c r="C8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1" s="44"/>
      <c r="E841" s="66"/>
      <c r="F841" s="66"/>
      <c r="G841" s="66"/>
      <c r="H841" s="44"/>
      <c r="I841" s="44"/>
      <c r="J841" s="66"/>
      <c r="K841" s="66"/>
      <c r="L841" s="66"/>
      <c r="M841" s="66"/>
      <c r="N841" s="66">
        <f>SUM(Prog_236[[#This Row],[TARA]]+Prog_236[[#This Row],[PESO]])</f>
        <v>0</v>
      </c>
      <c r="O841" s="44"/>
      <c r="P841" s="66"/>
      <c r="Q841" s="66"/>
      <c r="R841" s="66"/>
      <c r="S841" s="66"/>
      <c r="T841" s="138" t="str">
        <f>IFERROR(LOOKUP($S841,MOTORISTAS!$D$3:$D$1048576,MOTORISTAS!E$3:$E$1048576),"")</f>
        <v/>
      </c>
      <c r="U841" s="138" t="str">
        <f>IFERROR(LOOKUP($S841,MOTORISTAS!$D$3:$D$1048576,MOTORISTAS!F$3:$F$1048576),"")</f>
        <v/>
      </c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44"/>
      <c r="AG841" s="254">
        <f>Prog_236[[#This Row],[SAÍDA DO CLIENTE]]-Prog_236[[#This Row],[PROGRAMAÇÃO CLIENTE]]</f>
        <v>0</v>
      </c>
      <c r="AH841" s="44"/>
      <c r="AI841" s="66"/>
      <c r="AJ841" s="66"/>
      <c r="AK841" s="66"/>
      <c r="AL841" s="66"/>
      <c r="AM841" s="66"/>
      <c r="AN841" s="83"/>
      <c r="AO841" s="66"/>
      <c r="AP841" s="66"/>
      <c r="AQ841" s="66"/>
      <c r="AR841" s="81"/>
      <c r="AS841" s="81"/>
      <c r="AT841" s="81"/>
      <c r="AU841" s="81"/>
      <c r="AV841" s="83">
        <f>SUM(Prog_236[[#This Row],[ADIANTAMENTO]]+Prog_236[[#This Row],[SALDO]]+Prog_236[[#This Row],[MARGEM]]+Prog_236[[#This Row],[ESTADIA 1]])</f>
        <v>0</v>
      </c>
      <c r="AW8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1" s="81"/>
      <c r="AY841" s="81"/>
      <c r="AZ841" s="81">
        <f>Prog_236[[#This Row],[VLR NF]]*0.1%</f>
        <v>0</v>
      </c>
      <c r="BA841" s="81">
        <f>Prog_236[[#This Row],[VLR NF]]*0.05%</f>
        <v>0</v>
      </c>
      <c r="BB841" s="81"/>
      <c r="BC841" s="81"/>
      <c r="BD841" s="81"/>
      <c r="BE841" s="81"/>
      <c r="BF841" s="81"/>
      <c r="BG841" s="81"/>
      <c r="BH841" s="81"/>
      <c r="BI841" s="81"/>
      <c r="BJ841" s="81"/>
      <c r="BK841" s="81"/>
      <c r="BL841" s="66"/>
      <c r="BM841" s="66"/>
      <c r="BN841" s="66"/>
      <c r="BO841" s="66" t="str">
        <f>PROPER(TEXT(Prog_236[[#This Row],[PROGRAMAÇÃO CLIENTE]],"mmm"))</f>
        <v>Jan</v>
      </c>
      <c r="BP841" s="66">
        <f>YEAR(Prog_236[[#This Row],[PROGRAMAÇÃO CLIENTE]])</f>
        <v>1900</v>
      </c>
    </row>
    <row r="842" spans="1:68" x14ac:dyDescent="0.25">
      <c r="A842" s="201">
        <f>Prog_236[[#This Row],[CONTEINER]]</f>
        <v>0</v>
      </c>
      <c r="B842" s="86"/>
      <c r="C8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2" s="44"/>
      <c r="E842" s="66"/>
      <c r="F842" s="66"/>
      <c r="G842" s="66"/>
      <c r="H842" s="44"/>
      <c r="I842" s="44"/>
      <c r="J842" s="66"/>
      <c r="K842" s="66"/>
      <c r="L842" s="66"/>
      <c r="M842" s="66"/>
      <c r="N842" s="66">
        <f>SUM(Prog_236[[#This Row],[TARA]]+Prog_236[[#This Row],[PESO]])</f>
        <v>0</v>
      </c>
      <c r="O842" s="44"/>
      <c r="P842" s="66"/>
      <c r="Q842" s="66"/>
      <c r="R842" s="66"/>
      <c r="S842" s="66"/>
      <c r="T842" s="138" t="str">
        <f>IFERROR(LOOKUP($S842,MOTORISTAS!$D$3:$D$1048576,MOTORISTAS!E$3:$E$1048576),"")</f>
        <v/>
      </c>
      <c r="U842" s="138" t="str">
        <f>IFERROR(LOOKUP($S842,MOTORISTAS!$D$3:$D$1048576,MOTORISTAS!F$3:$F$1048576),"")</f>
        <v/>
      </c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44"/>
      <c r="AG842" s="254">
        <f>Prog_236[[#This Row],[SAÍDA DO CLIENTE]]-Prog_236[[#This Row],[PROGRAMAÇÃO CLIENTE]]</f>
        <v>0</v>
      </c>
      <c r="AH842" s="44"/>
      <c r="AI842" s="66"/>
      <c r="AJ842" s="66"/>
      <c r="AK842" s="66"/>
      <c r="AL842" s="66"/>
      <c r="AM842" s="66"/>
      <c r="AN842" s="83"/>
      <c r="AO842" s="66"/>
      <c r="AP842" s="66"/>
      <c r="AQ842" s="66"/>
      <c r="AR842" s="81"/>
      <c r="AS842" s="81"/>
      <c r="AT842" s="81"/>
      <c r="AU842" s="81"/>
      <c r="AV842" s="83">
        <f>SUM(Prog_236[[#This Row],[ADIANTAMENTO]]+Prog_236[[#This Row],[SALDO]]+Prog_236[[#This Row],[MARGEM]]+Prog_236[[#This Row],[ESTADIA 1]])</f>
        <v>0</v>
      </c>
      <c r="AW8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2" s="81"/>
      <c r="AY842" s="81"/>
      <c r="AZ842" s="81">
        <f>Prog_236[[#This Row],[VLR NF]]*0.1%</f>
        <v>0</v>
      </c>
      <c r="BA842" s="81">
        <f>Prog_236[[#This Row],[VLR NF]]*0.05%</f>
        <v>0</v>
      </c>
      <c r="BB842" s="81"/>
      <c r="BC842" s="81"/>
      <c r="BD842" s="81"/>
      <c r="BE842" s="81"/>
      <c r="BF842" s="81"/>
      <c r="BG842" s="81"/>
      <c r="BH842" s="81"/>
      <c r="BI842" s="81"/>
      <c r="BJ842" s="81"/>
      <c r="BK842" s="81"/>
      <c r="BL842" s="66"/>
      <c r="BM842" s="66"/>
      <c r="BN842" s="66"/>
      <c r="BO842" s="66" t="str">
        <f>PROPER(TEXT(Prog_236[[#This Row],[PROGRAMAÇÃO CLIENTE]],"mmm"))</f>
        <v>Jan</v>
      </c>
      <c r="BP842" s="66">
        <f>YEAR(Prog_236[[#This Row],[PROGRAMAÇÃO CLIENTE]])</f>
        <v>1900</v>
      </c>
    </row>
    <row r="843" spans="1:68" x14ac:dyDescent="0.25">
      <c r="A843" s="200">
        <f>Prog_236[[#This Row],[CONTEINER]]</f>
        <v>0</v>
      </c>
      <c r="B843" s="86"/>
      <c r="C8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3" s="44"/>
      <c r="E843" s="66"/>
      <c r="F843" s="66"/>
      <c r="G843" s="66"/>
      <c r="H843" s="44"/>
      <c r="I843" s="44"/>
      <c r="J843" s="66"/>
      <c r="K843" s="66"/>
      <c r="L843" s="66"/>
      <c r="M843" s="66"/>
      <c r="N843" s="66">
        <f>SUM(Prog_236[[#This Row],[TARA]]+Prog_236[[#This Row],[PESO]])</f>
        <v>0</v>
      </c>
      <c r="O843" s="44"/>
      <c r="P843" s="66"/>
      <c r="Q843" s="66"/>
      <c r="R843" s="66"/>
      <c r="S843" s="66"/>
      <c r="T843" s="138" t="str">
        <f>IFERROR(LOOKUP($S843,MOTORISTAS!$D$3:$D$1048576,MOTORISTAS!E$3:$E$1048576),"")</f>
        <v/>
      </c>
      <c r="U843" s="138" t="str">
        <f>IFERROR(LOOKUP($S843,MOTORISTAS!$D$3:$D$1048576,MOTORISTAS!F$3:$F$1048576),"")</f>
        <v/>
      </c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44"/>
      <c r="AG843" s="254">
        <f>Prog_236[[#This Row],[SAÍDA DO CLIENTE]]-Prog_236[[#This Row],[PROGRAMAÇÃO CLIENTE]]</f>
        <v>0</v>
      </c>
      <c r="AH843" s="44"/>
      <c r="AI843" s="66"/>
      <c r="AJ843" s="66"/>
      <c r="AK843" s="66"/>
      <c r="AL843" s="66"/>
      <c r="AM843" s="66"/>
      <c r="AN843" s="83"/>
      <c r="AO843" s="66"/>
      <c r="AP843" s="66"/>
      <c r="AQ843" s="66"/>
      <c r="AR843" s="81"/>
      <c r="AS843" s="81"/>
      <c r="AT843" s="81"/>
      <c r="AU843" s="81"/>
      <c r="AV843" s="83">
        <f>SUM(Prog_236[[#This Row],[ADIANTAMENTO]]+Prog_236[[#This Row],[SALDO]]+Prog_236[[#This Row],[MARGEM]]+Prog_236[[#This Row],[ESTADIA 1]])</f>
        <v>0</v>
      </c>
      <c r="AW8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3" s="81"/>
      <c r="AY843" s="81"/>
      <c r="AZ843" s="81">
        <f>Prog_236[[#This Row],[VLR NF]]*0.1%</f>
        <v>0</v>
      </c>
      <c r="BA843" s="81">
        <f>Prog_236[[#This Row],[VLR NF]]*0.05%</f>
        <v>0</v>
      </c>
      <c r="BB843" s="81"/>
      <c r="BC843" s="81"/>
      <c r="BD843" s="81"/>
      <c r="BE843" s="81"/>
      <c r="BF843" s="81"/>
      <c r="BG843" s="81"/>
      <c r="BH843" s="81"/>
      <c r="BI843" s="81"/>
      <c r="BJ843" s="81"/>
      <c r="BK843" s="81"/>
      <c r="BL843" s="66"/>
      <c r="BM843" s="66"/>
      <c r="BN843" s="66"/>
      <c r="BO843" s="66" t="str">
        <f>PROPER(TEXT(Prog_236[[#This Row],[PROGRAMAÇÃO CLIENTE]],"mmm"))</f>
        <v>Jan</v>
      </c>
      <c r="BP843" s="66">
        <f>YEAR(Prog_236[[#This Row],[PROGRAMAÇÃO CLIENTE]])</f>
        <v>1900</v>
      </c>
    </row>
    <row r="844" spans="1:68" x14ac:dyDescent="0.25">
      <c r="A844" s="201">
        <f>Prog_236[[#This Row],[CONTEINER]]</f>
        <v>0</v>
      </c>
      <c r="B844" s="86"/>
      <c r="C8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4" s="44"/>
      <c r="E844" s="66"/>
      <c r="F844" s="66"/>
      <c r="G844" s="66"/>
      <c r="H844" s="44"/>
      <c r="I844" s="44"/>
      <c r="J844" s="66"/>
      <c r="K844" s="66"/>
      <c r="L844" s="66"/>
      <c r="M844" s="66"/>
      <c r="N844" s="66">
        <f>SUM(Prog_236[[#This Row],[TARA]]+Prog_236[[#This Row],[PESO]])</f>
        <v>0</v>
      </c>
      <c r="O844" s="44"/>
      <c r="P844" s="66"/>
      <c r="Q844" s="66"/>
      <c r="R844" s="66"/>
      <c r="S844" s="66"/>
      <c r="T844" s="138" t="str">
        <f>IFERROR(LOOKUP($S844,MOTORISTAS!$D$3:$D$1048576,MOTORISTAS!E$3:$E$1048576),"")</f>
        <v/>
      </c>
      <c r="U844" s="138" t="str">
        <f>IFERROR(LOOKUP($S844,MOTORISTAS!$D$3:$D$1048576,MOTORISTAS!F$3:$F$1048576),"")</f>
        <v/>
      </c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44"/>
      <c r="AG844" s="254">
        <f>Prog_236[[#This Row],[SAÍDA DO CLIENTE]]-Prog_236[[#This Row],[PROGRAMAÇÃO CLIENTE]]</f>
        <v>0</v>
      </c>
      <c r="AH844" s="44"/>
      <c r="AI844" s="66"/>
      <c r="AJ844" s="66"/>
      <c r="AK844" s="66"/>
      <c r="AL844" s="66"/>
      <c r="AM844" s="66"/>
      <c r="AN844" s="83"/>
      <c r="AO844" s="66"/>
      <c r="AP844" s="66"/>
      <c r="AQ844" s="66"/>
      <c r="AR844" s="81"/>
      <c r="AS844" s="81"/>
      <c r="AT844" s="81"/>
      <c r="AU844" s="81"/>
      <c r="AV844" s="83">
        <f>SUM(Prog_236[[#This Row],[ADIANTAMENTO]]+Prog_236[[#This Row],[SALDO]]+Prog_236[[#This Row],[MARGEM]]+Prog_236[[#This Row],[ESTADIA 1]])</f>
        <v>0</v>
      </c>
      <c r="AW8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4" s="81"/>
      <c r="AY844" s="81"/>
      <c r="AZ844" s="81">
        <f>Prog_236[[#This Row],[VLR NF]]*0.1%</f>
        <v>0</v>
      </c>
      <c r="BA844" s="81">
        <f>Prog_236[[#This Row],[VLR NF]]*0.05%</f>
        <v>0</v>
      </c>
      <c r="BB844" s="81"/>
      <c r="BC844" s="81"/>
      <c r="BD844" s="81"/>
      <c r="BE844" s="81"/>
      <c r="BF844" s="81"/>
      <c r="BG844" s="81"/>
      <c r="BH844" s="81"/>
      <c r="BI844" s="81"/>
      <c r="BJ844" s="81"/>
      <c r="BK844" s="81"/>
      <c r="BL844" s="66"/>
      <c r="BM844" s="66"/>
      <c r="BN844" s="66"/>
      <c r="BO844" s="66" t="str">
        <f>PROPER(TEXT(Prog_236[[#This Row],[PROGRAMAÇÃO CLIENTE]],"mmm"))</f>
        <v>Jan</v>
      </c>
      <c r="BP844" s="66">
        <f>YEAR(Prog_236[[#This Row],[PROGRAMAÇÃO CLIENTE]])</f>
        <v>1900</v>
      </c>
    </row>
    <row r="845" spans="1:68" x14ac:dyDescent="0.25">
      <c r="A845" s="200">
        <f>Prog_236[[#This Row],[CONTEINER]]</f>
        <v>0</v>
      </c>
      <c r="B845" s="86"/>
      <c r="C8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5" s="44"/>
      <c r="E845" s="66"/>
      <c r="F845" s="66"/>
      <c r="G845" s="66"/>
      <c r="H845" s="44"/>
      <c r="I845" s="44"/>
      <c r="J845" s="66"/>
      <c r="K845" s="66"/>
      <c r="L845" s="66"/>
      <c r="M845" s="66"/>
      <c r="N845" s="66">
        <f>SUM(Prog_236[[#This Row],[TARA]]+Prog_236[[#This Row],[PESO]])</f>
        <v>0</v>
      </c>
      <c r="O845" s="44"/>
      <c r="P845" s="66"/>
      <c r="Q845" s="66"/>
      <c r="R845" s="66"/>
      <c r="S845" s="66"/>
      <c r="T845" s="138" t="str">
        <f>IFERROR(LOOKUP($S845,MOTORISTAS!$D$3:$D$1048576,MOTORISTAS!E$3:$E$1048576),"")</f>
        <v/>
      </c>
      <c r="U845" s="138" t="str">
        <f>IFERROR(LOOKUP($S845,MOTORISTAS!$D$3:$D$1048576,MOTORISTAS!F$3:$F$1048576),"")</f>
        <v/>
      </c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44"/>
      <c r="AG845" s="254">
        <f>Prog_236[[#This Row],[SAÍDA DO CLIENTE]]-Prog_236[[#This Row],[PROGRAMAÇÃO CLIENTE]]</f>
        <v>0</v>
      </c>
      <c r="AH845" s="44"/>
      <c r="AI845" s="66"/>
      <c r="AJ845" s="66"/>
      <c r="AK845" s="66"/>
      <c r="AL845" s="66"/>
      <c r="AM845" s="66"/>
      <c r="AN845" s="83"/>
      <c r="AO845" s="66"/>
      <c r="AP845" s="66"/>
      <c r="AQ845" s="66"/>
      <c r="AR845" s="81"/>
      <c r="AS845" s="81"/>
      <c r="AT845" s="81"/>
      <c r="AU845" s="81"/>
      <c r="AV845" s="83">
        <f>SUM(Prog_236[[#This Row],[ADIANTAMENTO]]+Prog_236[[#This Row],[SALDO]]+Prog_236[[#This Row],[MARGEM]]+Prog_236[[#This Row],[ESTADIA 1]])</f>
        <v>0</v>
      </c>
      <c r="AW8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5" s="81"/>
      <c r="AY845" s="81"/>
      <c r="AZ845" s="81">
        <f>Prog_236[[#This Row],[VLR NF]]*0.1%</f>
        <v>0</v>
      </c>
      <c r="BA845" s="81">
        <f>Prog_236[[#This Row],[VLR NF]]*0.05%</f>
        <v>0</v>
      </c>
      <c r="BB845" s="81"/>
      <c r="BC845" s="81"/>
      <c r="BD845" s="81"/>
      <c r="BE845" s="81"/>
      <c r="BF845" s="81"/>
      <c r="BG845" s="81"/>
      <c r="BH845" s="81"/>
      <c r="BI845" s="81"/>
      <c r="BJ845" s="81"/>
      <c r="BK845" s="81"/>
      <c r="BL845" s="66"/>
      <c r="BM845" s="66"/>
      <c r="BN845" s="66"/>
      <c r="BO845" s="66" t="str">
        <f>PROPER(TEXT(Prog_236[[#This Row],[PROGRAMAÇÃO CLIENTE]],"mmm"))</f>
        <v>Jan</v>
      </c>
      <c r="BP845" s="66">
        <f>YEAR(Prog_236[[#This Row],[PROGRAMAÇÃO CLIENTE]])</f>
        <v>1900</v>
      </c>
    </row>
    <row r="846" spans="1:68" x14ac:dyDescent="0.25">
      <c r="A846" s="201">
        <f>Prog_236[[#This Row],[CONTEINER]]</f>
        <v>0</v>
      </c>
      <c r="B846" s="86"/>
      <c r="C8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6" s="44"/>
      <c r="E846" s="66"/>
      <c r="F846" s="66"/>
      <c r="G846" s="66"/>
      <c r="H846" s="44"/>
      <c r="I846" s="44"/>
      <c r="J846" s="66"/>
      <c r="K846" s="66"/>
      <c r="L846" s="66"/>
      <c r="M846" s="66"/>
      <c r="N846" s="66">
        <f>SUM(Prog_236[[#This Row],[TARA]]+Prog_236[[#This Row],[PESO]])</f>
        <v>0</v>
      </c>
      <c r="O846" s="44"/>
      <c r="P846" s="66"/>
      <c r="Q846" s="66"/>
      <c r="R846" s="66"/>
      <c r="S846" s="66"/>
      <c r="T846" s="138" t="str">
        <f>IFERROR(LOOKUP($S846,MOTORISTAS!$D$3:$D$1048576,MOTORISTAS!E$3:$E$1048576),"")</f>
        <v/>
      </c>
      <c r="U846" s="138" t="str">
        <f>IFERROR(LOOKUP($S846,MOTORISTAS!$D$3:$D$1048576,MOTORISTAS!F$3:$F$1048576),"")</f>
        <v/>
      </c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44"/>
      <c r="AG846" s="254">
        <f>Prog_236[[#This Row],[SAÍDA DO CLIENTE]]-Prog_236[[#This Row],[PROGRAMAÇÃO CLIENTE]]</f>
        <v>0</v>
      </c>
      <c r="AH846" s="44"/>
      <c r="AI846" s="66"/>
      <c r="AJ846" s="66"/>
      <c r="AK846" s="66"/>
      <c r="AL846" s="66"/>
      <c r="AM846" s="66"/>
      <c r="AN846" s="83"/>
      <c r="AO846" s="66"/>
      <c r="AP846" s="66"/>
      <c r="AQ846" s="66"/>
      <c r="AR846" s="81"/>
      <c r="AS846" s="81"/>
      <c r="AT846" s="81"/>
      <c r="AU846" s="81"/>
      <c r="AV846" s="83">
        <f>SUM(Prog_236[[#This Row],[ADIANTAMENTO]]+Prog_236[[#This Row],[SALDO]]+Prog_236[[#This Row],[MARGEM]]+Prog_236[[#This Row],[ESTADIA 1]])</f>
        <v>0</v>
      </c>
      <c r="AW8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6" s="81"/>
      <c r="AY846" s="81"/>
      <c r="AZ846" s="81">
        <f>Prog_236[[#This Row],[VLR NF]]*0.1%</f>
        <v>0</v>
      </c>
      <c r="BA846" s="81">
        <f>Prog_236[[#This Row],[VLR NF]]*0.05%</f>
        <v>0</v>
      </c>
      <c r="BB846" s="81"/>
      <c r="BC846" s="81"/>
      <c r="BD846" s="81"/>
      <c r="BE846" s="81"/>
      <c r="BF846" s="81"/>
      <c r="BG846" s="81"/>
      <c r="BH846" s="81"/>
      <c r="BI846" s="81"/>
      <c r="BJ846" s="81"/>
      <c r="BK846" s="81"/>
      <c r="BL846" s="66"/>
      <c r="BM846" s="66"/>
      <c r="BN846" s="66"/>
      <c r="BO846" s="66" t="str">
        <f>PROPER(TEXT(Prog_236[[#This Row],[PROGRAMAÇÃO CLIENTE]],"mmm"))</f>
        <v>Jan</v>
      </c>
      <c r="BP846" s="66">
        <f>YEAR(Prog_236[[#This Row],[PROGRAMAÇÃO CLIENTE]])</f>
        <v>1900</v>
      </c>
    </row>
    <row r="847" spans="1:68" x14ac:dyDescent="0.25">
      <c r="A847" s="200">
        <f>Prog_236[[#This Row],[CONTEINER]]</f>
        <v>0</v>
      </c>
      <c r="B847" s="86"/>
      <c r="C8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7" s="44"/>
      <c r="E847" s="66"/>
      <c r="F847" s="66"/>
      <c r="G847" s="66"/>
      <c r="H847" s="44"/>
      <c r="I847" s="44"/>
      <c r="J847" s="66"/>
      <c r="K847" s="66"/>
      <c r="L847" s="66"/>
      <c r="M847" s="66"/>
      <c r="N847" s="66">
        <f>SUM(Prog_236[[#This Row],[TARA]]+Prog_236[[#This Row],[PESO]])</f>
        <v>0</v>
      </c>
      <c r="O847" s="44"/>
      <c r="P847" s="66"/>
      <c r="Q847" s="66"/>
      <c r="R847" s="66"/>
      <c r="S847" s="66"/>
      <c r="T847" s="138" t="str">
        <f>IFERROR(LOOKUP($S847,MOTORISTAS!$D$3:$D$1048576,MOTORISTAS!E$3:$E$1048576),"")</f>
        <v/>
      </c>
      <c r="U847" s="138" t="str">
        <f>IFERROR(LOOKUP($S847,MOTORISTAS!$D$3:$D$1048576,MOTORISTAS!F$3:$F$1048576),"")</f>
        <v/>
      </c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44"/>
      <c r="AG847" s="254">
        <f>Prog_236[[#This Row],[SAÍDA DO CLIENTE]]-Prog_236[[#This Row],[PROGRAMAÇÃO CLIENTE]]</f>
        <v>0</v>
      </c>
      <c r="AH847" s="44"/>
      <c r="AI847" s="66"/>
      <c r="AJ847" s="66"/>
      <c r="AK847" s="66"/>
      <c r="AL847" s="66"/>
      <c r="AM847" s="66"/>
      <c r="AN847" s="83"/>
      <c r="AO847" s="66"/>
      <c r="AP847" s="66"/>
      <c r="AQ847" s="66"/>
      <c r="AR847" s="81"/>
      <c r="AS847" s="81"/>
      <c r="AT847" s="81"/>
      <c r="AU847" s="81"/>
      <c r="AV847" s="83">
        <f>SUM(Prog_236[[#This Row],[ADIANTAMENTO]]+Prog_236[[#This Row],[SALDO]]+Prog_236[[#This Row],[MARGEM]]+Prog_236[[#This Row],[ESTADIA 1]])</f>
        <v>0</v>
      </c>
      <c r="AW8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7" s="81"/>
      <c r="AY847" s="81"/>
      <c r="AZ847" s="81">
        <f>Prog_236[[#This Row],[VLR NF]]*0.1%</f>
        <v>0</v>
      </c>
      <c r="BA847" s="81">
        <f>Prog_236[[#This Row],[VLR NF]]*0.05%</f>
        <v>0</v>
      </c>
      <c r="BB847" s="81"/>
      <c r="BC847" s="81"/>
      <c r="BD847" s="81"/>
      <c r="BE847" s="81"/>
      <c r="BF847" s="81"/>
      <c r="BG847" s="81"/>
      <c r="BH847" s="81"/>
      <c r="BI847" s="81"/>
      <c r="BJ847" s="81"/>
      <c r="BK847" s="81"/>
      <c r="BL847" s="66"/>
      <c r="BM847" s="66"/>
      <c r="BN847" s="66"/>
      <c r="BO847" s="66" t="str">
        <f>PROPER(TEXT(Prog_236[[#This Row],[PROGRAMAÇÃO CLIENTE]],"mmm"))</f>
        <v>Jan</v>
      </c>
      <c r="BP847" s="66">
        <f>YEAR(Prog_236[[#This Row],[PROGRAMAÇÃO CLIENTE]])</f>
        <v>1900</v>
      </c>
    </row>
    <row r="848" spans="1:68" x14ac:dyDescent="0.25">
      <c r="A848" s="201">
        <f>Prog_236[[#This Row],[CONTEINER]]</f>
        <v>0</v>
      </c>
      <c r="B848" s="86"/>
      <c r="C8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8" s="44"/>
      <c r="E848" s="66"/>
      <c r="F848" s="66"/>
      <c r="G848" s="66"/>
      <c r="H848" s="44"/>
      <c r="I848" s="44"/>
      <c r="J848" s="66"/>
      <c r="K848" s="66"/>
      <c r="L848" s="66"/>
      <c r="M848" s="66"/>
      <c r="N848" s="66">
        <f>SUM(Prog_236[[#This Row],[TARA]]+Prog_236[[#This Row],[PESO]])</f>
        <v>0</v>
      </c>
      <c r="O848" s="44"/>
      <c r="P848" s="66"/>
      <c r="Q848" s="66"/>
      <c r="R848" s="66"/>
      <c r="S848" s="66"/>
      <c r="T848" s="138" t="str">
        <f>IFERROR(LOOKUP($S848,MOTORISTAS!$D$3:$D$1048576,MOTORISTAS!E$3:$E$1048576),"")</f>
        <v/>
      </c>
      <c r="U848" s="138" t="str">
        <f>IFERROR(LOOKUP($S848,MOTORISTAS!$D$3:$D$1048576,MOTORISTAS!F$3:$F$1048576),"")</f>
        <v/>
      </c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44"/>
      <c r="AG848" s="254">
        <f>Prog_236[[#This Row],[SAÍDA DO CLIENTE]]-Prog_236[[#This Row],[PROGRAMAÇÃO CLIENTE]]</f>
        <v>0</v>
      </c>
      <c r="AH848" s="44"/>
      <c r="AI848" s="66"/>
      <c r="AJ848" s="66"/>
      <c r="AK848" s="66"/>
      <c r="AL848" s="66"/>
      <c r="AM848" s="66"/>
      <c r="AN848" s="83"/>
      <c r="AO848" s="66"/>
      <c r="AP848" s="66"/>
      <c r="AQ848" s="66"/>
      <c r="AR848" s="81"/>
      <c r="AS848" s="81"/>
      <c r="AT848" s="81"/>
      <c r="AU848" s="81"/>
      <c r="AV848" s="83">
        <f>SUM(Prog_236[[#This Row],[ADIANTAMENTO]]+Prog_236[[#This Row],[SALDO]]+Prog_236[[#This Row],[MARGEM]]+Prog_236[[#This Row],[ESTADIA 1]])</f>
        <v>0</v>
      </c>
      <c r="AW8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8" s="81"/>
      <c r="AY848" s="81"/>
      <c r="AZ848" s="81">
        <f>Prog_236[[#This Row],[VLR NF]]*0.1%</f>
        <v>0</v>
      </c>
      <c r="BA848" s="81">
        <f>Prog_236[[#This Row],[VLR NF]]*0.05%</f>
        <v>0</v>
      </c>
      <c r="BB848" s="81"/>
      <c r="BC848" s="81"/>
      <c r="BD848" s="81"/>
      <c r="BE848" s="81"/>
      <c r="BF848" s="81"/>
      <c r="BG848" s="81"/>
      <c r="BH848" s="81"/>
      <c r="BI848" s="81"/>
      <c r="BJ848" s="81"/>
      <c r="BK848" s="81"/>
      <c r="BL848" s="66"/>
      <c r="BM848" s="66"/>
      <c r="BN848" s="66"/>
      <c r="BO848" s="66" t="str">
        <f>PROPER(TEXT(Prog_236[[#This Row],[PROGRAMAÇÃO CLIENTE]],"mmm"))</f>
        <v>Jan</v>
      </c>
      <c r="BP848" s="66">
        <f>YEAR(Prog_236[[#This Row],[PROGRAMAÇÃO CLIENTE]])</f>
        <v>1900</v>
      </c>
    </row>
    <row r="849" spans="1:68" x14ac:dyDescent="0.25">
      <c r="A849" s="200">
        <f>Prog_236[[#This Row],[CONTEINER]]</f>
        <v>0</v>
      </c>
      <c r="B849" s="86"/>
      <c r="C8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49" s="44"/>
      <c r="E849" s="66"/>
      <c r="F849" s="66"/>
      <c r="G849" s="66"/>
      <c r="H849" s="44"/>
      <c r="I849" s="44"/>
      <c r="J849" s="66"/>
      <c r="K849" s="66"/>
      <c r="L849" s="66"/>
      <c r="M849" s="66"/>
      <c r="N849" s="66">
        <f>SUM(Prog_236[[#This Row],[TARA]]+Prog_236[[#This Row],[PESO]])</f>
        <v>0</v>
      </c>
      <c r="O849" s="44"/>
      <c r="P849" s="66"/>
      <c r="Q849" s="66"/>
      <c r="R849" s="66"/>
      <c r="S849" s="66"/>
      <c r="T849" s="138" t="str">
        <f>IFERROR(LOOKUP($S849,MOTORISTAS!$D$3:$D$1048576,MOTORISTAS!E$3:$E$1048576),"")</f>
        <v/>
      </c>
      <c r="U849" s="138" t="str">
        <f>IFERROR(LOOKUP($S849,MOTORISTAS!$D$3:$D$1048576,MOTORISTAS!F$3:$F$1048576),"")</f>
        <v/>
      </c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44"/>
      <c r="AG849" s="254">
        <f>Prog_236[[#This Row],[SAÍDA DO CLIENTE]]-Prog_236[[#This Row],[PROGRAMAÇÃO CLIENTE]]</f>
        <v>0</v>
      </c>
      <c r="AH849" s="44"/>
      <c r="AI849" s="66"/>
      <c r="AJ849" s="66"/>
      <c r="AK849" s="66"/>
      <c r="AL849" s="66"/>
      <c r="AM849" s="66"/>
      <c r="AN849" s="83"/>
      <c r="AO849" s="66"/>
      <c r="AP849" s="66"/>
      <c r="AQ849" s="66"/>
      <c r="AR849" s="81"/>
      <c r="AS849" s="81"/>
      <c r="AT849" s="81"/>
      <c r="AU849" s="81"/>
      <c r="AV849" s="83">
        <f>SUM(Prog_236[[#This Row],[ADIANTAMENTO]]+Prog_236[[#This Row],[SALDO]]+Prog_236[[#This Row],[MARGEM]]+Prog_236[[#This Row],[ESTADIA 1]])</f>
        <v>0</v>
      </c>
      <c r="AW8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49" s="81"/>
      <c r="AY849" s="81"/>
      <c r="AZ849" s="81">
        <f>Prog_236[[#This Row],[VLR NF]]*0.1%</f>
        <v>0</v>
      </c>
      <c r="BA849" s="81">
        <f>Prog_236[[#This Row],[VLR NF]]*0.05%</f>
        <v>0</v>
      </c>
      <c r="BB849" s="81"/>
      <c r="BC849" s="81"/>
      <c r="BD849" s="81"/>
      <c r="BE849" s="81"/>
      <c r="BF849" s="81"/>
      <c r="BG849" s="81"/>
      <c r="BH849" s="81"/>
      <c r="BI849" s="81"/>
      <c r="BJ849" s="81"/>
      <c r="BK849" s="81"/>
      <c r="BL849" s="66"/>
      <c r="BM849" s="66"/>
      <c r="BN849" s="66"/>
      <c r="BO849" s="66" t="str">
        <f>PROPER(TEXT(Prog_236[[#This Row],[PROGRAMAÇÃO CLIENTE]],"mmm"))</f>
        <v>Jan</v>
      </c>
      <c r="BP849" s="66">
        <f>YEAR(Prog_236[[#This Row],[PROGRAMAÇÃO CLIENTE]])</f>
        <v>1900</v>
      </c>
    </row>
    <row r="850" spans="1:68" x14ac:dyDescent="0.25">
      <c r="A850" s="201">
        <f>Prog_236[[#This Row],[CONTEINER]]</f>
        <v>0</v>
      </c>
      <c r="B850" s="86"/>
      <c r="C8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0" s="44"/>
      <c r="E850" s="66"/>
      <c r="F850" s="66"/>
      <c r="G850" s="66"/>
      <c r="H850" s="44"/>
      <c r="I850" s="44"/>
      <c r="J850" s="66"/>
      <c r="K850" s="66"/>
      <c r="L850" s="66"/>
      <c r="M850" s="66"/>
      <c r="N850" s="66">
        <f>SUM(Prog_236[[#This Row],[TARA]]+Prog_236[[#This Row],[PESO]])</f>
        <v>0</v>
      </c>
      <c r="O850" s="44"/>
      <c r="P850" s="66"/>
      <c r="Q850" s="66"/>
      <c r="R850" s="66"/>
      <c r="S850" s="66"/>
      <c r="T850" s="138" t="str">
        <f>IFERROR(LOOKUP($S850,MOTORISTAS!$D$3:$D$1048576,MOTORISTAS!E$3:$E$1048576),"")</f>
        <v/>
      </c>
      <c r="U850" s="138" t="str">
        <f>IFERROR(LOOKUP($S850,MOTORISTAS!$D$3:$D$1048576,MOTORISTAS!F$3:$F$1048576),"")</f>
        <v/>
      </c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44"/>
      <c r="AG850" s="254">
        <f>Prog_236[[#This Row],[SAÍDA DO CLIENTE]]-Prog_236[[#This Row],[PROGRAMAÇÃO CLIENTE]]</f>
        <v>0</v>
      </c>
      <c r="AH850" s="44"/>
      <c r="AI850" s="66"/>
      <c r="AJ850" s="66"/>
      <c r="AK850" s="66"/>
      <c r="AL850" s="66"/>
      <c r="AM850" s="66"/>
      <c r="AN850" s="83"/>
      <c r="AO850" s="66"/>
      <c r="AP850" s="66"/>
      <c r="AQ850" s="66"/>
      <c r="AR850" s="81"/>
      <c r="AS850" s="81"/>
      <c r="AT850" s="81"/>
      <c r="AU850" s="81"/>
      <c r="AV850" s="83">
        <f>SUM(Prog_236[[#This Row],[ADIANTAMENTO]]+Prog_236[[#This Row],[SALDO]]+Prog_236[[#This Row],[MARGEM]]+Prog_236[[#This Row],[ESTADIA 1]])</f>
        <v>0</v>
      </c>
      <c r="AW8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0" s="81"/>
      <c r="AY850" s="81"/>
      <c r="AZ850" s="81">
        <f>Prog_236[[#This Row],[VLR NF]]*0.1%</f>
        <v>0</v>
      </c>
      <c r="BA850" s="81">
        <f>Prog_236[[#This Row],[VLR NF]]*0.05%</f>
        <v>0</v>
      </c>
      <c r="BB850" s="81"/>
      <c r="BC850" s="81"/>
      <c r="BD850" s="81"/>
      <c r="BE850" s="81"/>
      <c r="BF850" s="81"/>
      <c r="BG850" s="81"/>
      <c r="BH850" s="81"/>
      <c r="BI850" s="81"/>
      <c r="BJ850" s="81"/>
      <c r="BK850" s="81"/>
      <c r="BL850" s="66"/>
      <c r="BM850" s="66"/>
      <c r="BN850" s="66"/>
      <c r="BO850" s="66" t="str">
        <f>PROPER(TEXT(Prog_236[[#This Row],[PROGRAMAÇÃO CLIENTE]],"mmm"))</f>
        <v>Jan</v>
      </c>
      <c r="BP850" s="66">
        <f>YEAR(Prog_236[[#This Row],[PROGRAMAÇÃO CLIENTE]])</f>
        <v>1900</v>
      </c>
    </row>
    <row r="851" spans="1:68" x14ac:dyDescent="0.25">
      <c r="A851" s="200">
        <f>Prog_236[[#This Row],[CONTEINER]]</f>
        <v>0</v>
      </c>
      <c r="B851" s="86"/>
      <c r="C8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1" s="44"/>
      <c r="E851" s="66"/>
      <c r="F851" s="66"/>
      <c r="G851" s="66"/>
      <c r="H851" s="44"/>
      <c r="I851" s="44"/>
      <c r="J851" s="66"/>
      <c r="K851" s="66"/>
      <c r="L851" s="66"/>
      <c r="M851" s="66"/>
      <c r="N851" s="66">
        <f>SUM(Prog_236[[#This Row],[TARA]]+Prog_236[[#This Row],[PESO]])</f>
        <v>0</v>
      </c>
      <c r="O851" s="44"/>
      <c r="P851" s="66"/>
      <c r="Q851" s="66"/>
      <c r="R851" s="66"/>
      <c r="S851" s="66"/>
      <c r="T851" s="138" t="str">
        <f>IFERROR(LOOKUP($S851,MOTORISTAS!$D$3:$D$1048576,MOTORISTAS!E$3:$E$1048576),"")</f>
        <v/>
      </c>
      <c r="U851" s="138" t="str">
        <f>IFERROR(LOOKUP($S851,MOTORISTAS!$D$3:$D$1048576,MOTORISTAS!F$3:$F$1048576),"")</f>
        <v/>
      </c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44"/>
      <c r="AG851" s="254">
        <f>Prog_236[[#This Row],[SAÍDA DO CLIENTE]]-Prog_236[[#This Row],[PROGRAMAÇÃO CLIENTE]]</f>
        <v>0</v>
      </c>
      <c r="AH851" s="44"/>
      <c r="AI851" s="66"/>
      <c r="AJ851" s="66"/>
      <c r="AK851" s="66"/>
      <c r="AL851" s="66"/>
      <c r="AM851" s="66"/>
      <c r="AN851" s="83"/>
      <c r="AO851" s="66"/>
      <c r="AP851" s="66"/>
      <c r="AQ851" s="66"/>
      <c r="AR851" s="81"/>
      <c r="AS851" s="81"/>
      <c r="AT851" s="81"/>
      <c r="AU851" s="81"/>
      <c r="AV851" s="83">
        <f>SUM(Prog_236[[#This Row],[ADIANTAMENTO]]+Prog_236[[#This Row],[SALDO]]+Prog_236[[#This Row],[MARGEM]]+Prog_236[[#This Row],[ESTADIA 1]])</f>
        <v>0</v>
      </c>
      <c r="AW8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1" s="81"/>
      <c r="AY851" s="81"/>
      <c r="AZ851" s="81">
        <f>Prog_236[[#This Row],[VLR NF]]*0.1%</f>
        <v>0</v>
      </c>
      <c r="BA851" s="81">
        <f>Prog_236[[#This Row],[VLR NF]]*0.05%</f>
        <v>0</v>
      </c>
      <c r="BB851" s="81"/>
      <c r="BC851" s="81"/>
      <c r="BD851" s="81"/>
      <c r="BE851" s="81"/>
      <c r="BF851" s="81"/>
      <c r="BG851" s="81"/>
      <c r="BH851" s="81"/>
      <c r="BI851" s="81"/>
      <c r="BJ851" s="81"/>
      <c r="BK851" s="81"/>
      <c r="BL851" s="66"/>
      <c r="BM851" s="66"/>
      <c r="BN851" s="66"/>
      <c r="BO851" s="66" t="str">
        <f>PROPER(TEXT(Prog_236[[#This Row],[PROGRAMAÇÃO CLIENTE]],"mmm"))</f>
        <v>Jan</v>
      </c>
      <c r="BP851" s="66">
        <f>YEAR(Prog_236[[#This Row],[PROGRAMAÇÃO CLIENTE]])</f>
        <v>1900</v>
      </c>
    </row>
    <row r="852" spans="1:68" x14ac:dyDescent="0.25">
      <c r="A852" s="201">
        <f>Prog_236[[#This Row],[CONTEINER]]</f>
        <v>0</v>
      </c>
      <c r="B852" s="86"/>
      <c r="C8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2" s="44"/>
      <c r="E852" s="66"/>
      <c r="F852" s="66"/>
      <c r="G852" s="66"/>
      <c r="H852" s="44"/>
      <c r="I852" s="44"/>
      <c r="J852" s="66"/>
      <c r="K852" s="66"/>
      <c r="L852" s="66"/>
      <c r="M852" s="66"/>
      <c r="N852" s="66">
        <f>SUM(Prog_236[[#This Row],[TARA]]+Prog_236[[#This Row],[PESO]])</f>
        <v>0</v>
      </c>
      <c r="O852" s="44"/>
      <c r="P852" s="66"/>
      <c r="Q852" s="66"/>
      <c r="R852" s="66"/>
      <c r="S852" s="66"/>
      <c r="T852" s="138" t="str">
        <f>IFERROR(LOOKUP($S852,MOTORISTAS!$D$3:$D$1048576,MOTORISTAS!E$3:$E$1048576),"")</f>
        <v/>
      </c>
      <c r="U852" s="138" t="str">
        <f>IFERROR(LOOKUP($S852,MOTORISTAS!$D$3:$D$1048576,MOTORISTAS!F$3:$F$1048576),"")</f>
        <v/>
      </c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44"/>
      <c r="AG852" s="254">
        <f>Prog_236[[#This Row],[SAÍDA DO CLIENTE]]-Prog_236[[#This Row],[PROGRAMAÇÃO CLIENTE]]</f>
        <v>0</v>
      </c>
      <c r="AH852" s="44"/>
      <c r="AI852" s="66"/>
      <c r="AJ852" s="66"/>
      <c r="AK852" s="66"/>
      <c r="AL852" s="66"/>
      <c r="AM852" s="66"/>
      <c r="AN852" s="83"/>
      <c r="AO852" s="66"/>
      <c r="AP852" s="66"/>
      <c r="AQ852" s="66"/>
      <c r="AR852" s="81"/>
      <c r="AS852" s="81"/>
      <c r="AT852" s="81"/>
      <c r="AU852" s="81"/>
      <c r="AV852" s="83">
        <f>SUM(Prog_236[[#This Row],[ADIANTAMENTO]]+Prog_236[[#This Row],[SALDO]]+Prog_236[[#This Row],[MARGEM]]+Prog_236[[#This Row],[ESTADIA 1]])</f>
        <v>0</v>
      </c>
      <c r="AW8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2" s="81"/>
      <c r="AY852" s="81"/>
      <c r="AZ852" s="81">
        <f>Prog_236[[#This Row],[VLR NF]]*0.1%</f>
        <v>0</v>
      </c>
      <c r="BA852" s="81">
        <f>Prog_236[[#This Row],[VLR NF]]*0.05%</f>
        <v>0</v>
      </c>
      <c r="BB852" s="81"/>
      <c r="BC852" s="81"/>
      <c r="BD852" s="81"/>
      <c r="BE852" s="81"/>
      <c r="BF852" s="81"/>
      <c r="BG852" s="81"/>
      <c r="BH852" s="81"/>
      <c r="BI852" s="81"/>
      <c r="BJ852" s="81"/>
      <c r="BK852" s="81"/>
      <c r="BL852" s="66"/>
      <c r="BM852" s="66"/>
      <c r="BN852" s="66"/>
      <c r="BO852" s="66" t="str">
        <f>PROPER(TEXT(Prog_236[[#This Row],[PROGRAMAÇÃO CLIENTE]],"mmm"))</f>
        <v>Jan</v>
      </c>
      <c r="BP852" s="66">
        <f>YEAR(Prog_236[[#This Row],[PROGRAMAÇÃO CLIENTE]])</f>
        <v>1900</v>
      </c>
    </row>
    <row r="853" spans="1:68" x14ac:dyDescent="0.25">
      <c r="A853" s="200">
        <f>Prog_236[[#This Row],[CONTEINER]]</f>
        <v>0</v>
      </c>
      <c r="B853" s="86"/>
      <c r="C8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3" s="44"/>
      <c r="E853" s="66"/>
      <c r="F853" s="66"/>
      <c r="G853" s="66"/>
      <c r="H853" s="44"/>
      <c r="I853" s="44"/>
      <c r="J853" s="66"/>
      <c r="K853" s="66"/>
      <c r="L853" s="66"/>
      <c r="M853" s="66"/>
      <c r="N853" s="66">
        <f>SUM(Prog_236[[#This Row],[TARA]]+Prog_236[[#This Row],[PESO]])</f>
        <v>0</v>
      </c>
      <c r="O853" s="44"/>
      <c r="P853" s="66"/>
      <c r="Q853" s="66"/>
      <c r="R853" s="66"/>
      <c r="S853" s="66"/>
      <c r="T853" s="138" t="str">
        <f>IFERROR(LOOKUP($S853,MOTORISTAS!$D$3:$D$1048576,MOTORISTAS!E$3:$E$1048576),"")</f>
        <v/>
      </c>
      <c r="U853" s="138" t="str">
        <f>IFERROR(LOOKUP($S853,MOTORISTAS!$D$3:$D$1048576,MOTORISTAS!F$3:$F$1048576),"")</f>
        <v/>
      </c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44"/>
      <c r="AG853" s="254">
        <f>Prog_236[[#This Row],[SAÍDA DO CLIENTE]]-Prog_236[[#This Row],[PROGRAMAÇÃO CLIENTE]]</f>
        <v>0</v>
      </c>
      <c r="AH853" s="44"/>
      <c r="AI853" s="66"/>
      <c r="AJ853" s="66"/>
      <c r="AK853" s="66"/>
      <c r="AL853" s="66"/>
      <c r="AM853" s="66"/>
      <c r="AN853" s="83"/>
      <c r="AO853" s="66"/>
      <c r="AP853" s="66"/>
      <c r="AQ853" s="66"/>
      <c r="AR853" s="81"/>
      <c r="AS853" s="81"/>
      <c r="AT853" s="81"/>
      <c r="AU853" s="81"/>
      <c r="AV853" s="83">
        <f>SUM(Prog_236[[#This Row],[ADIANTAMENTO]]+Prog_236[[#This Row],[SALDO]]+Prog_236[[#This Row],[MARGEM]]+Prog_236[[#This Row],[ESTADIA 1]])</f>
        <v>0</v>
      </c>
      <c r="AW8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3" s="81"/>
      <c r="AY853" s="81"/>
      <c r="AZ853" s="81">
        <f>Prog_236[[#This Row],[VLR NF]]*0.1%</f>
        <v>0</v>
      </c>
      <c r="BA853" s="81">
        <f>Prog_236[[#This Row],[VLR NF]]*0.05%</f>
        <v>0</v>
      </c>
      <c r="BB853" s="81"/>
      <c r="BC853" s="81"/>
      <c r="BD853" s="81"/>
      <c r="BE853" s="81"/>
      <c r="BF853" s="81"/>
      <c r="BG853" s="81"/>
      <c r="BH853" s="81"/>
      <c r="BI853" s="81"/>
      <c r="BJ853" s="81"/>
      <c r="BK853" s="81"/>
      <c r="BL853" s="66"/>
      <c r="BM853" s="66"/>
      <c r="BN853" s="66"/>
      <c r="BO853" s="66" t="str">
        <f>PROPER(TEXT(Prog_236[[#This Row],[PROGRAMAÇÃO CLIENTE]],"mmm"))</f>
        <v>Jan</v>
      </c>
      <c r="BP853" s="66">
        <f>YEAR(Prog_236[[#This Row],[PROGRAMAÇÃO CLIENTE]])</f>
        <v>1900</v>
      </c>
    </row>
    <row r="854" spans="1:68" x14ac:dyDescent="0.25">
      <c r="A854" s="201">
        <f>Prog_236[[#This Row],[CONTEINER]]</f>
        <v>0</v>
      </c>
      <c r="B854" s="86"/>
      <c r="C8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4" s="44"/>
      <c r="E854" s="66"/>
      <c r="F854" s="66"/>
      <c r="G854" s="66"/>
      <c r="H854" s="44"/>
      <c r="I854" s="44"/>
      <c r="J854" s="66"/>
      <c r="K854" s="66"/>
      <c r="L854" s="66"/>
      <c r="M854" s="66"/>
      <c r="N854" s="66">
        <f>SUM(Prog_236[[#This Row],[TARA]]+Prog_236[[#This Row],[PESO]])</f>
        <v>0</v>
      </c>
      <c r="O854" s="44"/>
      <c r="P854" s="66"/>
      <c r="Q854" s="66"/>
      <c r="R854" s="66"/>
      <c r="S854" s="66"/>
      <c r="T854" s="138" t="str">
        <f>IFERROR(LOOKUP($S854,MOTORISTAS!$D$3:$D$1048576,MOTORISTAS!E$3:$E$1048576),"")</f>
        <v/>
      </c>
      <c r="U854" s="138" t="str">
        <f>IFERROR(LOOKUP($S854,MOTORISTAS!$D$3:$D$1048576,MOTORISTAS!F$3:$F$1048576),"")</f>
        <v/>
      </c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44"/>
      <c r="AG854" s="254">
        <f>Prog_236[[#This Row],[SAÍDA DO CLIENTE]]-Prog_236[[#This Row],[PROGRAMAÇÃO CLIENTE]]</f>
        <v>0</v>
      </c>
      <c r="AH854" s="44"/>
      <c r="AI854" s="66"/>
      <c r="AJ854" s="66"/>
      <c r="AK854" s="66"/>
      <c r="AL854" s="66"/>
      <c r="AM854" s="66"/>
      <c r="AN854" s="83"/>
      <c r="AO854" s="66"/>
      <c r="AP854" s="66"/>
      <c r="AQ854" s="66"/>
      <c r="AR854" s="81"/>
      <c r="AS854" s="81"/>
      <c r="AT854" s="81"/>
      <c r="AU854" s="81"/>
      <c r="AV854" s="83">
        <f>SUM(Prog_236[[#This Row],[ADIANTAMENTO]]+Prog_236[[#This Row],[SALDO]]+Prog_236[[#This Row],[MARGEM]]+Prog_236[[#This Row],[ESTADIA 1]])</f>
        <v>0</v>
      </c>
      <c r="AW8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4" s="81"/>
      <c r="AY854" s="81"/>
      <c r="AZ854" s="81">
        <f>Prog_236[[#This Row],[VLR NF]]*0.1%</f>
        <v>0</v>
      </c>
      <c r="BA854" s="81">
        <f>Prog_236[[#This Row],[VLR NF]]*0.05%</f>
        <v>0</v>
      </c>
      <c r="BB854" s="81"/>
      <c r="BC854" s="81"/>
      <c r="BD854" s="81"/>
      <c r="BE854" s="81"/>
      <c r="BF854" s="81"/>
      <c r="BG854" s="81"/>
      <c r="BH854" s="81"/>
      <c r="BI854" s="81"/>
      <c r="BJ854" s="81"/>
      <c r="BK854" s="81"/>
      <c r="BL854" s="66"/>
      <c r="BM854" s="66"/>
      <c r="BN854" s="66"/>
      <c r="BO854" s="66" t="str">
        <f>PROPER(TEXT(Prog_236[[#This Row],[PROGRAMAÇÃO CLIENTE]],"mmm"))</f>
        <v>Jan</v>
      </c>
      <c r="BP854" s="66">
        <f>YEAR(Prog_236[[#This Row],[PROGRAMAÇÃO CLIENTE]])</f>
        <v>1900</v>
      </c>
    </row>
    <row r="855" spans="1:68" x14ac:dyDescent="0.25">
      <c r="A855" s="200">
        <f>Prog_236[[#This Row],[CONTEINER]]</f>
        <v>0</v>
      </c>
      <c r="B855" s="86"/>
      <c r="C8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5" s="44"/>
      <c r="E855" s="66"/>
      <c r="F855" s="66"/>
      <c r="G855" s="66"/>
      <c r="H855" s="44"/>
      <c r="I855" s="44"/>
      <c r="J855" s="66"/>
      <c r="K855" s="66"/>
      <c r="L855" s="66"/>
      <c r="M855" s="66"/>
      <c r="N855" s="66">
        <f>SUM(Prog_236[[#This Row],[TARA]]+Prog_236[[#This Row],[PESO]])</f>
        <v>0</v>
      </c>
      <c r="O855" s="44"/>
      <c r="P855" s="66"/>
      <c r="Q855" s="66"/>
      <c r="R855" s="66"/>
      <c r="S855" s="66"/>
      <c r="T855" s="138" t="str">
        <f>IFERROR(LOOKUP($S855,MOTORISTAS!$D$3:$D$1048576,MOTORISTAS!E$3:$E$1048576),"")</f>
        <v/>
      </c>
      <c r="U855" s="138" t="str">
        <f>IFERROR(LOOKUP($S855,MOTORISTAS!$D$3:$D$1048576,MOTORISTAS!F$3:$F$1048576),"")</f>
        <v/>
      </c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44"/>
      <c r="AG855" s="254">
        <f>Prog_236[[#This Row],[SAÍDA DO CLIENTE]]-Prog_236[[#This Row],[PROGRAMAÇÃO CLIENTE]]</f>
        <v>0</v>
      </c>
      <c r="AH855" s="44"/>
      <c r="AI855" s="66"/>
      <c r="AJ855" s="66"/>
      <c r="AK855" s="66"/>
      <c r="AL855" s="66"/>
      <c r="AM855" s="66"/>
      <c r="AN855" s="83"/>
      <c r="AO855" s="66"/>
      <c r="AP855" s="66"/>
      <c r="AQ855" s="66"/>
      <c r="AR855" s="81"/>
      <c r="AS855" s="81"/>
      <c r="AT855" s="81"/>
      <c r="AU855" s="81"/>
      <c r="AV855" s="83">
        <f>SUM(Prog_236[[#This Row],[ADIANTAMENTO]]+Prog_236[[#This Row],[SALDO]]+Prog_236[[#This Row],[MARGEM]]+Prog_236[[#This Row],[ESTADIA 1]])</f>
        <v>0</v>
      </c>
      <c r="AW8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5" s="81"/>
      <c r="AY855" s="81"/>
      <c r="AZ855" s="81">
        <f>Prog_236[[#This Row],[VLR NF]]*0.1%</f>
        <v>0</v>
      </c>
      <c r="BA855" s="81">
        <f>Prog_236[[#This Row],[VLR NF]]*0.05%</f>
        <v>0</v>
      </c>
      <c r="BB855" s="81"/>
      <c r="BC855" s="81"/>
      <c r="BD855" s="81"/>
      <c r="BE855" s="81"/>
      <c r="BF855" s="81"/>
      <c r="BG855" s="81"/>
      <c r="BH855" s="81"/>
      <c r="BI855" s="81"/>
      <c r="BJ855" s="81"/>
      <c r="BK855" s="81"/>
      <c r="BL855" s="66"/>
      <c r="BM855" s="66"/>
      <c r="BN855" s="66"/>
      <c r="BO855" s="66" t="str">
        <f>PROPER(TEXT(Prog_236[[#This Row],[PROGRAMAÇÃO CLIENTE]],"mmm"))</f>
        <v>Jan</v>
      </c>
      <c r="BP855" s="66">
        <f>YEAR(Prog_236[[#This Row],[PROGRAMAÇÃO CLIENTE]])</f>
        <v>1900</v>
      </c>
    </row>
    <row r="856" spans="1:68" x14ac:dyDescent="0.25">
      <c r="A856" s="201">
        <f>Prog_236[[#This Row],[CONTEINER]]</f>
        <v>0</v>
      </c>
      <c r="B856" s="86"/>
      <c r="C8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6" s="44"/>
      <c r="E856" s="66"/>
      <c r="F856" s="66"/>
      <c r="G856" s="66"/>
      <c r="H856" s="44"/>
      <c r="I856" s="44"/>
      <c r="J856" s="66"/>
      <c r="K856" s="66"/>
      <c r="L856" s="66"/>
      <c r="M856" s="66"/>
      <c r="N856" s="66">
        <f>SUM(Prog_236[[#This Row],[TARA]]+Prog_236[[#This Row],[PESO]])</f>
        <v>0</v>
      </c>
      <c r="O856" s="44"/>
      <c r="P856" s="66"/>
      <c r="Q856" s="66"/>
      <c r="R856" s="66"/>
      <c r="S856" s="66"/>
      <c r="T856" s="138" t="str">
        <f>IFERROR(LOOKUP($S856,MOTORISTAS!$D$3:$D$1048576,MOTORISTAS!E$3:$E$1048576),"")</f>
        <v/>
      </c>
      <c r="U856" s="138" t="str">
        <f>IFERROR(LOOKUP($S856,MOTORISTAS!$D$3:$D$1048576,MOTORISTAS!F$3:$F$1048576),"")</f>
        <v/>
      </c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44"/>
      <c r="AG856" s="254">
        <f>Prog_236[[#This Row],[SAÍDA DO CLIENTE]]-Prog_236[[#This Row],[PROGRAMAÇÃO CLIENTE]]</f>
        <v>0</v>
      </c>
      <c r="AH856" s="44"/>
      <c r="AI856" s="66"/>
      <c r="AJ856" s="66"/>
      <c r="AK856" s="66"/>
      <c r="AL856" s="66"/>
      <c r="AM856" s="66"/>
      <c r="AN856" s="83"/>
      <c r="AO856" s="66"/>
      <c r="AP856" s="66"/>
      <c r="AQ856" s="66"/>
      <c r="AR856" s="81"/>
      <c r="AS856" s="81"/>
      <c r="AT856" s="81"/>
      <c r="AU856" s="81"/>
      <c r="AV856" s="83">
        <f>SUM(Prog_236[[#This Row],[ADIANTAMENTO]]+Prog_236[[#This Row],[SALDO]]+Prog_236[[#This Row],[MARGEM]]+Prog_236[[#This Row],[ESTADIA 1]])</f>
        <v>0</v>
      </c>
      <c r="AW8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6" s="81"/>
      <c r="AY856" s="81"/>
      <c r="AZ856" s="81">
        <f>Prog_236[[#This Row],[VLR NF]]*0.1%</f>
        <v>0</v>
      </c>
      <c r="BA856" s="81">
        <f>Prog_236[[#This Row],[VLR NF]]*0.05%</f>
        <v>0</v>
      </c>
      <c r="BB856" s="81"/>
      <c r="BC856" s="81"/>
      <c r="BD856" s="81"/>
      <c r="BE856" s="81"/>
      <c r="BF856" s="81"/>
      <c r="BG856" s="81"/>
      <c r="BH856" s="81"/>
      <c r="BI856" s="81"/>
      <c r="BJ856" s="81"/>
      <c r="BK856" s="81"/>
      <c r="BL856" s="66"/>
      <c r="BM856" s="66"/>
      <c r="BN856" s="66"/>
      <c r="BO856" s="66" t="str">
        <f>PROPER(TEXT(Prog_236[[#This Row],[PROGRAMAÇÃO CLIENTE]],"mmm"))</f>
        <v>Jan</v>
      </c>
      <c r="BP856" s="66">
        <f>YEAR(Prog_236[[#This Row],[PROGRAMAÇÃO CLIENTE]])</f>
        <v>1900</v>
      </c>
    </row>
    <row r="857" spans="1:68" x14ac:dyDescent="0.25">
      <c r="A857" s="200">
        <f>Prog_236[[#This Row],[CONTEINER]]</f>
        <v>0</v>
      </c>
      <c r="B857" s="86"/>
      <c r="C8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7" s="44"/>
      <c r="E857" s="66"/>
      <c r="F857" s="66"/>
      <c r="G857" s="66"/>
      <c r="H857" s="44"/>
      <c r="I857" s="44"/>
      <c r="J857" s="66"/>
      <c r="K857" s="66"/>
      <c r="L857" s="66"/>
      <c r="M857" s="66"/>
      <c r="N857" s="66">
        <f>SUM(Prog_236[[#This Row],[TARA]]+Prog_236[[#This Row],[PESO]])</f>
        <v>0</v>
      </c>
      <c r="O857" s="44"/>
      <c r="P857" s="66"/>
      <c r="Q857" s="66"/>
      <c r="R857" s="66"/>
      <c r="S857" s="66"/>
      <c r="T857" s="138" t="str">
        <f>IFERROR(LOOKUP($S857,MOTORISTAS!$D$3:$D$1048576,MOTORISTAS!E$3:$E$1048576),"")</f>
        <v/>
      </c>
      <c r="U857" s="138" t="str">
        <f>IFERROR(LOOKUP($S857,MOTORISTAS!$D$3:$D$1048576,MOTORISTAS!F$3:$F$1048576),"")</f>
        <v/>
      </c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44"/>
      <c r="AG857" s="254">
        <f>Prog_236[[#This Row],[SAÍDA DO CLIENTE]]-Prog_236[[#This Row],[PROGRAMAÇÃO CLIENTE]]</f>
        <v>0</v>
      </c>
      <c r="AH857" s="44"/>
      <c r="AI857" s="66"/>
      <c r="AJ857" s="66"/>
      <c r="AK857" s="66"/>
      <c r="AL857" s="66"/>
      <c r="AM857" s="66"/>
      <c r="AN857" s="83"/>
      <c r="AO857" s="66"/>
      <c r="AP857" s="66"/>
      <c r="AQ857" s="66"/>
      <c r="AR857" s="81"/>
      <c r="AS857" s="81"/>
      <c r="AT857" s="81"/>
      <c r="AU857" s="81"/>
      <c r="AV857" s="83">
        <f>SUM(Prog_236[[#This Row],[ADIANTAMENTO]]+Prog_236[[#This Row],[SALDO]]+Prog_236[[#This Row],[MARGEM]]+Prog_236[[#This Row],[ESTADIA 1]])</f>
        <v>0</v>
      </c>
      <c r="AW8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7" s="81"/>
      <c r="AY857" s="81"/>
      <c r="AZ857" s="81">
        <f>Prog_236[[#This Row],[VLR NF]]*0.1%</f>
        <v>0</v>
      </c>
      <c r="BA857" s="81">
        <f>Prog_236[[#This Row],[VLR NF]]*0.05%</f>
        <v>0</v>
      </c>
      <c r="BB857" s="81"/>
      <c r="BC857" s="81"/>
      <c r="BD857" s="81"/>
      <c r="BE857" s="81"/>
      <c r="BF857" s="81"/>
      <c r="BG857" s="81"/>
      <c r="BH857" s="81"/>
      <c r="BI857" s="81"/>
      <c r="BJ857" s="81"/>
      <c r="BK857" s="81"/>
      <c r="BL857" s="66"/>
      <c r="BM857" s="66"/>
      <c r="BN857" s="66"/>
      <c r="BO857" s="66" t="str">
        <f>PROPER(TEXT(Prog_236[[#This Row],[PROGRAMAÇÃO CLIENTE]],"mmm"))</f>
        <v>Jan</v>
      </c>
      <c r="BP857" s="66">
        <f>YEAR(Prog_236[[#This Row],[PROGRAMAÇÃO CLIENTE]])</f>
        <v>1900</v>
      </c>
    </row>
    <row r="858" spans="1:68" x14ac:dyDescent="0.25">
      <c r="A858" s="201">
        <f>Prog_236[[#This Row],[CONTEINER]]</f>
        <v>0</v>
      </c>
      <c r="B858" s="86"/>
      <c r="C8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8" s="44"/>
      <c r="E858" s="66"/>
      <c r="F858" s="66"/>
      <c r="G858" s="66"/>
      <c r="H858" s="44"/>
      <c r="I858" s="44"/>
      <c r="J858" s="66"/>
      <c r="K858" s="66"/>
      <c r="L858" s="66"/>
      <c r="M858" s="66"/>
      <c r="N858" s="66">
        <f>SUM(Prog_236[[#This Row],[TARA]]+Prog_236[[#This Row],[PESO]])</f>
        <v>0</v>
      </c>
      <c r="O858" s="44"/>
      <c r="P858" s="66"/>
      <c r="Q858" s="66"/>
      <c r="R858" s="66"/>
      <c r="S858" s="66"/>
      <c r="T858" s="138" t="str">
        <f>IFERROR(LOOKUP($S858,MOTORISTAS!$D$3:$D$1048576,MOTORISTAS!E$3:$E$1048576),"")</f>
        <v/>
      </c>
      <c r="U858" s="138" t="str">
        <f>IFERROR(LOOKUP($S858,MOTORISTAS!$D$3:$D$1048576,MOTORISTAS!F$3:$F$1048576),"")</f>
        <v/>
      </c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44"/>
      <c r="AG858" s="254">
        <f>Prog_236[[#This Row],[SAÍDA DO CLIENTE]]-Prog_236[[#This Row],[PROGRAMAÇÃO CLIENTE]]</f>
        <v>0</v>
      </c>
      <c r="AH858" s="44"/>
      <c r="AI858" s="66"/>
      <c r="AJ858" s="66"/>
      <c r="AK858" s="66"/>
      <c r="AL858" s="66"/>
      <c r="AM858" s="66"/>
      <c r="AN858" s="83"/>
      <c r="AO858" s="66"/>
      <c r="AP858" s="66"/>
      <c r="AQ858" s="66"/>
      <c r="AR858" s="81"/>
      <c r="AS858" s="81"/>
      <c r="AT858" s="81"/>
      <c r="AU858" s="81"/>
      <c r="AV858" s="83">
        <f>SUM(Prog_236[[#This Row],[ADIANTAMENTO]]+Prog_236[[#This Row],[SALDO]]+Prog_236[[#This Row],[MARGEM]]+Prog_236[[#This Row],[ESTADIA 1]])</f>
        <v>0</v>
      </c>
      <c r="AW8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8" s="81"/>
      <c r="AY858" s="81"/>
      <c r="AZ858" s="81">
        <f>Prog_236[[#This Row],[VLR NF]]*0.1%</f>
        <v>0</v>
      </c>
      <c r="BA858" s="81">
        <f>Prog_236[[#This Row],[VLR NF]]*0.05%</f>
        <v>0</v>
      </c>
      <c r="BB858" s="81"/>
      <c r="BC858" s="81"/>
      <c r="BD858" s="81"/>
      <c r="BE858" s="81"/>
      <c r="BF858" s="81"/>
      <c r="BG858" s="81"/>
      <c r="BH858" s="81"/>
      <c r="BI858" s="81"/>
      <c r="BJ858" s="81"/>
      <c r="BK858" s="81"/>
      <c r="BL858" s="66"/>
      <c r="BM858" s="66"/>
      <c r="BN858" s="66"/>
      <c r="BO858" s="66" t="str">
        <f>PROPER(TEXT(Prog_236[[#This Row],[PROGRAMAÇÃO CLIENTE]],"mmm"))</f>
        <v>Jan</v>
      </c>
      <c r="BP858" s="66">
        <f>YEAR(Prog_236[[#This Row],[PROGRAMAÇÃO CLIENTE]])</f>
        <v>1900</v>
      </c>
    </row>
    <row r="859" spans="1:68" x14ac:dyDescent="0.25">
      <c r="A859" s="200">
        <f>Prog_236[[#This Row],[CONTEINER]]</f>
        <v>0</v>
      </c>
      <c r="B859" s="86"/>
      <c r="C8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59" s="44"/>
      <c r="E859" s="66"/>
      <c r="F859" s="66"/>
      <c r="G859" s="66"/>
      <c r="H859" s="44"/>
      <c r="I859" s="44"/>
      <c r="J859" s="66"/>
      <c r="K859" s="66"/>
      <c r="L859" s="66"/>
      <c r="M859" s="66"/>
      <c r="N859" s="66">
        <f>SUM(Prog_236[[#This Row],[TARA]]+Prog_236[[#This Row],[PESO]])</f>
        <v>0</v>
      </c>
      <c r="O859" s="44"/>
      <c r="P859" s="66"/>
      <c r="Q859" s="66"/>
      <c r="R859" s="66"/>
      <c r="S859" s="66"/>
      <c r="T859" s="138" t="str">
        <f>IFERROR(LOOKUP($S859,MOTORISTAS!$D$3:$D$1048576,MOTORISTAS!E$3:$E$1048576),"")</f>
        <v/>
      </c>
      <c r="U859" s="138" t="str">
        <f>IFERROR(LOOKUP($S859,MOTORISTAS!$D$3:$D$1048576,MOTORISTAS!F$3:$F$1048576),"")</f>
        <v/>
      </c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44"/>
      <c r="AG859" s="254">
        <f>Prog_236[[#This Row],[SAÍDA DO CLIENTE]]-Prog_236[[#This Row],[PROGRAMAÇÃO CLIENTE]]</f>
        <v>0</v>
      </c>
      <c r="AH859" s="44"/>
      <c r="AI859" s="66"/>
      <c r="AJ859" s="66"/>
      <c r="AK859" s="66"/>
      <c r="AL859" s="66"/>
      <c r="AM859" s="66"/>
      <c r="AN859" s="83"/>
      <c r="AO859" s="66"/>
      <c r="AP859" s="66"/>
      <c r="AQ859" s="66"/>
      <c r="AR859" s="81"/>
      <c r="AS859" s="81"/>
      <c r="AT859" s="81"/>
      <c r="AU859" s="81"/>
      <c r="AV859" s="83">
        <f>SUM(Prog_236[[#This Row],[ADIANTAMENTO]]+Prog_236[[#This Row],[SALDO]]+Prog_236[[#This Row],[MARGEM]]+Prog_236[[#This Row],[ESTADIA 1]])</f>
        <v>0</v>
      </c>
      <c r="AW8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59" s="81"/>
      <c r="AY859" s="81"/>
      <c r="AZ859" s="81">
        <f>Prog_236[[#This Row],[VLR NF]]*0.1%</f>
        <v>0</v>
      </c>
      <c r="BA859" s="81">
        <f>Prog_236[[#This Row],[VLR NF]]*0.05%</f>
        <v>0</v>
      </c>
      <c r="BB859" s="81"/>
      <c r="BC859" s="81"/>
      <c r="BD859" s="81"/>
      <c r="BE859" s="81"/>
      <c r="BF859" s="81"/>
      <c r="BG859" s="81"/>
      <c r="BH859" s="81"/>
      <c r="BI859" s="81"/>
      <c r="BJ859" s="81"/>
      <c r="BK859" s="81"/>
      <c r="BL859" s="66"/>
      <c r="BM859" s="66"/>
      <c r="BN859" s="66"/>
      <c r="BO859" s="66" t="str">
        <f>PROPER(TEXT(Prog_236[[#This Row],[PROGRAMAÇÃO CLIENTE]],"mmm"))</f>
        <v>Jan</v>
      </c>
      <c r="BP859" s="66">
        <f>YEAR(Prog_236[[#This Row],[PROGRAMAÇÃO CLIENTE]])</f>
        <v>1900</v>
      </c>
    </row>
    <row r="860" spans="1:68" x14ac:dyDescent="0.25">
      <c r="A860" s="201">
        <f>Prog_236[[#This Row],[CONTEINER]]</f>
        <v>0</v>
      </c>
      <c r="B860" s="86"/>
      <c r="C8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0" s="44"/>
      <c r="E860" s="66"/>
      <c r="F860" s="66"/>
      <c r="G860" s="66"/>
      <c r="H860" s="44"/>
      <c r="I860" s="44"/>
      <c r="J860" s="66"/>
      <c r="K860" s="66"/>
      <c r="L860" s="66"/>
      <c r="M860" s="66"/>
      <c r="N860" s="66">
        <f>SUM(Prog_236[[#This Row],[TARA]]+Prog_236[[#This Row],[PESO]])</f>
        <v>0</v>
      </c>
      <c r="O860" s="44"/>
      <c r="P860" s="66"/>
      <c r="Q860" s="66"/>
      <c r="R860" s="66"/>
      <c r="S860" s="66"/>
      <c r="T860" s="138" t="str">
        <f>IFERROR(LOOKUP($S860,MOTORISTAS!$D$3:$D$1048576,MOTORISTAS!E$3:$E$1048576),"")</f>
        <v/>
      </c>
      <c r="U860" s="138" t="str">
        <f>IFERROR(LOOKUP($S860,MOTORISTAS!$D$3:$D$1048576,MOTORISTAS!F$3:$F$1048576),"")</f>
        <v/>
      </c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44"/>
      <c r="AG860" s="254">
        <f>Prog_236[[#This Row],[SAÍDA DO CLIENTE]]-Prog_236[[#This Row],[PROGRAMAÇÃO CLIENTE]]</f>
        <v>0</v>
      </c>
      <c r="AH860" s="44"/>
      <c r="AI860" s="66"/>
      <c r="AJ860" s="66"/>
      <c r="AK860" s="66"/>
      <c r="AL860" s="66"/>
      <c r="AM860" s="66"/>
      <c r="AN860" s="83"/>
      <c r="AO860" s="66"/>
      <c r="AP860" s="66"/>
      <c r="AQ860" s="66"/>
      <c r="AR860" s="81"/>
      <c r="AS860" s="81"/>
      <c r="AT860" s="81"/>
      <c r="AU860" s="81"/>
      <c r="AV860" s="83">
        <f>SUM(Prog_236[[#This Row],[ADIANTAMENTO]]+Prog_236[[#This Row],[SALDO]]+Prog_236[[#This Row],[MARGEM]]+Prog_236[[#This Row],[ESTADIA 1]])</f>
        <v>0</v>
      </c>
      <c r="AW8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0" s="81"/>
      <c r="AY860" s="81"/>
      <c r="AZ860" s="81">
        <f>Prog_236[[#This Row],[VLR NF]]*0.1%</f>
        <v>0</v>
      </c>
      <c r="BA860" s="81">
        <f>Prog_236[[#This Row],[VLR NF]]*0.05%</f>
        <v>0</v>
      </c>
      <c r="BB860" s="81"/>
      <c r="BC860" s="81"/>
      <c r="BD860" s="81"/>
      <c r="BE860" s="81"/>
      <c r="BF860" s="81"/>
      <c r="BG860" s="81"/>
      <c r="BH860" s="81"/>
      <c r="BI860" s="81"/>
      <c r="BJ860" s="81"/>
      <c r="BK860" s="81"/>
      <c r="BL860" s="66"/>
      <c r="BM860" s="66"/>
      <c r="BN860" s="66"/>
      <c r="BO860" s="66" t="str">
        <f>PROPER(TEXT(Prog_236[[#This Row],[PROGRAMAÇÃO CLIENTE]],"mmm"))</f>
        <v>Jan</v>
      </c>
      <c r="BP860" s="66">
        <f>YEAR(Prog_236[[#This Row],[PROGRAMAÇÃO CLIENTE]])</f>
        <v>1900</v>
      </c>
    </row>
    <row r="861" spans="1:68" x14ac:dyDescent="0.25">
      <c r="A861" s="200">
        <f>Prog_236[[#This Row],[CONTEINER]]</f>
        <v>0</v>
      </c>
      <c r="B861" s="86"/>
      <c r="C8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1" s="44"/>
      <c r="E861" s="66"/>
      <c r="F861" s="66"/>
      <c r="G861" s="66"/>
      <c r="H861" s="44"/>
      <c r="I861" s="44"/>
      <c r="J861" s="66"/>
      <c r="K861" s="66"/>
      <c r="L861" s="66"/>
      <c r="M861" s="66"/>
      <c r="N861" s="66">
        <f>SUM(Prog_236[[#This Row],[TARA]]+Prog_236[[#This Row],[PESO]])</f>
        <v>0</v>
      </c>
      <c r="O861" s="44"/>
      <c r="P861" s="66"/>
      <c r="Q861" s="66"/>
      <c r="R861" s="66"/>
      <c r="S861" s="66"/>
      <c r="T861" s="138" t="str">
        <f>IFERROR(LOOKUP($S861,MOTORISTAS!$D$3:$D$1048576,MOTORISTAS!E$3:$E$1048576),"")</f>
        <v/>
      </c>
      <c r="U861" s="138" t="str">
        <f>IFERROR(LOOKUP($S861,MOTORISTAS!$D$3:$D$1048576,MOTORISTAS!F$3:$F$1048576),"")</f>
        <v/>
      </c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44"/>
      <c r="AG861" s="254">
        <f>Prog_236[[#This Row],[SAÍDA DO CLIENTE]]-Prog_236[[#This Row],[PROGRAMAÇÃO CLIENTE]]</f>
        <v>0</v>
      </c>
      <c r="AH861" s="44"/>
      <c r="AI861" s="66"/>
      <c r="AJ861" s="66"/>
      <c r="AK861" s="66"/>
      <c r="AL861" s="66"/>
      <c r="AM861" s="66"/>
      <c r="AN861" s="83"/>
      <c r="AO861" s="66"/>
      <c r="AP861" s="66"/>
      <c r="AQ861" s="66"/>
      <c r="AR861" s="81"/>
      <c r="AS861" s="81"/>
      <c r="AT861" s="81"/>
      <c r="AU861" s="81"/>
      <c r="AV861" s="83">
        <f>SUM(Prog_236[[#This Row],[ADIANTAMENTO]]+Prog_236[[#This Row],[SALDO]]+Prog_236[[#This Row],[MARGEM]]+Prog_236[[#This Row],[ESTADIA 1]])</f>
        <v>0</v>
      </c>
      <c r="AW8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1" s="81"/>
      <c r="AY861" s="81"/>
      <c r="AZ861" s="81">
        <f>Prog_236[[#This Row],[VLR NF]]*0.1%</f>
        <v>0</v>
      </c>
      <c r="BA861" s="81">
        <f>Prog_236[[#This Row],[VLR NF]]*0.05%</f>
        <v>0</v>
      </c>
      <c r="BB861" s="81"/>
      <c r="BC861" s="81"/>
      <c r="BD861" s="81"/>
      <c r="BE861" s="81"/>
      <c r="BF861" s="81"/>
      <c r="BG861" s="81"/>
      <c r="BH861" s="81"/>
      <c r="BI861" s="81"/>
      <c r="BJ861" s="81"/>
      <c r="BK861" s="81"/>
      <c r="BL861" s="66"/>
      <c r="BM861" s="66"/>
      <c r="BN861" s="66"/>
      <c r="BO861" s="66" t="str">
        <f>PROPER(TEXT(Prog_236[[#This Row],[PROGRAMAÇÃO CLIENTE]],"mmm"))</f>
        <v>Jan</v>
      </c>
      <c r="BP861" s="66">
        <f>YEAR(Prog_236[[#This Row],[PROGRAMAÇÃO CLIENTE]])</f>
        <v>1900</v>
      </c>
    </row>
    <row r="862" spans="1:68" x14ac:dyDescent="0.25">
      <c r="A862" s="201">
        <f>Prog_236[[#This Row],[CONTEINER]]</f>
        <v>0</v>
      </c>
      <c r="B862" s="86"/>
      <c r="C8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2" s="44"/>
      <c r="E862" s="66"/>
      <c r="F862" s="66"/>
      <c r="G862" s="66"/>
      <c r="H862" s="44"/>
      <c r="I862" s="44"/>
      <c r="J862" s="66"/>
      <c r="K862" s="66"/>
      <c r="L862" s="66"/>
      <c r="M862" s="66"/>
      <c r="N862" s="66">
        <f>SUM(Prog_236[[#This Row],[TARA]]+Prog_236[[#This Row],[PESO]])</f>
        <v>0</v>
      </c>
      <c r="O862" s="44"/>
      <c r="P862" s="66"/>
      <c r="Q862" s="66"/>
      <c r="R862" s="66"/>
      <c r="S862" s="66"/>
      <c r="T862" s="138" t="str">
        <f>IFERROR(LOOKUP($S862,MOTORISTAS!$D$3:$D$1048576,MOTORISTAS!E$3:$E$1048576),"")</f>
        <v/>
      </c>
      <c r="U862" s="138" t="str">
        <f>IFERROR(LOOKUP($S862,MOTORISTAS!$D$3:$D$1048576,MOTORISTAS!F$3:$F$1048576),"")</f>
        <v/>
      </c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44"/>
      <c r="AG862" s="254">
        <f>Prog_236[[#This Row],[SAÍDA DO CLIENTE]]-Prog_236[[#This Row],[PROGRAMAÇÃO CLIENTE]]</f>
        <v>0</v>
      </c>
      <c r="AH862" s="44"/>
      <c r="AI862" s="66"/>
      <c r="AJ862" s="66"/>
      <c r="AK862" s="66"/>
      <c r="AL862" s="66"/>
      <c r="AM862" s="66"/>
      <c r="AN862" s="83"/>
      <c r="AO862" s="66"/>
      <c r="AP862" s="66"/>
      <c r="AQ862" s="66"/>
      <c r="AR862" s="81"/>
      <c r="AS862" s="81"/>
      <c r="AT862" s="81"/>
      <c r="AU862" s="81"/>
      <c r="AV862" s="83">
        <f>SUM(Prog_236[[#This Row],[ADIANTAMENTO]]+Prog_236[[#This Row],[SALDO]]+Prog_236[[#This Row],[MARGEM]]+Prog_236[[#This Row],[ESTADIA 1]])</f>
        <v>0</v>
      </c>
      <c r="AW8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2" s="81"/>
      <c r="AY862" s="81"/>
      <c r="AZ862" s="81">
        <f>Prog_236[[#This Row],[VLR NF]]*0.1%</f>
        <v>0</v>
      </c>
      <c r="BA862" s="81">
        <f>Prog_236[[#This Row],[VLR NF]]*0.05%</f>
        <v>0</v>
      </c>
      <c r="BB862" s="81"/>
      <c r="BC862" s="81"/>
      <c r="BD862" s="81"/>
      <c r="BE862" s="81"/>
      <c r="BF862" s="81"/>
      <c r="BG862" s="81"/>
      <c r="BH862" s="81"/>
      <c r="BI862" s="81"/>
      <c r="BJ862" s="81"/>
      <c r="BK862" s="81"/>
      <c r="BL862" s="66"/>
      <c r="BM862" s="66"/>
      <c r="BN862" s="66"/>
      <c r="BO862" s="66" t="str">
        <f>PROPER(TEXT(Prog_236[[#This Row],[PROGRAMAÇÃO CLIENTE]],"mmm"))</f>
        <v>Jan</v>
      </c>
      <c r="BP862" s="66">
        <f>YEAR(Prog_236[[#This Row],[PROGRAMAÇÃO CLIENTE]])</f>
        <v>1900</v>
      </c>
    </row>
    <row r="863" spans="1:68" x14ac:dyDescent="0.25">
      <c r="A863" s="200">
        <f>Prog_236[[#This Row],[CONTEINER]]</f>
        <v>0</v>
      </c>
      <c r="B863" s="86"/>
      <c r="C8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3" s="44"/>
      <c r="E863" s="66"/>
      <c r="F863" s="66"/>
      <c r="G863" s="66"/>
      <c r="H863" s="44"/>
      <c r="I863" s="44"/>
      <c r="J863" s="66"/>
      <c r="K863" s="66"/>
      <c r="L863" s="66"/>
      <c r="M863" s="66"/>
      <c r="N863" s="66">
        <f>SUM(Prog_236[[#This Row],[TARA]]+Prog_236[[#This Row],[PESO]])</f>
        <v>0</v>
      </c>
      <c r="O863" s="44"/>
      <c r="P863" s="66"/>
      <c r="Q863" s="66"/>
      <c r="R863" s="66"/>
      <c r="S863" s="66"/>
      <c r="T863" s="138" t="str">
        <f>IFERROR(LOOKUP($S863,MOTORISTAS!$D$3:$D$1048576,MOTORISTAS!E$3:$E$1048576),"")</f>
        <v/>
      </c>
      <c r="U863" s="138" t="str">
        <f>IFERROR(LOOKUP($S863,MOTORISTAS!$D$3:$D$1048576,MOTORISTAS!F$3:$F$1048576),"")</f>
        <v/>
      </c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44"/>
      <c r="AG863" s="254">
        <f>Prog_236[[#This Row],[SAÍDA DO CLIENTE]]-Prog_236[[#This Row],[PROGRAMAÇÃO CLIENTE]]</f>
        <v>0</v>
      </c>
      <c r="AH863" s="44"/>
      <c r="AI863" s="66"/>
      <c r="AJ863" s="66"/>
      <c r="AK863" s="66"/>
      <c r="AL863" s="66"/>
      <c r="AM863" s="66"/>
      <c r="AN863" s="83"/>
      <c r="AO863" s="66"/>
      <c r="AP863" s="66"/>
      <c r="AQ863" s="66"/>
      <c r="AR863" s="81"/>
      <c r="AS863" s="81"/>
      <c r="AT863" s="81"/>
      <c r="AU863" s="81"/>
      <c r="AV863" s="83">
        <f>SUM(Prog_236[[#This Row],[ADIANTAMENTO]]+Prog_236[[#This Row],[SALDO]]+Prog_236[[#This Row],[MARGEM]]+Prog_236[[#This Row],[ESTADIA 1]])</f>
        <v>0</v>
      </c>
      <c r="AW8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3" s="81"/>
      <c r="AY863" s="81"/>
      <c r="AZ863" s="81">
        <f>Prog_236[[#This Row],[VLR NF]]*0.1%</f>
        <v>0</v>
      </c>
      <c r="BA863" s="81">
        <f>Prog_236[[#This Row],[VLR NF]]*0.05%</f>
        <v>0</v>
      </c>
      <c r="BB863" s="81"/>
      <c r="BC863" s="81"/>
      <c r="BD863" s="81"/>
      <c r="BE863" s="81"/>
      <c r="BF863" s="81"/>
      <c r="BG863" s="81"/>
      <c r="BH863" s="81"/>
      <c r="BI863" s="81"/>
      <c r="BJ863" s="81"/>
      <c r="BK863" s="81"/>
      <c r="BL863" s="66"/>
      <c r="BM863" s="66"/>
      <c r="BN863" s="66"/>
      <c r="BO863" s="66" t="str">
        <f>PROPER(TEXT(Prog_236[[#This Row],[PROGRAMAÇÃO CLIENTE]],"mmm"))</f>
        <v>Jan</v>
      </c>
      <c r="BP863" s="66">
        <f>YEAR(Prog_236[[#This Row],[PROGRAMAÇÃO CLIENTE]])</f>
        <v>1900</v>
      </c>
    </row>
    <row r="864" spans="1:68" x14ac:dyDescent="0.25">
      <c r="A864" s="201">
        <f>Prog_236[[#This Row],[CONTEINER]]</f>
        <v>0</v>
      </c>
      <c r="B864" s="86"/>
      <c r="C8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4" s="44"/>
      <c r="E864" s="66"/>
      <c r="F864" s="66"/>
      <c r="G864" s="66"/>
      <c r="H864" s="44"/>
      <c r="I864" s="44"/>
      <c r="J864" s="66"/>
      <c r="K864" s="66"/>
      <c r="L864" s="66"/>
      <c r="M864" s="66"/>
      <c r="N864" s="66">
        <f>SUM(Prog_236[[#This Row],[TARA]]+Prog_236[[#This Row],[PESO]])</f>
        <v>0</v>
      </c>
      <c r="O864" s="44"/>
      <c r="P864" s="66"/>
      <c r="Q864" s="66"/>
      <c r="R864" s="66"/>
      <c r="S864" s="66"/>
      <c r="T864" s="138" t="str">
        <f>IFERROR(LOOKUP($S864,MOTORISTAS!$D$3:$D$1048576,MOTORISTAS!E$3:$E$1048576),"")</f>
        <v/>
      </c>
      <c r="U864" s="138" t="str">
        <f>IFERROR(LOOKUP($S864,MOTORISTAS!$D$3:$D$1048576,MOTORISTAS!F$3:$F$1048576),"")</f>
        <v/>
      </c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44"/>
      <c r="AG864" s="254">
        <f>Prog_236[[#This Row],[SAÍDA DO CLIENTE]]-Prog_236[[#This Row],[PROGRAMAÇÃO CLIENTE]]</f>
        <v>0</v>
      </c>
      <c r="AH864" s="44"/>
      <c r="AI864" s="66"/>
      <c r="AJ864" s="66"/>
      <c r="AK864" s="66"/>
      <c r="AL864" s="66"/>
      <c r="AM864" s="66"/>
      <c r="AN864" s="83"/>
      <c r="AO864" s="66"/>
      <c r="AP864" s="66"/>
      <c r="AQ864" s="66"/>
      <c r="AR864" s="81"/>
      <c r="AS864" s="81"/>
      <c r="AT864" s="81"/>
      <c r="AU864" s="81"/>
      <c r="AV864" s="83">
        <f>SUM(Prog_236[[#This Row],[ADIANTAMENTO]]+Prog_236[[#This Row],[SALDO]]+Prog_236[[#This Row],[MARGEM]]+Prog_236[[#This Row],[ESTADIA 1]])</f>
        <v>0</v>
      </c>
      <c r="AW8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4" s="81"/>
      <c r="AY864" s="81"/>
      <c r="AZ864" s="81">
        <f>Prog_236[[#This Row],[VLR NF]]*0.1%</f>
        <v>0</v>
      </c>
      <c r="BA864" s="81">
        <f>Prog_236[[#This Row],[VLR NF]]*0.05%</f>
        <v>0</v>
      </c>
      <c r="BB864" s="81"/>
      <c r="BC864" s="81"/>
      <c r="BD864" s="81"/>
      <c r="BE864" s="81"/>
      <c r="BF864" s="81"/>
      <c r="BG864" s="81"/>
      <c r="BH864" s="81"/>
      <c r="BI864" s="81"/>
      <c r="BJ864" s="81"/>
      <c r="BK864" s="81"/>
      <c r="BL864" s="66"/>
      <c r="BM864" s="66"/>
      <c r="BN864" s="66"/>
      <c r="BO864" s="66" t="str">
        <f>PROPER(TEXT(Prog_236[[#This Row],[PROGRAMAÇÃO CLIENTE]],"mmm"))</f>
        <v>Jan</v>
      </c>
      <c r="BP864" s="66">
        <f>YEAR(Prog_236[[#This Row],[PROGRAMAÇÃO CLIENTE]])</f>
        <v>1900</v>
      </c>
    </row>
    <row r="865" spans="1:68" x14ac:dyDescent="0.25">
      <c r="A865" s="200">
        <f>Prog_236[[#This Row],[CONTEINER]]</f>
        <v>0</v>
      </c>
      <c r="B865" s="86"/>
      <c r="C8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5" s="44"/>
      <c r="E865" s="66"/>
      <c r="F865" s="66"/>
      <c r="G865" s="66"/>
      <c r="H865" s="44"/>
      <c r="I865" s="44"/>
      <c r="J865" s="66"/>
      <c r="K865" s="66"/>
      <c r="L865" s="66"/>
      <c r="M865" s="66"/>
      <c r="N865" s="66">
        <f>SUM(Prog_236[[#This Row],[TARA]]+Prog_236[[#This Row],[PESO]])</f>
        <v>0</v>
      </c>
      <c r="O865" s="44"/>
      <c r="P865" s="66"/>
      <c r="Q865" s="66"/>
      <c r="R865" s="66"/>
      <c r="S865" s="66"/>
      <c r="T865" s="138" t="str">
        <f>IFERROR(LOOKUP($S865,MOTORISTAS!$D$3:$D$1048576,MOTORISTAS!E$3:$E$1048576),"")</f>
        <v/>
      </c>
      <c r="U865" s="138" t="str">
        <f>IFERROR(LOOKUP($S865,MOTORISTAS!$D$3:$D$1048576,MOTORISTAS!F$3:$F$1048576),"")</f>
        <v/>
      </c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44"/>
      <c r="AG865" s="254">
        <f>Prog_236[[#This Row],[SAÍDA DO CLIENTE]]-Prog_236[[#This Row],[PROGRAMAÇÃO CLIENTE]]</f>
        <v>0</v>
      </c>
      <c r="AH865" s="44"/>
      <c r="AI865" s="66"/>
      <c r="AJ865" s="66"/>
      <c r="AK865" s="66"/>
      <c r="AL865" s="66"/>
      <c r="AM865" s="66"/>
      <c r="AN865" s="83"/>
      <c r="AO865" s="66"/>
      <c r="AP865" s="66"/>
      <c r="AQ865" s="66"/>
      <c r="AR865" s="81"/>
      <c r="AS865" s="81"/>
      <c r="AT865" s="81"/>
      <c r="AU865" s="81"/>
      <c r="AV865" s="83">
        <f>SUM(Prog_236[[#This Row],[ADIANTAMENTO]]+Prog_236[[#This Row],[SALDO]]+Prog_236[[#This Row],[MARGEM]]+Prog_236[[#This Row],[ESTADIA 1]])</f>
        <v>0</v>
      </c>
      <c r="AW8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5" s="81"/>
      <c r="AY865" s="81"/>
      <c r="AZ865" s="81">
        <f>Prog_236[[#This Row],[VLR NF]]*0.1%</f>
        <v>0</v>
      </c>
      <c r="BA865" s="81">
        <f>Prog_236[[#This Row],[VLR NF]]*0.05%</f>
        <v>0</v>
      </c>
      <c r="BB865" s="81"/>
      <c r="BC865" s="81"/>
      <c r="BD865" s="81"/>
      <c r="BE865" s="81"/>
      <c r="BF865" s="81"/>
      <c r="BG865" s="81"/>
      <c r="BH865" s="81"/>
      <c r="BI865" s="81"/>
      <c r="BJ865" s="81"/>
      <c r="BK865" s="81"/>
      <c r="BL865" s="66"/>
      <c r="BM865" s="66"/>
      <c r="BN865" s="66"/>
      <c r="BO865" s="66" t="str">
        <f>PROPER(TEXT(Prog_236[[#This Row],[PROGRAMAÇÃO CLIENTE]],"mmm"))</f>
        <v>Jan</v>
      </c>
      <c r="BP865" s="66">
        <f>YEAR(Prog_236[[#This Row],[PROGRAMAÇÃO CLIENTE]])</f>
        <v>1900</v>
      </c>
    </row>
    <row r="866" spans="1:68" x14ac:dyDescent="0.25">
      <c r="A866" s="201">
        <f>Prog_236[[#This Row],[CONTEINER]]</f>
        <v>0</v>
      </c>
      <c r="B866" s="86"/>
      <c r="C8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6" s="44"/>
      <c r="E866" s="66"/>
      <c r="F866" s="66"/>
      <c r="G866" s="66"/>
      <c r="H866" s="44"/>
      <c r="I866" s="44"/>
      <c r="J866" s="66"/>
      <c r="K866" s="66"/>
      <c r="L866" s="66"/>
      <c r="M866" s="66"/>
      <c r="N866" s="66">
        <f>SUM(Prog_236[[#This Row],[TARA]]+Prog_236[[#This Row],[PESO]])</f>
        <v>0</v>
      </c>
      <c r="O866" s="44"/>
      <c r="P866" s="66"/>
      <c r="Q866" s="66"/>
      <c r="R866" s="66"/>
      <c r="S866" s="66"/>
      <c r="T866" s="138" t="str">
        <f>IFERROR(LOOKUP($S866,MOTORISTAS!$D$3:$D$1048576,MOTORISTAS!E$3:$E$1048576),"")</f>
        <v/>
      </c>
      <c r="U866" s="138" t="str">
        <f>IFERROR(LOOKUP($S866,MOTORISTAS!$D$3:$D$1048576,MOTORISTAS!F$3:$F$1048576),"")</f>
        <v/>
      </c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44"/>
      <c r="AG866" s="254">
        <f>Prog_236[[#This Row],[SAÍDA DO CLIENTE]]-Prog_236[[#This Row],[PROGRAMAÇÃO CLIENTE]]</f>
        <v>0</v>
      </c>
      <c r="AH866" s="44"/>
      <c r="AI866" s="66"/>
      <c r="AJ866" s="66"/>
      <c r="AK866" s="66"/>
      <c r="AL866" s="66"/>
      <c r="AM866" s="66"/>
      <c r="AN866" s="83"/>
      <c r="AO866" s="66"/>
      <c r="AP866" s="66"/>
      <c r="AQ866" s="66"/>
      <c r="AR866" s="81"/>
      <c r="AS866" s="81"/>
      <c r="AT866" s="81"/>
      <c r="AU866" s="81"/>
      <c r="AV866" s="83">
        <f>SUM(Prog_236[[#This Row],[ADIANTAMENTO]]+Prog_236[[#This Row],[SALDO]]+Prog_236[[#This Row],[MARGEM]]+Prog_236[[#This Row],[ESTADIA 1]])</f>
        <v>0</v>
      </c>
      <c r="AW8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6" s="81"/>
      <c r="AY866" s="81"/>
      <c r="AZ866" s="81">
        <f>Prog_236[[#This Row],[VLR NF]]*0.1%</f>
        <v>0</v>
      </c>
      <c r="BA866" s="81">
        <f>Prog_236[[#This Row],[VLR NF]]*0.05%</f>
        <v>0</v>
      </c>
      <c r="BB866" s="81"/>
      <c r="BC866" s="81"/>
      <c r="BD866" s="81"/>
      <c r="BE866" s="81"/>
      <c r="BF866" s="81"/>
      <c r="BG866" s="81"/>
      <c r="BH866" s="81"/>
      <c r="BI866" s="81"/>
      <c r="BJ866" s="81"/>
      <c r="BK866" s="81"/>
      <c r="BL866" s="66"/>
      <c r="BM866" s="66"/>
      <c r="BN866" s="66"/>
      <c r="BO866" s="66" t="str">
        <f>PROPER(TEXT(Prog_236[[#This Row],[PROGRAMAÇÃO CLIENTE]],"mmm"))</f>
        <v>Jan</v>
      </c>
      <c r="BP866" s="66">
        <f>YEAR(Prog_236[[#This Row],[PROGRAMAÇÃO CLIENTE]])</f>
        <v>1900</v>
      </c>
    </row>
    <row r="867" spans="1:68" x14ac:dyDescent="0.25">
      <c r="A867" s="200">
        <f>Prog_236[[#This Row],[CONTEINER]]</f>
        <v>0</v>
      </c>
      <c r="B867" s="86"/>
      <c r="C8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7" s="44"/>
      <c r="E867" s="66"/>
      <c r="F867" s="66"/>
      <c r="G867" s="66"/>
      <c r="H867" s="44"/>
      <c r="I867" s="44"/>
      <c r="J867" s="66"/>
      <c r="K867" s="66"/>
      <c r="L867" s="66"/>
      <c r="M867" s="66"/>
      <c r="N867" s="66">
        <f>SUM(Prog_236[[#This Row],[TARA]]+Prog_236[[#This Row],[PESO]])</f>
        <v>0</v>
      </c>
      <c r="O867" s="44"/>
      <c r="P867" s="66"/>
      <c r="Q867" s="66"/>
      <c r="R867" s="66"/>
      <c r="S867" s="66"/>
      <c r="T867" s="138" t="str">
        <f>IFERROR(LOOKUP($S867,MOTORISTAS!$D$3:$D$1048576,MOTORISTAS!E$3:$E$1048576),"")</f>
        <v/>
      </c>
      <c r="U867" s="138" t="str">
        <f>IFERROR(LOOKUP($S867,MOTORISTAS!$D$3:$D$1048576,MOTORISTAS!F$3:$F$1048576),"")</f>
        <v/>
      </c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44"/>
      <c r="AG867" s="254">
        <f>Prog_236[[#This Row],[SAÍDA DO CLIENTE]]-Prog_236[[#This Row],[PROGRAMAÇÃO CLIENTE]]</f>
        <v>0</v>
      </c>
      <c r="AH867" s="44"/>
      <c r="AI867" s="66"/>
      <c r="AJ867" s="66"/>
      <c r="AK867" s="66"/>
      <c r="AL867" s="66"/>
      <c r="AM867" s="66"/>
      <c r="AN867" s="83"/>
      <c r="AO867" s="66"/>
      <c r="AP867" s="66"/>
      <c r="AQ867" s="66"/>
      <c r="AR867" s="81"/>
      <c r="AS867" s="81"/>
      <c r="AT867" s="81"/>
      <c r="AU867" s="81"/>
      <c r="AV867" s="83">
        <f>SUM(Prog_236[[#This Row],[ADIANTAMENTO]]+Prog_236[[#This Row],[SALDO]]+Prog_236[[#This Row],[MARGEM]]+Prog_236[[#This Row],[ESTADIA 1]])</f>
        <v>0</v>
      </c>
      <c r="AW8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7" s="81"/>
      <c r="AY867" s="81"/>
      <c r="AZ867" s="81">
        <f>Prog_236[[#This Row],[VLR NF]]*0.1%</f>
        <v>0</v>
      </c>
      <c r="BA867" s="81">
        <f>Prog_236[[#This Row],[VLR NF]]*0.05%</f>
        <v>0</v>
      </c>
      <c r="BB867" s="81"/>
      <c r="BC867" s="81"/>
      <c r="BD867" s="81"/>
      <c r="BE867" s="81"/>
      <c r="BF867" s="81"/>
      <c r="BG867" s="81"/>
      <c r="BH867" s="81"/>
      <c r="BI867" s="81"/>
      <c r="BJ867" s="81"/>
      <c r="BK867" s="81"/>
      <c r="BL867" s="66"/>
      <c r="BM867" s="66"/>
      <c r="BN867" s="66"/>
      <c r="BO867" s="66" t="str">
        <f>PROPER(TEXT(Prog_236[[#This Row],[PROGRAMAÇÃO CLIENTE]],"mmm"))</f>
        <v>Jan</v>
      </c>
      <c r="BP867" s="66">
        <f>YEAR(Prog_236[[#This Row],[PROGRAMAÇÃO CLIENTE]])</f>
        <v>1900</v>
      </c>
    </row>
    <row r="868" spans="1:68" x14ac:dyDescent="0.25">
      <c r="A868" s="201">
        <f>Prog_236[[#This Row],[CONTEINER]]</f>
        <v>0</v>
      </c>
      <c r="B868" s="86"/>
      <c r="C8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8" s="44"/>
      <c r="E868" s="66"/>
      <c r="F868" s="66"/>
      <c r="G868" s="66"/>
      <c r="H868" s="44"/>
      <c r="I868" s="44"/>
      <c r="J868" s="66"/>
      <c r="K868" s="66"/>
      <c r="L868" s="66"/>
      <c r="M868" s="66"/>
      <c r="N868" s="66">
        <f>SUM(Prog_236[[#This Row],[TARA]]+Prog_236[[#This Row],[PESO]])</f>
        <v>0</v>
      </c>
      <c r="O868" s="44"/>
      <c r="P868" s="66"/>
      <c r="Q868" s="66"/>
      <c r="R868" s="66"/>
      <c r="S868" s="66"/>
      <c r="T868" s="138" t="str">
        <f>IFERROR(LOOKUP($S868,MOTORISTAS!$D$3:$D$1048576,MOTORISTAS!E$3:$E$1048576),"")</f>
        <v/>
      </c>
      <c r="U868" s="138" t="str">
        <f>IFERROR(LOOKUP($S868,MOTORISTAS!$D$3:$D$1048576,MOTORISTAS!F$3:$F$1048576),"")</f>
        <v/>
      </c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44"/>
      <c r="AG868" s="254">
        <f>Prog_236[[#This Row],[SAÍDA DO CLIENTE]]-Prog_236[[#This Row],[PROGRAMAÇÃO CLIENTE]]</f>
        <v>0</v>
      </c>
      <c r="AH868" s="44"/>
      <c r="AI868" s="66"/>
      <c r="AJ868" s="66"/>
      <c r="AK868" s="66"/>
      <c r="AL868" s="66"/>
      <c r="AM868" s="66"/>
      <c r="AN868" s="83"/>
      <c r="AO868" s="66"/>
      <c r="AP868" s="66"/>
      <c r="AQ868" s="66"/>
      <c r="AR868" s="81"/>
      <c r="AS868" s="81"/>
      <c r="AT868" s="81"/>
      <c r="AU868" s="81"/>
      <c r="AV868" s="83">
        <f>SUM(Prog_236[[#This Row],[ADIANTAMENTO]]+Prog_236[[#This Row],[SALDO]]+Prog_236[[#This Row],[MARGEM]]+Prog_236[[#This Row],[ESTADIA 1]])</f>
        <v>0</v>
      </c>
      <c r="AW8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8" s="81"/>
      <c r="AY868" s="81"/>
      <c r="AZ868" s="81">
        <f>Prog_236[[#This Row],[VLR NF]]*0.1%</f>
        <v>0</v>
      </c>
      <c r="BA868" s="81">
        <f>Prog_236[[#This Row],[VLR NF]]*0.05%</f>
        <v>0</v>
      </c>
      <c r="BB868" s="81"/>
      <c r="BC868" s="81"/>
      <c r="BD868" s="81"/>
      <c r="BE868" s="81"/>
      <c r="BF868" s="81"/>
      <c r="BG868" s="81"/>
      <c r="BH868" s="81"/>
      <c r="BI868" s="81"/>
      <c r="BJ868" s="81"/>
      <c r="BK868" s="81"/>
      <c r="BL868" s="66"/>
      <c r="BM868" s="66"/>
      <c r="BN868" s="66"/>
      <c r="BO868" s="66" t="str">
        <f>PROPER(TEXT(Prog_236[[#This Row],[PROGRAMAÇÃO CLIENTE]],"mmm"))</f>
        <v>Jan</v>
      </c>
      <c r="BP868" s="66">
        <f>YEAR(Prog_236[[#This Row],[PROGRAMAÇÃO CLIENTE]])</f>
        <v>1900</v>
      </c>
    </row>
    <row r="869" spans="1:68" x14ac:dyDescent="0.25">
      <c r="A869" s="200">
        <f>Prog_236[[#This Row],[CONTEINER]]</f>
        <v>0</v>
      </c>
      <c r="B869" s="86"/>
      <c r="C8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69" s="44"/>
      <c r="E869" s="66"/>
      <c r="F869" s="66"/>
      <c r="G869" s="66"/>
      <c r="H869" s="44"/>
      <c r="I869" s="44"/>
      <c r="J869" s="66"/>
      <c r="K869" s="66"/>
      <c r="L869" s="66"/>
      <c r="M869" s="66"/>
      <c r="N869" s="66">
        <f>SUM(Prog_236[[#This Row],[TARA]]+Prog_236[[#This Row],[PESO]])</f>
        <v>0</v>
      </c>
      <c r="O869" s="44"/>
      <c r="P869" s="66"/>
      <c r="Q869" s="66"/>
      <c r="R869" s="66"/>
      <c r="S869" s="66"/>
      <c r="T869" s="138" t="str">
        <f>IFERROR(LOOKUP($S869,MOTORISTAS!$D$3:$D$1048576,MOTORISTAS!E$3:$E$1048576),"")</f>
        <v/>
      </c>
      <c r="U869" s="138" t="str">
        <f>IFERROR(LOOKUP($S869,MOTORISTAS!$D$3:$D$1048576,MOTORISTAS!F$3:$F$1048576),"")</f>
        <v/>
      </c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44"/>
      <c r="AG869" s="254">
        <f>Prog_236[[#This Row],[SAÍDA DO CLIENTE]]-Prog_236[[#This Row],[PROGRAMAÇÃO CLIENTE]]</f>
        <v>0</v>
      </c>
      <c r="AH869" s="44"/>
      <c r="AI869" s="66"/>
      <c r="AJ869" s="66"/>
      <c r="AK869" s="66"/>
      <c r="AL869" s="66"/>
      <c r="AM869" s="66"/>
      <c r="AN869" s="83"/>
      <c r="AO869" s="66"/>
      <c r="AP869" s="66"/>
      <c r="AQ869" s="66"/>
      <c r="AR869" s="81"/>
      <c r="AS869" s="81"/>
      <c r="AT869" s="81"/>
      <c r="AU869" s="81"/>
      <c r="AV869" s="83">
        <f>SUM(Prog_236[[#This Row],[ADIANTAMENTO]]+Prog_236[[#This Row],[SALDO]]+Prog_236[[#This Row],[MARGEM]]+Prog_236[[#This Row],[ESTADIA 1]])</f>
        <v>0</v>
      </c>
      <c r="AW8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69" s="81"/>
      <c r="AY869" s="81"/>
      <c r="AZ869" s="81">
        <f>Prog_236[[#This Row],[VLR NF]]*0.1%</f>
        <v>0</v>
      </c>
      <c r="BA869" s="81">
        <f>Prog_236[[#This Row],[VLR NF]]*0.05%</f>
        <v>0</v>
      </c>
      <c r="BB869" s="81"/>
      <c r="BC869" s="81"/>
      <c r="BD869" s="81"/>
      <c r="BE869" s="81"/>
      <c r="BF869" s="81"/>
      <c r="BG869" s="81"/>
      <c r="BH869" s="81"/>
      <c r="BI869" s="81"/>
      <c r="BJ869" s="81"/>
      <c r="BK869" s="81"/>
      <c r="BL869" s="66"/>
      <c r="BM869" s="66"/>
      <c r="BN869" s="66"/>
      <c r="BO869" s="66" t="str">
        <f>PROPER(TEXT(Prog_236[[#This Row],[PROGRAMAÇÃO CLIENTE]],"mmm"))</f>
        <v>Jan</v>
      </c>
      <c r="BP869" s="66">
        <f>YEAR(Prog_236[[#This Row],[PROGRAMAÇÃO CLIENTE]])</f>
        <v>1900</v>
      </c>
    </row>
    <row r="870" spans="1:68" x14ac:dyDescent="0.25">
      <c r="A870" s="201">
        <f>Prog_236[[#This Row],[CONTEINER]]</f>
        <v>0</v>
      </c>
      <c r="B870" s="86"/>
      <c r="C8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0" s="44"/>
      <c r="E870" s="66"/>
      <c r="F870" s="66"/>
      <c r="G870" s="66"/>
      <c r="H870" s="44"/>
      <c r="I870" s="44"/>
      <c r="J870" s="66"/>
      <c r="K870" s="66"/>
      <c r="L870" s="66"/>
      <c r="M870" s="66"/>
      <c r="N870" s="66">
        <f>SUM(Prog_236[[#This Row],[TARA]]+Prog_236[[#This Row],[PESO]])</f>
        <v>0</v>
      </c>
      <c r="O870" s="44"/>
      <c r="P870" s="66"/>
      <c r="Q870" s="66"/>
      <c r="R870" s="66"/>
      <c r="S870" s="66"/>
      <c r="T870" s="138" t="str">
        <f>IFERROR(LOOKUP($S870,MOTORISTAS!$D$3:$D$1048576,MOTORISTAS!E$3:$E$1048576),"")</f>
        <v/>
      </c>
      <c r="U870" s="138" t="str">
        <f>IFERROR(LOOKUP($S870,MOTORISTAS!$D$3:$D$1048576,MOTORISTAS!F$3:$F$1048576),"")</f>
        <v/>
      </c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44"/>
      <c r="AG870" s="254">
        <f>Prog_236[[#This Row],[SAÍDA DO CLIENTE]]-Prog_236[[#This Row],[PROGRAMAÇÃO CLIENTE]]</f>
        <v>0</v>
      </c>
      <c r="AH870" s="44"/>
      <c r="AI870" s="66"/>
      <c r="AJ870" s="66"/>
      <c r="AK870" s="66"/>
      <c r="AL870" s="66"/>
      <c r="AM870" s="66"/>
      <c r="AN870" s="83"/>
      <c r="AO870" s="66"/>
      <c r="AP870" s="66"/>
      <c r="AQ870" s="66"/>
      <c r="AR870" s="81"/>
      <c r="AS870" s="81"/>
      <c r="AT870" s="81"/>
      <c r="AU870" s="81"/>
      <c r="AV870" s="83">
        <f>SUM(Prog_236[[#This Row],[ADIANTAMENTO]]+Prog_236[[#This Row],[SALDO]]+Prog_236[[#This Row],[MARGEM]]+Prog_236[[#This Row],[ESTADIA 1]])</f>
        <v>0</v>
      </c>
      <c r="AW8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0" s="81"/>
      <c r="AY870" s="81"/>
      <c r="AZ870" s="81">
        <f>Prog_236[[#This Row],[VLR NF]]*0.1%</f>
        <v>0</v>
      </c>
      <c r="BA870" s="81">
        <f>Prog_236[[#This Row],[VLR NF]]*0.05%</f>
        <v>0</v>
      </c>
      <c r="BB870" s="81"/>
      <c r="BC870" s="81"/>
      <c r="BD870" s="81"/>
      <c r="BE870" s="81"/>
      <c r="BF870" s="81"/>
      <c r="BG870" s="81"/>
      <c r="BH870" s="81"/>
      <c r="BI870" s="81"/>
      <c r="BJ870" s="81"/>
      <c r="BK870" s="81"/>
      <c r="BL870" s="66"/>
      <c r="BM870" s="66"/>
      <c r="BN870" s="66"/>
      <c r="BO870" s="66" t="str">
        <f>PROPER(TEXT(Prog_236[[#This Row],[PROGRAMAÇÃO CLIENTE]],"mmm"))</f>
        <v>Jan</v>
      </c>
      <c r="BP870" s="66">
        <f>YEAR(Prog_236[[#This Row],[PROGRAMAÇÃO CLIENTE]])</f>
        <v>1900</v>
      </c>
    </row>
    <row r="871" spans="1:68" x14ac:dyDescent="0.25">
      <c r="A871" s="200">
        <f>Prog_236[[#This Row],[CONTEINER]]</f>
        <v>0</v>
      </c>
      <c r="B871" s="86"/>
      <c r="C8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1" s="44"/>
      <c r="E871" s="66"/>
      <c r="F871" s="66"/>
      <c r="G871" s="66"/>
      <c r="H871" s="44"/>
      <c r="I871" s="44"/>
      <c r="J871" s="66"/>
      <c r="K871" s="66"/>
      <c r="L871" s="66"/>
      <c r="M871" s="66"/>
      <c r="N871" s="66">
        <f>SUM(Prog_236[[#This Row],[TARA]]+Prog_236[[#This Row],[PESO]])</f>
        <v>0</v>
      </c>
      <c r="O871" s="44"/>
      <c r="P871" s="66"/>
      <c r="Q871" s="66"/>
      <c r="R871" s="66"/>
      <c r="S871" s="66"/>
      <c r="T871" s="138" t="str">
        <f>IFERROR(LOOKUP($S871,MOTORISTAS!$D$3:$D$1048576,MOTORISTAS!E$3:$E$1048576),"")</f>
        <v/>
      </c>
      <c r="U871" s="138" t="str">
        <f>IFERROR(LOOKUP($S871,MOTORISTAS!$D$3:$D$1048576,MOTORISTAS!F$3:$F$1048576),"")</f>
        <v/>
      </c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44"/>
      <c r="AG871" s="254">
        <f>Prog_236[[#This Row],[SAÍDA DO CLIENTE]]-Prog_236[[#This Row],[PROGRAMAÇÃO CLIENTE]]</f>
        <v>0</v>
      </c>
      <c r="AH871" s="44"/>
      <c r="AI871" s="66"/>
      <c r="AJ871" s="66"/>
      <c r="AK871" s="66"/>
      <c r="AL871" s="66"/>
      <c r="AM871" s="66"/>
      <c r="AN871" s="83"/>
      <c r="AO871" s="66"/>
      <c r="AP871" s="66"/>
      <c r="AQ871" s="66"/>
      <c r="AR871" s="81"/>
      <c r="AS871" s="81"/>
      <c r="AT871" s="81"/>
      <c r="AU871" s="81"/>
      <c r="AV871" s="83">
        <f>SUM(Prog_236[[#This Row],[ADIANTAMENTO]]+Prog_236[[#This Row],[SALDO]]+Prog_236[[#This Row],[MARGEM]]+Prog_236[[#This Row],[ESTADIA 1]])</f>
        <v>0</v>
      </c>
      <c r="AW8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1" s="81"/>
      <c r="AY871" s="81"/>
      <c r="AZ871" s="81">
        <f>Prog_236[[#This Row],[VLR NF]]*0.1%</f>
        <v>0</v>
      </c>
      <c r="BA871" s="81">
        <f>Prog_236[[#This Row],[VLR NF]]*0.05%</f>
        <v>0</v>
      </c>
      <c r="BB871" s="81"/>
      <c r="BC871" s="81"/>
      <c r="BD871" s="81"/>
      <c r="BE871" s="81"/>
      <c r="BF871" s="81"/>
      <c r="BG871" s="81"/>
      <c r="BH871" s="81"/>
      <c r="BI871" s="81"/>
      <c r="BJ871" s="81"/>
      <c r="BK871" s="81"/>
      <c r="BL871" s="66"/>
      <c r="BM871" s="66"/>
      <c r="BN871" s="66"/>
      <c r="BO871" s="66" t="str">
        <f>PROPER(TEXT(Prog_236[[#This Row],[PROGRAMAÇÃO CLIENTE]],"mmm"))</f>
        <v>Jan</v>
      </c>
      <c r="BP871" s="66">
        <f>YEAR(Prog_236[[#This Row],[PROGRAMAÇÃO CLIENTE]])</f>
        <v>1900</v>
      </c>
    </row>
    <row r="872" spans="1:68" x14ac:dyDescent="0.25">
      <c r="A872" s="201">
        <f>Prog_236[[#This Row],[CONTEINER]]</f>
        <v>0</v>
      </c>
      <c r="B872" s="86"/>
      <c r="C8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2" s="44"/>
      <c r="E872" s="66"/>
      <c r="F872" s="66"/>
      <c r="G872" s="66"/>
      <c r="H872" s="44"/>
      <c r="I872" s="44"/>
      <c r="J872" s="66"/>
      <c r="K872" s="66"/>
      <c r="L872" s="66"/>
      <c r="M872" s="66"/>
      <c r="N872" s="66">
        <f>SUM(Prog_236[[#This Row],[TARA]]+Prog_236[[#This Row],[PESO]])</f>
        <v>0</v>
      </c>
      <c r="O872" s="44"/>
      <c r="P872" s="66"/>
      <c r="Q872" s="66"/>
      <c r="R872" s="66"/>
      <c r="S872" s="66"/>
      <c r="T872" s="138" t="str">
        <f>IFERROR(LOOKUP($S872,MOTORISTAS!$D$3:$D$1048576,MOTORISTAS!E$3:$E$1048576),"")</f>
        <v/>
      </c>
      <c r="U872" s="138" t="str">
        <f>IFERROR(LOOKUP($S872,MOTORISTAS!$D$3:$D$1048576,MOTORISTAS!F$3:$F$1048576),"")</f>
        <v/>
      </c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44"/>
      <c r="AG872" s="254">
        <f>Prog_236[[#This Row],[SAÍDA DO CLIENTE]]-Prog_236[[#This Row],[PROGRAMAÇÃO CLIENTE]]</f>
        <v>0</v>
      </c>
      <c r="AH872" s="44"/>
      <c r="AI872" s="66"/>
      <c r="AJ872" s="66"/>
      <c r="AK872" s="66"/>
      <c r="AL872" s="66"/>
      <c r="AM872" s="66"/>
      <c r="AN872" s="83"/>
      <c r="AO872" s="66"/>
      <c r="AP872" s="66"/>
      <c r="AQ872" s="66"/>
      <c r="AR872" s="81"/>
      <c r="AS872" s="81"/>
      <c r="AT872" s="81"/>
      <c r="AU872" s="81"/>
      <c r="AV872" s="83">
        <f>SUM(Prog_236[[#This Row],[ADIANTAMENTO]]+Prog_236[[#This Row],[SALDO]]+Prog_236[[#This Row],[MARGEM]]+Prog_236[[#This Row],[ESTADIA 1]])</f>
        <v>0</v>
      </c>
      <c r="AW8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2" s="81"/>
      <c r="AY872" s="81"/>
      <c r="AZ872" s="81">
        <f>Prog_236[[#This Row],[VLR NF]]*0.1%</f>
        <v>0</v>
      </c>
      <c r="BA872" s="81">
        <f>Prog_236[[#This Row],[VLR NF]]*0.05%</f>
        <v>0</v>
      </c>
      <c r="BB872" s="81"/>
      <c r="BC872" s="81"/>
      <c r="BD872" s="81"/>
      <c r="BE872" s="81"/>
      <c r="BF872" s="81"/>
      <c r="BG872" s="81"/>
      <c r="BH872" s="81"/>
      <c r="BI872" s="81"/>
      <c r="BJ872" s="81"/>
      <c r="BK872" s="81"/>
      <c r="BL872" s="66"/>
      <c r="BM872" s="66"/>
      <c r="BN872" s="66"/>
      <c r="BO872" s="66" t="str">
        <f>PROPER(TEXT(Prog_236[[#This Row],[PROGRAMAÇÃO CLIENTE]],"mmm"))</f>
        <v>Jan</v>
      </c>
      <c r="BP872" s="66">
        <f>YEAR(Prog_236[[#This Row],[PROGRAMAÇÃO CLIENTE]])</f>
        <v>1900</v>
      </c>
    </row>
    <row r="873" spans="1:68" x14ac:dyDescent="0.25">
      <c r="A873" s="200">
        <f>Prog_236[[#This Row],[CONTEINER]]</f>
        <v>0</v>
      </c>
      <c r="B873" s="86"/>
      <c r="C8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3" s="44"/>
      <c r="E873" s="66"/>
      <c r="F873" s="66"/>
      <c r="G873" s="66"/>
      <c r="H873" s="44"/>
      <c r="I873" s="44"/>
      <c r="J873" s="66"/>
      <c r="K873" s="66"/>
      <c r="L873" s="66"/>
      <c r="M873" s="66"/>
      <c r="N873" s="66">
        <f>SUM(Prog_236[[#This Row],[TARA]]+Prog_236[[#This Row],[PESO]])</f>
        <v>0</v>
      </c>
      <c r="O873" s="44"/>
      <c r="P873" s="66"/>
      <c r="Q873" s="66"/>
      <c r="R873" s="66"/>
      <c r="S873" s="66"/>
      <c r="T873" s="138" t="str">
        <f>IFERROR(LOOKUP($S873,MOTORISTAS!$D$3:$D$1048576,MOTORISTAS!E$3:$E$1048576),"")</f>
        <v/>
      </c>
      <c r="U873" s="138" t="str">
        <f>IFERROR(LOOKUP($S873,MOTORISTAS!$D$3:$D$1048576,MOTORISTAS!F$3:$F$1048576),"")</f>
        <v/>
      </c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44"/>
      <c r="AG873" s="254">
        <f>Prog_236[[#This Row],[SAÍDA DO CLIENTE]]-Prog_236[[#This Row],[PROGRAMAÇÃO CLIENTE]]</f>
        <v>0</v>
      </c>
      <c r="AH873" s="44"/>
      <c r="AI873" s="66"/>
      <c r="AJ873" s="66"/>
      <c r="AK873" s="66"/>
      <c r="AL873" s="66"/>
      <c r="AM873" s="66"/>
      <c r="AN873" s="83"/>
      <c r="AO873" s="66"/>
      <c r="AP873" s="66"/>
      <c r="AQ873" s="66"/>
      <c r="AR873" s="81"/>
      <c r="AS873" s="81"/>
      <c r="AT873" s="81"/>
      <c r="AU873" s="81"/>
      <c r="AV873" s="83">
        <f>SUM(Prog_236[[#This Row],[ADIANTAMENTO]]+Prog_236[[#This Row],[SALDO]]+Prog_236[[#This Row],[MARGEM]]+Prog_236[[#This Row],[ESTADIA 1]])</f>
        <v>0</v>
      </c>
      <c r="AW8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3" s="81"/>
      <c r="AY873" s="81"/>
      <c r="AZ873" s="81">
        <f>Prog_236[[#This Row],[VLR NF]]*0.1%</f>
        <v>0</v>
      </c>
      <c r="BA873" s="81">
        <f>Prog_236[[#This Row],[VLR NF]]*0.05%</f>
        <v>0</v>
      </c>
      <c r="BB873" s="81"/>
      <c r="BC873" s="81"/>
      <c r="BD873" s="81"/>
      <c r="BE873" s="81"/>
      <c r="BF873" s="81"/>
      <c r="BG873" s="81"/>
      <c r="BH873" s="81"/>
      <c r="BI873" s="81"/>
      <c r="BJ873" s="81"/>
      <c r="BK873" s="81"/>
      <c r="BL873" s="66"/>
      <c r="BM873" s="66"/>
      <c r="BN873" s="66"/>
      <c r="BO873" s="66" t="str">
        <f>PROPER(TEXT(Prog_236[[#This Row],[PROGRAMAÇÃO CLIENTE]],"mmm"))</f>
        <v>Jan</v>
      </c>
      <c r="BP873" s="66">
        <f>YEAR(Prog_236[[#This Row],[PROGRAMAÇÃO CLIENTE]])</f>
        <v>1900</v>
      </c>
    </row>
    <row r="874" spans="1:68" x14ac:dyDescent="0.25">
      <c r="A874" s="201">
        <f>Prog_236[[#This Row],[CONTEINER]]</f>
        <v>0</v>
      </c>
      <c r="B874" s="86"/>
      <c r="C8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4" s="44"/>
      <c r="E874" s="66"/>
      <c r="F874" s="66"/>
      <c r="G874" s="66"/>
      <c r="H874" s="44"/>
      <c r="I874" s="44"/>
      <c r="J874" s="66"/>
      <c r="K874" s="66"/>
      <c r="L874" s="66"/>
      <c r="M874" s="66"/>
      <c r="N874" s="66">
        <f>SUM(Prog_236[[#This Row],[TARA]]+Prog_236[[#This Row],[PESO]])</f>
        <v>0</v>
      </c>
      <c r="O874" s="44"/>
      <c r="P874" s="66"/>
      <c r="Q874" s="66"/>
      <c r="R874" s="66"/>
      <c r="S874" s="66"/>
      <c r="T874" s="138" t="str">
        <f>IFERROR(LOOKUP($S874,MOTORISTAS!$D$3:$D$1048576,MOTORISTAS!E$3:$E$1048576),"")</f>
        <v/>
      </c>
      <c r="U874" s="138" t="str">
        <f>IFERROR(LOOKUP($S874,MOTORISTAS!$D$3:$D$1048576,MOTORISTAS!F$3:$F$1048576),"")</f>
        <v/>
      </c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44"/>
      <c r="AG874" s="254">
        <f>Prog_236[[#This Row],[SAÍDA DO CLIENTE]]-Prog_236[[#This Row],[PROGRAMAÇÃO CLIENTE]]</f>
        <v>0</v>
      </c>
      <c r="AH874" s="44"/>
      <c r="AI874" s="66"/>
      <c r="AJ874" s="66"/>
      <c r="AK874" s="66"/>
      <c r="AL874" s="66"/>
      <c r="AM874" s="66"/>
      <c r="AN874" s="83"/>
      <c r="AO874" s="66"/>
      <c r="AP874" s="66"/>
      <c r="AQ874" s="66"/>
      <c r="AR874" s="81"/>
      <c r="AS874" s="81"/>
      <c r="AT874" s="81"/>
      <c r="AU874" s="81"/>
      <c r="AV874" s="83">
        <f>SUM(Prog_236[[#This Row],[ADIANTAMENTO]]+Prog_236[[#This Row],[SALDO]]+Prog_236[[#This Row],[MARGEM]]+Prog_236[[#This Row],[ESTADIA 1]])</f>
        <v>0</v>
      </c>
      <c r="AW8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4" s="81"/>
      <c r="AY874" s="81"/>
      <c r="AZ874" s="81">
        <f>Prog_236[[#This Row],[VLR NF]]*0.1%</f>
        <v>0</v>
      </c>
      <c r="BA874" s="81">
        <f>Prog_236[[#This Row],[VLR NF]]*0.05%</f>
        <v>0</v>
      </c>
      <c r="BB874" s="81"/>
      <c r="BC874" s="81"/>
      <c r="BD874" s="81"/>
      <c r="BE874" s="81"/>
      <c r="BF874" s="81"/>
      <c r="BG874" s="81"/>
      <c r="BH874" s="81"/>
      <c r="BI874" s="81"/>
      <c r="BJ874" s="81"/>
      <c r="BK874" s="81"/>
      <c r="BL874" s="66"/>
      <c r="BM874" s="66"/>
      <c r="BN874" s="66"/>
      <c r="BO874" s="66" t="str">
        <f>PROPER(TEXT(Prog_236[[#This Row],[PROGRAMAÇÃO CLIENTE]],"mmm"))</f>
        <v>Jan</v>
      </c>
      <c r="BP874" s="66">
        <f>YEAR(Prog_236[[#This Row],[PROGRAMAÇÃO CLIENTE]])</f>
        <v>1900</v>
      </c>
    </row>
    <row r="875" spans="1:68" x14ac:dyDescent="0.25">
      <c r="A875" s="200">
        <f>Prog_236[[#This Row],[CONTEINER]]</f>
        <v>0</v>
      </c>
      <c r="B875" s="86"/>
      <c r="C8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5" s="44"/>
      <c r="E875" s="66"/>
      <c r="F875" s="66"/>
      <c r="G875" s="66"/>
      <c r="H875" s="44"/>
      <c r="I875" s="44"/>
      <c r="J875" s="66"/>
      <c r="K875" s="66"/>
      <c r="L875" s="66"/>
      <c r="M875" s="66"/>
      <c r="N875" s="66">
        <f>SUM(Prog_236[[#This Row],[TARA]]+Prog_236[[#This Row],[PESO]])</f>
        <v>0</v>
      </c>
      <c r="O875" s="44"/>
      <c r="P875" s="66"/>
      <c r="Q875" s="66"/>
      <c r="R875" s="66"/>
      <c r="S875" s="66"/>
      <c r="T875" s="138" t="str">
        <f>IFERROR(LOOKUP($S875,MOTORISTAS!$D$3:$D$1048576,MOTORISTAS!E$3:$E$1048576),"")</f>
        <v/>
      </c>
      <c r="U875" s="138" t="str">
        <f>IFERROR(LOOKUP($S875,MOTORISTAS!$D$3:$D$1048576,MOTORISTAS!F$3:$F$1048576),"")</f>
        <v/>
      </c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44"/>
      <c r="AG875" s="254">
        <f>Prog_236[[#This Row],[SAÍDA DO CLIENTE]]-Prog_236[[#This Row],[PROGRAMAÇÃO CLIENTE]]</f>
        <v>0</v>
      </c>
      <c r="AH875" s="44"/>
      <c r="AI875" s="66"/>
      <c r="AJ875" s="66"/>
      <c r="AK875" s="66"/>
      <c r="AL875" s="66"/>
      <c r="AM875" s="66"/>
      <c r="AN875" s="83"/>
      <c r="AO875" s="66"/>
      <c r="AP875" s="66"/>
      <c r="AQ875" s="66"/>
      <c r="AR875" s="81"/>
      <c r="AS875" s="81"/>
      <c r="AT875" s="81"/>
      <c r="AU875" s="81"/>
      <c r="AV875" s="83">
        <f>SUM(Prog_236[[#This Row],[ADIANTAMENTO]]+Prog_236[[#This Row],[SALDO]]+Prog_236[[#This Row],[MARGEM]]+Prog_236[[#This Row],[ESTADIA 1]])</f>
        <v>0</v>
      </c>
      <c r="AW8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5" s="81"/>
      <c r="AY875" s="81"/>
      <c r="AZ875" s="81">
        <f>Prog_236[[#This Row],[VLR NF]]*0.1%</f>
        <v>0</v>
      </c>
      <c r="BA875" s="81">
        <f>Prog_236[[#This Row],[VLR NF]]*0.05%</f>
        <v>0</v>
      </c>
      <c r="BB875" s="81"/>
      <c r="BC875" s="81"/>
      <c r="BD875" s="81"/>
      <c r="BE875" s="81"/>
      <c r="BF875" s="81"/>
      <c r="BG875" s="81"/>
      <c r="BH875" s="81"/>
      <c r="BI875" s="81"/>
      <c r="BJ875" s="81"/>
      <c r="BK875" s="81"/>
      <c r="BL875" s="66"/>
      <c r="BM875" s="66"/>
      <c r="BN875" s="66"/>
      <c r="BO875" s="66" t="str">
        <f>PROPER(TEXT(Prog_236[[#This Row],[PROGRAMAÇÃO CLIENTE]],"mmm"))</f>
        <v>Jan</v>
      </c>
      <c r="BP875" s="66">
        <f>YEAR(Prog_236[[#This Row],[PROGRAMAÇÃO CLIENTE]])</f>
        <v>1900</v>
      </c>
    </row>
    <row r="876" spans="1:68" x14ac:dyDescent="0.25">
      <c r="A876" s="201">
        <f>Prog_236[[#This Row],[CONTEINER]]</f>
        <v>0</v>
      </c>
      <c r="B876" s="86"/>
      <c r="C8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6" s="44"/>
      <c r="E876" s="66"/>
      <c r="F876" s="66"/>
      <c r="G876" s="66"/>
      <c r="H876" s="44"/>
      <c r="I876" s="44"/>
      <c r="J876" s="66"/>
      <c r="K876" s="66"/>
      <c r="L876" s="66"/>
      <c r="M876" s="66"/>
      <c r="N876" s="66">
        <f>SUM(Prog_236[[#This Row],[TARA]]+Prog_236[[#This Row],[PESO]])</f>
        <v>0</v>
      </c>
      <c r="O876" s="44"/>
      <c r="P876" s="66"/>
      <c r="Q876" s="66"/>
      <c r="R876" s="66"/>
      <c r="S876" s="66"/>
      <c r="T876" s="138" t="str">
        <f>IFERROR(LOOKUP($S876,MOTORISTAS!$D$3:$D$1048576,MOTORISTAS!E$3:$E$1048576),"")</f>
        <v/>
      </c>
      <c r="U876" s="138" t="str">
        <f>IFERROR(LOOKUP($S876,MOTORISTAS!$D$3:$D$1048576,MOTORISTAS!F$3:$F$1048576),"")</f>
        <v/>
      </c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44"/>
      <c r="AG876" s="254">
        <f>Prog_236[[#This Row],[SAÍDA DO CLIENTE]]-Prog_236[[#This Row],[PROGRAMAÇÃO CLIENTE]]</f>
        <v>0</v>
      </c>
      <c r="AH876" s="44"/>
      <c r="AI876" s="66"/>
      <c r="AJ876" s="66"/>
      <c r="AK876" s="66"/>
      <c r="AL876" s="66"/>
      <c r="AM876" s="66"/>
      <c r="AN876" s="83"/>
      <c r="AO876" s="66"/>
      <c r="AP876" s="66"/>
      <c r="AQ876" s="66"/>
      <c r="AR876" s="81"/>
      <c r="AS876" s="81"/>
      <c r="AT876" s="81"/>
      <c r="AU876" s="81"/>
      <c r="AV876" s="83">
        <f>SUM(Prog_236[[#This Row],[ADIANTAMENTO]]+Prog_236[[#This Row],[SALDO]]+Prog_236[[#This Row],[MARGEM]]+Prog_236[[#This Row],[ESTADIA 1]])</f>
        <v>0</v>
      </c>
      <c r="AW8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6" s="81"/>
      <c r="AY876" s="81"/>
      <c r="AZ876" s="81">
        <f>Prog_236[[#This Row],[VLR NF]]*0.1%</f>
        <v>0</v>
      </c>
      <c r="BA876" s="81">
        <f>Prog_236[[#This Row],[VLR NF]]*0.05%</f>
        <v>0</v>
      </c>
      <c r="BB876" s="81"/>
      <c r="BC876" s="81"/>
      <c r="BD876" s="81"/>
      <c r="BE876" s="81"/>
      <c r="BF876" s="81"/>
      <c r="BG876" s="81"/>
      <c r="BH876" s="81"/>
      <c r="BI876" s="81"/>
      <c r="BJ876" s="81"/>
      <c r="BK876" s="81"/>
      <c r="BL876" s="66"/>
      <c r="BM876" s="66"/>
      <c r="BN876" s="66"/>
      <c r="BO876" s="66" t="str">
        <f>PROPER(TEXT(Prog_236[[#This Row],[PROGRAMAÇÃO CLIENTE]],"mmm"))</f>
        <v>Jan</v>
      </c>
      <c r="BP876" s="66">
        <f>YEAR(Prog_236[[#This Row],[PROGRAMAÇÃO CLIENTE]])</f>
        <v>1900</v>
      </c>
    </row>
    <row r="877" spans="1:68" x14ac:dyDescent="0.25">
      <c r="A877" s="200">
        <f>Prog_236[[#This Row],[CONTEINER]]</f>
        <v>0</v>
      </c>
      <c r="B877" s="86"/>
      <c r="C8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7" s="44"/>
      <c r="E877" s="66"/>
      <c r="F877" s="66"/>
      <c r="G877" s="66"/>
      <c r="H877" s="44"/>
      <c r="I877" s="44"/>
      <c r="J877" s="66"/>
      <c r="K877" s="66"/>
      <c r="L877" s="66"/>
      <c r="M877" s="66"/>
      <c r="N877" s="66">
        <f>SUM(Prog_236[[#This Row],[TARA]]+Prog_236[[#This Row],[PESO]])</f>
        <v>0</v>
      </c>
      <c r="O877" s="44"/>
      <c r="P877" s="66"/>
      <c r="Q877" s="66"/>
      <c r="R877" s="66"/>
      <c r="S877" s="66"/>
      <c r="T877" s="138" t="str">
        <f>IFERROR(LOOKUP($S877,MOTORISTAS!$D$3:$D$1048576,MOTORISTAS!E$3:$E$1048576),"")</f>
        <v/>
      </c>
      <c r="U877" s="138" t="str">
        <f>IFERROR(LOOKUP($S877,MOTORISTAS!$D$3:$D$1048576,MOTORISTAS!F$3:$F$1048576),"")</f>
        <v/>
      </c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44"/>
      <c r="AG877" s="254">
        <f>Prog_236[[#This Row],[SAÍDA DO CLIENTE]]-Prog_236[[#This Row],[PROGRAMAÇÃO CLIENTE]]</f>
        <v>0</v>
      </c>
      <c r="AH877" s="44"/>
      <c r="AI877" s="66"/>
      <c r="AJ877" s="66"/>
      <c r="AK877" s="66"/>
      <c r="AL877" s="66"/>
      <c r="AM877" s="66"/>
      <c r="AN877" s="83"/>
      <c r="AO877" s="66"/>
      <c r="AP877" s="66"/>
      <c r="AQ877" s="66"/>
      <c r="AR877" s="81"/>
      <c r="AS877" s="81"/>
      <c r="AT877" s="81"/>
      <c r="AU877" s="81"/>
      <c r="AV877" s="83">
        <f>SUM(Prog_236[[#This Row],[ADIANTAMENTO]]+Prog_236[[#This Row],[SALDO]]+Prog_236[[#This Row],[MARGEM]]+Prog_236[[#This Row],[ESTADIA 1]])</f>
        <v>0</v>
      </c>
      <c r="AW8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7" s="81"/>
      <c r="AY877" s="81"/>
      <c r="AZ877" s="81">
        <f>Prog_236[[#This Row],[VLR NF]]*0.1%</f>
        <v>0</v>
      </c>
      <c r="BA877" s="81">
        <f>Prog_236[[#This Row],[VLR NF]]*0.05%</f>
        <v>0</v>
      </c>
      <c r="BB877" s="81"/>
      <c r="BC877" s="81"/>
      <c r="BD877" s="81"/>
      <c r="BE877" s="81"/>
      <c r="BF877" s="81"/>
      <c r="BG877" s="81"/>
      <c r="BH877" s="81"/>
      <c r="BI877" s="81"/>
      <c r="BJ877" s="81"/>
      <c r="BK877" s="81"/>
      <c r="BL877" s="66"/>
      <c r="BM877" s="66"/>
      <c r="BN877" s="66"/>
      <c r="BO877" s="66" t="str">
        <f>PROPER(TEXT(Prog_236[[#This Row],[PROGRAMAÇÃO CLIENTE]],"mmm"))</f>
        <v>Jan</v>
      </c>
      <c r="BP877" s="66">
        <f>YEAR(Prog_236[[#This Row],[PROGRAMAÇÃO CLIENTE]])</f>
        <v>1900</v>
      </c>
    </row>
    <row r="878" spans="1:68" x14ac:dyDescent="0.25">
      <c r="A878" s="201">
        <f>Prog_236[[#This Row],[CONTEINER]]</f>
        <v>0</v>
      </c>
      <c r="B878" s="86"/>
      <c r="C8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8" s="44"/>
      <c r="E878" s="66"/>
      <c r="F878" s="66"/>
      <c r="G878" s="66"/>
      <c r="H878" s="44"/>
      <c r="I878" s="44"/>
      <c r="J878" s="66"/>
      <c r="K878" s="66"/>
      <c r="L878" s="66"/>
      <c r="M878" s="66"/>
      <c r="N878" s="66">
        <f>SUM(Prog_236[[#This Row],[TARA]]+Prog_236[[#This Row],[PESO]])</f>
        <v>0</v>
      </c>
      <c r="O878" s="44"/>
      <c r="P878" s="66"/>
      <c r="Q878" s="66"/>
      <c r="R878" s="66"/>
      <c r="S878" s="66"/>
      <c r="T878" s="138" t="str">
        <f>IFERROR(LOOKUP($S878,MOTORISTAS!$D$3:$D$1048576,MOTORISTAS!E$3:$E$1048576),"")</f>
        <v/>
      </c>
      <c r="U878" s="138" t="str">
        <f>IFERROR(LOOKUP($S878,MOTORISTAS!$D$3:$D$1048576,MOTORISTAS!F$3:$F$1048576),"")</f>
        <v/>
      </c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44"/>
      <c r="AG878" s="254">
        <f>Prog_236[[#This Row],[SAÍDA DO CLIENTE]]-Prog_236[[#This Row],[PROGRAMAÇÃO CLIENTE]]</f>
        <v>0</v>
      </c>
      <c r="AH878" s="44"/>
      <c r="AI878" s="66"/>
      <c r="AJ878" s="66"/>
      <c r="AK878" s="66"/>
      <c r="AL878" s="66"/>
      <c r="AM878" s="66"/>
      <c r="AN878" s="83"/>
      <c r="AO878" s="66"/>
      <c r="AP878" s="66"/>
      <c r="AQ878" s="66"/>
      <c r="AR878" s="81"/>
      <c r="AS878" s="81"/>
      <c r="AT878" s="81"/>
      <c r="AU878" s="81"/>
      <c r="AV878" s="83">
        <f>SUM(Prog_236[[#This Row],[ADIANTAMENTO]]+Prog_236[[#This Row],[SALDO]]+Prog_236[[#This Row],[MARGEM]]+Prog_236[[#This Row],[ESTADIA 1]])</f>
        <v>0</v>
      </c>
      <c r="AW8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8" s="81"/>
      <c r="AY878" s="81"/>
      <c r="AZ878" s="81">
        <f>Prog_236[[#This Row],[VLR NF]]*0.1%</f>
        <v>0</v>
      </c>
      <c r="BA878" s="81">
        <f>Prog_236[[#This Row],[VLR NF]]*0.05%</f>
        <v>0</v>
      </c>
      <c r="BB878" s="81"/>
      <c r="BC878" s="81"/>
      <c r="BD878" s="81"/>
      <c r="BE878" s="81"/>
      <c r="BF878" s="81"/>
      <c r="BG878" s="81"/>
      <c r="BH878" s="81"/>
      <c r="BI878" s="81"/>
      <c r="BJ878" s="81"/>
      <c r="BK878" s="81"/>
      <c r="BL878" s="66"/>
      <c r="BM878" s="66"/>
      <c r="BN878" s="66"/>
      <c r="BO878" s="66" t="str">
        <f>PROPER(TEXT(Prog_236[[#This Row],[PROGRAMAÇÃO CLIENTE]],"mmm"))</f>
        <v>Jan</v>
      </c>
      <c r="BP878" s="66">
        <f>YEAR(Prog_236[[#This Row],[PROGRAMAÇÃO CLIENTE]])</f>
        <v>1900</v>
      </c>
    </row>
    <row r="879" spans="1:68" x14ac:dyDescent="0.25">
      <c r="A879" s="200">
        <f>Prog_236[[#This Row],[CONTEINER]]</f>
        <v>0</v>
      </c>
      <c r="B879" s="86"/>
      <c r="C8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79" s="44"/>
      <c r="E879" s="66"/>
      <c r="F879" s="66"/>
      <c r="G879" s="66"/>
      <c r="H879" s="44"/>
      <c r="I879" s="44"/>
      <c r="J879" s="66"/>
      <c r="K879" s="66"/>
      <c r="L879" s="66"/>
      <c r="M879" s="66"/>
      <c r="N879" s="66">
        <f>SUM(Prog_236[[#This Row],[TARA]]+Prog_236[[#This Row],[PESO]])</f>
        <v>0</v>
      </c>
      <c r="O879" s="44"/>
      <c r="P879" s="66"/>
      <c r="Q879" s="66"/>
      <c r="R879" s="66"/>
      <c r="S879" s="66"/>
      <c r="T879" s="138" t="str">
        <f>IFERROR(LOOKUP($S879,MOTORISTAS!$D$3:$D$1048576,MOTORISTAS!E$3:$E$1048576),"")</f>
        <v/>
      </c>
      <c r="U879" s="138" t="str">
        <f>IFERROR(LOOKUP($S879,MOTORISTAS!$D$3:$D$1048576,MOTORISTAS!F$3:$F$1048576),"")</f>
        <v/>
      </c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44"/>
      <c r="AG879" s="254">
        <f>Prog_236[[#This Row],[SAÍDA DO CLIENTE]]-Prog_236[[#This Row],[PROGRAMAÇÃO CLIENTE]]</f>
        <v>0</v>
      </c>
      <c r="AH879" s="44"/>
      <c r="AI879" s="66"/>
      <c r="AJ879" s="66"/>
      <c r="AK879" s="66"/>
      <c r="AL879" s="66"/>
      <c r="AM879" s="66"/>
      <c r="AN879" s="83"/>
      <c r="AO879" s="66"/>
      <c r="AP879" s="66"/>
      <c r="AQ879" s="66"/>
      <c r="AR879" s="81"/>
      <c r="AS879" s="81"/>
      <c r="AT879" s="81"/>
      <c r="AU879" s="81"/>
      <c r="AV879" s="83">
        <f>SUM(Prog_236[[#This Row],[ADIANTAMENTO]]+Prog_236[[#This Row],[SALDO]]+Prog_236[[#This Row],[MARGEM]]+Prog_236[[#This Row],[ESTADIA 1]])</f>
        <v>0</v>
      </c>
      <c r="AW8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79" s="81"/>
      <c r="AY879" s="81"/>
      <c r="AZ879" s="81">
        <f>Prog_236[[#This Row],[VLR NF]]*0.1%</f>
        <v>0</v>
      </c>
      <c r="BA879" s="81">
        <f>Prog_236[[#This Row],[VLR NF]]*0.05%</f>
        <v>0</v>
      </c>
      <c r="BB879" s="81"/>
      <c r="BC879" s="81"/>
      <c r="BD879" s="81"/>
      <c r="BE879" s="81"/>
      <c r="BF879" s="81"/>
      <c r="BG879" s="81"/>
      <c r="BH879" s="81"/>
      <c r="BI879" s="81"/>
      <c r="BJ879" s="81"/>
      <c r="BK879" s="81"/>
      <c r="BL879" s="66"/>
      <c r="BM879" s="66"/>
      <c r="BN879" s="66"/>
      <c r="BO879" s="66" t="str">
        <f>PROPER(TEXT(Prog_236[[#This Row],[PROGRAMAÇÃO CLIENTE]],"mmm"))</f>
        <v>Jan</v>
      </c>
      <c r="BP879" s="66">
        <f>YEAR(Prog_236[[#This Row],[PROGRAMAÇÃO CLIENTE]])</f>
        <v>1900</v>
      </c>
    </row>
    <row r="880" spans="1:68" x14ac:dyDescent="0.25">
      <c r="A880" s="201">
        <f>Prog_236[[#This Row],[CONTEINER]]</f>
        <v>0</v>
      </c>
      <c r="B880" s="86"/>
      <c r="C8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0" s="44"/>
      <c r="E880" s="66"/>
      <c r="F880" s="66"/>
      <c r="G880" s="66"/>
      <c r="H880" s="44"/>
      <c r="I880" s="44"/>
      <c r="J880" s="66"/>
      <c r="K880" s="66"/>
      <c r="L880" s="66"/>
      <c r="M880" s="66"/>
      <c r="N880" s="66">
        <f>SUM(Prog_236[[#This Row],[TARA]]+Prog_236[[#This Row],[PESO]])</f>
        <v>0</v>
      </c>
      <c r="O880" s="44"/>
      <c r="P880" s="66"/>
      <c r="Q880" s="66"/>
      <c r="R880" s="66"/>
      <c r="S880" s="66"/>
      <c r="T880" s="138" t="str">
        <f>IFERROR(LOOKUP($S880,MOTORISTAS!$D$3:$D$1048576,MOTORISTAS!E$3:$E$1048576),"")</f>
        <v/>
      </c>
      <c r="U880" s="138" t="str">
        <f>IFERROR(LOOKUP($S880,MOTORISTAS!$D$3:$D$1048576,MOTORISTAS!F$3:$F$1048576),"")</f>
        <v/>
      </c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44"/>
      <c r="AG880" s="254">
        <f>Prog_236[[#This Row],[SAÍDA DO CLIENTE]]-Prog_236[[#This Row],[PROGRAMAÇÃO CLIENTE]]</f>
        <v>0</v>
      </c>
      <c r="AH880" s="44"/>
      <c r="AI880" s="66"/>
      <c r="AJ880" s="66"/>
      <c r="AK880" s="66"/>
      <c r="AL880" s="66"/>
      <c r="AM880" s="66"/>
      <c r="AN880" s="83"/>
      <c r="AO880" s="66"/>
      <c r="AP880" s="66"/>
      <c r="AQ880" s="66"/>
      <c r="AR880" s="81"/>
      <c r="AS880" s="81"/>
      <c r="AT880" s="81"/>
      <c r="AU880" s="81"/>
      <c r="AV880" s="83">
        <f>SUM(Prog_236[[#This Row],[ADIANTAMENTO]]+Prog_236[[#This Row],[SALDO]]+Prog_236[[#This Row],[MARGEM]]+Prog_236[[#This Row],[ESTADIA 1]])</f>
        <v>0</v>
      </c>
      <c r="AW8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0" s="81"/>
      <c r="AY880" s="81"/>
      <c r="AZ880" s="81">
        <f>Prog_236[[#This Row],[VLR NF]]*0.1%</f>
        <v>0</v>
      </c>
      <c r="BA880" s="81">
        <f>Prog_236[[#This Row],[VLR NF]]*0.05%</f>
        <v>0</v>
      </c>
      <c r="BB880" s="81"/>
      <c r="BC880" s="81"/>
      <c r="BD880" s="81"/>
      <c r="BE880" s="81"/>
      <c r="BF880" s="81"/>
      <c r="BG880" s="81"/>
      <c r="BH880" s="81"/>
      <c r="BI880" s="81"/>
      <c r="BJ880" s="81"/>
      <c r="BK880" s="81"/>
      <c r="BL880" s="66"/>
      <c r="BM880" s="66"/>
      <c r="BN880" s="66"/>
      <c r="BO880" s="66" t="str">
        <f>PROPER(TEXT(Prog_236[[#This Row],[PROGRAMAÇÃO CLIENTE]],"mmm"))</f>
        <v>Jan</v>
      </c>
      <c r="BP880" s="66">
        <f>YEAR(Prog_236[[#This Row],[PROGRAMAÇÃO CLIENTE]])</f>
        <v>1900</v>
      </c>
    </row>
    <row r="881" spans="1:68" x14ac:dyDescent="0.25">
      <c r="A881" s="200">
        <f>Prog_236[[#This Row],[CONTEINER]]</f>
        <v>0</v>
      </c>
      <c r="B881" s="86"/>
      <c r="C8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1" s="44"/>
      <c r="E881" s="66"/>
      <c r="F881" s="66"/>
      <c r="G881" s="66"/>
      <c r="H881" s="44"/>
      <c r="I881" s="44"/>
      <c r="J881" s="66"/>
      <c r="K881" s="66"/>
      <c r="L881" s="66"/>
      <c r="M881" s="66"/>
      <c r="N881" s="66">
        <f>SUM(Prog_236[[#This Row],[TARA]]+Prog_236[[#This Row],[PESO]])</f>
        <v>0</v>
      </c>
      <c r="O881" s="44"/>
      <c r="P881" s="66"/>
      <c r="Q881" s="66"/>
      <c r="R881" s="66"/>
      <c r="S881" s="66"/>
      <c r="T881" s="138" t="str">
        <f>IFERROR(LOOKUP($S881,MOTORISTAS!$D$3:$D$1048576,MOTORISTAS!E$3:$E$1048576),"")</f>
        <v/>
      </c>
      <c r="U881" s="138" t="str">
        <f>IFERROR(LOOKUP($S881,MOTORISTAS!$D$3:$D$1048576,MOTORISTAS!F$3:$F$1048576),"")</f>
        <v/>
      </c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44"/>
      <c r="AG881" s="254">
        <f>Prog_236[[#This Row],[SAÍDA DO CLIENTE]]-Prog_236[[#This Row],[PROGRAMAÇÃO CLIENTE]]</f>
        <v>0</v>
      </c>
      <c r="AH881" s="44"/>
      <c r="AI881" s="66"/>
      <c r="AJ881" s="66"/>
      <c r="AK881" s="66"/>
      <c r="AL881" s="66"/>
      <c r="AM881" s="66"/>
      <c r="AN881" s="83"/>
      <c r="AO881" s="66"/>
      <c r="AP881" s="66"/>
      <c r="AQ881" s="66"/>
      <c r="AR881" s="81"/>
      <c r="AS881" s="81"/>
      <c r="AT881" s="81"/>
      <c r="AU881" s="81"/>
      <c r="AV881" s="83">
        <f>SUM(Prog_236[[#This Row],[ADIANTAMENTO]]+Prog_236[[#This Row],[SALDO]]+Prog_236[[#This Row],[MARGEM]]+Prog_236[[#This Row],[ESTADIA 1]])</f>
        <v>0</v>
      </c>
      <c r="AW8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1" s="81"/>
      <c r="AY881" s="81"/>
      <c r="AZ881" s="81">
        <f>Prog_236[[#This Row],[VLR NF]]*0.1%</f>
        <v>0</v>
      </c>
      <c r="BA881" s="81">
        <f>Prog_236[[#This Row],[VLR NF]]*0.05%</f>
        <v>0</v>
      </c>
      <c r="BB881" s="81"/>
      <c r="BC881" s="81"/>
      <c r="BD881" s="81"/>
      <c r="BE881" s="81"/>
      <c r="BF881" s="81"/>
      <c r="BG881" s="81"/>
      <c r="BH881" s="81"/>
      <c r="BI881" s="81"/>
      <c r="BJ881" s="81"/>
      <c r="BK881" s="81"/>
      <c r="BL881" s="66"/>
      <c r="BM881" s="66"/>
      <c r="BN881" s="66"/>
      <c r="BO881" s="66" t="str">
        <f>PROPER(TEXT(Prog_236[[#This Row],[PROGRAMAÇÃO CLIENTE]],"mmm"))</f>
        <v>Jan</v>
      </c>
      <c r="BP881" s="66">
        <f>YEAR(Prog_236[[#This Row],[PROGRAMAÇÃO CLIENTE]])</f>
        <v>1900</v>
      </c>
    </row>
    <row r="882" spans="1:68" x14ac:dyDescent="0.25">
      <c r="A882" s="201">
        <f>Prog_236[[#This Row],[CONTEINER]]</f>
        <v>0</v>
      </c>
      <c r="B882" s="86"/>
      <c r="C8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2" s="44"/>
      <c r="E882" s="66"/>
      <c r="F882" s="66"/>
      <c r="G882" s="66"/>
      <c r="H882" s="44"/>
      <c r="I882" s="44"/>
      <c r="J882" s="66"/>
      <c r="K882" s="66"/>
      <c r="L882" s="66"/>
      <c r="M882" s="66"/>
      <c r="N882" s="66">
        <f>SUM(Prog_236[[#This Row],[TARA]]+Prog_236[[#This Row],[PESO]])</f>
        <v>0</v>
      </c>
      <c r="O882" s="44"/>
      <c r="P882" s="66"/>
      <c r="Q882" s="66"/>
      <c r="R882" s="66"/>
      <c r="S882" s="66"/>
      <c r="T882" s="138" t="str">
        <f>IFERROR(LOOKUP($S882,MOTORISTAS!$D$3:$D$1048576,MOTORISTAS!E$3:$E$1048576),"")</f>
        <v/>
      </c>
      <c r="U882" s="138" t="str">
        <f>IFERROR(LOOKUP($S882,MOTORISTAS!$D$3:$D$1048576,MOTORISTAS!F$3:$F$1048576),"")</f>
        <v/>
      </c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44"/>
      <c r="AG882" s="254">
        <f>Prog_236[[#This Row],[SAÍDA DO CLIENTE]]-Prog_236[[#This Row],[PROGRAMAÇÃO CLIENTE]]</f>
        <v>0</v>
      </c>
      <c r="AH882" s="44"/>
      <c r="AI882" s="66"/>
      <c r="AJ882" s="66"/>
      <c r="AK882" s="66"/>
      <c r="AL882" s="66"/>
      <c r="AM882" s="66"/>
      <c r="AN882" s="83"/>
      <c r="AO882" s="66"/>
      <c r="AP882" s="66"/>
      <c r="AQ882" s="66"/>
      <c r="AR882" s="81"/>
      <c r="AS882" s="81"/>
      <c r="AT882" s="81"/>
      <c r="AU882" s="81"/>
      <c r="AV882" s="83">
        <f>SUM(Prog_236[[#This Row],[ADIANTAMENTO]]+Prog_236[[#This Row],[SALDO]]+Prog_236[[#This Row],[MARGEM]]+Prog_236[[#This Row],[ESTADIA 1]])</f>
        <v>0</v>
      </c>
      <c r="AW8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2" s="81"/>
      <c r="AY882" s="81"/>
      <c r="AZ882" s="81">
        <f>Prog_236[[#This Row],[VLR NF]]*0.1%</f>
        <v>0</v>
      </c>
      <c r="BA882" s="81">
        <f>Prog_236[[#This Row],[VLR NF]]*0.05%</f>
        <v>0</v>
      </c>
      <c r="BB882" s="81"/>
      <c r="BC882" s="81"/>
      <c r="BD882" s="81"/>
      <c r="BE882" s="81"/>
      <c r="BF882" s="81"/>
      <c r="BG882" s="81"/>
      <c r="BH882" s="81"/>
      <c r="BI882" s="81"/>
      <c r="BJ882" s="81"/>
      <c r="BK882" s="81"/>
      <c r="BL882" s="66"/>
      <c r="BM882" s="66"/>
      <c r="BN882" s="66"/>
      <c r="BO882" s="66" t="str">
        <f>PROPER(TEXT(Prog_236[[#This Row],[PROGRAMAÇÃO CLIENTE]],"mmm"))</f>
        <v>Jan</v>
      </c>
      <c r="BP882" s="66">
        <f>YEAR(Prog_236[[#This Row],[PROGRAMAÇÃO CLIENTE]])</f>
        <v>1900</v>
      </c>
    </row>
    <row r="883" spans="1:68" x14ac:dyDescent="0.25">
      <c r="A883" s="200">
        <f>Prog_236[[#This Row],[CONTEINER]]</f>
        <v>0</v>
      </c>
      <c r="B883" s="86"/>
      <c r="C8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3" s="44"/>
      <c r="E883" s="66"/>
      <c r="F883" s="66"/>
      <c r="G883" s="66"/>
      <c r="H883" s="44"/>
      <c r="I883" s="44"/>
      <c r="J883" s="66"/>
      <c r="K883" s="66"/>
      <c r="L883" s="66"/>
      <c r="M883" s="66"/>
      <c r="N883" s="66">
        <f>SUM(Prog_236[[#This Row],[TARA]]+Prog_236[[#This Row],[PESO]])</f>
        <v>0</v>
      </c>
      <c r="O883" s="44"/>
      <c r="P883" s="66"/>
      <c r="Q883" s="66"/>
      <c r="R883" s="66"/>
      <c r="S883" s="66"/>
      <c r="T883" s="138" t="str">
        <f>IFERROR(LOOKUP($S883,MOTORISTAS!$D$3:$D$1048576,MOTORISTAS!E$3:$E$1048576),"")</f>
        <v/>
      </c>
      <c r="U883" s="138" t="str">
        <f>IFERROR(LOOKUP($S883,MOTORISTAS!$D$3:$D$1048576,MOTORISTAS!F$3:$F$1048576),"")</f>
        <v/>
      </c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44"/>
      <c r="AG883" s="254">
        <f>Prog_236[[#This Row],[SAÍDA DO CLIENTE]]-Prog_236[[#This Row],[PROGRAMAÇÃO CLIENTE]]</f>
        <v>0</v>
      </c>
      <c r="AH883" s="44"/>
      <c r="AI883" s="66"/>
      <c r="AJ883" s="66"/>
      <c r="AK883" s="66"/>
      <c r="AL883" s="66"/>
      <c r="AM883" s="66"/>
      <c r="AN883" s="83"/>
      <c r="AO883" s="66"/>
      <c r="AP883" s="66"/>
      <c r="AQ883" s="66"/>
      <c r="AR883" s="81"/>
      <c r="AS883" s="81"/>
      <c r="AT883" s="81"/>
      <c r="AU883" s="81"/>
      <c r="AV883" s="83">
        <f>SUM(Prog_236[[#This Row],[ADIANTAMENTO]]+Prog_236[[#This Row],[SALDO]]+Prog_236[[#This Row],[MARGEM]]+Prog_236[[#This Row],[ESTADIA 1]])</f>
        <v>0</v>
      </c>
      <c r="AW8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3" s="81"/>
      <c r="AY883" s="81"/>
      <c r="AZ883" s="81">
        <f>Prog_236[[#This Row],[VLR NF]]*0.1%</f>
        <v>0</v>
      </c>
      <c r="BA883" s="81">
        <f>Prog_236[[#This Row],[VLR NF]]*0.05%</f>
        <v>0</v>
      </c>
      <c r="BB883" s="81"/>
      <c r="BC883" s="81"/>
      <c r="BD883" s="81"/>
      <c r="BE883" s="81"/>
      <c r="BF883" s="81"/>
      <c r="BG883" s="81"/>
      <c r="BH883" s="81"/>
      <c r="BI883" s="81"/>
      <c r="BJ883" s="81"/>
      <c r="BK883" s="81"/>
      <c r="BL883" s="66"/>
      <c r="BM883" s="66"/>
      <c r="BN883" s="66"/>
      <c r="BO883" s="66" t="str">
        <f>PROPER(TEXT(Prog_236[[#This Row],[PROGRAMAÇÃO CLIENTE]],"mmm"))</f>
        <v>Jan</v>
      </c>
      <c r="BP883" s="66">
        <f>YEAR(Prog_236[[#This Row],[PROGRAMAÇÃO CLIENTE]])</f>
        <v>1900</v>
      </c>
    </row>
    <row r="884" spans="1:68" x14ac:dyDescent="0.25">
      <c r="A884" s="201">
        <f>Prog_236[[#This Row],[CONTEINER]]</f>
        <v>0</v>
      </c>
      <c r="B884" s="86"/>
      <c r="C8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4" s="44"/>
      <c r="E884" s="66"/>
      <c r="F884" s="66"/>
      <c r="G884" s="66"/>
      <c r="H884" s="44"/>
      <c r="I884" s="44"/>
      <c r="J884" s="66"/>
      <c r="K884" s="66"/>
      <c r="L884" s="66"/>
      <c r="M884" s="66"/>
      <c r="N884" s="66">
        <f>SUM(Prog_236[[#This Row],[TARA]]+Prog_236[[#This Row],[PESO]])</f>
        <v>0</v>
      </c>
      <c r="O884" s="44"/>
      <c r="P884" s="66"/>
      <c r="Q884" s="66"/>
      <c r="R884" s="66"/>
      <c r="S884" s="66"/>
      <c r="T884" s="138" t="str">
        <f>IFERROR(LOOKUP($S884,MOTORISTAS!$D$3:$D$1048576,MOTORISTAS!E$3:$E$1048576),"")</f>
        <v/>
      </c>
      <c r="U884" s="138" t="str">
        <f>IFERROR(LOOKUP($S884,MOTORISTAS!$D$3:$D$1048576,MOTORISTAS!F$3:$F$1048576),"")</f>
        <v/>
      </c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44"/>
      <c r="AG884" s="254">
        <f>Prog_236[[#This Row],[SAÍDA DO CLIENTE]]-Prog_236[[#This Row],[PROGRAMAÇÃO CLIENTE]]</f>
        <v>0</v>
      </c>
      <c r="AH884" s="44"/>
      <c r="AI884" s="66"/>
      <c r="AJ884" s="66"/>
      <c r="AK884" s="66"/>
      <c r="AL884" s="66"/>
      <c r="AM884" s="66"/>
      <c r="AN884" s="83"/>
      <c r="AO884" s="66"/>
      <c r="AP884" s="66"/>
      <c r="AQ884" s="66"/>
      <c r="AR884" s="81"/>
      <c r="AS884" s="81"/>
      <c r="AT884" s="81"/>
      <c r="AU884" s="81"/>
      <c r="AV884" s="83">
        <f>SUM(Prog_236[[#This Row],[ADIANTAMENTO]]+Prog_236[[#This Row],[SALDO]]+Prog_236[[#This Row],[MARGEM]]+Prog_236[[#This Row],[ESTADIA 1]])</f>
        <v>0</v>
      </c>
      <c r="AW8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4" s="81"/>
      <c r="AY884" s="81"/>
      <c r="AZ884" s="81">
        <f>Prog_236[[#This Row],[VLR NF]]*0.1%</f>
        <v>0</v>
      </c>
      <c r="BA884" s="81">
        <f>Prog_236[[#This Row],[VLR NF]]*0.05%</f>
        <v>0</v>
      </c>
      <c r="BB884" s="81"/>
      <c r="BC884" s="81"/>
      <c r="BD884" s="81"/>
      <c r="BE884" s="81"/>
      <c r="BF884" s="81"/>
      <c r="BG884" s="81"/>
      <c r="BH884" s="81"/>
      <c r="BI884" s="81"/>
      <c r="BJ884" s="81"/>
      <c r="BK884" s="81"/>
      <c r="BL884" s="66"/>
      <c r="BM884" s="66"/>
      <c r="BN884" s="66"/>
      <c r="BO884" s="66" t="str">
        <f>PROPER(TEXT(Prog_236[[#This Row],[PROGRAMAÇÃO CLIENTE]],"mmm"))</f>
        <v>Jan</v>
      </c>
      <c r="BP884" s="66">
        <f>YEAR(Prog_236[[#This Row],[PROGRAMAÇÃO CLIENTE]])</f>
        <v>1900</v>
      </c>
    </row>
    <row r="885" spans="1:68" x14ac:dyDescent="0.25">
      <c r="A885" s="200">
        <f>Prog_236[[#This Row],[CONTEINER]]</f>
        <v>0</v>
      </c>
      <c r="B885" s="86"/>
      <c r="C8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5" s="44"/>
      <c r="E885" s="66"/>
      <c r="F885" s="66"/>
      <c r="G885" s="66"/>
      <c r="H885" s="44"/>
      <c r="I885" s="44"/>
      <c r="J885" s="66"/>
      <c r="K885" s="66"/>
      <c r="L885" s="66"/>
      <c r="M885" s="66"/>
      <c r="N885" s="66">
        <f>SUM(Prog_236[[#This Row],[TARA]]+Prog_236[[#This Row],[PESO]])</f>
        <v>0</v>
      </c>
      <c r="O885" s="44"/>
      <c r="P885" s="66"/>
      <c r="Q885" s="66"/>
      <c r="R885" s="66"/>
      <c r="S885" s="66"/>
      <c r="T885" s="138" t="str">
        <f>IFERROR(LOOKUP($S885,MOTORISTAS!$D$3:$D$1048576,MOTORISTAS!E$3:$E$1048576),"")</f>
        <v/>
      </c>
      <c r="U885" s="138" t="str">
        <f>IFERROR(LOOKUP($S885,MOTORISTAS!$D$3:$D$1048576,MOTORISTAS!F$3:$F$1048576),"")</f>
        <v/>
      </c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44"/>
      <c r="AG885" s="254">
        <f>Prog_236[[#This Row],[SAÍDA DO CLIENTE]]-Prog_236[[#This Row],[PROGRAMAÇÃO CLIENTE]]</f>
        <v>0</v>
      </c>
      <c r="AH885" s="44"/>
      <c r="AI885" s="66"/>
      <c r="AJ885" s="66"/>
      <c r="AK885" s="66"/>
      <c r="AL885" s="66"/>
      <c r="AM885" s="66"/>
      <c r="AN885" s="83"/>
      <c r="AO885" s="66"/>
      <c r="AP885" s="66"/>
      <c r="AQ885" s="66"/>
      <c r="AR885" s="81"/>
      <c r="AS885" s="81"/>
      <c r="AT885" s="81"/>
      <c r="AU885" s="81"/>
      <c r="AV885" s="83">
        <f>SUM(Prog_236[[#This Row],[ADIANTAMENTO]]+Prog_236[[#This Row],[SALDO]]+Prog_236[[#This Row],[MARGEM]]+Prog_236[[#This Row],[ESTADIA 1]])</f>
        <v>0</v>
      </c>
      <c r="AW8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5" s="81"/>
      <c r="AY885" s="81"/>
      <c r="AZ885" s="81">
        <f>Prog_236[[#This Row],[VLR NF]]*0.1%</f>
        <v>0</v>
      </c>
      <c r="BA885" s="81">
        <f>Prog_236[[#This Row],[VLR NF]]*0.05%</f>
        <v>0</v>
      </c>
      <c r="BB885" s="81"/>
      <c r="BC885" s="81"/>
      <c r="BD885" s="81"/>
      <c r="BE885" s="81"/>
      <c r="BF885" s="81"/>
      <c r="BG885" s="81"/>
      <c r="BH885" s="81"/>
      <c r="BI885" s="81"/>
      <c r="BJ885" s="81"/>
      <c r="BK885" s="81"/>
      <c r="BL885" s="66"/>
      <c r="BM885" s="66"/>
      <c r="BN885" s="66"/>
      <c r="BO885" s="66" t="str">
        <f>PROPER(TEXT(Prog_236[[#This Row],[PROGRAMAÇÃO CLIENTE]],"mmm"))</f>
        <v>Jan</v>
      </c>
      <c r="BP885" s="66">
        <f>YEAR(Prog_236[[#This Row],[PROGRAMAÇÃO CLIENTE]])</f>
        <v>1900</v>
      </c>
    </row>
    <row r="886" spans="1:68" x14ac:dyDescent="0.25">
      <c r="A886" s="201">
        <f>Prog_236[[#This Row],[CONTEINER]]</f>
        <v>0</v>
      </c>
      <c r="B886" s="86"/>
      <c r="C8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6" s="44"/>
      <c r="E886" s="66"/>
      <c r="F886" s="66"/>
      <c r="G886" s="66"/>
      <c r="H886" s="44"/>
      <c r="I886" s="44"/>
      <c r="J886" s="66"/>
      <c r="K886" s="66"/>
      <c r="L886" s="66"/>
      <c r="M886" s="66"/>
      <c r="N886" s="66">
        <f>SUM(Prog_236[[#This Row],[TARA]]+Prog_236[[#This Row],[PESO]])</f>
        <v>0</v>
      </c>
      <c r="O886" s="44"/>
      <c r="P886" s="66"/>
      <c r="Q886" s="66"/>
      <c r="R886" s="66"/>
      <c r="S886" s="66"/>
      <c r="T886" s="138" t="str">
        <f>IFERROR(LOOKUP($S886,MOTORISTAS!$D$3:$D$1048576,MOTORISTAS!E$3:$E$1048576),"")</f>
        <v/>
      </c>
      <c r="U886" s="138" t="str">
        <f>IFERROR(LOOKUP($S886,MOTORISTAS!$D$3:$D$1048576,MOTORISTAS!F$3:$F$1048576),"")</f>
        <v/>
      </c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44"/>
      <c r="AG886" s="254">
        <f>Prog_236[[#This Row],[SAÍDA DO CLIENTE]]-Prog_236[[#This Row],[PROGRAMAÇÃO CLIENTE]]</f>
        <v>0</v>
      </c>
      <c r="AH886" s="44"/>
      <c r="AI886" s="66"/>
      <c r="AJ886" s="66"/>
      <c r="AK886" s="66"/>
      <c r="AL886" s="66"/>
      <c r="AM886" s="66"/>
      <c r="AN886" s="83"/>
      <c r="AO886" s="66"/>
      <c r="AP886" s="66"/>
      <c r="AQ886" s="66"/>
      <c r="AR886" s="81"/>
      <c r="AS886" s="81"/>
      <c r="AT886" s="81"/>
      <c r="AU886" s="81"/>
      <c r="AV886" s="83">
        <f>SUM(Prog_236[[#This Row],[ADIANTAMENTO]]+Prog_236[[#This Row],[SALDO]]+Prog_236[[#This Row],[MARGEM]]+Prog_236[[#This Row],[ESTADIA 1]])</f>
        <v>0</v>
      </c>
      <c r="AW8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6" s="81"/>
      <c r="AY886" s="81"/>
      <c r="AZ886" s="81">
        <f>Prog_236[[#This Row],[VLR NF]]*0.1%</f>
        <v>0</v>
      </c>
      <c r="BA886" s="81">
        <f>Prog_236[[#This Row],[VLR NF]]*0.05%</f>
        <v>0</v>
      </c>
      <c r="BB886" s="81"/>
      <c r="BC886" s="81"/>
      <c r="BD886" s="81"/>
      <c r="BE886" s="81"/>
      <c r="BF886" s="81"/>
      <c r="BG886" s="81"/>
      <c r="BH886" s="81"/>
      <c r="BI886" s="81"/>
      <c r="BJ886" s="81"/>
      <c r="BK886" s="81"/>
      <c r="BL886" s="66"/>
      <c r="BM886" s="66"/>
      <c r="BN886" s="66"/>
      <c r="BO886" s="66" t="str">
        <f>PROPER(TEXT(Prog_236[[#This Row],[PROGRAMAÇÃO CLIENTE]],"mmm"))</f>
        <v>Jan</v>
      </c>
      <c r="BP886" s="66">
        <f>YEAR(Prog_236[[#This Row],[PROGRAMAÇÃO CLIENTE]])</f>
        <v>1900</v>
      </c>
    </row>
    <row r="887" spans="1:68" x14ac:dyDescent="0.25">
      <c r="A887" s="200">
        <f>Prog_236[[#This Row],[CONTEINER]]</f>
        <v>0</v>
      </c>
      <c r="B887" s="86"/>
      <c r="C8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7" s="44"/>
      <c r="E887" s="66"/>
      <c r="F887" s="66"/>
      <c r="G887" s="66"/>
      <c r="H887" s="44"/>
      <c r="I887" s="44"/>
      <c r="J887" s="66"/>
      <c r="K887" s="66"/>
      <c r="L887" s="66"/>
      <c r="M887" s="66"/>
      <c r="N887" s="66">
        <f>SUM(Prog_236[[#This Row],[TARA]]+Prog_236[[#This Row],[PESO]])</f>
        <v>0</v>
      </c>
      <c r="O887" s="44"/>
      <c r="P887" s="66"/>
      <c r="Q887" s="66"/>
      <c r="R887" s="66"/>
      <c r="S887" s="66"/>
      <c r="T887" s="138" t="str">
        <f>IFERROR(LOOKUP($S887,MOTORISTAS!$D$3:$D$1048576,MOTORISTAS!E$3:$E$1048576),"")</f>
        <v/>
      </c>
      <c r="U887" s="138" t="str">
        <f>IFERROR(LOOKUP($S887,MOTORISTAS!$D$3:$D$1048576,MOTORISTAS!F$3:$F$1048576),"")</f>
        <v/>
      </c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44"/>
      <c r="AG887" s="254">
        <f>Prog_236[[#This Row],[SAÍDA DO CLIENTE]]-Prog_236[[#This Row],[PROGRAMAÇÃO CLIENTE]]</f>
        <v>0</v>
      </c>
      <c r="AH887" s="44"/>
      <c r="AI887" s="66"/>
      <c r="AJ887" s="66"/>
      <c r="AK887" s="66"/>
      <c r="AL887" s="66"/>
      <c r="AM887" s="66"/>
      <c r="AN887" s="83"/>
      <c r="AO887" s="66"/>
      <c r="AP887" s="66"/>
      <c r="AQ887" s="66"/>
      <c r="AR887" s="81"/>
      <c r="AS887" s="81"/>
      <c r="AT887" s="81"/>
      <c r="AU887" s="81"/>
      <c r="AV887" s="83">
        <f>SUM(Prog_236[[#This Row],[ADIANTAMENTO]]+Prog_236[[#This Row],[SALDO]]+Prog_236[[#This Row],[MARGEM]]+Prog_236[[#This Row],[ESTADIA 1]])</f>
        <v>0</v>
      </c>
      <c r="AW8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7" s="81"/>
      <c r="AY887" s="81"/>
      <c r="AZ887" s="81">
        <f>Prog_236[[#This Row],[VLR NF]]*0.1%</f>
        <v>0</v>
      </c>
      <c r="BA887" s="81">
        <f>Prog_236[[#This Row],[VLR NF]]*0.05%</f>
        <v>0</v>
      </c>
      <c r="BB887" s="81"/>
      <c r="BC887" s="81"/>
      <c r="BD887" s="81"/>
      <c r="BE887" s="81"/>
      <c r="BF887" s="81"/>
      <c r="BG887" s="81"/>
      <c r="BH887" s="81"/>
      <c r="BI887" s="81"/>
      <c r="BJ887" s="81"/>
      <c r="BK887" s="81"/>
      <c r="BL887" s="66"/>
      <c r="BM887" s="66"/>
      <c r="BN887" s="66"/>
      <c r="BO887" s="66" t="str">
        <f>PROPER(TEXT(Prog_236[[#This Row],[PROGRAMAÇÃO CLIENTE]],"mmm"))</f>
        <v>Jan</v>
      </c>
      <c r="BP887" s="66">
        <f>YEAR(Prog_236[[#This Row],[PROGRAMAÇÃO CLIENTE]])</f>
        <v>1900</v>
      </c>
    </row>
    <row r="888" spans="1:68" x14ac:dyDescent="0.25">
      <c r="A888" s="201">
        <f>Prog_236[[#This Row],[CONTEINER]]</f>
        <v>0</v>
      </c>
      <c r="B888" s="86"/>
      <c r="C8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8" s="44"/>
      <c r="E888" s="66"/>
      <c r="F888" s="66"/>
      <c r="G888" s="66"/>
      <c r="H888" s="44"/>
      <c r="I888" s="44"/>
      <c r="J888" s="66"/>
      <c r="K888" s="66"/>
      <c r="L888" s="66"/>
      <c r="M888" s="66"/>
      <c r="N888" s="66">
        <f>SUM(Prog_236[[#This Row],[TARA]]+Prog_236[[#This Row],[PESO]])</f>
        <v>0</v>
      </c>
      <c r="O888" s="44"/>
      <c r="P888" s="66"/>
      <c r="Q888" s="66"/>
      <c r="R888" s="66"/>
      <c r="S888" s="66"/>
      <c r="T888" s="138" t="str">
        <f>IFERROR(LOOKUP($S888,MOTORISTAS!$D$3:$D$1048576,MOTORISTAS!E$3:$E$1048576),"")</f>
        <v/>
      </c>
      <c r="U888" s="138" t="str">
        <f>IFERROR(LOOKUP($S888,MOTORISTAS!$D$3:$D$1048576,MOTORISTAS!F$3:$F$1048576),"")</f>
        <v/>
      </c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44"/>
      <c r="AG888" s="254">
        <f>Prog_236[[#This Row],[SAÍDA DO CLIENTE]]-Prog_236[[#This Row],[PROGRAMAÇÃO CLIENTE]]</f>
        <v>0</v>
      </c>
      <c r="AH888" s="44"/>
      <c r="AI888" s="66"/>
      <c r="AJ888" s="66"/>
      <c r="AK888" s="66"/>
      <c r="AL888" s="66"/>
      <c r="AM888" s="66"/>
      <c r="AN888" s="83"/>
      <c r="AO888" s="66"/>
      <c r="AP888" s="66"/>
      <c r="AQ888" s="66"/>
      <c r="AR888" s="81"/>
      <c r="AS888" s="81"/>
      <c r="AT888" s="81"/>
      <c r="AU888" s="81"/>
      <c r="AV888" s="83">
        <f>SUM(Prog_236[[#This Row],[ADIANTAMENTO]]+Prog_236[[#This Row],[SALDO]]+Prog_236[[#This Row],[MARGEM]]+Prog_236[[#This Row],[ESTADIA 1]])</f>
        <v>0</v>
      </c>
      <c r="AW8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8" s="81"/>
      <c r="AY888" s="81"/>
      <c r="AZ888" s="81">
        <f>Prog_236[[#This Row],[VLR NF]]*0.1%</f>
        <v>0</v>
      </c>
      <c r="BA888" s="81">
        <f>Prog_236[[#This Row],[VLR NF]]*0.05%</f>
        <v>0</v>
      </c>
      <c r="BB888" s="81"/>
      <c r="BC888" s="81"/>
      <c r="BD888" s="81"/>
      <c r="BE888" s="81"/>
      <c r="BF888" s="81"/>
      <c r="BG888" s="81"/>
      <c r="BH888" s="81"/>
      <c r="BI888" s="81"/>
      <c r="BJ888" s="81"/>
      <c r="BK888" s="81"/>
      <c r="BL888" s="66"/>
      <c r="BM888" s="66"/>
      <c r="BN888" s="66"/>
      <c r="BO888" s="66" t="str">
        <f>PROPER(TEXT(Prog_236[[#This Row],[PROGRAMAÇÃO CLIENTE]],"mmm"))</f>
        <v>Jan</v>
      </c>
      <c r="BP888" s="66">
        <f>YEAR(Prog_236[[#This Row],[PROGRAMAÇÃO CLIENTE]])</f>
        <v>1900</v>
      </c>
    </row>
    <row r="889" spans="1:68" x14ac:dyDescent="0.25">
      <c r="A889" s="200">
        <f>Prog_236[[#This Row],[CONTEINER]]</f>
        <v>0</v>
      </c>
      <c r="B889" s="86"/>
      <c r="C8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89" s="44"/>
      <c r="E889" s="66"/>
      <c r="F889" s="66"/>
      <c r="G889" s="66"/>
      <c r="H889" s="44"/>
      <c r="I889" s="44"/>
      <c r="J889" s="66"/>
      <c r="K889" s="66"/>
      <c r="L889" s="66"/>
      <c r="M889" s="66"/>
      <c r="N889" s="66">
        <f>SUM(Prog_236[[#This Row],[TARA]]+Prog_236[[#This Row],[PESO]])</f>
        <v>0</v>
      </c>
      <c r="O889" s="44"/>
      <c r="P889" s="66"/>
      <c r="Q889" s="66"/>
      <c r="R889" s="66"/>
      <c r="S889" s="66"/>
      <c r="T889" s="138" t="str">
        <f>IFERROR(LOOKUP($S889,MOTORISTAS!$D$3:$D$1048576,MOTORISTAS!E$3:$E$1048576),"")</f>
        <v/>
      </c>
      <c r="U889" s="138" t="str">
        <f>IFERROR(LOOKUP($S889,MOTORISTAS!$D$3:$D$1048576,MOTORISTAS!F$3:$F$1048576),"")</f>
        <v/>
      </c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44"/>
      <c r="AG889" s="254">
        <f>Prog_236[[#This Row],[SAÍDA DO CLIENTE]]-Prog_236[[#This Row],[PROGRAMAÇÃO CLIENTE]]</f>
        <v>0</v>
      </c>
      <c r="AH889" s="44"/>
      <c r="AI889" s="66"/>
      <c r="AJ889" s="66"/>
      <c r="AK889" s="66"/>
      <c r="AL889" s="66"/>
      <c r="AM889" s="66"/>
      <c r="AN889" s="83"/>
      <c r="AO889" s="66"/>
      <c r="AP889" s="66"/>
      <c r="AQ889" s="66"/>
      <c r="AR889" s="81"/>
      <c r="AS889" s="81"/>
      <c r="AT889" s="81"/>
      <c r="AU889" s="81"/>
      <c r="AV889" s="83">
        <f>SUM(Prog_236[[#This Row],[ADIANTAMENTO]]+Prog_236[[#This Row],[SALDO]]+Prog_236[[#This Row],[MARGEM]]+Prog_236[[#This Row],[ESTADIA 1]])</f>
        <v>0</v>
      </c>
      <c r="AW8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89" s="81"/>
      <c r="AY889" s="81"/>
      <c r="AZ889" s="81">
        <f>Prog_236[[#This Row],[VLR NF]]*0.1%</f>
        <v>0</v>
      </c>
      <c r="BA889" s="81">
        <f>Prog_236[[#This Row],[VLR NF]]*0.05%</f>
        <v>0</v>
      </c>
      <c r="BB889" s="81"/>
      <c r="BC889" s="81"/>
      <c r="BD889" s="81"/>
      <c r="BE889" s="81"/>
      <c r="BF889" s="81"/>
      <c r="BG889" s="81"/>
      <c r="BH889" s="81"/>
      <c r="BI889" s="81"/>
      <c r="BJ889" s="81"/>
      <c r="BK889" s="81"/>
      <c r="BL889" s="66"/>
      <c r="BM889" s="66"/>
      <c r="BN889" s="66"/>
      <c r="BO889" s="66" t="str">
        <f>PROPER(TEXT(Prog_236[[#This Row],[PROGRAMAÇÃO CLIENTE]],"mmm"))</f>
        <v>Jan</v>
      </c>
      <c r="BP889" s="66">
        <f>YEAR(Prog_236[[#This Row],[PROGRAMAÇÃO CLIENTE]])</f>
        <v>1900</v>
      </c>
    </row>
    <row r="890" spans="1:68" x14ac:dyDescent="0.25">
      <c r="A890" s="201">
        <f>Prog_236[[#This Row],[CONTEINER]]</f>
        <v>0</v>
      </c>
      <c r="B890" s="86"/>
      <c r="C8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0" s="44"/>
      <c r="E890" s="66"/>
      <c r="F890" s="66"/>
      <c r="G890" s="66"/>
      <c r="H890" s="44"/>
      <c r="I890" s="44"/>
      <c r="J890" s="66"/>
      <c r="K890" s="66"/>
      <c r="L890" s="66"/>
      <c r="M890" s="66"/>
      <c r="N890" s="66">
        <f>SUM(Prog_236[[#This Row],[TARA]]+Prog_236[[#This Row],[PESO]])</f>
        <v>0</v>
      </c>
      <c r="O890" s="44"/>
      <c r="P890" s="66"/>
      <c r="Q890" s="66"/>
      <c r="R890" s="66"/>
      <c r="S890" s="66"/>
      <c r="T890" s="138" t="str">
        <f>IFERROR(LOOKUP($S890,MOTORISTAS!$D$3:$D$1048576,MOTORISTAS!E$3:$E$1048576),"")</f>
        <v/>
      </c>
      <c r="U890" s="138" t="str">
        <f>IFERROR(LOOKUP($S890,MOTORISTAS!$D$3:$D$1048576,MOTORISTAS!F$3:$F$1048576),"")</f>
        <v/>
      </c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44"/>
      <c r="AG890" s="254">
        <f>Prog_236[[#This Row],[SAÍDA DO CLIENTE]]-Prog_236[[#This Row],[PROGRAMAÇÃO CLIENTE]]</f>
        <v>0</v>
      </c>
      <c r="AH890" s="44"/>
      <c r="AI890" s="66"/>
      <c r="AJ890" s="66"/>
      <c r="AK890" s="66"/>
      <c r="AL890" s="66"/>
      <c r="AM890" s="66"/>
      <c r="AN890" s="83"/>
      <c r="AO890" s="66"/>
      <c r="AP890" s="66"/>
      <c r="AQ890" s="66"/>
      <c r="AR890" s="81"/>
      <c r="AS890" s="81"/>
      <c r="AT890" s="81"/>
      <c r="AU890" s="81"/>
      <c r="AV890" s="83">
        <f>SUM(Prog_236[[#This Row],[ADIANTAMENTO]]+Prog_236[[#This Row],[SALDO]]+Prog_236[[#This Row],[MARGEM]]+Prog_236[[#This Row],[ESTADIA 1]])</f>
        <v>0</v>
      </c>
      <c r="AW8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0" s="81"/>
      <c r="AY890" s="81"/>
      <c r="AZ890" s="81">
        <f>Prog_236[[#This Row],[VLR NF]]*0.1%</f>
        <v>0</v>
      </c>
      <c r="BA890" s="81">
        <f>Prog_236[[#This Row],[VLR NF]]*0.05%</f>
        <v>0</v>
      </c>
      <c r="BB890" s="81"/>
      <c r="BC890" s="81"/>
      <c r="BD890" s="81"/>
      <c r="BE890" s="81"/>
      <c r="BF890" s="81"/>
      <c r="BG890" s="81"/>
      <c r="BH890" s="81"/>
      <c r="BI890" s="81"/>
      <c r="BJ890" s="81"/>
      <c r="BK890" s="81"/>
      <c r="BL890" s="66"/>
      <c r="BM890" s="66"/>
      <c r="BN890" s="66"/>
      <c r="BO890" s="66" t="str">
        <f>PROPER(TEXT(Prog_236[[#This Row],[PROGRAMAÇÃO CLIENTE]],"mmm"))</f>
        <v>Jan</v>
      </c>
      <c r="BP890" s="66">
        <f>YEAR(Prog_236[[#This Row],[PROGRAMAÇÃO CLIENTE]])</f>
        <v>1900</v>
      </c>
    </row>
    <row r="891" spans="1:68" x14ac:dyDescent="0.25">
      <c r="A891" s="200">
        <f>Prog_236[[#This Row],[CONTEINER]]</f>
        <v>0</v>
      </c>
      <c r="B891" s="86"/>
      <c r="C8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1" s="44"/>
      <c r="E891" s="66"/>
      <c r="F891" s="66"/>
      <c r="G891" s="66"/>
      <c r="H891" s="44"/>
      <c r="I891" s="44"/>
      <c r="J891" s="66"/>
      <c r="K891" s="66"/>
      <c r="L891" s="66"/>
      <c r="M891" s="66"/>
      <c r="N891" s="66">
        <f>SUM(Prog_236[[#This Row],[TARA]]+Prog_236[[#This Row],[PESO]])</f>
        <v>0</v>
      </c>
      <c r="O891" s="44"/>
      <c r="P891" s="66"/>
      <c r="Q891" s="66"/>
      <c r="R891" s="66"/>
      <c r="S891" s="66"/>
      <c r="T891" s="138" t="str">
        <f>IFERROR(LOOKUP($S891,MOTORISTAS!$D$3:$D$1048576,MOTORISTAS!E$3:$E$1048576),"")</f>
        <v/>
      </c>
      <c r="U891" s="138" t="str">
        <f>IFERROR(LOOKUP($S891,MOTORISTAS!$D$3:$D$1048576,MOTORISTAS!F$3:$F$1048576),"")</f>
        <v/>
      </c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44"/>
      <c r="AG891" s="254">
        <f>Prog_236[[#This Row],[SAÍDA DO CLIENTE]]-Prog_236[[#This Row],[PROGRAMAÇÃO CLIENTE]]</f>
        <v>0</v>
      </c>
      <c r="AH891" s="44"/>
      <c r="AI891" s="66"/>
      <c r="AJ891" s="66"/>
      <c r="AK891" s="66"/>
      <c r="AL891" s="66"/>
      <c r="AM891" s="66"/>
      <c r="AN891" s="83"/>
      <c r="AO891" s="66"/>
      <c r="AP891" s="66"/>
      <c r="AQ891" s="66"/>
      <c r="AR891" s="81"/>
      <c r="AS891" s="81"/>
      <c r="AT891" s="81"/>
      <c r="AU891" s="81"/>
      <c r="AV891" s="83">
        <f>SUM(Prog_236[[#This Row],[ADIANTAMENTO]]+Prog_236[[#This Row],[SALDO]]+Prog_236[[#This Row],[MARGEM]]+Prog_236[[#This Row],[ESTADIA 1]])</f>
        <v>0</v>
      </c>
      <c r="AW8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1" s="81"/>
      <c r="AY891" s="81"/>
      <c r="AZ891" s="81">
        <f>Prog_236[[#This Row],[VLR NF]]*0.1%</f>
        <v>0</v>
      </c>
      <c r="BA891" s="81">
        <f>Prog_236[[#This Row],[VLR NF]]*0.05%</f>
        <v>0</v>
      </c>
      <c r="BB891" s="81"/>
      <c r="BC891" s="81"/>
      <c r="BD891" s="81"/>
      <c r="BE891" s="81"/>
      <c r="BF891" s="81"/>
      <c r="BG891" s="81"/>
      <c r="BH891" s="81"/>
      <c r="BI891" s="81"/>
      <c r="BJ891" s="81"/>
      <c r="BK891" s="81"/>
      <c r="BL891" s="66"/>
      <c r="BM891" s="66"/>
      <c r="BN891" s="66"/>
      <c r="BO891" s="66" t="str">
        <f>PROPER(TEXT(Prog_236[[#This Row],[PROGRAMAÇÃO CLIENTE]],"mmm"))</f>
        <v>Jan</v>
      </c>
      <c r="BP891" s="66">
        <f>YEAR(Prog_236[[#This Row],[PROGRAMAÇÃO CLIENTE]])</f>
        <v>1900</v>
      </c>
    </row>
    <row r="892" spans="1:68" x14ac:dyDescent="0.25">
      <c r="A892" s="201">
        <f>Prog_236[[#This Row],[CONTEINER]]</f>
        <v>0</v>
      </c>
      <c r="B892" s="86"/>
      <c r="C8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2" s="44"/>
      <c r="E892" s="66"/>
      <c r="F892" s="66"/>
      <c r="G892" s="66"/>
      <c r="H892" s="44"/>
      <c r="I892" s="44"/>
      <c r="J892" s="66"/>
      <c r="K892" s="66"/>
      <c r="L892" s="66"/>
      <c r="M892" s="66"/>
      <c r="N892" s="66">
        <f>SUM(Prog_236[[#This Row],[TARA]]+Prog_236[[#This Row],[PESO]])</f>
        <v>0</v>
      </c>
      <c r="O892" s="44"/>
      <c r="P892" s="66"/>
      <c r="Q892" s="66"/>
      <c r="R892" s="66"/>
      <c r="S892" s="66"/>
      <c r="T892" s="138" t="str">
        <f>IFERROR(LOOKUP($S892,MOTORISTAS!$D$3:$D$1048576,MOTORISTAS!E$3:$E$1048576),"")</f>
        <v/>
      </c>
      <c r="U892" s="138" t="str">
        <f>IFERROR(LOOKUP($S892,MOTORISTAS!$D$3:$D$1048576,MOTORISTAS!F$3:$F$1048576),"")</f>
        <v/>
      </c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44"/>
      <c r="AG892" s="254">
        <f>Prog_236[[#This Row],[SAÍDA DO CLIENTE]]-Prog_236[[#This Row],[PROGRAMAÇÃO CLIENTE]]</f>
        <v>0</v>
      </c>
      <c r="AH892" s="44"/>
      <c r="AI892" s="66"/>
      <c r="AJ892" s="66"/>
      <c r="AK892" s="66"/>
      <c r="AL892" s="66"/>
      <c r="AM892" s="66"/>
      <c r="AN892" s="83"/>
      <c r="AO892" s="66"/>
      <c r="AP892" s="66"/>
      <c r="AQ892" s="66"/>
      <c r="AR892" s="81"/>
      <c r="AS892" s="81"/>
      <c r="AT892" s="81"/>
      <c r="AU892" s="81"/>
      <c r="AV892" s="83">
        <f>SUM(Prog_236[[#This Row],[ADIANTAMENTO]]+Prog_236[[#This Row],[SALDO]]+Prog_236[[#This Row],[MARGEM]]+Prog_236[[#This Row],[ESTADIA 1]])</f>
        <v>0</v>
      </c>
      <c r="AW8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2" s="81"/>
      <c r="AY892" s="81"/>
      <c r="AZ892" s="81">
        <f>Prog_236[[#This Row],[VLR NF]]*0.1%</f>
        <v>0</v>
      </c>
      <c r="BA892" s="81">
        <f>Prog_236[[#This Row],[VLR NF]]*0.05%</f>
        <v>0</v>
      </c>
      <c r="BB892" s="81"/>
      <c r="BC892" s="81"/>
      <c r="BD892" s="81"/>
      <c r="BE892" s="81"/>
      <c r="BF892" s="81"/>
      <c r="BG892" s="81"/>
      <c r="BH892" s="81"/>
      <c r="BI892" s="81"/>
      <c r="BJ892" s="81"/>
      <c r="BK892" s="81"/>
      <c r="BL892" s="66"/>
      <c r="BM892" s="66"/>
      <c r="BN892" s="66"/>
      <c r="BO892" s="66" t="str">
        <f>PROPER(TEXT(Prog_236[[#This Row],[PROGRAMAÇÃO CLIENTE]],"mmm"))</f>
        <v>Jan</v>
      </c>
      <c r="BP892" s="66">
        <f>YEAR(Prog_236[[#This Row],[PROGRAMAÇÃO CLIENTE]])</f>
        <v>1900</v>
      </c>
    </row>
    <row r="893" spans="1:68" x14ac:dyDescent="0.25">
      <c r="A893" s="200">
        <f>Prog_236[[#This Row],[CONTEINER]]</f>
        <v>0</v>
      </c>
      <c r="B893" s="86"/>
      <c r="C8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3" s="44"/>
      <c r="E893" s="66"/>
      <c r="F893" s="66"/>
      <c r="G893" s="66"/>
      <c r="H893" s="44"/>
      <c r="I893" s="44"/>
      <c r="J893" s="66"/>
      <c r="K893" s="66"/>
      <c r="L893" s="66"/>
      <c r="M893" s="66"/>
      <c r="N893" s="66">
        <f>SUM(Prog_236[[#This Row],[TARA]]+Prog_236[[#This Row],[PESO]])</f>
        <v>0</v>
      </c>
      <c r="O893" s="44"/>
      <c r="P893" s="66"/>
      <c r="Q893" s="66"/>
      <c r="R893" s="66"/>
      <c r="S893" s="66"/>
      <c r="T893" s="138" t="str">
        <f>IFERROR(LOOKUP($S893,MOTORISTAS!$D$3:$D$1048576,MOTORISTAS!E$3:$E$1048576),"")</f>
        <v/>
      </c>
      <c r="U893" s="138" t="str">
        <f>IFERROR(LOOKUP($S893,MOTORISTAS!$D$3:$D$1048576,MOTORISTAS!F$3:$F$1048576),"")</f>
        <v/>
      </c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44"/>
      <c r="AG893" s="254">
        <f>Prog_236[[#This Row],[SAÍDA DO CLIENTE]]-Prog_236[[#This Row],[PROGRAMAÇÃO CLIENTE]]</f>
        <v>0</v>
      </c>
      <c r="AH893" s="44"/>
      <c r="AI893" s="66"/>
      <c r="AJ893" s="66"/>
      <c r="AK893" s="66"/>
      <c r="AL893" s="66"/>
      <c r="AM893" s="66"/>
      <c r="AN893" s="83"/>
      <c r="AO893" s="66"/>
      <c r="AP893" s="66"/>
      <c r="AQ893" s="66"/>
      <c r="AR893" s="81"/>
      <c r="AS893" s="81"/>
      <c r="AT893" s="81"/>
      <c r="AU893" s="81"/>
      <c r="AV893" s="83">
        <f>SUM(Prog_236[[#This Row],[ADIANTAMENTO]]+Prog_236[[#This Row],[SALDO]]+Prog_236[[#This Row],[MARGEM]]+Prog_236[[#This Row],[ESTADIA 1]])</f>
        <v>0</v>
      </c>
      <c r="AW8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3" s="81"/>
      <c r="AY893" s="81"/>
      <c r="AZ893" s="81">
        <f>Prog_236[[#This Row],[VLR NF]]*0.1%</f>
        <v>0</v>
      </c>
      <c r="BA893" s="81">
        <f>Prog_236[[#This Row],[VLR NF]]*0.05%</f>
        <v>0</v>
      </c>
      <c r="BB893" s="81"/>
      <c r="BC893" s="81"/>
      <c r="BD893" s="81"/>
      <c r="BE893" s="81"/>
      <c r="BF893" s="81"/>
      <c r="BG893" s="81"/>
      <c r="BH893" s="81"/>
      <c r="BI893" s="81"/>
      <c r="BJ893" s="81"/>
      <c r="BK893" s="81"/>
      <c r="BL893" s="66"/>
      <c r="BM893" s="66"/>
      <c r="BN893" s="66"/>
      <c r="BO893" s="66" t="str">
        <f>PROPER(TEXT(Prog_236[[#This Row],[PROGRAMAÇÃO CLIENTE]],"mmm"))</f>
        <v>Jan</v>
      </c>
      <c r="BP893" s="66">
        <f>YEAR(Prog_236[[#This Row],[PROGRAMAÇÃO CLIENTE]])</f>
        <v>1900</v>
      </c>
    </row>
    <row r="894" spans="1:68" x14ac:dyDescent="0.25">
      <c r="A894" s="201">
        <f>Prog_236[[#This Row],[CONTEINER]]</f>
        <v>0</v>
      </c>
      <c r="B894" s="86"/>
      <c r="C8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4" s="44"/>
      <c r="E894" s="66"/>
      <c r="F894" s="66"/>
      <c r="G894" s="66"/>
      <c r="H894" s="44"/>
      <c r="I894" s="44"/>
      <c r="J894" s="66"/>
      <c r="K894" s="66"/>
      <c r="L894" s="66"/>
      <c r="M894" s="66"/>
      <c r="N894" s="66">
        <f>SUM(Prog_236[[#This Row],[TARA]]+Prog_236[[#This Row],[PESO]])</f>
        <v>0</v>
      </c>
      <c r="O894" s="44"/>
      <c r="P894" s="66"/>
      <c r="Q894" s="66"/>
      <c r="R894" s="66"/>
      <c r="S894" s="66"/>
      <c r="T894" s="138" t="str">
        <f>IFERROR(LOOKUP($S894,MOTORISTAS!$D$3:$D$1048576,MOTORISTAS!E$3:$E$1048576),"")</f>
        <v/>
      </c>
      <c r="U894" s="138" t="str">
        <f>IFERROR(LOOKUP($S894,MOTORISTAS!$D$3:$D$1048576,MOTORISTAS!F$3:$F$1048576),"")</f>
        <v/>
      </c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44"/>
      <c r="AG894" s="254">
        <f>Prog_236[[#This Row],[SAÍDA DO CLIENTE]]-Prog_236[[#This Row],[PROGRAMAÇÃO CLIENTE]]</f>
        <v>0</v>
      </c>
      <c r="AH894" s="44"/>
      <c r="AI894" s="66"/>
      <c r="AJ894" s="66"/>
      <c r="AK894" s="66"/>
      <c r="AL894" s="66"/>
      <c r="AM894" s="66"/>
      <c r="AN894" s="83"/>
      <c r="AO894" s="66"/>
      <c r="AP894" s="66"/>
      <c r="AQ894" s="66"/>
      <c r="AR894" s="81"/>
      <c r="AS894" s="81"/>
      <c r="AT894" s="81"/>
      <c r="AU894" s="81"/>
      <c r="AV894" s="83">
        <f>SUM(Prog_236[[#This Row],[ADIANTAMENTO]]+Prog_236[[#This Row],[SALDO]]+Prog_236[[#This Row],[MARGEM]]+Prog_236[[#This Row],[ESTADIA 1]])</f>
        <v>0</v>
      </c>
      <c r="AW8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4" s="81"/>
      <c r="AY894" s="81"/>
      <c r="AZ894" s="81">
        <f>Prog_236[[#This Row],[VLR NF]]*0.1%</f>
        <v>0</v>
      </c>
      <c r="BA894" s="81">
        <f>Prog_236[[#This Row],[VLR NF]]*0.05%</f>
        <v>0</v>
      </c>
      <c r="BB894" s="81"/>
      <c r="BC894" s="81"/>
      <c r="BD894" s="81"/>
      <c r="BE894" s="81"/>
      <c r="BF894" s="81"/>
      <c r="BG894" s="81"/>
      <c r="BH894" s="81"/>
      <c r="BI894" s="81"/>
      <c r="BJ894" s="81"/>
      <c r="BK894" s="81"/>
      <c r="BL894" s="66"/>
      <c r="BM894" s="66"/>
      <c r="BN894" s="66"/>
      <c r="BO894" s="66" t="str">
        <f>PROPER(TEXT(Prog_236[[#This Row],[PROGRAMAÇÃO CLIENTE]],"mmm"))</f>
        <v>Jan</v>
      </c>
      <c r="BP894" s="66">
        <f>YEAR(Prog_236[[#This Row],[PROGRAMAÇÃO CLIENTE]])</f>
        <v>1900</v>
      </c>
    </row>
    <row r="895" spans="1:68" x14ac:dyDescent="0.25">
      <c r="A895" s="200">
        <f>Prog_236[[#This Row],[CONTEINER]]</f>
        <v>0</v>
      </c>
      <c r="B895" s="86"/>
      <c r="C8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5" s="44"/>
      <c r="E895" s="66"/>
      <c r="F895" s="66"/>
      <c r="G895" s="66"/>
      <c r="H895" s="44"/>
      <c r="I895" s="44"/>
      <c r="J895" s="66"/>
      <c r="K895" s="66"/>
      <c r="L895" s="66"/>
      <c r="M895" s="66"/>
      <c r="N895" s="66">
        <f>SUM(Prog_236[[#This Row],[TARA]]+Prog_236[[#This Row],[PESO]])</f>
        <v>0</v>
      </c>
      <c r="O895" s="44"/>
      <c r="P895" s="66"/>
      <c r="Q895" s="66"/>
      <c r="R895" s="66"/>
      <c r="S895" s="66"/>
      <c r="T895" s="138" t="str">
        <f>IFERROR(LOOKUP($S895,MOTORISTAS!$D$3:$D$1048576,MOTORISTAS!E$3:$E$1048576),"")</f>
        <v/>
      </c>
      <c r="U895" s="138" t="str">
        <f>IFERROR(LOOKUP($S895,MOTORISTAS!$D$3:$D$1048576,MOTORISTAS!F$3:$F$1048576),"")</f>
        <v/>
      </c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44"/>
      <c r="AG895" s="254">
        <f>Prog_236[[#This Row],[SAÍDA DO CLIENTE]]-Prog_236[[#This Row],[PROGRAMAÇÃO CLIENTE]]</f>
        <v>0</v>
      </c>
      <c r="AH895" s="44"/>
      <c r="AI895" s="66"/>
      <c r="AJ895" s="66"/>
      <c r="AK895" s="66"/>
      <c r="AL895" s="66"/>
      <c r="AM895" s="66"/>
      <c r="AN895" s="83"/>
      <c r="AO895" s="66"/>
      <c r="AP895" s="66"/>
      <c r="AQ895" s="66"/>
      <c r="AR895" s="81"/>
      <c r="AS895" s="81"/>
      <c r="AT895" s="81"/>
      <c r="AU895" s="81"/>
      <c r="AV895" s="83">
        <f>SUM(Prog_236[[#This Row],[ADIANTAMENTO]]+Prog_236[[#This Row],[SALDO]]+Prog_236[[#This Row],[MARGEM]]+Prog_236[[#This Row],[ESTADIA 1]])</f>
        <v>0</v>
      </c>
      <c r="AW8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5" s="81"/>
      <c r="AY895" s="81"/>
      <c r="AZ895" s="81">
        <f>Prog_236[[#This Row],[VLR NF]]*0.1%</f>
        <v>0</v>
      </c>
      <c r="BA895" s="81">
        <f>Prog_236[[#This Row],[VLR NF]]*0.05%</f>
        <v>0</v>
      </c>
      <c r="BB895" s="81"/>
      <c r="BC895" s="81"/>
      <c r="BD895" s="81"/>
      <c r="BE895" s="81"/>
      <c r="BF895" s="81"/>
      <c r="BG895" s="81"/>
      <c r="BH895" s="81"/>
      <c r="BI895" s="81"/>
      <c r="BJ895" s="81"/>
      <c r="BK895" s="81"/>
      <c r="BL895" s="66"/>
      <c r="BM895" s="66"/>
      <c r="BN895" s="66"/>
      <c r="BO895" s="66" t="str">
        <f>PROPER(TEXT(Prog_236[[#This Row],[PROGRAMAÇÃO CLIENTE]],"mmm"))</f>
        <v>Jan</v>
      </c>
      <c r="BP895" s="66">
        <f>YEAR(Prog_236[[#This Row],[PROGRAMAÇÃO CLIENTE]])</f>
        <v>1900</v>
      </c>
    </row>
    <row r="896" spans="1:68" x14ac:dyDescent="0.25">
      <c r="A896" s="201">
        <f>Prog_236[[#This Row],[CONTEINER]]</f>
        <v>0</v>
      </c>
      <c r="B896" s="86"/>
      <c r="C8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6" s="44"/>
      <c r="E896" s="66"/>
      <c r="F896" s="66"/>
      <c r="G896" s="66"/>
      <c r="H896" s="44"/>
      <c r="I896" s="44"/>
      <c r="J896" s="66"/>
      <c r="K896" s="66"/>
      <c r="L896" s="66"/>
      <c r="M896" s="66"/>
      <c r="N896" s="66">
        <f>SUM(Prog_236[[#This Row],[TARA]]+Prog_236[[#This Row],[PESO]])</f>
        <v>0</v>
      </c>
      <c r="O896" s="44"/>
      <c r="P896" s="66"/>
      <c r="Q896" s="66"/>
      <c r="R896" s="66"/>
      <c r="S896" s="66"/>
      <c r="T896" s="138" t="str">
        <f>IFERROR(LOOKUP($S896,MOTORISTAS!$D$3:$D$1048576,MOTORISTAS!E$3:$E$1048576),"")</f>
        <v/>
      </c>
      <c r="U896" s="138" t="str">
        <f>IFERROR(LOOKUP($S896,MOTORISTAS!$D$3:$D$1048576,MOTORISTAS!F$3:$F$1048576),"")</f>
        <v/>
      </c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44"/>
      <c r="AG896" s="254">
        <f>Prog_236[[#This Row],[SAÍDA DO CLIENTE]]-Prog_236[[#This Row],[PROGRAMAÇÃO CLIENTE]]</f>
        <v>0</v>
      </c>
      <c r="AH896" s="44"/>
      <c r="AI896" s="66"/>
      <c r="AJ896" s="66"/>
      <c r="AK896" s="66"/>
      <c r="AL896" s="66"/>
      <c r="AM896" s="66"/>
      <c r="AN896" s="83"/>
      <c r="AO896" s="66"/>
      <c r="AP896" s="66"/>
      <c r="AQ896" s="66"/>
      <c r="AR896" s="81"/>
      <c r="AS896" s="81"/>
      <c r="AT896" s="81"/>
      <c r="AU896" s="81"/>
      <c r="AV896" s="83">
        <f>SUM(Prog_236[[#This Row],[ADIANTAMENTO]]+Prog_236[[#This Row],[SALDO]]+Prog_236[[#This Row],[MARGEM]]+Prog_236[[#This Row],[ESTADIA 1]])</f>
        <v>0</v>
      </c>
      <c r="AW8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6" s="81"/>
      <c r="AY896" s="81"/>
      <c r="AZ896" s="81">
        <f>Prog_236[[#This Row],[VLR NF]]*0.1%</f>
        <v>0</v>
      </c>
      <c r="BA896" s="81">
        <f>Prog_236[[#This Row],[VLR NF]]*0.05%</f>
        <v>0</v>
      </c>
      <c r="BB896" s="81"/>
      <c r="BC896" s="81"/>
      <c r="BD896" s="81"/>
      <c r="BE896" s="81"/>
      <c r="BF896" s="81"/>
      <c r="BG896" s="81"/>
      <c r="BH896" s="81"/>
      <c r="BI896" s="81"/>
      <c r="BJ896" s="81"/>
      <c r="BK896" s="81"/>
      <c r="BL896" s="66"/>
      <c r="BM896" s="66"/>
      <c r="BN896" s="66"/>
      <c r="BO896" s="66" t="str">
        <f>PROPER(TEXT(Prog_236[[#This Row],[PROGRAMAÇÃO CLIENTE]],"mmm"))</f>
        <v>Jan</v>
      </c>
      <c r="BP896" s="66">
        <f>YEAR(Prog_236[[#This Row],[PROGRAMAÇÃO CLIENTE]])</f>
        <v>1900</v>
      </c>
    </row>
    <row r="897" spans="1:68" x14ac:dyDescent="0.25">
      <c r="A897" s="200">
        <f>Prog_236[[#This Row],[CONTEINER]]</f>
        <v>0</v>
      </c>
      <c r="B897" s="86"/>
      <c r="C8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7" s="44"/>
      <c r="E897" s="66"/>
      <c r="F897" s="66"/>
      <c r="G897" s="66"/>
      <c r="H897" s="44"/>
      <c r="I897" s="44"/>
      <c r="J897" s="66"/>
      <c r="K897" s="66"/>
      <c r="L897" s="66"/>
      <c r="M897" s="66"/>
      <c r="N897" s="66">
        <f>SUM(Prog_236[[#This Row],[TARA]]+Prog_236[[#This Row],[PESO]])</f>
        <v>0</v>
      </c>
      <c r="O897" s="44"/>
      <c r="P897" s="66"/>
      <c r="Q897" s="66"/>
      <c r="R897" s="66"/>
      <c r="S897" s="66"/>
      <c r="T897" s="138" t="str">
        <f>IFERROR(LOOKUP($S897,MOTORISTAS!$D$3:$D$1048576,MOTORISTAS!E$3:$E$1048576),"")</f>
        <v/>
      </c>
      <c r="U897" s="138" t="str">
        <f>IFERROR(LOOKUP($S897,MOTORISTAS!$D$3:$D$1048576,MOTORISTAS!F$3:$F$1048576),"")</f>
        <v/>
      </c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44"/>
      <c r="AG897" s="254">
        <f>Prog_236[[#This Row],[SAÍDA DO CLIENTE]]-Prog_236[[#This Row],[PROGRAMAÇÃO CLIENTE]]</f>
        <v>0</v>
      </c>
      <c r="AH897" s="44"/>
      <c r="AI897" s="66"/>
      <c r="AJ897" s="66"/>
      <c r="AK897" s="66"/>
      <c r="AL897" s="66"/>
      <c r="AM897" s="66"/>
      <c r="AN897" s="83"/>
      <c r="AO897" s="66"/>
      <c r="AP897" s="66"/>
      <c r="AQ897" s="66"/>
      <c r="AR897" s="81"/>
      <c r="AS897" s="81"/>
      <c r="AT897" s="81"/>
      <c r="AU897" s="81"/>
      <c r="AV897" s="83">
        <f>SUM(Prog_236[[#This Row],[ADIANTAMENTO]]+Prog_236[[#This Row],[SALDO]]+Prog_236[[#This Row],[MARGEM]]+Prog_236[[#This Row],[ESTADIA 1]])</f>
        <v>0</v>
      </c>
      <c r="AW8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7" s="81"/>
      <c r="AY897" s="81"/>
      <c r="AZ897" s="81">
        <f>Prog_236[[#This Row],[VLR NF]]*0.1%</f>
        <v>0</v>
      </c>
      <c r="BA897" s="81">
        <f>Prog_236[[#This Row],[VLR NF]]*0.05%</f>
        <v>0</v>
      </c>
      <c r="BB897" s="81"/>
      <c r="BC897" s="81"/>
      <c r="BD897" s="81"/>
      <c r="BE897" s="81"/>
      <c r="BF897" s="81"/>
      <c r="BG897" s="81"/>
      <c r="BH897" s="81"/>
      <c r="BI897" s="81"/>
      <c r="BJ897" s="81"/>
      <c r="BK897" s="81"/>
      <c r="BL897" s="66"/>
      <c r="BM897" s="66"/>
      <c r="BN897" s="66"/>
      <c r="BO897" s="66" t="str">
        <f>PROPER(TEXT(Prog_236[[#This Row],[PROGRAMAÇÃO CLIENTE]],"mmm"))</f>
        <v>Jan</v>
      </c>
      <c r="BP897" s="66">
        <f>YEAR(Prog_236[[#This Row],[PROGRAMAÇÃO CLIENTE]])</f>
        <v>1900</v>
      </c>
    </row>
    <row r="898" spans="1:68" x14ac:dyDescent="0.25">
      <c r="A898" s="201">
        <f>Prog_236[[#This Row],[CONTEINER]]</f>
        <v>0</v>
      </c>
      <c r="B898" s="86"/>
      <c r="C8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8" s="44"/>
      <c r="E898" s="66"/>
      <c r="F898" s="66"/>
      <c r="G898" s="66"/>
      <c r="H898" s="44"/>
      <c r="I898" s="44"/>
      <c r="J898" s="66"/>
      <c r="K898" s="66"/>
      <c r="L898" s="66"/>
      <c r="M898" s="66"/>
      <c r="N898" s="66">
        <f>SUM(Prog_236[[#This Row],[TARA]]+Prog_236[[#This Row],[PESO]])</f>
        <v>0</v>
      </c>
      <c r="O898" s="44"/>
      <c r="P898" s="66"/>
      <c r="Q898" s="66"/>
      <c r="R898" s="66"/>
      <c r="S898" s="66"/>
      <c r="T898" s="138" t="str">
        <f>IFERROR(LOOKUP($S898,MOTORISTAS!$D$3:$D$1048576,MOTORISTAS!E$3:$E$1048576),"")</f>
        <v/>
      </c>
      <c r="U898" s="138" t="str">
        <f>IFERROR(LOOKUP($S898,MOTORISTAS!$D$3:$D$1048576,MOTORISTAS!F$3:$F$1048576),"")</f>
        <v/>
      </c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44"/>
      <c r="AG898" s="254">
        <f>Prog_236[[#This Row],[SAÍDA DO CLIENTE]]-Prog_236[[#This Row],[PROGRAMAÇÃO CLIENTE]]</f>
        <v>0</v>
      </c>
      <c r="AH898" s="44"/>
      <c r="AI898" s="66"/>
      <c r="AJ898" s="66"/>
      <c r="AK898" s="66"/>
      <c r="AL898" s="66"/>
      <c r="AM898" s="66"/>
      <c r="AN898" s="83"/>
      <c r="AO898" s="66"/>
      <c r="AP898" s="66"/>
      <c r="AQ898" s="66"/>
      <c r="AR898" s="81"/>
      <c r="AS898" s="81"/>
      <c r="AT898" s="81"/>
      <c r="AU898" s="81"/>
      <c r="AV898" s="83">
        <f>SUM(Prog_236[[#This Row],[ADIANTAMENTO]]+Prog_236[[#This Row],[SALDO]]+Prog_236[[#This Row],[MARGEM]]+Prog_236[[#This Row],[ESTADIA 1]])</f>
        <v>0</v>
      </c>
      <c r="AW8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8" s="81"/>
      <c r="AY898" s="81"/>
      <c r="AZ898" s="81">
        <f>Prog_236[[#This Row],[VLR NF]]*0.1%</f>
        <v>0</v>
      </c>
      <c r="BA898" s="81">
        <f>Prog_236[[#This Row],[VLR NF]]*0.05%</f>
        <v>0</v>
      </c>
      <c r="BB898" s="81"/>
      <c r="BC898" s="81"/>
      <c r="BD898" s="81"/>
      <c r="BE898" s="81"/>
      <c r="BF898" s="81"/>
      <c r="BG898" s="81"/>
      <c r="BH898" s="81"/>
      <c r="BI898" s="81"/>
      <c r="BJ898" s="81"/>
      <c r="BK898" s="81"/>
      <c r="BL898" s="66"/>
      <c r="BM898" s="66"/>
      <c r="BN898" s="66"/>
      <c r="BO898" s="66" t="str">
        <f>PROPER(TEXT(Prog_236[[#This Row],[PROGRAMAÇÃO CLIENTE]],"mmm"))</f>
        <v>Jan</v>
      </c>
      <c r="BP898" s="66">
        <f>YEAR(Prog_236[[#This Row],[PROGRAMAÇÃO CLIENTE]])</f>
        <v>1900</v>
      </c>
    </row>
    <row r="899" spans="1:68" x14ac:dyDescent="0.25">
      <c r="A899" s="200">
        <f>Prog_236[[#This Row],[CONTEINER]]</f>
        <v>0</v>
      </c>
      <c r="B899" s="86"/>
      <c r="C8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899" s="44"/>
      <c r="E899" s="66"/>
      <c r="F899" s="66"/>
      <c r="G899" s="66"/>
      <c r="H899" s="44"/>
      <c r="I899" s="44"/>
      <c r="J899" s="66"/>
      <c r="K899" s="66"/>
      <c r="L899" s="66"/>
      <c r="M899" s="66"/>
      <c r="N899" s="66">
        <f>SUM(Prog_236[[#This Row],[TARA]]+Prog_236[[#This Row],[PESO]])</f>
        <v>0</v>
      </c>
      <c r="O899" s="44"/>
      <c r="P899" s="66"/>
      <c r="Q899" s="66"/>
      <c r="R899" s="66"/>
      <c r="S899" s="66"/>
      <c r="T899" s="138" t="str">
        <f>IFERROR(LOOKUP($S899,MOTORISTAS!$D$3:$D$1048576,MOTORISTAS!E$3:$E$1048576),"")</f>
        <v/>
      </c>
      <c r="U899" s="138" t="str">
        <f>IFERROR(LOOKUP($S899,MOTORISTAS!$D$3:$D$1048576,MOTORISTAS!F$3:$F$1048576),"")</f>
        <v/>
      </c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44"/>
      <c r="AG899" s="254">
        <f>Prog_236[[#This Row],[SAÍDA DO CLIENTE]]-Prog_236[[#This Row],[PROGRAMAÇÃO CLIENTE]]</f>
        <v>0</v>
      </c>
      <c r="AH899" s="44"/>
      <c r="AI899" s="66"/>
      <c r="AJ899" s="66"/>
      <c r="AK899" s="66"/>
      <c r="AL899" s="66"/>
      <c r="AM899" s="66"/>
      <c r="AN899" s="83"/>
      <c r="AO899" s="66"/>
      <c r="AP899" s="66"/>
      <c r="AQ899" s="66"/>
      <c r="AR899" s="81"/>
      <c r="AS899" s="81"/>
      <c r="AT899" s="81"/>
      <c r="AU899" s="81"/>
      <c r="AV899" s="83">
        <f>SUM(Prog_236[[#This Row],[ADIANTAMENTO]]+Prog_236[[#This Row],[SALDO]]+Prog_236[[#This Row],[MARGEM]]+Prog_236[[#This Row],[ESTADIA 1]])</f>
        <v>0</v>
      </c>
      <c r="AW8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899" s="81"/>
      <c r="AY899" s="81"/>
      <c r="AZ899" s="81">
        <f>Prog_236[[#This Row],[VLR NF]]*0.1%</f>
        <v>0</v>
      </c>
      <c r="BA899" s="81">
        <f>Prog_236[[#This Row],[VLR NF]]*0.05%</f>
        <v>0</v>
      </c>
      <c r="BB899" s="81"/>
      <c r="BC899" s="81"/>
      <c r="BD899" s="81"/>
      <c r="BE899" s="81"/>
      <c r="BF899" s="81"/>
      <c r="BG899" s="81"/>
      <c r="BH899" s="81"/>
      <c r="BI899" s="81"/>
      <c r="BJ899" s="81"/>
      <c r="BK899" s="81"/>
      <c r="BL899" s="66"/>
      <c r="BM899" s="66"/>
      <c r="BN899" s="66"/>
      <c r="BO899" s="66" t="str">
        <f>PROPER(TEXT(Prog_236[[#This Row],[PROGRAMAÇÃO CLIENTE]],"mmm"))</f>
        <v>Jan</v>
      </c>
      <c r="BP899" s="66">
        <f>YEAR(Prog_236[[#This Row],[PROGRAMAÇÃO CLIENTE]])</f>
        <v>1900</v>
      </c>
    </row>
    <row r="900" spans="1:68" x14ac:dyDescent="0.25">
      <c r="A900" s="201">
        <f>Prog_236[[#This Row],[CONTEINER]]</f>
        <v>0</v>
      </c>
      <c r="B900" s="86"/>
      <c r="C9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0" s="44"/>
      <c r="E900" s="66"/>
      <c r="F900" s="66"/>
      <c r="G900" s="66"/>
      <c r="H900" s="44"/>
      <c r="I900" s="44"/>
      <c r="J900" s="66"/>
      <c r="K900" s="66"/>
      <c r="L900" s="66"/>
      <c r="M900" s="66"/>
      <c r="N900" s="66">
        <f>SUM(Prog_236[[#This Row],[TARA]]+Prog_236[[#This Row],[PESO]])</f>
        <v>0</v>
      </c>
      <c r="O900" s="44"/>
      <c r="P900" s="66"/>
      <c r="Q900" s="66"/>
      <c r="R900" s="66"/>
      <c r="S900" s="66"/>
      <c r="T900" s="138" t="str">
        <f>IFERROR(LOOKUP($S900,MOTORISTAS!$D$3:$D$1048576,MOTORISTAS!E$3:$E$1048576),"")</f>
        <v/>
      </c>
      <c r="U900" s="138" t="str">
        <f>IFERROR(LOOKUP($S900,MOTORISTAS!$D$3:$D$1048576,MOTORISTAS!F$3:$F$1048576),"")</f>
        <v/>
      </c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44"/>
      <c r="AG900" s="254">
        <f>Prog_236[[#This Row],[SAÍDA DO CLIENTE]]-Prog_236[[#This Row],[PROGRAMAÇÃO CLIENTE]]</f>
        <v>0</v>
      </c>
      <c r="AH900" s="44"/>
      <c r="AI900" s="66"/>
      <c r="AJ900" s="66"/>
      <c r="AK900" s="66"/>
      <c r="AL900" s="66"/>
      <c r="AM900" s="66"/>
      <c r="AN900" s="83"/>
      <c r="AO900" s="66"/>
      <c r="AP900" s="66"/>
      <c r="AQ900" s="66"/>
      <c r="AR900" s="81"/>
      <c r="AS900" s="81"/>
      <c r="AT900" s="81"/>
      <c r="AU900" s="81"/>
      <c r="AV900" s="83">
        <f>SUM(Prog_236[[#This Row],[ADIANTAMENTO]]+Prog_236[[#This Row],[SALDO]]+Prog_236[[#This Row],[MARGEM]]+Prog_236[[#This Row],[ESTADIA 1]])</f>
        <v>0</v>
      </c>
      <c r="AW9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0" s="81"/>
      <c r="AY900" s="81"/>
      <c r="AZ900" s="81">
        <f>Prog_236[[#This Row],[VLR NF]]*0.1%</f>
        <v>0</v>
      </c>
      <c r="BA900" s="81">
        <f>Prog_236[[#This Row],[VLR NF]]*0.05%</f>
        <v>0</v>
      </c>
      <c r="BB900" s="81"/>
      <c r="BC900" s="81"/>
      <c r="BD900" s="81"/>
      <c r="BE900" s="81"/>
      <c r="BF900" s="81"/>
      <c r="BG900" s="81"/>
      <c r="BH900" s="81"/>
      <c r="BI900" s="81"/>
      <c r="BJ900" s="81"/>
      <c r="BK900" s="81"/>
      <c r="BL900" s="66"/>
      <c r="BM900" s="66"/>
      <c r="BN900" s="66"/>
      <c r="BO900" s="66" t="str">
        <f>PROPER(TEXT(Prog_236[[#This Row],[PROGRAMAÇÃO CLIENTE]],"mmm"))</f>
        <v>Jan</v>
      </c>
      <c r="BP900" s="66">
        <f>YEAR(Prog_236[[#This Row],[PROGRAMAÇÃO CLIENTE]])</f>
        <v>1900</v>
      </c>
    </row>
    <row r="901" spans="1:68" x14ac:dyDescent="0.25">
      <c r="A901" s="200">
        <f>Prog_236[[#This Row],[CONTEINER]]</f>
        <v>0</v>
      </c>
      <c r="B901" s="86"/>
      <c r="C9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1" s="44"/>
      <c r="E901" s="66"/>
      <c r="F901" s="66"/>
      <c r="G901" s="66"/>
      <c r="H901" s="44"/>
      <c r="I901" s="44"/>
      <c r="J901" s="66"/>
      <c r="K901" s="66"/>
      <c r="L901" s="66"/>
      <c r="M901" s="66"/>
      <c r="N901" s="66">
        <f>SUM(Prog_236[[#This Row],[TARA]]+Prog_236[[#This Row],[PESO]])</f>
        <v>0</v>
      </c>
      <c r="O901" s="44"/>
      <c r="P901" s="66"/>
      <c r="Q901" s="66"/>
      <c r="R901" s="66"/>
      <c r="S901" s="66"/>
      <c r="T901" s="138" t="str">
        <f>IFERROR(LOOKUP($S901,MOTORISTAS!$D$3:$D$1048576,MOTORISTAS!E$3:$E$1048576),"")</f>
        <v/>
      </c>
      <c r="U901" s="138" t="str">
        <f>IFERROR(LOOKUP($S901,MOTORISTAS!$D$3:$D$1048576,MOTORISTAS!F$3:$F$1048576),"")</f>
        <v/>
      </c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44"/>
      <c r="AG901" s="254">
        <f>Prog_236[[#This Row],[SAÍDA DO CLIENTE]]-Prog_236[[#This Row],[PROGRAMAÇÃO CLIENTE]]</f>
        <v>0</v>
      </c>
      <c r="AH901" s="44"/>
      <c r="AI901" s="66"/>
      <c r="AJ901" s="66"/>
      <c r="AK901" s="66"/>
      <c r="AL901" s="66"/>
      <c r="AM901" s="66"/>
      <c r="AN901" s="83"/>
      <c r="AO901" s="66"/>
      <c r="AP901" s="66"/>
      <c r="AQ901" s="66"/>
      <c r="AR901" s="81"/>
      <c r="AS901" s="81"/>
      <c r="AT901" s="81"/>
      <c r="AU901" s="81"/>
      <c r="AV901" s="83">
        <f>SUM(Prog_236[[#This Row],[ADIANTAMENTO]]+Prog_236[[#This Row],[SALDO]]+Prog_236[[#This Row],[MARGEM]]+Prog_236[[#This Row],[ESTADIA 1]])</f>
        <v>0</v>
      </c>
      <c r="AW9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1" s="81"/>
      <c r="AY901" s="81"/>
      <c r="AZ901" s="81">
        <f>Prog_236[[#This Row],[VLR NF]]*0.1%</f>
        <v>0</v>
      </c>
      <c r="BA901" s="81">
        <f>Prog_236[[#This Row],[VLR NF]]*0.05%</f>
        <v>0</v>
      </c>
      <c r="BB901" s="81"/>
      <c r="BC901" s="81"/>
      <c r="BD901" s="81"/>
      <c r="BE901" s="81"/>
      <c r="BF901" s="81"/>
      <c r="BG901" s="81"/>
      <c r="BH901" s="81"/>
      <c r="BI901" s="81"/>
      <c r="BJ901" s="81"/>
      <c r="BK901" s="81"/>
      <c r="BL901" s="66"/>
      <c r="BM901" s="66"/>
      <c r="BN901" s="66"/>
      <c r="BO901" s="66" t="str">
        <f>PROPER(TEXT(Prog_236[[#This Row],[PROGRAMAÇÃO CLIENTE]],"mmm"))</f>
        <v>Jan</v>
      </c>
      <c r="BP901" s="66">
        <f>YEAR(Prog_236[[#This Row],[PROGRAMAÇÃO CLIENTE]])</f>
        <v>1900</v>
      </c>
    </row>
    <row r="902" spans="1:68" x14ac:dyDescent="0.25">
      <c r="A902" s="201">
        <f>Prog_236[[#This Row],[CONTEINER]]</f>
        <v>0</v>
      </c>
      <c r="B902" s="86"/>
      <c r="C9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2" s="44"/>
      <c r="E902" s="66"/>
      <c r="F902" s="66"/>
      <c r="G902" s="66"/>
      <c r="H902" s="44"/>
      <c r="I902" s="44"/>
      <c r="J902" s="66"/>
      <c r="K902" s="66"/>
      <c r="L902" s="66"/>
      <c r="M902" s="66"/>
      <c r="N902" s="66">
        <f>SUM(Prog_236[[#This Row],[TARA]]+Prog_236[[#This Row],[PESO]])</f>
        <v>0</v>
      </c>
      <c r="O902" s="44"/>
      <c r="P902" s="66"/>
      <c r="Q902" s="66"/>
      <c r="R902" s="66"/>
      <c r="S902" s="66"/>
      <c r="T902" s="138" t="str">
        <f>IFERROR(LOOKUP($S902,MOTORISTAS!$D$3:$D$1048576,MOTORISTAS!E$3:$E$1048576),"")</f>
        <v/>
      </c>
      <c r="U902" s="138" t="str">
        <f>IFERROR(LOOKUP($S902,MOTORISTAS!$D$3:$D$1048576,MOTORISTAS!F$3:$F$1048576),"")</f>
        <v/>
      </c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44"/>
      <c r="AG902" s="254">
        <f>Prog_236[[#This Row],[SAÍDA DO CLIENTE]]-Prog_236[[#This Row],[PROGRAMAÇÃO CLIENTE]]</f>
        <v>0</v>
      </c>
      <c r="AH902" s="44"/>
      <c r="AI902" s="66"/>
      <c r="AJ902" s="66"/>
      <c r="AK902" s="66"/>
      <c r="AL902" s="66"/>
      <c r="AM902" s="66"/>
      <c r="AN902" s="83"/>
      <c r="AO902" s="66"/>
      <c r="AP902" s="66"/>
      <c r="AQ902" s="66"/>
      <c r="AR902" s="81"/>
      <c r="AS902" s="81"/>
      <c r="AT902" s="81"/>
      <c r="AU902" s="81"/>
      <c r="AV902" s="83">
        <f>SUM(Prog_236[[#This Row],[ADIANTAMENTO]]+Prog_236[[#This Row],[SALDO]]+Prog_236[[#This Row],[MARGEM]]+Prog_236[[#This Row],[ESTADIA 1]])</f>
        <v>0</v>
      </c>
      <c r="AW9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2" s="81"/>
      <c r="AY902" s="81"/>
      <c r="AZ902" s="81">
        <f>Prog_236[[#This Row],[VLR NF]]*0.1%</f>
        <v>0</v>
      </c>
      <c r="BA902" s="81">
        <f>Prog_236[[#This Row],[VLR NF]]*0.05%</f>
        <v>0</v>
      </c>
      <c r="BB902" s="81"/>
      <c r="BC902" s="81"/>
      <c r="BD902" s="81"/>
      <c r="BE902" s="81"/>
      <c r="BF902" s="81"/>
      <c r="BG902" s="81"/>
      <c r="BH902" s="81"/>
      <c r="BI902" s="81"/>
      <c r="BJ902" s="81"/>
      <c r="BK902" s="81"/>
      <c r="BL902" s="66"/>
      <c r="BM902" s="66"/>
      <c r="BN902" s="66"/>
      <c r="BO902" s="66" t="str">
        <f>PROPER(TEXT(Prog_236[[#This Row],[PROGRAMAÇÃO CLIENTE]],"mmm"))</f>
        <v>Jan</v>
      </c>
      <c r="BP902" s="66">
        <f>YEAR(Prog_236[[#This Row],[PROGRAMAÇÃO CLIENTE]])</f>
        <v>1900</v>
      </c>
    </row>
    <row r="903" spans="1:68" x14ac:dyDescent="0.25">
      <c r="A903" s="200">
        <f>Prog_236[[#This Row],[CONTEINER]]</f>
        <v>0</v>
      </c>
      <c r="B903" s="86"/>
      <c r="C9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3" s="44"/>
      <c r="E903" s="66"/>
      <c r="F903" s="66"/>
      <c r="G903" s="66"/>
      <c r="H903" s="44"/>
      <c r="I903" s="44"/>
      <c r="J903" s="66"/>
      <c r="K903" s="66"/>
      <c r="L903" s="66"/>
      <c r="M903" s="66"/>
      <c r="N903" s="66">
        <f>SUM(Prog_236[[#This Row],[TARA]]+Prog_236[[#This Row],[PESO]])</f>
        <v>0</v>
      </c>
      <c r="O903" s="44"/>
      <c r="P903" s="66"/>
      <c r="Q903" s="66"/>
      <c r="R903" s="66"/>
      <c r="S903" s="66"/>
      <c r="T903" s="138" t="str">
        <f>IFERROR(LOOKUP($S903,MOTORISTAS!$D$3:$D$1048576,MOTORISTAS!E$3:$E$1048576),"")</f>
        <v/>
      </c>
      <c r="U903" s="138" t="str">
        <f>IFERROR(LOOKUP($S903,MOTORISTAS!$D$3:$D$1048576,MOTORISTAS!F$3:$F$1048576),"")</f>
        <v/>
      </c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44"/>
      <c r="AG903" s="254">
        <f>Prog_236[[#This Row],[SAÍDA DO CLIENTE]]-Prog_236[[#This Row],[PROGRAMAÇÃO CLIENTE]]</f>
        <v>0</v>
      </c>
      <c r="AH903" s="44"/>
      <c r="AI903" s="66"/>
      <c r="AJ903" s="66"/>
      <c r="AK903" s="66"/>
      <c r="AL903" s="66"/>
      <c r="AM903" s="66"/>
      <c r="AN903" s="83"/>
      <c r="AO903" s="66"/>
      <c r="AP903" s="66"/>
      <c r="AQ903" s="66"/>
      <c r="AR903" s="81"/>
      <c r="AS903" s="81"/>
      <c r="AT903" s="81"/>
      <c r="AU903" s="81"/>
      <c r="AV903" s="83">
        <f>SUM(Prog_236[[#This Row],[ADIANTAMENTO]]+Prog_236[[#This Row],[SALDO]]+Prog_236[[#This Row],[MARGEM]]+Prog_236[[#This Row],[ESTADIA 1]])</f>
        <v>0</v>
      </c>
      <c r="AW9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3" s="81"/>
      <c r="AY903" s="81"/>
      <c r="AZ903" s="81">
        <f>Prog_236[[#This Row],[VLR NF]]*0.1%</f>
        <v>0</v>
      </c>
      <c r="BA903" s="81">
        <f>Prog_236[[#This Row],[VLR NF]]*0.05%</f>
        <v>0</v>
      </c>
      <c r="BB903" s="81"/>
      <c r="BC903" s="81"/>
      <c r="BD903" s="81"/>
      <c r="BE903" s="81"/>
      <c r="BF903" s="81"/>
      <c r="BG903" s="81"/>
      <c r="BH903" s="81"/>
      <c r="BI903" s="81"/>
      <c r="BJ903" s="81"/>
      <c r="BK903" s="81"/>
      <c r="BL903" s="66"/>
      <c r="BM903" s="66"/>
      <c r="BN903" s="66"/>
      <c r="BO903" s="66" t="str">
        <f>PROPER(TEXT(Prog_236[[#This Row],[PROGRAMAÇÃO CLIENTE]],"mmm"))</f>
        <v>Jan</v>
      </c>
      <c r="BP903" s="66">
        <f>YEAR(Prog_236[[#This Row],[PROGRAMAÇÃO CLIENTE]])</f>
        <v>1900</v>
      </c>
    </row>
    <row r="904" spans="1:68" x14ac:dyDescent="0.25">
      <c r="A904" s="201">
        <f>Prog_236[[#This Row],[CONTEINER]]</f>
        <v>0</v>
      </c>
      <c r="B904" s="86"/>
      <c r="C9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4" s="44"/>
      <c r="E904" s="66"/>
      <c r="F904" s="66"/>
      <c r="G904" s="66"/>
      <c r="H904" s="44"/>
      <c r="I904" s="44"/>
      <c r="J904" s="66"/>
      <c r="K904" s="66"/>
      <c r="L904" s="66"/>
      <c r="M904" s="66"/>
      <c r="N904" s="66">
        <f>SUM(Prog_236[[#This Row],[TARA]]+Prog_236[[#This Row],[PESO]])</f>
        <v>0</v>
      </c>
      <c r="O904" s="44"/>
      <c r="P904" s="66"/>
      <c r="Q904" s="66"/>
      <c r="R904" s="66"/>
      <c r="S904" s="66"/>
      <c r="T904" s="138" t="str">
        <f>IFERROR(LOOKUP($S904,MOTORISTAS!$D$3:$D$1048576,MOTORISTAS!E$3:$E$1048576),"")</f>
        <v/>
      </c>
      <c r="U904" s="138" t="str">
        <f>IFERROR(LOOKUP($S904,MOTORISTAS!$D$3:$D$1048576,MOTORISTAS!F$3:$F$1048576),"")</f>
        <v/>
      </c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44"/>
      <c r="AG904" s="254">
        <f>Prog_236[[#This Row],[SAÍDA DO CLIENTE]]-Prog_236[[#This Row],[PROGRAMAÇÃO CLIENTE]]</f>
        <v>0</v>
      </c>
      <c r="AH904" s="44"/>
      <c r="AI904" s="66"/>
      <c r="AJ904" s="66"/>
      <c r="AK904" s="66"/>
      <c r="AL904" s="66"/>
      <c r="AM904" s="66"/>
      <c r="AN904" s="83"/>
      <c r="AO904" s="66"/>
      <c r="AP904" s="66"/>
      <c r="AQ904" s="66"/>
      <c r="AR904" s="81"/>
      <c r="AS904" s="81"/>
      <c r="AT904" s="81"/>
      <c r="AU904" s="81"/>
      <c r="AV904" s="83">
        <f>SUM(Prog_236[[#This Row],[ADIANTAMENTO]]+Prog_236[[#This Row],[SALDO]]+Prog_236[[#This Row],[MARGEM]]+Prog_236[[#This Row],[ESTADIA 1]])</f>
        <v>0</v>
      </c>
      <c r="AW9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4" s="81"/>
      <c r="AY904" s="81"/>
      <c r="AZ904" s="81">
        <f>Prog_236[[#This Row],[VLR NF]]*0.1%</f>
        <v>0</v>
      </c>
      <c r="BA904" s="81">
        <f>Prog_236[[#This Row],[VLR NF]]*0.05%</f>
        <v>0</v>
      </c>
      <c r="BB904" s="81"/>
      <c r="BC904" s="81"/>
      <c r="BD904" s="81"/>
      <c r="BE904" s="81"/>
      <c r="BF904" s="81"/>
      <c r="BG904" s="81"/>
      <c r="BH904" s="81"/>
      <c r="BI904" s="81"/>
      <c r="BJ904" s="81"/>
      <c r="BK904" s="81"/>
      <c r="BL904" s="66"/>
      <c r="BM904" s="66"/>
      <c r="BN904" s="66"/>
      <c r="BO904" s="66" t="str">
        <f>PROPER(TEXT(Prog_236[[#This Row],[PROGRAMAÇÃO CLIENTE]],"mmm"))</f>
        <v>Jan</v>
      </c>
      <c r="BP904" s="66">
        <f>YEAR(Prog_236[[#This Row],[PROGRAMAÇÃO CLIENTE]])</f>
        <v>1900</v>
      </c>
    </row>
    <row r="905" spans="1:68" x14ac:dyDescent="0.25">
      <c r="A905" s="200">
        <f>Prog_236[[#This Row],[CONTEINER]]</f>
        <v>0</v>
      </c>
      <c r="B905" s="86"/>
      <c r="C9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5" s="44"/>
      <c r="E905" s="66"/>
      <c r="F905" s="66"/>
      <c r="G905" s="66"/>
      <c r="H905" s="44"/>
      <c r="I905" s="44"/>
      <c r="J905" s="66"/>
      <c r="K905" s="66"/>
      <c r="L905" s="66"/>
      <c r="M905" s="66"/>
      <c r="N905" s="66">
        <f>SUM(Prog_236[[#This Row],[TARA]]+Prog_236[[#This Row],[PESO]])</f>
        <v>0</v>
      </c>
      <c r="O905" s="44"/>
      <c r="P905" s="66"/>
      <c r="Q905" s="66"/>
      <c r="R905" s="66"/>
      <c r="S905" s="66"/>
      <c r="T905" s="138" t="str">
        <f>IFERROR(LOOKUP($S905,MOTORISTAS!$D$3:$D$1048576,MOTORISTAS!E$3:$E$1048576),"")</f>
        <v/>
      </c>
      <c r="U905" s="138" t="str">
        <f>IFERROR(LOOKUP($S905,MOTORISTAS!$D$3:$D$1048576,MOTORISTAS!F$3:$F$1048576),"")</f>
        <v/>
      </c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44"/>
      <c r="AG905" s="254">
        <f>Prog_236[[#This Row],[SAÍDA DO CLIENTE]]-Prog_236[[#This Row],[PROGRAMAÇÃO CLIENTE]]</f>
        <v>0</v>
      </c>
      <c r="AH905" s="44"/>
      <c r="AI905" s="66"/>
      <c r="AJ905" s="66"/>
      <c r="AK905" s="66"/>
      <c r="AL905" s="66"/>
      <c r="AM905" s="66"/>
      <c r="AN905" s="83"/>
      <c r="AO905" s="66"/>
      <c r="AP905" s="66"/>
      <c r="AQ905" s="66"/>
      <c r="AR905" s="81"/>
      <c r="AS905" s="81"/>
      <c r="AT905" s="81"/>
      <c r="AU905" s="81"/>
      <c r="AV905" s="83">
        <f>SUM(Prog_236[[#This Row],[ADIANTAMENTO]]+Prog_236[[#This Row],[SALDO]]+Prog_236[[#This Row],[MARGEM]]+Prog_236[[#This Row],[ESTADIA 1]])</f>
        <v>0</v>
      </c>
      <c r="AW9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5" s="81"/>
      <c r="AY905" s="81"/>
      <c r="AZ905" s="81">
        <f>Prog_236[[#This Row],[VLR NF]]*0.1%</f>
        <v>0</v>
      </c>
      <c r="BA905" s="81">
        <f>Prog_236[[#This Row],[VLR NF]]*0.05%</f>
        <v>0</v>
      </c>
      <c r="BB905" s="81"/>
      <c r="BC905" s="81"/>
      <c r="BD905" s="81"/>
      <c r="BE905" s="81"/>
      <c r="BF905" s="81"/>
      <c r="BG905" s="81"/>
      <c r="BH905" s="81"/>
      <c r="BI905" s="81"/>
      <c r="BJ905" s="81"/>
      <c r="BK905" s="81"/>
      <c r="BL905" s="66"/>
      <c r="BM905" s="66"/>
      <c r="BN905" s="66"/>
      <c r="BO905" s="66" t="str">
        <f>PROPER(TEXT(Prog_236[[#This Row],[PROGRAMAÇÃO CLIENTE]],"mmm"))</f>
        <v>Jan</v>
      </c>
      <c r="BP905" s="66">
        <f>YEAR(Prog_236[[#This Row],[PROGRAMAÇÃO CLIENTE]])</f>
        <v>1900</v>
      </c>
    </row>
    <row r="906" spans="1:68" x14ac:dyDescent="0.25">
      <c r="A906" s="201">
        <f>Prog_236[[#This Row],[CONTEINER]]</f>
        <v>0</v>
      </c>
      <c r="B906" s="86"/>
      <c r="C9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6" s="44"/>
      <c r="E906" s="66"/>
      <c r="F906" s="66"/>
      <c r="G906" s="66"/>
      <c r="H906" s="44"/>
      <c r="I906" s="44"/>
      <c r="J906" s="66"/>
      <c r="K906" s="66"/>
      <c r="L906" s="66"/>
      <c r="M906" s="66"/>
      <c r="N906" s="66">
        <f>SUM(Prog_236[[#This Row],[TARA]]+Prog_236[[#This Row],[PESO]])</f>
        <v>0</v>
      </c>
      <c r="O906" s="44"/>
      <c r="P906" s="66"/>
      <c r="Q906" s="66"/>
      <c r="R906" s="66"/>
      <c r="S906" s="66"/>
      <c r="T906" s="138" t="str">
        <f>IFERROR(LOOKUP($S906,MOTORISTAS!$D$3:$D$1048576,MOTORISTAS!E$3:$E$1048576),"")</f>
        <v/>
      </c>
      <c r="U906" s="138" t="str">
        <f>IFERROR(LOOKUP($S906,MOTORISTAS!$D$3:$D$1048576,MOTORISTAS!F$3:$F$1048576),"")</f>
        <v/>
      </c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44"/>
      <c r="AG906" s="254">
        <f>Prog_236[[#This Row],[SAÍDA DO CLIENTE]]-Prog_236[[#This Row],[PROGRAMAÇÃO CLIENTE]]</f>
        <v>0</v>
      </c>
      <c r="AH906" s="44"/>
      <c r="AI906" s="66"/>
      <c r="AJ906" s="66"/>
      <c r="AK906" s="66"/>
      <c r="AL906" s="66"/>
      <c r="AM906" s="66"/>
      <c r="AN906" s="83"/>
      <c r="AO906" s="66"/>
      <c r="AP906" s="66"/>
      <c r="AQ906" s="66"/>
      <c r="AR906" s="81"/>
      <c r="AS906" s="81"/>
      <c r="AT906" s="81"/>
      <c r="AU906" s="81"/>
      <c r="AV906" s="83">
        <f>SUM(Prog_236[[#This Row],[ADIANTAMENTO]]+Prog_236[[#This Row],[SALDO]]+Prog_236[[#This Row],[MARGEM]]+Prog_236[[#This Row],[ESTADIA 1]])</f>
        <v>0</v>
      </c>
      <c r="AW9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6" s="81"/>
      <c r="AY906" s="81"/>
      <c r="AZ906" s="81">
        <f>Prog_236[[#This Row],[VLR NF]]*0.1%</f>
        <v>0</v>
      </c>
      <c r="BA906" s="81">
        <f>Prog_236[[#This Row],[VLR NF]]*0.05%</f>
        <v>0</v>
      </c>
      <c r="BB906" s="81"/>
      <c r="BC906" s="81"/>
      <c r="BD906" s="81"/>
      <c r="BE906" s="81"/>
      <c r="BF906" s="81"/>
      <c r="BG906" s="81"/>
      <c r="BH906" s="81"/>
      <c r="BI906" s="81"/>
      <c r="BJ906" s="81"/>
      <c r="BK906" s="81"/>
      <c r="BL906" s="66"/>
      <c r="BM906" s="66"/>
      <c r="BN906" s="66"/>
      <c r="BO906" s="66" t="str">
        <f>PROPER(TEXT(Prog_236[[#This Row],[PROGRAMAÇÃO CLIENTE]],"mmm"))</f>
        <v>Jan</v>
      </c>
      <c r="BP906" s="66">
        <f>YEAR(Prog_236[[#This Row],[PROGRAMAÇÃO CLIENTE]])</f>
        <v>1900</v>
      </c>
    </row>
    <row r="907" spans="1:68" x14ac:dyDescent="0.25">
      <c r="A907" s="200">
        <f>Prog_236[[#This Row],[CONTEINER]]</f>
        <v>0</v>
      </c>
      <c r="B907" s="86"/>
      <c r="C9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7" s="44"/>
      <c r="E907" s="66"/>
      <c r="F907" s="66"/>
      <c r="G907" s="66"/>
      <c r="H907" s="44"/>
      <c r="I907" s="44"/>
      <c r="J907" s="66"/>
      <c r="K907" s="66"/>
      <c r="L907" s="66"/>
      <c r="M907" s="66"/>
      <c r="N907" s="66">
        <f>SUM(Prog_236[[#This Row],[TARA]]+Prog_236[[#This Row],[PESO]])</f>
        <v>0</v>
      </c>
      <c r="O907" s="44"/>
      <c r="P907" s="66"/>
      <c r="Q907" s="66"/>
      <c r="R907" s="66"/>
      <c r="S907" s="66"/>
      <c r="T907" s="138" t="str">
        <f>IFERROR(LOOKUP($S907,MOTORISTAS!$D$3:$D$1048576,MOTORISTAS!E$3:$E$1048576),"")</f>
        <v/>
      </c>
      <c r="U907" s="138" t="str">
        <f>IFERROR(LOOKUP($S907,MOTORISTAS!$D$3:$D$1048576,MOTORISTAS!F$3:$F$1048576),"")</f>
        <v/>
      </c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44"/>
      <c r="AG907" s="254">
        <f>Prog_236[[#This Row],[SAÍDA DO CLIENTE]]-Prog_236[[#This Row],[PROGRAMAÇÃO CLIENTE]]</f>
        <v>0</v>
      </c>
      <c r="AH907" s="44"/>
      <c r="AI907" s="66"/>
      <c r="AJ907" s="66"/>
      <c r="AK907" s="66"/>
      <c r="AL907" s="66"/>
      <c r="AM907" s="66"/>
      <c r="AN907" s="83"/>
      <c r="AO907" s="66"/>
      <c r="AP907" s="66"/>
      <c r="AQ907" s="66"/>
      <c r="AR907" s="81"/>
      <c r="AS907" s="81"/>
      <c r="AT907" s="81"/>
      <c r="AU907" s="81"/>
      <c r="AV907" s="83">
        <f>SUM(Prog_236[[#This Row],[ADIANTAMENTO]]+Prog_236[[#This Row],[SALDO]]+Prog_236[[#This Row],[MARGEM]]+Prog_236[[#This Row],[ESTADIA 1]])</f>
        <v>0</v>
      </c>
      <c r="AW9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7" s="81"/>
      <c r="AY907" s="81"/>
      <c r="AZ907" s="81">
        <f>Prog_236[[#This Row],[VLR NF]]*0.1%</f>
        <v>0</v>
      </c>
      <c r="BA907" s="81">
        <f>Prog_236[[#This Row],[VLR NF]]*0.05%</f>
        <v>0</v>
      </c>
      <c r="BB907" s="81"/>
      <c r="BC907" s="81"/>
      <c r="BD907" s="81"/>
      <c r="BE907" s="81"/>
      <c r="BF907" s="81"/>
      <c r="BG907" s="81"/>
      <c r="BH907" s="81"/>
      <c r="BI907" s="81"/>
      <c r="BJ907" s="81"/>
      <c r="BK907" s="81"/>
      <c r="BL907" s="66"/>
      <c r="BM907" s="66"/>
      <c r="BN907" s="66"/>
      <c r="BO907" s="66" t="str">
        <f>PROPER(TEXT(Prog_236[[#This Row],[PROGRAMAÇÃO CLIENTE]],"mmm"))</f>
        <v>Jan</v>
      </c>
      <c r="BP907" s="66">
        <f>YEAR(Prog_236[[#This Row],[PROGRAMAÇÃO CLIENTE]])</f>
        <v>1900</v>
      </c>
    </row>
    <row r="908" spans="1:68" x14ac:dyDescent="0.25">
      <c r="A908" s="201">
        <f>Prog_236[[#This Row],[CONTEINER]]</f>
        <v>0</v>
      </c>
      <c r="B908" s="86"/>
      <c r="C9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8" s="44"/>
      <c r="E908" s="66"/>
      <c r="F908" s="66"/>
      <c r="G908" s="66"/>
      <c r="H908" s="44"/>
      <c r="I908" s="44"/>
      <c r="J908" s="66"/>
      <c r="K908" s="66"/>
      <c r="L908" s="66"/>
      <c r="M908" s="66"/>
      <c r="N908" s="66">
        <f>SUM(Prog_236[[#This Row],[TARA]]+Prog_236[[#This Row],[PESO]])</f>
        <v>0</v>
      </c>
      <c r="O908" s="44"/>
      <c r="P908" s="66"/>
      <c r="Q908" s="66"/>
      <c r="R908" s="66"/>
      <c r="S908" s="66"/>
      <c r="T908" s="138" t="str">
        <f>IFERROR(LOOKUP($S908,MOTORISTAS!$D$3:$D$1048576,MOTORISTAS!E$3:$E$1048576),"")</f>
        <v/>
      </c>
      <c r="U908" s="138" t="str">
        <f>IFERROR(LOOKUP($S908,MOTORISTAS!$D$3:$D$1048576,MOTORISTAS!F$3:$F$1048576),"")</f>
        <v/>
      </c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44"/>
      <c r="AG908" s="254">
        <f>Prog_236[[#This Row],[SAÍDA DO CLIENTE]]-Prog_236[[#This Row],[PROGRAMAÇÃO CLIENTE]]</f>
        <v>0</v>
      </c>
      <c r="AH908" s="44"/>
      <c r="AI908" s="66"/>
      <c r="AJ908" s="66"/>
      <c r="AK908" s="66"/>
      <c r="AL908" s="66"/>
      <c r="AM908" s="66"/>
      <c r="AN908" s="83"/>
      <c r="AO908" s="66"/>
      <c r="AP908" s="66"/>
      <c r="AQ908" s="66"/>
      <c r="AR908" s="81"/>
      <c r="AS908" s="81"/>
      <c r="AT908" s="81"/>
      <c r="AU908" s="81"/>
      <c r="AV908" s="83">
        <f>SUM(Prog_236[[#This Row],[ADIANTAMENTO]]+Prog_236[[#This Row],[SALDO]]+Prog_236[[#This Row],[MARGEM]]+Prog_236[[#This Row],[ESTADIA 1]])</f>
        <v>0</v>
      </c>
      <c r="AW9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8" s="81"/>
      <c r="AY908" s="81"/>
      <c r="AZ908" s="81">
        <f>Prog_236[[#This Row],[VLR NF]]*0.1%</f>
        <v>0</v>
      </c>
      <c r="BA908" s="81">
        <f>Prog_236[[#This Row],[VLR NF]]*0.05%</f>
        <v>0</v>
      </c>
      <c r="BB908" s="81"/>
      <c r="BC908" s="81"/>
      <c r="BD908" s="81"/>
      <c r="BE908" s="81"/>
      <c r="BF908" s="81"/>
      <c r="BG908" s="81"/>
      <c r="BH908" s="81"/>
      <c r="BI908" s="81"/>
      <c r="BJ908" s="81"/>
      <c r="BK908" s="81"/>
      <c r="BL908" s="66"/>
      <c r="BM908" s="66"/>
      <c r="BN908" s="66"/>
      <c r="BO908" s="66" t="str">
        <f>PROPER(TEXT(Prog_236[[#This Row],[PROGRAMAÇÃO CLIENTE]],"mmm"))</f>
        <v>Jan</v>
      </c>
      <c r="BP908" s="66">
        <f>YEAR(Prog_236[[#This Row],[PROGRAMAÇÃO CLIENTE]])</f>
        <v>1900</v>
      </c>
    </row>
    <row r="909" spans="1:68" x14ac:dyDescent="0.25">
      <c r="A909" s="200">
        <f>Prog_236[[#This Row],[CONTEINER]]</f>
        <v>0</v>
      </c>
      <c r="B909" s="86"/>
      <c r="C9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09" s="44"/>
      <c r="E909" s="66"/>
      <c r="F909" s="66"/>
      <c r="G909" s="66"/>
      <c r="H909" s="44"/>
      <c r="I909" s="44"/>
      <c r="J909" s="66"/>
      <c r="K909" s="66"/>
      <c r="L909" s="66"/>
      <c r="M909" s="66"/>
      <c r="N909" s="66">
        <f>SUM(Prog_236[[#This Row],[TARA]]+Prog_236[[#This Row],[PESO]])</f>
        <v>0</v>
      </c>
      <c r="O909" s="44"/>
      <c r="P909" s="66"/>
      <c r="Q909" s="66"/>
      <c r="R909" s="66"/>
      <c r="S909" s="66"/>
      <c r="T909" s="138" t="str">
        <f>IFERROR(LOOKUP($S909,MOTORISTAS!$D$3:$D$1048576,MOTORISTAS!E$3:$E$1048576),"")</f>
        <v/>
      </c>
      <c r="U909" s="138" t="str">
        <f>IFERROR(LOOKUP($S909,MOTORISTAS!$D$3:$D$1048576,MOTORISTAS!F$3:$F$1048576),"")</f>
        <v/>
      </c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44"/>
      <c r="AG909" s="254">
        <f>Prog_236[[#This Row],[SAÍDA DO CLIENTE]]-Prog_236[[#This Row],[PROGRAMAÇÃO CLIENTE]]</f>
        <v>0</v>
      </c>
      <c r="AH909" s="44"/>
      <c r="AI909" s="66"/>
      <c r="AJ909" s="66"/>
      <c r="AK909" s="66"/>
      <c r="AL909" s="66"/>
      <c r="AM909" s="66"/>
      <c r="AN909" s="83"/>
      <c r="AO909" s="66"/>
      <c r="AP909" s="66"/>
      <c r="AQ909" s="66"/>
      <c r="AR909" s="81"/>
      <c r="AS909" s="81"/>
      <c r="AT909" s="81"/>
      <c r="AU909" s="81"/>
      <c r="AV909" s="83">
        <f>SUM(Prog_236[[#This Row],[ADIANTAMENTO]]+Prog_236[[#This Row],[SALDO]]+Prog_236[[#This Row],[MARGEM]]+Prog_236[[#This Row],[ESTADIA 1]])</f>
        <v>0</v>
      </c>
      <c r="AW9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09" s="81"/>
      <c r="AY909" s="81"/>
      <c r="AZ909" s="81">
        <f>Prog_236[[#This Row],[VLR NF]]*0.1%</f>
        <v>0</v>
      </c>
      <c r="BA909" s="81">
        <f>Prog_236[[#This Row],[VLR NF]]*0.05%</f>
        <v>0</v>
      </c>
      <c r="BB909" s="81"/>
      <c r="BC909" s="81"/>
      <c r="BD909" s="81"/>
      <c r="BE909" s="81"/>
      <c r="BF909" s="81"/>
      <c r="BG909" s="81"/>
      <c r="BH909" s="81"/>
      <c r="BI909" s="81"/>
      <c r="BJ909" s="81"/>
      <c r="BK909" s="81"/>
      <c r="BL909" s="66"/>
      <c r="BM909" s="66"/>
      <c r="BN909" s="66"/>
      <c r="BO909" s="66" t="str">
        <f>PROPER(TEXT(Prog_236[[#This Row],[PROGRAMAÇÃO CLIENTE]],"mmm"))</f>
        <v>Jan</v>
      </c>
      <c r="BP909" s="66">
        <f>YEAR(Prog_236[[#This Row],[PROGRAMAÇÃO CLIENTE]])</f>
        <v>1900</v>
      </c>
    </row>
    <row r="910" spans="1:68" x14ac:dyDescent="0.25">
      <c r="A910" s="201">
        <f>Prog_236[[#This Row],[CONTEINER]]</f>
        <v>0</v>
      </c>
      <c r="B910" s="86"/>
      <c r="C9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0" s="44"/>
      <c r="E910" s="66"/>
      <c r="F910" s="66"/>
      <c r="G910" s="66"/>
      <c r="H910" s="44"/>
      <c r="I910" s="44"/>
      <c r="J910" s="66"/>
      <c r="K910" s="66"/>
      <c r="L910" s="66"/>
      <c r="M910" s="66"/>
      <c r="N910" s="66">
        <f>SUM(Prog_236[[#This Row],[TARA]]+Prog_236[[#This Row],[PESO]])</f>
        <v>0</v>
      </c>
      <c r="O910" s="44"/>
      <c r="P910" s="66"/>
      <c r="Q910" s="66"/>
      <c r="R910" s="66"/>
      <c r="S910" s="66"/>
      <c r="T910" s="138" t="str">
        <f>IFERROR(LOOKUP($S910,MOTORISTAS!$D$3:$D$1048576,MOTORISTAS!E$3:$E$1048576),"")</f>
        <v/>
      </c>
      <c r="U910" s="138" t="str">
        <f>IFERROR(LOOKUP($S910,MOTORISTAS!$D$3:$D$1048576,MOTORISTAS!F$3:$F$1048576),"")</f>
        <v/>
      </c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44"/>
      <c r="AG910" s="254">
        <f>Prog_236[[#This Row],[SAÍDA DO CLIENTE]]-Prog_236[[#This Row],[PROGRAMAÇÃO CLIENTE]]</f>
        <v>0</v>
      </c>
      <c r="AH910" s="44"/>
      <c r="AI910" s="66"/>
      <c r="AJ910" s="66"/>
      <c r="AK910" s="66"/>
      <c r="AL910" s="66"/>
      <c r="AM910" s="66"/>
      <c r="AN910" s="83"/>
      <c r="AO910" s="66"/>
      <c r="AP910" s="66"/>
      <c r="AQ910" s="66"/>
      <c r="AR910" s="81"/>
      <c r="AS910" s="81"/>
      <c r="AT910" s="81"/>
      <c r="AU910" s="81"/>
      <c r="AV910" s="83">
        <f>SUM(Prog_236[[#This Row],[ADIANTAMENTO]]+Prog_236[[#This Row],[SALDO]]+Prog_236[[#This Row],[MARGEM]]+Prog_236[[#This Row],[ESTADIA 1]])</f>
        <v>0</v>
      </c>
      <c r="AW9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0" s="81"/>
      <c r="AY910" s="81"/>
      <c r="AZ910" s="81">
        <f>Prog_236[[#This Row],[VLR NF]]*0.1%</f>
        <v>0</v>
      </c>
      <c r="BA910" s="81">
        <f>Prog_236[[#This Row],[VLR NF]]*0.05%</f>
        <v>0</v>
      </c>
      <c r="BB910" s="81"/>
      <c r="BC910" s="81"/>
      <c r="BD910" s="81"/>
      <c r="BE910" s="81"/>
      <c r="BF910" s="81"/>
      <c r="BG910" s="81"/>
      <c r="BH910" s="81"/>
      <c r="BI910" s="81"/>
      <c r="BJ910" s="81"/>
      <c r="BK910" s="81"/>
      <c r="BL910" s="66"/>
      <c r="BM910" s="66"/>
      <c r="BN910" s="66"/>
      <c r="BO910" s="66" t="str">
        <f>PROPER(TEXT(Prog_236[[#This Row],[PROGRAMAÇÃO CLIENTE]],"mmm"))</f>
        <v>Jan</v>
      </c>
      <c r="BP910" s="66">
        <f>YEAR(Prog_236[[#This Row],[PROGRAMAÇÃO CLIENTE]])</f>
        <v>1900</v>
      </c>
    </row>
    <row r="911" spans="1:68" x14ac:dyDescent="0.25">
      <c r="A911" s="200">
        <f>Prog_236[[#This Row],[CONTEINER]]</f>
        <v>0</v>
      </c>
      <c r="B911" s="86"/>
      <c r="C9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1" s="44"/>
      <c r="E911" s="66"/>
      <c r="F911" s="66"/>
      <c r="G911" s="66"/>
      <c r="H911" s="44"/>
      <c r="I911" s="44"/>
      <c r="J911" s="66"/>
      <c r="K911" s="66"/>
      <c r="L911" s="66"/>
      <c r="M911" s="66"/>
      <c r="N911" s="66">
        <f>SUM(Prog_236[[#This Row],[TARA]]+Prog_236[[#This Row],[PESO]])</f>
        <v>0</v>
      </c>
      <c r="O911" s="44"/>
      <c r="P911" s="66"/>
      <c r="Q911" s="66"/>
      <c r="R911" s="66"/>
      <c r="S911" s="66"/>
      <c r="T911" s="138" t="str">
        <f>IFERROR(LOOKUP($S911,MOTORISTAS!$D$3:$D$1048576,MOTORISTAS!E$3:$E$1048576),"")</f>
        <v/>
      </c>
      <c r="U911" s="138" t="str">
        <f>IFERROR(LOOKUP($S911,MOTORISTAS!$D$3:$D$1048576,MOTORISTAS!F$3:$F$1048576),"")</f>
        <v/>
      </c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44"/>
      <c r="AG911" s="254">
        <f>Prog_236[[#This Row],[SAÍDA DO CLIENTE]]-Prog_236[[#This Row],[PROGRAMAÇÃO CLIENTE]]</f>
        <v>0</v>
      </c>
      <c r="AH911" s="44"/>
      <c r="AI911" s="66"/>
      <c r="AJ911" s="66"/>
      <c r="AK911" s="66"/>
      <c r="AL911" s="66"/>
      <c r="AM911" s="66"/>
      <c r="AN911" s="83"/>
      <c r="AO911" s="66"/>
      <c r="AP911" s="66"/>
      <c r="AQ911" s="66"/>
      <c r="AR911" s="81"/>
      <c r="AS911" s="81"/>
      <c r="AT911" s="81"/>
      <c r="AU911" s="81"/>
      <c r="AV911" s="83">
        <f>SUM(Prog_236[[#This Row],[ADIANTAMENTO]]+Prog_236[[#This Row],[SALDO]]+Prog_236[[#This Row],[MARGEM]]+Prog_236[[#This Row],[ESTADIA 1]])</f>
        <v>0</v>
      </c>
      <c r="AW9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1" s="81"/>
      <c r="AY911" s="81"/>
      <c r="AZ911" s="81">
        <f>Prog_236[[#This Row],[VLR NF]]*0.1%</f>
        <v>0</v>
      </c>
      <c r="BA911" s="81">
        <f>Prog_236[[#This Row],[VLR NF]]*0.05%</f>
        <v>0</v>
      </c>
      <c r="BB911" s="81"/>
      <c r="BC911" s="81"/>
      <c r="BD911" s="81"/>
      <c r="BE911" s="81"/>
      <c r="BF911" s="81"/>
      <c r="BG911" s="81"/>
      <c r="BH911" s="81"/>
      <c r="BI911" s="81"/>
      <c r="BJ911" s="81"/>
      <c r="BK911" s="81"/>
      <c r="BL911" s="66"/>
      <c r="BM911" s="66"/>
      <c r="BN911" s="66"/>
      <c r="BO911" s="66" t="str">
        <f>PROPER(TEXT(Prog_236[[#This Row],[PROGRAMAÇÃO CLIENTE]],"mmm"))</f>
        <v>Jan</v>
      </c>
      <c r="BP911" s="66">
        <f>YEAR(Prog_236[[#This Row],[PROGRAMAÇÃO CLIENTE]])</f>
        <v>1900</v>
      </c>
    </row>
    <row r="912" spans="1:68" x14ac:dyDescent="0.25">
      <c r="A912" s="201">
        <f>Prog_236[[#This Row],[CONTEINER]]</f>
        <v>0</v>
      </c>
      <c r="B912" s="86"/>
      <c r="C9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2" s="44"/>
      <c r="E912" s="66"/>
      <c r="F912" s="66"/>
      <c r="G912" s="66"/>
      <c r="H912" s="44"/>
      <c r="I912" s="44"/>
      <c r="J912" s="66"/>
      <c r="K912" s="66"/>
      <c r="L912" s="66"/>
      <c r="M912" s="66"/>
      <c r="N912" s="66">
        <f>SUM(Prog_236[[#This Row],[TARA]]+Prog_236[[#This Row],[PESO]])</f>
        <v>0</v>
      </c>
      <c r="O912" s="44"/>
      <c r="P912" s="66"/>
      <c r="Q912" s="66"/>
      <c r="R912" s="66"/>
      <c r="S912" s="66"/>
      <c r="T912" s="138" t="str">
        <f>IFERROR(LOOKUP($S912,MOTORISTAS!$D$3:$D$1048576,MOTORISTAS!E$3:$E$1048576),"")</f>
        <v/>
      </c>
      <c r="U912" s="138" t="str">
        <f>IFERROR(LOOKUP($S912,MOTORISTAS!$D$3:$D$1048576,MOTORISTAS!F$3:$F$1048576),"")</f>
        <v/>
      </c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44"/>
      <c r="AG912" s="254">
        <f>Prog_236[[#This Row],[SAÍDA DO CLIENTE]]-Prog_236[[#This Row],[PROGRAMAÇÃO CLIENTE]]</f>
        <v>0</v>
      </c>
      <c r="AH912" s="44"/>
      <c r="AI912" s="66"/>
      <c r="AJ912" s="66"/>
      <c r="AK912" s="66"/>
      <c r="AL912" s="66"/>
      <c r="AM912" s="66"/>
      <c r="AN912" s="83"/>
      <c r="AO912" s="66"/>
      <c r="AP912" s="66"/>
      <c r="AQ912" s="66"/>
      <c r="AR912" s="81"/>
      <c r="AS912" s="81"/>
      <c r="AT912" s="81"/>
      <c r="AU912" s="81"/>
      <c r="AV912" s="83">
        <f>SUM(Prog_236[[#This Row],[ADIANTAMENTO]]+Prog_236[[#This Row],[SALDO]]+Prog_236[[#This Row],[MARGEM]]+Prog_236[[#This Row],[ESTADIA 1]])</f>
        <v>0</v>
      </c>
      <c r="AW9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2" s="81"/>
      <c r="AY912" s="81"/>
      <c r="AZ912" s="81">
        <f>Prog_236[[#This Row],[VLR NF]]*0.1%</f>
        <v>0</v>
      </c>
      <c r="BA912" s="81">
        <f>Prog_236[[#This Row],[VLR NF]]*0.05%</f>
        <v>0</v>
      </c>
      <c r="BB912" s="81"/>
      <c r="BC912" s="81"/>
      <c r="BD912" s="81"/>
      <c r="BE912" s="81"/>
      <c r="BF912" s="81"/>
      <c r="BG912" s="81"/>
      <c r="BH912" s="81"/>
      <c r="BI912" s="81"/>
      <c r="BJ912" s="81"/>
      <c r="BK912" s="81"/>
      <c r="BL912" s="66"/>
      <c r="BM912" s="66"/>
      <c r="BN912" s="66"/>
      <c r="BO912" s="66" t="str">
        <f>PROPER(TEXT(Prog_236[[#This Row],[PROGRAMAÇÃO CLIENTE]],"mmm"))</f>
        <v>Jan</v>
      </c>
      <c r="BP912" s="66">
        <f>YEAR(Prog_236[[#This Row],[PROGRAMAÇÃO CLIENTE]])</f>
        <v>1900</v>
      </c>
    </row>
    <row r="913" spans="1:68" x14ac:dyDescent="0.25">
      <c r="A913" s="200">
        <f>Prog_236[[#This Row],[CONTEINER]]</f>
        <v>0</v>
      </c>
      <c r="B913" s="86"/>
      <c r="C9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3" s="44"/>
      <c r="E913" s="66"/>
      <c r="F913" s="66"/>
      <c r="G913" s="66"/>
      <c r="H913" s="44"/>
      <c r="I913" s="44"/>
      <c r="J913" s="66"/>
      <c r="K913" s="66"/>
      <c r="L913" s="66"/>
      <c r="M913" s="66"/>
      <c r="N913" s="66">
        <f>SUM(Prog_236[[#This Row],[TARA]]+Prog_236[[#This Row],[PESO]])</f>
        <v>0</v>
      </c>
      <c r="O913" s="44"/>
      <c r="P913" s="66"/>
      <c r="Q913" s="66"/>
      <c r="R913" s="66"/>
      <c r="S913" s="66"/>
      <c r="T913" s="138" t="str">
        <f>IFERROR(LOOKUP($S913,MOTORISTAS!$D$3:$D$1048576,MOTORISTAS!E$3:$E$1048576),"")</f>
        <v/>
      </c>
      <c r="U913" s="138" t="str">
        <f>IFERROR(LOOKUP($S913,MOTORISTAS!$D$3:$D$1048576,MOTORISTAS!F$3:$F$1048576),"")</f>
        <v/>
      </c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44"/>
      <c r="AG913" s="254">
        <f>Prog_236[[#This Row],[SAÍDA DO CLIENTE]]-Prog_236[[#This Row],[PROGRAMAÇÃO CLIENTE]]</f>
        <v>0</v>
      </c>
      <c r="AH913" s="44"/>
      <c r="AI913" s="66"/>
      <c r="AJ913" s="66"/>
      <c r="AK913" s="66"/>
      <c r="AL913" s="66"/>
      <c r="AM913" s="66"/>
      <c r="AN913" s="83"/>
      <c r="AO913" s="66"/>
      <c r="AP913" s="66"/>
      <c r="AQ913" s="66"/>
      <c r="AR913" s="81"/>
      <c r="AS913" s="81"/>
      <c r="AT913" s="81"/>
      <c r="AU913" s="81"/>
      <c r="AV913" s="83">
        <f>SUM(Prog_236[[#This Row],[ADIANTAMENTO]]+Prog_236[[#This Row],[SALDO]]+Prog_236[[#This Row],[MARGEM]]+Prog_236[[#This Row],[ESTADIA 1]])</f>
        <v>0</v>
      </c>
      <c r="AW9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3" s="81"/>
      <c r="AY913" s="81"/>
      <c r="AZ913" s="81">
        <f>Prog_236[[#This Row],[VLR NF]]*0.1%</f>
        <v>0</v>
      </c>
      <c r="BA913" s="81">
        <f>Prog_236[[#This Row],[VLR NF]]*0.05%</f>
        <v>0</v>
      </c>
      <c r="BB913" s="81"/>
      <c r="BC913" s="81"/>
      <c r="BD913" s="81"/>
      <c r="BE913" s="81"/>
      <c r="BF913" s="81"/>
      <c r="BG913" s="81"/>
      <c r="BH913" s="81"/>
      <c r="BI913" s="81"/>
      <c r="BJ913" s="81"/>
      <c r="BK913" s="81"/>
      <c r="BL913" s="66"/>
      <c r="BM913" s="66"/>
      <c r="BN913" s="66"/>
      <c r="BO913" s="66" t="str">
        <f>PROPER(TEXT(Prog_236[[#This Row],[PROGRAMAÇÃO CLIENTE]],"mmm"))</f>
        <v>Jan</v>
      </c>
      <c r="BP913" s="66">
        <f>YEAR(Prog_236[[#This Row],[PROGRAMAÇÃO CLIENTE]])</f>
        <v>1900</v>
      </c>
    </row>
    <row r="914" spans="1:68" x14ac:dyDescent="0.25">
      <c r="A914" s="201">
        <f>Prog_236[[#This Row],[CONTEINER]]</f>
        <v>0</v>
      </c>
      <c r="B914" s="86"/>
      <c r="C9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4" s="44"/>
      <c r="E914" s="66"/>
      <c r="F914" s="66"/>
      <c r="G914" s="66"/>
      <c r="H914" s="44"/>
      <c r="I914" s="44"/>
      <c r="J914" s="66"/>
      <c r="K914" s="66"/>
      <c r="L914" s="66"/>
      <c r="M914" s="66"/>
      <c r="N914" s="66">
        <f>SUM(Prog_236[[#This Row],[TARA]]+Prog_236[[#This Row],[PESO]])</f>
        <v>0</v>
      </c>
      <c r="O914" s="44"/>
      <c r="P914" s="66"/>
      <c r="Q914" s="66"/>
      <c r="R914" s="66"/>
      <c r="S914" s="66"/>
      <c r="T914" s="138" t="str">
        <f>IFERROR(LOOKUP($S914,MOTORISTAS!$D$3:$D$1048576,MOTORISTAS!E$3:$E$1048576),"")</f>
        <v/>
      </c>
      <c r="U914" s="138" t="str">
        <f>IFERROR(LOOKUP($S914,MOTORISTAS!$D$3:$D$1048576,MOTORISTAS!F$3:$F$1048576),"")</f>
        <v/>
      </c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44"/>
      <c r="AG914" s="254">
        <f>Prog_236[[#This Row],[SAÍDA DO CLIENTE]]-Prog_236[[#This Row],[PROGRAMAÇÃO CLIENTE]]</f>
        <v>0</v>
      </c>
      <c r="AH914" s="44"/>
      <c r="AI914" s="66"/>
      <c r="AJ914" s="66"/>
      <c r="AK914" s="66"/>
      <c r="AL914" s="66"/>
      <c r="AM914" s="66"/>
      <c r="AN914" s="83"/>
      <c r="AO914" s="66"/>
      <c r="AP914" s="66"/>
      <c r="AQ914" s="66"/>
      <c r="AR914" s="81"/>
      <c r="AS914" s="81"/>
      <c r="AT914" s="81"/>
      <c r="AU914" s="81"/>
      <c r="AV914" s="83">
        <f>SUM(Prog_236[[#This Row],[ADIANTAMENTO]]+Prog_236[[#This Row],[SALDO]]+Prog_236[[#This Row],[MARGEM]]+Prog_236[[#This Row],[ESTADIA 1]])</f>
        <v>0</v>
      </c>
      <c r="AW9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4" s="81"/>
      <c r="AY914" s="81"/>
      <c r="AZ914" s="81">
        <f>Prog_236[[#This Row],[VLR NF]]*0.1%</f>
        <v>0</v>
      </c>
      <c r="BA914" s="81">
        <f>Prog_236[[#This Row],[VLR NF]]*0.05%</f>
        <v>0</v>
      </c>
      <c r="BB914" s="81"/>
      <c r="BC914" s="81"/>
      <c r="BD914" s="81"/>
      <c r="BE914" s="81"/>
      <c r="BF914" s="81"/>
      <c r="BG914" s="81"/>
      <c r="BH914" s="81"/>
      <c r="BI914" s="81"/>
      <c r="BJ914" s="81"/>
      <c r="BK914" s="81"/>
      <c r="BL914" s="66"/>
      <c r="BM914" s="66"/>
      <c r="BN914" s="66"/>
      <c r="BO914" s="66" t="str">
        <f>PROPER(TEXT(Prog_236[[#This Row],[PROGRAMAÇÃO CLIENTE]],"mmm"))</f>
        <v>Jan</v>
      </c>
      <c r="BP914" s="66">
        <f>YEAR(Prog_236[[#This Row],[PROGRAMAÇÃO CLIENTE]])</f>
        <v>1900</v>
      </c>
    </row>
    <row r="915" spans="1:68" x14ac:dyDescent="0.25">
      <c r="A915" s="200">
        <f>Prog_236[[#This Row],[CONTEINER]]</f>
        <v>0</v>
      </c>
      <c r="B915" s="86"/>
      <c r="C9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5" s="44"/>
      <c r="E915" s="66"/>
      <c r="F915" s="66"/>
      <c r="G915" s="66"/>
      <c r="H915" s="44"/>
      <c r="I915" s="44"/>
      <c r="J915" s="66"/>
      <c r="K915" s="66"/>
      <c r="L915" s="66"/>
      <c r="M915" s="66"/>
      <c r="N915" s="66">
        <f>SUM(Prog_236[[#This Row],[TARA]]+Prog_236[[#This Row],[PESO]])</f>
        <v>0</v>
      </c>
      <c r="O915" s="44"/>
      <c r="P915" s="66"/>
      <c r="Q915" s="66"/>
      <c r="R915" s="66"/>
      <c r="S915" s="66"/>
      <c r="T915" s="138" t="str">
        <f>IFERROR(LOOKUP($S915,MOTORISTAS!$D$3:$D$1048576,MOTORISTAS!E$3:$E$1048576),"")</f>
        <v/>
      </c>
      <c r="U915" s="138" t="str">
        <f>IFERROR(LOOKUP($S915,MOTORISTAS!$D$3:$D$1048576,MOTORISTAS!F$3:$F$1048576),"")</f>
        <v/>
      </c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44"/>
      <c r="AG915" s="254">
        <f>Prog_236[[#This Row],[SAÍDA DO CLIENTE]]-Prog_236[[#This Row],[PROGRAMAÇÃO CLIENTE]]</f>
        <v>0</v>
      </c>
      <c r="AH915" s="44"/>
      <c r="AI915" s="66"/>
      <c r="AJ915" s="66"/>
      <c r="AK915" s="66"/>
      <c r="AL915" s="66"/>
      <c r="AM915" s="66"/>
      <c r="AN915" s="83"/>
      <c r="AO915" s="66"/>
      <c r="AP915" s="66"/>
      <c r="AQ915" s="66"/>
      <c r="AR915" s="81"/>
      <c r="AS915" s="81"/>
      <c r="AT915" s="81"/>
      <c r="AU915" s="81"/>
      <c r="AV915" s="83">
        <f>SUM(Prog_236[[#This Row],[ADIANTAMENTO]]+Prog_236[[#This Row],[SALDO]]+Prog_236[[#This Row],[MARGEM]]+Prog_236[[#This Row],[ESTADIA 1]])</f>
        <v>0</v>
      </c>
      <c r="AW9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5" s="81"/>
      <c r="AY915" s="81"/>
      <c r="AZ915" s="81">
        <f>Prog_236[[#This Row],[VLR NF]]*0.1%</f>
        <v>0</v>
      </c>
      <c r="BA915" s="81">
        <f>Prog_236[[#This Row],[VLR NF]]*0.05%</f>
        <v>0</v>
      </c>
      <c r="BB915" s="81"/>
      <c r="BC915" s="81"/>
      <c r="BD915" s="81"/>
      <c r="BE915" s="81"/>
      <c r="BF915" s="81"/>
      <c r="BG915" s="81"/>
      <c r="BH915" s="81"/>
      <c r="BI915" s="81"/>
      <c r="BJ915" s="81"/>
      <c r="BK915" s="81"/>
      <c r="BL915" s="66"/>
      <c r="BM915" s="66"/>
      <c r="BN915" s="66"/>
      <c r="BO915" s="66" t="str">
        <f>PROPER(TEXT(Prog_236[[#This Row],[PROGRAMAÇÃO CLIENTE]],"mmm"))</f>
        <v>Jan</v>
      </c>
      <c r="BP915" s="66">
        <f>YEAR(Prog_236[[#This Row],[PROGRAMAÇÃO CLIENTE]])</f>
        <v>1900</v>
      </c>
    </row>
    <row r="916" spans="1:68" x14ac:dyDescent="0.25">
      <c r="A916" s="201">
        <f>Prog_236[[#This Row],[CONTEINER]]</f>
        <v>0</v>
      </c>
      <c r="B916" s="86"/>
      <c r="C9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6" s="44"/>
      <c r="E916" s="66"/>
      <c r="F916" s="66"/>
      <c r="G916" s="66"/>
      <c r="H916" s="44"/>
      <c r="I916" s="44"/>
      <c r="J916" s="66"/>
      <c r="K916" s="66"/>
      <c r="L916" s="66"/>
      <c r="M916" s="66"/>
      <c r="N916" s="66">
        <f>SUM(Prog_236[[#This Row],[TARA]]+Prog_236[[#This Row],[PESO]])</f>
        <v>0</v>
      </c>
      <c r="O916" s="44"/>
      <c r="P916" s="66"/>
      <c r="Q916" s="66"/>
      <c r="R916" s="66"/>
      <c r="S916" s="66"/>
      <c r="T916" s="138" t="str">
        <f>IFERROR(LOOKUP($S916,MOTORISTAS!$D$3:$D$1048576,MOTORISTAS!E$3:$E$1048576),"")</f>
        <v/>
      </c>
      <c r="U916" s="138" t="str">
        <f>IFERROR(LOOKUP($S916,MOTORISTAS!$D$3:$D$1048576,MOTORISTAS!F$3:$F$1048576),"")</f>
        <v/>
      </c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44"/>
      <c r="AG916" s="254">
        <f>Prog_236[[#This Row],[SAÍDA DO CLIENTE]]-Prog_236[[#This Row],[PROGRAMAÇÃO CLIENTE]]</f>
        <v>0</v>
      </c>
      <c r="AH916" s="44"/>
      <c r="AI916" s="66"/>
      <c r="AJ916" s="66"/>
      <c r="AK916" s="66"/>
      <c r="AL916" s="66"/>
      <c r="AM916" s="66"/>
      <c r="AN916" s="83"/>
      <c r="AO916" s="66"/>
      <c r="AP916" s="66"/>
      <c r="AQ916" s="66"/>
      <c r="AR916" s="81"/>
      <c r="AS916" s="81"/>
      <c r="AT916" s="81"/>
      <c r="AU916" s="81"/>
      <c r="AV916" s="83">
        <f>SUM(Prog_236[[#This Row],[ADIANTAMENTO]]+Prog_236[[#This Row],[SALDO]]+Prog_236[[#This Row],[MARGEM]]+Prog_236[[#This Row],[ESTADIA 1]])</f>
        <v>0</v>
      </c>
      <c r="AW9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6" s="81"/>
      <c r="AY916" s="81"/>
      <c r="AZ916" s="81">
        <f>Prog_236[[#This Row],[VLR NF]]*0.1%</f>
        <v>0</v>
      </c>
      <c r="BA916" s="81">
        <f>Prog_236[[#This Row],[VLR NF]]*0.05%</f>
        <v>0</v>
      </c>
      <c r="BB916" s="81"/>
      <c r="BC916" s="81"/>
      <c r="BD916" s="81"/>
      <c r="BE916" s="81"/>
      <c r="BF916" s="81"/>
      <c r="BG916" s="81"/>
      <c r="BH916" s="81"/>
      <c r="BI916" s="81"/>
      <c r="BJ916" s="81"/>
      <c r="BK916" s="81"/>
      <c r="BL916" s="66"/>
      <c r="BM916" s="66"/>
      <c r="BN916" s="66"/>
      <c r="BO916" s="66" t="str">
        <f>PROPER(TEXT(Prog_236[[#This Row],[PROGRAMAÇÃO CLIENTE]],"mmm"))</f>
        <v>Jan</v>
      </c>
      <c r="BP916" s="66">
        <f>YEAR(Prog_236[[#This Row],[PROGRAMAÇÃO CLIENTE]])</f>
        <v>1900</v>
      </c>
    </row>
    <row r="917" spans="1:68" x14ac:dyDescent="0.25">
      <c r="A917" s="200">
        <f>Prog_236[[#This Row],[CONTEINER]]</f>
        <v>0</v>
      </c>
      <c r="B917" s="86"/>
      <c r="C9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7" s="44"/>
      <c r="E917" s="66"/>
      <c r="F917" s="66"/>
      <c r="G917" s="66"/>
      <c r="H917" s="44"/>
      <c r="I917" s="44"/>
      <c r="J917" s="66"/>
      <c r="K917" s="66"/>
      <c r="L917" s="66"/>
      <c r="M917" s="66"/>
      <c r="N917" s="66">
        <f>SUM(Prog_236[[#This Row],[TARA]]+Prog_236[[#This Row],[PESO]])</f>
        <v>0</v>
      </c>
      <c r="O917" s="44"/>
      <c r="P917" s="66"/>
      <c r="Q917" s="66"/>
      <c r="R917" s="66"/>
      <c r="S917" s="66"/>
      <c r="T917" s="138" t="str">
        <f>IFERROR(LOOKUP($S917,MOTORISTAS!$D$3:$D$1048576,MOTORISTAS!E$3:$E$1048576),"")</f>
        <v/>
      </c>
      <c r="U917" s="138" t="str">
        <f>IFERROR(LOOKUP($S917,MOTORISTAS!$D$3:$D$1048576,MOTORISTAS!F$3:$F$1048576),"")</f>
        <v/>
      </c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44"/>
      <c r="AG917" s="254">
        <f>Prog_236[[#This Row],[SAÍDA DO CLIENTE]]-Prog_236[[#This Row],[PROGRAMAÇÃO CLIENTE]]</f>
        <v>0</v>
      </c>
      <c r="AH917" s="44"/>
      <c r="AI917" s="66"/>
      <c r="AJ917" s="66"/>
      <c r="AK917" s="66"/>
      <c r="AL917" s="66"/>
      <c r="AM917" s="66"/>
      <c r="AN917" s="83"/>
      <c r="AO917" s="66"/>
      <c r="AP917" s="66"/>
      <c r="AQ917" s="66"/>
      <c r="AR917" s="81"/>
      <c r="AS917" s="81"/>
      <c r="AT917" s="81"/>
      <c r="AU917" s="81"/>
      <c r="AV917" s="83">
        <f>SUM(Prog_236[[#This Row],[ADIANTAMENTO]]+Prog_236[[#This Row],[SALDO]]+Prog_236[[#This Row],[MARGEM]]+Prog_236[[#This Row],[ESTADIA 1]])</f>
        <v>0</v>
      </c>
      <c r="AW9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7" s="81"/>
      <c r="AY917" s="81"/>
      <c r="AZ917" s="81">
        <f>Prog_236[[#This Row],[VLR NF]]*0.1%</f>
        <v>0</v>
      </c>
      <c r="BA917" s="81">
        <f>Prog_236[[#This Row],[VLR NF]]*0.05%</f>
        <v>0</v>
      </c>
      <c r="BB917" s="81"/>
      <c r="BC917" s="81"/>
      <c r="BD917" s="81"/>
      <c r="BE917" s="81"/>
      <c r="BF917" s="81"/>
      <c r="BG917" s="81"/>
      <c r="BH917" s="81"/>
      <c r="BI917" s="81"/>
      <c r="BJ917" s="81"/>
      <c r="BK917" s="81"/>
      <c r="BL917" s="66"/>
      <c r="BM917" s="66"/>
      <c r="BN917" s="66"/>
      <c r="BO917" s="66" t="str">
        <f>PROPER(TEXT(Prog_236[[#This Row],[PROGRAMAÇÃO CLIENTE]],"mmm"))</f>
        <v>Jan</v>
      </c>
      <c r="BP917" s="66">
        <f>YEAR(Prog_236[[#This Row],[PROGRAMAÇÃO CLIENTE]])</f>
        <v>1900</v>
      </c>
    </row>
    <row r="918" spans="1:68" x14ac:dyDescent="0.25">
      <c r="A918" s="201">
        <f>Prog_236[[#This Row],[CONTEINER]]</f>
        <v>0</v>
      </c>
      <c r="B918" s="86"/>
      <c r="C9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8" s="44"/>
      <c r="E918" s="66"/>
      <c r="F918" s="66"/>
      <c r="G918" s="66"/>
      <c r="H918" s="44"/>
      <c r="I918" s="44"/>
      <c r="J918" s="66"/>
      <c r="K918" s="66"/>
      <c r="L918" s="66"/>
      <c r="M918" s="66"/>
      <c r="N918" s="66">
        <f>SUM(Prog_236[[#This Row],[TARA]]+Prog_236[[#This Row],[PESO]])</f>
        <v>0</v>
      </c>
      <c r="O918" s="44"/>
      <c r="P918" s="66"/>
      <c r="Q918" s="66"/>
      <c r="R918" s="66"/>
      <c r="S918" s="66"/>
      <c r="T918" s="138" t="str">
        <f>IFERROR(LOOKUP($S918,MOTORISTAS!$D$3:$D$1048576,MOTORISTAS!E$3:$E$1048576),"")</f>
        <v/>
      </c>
      <c r="U918" s="138" t="str">
        <f>IFERROR(LOOKUP($S918,MOTORISTAS!$D$3:$D$1048576,MOTORISTAS!F$3:$F$1048576),"")</f>
        <v/>
      </c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44"/>
      <c r="AG918" s="254">
        <f>Prog_236[[#This Row],[SAÍDA DO CLIENTE]]-Prog_236[[#This Row],[PROGRAMAÇÃO CLIENTE]]</f>
        <v>0</v>
      </c>
      <c r="AH918" s="44"/>
      <c r="AI918" s="66"/>
      <c r="AJ918" s="66"/>
      <c r="AK918" s="66"/>
      <c r="AL918" s="66"/>
      <c r="AM918" s="66"/>
      <c r="AN918" s="83"/>
      <c r="AO918" s="66"/>
      <c r="AP918" s="66"/>
      <c r="AQ918" s="66"/>
      <c r="AR918" s="81"/>
      <c r="AS918" s="81"/>
      <c r="AT918" s="81"/>
      <c r="AU918" s="81"/>
      <c r="AV918" s="83">
        <f>SUM(Prog_236[[#This Row],[ADIANTAMENTO]]+Prog_236[[#This Row],[SALDO]]+Prog_236[[#This Row],[MARGEM]]+Prog_236[[#This Row],[ESTADIA 1]])</f>
        <v>0</v>
      </c>
      <c r="AW9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8" s="81"/>
      <c r="AY918" s="81"/>
      <c r="AZ918" s="81">
        <f>Prog_236[[#This Row],[VLR NF]]*0.1%</f>
        <v>0</v>
      </c>
      <c r="BA918" s="81">
        <f>Prog_236[[#This Row],[VLR NF]]*0.05%</f>
        <v>0</v>
      </c>
      <c r="BB918" s="81"/>
      <c r="BC918" s="81"/>
      <c r="BD918" s="81"/>
      <c r="BE918" s="81"/>
      <c r="BF918" s="81"/>
      <c r="BG918" s="81"/>
      <c r="BH918" s="81"/>
      <c r="BI918" s="81"/>
      <c r="BJ918" s="81"/>
      <c r="BK918" s="81"/>
      <c r="BL918" s="66"/>
      <c r="BM918" s="66"/>
      <c r="BN918" s="66"/>
      <c r="BO918" s="66" t="str">
        <f>PROPER(TEXT(Prog_236[[#This Row],[PROGRAMAÇÃO CLIENTE]],"mmm"))</f>
        <v>Jan</v>
      </c>
      <c r="BP918" s="66">
        <f>YEAR(Prog_236[[#This Row],[PROGRAMAÇÃO CLIENTE]])</f>
        <v>1900</v>
      </c>
    </row>
    <row r="919" spans="1:68" x14ac:dyDescent="0.25">
      <c r="A919" s="200">
        <f>Prog_236[[#This Row],[CONTEINER]]</f>
        <v>0</v>
      </c>
      <c r="B919" s="86"/>
      <c r="C9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19" s="44"/>
      <c r="E919" s="66"/>
      <c r="F919" s="66"/>
      <c r="G919" s="66"/>
      <c r="H919" s="44"/>
      <c r="I919" s="44"/>
      <c r="J919" s="66"/>
      <c r="K919" s="66"/>
      <c r="L919" s="66"/>
      <c r="M919" s="66"/>
      <c r="N919" s="66">
        <f>SUM(Prog_236[[#This Row],[TARA]]+Prog_236[[#This Row],[PESO]])</f>
        <v>0</v>
      </c>
      <c r="O919" s="44"/>
      <c r="P919" s="66"/>
      <c r="Q919" s="66"/>
      <c r="R919" s="66"/>
      <c r="S919" s="66"/>
      <c r="T919" s="138" t="str">
        <f>IFERROR(LOOKUP($S919,MOTORISTAS!$D$3:$D$1048576,MOTORISTAS!E$3:$E$1048576),"")</f>
        <v/>
      </c>
      <c r="U919" s="138" t="str">
        <f>IFERROR(LOOKUP($S919,MOTORISTAS!$D$3:$D$1048576,MOTORISTAS!F$3:$F$1048576),"")</f>
        <v/>
      </c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44"/>
      <c r="AG919" s="254">
        <f>Prog_236[[#This Row],[SAÍDA DO CLIENTE]]-Prog_236[[#This Row],[PROGRAMAÇÃO CLIENTE]]</f>
        <v>0</v>
      </c>
      <c r="AH919" s="44"/>
      <c r="AI919" s="66"/>
      <c r="AJ919" s="66"/>
      <c r="AK919" s="66"/>
      <c r="AL919" s="66"/>
      <c r="AM919" s="66"/>
      <c r="AN919" s="83"/>
      <c r="AO919" s="66"/>
      <c r="AP919" s="66"/>
      <c r="AQ919" s="66"/>
      <c r="AR919" s="81"/>
      <c r="AS919" s="81"/>
      <c r="AT919" s="81"/>
      <c r="AU919" s="81"/>
      <c r="AV919" s="83">
        <f>SUM(Prog_236[[#This Row],[ADIANTAMENTO]]+Prog_236[[#This Row],[SALDO]]+Prog_236[[#This Row],[MARGEM]]+Prog_236[[#This Row],[ESTADIA 1]])</f>
        <v>0</v>
      </c>
      <c r="AW9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19" s="81"/>
      <c r="AY919" s="81"/>
      <c r="AZ919" s="81">
        <f>Prog_236[[#This Row],[VLR NF]]*0.1%</f>
        <v>0</v>
      </c>
      <c r="BA919" s="81">
        <f>Prog_236[[#This Row],[VLR NF]]*0.05%</f>
        <v>0</v>
      </c>
      <c r="BB919" s="81"/>
      <c r="BC919" s="81"/>
      <c r="BD919" s="81"/>
      <c r="BE919" s="81"/>
      <c r="BF919" s="81"/>
      <c r="BG919" s="81"/>
      <c r="BH919" s="81"/>
      <c r="BI919" s="81"/>
      <c r="BJ919" s="81"/>
      <c r="BK919" s="81"/>
      <c r="BL919" s="66"/>
      <c r="BM919" s="66"/>
      <c r="BN919" s="66"/>
      <c r="BO919" s="66" t="str">
        <f>PROPER(TEXT(Prog_236[[#This Row],[PROGRAMAÇÃO CLIENTE]],"mmm"))</f>
        <v>Jan</v>
      </c>
      <c r="BP919" s="66">
        <f>YEAR(Prog_236[[#This Row],[PROGRAMAÇÃO CLIENTE]])</f>
        <v>1900</v>
      </c>
    </row>
    <row r="920" spans="1:68" x14ac:dyDescent="0.25">
      <c r="A920" s="201">
        <f>Prog_236[[#This Row],[CONTEINER]]</f>
        <v>0</v>
      </c>
      <c r="B920" s="86"/>
      <c r="C9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0" s="44"/>
      <c r="E920" s="66"/>
      <c r="F920" s="66"/>
      <c r="G920" s="66"/>
      <c r="H920" s="44"/>
      <c r="I920" s="44"/>
      <c r="J920" s="66"/>
      <c r="K920" s="66"/>
      <c r="L920" s="66"/>
      <c r="M920" s="66"/>
      <c r="N920" s="66">
        <f>SUM(Prog_236[[#This Row],[TARA]]+Prog_236[[#This Row],[PESO]])</f>
        <v>0</v>
      </c>
      <c r="O920" s="44"/>
      <c r="P920" s="66"/>
      <c r="Q920" s="66"/>
      <c r="R920" s="66"/>
      <c r="S920" s="66"/>
      <c r="T920" s="138" t="str">
        <f>IFERROR(LOOKUP($S920,MOTORISTAS!$D$3:$D$1048576,MOTORISTAS!E$3:$E$1048576),"")</f>
        <v/>
      </c>
      <c r="U920" s="138" t="str">
        <f>IFERROR(LOOKUP($S920,MOTORISTAS!$D$3:$D$1048576,MOTORISTAS!F$3:$F$1048576),"")</f>
        <v/>
      </c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44"/>
      <c r="AG920" s="254">
        <f>Prog_236[[#This Row],[SAÍDA DO CLIENTE]]-Prog_236[[#This Row],[PROGRAMAÇÃO CLIENTE]]</f>
        <v>0</v>
      </c>
      <c r="AH920" s="44"/>
      <c r="AI920" s="66"/>
      <c r="AJ920" s="66"/>
      <c r="AK920" s="66"/>
      <c r="AL920" s="66"/>
      <c r="AM920" s="66"/>
      <c r="AN920" s="83"/>
      <c r="AO920" s="66"/>
      <c r="AP920" s="66"/>
      <c r="AQ920" s="66"/>
      <c r="AR920" s="81"/>
      <c r="AS920" s="81"/>
      <c r="AT920" s="81"/>
      <c r="AU920" s="81"/>
      <c r="AV920" s="83">
        <f>SUM(Prog_236[[#This Row],[ADIANTAMENTO]]+Prog_236[[#This Row],[SALDO]]+Prog_236[[#This Row],[MARGEM]]+Prog_236[[#This Row],[ESTADIA 1]])</f>
        <v>0</v>
      </c>
      <c r="AW9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0" s="81"/>
      <c r="AY920" s="81"/>
      <c r="AZ920" s="81">
        <f>Prog_236[[#This Row],[VLR NF]]*0.1%</f>
        <v>0</v>
      </c>
      <c r="BA920" s="81">
        <f>Prog_236[[#This Row],[VLR NF]]*0.05%</f>
        <v>0</v>
      </c>
      <c r="BB920" s="81"/>
      <c r="BC920" s="81"/>
      <c r="BD920" s="81"/>
      <c r="BE920" s="81"/>
      <c r="BF920" s="81"/>
      <c r="BG920" s="81"/>
      <c r="BH920" s="81"/>
      <c r="BI920" s="81"/>
      <c r="BJ920" s="81"/>
      <c r="BK920" s="81"/>
      <c r="BL920" s="66"/>
      <c r="BM920" s="66"/>
      <c r="BN920" s="66"/>
      <c r="BO920" s="66" t="str">
        <f>PROPER(TEXT(Prog_236[[#This Row],[PROGRAMAÇÃO CLIENTE]],"mmm"))</f>
        <v>Jan</v>
      </c>
      <c r="BP920" s="66">
        <f>YEAR(Prog_236[[#This Row],[PROGRAMAÇÃO CLIENTE]])</f>
        <v>1900</v>
      </c>
    </row>
    <row r="921" spans="1:68" x14ac:dyDescent="0.25">
      <c r="A921" s="200">
        <f>Prog_236[[#This Row],[CONTEINER]]</f>
        <v>0</v>
      </c>
      <c r="B921" s="86"/>
      <c r="C9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1" s="44"/>
      <c r="E921" s="66"/>
      <c r="F921" s="66"/>
      <c r="G921" s="66"/>
      <c r="H921" s="44"/>
      <c r="I921" s="44"/>
      <c r="J921" s="66"/>
      <c r="K921" s="66"/>
      <c r="L921" s="66"/>
      <c r="M921" s="66"/>
      <c r="N921" s="66">
        <f>SUM(Prog_236[[#This Row],[TARA]]+Prog_236[[#This Row],[PESO]])</f>
        <v>0</v>
      </c>
      <c r="O921" s="44"/>
      <c r="P921" s="66"/>
      <c r="Q921" s="66"/>
      <c r="R921" s="66"/>
      <c r="S921" s="66"/>
      <c r="T921" s="138" t="str">
        <f>IFERROR(LOOKUP($S921,MOTORISTAS!$D$3:$D$1048576,MOTORISTAS!E$3:$E$1048576),"")</f>
        <v/>
      </c>
      <c r="U921" s="138" t="str">
        <f>IFERROR(LOOKUP($S921,MOTORISTAS!$D$3:$D$1048576,MOTORISTAS!F$3:$F$1048576),"")</f>
        <v/>
      </c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44"/>
      <c r="AG921" s="254">
        <f>Prog_236[[#This Row],[SAÍDA DO CLIENTE]]-Prog_236[[#This Row],[PROGRAMAÇÃO CLIENTE]]</f>
        <v>0</v>
      </c>
      <c r="AH921" s="44"/>
      <c r="AI921" s="66"/>
      <c r="AJ921" s="66"/>
      <c r="AK921" s="66"/>
      <c r="AL921" s="66"/>
      <c r="AM921" s="66"/>
      <c r="AN921" s="83"/>
      <c r="AO921" s="66"/>
      <c r="AP921" s="66"/>
      <c r="AQ921" s="66"/>
      <c r="AR921" s="81"/>
      <c r="AS921" s="81"/>
      <c r="AT921" s="81"/>
      <c r="AU921" s="81"/>
      <c r="AV921" s="83">
        <f>SUM(Prog_236[[#This Row],[ADIANTAMENTO]]+Prog_236[[#This Row],[SALDO]]+Prog_236[[#This Row],[MARGEM]]+Prog_236[[#This Row],[ESTADIA 1]])</f>
        <v>0</v>
      </c>
      <c r="AW9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1" s="81"/>
      <c r="AY921" s="81"/>
      <c r="AZ921" s="81">
        <f>Prog_236[[#This Row],[VLR NF]]*0.1%</f>
        <v>0</v>
      </c>
      <c r="BA921" s="81">
        <f>Prog_236[[#This Row],[VLR NF]]*0.05%</f>
        <v>0</v>
      </c>
      <c r="BB921" s="81"/>
      <c r="BC921" s="81"/>
      <c r="BD921" s="81"/>
      <c r="BE921" s="81"/>
      <c r="BF921" s="81"/>
      <c r="BG921" s="81"/>
      <c r="BH921" s="81"/>
      <c r="BI921" s="81"/>
      <c r="BJ921" s="81"/>
      <c r="BK921" s="81"/>
      <c r="BL921" s="66"/>
      <c r="BM921" s="66"/>
      <c r="BN921" s="66"/>
      <c r="BO921" s="66" t="str">
        <f>PROPER(TEXT(Prog_236[[#This Row],[PROGRAMAÇÃO CLIENTE]],"mmm"))</f>
        <v>Jan</v>
      </c>
      <c r="BP921" s="66">
        <f>YEAR(Prog_236[[#This Row],[PROGRAMAÇÃO CLIENTE]])</f>
        <v>1900</v>
      </c>
    </row>
    <row r="922" spans="1:68" x14ac:dyDescent="0.25">
      <c r="A922" s="201">
        <f>Prog_236[[#This Row],[CONTEINER]]</f>
        <v>0</v>
      </c>
      <c r="B922" s="86"/>
      <c r="C9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2" s="44"/>
      <c r="E922" s="66"/>
      <c r="F922" s="66"/>
      <c r="G922" s="66"/>
      <c r="H922" s="44"/>
      <c r="I922" s="44"/>
      <c r="J922" s="66"/>
      <c r="K922" s="66"/>
      <c r="L922" s="66"/>
      <c r="M922" s="66"/>
      <c r="N922" s="66">
        <f>SUM(Prog_236[[#This Row],[TARA]]+Prog_236[[#This Row],[PESO]])</f>
        <v>0</v>
      </c>
      <c r="O922" s="44"/>
      <c r="P922" s="66"/>
      <c r="Q922" s="66"/>
      <c r="R922" s="66"/>
      <c r="S922" s="66"/>
      <c r="T922" s="138" t="str">
        <f>IFERROR(LOOKUP($S922,MOTORISTAS!$D$3:$D$1048576,MOTORISTAS!E$3:$E$1048576),"")</f>
        <v/>
      </c>
      <c r="U922" s="138" t="str">
        <f>IFERROR(LOOKUP($S922,MOTORISTAS!$D$3:$D$1048576,MOTORISTAS!F$3:$F$1048576),"")</f>
        <v/>
      </c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44"/>
      <c r="AG922" s="254">
        <f>Prog_236[[#This Row],[SAÍDA DO CLIENTE]]-Prog_236[[#This Row],[PROGRAMAÇÃO CLIENTE]]</f>
        <v>0</v>
      </c>
      <c r="AH922" s="44"/>
      <c r="AI922" s="66"/>
      <c r="AJ922" s="66"/>
      <c r="AK922" s="66"/>
      <c r="AL922" s="66"/>
      <c r="AM922" s="66"/>
      <c r="AN922" s="83"/>
      <c r="AO922" s="66"/>
      <c r="AP922" s="66"/>
      <c r="AQ922" s="66"/>
      <c r="AR922" s="81"/>
      <c r="AS922" s="81"/>
      <c r="AT922" s="81"/>
      <c r="AU922" s="81"/>
      <c r="AV922" s="83">
        <f>SUM(Prog_236[[#This Row],[ADIANTAMENTO]]+Prog_236[[#This Row],[SALDO]]+Prog_236[[#This Row],[MARGEM]]+Prog_236[[#This Row],[ESTADIA 1]])</f>
        <v>0</v>
      </c>
      <c r="AW9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2" s="81"/>
      <c r="AY922" s="81"/>
      <c r="AZ922" s="81">
        <f>Prog_236[[#This Row],[VLR NF]]*0.1%</f>
        <v>0</v>
      </c>
      <c r="BA922" s="81">
        <f>Prog_236[[#This Row],[VLR NF]]*0.05%</f>
        <v>0</v>
      </c>
      <c r="BB922" s="81"/>
      <c r="BC922" s="81"/>
      <c r="BD922" s="81"/>
      <c r="BE922" s="81"/>
      <c r="BF922" s="81"/>
      <c r="BG922" s="81"/>
      <c r="BH922" s="81"/>
      <c r="BI922" s="81"/>
      <c r="BJ922" s="81"/>
      <c r="BK922" s="81"/>
      <c r="BL922" s="66"/>
      <c r="BM922" s="66"/>
      <c r="BN922" s="66"/>
      <c r="BO922" s="66" t="str">
        <f>PROPER(TEXT(Prog_236[[#This Row],[PROGRAMAÇÃO CLIENTE]],"mmm"))</f>
        <v>Jan</v>
      </c>
      <c r="BP922" s="66">
        <f>YEAR(Prog_236[[#This Row],[PROGRAMAÇÃO CLIENTE]])</f>
        <v>1900</v>
      </c>
    </row>
    <row r="923" spans="1:68" x14ac:dyDescent="0.25">
      <c r="A923" s="200">
        <f>Prog_236[[#This Row],[CONTEINER]]</f>
        <v>0</v>
      </c>
      <c r="B923" s="86"/>
      <c r="C9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3" s="44"/>
      <c r="E923" s="66"/>
      <c r="F923" s="66"/>
      <c r="G923" s="66"/>
      <c r="H923" s="44"/>
      <c r="I923" s="44"/>
      <c r="J923" s="66"/>
      <c r="K923" s="66"/>
      <c r="L923" s="66"/>
      <c r="M923" s="66"/>
      <c r="N923" s="66">
        <f>SUM(Prog_236[[#This Row],[TARA]]+Prog_236[[#This Row],[PESO]])</f>
        <v>0</v>
      </c>
      <c r="O923" s="44"/>
      <c r="P923" s="66"/>
      <c r="Q923" s="66"/>
      <c r="R923" s="66"/>
      <c r="S923" s="66"/>
      <c r="T923" s="138" t="str">
        <f>IFERROR(LOOKUP($S923,MOTORISTAS!$D$3:$D$1048576,MOTORISTAS!E$3:$E$1048576),"")</f>
        <v/>
      </c>
      <c r="U923" s="138" t="str">
        <f>IFERROR(LOOKUP($S923,MOTORISTAS!$D$3:$D$1048576,MOTORISTAS!F$3:$F$1048576),"")</f>
        <v/>
      </c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44"/>
      <c r="AG923" s="254">
        <f>Prog_236[[#This Row],[SAÍDA DO CLIENTE]]-Prog_236[[#This Row],[PROGRAMAÇÃO CLIENTE]]</f>
        <v>0</v>
      </c>
      <c r="AH923" s="44"/>
      <c r="AI923" s="66"/>
      <c r="AJ923" s="66"/>
      <c r="AK923" s="66"/>
      <c r="AL923" s="66"/>
      <c r="AM923" s="66"/>
      <c r="AN923" s="83"/>
      <c r="AO923" s="66"/>
      <c r="AP923" s="66"/>
      <c r="AQ923" s="66"/>
      <c r="AR923" s="81"/>
      <c r="AS923" s="81"/>
      <c r="AT923" s="81"/>
      <c r="AU923" s="81"/>
      <c r="AV923" s="83">
        <f>SUM(Prog_236[[#This Row],[ADIANTAMENTO]]+Prog_236[[#This Row],[SALDO]]+Prog_236[[#This Row],[MARGEM]]+Prog_236[[#This Row],[ESTADIA 1]])</f>
        <v>0</v>
      </c>
      <c r="AW9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3" s="81"/>
      <c r="AY923" s="81"/>
      <c r="AZ923" s="81">
        <f>Prog_236[[#This Row],[VLR NF]]*0.1%</f>
        <v>0</v>
      </c>
      <c r="BA923" s="81">
        <f>Prog_236[[#This Row],[VLR NF]]*0.05%</f>
        <v>0</v>
      </c>
      <c r="BB923" s="81"/>
      <c r="BC923" s="81"/>
      <c r="BD923" s="81"/>
      <c r="BE923" s="81"/>
      <c r="BF923" s="81"/>
      <c r="BG923" s="81"/>
      <c r="BH923" s="81"/>
      <c r="BI923" s="81"/>
      <c r="BJ923" s="81"/>
      <c r="BK923" s="81"/>
      <c r="BL923" s="66"/>
      <c r="BM923" s="66"/>
      <c r="BN923" s="66"/>
      <c r="BO923" s="66" t="str">
        <f>PROPER(TEXT(Prog_236[[#This Row],[PROGRAMAÇÃO CLIENTE]],"mmm"))</f>
        <v>Jan</v>
      </c>
      <c r="BP923" s="66">
        <f>YEAR(Prog_236[[#This Row],[PROGRAMAÇÃO CLIENTE]])</f>
        <v>1900</v>
      </c>
    </row>
    <row r="924" spans="1:68" x14ac:dyDescent="0.25">
      <c r="A924" s="201">
        <f>Prog_236[[#This Row],[CONTEINER]]</f>
        <v>0</v>
      </c>
      <c r="B924" s="86"/>
      <c r="C9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4" s="44"/>
      <c r="E924" s="66"/>
      <c r="F924" s="66"/>
      <c r="G924" s="66"/>
      <c r="H924" s="44"/>
      <c r="I924" s="44"/>
      <c r="J924" s="66"/>
      <c r="K924" s="66"/>
      <c r="L924" s="66"/>
      <c r="M924" s="66"/>
      <c r="N924" s="66">
        <f>SUM(Prog_236[[#This Row],[TARA]]+Prog_236[[#This Row],[PESO]])</f>
        <v>0</v>
      </c>
      <c r="O924" s="44"/>
      <c r="P924" s="66"/>
      <c r="Q924" s="66"/>
      <c r="R924" s="66"/>
      <c r="S924" s="66"/>
      <c r="T924" s="138" t="str">
        <f>IFERROR(LOOKUP($S924,MOTORISTAS!$D$3:$D$1048576,MOTORISTAS!E$3:$E$1048576),"")</f>
        <v/>
      </c>
      <c r="U924" s="138" t="str">
        <f>IFERROR(LOOKUP($S924,MOTORISTAS!$D$3:$D$1048576,MOTORISTAS!F$3:$F$1048576),"")</f>
        <v/>
      </c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44"/>
      <c r="AG924" s="254">
        <f>Prog_236[[#This Row],[SAÍDA DO CLIENTE]]-Prog_236[[#This Row],[PROGRAMAÇÃO CLIENTE]]</f>
        <v>0</v>
      </c>
      <c r="AH924" s="44"/>
      <c r="AI924" s="66"/>
      <c r="AJ924" s="66"/>
      <c r="AK924" s="66"/>
      <c r="AL924" s="66"/>
      <c r="AM924" s="66"/>
      <c r="AN924" s="83"/>
      <c r="AO924" s="66"/>
      <c r="AP924" s="66"/>
      <c r="AQ924" s="66"/>
      <c r="AR924" s="81"/>
      <c r="AS924" s="81"/>
      <c r="AT924" s="81"/>
      <c r="AU924" s="81"/>
      <c r="AV924" s="83">
        <f>SUM(Prog_236[[#This Row],[ADIANTAMENTO]]+Prog_236[[#This Row],[SALDO]]+Prog_236[[#This Row],[MARGEM]]+Prog_236[[#This Row],[ESTADIA 1]])</f>
        <v>0</v>
      </c>
      <c r="AW9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4" s="81"/>
      <c r="AY924" s="81"/>
      <c r="AZ924" s="81">
        <f>Prog_236[[#This Row],[VLR NF]]*0.1%</f>
        <v>0</v>
      </c>
      <c r="BA924" s="81">
        <f>Prog_236[[#This Row],[VLR NF]]*0.05%</f>
        <v>0</v>
      </c>
      <c r="BB924" s="81"/>
      <c r="BC924" s="81"/>
      <c r="BD924" s="81"/>
      <c r="BE924" s="81"/>
      <c r="BF924" s="81"/>
      <c r="BG924" s="81"/>
      <c r="BH924" s="81"/>
      <c r="BI924" s="81"/>
      <c r="BJ924" s="81"/>
      <c r="BK924" s="81"/>
      <c r="BL924" s="66"/>
      <c r="BM924" s="66"/>
      <c r="BN924" s="66"/>
      <c r="BO924" s="66" t="str">
        <f>PROPER(TEXT(Prog_236[[#This Row],[PROGRAMAÇÃO CLIENTE]],"mmm"))</f>
        <v>Jan</v>
      </c>
      <c r="BP924" s="66">
        <f>YEAR(Prog_236[[#This Row],[PROGRAMAÇÃO CLIENTE]])</f>
        <v>1900</v>
      </c>
    </row>
    <row r="925" spans="1:68" x14ac:dyDescent="0.25">
      <c r="A925" s="200">
        <f>Prog_236[[#This Row],[CONTEINER]]</f>
        <v>0</v>
      </c>
      <c r="B925" s="86"/>
      <c r="C9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5" s="44"/>
      <c r="E925" s="66"/>
      <c r="F925" s="66"/>
      <c r="G925" s="66"/>
      <c r="H925" s="44"/>
      <c r="I925" s="44"/>
      <c r="J925" s="66"/>
      <c r="K925" s="66"/>
      <c r="L925" s="66"/>
      <c r="M925" s="66"/>
      <c r="N925" s="66">
        <f>SUM(Prog_236[[#This Row],[TARA]]+Prog_236[[#This Row],[PESO]])</f>
        <v>0</v>
      </c>
      <c r="O925" s="44"/>
      <c r="P925" s="66"/>
      <c r="Q925" s="66"/>
      <c r="R925" s="66"/>
      <c r="S925" s="66"/>
      <c r="T925" s="138" t="str">
        <f>IFERROR(LOOKUP($S925,MOTORISTAS!$D$3:$D$1048576,MOTORISTAS!E$3:$E$1048576),"")</f>
        <v/>
      </c>
      <c r="U925" s="138" t="str">
        <f>IFERROR(LOOKUP($S925,MOTORISTAS!$D$3:$D$1048576,MOTORISTAS!F$3:$F$1048576),"")</f>
        <v/>
      </c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44"/>
      <c r="AG925" s="254">
        <f>Prog_236[[#This Row],[SAÍDA DO CLIENTE]]-Prog_236[[#This Row],[PROGRAMAÇÃO CLIENTE]]</f>
        <v>0</v>
      </c>
      <c r="AH925" s="44"/>
      <c r="AI925" s="66"/>
      <c r="AJ925" s="66"/>
      <c r="AK925" s="66"/>
      <c r="AL925" s="66"/>
      <c r="AM925" s="66"/>
      <c r="AN925" s="83"/>
      <c r="AO925" s="66"/>
      <c r="AP925" s="66"/>
      <c r="AQ925" s="66"/>
      <c r="AR925" s="81"/>
      <c r="AS925" s="81"/>
      <c r="AT925" s="81"/>
      <c r="AU925" s="81"/>
      <c r="AV925" s="83">
        <f>SUM(Prog_236[[#This Row],[ADIANTAMENTO]]+Prog_236[[#This Row],[SALDO]]+Prog_236[[#This Row],[MARGEM]]+Prog_236[[#This Row],[ESTADIA 1]])</f>
        <v>0</v>
      </c>
      <c r="AW9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5" s="81"/>
      <c r="AY925" s="81"/>
      <c r="AZ925" s="81">
        <f>Prog_236[[#This Row],[VLR NF]]*0.1%</f>
        <v>0</v>
      </c>
      <c r="BA925" s="81">
        <f>Prog_236[[#This Row],[VLR NF]]*0.05%</f>
        <v>0</v>
      </c>
      <c r="BB925" s="81"/>
      <c r="BC925" s="81"/>
      <c r="BD925" s="81"/>
      <c r="BE925" s="81"/>
      <c r="BF925" s="81"/>
      <c r="BG925" s="81"/>
      <c r="BH925" s="81"/>
      <c r="BI925" s="81"/>
      <c r="BJ925" s="81"/>
      <c r="BK925" s="81"/>
      <c r="BL925" s="66"/>
      <c r="BM925" s="66"/>
      <c r="BN925" s="66"/>
      <c r="BO925" s="66" t="str">
        <f>PROPER(TEXT(Prog_236[[#This Row],[PROGRAMAÇÃO CLIENTE]],"mmm"))</f>
        <v>Jan</v>
      </c>
      <c r="BP925" s="66">
        <f>YEAR(Prog_236[[#This Row],[PROGRAMAÇÃO CLIENTE]])</f>
        <v>1900</v>
      </c>
    </row>
    <row r="926" spans="1:68" x14ac:dyDescent="0.25">
      <c r="A926" s="201">
        <f>Prog_236[[#This Row],[CONTEINER]]</f>
        <v>0</v>
      </c>
      <c r="B926" s="86"/>
      <c r="C9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6" s="44"/>
      <c r="E926" s="66"/>
      <c r="F926" s="66"/>
      <c r="G926" s="66"/>
      <c r="H926" s="44"/>
      <c r="I926" s="44"/>
      <c r="J926" s="66"/>
      <c r="K926" s="66"/>
      <c r="L926" s="66"/>
      <c r="M926" s="66"/>
      <c r="N926" s="66">
        <f>SUM(Prog_236[[#This Row],[TARA]]+Prog_236[[#This Row],[PESO]])</f>
        <v>0</v>
      </c>
      <c r="O926" s="44"/>
      <c r="P926" s="66"/>
      <c r="Q926" s="66"/>
      <c r="R926" s="66"/>
      <c r="S926" s="66"/>
      <c r="T926" s="138" t="str">
        <f>IFERROR(LOOKUP($S926,MOTORISTAS!$D$3:$D$1048576,MOTORISTAS!E$3:$E$1048576),"")</f>
        <v/>
      </c>
      <c r="U926" s="138" t="str">
        <f>IFERROR(LOOKUP($S926,MOTORISTAS!$D$3:$D$1048576,MOTORISTAS!F$3:$F$1048576),"")</f>
        <v/>
      </c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44"/>
      <c r="AG926" s="254">
        <f>Prog_236[[#This Row],[SAÍDA DO CLIENTE]]-Prog_236[[#This Row],[PROGRAMAÇÃO CLIENTE]]</f>
        <v>0</v>
      </c>
      <c r="AH926" s="44"/>
      <c r="AI926" s="66"/>
      <c r="AJ926" s="66"/>
      <c r="AK926" s="66"/>
      <c r="AL926" s="66"/>
      <c r="AM926" s="66"/>
      <c r="AN926" s="83"/>
      <c r="AO926" s="66"/>
      <c r="AP926" s="66"/>
      <c r="AQ926" s="66"/>
      <c r="AR926" s="81"/>
      <c r="AS926" s="81"/>
      <c r="AT926" s="81"/>
      <c r="AU926" s="81"/>
      <c r="AV926" s="83">
        <f>SUM(Prog_236[[#This Row],[ADIANTAMENTO]]+Prog_236[[#This Row],[SALDO]]+Prog_236[[#This Row],[MARGEM]]+Prog_236[[#This Row],[ESTADIA 1]])</f>
        <v>0</v>
      </c>
      <c r="AW9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6" s="81"/>
      <c r="AY926" s="81"/>
      <c r="AZ926" s="81">
        <f>Prog_236[[#This Row],[VLR NF]]*0.1%</f>
        <v>0</v>
      </c>
      <c r="BA926" s="81">
        <f>Prog_236[[#This Row],[VLR NF]]*0.05%</f>
        <v>0</v>
      </c>
      <c r="BB926" s="81"/>
      <c r="BC926" s="81"/>
      <c r="BD926" s="81"/>
      <c r="BE926" s="81"/>
      <c r="BF926" s="81"/>
      <c r="BG926" s="81"/>
      <c r="BH926" s="81"/>
      <c r="BI926" s="81"/>
      <c r="BJ926" s="81"/>
      <c r="BK926" s="81"/>
      <c r="BL926" s="66"/>
      <c r="BM926" s="66"/>
      <c r="BN926" s="66"/>
      <c r="BO926" s="66" t="str">
        <f>PROPER(TEXT(Prog_236[[#This Row],[PROGRAMAÇÃO CLIENTE]],"mmm"))</f>
        <v>Jan</v>
      </c>
      <c r="BP926" s="66">
        <f>YEAR(Prog_236[[#This Row],[PROGRAMAÇÃO CLIENTE]])</f>
        <v>1900</v>
      </c>
    </row>
    <row r="927" spans="1:68" x14ac:dyDescent="0.25">
      <c r="A927" s="200">
        <f>Prog_236[[#This Row],[CONTEINER]]</f>
        <v>0</v>
      </c>
      <c r="B927" s="86"/>
      <c r="C9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7" s="44"/>
      <c r="E927" s="66"/>
      <c r="F927" s="66"/>
      <c r="G927" s="66"/>
      <c r="H927" s="44"/>
      <c r="I927" s="44"/>
      <c r="J927" s="66"/>
      <c r="K927" s="66"/>
      <c r="L927" s="66"/>
      <c r="M927" s="66"/>
      <c r="N927" s="66">
        <f>SUM(Prog_236[[#This Row],[TARA]]+Prog_236[[#This Row],[PESO]])</f>
        <v>0</v>
      </c>
      <c r="O927" s="44"/>
      <c r="P927" s="66"/>
      <c r="Q927" s="66"/>
      <c r="R927" s="66"/>
      <c r="S927" s="66"/>
      <c r="T927" s="138" t="str">
        <f>IFERROR(LOOKUP($S927,MOTORISTAS!$D$3:$D$1048576,MOTORISTAS!E$3:$E$1048576),"")</f>
        <v/>
      </c>
      <c r="U927" s="138" t="str">
        <f>IFERROR(LOOKUP($S927,MOTORISTAS!$D$3:$D$1048576,MOTORISTAS!F$3:$F$1048576),"")</f>
        <v/>
      </c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44"/>
      <c r="AG927" s="254">
        <f>Prog_236[[#This Row],[SAÍDA DO CLIENTE]]-Prog_236[[#This Row],[PROGRAMAÇÃO CLIENTE]]</f>
        <v>0</v>
      </c>
      <c r="AH927" s="44"/>
      <c r="AI927" s="66"/>
      <c r="AJ927" s="66"/>
      <c r="AK927" s="66"/>
      <c r="AL927" s="66"/>
      <c r="AM927" s="66"/>
      <c r="AN927" s="83"/>
      <c r="AO927" s="66"/>
      <c r="AP927" s="66"/>
      <c r="AQ927" s="66"/>
      <c r="AR927" s="81"/>
      <c r="AS927" s="81"/>
      <c r="AT927" s="81"/>
      <c r="AU927" s="81"/>
      <c r="AV927" s="83">
        <f>SUM(Prog_236[[#This Row],[ADIANTAMENTO]]+Prog_236[[#This Row],[SALDO]]+Prog_236[[#This Row],[MARGEM]]+Prog_236[[#This Row],[ESTADIA 1]])</f>
        <v>0</v>
      </c>
      <c r="AW9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7" s="81"/>
      <c r="AY927" s="81"/>
      <c r="AZ927" s="81">
        <f>Prog_236[[#This Row],[VLR NF]]*0.1%</f>
        <v>0</v>
      </c>
      <c r="BA927" s="81">
        <f>Prog_236[[#This Row],[VLR NF]]*0.05%</f>
        <v>0</v>
      </c>
      <c r="BB927" s="81"/>
      <c r="BC927" s="81"/>
      <c r="BD927" s="81"/>
      <c r="BE927" s="81"/>
      <c r="BF927" s="81"/>
      <c r="BG927" s="81"/>
      <c r="BH927" s="81"/>
      <c r="BI927" s="81"/>
      <c r="BJ927" s="81"/>
      <c r="BK927" s="81"/>
      <c r="BL927" s="66"/>
      <c r="BM927" s="66"/>
      <c r="BN927" s="66"/>
      <c r="BO927" s="66" t="str">
        <f>PROPER(TEXT(Prog_236[[#This Row],[PROGRAMAÇÃO CLIENTE]],"mmm"))</f>
        <v>Jan</v>
      </c>
      <c r="BP927" s="66">
        <f>YEAR(Prog_236[[#This Row],[PROGRAMAÇÃO CLIENTE]])</f>
        <v>1900</v>
      </c>
    </row>
    <row r="928" spans="1:68" x14ac:dyDescent="0.25">
      <c r="A928" s="201">
        <f>Prog_236[[#This Row],[CONTEINER]]</f>
        <v>0</v>
      </c>
      <c r="B928" s="86"/>
      <c r="C9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8" s="44"/>
      <c r="E928" s="66"/>
      <c r="F928" s="66"/>
      <c r="G928" s="66"/>
      <c r="H928" s="44"/>
      <c r="I928" s="44"/>
      <c r="J928" s="66"/>
      <c r="K928" s="66"/>
      <c r="L928" s="66"/>
      <c r="M928" s="66"/>
      <c r="N928" s="66">
        <f>SUM(Prog_236[[#This Row],[TARA]]+Prog_236[[#This Row],[PESO]])</f>
        <v>0</v>
      </c>
      <c r="O928" s="44"/>
      <c r="P928" s="66"/>
      <c r="Q928" s="66"/>
      <c r="R928" s="66"/>
      <c r="S928" s="66"/>
      <c r="T928" s="138" t="str">
        <f>IFERROR(LOOKUP($S928,MOTORISTAS!$D$3:$D$1048576,MOTORISTAS!E$3:$E$1048576),"")</f>
        <v/>
      </c>
      <c r="U928" s="138" t="str">
        <f>IFERROR(LOOKUP($S928,MOTORISTAS!$D$3:$D$1048576,MOTORISTAS!F$3:$F$1048576),"")</f>
        <v/>
      </c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44"/>
      <c r="AG928" s="254">
        <f>Prog_236[[#This Row],[SAÍDA DO CLIENTE]]-Prog_236[[#This Row],[PROGRAMAÇÃO CLIENTE]]</f>
        <v>0</v>
      </c>
      <c r="AH928" s="44"/>
      <c r="AI928" s="66"/>
      <c r="AJ928" s="66"/>
      <c r="AK928" s="66"/>
      <c r="AL928" s="66"/>
      <c r="AM928" s="66"/>
      <c r="AN928" s="83"/>
      <c r="AO928" s="66"/>
      <c r="AP928" s="66"/>
      <c r="AQ928" s="66"/>
      <c r="AR928" s="81"/>
      <c r="AS928" s="81"/>
      <c r="AT928" s="81"/>
      <c r="AU928" s="81"/>
      <c r="AV928" s="83">
        <f>SUM(Prog_236[[#This Row],[ADIANTAMENTO]]+Prog_236[[#This Row],[SALDO]]+Prog_236[[#This Row],[MARGEM]]+Prog_236[[#This Row],[ESTADIA 1]])</f>
        <v>0</v>
      </c>
      <c r="AW9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8" s="81"/>
      <c r="AY928" s="81"/>
      <c r="AZ928" s="81">
        <f>Prog_236[[#This Row],[VLR NF]]*0.1%</f>
        <v>0</v>
      </c>
      <c r="BA928" s="81">
        <f>Prog_236[[#This Row],[VLR NF]]*0.05%</f>
        <v>0</v>
      </c>
      <c r="BB928" s="81"/>
      <c r="BC928" s="81"/>
      <c r="BD928" s="81"/>
      <c r="BE928" s="81"/>
      <c r="BF928" s="81"/>
      <c r="BG928" s="81"/>
      <c r="BH928" s="81"/>
      <c r="BI928" s="81"/>
      <c r="BJ928" s="81"/>
      <c r="BK928" s="81"/>
      <c r="BL928" s="66"/>
      <c r="BM928" s="66"/>
      <c r="BN928" s="66"/>
      <c r="BO928" s="66" t="str">
        <f>PROPER(TEXT(Prog_236[[#This Row],[PROGRAMAÇÃO CLIENTE]],"mmm"))</f>
        <v>Jan</v>
      </c>
      <c r="BP928" s="66">
        <f>YEAR(Prog_236[[#This Row],[PROGRAMAÇÃO CLIENTE]])</f>
        <v>1900</v>
      </c>
    </row>
    <row r="929" spans="1:68" x14ac:dyDescent="0.25">
      <c r="A929" s="200">
        <f>Prog_236[[#This Row],[CONTEINER]]</f>
        <v>0</v>
      </c>
      <c r="B929" s="86"/>
      <c r="C9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29" s="44"/>
      <c r="E929" s="66"/>
      <c r="F929" s="66"/>
      <c r="G929" s="66"/>
      <c r="H929" s="44"/>
      <c r="I929" s="44"/>
      <c r="J929" s="66"/>
      <c r="K929" s="66"/>
      <c r="L929" s="66"/>
      <c r="M929" s="66"/>
      <c r="N929" s="66">
        <f>SUM(Prog_236[[#This Row],[TARA]]+Prog_236[[#This Row],[PESO]])</f>
        <v>0</v>
      </c>
      <c r="O929" s="44"/>
      <c r="P929" s="66"/>
      <c r="Q929" s="66"/>
      <c r="R929" s="66"/>
      <c r="S929" s="66"/>
      <c r="T929" s="138" t="str">
        <f>IFERROR(LOOKUP($S929,MOTORISTAS!$D$3:$D$1048576,MOTORISTAS!E$3:$E$1048576),"")</f>
        <v/>
      </c>
      <c r="U929" s="138" t="str">
        <f>IFERROR(LOOKUP($S929,MOTORISTAS!$D$3:$D$1048576,MOTORISTAS!F$3:$F$1048576),"")</f>
        <v/>
      </c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44"/>
      <c r="AG929" s="254">
        <f>Prog_236[[#This Row],[SAÍDA DO CLIENTE]]-Prog_236[[#This Row],[PROGRAMAÇÃO CLIENTE]]</f>
        <v>0</v>
      </c>
      <c r="AH929" s="44"/>
      <c r="AI929" s="66"/>
      <c r="AJ929" s="66"/>
      <c r="AK929" s="66"/>
      <c r="AL929" s="66"/>
      <c r="AM929" s="66"/>
      <c r="AN929" s="83"/>
      <c r="AO929" s="66"/>
      <c r="AP929" s="66"/>
      <c r="AQ929" s="66"/>
      <c r="AR929" s="81"/>
      <c r="AS929" s="81"/>
      <c r="AT929" s="81"/>
      <c r="AU929" s="81"/>
      <c r="AV929" s="83">
        <f>SUM(Prog_236[[#This Row],[ADIANTAMENTO]]+Prog_236[[#This Row],[SALDO]]+Prog_236[[#This Row],[MARGEM]]+Prog_236[[#This Row],[ESTADIA 1]])</f>
        <v>0</v>
      </c>
      <c r="AW9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29" s="81"/>
      <c r="AY929" s="81"/>
      <c r="AZ929" s="81">
        <f>Prog_236[[#This Row],[VLR NF]]*0.1%</f>
        <v>0</v>
      </c>
      <c r="BA929" s="81">
        <f>Prog_236[[#This Row],[VLR NF]]*0.05%</f>
        <v>0</v>
      </c>
      <c r="BB929" s="81"/>
      <c r="BC929" s="81"/>
      <c r="BD929" s="81"/>
      <c r="BE929" s="81"/>
      <c r="BF929" s="81"/>
      <c r="BG929" s="81"/>
      <c r="BH929" s="81"/>
      <c r="BI929" s="81"/>
      <c r="BJ929" s="81"/>
      <c r="BK929" s="81"/>
      <c r="BL929" s="66"/>
      <c r="BM929" s="66"/>
      <c r="BN929" s="66"/>
      <c r="BO929" s="66" t="str">
        <f>PROPER(TEXT(Prog_236[[#This Row],[PROGRAMAÇÃO CLIENTE]],"mmm"))</f>
        <v>Jan</v>
      </c>
      <c r="BP929" s="66">
        <f>YEAR(Prog_236[[#This Row],[PROGRAMAÇÃO CLIENTE]])</f>
        <v>1900</v>
      </c>
    </row>
    <row r="930" spans="1:68" x14ac:dyDescent="0.25">
      <c r="A930" s="201">
        <f>Prog_236[[#This Row],[CONTEINER]]</f>
        <v>0</v>
      </c>
      <c r="B930" s="86"/>
      <c r="C9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0" s="44"/>
      <c r="E930" s="66"/>
      <c r="F930" s="66"/>
      <c r="G930" s="66"/>
      <c r="H930" s="44"/>
      <c r="I930" s="44"/>
      <c r="J930" s="66"/>
      <c r="K930" s="66"/>
      <c r="L930" s="66"/>
      <c r="M930" s="66"/>
      <c r="N930" s="66">
        <f>SUM(Prog_236[[#This Row],[TARA]]+Prog_236[[#This Row],[PESO]])</f>
        <v>0</v>
      </c>
      <c r="O930" s="44"/>
      <c r="P930" s="66"/>
      <c r="Q930" s="66"/>
      <c r="R930" s="66"/>
      <c r="S930" s="66"/>
      <c r="T930" s="138" t="str">
        <f>IFERROR(LOOKUP($S930,MOTORISTAS!$D$3:$D$1048576,MOTORISTAS!E$3:$E$1048576),"")</f>
        <v/>
      </c>
      <c r="U930" s="138" t="str">
        <f>IFERROR(LOOKUP($S930,MOTORISTAS!$D$3:$D$1048576,MOTORISTAS!F$3:$F$1048576),"")</f>
        <v/>
      </c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44"/>
      <c r="AG930" s="254">
        <f>Prog_236[[#This Row],[SAÍDA DO CLIENTE]]-Prog_236[[#This Row],[PROGRAMAÇÃO CLIENTE]]</f>
        <v>0</v>
      </c>
      <c r="AH930" s="44"/>
      <c r="AI930" s="66"/>
      <c r="AJ930" s="66"/>
      <c r="AK930" s="66"/>
      <c r="AL930" s="66"/>
      <c r="AM930" s="66"/>
      <c r="AN930" s="83"/>
      <c r="AO930" s="66"/>
      <c r="AP930" s="66"/>
      <c r="AQ930" s="66"/>
      <c r="AR930" s="81"/>
      <c r="AS930" s="81"/>
      <c r="AT930" s="81"/>
      <c r="AU930" s="81"/>
      <c r="AV930" s="83">
        <f>SUM(Prog_236[[#This Row],[ADIANTAMENTO]]+Prog_236[[#This Row],[SALDO]]+Prog_236[[#This Row],[MARGEM]]+Prog_236[[#This Row],[ESTADIA 1]])</f>
        <v>0</v>
      </c>
      <c r="AW9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0" s="81"/>
      <c r="AY930" s="81"/>
      <c r="AZ930" s="81">
        <f>Prog_236[[#This Row],[VLR NF]]*0.1%</f>
        <v>0</v>
      </c>
      <c r="BA930" s="81">
        <f>Prog_236[[#This Row],[VLR NF]]*0.05%</f>
        <v>0</v>
      </c>
      <c r="BB930" s="81"/>
      <c r="BC930" s="81"/>
      <c r="BD930" s="81"/>
      <c r="BE930" s="81"/>
      <c r="BF930" s="81"/>
      <c r="BG930" s="81"/>
      <c r="BH930" s="81"/>
      <c r="BI930" s="81"/>
      <c r="BJ930" s="81"/>
      <c r="BK930" s="81"/>
      <c r="BL930" s="66"/>
      <c r="BM930" s="66"/>
      <c r="BN930" s="66"/>
      <c r="BO930" s="66" t="str">
        <f>PROPER(TEXT(Prog_236[[#This Row],[PROGRAMAÇÃO CLIENTE]],"mmm"))</f>
        <v>Jan</v>
      </c>
      <c r="BP930" s="66">
        <f>YEAR(Prog_236[[#This Row],[PROGRAMAÇÃO CLIENTE]])</f>
        <v>1900</v>
      </c>
    </row>
    <row r="931" spans="1:68" x14ac:dyDescent="0.25">
      <c r="A931" s="200">
        <f>Prog_236[[#This Row],[CONTEINER]]</f>
        <v>0</v>
      </c>
      <c r="B931" s="86"/>
      <c r="C9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1" s="44"/>
      <c r="E931" s="66"/>
      <c r="F931" s="66"/>
      <c r="G931" s="66"/>
      <c r="H931" s="44"/>
      <c r="I931" s="44"/>
      <c r="J931" s="66"/>
      <c r="K931" s="66"/>
      <c r="L931" s="66"/>
      <c r="M931" s="66"/>
      <c r="N931" s="66">
        <f>SUM(Prog_236[[#This Row],[TARA]]+Prog_236[[#This Row],[PESO]])</f>
        <v>0</v>
      </c>
      <c r="O931" s="44"/>
      <c r="P931" s="66"/>
      <c r="Q931" s="66"/>
      <c r="R931" s="66"/>
      <c r="S931" s="66"/>
      <c r="T931" s="138" t="str">
        <f>IFERROR(LOOKUP($S931,MOTORISTAS!$D$3:$D$1048576,MOTORISTAS!E$3:$E$1048576),"")</f>
        <v/>
      </c>
      <c r="U931" s="138" t="str">
        <f>IFERROR(LOOKUP($S931,MOTORISTAS!$D$3:$D$1048576,MOTORISTAS!F$3:$F$1048576),"")</f>
        <v/>
      </c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44"/>
      <c r="AG931" s="254">
        <f>Prog_236[[#This Row],[SAÍDA DO CLIENTE]]-Prog_236[[#This Row],[PROGRAMAÇÃO CLIENTE]]</f>
        <v>0</v>
      </c>
      <c r="AH931" s="44"/>
      <c r="AI931" s="66"/>
      <c r="AJ931" s="66"/>
      <c r="AK931" s="66"/>
      <c r="AL931" s="66"/>
      <c r="AM931" s="66"/>
      <c r="AN931" s="83"/>
      <c r="AO931" s="66"/>
      <c r="AP931" s="66"/>
      <c r="AQ931" s="66"/>
      <c r="AR931" s="81"/>
      <c r="AS931" s="81"/>
      <c r="AT931" s="81"/>
      <c r="AU931" s="81"/>
      <c r="AV931" s="83">
        <f>SUM(Prog_236[[#This Row],[ADIANTAMENTO]]+Prog_236[[#This Row],[SALDO]]+Prog_236[[#This Row],[MARGEM]]+Prog_236[[#This Row],[ESTADIA 1]])</f>
        <v>0</v>
      </c>
      <c r="AW9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1" s="81"/>
      <c r="AY931" s="81"/>
      <c r="AZ931" s="81">
        <f>Prog_236[[#This Row],[VLR NF]]*0.1%</f>
        <v>0</v>
      </c>
      <c r="BA931" s="81">
        <f>Prog_236[[#This Row],[VLR NF]]*0.05%</f>
        <v>0</v>
      </c>
      <c r="BB931" s="81"/>
      <c r="BC931" s="81"/>
      <c r="BD931" s="81"/>
      <c r="BE931" s="81"/>
      <c r="BF931" s="81"/>
      <c r="BG931" s="81"/>
      <c r="BH931" s="81"/>
      <c r="BI931" s="81"/>
      <c r="BJ931" s="81"/>
      <c r="BK931" s="81"/>
      <c r="BL931" s="66"/>
      <c r="BM931" s="66"/>
      <c r="BN931" s="66"/>
      <c r="BO931" s="66" t="str">
        <f>PROPER(TEXT(Prog_236[[#This Row],[PROGRAMAÇÃO CLIENTE]],"mmm"))</f>
        <v>Jan</v>
      </c>
      <c r="BP931" s="66">
        <f>YEAR(Prog_236[[#This Row],[PROGRAMAÇÃO CLIENTE]])</f>
        <v>1900</v>
      </c>
    </row>
    <row r="932" spans="1:68" x14ac:dyDescent="0.25">
      <c r="A932" s="201">
        <f>Prog_236[[#This Row],[CONTEINER]]</f>
        <v>0</v>
      </c>
      <c r="B932" s="86"/>
      <c r="C9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2" s="44"/>
      <c r="E932" s="66"/>
      <c r="F932" s="66"/>
      <c r="G932" s="66"/>
      <c r="H932" s="44"/>
      <c r="I932" s="44"/>
      <c r="J932" s="66"/>
      <c r="K932" s="66"/>
      <c r="L932" s="66"/>
      <c r="M932" s="66"/>
      <c r="N932" s="66">
        <f>SUM(Prog_236[[#This Row],[TARA]]+Prog_236[[#This Row],[PESO]])</f>
        <v>0</v>
      </c>
      <c r="O932" s="44"/>
      <c r="P932" s="66"/>
      <c r="Q932" s="66"/>
      <c r="R932" s="66"/>
      <c r="S932" s="66"/>
      <c r="T932" s="138" t="str">
        <f>IFERROR(LOOKUP($S932,MOTORISTAS!$D$3:$D$1048576,MOTORISTAS!E$3:$E$1048576),"")</f>
        <v/>
      </c>
      <c r="U932" s="138" t="str">
        <f>IFERROR(LOOKUP($S932,MOTORISTAS!$D$3:$D$1048576,MOTORISTAS!F$3:$F$1048576),"")</f>
        <v/>
      </c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44"/>
      <c r="AG932" s="254">
        <f>Prog_236[[#This Row],[SAÍDA DO CLIENTE]]-Prog_236[[#This Row],[PROGRAMAÇÃO CLIENTE]]</f>
        <v>0</v>
      </c>
      <c r="AH932" s="44"/>
      <c r="AI932" s="66"/>
      <c r="AJ932" s="66"/>
      <c r="AK932" s="66"/>
      <c r="AL932" s="66"/>
      <c r="AM932" s="66"/>
      <c r="AN932" s="83"/>
      <c r="AO932" s="66"/>
      <c r="AP932" s="66"/>
      <c r="AQ932" s="66"/>
      <c r="AR932" s="81"/>
      <c r="AS932" s="81"/>
      <c r="AT932" s="81"/>
      <c r="AU932" s="81"/>
      <c r="AV932" s="83">
        <f>SUM(Prog_236[[#This Row],[ADIANTAMENTO]]+Prog_236[[#This Row],[SALDO]]+Prog_236[[#This Row],[MARGEM]]+Prog_236[[#This Row],[ESTADIA 1]])</f>
        <v>0</v>
      </c>
      <c r="AW9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2" s="81"/>
      <c r="AY932" s="81"/>
      <c r="AZ932" s="81">
        <f>Prog_236[[#This Row],[VLR NF]]*0.1%</f>
        <v>0</v>
      </c>
      <c r="BA932" s="81">
        <f>Prog_236[[#This Row],[VLR NF]]*0.05%</f>
        <v>0</v>
      </c>
      <c r="BB932" s="81"/>
      <c r="BC932" s="81"/>
      <c r="BD932" s="81"/>
      <c r="BE932" s="81"/>
      <c r="BF932" s="81"/>
      <c r="BG932" s="81"/>
      <c r="BH932" s="81"/>
      <c r="BI932" s="81"/>
      <c r="BJ932" s="81"/>
      <c r="BK932" s="81"/>
      <c r="BL932" s="66"/>
      <c r="BM932" s="66"/>
      <c r="BN932" s="66"/>
      <c r="BO932" s="66" t="str">
        <f>PROPER(TEXT(Prog_236[[#This Row],[PROGRAMAÇÃO CLIENTE]],"mmm"))</f>
        <v>Jan</v>
      </c>
      <c r="BP932" s="66">
        <f>YEAR(Prog_236[[#This Row],[PROGRAMAÇÃO CLIENTE]])</f>
        <v>1900</v>
      </c>
    </row>
    <row r="933" spans="1:68" x14ac:dyDescent="0.25">
      <c r="A933" s="200">
        <f>Prog_236[[#This Row],[CONTEINER]]</f>
        <v>0</v>
      </c>
      <c r="B933" s="86"/>
      <c r="C9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3" s="44"/>
      <c r="E933" s="66"/>
      <c r="F933" s="66"/>
      <c r="G933" s="66"/>
      <c r="H933" s="44"/>
      <c r="I933" s="44"/>
      <c r="J933" s="66"/>
      <c r="K933" s="66"/>
      <c r="L933" s="66"/>
      <c r="M933" s="66"/>
      <c r="N933" s="66">
        <f>SUM(Prog_236[[#This Row],[TARA]]+Prog_236[[#This Row],[PESO]])</f>
        <v>0</v>
      </c>
      <c r="O933" s="44"/>
      <c r="P933" s="66"/>
      <c r="Q933" s="66"/>
      <c r="R933" s="66"/>
      <c r="S933" s="66"/>
      <c r="T933" s="138" t="str">
        <f>IFERROR(LOOKUP($S933,MOTORISTAS!$D$3:$D$1048576,MOTORISTAS!E$3:$E$1048576),"")</f>
        <v/>
      </c>
      <c r="U933" s="138" t="str">
        <f>IFERROR(LOOKUP($S933,MOTORISTAS!$D$3:$D$1048576,MOTORISTAS!F$3:$F$1048576),"")</f>
        <v/>
      </c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44"/>
      <c r="AG933" s="254">
        <f>Prog_236[[#This Row],[SAÍDA DO CLIENTE]]-Prog_236[[#This Row],[PROGRAMAÇÃO CLIENTE]]</f>
        <v>0</v>
      </c>
      <c r="AH933" s="44"/>
      <c r="AI933" s="66"/>
      <c r="AJ933" s="66"/>
      <c r="AK933" s="66"/>
      <c r="AL933" s="66"/>
      <c r="AM933" s="66"/>
      <c r="AN933" s="83"/>
      <c r="AO933" s="66"/>
      <c r="AP933" s="66"/>
      <c r="AQ933" s="66"/>
      <c r="AR933" s="81"/>
      <c r="AS933" s="81"/>
      <c r="AT933" s="81"/>
      <c r="AU933" s="81"/>
      <c r="AV933" s="83">
        <f>SUM(Prog_236[[#This Row],[ADIANTAMENTO]]+Prog_236[[#This Row],[SALDO]]+Prog_236[[#This Row],[MARGEM]]+Prog_236[[#This Row],[ESTADIA 1]])</f>
        <v>0</v>
      </c>
      <c r="AW9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3" s="81"/>
      <c r="AY933" s="81"/>
      <c r="AZ933" s="81">
        <f>Prog_236[[#This Row],[VLR NF]]*0.1%</f>
        <v>0</v>
      </c>
      <c r="BA933" s="81">
        <f>Prog_236[[#This Row],[VLR NF]]*0.05%</f>
        <v>0</v>
      </c>
      <c r="BB933" s="81"/>
      <c r="BC933" s="81"/>
      <c r="BD933" s="81"/>
      <c r="BE933" s="81"/>
      <c r="BF933" s="81"/>
      <c r="BG933" s="81"/>
      <c r="BH933" s="81"/>
      <c r="BI933" s="81"/>
      <c r="BJ933" s="81"/>
      <c r="BK933" s="81"/>
      <c r="BL933" s="66"/>
      <c r="BM933" s="66"/>
      <c r="BN933" s="66"/>
      <c r="BO933" s="66" t="str">
        <f>PROPER(TEXT(Prog_236[[#This Row],[PROGRAMAÇÃO CLIENTE]],"mmm"))</f>
        <v>Jan</v>
      </c>
      <c r="BP933" s="66">
        <f>YEAR(Prog_236[[#This Row],[PROGRAMAÇÃO CLIENTE]])</f>
        <v>1900</v>
      </c>
    </row>
    <row r="934" spans="1:68" x14ac:dyDescent="0.25">
      <c r="A934" s="201">
        <f>Prog_236[[#This Row],[CONTEINER]]</f>
        <v>0</v>
      </c>
      <c r="B934" s="86"/>
      <c r="C9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4" s="44"/>
      <c r="E934" s="66"/>
      <c r="F934" s="66"/>
      <c r="G934" s="66"/>
      <c r="H934" s="44"/>
      <c r="I934" s="44"/>
      <c r="J934" s="66"/>
      <c r="K934" s="66"/>
      <c r="L934" s="66"/>
      <c r="M934" s="66"/>
      <c r="N934" s="66">
        <f>SUM(Prog_236[[#This Row],[TARA]]+Prog_236[[#This Row],[PESO]])</f>
        <v>0</v>
      </c>
      <c r="O934" s="44"/>
      <c r="P934" s="66"/>
      <c r="Q934" s="66"/>
      <c r="R934" s="66"/>
      <c r="S934" s="66"/>
      <c r="T934" s="138" t="str">
        <f>IFERROR(LOOKUP($S934,MOTORISTAS!$D$3:$D$1048576,MOTORISTAS!E$3:$E$1048576),"")</f>
        <v/>
      </c>
      <c r="U934" s="138" t="str">
        <f>IFERROR(LOOKUP($S934,MOTORISTAS!$D$3:$D$1048576,MOTORISTAS!F$3:$F$1048576),"")</f>
        <v/>
      </c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44"/>
      <c r="AG934" s="254">
        <f>Prog_236[[#This Row],[SAÍDA DO CLIENTE]]-Prog_236[[#This Row],[PROGRAMAÇÃO CLIENTE]]</f>
        <v>0</v>
      </c>
      <c r="AH934" s="44"/>
      <c r="AI934" s="66"/>
      <c r="AJ934" s="66"/>
      <c r="AK934" s="66"/>
      <c r="AL934" s="66"/>
      <c r="AM934" s="66"/>
      <c r="AN934" s="83"/>
      <c r="AO934" s="66"/>
      <c r="AP934" s="66"/>
      <c r="AQ934" s="66"/>
      <c r="AR934" s="81"/>
      <c r="AS934" s="81"/>
      <c r="AT934" s="81"/>
      <c r="AU934" s="81"/>
      <c r="AV934" s="83">
        <f>SUM(Prog_236[[#This Row],[ADIANTAMENTO]]+Prog_236[[#This Row],[SALDO]]+Prog_236[[#This Row],[MARGEM]]+Prog_236[[#This Row],[ESTADIA 1]])</f>
        <v>0</v>
      </c>
      <c r="AW9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4" s="81"/>
      <c r="AY934" s="81"/>
      <c r="AZ934" s="81">
        <f>Prog_236[[#This Row],[VLR NF]]*0.1%</f>
        <v>0</v>
      </c>
      <c r="BA934" s="81">
        <f>Prog_236[[#This Row],[VLR NF]]*0.05%</f>
        <v>0</v>
      </c>
      <c r="BB934" s="81"/>
      <c r="BC934" s="81"/>
      <c r="BD934" s="81"/>
      <c r="BE934" s="81"/>
      <c r="BF934" s="81"/>
      <c r="BG934" s="81"/>
      <c r="BH934" s="81"/>
      <c r="BI934" s="81"/>
      <c r="BJ934" s="81"/>
      <c r="BK934" s="81"/>
      <c r="BL934" s="66"/>
      <c r="BM934" s="66"/>
      <c r="BN934" s="66"/>
      <c r="BO934" s="66" t="str">
        <f>PROPER(TEXT(Prog_236[[#This Row],[PROGRAMAÇÃO CLIENTE]],"mmm"))</f>
        <v>Jan</v>
      </c>
      <c r="BP934" s="66">
        <f>YEAR(Prog_236[[#This Row],[PROGRAMAÇÃO CLIENTE]])</f>
        <v>1900</v>
      </c>
    </row>
    <row r="935" spans="1:68" x14ac:dyDescent="0.25">
      <c r="A935" s="200">
        <f>Prog_236[[#This Row],[CONTEINER]]</f>
        <v>0</v>
      </c>
      <c r="B935" s="86"/>
      <c r="C9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5" s="44"/>
      <c r="E935" s="66"/>
      <c r="F935" s="66"/>
      <c r="G935" s="66"/>
      <c r="H935" s="44"/>
      <c r="I935" s="44"/>
      <c r="J935" s="66"/>
      <c r="K935" s="66"/>
      <c r="L935" s="66"/>
      <c r="M935" s="66"/>
      <c r="N935" s="66">
        <f>SUM(Prog_236[[#This Row],[TARA]]+Prog_236[[#This Row],[PESO]])</f>
        <v>0</v>
      </c>
      <c r="O935" s="44"/>
      <c r="P935" s="66"/>
      <c r="Q935" s="66"/>
      <c r="R935" s="66"/>
      <c r="S935" s="66"/>
      <c r="T935" s="138" t="str">
        <f>IFERROR(LOOKUP($S935,MOTORISTAS!$D$3:$D$1048576,MOTORISTAS!E$3:$E$1048576),"")</f>
        <v/>
      </c>
      <c r="U935" s="138" t="str">
        <f>IFERROR(LOOKUP($S935,MOTORISTAS!$D$3:$D$1048576,MOTORISTAS!F$3:$F$1048576),"")</f>
        <v/>
      </c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44"/>
      <c r="AG935" s="254">
        <f>Prog_236[[#This Row],[SAÍDA DO CLIENTE]]-Prog_236[[#This Row],[PROGRAMAÇÃO CLIENTE]]</f>
        <v>0</v>
      </c>
      <c r="AH935" s="44"/>
      <c r="AI935" s="66"/>
      <c r="AJ935" s="66"/>
      <c r="AK935" s="66"/>
      <c r="AL935" s="66"/>
      <c r="AM935" s="66"/>
      <c r="AN935" s="83"/>
      <c r="AO935" s="66"/>
      <c r="AP935" s="66"/>
      <c r="AQ935" s="66"/>
      <c r="AR935" s="81"/>
      <c r="AS935" s="81"/>
      <c r="AT935" s="81"/>
      <c r="AU935" s="81"/>
      <c r="AV935" s="83">
        <f>SUM(Prog_236[[#This Row],[ADIANTAMENTO]]+Prog_236[[#This Row],[SALDO]]+Prog_236[[#This Row],[MARGEM]]+Prog_236[[#This Row],[ESTADIA 1]])</f>
        <v>0</v>
      </c>
      <c r="AW9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5" s="81"/>
      <c r="AY935" s="81"/>
      <c r="AZ935" s="81">
        <f>Prog_236[[#This Row],[VLR NF]]*0.1%</f>
        <v>0</v>
      </c>
      <c r="BA935" s="81">
        <f>Prog_236[[#This Row],[VLR NF]]*0.05%</f>
        <v>0</v>
      </c>
      <c r="BB935" s="81"/>
      <c r="BC935" s="81"/>
      <c r="BD935" s="81"/>
      <c r="BE935" s="81"/>
      <c r="BF935" s="81"/>
      <c r="BG935" s="81"/>
      <c r="BH935" s="81"/>
      <c r="BI935" s="81"/>
      <c r="BJ935" s="81"/>
      <c r="BK935" s="81"/>
      <c r="BL935" s="66"/>
      <c r="BM935" s="66"/>
      <c r="BN935" s="66"/>
      <c r="BO935" s="66" t="str">
        <f>PROPER(TEXT(Prog_236[[#This Row],[PROGRAMAÇÃO CLIENTE]],"mmm"))</f>
        <v>Jan</v>
      </c>
      <c r="BP935" s="66">
        <f>YEAR(Prog_236[[#This Row],[PROGRAMAÇÃO CLIENTE]])</f>
        <v>1900</v>
      </c>
    </row>
    <row r="936" spans="1:68" x14ac:dyDescent="0.25">
      <c r="A936" s="201">
        <f>Prog_236[[#This Row],[CONTEINER]]</f>
        <v>0</v>
      </c>
      <c r="B936" s="86"/>
      <c r="C9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6" s="44"/>
      <c r="E936" s="66"/>
      <c r="F936" s="66"/>
      <c r="G936" s="66"/>
      <c r="H936" s="44"/>
      <c r="I936" s="44"/>
      <c r="J936" s="66"/>
      <c r="K936" s="66"/>
      <c r="L936" s="66"/>
      <c r="M936" s="66"/>
      <c r="N936" s="66">
        <f>SUM(Prog_236[[#This Row],[TARA]]+Prog_236[[#This Row],[PESO]])</f>
        <v>0</v>
      </c>
      <c r="O936" s="44"/>
      <c r="P936" s="66"/>
      <c r="Q936" s="66"/>
      <c r="R936" s="66"/>
      <c r="S936" s="66"/>
      <c r="T936" s="138" t="str">
        <f>IFERROR(LOOKUP($S936,MOTORISTAS!$D$3:$D$1048576,MOTORISTAS!E$3:$E$1048576),"")</f>
        <v/>
      </c>
      <c r="U936" s="138" t="str">
        <f>IFERROR(LOOKUP($S936,MOTORISTAS!$D$3:$D$1048576,MOTORISTAS!F$3:$F$1048576),"")</f>
        <v/>
      </c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44"/>
      <c r="AG936" s="254">
        <f>Prog_236[[#This Row],[SAÍDA DO CLIENTE]]-Prog_236[[#This Row],[PROGRAMAÇÃO CLIENTE]]</f>
        <v>0</v>
      </c>
      <c r="AH936" s="44"/>
      <c r="AI936" s="66"/>
      <c r="AJ936" s="66"/>
      <c r="AK936" s="66"/>
      <c r="AL936" s="66"/>
      <c r="AM936" s="66"/>
      <c r="AN936" s="83"/>
      <c r="AO936" s="66"/>
      <c r="AP936" s="66"/>
      <c r="AQ936" s="66"/>
      <c r="AR936" s="81"/>
      <c r="AS936" s="81"/>
      <c r="AT936" s="81"/>
      <c r="AU936" s="81"/>
      <c r="AV936" s="83">
        <f>SUM(Prog_236[[#This Row],[ADIANTAMENTO]]+Prog_236[[#This Row],[SALDO]]+Prog_236[[#This Row],[MARGEM]]+Prog_236[[#This Row],[ESTADIA 1]])</f>
        <v>0</v>
      </c>
      <c r="AW9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6" s="81"/>
      <c r="AY936" s="81"/>
      <c r="AZ936" s="81">
        <f>Prog_236[[#This Row],[VLR NF]]*0.1%</f>
        <v>0</v>
      </c>
      <c r="BA936" s="81">
        <f>Prog_236[[#This Row],[VLR NF]]*0.05%</f>
        <v>0</v>
      </c>
      <c r="BB936" s="81"/>
      <c r="BC936" s="81"/>
      <c r="BD936" s="81"/>
      <c r="BE936" s="81"/>
      <c r="BF936" s="81"/>
      <c r="BG936" s="81"/>
      <c r="BH936" s="81"/>
      <c r="BI936" s="81"/>
      <c r="BJ936" s="81"/>
      <c r="BK936" s="81"/>
      <c r="BL936" s="66"/>
      <c r="BM936" s="66"/>
      <c r="BN936" s="66"/>
      <c r="BO936" s="66" t="str">
        <f>PROPER(TEXT(Prog_236[[#This Row],[PROGRAMAÇÃO CLIENTE]],"mmm"))</f>
        <v>Jan</v>
      </c>
      <c r="BP936" s="66">
        <f>YEAR(Prog_236[[#This Row],[PROGRAMAÇÃO CLIENTE]])</f>
        <v>1900</v>
      </c>
    </row>
    <row r="937" spans="1:68" x14ac:dyDescent="0.25">
      <c r="A937" s="200">
        <f>Prog_236[[#This Row],[CONTEINER]]</f>
        <v>0</v>
      </c>
      <c r="B937" s="86"/>
      <c r="C9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7" s="44"/>
      <c r="E937" s="66"/>
      <c r="F937" s="66"/>
      <c r="G937" s="66"/>
      <c r="H937" s="44"/>
      <c r="I937" s="44"/>
      <c r="J937" s="66"/>
      <c r="K937" s="66"/>
      <c r="L937" s="66"/>
      <c r="M937" s="66"/>
      <c r="N937" s="66">
        <f>SUM(Prog_236[[#This Row],[TARA]]+Prog_236[[#This Row],[PESO]])</f>
        <v>0</v>
      </c>
      <c r="O937" s="44"/>
      <c r="P937" s="66"/>
      <c r="Q937" s="66"/>
      <c r="R937" s="66"/>
      <c r="S937" s="66"/>
      <c r="T937" s="138" t="str">
        <f>IFERROR(LOOKUP($S937,MOTORISTAS!$D$3:$D$1048576,MOTORISTAS!E$3:$E$1048576),"")</f>
        <v/>
      </c>
      <c r="U937" s="138" t="str">
        <f>IFERROR(LOOKUP($S937,MOTORISTAS!$D$3:$D$1048576,MOTORISTAS!F$3:$F$1048576),"")</f>
        <v/>
      </c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44"/>
      <c r="AG937" s="254">
        <f>Prog_236[[#This Row],[SAÍDA DO CLIENTE]]-Prog_236[[#This Row],[PROGRAMAÇÃO CLIENTE]]</f>
        <v>0</v>
      </c>
      <c r="AH937" s="44"/>
      <c r="AI937" s="66"/>
      <c r="AJ937" s="66"/>
      <c r="AK937" s="66"/>
      <c r="AL937" s="66"/>
      <c r="AM937" s="66"/>
      <c r="AN937" s="83"/>
      <c r="AO937" s="66"/>
      <c r="AP937" s="66"/>
      <c r="AQ937" s="66"/>
      <c r="AR937" s="81"/>
      <c r="AS937" s="81"/>
      <c r="AT937" s="81"/>
      <c r="AU937" s="81"/>
      <c r="AV937" s="83">
        <f>SUM(Prog_236[[#This Row],[ADIANTAMENTO]]+Prog_236[[#This Row],[SALDO]]+Prog_236[[#This Row],[MARGEM]]+Prog_236[[#This Row],[ESTADIA 1]])</f>
        <v>0</v>
      </c>
      <c r="AW9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7" s="81"/>
      <c r="AY937" s="81"/>
      <c r="AZ937" s="81">
        <f>Prog_236[[#This Row],[VLR NF]]*0.1%</f>
        <v>0</v>
      </c>
      <c r="BA937" s="81">
        <f>Prog_236[[#This Row],[VLR NF]]*0.05%</f>
        <v>0</v>
      </c>
      <c r="BB937" s="81"/>
      <c r="BC937" s="81"/>
      <c r="BD937" s="81"/>
      <c r="BE937" s="81"/>
      <c r="BF937" s="81"/>
      <c r="BG937" s="81"/>
      <c r="BH937" s="81"/>
      <c r="BI937" s="81"/>
      <c r="BJ937" s="81"/>
      <c r="BK937" s="81"/>
      <c r="BL937" s="66"/>
      <c r="BM937" s="66"/>
      <c r="BN937" s="66"/>
      <c r="BO937" s="66" t="str">
        <f>PROPER(TEXT(Prog_236[[#This Row],[PROGRAMAÇÃO CLIENTE]],"mmm"))</f>
        <v>Jan</v>
      </c>
      <c r="BP937" s="66">
        <f>YEAR(Prog_236[[#This Row],[PROGRAMAÇÃO CLIENTE]])</f>
        <v>1900</v>
      </c>
    </row>
    <row r="938" spans="1:68" x14ac:dyDescent="0.25">
      <c r="A938" s="201">
        <f>Prog_236[[#This Row],[CONTEINER]]</f>
        <v>0</v>
      </c>
      <c r="B938" s="86"/>
      <c r="C9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8" s="44"/>
      <c r="E938" s="66"/>
      <c r="F938" s="66"/>
      <c r="G938" s="66"/>
      <c r="H938" s="44"/>
      <c r="I938" s="44"/>
      <c r="J938" s="66"/>
      <c r="K938" s="66"/>
      <c r="L938" s="66"/>
      <c r="M938" s="66"/>
      <c r="N938" s="66">
        <f>SUM(Prog_236[[#This Row],[TARA]]+Prog_236[[#This Row],[PESO]])</f>
        <v>0</v>
      </c>
      <c r="O938" s="44"/>
      <c r="P938" s="66"/>
      <c r="Q938" s="66"/>
      <c r="R938" s="66"/>
      <c r="S938" s="66"/>
      <c r="T938" s="138" t="str">
        <f>IFERROR(LOOKUP($S938,MOTORISTAS!$D$3:$D$1048576,MOTORISTAS!E$3:$E$1048576),"")</f>
        <v/>
      </c>
      <c r="U938" s="138" t="str">
        <f>IFERROR(LOOKUP($S938,MOTORISTAS!$D$3:$D$1048576,MOTORISTAS!F$3:$F$1048576),"")</f>
        <v/>
      </c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44"/>
      <c r="AG938" s="254">
        <f>Prog_236[[#This Row],[SAÍDA DO CLIENTE]]-Prog_236[[#This Row],[PROGRAMAÇÃO CLIENTE]]</f>
        <v>0</v>
      </c>
      <c r="AH938" s="44"/>
      <c r="AI938" s="66"/>
      <c r="AJ938" s="66"/>
      <c r="AK938" s="66"/>
      <c r="AL938" s="66"/>
      <c r="AM938" s="66"/>
      <c r="AN938" s="83"/>
      <c r="AO938" s="66"/>
      <c r="AP938" s="66"/>
      <c r="AQ938" s="66"/>
      <c r="AR938" s="81"/>
      <c r="AS938" s="81"/>
      <c r="AT938" s="81"/>
      <c r="AU938" s="81"/>
      <c r="AV938" s="83">
        <f>SUM(Prog_236[[#This Row],[ADIANTAMENTO]]+Prog_236[[#This Row],[SALDO]]+Prog_236[[#This Row],[MARGEM]]+Prog_236[[#This Row],[ESTADIA 1]])</f>
        <v>0</v>
      </c>
      <c r="AW9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8" s="81"/>
      <c r="AY938" s="81"/>
      <c r="AZ938" s="81">
        <f>Prog_236[[#This Row],[VLR NF]]*0.1%</f>
        <v>0</v>
      </c>
      <c r="BA938" s="81">
        <f>Prog_236[[#This Row],[VLR NF]]*0.05%</f>
        <v>0</v>
      </c>
      <c r="BB938" s="81"/>
      <c r="BC938" s="81"/>
      <c r="BD938" s="81"/>
      <c r="BE938" s="81"/>
      <c r="BF938" s="81"/>
      <c r="BG938" s="81"/>
      <c r="BH938" s="81"/>
      <c r="BI938" s="81"/>
      <c r="BJ938" s="81"/>
      <c r="BK938" s="81"/>
      <c r="BL938" s="66"/>
      <c r="BM938" s="66"/>
      <c r="BN938" s="66"/>
      <c r="BO938" s="66" t="str">
        <f>PROPER(TEXT(Prog_236[[#This Row],[PROGRAMAÇÃO CLIENTE]],"mmm"))</f>
        <v>Jan</v>
      </c>
      <c r="BP938" s="66">
        <f>YEAR(Prog_236[[#This Row],[PROGRAMAÇÃO CLIENTE]])</f>
        <v>1900</v>
      </c>
    </row>
    <row r="939" spans="1:68" x14ac:dyDescent="0.25">
      <c r="A939" s="200">
        <f>Prog_236[[#This Row],[CONTEINER]]</f>
        <v>0</v>
      </c>
      <c r="B939" s="86"/>
      <c r="C9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39" s="44"/>
      <c r="E939" s="66"/>
      <c r="F939" s="66"/>
      <c r="G939" s="66"/>
      <c r="H939" s="44"/>
      <c r="I939" s="44"/>
      <c r="J939" s="66"/>
      <c r="K939" s="66"/>
      <c r="L939" s="66"/>
      <c r="M939" s="66"/>
      <c r="N939" s="66">
        <f>SUM(Prog_236[[#This Row],[TARA]]+Prog_236[[#This Row],[PESO]])</f>
        <v>0</v>
      </c>
      <c r="O939" s="44"/>
      <c r="P939" s="66"/>
      <c r="Q939" s="66"/>
      <c r="R939" s="66"/>
      <c r="S939" s="66"/>
      <c r="T939" s="138" t="str">
        <f>IFERROR(LOOKUP($S939,MOTORISTAS!$D$3:$D$1048576,MOTORISTAS!E$3:$E$1048576),"")</f>
        <v/>
      </c>
      <c r="U939" s="138" t="str">
        <f>IFERROR(LOOKUP($S939,MOTORISTAS!$D$3:$D$1048576,MOTORISTAS!F$3:$F$1048576),"")</f>
        <v/>
      </c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44"/>
      <c r="AG939" s="254">
        <f>Prog_236[[#This Row],[SAÍDA DO CLIENTE]]-Prog_236[[#This Row],[PROGRAMAÇÃO CLIENTE]]</f>
        <v>0</v>
      </c>
      <c r="AH939" s="44"/>
      <c r="AI939" s="66"/>
      <c r="AJ939" s="66"/>
      <c r="AK939" s="66"/>
      <c r="AL939" s="66"/>
      <c r="AM939" s="66"/>
      <c r="AN939" s="83"/>
      <c r="AO939" s="66"/>
      <c r="AP939" s="66"/>
      <c r="AQ939" s="66"/>
      <c r="AR939" s="81"/>
      <c r="AS939" s="81"/>
      <c r="AT939" s="81"/>
      <c r="AU939" s="81"/>
      <c r="AV939" s="83">
        <f>SUM(Prog_236[[#This Row],[ADIANTAMENTO]]+Prog_236[[#This Row],[SALDO]]+Prog_236[[#This Row],[MARGEM]]+Prog_236[[#This Row],[ESTADIA 1]])</f>
        <v>0</v>
      </c>
      <c r="AW9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39" s="81"/>
      <c r="AY939" s="81"/>
      <c r="AZ939" s="81">
        <f>Prog_236[[#This Row],[VLR NF]]*0.1%</f>
        <v>0</v>
      </c>
      <c r="BA939" s="81">
        <f>Prog_236[[#This Row],[VLR NF]]*0.05%</f>
        <v>0</v>
      </c>
      <c r="BB939" s="81"/>
      <c r="BC939" s="81"/>
      <c r="BD939" s="81"/>
      <c r="BE939" s="81"/>
      <c r="BF939" s="81"/>
      <c r="BG939" s="81"/>
      <c r="BH939" s="81"/>
      <c r="BI939" s="81"/>
      <c r="BJ939" s="81"/>
      <c r="BK939" s="81"/>
      <c r="BL939" s="66"/>
      <c r="BM939" s="66"/>
      <c r="BN939" s="66"/>
      <c r="BO939" s="66" t="str">
        <f>PROPER(TEXT(Prog_236[[#This Row],[PROGRAMAÇÃO CLIENTE]],"mmm"))</f>
        <v>Jan</v>
      </c>
      <c r="BP939" s="66">
        <f>YEAR(Prog_236[[#This Row],[PROGRAMAÇÃO CLIENTE]])</f>
        <v>1900</v>
      </c>
    </row>
    <row r="940" spans="1:68" x14ac:dyDescent="0.25">
      <c r="A940" s="201">
        <f>Prog_236[[#This Row],[CONTEINER]]</f>
        <v>0</v>
      </c>
      <c r="B940" s="86"/>
      <c r="C9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0" s="44"/>
      <c r="E940" s="66"/>
      <c r="F940" s="66"/>
      <c r="G940" s="66"/>
      <c r="H940" s="44"/>
      <c r="I940" s="44"/>
      <c r="J940" s="66"/>
      <c r="K940" s="66"/>
      <c r="L940" s="66"/>
      <c r="M940" s="66"/>
      <c r="N940" s="66">
        <f>SUM(Prog_236[[#This Row],[TARA]]+Prog_236[[#This Row],[PESO]])</f>
        <v>0</v>
      </c>
      <c r="O940" s="44"/>
      <c r="P940" s="66"/>
      <c r="Q940" s="66"/>
      <c r="R940" s="66"/>
      <c r="S940" s="66"/>
      <c r="T940" s="138" t="str">
        <f>IFERROR(LOOKUP($S940,MOTORISTAS!$D$3:$D$1048576,MOTORISTAS!E$3:$E$1048576),"")</f>
        <v/>
      </c>
      <c r="U940" s="138" t="str">
        <f>IFERROR(LOOKUP($S940,MOTORISTAS!$D$3:$D$1048576,MOTORISTAS!F$3:$F$1048576),"")</f>
        <v/>
      </c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44"/>
      <c r="AG940" s="254">
        <f>Prog_236[[#This Row],[SAÍDA DO CLIENTE]]-Prog_236[[#This Row],[PROGRAMAÇÃO CLIENTE]]</f>
        <v>0</v>
      </c>
      <c r="AH940" s="44"/>
      <c r="AI940" s="66"/>
      <c r="AJ940" s="66"/>
      <c r="AK940" s="66"/>
      <c r="AL940" s="66"/>
      <c r="AM940" s="66"/>
      <c r="AN940" s="83"/>
      <c r="AO940" s="66"/>
      <c r="AP940" s="66"/>
      <c r="AQ940" s="66"/>
      <c r="AR940" s="81"/>
      <c r="AS940" s="81"/>
      <c r="AT940" s="81"/>
      <c r="AU940" s="81"/>
      <c r="AV940" s="83">
        <f>SUM(Prog_236[[#This Row],[ADIANTAMENTO]]+Prog_236[[#This Row],[SALDO]]+Prog_236[[#This Row],[MARGEM]]+Prog_236[[#This Row],[ESTADIA 1]])</f>
        <v>0</v>
      </c>
      <c r="AW9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0" s="81"/>
      <c r="AY940" s="81"/>
      <c r="AZ940" s="81">
        <f>Prog_236[[#This Row],[VLR NF]]*0.1%</f>
        <v>0</v>
      </c>
      <c r="BA940" s="81">
        <f>Prog_236[[#This Row],[VLR NF]]*0.05%</f>
        <v>0</v>
      </c>
      <c r="BB940" s="81"/>
      <c r="BC940" s="81"/>
      <c r="BD940" s="81"/>
      <c r="BE940" s="81"/>
      <c r="BF940" s="81"/>
      <c r="BG940" s="81"/>
      <c r="BH940" s="81"/>
      <c r="BI940" s="81"/>
      <c r="BJ940" s="81"/>
      <c r="BK940" s="81"/>
      <c r="BL940" s="66"/>
      <c r="BM940" s="66"/>
      <c r="BN940" s="66"/>
      <c r="BO940" s="66" t="str">
        <f>PROPER(TEXT(Prog_236[[#This Row],[PROGRAMAÇÃO CLIENTE]],"mmm"))</f>
        <v>Jan</v>
      </c>
      <c r="BP940" s="66">
        <f>YEAR(Prog_236[[#This Row],[PROGRAMAÇÃO CLIENTE]])</f>
        <v>1900</v>
      </c>
    </row>
    <row r="941" spans="1:68" x14ac:dyDescent="0.25">
      <c r="A941" s="200">
        <f>Prog_236[[#This Row],[CONTEINER]]</f>
        <v>0</v>
      </c>
      <c r="B941" s="86"/>
      <c r="C9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1" s="44"/>
      <c r="E941" s="66"/>
      <c r="F941" s="66"/>
      <c r="G941" s="66"/>
      <c r="H941" s="44"/>
      <c r="I941" s="44"/>
      <c r="J941" s="66"/>
      <c r="K941" s="66"/>
      <c r="L941" s="66"/>
      <c r="M941" s="66"/>
      <c r="N941" s="66">
        <f>SUM(Prog_236[[#This Row],[TARA]]+Prog_236[[#This Row],[PESO]])</f>
        <v>0</v>
      </c>
      <c r="O941" s="44"/>
      <c r="P941" s="66"/>
      <c r="Q941" s="66"/>
      <c r="R941" s="66"/>
      <c r="S941" s="66"/>
      <c r="T941" s="138" t="str">
        <f>IFERROR(LOOKUP($S941,MOTORISTAS!$D$3:$D$1048576,MOTORISTAS!E$3:$E$1048576),"")</f>
        <v/>
      </c>
      <c r="U941" s="138" t="str">
        <f>IFERROR(LOOKUP($S941,MOTORISTAS!$D$3:$D$1048576,MOTORISTAS!F$3:$F$1048576),"")</f>
        <v/>
      </c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44"/>
      <c r="AG941" s="254">
        <f>Prog_236[[#This Row],[SAÍDA DO CLIENTE]]-Prog_236[[#This Row],[PROGRAMAÇÃO CLIENTE]]</f>
        <v>0</v>
      </c>
      <c r="AH941" s="44"/>
      <c r="AI941" s="66"/>
      <c r="AJ941" s="66"/>
      <c r="AK941" s="66"/>
      <c r="AL941" s="66"/>
      <c r="AM941" s="66"/>
      <c r="AN941" s="83"/>
      <c r="AO941" s="66"/>
      <c r="AP941" s="66"/>
      <c r="AQ941" s="66"/>
      <c r="AR941" s="81"/>
      <c r="AS941" s="81"/>
      <c r="AT941" s="81"/>
      <c r="AU941" s="81"/>
      <c r="AV941" s="83">
        <f>SUM(Prog_236[[#This Row],[ADIANTAMENTO]]+Prog_236[[#This Row],[SALDO]]+Prog_236[[#This Row],[MARGEM]]+Prog_236[[#This Row],[ESTADIA 1]])</f>
        <v>0</v>
      </c>
      <c r="AW9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1" s="81"/>
      <c r="AY941" s="81"/>
      <c r="AZ941" s="81">
        <f>Prog_236[[#This Row],[VLR NF]]*0.1%</f>
        <v>0</v>
      </c>
      <c r="BA941" s="81">
        <f>Prog_236[[#This Row],[VLR NF]]*0.05%</f>
        <v>0</v>
      </c>
      <c r="BB941" s="81"/>
      <c r="BC941" s="81"/>
      <c r="BD941" s="81"/>
      <c r="BE941" s="81"/>
      <c r="BF941" s="81"/>
      <c r="BG941" s="81"/>
      <c r="BH941" s="81"/>
      <c r="BI941" s="81"/>
      <c r="BJ941" s="81"/>
      <c r="BK941" s="81"/>
      <c r="BL941" s="66"/>
      <c r="BM941" s="66"/>
      <c r="BN941" s="66"/>
      <c r="BO941" s="66" t="str">
        <f>PROPER(TEXT(Prog_236[[#This Row],[PROGRAMAÇÃO CLIENTE]],"mmm"))</f>
        <v>Jan</v>
      </c>
      <c r="BP941" s="66">
        <f>YEAR(Prog_236[[#This Row],[PROGRAMAÇÃO CLIENTE]])</f>
        <v>1900</v>
      </c>
    </row>
    <row r="942" spans="1:68" x14ac:dyDescent="0.25">
      <c r="A942" s="201">
        <f>Prog_236[[#This Row],[CONTEINER]]</f>
        <v>0</v>
      </c>
      <c r="B942" s="86"/>
      <c r="C9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2" s="44"/>
      <c r="E942" s="66"/>
      <c r="F942" s="66"/>
      <c r="G942" s="66"/>
      <c r="H942" s="44"/>
      <c r="I942" s="44"/>
      <c r="J942" s="66"/>
      <c r="K942" s="66"/>
      <c r="L942" s="66"/>
      <c r="M942" s="66"/>
      <c r="N942" s="66">
        <f>SUM(Prog_236[[#This Row],[TARA]]+Prog_236[[#This Row],[PESO]])</f>
        <v>0</v>
      </c>
      <c r="O942" s="44"/>
      <c r="P942" s="66"/>
      <c r="Q942" s="66"/>
      <c r="R942" s="66"/>
      <c r="S942" s="66"/>
      <c r="T942" s="138" t="str">
        <f>IFERROR(LOOKUP($S942,MOTORISTAS!$D$3:$D$1048576,MOTORISTAS!E$3:$E$1048576),"")</f>
        <v/>
      </c>
      <c r="U942" s="138" t="str">
        <f>IFERROR(LOOKUP($S942,MOTORISTAS!$D$3:$D$1048576,MOTORISTAS!F$3:$F$1048576),"")</f>
        <v/>
      </c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44"/>
      <c r="AG942" s="254">
        <f>Prog_236[[#This Row],[SAÍDA DO CLIENTE]]-Prog_236[[#This Row],[PROGRAMAÇÃO CLIENTE]]</f>
        <v>0</v>
      </c>
      <c r="AH942" s="44"/>
      <c r="AI942" s="66"/>
      <c r="AJ942" s="66"/>
      <c r="AK942" s="66"/>
      <c r="AL942" s="66"/>
      <c r="AM942" s="66"/>
      <c r="AN942" s="83"/>
      <c r="AO942" s="66"/>
      <c r="AP942" s="66"/>
      <c r="AQ942" s="66"/>
      <c r="AR942" s="81"/>
      <c r="AS942" s="81"/>
      <c r="AT942" s="81"/>
      <c r="AU942" s="81"/>
      <c r="AV942" s="83">
        <f>SUM(Prog_236[[#This Row],[ADIANTAMENTO]]+Prog_236[[#This Row],[SALDO]]+Prog_236[[#This Row],[MARGEM]]+Prog_236[[#This Row],[ESTADIA 1]])</f>
        <v>0</v>
      </c>
      <c r="AW9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2" s="81"/>
      <c r="AY942" s="81"/>
      <c r="AZ942" s="81">
        <f>Prog_236[[#This Row],[VLR NF]]*0.1%</f>
        <v>0</v>
      </c>
      <c r="BA942" s="81">
        <f>Prog_236[[#This Row],[VLR NF]]*0.05%</f>
        <v>0</v>
      </c>
      <c r="BB942" s="81"/>
      <c r="BC942" s="81"/>
      <c r="BD942" s="81"/>
      <c r="BE942" s="81"/>
      <c r="BF942" s="81"/>
      <c r="BG942" s="81"/>
      <c r="BH942" s="81"/>
      <c r="BI942" s="81"/>
      <c r="BJ942" s="81"/>
      <c r="BK942" s="81"/>
      <c r="BL942" s="66"/>
      <c r="BM942" s="66"/>
      <c r="BN942" s="66"/>
      <c r="BO942" s="66" t="str">
        <f>PROPER(TEXT(Prog_236[[#This Row],[PROGRAMAÇÃO CLIENTE]],"mmm"))</f>
        <v>Jan</v>
      </c>
      <c r="BP942" s="66">
        <f>YEAR(Prog_236[[#This Row],[PROGRAMAÇÃO CLIENTE]])</f>
        <v>1900</v>
      </c>
    </row>
    <row r="943" spans="1:68" x14ac:dyDescent="0.25">
      <c r="A943" s="200">
        <f>Prog_236[[#This Row],[CONTEINER]]</f>
        <v>0</v>
      </c>
      <c r="B943" s="86"/>
      <c r="C9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3" s="44"/>
      <c r="E943" s="66"/>
      <c r="F943" s="66"/>
      <c r="G943" s="66"/>
      <c r="H943" s="44"/>
      <c r="I943" s="44"/>
      <c r="J943" s="66"/>
      <c r="K943" s="66"/>
      <c r="L943" s="66"/>
      <c r="M943" s="66"/>
      <c r="N943" s="66">
        <f>SUM(Prog_236[[#This Row],[TARA]]+Prog_236[[#This Row],[PESO]])</f>
        <v>0</v>
      </c>
      <c r="O943" s="44"/>
      <c r="P943" s="66"/>
      <c r="Q943" s="66"/>
      <c r="R943" s="66"/>
      <c r="S943" s="66"/>
      <c r="T943" s="138" t="str">
        <f>IFERROR(LOOKUP($S943,MOTORISTAS!$D$3:$D$1048576,MOTORISTAS!E$3:$E$1048576),"")</f>
        <v/>
      </c>
      <c r="U943" s="138" t="str">
        <f>IFERROR(LOOKUP($S943,MOTORISTAS!$D$3:$D$1048576,MOTORISTAS!F$3:$F$1048576),"")</f>
        <v/>
      </c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44"/>
      <c r="AG943" s="254">
        <f>Prog_236[[#This Row],[SAÍDA DO CLIENTE]]-Prog_236[[#This Row],[PROGRAMAÇÃO CLIENTE]]</f>
        <v>0</v>
      </c>
      <c r="AH943" s="44"/>
      <c r="AI943" s="66"/>
      <c r="AJ943" s="66"/>
      <c r="AK943" s="66"/>
      <c r="AL943" s="66"/>
      <c r="AM943" s="66"/>
      <c r="AN943" s="83"/>
      <c r="AO943" s="66"/>
      <c r="AP943" s="66"/>
      <c r="AQ943" s="66"/>
      <c r="AR943" s="81"/>
      <c r="AS943" s="81"/>
      <c r="AT943" s="81"/>
      <c r="AU943" s="81"/>
      <c r="AV943" s="83">
        <f>SUM(Prog_236[[#This Row],[ADIANTAMENTO]]+Prog_236[[#This Row],[SALDO]]+Prog_236[[#This Row],[MARGEM]]+Prog_236[[#This Row],[ESTADIA 1]])</f>
        <v>0</v>
      </c>
      <c r="AW9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3" s="81"/>
      <c r="AY943" s="81"/>
      <c r="AZ943" s="81">
        <f>Prog_236[[#This Row],[VLR NF]]*0.1%</f>
        <v>0</v>
      </c>
      <c r="BA943" s="81">
        <f>Prog_236[[#This Row],[VLR NF]]*0.05%</f>
        <v>0</v>
      </c>
      <c r="BB943" s="81"/>
      <c r="BC943" s="81"/>
      <c r="BD943" s="81"/>
      <c r="BE943" s="81"/>
      <c r="BF943" s="81"/>
      <c r="BG943" s="81"/>
      <c r="BH943" s="81"/>
      <c r="BI943" s="81"/>
      <c r="BJ943" s="81"/>
      <c r="BK943" s="81"/>
      <c r="BL943" s="66"/>
      <c r="BM943" s="66"/>
      <c r="BN943" s="66"/>
      <c r="BO943" s="66" t="str">
        <f>PROPER(TEXT(Prog_236[[#This Row],[PROGRAMAÇÃO CLIENTE]],"mmm"))</f>
        <v>Jan</v>
      </c>
      <c r="BP943" s="66">
        <f>YEAR(Prog_236[[#This Row],[PROGRAMAÇÃO CLIENTE]])</f>
        <v>1900</v>
      </c>
    </row>
    <row r="944" spans="1:68" x14ac:dyDescent="0.25">
      <c r="A944" s="201">
        <f>Prog_236[[#This Row],[CONTEINER]]</f>
        <v>0</v>
      </c>
      <c r="B944" s="86"/>
      <c r="C9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4" s="44"/>
      <c r="E944" s="66"/>
      <c r="F944" s="66"/>
      <c r="G944" s="66"/>
      <c r="H944" s="44"/>
      <c r="I944" s="44"/>
      <c r="J944" s="66"/>
      <c r="K944" s="66"/>
      <c r="L944" s="66"/>
      <c r="M944" s="66"/>
      <c r="N944" s="66">
        <f>SUM(Prog_236[[#This Row],[TARA]]+Prog_236[[#This Row],[PESO]])</f>
        <v>0</v>
      </c>
      <c r="O944" s="44"/>
      <c r="P944" s="66"/>
      <c r="Q944" s="66"/>
      <c r="R944" s="66"/>
      <c r="S944" s="66"/>
      <c r="T944" s="138" t="str">
        <f>IFERROR(LOOKUP($S944,MOTORISTAS!$D$3:$D$1048576,MOTORISTAS!E$3:$E$1048576),"")</f>
        <v/>
      </c>
      <c r="U944" s="138" t="str">
        <f>IFERROR(LOOKUP($S944,MOTORISTAS!$D$3:$D$1048576,MOTORISTAS!F$3:$F$1048576),"")</f>
        <v/>
      </c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44"/>
      <c r="AG944" s="254">
        <f>Prog_236[[#This Row],[SAÍDA DO CLIENTE]]-Prog_236[[#This Row],[PROGRAMAÇÃO CLIENTE]]</f>
        <v>0</v>
      </c>
      <c r="AH944" s="44"/>
      <c r="AI944" s="66"/>
      <c r="AJ944" s="66"/>
      <c r="AK944" s="66"/>
      <c r="AL944" s="66"/>
      <c r="AM944" s="66"/>
      <c r="AN944" s="83"/>
      <c r="AO944" s="66"/>
      <c r="AP944" s="66"/>
      <c r="AQ944" s="66"/>
      <c r="AR944" s="81"/>
      <c r="AS944" s="81"/>
      <c r="AT944" s="81"/>
      <c r="AU944" s="81"/>
      <c r="AV944" s="83">
        <f>SUM(Prog_236[[#This Row],[ADIANTAMENTO]]+Prog_236[[#This Row],[SALDO]]+Prog_236[[#This Row],[MARGEM]]+Prog_236[[#This Row],[ESTADIA 1]])</f>
        <v>0</v>
      </c>
      <c r="AW9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4" s="81"/>
      <c r="AY944" s="81"/>
      <c r="AZ944" s="81">
        <f>Prog_236[[#This Row],[VLR NF]]*0.1%</f>
        <v>0</v>
      </c>
      <c r="BA944" s="81">
        <f>Prog_236[[#This Row],[VLR NF]]*0.05%</f>
        <v>0</v>
      </c>
      <c r="BB944" s="81"/>
      <c r="BC944" s="81"/>
      <c r="BD944" s="81"/>
      <c r="BE944" s="81"/>
      <c r="BF944" s="81"/>
      <c r="BG944" s="81"/>
      <c r="BH944" s="81"/>
      <c r="BI944" s="81"/>
      <c r="BJ944" s="81"/>
      <c r="BK944" s="81"/>
      <c r="BL944" s="66"/>
      <c r="BM944" s="66"/>
      <c r="BN944" s="66"/>
      <c r="BO944" s="66" t="str">
        <f>PROPER(TEXT(Prog_236[[#This Row],[PROGRAMAÇÃO CLIENTE]],"mmm"))</f>
        <v>Jan</v>
      </c>
      <c r="BP944" s="66">
        <f>YEAR(Prog_236[[#This Row],[PROGRAMAÇÃO CLIENTE]])</f>
        <v>1900</v>
      </c>
    </row>
    <row r="945" spans="1:68" x14ac:dyDescent="0.25">
      <c r="A945" s="200">
        <f>Prog_236[[#This Row],[CONTEINER]]</f>
        <v>0</v>
      </c>
      <c r="B945" s="86"/>
      <c r="C9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5" s="44"/>
      <c r="E945" s="66"/>
      <c r="F945" s="66"/>
      <c r="G945" s="66"/>
      <c r="H945" s="44"/>
      <c r="I945" s="44"/>
      <c r="J945" s="66"/>
      <c r="K945" s="66"/>
      <c r="L945" s="66"/>
      <c r="M945" s="66"/>
      <c r="N945" s="66">
        <f>SUM(Prog_236[[#This Row],[TARA]]+Prog_236[[#This Row],[PESO]])</f>
        <v>0</v>
      </c>
      <c r="O945" s="44"/>
      <c r="P945" s="66"/>
      <c r="Q945" s="66"/>
      <c r="R945" s="66"/>
      <c r="S945" s="66"/>
      <c r="T945" s="138" t="str">
        <f>IFERROR(LOOKUP($S945,MOTORISTAS!$D$3:$D$1048576,MOTORISTAS!E$3:$E$1048576),"")</f>
        <v/>
      </c>
      <c r="U945" s="138" t="str">
        <f>IFERROR(LOOKUP($S945,MOTORISTAS!$D$3:$D$1048576,MOTORISTAS!F$3:$F$1048576),"")</f>
        <v/>
      </c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44"/>
      <c r="AG945" s="254">
        <f>Prog_236[[#This Row],[SAÍDA DO CLIENTE]]-Prog_236[[#This Row],[PROGRAMAÇÃO CLIENTE]]</f>
        <v>0</v>
      </c>
      <c r="AH945" s="44"/>
      <c r="AI945" s="66"/>
      <c r="AJ945" s="66"/>
      <c r="AK945" s="66"/>
      <c r="AL945" s="66"/>
      <c r="AM945" s="66"/>
      <c r="AN945" s="83"/>
      <c r="AO945" s="66"/>
      <c r="AP945" s="66"/>
      <c r="AQ945" s="66"/>
      <c r="AR945" s="81"/>
      <c r="AS945" s="81"/>
      <c r="AT945" s="81"/>
      <c r="AU945" s="81"/>
      <c r="AV945" s="83">
        <f>SUM(Prog_236[[#This Row],[ADIANTAMENTO]]+Prog_236[[#This Row],[SALDO]]+Prog_236[[#This Row],[MARGEM]]+Prog_236[[#This Row],[ESTADIA 1]])</f>
        <v>0</v>
      </c>
      <c r="AW9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5" s="81"/>
      <c r="AY945" s="81"/>
      <c r="AZ945" s="81">
        <f>Prog_236[[#This Row],[VLR NF]]*0.1%</f>
        <v>0</v>
      </c>
      <c r="BA945" s="81">
        <f>Prog_236[[#This Row],[VLR NF]]*0.05%</f>
        <v>0</v>
      </c>
      <c r="BB945" s="81"/>
      <c r="BC945" s="81"/>
      <c r="BD945" s="81"/>
      <c r="BE945" s="81"/>
      <c r="BF945" s="81"/>
      <c r="BG945" s="81"/>
      <c r="BH945" s="81"/>
      <c r="BI945" s="81"/>
      <c r="BJ945" s="81"/>
      <c r="BK945" s="81"/>
      <c r="BL945" s="66"/>
      <c r="BM945" s="66"/>
      <c r="BN945" s="66"/>
      <c r="BO945" s="66" t="str">
        <f>PROPER(TEXT(Prog_236[[#This Row],[PROGRAMAÇÃO CLIENTE]],"mmm"))</f>
        <v>Jan</v>
      </c>
      <c r="BP945" s="66">
        <f>YEAR(Prog_236[[#This Row],[PROGRAMAÇÃO CLIENTE]])</f>
        <v>1900</v>
      </c>
    </row>
    <row r="946" spans="1:68" x14ac:dyDescent="0.25">
      <c r="A946" s="201">
        <f>Prog_236[[#This Row],[CONTEINER]]</f>
        <v>0</v>
      </c>
      <c r="B946" s="86"/>
      <c r="C9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6" s="44"/>
      <c r="E946" s="66"/>
      <c r="F946" s="66"/>
      <c r="G946" s="66"/>
      <c r="H946" s="44"/>
      <c r="I946" s="44"/>
      <c r="J946" s="66"/>
      <c r="K946" s="66"/>
      <c r="L946" s="66"/>
      <c r="M946" s="66"/>
      <c r="N946" s="66">
        <f>SUM(Prog_236[[#This Row],[TARA]]+Prog_236[[#This Row],[PESO]])</f>
        <v>0</v>
      </c>
      <c r="O946" s="44"/>
      <c r="P946" s="66"/>
      <c r="Q946" s="66"/>
      <c r="R946" s="66"/>
      <c r="S946" s="66"/>
      <c r="T946" s="138" t="str">
        <f>IFERROR(LOOKUP($S946,MOTORISTAS!$D$3:$D$1048576,MOTORISTAS!E$3:$E$1048576),"")</f>
        <v/>
      </c>
      <c r="U946" s="138" t="str">
        <f>IFERROR(LOOKUP($S946,MOTORISTAS!$D$3:$D$1048576,MOTORISTAS!F$3:$F$1048576),"")</f>
        <v/>
      </c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44"/>
      <c r="AG946" s="254">
        <f>Prog_236[[#This Row],[SAÍDA DO CLIENTE]]-Prog_236[[#This Row],[PROGRAMAÇÃO CLIENTE]]</f>
        <v>0</v>
      </c>
      <c r="AH946" s="44"/>
      <c r="AI946" s="66"/>
      <c r="AJ946" s="66"/>
      <c r="AK946" s="66"/>
      <c r="AL946" s="66"/>
      <c r="AM946" s="66"/>
      <c r="AN946" s="83"/>
      <c r="AO946" s="66"/>
      <c r="AP946" s="66"/>
      <c r="AQ946" s="66"/>
      <c r="AR946" s="81"/>
      <c r="AS946" s="81"/>
      <c r="AT946" s="81"/>
      <c r="AU946" s="81"/>
      <c r="AV946" s="83">
        <f>SUM(Prog_236[[#This Row],[ADIANTAMENTO]]+Prog_236[[#This Row],[SALDO]]+Prog_236[[#This Row],[MARGEM]]+Prog_236[[#This Row],[ESTADIA 1]])</f>
        <v>0</v>
      </c>
      <c r="AW9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6" s="81"/>
      <c r="AY946" s="81"/>
      <c r="AZ946" s="81">
        <f>Prog_236[[#This Row],[VLR NF]]*0.1%</f>
        <v>0</v>
      </c>
      <c r="BA946" s="81">
        <f>Prog_236[[#This Row],[VLR NF]]*0.05%</f>
        <v>0</v>
      </c>
      <c r="BB946" s="81"/>
      <c r="BC946" s="81"/>
      <c r="BD946" s="81"/>
      <c r="BE946" s="81"/>
      <c r="BF946" s="81"/>
      <c r="BG946" s="81"/>
      <c r="BH946" s="81"/>
      <c r="BI946" s="81"/>
      <c r="BJ946" s="81"/>
      <c r="BK946" s="81"/>
      <c r="BL946" s="66"/>
      <c r="BM946" s="66"/>
      <c r="BN946" s="66"/>
      <c r="BO946" s="66" t="str">
        <f>PROPER(TEXT(Prog_236[[#This Row],[PROGRAMAÇÃO CLIENTE]],"mmm"))</f>
        <v>Jan</v>
      </c>
      <c r="BP946" s="66">
        <f>YEAR(Prog_236[[#This Row],[PROGRAMAÇÃO CLIENTE]])</f>
        <v>1900</v>
      </c>
    </row>
    <row r="947" spans="1:68" x14ac:dyDescent="0.25">
      <c r="A947" s="200">
        <f>Prog_236[[#This Row],[CONTEINER]]</f>
        <v>0</v>
      </c>
      <c r="B947" s="86"/>
      <c r="C9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7" s="44"/>
      <c r="E947" s="66"/>
      <c r="F947" s="66"/>
      <c r="G947" s="66"/>
      <c r="H947" s="44"/>
      <c r="I947" s="44"/>
      <c r="J947" s="66"/>
      <c r="K947" s="66"/>
      <c r="L947" s="66"/>
      <c r="M947" s="66"/>
      <c r="N947" s="66">
        <f>SUM(Prog_236[[#This Row],[TARA]]+Prog_236[[#This Row],[PESO]])</f>
        <v>0</v>
      </c>
      <c r="O947" s="44"/>
      <c r="P947" s="66"/>
      <c r="Q947" s="66"/>
      <c r="R947" s="66"/>
      <c r="S947" s="66"/>
      <c r="T947" s="138" t="str">
        <f>IFERROR(LOOKUP($S947,MOTORISTAS!$D$3:$D$1048576,MOTORISTAS!E$3:$E$1048576),"")</f>
        <v/>
      </c>
      <c r="U947" s="138" t="str">
        <f>IFERROR(LOOKUP($S947,MOTORISTAS!$D$3:$D$1048576,MOTORISTAS!F$3:$F$1048576),"")</f>
        <v/>
      </c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44"/>
      <c r="AG947" s="254">
        <f>Prog_236[[#This Row],[SAÍDA DO CLIENTE]]-Prog_236[[#This Row],[PROGRAMAÇÃO CLIENTE]]</f>
        <v>0</v>
      </c>
      <c r="AH947" s="44"/>
      <c r="AI947" s="66"/>
      <c r="AJ947" s="66"/>
      <c r="AK947" s="66"/>
      <c r="AL947" s="66"/>
      <c r="AM947" s="66"/>
      <c r="AN947" s="83"/>
      <c r="AO947" s="66"/>
      <c r="AP947" s="66"/>
      <c r="AQ947" s="66"/>
      <c r="AR947" s="81"/>
      <c r="AS947" s="81"/>
      <c r="AT947" s="81"/>
      <c r="AU947" s="81"/>
      <c r="AV947" s="83">
        <f>SUM(Prog_236[[#This Row],[ADIANTAMENTO]]+Prog_236[[#This Row],[SALDO]]+Prog_236[[#This Row],[MARGEM]]+Prog_236[[#This Row],[ESTADIA 1]])</f>
        <v>0</v>
      </c>
      <c r="AW9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7" s="81"/>
      <c r="AY947" s="81"/>
      <c r="AZ947" s="81">
        <f>Prog_236[[#This Row],[VLR NF]]*0.1%</f>
        <v>0</v>
      </c>
      <c r="BA947" s="81">
        <f>Prog_236[[#This Row],[VLR NF]]*0.05%</f>
        <v>0</v>
      </c>
      <c r="BB947" s="81"/>
      <c r="BC947" s="81"/>
      <c r="BD947" s="81"/>
      <c r="BE947" s="81"/>
      <c r="BF947" s="81"/>
      <c r="BG947" s="81"/>
      <c r="BH947" s="81"/>
      <c r="BI947" s="81"/>
      <c r="BJ947" s="81"/>
      <c r="BK947" s="81"/>
      <c r="BL947" s="66"/>
      <c r="BM947" s="66"/>
      <c r="BN947" s="66"/>
      <c r="BO947" s="66" t="str">
        <f>PROPER(TEXT(Prog_236[[#This Row],[PROGRAMAÇÃO CLIENTE]],"mmm"))</f>
        <v>Jan</v>
      </c>
      <c r="BP947" s="66">
        <f>YEAR(Prog_236[[#This Row],[PROGRAMAÇÃO CLIENTE]])</f>
        <v>1900</v>
      </c>
    </row>
    <row r="948" spans="1:68" x14ac:dyDescent="0.25">
      <c r="A948" s="201">
        <f>Prog_236[[#This Row],[CONTEINER]]</f>
        <v>0</v>
      </c>
      <c r="B948" s="86"/>
      <c r="C9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8" s="44"/>
      <c r="E948" s="66"/>
      <c r="F948" s="66"/>
      <c r="G948" s="66"/>
      <c r="H948" s="44"/>
      <c r="I948" s="44"/>
      <c r="J948" s="66"/>
      <c r="K948" s="66"/>
      <c r="L948" s="66"/>
      <c r="M948" s="66"/>
      <c r="N948" s="66">
        <f>SUM(Prog_236[[#This Row],[TARA]]+Prog_236[[#This Row],[PESO]])</f>
        <v>0</v>
      </c>
      <c r="O948" s="44"/>
      <c r="P948" s="66"/>
      <c r="Q948" s="66"/>
      <c r="R948" s="66"/>
      <c r="S948" s="66"/>
      <c r="T948" s="138" t="str">
        <f>IFERROR(LOOKUP($S948,MOTORISTAS!$D$3:$D$1048576,MOTORISTAS!E$3:$E$1048576),"")</f>
        <v/>
      </c>
      <c r="U948" s="138" t="str">
        <f>IFERROR(LOOKUP($S948,MOTORISTAS!$D$3:$D$1048576,MOTORISTAS!F$3:$F$1048576),"")</f>
        <v/>
      </c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44"/>
      <c r="AG948" s="254">
        <f>Prog_236[[#This Row],[SAÍDA DO CLIENTE]]-Prog_236[[#This Row],[PROGRAMAÇÃO CLIENTE]]</f>
        <v>0</v>
      </c>
      <c r="AH948" s="44"/>
      <c r="AI948" s="66"/>
      <c r="AJ948" s="66"/>
      <c r="AK948" s="66"/>
      <c r="AL948" s="66"/>
      <c r="AM948" s="66"/>
      <c r="AN948" s="83"/>
      <c r="AO948" s="66"/>
      <c r="AP948" s="66"/>
      <c r="AQ948" s="66"/>
      <c r="AR948" s="81"/>
      <c r="AS948" s="81"/>
      <c r="AT948" s="81"/>
      <c r="AU948" s="81"/>
      <c r="AV948" s="83">
        <f>SUM(Prog_236[[#This Row],[ADIANTAMENTO]]+Prog_236[[#This Row],[SALDO]]+Prog_236[[#This Row],[MARGEM]]+Prog_236[[#This Row],[ESTADIA 1]])</f>
        <v>0</v>
      </c>
      <c r="AW9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8" s="81"/>
      <c r="AY948" s="81"/>
      <c r="AZ948" s="81">
        <f>Prog_236[[#This Row],[VLR NF]]*0.1%</f>
        <v>0</v>
      </c>
      <c r="BA948" s="81">
        <f>Prog_236[[#This Row],[VLR NF]]*0.05%</f>
        <v>0</v>
      </c>
      <c r="BB948" s="81"/>
      <c r="BC948" s="81"/>
      <c r="BD948" s="81"/>
      <c r="BE948" s="81"/>
      <c r="BF948" s="81"/>
      <c r="BG948" s="81"/>
      <c r="BH948" s="81"/>
      <c r="BI948" s="81"/>
      <c r="BJ948" s="81"/>
      <c r="BK948" s="81"/>
      <c r="BL948" s="66"/>
      <c r="BM948" s="66"/>
      <c r="BN948" s="66"/>
      <c r="BO948" s="66" t="str">
        <f>PROPER(TEXT(Prog_236[[#This Row],[PROGRAMAÇÃO CLIENTE]],"mmm"))</f>
        <v>Jan</v>
      </c>
      <c r="BP948" s="66">
        <f>YEAR(Prog_236[[#This Row],[PROGRAMAÇÃO CLIENTE]])</f>
        <v>1900</v>
      </c>
    </row>
    <row r="949" spans="1:68" x14ac:dyDescent="0.25">
      <c r="A949" s="200">
        <f>Prog_236[[#This Row],[CONTEINER]]</f>
        <v>0</v>
      </c>
      <c r="B949" s="86"/>
      <c r="C9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49" s="44"/>
      <c r="E949" s="66"/>
      <c r="F949" s="66"/>
      <c r="G949" s="66"/>
      <c r="H949" s="44"/>
      <c r="I949" s="44"/>
      <c r="J949" s="66"/>
      <c r="K949" s="66"/>
      <c r="L949" s="66"/>
      <c r="M949" s="66"/>
      <c r="N949" s="66">
        <f>SUM(Prog_236[[#This Row],[TARA]]+Prog_236[[#This Row],[PESO]])</f>
        <v>0</v>
      </c>
      <c r="O949" s="44"/>
      <c r="P949" s="66"/>
      <c r="Q949" s="66"/>
      <c r="R949" s="66"/>
      <c r="S949" s="66"/>
      <c r="T949" s="138" t="str">
        <f>IFERROR(LOOKUP($S949,MOTORISTAS!$D$3:$D$1048576,MOTORISTAS!E$3:$E$1048576),"")</f>
        <v/>
      </c>
      <c r="U949" s="138" t="str">
        <f>IFERROR(LOOKUP($S949,MOTORISTAS!$D$3:$D$1048576,MOTORISTAS!F$3:$F$1048576),"")</f>
        <v/>
      </c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44"/>
      <c r="AG949" s="254">
        <f>Prog_236[[#This Row],[SAÍDA DO CLIENTE]]-Prog_236[[#This Row],[PROGRAMAÇÃO CLIENTE]]</f>
        <v>0</v>
      </c>
      <c r="AH949" s="44"/>
      <c r="AI949" s="66"/>
      <c r="AJ949" s="66"/>
      <c r="AK949" s="66"/>
      <c r="AL949" s="66"/>
      <c r="AM949" s="66"/>
      <c r="AN949" s="83"/>
      <c r="AO949" s="66"/>
      <c r="AP949" s="66"/>
      <c r="AQ949" s="66"/>
      <c r="AR949" s="81"/>
      <c r="AS949" s="81"/>
      <c r="AT949" s="81"/>
      <c r="AU949" s="81"/>
      <c r="AV949" s="83">
        <f>SUM(Prog_236[[#This Row],[ADIANTAMENTO]]+Prog_236[[#This Row],[SALDO]]+Prog_236[[#This Row],[MARGEM]]+Prog_236[[#This Row],[ESTADIA 1]])</f>
        <v>0</v>
      </c>
      <c r="AW9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49" s="81"/>
      <c r="AY949" s="81"/>
      <c r="AZ949" s="81">
        <f>Prog_236[[#This Row],[VLR NF]]*0.1%</f>
        <v>0</v>
      </c>
      <c r="BA949" s="81">
        <f>Prog_236[[#This Row],[VLR NF]]*0.05%</f>
        <v>0</v>
      </c>
      <c r="BB949" s="81"/>
      <c r="BC949" s="81"/>
      <c r="BD949" s="81"/>
      <c r="BE949" s="81"/>
      <c r="BF949" s="81"/>
      <c r="BG949" s="81"/>
      <c r="BH949" s="81"/>
      <c r="BI949" s="81"/>
      <c r="BJ949" s="81"/>
      <c r="BK949" s="81"/>
      <c r="BL949" s="66"/>
      <c r="BM949" s="66"/>
      <c r="BN949" s="66"/>
      <c r="BO949" s="66" t="str">
        <f>PROPER(TEXT(Prog_236[[#This Row],[PROGRAMAÇÃO CLIENTE]],"mmm"))</f>
        <v>Jan</v>
      </c>
      <c r="BP949" s="66">
        <f>YEAR(Prog_236[[#This Row],[PROGRAMAÇÃO CLIENTE]])</f>
        <v>1900</v>
      </c>
    </row>
    <row r="950" spans="1:68" x14ac:dyDescent="0.25">
      <c r="A950" s="201">
        <f>Prog_236[[#This Row],[CONTEINER]]</f>
        <v>0</v>
      </c>
      <c r="B950" s="86"/>
      <c r="C9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0" s="44"/>
      <c r="E950" s="66"/>
      <c r="F950" s="66"/>
      <c r="G950" s="66"/>
      <c r="H950" s="44"/>
      <c r="I950" s="44"/>
      <c r="J950" s="66"/>
      <c r="K950" s="66"/>
      <c r="L950" s="66"/>
      <c r="M950" s="66"/>
      <c r="N950" s="66">
        <f>SUM(Prog_236[[#This Row],[TARA]]+Prog_236[[#This Row],[PESO]])</f>
        <v>0</v>
      </c>
      <c r="O950" s="44"/>
      <c r="P950" s="66"/>
      <c r="Q950" s="66"/>
      <c r="R950" s="66"/>
      <c r="S950" s="66"/>
      <c r="T950" s="138" t="str">
        <f>IFERROR(LOOKUP($S950,MOTORISTAS!$D$3:$D$1048576,MOTORISTAS!E$3:$E$1048576),"")</f>
        <v/>
      </c>
      <c r="U950" s="138" t="str">
        <f>IFERROR(LOOKUP($S950,MOTORISTAS!$D$3:$D$1048576,MOTORISTAS!F$3:$F$1048576),"")</f>
        <v/>
      </c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44"/>
      <c r="AG950" s="254">
        <f>Prog_236[[#This Row],[SAÍDA DO CLIENTE]]-Prog_236[[#This Row],[PROGRAMAÇÃO CLIENTE]]</f>
        <v>0</v>
      </c>
      <c r="AH950" s="44"/>
      <c r="AI950" s="66"/>
      <c r="AJ950" s="66"/>
      <c r="AK950" s="66"/>
      <c r="AL950" s="66"/>
      <c r="AM950" s="66"/>
      <c r="AN950" s="83"/>
      <c r="AO950" s="66"/>
      <c r="AP950" s="66"/>
      <c r="AQ950" s="66"/>
      <c r="AR950" s="81"/>
      <c r="AS950" s="81"/>
      <c r="AT950" s="81"/>
      <c r="AU950" s="81"/>
      <c r="AV950" s="83">
        <f>SUM(Prog_236[[#This Row],[ADIANTAMENTO]]+Prog_236[[#This Row],[SALDO]]+Prog_236[[#This Row],[MARGEM]]+Prog_236[[#This Row],[ESTADIA 1]])</f>
        <v>0</v>
      </c>
      <c r="AW9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0" s="81"/>
      <c r="AY950" s="81"/>
      <c r="AZ950" s="81">
        <f>Prog_236[[#This Row],[VLR NF]]*0.1%</f>
        <v>0</v>
      </c>
      <c r="BA950" s="81">
        <f>Prog_236[[#This Row],[VLR NF]]*0.05%</f>
        <v>0</v>
      </c>
      <c r="BB950" s="81"/>
      <c r="BC950" s="81"/>
      <c r="BD950" s="81"/>
      <c r="BE950" s="81"/>
      <c r="BF950" s="81"/>
      <c r="BG950" s="81"/>
      <c r="BH950" s="81"/>
      <c r="BI950" s="81"/>
      <c r="BJ950" s="81"/>
      <c r="BK950" s="81"/>
      <c r="BL950" s="66"/>
      <c r="BM950" s="66"/>
      <c r="BN950" s="66"/>
      <c r="BO950" s="66" t="str">
        <f>PROPER(TEXT(Prog_236[[#This Row],[PROGRAMAÇÃO CLIENTE]],"mmm"))</f>
        <v>Jan</v>
      </c>
      <c r="BP950" s="66">
        <f>YEAR(Prog_236[[#This Row],[PROGRAMAÇÃO CLIENTE]])</f>
        <v>1900</v>
      </c>
    </row>
    <row r="951" spans="1:68" x14ac:dyDescent="0.25">
      <c r="A951" s="200">
        <f>Prog_236[[#This Row],[CONTEINER]]</f>
        <v>0</v>
      </c>
      <c r="B951" s="86"/>
      <c r="C9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1" s="44"/>
      <c r="E951" s="66"/>
      <c r="F951" s="66"/>
      <c r="G951" s="66"/>
      <c r="H951" s="44"/>
      <c r="I951" s="44"/>
      <c r="J951" s="66"/>
      <c r="K951" s="66"/>
      <c r="L951" s="66"/>
      <c r="M951" s="66"/>
      <c r="N951" s="66">
        <f>SUM(Prog_236[[#This Row],[TARA]]+Prog_236[[#This Row],[PESO]])</f>
        <v>0</v>
      </c>
      <c r="O951" s="44"/>
      <c r="P951" s="66"/>
      <c r="Q951" s="66"/>
      <c r="R951" s="66"/>
      <c r="S951" s="66"/>
      <c r="T951" s="138" t="str">
        <f>IFERROR(LOOKUP($S951,MOTORISTAS!$D$3:$D$1048576,MOTORISTAS!E$3:$E$1048576),"")</f>
        <v/>
      </c>
      <c r="U951" s="138" t="str">
        <f>IFERROR(LOOKUP($S951,MOTORISTAS!$D$3:$D$1048576,MOTORISTAS!F$3:$F$1048576),"")</f>
        <v/>
      </c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44"/>
      <c r="AG951" s="254">
        <f>Prog_236[[#This Row],[SAÍDA DO CLIENTE]]-Prog_236[[#This Row],[PROGRAMAÇÃO CLIENTE]]</f>
        <v>0</v>
      </c>
      <c r="AH951" s="44"/>
      <c r="AI951" s="66"/>
      <c r="AJ951" s="66"/>
      <c r="AK951" s="66"/>
      <c r="AL951" s="66"/>
      <c r="AM951" s="66"/>
      <c r="AN951" s="83"/>
      <c r="AO951" s="66"/>
      <c r="AP951" s="66"/>
      <c r="AQ951" s="66"/>
      <c r="AR951" s="81"/>
      <c r="AS951" s="81"/>
      <c r="AT951" s="81"/>
      <c r="AU951" s="81"/>
      <c r="AV951" s="83">
        <f>SUM(Prog_236[[#This Row],[ADIANTAMENTO]]+Prog_236[[#This Row],[SALDO]]+Prog_236[[#This Row],[MARGEM]]+Prog_236[[#This Row],[ESTADIA 1]])</f>
        <v>0</v>
      </c>
      <c r="AW9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1" s="81"/>
      <c r="AY951" s="81"/>
      <c r="AZ951" s="81">
        <f>Prog_236[[#This Row],[VLR NF]]*0.1%</f>
        <v>0</v>
      </c>
      <c r="BA951" s="81">
        <f>Prog_236[[#This Row],[VLR NF]]*0.05%</f>
        <v>0</v>
      </c>
      <c r="BB951" s="81"/>
      <c r="BC951" s="81"/>
      <c r="BD951" s="81"/>
      <c r="BE951" s="81"/>
      <c r="BF951" s="81"/>
      <c r="BG951" s="81"/>
      <c r="BH951" s="81"/>
      <c r="BI951" s="81"/>
      <c r="BJ951" s="81"/>
      <c r="BK951" s="81"/>
      <c r="BL951" s="66"/>
      <c r="BM951" s="66"/>
      <c r="BN951" s="66"/>
      <c r="BO951" s="66" t="str">
        <f>PROPER(TEXT(Prog_236[[#This Row],[PROGRAMAÇÃO CLIENTE]],"mmm"))</f>
        <v>Jan</v>
      </c>
      <c r="BP951" s="66">
        <f>YEAR(Prog_236[[#This Row],[PROGRAMAÇÃO CLIENTE]])</f>
        <v>1900</v>
      </c>
    </row>
    <row r="952" spans="1:68" x14ac:dyDescent="0.25">
      <c r="A952" s="201">
        <f>Prog_236[[#This Row],[CONTEINER]]</f>
        <v>0</v>
      </c>
      <c r="B952" s="86"/>
      <c r="C9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2" s="44"/>
      <c r="E952" s="66"/>
      <c r="F952" s="66"/>
      <c r="G952" s="66"/>
      <c r="H952" s="44"/>
      <c r="I952" s="44"/>
      <c r="J952" s="66"/>
      <c r="K952" s="66"/>
      <c r="L952" s="66"/>
      <c r="M952" s="66"/>
      <c r="N952" s="66">
        <f>SUM(Prog_236[[#This Row],[TARA]]+Prog_236[[#This Row],[PESO]])</f>
        <v>0</v>
      </c>
      <c r="O952" s="44"/>
      <c r="P952" s="66"/>
      <c r="Q952" s="66"/>
      <c r="R952" s="66"/>
      <c r="S952" s="66"/>
      <c r="T952" s="138" t="str">
        <f>IFERROR(LOOKUP($S952,MOTORISTAS!$D$3:$D$1048576,MOTORISTAS!E$3:$E$1048576),"")</f>
        <v/>
      </c>
      <c r="U952" s="138" t="str">
        <f>IFERROR(LOOKUP($S952,MOTORISTAS!$D$3:$D$1048576,MOTORISTAS!F$3:$F$1048576),"")</f>
        <v/>
      </c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44"/>
      <c r="AG952" s="254">
        <f>Prog_236[[#This Row],[SAÍDA DO CLIENTE]]-Prog_236[[#This Row],[PROGRAMAÇÃO CLIENTE]]</f>
        <v>0</v>
      </c>
      <c r="AH952" s="44"/>
      <c r="AI952" s="66"/>
      <c r="AJ952" s="66"/>
      <c r="AK952" s="66"/>
      <c r="AL952" s="66"/>
      <c r="AM952" s="66"/>
      <c r="AN952" s="83"/>
      <c r="AO952" s="66"/>
      <c r="AP952" s="66"/>
      <c r="AQ952" s="66"/>
      <c r="AR952" s="81"/>
      <c r="AS952" s="81"/>
      <c r="AT952" s="81"/>
      <c r="AU952" s="81"/>
      <c r="AV952" s="83">
        <f>SUM(Prog_236[[#This Row],[ADIANTAMENTO]]+Prog_236[[#This Row],[SALDO]]+Prog_236[[#This Row],[MARGEM]]+Prog_236[[#This Row],[ESTADIA 1]])</f>
        <v>0</v>
      </c>
      <c r="AW9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2" s="81"/>
      <c r="AY952" s="81"/>
      <c r="AZ952" s="81">
        <f>Prog_236[[#This Row],[VLR NF]]*0.1%</f>
        <v>0</v>
      </c>
      <c r="BA952" s="81">
        <f>Prog_236[[#This Row],[VLR NF]]*0.05%</f>
        <v>0</v>
      </c>
      <c r="BB952" s="81"/>
      <c r="BC952" s="81"/>
      <c r="BD952" s="81"/>
      <c r="BE952" s="81"/>
      <c r="BF952" s="81"/>
      <c r="BG952" s="81"/>
      <c r="BH952" s="81"/>
      <c r="BI952" s="81"/>
      <c r="BJ952" s="81"/>
      <c r="BK952" s="81"/>
      <c r="BL952" s="66"/>
      <c r="BM952" s="66"/>
      <c r="BN952" s="66"/>
      <c r="BO952" s="66" t="str">
        <f>PROPER(TEXT(Prog_236[[#This Row],[PROGRAMAÇÃO CLIENTE]],"mmm"))</f>
        <v>Jan</v>
      </c>
      <c r="BP952" s="66">
        <f>YEAR(Prog_236[[#This Row],[PROGRAMAÇÃO CLIENTE]])</f>
        <v>1900</v>
      </c>
    </row>
    <row r="953" spans="1:68" x14ac:dyDescent="0.25">
      <c r="A953" s="200">
        <f>Prog_236[[#This Row],[CONTEINER]]</f>
        <v>0</v>
      </c>
      <c r="B953" s="86"/>
      <c r="C9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3" s="44"/>
      <c r="E953" s="66"/>
      <c r="F953" s="66"/>
      <c r="G953" s="66"/>
      <c r="H953" s="44"/>
      <c r="I953" s="44"/>
      <c r="J953" s="66"/>
      <c r="K953" s="66"/>
      <c r="L953" s="66"/>
      <c r="M953" s="66"/>
      <c r="N953" s="66">
        <f>SUM(Prog_236[[#This Row],[TARA]]+Prog_236[[#This Row],[PESO]])</f>
        <v>0</v>
      </c>
      <c r="O953" s="44"/>
      <c r="P953" s="66"/>
      <c r="Q953" s="66"/>
      <c r="R953" s="66"/>
      <c r="S953" s="66"/>
      <c r="T953" s="138" t="str">
        <f>IFERROR(LOOKUP($S953,MOTORISTAS!$D$3:$D$1048576,MOTORISTAS!E$3:$E$1048576),"")</f>
        <v/>
      </c>
      <c r="U953" s="138" t="str">
        <f>IFERROR(LOOKUP($S953,MOTORISTAS!$D$3:$D$1048576,MOTORISTAS!F$3:$F$1048576),"")</f>
        <v/>
      </c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44"/>
      <c r="AG953" s="254">
        <f>Prog_236[[#This Row],[SAÍDA DO CLIENTE]]-Prog_236[[#This Row],[PROGRAMAÇÃO CLIENTE]]</f>
        <v>0</v>
      </c>
      <c r="AH953" s="44"/>
      <c r="AI953" s="66"/>
      <c r="AJ953" s="66"/>
      <c r="AK953" s="66"/>
      <c r="AL953" s="66"/>
      <c r="AM953" s="66"/>
      <c r="AN953" s="83"/>
      <c r="AO953" s="66"/>
      <c r="AP953" s="66"/>
      <c r="AQ953" s="66"/>
      <c r="AR953" s="81"/>
      <c r="AS953" s="81"/>
      <c r="AT953" s="81"/>
      <c r="AU953" s="81"/>
      <c r="AV953" s="83">
        <f>SUM(Prog_236[[#This Row],[ADIANTAMENTO]]+Prog_236[[#This Row],[SALDO]]+Prog_236[[#This Row],[MARGEM]]+Prog_236[[#This Row],[ESTADIA 1]])</f>
        <v>0</v>
      </c>
      <c r="AW9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3" s="81"/>
      <c r="AY953" s="81"/>
      <c r="AZ953" s="81">
        <f>Prog_236[[#This Row],[VLR NF]]*0.1%</f>
        <v>0</v>
      </c>
      <c r="BA953" s="81">
        <f>Prog_236[[#This Row],[VLR NF]]*0.05%</f>
        <v>0</v>
      </c>
      <c r="BB953" s="81"/>
      <c r="BC953" s="81"/>
      <c r="BD953" s="81"/>
      <c r="BE953" s="81"/>
      <c r="BF953" s="81"/>
      <c r="BG953" s="81"/>
      <c r="BH953" s="81"/>
      <c r="BI953" s="81"/>
      <c r="BJ953" s="81"/>
      <c r="BK953" s="81"/>
      <c r="BL953" s="66"/>
      <c r="BM953" s="66"/>
      <c r="BN953" s="66"/>
      <c r="BO953" s="66" t="str">
        <f>PROPER(TEXT(Prog_236[[#This Row],[PROGRAMAÇÃO CLIENTE]],"mmm"))</f>
        <v>Jan</v>
      </c>
      <c r="BP953" s="66">
        <f>YEAR(Prog_236[[#This Row],[PROGRAMAÇÃO CLIENTE]])</f>
        <v>1900</v>
      </c>
    </row>
    <row r="954" spans="1:68" x14ac:dyDescent="0.25">
      <c r="A954" s="201">
        <f>Prog_236[[#This Row],[CONTEINER]]</f>
        <v>0</v>
      </c>
      <c r="B954" s="86"/>
      <c r="C9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4" s="44"/>
      <c r="E954" s="66"/>
      <c r="F954" s="66"/>
      <c r="G954" s="66"/>
      <c r="H954" s="44"/>
      <c r="I954" s="44"/>
      <c r="J954" s="66"/>
      <c r="K954" s="66"/>
      <c r="L954" s="66"/>
      <c r="M954" s="66"/>
      <c r="N954" s="66">
        <f>SUM(Prog_236[[#This Row],[TARA]]+Prog_236[[#This Row],[PESO]])</f>
        <v>0</v>
      </c>
      <c r="O954" s="44"/>
      <c r="P954" s="66"/>
      <c r="Q954" s="66"/>
      <c r="R954" s="66"/>
      <c r="S954" s="66"/>
      <c r="T954" s="138" t="str">
        <f>IFERROR(LOOKUP($S954,MOTORISTAS!$D$3:$D$1048576,MOTORISTAS!E$3:$E$1048576),"")</f>
        <v/>
      </c>
      <c r="U954" s="138" t="str">
        <f>IFERROR(LOOKUP($S954,MOTORISTAS!$D$3:$D$1048576,MOTORISTAS!F$3:$F$1048576),"")</f>
        <v/>
      </c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44"/>
      <c r="AG954" s="254">
        <f>Prog_236[[#This Row],[SAÍDA DO CLIENTE]]-Prog_236[[#This Row],[PROGRAMAÇÃO CLIENTE]]</f>
        <v>0</v>
      </c>
      <c r="AH954" s="44"/>
      <c r="AI954" s="66"/>
      <c r="AJ954" s="66"/>
      <c r="AK954" s="66"/>
      <c r="AL954" s="66"/>
      <c r="AM954" s="66"/>
      <c r="AN954" s="83"/>
      <c r="AO954" s="66"/>
      <c r="AP954" s="66"/>
      <c r="AQ954" s="66"/>
      <c r="AR954" s="81"/>
      <c r="AS954" s="81"/>
      <c r="AT954" s="81"/>
      <c r="AU954" s="81"/>
      <c r="AV954" s="83">
        <f>SUM(Prog_236[[#This Row],[ADIANTAMENTO]]+Prog_236[[#This Row],[SALDO]]+Prog_236[[#This Row],[MARGEM]]+Prog_236[[#This Row],[ESTADIA 1]])</f>
        <v>0</v>
      </c>
      <c r="AW9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4" s="81"/>
      <c r="AY954" s="81"/>
      <c r="AZ954" s="81">
        <f>Prog_236[[#This Row],[VLR NF]]*0.1%</f>
        <v>0</v>
      </c>
      <c r="BA954" s="81">
        <f>Prog_236[[#This Row],[VLR NF]]*0.05%</f>
        <v>0</v>
      </c>
      <c r="BB954" s="81"/>
      <c r="BC954" s="81"/>
      <c r="BD954" s="81"/>
      <c r="BE954" s="81"/>
      <c r="BF954" s="81"/>
      <c r="BG954" s="81"/>
      <c r="BH954" s="81"/>
      <c r="BI954" s="81"/>
      <c r="BJ954" s="81"/>
      <c r="BK954" s="81"/>
      <c r="BL954" s="66"/>
      <c r="BM954" s="66"/>
      <c r="BN954" s="66"/>
      <c r="BO954" s="66" t="str">
        <f>PROPER(TEXT(Prog_236[[#This Row],[PROGRAMAÇÃO CLIENTE]],"mmm"))</f>
        <v>Jan</v>
      </c>
      <c r="BP954" s="66">
        <f>YEAR(Prog_236[[#This Row],[PROGRAMAÇÃO CLIENTE]])</f>
        <v>1900</v>
      </c>
    </row>
    <row r="955" spans="1:68" x14ac:dyDescent="0.25">
      <c r="A955" s="200">
        <f>Prog_236[[#This Row],[CONTEINER]]</f>
        <v>0</v>
      </c>
      <c r="B955" s="86"/>
      <c r="C9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5" s="44"/>
      <c r="E955" s="66"/>
      <c r="F955" s="66"/>
      <c r="G955" s="66"/>
      <c r="H955" s="44"/>
      <c r="I955" s="44"/>
      <c r="J955" s="66"/>
      <c r="K955" s="66"/>
      <c r="L955" s="66"/>
      <c r="M955" s="66"/>
      <c r="N955" s="66">
        <f>SUM(Prog_236[[#This Row],[TARA]]+Prog_236[[#This Row],[PESO]])</f>
        <v>0</v>
      </c>
      <c r="O955" s="44"/>
      <c r="P955" s="66"/>
      <c r="Q955" s="66"/>
      <c r="R955" s="66"/>
      <c r="S955" s="66"/>
      <c r="T955" s="138" t="str">
        <f>IFERROR(LOOKUP($S955,MOTORISTAS!$D$3:$D$1048576,MOTORISTAS!E$3:$E$1048576),"")</f>
        <v/>
      </c>
      <c r="U955" s="138" t="str">
        <f>IFERROR(LOOKUP($S955,MOTORISTAS!$D$3:$D$1048576,MOTORISTAS!F$3:$F$1048576),"")</f>
        <v/>
      </c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44"/>
      <c r="AG955" s="254">
        <f>Prog_236[[#This Row],[SAÍDA DO CLIENTE]]-Prog_236[[#This Row],[PROGRAMAÇÃO CLIENTE]]</f>
        <v>0</v>
      </c>
      <c r="AH955" s="44"/>
      <c r="AI955" s="66"/>
      <c r="AJ955" s="66"/>
      <c r="AK955" s="66"/>
      <c r="AL955" s="66"/>
      <c r="AM955" s="66"/>
      <c r="AN955" s="83"/>
      <c r="AO955" s="66"/>
      <c r="AP955" s="66"/>
      <c r="AQ955" s="66"/>
      <c r="AR955" s="81"/>
      <c r="AS955" s="81"/>
      <c r="AT955" s="81"/>
      <c r="AU955" s="81"/>
      <c r="AV955" s="83">
        <f>SUM(Prog_236[[#This Row],[ADIANTAMENTO]]+Prog_236[[#This Row],[SALDO]]+Prog_236[[#This Row],[MARGEM]]+Prog_236[[#This Row],[ESTADIA 1]])</f>
        <v>0</v>
      </c>
      <c r="AW9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5" s="81"/>
      <c r="AY955" s="81"/>
      <c r="AZ955" s="81">
        <f>Prog_236[[#This Row],[VLR NF]]*0.1%</f>
        <v>0</v>
      </c>
      <c r="BA955" s="81">
        <f>Prog_236[[#This Row],[VLR NF]]*0.05%</f>
        <v>0</v>
      </c>
      <c r="BB955" s="81"/>
      <c r="BC955" s="81"/>
      <c r="BD955" s="81"/>
      <c r="BE955" s="81"/>
      <c r="BF955" s="81"/>
      <c r="BG955" s="81"/>
      <c r="BH955" s="81"/>
      <c r="BI955" s="81"/>
      <c r="BJ955" s="81"/>
      <c r="BK955" s="81"/>
      <c r="BL955" s="66"/>
      <c r="BM955" s="66"/>
      <c r="BN955" s="66"/>
      <c r="BO955" s="66" t="str">
        <f>PROPER(TEXT(Prog_236[[#This Row],[PROGRAMAÇÃO CLIENTE]],"mmm"))</f>
        <v>Jan</v>
      </c>
      <c r="BP955" s="66">
        <f>YEAR(Prog_236[[#This Row],[PROGRAMAÇÃO CLIENTE]])</f>
        <v>1900</v>
      </c>
    </row>
    <row r="956" spans="1:68" x14ac:dyDescent="0.25">
      <c r="A956" s="201">
        <f>Prog_236[[#This Row],[CONTEINER]]</f>
        <v>0</v>
      </c>
      <c r="B956" s="86"/>
      <c r="C9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6" s="44"/>
      <c r="E956" s="66"/>
      <c r="F956" s="66"/>
      <c r="G956" s="66"/>
      <c r="H956" s="44"/>
      <c r="I956" s="44"/>
      <c r="J956" s="66"/>
      <c r="K956" s="66"/>
      <c r="L956" s="66"/>
      <c r="M956" s="66"/>
      <c r="N956" s="66">
        <f>SUM(Prog_236[[#This Row],[TARA]]+Prog_236[[#This Row],[PESO]])</f>
        <v>0</v>
      </c>
      <c r="O956" s="44"/>
      <c r="P956" s="66"/>
      <c r="Q956" s="66"/>
      <c r="R956" s="66"/>
      <c r="S956" s="66"/>
      <c r="T956" s="138" t="str">
        <f>IFERROR(LOOKUP($S956,MOTORISTAS!$D$3:$D$1048576,MOTORISTAS!E$3:$E$1048576),"")</f>
        <v/>
      </c>
      <c r="U956" s="138" t="str">
        <f>IFERROR(LOOKUP($S956,MOTORISTAS!$D$3:$D$1048576,MOTORISTAS!F$3:$F$1048576),"")</f>
        <v/>
      </c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44"/>
      <c r="AG956" s="254">
        <f>Prog_236[[#This Row],[SAÍDA DO CLIENTE]]-Prog_236[[#This Row],[PROGRAMAÇÃO CLIENTE]]</f>
        <v>0</v>
      </c>
      <c r="AH956" s="44"/>
      <c r="AI956" s="66"/>
      <c r="AJ956" s="66"/>
      <c r="AK956" s="66"/>
      <c r="AL956" s="66"/>
      <c r="AM956" s="66"/>
      <c r="AN956" s="83"/>
      <c r="AO956" s="66"/>
      <c r="AP956" s="66"/>
      <c r="AQ956" s="66"/>
      <c r="AR956" s="81"/>
      <c r="AS956" s="81"/>
      <c r="AT956" s="81"/>
      <c r="AU956" s="81"/>
      <c r="AV956" s="83">
        <f>SUM(Prog_236[[#This Row],[ADIANTAMENTO]]+Prog_236[[#This Row],[SALDO]]+Prog_236[[#This Row],[MARGEM]]+Prog_236[[#This Row],[ESTADIA 1]])</f>
        <v>0</v>
      </c>
      <c r="AW9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6" s="81"/>
      <c r="AY956" s="81"/>
      <c r="AZ956" s="81">
        <f>Prog_236[[#This Row],[VLR NF]]*0.1%</f>
        <v>0</v>
      </c>
      <c r="BA956" s="81">
        <f>Prog_236[[#This Row],[VLR NF]]*0.05%</f>
        <v>0</v>
      </c>
      <c r="BB956" s="81"/>
      <c r="BC956" s="81"/>
      <c r="BD956" s="81"/>
      <c r="BE956" s="81"/>
      <c r="BF956" s="81"/>
      <c r="BG956" s="81"/>
      <c r="BH956" s="81"/>
      <c r="BI956" s="81"/>
      <c r="BJ956" s="81"/>
      <c r="BK956" s="81"/>
      <c r="BL956" s="66"/>
      <c r="BM956" s="66"/>
      <c r="BN956" s="66"/>
      <c r="BO956" s="66" t="str">
        <f>PROPER(TEXT(Prog_236[[#This Row],[PROGRAMAÇÃO CLIENTE]],"mmm"))</f>
        <v>Jan</v>
      </c>
      <c r="BP956" s="66">
        <f>YEAR(Prog_236[[#This Row],[PROGRAMAÇÃO CLIENTE]])</f>
        <v>1900</v>
      </c>
    </row>
    <row r="957" spans="1:68" x14ac:dyDescent="0.25">
      <c r="A957" s="200">
        <f>Prog_236[[#This Row],[CONTEINER]]</f>
        <v>0</v>
      </c>
      <c r="B957" s="86"/>
      <c r="C9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7" s="44"/>
      <c r="E957" s="66"/>
      <c r="F957" s="66"/>
      <c r="G957" s="66"/>
      <c r="H957" s="44"/>
      <c r="I957" s="44"/>
      <c r="J957" s="66"/>
      <c r="K957" s="66"/>
      <c r="L957" s="66"/>
      <c r="M957" s="66"/>
      <c r="N957" s="66">
        <f>SUM(Prog_236[[#This Row],[TARA]]+Prog_236[[#This Row],[PESO]])</f>
        <v>0</v>
      </c>
      <c r="O957" s="44"/>
      <c r="P957" s="66"/>
      <c r="Q957" s="66"/>
      <c r="R957" s="66"/>
      <c r="S957" s="66"/>
      <c r="T957" s="138" t="str">
        <f>IFERROR(LOOKUP($S957,MOTORISTAS!$D$3:$D$1048576,MOTORISTAS!E$3:$E$1048576),"")</f>
        <v/>
      </c>
      <c r="U957" s="138" t="str">
        <f>IFERROR(LOOKUP($S957,MOTORISTAS!$D$3:$D$1048576,MOTORISTAS!F$3:$F$1048576),"")</f>
        <v/>
      </c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44"/>
      <c r="AG957" s="254">
        <f>Prog_236[[#This Row],[SAÍDA DO CLIENTE]]-Prog_236[[#This Row],[PROGRAMAÇÃO CLIENTE]]</f>
        <v>0</v>
      </c>
      <c r="AH957" s="44"/>
      <c r="AI957" s="66"/>
      <c r="AJ957" s="66"/>
      <c r="AK957" s="66"/>
      <c r="AL957" s="66"/>
      <c r="AM957" s="66"/>
      <c r="AN957" s="83"/>
      <c r="AO957" s="66"/>
      <c r="AP957" s="66"/>
      <c r="AQ957" s="66"/>
      <c r="AR957" s="81"/>
      <c r="AS957" s="81"/>
      <c r="AT957" s="81"/>
      <c r="AU957" s="81"/>
      <c r="AV957" s="83">
        <f>SUM(Prog_236[[#This Row],[ADIANTAMENTO]]+Prog_236[[#This Row],[SALDO]]+Prog_236[[#This Row],[MARGEM]]+Prog_236[[#This Row],[ESTADIA 1]])</f>
        <v>0</v>
      </c>
      <c r="AW9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7" s="81"/>
      <c r="AY957" s="81"/>
      <c r="AZ957" s="81">
        <f>Prog_236[[#This Row],[VLR NF]]*0.1%</f>
        <v>0</v>
      </c>
      <c r="BA957" s="81">
        <f>Prog_236[[#This Row],[VLR NF]]*0.05%</f>
        <v>0</v>
      </c>
      <c r="BB957" s="81"/>
      <c r="BC957" s="81"/>
      <c r="BD957" s="81"/>
      <c r="BE957" s="81"/>
      <c r="BF957" s="81"/>
      <c r="BG957" s="81"/>
      <c r="BH957" s="81"/>
      <c r="BI957" s="81"/>
      <c r="BJ957" s="81"/>
      <c r="BK957" s="81"/>
      <c r="BL957" s="66"/>
      <c r="BM957" s="66"/>
      <c r="BN957" s="66"/>
      <c r="BO957" s="66" t="str">
        <f>PROPER(TEXT(Prog_236[[#This Row],[PROGRAMAÇÃO CLIENTE]],"mmm"))</f>
        <v>Jan</v>
      </c>
      <c r="BP957" s="66">
        <f>YEAR(Prog_236[[#This Row],[PROGRAMAÇÃO CLIENTE]])</f>
        <v>1900</v>
      </c>
    </row>
    <row r="958" spans="1:68" x14ac:dyDescent="0.25">
      <c r="A958" s="201">
        <f>Prog_236[[#This Row],[CONTEINER]]</f>
        <v>0</v>
      </c>
      <c r="B958" s="86"/>
      <c r="C9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8" s="44"/>
      <c r="E958" s="66"/>
      <c r="F958" s="66"/>
      <c r="G958" s="66"/>
      <c r="H958" s="44"/>
      <c r="I958" s="44"/>
      <c r="J958" s="66"/>
      <c r="K958" s="66"/>
      <c r="L958" s="66"/>
      <c r="M958" s="66"/>
      <c r="N958" s="66">
        <f>SUM(Prog_236[[#This Row],[TARA]]+Prog_236[[#This Row],[PESO]])</f>
        <v>0</v>
      </c>
      <c r="O958" s="44"/>
      <c r="P958" s="66"/>
      <c r="Q958" s="66"/>
      <c r="R958" s="66"/>
      <c r="S958" s="66"/>
      <c r="T958" s="138" t="str">
        <f>IFERROR(LOOKUP($S958,MOTORISTAS!$D$3:$D$1048576,MOTORISTAS!E$3:$E$1048576),"")</f>
        <v/>
      </c>
      <c r="U958" s="138" t="str">
        <f>IFERROR(LOOKUP($S958,MOTORISTAS!$D$3:$D$1048576,MOTORISTAS!F$3:$F$1048576),"")</f>
        <v/>
      </c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44"/>
      <c r="AG958" s="254">
        <f>Prog_236[[#This Row],[SAÍDA DO CLIENTE]]-Prog_236[[#This Row],[PROGRAMAÇÃO CLIENTE]]</f>
        <v>0</v>
      </c>
      <c r="AH958" s="44"/>
      <c r="AI958" s="66"/>
      <c r="AJ958" s="66"/>
      <c r="AK958" s="66"/>
      <c r="AL958" s="66"/>
      <c r="AM958" s="66"/>
      <c r="AN958" s="83"/>
      <c r="AO958" s="66"/>
      <c r="AP958" s="66"/>
      <c r="AQ958" s="66"/>
      <c r="AR958" s="81"/>
      <c r="AS958" s="81"/>
      <c r="AT958" s="81"/>
      <c r="AU958" s="81"/>
      <c r="AV958" s="83">
        <f>SUM(Prog_236[[#This Row],[ADIANTAMENTO]]+Prog_236[[#This Row],[SALDO]]+Prog_236[[#This Row],[MARGEM]]+Prog_236[[#This Row],[ESTADIA 1]])</f>
        <v>0</v>
      </c>
      <c r="AW9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8" s="81"/>
      <c r="AY958" s="81"/>
      <c r="AZ958" s="81">
        <f>Prog_236[[#This Row],[VLR NF]]*0.1%</f>
        <v>0</v>
      </c>
      <c r="BA958" s="81">
        <f>Prog_236[[#This Row],[VLR NF]]*0.05%</f>
        <v>0</v>
      </c>
      <c r="BB958" s="81"/>
      <c r="BC958" s="81"/>
      <c r="BD958" s="81"/>
      <c r="BE958" s="81"/>
      <c r="BF958" s="81"/>
      <c r="BG958" s="81"/>
      <c r="BH958" s="81"/>
      <c r="BI958" s="81"/>
      <c r="BJ958" s="81"/>
      <c r="BK958" s="81"/>
      <c r="BL958" s="66"/>
      <c r="BM958" s="66"/>
      <c r="BN958" s="66"/>
      <c r="BO958" s="66" t="str">
        <f>PROPER(TEXT(Prog_236[[#This Row],[PROGRAMAÇÃO CLIENTE]],"mmm"))</f>
        <v>Jan</v>
      </c>
      <c r="BP958" s="66">
        <f>YEAR(Prog_236[[#This Row],[PROGRAMAÇÃO CLIENTE]])</f>
        <v>1900</v>
      </c>
    </row>
    <row r="959" spans="1:68" x14ac:dyDescent="0.25">
      <c r="A959" s="200">
        <f>Prog_236[[#This Row],[CONTEINER]]</f>
        <v>0</v>
      </c>
      <c r="B959" s="86"/>
      <c r="C9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59" s="44"/>
      <c r="E959" s="66"/>
      <c r="F959" s="66"/>
      <c r="G959" s="66"/>
      <c r="H959" s="44"/>
      <c r="I959" s="44"/>
      <c r="J959" s="66"/>
      <c r="K959" s="66"/>
      <c r="L959" s="66"/>
      <c r="M959" s="66"/>
      <c r="N959" s="66">
        <f>SUM(Prog_236[[#This Row],[TARA]]+Prog_236[[#This Row],[PESO]])</f>
        <v>0</v>
      </c>
      <c r="O959" s="44"/>
      <c r="P959" s="66"/>
      <c r="Q959" s="66"/>
      <c r="R959" s="66"/>
      <c r="S959" s="66"/>
      <c r="T959" s="138" t="str">
        <f>IFERROR(LOOKUP($S959,MOTORISTAS!$D$3:$D$1048576,MOTORISTAS!E$3:$E$1048576),"")</f>
        <v/>
      </c>
      <c r="U959" s="138" t="str">
        <f>IFERROR(LOOKUP($S959,MOTORISTAS!$D$3:$D$1048576,MOTORISTAS!F$3:$F$1048576),"")</f>
        <v/>
      </c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44"/>
      <c r="AG959" s="254">
        <f>Prog_236[[#This Row],[SAÍDA DO CLIENTE]]-Prog_236[[#This Row],[PROGRAMAÇÃO CLIENTE]]</f>
        <v>0</v>
      </c>
      <c r="AH959" s="44"/>
      <c r="AI959" s="66"/>
      <c r="AJ959" s="66"/>
      <c r="AK959" s="66"/>
      <c r="AL959" s="66"/>
      <c r="AM959" s="66"/>
      <c r="AN959" s="83"/>
      <c r="AO959" s="66"/>
      <c r="AP959" s="66"/>
      <c r="AQ959" s="66"/>
      <c r="AR959" s="81"/>
      <c r="AS959" s="81"/>
      <c r="AT959" s="81"/>
      <c r="AU959" s="81"/>
      <c r="AV959" s="83">
        <f>SUM(Prog_236[[#This Row],[ADIANTAMENTO]]+Prog_236[[#This Row],[SALDO]]+Prog_236[[#This Row],[MARGEM]]+Prog_236[[#This Row],[ESTADIA 1]])</f>
        <v>0</v>
      </c>
      <c r="AW9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59" s="81"/>
      <c r="AY959" s="81"/>
      <c r="AZ959" s="81">
        <f>Prog_236[[#This Row],[VLR NF]]*0.1%</f>
        <v>0</v>
      </c>
      <c r="BA959" s="81">
        <f>Prog_236[[#This Row],[VLR NF]]*0.05%</f>
        <v>0</v>
      </c>
      <c r="BB959" s="81"/>
      <c r="BC959" s="81"/>
      <c r="BD959" s="81"/>
      <c r="BE959" s="81"/>
      <c r="BF959" s="81"/>
      <c r="BG959" s="81"/>
      <c r="BH959" s="81"/>
      <c r="BI959" s="81"/>
      <c r="BJ959" s="81"/>
      <c r="BK959" s="81"/>
      <c r="BL959" s="66"/>
      <c r="BM959" s="66"/>
      <c r="BN959" s="66"/>
      <c r="BO959" s="66" t="str">
        <f>PROPER(TEXT(Prog_236[[#This Row],[PROGRAMAÇÃO CLIENTE]],"mmm"))</f>
        <v>Jan</v>
      </c>
      <c r="BP959" s="66">
        <f>YEAR(Prog_236[[#This Row],[PROGRAMAÇÃO CLIENTE]])</f>
        <v>1900</v>
      </c>
    </row>
    <row r="960" spans="1:68" x14ac:dyDescent="0.25">
      <c r="A960" s="201">
        <f>Prog_236[[#This Row],[CONTEINER]]</f>
        <v>0</v>
      </c>
      <c r="B960" s="86"/>
      <c r="C9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0" s="44"/>
      <c r="E960" s="66"/>
      <c r="F960" s="66"/>
      <c r="G960" s="66"/>
      <c r="H960" s="44"/>
      <c r="I960" s="44"/>
      <c r="J960" s="66"/>
      <c r="K960" s="66"/>
      <c r="L960" s="66"/>
      <c r="M960" s="66"/>
      <c r="N960" s="66">
        <f>SUM(Prog_236[[#This Row],[TARA]]+Prog_236[[#This Row],[PESO]])</f>
        <v>0</v>
      </c>
      <c r="O960" s="44"/>
      <c r="P960" s="66"/>
      <c r="Q960" s="66"/>
      <c r="R960" s="66"/>
      <c r="S960" s="66"/>
      <c r="T960" s="138" t="str">
        <f>IFERROR(LOOKUP($S960,MOTORISTAS!$D$3:$D$1048576,MOTORISTAS!E$3:$E$1048576),"")</f>
        <v/>
      </c>
      <c r="U960" s="138" t="str">
        <f>IFERROR(LOOKUP($S960,MOTORISTAS!$D$3:$D$1048576,MOTORISTAS!F$3:$F$1048576),"")</f>
        <v/>
      </c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44"/>
      <c r="AG960" s="254">
        <f>Prog_236[[#This Row],[SAÍDA DO CLIENTE]]-Prog_236[[#This Row],[PROGRAMAÇÃO CLIENTE]]</f>
        <v>0</v>
      </c>
      <c r="AH960" s="44"/>
      <c r="AI960" s="66"/>
      <c r="AJ960" s="66"/>
      <c r="AK960" s="66"/>
      <c r="AL960" s="66"/>
      <c r="AM960" s="66"/>
      <c r="AN960" s="83"/>
      <c r="AO960" s="66"/>
      <c r="AP960" s="66"/>
      <c r="AQ960" s="66"/>
      <c r="AR960" s="81"/>
      <c r="AS960" s="81"/>
      <c r="AT960" s="81"/>
      <c r="AU960" s="81"/>
      <c r="AV960" s="83">
        <f>SUM(Prog_236[[#This Row],[ADIANTAMENTO]]+Prog_236[[#This Row],[SALDO]]+Prog_236[[#This Row],[MARGEM]]+Prog_236[[#This Row],[ESTADIA 1]])</f>
        <v>0</v>
      </c>
      <c r="AW9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0" s="81"/>
      <c r="AY960" s="81"/>
      <c r="AZ960" s="81">
        <f>Prog_236[[#This Row],[VLR NF]]*0.1%</f>
        <v>0</v>
      </c>
      <c r="BA960" s="81">
        <f>Prog_236[[#This Row],[VLR NF]]*0.05%</f>
        <v>0</v>
      </c>
      <c r="BB960" s="81"/>
      <c r="BC960" s="81"/>
      <c r="BD960" s="81"/>
      <c r="BE960" s="81"/>
      <c r="BF960" s="81"/>
      <c r="BG960" s="81"/>
      <c r="BH960" s="81"/>
      <c r="BI960" s="81"/>
      <c r="BJ960" s="81"/>
      <c r="BK960" s="81"/>
      <c r="BL960" s="66"/>
      <c r="BM960" s="66"/>
      <c r="BN960" s="66"/>
      <c r="BO960" s="66" t="str">
        <f>PROPER(TEXT(Prog_236[[#This Row],[PROGRAMAÇÃO CLIENTE]],"mmm"))</f>
        <v>Jan</v>
      </c>
      <c r="BP960" s="66">
        <f>YEAR(Prog_236[[#This Row],[PROGRAMAÇÃO CLIENTE]])</f>
        <v>1900</v>
      </c>
    </row>
    <row r="961" spans="1:68" x14ac:dyDescent="0.25">
      <c r="A961" s="200">
        <f>Prog_236[[#This Row],[CONTEINER]]</f>
        <v>0</v>
      </c>
      <c r="B961" s="86"/>
      <c r="C9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1" s="44"/>
      <c r="E961" s="66"/>
      <c r="F961" s="66"/>
      <c r="G961" s="66"/>
      <c r="H961" s="44"/>
      <c r="I961" s="44"/>
      <c r="J961" s="66"/>
      <c r="K961" s="66"/>
      <c r="L961" s="66"/>
      <c r="M961" s="66"/>
      <c r="N961" s="66">
        <f>SUM(Prog_236[[#This Row],[TARA]]+Prog_236[[#This Row],[PESO]])</f>
        <v>0</v>
      </c>
      <c r="O961" s="44"/>
      <c r="P961" s="66"/>
      <c r="Q961" s="66"/>
      <c r="R961" s="66"/>
      <c r="S961" s="66"/>
      <c r="T961" s="138" t="str">
        <f>IFERROR(LOOKUP($S961,MOTORISTAS!$D$3:$D$1048576,MOTORISTAS!E$3:$E$1048576),"")</f>
        <v/>
      </c>
      <c r="U961" s="138" t="str">
        <f>IFERROR(LOOKUP($S961,MOTORISTAS!$D$3:$D$1048576,MOTORISTAS!F$3:$F$1048576),"")</f>
        <v/>
      </c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44"/>
      <c r="AG961" s="254">
        <f>Prog_236[[#This Row],[SAÍDA DO CLIENTE]]-Prog_236[[#This Row],[PROGRAMAÇÃO CLIENTE]]</f>
        <v>0</v>
      </c>
      <c r="AH961" s="44"/>
      <c r="AI961" s="66"/>
      <c r="AJ961" s="66"/>
      <c r="AK961" s="66"/>
      <c r="AL961" s="66"/>
      <c r="AM961" s="66"/>
      <c r="AN961" s="83"/>
      <c r="AO961" s="66"/>
      <c r="AP961" s="66"/>
      <c r="AQ961" s="66"/>
      <c r="AR961" s="81"/>
      <c r="AS961" s="81"/>
      <c r="AT961" s="81"/>
      <c r="AU961" s="81"/>
      <c r="AV961" s="83">
        <f>SUM(Prog_236[[#This Row],[ADIANTAMENTO]]+Prog_236[[#This Row],[SALDO]]+Prog_236[[#This Row],[MARGEM]]+Prog_236[[#This Row],[ESTADIA 1]])</f>
        <v>0</v>
      </c>
      <c r="AW9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1" s="81"/>
      <c r="AY961" s="81"/>
      <c r="AZ961" s="81">
        <f>Prog_236[[#This Row],[VLR NF]]*0.1%</f>
        <v>0</v>
      </c>
      <c r="BA961" s="81">
        <f>Prog_236[[#This Row],[VLR NF]]*0.05%</f>
        <v>0</v>
      </c>
      <c r="BB961" s="81"/>
      <c r="BC961" s="81"/>
      <c r="BD961" s="81"/>
      <c r="BE961" s="81"/>
      <c r="BF961" s="81"/>
      <c r="BG961" s="81"/>
      <c r="BH961" s="81"/>
      <c r="BI961" s="81"/>
      <c r="BJ961" s="81"/>
      <c r="BK961" s="81"/>
      <c r="BL961" s="66"/>
      <c r="BM961" s="66"/>
      <c r="BN961" s="66"/>
      <c r="BO961" s="66" t="str">
        <f>PROPER(TEXT(Prog_236[[#This Row],[PROGRAMAÇÃO CLIENTE]],"mmm"))</f>
        <v>Jan</v>
      </c>
      <c r="BP961" s="66">
        <f>YEAR(Prog_236[[#This Row],[PROGRAMAÇÃO CLIENTE]])</f>
        <v>1900</v>
      </c>
    </row>
    <row r="962" spans="1:68" x14ac:dyDescent="0.25">
      <c r="A962" s="201">
        <f>Prog_236[[#This Row],[CONTEINER]]</f>
        <v>0</v>
      </c>
      <c r="B962" s="86"/>
      <c r="C9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2" s="44"/>
      <c r="E962" s="66"/>
      <c r="F962" s="66"/>
      <c r="G962" s="66"/>
      <c r="H962" s="44"/>
      <c r="I962" s="44"/>
      <c r="J962" s="66"/>
      <c r="K962" s="66"/>
      <c r="L962" s="66"/>
      <c r="M962" s="66"/>
      <c r="N962" s="66">
        <f>SUM(Prog_236[[#This Row],[TARA]]+Prog_236[[#This Row],[PESO]])</f>
        <v>0</v>
      </c>
      <c r="O962" s="44"/>
      <c r="P962" s="66"/>
      <c r="Q962" s="66"/>
      <c r="R962" s="66"/>
      <c r="S962" s="66"/>
      <c r="T962" s="138" t="str">
        <f>IFERROR(LOOKUP($S962,MOTORISTAS!$D$3:$D$1048576,MOTORISTAS!E$3:$E$1048576),"")</f>
        <v/>
      </c>
      <c r="U962" s="138" t="str">
        <f>IFERROR(LOOKUP($S962,MOTORISTAS!$D$3:$D$1048576,MOTORISTAS!F$3:$F$1048576),"")</f>
        <v/>
      </c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44"/>
      <c r="AG962" s="254">
        <f>Prog_236[[#This Row],[SAÍDA DO CLIENTE]]-Prog_236[[#This Row],[PROGRAMAÇÃO CLIENTE]]</f>
        <v>0</v>
      </c>
      <c r="AH962" s="44"/>
      <c r="AI962" s="66"/>
      <c r="AJ962" s="66"/>
      <c r="AK962" s="66"/>
      <c r="AL962" s="66"/>
      <c r="AM962" s="66"/>
      <c r="AN962" s="83"/>
      <c r="AO962" s="66"/>
      <c r="AP962" s="66"/>
      <c r="AQ962" s="66"/>
      <c r="AR962" s="81"/>
      <c r="AS962" s="81"/>
      <c r="AT962" s="81"/>
      <c r="AU962" s="81"/>
      <c r="AV962" s="83">
        <f>SUM(Prog_236[[#This Row],[ADIANTAMENTO]]+Prog_236[[#This Row],[SALDO]]+Prog_236[[#This Row],[MARGEM]]+Prog_236[[#This Row],[ESTADIA 1]])</f>
        <v>0</v>
      </c>
      <c r="AW9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2" s="81"/>
      <c r="AY962" s="81"/>
      <c r="AZ962" s="81">
        <f>Prog_236[[#This Row],[VLR NF]]*0.1%</f>
        <v>0</v>
      </c>
      <c r="BA962" s="81">
        <f>Prog_236[[#This Row],[VLR NF]]*0.05%</f>
        <v>0</v>
      </c>
      <c r="BB962" s="81"/>
      <c r="BC962" s="81"/>
      <c r="BD962" s="81"/>
      <c r="BE962" s="81"/>
      <c r="BF962" s="81"/>
      <c r="BG962" s="81"/>
      <c r="BH962" s="81"/>
      <c r="BI962" s="81"/>
      <c r="BJ962" s="81"/>
      <c r="BK962" s="81"/>
      <c r="BL962" s="66"/>
      <c r="BM962" s="66"/>
      <c r="BN962" s="66"/>
      <c r="BO962" s="66" t="str">
        <f>PROPER(TEXT(Prog_236[[#This Row],[PROGRAMAÇÃO CLIENTE]],"mmm"))</f>
        <v>Jan</v>
      </c>
      <c r="BP962" s="66">
        <f>YEAR(Prog_236[[#This Row],[PROGRAMAÇÃO CLIENTE]])</f>
        <v>1900</v>
      </c>
    </row>
    <row r="963" spans="1:68" x14ac:dyDescent="0.25">
      <c r="A963" s="200">
        <f>Prog_236[[#This Row],[CONTEINER]]</f>
        <v>0</v>
      </c>
      <c r="B963" s="86"/>
      <c r="C9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3" s="44"/>
      <c r="E963" s="66"/>
      <c r="F963" s="66"/>
      <c r="G963" s="66"/>
      <c r="H963" s="44"/>
      <c r="I963" s="44"/>
      <c r="J963" s="66"/>
      <c r="K963" s="66"/>
      <c r="L963" s="66"/>
      <c r="M963" s="66"/>
      <c r="N963" s="66">
        <f>SUM(Prog_236[[#This Row],[TARA]]+Prog_236[[#This Row],[PESO]])</f>
        <v>0</v>
      </c>
      <c r="O963" s="44"/>
      <c r="P963" s="66"/>
      <c r="Q963" s="66"/>
      <c r="R963" s="66"/>
      <c r="S963" s="66"/>
      <c r="T963" s="138" t="str">
        <f>IFERROR(LOOKUP($S963,MOTORISTAS!$D$3:$D$1048576,MOTORISTAS!E$3:$E$1048576),"")</f>
        <v/>
      </c>
      <c r="U963" s="138" t="str">
        <f>IFERROR(LOOKUP($S963,MOTORISTAS!$D$3:$D$1048576,MOTORISTAS!F$3:$F$1048576),"")</f>
        <v/>
      </c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44"/>
      <c r="AG963" s="254">
        <f>Prog_236[[#This Row],[SAÍDA DO CLIENTE]]-Prog_236[[#This Row],[PROGRAMAÇÃO CLIENTE]]</f>
        <v>0</v>
      </c>
      <c r="AH963" s="44"/>
      <c r="AI963" s="66"/>
      <c r="AJ963" s="66"/>
      <c r="AK963" s="66"/>
      <c r="AL963" s="66"/>
      <c r="AM963" s="66"/>
      <c r="AN963" s="83"/>
      <c r="AO963" s="66"/>
      <c r="AP963" s="66"/>
      <c r="AQ963" s="66"/>
      <c r="AR963" s="81"/>
      <c r="AS963" s="81"/>
      <c r="AT963" s="81"/>
      <c r="AU963" s="81"/>
      <c r="AV963" s="83">
        <f>SUM(Prog_236[[#This Row],[ADIANTAMENTO]]+Prog_236[[#This Row],[SALDO]]+Prog_236[[#This Row],[MARGEM]]+Prog_236[[#This Row],[ESTADIA 1]])</f>
        <v>0</v>
      </c>
      <c r="AW9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3" s="81"/>
      <c r="AY963" s="81"/>
      <c r="AZ963" s="81">
        <f>Prog_236[[#This Row],[VLR NF]]*0.1%</f>
        <v>0</v>
      </c>
      <c r="BA963" s="81">
        <f>Prog_236[[#This Row],[VLR NF]]*0.05%</f>
        <v>0</v>
      </c>
      <c r="BB963" s="81"/>
      <c r="BC963" s="81"/>
      <c r="BD963" s="81"/>
      <c r="BE963" s="81"/>
      <c r="BF963" s="81"/>
      <c r="BG963" s="81"/>
      <c r="BH963" s="81"/>
      <c r="BI963" s="81"/>
      <c r="BJ963" s="81"/>
      <c r="BK963" s="81"/>
      <c r="BL963" s="66"/>
      <c r="BM963" s="66"/>
      <c r="BN963" s="66"/>
      <c r="BO963" s="66" t="str">
        <f>PROPER(TEXT(Prog_236[[#This Row],[PROGRAMAÇÃO CLIENTE]],"mmm"))</f>
        <v>Jan</v>
      </c>
      <c r="BP963" s="66">
        <f>YEAR(Prog_236[[#This Row],[PROGRAMAÇÃO CLIENTE]])</f>
        <v>1900</v>
      </c>
    </row>
    <row r="964" spans="1:68" x14ac:dyDescent="0.25">
      <c r="A964" s="201">
        <f>Prog_236[[#This Row],[CONTEINER]]</f>
        <v>0</v>
      </c>
      <c r="B964" s="86"/>
      <c r="C9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4" s="44"/>
      <c r="E964" s="66"/>
      <c r="F964" s="66"/>
      <c r="G964" s="66"/>
      <c r="H964" s="44"/>
      <c r="I964" s="44"/>
      <c r="J964" s="66"/>
      <c r="K964" s="66"/>
      <c r="L964" s="66"/>
      <c r="M964" s="66"/>
      <c r="N964" s="66">
        <f>SUM(Prog_236[[#This Row],[TARA]]+Prog_236[[#This Row],[PESO]])</f>
        <v>0</v>
      </c>
      <c r="O964" s="44"/>
      <c r="P964" s="66"/>
      <c r="Q964" s="66"/>
      <c r="R964" s="66"/>
      <c r="S964" s="66"/>
      <c r="T964" s="138" t="str">
        <f>IFERROR(LOOKUP($S964,MOTORISTAS!$D$3:$D$1048576,MOTORISTAS!E$3:$E$1048576),"")</f>
        <v/>
      </c>
      <c r="U964" s="138" t="str">
        <f>IFERROR(LOOKUP($S964,MOTORISTAS!$D$3:$D$1048576,MOTORISTAS!F$3:$F$1048576),"")</f>
        <v/>
      </c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44"/>
      <c r="AG964" s="254">
        <f>Prog_236[[#This Row],[SAÍDA DO CLIENTE]]-Prog_236[[#This Row],[PROGRAMAÇÃO CLIENTE]]</f>
        <v>0</v>
      </c>
      <c r="AH964" s="44"/>
      <c r="AI964" s="66"/>
      <c r="AJ964" s="66"/>
      <c r="AK964" s="66"/>
      <c r="AL964" s="66"/>
      <c r="AM964" s="66"/>
      <c r="AN964" s="83"/>
      <c r="AO964" s="66"/>
      <c r="AP964" s="66"/>
      <c r="AQ964" s="66"/>
      <c r="AR964" s="81"/>
      <c r="AS964" s="81"/>
      <c r="AT964" s="81"/>
      <c r="AU964" s="81"/>
      <c r="AV964" s="83">
        <f>SUM(Prog_236[[#This Row],[ADIANTAMENTO]]+Prog_236[[#This Row],[SALDO]]+Prog_236[[#This Row],[MARGEM]]+Prog_236[[#This Row],[ESTADIA 1]])</f>
        <v>0</v>
      </c>
      <c r="AW9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4" s="81"/>
      <c r="AY964" s="81"/>
      <c r="AZ964" s="81">
        <f>Prog_236[[#This Row],[VLR NF]]*0.1%</f>
        <v>0</v>
      </c>
      <c r="BA964" s="81">
        <f>Prog_236[[#This Row],[VLR NF]]*0.05%</f>
        <v>0</v>
      </c>
      <c r="BB964" s="81"/>
      <c r="BC964" s="81"/>
      <c r="BD964" s="81"/>
      <c r="BE964" s="81"/>
      <c r="BF964" s="81"/>
      <c r="BG964" s="81"/>
      <c r="BH964" s="81"/>
      <c r="BI964" s="81"/>
      <c r="BJ964" s="81"/>
      <c r="BK964" s="81"/>
      <c r="BL964" s="66"/>
      <c r="BM964" s="66"/>
      <c r="BN964" s="66"/>
      <c r="BO964" s="66" t="str">
        <f>PROPER(TEXT(Prog_236[[#This Row],[PROGRAMAÇÃO CLIENTE]],"mmm"))</f>
        <v>Jan</v>
      </c>
      <c r="BP964" s="66">
        <f>YEAR(Prog_236[[#This Row],[PROGRAMAÇÃO CLIENTE]])</f>
        <v>1900</v>
      </c>
    </row>
    <row r="965" spans="1:68" x14ac:dyDescent="0.25">
      <c r="A965" s="200">
        <f>Prog_236[[#This Row],[CONTEINER]]</f>
        <v>0</v>
      </c>
      <c r="B965" s="86"/>
      <c r="C9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5" s="44"/>
      <c r="E965" s="66"/>
      <c r="F965" s="66"/>
      <c r="G965" s="66"/>
      <c r="H965" s="44"/>
      <c r="I965" s="44"/>
      <c r="J965" s="66"/>
      <c r="K965" s="66"/>
      <c r="L965" s="66"/>
      <c r="M965" s="66"/>
      <c r="N965" s="66">
        <f>SUM(Prog_236[[#This Row],[TARA]]+Prog_236[[#This Row],[PESO]])</f>
        <v>0</v>
      </c>
      <c r="O965" s="44"/>
      <c r="P965" s="66"/>
      <c r="Q965" s="66"/>
      <c r="R965" s="66"/>
      <c r="S965" s="66"/>
      <c r="T965" s="138" t="str">
        <f>IFERROR(LOOKUP($S965,MOTORISTAS!$D$3:$D$1048576,MOTORISTAS!E$3:$E$1048576),"")</f>
        <v/>
      </c>
      <c r="U965" s="138" t="str">
        <f>IFERROR(LOOKUP($S965,MOTORISTAS!$D$3:$D$1048576,MOTORISTAS!F$3:$F$1048576),"")</f>
        <v/>
      </c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44"/>
      <c r="AG965" s="254">
        <f>Prog_236[[#This Row],[SAÍDA DO CLIENTE]]-Prog_236[[#This Row],[PROGRAMAÇÃO CLIENTE]]</f>
        <v>0</v>
      </c>
      <c r="AH965" s="44"/>
      <c r="AI965" s="66"/>
      <c r="AJ965" s="66"/>
      <c r="AK965" s="66"/>
      <c r="AL965" s="66"/>
      <c r="AM965" s="66"/>
      <c r="AN965" s="83"/>
      <c r="AO965" s="66"/>
      <c r="AP965" s="66"/>
      <c r="AQ965" s="66"/>
      <c r="AR965" s="81"/>
      <c r="AS965" s="81"/>
      <c r="AT965" s="81"/>
      <c r="AU965" s="81"/>
      <c r="AV965" s="83">
        <f>SUM(Prog_236[[#This Row],[ADIANTAMENTO]]+Prog_236[[#This Row],[SALDO]]+Prog_236[[#This Row],[MARGEM]]+Prog_236[[#This Row],[ESTADIA 1]])</f>
        <v>0</v>
      </c>
      <c r="AW9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5" s="81"/>
      <c r="AY965" s="81"/>
      <c r="AZ965" s="81">
        <f>Prog_236[[#This Row],[VLR NF]]*0.1%</f>
        <v>0</v>
      </c>
      <c r="BA965" s="81">
        <f>Prog_236[[#This Row],[VLR NF]]*0.05%</f>
        <v>0</v>
      </c>
      <c r="BB965" s="81"/>
      <c r="BC965" s="81"/>
      <c r="BD965" s="81"/>
      <c r="BE965" s="81"/>
      <c r="BF965" s="81"/>
      <c r="BG965" s="81"/>
      <c r="BH965" s="81"/>
      <c r="BI965" s="81"/>
      <c r="BJ965" s="81"/>
      <c r="BK965" s="81"/>
      <c r="BL965" s="66"/>
      <c r="BM965" s="66"/>
      <c r="BN965" s="66"/>
      <c r="BO965" s="66" t="str">
        <f>PROPER(TEXT(Prog_236[[#This Row],[PROGRAMAÇÃO CLIENTE]],"mmm"))</f>
        <v>Jan</v>
      </c>
      <c r="BP965" s="66">
        <f>YEAR(Prog_236[[#This Row],[PROGRAMAÇÃO CLIENTE]])</f>
        <v>1900</v>
      </c>
    </row>
    <row r="966" spans="1:68" x14ac:dyDescent="0.25">
      <c r="A966" s="201">
        <f>Prog_236[[#This Row],[CONTEINER]]</f>
        <v>0</v>
      </c>
      <c r="B966" s="86"/>
      <c r="C9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6" s="44"/>
      <c r="E966" s="66"/>
      <c r="F966" s="66"/>
      <c r="G966" s="66"/>
      <c r="H966" s="44"/>
      <c r="I966" s="44"/>
      <c r="J966" s="66"/>
      <c r="K966" s="66"/>
      <c r="L966" s="66"/>
      <c r="M966" s="66"/>
      <c r="N966" s="66">
        <f>SUM(Prog_236[[#This Row],[TARA]]+Prog_236[[#This Row],[PESO]])</f>
        <v>0</v>
      </c>
      <c r="O966" s="44"/>
      <c r="P966" s="66"/>
      <c r="Q966" s="66"/>
      <c r="R966" s="66"/>
      <c r="S966" s="66"/>
      <c r="T966" s="138" t="str">
        <f>IFERROR(LOOKUP($S966,MOTORISTAS!$D$3:$D$1048576,MOTORISTAS!E$3:$E$1048576),"")</f>
        <v/>
      </c>
      <c r="U966" s="138" t="str">
        <f>IFERROR(LOOKUP($S966,MOTORISTAS!$D$3:$D$1048576,MOTORISTAS!F$3:$F$1048576),"")</f>
        <v/>
      </c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44"/>
      <c r="AG966" s="254">
        <f>Prog_236[[#This Row],[SAÍDA DO CLIENTE]]-Prog_236[[#This Row],[PROGRAMAÇÃO CLIENTE]]</f>
        <v>0</v>
      </c>
      <c r="AH966" s="44"/>
      <c r="AI966" s="66"/>
      <c r="AJ966" s="66"/>
      <c r="AK966" s="66"/>
      <c r="AL966" s="66"/>
      <c r="AM966" s="66"/>
      <c r="AN966" s="83"/>
      <c r="AO966" s="66"/>
      <c r="AP966" s="66"/>
      <c r="AQ966" s="66"/>
      <c r="AR966" s="81"/>
      <c r="AS966" s="81"/>
      <c r="AT966" s="81"/>
      <c r="AU966" s="81"/>
      <c r="AV966" s="83">
        <f>SUM(Prog_236[[#This Row],[ADIANTAMENTO]]+Prog_236[[#This Row],[SALDO]]+Prog_236[[#This Row],[MARGEM]]+Prog_236[[#This Row],[ESTADIA 1]])</f>
        <v>0</v>
      </c>
      <c r="AW9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6" s="81"/>
      <c r="AY966" s="81"/>
      <c r="AZ966" s="81">
        <f>Prog_236[[#This Row],[VLR NF]]*0.1%</f>
        <v>0</v>
      </c>
      <c r="BA966" s="81">
        <f>Prog_236[[#This Row],[VLR NF]]*0.05%</f>
        <v>0</v>
      </c>
      <c r="BB966" s="81"/>
      <c r="BC966" s="81"/>
      <c r="BD966" s="81"/>
      <c r="BE966" s="81"/>
      <c r="BF966" s="81"/>
      <c r="BG966" s="81"/>
      <c r="BH966" s="81"/>
      <c r="BI966" s="81"/>
      <c r="BJ966" s="81"/>
      <c r="BK966" s="81"/>
      <c r="BL966" s="66"/>
      <c r="BM966" s="66"/>
      <c r="BN966" s="66"/>
      <c r="BO966" s="66" t="str">
        <f>PROPER(TEXT(Prog_236[[#This Row],[PROGRAMAÇÃO CLIENTE]],"mmm"))</f>
        <v>Jan</v>
      </c>
      <c r="BP966" s="66">
        <f>YEAR(Prog_236[[#This Row],[PROGRAMAÇÃO CLIENTE]])</f>
        <v>1900</v>
      </c>
    </row>
    <row r="967" spans="1:68" x14ac:dyDescent="0.25">
      <c r="A967" s="200">
        <f>Prog_236[[#This Row],[CONTEINER]]</f>
        <v>0</v>
      </c>
      <c r="B967" s="86"/>
      <c r="C9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7" s="44"/>
      <c r="E967" s="66"/>
      <c r="F967" s="66"/>
      <c r="G967" s="66"/>
      <c r="H967" s="44"/>
      <c r="I967" s="44"/>
      <c r="J967" s="66"/>
      <c r="K967" s="66"/>
      <c r="L967" s="66"/>
      <c r="M967" s="66"/>
      <c r="N967" s="66">
        <f>SUM(Prog_236[[#This Row],[TARA]]+Prog_236[[#This Row],[PESO]])</f>
        <v>0</v>
      </c>
      <c r="O967" s="44"/>
      <c r="P967" s="66"/>
      <c r="Q967" s="66"/>
      <c r="R967" s="66"/>
      <c r="S967" s="66"/>
      <c r="T967" s="138" t="str">
        <f>IFERROR(LOOKUP($S967,MOTORISTAS!$D$3:$D$1048576,MOTORISTAS!E$3:$E$1048576),"")</f>
        <v/>
      </c>
      <c r="U967" s="138" t="str">
        <f>IFERROR(LOOKUP($S967,MOTORISTAS!$D$3:$D$1048576,MOTORISTAS!F$3:$F$1048576),"")</f>
        <v/>
      </c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44"/>
      <c r="AG967" s="254">
        <f>Prog_236[[#This Row],[SAÍDA DO CLIENTE]]-Prog_236[[#This Row],[PROGRAMAÇÃO CLIENTE]]</f>
        <v>0</v>
      </c>
      <c r="AH967" s="44"/>
      <c r="AI967" s="66"/>
      <c r="AJ967" s="66"/>
      <c r="AK967" s="66"/>
      <c r="AL967" s="66"/>
      <c r="AM967" s="66"/>
      <c r="AN967" s="83"/>
      <c r="AO967" s="66"/>
      <c r="AP967" s="66"/>
      <c r="AQ967" s="66"/>
      <c r="AR967" s="81"/>
      <c r="AS967" s="81"/>
      <c r="AT967" s="81"/>
      <c r="AU967" s="81"/>
      <c r="AV967" s="83">
        <f>SUM(Prog_236[[#This Row],[ADIANTAMENTO]]+Prog_236[[#This Row],[SALDO]]+Prog_236[[#This Row],[MARGEM]]+Prog_236[[#This Row],[ESTADIA 1]])</f>
        <v>0</v>
      </c>
      <c r="AW9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7" s="81"/>
      <c r="AY967" s="81"/>
      <c r="AZ967" s="81">
        <f>Prog_236[[#This Row],[VLR NF]]*0.1%</f>
        <v>0</v>
      </c>
      <c r="BA967" s="81">
        <f>Prog_236[[#This Row],[VLR NF]]*0.05%</f>
        <v>0</v>
      </c>
      <c r="BB967" s="81"/>
      <c r="BC967" s="81"/>
      <c r="BD967" s="81"/>
      <c r="BE967" s="81"/>
      <c r="BF967" s="81"/>
      <c r="BG967" s="81"/>
      <c r="BH967" s="81"/>
      <c r="BI967" s="81"/>
      <c r="BJ967" s="81"/>
      <c r="BK967" s="81"/>
      <c r="BL967" s="66"/>
      <c r="BM967" s="66"/>
      <c r="BN967" s="66"/>
      <c r="BO967" s="66" t="str">
        <f>PROPER(TEXT(Prog_236[[#This Row],[PROGRAMAÇÃO CLIENTE]],"mmm"))</f>
        <v>Jan</v>
      </c>
      <c r="BP967" s="66">
        <f>YEAR(Prog_236[[#This Row],[PROGRAMAÇÃO CLIENTE]])</f>
        <v>1900</v>
      </c>
    </row>
    <row r="968" spans="1:68" x14ac:dyDescent="0.25">
      <c r="A968" s="201">
        <f>Prog_236[[#This Row],[CONTEINER]]</f>
        <v>0</v>
      </c>
      <c r="B968" s="86"/>
      <c r="C9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8" s="44"/>
      <c r="E968" s="66"/>
      <c r="F968" s="66"/>
      <c r="G968" s="66"/>
      <c r="H968" s="44"/>
      <c r="I968" s="44"/>
      <c r="J968" s="66"/>
      <c r="K968" s="66"/>
      <c r="L968" s="66"/>
      <c r="M968" s="66"/>
      <c r="N968" s="66">
        <f>SUM(Prog_236[[#This Row],[TARA]]+Prog_236[[#This Row],[PESO]])</f>
        <v>0</v>
      </c>
      <c r="O968" s="44"/>
      <c r="P968" s="66"/>
      <c r="Q968" s="66"/>
      <c r="R968" s="66"/>
      <c r="S968" s="66"/>
      <c r="T968" s="138" t="str">
        <f>IFERROR(LOOKUP($S968,MOTORISTAS!$D$3:$D$1048576,MOTORISTAS!E$3:$E$1048576),"")</f>
        <v/>
      </c>
      <c r="U968" s="138" t="str">
        <f>IFERROR(LOOKUP($S968,MOTORISTAS!$D$3:$D$1048576,MOTORISTAS!F$3:$F$1048576),"")</f>
        <v/>
      </c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44"/>
      <c r="AG968" s="254">
        <f>Prog_236[[#This Row],[SAÍDA DO CLIENTE]]-Prog_236[[#This Row],[PROGRAMAÇÃO CLIENTE]]</f>
        <v>0</v>
      </c>
      <c r="AH968" s="44"/>
      <c r="AI968" s="66"/>
      <c r="AJ968" s="66"/>
      <c r="AK968" s="66"/>
      <c r="AL968" s="66"/>
      <c r="AM968" s="66"/>
      <c r="AN968" s="83"/>
      <c r="AO968" s="66"/>
      <c r="AP968" s="66"/>
      <c r="AQ968" s="66"/>
      <c r="AR968" s="81"/>
      <c r="AS968" s="81"/>
      <c r="AT968" s="81"/>
      <c r="AU968" s="81"/>
      <c r="AV968" s="83">
        <f>SUM(Prog_236[[#This Row],[ADIANTAMENTO]]+Prog_236[[#This Row],[SALDO]]+Prog_236[[#This Row],[MARGEM]]+Prog_236[[#This Row],[ESTADIA 1]])</f>
        <v>0</v>
      </c>
      <c r="AW9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8" s="81"/>
      <c r="AY968" s="81"/>
      <c r="AZ968" s="81">
        <f>Prog_236[[#This Row],[VLR NF]]*0.1%</f>
        <v>0</v>
      </c>
      <c r="BA968" s="81">
        <f>Prog_236[[#This Row],[VLR NF]]*0.05%</f>
        <v>0</v>
      </c>
      <c r="BB968" s="81"/>
      <c r="BC968" s="81"/>
      <c r="BD968" s="81"/>
      <c r="BE968" s="81"/>
      <c r="BF968" s="81"/>
      <c r="BG968" s="81"/>
      <c r="BH968" s="81"/>
      <c r="BI968" s="81"/>
      <c r="BJ968" s="81"/>
      <c r="BK968" s="81"/>
      <c r="BL968" s="66"/>
      <c r="BM968" s="66"/>
      <c r="BN968" s="66"/>
      <c r="BO968" s="66" t="str">
        <f>PROPER(TEXT(Prog_236[[#This Row],[PROGRAMAÇÃO CLIENTE]],"mmm"))</f>
        <v>Jan</v>
      </c>
      <c r="BP968" s="66">
        <f>YEAR(Prog_236[[#This Row],[PROGRAMAÇÃO CLIENTE]])</f>
        <v>1900</v>
      </c>
    </row>
    <row r="969" spans="1:68" x14ac:dyDescent="0.25">
      <c r="A969" s="200">
        <f>Prog_236[[#This Row],[CONTEINER]]</f>
        <v>0</v>
      </c>
      <c r="B969" s="86"/>
      <c r="C9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69" s="44"/>
      <c r="E969" s="66"/>
      <c r="F969" s="66"/>
      <c r="G969" s="66"/>
      <c r="H969" s="44"/>
      <c r="I969" s="44"/>
      <c r="J969" s="66"/>
      <c r="K969" s="66"/>
      <c r="L969" s="66"/>
      <c r="M969" s="66"/>
      <c r="N969" s="66">
        <f>SUM(Prog_236[[#This Row],[TARA]]+Prog_236[[#This Row],[PESO]])</f>
        <v>0</v>
      </c>
      <c r="O969" s="44"/>
      <c r="P969" s="66"/>
      <c r="Q969" s="66"/>
      <c r="R969" s="66"/>
      <c r="S969" s="66"/>
      <c r="T969" s="138" t="str">
        <f>IFERROR(LOOKUP($S969,MOTORISTAS!$D$3:$D$1048576,MOTORISTAS!E$3:$E$1048576),"")</f>
        <v/>
      </c>
      <c r="U969" s="138" t="str">
        <f>IFERROR(LOOKUP($S969,MOTORISTAS!$D$3:$D$1048576,MOTORISTAS!F$3:$F$1048576),"")</f>
        <v/>
      </c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44"/>
      <c r="AG969" s="254">
        <f>Prog_236[[#This Row],[SAÍDA DO CLIENTE]]-Prog_236[[#This Row],[PROGRAMAÇÃO CLIENTE]]</f>
        <v>0</v>
      </c>
      <c r="AH969" s="44"/>
      <c r="AI969" s="66"/>
      <c r="AJ969" s="66"/>
      <c r="AK969" s="66"/>
      <c r="AL969" s="66"/>
      <c r="AM969" s="66"/>
      <c r="AN969" s="83"/>
      <c r="AO969" s="66"/>
      <c r="AP969" s="66"/>
      <c r="AQ969" s="66"/>
      <c r="AR969" s="81"/>
      <c r="AS969" s="81"/>
      <c r="AT969" s="81"/>
      <c r="AU969" s="81"/>
      <c r="AV969" s="83">
        <f>SUM(Prog_236[[#This Row],[ADIANTAMENTO]]+Prog_236[[#This Row],[SALDO]]+Prog_236[[#This Row],[MARGEM]]+Prog_236[[#This Row],[ESTADIA 1]])</f>
        <v>0</v>
      </c>
      <c r="AW9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69" s="81"/>
      <c r="AY969" s="81"/>
      <c r="AZ969" s="81">
        <f>Prog_236[[#This Row],[VLR NF]]*0.1%</f>
        <v>0</v>
      </c>
      <c r="BA969" s="81">
        <f>Prog_236[[#This Row],[VLR NF]]*0.05%</f>
        <v>0</v>
      </c>
      <c r="BB969" s="81"/>
      <c r="BC969" s="81"/>
      <c r="BD969" s="81"/>
      <c r="BE969" s="81"/>
      <c r="BF969" s="81"/>
      <c r="BG969" s="81"/>
      <c r="BH969" s="81"/>
      <c r="BI969" s="81"/>
      <c r="BJ969" s="81"/>
      <c r="BK969" s="81"/>
      <c r="BL969" s="66"/>
      <c r="BM969" s="66"/>
      <c r="BN969" s="66"/>
      <c r="BO969" s="66" t="str">
        <f>PROPER(TEXT(Prog_236[[#This Row],[PROGRAMAÇÃO CLIENTE]],"mmm"))</f>
        <v>Jan</v>
      </c>
      <c r="BP969" s="66">
        <f>YEAR(Prog_236[[#This Row],[PROGRAMAÇÃO CLIENTE]])</f>
        <v>1900</v>
      </c>
    </row>
    <row r="970" spans="1:68" x14ac:dyDescent="0.25">
      <c r="A970" s="201">
        <f>Prog_236[[#This Row],[CONTEINER]]</f>
        <v>0</v>
      </c>
      <c r="B970" s="86"/>
      <c r="C9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0" s="44"/>
      <c r="E970" s="66"/>
      <c r="F970" s="66"/>
      <c r="G970" s="66"/>
      <c r="H970" s="44"/>
      <c r="I970" s="44"/>
      <c r="J970" s="66"/>
      <c r="K970" s="66"/>
      <c r="L970" s="66"/>
      <c r="M970" s="66"/>
      <c r="N970" s="66">
        <f>SUM(Prog_236[[#This Row],[TARA]]+Prog_236[[#This Row],[PESO]])</f>
        <v>0</v>
      </c>
      <c r="O970" s="44"/>
      <c r="P970" s="66"/>
      <c r="Q970" s="66"/>
      <c r="R970" s="66"/>
      <c r="S970" s="66"/>
      <c r="T970" s="138" t="str">
        <f>IFERROR(LOOKUP($S970,MOTORISTAS!$D$3:$D$1048576,MOTORISTAS!E$3:$E$1048576),"")</f>
        <v/>
      </c>
      <c r="U970" s="138" t="str">
        <f>IFERROR(LOOKUP($S970,MOTORISTAS!$D$3:$D$1048576,MOTORISTAS!F$3:$F$1048576),"")</f>
        <v/>
      </c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44"/>
      <c r="AG970" s="254">
        <f>Prog_236[[#This Row],[SAÍDA DO CLIENTE]]-Prog_236[[#This Row],[PROGRAMAÇÃO CLIENTE]]</f>
        <v>0</v>
      </c>
      <c r="AH970" s="44"/>
      <c r="AI970" s="66"/>
      <c r="AJ970" s="66"/>
      <c r="AK970" s="66"/>
      <c r="AL970" s="66"/>
      <c r="AM970" s="66"/>
      <c r="AN970" s="83"/>
      <c r="AO970" s="66"/>
      <c r="AP970" s="66"/>
      <c r="AQ970" s="66"/>
      <c r="AR970" s="81"/>
      <c r="AS970" s="81"/>
      <c r="AT970" s="81"/>
      <c r="AU970" s="81"/>
      <c r="AV970" s="83">
        <f>SUM(Prog_236[[#This Row],[ADIANTAMENTO]]+Prog_236[[#This Row],[SALDO]]+Prog_236[[#This Row],[MARGEM]]+Prog_236[[#This Row],[ESTADIA 1]])</f>
        <v>0</v>
      </c>
      <c r="AW9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0" s="81"/>
      <c r="AY970" s="81"/>
      <c r="AZ970" s="81">
        <f>Prog_236[[#This Row],[VLR NF]]*0.1%</f>
        <v>0</v>
      </c>
      <c r="BA970" s="81">
        <f>Prog_236[[#This Row],[VLR NF]]*0.05%</f>
        <v>0</v>
      </c>
      <c r="BB970" s="81"/>
      <c r="BC970" s="81"/>
      <c r="BD970" s="81"/>
      <c r="BE970" s="81"/>
      <c r="BF970" s="81"/>
      <c r="BG970" s="81"/>
      <c r="BH970" s="81"/>
      <c r="BI970" s="81"/>
      <c r="BJ970" s="81"/>
      <c r="BK970" s="81"/>
      <c r="BL970" s="66"/>
      <c r="BM970" s="66"/>
      <c r="BN970" s="66"/>
      <c r="BO970" s="66" t="str">
        <f>PROPER(TEXT(Prog_236[[#This Row],[PROGRAMAÇÃO CLIENTE]],"mmm"))</f>
        <v>Jan</v>
      </c>
      <c r="BP970" s="66">
        <f>YEAR(Prog_236[[#This Row],[PROGRAMAÇÃO CLIENTE]])</f>
        <v>1900</v>
      </c>
    </row>
    <row r="971" spans="1:68" x14ac:dyDescent="0.25">
      <c r="A971" s="200">
        <f>Prog_236[[#This Row],[CONTEINER]]</f>
        <v>0</v>
      </c>
      <c r="B971" s="86"/>
      <c r="C9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1" s="44"/>
      <c r="E971" s="66"/>
      <c r="F971" s="66"/>
      <c r="G971" s="66"/>
      <c r="H971" s="44"/>
      <c r="I971" s="44"/>
      <c r="J971" s="66"/>
      <c r="K971" s="66"/>
      <c r="L971" s="66"/>
      <c r="M971" s="66"/>
      <c r="N971" s="66">
        <f>SUM(Prog_236[[#This Row],[TARA]]+Prog_236[[#This Row],[PESO]])</f>
        <v>0</v>
      </c>
      <c r="O971" s="44"/>
      <c r="P971" s="66"/>
      <c r="Q971" s="66"/>
      <c r="R971" s="66"/>
      <c r="S971" s="66"/>
      <c r="T971" s="138" t="str">
        <f>IFERROR(LOOKUP($S971,MOTORISTAS!$D$3:$D$1048576,MOTORISTAS!E$3:$E$1048576),"")</f>
        <v/>
      </c>
      <c r="U971" s="138" t="str">
        <f>IFERROR(LOOKUP($S971,MOTORISTAS!$D$3:$D$1048576,MOTORISTAS!F$3:$F$1048576),"")</f>
        <v/>
      </c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44"/>
      <c r="AG971" s="254">
        <f>Prog_236[[#This Row],[SAÍDA DO CLIENTE]]-Prog_236[[#This Row],[PROGRAMAÇÃO CLIENTE]]</f>
        <v>0</v>
      </c>
      <c r="AH971" s="44"/>
      <c r="AI971" s="66"/>
      <c r="AJ971" s="66"/>
      <c r="AK971" s="66"/>
      <c r="AL971" s="66"/>
      <c r="AM971" s="66"/>
      <c r="AN971" s="83"/>
      <c r="AO971" s="66"/>
      <c r="AP971" s="66"/>
      <c r="AQ971" s="66"/>
      <c r="AR971" s="81"/>
      <c r="AS971" s="81"/>
      <c r="AT971" s="81"/>
      <c r="AU971" s="81"/>
      <c r="AV971" s="83">
        <f>SUM(Prog_236[[#This Row],[ADIANTAMENTO]]+Prog_236[[#This Row],[SALDO]]+Prog_236[[#This Row],[MARGEM]]+Prog_236[[#This Row],[ESTADIA 1]])</f>
        <v>0</v>
      </c>
      <c r="AW9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1" s="81"/>
      <c r="AY971" s="81"/>
      <c r="AZ971" s="81">
        <f>Prog_236[[#This Row],[VLR NF]]*0.1%</f>
        <v>0</v>
      </c>
      <c r="BA971" s="81">
        <f>Prog_236[[#This Row],[VLR NF]]*0.05%</f>
        <v>0</v>
      </c>
      <c r="BB971" s="81"/>
      <c r="BC971" s="81"/>
      <c r="BD971" s="81"/>
      <c r="BE971" s="81"/>
      <c r="BF971" s="81"/>
      <c r="BG971" s="81"/>
      <c r="BH971" s="81"/>
      <c r="BI971" s="81"/>
      <c r="BJ971" s="81"/>
      <c r="BK971" s="81"/>
      <c r="BL971" s="66"/>
      <c r="BM971" s="66"/>
      <c r="BN971" s="66"/>
      <c r="BO971" s="66" t="str">
        <f>PROPER(TEXT(Prog_236[[#This Row],[PROGRAMAÇÃO CLIENTE]],"mmm"))</f>
        <v>Jan</v>
      </c>
      <c r="BP971" s="66">
        <f>YEAR(Prog_236[[#This Row],[PROGRAMAÇÃO CLIENTE]])</f>
        <v>1900</v>
      </c>
    </row>
    <row r="972" spans="1:68" x14ac:dyDescent="0.25">
      <c r="A972" s="201">
        <f>Prog_236[[#This Row],[CONTEINER]]</f>
        <v>0</v>
      </c>
      <c r="B972" s="86"/>
      <c r="C9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2" s="44"/>
      <c r="E972" s="66"/>
      <c r="F972" s="66"/>
      <c r="G972" s="66"/>
      <c r="H972" s="44"/>
      <c r="I972" s="44"/>
      <c r="J972" s="66"/>
      <c r="K972" s="66"/>
      <c r="L972" s="66"/>
      <c r="M972" s="66"/>
      <c r="N972" s="66">
        <f>SUM(Prog_236[[#This Row],[TARA]]+Prog_236[[#This Row],[PESO]])</f>
        <v>0</v>
      </c>
      <c r="O972" s="44"/>
      <c r="P972" s="66"/>
      <c r="Q972" s="66"/>
      <c r="R972" s="66"/>
      <c r="S972" s="66"/>
      <c r="T972" s="138" t="str">
        <f>IFERROR(LOOKUP($S972,MOTORISTAS!$D$3:$D$1048576,MOTORISTAS!E$3:$E$1048576),"")</f>
        <v/>
      </c>
      <c r="U972" s="138" t="str">
        <f>IFERROR(LOOKUP($S972,MOTORISTAS!$D$3:$D$1048576,MOTORISTAS!F$3:$F$1048576),"")</f>
        <v/>
      </c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44"/>
      <c r="AG972" s="254">
        <f>Prog_236[[#This Row],[SAÍDA DO CLIENTE]]-Prog_236[[#This Row],[PROGRAMAÇÃO CLIENTE]]</f>
        <v>0</v>
      </c>
      <c r="AH972" s="44"/>
      <c r="AI972" s="66"/>
      <c r="AJ972" s="66"/>
      <c r="AK972" s="66"/>
      <c r="AL972" s="66"/>
      <c r="AM972" s="66"/>
      <c r="AN972" s="83"/>
      <c r="AO972" s="66"/>
      <c r="AP972" s="66"/>
      <c r="AQ972" s="66"/>
      <c r="AR972" s="81"/>
      <c r="AS972" s="81"/>
      <c r="AT972" s="81"/>
      <c r="AU972" s="81"/>
      <c r="AV972" s="83">
        <f>SUM(Prog_236[[#This Row],[ADIANTAMENTO]]+Prog_236[[#This Row],[SALDO]]+Prog_236[[#This Row],[MARGEM]]+Prog_236[[#This Row],[ESTADIA 1]])</f>
        <v>0</v>
      </c>
      <c r="AW9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2" s="81"/>
      <c r="AY972" s="81"/>
      <c r="AZ972" s="81">
        <f>Prog_236[[#This Row],[VLR NF]]*0.1%</f>
        <v>0</v>
      </c>
      <c r="BA972" s="81">
        <f>Prog_236[[#This Row],[VLR NF]]*0.05%</f>
        <v>0</v>
      </c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66"/>
      <c r="BM972" s="66"/>
      <c r="BN972" s="66"/>
      <c r="BO972" s="66" t="str">
        <f>PROPER(TEXT(Prog_236[[#This Row],[PROGRAMAÇÃO CLIENTE]],"mmm"))</f>
        <v>Jan</v>
      </c>
      <c r="BP972" s="66">
        <f>YEAR(Prog_236[[#This Row],[PROGRAMAÇÃO CLIENTE]])</f>
        <v>1900</v>
      </c>
    </row>
    <row r="973" spans="1:68" x14ac:dyDescent="0.25">
      <c r="A973" s="200">
        <f>Prog_236[[#This Row],[CONTEINER]]</f>
        <v>0</v>
      </c>
      <c r="B973" s="86"/>
      <c r="C9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3" s="44"/>
      <c r="E973" s="66"/>
      <c r="F973" s="66"/>
      <c r="G973" s="66"/>
      <c r="H973" s="44"/>
      <c r="I973" s="44"/>
      <c r="J973" s="66"/>
      <c r="K973" s="66"/>
      <c r="L973" s="66"/>
      <c r="M973" s="66"/>
      <c r="N973" s="66">
        <f>SUM(Prog_236[[#This Row],[TARA]]+Prog_236[[#This Row],[PESO]])</f>
        <v>0</v>
      </c>
      <c r="O973" s="44"/>
      <c r="P973" s="66"/>
      <c r="Q973" s="66"/>
      <c r="R973" s="66"/>
      <c r="S973" s="66"/>
      <c r="T973" s="138" t="str">
        <f>IFERROR(LOOKUP($S973,MOTORISTAS!$D$3:$D$1048576,MOTORISTAS!E$3:$E$1048576),"")</f>
        <v/>
      </c>
      <c r="U973" s="138" t="str">
        <f>IFERROR(LOOKUP($S973,MOTORISTAS!$D$3:$D$1048576,MOTORISTAS!F$3:$F$1048576),"")</f>
        <v/>
      </c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44"/>
      <c r="AG973" s="254">
        <f>Prog_236[[#This Row],[SAÍDA DO CLIENTE]]-Prog_236[[#This Row],[PROGRAMAÇÃO CLIENTE]]</f>
        <v>0</v>
      </c>
      <c r="AH973" s="44"/>
      <c r="AI973" s="66"/>
      <c r="AJ973" s="66"/>
      <c r="AK973" s="66"/>
      <c r="AL973" s="66"/>
      <c r="AM973" s="66"/>
      <c r="AN973" s="83"/>
      <c r="AO973" s="66"/>
      <c r="AP973" s="66"/>
      <c r="AQ973" s="66"/>
      <c r="AR973" s="81"/>
      <c r="AS973" s="81"/>
      <c r="AT973" s="81"/>
      <c r="AU973" s="81"/>
      <c r="AV973" s="83">
        <f>SUM(Prog_236[[#This Row],[ADIANTAMENTO]]+Prog_236[[#This Row],[SALDO]]+Prog_236[[#This Row],[MARGEM]]+Prog_236[[#This Row],[ESTADIA 1]])</f>
        <v>0</v>
      </c>
      <c r="AW9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3" s="81"/>
      <c r="AY973" s="81"/>
      <c r="AZ973" s="81">
        <f>Prog_236[[#This Row],[VLR NF]]*0.1%</f>
        <v>0</v>
      </c>
      <c r="BA973" s="81">
        <f>Prog_236[[#This Row],[VLR NF]]*0.05%</f>
        <v>0</v>
      </c>
      <c r="BB973" s="81"/>
      <c r="BC973" s="81"/>
      <c r="BD973" s="81"/>
      <c r="BE973" s="81"/>
      <c r="BF973" s="81"/>
      <c r="BG973" s="81"/>
      <c r="BH973" s="81"/>
      <c r="BI973" s="81"/>
      <c r="BJ973" s="81"/>
      <c r="BK973" s="81"/>
      <c r="BL973" s="66"/>
      <c r="BM973" s="66"/>
      <c r="BN973" s="66"/>
      <c r="BO973" s="66" t="str">
        <f>PROPER(TEXT(Prog_236[[#This Row],[PROGRAMAÇÃO CLIENTE]],"mmm"))</f>
        <v>Jan</v>
      </c>
      <c r="BP973" s="66">
        <f>YEAR(Prog_236[[#This Row],[PROGRAMAÇÃO CLIENTE]])</f>
        <v>1900</v>
      </c>
    </row>
    <row r="974" spans="1:68" x14ac:dyDescent="0.25">
      <c r="A974" s="201">
        <f>Prog_236[[#This Row],[CONTEINER]]</f>
        <v>0</v>
      </c>
      <c r="B974" s="86"/>
      <c r="C9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4" s="44"/>
      <c r="E974" s="66"/>
      <c r="F974" s="66"/>
      <c r="G974" s="66"/>
      <c r="H974" s="44"/>
      <c r="I974" s="44"/>
      <c r="J974" s="66"/>
      <c r="K974" s="66"/>
      <c r="L974" s="66"/>
      <c r="M974" s="66"/>
      <c r="N974" s="66">
        <f>SUM(Prog_236[[#This Row],[TARA]]+Prog_236[[#This Row],[PESO]])</f>
        <v>0</v>
      </c>
      <c r="O974" s="44"/>
      <c r="P974" s="66"/>
      <c r="Q974" s="66"/>
      <c r="R974" s="66"/>
      <c r="S974" s="66"/>
      <c r="T974" s="138" t="str">
        <f>IFERROR(LOOKUP($S974,MOTORISTAS!$D$3:$D$1048576,MOTORISTAS!E$3:$E$1048576),"")</f>
        <v/>
      </c>
      <c r="U974" s="138" t="str">
        <f>IFERROR(LOOKUP($S974,MOTORISTAS!$D$3:$D$1048576,MOTORISTAS!F$3:$F$1048576),"")</f>
        <v/>
      </c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44"/>
      <c r="AG974" s="254">
        <f>Prog_236[[#This Row],[SAÍDA DO CLIENTE]]-Prog_236[[#This Row],[PROGRAMAÇÃO CLIENTE]]</f>
        <v>0</v>
      </c>
      <c r="AH974" s="44"/>
      <c r="AI974" s="66"/>
      <c r="AJ974" s="66"/>
      <c r="AK974" s="66"/>
      <c r="AL974" s="66"/>
      <c r="AM974" s="66"/>
      <c r="AN974" s="83"/>
      <c r="AO974" s="66"/>
      <c r="AP974" s="66"/>
      <c r="AQ974" s="66"/>
      <c r="AR974" s="81"/>
      <c r="AS974" s="81"/>
      <c r="AT974" s="81"/>
      <c r="AU974" s="81"/>
      <c r="AV974" s="83">
        <f>SUM(Prog_236[[#This Row],[ADIANTAMENTO]]+Prog_236[[#This Row],[SALDO]]+Prog_236[[#This Row],[MARGEM]]+Prog_236[[#This Row],[ESTADIA 1]])</f>
        <v>0</v>
      </c>
      <c r="AW9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4" s="81"/>
      <c r="AY974" s="81"/>
      <c r="AZ974" s="81">
        <f>Prog_236[[#This Row],[VLR NF]]*0.1%</f>
        <v>0</v>
      </c>
      <c r="BA974" s="81">
        <f>Prog_236[[#This Row],[VLR NF]]*0.05%</f>
        <v>0</v>
      </c>
      <c r="BB974" s="81"/>
      <c r="BC974" s="81"/>
      <c r="BD974" s="81"/>
      <c r="BE974" s="81"/>
      <c r="BF974" s="81"/>
      <c r="BG974" s="81"/>
      <c r="BH974" s="81"/>
      <c r="BI974" s="81"/>
      <c r="BJ974" s="81"/>
      <c r="BK974" s="81"/>
      <c r="BL974" s="66"/>
      <c r="BM974" s="66"/>
      <c r="BN974" s="66"/>
      <c r="BO974" s="66" t="str">
        <f>PROPER(TEXT(Prog_236[[#This Row],[PROGRAMAÇÃO CLIENTE]],"mmm"))</f>
        <v>Jan</v>
      </c>
      <c r="BP974" s="66">
        <f>YEAR(Prog_236[[#This Row],[PROGRAMAÇÃO CLIENTE]])</f>
        <v>1900</v>
      </c>
    </row>
    <row r="975" spans="1:68" x14ac:dyDescent="0.25">
      <c r="A975" s="200">
        <f>Prog_236[[#This Row],[CONTEINER]]</f>
        <v>0</v>
      </c>
      <c r="B975" s="86"/>
      <c r="C9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5" s="44"/>
      <c r="E975" s="66"/>
      <c r="F975" s="66"/>
      <c r="G975" s="66"/>
      <c r="H975" s="44"/>
      <c r="I975" s="44"/>
      <c r="J975" s="66"/>
      <c r="K975" s="66"/>
      <c r="L975" s="66"/>
      <c r="M975" s="66"/>
      <c r="N975" s="66">
        <f>SUM(Prog_236[[#This Row],[TARA]]+Prog_236[[#This Row],[PESO]])</f>
        <v>0</v>
      </c>
      <c r="O975" s="44"/>
      <c r="P975" s="66"/>
      <c r="Q975" s="66"/>
      <c r="R975" s="66"/>
      <c r="S975" s="66"/>
      <c r="T975" s="138" t="str">
        <f>IFERROR(LOOKUP($S975,MOTORISTAS!$D$3:$D$1048576,MOTORISTAS!E$3:$E$1048576),"")</f>
        <v/>
      </c>
      <c r="U975" s="138" t="str">
        <f>IFERROR(LOOKUP($S975,MOTORISTAS!$D$3:$D$1048576,MOTORISTAS!F$3:$F$1048576),"")</f>
        <v/>
      </c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44"/>
      <c r="AG975" s="254">
        <f>Prog_236[[#This Row],[SAÍDA DO CLIENTE]]-Prog_236[[#This Row],[PROGRAMAÇÃO CLIENTE]]</f>
        <v>0</v>
      </c>
      <c r="AH975" s="44"/>
      <c r="AI975" s="66"/>
      <c r="AJ975" s="66"/>
      <c r="AK975" s="66"/>
      <c r="AL975" s="66"/>
      <c r="AM975" s="66"/>
      <c r="AN975" s="83"/>
      <c r="AO975" s="66"/>
      <c r="AP975" s="66"/>
      <c r="AQ975" s="66"/>
      <c r="AR975" s="81"/>
      <c r="AS975" s="81"/>
      <c r="AT975" s="81"/>
      <c r="AU975" s="81"/>
      <c r="AV975" s="83">
        <f>SUM(Prog_236[[#This Row],[ADIANTAMENTO]]+Prog_236[[#This Row],[SALDO]]+Prog_236[[#This Row],[MARGEM]]+Prog_236[[#This Row],[ESTADIA 1]])</f>
        <v>0</v>
      </c>
      <c r="AW9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5" s="81"/>
      <c r="AY975" s="81"/>
      <c r="AZ975" s="81">
        <f>Prog_236[[#This Row],[VLR NF]]*0.1%</f>
        <v>0</v>
      </c>
      <c r="BA975" s="81">
        <f>Prog_236[[#This Row],[VLR NF]]*0.05%</f>
        <v>0</v>
      </c>
      <c r="BB975" s="81"/>
      <c r="BC975" s="81"/>
      <c r="BD975" s="81"/>
      <c r="BE975" s="81"/>
      <c r="BF975" s="81"/>
      <c r="BG975" s="81"/>
      <c r="BH975" s="81"/>
      <c r="BI975" s="81"/>
      <c r="BJ975" s="81"/>
      <c r="BK975" s="81"/>
      <c r="BL975" s="66"/>
      <c r="BM975" s="66"/>
      <c r="BN975" s="66"/>
      <c r="BO975" s="66" t="str">
        <f>PROPER(TEXT(Prog_236[[#This Row],[PROGRAMAÇÃO CLIENTE]],"mmm"))</f>
        <v>Jan</v>
      </c>
      <c r="BP975" s="66">
        <f>YEAR(Prog_236[[#This Row],[PROGRAMAÇÃO CLIENTE]])</f>
        <v>1900</v>
      </c>
    </row>
    <row r="976" spans="1:68" x14ac:dyDescent="0.25">
      <c r="A976" s="201">
        <f>Prog_236[[#This Row],[CONTEINER]]</f>
        <v>0</v>
      </c>
      <c r="B976" s="86"/>
      <c r="C9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6" s="44"/>
      <c r="E976" s="66"/>
      <c r="F976" s="66"/>
      <c r="G976" s="66"/>
      <c r="H976" s="44"/>
      <c r="I976" s="44"/>
      <c r="J976" s="66"/>
      <c r="K976" s="66"/>
      <c r="L976" s="66"/>
      <c r="M976" s="66"/>
      <c r="N976" s="66">
        <f>SUM(Prog_236[[#This Row],[TARA]]+Prog_236[[#This Row],[PESO]])</f>
        <v>0</v>
      </c>
      <c r="O976" s="44"/>
      <c r="P976" s="66"/>
      <c r="Q976" s="66"/>
      <c r="R976" s="66"/>
      <c r="S976" s="66"/>
      <c r="T976" s="138" t="str">
        <f>IFERROR(LOOKUP($S976,MOTORISTAS!$D$3:$D$1048576,MOTORISTAS!E$3:$E$1048576),"")</f>
        <v/>
      </c>
      <c r="U976" s="138" t="str">
        <f>IFERROR(LOOKUP($S976,MOTORISTAS!$D$3:$D$1048576,MOTORISTAS!F$3:$F$1048576),"")</f>
        <v/>
      </c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44"/>
      <c r="AG976" s="254">
        <f>Prog_236[[#This Row],[SAÍDA DO CLIENTE]]-Prog_236[[#This Row],[PROGRAMAÇÃO CLIENTE]]</f>
        <v>0</v>
      </c>
      <c r="AH976" s="44"/>
      <c r="AI976" s="66"/>
      <c r="AJ976" s="66"/>
      <c r="AK976" s="66"/>
      <c r="AL976" s="66"/>
      <c r="AM976" s="66"/>
      <c r="AN976" s="83"/>
      <c r="AO976" s="66"/>
      <c r="AP976" s="66"/>
      <c r="AQ976" s="66"/>
      <c r="AR976" s="81"/>
      <c r="AS976" s="81"/>
      <c r="AT976" s="81"/>
      <c r="AU976" s="81"/>
      <c r="AV976" s="83">
        <f>SUM(Prog_236[[#This Row],[ADIANTAMENTO]]+Prog_236[[#This Row],[SALDO]]+Prog_236[[#This Row],[MARGEM]]+Prog_236[[#This Row],[ESTADIA 1]])</f>
        <v>0</v>
      </c>
      <c r="AW9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6" s="81"/>
      <c r="AY976" s="81"/>
      <c r="AZ976" s="81">
        <f>Prog_236[[#This Row],[VLR NF]]*0.1%</f>
        <v>0</v>
      </c>
      <c r="BA976" s="81">
        <f>Prog_236[[#This Row],[VLR NF]]*0.05%</f>
        <v>0</v>
      </c>
      <c r="BB976" s="81"/>
      <c r="BC976" s="81"/>
      <c r="BD976" s="81"/>
      <c r="BE976" s="81"/>
      <c r="BF976" s="81"/>
      <c r="BG976" s="81"/>
      <c r="BH976" s="81"/>
      <c r="BI976" s="81"/>
      <c r="BJ976" s="81"/>
      <c r="BK976" s="81"/>
      <c r="BL976" s="66"/>
      <c r="BM976" s="66"/>
      <c r="BN976" s="66"/>
      <c r="BO976" s="66" t="str">
        <f>PROPER(TEXT(Prog_236[[#This Row],[PROGRAMAÇÃO CLIENTE]],"mmm"))</f>
        <v>Jan</v>
      </c>
      <c r="BP976" s="66">
        <f>YEAR(Prog_236[[#This Row],[PROGRAMAÇÃO CLIENTE]])</f>
        <v>1900</v>
      </c>
    </row>
    <row r="977" spans="1:68" x14ac:dyDescent="0.25">
      <c r="A977" s="200">
        <f>Prog_236[[#This Row],[CONTEINER]]</f>
        <v>0</v>
      </c>
      <c r="B977" s="86"/>
      <c r="C9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7" s="44"/>
      <c r="E977" s="66"/>
      <c r="F977" s="66"/>
      <c r="G977" s="66"/>
      <c r="H977" s="44"/>
      <c r="I977" s="44"/>
      <c r="J977" s="66"/>
      <c r="K977" s="66"/>
      <c r="L977" s="66"/>
      <c r="M977" s="66"/>
      <c r="N977" s="66">
        <f>SUM(Prog_236[[#This Row],[TARA]]+Prog_236[[#This Row],[PESO]])</f>
        <v>0</v>
      </c>
      <c r="O977" s="44"/>
      <c r="P977" s="66"/>
      <c r="Q977" s="66"/>
      <c r="R977" s="66"/>
      <c r="S977" s="66"/>
      <c r="T977" s="138" t="str">
        <f>IFERROR(LOOKUP($S977,MOTORISTAS!$D$3:$D$1048576,MOTORISTAS!E$3:$E$1048576),"")</f>
        <v/>
      </c>
      <c r="U977" s="138" t="str">
        <f>IFERROR(LOOKUP($S977,MOTORISTAS!$D$3:$D$1048576,MOTORISTAS!F$3:$F$1048576),"")</f>
        <v/>
      </c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44"/>
      <c r="AG977" s="254">
        <f>Prog_236[[#This Row],[SAÍDA DO CLIENTE]]-Prog_236[[#This Row],[PROGRAMAÇÃO CLIENTE]]</f>
        <v>0</v>
      </c>
      <c r="AH977" s="44"/>
      <c r="AI977" s="66"/>
      <c r="AJ977" s="66"/>
      <c r="AK977" s="66"/>
      <c r="AL977" s="66"/>
      <c r="AM977" s="66"/>
      <c r="AN977" s="83"/>
      <c r="AO977" s="66"/>
      <c r="AP977" s="66"/>
      <c r="AQ977" s="66"/>
      <c r="AR977" s="81"/>
      <c r="AS977" s="81"/>
      <c r="AT977" s="81"/>
      <c r="AU977" s="81"/>
      <c r="AV977" s="83">
        <f>SUM(Prog_236[[#This Row],[ADIANTAMENTO]]+Prog_236[[#This Row],[SALDO]]+Prog_236[[#This Row],[MARGEM]]+Prog_236[[#This Row],[ESTADIA 1]])</f>
        <v>0</v>
      </c>
      <c r="AW9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7" s="81"/>
      <c r="AY977" s="81"/>
      <c r="AZ977" s="81">
        <f>Prog_236[[#This Row],[VLR NF]]*0.1%</f>
        <v>0</v>
      </c>
      <c r="BA977" s="81">
        <f>Prog_236[[#This Row],[VLR NF]]*0.05%</f>
        <v>0</v>
      </c>
      <c r="BB977" s="81"/>
      <c r="BC977" s="81"/>
      <c r="BD977" s="81"/>
      <c r="BE977" s="81"/>
      <c r="BF977" s="81"/>
      <c r="BG977" s="81"/>
      <c r="BH977" s="81"/>
      <c r="BI977" s="81"/>
      <c r="BJ977" s="81"/>
      <c r="BK977" s="81"/>
      <c r="BL977" s="66"/>
      <c r="BM977" s="66"/>
      <c r="BN977" s="66"/>
      <c r="BO977" s="66" t="str">
        <f>PROPER(TEXT(Prog_236[[#This Row],[PROGRAMAÇÃO CLIENTE]],"mmm"))</f>
        <v>Jan</v>
      </c>
      <c r="BP977" s="66">
        <f>YEAR(Prog_236[[#This Row],[PROGRAMAÇÃO CLIENTE]])</f>
        <v>1900</v>
      </c>
    </row>
    <row r="978" spans="1:68" x14ac:dyDescent="0.25">
      <c r="A978" s="201">
        <f>Prog_236[[#This Row],[CONTEINER]]</f>
        <v>0</v>
      </c>
      <c r="B978" s="86"/>
      <c r="C9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8" s="44"/>
      <c r="E978" s="66"/>
      <c r="F978" s="66"/>
      <c r="G978" s="66"/>
      <c r="H978" s="44"/>
      <c r="I978" s="44"/>
      <c r="J978" s="66"/>
      <c r="K978" s="66"/>
      <c r="L978" s="66"/>
      <c r="M978" s="66"/>
      <c r="N978" s="66">
        <f>SUM(Prog_236[[#This Row],[TARA]]+Prog_236[[#This Row],[PESO]])</f>
        <v>0</v>
      </c>
      <c r="O978" s="44"/>
      <c r="P978" s="66"/>
      <c r="Q978" s="66"/>
      <c r="R978" s="66"/>
      <c r="S978" s="66"/>
      <c r="T978" s="138" t="str">
        <f>IFERROR(LOOKUP($S978,MOTORISTAS!$D$3:$D$1048576,MOTORISTAS!E$3:$E$1048576),"")</f>
        <v/>
      </c>
      <c r="U978" s="138" t="str">
        <f>IFERROR(LOOKUP($S978,MOTORISTAS!$D$3:$D$1048576,MOTORISTAS!F$3:$F$1048576),"")</f>
        <v/>
      </c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44"/>
      <c r="AG978" s="254">
        <f>Prog_236[[#This Row],[SAÍDA DO CLIENTE]]-Prog_236[[#This Row],[PROGRAMAÇÃO CLIENTE]]</f>
        <v>0</v>
      </c>
      <c r="AH978" s="44"/>
      <c r="AI978" s="66"/>
      <c r="AJ978" s="66"/>
      <c r="AK978" s="66"/>
      <c r="AL978" s="66"/>
      <c r="AM978" s="66"/>
      <c r="AN978" s="83"/>
      <c r="AO978" s="66"/>
      <c r="AP978" s="66"/>
      <c r="AQ978" s="66"/>
      <c r="AR978" s="81"/>
      <c r="AS978" s="81"/>
      <c r="AT978" s="81"/>
      <c r="AU978" s="81"/>
      <c r="AV978" s="83">
        <f>SUM(Prog_236[[#This Row],[ADIANTAMENTO]]+Prog_236[[#This Row],[SALDO]]+Prog_236[[#This Row],[MARGEM]]+Prog_236[[#This Row],[ESTADIA 1]])</f>
        <v>0</v>
      </c>
      <c r="AW9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8" s="81"/>
      <c r="AY978" s="81"/>
      <c r="AZ978" s="81">
        <f>Prog_236[[#This Row],[VLR NF]]*0.1%</f>
        <v>0</v>
      </c>
      <c r="BA978" s="81">
        <f>Prog_236[[#This Row],[VLR NF]]*0.05%</f>
        <v>0</v>
      </c>
      <c r="BB978" s="81"/>
      <c r="BC978" s="81"/>
      <c r="BD978" s="81"/>
      <c r="BE978" s="81"/>
      <c r="BF978" s="81"/>
      <c r="BG978" s="81"/>
      <c r="BH978" s="81"/>
      <c r="BI978" s="81"/>
      <c r="BJ978" s="81"/>
      <c r="BK978" s="81"/>
      <c r="BL978" s="66"/>
      <c r="BM978" s="66"/>
      <c r="BN978" s="66"/>
      <c r="BO978" s="66" t="str">
        <f>PROPER(TEXT(Prog_236[[#This Row],[PROGRAMAÇÃO CLIENTE]],"mmm"))</f>
        <v>Jan</v>
      </c>
      <c r="BP978" s="66">
        <f>YEAR(Prog_236[[#This Row],[PROGRAMAÇÃO CLIENTE]])</f>
        <v>1900</v>
      </c>
    </row>
    <row r="979" spans="1:68" x14ac:dyDescent="0.25">
      <c r="A979" s="200">
        <f>Prog_236[[#This Row],[CONTEINER]]</f>
        <v>0</v>
      </c>
      <c r="B979" s="86"/>
      <c r="C9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79" s="44"/>
      <c r="E979" s="66"/>
      <c r="F979" s="66"/>
      <c r="G979" s="66"/>
      <c r="H979" s="44"/>
      <c r="I979" s="44"/>
      <c r="J979" s="66"/>
      <c r="K979" s="66"/>
      <c r="L979" s="66"/>
      <c r="M979" s="66"/>
      <c r="N979" s="66">
        <f>SUM(Prog_236[[#This Row],[TARA]]+Prog_236[[#This Row],[PESO]])</f>
        <v>0</v>
      </c>
      <c r="O979" s="44"/>
      <c r="P979" s="66"/>
      <c r="Q979" s="66"/>
      <c r="R979" s="66"/>
      <c r="S979" s="66"/>
      <c r="T979" s="138" t="str">
        <f>IFERROR(LOOKUP($S979,MOTORISTAS!$D$3:$D$1048576,MOTORISTAS!E$3:$E$1048576),"")</f>
        <v/>
      </c>
      <c r="U979" s="138" t="str">
        <f>IFERROR(LOOKUP($S979,MOTORISTAS!$D$3:$D$1048576,MOTORISTAS!F$3:$F$1048576),"")</f>
        <v/>
      </c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44"/>
      <c r="AG979" s="254">
        <f>Prog_236[[#This Row],[SAÍDA DO CLIENTE]]-Prog_236[[#This Row],[PROGRAMAÇÃO CLIENTE]]</f>
        <v>0</v>
      </c>
      <c r="AH979" s="44"/>
      <c r="AI979" s="66"/>
      <c r="AJ979" s="66"/>
      <c r="AK979" s="66"/>
      <c r="AL979" s="66"/>
      <c r="AM979" s="66"/>
      <c r="AN979" s="83"/>
      <c r="AO979" s="66"/>
      <c r="AP979" s="66"/>
      <c r="AQ979" s="66"/>
      <c r="AR979" s="81"/>
      <c r="AS979" s="81"/>
      <c r="AT979" s="81"/>
      <c r="AU979" s="81"/>
      <c r="AV979" s="83">
        <f>SUM(Prog_236[[#This Row],[ADIANTAMENTO]]+Prog_236[[#This Row],[SALDO]]+Prog_236[[#This Row],[MARGEM]]+Prog_236[[#This Row],[ESTADIA 1]])</f>
        <v>0</v>
      </c>
      <c r="AW9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79" s="81"/>
      <c r="AY979" s="81"/>
      <c r="AZ979" s="81">
        <f>Prog_236[[#This Row],[VLR NF]]*0.1%</f>
        <v>0</v>
      </c>
      <c r="BA979" s="81">
        <f>Prog_236[[#This Row],[VLR NF]]*0.05%</f>
        <v>0</v>
      </c>
      <c r="BB979" s="81"/>
      <c r="BC979" s="81"/>
      <c r="BD979" s="81"/>
      <c r="BE979" s="81"/>
      <c r="BF979" s="81"/>
      <c r="BG979" s="81"/>
      <c r="BH979" s="81"/>
      <c r="BI979" s="81"/>
      <c r="BJ979" s="81"/>
      <c r="BK979" s="81"/>
      <c r="BL979" s="66"/>
      <c r="BM979" s="66"/>
      <c r="BN979" s="66"/>
      <c r="BO979" s="66" t="str">
        <f>PROPER(TEXT(Prog_236[[#This Row],[PROGRAMAÇÃO CLIENTE]],"mmm"))</f>
        <v>Jan</v>
      </c>
      <c r="BP979" s="66">
        <f>YEAR(Prog_236[[#This Row],[PROGRAMAÇÃO CLIENTE]])</f>
        <v>1900</v>
      </c>
    </row>
    <row r="980" spans="1:68" x14ac:dyDescent="0.25">
      <c r="A980" s="201">
        <f>Prog_236[[#This Row],[CONTEINER]]</f>
        <v>0</v>
      </c>
      <c r="B980" s="86"/>
      <c r="C9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0" s="44"/>
      <c r="E980" s="66"/>
      <c r="F980" s="66"/>
      <c r="G980" s="66"/>
      <c r="H980" s="44"/>
      <c r="I980" s="44"/>
      <c r="J980" s="66"/>
      <c r="K980" s="66"/>
      <c r="L980" s="66"/>
      <c r="M980" s="66"/>
      <c r="N980" s="66">
        <f>SUM(Prog_236[[#This Row],[TARA]]+Prog_236[[#This Row],[PESO]])</f>
        <v>0</v>
      </c>
      <c r="O980" s="44"/>
      <c r="P980" s="66"/>
      <c r="Q980" s="66"/>
      <c r="R980" s="66"/>
      <c r="S980" s="66"/>
      <c r="T980" s="138" t="str">
        <f>IFERROR(LOOKUP($S980,MOTORISTAS!$D$3:$D$1048576,MOTORISTAS!E$3:$E$1048576),"")</f>
        <v/>
      </c>
      <c r="U980" s="138" t="str">
        <f>IFERROR(LOOKUP($S980,MOTORISTAS!$D$3:$D$1048576,MOTORISTAS!F$3:$F$1048576),"")</f>
        <v/>
      </c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44"/>
      <c r="AG980" s="254">
        <f>Prog_236[[#This Row],[SAÍDA DO CLIENTE]]-Prog_236[[#This Row],[PROGRAMAÇÃO CLIENTE]]</f>
        <v>0</v>
      </c>
      <c r="AH980" s="44"/>
      <c r="AI980" s="66"/>
      <c r="AJ980" s="66"/>
      <c r="AK980" s="66"/>
      <c r="AL980" s="66"/>
      <c r="AM980" s="66"/>
      <c r="AN980" s="83"/>
      <c r="AO980" s="66"/>
      <c r="AP980" s="66"/>
      <c r="AQ980" s="66"/>
      <c r="AR980" s="81"/>
      <c r="AS980" s="81"/>
      <c r="AT980" s="81"/>
      <c r="AU980" s="81"/>
      <c r="AV980" s="83">
        <f>SUM(Prog_236[[#This Row],[ADIANTAMENTO]]+Prog_236[[#This Row],[SALDO]]+Prog_236[[#This Row],[MARGEM]]+Prog_236[[#This Row],[ESTADIA 1]])</f>
        <v>0</v>
      </c>
      <c r="AW9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0" s="81"/>
      <c r="AY980" s="81"/>
      <c r="AZ980" s="81">
        <f>Prog_236[[#This Row],[VLR NF]]*0.1%</f>
        <v>0</v>
      </c>
      <c r="BA980" s="81">
        <f>Prog_236[[#This Row],[VLR NF]]*0.05%</f>
        <v>0</v>
      </c>
      <c r="BB980" s="81"/>
      <c r="BC980" s="81"/>
      <c r="BD980" s="81"/>
      <c r="BE980" s="81"/>
      <c r="BF980" s="81"/>
      <c r="BG980" s="81"/>
      <c r="BH980" s="81"/>
      <c r="BI980" s="81"/>
      <c r="BJ980" s="81"/>
      <c r="BK980" s="81"/>
      <c r="BL980" s="66"/>
      <c r="BM980" s="66"/>
      <c r="BN980" s="66"/>
      <c r="BO980" s="66" t="str">
        <f>PROPER(TEXT(Prog_236[[#This Row],[PROGRAMAÇÃO CLIENTE]],"mmm"))</f>
        <v>Jan</v>
      </c>
      <c r="BP980" s="66">
        <f>YEAR(Prog_236[[#This Row],[PROGRAMAÇÃO CLIENTE]])</f>
        <v>1900</v>
      </c>
    </row>
    <row r="981" spans="1:68" x14ac:dyDescent="0.25">
      <c r="A981" s="200">
        <f>Prog_236[[#This Row],[CONTEINER]]</f>
        <v>0</v>
      </c>
      <c r="B981" s="86"/>
      <c r="C9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1" s="44"/>
      <c r="E981" s="66"/>
      <c r="F981" s="66"/>
      <c r="G981" s="66"/>
      <c r="H981" s="44"/>
      <c r="I981" s="44"/>
      <c r="J981" s="66"/>
      <c r="K981" s="66"/>
      <c r="L981" s="66"/>
      <c r="M981" s="66"/>
      <c r="N981" s="66">
        <f>SUM(Prog_236[[#This Row],[TARA]]+Prog_236[[#This Row],[PESO]])</f>
        <v>0</v>
      </c>
      <c r="O981" s="44"/>
      <c r="P981" s="66"/>
      <c r="Q981" s="66"/>
      <c r="R981" s="66"/>
      <c r="S981" s="66"/>
      <c r="T981" s="138" t="str">
        <f>IFERROR(LOOKUP($S981,MOTORISTAS!$D$3:$D$1048576,MOTORISTAS!E$3:$E$1048576),"")</f>
        <v/>
      </c>
      <c r="U981" s="138" t="str">
        <f>IFERROR(LOOKUP($S981,MOTORISTAS!$D$3:$D$1048576,MOTORISTAS!F$3:$F$1048576),"")</f>
        <v/>
      </c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44"/>
      <c r="AG981" s="254">
        <f>Prog_236[[#This Row],[SAÍDA DO CLIENTE]]-Prog_236[[#This Row],[PROGRAMAÇÃO CLIENTE]]</f>
        <v>0</v>
      </c>
      <c r="AH981" s="44"/>
      <c r="AI981" s="66"/>
      <c r="AJ981" s="66"/>
      <c r="AK981" s="66"/>
      <c r="AL981" s="66"/>
      <c r="AM981" s="66"/>
      <c r="AN981" s="83"/>
      <c r="AO981" s="66"/>
      <c r="AP981" s="66"/>
      <c r="AQ981" s="66"/>
      <c r="AR981" s="81"/>
      <c r="AS981" s="81"/>
      <c r="AT981" s="81"/>
      <c r="AU981" s="81"/>
      <c r="AV981" s="83">
        <f>SUM(Prog_236[[#This Row],[ADIANTAMENTO]]+Prog_236[[#This Row],[SALDO]]+Prog_236[[#This Row],[MARGEM]]+Prog_236[[#This Row],[ESTADIA 1]])</f>
        <v>0</v>
      </c>
      <c r="AW9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1" s="81"/>
      <c r="AY981" s="81"/>
      <c r="AZ981" s="81">
        <f>Prog_236[[#This Row],[VLR NF]]*0.1%</f>
        <v>0</v>
      </c>
      <c r="BA981" s="81">
        <f>Prog_236[[#This Row],[VLR NF]]*0.05%</f>
        <v>0</v>
      </c>
      <c r="BB981" s="81"/>
      <c r="BC981" s="81"/>
      <c r="BD981" s="81"/>
      <c r="BE981" s="81"/>
      <c r="BF981" s="81"/>
      <c r="BG981" s="81"/>
      <c r="BH981" s="81"/>
      <c r="BI981" s="81"/>
      <c r="BJ981" s="81"/>
      <c r="BK981" s="81"/>
      <c r="BL981" s="66"/>
      <c r="BM981" s="66"/>
      <c r="BN981" s="66"/>
      <c r="BO981" s="66" t="str">
        <f>PROPER(TEXT(Prog_236[[#This Row],[PROGRAMAÇÃO CLIENTE]],"mmm"))</f>
        <v>Jan</v>
      </c>
      <c r="BP981" s="66">
        <f>YEAR(Prog_236[[#This Row],[PROGRAMAÇÃO CLIENTE]])</f>
        <v>1900</v>
      </c>
    </row>
    <row r="982" spans="1:68" x14ac:dyDescent="0.25">
      <c r="A982" s="201">
        <f>Prog_236[[#This Row],[CONTEINER]]</f>
        <v>0</v>
      </c>
      <c r="B982" s="86"/>
      <c r="C9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2" s="44"/>
      <c r="E982" s="66"/>
      <c r="F982" s="66"/>
      <c r="G982" s="66"/>
      <c r="H982" s="44"/>
      <c r="I982" s="44"/>
      <c r="J982" s="66"/>
      <c r="K982" s="66"/>
      <c r="L982" s="66"/>
      <c r="M982" s="66"/>
      <c r="N982" s="66">
        <f>SUM(Prog_236[[#This Row],[TARA]]+Prog_236[[#This Row],[PESO]])</f>
        <v>0</v>
      </c>
      <c r="O982" s="44"/>
      <c r="P982" s="66"/>
      <c r="Q982" s="66"/>
      <c r="R982" s="66"/>
      <c r="S982" s="66"/>
      <c r="T982" s="138" t="str">
        <f>IFERROR(LOOKUP($S982,MOTORISTAS!$D$3:$D$1048576,MOTORISTAS!E$3:$E$1048576),"")</f>
        <v/>
      </c>
      <c r="U982" s="138" t="str">
        <f>IFERROR(LOOKUP($S982,MOTORISTAS!$D$3:$D$1048576,MOTORISTAS!F$3:$F$1048576),"")</f>
        <v/>
      </c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44"/>
      <c r="AG982" s="254">
        <f>Prog_236[[#This Row],[SAÍDA DO CLIENTE]]-Prog_236[[#This Row],[PROGRAMAÇÃO CLIENTE]]</f>
        <v>0</v>
      </c>
      <c r="AH982" s="44"/>
      <c r="AI982" s="66"/>
      <c r="AJ982" s="66"/>
      <c r="AK982" s="66"/>
      <c r="AL982" s="66"/>
      <c r="AM982" s="66"/>
      <c r="AN982" s="83"/>
      <c r="AO982" s="66"/>
      <c r="AP982" s="66"/>
      <c r="AQ982" s="66"/>
      <c r="AR982" s="81"/>
      <c r="AS982" s="81"/>
      <c r="AT982" s="81"/>
      <c r="AU982" s="81"/>
      <c r="AV982" s="83">
        <f>SUM(Prog_236[[#This Row],[ADIANTAMENTO]]+Prog_236[[#This Row],[SALDO]]+Prog_236[[#This Row],[MARGEM]]+Prog_236[[#This Row],[ESTADIA 1]])</f>
        <v>0</v>
      </c>
      <c r="AW9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2" s="81"/>
      <c r="AY982" s="81"/>
      <c r="AZ982" s="81">
        <f>Prog_236[[#This Row],[VLR NF]]*0.1%</f>
        <v>0</v>
      </c>
      <c r="BA982" s="81">
        <f>Prog_236[[#This Row],[VLR NF]]*0.05%</f>
        <v>0</v>
      </c>
      <c r="BB982" s="81"/>
      <c r="BC982" s="81"/>
      <c r="BD982" s="81"/>
      <c r="BE982" s="81"/>
      <c r="BF982" s="81"/>
      <c r="BG982" s="81"/>
      <c r="BH982" s="81"/>
      <c r="BI982" s="81"/>
      <c r="BJ982" s="81"/>
      <c r="BK982" s="81"/>
      <c r="BL982" s="66"/>
      <c r="BM982" s="66"/>
      <c r="BN982" s="66"/>
      <c r="BO982" s="66" t="str">
        <f>PROPER(TEXT(Prog_236[[#This Row],[PROGRAMAÇÃO CLIENTE]],"mmm"))</f>
        <v>Jan</v>
      </c>
      <c r="BP982" s="66">
        <f>YEAR(Prog_236[[#This Row],[PROGRAMAÇÃO CLIENTE]])</f>
        <v>1900</v>
      </c>
    </row>
    <row r="983" spans="1:68" x14ac:dyDescent="0.25">
      <c r="A983" s="200">
        <f>Prog_236[[#This Row],[CONTEINER]]</f>
        <v>0</v>
      </c>
      <c r="B983" s="86"/>
      <c r="C9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3" s="44"/>
      <c r="E983" s="66"/>
      <c r="F983" s="66"/>
      <c r="G983" s="66"/>
      <c r="H983" s="44"/>
      <c r="I983" s="44"/>
      <c r="J983" s="66"/>
      <c r="K983" s="66"/>
      <c r="L983" s="66"/>
      <c r="M983" s="66"/>
      <c r="N983" s="66">
        <f>SUM(Prog_236[[#This Row],[TARA]]+Prog_236[[#This Row],[PESO]])</f>
        <v>0</v>
      </c>
      <c r="O983" s="44"/>
      <c r="P983" s="66"/>
      <c r="Q983" s="66"/>
      <c r="R983" s="66"/>
      <c r="S983" s="66"/>
      <c r="T983" s="138" t="str">
        <f>IFERROR(LOOKUP($S983,MOTORISTAS!$D$3:$D$1048576,MOTORISTAS!E$3:$E$1048576),"")</f>
        <v/>
      </c>
      <c r="U983" s="138" t="str">
        <f>IFERROR(LOOKUP($S983,MOTORISTAS!$D$3:$D$1048576,MOTORISTAS!F$3:$F$1048576),"")</f>
        <v/>
      </c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44"/>
      <c r="AG983" s="254">
        <f>Prog_236[[#This Row],[SAÍDA DO CLIENTE]]-Prog_236[[#This Row],[PROGRAMAÇÃO CLIENTE]]</f>
        <v>0</v>
      </c>
      <c r="AH983" s="44"/>
      <c r="AI983" s="66"/>
      <c r="AJ983" s="66"/>
      <c r="AK983" s="66"/>
      <c r="AL983" s="66"/>
      <c r="AM983" s="66"/>
      <c r="AN983" s="83"/>
      <c r="AO983" s="66"/>
      <c r="AP983" s="66"/>
      <c r="AQ983" s="66"/>
      <c r="AR983" s="81"/>
      <c r="AS983" s="81"/>
      <c r="AT983" s="81"/>
      <c r="AU983" s="81"/>
      <c r="AV983" s="83">
        <f>SUM(Prog_236[[#This Row],[ADIANTAMENTO]]+Prog_236[[#This Row],[SALDO]]+Prog_236[[#This Row],[MARGEM]]+Prog_236[[#This Row],[ESTADIA 1]])</f>
        <v>0</v>
      </c>
      <c r="AW9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3" s="81"/>
      <c r="AY983" s="81"/>
      <c r="AZ983" s="81">
        <f>Prog_236[[#This Row],[VLR NF]]*0.1%</f>
        <v>0</v>
      </c>
      <c r="BA983" s="81">
        <f>Prog_236[[#This Row],[VLR NF]]*0.05%</f>
        <v>0</v>
      </c>
      <c r="BB983" s="81"/>
      <c r="BC983" s="81"/>
      <c r="BD983" s="81"/>
      <c r="BE983" s="81"/>
      <c r="BF983" s="81"/>
      <c r="BG983" s="81"/>
      <c r="BH983" s="81"/>
      <c r="BI983" s="81"/>
      <c r="BJ983" s="81"/>
      <c r="BK983" s="81"/>
      <c r="BL983" s="66"/>
      <c r="BM983" s="66"/>
      <c r="BN983" s="66"/>
      <c r="BO983" s="66" t="str">
        <f>PROPER(TEXT(Prog_236[[#This Row],[PROGRAMAÇÃO CLIENTE]],"mmm"))</f>
        <v>Jan</v>
      </c>
      <c r="BP983" s="66">
        <f>YEAR(Prog_236[[#This Row],[PROGRAMAÇÃO CLIENTE]])</f>
        <v>1900</v>
      </c>
    </row>
    <row r="984" spans="1:68" x14ac:dyDescent="0.25">
      <c r="A984" s="201">
        <f>Prog_236[[#This Row],[CONTEINER]]</f>
        <v>0</v>
      </c>
      <c r="B984" s="86"/>
      <c r="C9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4" s="44"/>
      <c r="E984" s="66"/>
      <c r="F984" s="66"/>
      <c r="G984" s="66"/>
      <c r="H984" s="44"/>
      <c r="I984" s="44"/>
      <c r="J984" s="66"/>
      <c r="K984" s="66"/>
      <c r="L984" s="66"/>
      <c r="M984" s="66"/>
      <c r="N984" s="66">
        <f>SUM(Prog_236[[#This Row],[TARA]]+Prog_236[[#This Row],[PESO]])</f>
        <v>0</v>
      </c>
      <c r="O984" s="44"/>
      <c r="P984" s="66"/>
      <c r="Q984" s="66"/>
      <c r="R984" s="66"/>
      <c r="S984" s="66"/>
      <c r="T984" s="138" t="str">
        <f>IFERROR(LOOKUP($S984,MOTORISTAS!$D$3:$D$1048576,MOTORISTAS!E$3:$E$1048576),"")</f>
        <v/>
      </c>
      <c r="U984" s="138" t="str">
        <f>IFERROR(LOOKUP($S984,MOTORISTAS!$D$3:$D$1048576,MOTORISTAS!F$3:$F$1048576),"")</f>
        <v/>
      </c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44"/>
      <c r="AG984" s="254">
        <f>Prog_236[[#This Row],[SAÍDA DO CLIENTE]]-Prog_236[[#This Row],[PROGRAMAÇÃO CLIENTE]]</f>
        <v>0</v>
      </c>
      <c r="AH984" s="44"/>
      <c r="AI984" s="66"/>
      <c r="AJ984" s="66"/>
      <c r="AK984" s="66"/>
      <c r="AL984" s="66"/>
      <c r="AM984" s="66"/>
      <c r="AN984" s="83"/>
      <c r="AO984" s="66"/>
      <c r="AP984" s="66"/>
      <c r="AQ984" s="66"/>
      <c r="AR984" s="81"/>
      <c r="AS984" s="81"/>
      <c r="AT984" s="81"/>
      <c r="AU984" s="81"/>
      <c r="AV984" s="83">
        <f>SUM(Prog_236[[#This Row],[ADIANTAMENTO]]+Prog_236[[#This Row],[SALDO]]+Prog_236[[#This Row],[MARGEM]]+Prog_236[[#This Row],[ESTADIA 1]])</f>
        <v>0</v>
      </c>
      <c r="AW9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4" s="81"/>
      <c r="AY984" s="81"/>
      <c r="AZ984" s="81">
        <f>Prog_236[[#This Row],[VLR NF]]*0.1%</f>
        <v>0</v>
      </c>
      <c r="BA984" s="81">
        <f>Prog_236[[#This Row],[VLR NF]]*0.05%</f>
        <v>0</v>
      </c>
      <c r="BB984" s="81"/>
      <c r="BC984" s="81"/>
      <c r="BD984" s="81"/>
      <c r="BE984" s="81"/>
      <c r="BF984" s="81"/>
      <c r="BG984" s="81"/>
      <c r="BH984" s="81"/>
      <c r="BI984" s="81"/>
      <c r="BJ984" s="81"/>
      <c r="BK984" s="81"/>
      <c r="BL984" s="66"/>
      <c r="BM984" s="66"/>
      <c r="BN984" s="66"/>
      <c r="BO984" s="66" t="str">
        <f>PROPER(TEXT(Prog_236[[#This Row],[PROGRAMAÇÃO CLIENTE]],"mmm"))</f>
        <v>Jan</v>
      </c>
      <c r="BP984" s="66">
        <f>YEAR(Prog_236[[#This Row],[PROGRAMAÇÃO CLIENTE]])</f>
        <v>1900</v>
      </c>
    </row>
    <row r="985" spans="1:68" x14ac:dyDescent="0.25">
      <c r="A985" s="200">
        <f>Prog_236[[#This Row],[CONTEINER]]</f>
        <v>0</v>
      </c>
      <c r="B985" s="86"/>
      <c r="C9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5" s="44"/>
      <c r="E985" s="66"/>
      <c r="F985" s="66"/>
      <c r="G985" s="66"/>
      <c r="H985" s="44"/>
      <c r="I985" s="44"/>
      <c r="J985" s="66"/>
      <c r="K985" s="66"/>
      <c r="L985" s="66"/>
      <c r="M985" s="66"/>
      <c r="N985" s="66">
        <f>SUM(Prog_236[[#This Row],[TARA]]+Prog_236[[#This Row],[PESO]])</f>
        <v>0</v>
      </c>
      <c r="O985" s="44"/>
      <c r="P985" s="66"/>
      <c r="Q985" s="66"/>
      <c r="R985" s="66"/>
      <c r="S985" s="66"/>
      <c r="T985" s="138" t="str">
        <f>IFERROR(LOOKUP($S985,MOTORISTAS!$D$3:$D$1048576,MOTORISTAS!E$3:$E$1048576),"")</f>
        <v/>
      </c>
      <c r="U985" s="138" t="str">
        <f>IFERROR(LOOKUP($S985,MOTORISTAS!$D$3:$D$1048576,MOTORISTAS!F$3:$F$1048576),"")</f>
        <v/>
      </c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44"/>
      <c r="AG985" s="254">
        <f>Prog_236[[#This Row],[SAÍDA DO CLIENTE]]-Prog_236[[#This Row],[PROGRAMAÇÃO CLIENTE]]</f>
        <v>0</v>
      </c>
      <c r="AH985" s="44"/>
      <c r="AI985" s="66"/>
      <c r="AJ985" s="66"/>
      <c r="AK985" s="66"/>
      <c r="AL985" s="66"/>
      <c r="AM985" s="66"/>
      <c r="AN985" s="83"/>
      <c r="AO985" s="66"/>
      <c r="AP985" s="66"/>
      <c r="AQ985" s="66"/>
      <c r="AR985" s="81"/>
      <c r="AS985" s="81"/>
      <c r="AT985" s="81"/>
      <c r="AU985" s="81"/>
      <c r="AV985" s="83">
        <f>SUM(Prog_236[[#This Row],[ADIANTAMENTO]]+Prog_236[[#This Row],[SALDO]]+Prog_236[[#This Row],[MARGEM]]+Prog_236[[#This Row],[ESTADIA 1]])</f>
        <v>0</v>
      </c>
      <c r="AW9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5" s="81"/>
      <c r="AY985" s="81"/>
      <c r="AZ985" s="81">
        <f>Prog_236[[#This Row],[VLR NF]]*0.1%</f>
        <v>0</v>
      </c>
      <c r="BA985" s="81">
        <f>Prog_236[[#This Row],[VLR NF]]*0.05%</f>
        <v>0</v>
      </c>
      <c r="BB985" s="81"/>
      <c r="BC985" s="81"/>
      <c r="BD985" s="81"/>
      <c r="BE985" s="81"/>
      <c r="BF985" s="81"/>
      <c r="BG985" s="81"/>
      <c r="BH985" s="81"/>
      <c r="BI985" s="81"/>
      <c r="BJ985" s="81"/>
      <c r="BK985" s="81"/>
      <c r="BL985" s="66"/>
      <c r="BM985" s="66"/>
      <c r="BN985" s="66"/>
      <c r="BO985" s="66" t="str">
        <f>PROPER(TEXT(Prog_236[[#This Row],[PROGRAMAÇÃO CLIENTE]],"mmm"))</f>
        <v>Jan</v>
      </c>
      <c r="BP985" s="66">
        <f>YEAR(Prog_236[[#This Row],[PROGRAMAÇÃO CLIENTE]])</f>
        <v>1900</v>
      </c>
    </row>
    <row r="986" spans="1:68" x14ac:dyDescent="0.25">
      <c r="A986" s="201">
        <f>Prog_236[[#This Row],[CONTEINER]]</f>
        <v>0</v>
      </c>
      <c r="B986" s="86"/>
      <c r="C9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6" s="44"/>
      <c r="E986" s="66"/>
      <c r="F986" s="66"/>
      <c r="G986" s="66"/>
      <c r="H986" s="44"/>
      <c r="I986" s="44"/>
      <c r="J986" s="66"/>
      <c r="K986" s="66"/>
      <c r="L986" s="66"/>
      <c r="M986" s="66"/>
      <c r="N986" s="66">
        <f>SUM(Prog_236[[#This Row],[TARA]]+Prog_236[[#This Row],[PESO]])</f>
        <v>0</v>
      </c>
      <c r="O986" s="44"/>
      <c r="P986" s="66"/>
      <c r="Q986" s="66"/>
      <c r="R986" s="66"/>
      <c r="S986" s="66"/>
      <c r="T986" s="138" t="str">
        <f>IFERROR(LOOKUP($S986,MOTORISTAS!$D$3:$D$1048576,MOTORISTAS!E$3:$E$1048576),"")</f>
        <v/>
      </c>
      <c r="U986" s="138" t="str">
        <f>IFERROR(LOOKUP($S986,MOTORISTAS!$D$3:$D$1048576,MOTORISTAS!F$3:$F$1048576),"")</f>
        <v/>
      </c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44"/>
      <c r="AG986" s="254">
        <f>Prog_236[[#This Row],[SAÍDA DO CLIENTE]]-Prog_236[[#This Row],[PROGRAMAÇÃO CLIENTE]]</f>
        <v>0</v>
      </c>
      <c r="AH986" s="44"/>
      <c r="AI986" s="66"/>
      <c r="AJ986" s="66"/>
      <c r="AK986" s="66"/>
      <c r="AL986" s="66"/>
      <c r="AM986" s="66"/>
      <c r="AN986" s="83"/>
      <c r="AO986" s="66"/>
      <c r="AP986" s="66"/>
      <c r="AQ986" s="66"/>
      <c r="AR986" s="81"/>
      <c r="AS986" s="81"/>
      <c r="AT986" s="81"/>
      <c r="AU986" s="81"/>
      <c r="AV986" s="83">
        <f>SUM(Prog_236[[#This Row],[ADIANTAMENTO]]+Prog_236[[#This Row],[SALDO]]+Prog_236[[#This Row],[MARGEM]]+Prog_236[[#This Row],[ESTADIA 1]])</f>
        <v>0</v>
      </c>
      <c r="AW9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6" s="81"/>
      <c r="AY986" s="81"/>
      <c r="AZ986" s="81">
        <f>Prog_236[[#This Row],[VLR NF]]*0.1%</f>
        <v>0</v>
      </c>
      <c r="BA986" s="81">
        <f>Prog_236[[#This Row],[VLR NF]]*0.05%</f>
        <v>0</v>
      </c>
      <c r="BB986" s="81"/>
      <c r="BC986" s="81"/>
      <c r="BD986" s="81"/>
      <c r="BE986" s="81"/>
      <c r="BF986" s="81"/>
      <c r="BG986" s="81"/>
      <c r="BH986" s="81"/>
      <c r="BI986" s="81"/>
      <c r="BJ986" s="81"/>
      <c r="BK986" s="81"/>
      <c r="BL986" s="66"/>
      <c r="BM986" s="66"/>
      <c r="BN986" s="66"/>
      <c r="BO986" s="66" t="str">
        <f>PROPER(TEXT(Prog_236[[#This Row],[PROGRAMAÇÃO CLIENTE]],"mmm"))</f>
        <v>Jan</v>
      </c>
      <c r="BP986" s="66">
        <f>YEAR(Prog_236[[#This Row],[PROGRAMAÇÃO CLIENTE]])</f>
        <v>1900</v>
      </c>
    </row>
    <row r="987" spans="1:68" x14ac:dyDescent="0.25">
      <c r="A987" s="200">
        <f>Prog_236[[#This Row],[CONTEINER]]</f>
        <v>0</v>
      </c>
      <c r="B987" s="86"/>
      <c r="C9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7" s="44"/>
      <c r="E987" s="66"/>
      <c r="F987" s="66"/>
      <c r="G987" s="66"/>
      <c r="H987" s="44"/>
      <c r="I987" s="44"/>
      <c r="J987" s="66"/>
      <c r="K987" s="66"/>
      <c r="L987" s="66"/>
      <c r="M987" s="66"/>
      <c r="N987" s="66">
        <f>SUM(Prog_236[[#This Row],[TARA]]+Prog_236[[#This Row],[PESO]])</f>
        <v>0</v>
      </c>
      <c r="O987" s="44"/>
      <c r="P987" s="66"/>
      <c r="Q987" s="66"/>
      <c r="R987" s="66"/>
      <c r="S987" s="66"/>
      <c r="T987" s="138" t="str">
        <f>IFERROR(LOOKUP($S987,MOTORISTAS!$D$3:$D$1048576,MOTORISTAS!E$3:$E$1048576),"")</f>
        <v/>
      </c>
      <c r="U987" s="138" t="str">
        <f>IFERROR(LOOKUP($S987,MOTORISTAS!$D$3:$D$1048576,MOTORISTAS!F$3:$F$1048576),"")</f>
        <v/>
      </c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44"/>
      <c r="AG987" s="254">
        <f>Prog_236[[#This Row],[SAÍDA DO CLIENTE]]-Prog_236[[#This Row],[PROGRAMAÇÃO CLIENTE]]</f>
        <v>0</v>
      </c>
      <c r="AH987" s="44"/>
      <c r="AI987" s="66"/>
      <c r="AJ987" s="66"/>
      <c r="AK987" s="66"/>
      <c r="AL987" s="66"/>
      <c r="AM987" s="66"/>
      <c r="AN987" s="83"/>
      <c r="AO987" s="66"/>
      <c r="AP987" s="66"/>
      <c r="AQ987" s="66"/>
      <c r="AR987" s="81"/>
      <c r="AS987" s="81"/>
      <c r="AT987" s="81"/>
      <c r="AU987" s="81"/>
      <c r="AV987" s="83">
        <f>SUM(Prog_236[[#This Row],[ADIANTAMENTO]]+Prog_236[[#This Row],[SALDO]]+Prog_236[[#This Row],[MARGEM]]+Prog_236[[#This Row],[ESTADIA 1]])</f>
        <v>0</v>
      </c>
      <c r="AW9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7" s="81"/>
      <c r="AY987" s="81"/>
      <c r="AZ987" s="81">
        <f>Prog_236[[#This Row],[VLR NF]]*0.1%</f>
        <v>0</v>
      </c>
      <c r="BA987" s="81">
        <f>Prog_236[[#This Row],[VLR NF]]*0.05%</f>
        <v>0</v>
      </c>
      <c r="BB987" s="81"/>
      <c r="BC987" s="81"/>
      <c r="BD987" s="81"/>
      <c r="BE987" s="81"/>
      <c r="BF987" s="81"/>
      <c r="BG987" s="81"/>
      <c r="BH987" s="81"/>
      <c r="BI987" s="81"/>
      <c r="BJ987" s="81"/>
      <c r="BK987" s="81"/>
      <c r="BL987" s="66"/>
      <c r="BM987" s="66"/>
      <c r="BN987" s="66"/>
      <c r="BO987" s="66" t="str">
        <f>PROPER(TEXT(Prog_236[[#This Row],[PROGRAMAÇÃO CLIENTE]],"mmm"))</f>
        <v>Jan</v>
      </c>
      <c r="BP987" s="66">
        <f>YEAR(Prog_236[[#This Row],[PROGRAMAÇÃO CLIENTE]])</f>
        <v>1900</v>
      </c>
    </row>
    <row r="988" spans="1:68" x14ac:dyDescent="0.25">
      <c r="A988" s="201">
        <f>Prog_236[[#This Row],[CONTEINER]]</f>
        <v>0</v>
      </c>
      <c r="B988" s="86"/>
      <c r="C9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8" s="44"/>
      <c r="E988" s="66"/>
      <c r="F988" s="66"/>
      <c r="G988" s="66"/>
      <c r="H988" s="44"/>
      <c r="I988" s="44"/>
      <c r="J988" s="66"/>
      <c r="K988" s="66"/>
      <c r="L988" s="66"/>
      <c r="M988" s="66"/>
      <c r="N988" s="66">
        <f>SUM(Prog_236[[#This Row],[TARA]]+Prog_236[[#This Row],[PESO]])</f>
        <v>0</v>
      </c>
      <c r="O988" s="44"/>
      <c r="P988" s="66"/>
      <c r="Q988" s="66"/>
      <c r="R988" s="66"/>
      <c r="S988" s="66"/>
      <c r="T988" s="138" t="str">
        <f>IFERROR(LOOKUP($S988,MOTORISTAS!$D$3:$D$1048576,MOTORISTAS!E$3:$E$1048576),"")</f>
        <v/>
      </c>
      <c r="U988" s="138" t="str">
        <f>IFERROR(LOOKUP($S988,MOTORISTAS!$D$3:$D$1048576,MOTORISTAS!F$3:$F$1048576),"")</f>
        <v/>
      </c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44"/>
      <c r="AG988" s="254">
        <f>Prog_236[[#This Row],[SAÍDA DO CLIENTE]]-Prog_236[[#This Row],[PROGRAMAÇÃO CLIENTE]]</f>
        <v>0</v>
      </c>
      <c r="AH988" s="44"/>
      <c r="AI988" s="66"/>
      <c r="AJ988" s="66"/>
      <c r="AK988" s="66"/>
      <c r="AL988" s="66"/>
      <c r="AM988" s="66"/>
      <c r="AN988" s="83"/>
      <c r="AO988" s="66"/>
      <c r="AP988" s="66"/>
      <c r="AQ988" s="66"/>
      <c r="AR988" s="81"/>
      <c r="AS988" s="81"/>
      <c r="AT988" s="81"/>
      <c r="AU988" s="81"/>
      <c r="AV988" s="83">
        <f>SUM(Prog_236[[#This Row],[ADIANTAMENTO]]+Prog_236[[#This Row],[SALDO]]+Prog_236[[#This Row],[MARGEM]]+Prog_236[[#This Row],[ESTADIA 1]])</f>
        <v>0</v>
      </c>
      <c r="AW9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8" s="81"/>
      <c r="AY988" s="81"/>
      <c r="AZ988" s="81">
        <f>Prog_236[[#This Row],[VLR NF]]*0.1%</f>
        <v>0</v>
      </c>
      <c r="BA988" s="81">
        <f>Prog_236[[#This Row],[VLR NF]]*0.05%</f>
        <v>0</v>
      </c>
      <c r="BB988" s="81"/>
      <c r="BC988" s="81"/>
      <c r="BD988" s="81"/>
      <c r="BE988" s="81"/>
      <c r="BF988" s="81"/>
      <c r="BG988" s="81"/>
      <c r="BH988" s="81"/>
      <c r="BI988" s="81"/>
      <c r="BJ988" s="81"/>
      <c r="BK988" s="81"/>
      <c r="BL988" s="66"/>
      <c r="BM988" s="66"/>
      <c r="BN988" s="66"/>
      <c r="BO988" s="66" t="str">
        <f>PROPER(TEXT(Prog_236[[#This Row],[PROGRAMAÇÃO CLIENTE]],"mmm"))</f>
        <v>Jan</v>
      </c>
      <c r="BP988" s="66">
        <f>YEAR(Prog_236[[#This Row],[PROGRAMAÇÃO CLIENTE]])</f>
        <v>1900</v>
      </c>
    </row>
    <row r="989" spans="1:68" x14ac:dyDescent="0.25">
      <c r="A989" s="200">
        <f>Prog_236[[#This Row],[CONTEINER]]</f>
        <v>0</v>
      </c>
      <c r="B989" s="86"/>
      <c r="C9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89" s="44"/>
      <c r="E989" s="66"/>
      <c r="F989" s="66"/>
      <c r="G989" s="66"/>
      <c r="H989" s="44"/>
      <c r="I989" s="44"/>
      <c r="J989" s="66"/>
      <c r="K989" s="66"/>
      <c r="L989" s="66"/>
      <c r="M989" s="66"/>
      <c r="N989" s="66">
        <f>SUM(Prog_236[[#This Row],[TARA]]+Prog_236[[#This Row],[PESO]])</f>
        <v>0</v>
      </c>
      <c r="O989" s="44"/>
      <c r="P989" s="66"/>
      <c r="Q989" s="66"/>
      <c r="R989" s="66"/>
      <c r="S989" s="66"/>
      <c r="T989" s="138" t="str">
        <f>IFERROR(LOOKUP($S989,MOTORISTAS!$D$3:$D$1048576,MOTORISTAS!E$3:$E$1048576),"")</f>
        <v/>
      </c>
      <c r="U989" s="138" t="str">
        <f>IFERROR(LOOKUP($S989,MOTORISTAS!$D$3:$D$1048576,MOTORISTAS!F$3:$F$1048576),"")</f>
        <v/>
      </c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44"/>
      <c r="AG989" s="254">
        <f>Prog_236[[#This Row],[SAÍDA DO CLIENTE]]-Prog_236[[#This Row],[PROGRAMAÇÃO CLIENTE]]</f>
        <v>0</v>
      </c>
      <c r="AH989" s="44"/>
      <c r="AI989" s="66"/>
      <c r="AJ989" s="66"/>
      <c r="AK989" s="66"/>
      <c r="AL989" s="66"/>
      <c r="AM989" s="66"/>
      <c r="AN989" s="83"/>
      <c r="AO989" s="66"/>
      <c r="AP989" s="66"/>
      <c r="AQ989" s="66"/>
      <c r="AR989" s="81"/>
      <c r="AS989" s="81"/>
      <c r="AT989" s="81"/>
      <c r="AU989" s="81"/>
      <c r="AV989" s="83">
        <f>SUM(Prog_236[[#This Row],[ADIANTAMENTO]]+Prog_236[[#This Row],[SALDO]]+Prog_236[[#This Row],[MARGEM]]+Prog_236[[#This Row],[ESTADIA 1]])</f>
        <v>0</v>
      </c>
      <c r="AW9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89" s="81"/>
      <c r="AY989" s="81"/>
      <c r="AZ989" s="81">
        <f>Prog_236[[#This Row],[VLR NF]]*0.1%</f>
        <v>0</v>
      </c>
      <c r="BA989" s="81">
        <f>Prog_236[[#This Row],[VLR NF]]*0.05%</f>
        <v>0</v>
      </c>
      <c r="BB989" s="81"/>
      <c r="BC989" s="81"/>
      <c r="BD989" s="81"/>
      <c r="BE989" s="81"/>
      <c r="BF989" s="81"/>
      <c r="BG989" s="81"/>
      <c r="BH989" s="81"/>
      <c r="BI989" s="81"/>
      <c r="BJ989" s="81"/>
      <c r="BK989" s="81"/>
      <c r="BL989" s="66"/>
      <c r="BM989" s="66"/>
      <c r="BN989" s="66"/>
      <c r="BO989" s="66" t="str">
        <f>PROPER(TEXT(Prog_236[[#This Row],[PROGRAMAÇÃO CLIENTE]],"mmm"))</f>
        <v>Jan</v>
      </c>
      <c r="BP989" s="66">
        <f>YEAR(Prog_236[[#This Row],[PROGRAMAÇÃO CLIENTE]])</f>
        <v>1900</v>
      </c>
    </row>
    <row r="990" spans="1:68" x14ac:dyDescent="0.25">
      <c r="A990" s="201">
        <f>Prog_236[[#This Row],[CONTEINER]]</f>
        <v>0</v>
      </c>
      <c r="B990" s="86"/>
      <c r="C9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0" s="44"/>
      <c r="E990" s="66"/>
      <c r="F990" s="66"/>
      <c r="G990" s="66"/>
      <c r="H990" s="44"/>
      <c r="I990" s="44"/>
      <c r="J990" s="66"/>
      <c r="K990" s="66"/>
      <c r="L990" s="66"/>
      <c r="M990" s="66"/>
      <c r="N990" s="66">
        <f>SUM(Prog_236[[#This Row],[TARA]]+Prog_236[[#This Row],[PESO]])</f>
        <v>0</v>
      </c>
      <c r="O990" s="44"/>
      <c r="P990" s="66"/>
      <c r="Q990" s="66"/>
      <c r="R990" s="66"/>
      <c r="S990" s="66"/>
      <c r="T990" s="138" t="str">
        <f>IFERROR(LOOKUP($S990,MOTORISTAS!$D$3:$D$1048576,MOTORISTAS!E$3:$E$1048576),"")</f>
        <v/>
      </c>
      <c r="U990" s="138" t="str">
        <f>IFERROR(LOOKUP($S990,MOTORISTAS!$D$3:$D$1048576,MOTORISTAS!F$3:$F$1048576),"")</f>
        <v/>
      </c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44"/>
      <c r="AG990" s="254">
        <f>Prog_236[[#This Row],[SAÍDA DO CLIENTE]]-Prog_236[[#This Row],[PROGRAMAÇÃO CLIENTE]]</f>
        <v>0</v>
      </c>
      <c r="AH990" s="44"/>
      <c r="AI990" s="66"/>
      <c r="AJ990" s="66"/>
      <c r="AK990" s="66"/>
      <c r="AL990" s="66"/>
      <c r="AM990" s="66"/>
      <c r="AN990" s="83"/>
      <c r="AO990" s="66"/>
      <c r="AP990" s="66"/>
      <c r="AQ990" s="66"/>
      <c r="AR990" s="81"/>
      <c r="AS990" s="81"/>
      <c r="AT990" s="81"/>
      <c r="AU990" s="81"/>
      <c r="AV990" s="83">
        <f>SUM(Prog_236[[#This Row],[ADIANTAMENTO]]+Prog_236[[#This Row],[SALDO]]+Prog_236[[#This Row],[MARGEM]]+Prog_236[[#This Row],[ESTADIA 1]])</f>
        <v>0</v>
      </c>
      <c r="AW9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0" s="81"/>
      <c r="AY990" s="81"/>
      <c r="AZ990" s="81">
        <f>Prog_236[[#This Row],[VLR NF]]*0.1%</f>
        <v>0</v>
      </c>
      <c r="BA990" s="81">
        <f>Prog_236[[#This Row],[VLR NF]]*0.05%</f>
        <v>0</v>
      </c>
      <c r="BB990" s="81"/>
      <c r="BC990" s="81"/>
      <c r="BD990" s="81"/>
      <c r="BE990" s="81"/>
      <c r="BF990" s="81"/>
      <c r="BG990" s="81"/>
      <c r="BH990" s="81"/>
      <c r="BI990" s="81"/>
      <c r="BJ990" s="81"/>
      <c r="BK990" s="81"/>
      <c r="BL990" s="66"/>
      <c r="BM990" s="66"/>
      <c r="BN990" s="66"/>
      <c r="BO990" s="66" t="str">
        <f>PROPER(TEXT(Prog_236[[#This Row],[PROGRAMAÇÃO CLIENTE]],"mmm"))</f>
        <v>Jan</v>
      </c>
      <c r="BP990" s="66">
        <f>YEAR(Prog_236[[#This Row],[PROGRAMAÇÃO CLIENTE]])</f>
        <v>1900</v>
      </c>
    </row>
    <row r="991" spans="1:68" x14ac:dyDescent="0.25">
      <c r="A991" s="200">
        <f>Prog_236[[#This Row],[CONTEINER]]</f>
        <v>0</v>
      </c>
      <c r="B991" s="86"/>
      <c r="C9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1" s="44"/>
      <c r="E991" s="66"/>
      <c r="F991" s="66"/>
      <c r="G991" s="66"/>
      <c r="H991" s="44"/>
      <c r="I991" s="44"/>
      <c r="J991" s="66"/>
      <c r="K991" s="66"/>
      <c r="L991" s="66"/>
      <c r="M991" s="66"/>
      <c r="N991" s="66">
        <f>SUM(Prog_236[[#This Row],[TARA]]+Prog_236[[#This Row],[PESO]])</f>
        <v>0</v>
      </c>
      <c r="O991" s="44"/>
      <c r="P991" s="66"/>
      <c r="Q991" s="66"/>
      <c r="R991" s="66"/>
      <c r="S991" s="66"/>
      <c r="T991" s="138" t="str">
        <f>IFERROR(LOOKUP($S991,MOTORISTAS!$D$3:$D$1048576,MOTORISTAS!E$3:$E$1048576),"")</f>
        <v/>
      </c>
      <c r="U991" s="138" t="str">
        <f>IFERROR(LOOKUP($S991,MOTORISTAS!$D$3:$D$1048576,MOTORISTAS!F$3:$F$1048576),"")</f>
        <v/>
      </c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44"/>
      <c r="AG991" s="254">
        <f>Prog_236[[#This Row],[SAÍDA DO CLIENTE]]-Prog_236[[#This Row],[PROGRAMAÇÃO CLIENTE]]</f>
        <v>0</v>
      </c>
      <c r="AH991" s="44"/>
      <c r="AI991" s="66"/>
      <c r="AJ991" s="66"/>
      <c r="AK991" s="66"/>
      <c r="AL991" s="66"/>
      <c r="AM991" s="66"/>
      <c r="AN991" s="83"/>
      <c r="AO991" s="66"/>
      <c r="AP991" s="66"/>
      <c r="AQ991" s="66"/>
      <c r="AR991" s="81"/>
      <c r="AS991" s="81"/>
      <c r="AT991" s="81"/>
      <c r="AU991" s="81"/>
      <c r="AV991" s="83">
        <f>SUM(Prog_236[[#This Row],[ADIANTAMENTO]]+Prog_236[[#This Row],[SALDO]]+Prog_236[[#This Row],[MARGEM]]+Prog_236[[#This Row],[ESTADIA 1]])</f>
        <v>0</v>
      </c>
      <c r="AW9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1" s="81"/>
      <c r="AY991" s="81"/>
      <c r="AZ991" s="81">
        <f>Prog_236[[#This Row],[VLR NF]]*0.1%</f>
        <v>0</v>
      </c>
      <c r="BA991" s="81">
        <f>Prog_236[[#This Row],[VLR NF]]*0.05%</f>
        <v>0</v>
      </c>
      <c r="BB991" s="81"/>
      <c r="BC991" s="81"/>
      <c r="BD991" s="81"/>
      <c r="BE991" s="81"/>
      <c r="BF991" s="81"/>
      <c r="BG991" s="81"/>
      <c r="BH991" s="81"/>
      <c r="BI991" s="81"/>
      <c r="BJ991" s="81"/>
      <c r="BK991" s="81"/>
      <c r="BL991" s="66"/>
      <c r="BM991" s="66"/>
      <c r="BN991" s="66"/>
      <c r="BO991" s="66" t="str">
        <f>PROPER(TEXT(Prog_236[[#This Row],[PROGRAMAÇÃO CLIENTE]],"mmm"))</f>
        <v>Jan</v>
      </c>
      <c r="BP991" s="66">
        <f>YEAR(Prog_236[[#This Row],[PROGRAMAÇÃO CLIENTE]])</f>
        <v>1900</v>
      </c>
    </row>
    <row r="992" spans="1:68" x14ac:dyDescent="0.25">
      <c r="A992" s="201">
        <f>Prog_236[[#This Row],[CONTEINER]]</f>
        <v>0</v>
      </c>
      <c r="B992" s="86"/>
      <c r="C9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2" s="44"/>
      <c r="E992" s="66"/>
      <c r="F992" s="66"/>
      <c r="G992" s="66"/>
      <c r="H992" s="44"/>
      <c r="I992" s="44"/>
      <c r="J992" s="66"/>
      <c r="K992" s="66"/>
      <c r="L992" s="66"/>
      <c r="M992" s="66"/>
      <c r="N992" s="66">
        <f>SUM(Prog_236[[#This Row],[TARA]]+Prog_236[[#This Row],[PESO]])</f>
        <v>0</v>
      </c>
      <c r="O992" s="44"/>
      <c r="P992" s="66"/>
      <c r="Q992" s="66"/>
      <c r="R992" s="66"/>
      <c r="S992" s="66"/>
      <c r="T992" s="138" t="str">
        <f>IFERROR(LOOKUP($S992,MOTORISTAS!$D$3:$D$1048576,MOTORISTAS!E$3:$E$1048576),"")</f>
        <v/>
      </c>
      <c r="U992" s="138" t="str">
        <f>IFERROR(LOOKUP($S992,MOTORISTAS!$D$3:$D$1048576,MOTORISTAS!F$3:$F$1048576),"")</f>
        <v/>
      </c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44"/>
      <c r="AG992" s="254">
        <f>Prog_236[[#This Row],[SAÍDA DO CLIENTE]]-Prog_236[[#This Row],[PROGRAMAÇÃO CLIENTE]]</f>
        <v>0</v>
      </c>
      <c r="AH992" s="44"/>
      <c r="AI992" s="66"/>
      <c r="AJ992" s="66"/>
      <c r="AK992" s="66"/>
      <c r="AL992" s="66"/>
      <c r="AM992" s="66"/>
      <c r="AN992" s="83"/>
      <c r="AO992" s="66"/>
      <c r="AP992" s="66"/>
      <c r="AQ992" s="66"/>
      <c r="AR992" s="81"/>
      <c r="AS992" s="81"/>
      <c r="AT992" s="81"/>
      <c r="AU992" s="81"/>
      <c r="AV992" s="83">
        <f>SUM(Prog_236[[#This Row],[ADIANTAMENTO]]+Prog_236[[#This Row],[SALDO]]+Prog_236[[#This Row],[MARGEM]]+Prog_236[[#This Row],[ESTADIA 1]])</f>
        <v>0</v>
      </c>
      <c r="AW9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2" s="81"/>
      <c r="AY992" s="81"/>
      <c r="AZ992" s="81">
        <f>Prog_236[[#This Row],[VLR NF]]*0.1%</f>
        <v>0</v>
      </c>
      <c r="BA992" s="81">
        <f>Prog_236[[#This Row],[VLR NF]]*0.05%</f>
        <v>0</v>
      </c>
      <c r="BB992" s="81"/>
      <c r="BC992" s="81"/>
      <c r="BD992" s="81"/>
      <c r="BE992" s="81"/>
      <c r="BF992" s="81"/>
      <c r="BG992" s="81"/>
      <c r="BH992" s="81"/>
      <c r="BI992" s="81"/>
      <c r="BJ992" s="81"/>
      <c r="BK992" s="81"/>
      <c r="BL992" s="66"/>
      <c r="BM992" s="66"/>
      <c r="BN992" s="66"/>
      <c r="BO992" s="66" t="str">
        <f>PROPER(TEXT(Prog_236[[#This Row],[PROGRAMAÇÃO CLIENTE]],"mmm"))</f>
        <v>Jan</v>
      </c>
      <c r="BP992" s="66">
        <f>YEAR(Prog_236[[#This Row],[PROGRAMAÇÃO CLIENTE]])</f>
        <v>1900</v>
      </c>
    </row>
    <row r="993" spans="1:68" x14ac:dyDescent="0.25">
      <c r="A993" s="200">
        <f>Prog_236[[#This Row],[CONTEINER]]</f>
        <v>0</v>
      </c>
      <c r="B993" s="86"/>
      <c r="C9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3" s="44"/>
      <c r="E993" s="66"/>
      <c r="F993" s="66"/>
      <c r="G993" s="66"/>
      <c r="H993" s="44"/>
      <c r="I993" s="44"/>
      <c r="J993" s="66"/>
      <c r="K993" s="66"/>
      <c r="L993" s="66"/>
      <c r="M993" s="66"/>
      <c r="N993" s="66">
        <f>SUM(Prog_236[[#This Row],[TARA]]+Prog_236[[#This Row],[PESO]])</f>
        <v>0</v>
      </c>
      <c r="O993" s="44"/>
      <c r="P993" s="66"/>
      <c r="Q993" s="66"/>
      <c r="R993" s="66"/>
      <c r="S993" s="66"/>
      <c r="T993" s="138" t="str">
        <f>IFERROR(LOOKUP($S993,MOTORISTAS!$D$3:$D$1048576,MOTORISTAS!E$3:$E$1048576),"")</f>
        <v/>
      </c>
      <c r="U993" s="138" t="str">
        <f>IFERROR(LOOKUP($S993,MOTORISTAS!$D$3:$D$1048576,MOTORISTAS!F$3:$F$1048576),"")</f>
        <v/>
      </c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44"/>
      <c r="AG993" s="254">
        <f>Prog_236[[#This Row],[SAÍDA DO CLIENTE]]-Prog_236[[#This Row],[PROGRAMAÇÃO CLIENTE]]</f>
        <v>0</v>
      </c>
      <c r="AH993" s="44"/>
      <c r="AI993" s="66"/>
      <c r="AJ993" s="66"/>
      <c r="AK993" s="66"/>
      <c r="AL993" s="66"/>
      <c r="AM993" s="66"/>
      <c r="AN993" s="83"/>
      <c r="AO993" s="66"/>
      <c r="AP993" s="66"/>
      <c r="AQ993" s="66"/>
      <c r="AR993" s="81"/>
      <c r="AS993" s="81"/>
      <c r="AT993" s="81"/>
      <c r="AU993" s="81"/>
      <c r="AV993" s="83">
        <f>SUM(Prog_236[[#This Row],[ADIANTAMENTO]]+Prog_236[[#This Row],[SALDO]]+Prog_236[[#This Row],[MARGEM]]+Prog_236[[#This Row],[ESTADIA 1]])</f>
        <v>0</v>
      </c>
      <c r="AW9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3" s="81"/>
      <c r="AY993" s="81"/>
      <c r="AZ993" s="81">
        <f>Prog_236[[#This Row],[VLR NF]]*0.1%</f>
        <v>0</v>
      </c>
      <c r="BA993" s="81">
        <f>Prog_236[[#This Row],[VLR NF]]*0.05%</f>
        <v>0</v>
      </c>
      <c r="BB993" s="81"/>
      <c r="BC993" s="81"/>
      <c r="BD993" s="81"/>
      <c r="BE993" s="81"/>
      <c r="BF993" s="81"/>
      <c r="BG993" s="81"/>
      <c r="BH993" s="81"/>
      <c r="BI993" s="81"/>
      <c r="BJ993" s="81"/>
      <c r="BK993" s="81"/>
      <c r="BL993" s="66"/>
      <c r="BM993" s="66"/>
      <c r="BN993" s="66"/>
      <c r="BO993" s="66" t="str">
        <f>PROPER(TEXT(Prog_236[[#This Row],[PROGRAMAÇÃO CLIENTE]],"mmm"))</f>
        <v>Jan</v>
      </c>
      <c r="BP993" s="66">
        <f>YEAR(Prog_236[[#This Row],[PROGRAMAÇÃO CLIENTE]])</f>
        <v>1900</v>
      </c>
    </row>
    <row r="994" spans="1:68" x14ac:dyDescent="0.25">
      <c r="A994" s="201">
        <f>Prog_236[[#This Row],[CONTEINER]]</f>
        <v>0</v>
      </c>
      <c r="B994" s="86"/>
      <c r="C9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4" s="44"/>
      <c r="E994" s="66"/>
      <c r="F994" s="66"/>
      <c r="G994" s="66"/>
      <c r="H994" s="44"/>
      <c r="I994" s="44"/>
      <c r="J994" s="66"/>
      <c r="K994" s="66"/>
      <c r="L994" s="66"/>
      <c r="M994" s="66"/>
      <c r="N994" s="66">
        <f>SUM(Prog_236[[#This Row],[TARA]]+Prog_236[[#This Row],[PESO]])</f>
        <v>0</v>
      </c>
      <c r="O994" s="44"/>
      <c r="P994" s="66"/>
      <c r="Q994" s="66"/>
      <c r="R994" s="66"/>
      <c r="S994" s="66"/>
      <c r="T994" s="138" t="str">
        <f>IFERROR(LOOKUP($S994,MOTORISTAS!$D$3:$D$1048576,MOTORISTAS!E$3:$E$1048576),"")</f>
        <v/>
      </c>
      <c r="U994" s="138" t="str">
        <f>IFERROR(LOOKUP($S994,MOTORISTAS!$D$3:$D$1048576,MOTORISTAS!F$3:$F$1048576),"")</f>
        <v/>
      </c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44"/>
      <c r="AG994" s="254">
        <f>Prog_236[[#This Row],[SAÍDA DO CLIENTE]]-Prog_236[[#This Row],[PROGRAMAÇÃO CLIENTE]]</f>
        <v>0</v>
      </c>
      <c r="AH994" s="44"/>
      <c r="AI994" s="66"/>
      <c r="AJ994" s="66"/>
      <c r="AK994" s="66"/>
      <c r="AL994" s="66"/>
      <c r="AM994" s="66"/>
      <c r="AN994" s="83"/>
      <c r="AO994" s="66"/>
      <c r="AP994" s="66"/>
      <c r="AQ994" s="66"/>
      <c r="AR994" s="81"/>
      <c r="AS994" s="81"/>
      <c r="AT994" s="81"/>
      <c r="AU994" s="81"/>
      <c r="AV994" s="83">
        <f>SUM(Prog_236[[#This Row],[ADIANTAMENTO]]+Prog_236[[#This Row],[SALDO]]+Prog_236[[#This Row],[MARGEM]]+Prog_236[[#This Row],[ESTADIA 1]])</f>
        <v>0</v>
      </c>
      <c r="AW9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4" s="81"/>
      <c r="AY994" s="81"/>
      <c r="AZ994" s="81">
        <f>Prog_236[[#This Row],[VLR NF]]*0.1%</f>
        <v>0</v>
      </c>
      <c r="BA994" s="81">
        <f>Prog_236[[#This Row],[VLR NF]]*0.05%</f>
        <v>0</v>
      </c>
      <c r="BB994" s="81"/>
      <c r="BC994" s="81"/>
      <c r="BD994" s="81"/>
      <c r="BE994" s="81"/>
      <c r="BF994" s="81"/>
      <c r="BG994" s="81"/>
      <c r="BH994" s="81"/>
      <c r="BI994" s="81"/>
      <c r="BJ994" s="81"/>
      <c r="BK994" s="81"/>
      <c r="BL994" s="66"/>
      <c r="BM994" s="66"/>
      <c r="BN994" s="66"/>
      <c r="BO994" s="66" t="str">
        <f>PROPER(TEXT(Prog_236[[#This Row],[PROGRAMAÇÃO CLIENTE]],"mmm"))</f>
        <v>Jan</v>
      </c>
      <c r="BP994" s="66">
        <f>YEAR(Prog_236[[#This Row],[PROGRAMAÇÃO CLIENTE]])</f>
        <v>1900</v>
      </c>
    </row>
    <row r="995" spans="1:68" x14ac:dyDescent="0.25">
      <c r="A995" s="200">
        <f>Prog_236[[#This Row],[CONTEINER]]</f>
        <v>0</v>
      </c>
      <c r="B995" s="86"/>
      <c r="C9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5" s="44"/>
      <c r="E995" s="66"/>
      <c r="F995" s="66"/>
      <c r="G995" s="66"/>
      <c r="H995" s="44"/>
      <c r="I995" s="44"/>
      <c r="J995" s="66"/>
      <c r="K995" s="66"/>
      <c r="L995" s="66"/>
      <c r="M995" s="66"/>
      <c r="N995" s="66">
        <f>SUM(Prog_236[[#This Row],[TARA]]+Prog_236[[#This Row],[PESO]])</f>
        <v>0</v>
      </c>
      <c r="O995" s="44"/>
      <c r="P995" s="66"/>
      <c r="Q995" s="66"/>
      <c r="R995" s="66"/>
      <c r="S995" s="66"/>
      <c r="T995" s="138" t="str">
        <f>IFERROR(LOOKUP($S995,MOTORISTAS!$D$3:$D$1048576,MOTORISTAS!E$3:$E$1048576),"")</f>
        <v/>
      </c>
      <c r="U995" s="138" t="str">
        <f>IFERROR(LOOKUP($S995,MOTORISTAS!$D$3:$D$1048576,MOTORISTAS!F$3:$F$1048576),"")</f>
        <v/>
      </c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44"/>
      <c r="AG995" s="254">
        <f>Prog_236[[#This Row],[SAÍDA DO CLIENTE]]-Prog_236[[#This Row],[PROGRAMAÇÃO CLIENTE]]</f>
        <v>0</v>
      </c>
      <c r="AH995" s="44"/>
      <c r="AI995" s="66"/>
      <c r="AJ995" s="66"/>
      <c r="AK995" s="66"/>
      <c r="AL995" s="66"/>
      <c r="AM995" s="66"/>
      <c r="AN995" s="83"/>
      <c r="AO995" s="66"/>
      <c r="AP995" s="66"/>
      <c r="AQ995" s="66"/>
      <c r="AR995" s="81"/>
      <c r="AS995" s="81"/>
      <c r="AT995" s="81"/>
      <c r="AU995" s="81"/>
      <c r="AV995" s="83">
        <f>SUM(Prog_236[[#This Row],[ADIANTAMENTO]]+Prog_236[[#This Row],[SALDO]]+Prog_236[[#This Row],[MARGEM]]+Prog_236[[#This Row],[ESTADIA 1]])</f>
        <v>0</v>
      </c>
      <c r="AW9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5" s="81"/>
      <c r="AY995" s="81"/>
      <c r="AZ995" s="81">
        <f>Prog_236[[#This Row],[VLR NF]]*0.1%</f>
        <v>0</v>
      </c>
      <c r="BA995" s="81">
        <f>Prog_236[[#This Row],[VLR NF]]*0.05%</f>
        <v>0</v>
      </c>
      <c r="BB995" s="81"/>
      <c r="BC995" s="81"/>
      <c r="BD995" s="81"/>
      <c r="BE995" s="81"/>
      <c r="BF995" s="81"/>
      <c r="BG995" s="81"/>
      <c r="BH995" s="81"/>
      <c r="BI995" s="81"/>
      <c r="BJ995" s="81"/>
      <c r="BK995" s="81"/>
      <c r="BL995" s="66"/>
      <c r="BM995" s="66"/>
      <c r="BN995" s="66"/>
      <c r="BO995" s="66" t="str">
        <f>PROPER(TEXT(Prog_236[[#This Row],[PROGRAMAÇÃO CLIENTE]],"mmm"))</f>
        <v>Jan</v>
      </c>
      <c r="BP995" s="66">
        <f>YEAR(Prog_236[[#This Row],[PROGRAMAÇÃO CLIENTE]])</f>
        <v>1900</v>
      </c>
    </row>
    <row r="996" spans="1:68" x14ac:dyDescent="0.25">
      <c r="A996" s="201">
        <f>Prog_236[[#This Row],[CONTEINER]]</f>
        <v>0</v>
      </c>
      <c r="B996" s="86"/>
      <c r="C9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6" s="44"/>
      <c r="E996" s="66"/>
      <c r="F996" s="66"/>
      <c r="G996" s="66"/>
      <c r="H996" s="44"/>
      <c r="I996" s="44"/>
      <c r="J996" s="66"/>
      <c r="K996" s="66"/>
      <c r="L996" s="66"/>
      <c r="M996" s="66"/>
      <c r="N996" s="66">
        <f>SUM(Prog_236[[#This Row],[TARA]]+Prog_236[[#This Row],[PESO]])</f>
        <v>0</v>
      </c>
      <c r="O996" s="44"/>
      <c r="P996" s="66"/>
      <c r="Q996" s="66"/>
      <c r="R996" s="66"/>
      <c r="S996" s="66"/>
      <c r="T996" s="138" t="str">
        <f>IFERROR(LOOKUP($S996,MOTORISTAS!$D$3:$D$1048576,MOTORISTAS!E$3:$E$1048576),"")</f>
        <v/>
      </c>
      <c r="U996" s="138" t="str">
        <f>IFERROR(LOOKUP($S996,MOTORISTAS!$D$3:$D$1048576,MOTORISTAS!F$3:$F$1048576),"")</f>
        <v/>
      </c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44"/>
      <c r="AG996" s="254">
        <f>Prog_236[[#This Row],[SAÍDA DO CLIENTE]]-Prog_236[[#This Row],[PROGRAMAÇÃO CLIENTE]]</f>
        <v>0</v>
      </c>
      <c r="AH996" s="44"/>
      <c r="AI996" s="66"/>
      <c r="AJ996" s="66"/>
      <c r="AK996" s="66"/>
      <c r="AL996" s="66"/>
      <c r="AM996" s="66"/>
      <c r="AN996" s="83"/>
      <c r="AO996" s="66"/>
      <c r="AP996" s="66"/>
      <c r="AQ996" s="66"/>
      <c r="AR996" s="81"/>
      <c r="AS996" s="81"/>
      <c r="AT996" s="81"/>
      <c r="AU996" s="81"/>
      <c r="AV996" s="83">
        <f>SUM(Prog_236[[#This Row],[ADIANTAMENTO]]+Prog_236[[#This Row],[SALDO]]+Prog_236[[#This Row],[MARGEM]]+Prog_236[[#This Row],[ESTADIA 1]])</f>
        <v>0</v>
      </c>
      <c r="AW9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6" s="81"/>
      <c r="AY996" s="81"/>
      <c r="AZ996" s="81">
        <f>Prog_236[[#This Row],[VLR NF]]*0.1%</f>
        <v>0</v>
      </c>
      <c r="BA996" s="81">
        <f>Prog_236[[#This Row],[VLR NF]]*0.05%</f>
        <v>0</v>
      </c>
      <c r="BB996" s="81"/>
      <c r="BC996" s="81"/>
      <c r="BD996" s="81"/>
      <c r="BE996" s="81"/>
      <c r="BF996" s="81"/>
      <c r="BG996" s="81"/>
      <c r="BH996" s="81"/>
      <c r="BI996" s="81"/>
      <c r="BJ996" s="81"/>
      <c r="BK996" s="81"/>
      <c r="BL996" s="66"/>
      <c r="BM996" s="66"/>
      <c r="BN996" s="66"/>
      <c r="BO996" s="66" t="str">
        <f>PROPER(TEXT(Prog_236[[#This Row],[PROGRAMAÇÃO CLIENTE]],"mmm"))</f>
        <v>Jan</v>
      </c>
      <c r="BP996" s="66">
        <f>YEAR(Prog_236[[#This Row],[PROGRAMAÇÃO CLIENTE]])</f>
        <v>1900</v>
      </c>
    </row>
    <row r="997" spans="1:68" x14ac:dyDescent="0.25">
      <c r="A997" s="200">
        <f>Prog_236[[#This Row],[CONTEINER]]</f>
        <v>0</v>
      </c>
      <c r="B997" s="86"/>
      <c r="C9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7" s="44"/>
      <c r="E997" s="66"/>
      <c r="F997" s="66"/>
      <c r="G997" s="66"/>
      <c r="H997" s="44"/>
      <c r="I997" s="44"/>
      <c r="J997" s="66"/>
      <c r="K997" s="66"/>
      <c r="L997" s="66"/>
      <c r="M997" s="66"/>
      <c r="N997" s="66">
        <f>SUM(Prog_236[[#This Row],[TARA]]+Prog_236[[#This Row],[PESO]])</f>
        <v>0</v>
      </c>
      <c r="O997" s="44"/>
      <c r="P997" s="66"/>
      <c r="Q997" s="66"/>
      <c r="R997" s="66"/>
      <c r="S997" s="66"/>
      <c r="T997" s="138" t="str">
        <f>IFERROR(LOOKUP($S997,MOTORISTAS!$D$3:$D$1048576,MOTORISTAS!E$3:$E$1048576),"")</f>
        <v/>
      </c>
      <c r="U997" s="138" t="str">
        <f>IFERROR(LOOKUP($S997,MOTORISTAS!$D$3:$D$1048576,MOTORISTAS!F$3:$F$1048576),"")</f>
        <v/>
      </c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44"/>
      <c r="AG997" s="254">
        <f>Prog_236[[#This Row],[SAÍDA DO CLIENTE]]-Prog_236[[#This Row],[PROGRAMAÇÃO CLIENTE]]</f>
        <v>0</v>
      </c>
      <c r="AH997" s="44"/>
      <c r="AI997" s="66"/>
      <c r="AJ997" s="66"/>
      <c r="AK997" s="66"/>
      <c r="AL997" s="66"/>
      <c r="AM997" s="66"/>
      <c r="AN997" s="83"/>
      <c r="AO997" s="66"/>
      <c r="AP997" s="66"/>
      <c r="AQ997" s="66"/>
      <c r="AR997" s="81"/>
      <c r="AS997" s="81"/>
      <c r="AT997" s="81"/>
      <c r="AU997" s="81"/>
      <c r="AV997" s="83">
        <f>SUM(Prog_236[[#This Row],[ADIANTAMENTO]]+Prog_236[[#This Row],[SALDO]]+Prog_236[[#This Row],[MARGEM]]+Prog_236[[#This Row],[ESTADIA 1]])</f>
        <v>0</v>
      </c>
      <c r="AW9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7" s="81"/>
      <c r="AY997" s="81"/>
      <c r="AZ997" s="81">
        <f>Prog_236[[#This Row],[VLR NF]]*0.1%</f>
        <v>0</v>
      </c>
      <c r="BA997" s="81">
        <f>Prog_236[[#This Row],[VLR NF]]*0.05%</f>
        <v>0</v>
      </c>
      <c r="BB997" s="81"/>
      <c r="BC997" s="81"/>
      <c r="BD997" s="81"/>
      <c r="BE997" s="81"/>
      <c r="BF997" s="81"/>
      <c r="BG997" s="81"/>
      <c r="BH997" s="81"/>
      <c r="BI997" s="81"/>
      <c r="BJ997" s="81"/>
      <c r="BK997" s="81"/>
      <c r="BL997" s="66"/>
      <c r="BM997" s="66"/>
      <c r="BN997" s="66"/>
      <c r="BO997" s="66" t="str">
        <f>PROPER(TEXT(Prog_236[[#This Row],[PROGRAMAÇÃO CLIENTE]],"mmm"))</f>
        <v>Jan</v>
      </c>
      <c r="BP997" s="66">
        <f>YEAR(Prog_236[[#This Row],[PROGRAMAÇÃO CLIENTE]])</f>
        <v>1900</v>
      </c>
    </row>
    <row r="998" spans="1:68" x14ac:dyDescent="0.25">
      <c r="A998" s="201">
        <f>Prog_236[[#This Row],[CONTEINER]]</f>
        <v>0</v>
      </c>
      <c r="B998" s="86"/>
      <c r="C9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8" s="44"/>
      <c r="E998" s="66"/>
      <c r="F998" s="66"/>
      <c r="G998" s="66"/>
      <c r="H998" s="44"/>
      <c r="I998" s="44"/>
      <c r="J998" s="66"/>
      <c r="K998" s="66"/>
      <c r="L998" s="66"/>
      <c r="M998" s="66"/>
      <c r="N998" s="66">
        <f>SUM(Prog_236[[#This Row],[TARA]]+Prog_236[[#This Row],[PESO]])</f>
        <v>0</v>
      </c>
      <c r="O998" s="44"/>
      <c r="P998" s="66"/>
      <c r="Q998" s="66"/>
      <c r="R998" s="66"/>
      <c r="S998" s="66"/>
      <c r="T998" s="138" t="str">
        <f>IFERROR(LOOKUP($S998,MOTORISTAS!$D$3:$D$1048576,MOTORISTAS!E$3:$E$1048576),"")</f>
        <v/>
      </c>
      <c r="U998" s="138" t="str">
        <f>IFERROR(LOOKUP($S998,MOTORISTAS!$D$3:$D$1048576,MOTORISTAS!F$3:$F$1048576),"")</f>
        <v/>
      </c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44"/>
      <c r="AG998" s="254">
        <f>Prog_236[[#This Row],[SAÍDA DO CLIENTE]]-Prog_236[[#This Row],[PROGRAMAÇÃO CLIENTE]]</f>
        <v>0</v>
      </c>
      <c r="AH998" s="44"/>
      <c r="AI998" s="66"/>
      <c r="AJ998" s="66"/>
      <c r="AK998" s="66"/>
      <c r="AL998" s="66"/>
      <c r="AM998" s="66"/>
      <c r="AN998" s="83"/>
      <c r="AO998" s="66"/>
      <c r="AP998" s="66"/>
      <c r="AQ998" s="66"/>
      <c r="AR998" s="81"/>
      <c r="AS998" s="81"/>
      <c r="AT998" s="81"/>
      <c r="AU998" s="81"/>
      <c r="AV998" s="83">
        <f>SUM(Prog_236[[#This Row],[ADIANTAMENTO]]+Prog_236[[#This Row],[SALDO]]+Prog_236[[#This Row],[MARGEM]]+Prog_236[[#This Row],[ESTADIA 1]])</f>
        <v>0</v>
      </c>
      <c r="AW9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8" s="81"/>
      <c r="AY998" s="81"/>
      <c r="AZ998" s="81">
        <f>Prog_236[[#This Row],[VLR NF]]*0.1%</f>
        <v>0</v>
      </c>
      <c r="BA998" s="81">
        <f>Prog_236[[#This Row],[VLR NF]]*0.05%</f>
        <v>0</v>
      </c>
      <c r="BB998" s="81"/>
      <c r="BC998" s="81"/>
      <c r="BD998" s="81"/>
      <c r="BE998" s="81"/>
      <c r="BF998" s="81"/>
      <c r="BG998" s="81"/>
      <c r="BH998" s="81"/>
      <c r="BI998" s="81"/>
      <c r="BJ998" s="81"/>
      <c r="BK998" s="81"/>
      <c r="BL998" s="66"/>
      <c r="BM998" s="66"/>
      <c r="BN998" s="66"/>
      <c r="BO998" s="66" t="str">
        <f>PROPER(TEXT(Prog_236[[#This Row],[PROGRAMAÇÃO CLIENTE]],"mmm"))</f>
        <v>Jan</v>
      </c>
      <c r="BP998" s="66">
        <f>YEAR(Prog_236[[#This Row],[PROGRAMAÇÃO CLIENTE]])</f>
        <v>1900</v>
      </c>
    </row>
    <row r="999" spans="1:68" x14ac:dyDescent="0.25">
      <c r="A999" s="200">
        <f>Prog_236[[#This Row],[CONTEINER]]</f>
        <v>0</v>
      </c>
      <c r="B999" s="86"/>
      <c r="C9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999" s="44"/>
      <c r="E999" s="66"/>
      <c r="F999" s="66"/>
      <c r="G999" s="66"/>
      <c r="H999" s="44"/>
      <c r="I999" s="44"/>
      <c r="J999" s="66"/>
      <c r="K999" s="66"/>
      <c r="L999" s="66"/>
      <c r="M999" s="66"/>
      <c r="N999" s="66">
        <f>SUM(Prog_236[[#This Row],[TARA]]+Prog_236[[#This Row],[PESO]])</f>
        <v>0</v>
      </c>
      <c r="O999" s="44"/>
      <c r="P999" s="66"/>
      <c r="Q999" s="66"/>
      <c r="R999" s="66"/>
      <c r="S999" s="66"/>
      <c r="T999" s="138" t="str">
        <f>IFERROR(LOOKUP($S999,MOTORISTAS!$D$3:$D$1048576,MOTORISTAS!E$3:$E$1048576),"")</f>
        <v/>
      </c>
      <c r="U999" s="138" t="str">
        <f>IFERROR(LOOKUP($S999,MOTORISTAS!$D$3:$D$1048576,MOTORISTAS!F$3:$F$1048576),"")</f>
        <v/>
      </c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44"/>
      <c r="AG999" s="254">
        <f>Prog_236[[#This Row],[SAÍDA DO CLIENTE]]-Prog_236[[#This Row],[PROGRAMAÇÃO CLIENTE]]</f>
        <v>0</v>
      </c>
      <c r="AH999" s="44"/>
      <c r="AI999" s="66"/>
      <c r="AJ999" s="66"/>
      <c r="AK999" s="66"/>
      <c r="AL999" s="66"/>
      <c r="AM999" s="66"/>
      <c r="AN999" s="83"/>
      <c r="AO999" s="66"/>
      <c r="AP999" s="66"/>
      <c r="AQ999" s="66"/>
      <c r="AR999" s="81"/>
      <c r="AS999" s="81"/>
      <c r="AT999" s="81"/>
      <c r="AU999" s="81"/>
      <c r="AV999" s="83">
        <f>SUM(Prog_236[[#This Row],[ADIANTAMENTO]]+Prog_236[[#This Row],[SALDO]]+Prog_236[[#This Row],[MARGEM]]+Prog_236[[#This Row],[ESTADIA 1]])</f>
        <v>0</v>
      </c>
      <c r="AW9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999" s="81"/>
      <c r="AY999" s="81"/>
      <c r="AZ999" s="81">
        <f>Prog_236[[#This Row],[VLR NF]]*0.1%</f>
        <v>0</v>
      </c>
      <c r="BA999" s="81">
        <f>Prog_236[[#This Row],[VLR NF]]*0.05%</f>
        <v>0</v>
      </c>
      <c r="BB999" s="81"/>
      <c r="BC999" s="81"/>
      <c r="BD999" s="81"/>
      <c r="BE999" s="81"/>
      <c r="BF999" s="81"/>
      <c r="BG999" s="81"/>
      <c r="BH999" s="81"/>
      <c r="BI999" s="81"/>
      <c r="BJ999" s="81"/>
      <c r="BK999" s="81"/>
      <c r="BL999" s="66"/>
      <c r="BM999" s="66"/>
      <c r="BN999" s="66"/>
      <c r="BO999" s="66" t="str">
        <f>PROPER(TEXT(Prog_236[[#This Row],[PROGRAMAÇÃO CLIENTE]],"mmm"))</f>
        <v>Jan</v>
      </c>
      <c r="BP999" s="66">
        <f>YEAR(Prog_236[[#This Row],[PROGRAMAÇÃO CLIENTE]])</f>
        <v>1900</v>
      </c>
    </row>
    <row r="1000" spans="1:68" x14ac:dyDescent="0.25">
      <c r="A1000" s="201">
        <f>Prog_236[[#This Row],[CONTEINER]]</f>
        <v>0</v>
      </c>
      <c r="B1000" s="86"/>
      <c r="C10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0" s="44"/>
      <c r="E1000" s="66"/>
      <c r="F1000" s="66"/>
      <c r="G1000" s="66"/>
      <c r="H1000" s="44"/>
      <c r="I1000" s="44"/>
      <c r="J1000" s="66"/>
      <c r="K1000" s="66"/>
      <c r="L1000" s="66"/>
      <c r="M1000" s="66"/>
      <c r="N1000" s="66">
        <f>SUM(Prog_236[[#This Row],[TARA]]+Prog_236[[#This Row],[PESO]])</f>
        <v>0</v>
      </c>
      <c r="O1000" s="44"/>
      <c r="P1000" s="66"/>
      <c r="Q1000" s="66"/>
      <c r="R1000" s="66"/>
      <c r="S1000" s="66"/>
      <c r="T1000" s="138" t="str">
        <f>IFERROR(LOOKUP($S1000,MOTORISTAS!$D$3:$D$1048576,MOTORISTAS!E$3:$E$1048576),"")</f>
        <v/>
      </c>
      <c r="U1000" s="138" t="str">
        <f>IFERROR(LOOKUP($S1000,MOTORISTAS!$D$3:$D$1048576,MOTORISTAS!F$3:$F$1048576),"")</f>
        <v/>
      </c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44"/>
      <c r="AG1000" s="254">
        <f>Prog_236[[#This Row],[SAÍDA DO CLIENTE]]-Prog_236[[#This Row],[PROGRAMAÇÃO CLIENTE]]</f>
        <v>0</v>
      </c>
      <c r="AH1000" s="44"/>
      <c r="AI1000" s="66"/>
      <c r="AJ1000" s="66"/>
      <c r="AK1000" s="66"/>
      <c r="AL1000" s="66"/>
      <c r="AM1000" s="66"/>
      <c r="AN1000" s="83"/>
      <c r="AO1000" s="66"/>
      <c r="AP1000" s="66"/>
      <c r="AQ1000" s="66"/>
      <c r="AR1000" s="81"/>
      <c r="AS1000" s="81"/>
      <c r="AT1000" s="81"/>
      <c r="AU1000" s="81"/>
      <c r="AV1000" s="83">
        <f>SUM(Prog_236[[#This Row],[ADIANTAMENTO]]+Prog_236[[#This Row],[SALDO]]+Prog_236[[#This Row],[MARGEM]]+Prog_236[[#This Row],[ESTADIA 1]])</f>
        <v>0</v>
      </c>
      <c r="AW10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0" s="81"/>
      <c r="AY1000" s="81"/>
      <c r="AZ1000" s="81">
        <f>Prog_236[[#This Row],[VLR NF]]*0.1%</f>
        <v>0</v>
      </c>
      <c r="BA1000" s="81">
        <f>Prog_236[[#This Row],[VLR NF]]*0.05%</f>
        <v>0</v>
      </c>
      <c r="BB1000" s="81"/>
      <c r="BC1000" s="81"/>
      <c r="BD1000" s="81"/>
      <c r="BE1000" s="81"/>
      <c r="BF1000" s="81"/>
      <c r="BG1000" s="81"/>
      <c r="BH1000" s="81"/>
      <c r="BI1000" s="81"/>
      <c r="BJ1000" s="81"/>
      <c r="BK1000" s="81"/>
      <c r="BL1000" s="66"/>
      <c r="BM1000" s="66"/>
      <c r="BN1000" s="66"/>
      <c r="BO1000" s="66" t="str">
        <f>PROPER(TEXT(Prog_236[[#This Row],[PROGRAMAÇÃO CLIENTE]],"mmm"))</f>
        <v>Jan</v>
      </c>
      <c r="BP1000" s="66">
        <f>YEAR(Prog_236[[#This Row],[PROGRAMAÇÃO CLIENTE]])</f>
        <v>1900</v>
      </c>
    </row>
    <row r="1001" spans="1:68" x14ac:dyDescent="0.25">
      <c r="A1001" s="200">
        <f>Prog_236[[#This Row],[CONTEINER]]</f>
        <v>0</v>
      </c>
      <c r="B1001" s="86"/>
      <c r="C10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1" s="44"/>
      <c r="E1001" s="66"/>
      <c r="F1001" s="66"/>
      <c r="G1001" s="66"/>
      <c r="H1001" s="44"/>
      <c r="I1001" s="44"/>
      <c r="J1001" s="66"/>
      <c r="K1001" s="66"/>
      <c r="L1001" s="66"/>
      <c r="M1001" s="66"/>
      <c r="N1001" s="66">
        <f>SUM(Prog_236[[#This Row],[TARA]]+Prog_236[[#This Row],[PESO]])</f>
        <v>0</v>
      </c>
      <c r="O1001" s="44"/>
      <c r="P1001" s="66"/>
      <c r="Q1001" s="66"/>
      <c r="R1001" s="66"/>
      <c r="S1001" s="66"/>
      <c r="T1001" s="138" t="str">
        <f>IFERROR(LOOKUP($S1001,MOTORISTAS!$D$3:$D$1048576,MOTORISTAS!E$3:$E$1048576),"")</f>
        <v/>
      </c>
      <c r="U1001" s="138" t="str">
        <f>IFERROR(LOOKUP($S1001,MOTORISTAS!$D$3:$D$1048576,MOTORISTAS!F$3:$F$1048576),"")</f>
        <v/>
      </c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44"/>
      <c r="AG1001" s="254">
        <f>Prog_236[[#This Row],[SAÍDA DO CLIENTE]]-Prog_236[[#This Row],[PROGRAMAÇÃO CLIENTE]]</f>
        <v>0</v>
      </c>
      <c r="AH1001" s="44"/>
      <c r="AI1001" s="66"/>
      <c r="AJ1001" s="66"/>
      <c r="AK1001" s="66"/>
      <c r="AL1001" s="66"/>
      <c r="AM1001" s="66"/>
      <c r="AN1001" s="83"/>
      <c r="AO1001" s="66"/>
      <c r="AP1001" s="66"/>
      <c r="AQ1001" s="66"/>
      <c r="AR1001" s="81"/>
      <c r="AS1001" s="81"/>
      <c r="AT1001" s="81"/>
      <c r="AU1001" s="81"/>
      <c r="AV1001" s="83">
        <f>SUM(Prog_236[[#This Row],[ADIANTAMENTO]]+Prog_236[[#This Row],[SALDO]]+Prog_236[[#This Row],[MARGEM]]+Prog_236[[#This Row],[ESTADIA 1]])</f>
        <v>0</v>
      </c>
      <c r="AW10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1" s="81"/>
      <c r="AY1001" s="81"/>
      <c r="AZ1001" s="81">
        <f>Prog_236[[#This Row],[VLR NF]]*0.1%</f>
        <v>0</v>
      </c>
      <c r="BA1001" s="81">
        <f>Prog_236[[#This Row],[VLR NF]]*0.05%</f>
        <v>0</v>
      </c>
      <c r="BB1001" s="81"/>
      <c r="BC1001" s="81"/>
      <c r="BD1001" s="81"/>
      <c r="BE1001" s="81"/>
      <c r="BF1001" s="81"/>
      <c r="BG1001" s="81"/>
      <c r="BH1001" s="81"/>
      <c r="BI1001" s="81"/>
      <c r="BJ1001" s="81"/>
      <c r="BK1001" s="81"/>
      <c r="BL1001" s="66"/>
      <c r="BM1001" s="66"/>
      <c r="BN1001" s="66"/>
      <c r="BO1001" s="66" t="str">
        <f>PROPER(TEXT(Prog_236[[#This Row],[PROGRAMAÇÃO CLIENTE]],"mmm"))</f>
        <v>Jan</v>
      </c>
      <c r="BP1001" s="66">
        <f>YEAR(Prog_236[[#This Row],[PROGRAMAÇÃO CLIENTE]])</f>
        <v>1900</v>
      </c>
    </row>
    <row r="1002" spans="1:68" x14ac:dyDescent="0.25">
      <c r="A1002" s="201">
        <f>Prog_236[[#This Row],[CONTEINER]]</f>
        <v>0</v>
      </c>
      <c r="B1002" s="86"/>
      <c r="C10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2" s="44"/>
      <c r="E1002" s="66"/>
      <c r="F1002" s="66"/>
      <c r="G1002" s="66"/>
      <c r="H1002" s="44"/>
      <c r="I1002" s="44"/>
      <c r="J1002" s="66"/>
      <c r="K1002" s="66"/>
      <c r="L1002" s="66"/>
      <c r="M1002" s="66"/>
      <c r="N1002" s="66">
        <f>SUM(Prog_236[[#This Row],[TARA]]+Prog_236[[#This Row],[PESO]])</f>
        <v>0</v>
      </c>
      <c r="O1002" s="44"/>
      <c r="P1002" s="66"/>
      <c r="Q1002" s="66"/>
      <c r="R1002" s="66"/>
      <c r="S1002" s="66"/>
      <c r="T1002" s="138" t="str">
        <f>IFERROR(LOOKUP($S1002,MOTORISTAS!$D$3:$D$1048576,MOTORISTAS!E$3:$E$1048576),"")</f>
        <v/>
      </c>
      <c r="U1002" s="138" t="str">
        <f>IFERROR(LOOKUP($S1002,MOTORISTAS!$D$3:$D$1048576,MOTORISTAS!F$3:$F$1048576),"")</f>
        <v/>
      </c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44"/>
      <c r="AG1002" s="254">
        <f>Prog_236[[#This Row],[SAÍDA DO CLIENTE]]-Prog_236[[#This Row],[PROGRAMAÇÃO CLIENTE]]</f>
        <v>0</v>
      </c>
      <c r="AH1002" s="44"/>
      <c r="AI1002" s="66"/>
      <c r="AJ1002" s="66"/>
      <c r="AK1002" s="66"/>
      <c r="AL1002" s="66"/>
      <c r="AM1002" s="66"/>
      <c r="AN1002" s="83"/>
      <c r="AO1002" s="66"/>
      <c r="AP1002" s="66"/>
      <c r="AQ1002" s="66"/>
      <c r="AR1002" s="81"/>
      <c r="AS1002" s="81"/>
      <c r="AT1002" s="81"/>
      <c r="AU1002" s="81"/>
      <c r="AV1002" s="83">
        <f>SUM(Prog_236[[#This Row],[ADIANTAMENTO]]+Prog_236[[#This Row],[SALDO]]+Prog_236[[#This Row],[MARGEM]]+Prog_236[[#This Row],[ESTADIA 1]])</f>
        <v>0</v>
      </c>
      <c r="AW10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2" s="81"/>
      <c r="AY1002" s="81"/>
      <c r="AZ1002" s="81">
        <f>Prog_236[[#This Row],[VLR NF]]*0.1%</f>
        <v>0</v>
      </c>
      <c r="BA1002" s="81">
        <f>Prog_236[[#This Row],[VLR NF]]*0.05%</f>
        <v>0</v>
      </c>
      <c r="BB1002" s="81"/>
      <c r="BC1002" s="81"/>
      <c r="BD1002" s="81"/>
      <c r="BE1002" s="81"/>
      <c r="BF1002" s="81"/>
      <c r="BG1002" s="81"/>
      <c r="BH1002" s="81"/>
      <c r="BI1002" s="81"/>
      <c r="BJ1002" s="81"/>
      <c r="BK1002" s="81"/>
      <c r="BL1002" s="66"/>
      <c r="BM1002" s="66"/>
      <c r="BN1002" s="66"/>
      <c r="BO1002" s="66" t="str">
        <f>PROPER(TEXT(Prog_236[[#This Row],[PROGRAMAÇÃO CLIENTE]],"mmm"))</f>
        <v>Jan</v>
      </c>
      <c r="BP1002" s="66">
        <f>YEAR(Prog_236[[#This Row],[PROGRAMAÇÃO CLIENTE]])</f>
        <v>1900</v>
      </c>
    </row>
    <row r="1003" spans="1:68" x14ac:dyDescent="0.25">
      <c r="A1003" s="200">
        <f>Prog_236[[#This Row],[CONTEINER]]</f>
        <v>0</v>
      </c>
      <c r="B1003" s="86"/>
      <c r="C10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3" s="44"/>
      <c r="E1003" s="66"/>
      <c r="F1003" s="66"/>
      <c r="G1003" s="66"/>
      <c r="H1003" s="44"/>
      <c r="I1003" s="44"/>
      <c r="J1003" s="66"/>
      <c r="K1003" s="66"/>
      <c r="L1003" s="66"/>
      <c r="M1003" s="66"/>
      <c r="N1003" s="66">
        <f>SUM(Prog_236[[#This Row],[TARA]]+Prog_236[[#This Row],[PESO]])</f>
        <v>0</v>
      </c>
      <c r="O1003" s="44"/>
      <c r="P1003" s="66"/>
      <c r="Q1003" s="66"/>
      <c r="R1003" s="66"/>
      <c r="S1003" s="66"/>
      <c r="T1003" s="138" t="str">
        <f>IFERROR(LOOKUP($S1003,MOTORISTAS!$D$3:$D$1048576,MOTORISTAS!E$3:$E$1048576),"")</f>
        <v/>
      </c>
      <c r="U1003" s="138" t="str">
        <f>IFERROR(LOOKUP($S1003,MOTORISTAS!$D$3:$D$1048576,MOTORISTAS!F$3:$F$1048576),"")</f>
        <v/>
      </c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44"/>
      <c r="AG1003" s="254">
        <f>Prog_236[[#This Row],[SAÍDA DO CLIENTE]]-Prog_236[[#This Row],[PROGRAMAÇÃO CLIENTE]]</f>
        <v>0</v>
      </c>
      <c r="AH1003" s="44"/>
      <c r="AI1003" s="66"/>
      <c r="AJ1003" s="66"/>
      <c r="AK1003" s="66"/>
      <c r="AL1003" s="66"/>
      <c r="AM1003" s="66"/>
      <c r="AN1003" s="83"/>
      <c r="AO1003" s="66"/>
      <c r="AP1003" s="66"/>
      <c r="AQ1003" s="66"/>
      <c r="AR1003" s="81"/>
      <c r="AS1003" s="81"/>
      <c r="AT1003" s="81"/>
      <c r="AU1003" s="81"/>
      <c r="AV1003" s="83">
        <f>SUM(Prog_236[[#This Row],[ADIANTAMENTO]]+Prog_236[[#This Row],[SALDO]]+Prog_236[[#This Row],[MARGEM]]+Prog_236[[#This Row],[ESTADIA 1]])</f>
        <v>0</v>
      </c>
      <c r="AW10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3" s="81"/>
      <c r="AY1003" s="81"/>
      <c r="AZ1003" s="81">
        <f>Prog_236[[#This Row],[VLR NF]]*0.1%</f>
        <v>0</v>
      </c>
      <c r="BA1003" s="81">
        <f>Prog_236[[#This Row],[VLR NF]]*0.05%</f>
        <v>0</v>
      </c>
      <c r="BB1003" s="81"/>
      <c r="BC1003" s="81"/>
      <c r="BD1003" s="81"/>
      <c r="BE1003" s="81"/>
      <c r="BF1003" s="81"/>
      <c r="BG1003" s="81"/>
      <c r="BH1003" s="81"/>
      <c r="BI1003" s="81"/>
      <c r="BJ1003" s="81"/>
      <c r="BK1003" s="81"/>
      <c r="BL1003" s="66"/>
      <c r="BM1003" s="66"/>
      <c r="BN1003" s="66"/>
      <c r="BO1003" s="66" t="str">
        <f>PROPER(TEXT(Prog_236[[#This Row],[PROGRAMAÇÃO CLIENTE]],"mmm"))</f>
        <v>Jan</v>
      </c>
      <c r="BP1003" s="66">
        <f>YEAR(Prog_236[[#This Row],[PROGRAMAÇÃO CLIENTE]])</f>
        <v>1900</v>
      </c>
    </row>
    <row r="1004" spans="1:68" x14ac:dyDescent="0.25">
      <c r="A1004" s="201">
        <f>Prog_236[[#This Row],[CONTEINER]]</f>
        <v>0</v>
      </c>
      <c r="B1004" s="86"/>
      <c r="C10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4" s="44"/>
      <c r="E1004" s="66"/>
      <c r="F1004" s="66"/>
      <c r="G1004" s="66"/>
      <c r="H1004" s="44"/>
      <c r="I1004" s="44"/>
      <c r="J1004" s="66"/>
      <c r="K1004" s="66"/>
      <c r="L1004" s="66"/>
      <c r="M1004" s="66"/>
      <c r="N1004" s="66">
        <f>SUM(Prog_236[[#This Row],[TARA]]+Prog_236[[#This Row],[PESO]])</f>
        <v>0</v>
      </c>
      <c r="O1004" s="44"/>
      <c r="P1004" s="66"/>
      <c r="Q1004" s="66"/>
      <c r="R1004" s="66"/>
      <c r="S1004" s="66"/>
      <c r="T1004" s="138" t="str">
        <f>IFERROR(LOOKUP($S1004,MOTORISTAS!$D$3:$D$1048576,MOTORISTAS!E$3:$E$1048576),"")</f>
        <v/>
      </c>
      <c r="U1004" s="138" t="str">
        <f>IFERROR(LOOKUP($S1004,MOTORISTAS!$D$3:$D$1048576,MOTORISTAS!F$3:$F$1048576),"")</f>
        <v/>
      </c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44"/>
      <c r="AG1004" s="254">
        <f>Prog_236[[#This Row],[SAÍDA DO CLIENTE]]-Prog_236[[#This Row],[PROGRAMAÇÃO CLIENTE]]</f>
        <v>0</v>
      </c>
      <c r="AH1004" s="44"/>
      <c r="AI1004" s="66"/>
      <c r="AJ1004" s="66"/>
      <c r="AK1004" s="66"/>
      <c r="AL1004" s="66"/>
      <c r="AM1004" s="66"/>
      <c r="AN1004" s="83"/>
      <c r="AO1004" s="66"/>
      <c r="AP1004" s="66"/>
      <c r="AQ1004" s="66"/>
      <c r="AR1004" s="81"/>
      <c r="AS1004" s="81"/>
      <c r="AT1004" s="81"/>
      <c r="AU1004" s="81"/>
      <c r="AV1004" s="83">
        <f>SUM(Prog_236[[#This Row],[ADIANTAMENTO]]+Prog_236[[#This Row],[SALDO]]+Prog_236[[#This Row],[MARGEM]]+Prog_236[[#This Row],[ESTADIA 1]])</f>
        <v>0</v>
      </c>
      <c r="AW10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4" s="81"/>
      <c r="AY1004" s="81"/>
      <c r="AZ1004" s="81">
        <f>Prog_236[[#This Row],[VLR NF]]*0.1%</f>
        <v>0</v>
      </c>
      <c r="BA1004" s="81">
        <f>Prog_236[[#This Row],[VLR NF]]*0.05%</f>
        <v>0</v>
      </c>
      <c r="BB1004" s="81"/>
      <c r="BC1004" s="81"/>
      <c r="BD1004" s="81"/>
      <c r="BE1004" s="81"/>
      <c r="BF1004" s="81"/>
      <c r="BG1004" s="81"/>
      <c r="BH1004" s="81"/>
      <c r="BI1004" s="81"/>
      <c r="BJ1004" s="81"/>
      <c r="BK1004" s="81"/>
      <c r="BL1004" s="66"/>
      <c r="BM1004" s="66"/>
      <c r="BN1004" s="66"/>
      <c r="BO1004" s="66" t="str">
        <f>PROPER(TEXT(Prog_236[[#This Row],[PROGRAMAÇÃO CLIENTE]],"mmm"))</f>
        <v>Jan</v>
      </c>
      <c r="BP1004" s="66">
        <f>YEAR(Prog_236[[#This Row],[PROGRAMAÇÃO CLIENTE]])</f>
        <v>1900</v>
      </c>
    </row>
    <row r="1005" spans="1:68" x14ac:dyDescent="0.25">
      <c r="A1005" s="200">
        <f>Prog_236[[#This Row],[CONTEINER]]</f>
        <v>0</v>
      </c>
      <c r="B1005" s="86"/>
      <c r="C10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5" s="44"/>
      <c r="E1005" s="66"/>
      <c r="F1005" s="66"/>
      <c r="G1005" s="66"/>
      <c r="H1005" s="44"/>
      <c r="I1005" s="44"/>
      <c r="J1005" s="66"/>
      <c r="K1005" s="66"/>
      <c r="L1005" s="66"/>
      <c r="M1005" s="66"/>
      <c r="N1005" s="66">
        <f>SUM(Prog_236[[#This Row],[TARA]]+Prog_236[[#This Row],[PESO]])</f>
        <v>0</v>
      </c>
      <c r="O1005" s="44"/>
      <c r="P1005" s="66"/>
      <c r="Q1005" s="66"/>
      <c r="R1005" s="66"/>
      <c r="S1005" s="66"/>
      <c r="T1005" s="138" t="str">
        <f>IFERROR(LOOKUP($S1005,MOTORISTAS!$D$3:$D$1048576,MOTORISTAS!E$3:$E$1048576),"")</f>
        <v/>
      </c>
      <c r="U1005" s="138" t="str">
        <f>IFERROR(LOOKUP($S1005,MOTORISTAS!$D$3:$D$1048576,MOTORISTAS!F$3:$F$1048576),"")</f>
        <v/>
      </c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44"/>
      <c r="AG1005" s="254">
        <f>Prog_236[[#This Row],[SAÍDA DO CLIENTE]]-Prog_236[[#This Row],[PROGRAMAÇÃO CLIENTE]]</f>
        <v>0</v>
      </c>
      <c r="AH1005" s="44"/>
      <c r="AI1005" s="66"/>
      <c r="AJ1005" s="66"/>
      <c r="AK1005" s="66"/>
      <c r="AL1005" s="66"/>
      <c r="AM1005" s="66"/>
      <c r="AN1005" s="83"/>
      <c r="AO1005" s="66"/>
      <c r="AP1005" s="66"/>
      <c r="AQ1005" s="66"/>
      <c r="AR1005" s="81"/>
      <c r="AS1005" s="81"/>
      <c r="AT1005" s="81"/>
      <c r="AU1005" s="81"/>
      <c r="AV1005" s="83">
        <f>SUM(Prog_236[[#This Row],[ADIANTAMENTO]]+Prog_236[[#This Row],[SALDO]]+Prog_236[[#This Row],[MARGEM]]+Prog_236[[#This Row],[ESTADIA 1]])</f>
        <v>0</v>
      </c>
      <c r="AW10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5" s="81"/>
      <c r="AY1005" s="81"/>
      <c r="AZ1005" s="81">
        <f>Prog_236[[#This Row],[VLR NF]]*0.1%</f>
        <v>0</v>
      </c>
      <c r="BA1005" s="81">
        <f>Prog_236[[#This Row],[VLR NF]]*0.05%</f>
        <v>0</v>
      </c>
      <c r="BB1005" s="81"/>
      <c r="BC1005" s="81"/>
      <c r="BD1005" s="81"/>
      <c r="BE1005" s="81"/>
      <c r="BF1005" s="81"/>
      <c r="BG1005" s="81"/>
      <c r="BH1005" s="81"/>
      <c r="BI1005" s="81"/>
      <c r="BJ1005" s="81"/>
      <c r="BK1005" s="81"/>
      <c r="BL1005" s="66"/>
      <c r="BM1005" s="66"/>
      <c r="BN1005" s="66"/>
      <c r="BO1005" s="66" t="str">
        <f>PROPER(TEXT(Prog_236[[#This Row],[PROGRAMAÇÃO CLIENTE]],"mmm"))</f>
        <v>Jan</v>
      </c>
      <c r="BP1005" s="66">
        <f>YEAR(Prog_236[[#This Row],[PROGRAMAÇÃO CLIENTE]])</f>
        <v>1900</v>
      </c>
    </row>
    <row r="1006" spans="1:68" x14ac:dyDescent="0.25">
      <c r="A1006" s="201">
        <f>Prog_236[[#This Row],[CONTEINER]]</f>
        <v>0</v>
      </c>
      <c r="B1006" s="86"/>
      <c r="C10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6" s="44"/>
      <c r="E1006" s="66"/>
      <c r="F1006" s="66"/>
      <c r="G1006" s="66"/>
      <c r="H1006" s="44"/>
      <c r="I1006" s="44"/>
      <c r="J1006" s="66"/>
      <c r="K1006" s="66"/>
      <c r="L1006" s="66"/>
      <c r="M1006" s="66"/>
      <c r="N1006" s="66">
        <f>SUM(Prog_236[[#This Row],[TARA]]+Prog_236[[#This Row],[PESO]])</f>
        <v>0</v>
      </c>
      <c r="O1006" s="44"/>
      <c r="P1006" s="66"/>
      <c r="Q1006" s="66"/>
      <c r="R1006" s="66"/>
      <c r="S1006" s="66"/>
      <c r="T1006" s="138" t="str">
        <f>IFERROR(LOOKUP($S1006,MOTORISTAS!$D$3:$D$1048576,MOTORISTAS!E$3:$E$1048576),"")</f>
        <v/>
      </c>
      <c r="U1006" s="138" t="str">
        <f>IFERROR(LOOKUP($S1006,MOTORISTAS!$D$3:$D$1048576,MOTORISTAS!F$3:$F$1048576),"")</f>
        <v/>
      </c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44"/>
      <c r="AG1006" s="254">
        <f>Prog_236[[#This Row],[SAÍDA DO CLIENTE]]-Prog_236[[#This Row],[PROGRAMAÇÃO CLIENTE]]</f>
        <v>0</v>
      </c>
      <c r="AH1006" s="44"/>
      <c r="AI1006" s="66"/>
      <c r="AJ1006" s="66"/>
      <c r="AK1006" s="66"/>
      <c r="AL1006" s="66"/>
      <c r="AM1006" s="66"/>
      <c r="AN1006" s="83"/>
      <c r="AO1006" s="66"/>
      <c r="AP1006" s="66"/>
      <c r="AQ1006" s="66"/>
      <c r="AR1006" s="81"/>
      <c r="AS1006" s="81"/>
      <c r="AT1006" s="81"/>
      <c r="AU1006" s="81"/>
      <c r="AV1006" s="83">
        <f>SUM(Prog_236[[#This Row],[ADIANTAMENTO]]+Prog_236[[#This Row],[SALDO]]+Prog_236[[#This Row],[MARGEM]]+Prog_236[[#This Row],[ESTADIA 1]])</f>
        <v>0</v>
      </c>
      <c r="AW10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6" s="81"/>
      <c r="AY1006" s="81"/>
      <c r="AZ1006" s="81">
        <f>Prog_236[[#This Row],[VLR NF]]*0.1%</f>
        <v>0</v>
      </c>
      <c r="BA1006" s="81">
        <f>Prog_236[[#This Row],[VLR NF]]*0.05%</f>
        <v>0</v>
      </c>
      <c r="BB1006" s="81"/>
      <c r="BC1006" s="81"/>
      <c r="BD1006" s="81"/>
      <c r="BE1006" s="81"/>
      <c r="BF1006" s="81"/>
      <c r="BG1006" s="81"/>
      <c r="BH1006" s="81"/>
      <c r="BI1006" s="81"/>
      <c r="BJ1006" s="81"/>
      <c r="BK1006" s="81"/>
      <c r="BL1006" s="66"/>
      <c r="BM1006" s="66"/>
      <c r="BN1006" s="66"/>
      <c r="BO1006" s="66" t="str">
        <f>PROPER(TEXT(Prog_236[[#This Row],[PROGRAMAÇÃO CLIENTE]],"mmm"))</f>
        <v>Jan</v>
      </c>
      <c r="BP1006" s="66">
        <f>YEAR(Prog_236[[#This Row],[PROGRAMAÇÃO CLIENTE]])</f>
        <v>1900</v>
      </c>
    </row>
    <row r="1007" spans="1:68" x14ac:dyDescent="0.25">
      <c r="A1007" s="200">
        <f>Prog_236[[#This Row],[CONTEINER]]</f>
        <v>0</v>
      </c>
      <c r="B1007" s="86"/>
      <c r="C10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7" s="44"/>
      <c r="E1007" s="66"/>
      <c r="F1007" s="66"/>
      <c r="G1007" s="66"/>
      <c r="H1007" s="44"/>
      <c r="I1007" s="44"/>
      <c r="J1007" s="66"/>
      <c r="K1007" s="66"/>
      <c r="L1007" s="66"/>
      <c r="M1007" s="66"/>
      <c r="N1007" s="66">
        <f>SUM(Prog_236[[#This Row],[TARA]]+Prog_236[[#This Row],[PESO]])</f>
        <v>0</v>
      </c>
      <c r="O1007" s="44"/>
      <c r="P1007" s="66"/>
      <c r="Q1007" s="66"/>
      <c r="R1007" s="66"/>
      <c r="S1007" s="66"/>
      <c r="T1007" s="138" t="str">
        <f>IFERROR(LOOKUP($S1007,MOTORISTAS!$D$3:$D$1048576,MOTORISTAS!E$3:$E$1048576),"")</f>
        <v/>
      </c>
      <c r="U1007" s="138" t="str">
        <f>IFERROR(LOOKUP($S1007,MOTORISTAS!$D$3:$D$1048576,MOTORISTAS!F$3:$F$1048576),"")</f>
        <v/>
      </c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44"/>
      <c r="AG1007" s="254">
        <f>Prog_236[[#This Row],[SAÍDA DO CLIENTE]]-Prog_236[[#This Row],[PROGRAMAÇÃO CLIENTE]]</f>
        <v>0</v>
      </c>
      <c r="AH1007" s="44"/>
      <c r="AI1007" s="66"/>
      <c r="AJ1007" s="66"/>
      <c r="AK1007" s="66"/>
      <c r="AL1007" s="66"/>
      <c r="AM1007" s="66"/>
      <c r="AN1007" s="83"/>
      <c r="AO1007" s="66"/>
      <c r="AP1007" s="66"/>
      <c r="AQ1007" s="66"/>
      <c r="AR1007" s="81"/>
      <c r="AS1007" s="81"/>
      <c r="AT1007" s="81"/>
      <c r="AU1007" s="81"/>
      <c r="AV1007" s="83">
        <f>SUM(Prog_236[[#This Row],[ADIANTAMENTO]]+Prog_236[[#This Row],[SALDO]]+Prog_236[[#This Row],[MARGEM]]+Prog_236[[#This Row],[ESTADIA 1]])</f>
        <v>0</v>
      </c>
      <c r="AW10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7" s="81"/>
      <c r="AY1007" s="81"/>
      <c r="AZ1007" s="81">
        <f>Prog_236[[#This Row],[VLR NF]]*0.1%</f>
        <v>0</v>
      </c>
      <c r="BA1007" s="81">
        <f>Prog_236[[#This Row],[VLR NF]]*0.05%</f>
        <v>0</v>
      </c>
      <c r="BB1007" s="81"/>
      <c r="BC1007" s="81"/>
      <c r="BD1007" s="81"/>
      <c r="BE1007" s="81"/>
      <c r="BF1007" s="81"/>
      <c r="BG1007" s="81"/>
      <c r="BH1007" s="81"/>
      <c r="BI1007" s="81"/>
      <c r="BJ1007" s="81"/>
      <c r="BK1007" s="81"/>
      <c r="BL1007" s="66"/>
      <c r="BM1007" s="66"/>
      <c r="BN1007" s="66"/>
      <c r="BO1007" s="66" t="str">
        <f>PROPER(TEXT(Prog_236[[#This Row],[PROGRAMAÇÃO CLIENTE]],"mmm"))</f>
        <v>Jan</v>
      </c>
      <c r="BP1007" s="66">
        <f>YEAR(Prog_236[[#This Row],[PROGRAMAÇÃO CLIENTE]])</f>
        <v>1900</v>
      </c>
    </row>
    <row r="1008" spans="1:68" x14ac:dyDescent="0.25">
      <c r="A1008" s="201">
        <f>Prog_236[[#This Row],[CONTEINER]]</f>
        <v>0</v>
      </c>
      <c r="B1008" s="86"/>
      <c r="C10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8" s="44"/>
      <c r="E1008" s="66"/>
      <c r="F1008" s="66"/>
      <c r="G1008" s="66"/>
      <c r="H1008" s="44"/>
      <c r="I1008" s="44"/>
      <c r="J1008" s="66"/>
      <c r="K1008" s="66"/>
      <c r="L1008" s="66"/>
      <c r="M1008" s="66"/>
      <c r="N1008" s="66">
        <f>SUM(Prog_236[[#This Row],[TARA]]+Prog_236[[#This Row],[PESO]])</f>
        <v>0</v>
      </c>
      <c r="O1008" s="44"/>
      <c r="P1008" s="66"/>
      <c r="Q1008" s="66"/>
      <c r="R1008" s="66"/>
      <c r="S1008" s="66"/>
      <c r="T1008" s="138" t="str">
        <f>IFERROR(LOOKUP($S1008,MOTORISTAS!$D$3:$D$1048576,MOTORISTAS!E$3:$E$1048576),"")</f>
        <v/>
      </c>
      <c r="U1008" s="138" t="str">
        <f>IFERROR(LOOKUP($S1008,MOTORISTAS!$D$3:$D$1048576,MOTORISTAS!F$3:$F$1048576),"")</f>
        <v/>
      </c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44"/>
      <c r="AG1008" s="254">
        <f>Prog_236[[#This Row],[SAÍDA DO CLIENTE]]-Prog_236[[#This Row],[PROGRAMAÇÃO CLIENTE]]</f>
        <v>0</v>
      </c>
      <c r="AH1008" s="44"/>
      <c r="AI1008" s="66"/>
      <c r="AJ1008" s="66"/>
      <c r="AK1008" s="66"/>
      <c r="AL1008" s="66"/>
      <c r="AM1008" s="66"/>
      <c r="AN1008" s="83"/>
      <c r="AO1008" s="66"/>
      <c r="AP1008" s="66"/>
      <c r="AQ1008" s="66"/>
      <c r="AR1008" s="81"/>
      <c r="AS1008" s="81"/>
      <c r="AT1008" s="81"/>
      <c r="AU1008" s="81"/>
      <c r="AV1008" s="83">
        <f>SUM(Prog_236[[#This Row],[ADIANTAMENTO]]+Prog_236[[#This Row],[SALDO]]+Prog_236[[#This Row],[MARGEM]]+Prog_236[[#This Row],[ESTADIA 1]])</f>
        <v>0</v>
      </c>
      <c r="AW10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8" s="81"/>
      <c r="AY1008" s="81"/>
      <c r="AZ1008" s="81">
        <f>Prog_236[[#This Row],[VLR NF]]*0.1%</f>
        <v>0</v>
      </c>
      <c r="BA1008" s="81">
        <f>Prog_236[[#This Row],[VLR NF]]*0.05%</f>
        <v>0</v>
      </c>
      <c r="BB1008" s="81"/>
      <c r="BC1008" s="81"/>
      <c r="BD1008" s="81"/>
      <c r="BE1008" s="81"/>
      <c r="BF1008" s="81"/>
      <c r="BG1008" s="81"/>
      <c r="BH1008" s="81"/>
      <c r="BI1008" s="81"/>
      <c r="BJ1008" s="81"/>
      <c r="BK1008" s="81"/>
      <c r="BL1008" s="66"/>
      <c r="BM1008" s="66"/>
      <c r="BN1008" s="66"/>
      <c r="BO1008" s="66" t="str">
        <f>PROPER(TEXT(Prog_236[[#This Row],[PROGRAMAÇÃO CLIENTE]],"mmm"))</f>
        <v>Jan</v>
      </c>
      <c r="BP1008" s="66">
        <f>YEAR(Prog_236[[#This Row],[PROGRAMAÇÃO CLIENTE]])</f>
        <v>1900</v>
      </c>
    </row>
    <row r="1009" spans="1:68" x14ac:dyDescent="0.25">
      <c r="A1009" s="200">
        <f>Prog_236[[#This Row],[CONTEINER]]</f>
        <v>0</v>
      </c>
      <c r="B1009" s="86"/>
      <c r="C10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09" s="44"/>
      <c r="E1009" s="66"/>
      <c r="F1009" s="66"/>
      <c r="G1009" s="66"/>
      <c r="H1009" s="44"/>
      <c r="I1009" s="44"/>
      <c r="J1009" s="66"/>
      <c r="K1009" s="66"/>
      <c r="L1009" s="66"/>
      <c r="M1009" s="66"/>
      <c r="N1009" s="66">
        <f>SUM(Prog_236[[#This Row],[TARA]]+Prog_236[[#This Row],[PESO]])</f>
        <v>0</v>
      </c>
      <c r="O1009" s="44"/>
      <c r="P1009" s="66"/>
      <c r="Q1009" s="66"/>
      <c r="R1009" s="66"/>
      <c r="S1009" s="66"/>
      <c r="T1009" s="138" t="str">
        <f>IFERROR(LOOKUP($S1009,MOTORISTAS!$D$3:$D$1048576,MOTORISTAS!E$3:$E$1048576),"")</f>
        <v/>
      </c>
      <c r="U1009" s="138" t="str">
        <f>IFERROR(LOOKUP($S1009,MOTORISTAS!$D$3:$D$1048576,MOTORISTAS!F$3:$F$1048576),"")</f>
        <v/>
      </c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44"/>
      <c r="AG1009" s="254">
        <f>Prog_236[[#This Row],[SAÍDA DO CLIENTE]]-Prog_236[[#This Row],[PROGRAMAÇÃO CLIENTE]]</f>
        <v>0</v>
      </c>
      <c r="AH1009" s="44"/>
      <c r="AI1009" s="66"/>
      <c r="AJ1009" s="66"/>
      <c r="AK1009" s="66"/>
      <c r="AL1009" s="66"/>
      <c r="AM1009" s="66"/>
      <c r="AN1009" s="83"/>
      <c r="AO1009" s="66"/>
      <c r="AP1009" s="66"/>
      <c r="AQ1009" s="66"/>
      <c r="AR1009" s="81"/>
      <c r="AS1009" s="81"/>
      <c r="AT1009" s="81"/>
      <c r="AU1009" s="81"/>
      <c r="AV1009" s="83">
        <f>SUM(Prog_236[[#This Row],[ADIANTAMENTO]]+Prog_236[[#This Row],[SALDO]]+Prog_236[[#This Row],[MARGEM]]+Prog_236[[#This Row],[ESTADIA 1]])</f>
        <v>0</v>
      </c>
      <c r="AW10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09" s="81"/>
      <c r="AY1009" s="81"/>
      <c r="AZ1009" s="81">
        <f>Prog_236[[#This Row],[VLR NF]]*0.1%</f>
        <v>0</v>
      </c>
      <c r="BA1009" s="81">
        <f>Prog_236[[#This Row],[VLR NF]]*0.05%</f>
        <v>0</v>
      </c>
      <c r="BB1009" s="81"/>
      <c r="BC1009" s="81"/>
      <c r="BD1009" s="81"/>
      <c r="BE1009" s="81"/>
      <c r="BF1009" s="81"/>
      <c r="BG1009" s="81"/>
      <c r="BH1009" s="81"/>
      <c r="BI1009" s="81"/>
      <c r="BJ1009" s="81"/>
      <c r="BK1009" s="81"/>
      <c r="BL1009" s="66"/>
      <c r="BM1009" s="66"/>
      <c r="BN1009" s="66"/>
      <c r="BO1009" s="66" t="str">
        <f>PROPER(TEXT(Prog_236[[#This Row],[PROGRAMAÇÃO CLIENTE]],"mmm"))</f>
        <v>Jan</v>
      </c>
      <c r="BP1009" s="66">
        <f>YEAR(Prog_236[[#This Row],[PROGRAMAÇÃO CLIENTE]])</f>
        <v>1900</v>
      </c>
    </row>
    <row r="1010" spans="1:68" x14ac:dyDescent="0.25">
      <c r="A1010" s="201">
        <f>Prog_236[[#This Row],[CONTEINER]]</f>
        <v>0</v>
      </c>
      <c r="B1010" s="86"/>
      <c r="C10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0" s="44"/>
      <c r="E1010" s="66"/>
      <c r="F1010" s="66"/>
      <c r="G1010" s="66"/>
      <c r="H1010" s="44"/>
      <c r="I1010" s="44"/>
      <c r="J1010" s="66"/>
      <c r="K1010" s="66"/>
      <c r="L1010" s="66"/>
      <c r="M1010" s="66"/>
      <c r="N1010" s="66">
        <f>SUM(Prog_236[[#This Row],[TARA]]+Prog_236[[#This Row],[PESO]])</f>
        <v>0</v>
      </c>
      <c r="O1010" s="44"/>
      <c r="P1010" s="66"/>
      <c r="Q1010" s="66"/>
      <c r="R1010" s="66"/>
      <c r="S1010" s="66"/>
      <c r="T1010" s="138" t="str">
        <f>IFERROR(LOOKUP($S1010,MOTORISTAS!$D$3:$D$1048576,MOTORISTAS!E$3:$E$1048576),"")</f>
        <v/>
      </c>
      <c r="U1010" s="138" t="str">
        <f>IFERROR(LOOKUP($S1010,MOTORISTAS!$D$3:$D$1048576,MOTORISTAS!F$3:$F$1048576),"")</f>
        <v/>
      </c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44"/>
      <c r="AG1010" s="254">
        <f>Prog_236[[#This Row],[SAÍDA DO CLIENTE]]-Prog_236[[#This Row],[PROGRAMAÇÃO CLIENTE]]</f>
        <v>0</v>
      </c>
      <c r="AH1010" s="44"/>
      <c r="AI1010" s="66"/>
      <c r="AJ1010" s="66"/>
      <c r="AK1010" s="66"/>
      <c r="AL1010" s="66"/>
      <c r="AM1010" s="66"/>
      <c r="AN1010" s="83"/>
      <c r="AO1010" s="66"/>
      <c r="AP1010" s="66"/>
      <c r="AQ1010" s="66"/>
      <c r="AR1010" s="81"/>
      <c r="AS1010" s="81"/>
      <c r="AT1010" s="81"/>
      <c r="AU1010" s="81"/>
      <c r="AV1010" s="83">
        <f>SUM(Prog_236[[#This Row],[ADIANTAMENTO]]+Prog_236[[#This Row],[SALDO]]+Prog_236[[#This Row],[MARGEM]]+Prog_236[[#This Row],[ESTADIA 1]])</f>
        <v>0</v>
      </c>
      <c r="AW10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0" s="81"/>
      <c r="AY1010" s="81"/>
      <c r="AZ1010" s="81">
        <f>Prog_236[[#This Row],[VLR NF]]*0.1%</f>
        <v>0</v>
      </c>
      <c r="BA1010" s="81">
        <f>Prog_236[[#This Row],[VLR NF]]*0.05%</f>
        <v>0</v>
      </c>
      <c r="BB1010" s="81"/>
      <c r="BC1010" s="81"/>
      <c r="BD1010" s="81"/>
      <c r="BE1010" s="81"/>
      <c r="BF1010" s="81"/>
      <c r="BG1010" s="81"/>
      <c r="BH1010" s="81"/>
      <c r="BI1010" s="81"/>
      <c r="BJ1010" s="81"/>
      <c r="BK1010" s="81"/>
      <c r="BL1010" s="66"/>
      <c r="BM1010" s="66"/>
      <c r="BN1010" s="66"/>
      <c r="BO1010" s="66" t="str">
        <f>PROPER(TEXT(Prog_236[[#This Row],[PROGRAMAÇÃO CLIENTE]],"mmm"))</f>
        <v>Jan</v>
      </c>
      <c r="BP1010" s="66">
        <f>YEAR(Prog_236[[#This Row],[PROGRAMAÇÃO CLIENTE]])</f>
        <v>1900</v>
      </c>
    </row>
    <row r="1011" spans="1:68" x14ac:dyDescent="0.25">
      <c r="A1011" s="200">
        <f>Prog_236[[#This Row],[CONTEINER]]</f>
        <v>0</v>
      </c>
      <c r="B1011" s="86"/>
      <c r="C10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1" s="44"/>
      <c r="E1011" s="66"/>
      <c r="F1011" s="66"/>
      <c r="G1011" s="66"/>
      <c r="H1011" s="44"/>
      <c r="I1011" s="44"/>
      <c r="J1011" s="66"/>
      <c r="K1011" s="66"/>
      <c r="L1011" s="66"/>
      <c r="M1011" s="66"/>
      <c r="N1011" s="66">
        <f>SUM(Prog_236[[#This Row],[TARA]]+Prog_236[[#This Row],[PESO]])</f>
        <v>0</v>
      </c>
      <c r="O1011" s="44"/>
      <c r="P1011" s="66"/>
      <c r="Q1011" s="66"/>
      <c r="R1011" s="66"/>
      <c r="S1011" s="66"/>
      <c r="T1011" s="138" t="str">
        <f>IFERROR(LOOKUP($S1011,MOTORISTAS!$D$3:$D$1048576,MOTORISTAS!E$3:$E$1048576),"")</f>
        <v/>
      </c>
      <c r="U1011" s="138" t="str">
        <f>IFERROR(LOOKUP($S1011,MOTORISTAS!$D$3:$D$1048576,MOTORISTAS!F$3:$F$1048576),"")</f>
        <v/>
      </c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44"/>
      <c r="AG1011" s="254">
        <f>Prog_236[[#This Row],[SAÍDA DO CLIENTE]]-Prog_236[[#This Row],[PROGRAMAÇÃO CLIENTE]]</f>
        <v>0</v>
      </c>
      <c r="AH1011" s="44"/>
      <c r="AI1011" s="66"/>
      <c r="AJ1011" s="66"/>
      <c r="AK1011" s="66"/>
      <c r="AL1011" s="66"/>
      <c r="AM1011" s="66"/>
      <c r="AN1011" s="83"/>
      <c r="AO1011" s="66"/>
      <c r="AP1011" s="66"/>
      <c r="AQ1011" s="66"/>
      <c r="AR1011" s="81"/>
      <c r="AS1011" s="81"/>
      <c r="AT1011" s="81"/>
      <c r="AU1011" s="81"/>
      <c r="AV1011" s="83">
        <f>SUM(Prog_236[[#This Row],[ADIANTAMENTO]]+Prog_236[[#This Row],[SALDO]]+Prog_236[[#This Row],[MARGEM]]+Prog_236[[#This Row],[ESTADIA 1]])</f>
        <v>0</v>
      </c>
      <c r="AW10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1" s="81"/>
      <c r="AY1011" s="81"/>
      <c r="AZ1011" s="81">
        <f>Prog_236[[#This Row],[VLR NF]]*0.1%</f>
        <v>0</v>
      </c>
      <c r="BA1011" s="81">
        <f>Prog_236[[#This Row],[VLR NF]]*0.05%</f>
        <v>0</v>
      </c>
      <c r="BB1011" s="81"/>
      <c r="BC1011" s="81"/>
      <c r="BD1011" s="81"/>
      <c r="BE1011" s="81"/>
      <c r="BF1011" s="81"/>
      <c r="BG1011" s="81"/>
      <c r="BH1011" s="81"/>
      <c r="BI1011" s="81"/>
      <c r="BJ1011" s="81"/>
      <c r="BK1011" s="81"/>
      <c r="BL1011" s="66"/>
      <c r="BM1011" s="66"/>
      <c r="BN1011" s="66"/>
      <c r="BO1011" s="66" t="str">
        <f>PROPER(TEXT(Prog_236[[#This Row],[PROGRAMAÇÃO CLIENTE]],"mmm"))</f>
        <v>Jan</v>
      </c>
      <c r="BP1011" s="66">
        <f>YEAR(Prog_236[[#This Row],[PROGRAMAÇÃO CLIENTE]])</f>
        <v>1900</v>
      </c>
    </row>
    <row r="1012" spans="1:68" x14ac:dyDescent="0.25">
      <c r="A1012" s="201">
        <f>Prog_236[[#This Row],[CONTEINER]]</f>
        <v>0</v>
      </c>
      <c r="B1012" s="86"/>
      <c r="C10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2" s="44"/>
      <c r="E1012" s="66"/>
      <c r="F1012" s="66"/>
      <c r="G1012" s="66"/>
      <c r="H1012" s="44"/>
      <c r="I1012" s="44"/>
      <c r="J1012" s="66"/>
      <c r="K1012" s="66"/>
      <c r="L1012" s="66"/>
      <c r="M1012" s="66"/>
      <c r="N1012" s="66">
        <f>SUM(Prog_236[[#This Row],[TARA]]+Prog_236[[#This Row],[PESO]])</f>
        <v>0</v>
      </c>
      <c r="O1012" s="44"/>
      <c r="P1012" s="66"/>
      <c r="Q1012" s="66"/>
      <c r="R1012" s="66"/>
      <c r="S1012" s="66"/>
      <c r="T1012" s="138" t="str">
        <f>IFERROR(LOOKUP($S1012,MOTORISTAS!$D$3:$D$1048576,MOTORISTAS!E$3:$E$1048576),"")</f>
        <v/>
      </c>
      <c r="U1012" s="138" t="str">
        <f>IFERROR(LOOKUP($S1012,MOTORISTAS!$D$3:$D$1048576,MOTORISTAS!F$3:$F$1048576),"")</f>
        <v/>
      </c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44"/>
      <c r="AG1012" s="254">
        <f>Prog_236[[#This Row],[SAÍDA DO CLIENTE]]-Prog_236[[#This Row],[PROGRAMAÇÃO CLIENTE]]</f>
        <v>0</v>
      </c>
      <c r="AH1012" s="44"/>
      <c r="AI1012" s="66"/>
      <c r="AJ1012" s="66"/>
      <c r="AK1012" s="66"/>
      <c r="AL1012" s="66"/>
      <c r="AM1012" s="66"/>
      <c r="AN1012" s="83"/>
      <c r="AO1012" s="66"/>
      <c r="AP1012" s="66"/>
      <c r="AQ1012" s="66"/>
      <c r="AR1012" s="81"/>
      <c r="AS1012" s="81"/>
      <c r="AT1012" s="81"/>
      <c r="AU1012" s="81"/>
      <c r="AV1012" s="83">
        <f>SUM(Prog_236[[#This Row],[ADIANTAMENTO]]+Prog_236[[#This Row],[SALDO]]+Prog_236[[#This Row],[MARGEM]]+Prog_236[[#This Row],[ESTADIA 1]])</f>
        <v>0</v>
      </c>
      <c r="AW10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2" s="81"/>
      <c r="AY1012" s="81"/>
      <c r="AZ1012" s="81">
        <f>Prog_236[[#This Row],[VLR NF]]*0.1%</f>
        <v>0</v>
      </c>
      <c r="BA1012" s="81">
        <f>Prog_236[[#This Row],[VLR NF]]*0.05%</f>
        <v>0</v>
      </c>
      <c r="BB1012" s="81"/>
      <c r="BC1012" s="81"/>
      <c r="BD1012" s="81"/>
      <c r="BE1012" s="81"/>
      <c r="BF1012" s="81"/>
      <c r="BG1012" s="81"/>
      <c r="BH1012" s="81"/>
      <c r="BI1012" s="81"/>
      <c r="BJ1012" s="81"/>
      <c r="BK1012" s="81"/>
      <c r="BL1012" s="66"/>
      <c r="BM1012" s="66"/>
      <c r="BN1012" s="66"/>
      <c r="BO1012" s="66" t="str">
        <f>PROPER(TEXT(Prog_236[[#This Row],[PROGRAMAÇÃO CLIENTE]],"mmm"))</f>
        <v>Jan</v>
      </c>
      <c r="BP1012" s="66">
        <f>YEAR(Prog_236[[#This Row],[PROGRAMAÇÃO CLIENTE]])</f>
        <v>1900</v>
      </c>
    </row>
    <row r="1013" spans="1:68" x14ac:dyDescent="0.25">
      <c r="A1013" s="200">
        <f>Prog_236[[#This Row],[CONTEINER]]</f>
        <v>0</v>
      </c>
      <c r="B1013" s="86"/>
      <c r="C10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3" s="44"/>
      <c r="E1013" s="66"/>
      <c r="F1013" s="66"/>
      <c r="G1013" s="66"/>
      <c r="H1013" s="44"/>
      <c r="I1013" s="44"/>
      <c r="J1013" s="66"/>
      <c r="K1013" s="66"/>
      <c r="L1013" s="66"/>
      <c r="M1013" s="66"/>
      <c r="N1013" s="66">
        <f>SUM(Prog_236[[#This Row],[TARA]]+Prog_236[[#This Row],[PESO]])</f>
        <v>0</v>
      </c>
      <c r="O1013" s="44"/>
      <c r="P1013" s="66"/>
      <c r="Q1013" s="66"/>
      <c r="R1013" s="66"/>
      <c r="S1013" s="66"/>
      <c r="T1013" s="138" t="str">
        <f>IFERROR(LOOKUP($S1013,MOTORISTAS!$D$3:$D$1048576,MOTORISTAS!E$3:$E$1048576),"")</f>
        <v/>
      </c>
      <c r="U1013" s="138" t="str">
        <f>IFERROR(LOOKUP($S1013,MOTORISTAS!$D$3:$D$1048576,MOTORISTAS!F$3:$F$1048576),"")</f>
        <v/>
      </c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44"/>
      <c r="AG1013" s="254">
        <f>Prog_236[[#This Row],[SAÍDA DO CLIENTE]]-Prog_236[[#This Row],[PROGRAMAÇÃO CLIENTE]]</f>
        <v>0</v>
      </c>
      <c r="AH1013" s="44"/>
      <c r="AI1013" s="66"/>
      <c r="AJ1013" s="66"/>
      <c r="AK1013" s="66"/>
      <c r="AL1013" s="66"/>
      <c r="AM1013" s="66"/>
      <c r="AN1013" s="83"/>
      <c r="AO1013" s="66"/>
      <c r="AP1013" s="66"/>
      <c r="AQ1013" s="66"/>
      <c r="AR1013" s="81"/>
      <c r="AS1013" s="81"/>
      <c r="AT1013" s="81"/>
      <c r="AU1013" s="81"/>
      <c r="AV1013" s="83">
        <f>SUM(Prog_236[[#This Row],[ADIANTAMENTO]]+Prog_236[[#This Row],[SALDO]]+Prog_236[[#This Row],[MARGEM]]+Prog_236[[#This Row],[ESTADIA 1]])</f>
        <v>0</v>
      </c>
      <c r="AW10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3" s="81"/>
      <c r="AY1013" s="81"/>
      <c r="AZ1013" s="81">
        <f>Prog_236[[#This Row],[VLR NF]]*0.1%</f>
        <v>0</v>
      </c>
      <c r="BA1013" s="81">
        <f>Prog_236[[#This Row],[VLR NF]]*0.05%</f>
        <v>0</v>
      </c>
      <c r="BB1013" s="81"/>
      <c r="BC1013" s="81"/>
      <c r="BD1013" s="81"/>
      <c r="BE1013" s="81"/>
      <c r="BF1013" s="81"/>
      <c r="BG1013" s="81"/>
      <c r="BH1013" s="81"/>
      <c r="BI1013" s="81"/>
      <c r="BJ1013" s="81"/>
      <c r="BK1013" s="81"/>
      <c r="BL1013" s="66"/>
      <c r="BM1013" s="66"/>
      <c r="BN1013" s="66"/>
      <c r="BO1013" s="66" t="str">
        <f>PROPER(TEXT(Prog_236[[#This Row],[PROGRAMAÇÃO CLIENTE]],"mmm"))</f>
        <v>Jan</v>
      </c>
      <c r="BP1013" s="66">
        <f>YEAR(Prog_236[[#This Row],[PROGRAMAÇÃO CLIENTE]])</f>
        <v>1900</v>
      </c>
    </row>
    <row r="1014" spans="1:68" x14ac:dyDescent="0.25">
      <c r="A1014" s="201">
        <f>Prog_236[[#This Row],[CONTEINER]]</f>
        <v>0</v>
      </c>
      <c r="B1014" s="86"/>
      <c r="C10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4" s="44"/>
      <c r="E1014" s="66"/>
      <c r="F1014" s="66"/>
      <c r="G1014" s="66"/>
      <c r="H1014" s="44"/>
      <c r="I1014" s="44"/>
      <c r="J1014" s="66"/>
      <c r="K1014" s="66"/>
      <c r="L1014" s="66"/>
      <c r="M1014" s="66"/>
      <c r="N1014" s="66">
        <f>SUM(Prog_236[[#This Row],[TARA]]+Prog_236[[#This Row],[PESO]])</f>
        <v>0</v>
      </c>
      <c r="O1014" s="44"/>
      <c r="P1014" s="66"/>
      <c r="Q1014" s="66"/>
      <c r="R1014" s="66"/>
      <c r="S1014" s="66"/>
      <c r="T1014" s="138" t="str">
        <f>IFERROR(LOOKUP($S1014,MOTORISTAS!$D$3:$D$1048576,MOTORISTAS!E$3:$E$1048576),"")</f>
        <v/>
      </c>
      <c r="U1014" s="138" t="str">
        <f>IFERROR(LOOKUP($S1014,MOTORISTAS!$D$3:$D$1048576,MOTORISTAS!F$3:$F$1048576),"")</f>
        <v/>
      </c>
      <c r="V1014" s="66"/>
      <c r="W1014" s="66"/>
      <c r="X1014" s="66"/>
      <c r="Y1014" s="66"/>
      <c r="Z1014" s="66"/>
      <c r="AA1014" s="66"/>
      <c r="AB1014" s="66"/>
      <c r="AC1014" s="66"/>
      <c r="AD1014" s="66"/>
      <c r="AE1014" s="66"/>
      <c r="AF1014" s="44"/>
      <c r="AG1014" s="254">
        <f>Prog_236[[#This Row],[SAÍDA DO CLIENTE]]-Prog_236[[#This Row],[PROGRAMAÇÃO CLIENTE]]</f>
        <v>0</v>
      </c>
      <c r="AH1014" s="44"/>
      <c r="AI1014" s="66"/>
      <c r="AJ1014" s="66"/>
      <c r="AK1014" s="66"/>
      <c r="AL1014" s="66"/>
      <c r="AM1014" s="66"/>
      <c r="AN1014" s="83"/>
      <c r="AO1014" s="66"/>
      <c r="AP1014" s="66"/>
      <c r="AQ1014" s="66"/>
      <c r="AR1014" s="81"/>
      <c r="AS1014" s="81"/>
      <c r="AT1014" s="81"/>
      <c r="AU1014" s="81"/>
      <c r="AV1014" s="83">
        <f>SUM(Prog_236[[#This Row],[ADIANTAMENTO]]+Prog_236[[#This Row],[SALDO]]+Prog_236[[#This Row],[MARGEM]]+Prog_236[[#This Row],[ESTADIA 1]])</f>
        <v>0</v>
      </c>
      <c r="AW10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4" s="81"/>
      <c r="AY1014" s="81"/>
      <c r="AZ1014" s="81">
        <f>Prog_236[[#This Row],[VLR NF]]*0.1%</f>
        <v>0</v>
      </c>
      <c r="BA1014" s="81">
        <f>Prog_236[[#This Row],[VLR NF]]*0.05%</f>
        <v>0</v>
      </c>
      <c r="BB1014" s="81"/>
      <c r="BC1014" s="81"/>
      <c r="BD1014" s="81"/>
      <c r="BE1014" s="81"/>
      <c r="BF1014" s="81"/>
      <c r="BG1014" s="81"/>
      <c r="BH1014" s="81"/>
      <c r="BI1014" s="81"/>
      <c r="BJ1014" s="81"/>
      <c r="BK1014" s="81"/>
      <c r="BL1014" s="66"/>
      <c r="BM1014" s="66"/>
      <c r="BN1014" s="66"/>
      <c r="BO1014" s="66" t="str">
        <f>PROPER(TEXT(Prog_236[[#This Row],[PROGRAMAÇÃO CLIENTE]],"mmm"))</f>
        <v>Jan</v>
      </c>
      <c r="BP1014" s="66">
        <f>YEAR(Prog_236[[#This Row],[PROGRAMAÇÃO CLIENTE]])</f>
        <v>1900</v>
      </c>
    </row>
    <row r="1015" spans="1:68" x14ac:dyDescent="0.25">
      <c r="A1015" s="200">
        <f>Prog_236[[#This Row],[CONTEINER]]</f>
        <v>0</v>
      </c>
      <c r="B1015" s="86"/>
      <c r="C10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5" s="44"/>
      <c r="E1015" s="66"/>
      <c r="F1015" s="66"/>
      <c r="G1015" s="66"/>
      <c r="H1015" s="44"/>
      <c r="I1015" s="44"/>
      <c r="J1015" s="66"/>
      <c r="K1015" s="66"/>
      <c r="L1015" s="66"/>
      <c r="M1015" s="66"/>
      <c r="N1015" s="66">
        <f>SUM(Prog_236[[#This Row],[TARA]]+Prog_236[[#This Row],[PESO]])</f>
        <v>0</v>
      </c>
      <c r="O1015" s="44"/>
      <c r="P1015" s="66"/>
      <c r="Q1015" s="66"/>
      <c r="R1015" s="66"/>
      <c r="S1015" s="66"/>
      <c r="T1015" s="138" t="str">
        <f>IFERROR(LOOKUP($S1015,MOTORISTAS!$D$3:$D$1048576,MOTORISTAS!E$3:$E$1048576),"")</f>
        <v/>
      </c>
      <c r="U1015" s="138" t="str">
        <f>IFERROR(LOOKUP($S1015,MOTORISTAS!$D$3:$D$1048576,MOTORISTAS!F$3:$F$1048576),"")</f>
        <v/>
      </c>
      <c r="V1015" s="66"/>
      <c r="W1015" s="66"/>
      <c r="X1015" s="66"/>
      <c r="Y1015" s="66"/>
      <c r="Z1015" s="66"/>
      <c r="AA1015" s="66"/>
      <c r="AB1015" s="66"/>
      <c r="AC1015" s="66"/>
      <c r="AD1015" s="66"/>
      <c r="AE1015" s="66"/>
      <c r="AF1015" s="44"/>
      <c r="AG1015" s="254">
        <f>Prog_236[[#This Row],[SAÍDA DO CLIENTE]]-Prog_236[[#This Row],[PROGRAMAÇÃO CLIENTE]]</f>
        <v>0</v>
      </c>
      <c r="AH1015" s="44"/>
      <c r="AI1015" s="66"/>
      <c r="AJ1015" s="66"/>
      <c r="AK1015" s="66"/>
      <c r="AL1015" s="66"/>
      <c r="AM1015" s="66"/>
      <c r="AN1015" s="83"/>
      <c r="AO1015" s="66"/>
      <c r="AP1015" s="66"/>
      <c r="AQ1015" s="66"/>
      <c r="AR1015" s="81"/>
      <c r="AS1015" s="81"/>
      <c r="AT1015" s="81"/>
      <c r="AU1015" s="81"/>
      <c r="AV1015" s="83">
        <f>SUM(Prog_236[[#This Row],[ADIANTAMENTO]]+Prog_236[[#This Row],[SALDO]]+Prog_236[[#This Row],[MARGEM]]+Prog_236[[#This Row],[ESTADIA 1]])</f>
        <v>0</v>
      </c>
      <c r="AW10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5" s="81"/>
      <c r="AY1015" s="81"/>
      <c r="AZ1015" s="81">
        <f>Prog_236[[#This Row],[VLR NF]]*0.1%</f>
        <v>0</v>
      </c>
      <c r="BA1015" s="81">
        <f>Prog_236[[#This Row],[VLR NF]]*0.05%</f>
        <v>0</v>
      </c>
      <c r="BB1015" s="81"/>
      <c r="BC1015" s="81"/>
      <c r="BD1015" s="81"/>
      <c r="BE1015" s="81"/>
      <c r="BF1015" s="81"/>
      <c r="BG1015" s="81"/>
      <c r="BH1015" s="81"/>
      <c r="BI1015" s="81"/>
      <c r="BJ1015" s="81"/>
      <c r="BK1015" s="81"/>
      <c r="BL1015" s="66"/>
      <c r="BM1015" s="66"/>
      <c r="BN1015" s="66"/>
      <c r="BO1015" s="66" t="str">
        <f>PROPER(TEXT(Prog_236[[#This Row],[PROGRAMAÇÃO CLIENTE]],"mmm"))</f>
        <v>Jan</v>
      </c>
      <c r="BP1015" s="66">
        <f>YEAR(Prog_236[[#This Row],[PROGRAMAÇÃO CLIENTE]])</f>
        <v>1900</v>
      </c>
    </row>
    <row r="1016" spans="1:68" x14ac:dyDescent="0.25">
      <c r="A1016" s="201">
        <f>Prog_236[[#This Row],[CONTEINER]]</f>
        <v>0</v>
      </c>
      <c r="B1016" s="86"/>
      <c r="C10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6" s="44"/>
      <c r="E1016" s="66"/>
      <c r="F1016" s="66"/>
      <c r="G1016" s="66"/>
      <c r="H1016" s="44"/>
      <c r="I1016" s="44"/>
      <c r="J1016" s="66"/>
      <c r="K1016" s="66"/>
      <c r="L1016" s="66"/>
      <c r="M1016" s="66"/>
      <c r="N1016" s="66">
        <f>SUM(Prog_236[[#This Row],[TARA]]+Prog_236[[#This Row],[PESO]])</f>
        <v>0</v>
      </c>
      <c r="O1016" s="44"/>
      <c r="P1016" s="66"/>
      <c r="Q1016" s="66"/>
      <c r="R1016" s="66"/>
      <c r="S1016" s="66"/>
      <c r="T1016" s="138" t="str">
        <f>IFERROR(LOOKUP($S1016,MOTORISTAS!$D$3:$D$1048576,MOTORISTAS!E$3:$E$1048576),"")</f>
        <v/>
      </c>
      <c r="U1016" s="138" t="str">
        <f>IFERROR(LOOKUP($S1016,MOTORISTAS!$D$3:$D$1048576,MOTORISTAS!F$3:$F$1048576),"")</f>
        <v/>
      </c>
      <c r="V1016" s="66"/>
      <c r="W1016" s="66"/>
      <c r="X1016" s="66"/>
      <c r="Y1016" s="66"/>
      <c r="Z1016" s="66"/>
      <c r="AA1016" s="66"/>
      <c r="AB1016" s="66"/>
      <c r="AC1016" s="66"/>
      <c r="AD1016" s="66"/>
      <c r="AE1016" s="66"/>
      <c r="AF1016" s="44"/>
      <c r="AG1016" s="254">
        <f>Prog_236[[#This Row],[SAÍDA DO CLIENTE]]-Prog_236[[#This Row],[PROGRAMAÇÃO CLIENTE]]</f>
        <v>0</v>
      </c>
      <c r="AH1016" s="44"/>
      <c r="AI1016" s="66"/>
      <c r="AJ1016" s="66"/>
      <c r="AK1016" s="66"/>
      <c r="AL1016" s="66"/>
      <c r="AM1016" s="66"/>
      <c r="AN1016" s="83"/>
      <c r="AO1016" s="66"/>
      <c r="AP1016" s="66"/>
      <c r="AQ1016" s="66"/>
      <c r="AR1016" s="81"/>
      <c r="AS1016" s="81"/>
      <c r="AT1016" s="81"/>
      <c r="AU1016" s="81"/>
      <c r="AV1016" s="83">
        <f>SUM(Prog_236[[#This Row],[ADIANTAMENTO]]+Prog_236[[#This Row],[SALDO]]+Prog_236[[#This Row],[MARGEM]]+Prog_236[[#This Row],[ESTADIA 1]])</f>
        <v>0</v>
      </c>
      <c r="AW10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6" s="81"/>
      <c r="AY1016" s="81"/>
      <c r="AZ1016" s="81">
        <f>Prog_236[[#This Row],[VLR NF]]*0.1%</f>
        <v>0</v>
      </c>
      <c r="BA1016" s="81">
        <f>Prog_236[[#This Row],[VLR NF]]*0.05%</f>
        <v>0</v>
      </c>
      <c r="BB1016" s="81"/>
      <c r="BC1016" s="81"/>
      <c r="BD1016" s="81"/>
      <c r="BE1016" s="81"/>
      <c r="BF1016" s="81"/>
      <c r="BG1016" s="81"/>
      <c r="BH1016" s="81"/>
      <c r="BI1016" s="81"/>
      <c r="BJ1016" s="81"/>
      <c r="BK1016" s="81"/>
      <c r="BL1016" s="66"/>
      <c r="BM1016" s="66"/>
      <c r="BN1016" s="66"/>
      <c r="BO1016" s="66" t="str">
        <f>PROPER(TEXT(Prog_236[[#This Row],[PROGRAMAÇÃO CLIENTE]],"mmm"))</f>
        <v>Jan</v>
      </c>
      <c r="BP1016" s="66">
        <f>YEAR(Prog_236[[#This Row],[PROGRAMAÇÃO CLIENTE]])</f>
        <v>1900</v>
      </c>
    </row>
    <row r="1017" spans="1:68" x14ac:dyDescent="0.25">
      <c r="A1017" s="200">
        <f>Prog_236[[#This Row],[CONTEINER]]</f>
        <v>0</v>
      </c>
      <c r="B1017" s="86"/>
      <c r="C10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7" s="44"/>
      <c r="E1017" s="66"/>
      <c r="F1017" s="66"/>
      <c r="G1017" s="66"/>
      <c r="H1017" s="44"/>
      <c r="I1017" s="44"/>
      <c r="J1017" s="66"/>
      <c r="K1017" s="66"/>
      <c r="L1017" s="66"/>
      <c r="M1017" s="66"/>
      <c r="N1017" s="66">
        <f>SUM(Prog_236[[#This Row],[TARA]]+Prog_236[[#This Row],[PESO]])</f>
        <v>0</v>
      </c>
      <c r="O1017" s="44"/>
      <c r="P1017" s="66"/>
      <c r="Q1017" s="66"/>
      <c r="R1017" s="66"/>
      <c r="S1017" s="66"/>
      <c r="T1017" s="138" t="str">
        <f>IFERROR(LOOKUP($S1017,MOTORISTAS!$D$3:$D$1048576,MOTORISTAS!E$3:$E$1048576),"")</f>
        <v/>
      </c>
      <c r="U1017" s="138" t="str">
        <f>IFERROR(LOOKUP($S1017,MOTORISTAS!$D$3:$D$1048576,MOTORISTAS!F$3:$F$1048576),"")</f>
        <v/>
      </c>
      <c r="V1017" s="66"/>
      <c r="W1017" s="66"/>
      <c r="X1017" s="66"/>
      <c r="Y1017" s="66"/>
      <c r="Z1017" s="66"/>
      <c r="AA1017" s="66"/>
      <c r="AB1017" s="66"/>
      <c r="AC1017" s="66"/>
      <c r="AD1017" s="66"/>
      <c r="AE1017" s="66"/>
      <c r="AF1017" s="44"/>
      <c r="AG1017" s="254">
        <f>Prog_236[[#This Row],[SAÍDA DO CLIENTE]]-Prog_236[[#This Row],[PROGRAMAÇÃO CLIENTE]]</f>
        <v>0</v>
      </c>
      <c r="AH1017" s="44"/>
      <c r="AI1017" s="66"/>
      <c r="AJ1017" s="66"/>
      <c r="AK1017" s="66"/>
      <c r="AL1017" s="66"/>
      <c r="AM1017" s="66"/>
      <c r="AN1017" s="83"/>
      <c r="AO1017" s="66"/>
      <c r="AP1017" s="66"/>
      <c r="AQ1017" s="66"/>
      <c r="AR1017" s="81"/>
      <c r="AS1017" s="81"/>
      <c r="AT1017" s="81"/>
      <c r="AU1017" s="81"/>
      <c r="AV1017" s="83">
        <f>SUM(Prog_236[[#This Row],[ADIANTAMENTO]]+Prog_236[[#This Row],[SALDO]]+Prog_236[[#This Row],[MARGEM]]+Prog_236[[#This Row],[ESTADIA 1]])</f>
        <v>0</v>
      </c>
      <c r="AW10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7" s="81"/>
      <c r="AY1017" s="81"/>
      <c r="AZ1017" s="81">
        <f>Prog_236[[#This Row],[VLR NF]]*0.1%</f>
        <v>0</v>
      </c>
      <c r="BA1017" s="81">
        <f>Prog_236[[#This Row],[VLR NF]]*0.05%</f>
        <v>0</v>
      </c>
      <c r="BB1017" s="81"/>
      <c r="BC1017" s="81"/>
      <c r="BD1017" s="81"/>
      <c r="BE1017" s="81"/>
      <c r="BF1017" s="81"/>
      <c r="BG1017" s="81"/>
      <c r="BH1017" s="81"/>
      <c r="BI1017" s="81"/>
      <c r="BJ1017" s="81"/>
      <c r="BK1017" s="81"/>
      <c r="BL1017" s="66"/>
      <c r="BM1017" s="66"/>
      <c r="BN1017" s="66"/>
      <c r="BO1017" s="66" t="str">
        <f>PROPER(TEXT(Prog_236[[#This Row],[PROGRAMAÇÃO CLIENTE]],"mmm"))</f>
        <v>Jan</v>
      </c>
      <c r="BP1017" s="66">
        <f>YEAR(Prog_236[[#This Row],[PROGRAMAÇÃO CLIENTE]])</f>
        <v>1900</v>
      </c>
    </row>
    <row r="1018" spans="1:68" x14ac:dyDescent="0.25">
      <c r="A1018" s="201">
        <f>Prog_236[[#This Row],[CONTEINER]]</f>
        <v>0</v>
      </c>
      <c r="B1018" s="86"/>
      <c r="C10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8" s="44"/>
      <c r="E1018" s="66"/>
      <c r="F1018" s="66"/>
      <c r="G1018" s="66"/>
      <c r="H1018" s="44"/>
      <c r="I1018" s="44"/>
      <c r="J1018" s="66"/>
      <c r="K1018" s="66"/>
      <c r="L1018" s="66"/>
      <c r="M1018" s="66"/>
      <c r="N1018" s="66">
        <f>SUM(Prog_236[[#This Row],[TARA]]+Prog_236[[#This Row],[PESO]])</f>
        <v>0</v>
      </c>
      <c r="O1018" s="44"/>
      <c r="P1018" s="66"/>
      <c r="Q1018" s="66"/>
      <c r="R1018" s="66"/>
      <c r="S1018" s="66"/>
      <c r="T1018" s="138" t="str">
        <f>IFERROR(LOOKUP($S1018,MOTORISTAS!$D$3:$D$1048576,MOTORISTAS!E$3:$E$1048576),"")</f>
        <v/>
      </c>
      <c r="U1018" s="138" t="str">
        <f>IFERROR(LOOKUP($S1018,MOTORISTAS!$D$3:$D$1048576,MOTORISTAS!F$3:$F$1048576),"")</f>
        <v/>
      </c>
      <c r="V1018" s="66"/>
      <c r="W1018" s="66"/>
      <c r="X1018" s="66"/>
      <c r="Y1018" s="66"/>
      <c r="Z1018" s="66"/>
      <c r="AA1018" s="66"/>
      <c r="AB1018" s="66"/>
      <c r="AC1018" s="66"/>
      <c r="AD1018" s="66"/>
      <c r="AE1018" s="66"/>
      <c r="AF1018" s="44"/>
      <c r="AG1018" s="254">
        <f>Prog_236[[#This Row],[SAÍDA DO CLIENTE]]-Prog_236[[#This Row],[PROGRAMAÇÃO CLIENTE]]</f>
        <v>0</v>
      </c>
      <c r="AH1018" s="44"/>
      <c r="AI1018" s="66"/>
      <c r="AJ1018" s="66"/>
      <c r="AK1018" s="66"/>
      <c r="AL1018" s="66"/>
      <c r="AM1018" s="66"/>
      <c r="AN1018" s="83"/>
      <c r="AO1018" s="66"/>
      <c r="AP1018" s="66"/>
      <c r="AQ1018" s="66"/>
      <c r="AR1018" s="81"/>
      <c r="AS1018" s="81"/>
      <c r="AT1018" s="81"/>
      <c r="AU1018" s="81"/>
      <c r="AV1018" s="83">
        <f>SUM(Prog_236[[#This Row],[ADIANTAMENTO]]+Prog_236[[#This Row],[SALDO]]+Prog_236[[#This Row],[MARGEM]]+Prog_236[[#This Row],[ESTADIA 1]])</f>
        <v>0</v>
      </c>
      <c r="AW10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8" s="81"/>
      <c r="AY1018" s="81"/>
      <c r="AZ1018" s="81">
        <f>Prog_236[[#This Row],[VLR NF]]*0.1%</f>
        <v>0</v>
      </c>
      <c r="BA1018" s="81">
        <f>Prog_236[[#This Row],[VLR NF]]*0.05%</f>
        <v>0</v>
      </c>
      <c r="BB1018" s="81"/>
      <c r="BC1018" s="81"/>
      <c r="BD1018" s="81"/>
      <c r="BE1018" s="81"/>
      <c r="BF1018" s="81"/>
      <c r="BG1018" s="81"/>
      <c r="BH1018" s="81"/>
      <c r="BI1018" s="81"/>
      <c r="BJ1018" s="81"/>
      <c r="BK1018" s="81"/>
      <c r="BL1018" s="66"/>
      <c r="BM1018" s="66"/>
      <c r="BN1018" s="66"/>
      <c r="BO1018" s="66" t="str">
        <f>PROPER(TEXT(Prog_236[[#This Row],[PROGRAMAÇÃO CLIENTE]],"mmm"))</f>
        <v>Jan</v>
      </c>
      <c r="BP1018" s="66">
        <f>YEAR(Prog_236[[#This Row],[PROGRAMAÇÃO CLIENTE]])</f>
        <v>1900</v>
      </c>
    </row>
    <row r="1019" spans="1:68" x14ac:dyDescent="0.25">
      <c r="A1019" s="200">
        <f>Prog_236[[#This Row],[CONTEINER]]</f>
        <v>0</v>
      </c>
      <c r="B1019" s="86"/>
      <c r="C10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19" s="44"/>
      <c r="E1019" s="66"/>
      <c r="F1019" s="66"/>
      <c r="G1019" s="66"/>
      <c r="H1019" s="44"/>
      <c r="I1019" s="44"/>
      <c r="J1019" s="66"/>
      <c r="K1019" s="66"/>
      <c r="L1019" s="66"/>
      <c r="M1019" s="66"/>
      <c r="N1019" s="66">
        <f>SUM(Prog_236[[#This Row],[TARA]]+Prog_236[[#This Row],[PESO]])</f>
        <v>0</v>
      </c>
      <c r="O1019" s="44"/>
      <c r="P1019" s="66"/>
      <c r="Q1019" s="66"/>
      <c r="R1019" s="66"/>
      <c r="S1019" s="66"/>
      <c r="T1019" s="138" t="str">
        <f>IFERROR(LOOKUP($S1019,MOTORISTAS!$D$3:$D$1048576,MOTORISTAS!E$3:$E$1048576),"")</f>
        <v/>
      </c>
      <c r="U1019" s="138" t="str">
        <f>IFERROR(LOOKUP($S1019,MOTORISTAS!$D$3:$D$1048576,MOTORISTAS!F$3:$F$1048576),"")</f>
        <v/>
      </c>
      <c r="V1019" s="66"/>
      <c r="W1019" s="66"/>
      <c r="X1019" s="66"/>
      <c r="Y1019" s="66"/>
      <c r="Z1019" s="66"/>
      <c r="AA1019" s="66"/>
      <c r="AB1019" s="66"/>
      <c r="AC1019" s="66"/>
      <c r="AD1019" s="66"/>
      <c r="AE1019" s="66"/>
      <c r="AF1019" s="44"/>
      <c r="AG1019" s="254">
        <f>Prog_236[[#This Row],[SAÍDA DO CLIENTE]]-Prog_236[[#This Row],[PROGRAMAÇÃO CLIENTE]]</f>
        <v>0</v>
      </c>
      <c r="AH1019" s="44"/>
      <c r="AI1019" s="66"/>
      <c r="AJ1019" s="66"/>
      <c r="AK1019" s="66"/>
      <c r="AL1019" s="66"/>
      <c r="AM1019" s="66"/>
      <c r="AN1019" s="83"/>
      <c r="AO1019" s="66"/>
      <c r="AP1019" s="66"/>
      <c r="AQ1019" s="66"/>
      <c r="AR1019" s="81"/>
      <c r="AS1019" s="81"/>
      <c r="AT1019" s="81"/>
      <c r="AU1019" s="81"/>
      <c r="AV1019" s="83">
        <f>SUM(Prog_236[[#This Row],[ADIANTAMENTO]]+Prog_236[[#This Row],[SALDO]]+Prog_236[[#This Row],[MARGEM]]+Prog_236[[#This Row],[ESTADIA 1]])</f>
        <v>0</v>
      </c>
      <c r="AW10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19" s="81"/>
      <c r="AY1019" s="81"/>
      <c r="AZ1019" s="81">
        <f>Prog_236[[#This Row],[VLR NF]]*0.1%</f>
        <v>0</v>
      </c>
      <c r="BA1019" s="81">
        <f>Prog_236[[#This Row],[VLR NF]]*0.05%</f>
        <v>0</v>
      </c>
      <c r="BB1019" s="81"/>
      <c r="BC1019" s="81"/>
      <c r="BD1019" s="81"/>
      <c r="BE1019" s="81"/>
      <c r="BF1019" s="81"/>
      <c r="BG1019" s="81"/>
      <c r="BH1019" s="81"/>
      <c r="BI1019" s="81"/>
      <c r="BJ1019" s="81"/>
      <c r="BK1019" s="81"/>
      <c r="BL1019" s="66"/>
      <c r="BM1019" s="66"/>
      <c r="BN1019" s="66"/>
      <c r="BO1019" s="66" t="str">
        <f>PROPER(TEXT(Prog_236[[#This Row],[PROGRAMAÇÃO CLIENTE]],"mmm"))</f>
        <v>Jan</v>
      </c>
      <c r="BP1019" s="66">
        <f>YEAR(Prog_236[[#This Row],[PROGRAMAÇÃO CLIENTE]])</f>
        <v>1900</v>
      </c>
    </row>
    <row r="1020" spans="1:68" x14ac:dyDescent="0.25">
      <c r="A1020" s="201">
        <f>Prog_236[[#This Row],[CONTEINER]]</f>
        <v>0</v>
      </c>
      <c r="B1020" s="86"/>
      <c r="C10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0" s="44"/>
      <c r="E1020" s="66"/>
      <c r="F1020" s="66"/>
      <c r="G1020" s="66"/>
      <c r="H1020" s="44"/>
      <c r="I1020" s="44"/>
      <c r="J1020" s="66"/>
      <c r="K1020" s="66"/>
      <c r="L1020" s="66"/>
      <c r="M1020" s="66"/>
      <c r="N1020" s="66">
        <f>SUM(Prog_236[[#This Row],[TARA]]+Prog_236[[#This Row],[PESO]])</f>
        <v>0</v>
      </c>
      <c r="O1020" s="44"/>
      <c r="P1020" s="66"/>
      <c r="Q1020" s="66"/>
      <c r="R1020" s="66"/>
      <c r="S1020" s="66"/>
      <c r="T1020" s="138" t="str">
        <f>IFERROR(LOOKUP($S1020,MOTORISTAS!$D$3:$D$1048576,MOTORISTAS!E$3:$E$1048576),"")</f>
        <v/>
      </c>
      <c r="U1020" s="138" t="str">
        <f>IFERROR(LOOKUP($S1020,MOTORISTAS!$D$3:$D$1048576,MOTORISTAS!F$3:$F$1048576),"")</f>
        <v/>
      </c>
      <c r="V1020" s="66"/>
      <c r="W1020" s="66"/>
      <c r="X1020" s="66"/>
      <c r="Y1020" s="66"/>
      <c r="Z1020" s="66"/>
      <c r="AA1020" s="66"/>
      <c r="AB1020" s="66"/>
      <c r="AC1020" s="66"/>
      <c r="AD1020" s="66"/>
      <c r="AE1020" s="66"/>
      <c r="AF1020" s="44"/>
      <c r="AG1020" s="254">
        <f>Prog_236[[#This Row],[SAÍDA DO CLIENTE]]-Prog_236[[#This Row],[PROGRAMAÇÃO CLIENTE]]</f>
        <v>0</v>
      </c>
      <c r="AH1020" s="44"/>
      <c r="AI1020" s="66"/>
      <c r="AJ1020" s="66"/>
      <c r="AK1020" s="66"/>
      <c r="AL1020" s="66"/>
      <c r="AM1020" s="66"/>
      <c r="AN1020" s="83"/>
      <c r="AO1020" s="66"/>
      <c r="AP1020" s="66"/>
      <c r="AQ1020" s="66"/>
      <c r="AR1020" s="81"/>
      <c r="AS1020" s="81"/>
      <c r="AT1020" s="81"/>
      <c r="AU1020" s="81"/>
      <c r="AV1020" s="83">
        <f>SUM(Prog_236[[#This Row],[ADIANTAMENTO]]+Prog_236[[#This Row],[SALDO]]+Prog_236[[#This Row],[MARGEM]]+Prog_236[[#This Row],[ESTADIA 1]])</f>
        <v>0</v>
      </c>
      <c r="AW10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0" s="81"/>
      <c r="AY1020" s="81"/>
      <c r="AZ1020" s="81">
        <f>Prog_236[[#This Row],[VLR NF]]*0.1%</f>
        <v>0</v>
      </c>
      <c r="BA1020" s="81">
        <f>Prog_236[[#This Row],[VLR NF]]*0.05%</f>
        <v>0</v>
      </c>
      <c r="BB1020" s="81"/>
      <c r="BC1020" s="81"/>
      <c r="BD1020" s="81"/>
      <c r="BE1020" s="81"/>
      <c r="BF1020" s="81"/>
      <c r="BG1020" s="81"/>
      <c r="BH1020" s="81"/>
      <c r="BI1020" s="81"/>
      <c r="BJ1020" s="81"/>
      <c r="BK1020" s="81"/>
      <c r="BL1020" s="66"/>
      <c r="BM1020" s="66"/>
      <c r="BN1020" s="66"/>
      <c r="BO1020" s="66" t="str">
        <f>PROPER(TEXT(Prog_236[[#This Row],[PROGRAMAÇÃO CLIENTE]],"mmm"))</f>
        <v>Jan</v>
      </c>
      <c r="BP1020" s="66">
        <f>YEAR(Prog_236[[#This Row],[PROGRAMAÇÃO CLIENTE]])</f>
        <v>1900</v>
      </c>
    </row>
    <row r="1021" spans="1:68" x14ac:dyDescent="0.25">
      <c r="A1021" s="200">
        <f>Prog_236[[#This Row],[CONTEINER]]</f>
        <v>0</v>
      </c>
      <c r="B1021" s="86"/>
      <c r="C10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1" s="44"/>
      <c r="E1021" s="66"/>
      <c r="F1021" s="66"/>
      <c r="G1021" s="66"/>
      <c r="H1021" s="44"/>
      <c r="I1021" s="44"/>
      <c r="J1021" s="66"/>
      <c r="K1021" s="66"/>
      <c r="L1021" s="66"/>
      <c r="M1021" s="66"/>
      <c r="N1021" s="66">
        <f>SUM(Prog_236[[#This Row],[TARA]]+Prog_236[[#This Row],[PESO]])</f>
        <v>0</v>
      </c>
      <c r="O1021" s="44"/>
      <c r="P1021" s="66"/>
      <c r="Q1021" s="66"/>
      <c r="R1021" s="66"/>
      <c r="S1021" s="66"/>
      <c r="T1021" s="138" t="str">
        <f>IFERROR(LOOKUP($S1021,MOTORISTAS!$D$3:$D$1048576,MOTORISTAS!E$3:$E$1048576),"")</f>
        <v/>
      </c>
      <c r="U1021" s="138" t="str">
        <f>IFERROR(LOOKUP($S1021,MOTORISTAS!$D$3:$D$1048576,MOTORISTAS!F$3:$F$1048576),"")</f>
        <v/>
      </c>
      <c r="V1021" s="66"/>
      <c r="W1021" s="66"/>
      <c r="X1021" s="66"/>
      <c r="Y1021" s="66"/>
      <c r="Z1021" s="66"/>
      <c r="AA1021" s="66"/>
      <c r="AB1021" s="66"/>
      <c r="AC1021" s="66"/>
      <c r="AD1021" s="66"/>
      <c r="AE1021" s="66"/>
      <c r="AF1021" s="44"/>
      <c r="AG1021" s="254">
        <f>Prog_236[[#This Row],[SAÍDA DO CLIENTE]]-Prog_236[[#This Row],[PROGRAMAÇÃO CLIENTE]]</f>
        <v>0</v>
      </c>
      <c r="AH1021" s="44"/>
      <c r="AI1021" s="66"/>
      <c r="AJ1021" s="66"/>
      <c r="AK1021" s="66"/>
      <c r="AL1021" s="66"/>
      <c r="AM1021" s="66"/>
      <c r="AN1021" s="83"/>
      <c r="AO1021" s="66"/>
      <c r="AP1021" s="66"/>
      <c r="AQ1021" s="66"/>
      <c r="AR1021" s="81"/>
      <c r="AS1021" s="81"/>
      <c r="AT1021" s="81"/>
      <c r="AU1021" s="81"/>
      <c r="AV1021" s="83">
        <f>SUM(Prog_236[[#This Row],[ADIANTAMENTO]]+Prog_236[[#This Row],[SALDO]]+Prog_236[[#This Row],[MARGEM]]+Prog_236[[#This Row],[ESTADIA 1]])</f>
        <v>0</v>
      </c>
      <c r="AW10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1" s="81"/>
      <c r="AY1021" s="81"/>
      <c r="AZ1021" s="81">
        <f>Prog_236[[#This Row],[VLR NF]]*0.1%</f>
        <v>0</v>
      </c>
      <c r="BA1021" s="81">
        <f>Prog_236[[#This Row],[VLR NF]]*0.05%</f>
        <v>0</v>
      </c>
      <c r="BB1021" s="81"/>
      <c r="BC1021" s="81"/>
      <c r="BD1021" s="81"/>
      <c r="BE1021" s="81"/>
      <c r="BF1021" s="81"/>
      <c r="BG1021" s="81"/>
      <c r="BH1021" s="81"/>
      <c r="BI1021" s="81"/>
      <c r="BJ1021" s="81"/>
      <c r="BK1021" s="81"/>
      <c r="BL1021" s="66"/>
      <c r="BM1021" s="66"/>
      <c r="BN1021" s="66"/>
      <c r="BO1021" s="66" t="str">
        <f>PROPER(TEXT(Prog_236[[#This Row],[PROGRAMAÇÃO CLIENTE]],"mmm"))</f>
        <v>Jan</v>
      </c>
      <c r="BP1021" s="66">
        <f>YEAR(Prog_236[[#This Row],[PROGRAMAÇÃO CLIENTE]])</f>
        <v>1900</v>
      </c>
    </row>
    <row r="1022" spans="1:68" x14ac:dyDescent="0.25">
      <c r="A1022" s="201">
        <f>Prog_236[[#This Row],[CONTEINER]]</f>
        <v>0</v>
      </c>
      <c r="B1022" s="86"/>
      <c r="C10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2" s="44"/>
      <c r="E1022" s="66"/>
      <c r="F1022" s="66"/>
      <c r="G1022" s="66"/>
      <c r="H1022" s="44"/>
      <c r="I1022" s="44"/>
      <c r="J1022" s="66"/>
      <c r="K1022" s="66"/>
      <c r="L1022" s="66"/>
      <c r="M1022" s="66"/>
      <c r="N1022" s="66">
        <f>SUM(Prog_236[[#This Row],[TARA]]+Prog_236[[#This Row],[PESO]])</f>
        <v>0</v>
      </c>
      <c r="O1022" s="44"/>
      <c r="P1022" s="66"/>
      <c r="Q1022" s="66"/>
      <c r="R1022" s="66"/>
      <c r="S1022" s="66"/>
      <c r="T1022" s="138" t="str">
        <f>IFERROR(LOOKUP($S1022,MOTORISTAS!$D$3:$D$1048576,MOTORISTAS!E$3:$E$1048576),"")</f>
        <v/>
      </c>
      <c r="U1022" s="138" t="str">
        <f>IFERROR(LOOKUP($S1022,MOTORISTAS!$D$3:$D$1048576,MOTORISTAS!F$3:$F$1048576),"")</f>
        <v/>
      </c>
      <c r="V1022" s="66"/>
      <c r="W1022" s="66"/>
      <c r="X1022" s="66"/>
      <c r="Y1022" s="66"/>
      <c r="Z1022" s="66"/>
      <c r="AA1022" s="66"/>
      <c r="AB1022" s="66"/>
      <c r="AC1022" s="66"/>
      <c r="AD1022" s="66"/>
      <c r="AE1022" s="66"/>
      <c r="AF1022" s="44"/>
      <c r="AG1022" s="254">
        <f>Prog_236[[#This Row],[SAÍDA DO CLIENTE]]-Prog_236[[#This Row],[PROGRAMAÇÃO CLIENTE]]</f>
        <v>0</v>
      </c>
      <c r="AH1022" s="44"/>
      <c r="AI1022" s="66"/>
      <c r="AJ1022" s="66"/>
      <c r="AK1022" s="66"/>
      <c r="AL1022" s="66"/>
      <c r="AM1022" s="66"/>
      <c r="AN1022" s="83"/>
      <c r="AO1022" s="66"/>
      <c r="AP1022" s="66"/>
      <c r="AQ1022" s="66"/>
      <c r="AR1022" s="81"/>
      <c r="AS1022" s="81"/>
      <c r="AT1022" s="81"/>
      <c r="AU1022" s="81"/>
      <c r="AV1022" s="83">
        <f>SUM(Prog_236[[#This Row],[ADIANTAMENTO]]+Prog_236[[#This Row],[SALDO]]+Prog_236[[#This Row],[MARGEM]]+Prog_236[[#This Row],[ESTADIA 1]])</f>
        <v>0</v>
      </c>
      <c r="AW10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2" s="81"/>
      <c r="AY1022" s="81"/>
      <c r="AZ1022" s="81">
        <f>Prog_236[[#This Row],[VLR NF]]*0.1%</f>
        <v>0</v>
      </c>
      <c r="BA1022" s="81">
        <f>Prog_236[[#This Row],[VLR NF]]*0.05%</f>
        <v>0</v>
      </c>
      <c r="BB1022" s="81"/>
      <c r="BC1022" s="81"/>
      <c r="BD1022" s="81"/>
      <c r="BE1022" s="81"/>
      <c r="BF1022" s="81"/>
      <c r="BG1022" s="81"/>
      <c r="BH1022" s="81"/>
      <c r="BI1022" s="81"/>
      <c r="BJ1022" s="81"/>
      <c r="BK1022" s="81"/>
      <c r="BL1022" s="66"/>
      <c r="BM1022" s="66"/>
      <c r="BN1022" s="66"/>
      <c r="BO1022" s="66" t="str">
        <f>PROPER(TEXT(Prog_236[[#This Row],[PROGRAMAÇÃO CLIENTE]],"mmm"))</f>
        <v>Jan</v>
      </c>
      <c r="BP1022" s="66">
        <f>YEAR(Prog_236[[#This Row],[PROGRAMAÇÃO CLIENTE]])</f>
        <v>1900</v>
      </c>
    </row>
    <row r="1023" spans="1:68" x14ac:dyDescent="0.25">
      <c r="A1023" s="200">
        <f>Prog_236[[#This Row],[CONTEINER]]</f>
        <v>0</v>
      </c>
      <c r="B1023" s="86"/>
      <c r="C10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3" s="44"/>
      <c r="E1023" s="66"/>
      <c r="F1023" s="66"/>
      <c r="G1023" s="66"/>
      <c r="H1023" s="44"/>
      <c r="I1023" s="44"/>
      <c r="J1023" s="66"/>
      <c r="K1023" s="66"/>
      <c r="L1023" s="66"/>
      <c r="M1023" s="66"/>
      <c r="N1023" s="66">
        <f>SUM(Prog_236[[#This Row],[TARA]]+Prog_236[[#This Row],[PESO]])</f>
        <v>0</v>
      </c>
      <c r="O1023" s="44"/>
      <c r="P1023" s="66"/>
      <c r="Q1023" s="66"/>
      <c r="R1023" s="66"/>
      <c r="S1023" s="66"/>
      <c r="T1023" s="138" t="str">
        <f>IFERROR(LOOKUP($S1023,MOTORISTAS!$D$3:$D$1048576,MOTORISTAS!E$3:$E$1048576),"")</f>
        <v/>
      </c>
      <c r="U1023" s="138" t="str">
        <f>IFERROR(LOOKUP($S1023,MOTORISTAS!$D$3:$D$1048576,MOTORISTAS!F$3:$F$1048576),"")</f>
        <v/>
      </c>
      <c r="V1023" s="66"/>
      <c r="W1023" s="66"/>
      <c r="X1023" s="66"/>
      <c r="Y1023" s="66"/>
      <c r="Z1023" s="66"/>
      <c r="AA1023" s="66"/>
      <c r="AB1023" s="66"/>
      <c r="AC1023" s="66"/>
      <c r="AD1023" s="66"/>
      <c r="AE1023" s="66"/>
      <c r="AF1023" s="44"/>
      <c r="AG1023" s="254">
        <f>Prog_236[[#This Row],[SAÍDA DO CLIENTE]]-Prog_236[[#This Row],[PROGRAMAÇÃO CLIENTE]]</f>
        <v>0</v>
      </c>
      <c r="AH1023" s="44"/>
      <c r="AI1023" s="66"/>
      <c r="AJ1023" s="66"/>
      <c r="AK1023" s="66"/>
      <c r="AL1023" s="66"/>
      <c r="AM1023" s="66"/>
      <c r="AN1023" s="83"/>
      <c r="AO1023" s="66"/>
      <c r="AP1023" s="66"/>
      <c r="AQ1023" s="66"/>
      <c r="AR1023" s="81"/>
      <c r="AS1023" s="81"/>
      <c r="AT1023" s="81"/>
      <c r="AU1023" s="81"/>
      <c r="AV1023" s="83">
        <f>SUM(Prog_236[[#This Row],[ADIANTAMENTO]]+Prog_236[[#This Row],[SALDO]]+Prog_236[[#This Row],[MARGEM]]+Prog_236[[#This Row],[ESTADIA 1]])</f>
        <v>0</v>
      </c>
      <c r="AW10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3" s="81"/>
      <c r="AY1023" s="81"/>
      <c r="AZ1023" s="81">
        <f>Prog_236[[#This Row],[VLR NF]]*0.1%</f>
        <v>0</v>
      </c>
      <c r="BA1023" s="81">
        <f>Prog_236[[#This Row],[VLR NF]]*0.05%</f>
        <v>0</v>
      </c>
      <c r="BB1023" s="81"/>
      <c r="BC1023" s="81"/>
      <c r="BD1023" s="81"/>
      <c r="BE1023" s="81"/>
      <c r="BF1023" s="81"/>
      <c r="BG1023" s="81"/>
      <c r="BH1023" s="81"/>
      <c r="BI1023" s="81"/>
      <c r="BJ1023" s="81"/>
      <c r="BK1023" s="81"/>
      <c r="BL1023" s="66"/>
      <c r="BM1023" s="66"/>
      <c r="BN1023" s="66"/>
      <c r="BO1023" s="66" t="str">
        <f>PROPER(TEXT(Prog_236[[#This Row],[PROGRAMAÇÃO CLIENTE]],"mmm"))</f>
        <v>Jan</v>
      </c>
      <c r="BP1023" s="66">
        <f>YEAR(Prog_236[[#This Row],[PROGRAMAÇÃO CLIENTE]])</f>
        <v>1900</v>
      </c>
    </row>
    <row r="1024" spans="1:68" x14ac:dyDescent="0.25">
      <c r="A1024" s="201">
        <f>Prog_236[[#This Row],[CONTEINER]]</f>
        <v>0</v>
      </c>
      <c r="B1024" s="86"/>
      <c r="C10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4" s="44"/>
      <c r="E1024" s="66"/>
      <c r="F1024" s="66"/>
      <c r="G1024" s="66"/>
      <c r="H1024" s="44"/>
      <c r="I1024" s="44"/>
      <c r="J1024" s="66"/>
      <c r="K1024" s="66"/>
      <c r="L1024" s="66"/>
      <c r="M1024" s="66"/>
      <c r="N1024" s="66">
        <f>SUM(Prog_236[[#This Row],[TARA]]+Prog_236[[#This Row],[PESO]])</f>
        <v>0</v>
      </c>
      <c r="O1024" s="44"/>
      <c r="P1024" s="66"/>
      <c r="Q1024" s="66"/>
      <c r="R1024" s="66"/>
      <c r="S1024" s="66"/>
      <c r="T1024" s="138" t="str">
        <f>IFERROR(LOOKUP($S1024,MOTORISTAS!$D$3:$D$1048576,MOTORISTAS!E$3:$E$1048576),"")</f>
        <v/>
      </c>
      <c r="U1024" s="138" t="str">
        <f>IFERROR(LOOKUP($S1024,MOTORISTAS!$D$3:$D$1048576,MOTORISTAS!F$3:$F$1048576),"")</f>
        <v/>
      </c>
      <c r="V1024" s="66"/>
      <c r="W1024" s="66"/>
      <c r="X1024" s="66"/>
      <c r="Y1024" s="66"/>
      <c r="Z1024" s="66"/>
      <c r="AA1024" s="66"/>
      <c r="AB1024" s="66"/>
      <c r="AC1024" s="66"/>
      <c r="AD1024" s="66"/>
      <c r="AE1024" s="66"/>
      <c r="AF1024" s="44"/>
      <c r="AG1024" s="254">
        <f>Prog_236[[#This Row],[SAÍDA DO CLIENTE]]-Prog_236[[#This Row],[PROGRAMAÇÃO CLIENTE]]</f>
        <v>0</v>
      </c>
      <c r="AH1024" s="44"/>
      <c r="AI1024" s="66"/>
      <c r="AJ1024" s="66"/>
      <c r="AK1024" s="66"/>
      <c r="AL1024" s="66"/>
      <c r="AM1024" s="66"/>
      <c r="AN1024" s="83"/>
      <c r="AO1024" s="66"/>
      <c r="AP1024" s="66"/>
      <c r="AQ1024" s="66"/>
      <c r="AR1024" s="81"/>
      <c r="AS1024" s="81"/>
      <c r="AT1024" s="81"/>
      <c r="AU1024" s="81"/>
      <c r="AV1024" s="83">
        <f>SUM(Prog_236[[#This Row],[ADIANTAMENTO]]+Prog_236[[#This Row],[SALDO]]+Prog_236[[#This Row],[MARGEM]]+Prog_236[[#This Row],[ESTADIA 1]])</f>
        <v>0</v>
      </c>
      <c r="AW10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4" s="81"/>
      <c r="AY1024" s="81"/>
      <c r="AZ1024" s="81">
        <f>Prog_236[[#This Row],[VLR NF]]*0.1%</f>
        <v>0</v>
      </c>
      <c r="BA1024" s="81">
        <f>Prog_236[[#This Row],[VLR NF]]*0.05%</f>
        <v>0</v>
      </c>
      <c r="BB1024" s="81"/>
      <c r="BC1024" s="81"/>
      <c r="BD1024" s="81"/>
      <c r="BE1024" s="81"/>
      <c r="BF1024" s="81"/>
      <c r="BG1024" s="81"/>
      <c r="BH1024" s="81"/>
      <c r="BI1024" s="81"/>
      <c r="BJ1024" s="81"/>
      <c r="BK1024" s="81"/>
      <c r="BL1024" s="66"/>
      <c r="BM1024" s="66"/>
      <c r="BN1024" s="66"/>
      <c r="BO1024" s="66" t="str">
        <f>PROPER(TEXT(Prog_236[[#This Row],[PROGRAMAÇÃO CLIENTE]],"mmm"))</f>
        <v>Jan</v>
      </c>
      <c r="BP1024" s="66">
        <f>YEAR(Prog_236[[#This Row],[PROGRAMAÇÃO CLIENTE]])</f>
        <v>1900</v>
      </c>
    </row>
    <row r="1025" spans="1:68" x14ac:dyDescent="0.25">
      <c r="A1025" s="200">
        <f>Prog_236[[#This Row],[CONTEINER]]</f>
        <v>0</v>
      </c>
      <c r="B1025" s="86"/>
      <c r="C10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5" s="44"/>
      <c r="E1025" s="66"/>
      <c r="F1025" s="66"/>
      <c r="G1025" s="66"/>
      <c r="H1025" s="44"/>
      <c r="I1025" s="44"/>
      <c r="J1025" s="66"/>
      <c r="K1025" s="66"/>
      <c r="L1025" s="66"/>
      <c r="M1025" s="66"/>
      <c r="N1025" s="66">
        <f>SUM(Prog_236[[#This Row],[TARA]]+Prog_236[[#This Row],[PESO]])</f>
        <v>0</v>
      </c>
      <c r="O1025" s="44"/>
      <c r="P1025" s="66"/>
      <c r="Q1025" s="66"/>
      <c r="R1025" s="66"/>
      <c r="S1025" s="66"/>
      <c r="T1025" s="138" t="str">
        <f>IFERROR(LOOKUP($S1025,MOTORISTAS!$D$3:$D$1048576,MOTORISTAS!E$3:$E$1048576),"")</f>
        <v/>
      </c>
      <c r="U1025" s="138" t="str">
        <f>IFERROR(LOOKUP($S1025,MOTORISTAS!$D$3:$D$1048576,MOTORISTAS!F$3:$F$1048576),"")</f>
        <v/>
      </c>
      <c r="V1025" s="66"/>
      <c r="W1025" s="66"/>
      <c r="X1025" s="66"/>
      <c r="Y1025" s="66"/>
      <c r="Z1025" s="66"/>
      <c r="AA1025" s="66"/>
      <c r="AB1025" s="66"/>
      <c r="AC1025" s="66"/>
      <c r="AD1025" s="66"/>
      <c r="AE1025" s="66"/>
      <c r="AF1025" s="44"/>
      <c r="AG1025" s="254">
        <f>Prog_236[[#This Row],[SAÍDA DO CLIENTE]]-Prog_236[[#This Row],[PROGRAMAÇÃO CLIENTE]]</f>
        <v>0</v>
      </c>
      <c r="AH1025" s="44"/>
      <c r="AI1025" s="66"/>
      <c r="AJ1025" s="66"/>
      <c r="AK1025" s="66"/>
      <c r="AL1025" s="66"/>
      <c r="AM1025" s="66"/>
      <c r="AN1025" s="83"/>
      <c r="AO1025" s="66"/>
      <c r="AP1025" s="66"/>
      <c r="AQ1025" s="66"/>
      <c r="AR1025" s="81"/>
      <c r="AS1025" s="81"/>
      <c r="AT1025" s="81"/>
      <c r="AU1025" s="81"/>
      <c r="AV1025" s="83">
        <f>SUM(Prog_236[[#This Row],[ADIANTAMENTO]]+Prog_236[[#This Row],[SALDO]]+Prog_236[[#This Row],[MARGEM]]+Prog_236[[#This Row],[ESTADIA 1]])</f>
        <v>0</v>
      </c>
      <c r="AW10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5" s="81"/>
      <c r="AY1025" s="81"/>
      <c r="AZ1025" s="81">
        <f>Prog_236[[#This Row],[VLR NF]]*0.1%</f>
        <v>0</v>
      </c>
      <c r="BA1025" s="81">
        <f>Prog_236[[#This Row],[VLR NF]]*0.05%</f>
        <v>0</v>
      </c>
      <c r="BB1025" s="81"/>
      <c r="BC1025" s="81"/>
      <c r="BD1025" s="81"/>
      <c r="BE1025" s="81"/>
      <c r="BF1025" s="81"/>
      <c r="BG1025" s="81"/>
      <c r="BH1025" s="81"/>
      <c r="BI1025" s="81"/>
      <c r="BJ1025" s="81"/>
      <c r="BK1025" s="81"/>
      <c r="BL1025" s="66"/>
      <c r="BM1025" s="66"/>
      <c r="BN1025" s="66"/>
      <c r="BO1025" s="66" t="str">
        <f>PROPER(TEXT(Prog_236[[#This Row],[PROGRAMAÇÃO CLIENTE]],"mmm"))</f>
        <v>Jan</v>
      </c>
      <c r="BP1025" s="66">
        <f>YEAR(Prog_236[[#This Row],[PROGRAMAÇÃO CLIENTE]])</f>
        <v>1900</v>
      </c>
    </row>
    <row r="1026" spans="1:68" x14ac:dyDescent="0.25">
      <c r="A1026" s="201">
        <f>Prog_236[[#This Row],[CONTEINER]]</f>
        <v>0</v>
      </c>
      <c r="B1026" s="86"/>
      <c r="C10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6" s="44"/>
      <c r="E1026" s="66"/>
      <c r="F1026" s="66"/>
      <c r="G1026" s="66"/>
      <c r="H1026" s="44"/>
      <c r="I1026" s="44"/>
      <c r="J1026" s="66"/>
      <c r="K1026" s="66"/>
      <c r="L1026" s="66"/>
      <c r="M1026" s="66"/>
      <c r="N1026" s="66">
        <f>SUM(Prog_236[[#This Row],[TARA]]+Prog_236[[#This Row],[PESO]])</f>
        <v>0</v>
      </c>
      <c r="O1026" s="44"/>
      <c r="P1026" s="66"/>
      <c r="Q1026" s="66"/>
      <c r="R1026" s="66"/>
      <c r="S1026" s="66"/>
      <c r="T1026" s="138" t="str">
        <f>IFERROR(LOOKUP($S1026,MOTORISTAS!$D$3:$D$1048576,MOTORISTAS!E$3:$E$1048576),"")</f>
        <v/>
      </c>
      <c r="U1026" s="138" t="str">
        <f>IFERROR(LOOKUP($S1026,MOTORISTAS!$D$3:$D$1048576,MOTORISTAS!F$3:$F$1048576),"")</f>
        <v/>
      </c>
      <c r="V1026" s="66"/>
      <c r="W1026" s="66"/>
      <c r="X1026" s="66"/>
      <c r="Y1026" s="66"/>
      <c r="Z1026" s="66"/>
      <c r="AA1026" s="66"/>
      <c r="AB1026" s="66"/>
      <c r="AC1026" s="66"/>
      <c r="AD1026" s="66"/>
      <c r="AE1026" s="66"/>
      <c r="AF1026" s="44"/>
      <c r="AG1026" s="254">
        <f>Prog_236[[#This Row],[SAÍDA DO CLIENTE]]-Prog_236[[#This Row],[PROGRAMAÇÃO CLIENTE]]</f>
        <v>0</v>
      </c>
      <c r="AH1026" s="44"/>
      <c r="AI1026" s="66"/>
      <c r="AJ1026" s="66"/>
      <c r="AK1026" s="66"/>
      <c r="AL1026" s="66"/>
      <c r="AM1026" s="66"/>
      <c r="AN1026" s="83"/>
      <c r="AO1026" s="66"/>
      <c r="AP1026" s="66"/>
      <c r="AQ1026" s="66"/>
      <c r="AR1026" s="81"/>
      <c r="AS1026" s="81"/>
      <c r="AT1026" s="81"/>
      <c r="AU1026" s="81"/>
      <c r="AV1026" s="83">
        <f>SUM(Prog_236[[#This Row],[ADIANTAMENTO]]+Prog_236[[#This Row],[SALDO]]+Prog_236[[#This Row],[MARGEM]]+Prog_236[[#This Row],[ESTADIA 1]])</f>
        <v>0</v>
      </c>
      <c r="AW10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6" s="81"/>
      <c r="AY1026" s="81"/>
      <c r="AZ1026" s="81">
        <f>Prog_236[[#This Row],[VLR NF]]*0.1%</f>
        <v>0</v>
      </c>
      <c r="BA1026" s="81">
        <f>Prog_236[[#This Row],[VLR NF]]*0.05%</f>
        <v>0</v>
      </c>
      <c r="BB1026" s="81"/>
      <c r="BC1026" s="81"/>
      <c r="BD1026" s="81"/>
      <c r="BE1026" s="81"/>
      <c r="BF1026" s="81"/>
      <c r="BG1026" s="81"/>
      <c r="BH1026" s="81"/>
      <c r="BI1026" s="81"/>
      <c r="BJ1026" s="81"/>
      <c r="BK1026" s="81"/>
      <c r="BL1026" s="66"/>
      <c r="BM1026" s="66"/>
      <c r="BN1026" s="66"/>
      <c r="BO1026" s="66" t="str">
        <f>PROPER(TEXT(Prog_236[[#This Row],[PROGRAMAÇÃO CLIENTE]],"mmm"))</f>
        <v>Jan</v>
      </c>
      <c r="BP1026" s="66">
        <f>YEAR(Prog_236[[#This Row],[PROGRAMAÇÃO CLIENTE]])</f>
        <v>1900</v>
      </c>
    </row>
    <row r="1027" spans="1:68" x14ac:dyDescent="0.25">
      <c r="A1027" s="200">
        <f>Prog_236[[#This Row],[CONTEINER]]</f>
        <v>0</v>
      </c>
      <c r="B1027" s="86"/>
      <c r="C10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7" s="44"/>
      <c r="E1027" s="66"/>
      <c r="F1027" s="66"/>
      <c r="G1027" s="66"/>
      <c r="H1027" s="44"/>
      <c r="I1027" s="44"/>
      <c r="J1027" s="66"/>
      <c r="K1027" s="66"/>
      <c r="L1027" s="66"/>
      <c r="M1027" s="66"/>
      <c r="N1027" s="66">
        <f>SUM(Prog_236[[#This Row],[TARA]]+Prog_236[[#This Row],[PESO]])</f>
        <v>0</v>
      </c>
      <c r="O1027" s="44"/>
      <c r="P1027" s="66"/>
      <c r="Q1027" s="66"/>
      <c r="R1027" s="66"/>
      <c r="S1027" s="66"/>
      <c r="T1027" s="138" t="str">
        <f>IFERROR(LOOKUP($S1027,MOTORISTAS!$D$3:$D$1048576,MOTORISTAS!E$3:$E$1048576),"")</f>
        <v/>
      </c>
      <c r="U1027" s="138" t="str">
        <f>IFERROR(LOOKUP($S1027,MOTORISTAS!$D$3:$D$1048576,MOTORISTAS!F$3:$F$1048576),"")</f>
        <v/>
      </c>
      <c r="V1027" s="66"/>
      <c r="W1027" s="66"/>
      <c r="X1027" s="66"/>
      <c r="Y1027" s="66"/>
      <c r="Z1027" s="66"/>
      <c r="AA1027" s="66"/>
      <c r="AB1027" s="66"/>
      <c r="AC1027" s="66"/>
      <c r="AD1027" s="66"/>
      <c r="AE1027" s="66"/>
      <c r="AF1027" s="44"/>
      <c r="AG1027" s="254">
        <f>Prog_236[[#This Row],[SAÍDA DO CLIENTE]]-Prog_236[[#This Row],[PROGRAMAÇÃO CLIENTE]]</f>
        <v>0</v>
      </c>
      <c r="AH1027" s="44"/>
      <c r="AI1027" s="66"/>
      <c r="AJ1027" s="66"/>
      <c r="AK1027" s="66"/>
      <c r="AL1027" s="66"/>
      <c r="AM1027" s="66"/>
      <c r="AN1027" s="83"/>
      <c r="AO1027" s="66"/>
      <c r="AP1027" s="66"/>
      <c r="AQ1027" s="66"/>
      <c r="AR1027" s="81"/>
      <c r="AS1027" s="81"/>
      <c r="AT1027" s="81"/>
      <c r="AU1027" s="81"/>
      <c r="AV1027" s="83">
        <f>SUM(Prog_236[[#This Row],[ADIANTAMENTO]]+Prog_236[[#This Row],[SALDO]]+Prog_236[[#This Row],[MARGEM]]+Prog_236[[#This Row],[ESTADIA 1]])</f>
        <v>0</v>
      </c>
      <c r="AW10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7" s="81"/>
      <c r="AY1027" s="81"/>
      <c r="AZ1027" s="81">
        <f>Prog_236[[#This Row],[VLR NF]]*0.1%</f>
        <v>0</v>
      </c>
      <c r="BA1027" s="81">
        <f>Prog_236[[#This Row],[VLR NF]]*0.05%</f>
        <v>0</v>
      </c>
      <c r="BB1027" s="81"/>
      <c r="BC1027" s="81"/>
      <c r="BD1027" s="81"/>
      <c r="BE1027" s="81"/>
      <c r="BF1027" s="81"/>
      <c r="BG1027" s="81"/>
      <c r="BH1027" s="81"/>
      <c r="BI1027" s="81"/>
      <c r="BJ1027" s="81"/>
      <c r="BK1027" s="81"/>
      <c r="BL1027" s="66"/>
      <c r="BM1027" s="66"/>
      <c r="BN1027" s="66"/>
      <c r="BO1027" s="66" t="str">
        <f>PROPER(TEXT(Prog_236[[#This Row],[PROGRAMAÇÃO CLIENTE]],"mmm"))</f>
        <v>Jan</v>
      </c>
      <c r="BP1027" s="66">
        <f>YEAR(Prog_236[[#This Row],[PROGRAMAÇÃO CLIENTE]])</f>
        <v>1900</v>
      </c>
    </row>
    <row r="1028" spans="1:68" x14ac:dyDescent="0.25">
      <c r="A1028" s="201">
        <f>Prog_236[[#This Row],[CONTEINER]]</f>
        <v>0</v>
      </c>
      <c r="B1028" s="86"/>
      <c r="C10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8" s="44"/>
      <c r="E1028" s="66"/>
      <c r="F1028" s="66"/>
      <c r="G1028" s="66"/>
      <c r="H1028" s="44"/>
      <c r="I1028" s="44"/>
      <c r="J1028" s="66"/>
      <c r="K1028" s="66"/>
      <c r="L1028" s="66"/>
      <c r="M1028" s="66"/>
      <c r="N1028" s="66">
        <f>SUM(Prog_236[[#This Row],[TARA]]+Prog_236[[#This Row],[PESO]])</f>
        <v>0</v>
      </c>
      <c r="O1028" s="44"/>
      <c r="P1028" s="66"/>
      <c r="Q1028" s="66"/>
      <c r="R1028" s="66"/>
      <c r="S1028" s="66"/>
      <c r="T1028" s="138" t="str">
        <f>IFERROR(LOOKUP($S1028,MOTORISTAS!$D$3:$D$1048576,MOTORISTAS!E$3:$E$1048576),"")</f>
        <v/>
      </c>
      <c r="U1028" s="138" t="str">
        <f>IFERROR(LOOKUP($S1028,MOTORISTAS!$D$3:$D$1048576,MOTORISTAS!F$3:$F$1048576),"")</f>
        <v/>
      </c>
      <c r="V1028" s="66"/>
      <c r="W1028" s="66"/>
      <c r="X1028" s="66"/>
      <c r="Y1028" s="66"/>
      <c r="Z1028" s="66"/>
      <c r="AA1028" s="66"/>
      <c r="AB1028" s="66"/>
      <c r="AC1028" s="66"/>
      <c r="AD1028" s="66"/>
      <c r="AE1028" s="66"/>
      <c r="AF1028" s="44"/>
      <c r="AG1028" s="254">
        <f>Prog_236[[#This Row],[SAÍDA DO CLIENTE]]-Prog_236[[#This Row],[PROGRAMAÇÃO CLIENTE]]</f>
        <v>0</v>
      </c>
      <c r="AH1028" s="44"/>
      <c r="AI1028" s="66"/>
      <c r="AJ1028" s="66"/>
      <c r="AK1028" s="66"/>
      <c r="AL1028" s="66"/>
      <c r="AM1028" s="66"/>
      <c r="AN1028" s="83"/>
      <c r="AO1028" s="66"/>
      <c r="AP1028" s="66"/>
      <c r="AQ1028" s="66"/>
      <c r="AR1028" s="81"/>
      <c r="AS1028" s="81"/>
      <c r="AT1028" s="81"/>
      <c r="AU1028" s="81"/>
      <c r="AV1028" s="83">
        <f>SUM(Prog_236[[#This Row],[ADIANTAMENTO]]+Prog_236[[#This Row],[SALDO]]+Prog_236[[#This Row],[MARGEM]]+Prog_236[[#This Row],[ESTADIA 1]])</f>
        <v>0</v>
      </c>
      <c r="AW10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8" s="81"/>
      <c r="AY1028" s="81"/>
      <c r="AZ1028" s="81">
        <f>Prog_236[[#This Row],[VLR NF]]*0.1%</f>
        <v>0</v>
      </c>
      <c r="BA1028" s="81">
        <f>Prog_236[[#This Row],[VLR NF]]*0.05%</f>
        <v>0</v>
      </c>
      <c r="BB1028" s="81"/>
      <c r="BC1028" s="81"/>
      <c r="BD1028" s="81"/>
      <c r="BE1028" s="81"/>
      <c r="BF1028" s="81"/>
      <c r="BG1028" s="81"/>
      <c r="BH1028" s="81"/>
      <c r="BI1028" s="81"/>
      <c r="BJ1028" s="81"/>
      <c r="BK1028" s="81"/>
      <c r="BL1028" s="66"/>
      <c r="BM1028" s="66"/>
      <c r="BN1028" s="66"/>
      <c r="BO1028" s="66" t="str">
        <f>PROPER(TEXT(Prog_236[[#This Row],[PROGRAMAÇÃO CLIENTE]],"mmm"))</f>
        <v>Jan</v>
      </c>
      <c r="BP1028" s="66">
        <f>YEAR(Prog_236[[#This Row],[PROGRAMAÇÃO CLIENTE]])</f>
        <v>1900</v>
      </c>
    </row>
    <row r="1029" spans="1:68" x14ac:dyDescent="0.25">
      <c r="A1029" s="200">
        <f>Prog_236[[#This Row],[CONTEINER]]</f>
        <v>0</v>
      </c>
      <c r="B1029" s="86"/>
      <c r="C10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29" s="44"/>
      <c r="E1029" s="66"/>
      <c r="F1029" s="66"/>
      <c r="G1029" s="66"/>
      <c r="H1029" s="44"/>
      <c r="I1029" s="44"/>
      <c r="J1029" s="66"/>
      <c r="K1029" s="66"/>
      <c r="L1029" s="66"/>
      <c r="M1029" s="66"/>
      <c r="N1029" s="66">
        <f>SUM(Prog_236[[#This Row],[TARA]]+Prog_236[[#This Row],[PESO]])</f>
        <v>0</v>
      </c>
      <c r="O1029" s="44"/>
      <c r="P1029" s="66"/>
      <c r="Q1029" s="66"/>
      <c r="R1029" s="66"/>
      <c r="S1029" s="66"/>
      <c r="T1029" s="138" t="str">
        <f>IFERROR(LOOKUP($S1029,MOTORISTAS!$D$3:$D$1048576,MOTORISTAS!E$3:$E$1048576),"")</f>
        <v/>
      </c>
      <c r="U1029" s="138" t="str">
        <f>IFERROR(LOOKUP($S1029,MOTORISTAS!$D$3:$D$1048576,MOTORISTAS!F$3:$F$1048576),"")</f>
        <v/>
      </c>
      <c r="V1029" s="66"/>
      <c r="W1029" s="66"/>
      <c r="X1029" s="66"/>
      <c r="Y1029" s="66"/>
      <c r="Z1029" s="66"/>
      <c r="AA1029" s="66"/>
      <c r="AB1029" s="66"/>
      <c r="AC1029" s="66"/>
      <c r="AD1029" s="66"/>
      <c r="AE1029" s="66"/>
      <c r="AF1029" s="44"/>
      <c r="AG1029" s="254">
        <f>Prog_236[[#This Row],[SAÍDA DO CLIENTE]]-Prog_236[[#This Row],[PROGRAMAÇÃO CLIENTE]]</f>
        <v>0</v>
      </c>
      <c r="AH1029" s="44"/>
      <c r="AI1029" s="66"/>
      <c r="AJ1029" s="66"/>
      <c r="AK1029" s="66"/>
      <c r="AL1029" s="66"/>
      <c r="AM1029" s="66"/>
      <c r="AN1029" s="83"/>
      <c r="AO1029" s="66"/>
      <c r="AP1029" s="66"/>
      <c r="AQ1029" s="66"/>
      <c r="AR1029" s="81"/>
      <c r="AS1029" s="81"/>
      <c r="AT1029" s="81"/>
      <c r="AU1029" s="81"/>
      <c r="AV1029" s="83">
        <f>SUM(Prog_236[[#This Row],[ADIANTAMENTO]]+Prog_236[[#This Row],[SALDO]]+Prog_236[[#This Row],[MARGEM]]+Prog_236[[#This Row],[ESTADIA 1]])</f>
        <v>0</v>
      </c>
      <c r="AW10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29" s="81"/>
      <c r="AY1029" s="81"/>
      <c r="AZ1029" s="81">
        <f>Prog_236[[#This Row],[VLR NF]]*0.1%</f>
        <v>0</v>
      </c>
      <c r="BA1029" s="81">
        <f>Prog_236[[#This Row],[VLR NF]]*0.05%</f>
        <v>0</v>
      </c>
      <c r="BB1029" s="81"/>
      <c r="BC1029" s="81"/>
      <c r="BD1029" s="81"/>
      <c r="BE1029" s="81"/>
      <c r="BF1029" s="81"/>
      <c r="BG1029" s="81"/>
      <c r="BH1029" s="81"/>
      <c r="BI1029" s="81"/>
      <c r="BJ1029" s="81"/>
      <c r="BK1029" s="81"/>
      <c r="BL1029" s="66"/>
      <c r="BM1029" s="66"/>
      <c r="BN1029" s="66"/>
      <c r="BO1029" s="66" t="str">
        <f>PROPER(TEXT(Prog_236[[#This Row],[PROGRAMAÇÃO CLIENTE]],"mmm"))</f>
        <v>Jan</v>
      </c>
      <c r="BP1029" s="66">
        <f>YEAR(Prog_236[[#This Row],[PROGRAMAÇÃO CLIENTE]])</f>
        <v>1900</v>
      </c>
    </row>
    <row r="1030" spans="1:68" x14ac:dyDescent="0.25">
      <c r="A1030" s="201">
        <f>Prog_236[[#This Row],[CONTEINER]]</f>
        <v>0</v>
      </c>
      <c r="B1030" s="86"/>
      <c r="C10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0" s="44"/>
      <c r="E1030" s="66"/>
      <c r="F1030" s="66"/>
      <c r="G1030" s="66"/>
      <c r="H1030" s="44"/>
      <c r="I1030" s="44"/>
      <c r="J1030" s="66"/>
      <c r="K1030" s="66"/>
      <c r="L1030" s="66"/>
      <c r="M1030" s="66"/>
      <c r="N1030" s="66">
        <f>SUM(Prog_236[[#This Row],[TARA]]+Prog_236[[#This Row],[PESO]])</f>
        <v>0</v>
      </c>
      <c r="O1030" s="44"/>
      <c r="P1030" s="66"/>
      <c r="Q1030" s="66"/>
      <c r="R1030" s="66"/>
      <c r="S1030" s="66"/>
      <c r="T1030" s="138" t="str">
        <f>IFERROR(LOOKUP($S1030,MOTORISTAS!$D$3:$D$1048576,MOTORISTAS!E$3:$E$1048576),"")</f>
        <v/>
      </c>
      <c r="U1030" s="138" t="str">
        <f>IFERROR(LOOKUP($S1030,MOTORISTAS!$D$3:$D$1048576,MOTORISTAS!F$3:$F$1048576),"")</f>
        <v/>
      </c>
      <c r="V1030" s="66"/>
      <c r="W1030" s="66"/>
      <c r="X1030" s="66"/>
      <c r="Y1030" s="66"/>
      <c r="Z1030" s="66"/>
      <c r="AA1030" s="66"/>
      <c r="AB1030" s="66"/>
      <c r="AC1030" s="66"/>
      <c r="AD1030" s="66"/>
      <c r="AE1030" s="66"/>
      <c r="AF1030" s="44"/>
      <c r="AG1030" s="254">
        <f>Prog_236[[#This Row],[SAÍDA DO CLIENTE]]-Prog_236[[#This Row],[PROGRAMAÇÃO CLIENTE]]</f>
        <v>0</v>
      </c>
      <c r="AH1030" s="44"/>
      <c r="AI1030" s="66"/>
      <c r="AJ1030" s="66"/>
      <c r="AK1030" s="66"/>
      <c r="AL1030" s="66"/>
      <c r="AM1030" s="66"/>
      <c r="AN1030" s="83"/>
      <c r="AO1030" s="66"/>
      <c r="AP1030" s="66"/>
      <c r="AQ1030" s="66"/>
      <c r="AR1030" s="81"/>
      <c r="AS1030" s="81"/>
      <c r="AT1030" s="81"/>
      <c r="AU1030" s="81"/>
      <c r="AV1030" s="83">
        <f>SUM(Prog_236[[#This Row],[ADIANTAMENTO]]+Prog_236[[#This Row],[SALDO]]+Prog_236[[#This Row],[MARGEM]]+Prog_236[[#This Row],[ESTADIA 1]])</f>
        <v>0</v>
      </c>
      <c r="AW10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0" s="81"/>
      <c r="AY1030" s="81"/>
      <c r="AZ1030" s="81">
        <f>Prog_236[[#This Row],[VLR NF]]*0.1%</f>
        <v>0</v>
      </c>
      <c r="BA1030" s="81">
        <f>Prog_236[[#This Row],[VLR NF]]*0.05%</f>
        <v>0</v>
      </c>
      <c r="BB1030" s="81"/>
      <c r="BC1030" s="81"/>
      <c r="BD1030" s="81"/>
      <c r="BE1030" s="81"/>
      <c r="BF1030" s="81"/>
      <c r="BG1030" s="81"/>
      <c r="BH1030" s="81"/>
      <c r="BI1030" s="81"/>
      <c r="BJ1030" s="81"/>
      <c r="BK1030" s="81"/>
      <c r="BL1030" s="66"/>
      <c r="BM1030" s="66"/>
      <c r="BN1030" s="66"/>
      <c r="BO1030" s="66" t="str">
        <f>PROPER(TEXT(Prog_236[[#This Row],[PROGRAMAÇÃO CLIENTE]],"mmm"))</f>
        <v>Jan</v>
      </c>
      <c r="BP1030" s="66">
        <f>YEAR(Prog_236[[#This Row],[PROGRAMAÇÃO CLIENTE]])</f>
        <v>1900</v>
      </c>
    </row>
    <row r="1031" spans="1:68" x14ac:dyDescent="0.25">
      <c r="A1031" s="200">
        <f>Prog_236[[#This Row],[CONTEINER]]</f>
        <v>0</v>
      </c>
      <c r="B1031" s="86"/>
      <c r="C10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1" s="44"/>
      <c r="E1031" s="66"/>
      <c r="F1031" s="66"/>
      <c r="G1031" s="66"/>
      <c r="H1031" s="44"/>
      <c r="I1031" s="44"/>
      <c r="J1031" s="66"/>
      <c r="K1031" s="66"/>
      <c r="L1031" s="66"/>
      <c r="M1031" s="66"/>
      <c r="N1031" s="66">
        <f>SUM(Prog_236[[#This Row],[TARA]]+Prog_236[[#This Row],[PESO]])</f>
        <v>0</v>
      </c>
      <c r="O1031" s="44"/>
      <c r="P1031" s="66"/>
      <c r="Q1031" s="66"/>
      <c r="R1031" s="66"/>
      <c r="S1031" s="66"/>
      <c r="T1031" s="138" t="str">
        <f>IFERROR(LOOKUP($S1031,MOTORISTAS!$D$3:$D$1048576,MOTORISTAS!E$3:$E$1048576),"")</f>
        <v/>
      </c>
      <c r="U1031" s="138" t="str">
        <f>IFERROR(LOOKUP($S1031,MOTORISTAS!$D$3:$D$1048576,MOTORISTAS!F$3:$F$1048576),"")</f>
        <v/>
      </c>
      <c r="V1031" s="66"/>
      <c r="W1031" s="66"/>
      <c r="X1031" s="66"/>
      <c r="Y1031" s="66"/>
      <c r="Z1031" s="66"/>
      <c r="AA1031" s="66"/>
      <c r="AB1031" s="66"/>
      <c r="AC1031" s="66"/>
      <c r="AD1031" s="66"/>
      <c r="AE1031" s="66"/>
      <c r="AF1031" s="44"/>
      <c r="AG1031" s="254">
        <f>Prog_236[[#This Row],[SAÍDA DO CLIENTE]]-Prog_236[[#This Row],[PROGRAMAÇÃO CLIENTE]]</f>
        <v>0</v>
      </c>
      <c r="AH1031" s="44"/>
      <c r="AI1031" s="66"/>
      <c r="AJ1031" s="66"/>
      <c r="AK1031" s="66"/>
      <c r="AL1031" s="66"/>
      <c r="AM1031" s="66"/>
      <c r="AN1031" s="83"/>
      <c r="AO1031" s="66"/>
      <c r="AP1031" s="66"/>
      <c r="AQ1031" s="66"/>
      <c r="AR1031" s="81"/>
      <c r="AS1031" s="81"/>
      <c r="AT1031" s="81"/>
      <c r="AU1031" s="81"/>
      <c r="AV1031" s="83">
        <f>SUM(Prog_236[[#This Row],[ADIANTAMENTO]]+Prog_236[[#This Row],[SALDO]]+Prog_236[[#This Row],[MARGEM]]+Prog_236[[#This Row],[ESTADIA 1]])</f>
        <v>0</v>
      </c>
      <c r="AW10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1" s="81"/>
      <c r="AY1031" s="81"/>
      <c r="AZ1031" s="81">
        <f>Prog_236[[#This Row],[VLR NF]]*0.1%</f>
        <v>0</v>
      </c>
      <c r="BA1031" s="81">
        <f>Prog_236[[#This Row],[VLR NF]]*0.05%</f>
        <v>0</v>
      </c>
      <c r="BB1031" s="81"/>
      <c r="BC1031" s="81"/>
      <c r="BD1031" s="81"/>
      <c r="BE1031" s="81"/>
      <c r="BF1031" s="81"/>
      <c r="BG1031" s="81"/>
      <c r="BH1031" s="81"/>
      <c r="BI1031" s="81"/>
      <c r="BJ1031" s="81"/>
      <c r="BK1031" s="81"/>
      <c r="BL1031" s="66"/>
      <c r="BM1031" s="66"/>
      <c r="BN1031" s="66"/>
      <c r="BO1031" s="66" t="str">
        <f>PROPER(TEXT(Prog_236[[#This Row],[PROGRAMAÇÃO CLIENTE]],"mmm"))</f>
        <v>Jan</v>
      </c>
      <c r="BP1031" s="66">
        <f>YEAR(Prog_236[[#This Row],[PROGRAMAÇÃO CLIENTE]])</f>
        <v>1900</v>
      </c>
    </row>
    <row r="1032" spans="1:68" x14ac:dyDescent="0.25">
      <c r="A1032" s="201">
        <f>Prog_236[[#This Row],[CONTEINER]]</f>
        <v>0</v>
      </c>
      <c r="B1032" s="86"/>
      <c r="C10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2" s="44"/>
      <c r="E1032" s="66"/>
      <c r="F1032" s="66"/>
      <c r="G1032" s="66"/>
      <c r="H1032" s="44"/>
      <c r="I1032" s="44"/>
      <c r="J1032" s="66"/>
      <c r="K1032" s="66"/>
      <c r="L1032" s="66"/>
      <c r="M1032" s="66"/>
      <c r="N1032" s="66">
        <f>SUM(Prog_236[[#This Row],[TARA]]+Prog_236[[#This Row],[PESO]])</f>
        <v>0</v>
      </c>
      <c r="O1032" s="44"/>
      <c r="P1032" s="66"/>
      <c r="Q1032" s="66"/>
      <c r="R1032" s="66"/>
      <c r="S1032" s="66"/>
      <c r="T1032" s="138" t="str">
        <f>IFERROR(LOOKUP($S1032,MOTORISTAS!$D$3:$D$1048576,MOTORISTAS!E$3:$E$1048576),"")</f>
        <v/>
      </c>
      <c r="U1032" s="138" t="str">
        <f>IFERROR(LOOKUP($S1032,MOTORISTAS!$D$3:$D$1048576,MOTORISTAS!F$3:$F$1048576),"")</f>
        <v/>
      </c>
      <c r="V1032" s="66"/>
      <c r="W1032" s="66"/>
      <c r="X1032" s="66"/>
      <c r="Y1032" s="66"/>
      <c r="Z1032" s="66"/>
      <c r="AA1032" s="66"/>
      <c r="AB1032" s="66"/>
      <c r="AC1032" s="66"/>
      <c r="AD1032" s="66"/>
      <c r="AE1032" s="66"/>
      <c r="AF1032" s="44"/>
      <c r="AG1032" s="254">
        <f>Prog_236[[#This Row],[SAÍDA DO CLIENTE]]-Prog_236[[#This Row],[PROGRAMAÇÃO CLIENTE]]</f>
        <v>0</v>
      </c>
      <c r="AH1032" s="44"/>
      <c r="AI1032" s="66"/>
      <c r="AJ1032" s="66"/>
      <c r="AK1032" s="66"/>
      <c r="AL1032" s="66"/>
      <c r="AM1032" s="66"/>
      <c r="AN1032" s="83"/>
      <c r="AO1032" s="66"/>
      <c r="AP1032" s="66"/>
      <c r="AQ1032" s="66"/>
      <c r="AR1032" s="81"/>
      <c r="AS1032" s="81"/>
      <c r="AT1032" s="81"/>
      <c r="AU1032" s="81"/>
      <c r="AV1032" s="83">
        <f>SUM(Prog_236[[#This Row],[ADIANTAMENTO]]+Prog_236[[#This Row],[SALDO]]+Prog_236[[#This Row],[MARGEM]]+Prog_236[[#This Row],[ESTADIA 1]])</f>
        <v>0</v>
      </c>
      <c r="AW10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2" s="81"/>
      <c r="AY1032" s="81"/>
      <c r="AZ1032" s="81">
        <f>Prog_236[[#This Row],[VLR NF]]*0.1%</f>
        <v>0</v>
      </c>
      <c r="BA1032" s="81">
        <f>Prog_236[[#This Row],[VLR NF]]*0.05%</f>
        <v>0</v>
      </c>
      <c r="BB1032" s="81"/>
      <c r="BC1032" s="81"/>
      <c r="BD1032" s="81"/>
      <c r="BE1032" s="81"/>
      <c r="BF1032" s="81"/>
      <c r="BG1032" s="81"/>
      <c r="BH1032" s="81"/>
      <c r="BI1032" s="81"/>
      <c r="BJ1032" s="81"/>
      <c r="BK1032" s="81"/>
      <c r="BL1032" s="66"/>
      <c r="BM1032" s="66"/>
      <c r="BN1032" s="66"/>
      <c r="BO1032" s="66" t="str">
        <f>PROPER(TEXT(Prog_236[[#This Row],[PROGRAMAÇÃO CLIENTE]],"mmm"))</f>
        <v>Jan</v>
      </c>
      <c r="BP1032" s="66">
        <f>YEAR(Prog_236[[#This Row],[PROGRAMAÇÃO CLIENTE]])</f>
        <v>1900</v>
      </c>
    </row>
    <row r="1033" spans="1:68" x14ac:dyDescent="0.25">
      <c r="A1033" s="200">
        <f>Prog_236[[#This Row],[CONTEINER]]</f>
        <v>0</v>
      </c>
      <c r="B1033" s="86"/>
      <c r="C10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3" s="44"/>
      <c r="E1033" s="66"/>
      <c r="F1033" s="66"/>
      <c r="G1033" s="66"/>
      <c r="H1033" s="44"/>
      <c r="I1033" s="44"/>
      <c r="J1033" s="66"/>
      <c r="K1033" s="66"/>
      <c r="L1033" s="66"/>
      <c r="M1033" s="66"/>
      <c r="N1033" s="66">
        <f>SUM(Prog_236[[#This Row],[TARA]]+Prog_236[[#This Row],[PESO]])</f>
        <v>0</v>
      </c>
      <c r="O1033" s="44"/>
      <c r="P1033" s="66"/>
      <c r="Q1033" s="66"/>
      <c r="R1033" s="66"/>
      <c r="S1033" s="66"/>
      <c r="T1033" s="138" t="str">
        <f>IFERROR(LOOKUP($S1033,MOTORISTAS!$D$3:$D$1048576,MOTORISTAS!E$3:$E$1048576),"")</f>
        <v/>
      </c>
      <c r="U1033" s="138" t="str">
        <f>IFERROR(LOOKUP($S1033,MOTORISTAS!$D$3:$D$1048576,MOTORISTAS!F$3:$F$1048576),"")</f>
        <v/>
      </c>
      <c r="V1033" s="66"/>
      <c r="W1033" s="66"/>
      <c r="X1033" s="66"/>
      <c r="Y1033" s="66"/>
      <c r="Z1033" s="66"/>
      <c r="AA1033" s="66"/>
      <c r="AB1033" s="66"/>
      <c r="AC1033" s="66"/>
      <c r="AD1033" s="66"/>
      <c r="AE1033" s="66"/>
      <c r="AF1033" s="44"/>
      <c r="AG1033" s="254">
        <f>Prog_236[[#This Row],[SAÍDA DO CLIENTE]]-Prog_236[[#This Row],[PROGRAMAÇÃO CLIENTE]]</f>
        <v>0</v>
      </c>
      <c r="AH1033" s="44"/>
      <c r="AI1033" s="66"/>
      <c r="AJ1033" s="66"/>
      <c r="AK1033" s="66"/>
      <c r="AL1033" s="66"/>
      <c r="AM1033" s="66"/>
      <c r="AN1033" s="83"/>
      <c r="AO1033" s="66"/>
      <c r="AP1033" s="66"/>
      <c r="AQ1033" s="66"/>
      <c r="AR1033" s="81"/>
      <c r="AS1033" s="81"/>
      <c r="AT1033" s="81"/>
      <c r="AU1033" s="81"/>
      <c r="AV1033" s="83">
        <f>SUM(Prog_236[[#This Row],[ADIANTAMENTO]]+Prog_236[[#This Row],[SALDO]]+Prog_236[[#This Row],[MARGEM]]+Prog_236[[#This Row],[ESTADIA 1]])</f>
        <v>0</v>
      </c>
      <c r="AW10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3" s="81"/>
      <c r="AY1033" s="81"/>
      <c r="AZ1033" s="81">
        <f>Prog_236[[#This Row],[VLR NF]]*0.1%</f>
        <v>0</v>
      </c>
      <c r="BA1033" s="81">
        <f>Prog_236[[#This Row],[VLR NF]]*0.05%</f>
        <v>0</v>
      </c>
      <c r="BB1033" s="81"/>
      <c r="BC1033" s="81"/>
      <c r="BD1033" s="81"/>
      <c r="BE1033" s="81"/>
      <c r="BF1033" s="81"/>
      <c r="BG1033" s="81"/>
      <c r="BH1033" s="81"/>
      <c r="BI1033" s="81"/>
      <c r="BJ1033" s="81"/>
      <c r="BK1033" s="81"/>
      <c r="BL1033" s="66"/>
      <c r="BM1033" s="66"/>
      <c r="BN1033" s="66"/>
      <c r="BO1033" s="66" t="str">
        <f>PROPER(TEXT(Prog_236[[#This Row],[PROGRAMAÇÃO CLIENTE]],"mmm"))</f>
        <v>Jan</v>
      </c>
      <c r="BP1033" s="66">
        <f>YEAR(Prog_236[[#This Row],[PROGRAMAÇÃO CLIENTE]])</f>
        <v>1900</v>
      </c>
    </row>
    <row r="1034" spans="1:68" x14ac:dyDescent="0.25">
      <c r="A1034" s="201">
        <f>Prog_236[[#This Row],[CONTEINER]]</f>
        <v>0</v>
      </c>
      <c r="B1034" s="86"/>
      <c r="C10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4" s="44"/>
      <c r="E1034" s="66"/>
      <c r="F1034" s="66"/>
      <c r="G1034" s="66"/>
      <c r="H1034" s="44"/>
      <c r="I1034" s="44"/>
      <c r="J1034" s="66"/>
      <c r="K1034" s="66"/>
      <c r="L1034" s="66"/>
      <c r="M1034" s="66"/>
      <c r="N1034" s="66">
        <f>SUM(Prog_236[[#This Row],[TARA]]+Prog_236[[#This Row],[PESO]])</f>
        <v>0</v>
      </c>
      <c r="O1034" s="44"/>
      <c r="P1034" s="66"/>
      <c r="Q1034" s="66"/>
      <c r="R1034" s="66"/>
      <c r="S1034" s="66"/>
      <c r="T1034" s="138" t="str">
        <f>IFERROR(LOOKUP($S1034,MOTORISTAS!$D$3:$D$1048576,MOTORISTAS!E$3:$E$1048576),"")</f>
        <v/>
      </c>
      <c r="U1034" s="138" t="str">
        <f>IFERROR(LOOKUP($S1034,MOTORISTAS!$D$3:$D$1048576,MOTORISTAS!F$3:$F$1048576),"")</f>
        <v/>
      </c>
      <c r="V1034" s="66"/>
      <c r="W1034" s="66"/>
      <c r="X1034" s="66"/>
      <c r="Y1034" s="66"/>
      <c r="Z1034" s="66"/>
      <c r="AA1034" s="66"/>
      <c r="AB1034" s="66"/>
      <c r="AC1034" s="66"/>
      <c r="AD1034" s="66"/>
      <c r="AE1034" s="66"/>
      <c r="AF1034" s="44"/>
      <c r="AG1034" s="254">
        <f>Prog_236[[#This Row],[SAÍDA DO CLIENTE]]-Prog_236[[#This Row],[PROGRAMAÇÃO CLIENTE]]</f>
        <v>0</v>
      </c>
      <c r="AH1034" s="44"/>
      <c r="AI1034" s="66"/>
      <c r="AJ1034" s="66"/>
      <c r="AK1034" s="66"/>
      <c r="AL1034" s="66"/>
      <c r="AM1034" s="66"/>
      <c r="AN1034" s="83"/>
      <c r="AO1034" s="66"/>
      <c r="AP1034" s="66"/>
      <c r="AQ1034" s="66"/>
      <c r="AR1034" s="81"/>
      <c r="AS1034" s="81"/>
      <c r="AT1034" s="81"/>
      <c r="AU1034" s="81"/>
      <c r="AV1034" s="83">
        <f>SUM(Prog_236[[#This Row],[ADIANTAMENTO]]+Prog_236[[#This Row],[SALDO]]+Prog_236[[#This Row],[MARGEM]]+Prog_236[[#This Row],[ESTADIA 1]])</f>
        <v>0</v>
      </c>
      <c r="AW10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4" s="81"/>
      <c r="AY1034" s="81"/>
      <c r="AZ1034" s="81">
        <f>Prog_236[[#This Row],[VLR NF]]*0.1%</f>
        <v>0</v>
      </c>
      <c r="BA1034" s="81">
        <f>Prog_236[[#This Row],[VLR NF]]*0.05%</f>
        <v>0</v>
      </c>
      <c r="BB1034" s="81"/>
      <c r="BC1034" s="81"/>
      <c r="BD1034" s="81"/>
      <c r="BE1034" s="81"/>
      <c r="BF1034" s="81"/>
      <c r="BG1034" s="81"/>
      <c r="BH1034" s="81"/>
      <c r="BI1034" s="81"/>
      <c r="BJ1034" s="81"/>
      <c r="BK1034" s="81"/>
      <c r="BL1034" s="66"/>
      <c r="BM1034" s="66"/>
      <c r="BN1034" s="66"/>
      <c r="BO1034" s="66" t="str">
        <f>PROPER(TEXT(Prog_236[[#This Row],[PROGRAMAÇÃO CLIENTE]],"mmm"))</f>
        <v>Jan</v>
      </c>
      <c r="BP1034" s="66">
        <f>YEAR(Prog_236[[#This Row],[PROGRAMAÇÃO CLIENTE]])</f>
        <v>1900</v>
      </c>
    </row>
    <row r="1035" spans="1:68" x14ac:dyDescent="0.25">
      <c r="A1035" s="200">
        <f>Prog_236[[#This Row],[CONTEINER]]</f>
        <v>0</v>
      </c>
      <c r="B1035" s="86"/>
      <c r="C10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5" s="44"/>
      <c r="E1035" s="66"/>
      <c r="F1035" s="66"/>
      <c r="G1035" s="66"/>
      <c r="H1035" s="44"/>
      <c r="I1035" s="44"/>
      <c r="J1035" s="66"/>
      <c r="K1035" s="66"/>
      <c r="L1035" s="66"/>
      <c r="M1035" s="66"/>
      <c r="N1035" s="66">
        <f>SUM(Prog_236[[#This Row],[TARA]]+Prog_236[[#This Row],[PESO]])</f>
        <v>0</v>
      </c>
      <c r="O1035" s="44"/>
      <c r="P1035" s="66"/>
      <c r="Q1035" s="66"/>
      <c r="R1035" s="66"/>
      <c r="S1035" s="66"/>
      <c r="T1035" s="138" t="str">
        <f>IFERROR(LOOKUP($S1035,MOTORISTAS!$D$3:$D$1048576,MOTORISTAS!E$3:$E$1048576),"")</f>
        <v/>
      </c>
      <c r="U1035" s="138" t="str">
        <f>IFERROR(LOOKUP($S1035,MOTORISTAS!$D$3:$D$1048576,MOTORISTAS!F$3:$F$1048576),"")</f>
        <v/>
      </c>
      <c r="V1035" s="66"/>
      <c r="W1035" s="66"/>
      <c r="X1035" s="66"/>
      <c r="Y1035" s="66"/>
      <c r="Z1035" s="66"/>
      <c r="AA1035" s="66"/>
      <c r="AB1035" s="66"/>
      <c r="AC1035" s="66"/>
      <c r="AD1035" s="66"/>
      <c r="AE1035" s="66"/>
      <c r="AF1035" s="44"/>
      <c r="AG1035" s="254">
        <f>Prog_236[[#This Row],[SAÍDA DO CLIENTE]]-Prog_236[[#This Row],[PROGRAMAÇÃO CLIENTE]]</f>
        <v>0</v>
      </c>
      <c r="AH1035" s="44"/>
      <c r="AI1035" s="66"/>
      <c r="AJ1035" s="66"/>
      <c r="AK1035" s="66"/>
      <c r="AL1035" s="66"/>
      <c r="AM1035" s="66"/>
      <c r="AN1035" s="83"/>
      <c r="AO1035" s="66"/>
      <c r="AP1035" s="66"/>
      <c r="AQ1035" s="66"/>
      <c r="AR1035" s="81"/>
      <c r="AS1035" s="81"/>
      <c r="AT1035" s="81"/>
      <c r="AU1035" s="81"/>
      <c r="AV1035" s="83">
        <f>SUM(Prog_236[[#This Row],[ADIANTAMENTO]]+Prog_236[[#This Row],[SALDO]]+Prog_236[[#This Row],[MARGEM]]+Prog_236[[#This Row],[ESTADIA 1]])</f>
        <v>0</v>
      </c>
      <c r="AW10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5" s="81"/>
      <c r="AY1035" s="81"/>
      <c r="AZ1035" s="81">
        <f>Prog_236[[#This Row],[VLR NF]]*0.1%</f>
        <v>0</v>
      </c>
      <c r="BA1035" s="81">
        <f>Prog_236[[#This Row],[VLR NF]]*0.05%</f>
        <v>0</v>
      </c>
      <c r="BB1035" s="81"/>
      <c r="BC1035" s="81"/>
      <c r="BD1035" s="81"/>
      <c r="BE1035" s="81"/>
      <c r="BF1035" s="81"/>
      <c r="BG1035" s="81"/>
      <c r="BH1035" s="81"/>
      <c r="BI1035" s="81"/>
      <c r="BJ1035" s="81"/>
      <c r="BK1035" s="81"/>
      <c r="BL1035" s="66"/>
      <c r="BM1035" s="66"/>
      <c r="BN1035" s="66"/>
      <c r="BO1035" s="66" t="str">
        <f>PROPER(TEXT(Prog_236[[#This Row],[PROGRAMAÇÃO CLIENTE]],"mmm"))</f>
        <v>Jan</v>
      </c>
      <c r="BP1035" s="66">
        <f>YEAR(Prog_236[[#This Row],[PROGRAMAÇÃO CLIENTE]])</f>
        <v>1900</v>
      </c>
    </row>
    <row r="1036" spans="1:68" x14ac:dyDescent="0.25">
      <c r="A1036" s="201">
        <f>Prog_236[[#This Row],[CONTEINER]]</f>
        <v>0</v>
      </c>
      <c r="B1036" s="86"/>
      <c r="C10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6" s="44"/>
      <c r="E1036" s="66"/>
      <c r="F1036" s="66"/>
      <c r="G1036" s="66"/>
      <c r="H1036" s="44"/>
      <c r="I1036" s="44"/>
      <c r="J1036" s="66"/>
      <c r="K1036" s="66"/>
      <c r="L1036" s="66"/>
      <c r="M1036" s="66"/>
      <c r="N1036" s="66">
        <f>SUM(Prog_236[[#This Row],[TARA]]+Prog_236[[#This Row],[PESO]])</f>
        <v>0</v>
      </c>
      <c r="O1036" s="44"/>
      <c r="P1036" s="66"/>
      <c r="Q1036" s="66"/>
      <c r="R1036" s="66"/>
      <c r="S1036" s="66"/>
      <c r="T1036" s="138" t="str">
        <f>IFERROR(LOOKUP($S1036,MOTORISTAS!$D$3:$D$1048576,MOTORISTAS!E$3:$E$1048576),"")</f>
        <v/>
      </c>
      <c r="U1036" s="138" t="str">
        <f>IFERROR(LOOKUP($S1036,MOTORISTAS!$D$3:$D$1048576,MOTORISTAS!F$3:$F$1048576),"")</f>
        <v/>
      </c>
      <c r="V1036" s="66"/>
      <c r="W1036" s="66"/>
      <c r="X1036" s="66"/>
      <c r="Y1036" s="66"/>
      <c r="Z1036" s="66"/>
      <c r="AA1036" s="66"/>
      <c r="AB1036" s="66"/>
      <c r="AC1036" s="66"/>
      <c r="AD1036" s="66"/>
      <c r="AE1036" s="66"/>
      <c r="AF1036" s="44"/>
      <c r="AG1036" s="254">
        <f>Prog_236[[#This Row],[SAÍDA DO CLIENTE]]-Prog_236[[#This Row],[PROGRAMAÇÃO CLIENTE]]</f>
        <v>0</v>
      </c>
      <c r="AH1036" s="44"/>
      <c r="AI1036" s="66"/>
      <c r="AJ1036" s="66"/>
      <c r="AK1036" s="66"/>
      <c r="AL1036" s="66"/>
      <c r="AM1036" s="66"/>
      <c r="AN1036" s="83"/>
      <c r="AO1036" s="66"/>
      <c r="AP1036" s="66"/>
      <c r="AQ1036" s="66"/>
      <c r="AR1036" s="81"/>
      <c r="AS1036" s="81"/>
      <c r="AT1036" s="81"/>
      <c r="AU1036" s="81"/>
      <c r="AV1036" s="83">
        <f>SUM(Prog_236[[#This Row],[ADIANTAMENTO]]+Prog_236[[#This Row],[SALDO]]+Prog_236[[#This Row],[MARGEM]]+Prog_236[[#This Row],[ESTADIA 1]])</f>
        <v>0</v>
      </c>
      <c r="AW10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6" s="81"/>
      <c r="AY1036" s="81"/>
      <c r="AZ1036" s="81">
        <f>Prog_236[[#This Row],[VLR NF]]*0.1%</f>
        <v>0</v>
      </c>
      <c r="BA1036" s="81">
        <f>Prog_236[[#This Row],[VLR NF]]*0.05%</f>
        <v>0</v>
      </c>
      <c r="BB1036" s="81"/>
      <c r="BC1036" s="81"/>
      <c r="BD1036" s="81"/>
      <c r="BE1036" s="81"/>
      <c r="BF1036" s="81"/>
      <c r="BG1036" s="81"/>
      <c r="BH1036" s="81"/>
      <c r="BI1036" s="81"/>
      <c r="BJ1036" s="81"/>
      <c r="BK1036" s="81"/>
      <c r="BL1036" s="66"/>
      <c r="BM1036" s="66"/>
      <c r="BN1036" s="66"/>
      <c r="BO1036" s="66" t="str">
        <f>PROPER(TEXT(Prog_236[[#This Row],[PROGRAMAÇÃO CLIENTE]],"mmm"))</f>
        <v>Jan</v>
      </c>
      <c r="BP1036" s="66">
        <f>YEAR(Prog_236[[#This Row],[PROGRAMAÇÃO CLIENTE]])</f>
        <v>1900</v>
      </c>
    </row>
    <row r="1037" spans="1:68" x14ac:dyDescent="0.25">
      <c r="A1037" s="200">
        <f>Prog_236[[#This Row],[CONTEINER]]</f>
        <v>0</v>
      </c>
      <c r="B1037" s="86"/>
      <c r="C10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7" s="44"/>
      <c r="E1037" s="66"/>
      <c r="F1037" s="66"/>
      <c r="G1037" s="66"/>
      <c r="H1037" s="44"/>
      <c r="I1037" s="44"/>
      <c r="J1037" s="66"/>
      <c r="K1037" s="66"/>
      <c r="L1037" s="66"/>
      <c r="M1037" s="66"/>
      <c r="N1037" s="66">
        <f>SUM(Prog_236[[#This Row],[TARA]]+Prog_236[[#This Row],[PESO]])</f>
        <v>0</v>
      </c>
      <c r="O1037" s="44"/>
      <c r="P1037" s="66"/>
      <c r="Q1037" s="66"/>
      <c r="R1037" s="66"/>
      <c r="S1037" s="66"/>
      <c r="T1037" s="138" t="str">
        <f>IFERROR(LOOKUP($S1037,MOTORISTAS!$D$3:$D$1048576,MOTORISTAS!E$3:$E$1048576),"")</f>
        <v/>
      </c>
      <c r="U1037" s="138" t="str">
        <f>IFERROR(LOOKUP($S1037,MOTORISTAS!$D$3:$D$1048576,MOTORISTAS!F$3:$F$1048576),"")</f>
        <v/>
      </c>
      <c r="V1037" s="66"/>
      <c r="W1037" s="66"/>
      <c r="X1037" s="66"/>
      <c r="Y1037" s="66"/>
      <c r="Z1037" s="66"/>
      <c r="AA1037" s="66"/>
      <c r="AB1037" s="66"/>
      <c r="AC1037" s="66"/>
      <c r="AD1037" s="66"/>
      <c r="AE1037" s="66"/>
      <c r="AF1037" s="44"/>
      <c r="AG1037" s="254">
        <f>Prog_236[[#This Row],[SAÍDA DO CLIENTE]]-Prog_236[[#This Row],[PROGRAMAÇÃO CLIENTE]]</f>
        <v>0</v>
      </c>
      <c r="AH1037" s="44"/>
      <c r="AI1037" s="66"/>
      <c r="AJ1037" s="66"/>
      <c r="AK1037" s="66"/>
      <c r="AL1037" s="66"/>
      <c r="AM1037" s="66"/>
      <c r="AN1037" s="83"/>
      <c r="AO1037" s="66"/>
      <c r="AP1037" s="66"/>
      <c r="AQ1037" s="66"/>
      <c r="AR1037" s="81"/>
      <c r="AS1037" s="81"/>
      <c r="AT1037" s="81"/>
      <c r="AU1037" s="81"/>
      <c r="AV1037" s="83">
        <f>SUM(Prog_236[[#This Row],[ADIANTAMENTO]]+Prog_236[[#This Row],[SALDO]]+Prog_236[[#This Row],[MARGEM]]+Prog_236[[#This Row],[ESTADIA 1]])</f>
        <v>0</v>
      </c>
      <c r="AW10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7" s="81"/>
      <c r="AY1037" s="81"/>
      <c r="AZ1037" s="81">
        <f>Prog_236[[#This Row],[VLR NF]]*0.1%</f>
        <v>0</v>
      </c>
      <c r="BA1037" s="81">
        <f>Prog_236[[#This Row],[VLR NF]]*0.05%</f>
        <v>0</v>
      </c>
      <c r="BB1037" s="81"/>
      <c r="BC1037" s="81"/>
      <c r="BD1037" s="81"/>
      <c r="BE1037" s="81"/>
      <c r="BF1037" s="81"/>
      <c r="BG1037" s="81"/>
      <c r="BH1037" s="81"/>
      <c r="BI1037" s="81"/>
      <c r="BJ1037" s="81"/>
      <c r="BK1037" s="81"/>
      <c r="BL1037" s="66"/>
      <c r="BM1037" s="66"/>
      <c r="BN1037" s="66"/>
      <c r="BO1037" s="66" t="str">
        <f>PROPER(TEXT(Prog_236[[#This Row],[PROGRAMAÇÃO CLIENTE]],"mmm"))</f>
        <v>Jan</v>
      </c>
      <c r="BP1037" s="66">
        <f>YEAR(Prog_236[[#This Row],[PROGRAMAÇÃO CLIENTE]])</f>
        <v>1900</v>
      </c>
    </row>
    <row r="1038" spans="1:68" x14ac:dyDescent="0.25">
      <c r="A1038" s="201">
        <f>Prog_236[[#This Row],[CONTEINER]]</f>
        <v>0</v>
      </c>
      <c r="B1038" s="86"/>
      <c r="C10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8" s="44"/>
      <c r="E1038" s="66"/>
      <c r="F1038" s="66"/>
      <c r="G1038" s="66"/>
      <c r="H1038" s="44"/>
      <c r="I1038" s="44"/>
      <c r="J1038" s="66"/>
      <c r="K1038" s="66"/>
      <c r="L1038" s="66"/>
      <c r="M1038" s="66"/>
      <c r="N1038" s="66">
        <f>SUM(Prog_236[[#This Row],[TARA]]+Prog_236[[#This Row],[PESO]])</f>
        <v>0</v>
      </c>
      <c r="O1038" s="44"/>
      <c r="P1038" s="66"/>
      <c r="Q1038" s="66"/>
      <c r="R1038" s="66"/>
      <c r="S1038" s="66"/>
      <c r="T1038" s="138" t="str">
        <f>IFERROR(LOOKUP($S1038,MOTORISTAS!$D$3:$D$1048576,MOTORISTAS!E$3:$E$1048576),"")</f>
        <v/>
      </c>
      <c r="U1038" s="138" t="str">
        <f>IFERROR(LOOKUP($S1038,MOTORISTAS!$D$3:$D$1048576,MOTORISTAS!F$3:$F$1048576),"")</f>
        <v/>
      </c>
      <c r="V1038" s="66"/>
      <c r="W1038" s="66"/>
      <c r="X1038" s="66"/>
      <c r="Y1038" s="66"/>
      <c r="Z1038" s="66"/>
      <c r="AA1038" s="66"/>
      <c r="AB1038" s="66"/>
      <c r="AC1038" s="66"/>
      <c r="AD1038" s="66"/>
      <c r="AE1038" s="66"/>
      <c r="AF1038" s="44"/>
      <c r="AG1038" s="254">
        <f>Prog_236[[#This Row],[SAÍDA DO CLIENTE]]-Prog_236[[#This Row],[PROGRAMAÇÃO CLIENTE]]</f>
        <v>0</v>
      </c>
      <c r="AH1038" s="44"/>
      <c r="AI1038" s="66"/>
      <c r="AJ1038" s="66"/>
      <c r="AK1038" s="66"/>
      <c r="AL1038" s="66"/>
      <c r="AM1038" s="66"/>
      <c r="AN1038" s="83"/>
      <c r="AO1038" s="66"/>
      <c r="AP1038" s="66"/>
      <c r="AQ1038" s="66"/>
      <c r="AR1038" s="81"/>
      <c r="AS1038" s="81"/>
      <c r="AT1038" s="81"/>
      <c r="AU1038" s="81"/>
      <c r="AV1038" s="83">
        <f>SUM(Prog_236[[#This Row],[ADIANTAMENTO]]+Prog_236[[#This Row],[SALDO]]+Prog_236[[#This Row],[MARGEM]]+Prog_236[[#This Row],[ESTADIA 1]])</f>
        <v>0</v>
      </c>
      <c r="AW10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8" s="81"/>
      <c r="AY1038" s="81"/>
      <c r="AZ1038" s="81">
        <f>Prog_236[[#This Row],[VLR NF]]*0.1%</f>
        <v>0</v>
      </c>
      <c r="BA1038" s="81">
        <f>Prog_236[[#This Row],[VLR NF]]*0.05%</f>
        <v>0</v>
      </c>
      <c r="BB1038" s="81"/>
      <c r="BC1038" s="81"/>
      <c r="BD1038" s="81"/>
      <c r="BE1038" s="81"/>
      <c r="BF1038" s="81"/>
      <c r="BG1038" s="81"/>
      <c r="BH1038" s="81"/>
      <c r="BI1038" s="81"/>
      <c r="BJ1038" s="81"/>
      <c r="BK1038" s="81"/>
      <c r="BL1038" s="66"/>
      <c r="BM1038" s="66"/>
      <c r="BN1038" s="66"/>
      <c r="BO1038" s="66" t="str">
        <f>PROPER(TEXT(Prog_236[[#This Row],[PROGRAMAÇÃO CLIENTE]],"mmm"))</f>
        <v>Jan</v>
      </c>
      <c r="BP1038" s="66">
        <f>YEAR(Prog_236[[#This Row],[PROGRAMAÇÃO CLIENTE]])</f>
        <v>1900</v>
      </c>
    </row>
    <row r="1039" spans="1:68" x14ac:dyDescent="0.25">
      <c r="A1039" s="200">
        <f>Prog_236[[#This Row],[CONTEINER]]</f>
        <v>0</v>
      </c>
      <c r="B1039" s="86"/>
      <c r="C10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39" s="44"/>
      <c r="E1039" s="66"/>
      <c r="F1039" s="66"/>
      <c r="G1039" s="66"/>
      <c r="H1039" s="44"/>
      <c r="I1039" s="44"/>
      <c r="J1039" s="66"/>
      <c r="K1039" s="66"/>
      <c r="L1039" s="66"/>
      <c r="M1039" s="66"/>
      <c r="N1039" s="66">
        <f>SUM(Prog_236[[#This Row],[TARA]]+Prog_236[[#This Row],[PESO]])</f>
        <v>0</v>
      </c>
      <c r="O1039" s="44"/>
      <c r="P1039" s="66"/>
      <c r="Q1039" s="66"/>
      <c r="R1039" s="66"/>
      <c r="S1039" s="66"/>
      <c r="T1039" s="138" t="str">
        <f>IFERROR(LOOKUP($S1039,MOTORISTAS!$D$3:$D$1048576,MOTORISTAS!E$3:$E$1048576),"")</f>
        <v/>
      </c>
      <c r="U1039" s="138" t="str">
        <f>IFERROR(LOOKUP($S1039,MOTORISTAS!$D$3:$D$1048576,MOTORISTAS!F$3:$F$1048576),"")</f>
        <v/>
      </c>
      <c r="V1039" s="66"/>
      <c r="W1039" s="66"/>
      <c r="X1039" s="66"/>
      <c r="Y1039" s="66"/>
      <c r="Z1039" s="66"/>
      <c r="AA1039" s="66"/>
      <c r="AB1039" s="66"/>
      <c r="AC1039" s="66"/>
      <c r="AD1039" s="66"/>
      <c r="AE1039" s="66"/>
      <c r="AF1039" s="44"/>
      <c r="AG1039" s="254">
        <f>Prog_236[[#This Row],[SAÍDA DO CLIENTE]]-Prog_236[[#This Row],[PROGRAMAÇÃO CLIENTE]]</f>
        <v>0</v>
      </c>
      <c r="AH1039" s="44"/>
      <c r="AI1039" s="66"/>
      <c r="AJ1039" s="66"/>
      <c r="AK1039" s="66"/>
      <c r="AL1039" s="66"/>
      <c r="AM1039" s="66"/>
      <c r="AN1039" s="83"/>
      <c r="AO1039" s="66"/>
      <c r="AP1039" s="66"/>
      <c r="AQ1039" s="66"/>
      <c r="AR1039" s="81"/>
      <c r="AS1039" s="81"/>
      <c r="AT1039" s="81"/>
      <c r="AU1039" s="81"/>
      <c r="AV1039" s="83">
        <f>SUM(Prog_236[[#This Row],[ADIANTAMENTO]]+Prog_236[[#This Row],[SALDO]]+Prog_236[[#This Row],[MARGEM]]+Prog_236[[#This Row],[ESTADIA 1]])</f>
        <v>0</v>
      </c>
      <c r="AW10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39" s="81"/>
      <c r="AY1039" s="81"/>
      <c r="AZ1039" s="81">
        <f>Prog_236[[#This Row],[VLR NF]]*0.1%</f>
        <v>0</v>
      </c>
      <c r="BA1039" s="81">
        <f>Prog_236[[#This Row],[VLR NF]]*0.05%</f>
        <v>0</v>
      </c>
      <c r="BB1039" s="81"/>
      <c r="BC1039" s="81"/>
      <c r="BD1039" s="81"/>
      <c r="BE1039" s="81"/>
      <c r="BF1039" s="81"/>
      <c r="BG1039" s="81"/>
      <c r="BH1039" s="81"/>
      <c r="BI1039" s="81"/>
      <c r="BJ1039" s="81"/>
      <c r="BK1039" s="81"/>
      <c r="BL1039" s="66"/>
      <c r="BM1039" s="66"/>
      <c r="BN1039" s="66"/>
      <c r="BO1039" s="66" t="str">
        <f>PROPER(TEXT(Prog_236[[#This Row],[PROGRAMAÇÃO CLIENTE]],"mmm"))</f>
        <v>Jan</v>
      </c>
      <c r="BP1039" s="66">
        <f>YEAR(Prog_236[[#This Row],[PROGRAMAÇÃO CLIENTE]])</f>
        <v>1900</v>
      </c>
    </row>
    <row r="1040" spans="1:68" x14ac:dyDescent="0.25">
      <c r="A1040" s="201">
        <f>Prog_236[[#This Row],[CONTEINER]]</f>
        <v>0</v>
      </c>
      <c r="B1040" s="86"/>
      <c r="C10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0" s="44"/>
      <c r="E1040" s="66"/>
      <c r="F1040" s="66"/>
      <c r="G1040" s="66"/>
      <c r="H1040" s="44"/>
      <c r="I1040" s="44"/>
      <c r="J1040" s="66"/>
      <c r="K1040" s="66"/>
      <c r="L1040" s="66"/>
      <c r="M1040" s="66"/>
      <c r="N1040" s="66">
        <f>SUM(Prog_236[[#This Row],[TARA]]+Prog_236[[#This Row],[PESO]])</f>
        <v>0</v>
      </c>
      <c r="O1040" s="44"/>
      <c r="P1040" s="66"/>
      <c r="Q1040" s="66"/>
      <c r="R1040" s="66"/>
      <c r="S1040" s="66"/>
      <c r="T1040" s="138" t="str">
        <f>IFERROR(LOOKUP($S1040,MOTORISTAS!$D$3:$D$1048576,MOTORISTAS!E$3:$E$1048576),"")</f>
        <v/>
      </c>
      <c r="U1040" s="138" t="str">
        <f>IFERROR(LOOKUP($S1040,MOTORISTAS!$D$3:$D$1048576,MOTORISTAS!F$3:$F$1048576),"")</f>
        <v/>
      </c>
      <c r="V1040" s="66"/>
      <c r="W1040" s="66"/>
      <c r="X1040" s="66"/>
      <c r="Y1040" s="66"/>
      <c r="Z1040" s="66"/>
      <c r="AA1040" s="66"/>
      <c r="AB1040" s="66"/>
      <c r="AC1040" s="66"/>
      <c r="AD1040" s="66"/>
      <c r="AE1040" s="66"/>
      <c r="AF1040" s="44"/>
      <c r="AG1040" s="254">
        <f>Prog_236[[#This Row],[SAÍDA DO CLIENTE]]-Prog_236[[#This Row],[PROGRAMAÇÃO CLIENTE]]</f>
        <v>0</v>
      </c>
      <c r="AH1040" s="44"/>
      <c r="AI1040" s="66"/>
      <c r="AJ1040" s="66"/>
      <c r="AK1040" s="66"/>
      <c r="AL1040" s="66"/>
      <c r="AM1040" s="66"/>
      <c r="AN1040" s="83"/>
      <c r="AO1040" s="66"/>
      <c r="AP1040" s="66"/>
      <c r="AQ1040" s="66"/>
      <c r="AR1040" s="81"/>
      <c r="AS1040" s="81"/>
      <c r="AT1040" s="81"/>
      <c r="AU1040" s="81"/>
      <c r="AV1040" s="83">
        <f>SUM(Prog_236[[#This Row],[ADIANTAMENTO]]+Prog_236[[#This Row],[SALDO]]+Prog_236[[#This Row],[MARGEM]]+Prog_236[[#This Row],[ESTADIA 1]])</f>
        <v>0</v>
      </c>
      <c r="AW10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0" s="81"/>
      <c r="AY1040" s="81"/>
      <c r="AZ1040" s="81">
        <f>Prog_236[[#This Row],[VLR NF]]*0.1%</f>
        <v>0</v>
      </c>
      <c r="BA1040" s="81">
        <f>Prog_236[[#This Row],[VLR NF]]*0.05%</f>
        <v>0</v>
      </c>
      <c r="BB1040" s="81"/>
      <c r="BC1040" s="81"/>
      <c r="BD1040" s="81"/>
      <c r="BE1040" s="81"/>
      <c r="BF1040" s="81"/>
      <c r="BG1040" s="81"/>
      <c r="BH1040" s="81"/>
      <c r="BI1040" s="81"/>
      <c r="BJ1040" s="81"/>
      <c r="BK1040" s="81"/>
      <c r="BL1040" s="66"/>
      <c r="BM1040" s="66"/>
      <c r="BN1040" s="66"/>
      <c r="BO1040" s="66" t="str">
        <f>PROPER(TEXT(Prog_236[[#This Row],[PROGRAMAÇÃO CLIENTE]],"mmm"))</f>
        <v>Jan</v>
      </c>
      <c r="BP1040" s="66">
        <f>YEAR(Prog_236[[#This Row],[PROGRAMAÇÃO CLIENTE]])</f>
        <v>1900</v>
      </c>
    </row>
    <row r="1041" spans="1:68" x14ac:dyDescent="0.25">
      <c r="A1041" s="200">
        <f>Prog_236[[#This Row],[CONTEINER]]</f>
        <v>0</v>
      </c>
      <c r="B1041" s="86"/>
      <c r="C10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1" s="44"/>
      <c r="E1041" s="66"/>
      <c r="F1041" s="66"/>
      <c r="G1041" s="66"/>
      <c r="H1041" s="44"/>
      <c r="I1041" s="44"/>
      <c r="J1041" s="66"/>
      <c r="K1041" s="66"/>
      <c r="L1041" s="66"/>
      <c r="M1041" s="66"/>
      <c r="N1041" s="66">
        <f>SUM(Prog_236[[#This Row],[TARA]]+Prog_236[[#This Row],[PESO]])</f>
        <v>0</v>
      </c>
      <c r="O1041" s="44"/>
      <c r="P1041" s="66"/>
      <c r="Q1041" s="66"/>
      <c r="R1041" s="66"/>
      <c r="S1041" s="66"/>
      <c r="T1041" s="138" t="str">
        <f>IFERROR(LOOKUP($S1041,MOTORISTAS!$D$3:$D$1048576,MOTORISTAS!E$3:$E$1048576),"")</f>
        <v/>
      </c>
      <c r="U1041" s="138" t="str">
        <f>IFERROR(LOOKUP($S1041,MOTORISTAS!$D$3:$D$1048576,MOTORISTAS!F$3:$F$1048576),"")</f>
        <v/>
      </c>
      <c r="V1041" s="66"/>
      <c r="W1041" s="66"/>
      <c r="X1041" s="66"/>
      <c r="Y1041" s="66"/>
      <c r="Z1041" s="66"/>
      <c r="AA1041" s="66"/>
      <c r="AB1041" s="66"/>
      <c r="AC1041" s="66"/>
      <c r="AD1041" s="66"/>
      <c r="AE1041" s="66"/>
      <c r="AF1041" s="44"/>
      <c r="AG1041" s="254">
        <f>Prog_236[[#This Row],[SAÍDA DO CLIENTE]]-Prog_236[[#This Row],[PROGRAMAÇÃO CLIENTE]]</f>
        <v>0</v>
      </c>
      <c r="AH1041" s="44"/>
      <c r="AI1041" s="66"/>
      <c r="AJ1041" s="66"/>
      <c r="AK1041" s="66"/>
      <c r="AL1041" s="66"/>
      <c r="AM1041" s="66"/>
      <c r="AN1041" s="83"/>
      <c r="AO1041" s="66"/>
      <c r="AP1041" s="66"/>
      <c r="AQ1041" s="66"/>
      <c r="AR1041" s="81"/>
      <c r="AS1041" s="81"/>
      <c r="AT1041" s="81"/>
      <c r="AU1041" s="81"/>
      <c r="AV1041" s="83">
        <f>SUM(Prog_236[[#This Row],[ADIANTAMENTO]]+Prog_236[[#This Row],[SALDO]]+Prog_236[[#This Row],[MARGEM]]+Prog_236[[#This Row],[ESTADIA 1]])</f>
        <v>0</v>
      </c>
      <c r="AW10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1" s="81"/>
      <c r="AY1041" s="81"/>
      <c r="AZ1041" s="81">
        <f>Prog_236[[#This Row],[VLR NF]]*0.1%</f>
        <v>0</v>
      </c>
      <c r="BA1041" s="81">
        <f>Prog_236[[#This Row],[VLR NF]]*0.05%</f>
        <v>0</v>
      </c>
      <c r="BB1041" s="81"/>
      <c r="BC1041" s="81"/>
      <c r="BD1041" s="81"/>
      <c r="BE1041" s="81"/>
      <c r="BF1041" s="81"/>
      <c r="BG1041" s="81"/>
      <c r="BH1041" s="81"/>
      <c r="BI1041" s="81"/>
      <c r="BJ1041" s="81"/>
      <c r="BK1041" s="81"/>
      <c r="BL1041" s="66"/>
      <c r="BM1041" s="66"/>
      <c r="BN1041" s="66"/>
      <c r="BO1041" s="66" t="str">
        <f>PROPER(TEXT(Prog_236[[#This Row],[PROGRAMAÇÃO CLIENTE]],"mmm"))</f>
        <v>Jan</v>
      </c>
      <c r="BP1041" s="66">
        <f>YEAR(Prog_236[[#This Row],[PROGRAMAÇÃO CLIENTE]])</f>
        <v>1900</v>
      </c>
    </row>
    <row r="1042" spans="1:68" x14ac:dyDescent="0.25">
      <c r="A1042" s="201">
        <f>Prog_236[[#This Row],[CONTEINER]]</f>
        <v>0</v>
      </c>
      <c r="B1042" s="86"/>
      <c r="C10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2" s="44"/>
      <c r="E1042" s="66"/>
      <c r="F1042" s="66"/>
      <c r="G1042" s="66"/>
      <c r="H1042" s="44"/>
      <c r="I1042" s="44"/>
      <c r="J1042" s="66"/>
      <c r="K1042" s="66"/>
      <c r="L1042" s="66"/>
      <c r="M1042" s="66"/>
      <c r="N1042" s="66">
        <f>SUM(Prog_236[[#This Row],[TARA]]+Prog_236[[#This Row],[PESO]])</f>
        <v>0</v>
      </c>
      <c r="O1042" s="44"/>
      <c r="P1042" s="66"/>
      <c r="Q1042" s="66"/>
      <c r="R1042" s="66"/>
      <c r="S1042" s="66"/>
      <c r="T1042" s="138" t="str">
        <f>IFERROR(LOOKUP($S1042,MOTORISTAS!$D$3:$D$1048576,MOTORISTAS!E$3:$E$1048576),"")</f>
        <v/>
      </c>
      <c r="U1042" s="138" t="str">
        <f>IFERROR(LOOKUP($S1042,MOTORISTAS!$D$3:$D$1048576,MOTORISTAS!F$3:$F$1048576),"")</f>
        <v/>
      </c>
      <c r="V1042" s="66"/>
      <c r="W1042" s="66"/>
      <c r="X1042" s="66"/>
      <c r="Y1042" s="66"/>
      <c r="Z1042" s="66"/>
      <c r="AA1042" s="66"/>
      <c r="AB1042" s="66"/>
      <c r="AC1042" s="66"/>
      <c r="AD1042" s="66"/>
      <c r="AE1042" s="66"/>
      <c r="AF1042" s="44"/>
      <c r="AG1042" s="254">
        <f>Prog_236[[#This Row],[SAÍDA DO CLIENTE]]-Prog_236[[#This Row],[PROGRAMAÇÃO CLIENTE]]</f>
        <v>0</v>
      </c>
      <c r="AH1042" s="44"/>
      <c r="AI1042" s="66"/>
      <c r="AJ1042" s="66"/>
      <c r="AK1042" s="66"/>
      <c r="AL1042" s="66"/>
      <c r="AM1042" s="66"/>
      <c r="AN1042" s="83"/>
      <c r="AO1042" s="66"/>
      <c r="AP1042" s="66"/>
      <c r="AQ1042" s="66"/>
      <c r="AR1042" s="81"/>
      <c r="AS1042" s="81"/>
      <c r="AT1042" s="81"/>
      <c r="AU1042" s="81"/>
      <c r="AV1042" s="83">
        <f>SUM(Prog_236[[#This Row],[ADIANTAMENTO]]+Prog_236[[#This Row],[SALDO]]+Prog_236[[#This Row],[MARGEM]]+Prog_236[[#This Row],[ESTADIA 1]])</f>
        <v>0</v>
      </c>
      <c r="AW10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2" s="81"/>
      <c r="AY1042" s="81"/>
      <c r="AZ1042" s="81">
        <f>Prog_236[[#This Row],[VLR NF]]*0.1%</f>
        <v>0</v>
      </c>
      <c r="BA1042" s="81">
        <f>Prog_236[[#This Row],[VLR NF]]*0.05%</f>
        <v>0</v>
      </c>
      <c r="BB1042" s="81"/>
      <c r="BC1042" s="81"/>
      <c r="BD1042" s="81"/>
      <c r="BE1042" s="81"/>
      <c r="BF1042" s="81"/>
      <c r="BG1042" s="81"/>
      <c r="BH1042" s="81"/>
      <c r="BI1042" s="81"/>
      <c r="BJ1042" s="81"/>
      <c r="BK1042" s="81"/>
      <c r="BL1042" s="66"/>
      <c r="BM1042" s="66"/>
      <c r="BN1042" s="66"/>
      <c r="BO1042" s="66" t="str">
        <f>PROPER(TEXT(Prog_236[[#This Row],[PROGRAMAÇÃO CLIENTE]],"mmm"))</f>
        <v>Jan</v>
      </c>
      <c r="BP1042" s="66">
        <f>YEAR(Prog_236[[#This Row],[PROGRAMAÇÃO CLIENTE]])</f>
        <v>1900</v>
      </c>
    </row>
    <row r="1043" spans="1:68" x14ac:dyDescent="0.25">
      <c r="A1043" s="200">
        <f>Prog_236[[#This Row],[CONTEINER]]</f>
        <v>0</v>
      </c>
      <c r="B1043" s="86"/>
      <c r="C10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3" s="44"/>
      <c r="E1043" s="66"/>
      <c r="F1043" s="66"/>
      <c r="G1043" s="66"/>
      <c r="H1043" s="44"/>
      <c r="I1043" s="44"/>
      <c r="J1043" s="66"/>
      <c r="K1043" s="66"/>
      <c r="L1043" s="66"/>
      <c r="M1043" s="66"/>
      <c r="N1043" s="66">
        <f>SUM(Prog_236[[#This Row],[TARA]]+Prog_236[[#This Row],[PESO]])</f>
        <v>0</v>
      </c>
      <c r="O1043" s="44"/>
      <c r="P1043" s="66"/>
      <c r="Q1043" s="66"/>
      <c r="R1043" s="66"/>
      <c r="S1043" s="66"/>
      <c r="T1043" s="138" t="str">
        <f>IFERROR(LOOKUP($S1043,MOTORISTAS!$D$3:$D$1048576,MOTORISTAS!E$3:$E$1048576),"")</f>
        <v/>
      </c>
      <c r="U1043" s="138" t="str">
        <f>IFERROR(LOOKUP($S1043,MOTORISTAS!$D$3:$D$1048576,MOTORISTAS!F$3:$F$1048576),"")</f>
        <v/>
      </c>
      <c r="V1043" s="66"/>
      <c r="W1043" s="66"/>
      <c r="X1043" s="66"/>
      <c r="Y1043" s="66"/>
      <c r="Z1043" s="66"/>
      <c r="AA1043" s="66"/>
      <c r="AB1043" s="66"/>
      <c r="AC1043" s="66"/>
      <c r="AD1043" s="66"/>
      <c r="AE1043" s="66"/>
      <c r="AF1043" s="44"/>
      <c r="AG1043" s="254">
        <f>Prog_236[[#This Row],[SAÍDA DO CLIENTE]]-Prog_236[[#This Row],[PROGRAMAÇÃO CLIENTE]]</f>
        <v>0</v>
      </c>
      <c r="AH1043" s="44"/>
      <c r="AI1043" s="66"/>
      <c r="AJ1043" s="66"/>
      <c r="AK1043" s="66"/>
      <c r="AL1043" s="66"/>
      <c r="AM1043" s="66"/>
      <c r="AN1043" s="83"/>
      <c r="AO1043" s="66"/>
      <c r="AP1043" s="66"/>
      <c r="AQ1043" s="66"/>
      <c r="AR1043" s="81"/>
      <c r="AS1043" s="81"/>
      <c r="AT1043" s="81"/>
      <c r="AU1043" s="81"/>
      <c r="AV1043" s="83">
        <f>SUM(Prog_236[[#This Row],[ADIANTAMENTO]]+Prog_236[[#This Row],[SALDO]]+Prog_236[[#This Row],[MARGEM]]+Prog_236[[#This Row],[ESTADIA 1]])</f>
        <v>0</v>
      </c>
      <c r="AW10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3" s="81"/>
      <c r="AY1043" s="81"/>
      <c r="AZ1043" s="81">
        <f>Prog_236[[#This Row],[VLR NF]]*0.1%</f>
        <v>0</v>
      </c>
      <c r="BA1043" s="81">
        <f>Prog_236[[#This Row],[VLR NF]]*0.05%</f>
        <v>0</v>
      </c>
      <c r="BB1043" s="81"/>
      <c r="BC1043" s="81"/>
      <c r="BD1043" s="81"/>
      <c r="BE1043" s="81"/>
      <c r="BF1043" s="81"/>
      <c r="BG1043" s="81"/>
      <c r="BH1043" s="81"/>
      <c r="BI1043" s="81"/>
      <c r="BJ1043" s="81"/>
      <c r="BK1043" s="81"/>
      <c r="BL1043" s="66"/>
      <c r="BM1043" s="66"/>
      <c r="BN1043" s="66"/>
      <c r="BO1043" s="66" t="str">
        <f>PROPER(TEXT(Prog_236[[#This Row],[PROGRAMAÇÃO CLIENTE]],"mmm"))</f>
        <v>Jan</v>
      </c>
      <c r="BP1043" s="66">
        <f>YEAR(Prog_236[[#This Row],[PROGRAMAÇÃO CLIENTE]])</f>
        <v>1900</v>
      </c>
    </row>
    <row r="1044" spans="1:68" x14ac:dyDescent="0.25">
      <c r="A1044" s="201">
        <f>Prog_236[[#This Row],[CONTEINER]]</f>
        <v>0</v>
      </c>
      <c r="B1044" s="86"/>
      <c r="C10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4" s="44"/>
      <c r="E1044" s="66"/>
      <c r="F1044" s="66"/>
      <c r="G1044" s="66"/>
      <c r="H1044" s="44"/>
      <c r="I1044" s="44"/>
      <c r="J1044" s="66"/>
      <c r="K1044" s="66"/>
      <c r="L1044" s="66"/>
      <c r="M1044" s="66"/>
      <c r="N1044" s="66">
        <f>SUM(Prog_236[[#This Row],[TARA]]+Prog_236[[#This Row],[PESO]])</f>
        <v>0</v>
      </c>
      <c r="O1044" s="44"/>
      <c r="P1044" s="66"/>
      <c r="Q1044" s="66"/>
      <c r="R1044" s="66"/>
      <c r="S1044" s="66"/>
      <c r="T1044" s="138" t="str">
        <f>IFERROR(LOOKUP($S1044,MOTORISTAS!$D$3:$D$1048576,MOTORISTAS!E$3:$E$1048576),"")</f>
        <v/>
      </c>
      <c r="U1044" s="138" t="str">
        <f>IFERROR(LOOKUP($S1044,MOTORISTAS!$D$3:$D$1048576,MOTORISTAS!F$3:$F$1048576),"")</f>
        <v/>
      </c>
      <c r="V1044" s="66"/>
      <c r="W1044" s="66"/>
      <c r="X1044" s="66"/>
      <c r="Y1044" s="66"/>
      <c r="Z1044" s="66"/>
      <c r="AA1044" s="66"/>
      <c r="AB1044" s="66"/>
      <c r="AC1044" s="66"/>
      <c r="AD1044" s="66"/>
      <c r="AE1044" s="66"/>
      <c r="AF1044" s="44"/>
      <c r="AG1044" s="254">
        <f>Prog_236[[#This Row],[SAÍDA DO CLIENTE]]-Prog_236[[#This Row],[PROGRAMAÇÃO CLIENTE]]</f>
        <v>0</v>
      </c>
      <c r="AH1044" s="44"/>
      <c r="AI1044" s="66"/>
      <c r="AJ1044" s="66"/>
      <c r="AK1044" s="66"/>
      <c r="AL1044" s="66"/>
      <c r="AM1044" s="66"/>
      <c r="AN1044" s="83"/>
      <c r="AO1044" s="66"/>
      <c r="AP1044" s="66"/>
      <c r="AQ1044" s="66"/>
      <c r="AR1044" s="81"/>
      <c r="AS1044" s="81"/>
      <c r="AT1044" s="81"/>
      <c r="AU1044" s="81"/>
      <c r="AV1044" s="83">
        <f>SUM(Prog_236[[#This Row],[ADIANTAMENTO]]+Prog_236[[#This Row],[SALDO]]+Prog_236[[#This Row],[MARGEM]]+Prog_236[[#This Row],[ESTADIA 1]])</f>
        <v>0</v>
      </c>
      <c r="AW10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4" s="81"/>
      <c r="AY1044" s="81"/>
      <c r="AZ1044" s="81">
        <f>Prog_236[[#This Row],[VLR NF]]*0.1%</f>
        <v>0</v>
      </c>
      <c r="BA1044" s="81">
        <f>Prog_236[[#This Row],[VLR NF]]*0.05%</f>
        <v>0</v>
      </c>
      <c r="BB1044" s="81"/>
      <c r="BC1044" s="81"/>
      <c r="BD1044" s="81"/>
      <c r="BE1044" s="81"/>
      <c r="BF1044" s="81"/>
      <c r="BG1044" s="81"/>
      <c r="BH1044" s="81"/>
      <c r="BI1044" s="81"/>
      <c r="BJ1044" s="81"/>
      <c r="BK1044" s="81"/>
      <c r="BL1044" s="66"/>
      <c r="BM1044" s="66"/>
      <c r="BN1044" s="66"/>
      <c r="BO1044" s="66" t="str">
        <f>PROPER(TEXT(Prog_236[[#This Row],[PROGRAMAÇÃO CLIENTE]],"mmm"))</f>
        <v>Jan</v>
      </c>
      <c r="BP1044" s="66">
        <f>YEAR(Prog_236[[#This Row],[PROGRAMAÇÃO CLIENTE]])</f>
        <v>1900</v>
      </c>
    </row>
    <row r="1045" spans="1:68" x14ac:dyDescent="0.25">
      <c r="A1045" s="200">
        <f>Prog_236[[#This Row],[CONTEINER]]</f>
        <v>0</v>
      </c>
      <c r="B1045" s="86"/>
      <c r="C10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5" s="44"/>
      <c r="E1045" s="66"/>
      <c r="F1045" s="66"/>
      <c r="G1045" s="66"/>
      <c r="H1045" s="44"/>
      <c r="I1045" s="44"/>
      <c r="J1045" s="66"/>
      <c r="K1045" s="66"/>
      <c r="L1045" s="66"/>
      <c r="M1045" s="66"/>
      <c r="N1045" s="66">
        <f>SUM(Prog_236[[#This Row],[TARA]]+Prog_236[[#This Row],[PESO]])</f>
        <v>0</v>
      </c>
      <c r="O1045" s="44"/>
      <c r="P1045" s="66"/>
      <c r="Q1045" s="66"/>
      <c r="R1045" s="66"/>
      <c r="S1045" s="66"/>
      <c r="T1045" s="138" t="str">
        <f>IFERROR(LOOKUP($S1045,MOTORISTAS!$D$3:$D$1048576,MOTORISTAS!E$3:$E$1048576),"")</f>
        <v/>
      </c>
      <c r="U1045" s="138" t="str">
        <f>IFERROR(LOOKUP($S1045,MOTORISTAS!$D$3:$D$1048576,MOTORISTAS!F$3:$F$1048576),"")</f>
        <v/>
      </c>
      <c r="V1045" s="66"/>
      <c r="W1045" s="66"/>
      <c r="X1045" s="66"/>
      <c r="Y1045" s="66"/>
      <c r="Z1045" s="66"/>
      <c r="AA1045" s="66"/>
      <c r="AB1045" s="66"/>
      <c r="AC1045" s="66"/>
      <c r="AD1045" s="66"/>
      <c r="AE1045" s="66"/>
      <c r="AF1045" s="44"/>
      <c r="AG1045" s="254">
        <f>Prog_236[[#This Row],[SAÍDA DO CLIENTE]]-Prog_236[[#This Row],[PROGRAMAÇÃO CLIENTE]]</f>
        <v>0</v>
      </c>
      <c r="AH1045" s="44"/>
      <c r="AI1045" s="66"/>
      <c r="AJ1045" s="66"/>
      <c r="AK1045" s="66"/>
      <c r="AL1045" s="66"/>
      <c r="AM1045" s="66"/>
      <c r="AN1045" s="83"/>
      <c r="AO1045" s="66"/>
      <c r="AP1045" s="66"/>
      <c r="AQ1045" s="66"/>
      <c r="AR1045" s="81"/>
      <c r="AS1045" s="81"/>
      <c r="AT1045" s="81"/>
      <c r="AU1045" s="81"/>
      <c r="AV1045" s="83">
        <f>SUM(Prog_236[[#This Row],[ADIANTAMENTO]]+Prog_236[[#This Row],[SALDO]]+Prog_236[[#This Row],[MARGEM]]+Prog_236[[#This Row],[ESTADIA 1]])</f>
        <v>0</v>
      </c>
      <c r="AW10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5" s="81"/>
      <c r="AY1045" s="81"/>
      <c r="AZ1045" s="81">
        <f>Prog_236[[#This Row],[VLR NF]]*0.1%</f>
        <v>0</v>
      </c>
      <c r="BA1045" s="81">
        <f>Prog_236[[#This Row],[VLR NF]]*0.05%</f>
        <v>0</v>
      </c>
      <c r="BB1045" s="81"/>
      <c r="BC1045" s="81"/>
      <c r="BD1045" s="81"/>
      <c r="BE1045" s="81"/>
      <c r="BF1045" s="81"/>
      <c r="BG1045" s="81"/>
      <c r="BH1045" s="81"/>
      <c r="BI1045" s="81"/>
      <c r="BJ1045" s="81"/>
      <c r="BK1045" s="81"/>
      <c r="BL1045" s="66"/>
      <c r="BM1045" s="66"/>
      <c r="BN1045" s="66"/>
      <c r="BO1045" s="66" t="str">
        <f>PROPER(TEXT(Prog_236[[#This Row],[PROGRAMAÇÃO CLIENTE]],"mmm"))</f>
        <v>Jan</v>
      </c>
      <c r="BP1045" s="66">
        <f>YEAR(Prog_236[[#This Row],[PROGRAMAÇÃO CLIENTE]])</f>
        <v>1900</v>
      </c>
    </row>
    <row r="1046" spans="1:68" x14ac:dyDescent="0.25">
      <c r="A1046" s="201">
        <f>Prog_236[[#This Row],[CONTEINER]]</f>
        <v>0</v>
      </c>
      <c r="B1046" s="86"/>
      <c r="C10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6" s="44"/>
      <c r="E1046" s="66"/>
      <c r="F1046" s="66"/>
      <c r="G1046" s="66"/>
      <c r="H1046" s="44"/>
      <c r="I1046" s="44"/>
      <c r="J1046" s="66"/>
      <c r="K1046" s="66"/>
      <c r="L1046" s="66"/>
      <c r="M1046" s="66"/>
      <c r="N1046" s="66">
        <f>SUM(Prog_236[[#This Row],[TARA]]+Prog_236[[#This Row],[PESO]])</f>
        <v>0</v>
      </c>
      <c r="O1046" s="44"/>
      <c r="P1046" s="66"/>
      <c r="Q1046" s="66"/>
      <c r="R1046" s="66"/>
      <c r="S1046" s="66"/>
      <c r="T1046" s="138" t="str">
        <f>IFERROR(LOOKUP($S1046,MOTORISTAS!$D$3:$D$1048576,MOTORISTAS!E$3:$E$1048576),"")</f>
        <v/>
      </c>
      <c r="U1046" s="138" t="str">
        <f>IFERROR(LOOKUP($S1046,MOTORISTAS!$D$3:$D$1048576,MOTORISTAS!F$3:$F$1048576),"")</f>
        <v/>
      </c>
      <c r="V1046" s="66"/>
      <c r="W1046" s="66"/>
      <c r="X1046" s="66"/>
      <c r="Y1046" s="66"/>
      <c r="Z1046" s="66"/>
      <c r="AA1046" s="66"/>
      <c r="AB1046" s="66"/>
      <c r="AC1046" s="66"/>
      <c r="AD1046" s="66"/>
      <c r="AE1046" s="66"/>
      <c r="AF1046" s="44"/>
      <c r="AG1046" s="254">
        <f>Prog_236[[#This Row],[SAÍDA DO CLIENTE]]-Prog_236[[#This Row],[PROGRAMAÇÃO CLIENTE]]</f>
        <v>0</v>
      </c>
      <c r="AH1046" s="44"/>
      <c r="AI1046" s="66"/>
      <c r="AJ1046" s="66"/>
      <c r="AK1046" s="66"/>
      <c r="AL1046" s="66"/>
      <c r="AM1046" s="66"/>
      <c r="AN1046" s="83"/>
      <c r="AO1046" s="66"/>
      <c r="AP1046" s="66"/>
      <c r="AQ1046" s="66"/>
      <c r="AR1046" s="81"/>
      <c r="AS1046" s="81"/>
      <c r="AT1046" s="81"/>
      <c r="AU1046" s="81"/>
      <c r="AV1046" s="83">
        <f>SUM(Prog_236[[#This Row],[ADIANTAMENTO]]+Prog_236[[#This Row],[SALDO]]+Prog_236[[#This Row],[MARGEM]]+Prog_236[[#This Row],[ESTADIA 1]])</f>
        <v>0</v>
      </c>
      <c r="AW10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6" s="81"/>
      <c r="AY1046" s="81"/>
      <c r="AZ1046" s="81">
        <f>Prog_236[[#This Row],[VLR NF]]*0.1%</f>
        <v>0</v>
      </c>
      <c r="BA1046" s="81">
        <f>Prog_236[[#This Row],[VLR NF]]*0.05%</f>
        <v>0</v>
      </c>
      <c r="BB1046" s="81"/>
      <c r="BC1046" s="81"/>
      <c r="BD1046" s="81"/>
      <c r="BE1046" s="81"/>
      <c r="BF1046" s="81"/>
      <c r="BG1046" s="81"/>
      <c r="BH1046" s="81"/>
      <c r="BI1046" s="81"/>
      <c r="BJ1046" s="81"/>
      <c r="BK1046" s="81"/>
      <c r="BL1046" s="66"/>
      <c r="BM1046" s="66"/>
      <c r="BN1046" s="66"/>
      <c r="BO1046" s="66" t="str">
        <f>PROPER(TEXT(Prog_236[[#This Row],[PROGRAMAÇÃO CLIENTE]],"mmm"))</f>
        <v>Jan</v>
      </c>
      <c r="BP1046" s="66">
        <f>YEAR(Prog_236[[#This Row],[PROGRAMAÇÃO CLIENTE]])</f>
        <v>1900</v>
      </c>
    </row>
    <row r="1047" spans="1:68" x14ac:dyDescent="0.25">
      <c r="A1047" s="200">
        <f>Prog_236[[#This Row],[CONTEINER]]</f>
        <v>0</v>
      </c>
      <c r="B1047" s="86"/>
      <c r="C10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7" s="44"/>
      <c r="E1047" s="66"/>
      <c r="F1047" s="66"/>
      <c r="G1047" s="66"/>
      <c r="H1047" s="44"/>
      <c r="I1047" s="44"/>
      <c r="J1047" s="66"/>
      <c r="K1047" s="66"/>
      <c r="L1047" s="66"/>
      <c r="M1047" s="66"/>
      <c r="N1047" s="66">
        <f>SUM(Prog_236[[#This Row],[TARA]]+Prog_236[[#This Row],[PESO]])</f>
        <v>0</v>
      </c>
      <c r="O1047" s="44"/>
      <c r="P1047" s="66"/>
      <c r="Q1047" s="66"/>
      <c r="R1047" s="66"/>
      <c r="S1047" s="66"/>
      <c r="T1047" s="138" t="str">
        <f>IFERROR(LOOKUP($S1047,MOTORISTAS!$D$3:$D$1048576,MOTORISTAS!E$3:$E$1048576),"")</f>
        <v/>
      </c>
      <c r="U1047" s="138" t="str">
        <f>IFERROR(LOOKUP($S1047,MOTORISTAS!$D$3:$D$1048576,MOTORISTAS!F$3:$F$1048576),"")</f>
        <v/>
      </c>
      <c r="V1047" s="66"/>
      <c r="W1047" s="66"/>
      <c r="X1047" s="66"/>
      <c r="Y1047" s="66"/>
      <c r="Z1047" s="66"/>
      <c r="AA1047" s="66"/>
      <c r="AB1047" s="66"/>
      <c r="AC1047" s="66"/>
      <c r="AD1047" s="66"/>
      <c r="AE1047" s="66"/>
      <c r="AF1047" s="44"/>
      <c r="AG1047" s="254">
        <f>Prog_236[[#This Row],[SAÍDA DO CLIENTE]]-Prog_236[[#This Row],[PROGRAMAÇÃO CLIENTE]]</f>
        <v>0</v>
      </c>
      <c r="AH1047" s="44"/>
      <c r="AI1047" s="66"/>
      <c r="AJ1047" s="66"/>
      <c r="AK1047" s="66"/>
      <c r="AL1047" s="66"/>
      <c r="AM1047" s="66"/>
      <c r="AN1047" s="83"/>
      <c r="AO1047" s="66"/>
      <c r="AP1047" s="66"/>
      <c r="AQ1047" s="66"/>
      <c r="AR1047" s="81"/>
      <c r="AS1047" s="81"/>
      <c r="AT1047" s="81"/>
      <c r="AU1047" s="81"/>
      <c r="AV1047" s="83">
        <f>SUM(Prog_236[[#This Row],[ADIANTAMENTO]]+Prog_236[[#This Row],[SALDO]]+Prog_236[[#This Row],[MARGEM]]+Prog_236[[#This Row],[ESTADIA 1]])</f>
        <v>0</v>
      </c>
      <c r="AW10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7" s="81"/>
      <c r="AY1047" s="81"/>
      <c r="AZ1047" s="81">
        <f>Prog_236[[#This Row],[VLR NF]]*0.1%</f>
        <v>0</v>
      </c>
      <c r="BA1047" s="81">
        <f>Prog_236[[#This Row],[VLR NF]]*0.05%</f>
        <v>0</v>
      </c>
      <c r="BB1047" s="81"/>
      <c r="BC1047" s="81"/>
      <c r="BD1047" s="81"/>
      <c r="BE1047" s="81"/>
      <c r="BF1047" s="81"/>
      <c r="BG1047" s="81"/>
      <c r="BH1047" s="81"/>
      <c r="BI1047" s="81"/>
      <c r="BJ1047" s="81"/>
      <c r="BK1047" s="81"/>
      <c r="BL1047" s="66"/>
      <c r="BM1047" s="66"/>
      <c r="BN1047" s="66"/>
      <c r="BO1047" s="66" t="str">
        <f>PROPER(TEXT(Prog_236[[#This Row],[PROGRAMAÇÃO CLIENTE]],"mmm"))</f>
        <v>Jan</v>
      </c>
      <c r="BP1047" s="66">
        <f>YEAR(Prog_236[[#This Row],[PROGRAMAÇÃO CLIENTE]])</f>
        <v>1900</v>
      </c>
    </row>
    <row r="1048" spans="1:68" x14ac:dyDescent="0.25">
      <c r="A1048" s="201">
        <f>Prog_236[[#This Row],[CONTEINER]]</f>
        <v>0</v>
      </c>
      <c r="B1048" s="86"/>
      <c r="C10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8" s="44"/>
      <c r="E1048" s="66"/>
      <c r="F1048" s="66"/>
      <c r="G1048" s="66"/>
      <c r="H1048" s="44"/>
      <c r="I1048" s="44"/>
      <c r="J1048" s="66"/>
      <c r="K1048" s="66"/>
      <c r="L1048" s="66"/>
      <c r="M1048" s="66"/>
      <c r="N1048" s="66">
        <f>SUM(Prog_236[[#This Row],[TARA]]+Prog_236[[#This Row],[PESO]])</f>
        <v>0</v>
      </c>
      <c r="O1048" s="44"/>
      <c r="P1048" s="66"/>
      <c r="Q1048" s="66"/>
      <c r="R1048" s="66"/>
      <c r="S1048" s="66"/>
      <c r="T1048" s="138" t="str">
        <f>IFERROR(LOOKUP($S1048,MOTORISTAS!$D$3:$D$1048576,MOTORISTAS!E$3:$E$1048576),"")</f>
        <v/>
      </c>
      <c r="U1048" s="138" t="str">
        <f>IFERROR(LOOKUP($S1048,MOTORISTAS!$D$3:$D$1048576,MOTORISTAS!F$3:$F$1048576),"")</f>
        <v/>
      </c>
      <c r="V1048" s="66"/>
      <c r="W1048" s="66"/>
      <c r="X1048" s="66"/>
      <c r="Y1048" s="66"/>
      <c r="Z1048" s="66"/>
      <c r="AA1048" s="66"/>
      <c r="AB1048" s="66"/>
      <c r="AC1048" s="66"/>
      <c r="AD1048" s="66"/>
      <c r="AE1048" s="66"/>
      <c r="AF1048" s="44"/>
      <c r="AG1048" s="254">
        <f>Prog_236[[#This Row],[SAÍDA DO CLIENTE]]-Prog_236[[#This Row],[PROGRAMAÇÃO CLIENTE]]</f>
        <v>0</v>
      </c>
      <c r="AH1048" s="44"/>
      <c r="AI1048" s="66"/>
      <c r="AJ1048" s="66"/>
      <c r="AK1048" s="66"/>
      <c r="AL1048" s="66"/>
      <c r="AM1048" s="66"/>
      <c r="AN1048" s="83"/>
      <c r="AO1048" s="66"/>
      <c r="AP1048" s="66"/>
      <c r="AQ1048" s="66"/>
      <c r="AR1048" s="81"/>
      <c r="AS1048" s="81"/>
      <c r="AT1048" s="81"/>
      <c r="AU1048" s="81"/>
      <c r="AV1048" s="83">
        <f>SUM(Prog_236[[#This Row],[ADIANTAMENTO]]+Prog_236[[#This Row],[SALDO]]+Prog_236[[#This Row],[MARGEM]]+Prog_236[[#This Row],[ESTADIA 1]])</f>
        <v>0</v>
      </c>
      <c r="AW10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8" s="81"/>
      <c r="AY1048" s="81"/>
      <c r="AZ1048" s="81">
        <f>Prog_236[[#This Row],[VLR NF]]*0.1%</f>
        <v>0</v>
      </c>
      <c r="BA1048" s="81">
        <f>Prog_236[[#This Row],[VLR NF]]*0.05%</f>
        <v>0</v>
      </c>
      <c r="BB1048" s="81"/>
      <c r="BC1048" s="81"/>
      <c r="BD1048" s="81"/>
      <c r="BE1048" s="81"/>
      <c r="BF1048" s="81"/>
      <c r="BG1048" s="81"/>
      <c r="BH1048" s="81"/>
      <c r="BI1048" s="81"/>
      <c r="BJ1048" s="81"/>
      <c r="BK1048" s="81"/>
      <c r="BL1048" s="66"/>
      <c r="BM1048" s="66"/>
      <c r="BN1048" s="66"/>
      <c r="BO1048" s="66" t="str">
        <f>PROPER(TEXT(Prog_236[[#This Row],[PROGRAMAÇÃO CLIENTE]],"mmm"))</f>
        <v>Jan</v>
      </c>
      <c r="BP1048" s="66">
        <f>YEAR(Prog_236[[#This Row],[PROGRAMAÇÃO CLIENTE]])</f>
        <v>1900</v>
      </c>
    </row>
    <row r="1049" spans="1:68" x14ac:dyDescent="0.25">
      <c r="A1049" s="200">
        <f>Prog_236[[#This Row],[CONTEINER]]</f>
        <v>0</v>
      </c>
      <c r="B1049" s="86"/>
      <c r="C10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49" s="44"/>
      <c r="E1049" s="66"/>
      <c r="F1049" s="66"/>
      <c r="G1049" s="66"/>
      <c r="H1049" s="44"/>
      <c r="I1049" s="44"/>
      <c r="J1049" s="66"/>
      <c r="K1049" s="66"/>
      <c r="L1049" s="66"/>
      <c r="M1049" s="66"/>
      <c r="N1049" s="66">
        <f>SUM(Prog_236[[#This Row],[TARA]]+Prog_236[[#This Row],[PESO]])</f>
        <v>0</v>
      </c>
      <c r="O1049" s="44"/>
      <c r="P1049" s="66"/>
      <c r="Q1049" s="66"/>
      <c r="R1049" s="66"/>
      <c r="S1049" s="66"/>
      <c r="T1049" s="138" t="str">
        <f>IFERROR(LOOKUP($S1049,MOTORISTAS!$D$3:$D$1048576,MOTORISTAS!E$3:$E$1048576),"")</f>
        <v/>
      </c>
      <c r="U1049" s="138" t="str">
        <f>IFERROR(LOOKUP($S1049,MOTORISTAS!$D$3:$D$1048576,MOTORISTAS!F$3:$F$1048576),"")</f>
        <v/>
      </c>
      <c r="V1049" s="66"/>
      <c r="W1049" s="66"/>
      <c r="X1049" s="66"/>
      <c r="Y1049" s="66"/>
      <c r="Z1049" s="66"/>
      <c r="AA1049" s="66"/>
      <c r="AB1049" s="66"/>
      <c r="AC1049" s="66"/>
      <c r="AD1049" s="66"/>
      <c r="AE1049" s="66"/>
      <c r="AF1049" s="44"/>
      <c r="AG1049" s="254">
        <f>Prog_236[[#This Row],[SAÍDA DO CLIENTE]]-Prog_236[[#This Row],[PROGRAMAÇÃO CLIENTE]]</f>
        <v>0</v>
      </c>
      <c r="AH1049" s="44"/>
      <c r="AI1049" s="66"/>
      <c r="AJ1049" s="66"/>
      <c r="AK1049" s="66"/>
      <c r="AL1049" s="66"/>
      <c r="AM1049" s="66"/>
      <c r="AN1049" s="83"/>
      <c r="AO1049" s="66"/>
      <c r="AP1049" s="66"/>
      <c r="AQ1049" s="66"/>
      <c r="AR1049" s="81"/>
      <c r="AS1049" s="81"/>
      <c r="AT1049" s="81"/>
      <c r="AU1049" s="81"/>
      <c r="AV1049" s="83">
        <f>SUM(Prog_236[[#This Row],[ADIANTAMENTO]]+Prog_236[[#This Row],[SALDO]]+Prog_236[[#This Row],[MARGEM]]+Prog_236[[#This Row],[ESTADIA 1]])</f>
        <v>0</v>
      </c>
      <c r="AW10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49" s="81"/>
      <c r="AY1049" s="81"/>
      <c r="AZ1049" s="81">
        <f>Prog_236[[#This Row],[VLR NF]]*0.1%</f>
        <v>0</v>
      </c>
      <c r="BA1049" s="81">
        <f>Prog_236[[#This Row],[VLR NF]]*0.05%</f>
        <v>0</v>
      </c>
      <c r="BB1049" s="81"/>
      <c r="BC1049" s="81"/>
      <c r="BD1049" s="81"/>
      <c r="BE1049" s="81"/>
      <c r="BF1049" s="81"/>
      <c r="BG1049" s="81"/>
      <c r="BH1049" s="81"/>
      <c r="BI1049" s="81"/>
      <c r="BJ1049" s="81"/>
      <c r="BK1049" s="81"/>
      <c r="BL1049" s="66"/>
      <c r="BM1049" s="66"/>
      <c r="BN1049" s="66"/>
      <c r="BO1049" s="66" t="str">
        <f>PROPER(TEXT(Prog_236[[#This Row],[PROGRAMAÇÃO CLIENTE]],"mmm"))</f>
        <v>Jan</v>
      </c>
      <c r="BP1049" s="66">
        <f>YEAR(Prog_236[[#This Row],[PROGRAMAÇÃO CLIENTE]])</f>
        <v>1900</v>
      </c>
    </row>
    <row r="1050" spans="1:68" x14ac:dyDescent="0.25">
      <c r="A1050" s="201">
        <f>Prog_236[[#This Row],[CONTEINER]]</f>
        <v>0</v>
      </c>
      <c r="B1050" s="86"/>
      <c r="C10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0" s="44"/>
      <c r="E1050" s="66"/>
      <c r="F1050" s="66"/>
      <c r="G1050" s="66"/>
      <c r="H1050" s="44"/>
      <c r="I1050" s="44"/>
      <c r="J1050" s="66"/>
      <c r="K1050" s="66"/>
      <c r="L1050" s="66"/>
      <c r="M1050" s="66"/>
      <c r="N1050" s="66">
        <f>SUM(Prog_236[[#This Row],[TARA]]+Prog_236[[#This Row],[PESO]])</f>
        <v>0</v>
      </c>
      <c r="O1050" s="44"/>
      <c r="P1050" s="66"/>
      <c r="Q1050" s="66"/>
      <c r="R1050" s="66"/>
      <c r="S1050" s="66"/>
      <c r="T1050" s="138" t="str">
        <f>IFERROR(LOOKUP($S1050,MOTORISTAS!$D$3:$D$1048576,MOTORISTAS!E$3:$E$1048576),"")</f>
        <v/>
      </c>
      <c r="U1050" s="138" t="str">
        <f>IFERROR(LOOKUP($S1050,MOTORISTAS!$D$3:$D$1048576,MOTORISTAS!F$3:$F$1048576),"")</f>
        <v/>
      </c>
      <c r="V1050" s="66"/>
      <c r="W1050" s="66"/>
      <c r="X1050" s="66"/>
      <c r="Y1050" s="66"/>
      <c r="Z1050" s="66"/>
      <c r="AA1050" s="66"/>
      <c r="AB1050" s="66"/>
      <c r="AC1050" s="66"/>
      <c r="AD1050" s="66"/>
      <c r="AE1050" s="66"/>
      <c r="AF1050" s="44"/>
      <c r="AG1050" s="254">
        <f>Prog_236[[#This Row],[SAÍDA DO CLIENTE]]-Prog_236[[#This Row],[PROGRAMAÇÃO CLIENTE]]</f>
        <v>0</v>
      </c>
      <c r="AH1050" s="44"/>
      <c r="AI1050" s="66"/>
      <c r="AJ1050" s="66"/>
      <c r="AK1050" s="66"/>
      <c r="AL1050" s="66"/>
      <c r="AM1050" s="66"/>
      <c r="AN1050" s="83"/>
      <c r="AO1050" s="66"/>
      <c r="AP1050" s="66"/>
      <c r="AQ1050" s="66"/>
      <c r="AR1050" s="81"/>
      <c r="AS1050" s="81"/>
      <c r="AT1050" s="81"/>
      <c r="AU1050" s="81"/>
      <c r="AV1050" s="83">
        <f>SUM(Prog_236[[#This Row],[ADIANTAMENTO]]+Prog_236[[#This Row],[SALDO]]+Prog_236[[#This Row],[MARGEM]]+Prog_236[[#This Row],[ESTADIA 1]])</f>
        <v>0</v>
      </c>
      <c r="AW10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0" s="81"/>
      <c r="AY1050" s="81"/>
      <c r="AZ1050" s="81">
        <f>Prog_236[[#This Row],[VLR NF]]*0.1%</f>
        <v>0</v>
      </c>
      <c r="BA1050" s="81">
        <f>Prog_236[[#This Row],[VLR NF]]*0.05%</f>
        <v>0</v>
      </c>
      <c r="BB1050" s="81"/>
      <c r="BC1050" s="81"/>
      <c r="BD1050" s="81"/>
      <c r="BE1050" s="81"/>
      <c r="BF1050" s="81"/>
      <c r="BG1050" s="81"/>
      <c r="BH1050" s="81"/>
      <c r="BI1050" s="81"/>
      <c r="BJ1050" s="81"/>
      <c r="BK1050" s="81"/>
      <c r="BL1050" s="66"/>
      <c r="BM1050" s="66"/>
      <c r="BN1050" s="66"/>
      <c r="BO1050" s="66" t="str">
        <f>PROPER(TEXT(Prog_236[[#This Row],[PROGRAMAÇÃO CLIENTE]],"mmm"))</f>
        <v>Jan</v>
      </c>
      <c r="BP1050" s="66">
        <f>YEAR(Prog_236[[#This Row],[PROGRAMAÇÃO CLIENTE]])</f>
        <v>1900</v>
      </c>
    </row>
    <row r="1051" spans="1:68" x14ac:dyDescent="0.25">
      <c r="A1051" s="200">
        <f>Prog_236[[#This Row],[CONTEINER]]</f>
        <v>0</v>
      </c>
      <c r="B1051" s="86"/>
      <c r="C10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1" s="44"/>
      <c r="E1051" s="66"/>
      <c r="F1051" s="66"/>
      <c r="G1051" s="66"/>
      <c r="H1051" s="44"/>
      <c r="I1051" s="44"/>
      <c r="J1051" s="66"/>
      <c r="K1051" s="66"/>
      <c r="L1051" s="66"/>
      <c r="M1051" s="66"/>
      <c r="N1051" s="66">
        <f>SUM(Prog_236[[#This Row],[TARA]]+Prog_236[[#This Row],[PESO]])</f>
        <v>0</v>
      </c>
      <c r="O1051" s="44"/>
      <c r="P1051" s="66"/>
      <c r="Q1051" s="66"/>
      <c r="R1051" s="66"/>
      <c r="S1051" s="66"/>
      <c r="T1051" s="138" t="str">
        <f>IFERROR(LOOKUP($S1051,MOTORISTAS!$D$3:$D$1048576,MOTORISTAS!E$3:$E$1048576),"")</f>
        <v/>
      </c>
      <c r="U1051" s="138" t="str">
        <f>IFERROR(LOOKUP($S1051,MOTORISTAS!$D$3:$D$1048576,MOTORISTAS!F$3:$F$1048576),"")</f>
        <v/>
      </c>
      <c r="V1051" s="66"/>
      <c r="W1051" s="66"/>
      <c r="X1051" s="66"/>
      <c r="Y1051" s="66"/>
      <c r="Z1051" s="66"/>
      <c r="AA1051" s="66"/>
      <c r="AB1051" s="66"/>
      <c r="AC1051" s="66"/>
      <c r="AD1051" s="66"/>
      <c r="AE1051" s="66"/>
      <c r="AF1051" s="44"/>
      <c r="AG1051" s="254">
        <f>Prog_236[[#This Row],[SAÍDA DO CLIENTE]]-Prog_236[[#This Row],[PROGRAMAÇÃO CLIENTE]]</f>
        <v>0</v>
      </c>
      <c r="AH1051" s="44"/>
      <c r="AI1051" s="66"/>
      <c r="AJ1051" s="66"/>
      <c r="AK1051" s="66"/>
      <c r="AL1051" s="66"/>
      <c r="AM1051" s="66"/>
      <c r="AN1051" s="83"/>
      <c r="AO1051" s="66"/>
      <c r="AP1051" s="66"/>
      <c r="AQ1051" s="66"/>
      <c r="AR1051" s="81"/>
      <c r="AS1051" s="81"/>
      <c r="AT1051" s="81"/>
      <c r="AU1051" s="81"/>
      <c r="AV1051" s="83">
        <f>SUM(Prog_236[[#This Row],[ADIANTAMENTO]]+Prog_236[[#This Row],[SALDO]]+Prog_236[[#This Row],[MARGEM]]+Prog_236[[#This Row],[ESTADIA 1]])</f>
        <v>0</v>
      </c>
      <c r="AW10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1" s="81"/>
      <c r="AY1051" s="81"/>
      <c r="AZ1051" s="81">
        <f>Prog_236[[#This Row],[VLR NF]]*0.1%</f>
        <v>0</v>
      </c>
      <c r="BA1051" s="81">
        <f>Prog_236[[#This Row],[VLR NF]]*0.05%</f>
        <v>0</v>
      </c>
      <c r="BB1051" s="81"/>
      <c r="BC1051" s="81"/>
      <c r="BD1051" s="81"/>
      <c r="BE1051" s="81"/>
      <c r="BF1051" s="81"/>
      <c r="BG1051" s="81"/>
      <c r="BH1051" s="81"/>
      <c r="BI1051" s="81"/>
      <c r="BJ1051" s="81"/>
      <c r="BK1051" s="81"/>
      <c r="BL1051" s="66"/>
      <c r="BM1051" s="66"/>
      <c r="BN1051" s="66"/>
      <c r="BO1051" s="66" t="str">
        <f>PROPER(TEXT(Prog_236[[#This Row],[PROGRAMAÇÃO CLIENTE]],"mmm"))</f>
        <v>Jan</v>
      </c>
      <c r="BP1051" s="66">
        <f>YEAR(Prog_236[[#This Row],[PROGRAMAÇÃO CLIENTE]])</f>
        <v>1900</v>
      </c>
    </row>
    <row r="1052" spans="1:68" x14ac:dyDescent="0.25">
      <c r="A1052" s="201">
        <f>Prog_236[[#This Row],[CONTEINER]]</f>
        <v>0</v>
      </c>
      <c r="B1052" s="86"/>
      <c r="C10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2" s="44"/>
      <c r="E1052" s="66"/>
      <c r="F1052" s="66"/>
      <c r="G1052" s="66"/>
      <c r="H1052" s="44"/>
      <c r="I1052" s="44"/>
      <c r="J1052" s="66"/>
      <c r="K1052" s="66"/>
      <c r="L1052" s="66"/>
      <c r="M1052" s="66"/>
      <c r="N1052" s="66">
        <f>SUM(Prog_236[[#This Row],[TARA]]+Prog_236[[#This Row],[PESO]])</f>
        <v>0</v>
      </c>
      <c r="O1052" s="44"/>
      <c r="P1052" s="66"/>
      <c r="Q1052" s="66"/>
      <c r="R1052" s="66"/>
      <c r="S1052" s="66"/>
      <c r="T1052" s="138" t="str">
        <f>IFERROR(LOOKUP($S1052,MOTORISTAS!$D$3:$D$1048576,MOTORISTAS!E$3:$E$1048576),"")</f>
        <v/>
      </c>
      <c r="U1052" s="138" t="str">
        <f>IFERROR(LOOKUP($S1052,MOTORISTAS!$D$3:$D$1048576,MOTORISTAS!F$3:$F$1048576),"")</f>
        <v/>
      </c>
      <c r="V1052" s="66"/>
      <c r="W1052" s="66"/>
      <c r="X1052" s="66"/>
      <c r="Y1052" s="66"/>
      <c r="Z1052" s="66"/>
      <c r="AA1052" s="66"/>
      <c r="AB1052" s="66"/>
      <c r="AC1052" s="66"/>
      <c r="AD1052" s="66"/>
      <c r="AE1052" s="66"/>
      <c r="AF1052" s="44"/>
      <c r="AG1052" s="254">
        <f>Prog_236[[#This Row],[SAÍDA DO CLIENTE]]-Prog_236[[#This Row],[PROGRAMAÇÃO CLIENTE]]</f>
        <v>0</v>
      </c>
      <c r="AH1052" s="44"/>
      <c r="AI1052" s="66"/>
      <c r="AJ1052" s="66"/>
      <c r="AK1052" s="66"/>
      <c r="AL1052" s="66"/>
      <c r="AM1052" s="66"/>
      <c r="AN1052" s="83"/>
      <c r="AO1052" s="66"/>
      <c r="AP1052" s="66"/>
      <c r="AQ1052" s="66"/>
      <c r="AR1052" s="81"/>
      <c r="AS1052" s="81"/>
      <c r="AT1052" s="81"/>
      <c r="AU1052" s="81"/>
      <c r="AV1052" s="83">
        <f>SUM(Prog_236[[#This Row],[ADIANTAMENTO]]+Prog_236[[#This Row],[SALDO]]+Prog_236[[#This Row],[MARGEM]]+Prog_236[[#This Row],[ESTADIA 1]])</f>
        <v>0</v>
      </c>
      <c r="AW10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2" s="81"/>
      <c r="AY1052" s="81"/>
      <c r="AZ1052" s="81">
        <f>Prog_236[[#This Row],[VLR NF]]*0.1%</f>
        <v>0</v>
      </c>
      <c r="BA1052" s="81">
        <f>Prog_236[[#This Row],[VLR NF]]*0.05%</f>
        <v>0</v>
      </c>
      <c r="BB1052" s="81"/>
      <c r="BC1052" s="81"/>
      <c r="BD1052" s="81"/>
      <c r="BE1052" s="81"/>
      <c r="BF1052" s="81"/>
      <c r="BG1052" s="81"/>
      <c r="BH1052" s="81"/>
      <c r="BI1052" s="81"/>
      <c r="BJ1052" s="81"/>
      <c r="BK1052" s="81"/>
      <c r="BL1052" s="66"/>
      <c r="BM1052" s="66"/>
      <c r="BN1052" s="66"/>
      <c r="BO1052" s="66" t="str">
        <f>PROPER(TEXT(Prog_236[[#This Row],[PROGRAMAÇÃO CLIENTE]],"mmm"))</f>
        <v>Jan</v>
      </c>
      <c r="BP1052" s="66">
        <f>YEAR(Prog_236[[#This Row],[PROGRAMAÇÃO CLIENTE]])</f>
        <v>1900</v>
      </c>
    </row>
    <row r="1053" spans="1:68" x14ac:dyDescent="0.25">
      <c r="A1053" s="200">
        <f>Prog_236[[#This Row],[CONTEINER]]</f>
        <v>0</v>
      </c>
      <c r="B1053" s="86"/>
      <c r="C10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3" s="44"/>
      <c r="E1053" s="66"/>
      <c r="F1053" s="66"/>
      <c r="G1053" s="66"/>
      <c r="H1053" s="44"/>
      <c r="I1053" s="44"/>
      <c r="J1053" s="66"/>
      <c r="K1053" s="66"/>
      <c r="L1053" s="66"/>
      <c r="M1053" s="66"/>
      <c r="N1053" s="66">
        <f>SUM(Prog_236[[#This Row],[TARA]]+Prog_236[[#This Row],[PESO]])</f>
        <v>0</v>
      </c>
      <c r="O1053" s="44"/>
      <c r="P1053" s="66"/>
      <c r="Q1053" s="66"/>
      <c r="R1053" s="66"/>
      <c r="S1053" s="66"/>
      <c r="T1053" s="138" t="str">
        <f>IFERROR(LOOKUP($S1053,MOTORISTAS!$D$3:$D$1048576,MOTORISTAS!E$3:$E$1048576),"")</f>
        <v/>
      </c>
      <c r="U1053" s="138" t="str">
        <f>IFERROR(LOOKUP($S1053,MOTORISTAS!$D$3:$D$1048576,MOTORISTAS!F$3:$F$1048576),"")</f>
        <v/>
      </c>
      <c r="V1053" s="66"/>
      <c r="W1053" s="66"/>
      <c r="X1053" s="66"/>
      <c r="Y1053" s="66"/>
      <c r="Z1053" s="66"/>
      <c r="AA1053" s="66"/>
      <c r="AB1053" s="66"/>
      <c r="AC1053" s="66"/>
      <c r="AD1053" s="66"/>
      <c r="AE1053" s="66"/>
      <c r="AF1053" s="44"/>
      <c r="AG1053" s="254">
        <f>Prog_236[[#This Row],[SAÍDA DO CLIENTE]]-Prog_236[[#This Row],[PROGRAMAÇÃO CLIENTE]]</f>
        <v>0</v>
      </c>
      <c r="AH1053" s="44"/>
      <c r="AI1053" s="66"/>
      <c r="AJ1053" s="66"/>
      <c r="AK1053" s="66"/>
      <c r="AL1053" s="66"/>
      <c r="AM1053" s="66"/>
      <c r="AN1053" s="83"/>
      <c r="AO1053" s="66"/>
      <c r="AP1053" s="66"/>
      <c r="AQ1053" s="66"/>
      <c r="AR1053" s="81"/>
      <c r="AS1053" s="81"/>
      <c r="AT1053" s="81"/>
      <c r="AU1053" s="81"/>
      <c r="AV1053" s="83">
        <f>SUM(Prog_236[[#This Row],[ADIANTAMENTO]]+Prog_236[[#This Row],[SALDO]]+Prog_236[[#This Row],[MARGEM]]+Prog_236[[#This Row],[ESTADIA 1]])</f>
        <v>0</v>
      </c>
      <c r="AW10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3" s="81"/>
      <c r="AY1053" s="81"/>
      <c r="AZ1053" s="81">
        <f>Prog_236[[#This Row],[VLR NF]]*0.1%</f>
        <v>0</v>
      </c>
      <c r="BA1053" s="81">
        <f>Prog_236[[#This Row],[VLR NF]]*0.05%</f>
        <v>0</v>
      </c>
      <c r="BB1053" s="81"/>
      <c r="BC1053" s="81"/>
      <c r="BD1053" s="81"/>
      <c r="BE1053" s="81"/>
      <c r="BF1053" s="81"/>
      <c r="BG1053" s="81"/>
      <c r="BH1053" s="81"/>
      <c r="BI1053" s="81"/>
      <c r="BJ1053" s="81"/>
      <c r="BK1053" s="81"/>
      <c r="BL1053" s="66"/>
      <c r="BM1053" s="66"/>
      <c r="BN1053" s="66"/>
      <c r="BO1053" s="66" t="str">
        <f>PROPER(TEXT(Prog_236[[#This Row],[PROGRAMAÇÃO CLIENTE]],"mmm"))</f>
        <v>Jan</v>
      </c>
      <c r="BP1053" s="66">
        <f>YEAR(Prog_236[[#This Row],[PROGRAMAÇÃO CLIENTE]])</f>
        <v>1900</v>
      </c>
    </row>
    <row r="1054" spans="1:68" x14ac:dyDescent="0.25">
      <c r="A1054" s="201">
        <f>Prog_236[[#This Row],[CONTEINER]]</f>
        <v>0</v>
      </c>
      <c r="B1054" s="86"/>
      <c r="C10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4" s="44"/>
      <c r="E1054" s="66"/>
      <c r="F1054" s="66"/>
      <c r="G1054" s="66"/>
      <c r="H1054" s="44"/>
      <c r="I1054" s="44"/>
      <c r="J1054" s="66"/>
      <c r="K1054" s="66"/>
      <c r="L1054" s="66"/>
      <c r="M1054" s="66"/>
      <c r="N1054" s="66">
        <f>SUM(Prog_236[[#This Row],[TARA]]+Prog_236[[#This Row],[PESO]])</f>
        <v>0</v>
      </c>
      <c r="O1054" s="44"/>
      <c r="P1054" s="66"/>
      <c r="Q1054" s="66"/>
      <c r="R1054" s="66"/>
      <c r="S1054" s="66"/>
      <c r="T1054" s="138" t="str">
        <f>IFERROR(LOOKUP($S1054,MOTORISTAS!$D$3:$D$1048576,MOTORISTAS!E$3:$E$1048576),"")</f>
        <v/>
      </c>
      <c r="U1054" s="138" t="str">
        <f>IFERROR(LOOKUP($S1054,MOTORISTAS!$D$3:$D$1048576,MOTORISTAS!F$3:$F$1048576),"")</f>
        <v/>
      </c>
      <c r="V1054" s="66"/>
      <c r="W1054" s="66"/>
      <c r="X1054" s="66"/>
      <c r="Y1054" s="66"/>
      <c r="Z1054" s="66"/>
      <c r="AA1054" s="66"/>
      <c r="AB1054" s="66"/>
      <c r="AC1054" s="66"/>
      <c r="AD1054" s="66"/>
      <c r="AE1054" s="66"/>
      <c r="AF1054" s="44"/>
      <c r="AG1054" s="254">
        <f>Prog_236[[#This Row],[SAÍDA DO CLIENTE]]-Prog_236[[#This Row],[PROGRAMAÇÃO CLIENTE]]</f>
        <v>0</v>
      </c>
      <c r="AH1054" s="44"/>
      <c r="AI1054" s="66"/>
      <c r="AJ1054" s="66"/>
      <c r="AK1054" s="66"/>
      <c r="AL1054" s="66"/>
      <c r="AM1054" s="66"/>
      <c r="AN1054" s="83"/>
      <c r="AO1054" s="66"/>
      <c r="AP1054" s="66"/>
      <c r="AQ1054" s="66"/>
      <c r="AR1054" s="81"/>
      <c r="AS1054" s="81"/>
      <c r="AT1054" s="81"/>
      <c r="AU1054" s="81"/>
      <c r="AV1054" s="83">
        <f>SUM(Prog_236[[#This Row],[ADIANTAMENTO]]+Prog_236[[#This Row],[SALDO]]+Prog_236[[#This Row],[MARGEM]]+Prog_236[[#This Row],[ESTADIA 1]])</f>
        <v>0</v>
      </c>
      <c r="AW10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4" s="81"/>
      <c r="AY1054" s="81"/>
      <c r="AZ1054" s="81">
        <f>Prog_236[[#This Row],[VLR NF]]*0.1%</f>
        <v>0</v>
      </c>
      <c r="BA1054" s="81">
        <f>Prog_236[[#This Row],[VLR NF]]*0.05%</f>
        <v>0</v>
      </c>
      <c r="BB1054" s="81"/>
      <c r="BC1054" s="81"/>
      <c r="BD1054" s="81"/>
      <c r="BE1054" s="81"/>
      <c r="BF1054" s="81"/>
      <c r="BG1054" s="81"/>
      <c r="BH1054" s="81"/>
      <c r="BI1054" s="81"/>
      <c r="BJ1054" s="81"/>
      <c r="BK1054" s="81"/>
      <c r="BL1054" s="66"/>
      <c r="BM1054" s="66"/>
      <c r="BN1054" s="66"/>
      <c r="BO1054" s="66" t="str">
        <f>PROPER(TEXT(Prog_236[[#This Row],[PROGRAMAÇÃO CLIENTE]],"mmm"))</f>
        <v>Jan</v>
      </c>
      <c r="BP1054" s="66">
        <f>YEAR(Prog_236[[#This Row],[PROGRAMAÇÃO CLIENTE]])</f>
        <v>1900</v>
      </c>
    </row>
    <row r="1055" spans="1:68" x14ac:dyDescent="0.25">
      <c r="A1055" s="200">
        <f>Prog_236[[#This Row],[CONTEINER]]</f>
        <v>0</v>
      </c>
      <c r="B1055" s="86"/>
      <c r="C10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5" s="44"/>
      <c r="E1055" s="66"/>
      <c r="F1055" s="66"/>
      <c r="G1055" s="66"/>
      <c r="H1055" s="44"/>
      <c r="I1055" s="44"/>
      <c r="J1055" s="66"/>
      <c r="K1055" s="66"/>
      <c r="L1055" s="66"/>
      <c r="M1055" s="66"/>
      <c r="N1055" s="66">
        <f>SUM(Prog_236[[#This Row],[TARA]]+Prog_236[[#This Row],[PESO]])</f>
        <v>0</v>
      </c>
      <c r="O1055" s="44"/>
      <c r="P1055" s="66"/>
      <c r="Q1055" s="66"/>
      <c r="R1055" s="66"/>
      <c r="S1055" s="66"/>
      <c r="T1055" s="138" t="str">
        <f>IFERROR(LOOKUP($S1055,MOTORISTAS!$D$3:$D$1048576,MOTORISTAS!E$3:$E$1048576),"")</f>
        <v/>
      </c>
      <c r="U1055" s="138" t="str">
        <f>IFERROR(LOOKUP($S1055,MOTORISTAS!$D$3:$D$1048576,MOTORISTAS!F$3:$F$1048576),"")</f>
        <v/>
      </c>
      <c r="V1055" s="66"/>
      <c r="W1055" s="66"/>
      <c r="X1055" s="66"/>
      <c r="Y1055" s="66"/>
      <c r="Z1055" s="66"/>
      <c r="AA1055" s="66"/>
      <c r="AB1055" s="66"/>
      <c r="AC1055" s="66"/>
      <c r="AD1055" s="66"/>
      <c r="AE1055" s="66"/>
      <c r="AF1055" s="44"/>
      <c r="AG1055" s="254">
        <f>Prog_236[[#This Row],[SAÍDA DO CLIENTE]]-Prog_236[[#This Row],[PROGRAMAÇÃO CLIENTE]]</f>
        <v>0</v>
      </c>
      <c r="AH1055" s="44"/>
      <c r="AI1055" s="66"/>
      <c r="AJ1055" s="66"/>
      <c r="AK1055" s="66"/>
      <c r="AL1055" s="66"/>
      <c r="AM1055" s="66"/>
      <c r="AN1055" s="83"/>
      <c r="AO1055" s="66"/>
      <c r="AP1055" s="66"/>
      <c r="AQ1055" s="66"/>
      <c r="AR1055" s="81"/>
      <c r="AS1055" s="81"/>
      <c r="AT1055" s="81"/>
      <c r="AU1055" s="81"/>
      <c r="AV1055" s="83">
        <f>SUM(Prog_236[[#This Row],[ADIANTAMENTO]]+Prog_236[[#This Row],[SALDO]]+Prog_236[[#This Row],[MARGEM]]+Prog_236[[#This Row],[ESTADIA 1]])</f>
        <v>0</v>
      </c>
      <c r="AW10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5" s="81"/>
      <c r="AY1055" s="81"/>
      <c r="AZ1055" s="81">
        <f>Prog_236[[#This Row],[VLR NF]]*0.1%</f>
        <v>0</v>
      </c>
      <c r="BA1055" s="81">
        <f>Prog_236[[#This Row],[VLR NF]]*0.05%</f>
        <v>0</v>
      </c>
      <c r="BB1055" s="81"/>
      <c r="BC1055" s="81"/>
      <c r="BD1055" s="81"/>
      <c r="BE1055" s="81"/>
      <c r="BF1055" s="81"/>
      <c r="BG1055" s="81"/>
      <c r="BH1055" s="81"/>
      <c r="BI1055" s="81"/>
      <c r="BJ1055" s="81"/>
      <c r="BK1055" s="81"/>
      <c r="BL1055" s="66"/>
      <c r="BM1055" s="66"/>
      <c r="BN1055" s="66"/>
      <c r="BO1055" s="66" t="str">
        <f>PROPER(TEXT(Prog_236[[#This Row],[PROGRAMAÇÃO CLIENTE]],"mmm"))</f>
        <v>Jan</v>
      </c>
      <c r="BP1055" s="66">
        <f>YEAR(Prog_236[[#This Row],[PROGRAMAÇÃO CLIENTE]])</f>
        <v>1900</v>
      </c>
    </row>
    <row r="1056" spans="1:68" x14ac:dyDescent="0.25">
      <c r="A1056" s="201">
        <f>Prog_236[[#This Row],[CONTEINER]]</f>
        <v>0</v>
      </c>
      <c r="B1056" s="86"/>
      <c r="C10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6" s="44"/>
      <c r="E1056" s="66"/>
      <c r="F1056" s="66"/>
      <c r="G1056" s="66"/>
      <c r="H1056" s="44"/>
      <c r="I1056" s="44"/>
      <c r="J1056" s="66"/>
      <c r="K1056" s="66"/>
      <c r="L1056" s="66"/>
      <c r="M1056" s="66"/>
      <c r="N1056" s="66">
        <f>SUM(Prog_236[[#This Row],[TARA]]+Prog_236[[#This Row],[PESO]])</f>
        <v>0</v>
      </c>
      <c r="O1056" s="44"/>
      <c r="P1056" s="66"/>
      <c r="Q1056" s="66"/>
      <c r="R1056" s="66"/>
      <c r="S1056" s="66"/>
      <c r="T1056" s="138" t="str">
        <f>IFERROR(LOOKUP($S1056,MOTORISTAS!$D$3:$D$1048576,MOTORISTAS!E$3:$E$1048576),"")</f>
        <v/>
      </c>
      <c r="U1056" s="138" t="str">
        <f>IFERROR(LOOKUP($S1056,MOTORISTAS!$D$3:$D$1048576,MOTORISTAS!F$3:$F$1048576),"")</f>
        <v/>
      </c>
      <c r="V1056" s="66"/>
      <c r="W1056" s="66"/>
      <c r="X1056" s="66"/>
      <c r="Y1056" s="66"/>
      <c r="Z1056" s="66"/>
      <c r="AA1056" s="66"/>
      <c r="AB1056" s="66"/>
      <c r="AC1056" s="66"/>
      <c r="AD1056" s="66"/>
      <c r="AE1056" s="66"/>
      <c r="AF1056" s="44"/>
      <c r="AG1056" s="254">
        <f>Prog_236[[#This Row],[SAÍDA DO CLIENTE]]-Prog_236[[#This Row],[PROGRAMAÇÃO CLIENTE]]</f>
        <v>0</v>
      </c>
      <c r="AH1056" s="44"/>
      <c r="AI1056" s="66"/>
      <c r="AJ1056" s="66"/>
      <c r="AK1056" s="66"/>
      <c r="AL1056" s="66"/>
      <c r="AM1056" s="66"/>
      <c r="AN1056" s="83"/>
      <c r="AO1056" s="66"/>
      <c r="AP1056" s="66"/>
      <c r="AQ1056" s="66"/>
      <c r="AR1056" s="81"/>
      <c r="AS1056" s="81"/>
      <c r="AT1056" s="81"/>
      <c r="AU1056" s="81"/>
      <c r="AV1056" s="83">
        <f>SUM(Prog_236[[#This Row],[ADIANTAMENTO]]+Prog_236[[#This Row],[SALDO]]+Prog_236[[#This Row],[MARGEM]]+Prog_236[[#This Row],[ESTADIA 1]])</f>
        <v>0</v>
      </c>
      <c r="AW10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6" s="81"/>
      <c r="AY1056" s="81"/>
      <c r="AZ1056" s="81">
        <f>Prog_236[[#This Row],[VLR NF]]*0.1%</f>
        <v>0</v>
      </c>
      <c r="BA1056" s="81">
        <f>Prog_236[[#This Row],[VLR NF]]*0.05%</f>
        <v>0</v>
      </c>
      <c r="BB1056" s="81"/>
      <c r="BC1056" s="81"/>
      <c r="BD1056" s="81"/>
      <c r="BE1056" s="81"/>
      <c r="BF1056" s="81"/>
      <c r="BG1056" s="81"/>
      <c r="BH1056" s="81"/>
      <c r="BI1056" s="81"/>
      <c r="BJ1056" s="81"/>
      <c r="BK1056" s="81"/>
      <c r="BL1056" s="66"/>
      <c r="BM1056" s="66"/>
      <c r="BN1056" s="66"/>
      <c r="BO1056" s="66" t="str">
        <f>PROPER(TEXT(Prog_236[[#This Row],[PROGRAMAÇÃO CLIENTE]],"mmm"))</f>
        <v>Jan</v>
      </c>
      <c r="BP1056" s="66">
        <f>YEAR(Prog_236[[#This Row],[PROGRAMAÇÃO CLIENTE]])</f>
        <v>1900</v>
      </c>
    </row>
    <row r="1057" spans="1:68" x14ac:dyDescent="0.25">
      <c r="A1057" s="200">
        <f>Prog_236[[#This Row],[CONTEINER]]</f>
        <v>0</v>
      </c>
      <c r="B1057" s="86"/>
      <c r="C10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7" s="44"/>
      <c r="E1057" s="66"/>
      <c r="F1057" s="66"/>
      <c r="G1057" s="66"/>
      <c r="H1057" s="44"/>
      <c r="I1057" s="44"/>
      <c r="J1057" s="66"/>
      <c r="K1057" s="66"/>
      <c r="L1057" s="66"/>
      <c r="M1057" s="66"/>
      <c r="N1057" s="66">
        <f>SUM(Prog_236[[#This Row],[TARA]]+Prog_236[[#This Row],[PESO]])</f>
        <v>0</v>
      </c>
      <c r="O1057" s="44"/>
      <c r="P1057" s="66"/>
      <c r="Q1057" s="66"/>
      <c r="R1057" s="66"/>
      <c r="S1057" s="66"/>
      <c r="T1057" s="138" t="str">
        <f>IFERROR(LOOKUP($S1057,MOTORISTAS!$D$3:$D$1048576,MOTORISTAS!E$3:$E$1048576),"")</f>
        <v/>
      </c>
      <c r="U1057" s="138" t="str">
        <f>IFERROR(LOOKUP($S1057,MOTORISTAS!$D$3:$D$1048576,MOTORISTAS!F$3:$F$1048576),"")</f>
        <v/>
      </c>
      <c r="V1057" s="66"/>
      <c r="W1057" s="66"/>
      <c r="X1057" s="66"/>
      <c r="Y1057" s="66"/>
      <c r="Z1057" s="66"/>
      <c r="AA1057" s="66"/>
      <c r="AB1057" s="66"/>
      <c r="AC1057" s="66"/>
      <c r="AD1057" s="66"/>
      <c r="AE1057" s="66"/>
      <c r="AF1057" s="44"/>
      <c r="AG1057" s="254">
        <f>Prog_236[[#This Row],[SAÍDA DO CLIENTE]]-Prog_236[[#This Row],[PROGRAMAÇÃO CLIENTE]]</f>
        <v>0</v>
      </c>
      <c r="AH1057" s="44"/>
      <c r="AI1057" s="66"/>
      <c r="AJ1057" s="66"/>
      <c r="AK1057" s="66"/>
      <c r="AL1057" s="66"/>
      <c r="AM1057" s="66"/>
      <c r="AN1057" s="83"/>
      <c r="AO1057" s="66"/>
      <c r="AP1057" s="66"/>
      <c r="AQ1057" s="66"/>
      <c r="AR1057" s="81"/>
      <c r="AS1057" s="81"/>
      <c r="AT1057" s="81"/>
      <c r="AU1057" s="81"/>
      <c r="AV1057" s="83">
        <f>SUM(Prog_236[[#This Row],[ADIANTAMENTO]]+Prog_236[[#This Row],[SALDO]]+Prog_236[[#This Row],[MARGEM]]+Prog_236[[#This Row],[ESTADIA 1]])</f>
        <v>0</v>
      </c>
      <c r="AW10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7" s="81"/>
      <c r="AY1057" s="81"/>
      <c r="AZ1057" s="81">
        <f>Prog_236[[#This Row],[VLR NF]]*0.1%</f>
        <v>0</v>
      </c>
      <c r="BA1057" s="81">
        <f>Prog_236[[#This Row],[VLR NF]]*0.05%</f>
        <v>0</v>
      </c>
      <c r="BB1057" s="81"/>
      <c r="BC1057" s="81"/>
      <c r="BD1057" s="81"/>
      <c r="BE1057" s="81"/>
      <c r="BF1057" s="81"/>
      <c r="BG1057" s="81"/>
      <c r="BH1057" s="81"/>
      <c r="BI1057" s="81"/>
      <c r="BJ1057" s="81"/>
      <c r="BK1057" s="81"/>
      <c r="BL1057" s="66"/>
      <c r="BM1057" s="66"/>
      <c r="BN1057" s="66"/>
      <c r="BO1057" s="66" t="str">
        <f>PROPER(TEXT(Prog_236[[#This Row],[PROGRAMAÇÃO CLIENTE]],"mmm"))</f>
        <v>Jan</v>
      </c>
      <c r="BP1057" s="66">
        <f>YEAR(Prog_236[[#This Row],[PROGRAMAÇÃO CLIENTE]])</f>
        <v>1900</v>
      </c>
    </row>
    <row r="1058" spans="1:68" x14ac:dyDescent="0.25">
      <c r="A1058" s="201">
        <f>Prog_236[[#This Row],[CONTEINER]]</f>
        <v>0</v>
      </c>
      <c r="B1058" s="86"/>
      <c r="C10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8" s="44"/>
      <c r="E1058" s="66"/>
      <c r="F1058" s="66"/>
      <c r="G1058" s="66"/>
      <c r="H1058" s="44"/>
      <c r="I1058" s="44"/>
      <c r="J1058" s="66"/>
      <c r="K1058" s="66"/>
      <c r="L1058" s="66"/>
      <c r="M1058" s="66"/>
      <c r="N1058" s="66">
        <f>SUM(Prog_236[[#This Row],[TARA]]+Prog_236[[#This Row],[PESO]])</f>
        <v>0</v>
      </c>
      <c r="O1058" s="44"/>
      <c r="P1058" s="66"/>
      <c r="Q1058" s="66"/>
      <c r="R1058" s="66"/>
      <c r="S1058" s="66"/>
      <c r="T1058" s="138" t="str">
        <f>IFERROR(LOOKUP($S1058,MOTORISTAS!$D$3:$D$1048576,MOTORISTAS!E$3:$E$1048576),"")</f>
        <v/>
      </c>
      <c r="U1058" s="138" t="str">
        <f>IFERROR(LOOKUP($S1058,MOTORISTAS!$D$3:$D$1048576,MOTORISTAS!F$3:$F$1048576),"")</f>
        <v/>
      </c>
      <c r="V1058" s="66"/>
      <c r="W1058" s="66"/>
      <c r="X1058" s="66"/>
      <c r="Y1058" s="66"/>
      <c r="Z1058" s="66"/>
      <c r="AA1058" s="66"/>
      <c r="AB1058" s="66"/>
      <c r="AC1058" s="66"/>
      <c r="AD1058" s="66"/>
      <c r="AE1058" s="66"/>
      <c r="AF1058" s="44"/>
      <c r="AG1058" s="254">
        <f>Prog_236[[#This Row],[SAÍDA DO CLIENTE]]-Prog_236[[#This Row],[PROGRAMAÇÃO CLIENTE]]</f>
        <v>0</v>
      </c>
      <c r="AH1058" s="44"/>
      <c r="AI1058" s="66"/>
      <c r="AJ1058" s="66"/>
      <c r="AK1058" s="66"/>
      <c r="AL1058" s="66"/>
      <c r="AM1058" s="66"/>
      <c r="AN1058" s="83"/>
      <c r="AO1058" s="66"/>
      <c r="AP1058" s="66"/>
      <c r="AQ1058" s="66"/>
      <c r="AR1058" s="81"/>
      <c r="AS1058" s="81"/>
      <c r="AT1058" s="81"/>
      <c r="AU1058" s="81"/>
      <c r="AV1058" s="83">
        <f>SUM(Prog_236[[#This Row],[ADIANTAMENTO]]+Prog_236[[#This Row],[SALDO]]+Prog_236[[#This Row],[MARGEM]]+Prog_236[[#This Row],[ESTADIA 1]])</f>
        <v>0</v>
      </c>
      <c r="AW10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8" s="81"/>
      <c r="AY1058" s="81"/>
      <c r="AZ1058" s="81">
        <f>Prog_236[[#This Row],[VLR NF]]*0.1%</f>
        <v>0</v>
      </c>
      <c r="BA1058" s="81">
        <f>Prog_236[[#This Row],[VLR NF]]*0.05%</f>
        <v>0</v>
      </c>
      <c r="BB1058" s="81"/>
      <c r="BC1058" s="81"/>
      <c r="BD1058" s="81"/>
      <c r="BE1058" s="81"/>
      <c r="BF1058" s="81"/>
      <c r="BG1058" s="81"/>
      <c r="BH1058" s="81"/>
      <c r="BI1058" s="81"/>
      <c r="BJ1058" s="81"/>
      <c r="BK1058" s="81"/>
      <c r="BL1058" s="66"/>
      <c r="BM1058" s="66"/>
      <c r="BN1058" s="66"/>
      <c r="BO1058" s="66" t="str">
        <f>PROPER(TEXT(Prog_236[[#This Row],[PROGRAMAÇÃO CLIENTE]],"mmm"))</f>
        <v>Jan</v>
      </c>
      <c r="BP1058" s="66">
        <f>YEAR(Prog_236[[#This Row],[PROGRAMAÇÃO CLIENTE]])</f>
        <v>1900</v>
      </c>
    </row>
    <row r="1059" spans="1:68" x14ac:dyDescent="0.25">
      <c r="A1059" s="200">
        <f>Prog_236[[#This Row],[CONTEINER]]</f>
        <v>0</v>
      </c>
      <c r="B1059" s="86"/>
      <c r="C10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59" s="44"/>
      <c r="E1059" s="66"/>
      <c r="F1059" s="66"/>
      <c r="G1059" s="66"/>
      <c r="H1059" s="44"/>
      <c r="I1059" s="44"/>
      <c r="J1059" s="66"/>
      <c r="K1059" s="66"/>
      <c r="L1059" s="66"/>
      <c r="M1059" s="66"/>
      <c r="N1059" s="66">
        <f>SUM(Prog_236[[#This Row],[TARA]]+Prog_236[[#This Row],[PESO]])</f>
        <v>0</v>
      </c>
      <c r="O1059" s="44"/>
      <c r="P1059" s="66"/>
      <c r="Q1059" s="66"/>
      <c r="R1059" s="66"/>
      <c r="S1059" s="66"/>
      <c r="T1059" s="138" t="str">
        <f>IFERROR(LOOKUP($S1059,MOTORISTAS!$D$3:$D$1048576,MOTORISTAS!E$3:$E$1048576),"")</f>
        <v/>
      </c>
      <c r="U1059" s="138" t="str">
        <f>IFERROR(LOOKUP($S1059,MOTORISTAS!$D$3:$D$1048576,MOTORISTAS!F$3:$F$1048576),"")</f>
        <v/>
      </c>
      <c r="V1059" s="66"/>
      <c r="W1059" s="66"/>
      <c r="X1059" s="66"/>
      <c r="Y1059" s="66"/>
      <c r="Z1059" s="66"/>
      <c r="AA1059" s="66"/>
      <c r="AB1059" s="66"/>
      <c r="AC1059" s="66"/>
      <c r="AD1059" s="66"/>
      <c r="AE1059" s="66"/>
      <c r="AF1059" s="44"/>
      <c r="AG1059" s="254">
        <f>Prog_236[[#This Row],[SAÍDA DO CLIENTE]]-Prog_236[[#This Row],[PROGRAMAÇÃO CLIENTE]]</f>
        <v>0</v>
      </c>
      <c r="AH1059" s="44"/>
      <c r="AI1059" s="66"/>
      <c r="AJ1059" s="66"/>
      <c r="AK1059" s="66"/>
      <c r="AL1059" s="66"/>
      <c r="AM1059" s="66"/>
      <c r="AN1059" s="83"/>
      <c r="AO1059" s="66"/>
      <c r="AP1059" s="66"/>
      <c r="AQ1059" s="66"/>
      <c r="AR1059" s="81"/>
      <c r="AS1059" s="81"/>
      <c r="AT1059" s="81"/>
      <c r="AU1059" s="81"/>
      <c r="AV1059" s="83">
        <f>SUM(Prog_236[[#This Row],[ADIANTAMENTO]]+Prog_236[[#This Row],[SALDO]]+Prog_236[[#This Row],[MARGEM]]+Prog_236[[#This Row],[ESTADIA 1]])</f>
        <v>0</v>
      </c>
      <c r="AW10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59" s="81"/>
      <c r="AY1059" s="81"/>
      <c r="AZ1059" s="81">
        <f>Prog_236[[#This Row],[VLR NF]]*0.1%</f>
        <v>0</v>
      </c>
      <c r="BA1059" s="81">
        <f>Prog_236[[#This Row],[VLR NF]]*0.05%</f>
        <v>0</v>
      </c>
      <c r="BB1059" s="81"/>
      <c r="BC1059" s="81"/>
      <c r="BD1059" s="81"/>
      <c r="BE1059" s="81"/>
      <c r="BF1059" s="81"/>
      <c r="BG1059" s="81"/>
      <c r="BH1059" s="81"/>
      <c r="BI1059" s="81"/>
      <c r="BJ1059" s="81"/>
      <c r="BK1059" s="81"/>
      <c r="BL1059" s="66"/>
      <c r="BM1059" s="66"/>
      <c r="BN1059" s="66"/>
      <c r="BO1059" s="66" t="str">
        <f>PROPER(TEXT(Prog_236[[#This Row],[PROGRAMAÇÃO CLIENTE]],"mmm"))</f>
        <v>Jan</v>
      </c>
      <c r="BP1059" s="66">
        <f>YEAR(Prog_236[[#This Row],[PROGRAMAÇÃO CLIENTE]])</f>
        <v>1900</v>
      </c>
    </row>
    <row r="1060" spans="1:68" x14ac:dyDescent="0.25">
      <c r="A1060" s="201">
        <f>Prog_236[[#This Row],[CONTEINER]]</f>
        <v>0</v>
      </c>
      <c r="B1060" s="86"/>
      <c r="C10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0" s="44"/>
      <c r="E1060" s="66"/>
      <c r="F1060" s="66"/>
      <c r="G1060" s="66"/>
      <c r="H1060" s="44"/>
      <c r="I1060" s="44"/>
      <c r="J1060" s="66"/>
      <c r="K1060" s="66"/>
      <c r="L1060" s="66"/>
      <c r="M1060" s="66"/>
      <c r="N1060" s="66">
        <f>SUM(Prog_236[[#This Row],[TARA]]+Prog_236[[#This Row],[PESO]])</f>
        <v>0</v>
      </c>
      <c r="O1060" s="44"/>
      <c r="P1060" s="66"/>
      <c r="Q1060" s="66"/>
      <c r="R1060" s="66"/>
      <c r="S1060" s="66"/>
      <c r="T1060" s="138" t="str">
        <f>IFERROR(LOOKUP($S1060,MOTORISTAS!$D$3:$D$1048576,MOTORISTAS!E$3:$E$1048576),"")</f>
        <v/>
      </c>
      <c r="U1060" s="138" t="str">
        <f>IFERROR(LOOKUP($S1060,MOTORISTAS!$D$3:$D$1048576,MOTORISTAS!F$3:$F$1048576),"")</f>
        <v/>
      </c>
      <c r="V1060" s="66"/>
      <c r="W1060" s="66"/>
      <c r="X1060" s="66"/>
      <c r="Y1060" s="66"/>
      <c r="Z1060" s="66"/>
      <c r="AA1060" s="66"/>
      <c r="AB1060" s="66"/>
      <c r="AC1060" s="66"/>
      <c r="AD1060" s="66"/>
      <c r="AE1060" s="66"/>
      <c r="AF1060" s="44"/>
      <c r="AG1060" s="254">
        <f>Prog_236[[#This Row],[SAÍDA DO CLIENTE]]-Prog_236[[#This Row],[PROGRAMAÇÃO CLIENTE]]</f>
        <v>0</v>
      </c>
      <c r="AH1060" s="44"/>
      <c r="AI1060" s="66"/>
      <c r="AJ1060" s="66"/>
      <c r="AK1060" s="66"/>
      <c r="AL1060" s="66"/>
      <c r="AM1060" s="66"/>
      <c r="AN1060" s="83"/>
      <c r="AO1060" s="66"/>
      <c r="AP1060" s="66"/>
      <c r="AQ1060" s="66"/>
      <c r="AR1060" s="81"/>
      <c r="AS1060" s="81"/>
      <c r="AT1060" s="81"/>
      <c r="AU1060" s="81"/>
      <c r="AV1060" s="83">
        <f>SUM(Prog_236[[#This Row],[ADIANTAMENTO]]+Prog_236[[#This Row],[SALDO]]+Prog_236[[#This Row],[MARGEM]]+Prog_236[[#This Row],[ESTADIA 1]])</f>
        <v>0</v>
      </c>
      <c r="AW10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0" s="81"/>
      <c r="AY1060" s="81"/>
      <c r="AZ1060" s="81">
        <f>Prog_236[[#This Row],[VLR NF]]*0.1%</f>
        <v>0</v>
      </c>
      <c r="BA1060" s="81">
        <f>Prog_236[[#This Row],[VLR NF]]*0.05%</f>
        <v>0</v>
      </c>
      <c r="BB1060" s="81"/>
      <c r="BC1060" s="81"/>
      <c r="BD1060" s="81"/>
      <c r="BE1060" s="81"/>
      <c r="BF1060" s="81"/>
      <c r="BG1060" s="81"/>
      <c r="BH1060" s="81"/>
      <c r="BI1060" s="81"/>
      <c r="BJ1060" s="81"/>
      <c r="BK1060" s="81"/>
      <c r="BL1060" s="66"/>
      <c r="BM1060" s="66"/>
      <c r="BN1060" s="66"/>
      <c r="BO1060" s="66" t="str">
        <f>PROPER(TEXT(Prog_236[[#This Row],[PROGRAMAÇÃO CLIENTE]],"mmm"))</f>
        <v>Jan</v>
      </c>
      <c r="BP1060" s="66">
        <f>YEAR(Prog_236[[#This Row],[PROGRAMAÇÃO CLIENTE]])</f>
        <v>1900</v>
      </c>
    </row>
    <row r="1061" spans="1:68" x14ac:dyDescent="0.25">
      <c r="A1061" s="200">
        <f>Prog_236[[#This Row],[CONTEINER]]</f>
        <v>0</v>
      </c>
      <c r="B1061" s="86"/>
      <c r="C10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1" s="44"/>
      <c r="E1061" s="66"/>
      <c r="F1061" s="66"/>
      <c r="G1061" s="66"/>
      <c r="H1061" s="44"/>
      <c r="I1061" s="44"/>
      <c r="J1061" s="66"/>
      <c r="K1061" s="66"/>
      <c r="L1061" s="66"/>
      <c r="M1061" s="66"/>
      <c r="N1061" s="66">
        <f>SUM(Prog_236[[#This Row],[TARA]]+Prog_236[[#This Row],[PESO]])</f>
        <v>0</v>
      </c>
      <c r="O1061" s="44"/>
      <c r="P1061" s="66"/>
      <c r="Q1061" s="66"/>
      <c r="R1061" s="66"/>
      <c r="S1061" s="66"/>
      <c r="T1061" s="138" t="str">
        <f>IFERROR(LOOKUP($S1061,MOTORISTAS!$D$3:$D$1048576,MOTORISTAS!E$3:$E$1048576),"")</f>
        <v/>
      </c>
      <c r="U1061" s="138" t="str">
        <f>IFERROR(LOOKUP($S1061,MOTORISTAS!$D$3:$D$1048576,MOTORISTAS!F$3:$F$1048576),"")</f>
        <v/>
      </c>
      <c r="V1061" s="66"/>
      <c r="W1061" s="66"/>
      <c r="X1061" s="66"/>
      <c r="Y1061" s="66"/>
      <c r="Z1061" s="66"/>
      <c r="AA1061" s="66"/>
      <c r="AB1061" s="66"/>
      <c r="AC1061" s="66"/>
      <c r="AD1061" s="66"/>
      <c r="AE1061" s="66"/>
      <c r="AF1061" s="44"/>
      <c r="AG1061" s="254">
        <f>Prog_236[[#This Row],[SAÍDA DO CLIENTE]]-Prog_236[[#This Row],[PROGRAMAÇÃO CLIENTE]]</f>
        <v>0</v>
      </c>
      <c r="AH1061" s="44"/>
      <c r="AI1061" s="66"/>
      <c r="AJ1061" s="66"/>
      <c r="AK1061" s="66"/>
      <c r="AL1061" s="66"/>
      <c r="AM1061" s="66"/>
      <c r="AN1061" s="83"/>
      <c r="AO1061" s="66"/>
      <c r="AP1061" s="66"/>
      <c r="AQ1061" s="66"/>
      <c r="AR1061" s="81"/>
      <c r="AS1061" s="81"/>
      <c r="AT1061" s="81"/>
      <c r="AU1061" s="81"/>
      <c r="AV1061" s="83">
        <f>SUM(Prog_236[[#This Row],[ADIANTAMENTO]]+Prog_236[[#This Row],[SALDO]]+Prog_236[[#This Row],[MARGEM]]+Prog_236[[#This Row],[ESTADIA 1]])</f>
        <v>0</v>
      </c>
      <c r="AW10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1" s="81"/>
      <c r="AY1061" s="81"/>
      <c r="AZ1061" s="81">
        <f>Prog_236[[#This Row],[VLR NF]]*0.1%</f>
        <v>0</v>
      </c>
      <c r="BA1061" s="81">
        <f>Prog_236[[#This Row],[VLR NF]]*0.05%</f>
        <v>0</v>
      </c>
      <c r="BB1061" s="81"/>
      <c r="BC1061" s="81"/>
      <c r="BD1061" s="81"/>
      <c r="BE1061" s="81"/>
      <c r="BF1061" s="81"/>
      <c r="BG1061" s="81"/>
      <c r="BH1061" s="81"/>
      <c r="BI1061" s="81"/>
      <c r="BJ1061" s="81"/>
      <c r="BK1061" s="81"/>
      <c r="BL1061" s="66"/>
      <c r="BM1061" s="66"/>
      <c r="BN1061" s="66"/>
      <c r="BO1061" s="66" t="str">
        <f>PROPER(TEXT(Prog_236[[#This Row],[PROGRAMAÇÃO CLIENTE]],"mmm"))</f>
        <v>Jan</v>
      </c>
      <c r="BP1061" s="66">
        <f>YEAR(Prog_236[[#This Row],[PROGRAMAÇÃO CLIENTE]])</f>
        <v>1900</v>
      </c>
    </row>
    <row r="1062" spans="1:68" x14ac:dyDescent="0.25">
      <c r="A1062" s="201">
        <f>Prog_236[[#This Row],[CONTEINER]]</f>
        <v>0</v>
      </c>
      <c r="B1062" s="86"/>
      <c r="C10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2" s="44"/>
      <c r="E1062" s="66"/>
      <c r="F1062" s="66"/>
      <c r="G1062" s="66"/>
      <c r="H1062" s="44"/>
      <c r="I1062" s="44"/>
      <c r="J1062" s="66"/>
      <c r="K1062" s="66"/>
      <c r="L1062" s="66"/>
      <c r="M1062" s="66"/>
      <c r="N1062" s="66">
        <f>SUM(Prog_236[[#This Row],[TARA]]+Prog_236[[#This Row],[PESO]])</f>
        <v>0</v>
      </c>
      <c r="O1062" s="44"/>
      <c r="P1062" s="66"/>
      <c r="Q1062" s="66"/>
      <c r="R1062" s="66"/>
      <c r="S1062" s="66"/>
      <c r="T1062" s="138" t="str">
        <f>IFERROR(LOOKUP($S1062,MOTORISTAS!$D$3:$D$1048576,MOTORISTAS!E$3:$E$1048576),"")</f>
        <v/>
      </c>
      <c r="U1062" s="138" t="str">
        <f>IFERROR(LOOKUP($S1062,MOTORISTAS!$D$3:$D$1048576,MOTORISTAS!F$3:$F$1048576),"")</f>
        <v/>
      </c>
      <c r="V1062" s="66"/>
      <c r="W1062" s="66"/>
      <c r="X1062" s="66"/>
      <c r="Y1062" s="66"/>
      <c r="Z1062" s="66"/>
      <c r="AA1062" s="66"/>
      <c r="AB1062" s="66"/>
      <c r="AC1062" s="66"/>
      <c r="AD1062" s="66"/>
      <c r="AE1062" s="66"/>
      <c r="AF1062" s="44"/>
      <c r="AG1062" s="254">
        <f>Prog_236[[#This Row],[SAÍDA DO CLIENTE]]-Prog_236[[#This Row],[PROGRAMAÇÃO CLIENTE]]</f>
        <v>0</v>
      </c>
      <c r="AH1062" s="44"/>
      <c r="AI1062" s="66"/>
      <c r="AJ1062" s="66"/>
      <c r="AK1062" s="66"/>
      <c r="AL1062" s="66"/>
      <c r="AM1062" s="66"/>
      <c r="AN1062" s="83"/>
      <c r="AO1062" s="66"/>
      <c r="AP1062" s="66"/>
      <c r="AQ1062" s="66"/>
      <c r="AR1062" s="81"/>
      <c r="AS1062" s="81"/>
      <c r="AT1062" s="81"/>
      <c r="AU1062" s="81"/>
      <c r="AV1062" s="83">
        <f>SUM(Prog_236[[#This Row],[ADIANTAMENTO]]+Prog_236[[#This Row],[SALDO]]+Prog_236[[#This Row],[MARGEM]]+Prog_236[[#This Row],[ESTADIA 1]])</f>
        <v>0</v>
      </c>
      <c r="AW10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2" s="81"/>
      <c r="AY1062" s="81"/>
      <c r="AZ1062" s="81">
        <f>Prog_236[[#This Row],[VLR NF]]*0.1%</f>
        <v>0</v>
      </c>
      <c r="BA1062" s="81">
        <f>Prog_236[[#This Row],[VLR NF]]*0.05%</f>
        <v>0</v>
      </c>
      <c r="BB1062" s="81"/>
      <c r="BC1062" s="81"/>
      <c r="BD1062" s="81"/>
      <c r="BE1062" s="81"/>
      <c r="BF1062" s="81"/>
      <c r="BG1062" s="81"/>
      <c r="BH1062" s="81"/>
      <c r="BI1062" s="81"/>
      <c r="BJ1062" s="81"/>
      <c r="BK1062" s="81"/>
      <c r="BL1062" s="66"/>
      <c r="BM1062" s="66"/>
      <c r="BN1062" s="66"/>
      <c r="BO1062" s="66" t="str">
        <f>PROPER(TEXT(Prog_236[[#This Row],[PROGRAMAÇÃO CLIENTE]],"mmm"))</f>
        <v>Jan</v>
      </c>
      <c r="BP1062" s="66">
        <f>YEAR(Prog_236[[#This Row],[PROGRAMAÇÃO CLIENTE]])</f>
        <v>1900</v>
      </c>
    </row>
    <row r="1063" spans="1:68" x14ac:dyDescent="0.25">
      <c r="A1063" s="200">
        <f>Prog_236[[#This Row],[CONTEINER]]</f>
        <v>0</v>
      </c>
      <c r="B1063" s="86"/>
      <c r="C10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3" s="44"/>
      <c r="E1063" s="66"/>
      <c r="F1063" s="66"/>
      <c r="G1063" s="66"/>
      <c r="H1063" s="44"/>
      <c r="I1063" s="44"/>
      <c r="J1063" s="66"/>
      <c r="K1063" s="66"/>
      <c r="L1063" s="66"/>
      <c r="M1063" s="66"/>
      <c r="N1063" s="66">
        <f>SUM(Prog_236[[#This Row],[TARA]]+Prog_236[[#This Row],[PESO]])</f>
        <v>0</v>
      </c>
      <c r="O1063" s="44"/>
      <c r="P1063" s="66"/>
      <c r="Q1063" s="66"/>
      <c r="R1063" s="66"/>
      <c r="S1063" s="66"/>
      <c r="T1063" s="138" t="str">
        <f>IFERROR(LOOKUP($S1063,MOTORISTAS!$D$3:$D$1048576,MOTORISTAS!E$3:$E$1048576),"")</f>
        <v/>
      </c>
      <c r="U1063" s="138" t="str">
        <f>IFERROR(LOOKUP($S1063,MOTORISTAS!$D$3:$D$1048576,MOTORISTAS!F$3:$F$1048576),"")</f>
        <v/>
      </c>
      <c r="V1063" s="66"/>
      <c r="W1063" s="66"/>
      <c r="X1063" s="66"/>
      <c r="Y1063" s="66"/>
      <c r="Z1063" s="66"/>
      <c r="AA1063" s="66"/>
      <c r="AB1063" s="66"/>
      <c r="AC1063" s="66"/>
      <c r="AD1063" s="66"/>
      <c r="AE1063" s="66"/>
      <c r="AF1063" s="44"/>
      <c r="AG1063" s="254">
        <f>Prog_236[[#This Row],[SAÍDA DO CLIENTE]]-Prog_236[[#This Row],[PROGRAMAÇÃO CLIENTE]]</f>
        <v>0</v>
      </c>
      <c r="AH1063" s="44"/>
      <c r="AI1063" s="66"/>
      <c r="AJ1063" s="66"/>
      <c r="AK1063" s="66"/>
      <c r="AL1063" s="66"/>
      <c r="AM1063" s="66"/>
      <c r="AN1063" s="83"/>
      <c r="AO1063" s="66"/>
      <c r="AP1063" s="66"/>
      <c r="AQ1063" s="66"/>
      <c r="AR1063" s="81"/>
      <c r="AS1063" s="81"/>
      <c r="AT1063" s="81"/>
      <c r="AU1063" s="81"/>
      <c r="AV1063" s="83">
        <f>SUM(Prog_236[[#This Row],[ADIANTAMENTO]]+Prog_236[[#This Row],[SALDO]]+Prog_236[[#This Row],[MARGEM]]+Prog_236[[#This Row],[ESTADIA 1]])</f>
        <v>0</v>
      </c>
      <c r="AW10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3" s="81"/>
      <c r="AY1063" s="81"/>
      <c r="AZ1063" s="81">
        <f>Prog_236[[#This Row],[VLR NF]]*0.1%</f>
        <v>0</v>
      </c>
      <c r="BA1063" s="81">
        <f>Prog_236[[#This Row],[VLR NF]]*0.05%</f>
        <v>0</v>
      </c>
      <c r="BB1063" s="81"/>
      <c r="BC1063" s="81"/>
      <c r="BD1063" s="81"/>
      <c r="BE1063" s="81"/>
      <c r="BF1063" s="81"/>
      <c r="BG1063" s="81"/>
      <c r="BH1063" s="81"/>
      <c r="BI1063" s="81"/>
      <c r="BJ1063" s="81"/>
      <c r="BK1063" s="81"/>
      <c r="BL1063" s="66"/>
      <c r="BM1063" s="66"/>
      <c r="BN1063" s="66"/>
      <c r="BO1063" s="66" t="str">
        <f>PROPER(TEXT(Prog_236[[#This Row],[PROGRAMAÇÃO CLIENTE]],"mmm"))</f>
        <v>Jan</v>
      </c>
      <c r="BP1063" s="66">
        <f>YEAR(Prog_236[[#This Row],[PROGRAMAÇÃO CLIENTE]])</f>
        <v>1900</v>
      </c>
    </row>
    <row r="1064" spans="1:68" x14ac:dyDescent="0.25">
      <c r="A1064" s="201">
        <f>Prog_236[[#This Row],[CONTEINER]]</f>
        <v>0</v>
      </c>
      <c r="B1064" s="86"/>
      <c r="C10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4" s="44"/>
      <c r="E1064" s="66"/>
      <c r="F1064" s="66"/>
      <c r="G1064" s="66"/>
      <c r="H1064" s="44"/>
      <c r="I1064" s="44"/>
      <c r="J1064" s="66"/>
      <c r="K1064" s="66"/>
      <c r="L1064" s="66"/>
      <c r="M1064" s="66"/>
      <c r="N1064" s="66">
        <f>SUM(Prog_236[[#This Row],[TARA]]+Prog_236[[#This Row],[PESO]])</f>
        <v>0</v>
      </c>
      <c r="O1064" s="44"/>
      <c r="P1064" s="66"/>
      <c r="Q1064" s="66"/>
      <c r="R1064" s="66"/>
      <c r="S1064" s="66"/>
      <c r="T1064" s="138" t="str">
        <f>IFERROR(LOOKUP($S1064,MOTORISTAS!$D$3:$D$1048576,MOTORISTAS!E$3:$E$1048576),"")</f>
        <v/>
      </c>
      <c r="U1064" s="138" t="str">
        <f>IFERROR(LOOKUP($S1064,MOTORISTAS!$D$3:$D$1048576,MOTORISTAS!F$3:$F$1048576),"")</f>
        <v/>
      </c>
      <c r="V1064" s="66"/>
      <c r="W1064" s="66"/>
      <c r="X1064" s="66"/>
      <c r="Y1064" s="66"/>
      <c r="Z1064" s="66"/>
      <c r="AA1064" s="66"/>
      <c r="AB1064" s="66"/>
      <c r="AC1064" s="66"/>
      <c r="AD1064" s="66"/>
      <c r="AE1064" s="66"/>
      <c r="AF1064" s="44"/>
      <c r="AG1064" s="254">
        <f>Prog_236[[#This Row],[SAÍDA DO CLIENTE]]-Prog_236[[#This Row],[PROGRAMAÇÃO CLIENTE]]</f>
        <v>0</v>
      </c>
      <c r="AH1064" s="44"/>
      <c r="AI1064" s="66"/>
      <c r="AJ1064" s="66"/>
      <c r="AK1064" s="66"/>
      <c r="AL1064" s="66"/>
      <c r="AM1064" s="66"/>
      <c r="AN1064" s="83"/>
      <c r="AO1064" s="66"/>
      <c r="AP1064" s="66"/>
      <c r="AQ1064" s="66"/>
      <c r="AR1064" s="81"/>
      <c r="AS1064" s="81"/>
      <c r="AT1064" s="81"/>
      <c r="AU1064" s="81"/>
      <c r="AV1064" s="83">
        <f>SUM(Prog_236[[#This Row],[ADIANTAMENTO]]+Prog_236[[#This Row],[SALDO]]+Prog_236[[#This Row],[MARGEM]]+Prog_236[[#This Row],[ESTADIA 1]])</f>
        <v>0</v>
      </c>
      <c r="AW10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4" s="81"/>
      <c r="AY1064" s="81"/>
      <c r="AZ1064" s="81">
        <f>Prog_236[[#This Row],[VLR NF]]*0.1%</f>
        <v>0</v>
      </c>
      <c r="BA1064" s="81">
        <f>Prog_236[[#This Row],[VLR NF]]*0.05%</f>
        <v>0</v>
      </c>
      <c r="BB1064" s="81"/>
      <c r="BC1064" s="81"/>
      <c r="BD1064" s="81"/>
      <c r="BE1064" s="81"/>
      <c r="BF1064" s="81"/>
      <c r="BG1064" s="81"/>
      <c r="BH1064" s="81"/>
      <c r="BI1064" s="81"/>
      <c r="BJ1064" s="81"/>
      <c r="BK1064" s="81"/>
      <c r="BL1064" s="66"/>
      <c r="BM1064" s="66"/>
      <c r="BN1064" s="66"/>
      <c r="BO1064" s="66" t="str">
        <f>PROPER(TEXT(Prog_236[[#This Row],[PROGRAMAÇÃO CLIENTE]],"mmm"))</f>
        <v>Jan</v>
      </c>
      <c r="BP1064" s="66">
        <f>YEAR(Prog_236[[#This Row],[PROGRAMAÇÃO CLIENTE]])</f>
        <v>1900</v>
      </c>
    </row>
    <row r="1065" spans="1:68" x14ac:dyDescent="0.25">
      <c r="A1065" s="200">
        <f>Prog_236[[#This Row],[CONTEINER]]</f>
        <v>0</v>
      </c>
      <c r="B1065" s="86"/>
      <c r="C10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5" s="44"/>
      <c r="E1065" s="66"/>
      <c r="F1065" s="66"/>
      <c r="G1065" s="66"/>
      <c r="H1065" s="44"/>
      <c r="I1065" s="44"/>
      <c r="J1065" s="66"/>
      <c r="K1065" s="66"/>
      <c r="L1065" s="66"/>
      <c r="M1065" s="66"/>
      <c r="N1065" s="66">
        <f>SUM(Prog_236[[#This Row],[TARA]]+Prog_236[[#This Row],[PESO]])</f>
        <v>0</v>
      </c>
      <c r="O1065" s="44"/>
      <c r="P1065" s="66"/>
      <c r="Q1065" s="66"/>
      <c r="R1065" s="66"/>
      <c r="S1065" s="66"/>
      <c r="T1065" s="138" t="str">
        <f>IFERROR(LOOKUP($S1065,MOTORISTAS!$D$3:$D$1048576,MOTORISTAS!E$3:$E$1048576),"")</f>
        <v/>
      </c>
      <c r="U1065" s="138" t="str">
        <f>IFERROR(LOOKUP($S1065,MOTORISTAS!$D$3:$D$1048576,MOTORISTAS!F$3:$F$1048576),"")</f>
        <v/>
      </c>
      <c r="V1065" s="66"/>
      <c r="W1065" s="66"/>
      <c r="X1065" s="66"/>
      <c r="Y1065" s="66"/>
      <c r="Z1065" s="66"/>
      <c r="AA1065" s="66"/>
      <c r="AB1065" s="66"/>
      <c r="AC1065" s="66"/>
      <c r="AD1065" s="66"/>
      <c r="AE1065" s="66"/>
      <c r="AF1065" s="44"/>
      <c r="AG1065" s="254">
        <f>Prog_236[[#This Row],[SAÍDA DO CLIENTE]]-Prog_236[[#This Row],[PROGRAMAÇÃO CLIENTE]]</f>
        <v>0</v>
      </c>
      <c r="AH1065" s="44"/>
      <c r="AI1065" s="66"/>
      <c r="AJ1065" s="66"/>
      <c r="AK1065" s="66"/>
      <c r="AL1065" s="66"/>
      <c r="AM1065" s="66"/>
      <c r="AN1065" s="83"/>
      <c r="AO1065" s="66"/>
      <c r="AP1065" s="66"/>
      <c r="AQ1065" s="66"/>
      <c r="AR1065" s="81"/>
      <c r="AS1065" s="81"/>
      <c r="AT1065" s="81"/>
      <c r="AU1065" s="81"/>
      <c r="AV1065" s="83">
        <f>SUM(Prog_236[[#This Row],[ADIANTAMENTO]]+Prog_236[[#This Row],[SALDO]]+Prog_236[[#This Row],[MARGEM]]+Prog_236[[#This Row],[ESTADIA 1]])</f>
        <v>0</v>
      </c>
      <c r="AW10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5" s="81"/>
      <c r="AY1065" s="81"/>
      <c r="AZ1065" s="81">
        <f>Prog_236[[#This Row],[VLR NF]]*0.1%</f>
        <v>0</v>
      </c>
      <c r="BA1065" s="81">
        <f>Prog_236[[#This Row],[VLR NF]]*0.05%</f>
        <v>0</v>
      </c>
      <c r="BB1065" s="81"/>
      <c r="BC1065" s="81"/>
      <c r="BD1065" s="81"/>
      <c r="BE1065" s="81"/>
      <c r="BF1065" s="81"/>
      <c r="BG1065" s="81"/>
      <c r="BH1065" s="81"/>
      <c r="BI1065" s="81"/>
      <c r="BJ1065" s="81"/>
      <c r="BK1065" s="81"/>
      <c r="BL1065" s="66"/>
      <c r="BM1065" s="66"/>
      <c r="BN1065" s="66"/>
      <c r="BO1065" s="66" t="str">
        <f>PROPER(TEXT(Prog_236[[#This Row],[PROGRAMAÇÃO CLIENTE]],"mmm"))</f>
        <v>Jan</v>
      </c>
      <c r="BP1065" s="66">
        <f>YEAR(Prog_236[[#This Row],[PROGRAMAÇÃO CLIENTE]])</f>
        <v>1900</v>
      </c>
    </row>
    <row r="1066" spans="1:68" x14ac:dyDescent="0.25">
      <c r="A1066" s="201">
        <f>Prog_236[[#This Row],[CONTEINER]]</f>
        <v>0</v>
      </c>
      <c r="B1066" s="86"/>
      <c r="C10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6" s="44"/>
      <c r="E1066" s="66"/>
      <c r="F1066" s="66"/>
      <c r="G1066" s="66"/>
      <c r="H1066" s="44"/>
      <c r="I1066" s="44"/>
      <c r="J1066" s="66"/>
      <c r="K1066" s="66"/>
      <c r="L1066" s="66"/>
      <c r="M1066" s="66"/>
      <c r="N1066" s="66">
        <f>SUM(Prog_236[[#This Row],[TARA]]+Prog_236[[#This Row],[PESO]])</f>
        <v>0</v>
      </c>
      <c r="O1066" s="44"/>
      <c r="P1066" s="66"/>
      <c r="Q1066" s="66"/>
      <c r="R1066" s="66"/>
      <c r="S1066" s="66"/>
      <c r="T1066" s="138" t="str">
        <f>IFERROR(LOOKUP($S1066,MOTORISTAS!$D$3:$D$1048576,MOTORISTAS!E$3:$E$1048576),"")</f>
        <v/>
      </c>
      <c r="U1066" s="138" t="str">
        <f>IFERROR(LOOKUP($S1066,MOTORISTAS!$D$3:$D$1048576,MOTORISTAS!F$3:$F$1048576),"")</f>
        <v/>
      </c>
      <c r="V1066" s="66"/>
      <c r="W1066" s="66"/>
      <c r="X1066" s="66"/>
      <c r="Y1066" s="66"/>
      <c r="Z1066" s="66"/>
      <c r="AA1066" s="66"/>
      <c r="AB1066" s="66"/>
      <c r="AC1066" s="66"/>
      <c r="AD1066" s="66"/>
      <c r="AE1066" s="66"/>
      <c r="AF1066" s="44"/>
      <c r="AG1066" s="254">
        <f>Prog_236[[#This Row],[SAÍDA DO CLIENTE]]-Prog_236[[#This Row],[PROGRAMAÇÃO CLIENTE]]</f>
        <v>0</v>
      </c>
      <c r="AH1066" s="44"/>
      <c r="AI1066" s="66"/>
      <c r="AJ1066" s="66"/>
      <c r="AK1066" s="66"/>
      <c r="AL1066" s="66"/>
      <c r="AM1066" s="66"/>
      <c r="AN1066" s="83"/>
      <c r="AO1066" s="66"/>
      <c r="AP1066" s="66"/>
      <c r="AQ1066" s="66"/>
      <c r="AR1066" s="81"/>
      <c r="AS1066" s="81"/>
      <c r="AT1066" s="81"/>
      <c r="AU1066" s="81"/>
      <c r="AV1066" s="83">
        <f>SUM(Prog_236[[#This Row],[ADIANTAMENTO]]+Prog_236[[#This Row],[SALDO]]+Prog_236[[#This Row],[MARGEM]]+Prog_236[[#This Row],[ESTADIA 1]])</f>
        <v>0</v>
      </c>
      <c r="AW10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6" s="81"/>
      <c r="AY1066" s="81"/>
      <c r="AZ1066" s="81">
        <f>Prog_236[[#This Row],[VLR NF]]*0.1%</f>
        <v>0</v>
      </c>
      <c r="BA1066" s="81">
        <f>Prog_236[[#This Row],[VLR NF]]*0.05%</f>
        <v>0</v>
      </c>
      <c r="BB1066" s="81"/>
      <c r="BC1066" s="81"/>
      <c r="BD1066" s="81"/>
      <c r="BE1066" s="81"/>
      <c r="BF1066" s="81"/>
      <c r="BG1066" s="81"/>
      <c r="BH1066" s="81"/>
      <c r="BI1066" s="81"/>
      <c r="BJ1066" s="81"/>
      <c r="BK1066" s="81"/>
      <c r="BL1066" s="66"/>
      <c r="BM1066" s="66"/>
      <c r="BN1066" s="66"/>
      <c r="BO1066" s="66" t="str">
        <f>PROPER(TEXT(Prog_236[[#This Row],[PROGRAMAÇÃO CLIENTE]],"mmm"))</f>
        <v>Jan</v>
      </c>
      <c r="BP1066" s="66">
        <f>YEAR(Prog_236[[#This Row],[PROGRAMAÇÃO CLIENTE]])</f>
        <v>1900</v>
      </c>
    </row>
    <row r="1067" spans="1:68" x14ac:dyDescent="0.25">
      <c r="A1067" s="200">
        <f>Prog_236[[#This Row],[CONTEINER]]</f>
        <v>0</v>
      </c>
      <c r="B1067" s="86"/>
      <c r="C10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7" s="44"/>
      <c r="E1067" s="66"/>
      <c r="F1067" s="66"/>
      <c r="G1067" s="66"/>
      <c r="H1067" s="44"/>
      <c r="I1067" s="44"/>
      <c r="J1067" s="66"/>
      <c r="K1067" s="66"/>
      <c r="L1067" s="66"/>
      <c r="M1067" s="66"/>
      <c r="N1067" s="66">
        <f>SUM(Prog_236[[#This Row],[TARA]]+Prog_236[[#This Row],[PESO]])</f>
        <v>0</v>
      </c>
      <c r="O1067" s="44"/>
      <c r="P1067" s="66"/>
      <c r="Q1067" s="66"/>
      <c r="R1067" s="66"/>
      <c r="S1067" s="66"/>
      <c r="T1067" s="138" t="str">
        <f>IFERROR(LOOKUP($S1067,MOTORISTAS!$D$3:$D$1048576,MOTORISTAS!E$3:$E$1048576),"")</f>
        <v/>
      </c>
      <c r="U1067" s="138" t="str">
        <f>IFERROR(LOOKUP($S1067,MOTORISTAS!$D$3:$D$1048576,MOTORISTAS!F$3:$F$1048576),"")</f>
        <v/>
      </c>
      <c r="V1067" s="66"/>
      <c r="W1067" s="66"/>
      <c r="X1067" s="66"/>
      <c r="Y1067" s="66"/>
      <c r="Z1067" s="66"/>
      <c r="AA1067" s="66"/>
      <c r="AB1067" s="66"/>
      <c r="AC1067" s="66"/>
      <c r="AD1067" s="66"/>
      <c r="AE1067" s="66"/>
      <c r="AF1067" s="44"/>
      <c r="AG1067" s="254">
        <f>Prog_236[[#This Row],[SAÍDA DO CLIENTE]]-Prog_236[[#This Row],[PROGRAMAÇÃO CLIENTE]]</f>
        <v>0</v>
      </c>
      <c r="AH1067" s="44"/>
      <c r="AI1067" s="66"/>
      <c r="AJ1067" s="66"/>
      <c r="AK1067" s="66"/>
      <c r="AL1067" s="66"/>
      <c r="AM1067" s="66"/>
      <c r="AN1067" s="83"/>
      <c r="AO1067" s="66"/>
      <c r="AP1067" s="66"/>
      <c r="AQ1067" s="66"/>
      <c r="AR1067" s="81"/>
      <c r="AS1067" s="81"/>
      <c r="AT1067" s="81"/>
      <c r="AU1067" s="81"/>
      <c r="AV1067" s="83">
        <f>SUM(Prog_236[[#This Row],[ADIANTAMENTO]]+Prog_236[[#This Row],[SALDO]]+Prog_236[[#This Row],[MARGEM]]+Prog_236[[#This Row],[ESTADIA 1]])</f>
        <v>0</v>
      </c>
      <c r="AW10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7" s="81"/>
      <c r="AY1067" s="81"/>
      <c r="AZ1067" s="81">
        <f>Prog_236[[#This Row],[VLR NF]]*0.1%</f>
        <v>0</v>
      </c>
      <c r="BA1067" s="81">
        <f>Prog_236[[#This Row],[VLR NF]]*0.05%</f>
        <v>0</v>
      </c>
      <c r="BB1067" s="81"/>
      <c r="BC1067" s="81"/>
      <c r="BD1067" s="81"/>
      <c r="BE1067" s="81"/>
      <c r="BF1067" s="81"/>
      <c r="BG1067" s="81"/>
      <c r="BH1067" s="81"/>
      <c r="BI1067" s="81"/>
      <c r="BJ1067" s="81"/>
      <c r="BK1067" s="81"/>
      <c r="BL1067" s="66"/>
      <c r="BM1067" s="66"/>
      <c r="BN1067" s="66"/>
      <c r="BO1067" s="66" t="str">
        <f>PROPER(TEXT(Prog_236[[#This Row],[PROGRAMAÇÃO CLIENTE]],"mmm"))</f>
        <v>Jan</v>
      </c>
      <c r="BP1067" s="66">
        <f>YEAR(Prog_236[[#This Row],[PROGRAMAÇÃO CLIENTE]])</f>
        <v>1900</v>
      </c>
    </row>
    <row r="1068" spans="1:68" x14ac:dyDescent="0.25">
      <c r="A1068" s="201">
        <f>Prog_236[[#This Row],[CONTEINER]]</f>
        <v>0</v>
      </c>
      <c r="B1068" s="86"/>
      <c r="C10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8" s="44"/>
      <c r="E1068" s="66"/>
      <c r="F1068" s="66"/>
      <c r="G1068" s="66"/>
      <c r="H1068" s="44"/>
      <c r="I1068" s="44"/>
      <c r="J1068" s="66"/>
      <c r="K1068" s="66"/>
      <c r="L1068" s="66"/>
      <c r="M1068" s="66"/>
      <c r="N1068" s="66">
        <f>SUM(Prog_236[[#This Row],[TARA]]+Prog_236[[#This Row],[PESO]])</f>
        <v>0</v>
      </c>
      <c r="O1068" s="44"/>
      <c r="P1068" s="66"/>
      <c r="Q1068" s="66"/>
      <c r="R1068" s="66"/>
      <c r="S1068" s="66"/>
      <c r="T1068" s="138" t="str">
        <f>IFERROR(LOOKUP($S1068,MOTORISTAS!$D$3:$D$1048576,MOTORISTAS!E$3:$E$1048576),"")</f>
        <v/>
      </c>
      <c r="U1068" s="138" t="str">
        <f>IFERROR(LOOKUP($S1068,MOTORISTAS!$D$3:$D$1048576,MOTORISTAS!F$3:$F$1048576),"")</f>
        <v/>
      </c>
      <c r="V1068" s="66"/>
      <c r="W1068" s="66"/>
      <c r="X1068" s="66"/>
      <c r="Y1068" s="66"/>
      <c r="Z1068" s="66"/>
      <c r="AA1068" s="66"/>
      <c r="AB1068" s="66"/>
      <c r="AC1068" s="66"/>
      <c r="AD1068" s="66"/>
      <c r="AE1068" s="66"/>
      <c r="AF1068" s="44"/>
      <c r="AG1068" s="254">
        <f>Prog_236[[#This Row],[SAÍDA DO CLIENTE]]-Prog_236[[#This Row],[PROGRAMAÇÃO CLIENTE]]</f>
        <v>0</v>
      </c>
      <c r="AH1068" s="44"/>
      <c r="AI1068" s="66"/>
      <c r="AJ1068" s="66"/>
      <c r="AK1068" s="66"/>
      <c r="AL1068" s="66"/>
      <c r="AM1068" s="66"/>
      <c r="AN1068" s="83"/>
      <c r="AO1068" s="66"/>
      <c r="AP1068" s="66"/>
      <c r="AQ1068" s="66"/>
      <c r="AR1068" s="81"/>
      <c r="AS1068" s="81"/>
      <c r="AT1068" s="81"/>
      <c r="AU1068" s="81"/>
      <c r="AV1068" s="83">
        <f>SUM(Prog_236[[#This Row],[ADIANTAMENTO]]+Prog_236[[#This Row],[SALDO]]+Prog_236[[#This Row],[MARGEM]]+Prog_236[[#This Row],[ESTADIA 1]])</f>
        <v>0</v>
      </c>
      <c r="AW10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8" s="81"/>
      <c r="AY1068" s="81"/>
      <c r="AZ1068" s="81">
        <f>Prog_236[[#This Row],[VLR NF]]*0.1%</f>
        <v>0</v>
      </c>
      <c r="BA1068" s="81">
        <f>Prog_236[[#This Row],[VLR NF]]*0.05%</f>
        <v>0</v>
      </c>
      <c r="BB1068" s="81"/>
      <c r="BC1068" s="81"/>
      <c r="BD1068" s="81"/>
      <c r="BE1068" s="81"/>
      <c r="BF1068" s="81"/>
      <c r="BG1068" s="81"/>
      <c r="BH1068" s="81"/>
      <c r="BI1068" s="81"/>
      <c r="BJ1068" s="81"/>
      <c r="BK1068" s="81"/>
      <c r="BL1068" s="66"/>
      <c r="BM1068" s="66"/>
      <c r="BN1068" s="66"/>
      <c r="BO1068" s="66" t="str">
        <f>PROPER(TEXT(Prog_236[[#This Row],[PROGRAMAÇÃO CLIENTE]],"mmm"))</f>
        <v>Jan</v>
      </c>
      <c r="BP1068" s="66">
        <f>YEAR(Prog_236[[#This Row],[PROGRAMAÇÃO CLIENTE]])</f>
        <v>1900</v>
      </c>
    </row>
    <row r="1069" spans="1:68" x14ac:dyDescent="0.25">
      <c r="A1069" s="200">
        <f>Prog_236[[#This Row],[CONTEINER]]</f>
        <v>0</v>
      </c>
      <c r="B1069" s="86"/>
      <c r="C10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69" s="44"/>
      <c r="E1069" s="66"/>
      <c r="F1069" s="66"/>
      <c r="G1069" s="66"/>
      <c r="H1069" s="44"/>
      <c r="I1069" s="44"/>
      <c r="J1069" s="66"/>
      <c r="K1069" s="66"/>
      <c r="L1069" s="66"/>
      <c r="M1069" s="66"/>
      <c r="N1069" s="66">
        <f>SUM(Prog_236[[#This Row],[TARA]]+Prog_236[[#This Row],[PESO]])</f>
        <v>0</v>
      </c>
      <c r="O1069" s="44"/>
      <c r="P1069" s="66"/>
      <c r="Q1069" s="66"/>
      <c r="R1069" s="66"/>
      <c r="S1069" s="66"/>
      <c r="T1069" s="138" t="str">
        <f>IFERROR(LOOKUP($S1069,MOTORISTAS!$D$3:$D$1048576,MOTORISTAS!E$3:$E$1048576),"")</f>
        <v/>
      </c>
      <c r="U1069" s="138" t="str">
        <f>IFERROR(LOOKUP($S1069,MOTORISTAS!$D$3:$D$1048576,MOTORISTAS!F$3:$F$1048576),"")</f>
        <v/>
      </c>
      <c r="V1069" s="66"/>
      <c r="W1069" s="66"/>
      <c r="X1069" s="66"/>
      <c r="Y1069" s="66"/>
      <c r="Z1069" s="66"/>
      <c r="AA1069" s="66"/>
      <c r="AB1069" s="66"/>
      <c r="AC1069" s="66"/>
      <c r="AD1069" s="66"/>
      <c r="AE1069" s="66"/>
      <c r="AF1069" s="44"/>
      <c r="AG1069" s="254">
        <f>Prog_236[[#This Row],[SAÍDA DO CLIENTE]]-Prog_236[[#This Row],[PROGRAMAÇÃO CLIENTE]]</f>
        <v>0</v>
      </c>
      <c r="AH1069" s="44"/>
      <c r="AI1069" s="66"/>
      <c r="AJ1069" s="66"/>
      <c r="AK1069" s="66"/>
      <c r="AL1069" s="66"/>
      <c r="AM1069" s="66"/>
      <c r="AN1069" s="83"/>
      <c r="AO1069" s="66"/>
      <c r="AP1069" s="66"/>
      <c r="AQ1069" s="66"/>
      <c r="AR1069" s="81"/>
      <c r="AS1069" s="81"/>
      <c r="AT1069" s="81"/>
      <c r="AU1069" s="81"/>
      <c r="AV1069" s="83">
        <f>SUM(Prog_236[[#This Row],[ADIANTAMENTO]]+Prog_236[[#This Row],[SALDO]]+Prog_236[[#This Row],[MARGEM]]+Prog_236[[#This Row],[ESTADIA 1]])</f>
        <v>0</v>
      </c>
      <c r="AW10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69" s="81"/>
      <c r="AY1069" s="81"/>
      <c r="AZ1069" s="81">
        <f>Prog_236[[#This Row],[VLR NF]]*0.1%</f>
        <v>0</v>
      </c>
      <c r="BA1069" s="81">
        <f>Prog_236[[#This Row],[VLR NF]]*0.05%</f>
        <v>0</v>
      </c>
      <c r="BB1069" s="81"/>
      <c r="BC1069" s="81"/>
      <c r="BD1069" s="81"/>
      <c r="BE1069" s="81"/>
      <c r="BF1069" s="81"/>
      <c r="BG1069" s="81"/>
      <c r="BH1069" s="81"/>
      <c r="BI1069" s="81"/>
      <c r="BJ1069" s="81"/>
      <c r="BK1069" s="81"/>
      <c r="BL1069" s="66"/>
      <c r="BM1069" s="66"/>
      <c r="BN1069" s="66"/>
      <c r="BO1069" s="66" t="str">
        <f>PROPER(TEXT(Prog_236[[#This Row],[PROGRAMAÇÃO CLIENTE]],"mmm"))</f>
        <v>Jan</v>
      </c>
      <c r="BP1069" s="66">
        <f>YEAR(Prog_236[[#This Row],[PROGRAMAÇÃO CLIENTE]])</f>
        <v>1900</v>
      </c>
    </row>
    <row r="1070" spans="1:68" x14ac:dyDescent="0.25">
      <c r="A1070" s="201">
        <f>Prog_236[[#This Row],[CONTEINER]]</f>
        <v>0</v>
      </c>
      <c r="B1070" s="86"/>
      <c r="C10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0" s="44"/>
      <c r="E1070" s="66"/>
      <c r="F1070" s="66"/>
      <c r="G1070" s="66"/>
      <c r="H1070" s="44"/>
      <c r="I1070" s="44"/>
      <c r="J1070" s="66"/>
      <c r="K1070" s="66"/>
      <c r="L1070" s="66"/>
      <c r="M1070" s="66"/>
      <c r="N1070" s="66">
        <f>SUM(Prog_236[[#This Row],[TARA]]+Prog_236[[#This Row],[PESO]])</f>
        <v>0</v>
      </c>
      <c r="O1070" s="44"/>
      <c r="P1070" s="66"/>
      <c r="Q1070" s="66"/>
      <c r="R1070" s="66"/>
      <c r="S1070" s="66"/>
      <c r="T1070" s="138" t="str">
        <f>IFERROR(LOOKUP($S1070,MOTORISTAS!$D$3:$D$1048576,MOTORISTAS!E$3:$E$1048576),"")</f>
        <v/>
      </c>
      <c r="U1070" s="138" t="str">
        <f>IFERROR(LOOKUP($S1070,MOTORISTAS!$D$3:$D$1048576,MOTORISTAS!F$3:$F$1048576),"")</f>
        <v/>
      </c>
      <c r="V1070" s="66"/>
      <c r="W1070" s="66"/>
      <c r="X1070" s="66"/>
      <c r="Y1070" s="66"/>
      <c r="Z1070" s="66"/>
      <c r="AA1070" s="66"/>
      <c r="AB1070" s="66"/>
      <c r="AC1070" s="66"/>
      <c r="AD1070" s="66"/>
      <c r="AE1070" s="66"/>
      <c r="AF1070" s="44"/>
      <c r="AG1070" s="254">
        <f>Prog_236[[#This Row],[SAÍDA DO CLIENTE]]-Prog_236[[#This Row],[PROGRAMAÇÃO CLIENTE]]</f>
        <v>0</v>
      </c>
      <c r="AH1070" s="44"/>
      <c r="AI1070" s="66"/>
      <c r="AJ1070" s="66"/>
      <c r="AK1070" s="66"/>
      <c r="AL1070" s="66"/>
      <c r="AM1070" s="66"/>
      <c r="AN1070" s="83"/>
      <c r="AO1070" s="66"/>
      <c r="AP1070" s="66"/>
      <c r="AQ1070" s="66"/>
      <c r="AR1070" s="81"/>
      <c r="AS1070" s="81"/>
      <c r="AT1070" s="81"/>
      <c r="AU1070" s="81"/>
      <c r="AV1070" s="83">
        <f>SUM(Prog_236[[#This Row],[ADIANTAMENTO]]+Prog_236[[#This Row],[SALDO]]+Prog_236[[#This Row],[MARGEM]]+Prog_236[[#This Row],[ESTADIA 1]])</f>
        <v>0</v>
      </c>
      <c r="AW10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0" s="81"/>
      <c r="AY1070" s="81"/>
      <c r="AZ1070" s="81">
        <f>Prog_236[[#This Row],[VLR NF]]*0.1%</f>
        <v>0</v>
      </c>
      <c r="BA1070" s="81">
        <f>Prog_236[[#This Row],[VLR NF]]*0.05%</f>
        <v>0</v>
      </c>
      <c r="BB1070" s="81"/>
      <c r="BC1070" s="81"/>
      <c r="BD1070" s="81"/>
      <c r="BE1070" s="81"/>
      <c r="BF1070" s="81"/>
      <c r="BG1070" s="81"/>
      <c r="BH1070" s="81"/>
      <c r="BI1070" s="81"/>
      <c r="BJ1070" s="81"/>
      <c r="BK1070" s="81"/>
      <c r="BL1070" s="66"/>
      <c r="BM1070" s="66"/>
      <c r="BN1070" s="66"/>
      <c r="BO1070" s="66" t="str">
        <f>PROPER(TEXT(Prog_236[[#This Row],[PROGRAMAÇÃO CLIENTE]],"mmm"))</f>
        <v>Jan</v>
      </c>
      <c r="BP1070" s="66">
        <f>YEAR(Prog_236[[#This Row],[PROGRAMAÇÃO CLIENTE]])</f>
        <v>1900</v>
      </c>
    </row>
    <row r="1071" spans="1:68" x14ac:dyDescent="0.25">
      <c r="A1071" s="200">
        <f>Prog_236[[#This Row],[CONTEINER]]</f>
        <v>0</v>
      </c>
      <c r="B1071" s="86"/>
      <c r="C10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1" s="44"/>
      <c r="E1071" s="66"/>
      <c r="F1071" s="66"/>
      <c r="G1071" s="66"/>
      <c r="H1071" s="44"/>
      <c r="I1071" s="44"/>
      <c r="J1071" s="66"/>
      <c r="K1071" s="66"/>
      <c r="L1071" s="66"/>
      <c r="M1071" s="66"/>
      <c r="N1071" s="66">
        <f>SUM(Prog_236[[#This Row],[TARA]]+Prog_236[[#This Row],[PESO]])</f>
        <v>0</v>
      </c>
      <c r="O1071" s="44"/>
      <c r="P1071" s="66"/>
      <c r="Q1071" s="66"/>
      <c r="R1071" s="66"/>
      <c r="S1071" s="66"/>
      <c r="T1071" s="138" t="str">
        <f>IFERROR(LOOKUP($S1071,MOTORISTAS!$D$3:$D$1048576,MOTORISTAS!E$3:$E$1048576),"")</f>
        <v/>
      </c>
      <c r="U1071" s="138" t="str">
        <f>IFERROR(LOOKUP($S1071,MOTORISTAS!$D$3:$D$1048576,MOTORISTAS!F$3:$F$1048576),"")</f>
        <v/>
      </c>
      <c r="V1071" s="66"/>
      <c r="W1071" s="66"/>
      <c r="X1071" s="66"/>
      <c r="Y1071" s="66"/>
      <c r="Z1071" s="66"/>
      <c r="AA1071" s="66"/>
      <c r="AB1071" s="66"/>
      <c r="AC1071" s="66"/>
      <c r="AD1071" s="66"/>
      <c r="AE1071" s="66"/>
      <c r="AF1071" s="44"/>
      <c r="AG1071" s="254">
        <f>Prog_236[[#This Row],[SAÍDA DO CLIENTE]]-Prog_236[[#This Row],[PROGRAMAÇÃO CLIENTE]]</f>
        <v>0</v>
      </c>
      <c r="AH1071" s="44"/>
      <c r="AI1071" s="66"/>
      <c r="AJ1071" s="66"/>
      <c r="AK1071" s="66"/>
      <c r="AL1071" s="66"/>
      <c r="AM1071" s="66"/>
      <c r="AN1071" s="83"/>
      <c r="AO1071" s="66"/>
      <c r="AP1071" s="66"/>
      <c r="AQ1071" s="66"/>
      <c r="AR1071" s="81"/>
      <c r="AS1071" s="81"/>
      <c r="AT1071" s="81"/>
      <c r="AU1071" s="81"/>
      <c r="AV1071" s="83">
        <f>SUM(Prog_236[[#This Row],[ADIANTAMENTO]]+Prog_236[[#This Row],[SALDO]]+Prog_236[[#This Row],[MARGEM]]+Prog_236[[#This Row],[ESTADIA 1]])</f>
        <v>0</v>
      </c>
      <c r="AW10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1" s="81"/>
      <c r="AY1071" s="81"/>
      <c r="AZ1071" s="81">
        <f>Prog_236[[#This Row],[VLR NF]]*0.1%</f>
        <v>0</v>
      </c>
      <c r="BA1071" s="81">
        <f>Prog_236[[#This Row],[VLR NF]]*0.05%</f>
        <v>0</v>
      </c>
      <c r="BB1071" s="81"/>
      <c r="BC1071" s="81"/>
      <c r="BD1071" s="81"/>
      <c r="BE1071" s="81"/>
      <c r="BF1071" s="81"/>
      <c r="BG1071" s="81"/>
      <c r="BH1071" s="81"/>
      <c r="BI1071" s="81"/>
      <c r="BJ1071" s="81"/>
      <c r="BK1071" s="81"/>
      <c r="BL1071" s="66"/>
      <c r="BM1071" s="66"/>
      <c r="BN1071" s="66"/>
      <c r="BO1071" s="66" t="str">
        <f>PROPER(TEXT(Prog_236[[#This Row],[PROGRAMAÇÃO CLIENTE]],"mmm"))</f>
        <v>Jan</v>
      </c>
      <c r="BP1071" s="66">
        <f>YEAR(Prog_236[[#This Row],[PROGRAMAÇÃO CLIENTE]])</f>
        <v>1900</v>
      </c>
    </row>
    <row r="1072" spans="1:68" x14ac:dyDescent="0.25">
      <c r="A1072" s="201">
        <f>Prog_236[[#This Row],[CONTEINER]]</f>
        <v>0</v>
      </c>
      <c r="B1072" s="86"/>
      <c r="C10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2" s="44"/>
      <c r="E1072" s="66"/>
      <c r="F1072" s="66"/>
      <c r="G1072" s="66"/>
      <c r="H1072" s="44"/>
      <c r="I1072" s="44"/>
      <c r="J1072" s="66"/>
      <c r="K1072" s="66"/>
      <c r="L1072" s="66"/>
      <c r="M1072" s="66"/>
      <c r="N1072" s="66">
        <f>SUM(Prog_236[[#This Row],[TARA]]+Prog_236[[#This Row],[PESO]])</f>
        <v>0</v>
      </c>
      <c r="O1072" s="44"/>
      <c r="P1072" s="66"/>
      <c r="Q1072" s="66"/>
      <c r="R1072" s="66"/>
      <c r="S1072" s="66"/>
      <c r="T1072" s="138" t="str">
        <f>IFERROR(LOOKUP($S1072,MOTORISTAS!$D$3:$D$1048576,MOTORISTAS!E$3:$E$1048576),"")</f>
        <v/>
      </c>
      <c r="U1072" s="138" t="str">
        <f>IFERROR(LOOKUP($S1072,MOTORISTAS!$D$3:$D$1048576,MOTORISTAS!F$3:$F$1048576),"")</f>
        <v/>
      </c>
      <c r="V1072" s="66"/>
      <c r="W1072" s="66"/>
      <c r="X1072" s="66"/>
      <c r="Y1072" s="66"/>
      <c r="Z1072" s="66"/>
      <c r="AA1072" s="66"/>
      <c r="AB1072" s="66"/>
      <c r="AC1072" s="66"/>
      <c r="AD1072" s="66"/>
      <c r="AE1072" s="66"/>
      <c r="AF1072" s="44"/>
      <c r="AG1072" s="254">
        <f>Prog_236[[#This Row],[SAÍDA DO CLIENTE]]-Prog_236[[#This Row],[PROGRAMAÇÃO CLIENTE]]</f>
        <v>0</v>
      </c>
      <c r="AH1072" s="44"/>
      <c r="AI1072" s="66"/>
      <c r="AJ1072" s="66"/>
      <c r="AK1072" s="66"/>
      <c r="AL1072" s="66"/>
      <c r="AM1072" s="66"/>
      <c r="AN1072" s="83"/>
      <c r="AO1072" s="66"/>
      <c r="AP1072" s="66"/>
      <c r="AQ1072" s="66"/>
      <c r="AR1072" s="81"/>
      <c r="AS1072" s="81"/>
      <c r="AT1072" s="81"/>
      <c r="AU1072" s="81"/>
      <c r="AV1072" s="83">
        <f>SUM(Prog_236[[#This Row],[ADIANTAMENTO]]+Prog_236[[#This Row],[SALDO]]+Prog_236[[#This Row],[MARGEM]]+Prog_236[[#This Row],[ESTADIA 1]])</f>
        <v>0</v>
      </c>
      <c r="AW10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2" s="81"/>
      <c r="AY1072" s="81"/>
      <c r="AZ1072" s="81">
        <f>Prog_236[[#This Row],[VLR NF]]*0.1%</f>
        <v>0</v>
      </c>
      <c r="BA1072" s="81">
        <f>Prog_236[[#This Row],[VLR NF]]*0.05%</f>
        <v>0</v>
      </c>
      <c r="BB1072" s="81"/>
      <c r="BC1072" s="81"/>
      <c r="BD1072" s="81"/>
      <c r="BE1072" s="81"/>
      <c r="BF1072" s="81"/>
      <c r="BG1072" s="81"/>
      <c r="BH1072" s="81"/>
      <c r="BI1072" s="81"/>
      <c r="BJ1072" s="81"/>
      <c r="BK1072" s="81"/>
      <c r="BL1072" s="66"/>
      <c r="BM1072" s="66"/>
      <c r="BN1072" s="66"/>
      <c r="BO1072" s="66" t="str">
        <f>PROPER(TEXT(Prog_236[[#This Row],[PROGRAMAÇÃO CLIENTE]],"mmm"))</f>
        <v>Jan</v>
      </c>
      <c r="BP1072" s="66">
        <f>YEAR(Prog_236[[#This Row],[PROGRAMAÇÃO CLIENTE]])</f>
        <v>1900</v>
      </c>
    </row>
    <row r="1073" spans="1:68" x14ac:dyDescent="0.25">
      <c r="A1073" s="200">
        <f>Prog_236[[#This Row],[CONTEINER]]</f>
        <v>0</v>
      </c>
      <c r="B1073" s="86"/>
      <c r="C10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3" s="44"/>
      <c r="E1073" s="66"/>
      <c r="F1073" s="66"/>
      <c r="G1073" s="66"/>
      <c r="H1073" s="44"/>
      <c r="I1073" s="44"/>
      <c r="J1073" s="66"/>
      <c r="K1073" s="66"/>
      <c r="L1073" s="66"/>
      <c r="M1073" s="66"/>
      <c r="N1073" s="66">
        <f>SUM(Prog_236[[#This Row],[TARA]]+Prog_236[[#This Row],[PESO]])</f>
        <v>0</v>
      </c>
      <c r="O1073" s="44"/>
      <c r="P1073" s="66"/>
      <c r="Q1073" s="66"/>
      <c r="R1073" s="66"/>
      <c r="S1073" s="66"/>
      <c r="T1073" s="138" t="str">
        <f>IFERROR(LOOKUP($S1073,MOTORISTAS!$D$3:$D$1048576,MOTORISTAS!E$3:$E$1048576),"")</f>
        <v/>
      </c>
      <c r="U1073" s="138" t="str">
        <f>IFERROR(LOOKUP($S1073,MOTORISTAS!$D$3:$D$1048576,MOTORISTAS!F$3:$F$1048576),"")</f>
        <v/>
      </c>
      <c r="V1073" s="66"/>
      <c r="W1073" s="66"/>
      <c r="X1073" s="66"/>
      <c r="Y1073" s="66"/>
      <c r="Z1073" s="66"/>
      <c r="AA1073" s="66"/>
      <c r="AB1073" s="66"/>
      <c r="AC1073" s="66"/>
      <c r="AD1073" s="66"/>
      <c r="AE1073" s="66"/>
      <c r="AF1073" s="44"/>
      <c r="AG1073" s="254">
        <f>Prog_236[[#This Row],[SAÍDA DO CLIENTE]]-Prog_236[[#This Row],[PROGRAMAÇÃO CLIENTE]]</f>
        <v>0</v>
      </c>
      <c r="AH1073" s="44"/>
      <c r="AI1073" s="66"/>
      <c r="AJ1073" s="66"/>
      <c r="AK1073" s="66"/>
      <c r="AL1073" s="66"/>
      <c r="AM1073" s="66"/>
      <c r="AN1073" s="83"/>
      <c r="AO1073" s="66"/>
      <c r="AP1073" s="66"/>
      <c r="AQ1073" s="66"/>
      <c r="AR1073" s="81"/>
      <c r="AS1073" s="81"/>
      <c r="AT1073" s="81"/>
      <c r="AU1073" s="81"/>
      <c r="AV1073" s="83">
        <f>SUM(Prog_236[[#This Row],[ADIANTAMENTO]]+Prog_236[[#This Row],[SALDO]]+Prog_236[[#This Row],[MARGEM]]+Prog_236[[#This Row],[ESTADIA 1]])</f>
        <v>0</v>
      </c>
      <c r="AW10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3" s="81"/>
      <c r="AY1073" s="81"/>
      <c r="AZ1073" s="81">
        <f>Prog_236[[#This Row],[VLR NF]]*0.1%</f>
        <v>0</v>
      </c>
      <c r="BA1073" s="81">
        <f>Prog_236[[#This Row],[VLR NF]]*0.05%</f>
        <v>0</v>
      </c>
      <c r="BB1073" s="81"/>
      <c r="BC1073" s="81"/>
      <c r="BD1073" s="81"/>
      <c r="BE1073" s="81"/>
      <c r="BF1073" s="81"/>
      <c r="BG1073" s="81"/>
      <c r="BH1073" s="81"/>
      <c r="BI1073" s="81"/>
      <c r="BJ1073" s="81"/>
      <c r="BK1073" s="81"/>
      <c r="BL1073" s="66"/>
      <c r="BM1073" s="66"/>
      <c r="BN1073" s="66"/>
      <c r="BO1073" s="66" t="str">
        <f>PROPER(TEXT(Prog_236[[#This Row],[PROGRAMAÇÃO CLIENTE]],"mmm"))</f>
        <v>Jan</v>
      </c>
      <c r="BP1073" s="66">
        <f>YEAR(Prog_236[[#This Row],[PROGRAMAÇÃO CLIENTE]])</f>
        <v>1900</v>
      </c>
    </row>
    <row r="1074" spans="1:68" x14ac:dyDescent="0.25">
      <c r="A1074" s="201">
        <f>Prog_236[[#This Row],[CONTEINER]]</f>
        <v>0</v>
      </c>
      <c r="B1074" s="86"/>
      <c r="C10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4" s="44"/>
      <c r="E1074" s="66"/>
      <c r="F1074" s="66"/>
      <c r="G1074" s="66"/>
      <c r="H1074" s="44"/>
      <c r="I1074" s="44"/>
      <c r="J1074" s="66"/>
      <c r="K1074" s="66"/>
      <c r="L1074" s="66"/>
      <c r="M1074" s="66"/>
      <c r="N1074" s="66">
        <f>SUM(Prog_236[[#This Row],[TARA]]+Prog_236[[#This Row],[PESO]])</f>
        <v>0</v>
      </c>
      <c r="O1074" s="44"/>
      <c r="P1074" s="66"/>
      <c r="Q1074" s="66"/>
      <c r="R1074" s="66"/>
      <c r="S1074" s="66"/>
      <c r="T1074" s="138" t="str">
        <f>IFERROR(LOOKUP($S1074,MOTORISTAS!$D$3:$D$1048576,MOTORISTAS!E$3:$E$1048576),"")</f>
        <v/>
      </c>
      <c r="U1074" s="138" t="str">
        <f>IFERROR(LOOKUP($S1074,MOTORISTAS!$D$3:$D$1048576,MOTORISTAS!F$3:$F$1048576),"")</f>
        <v/>
      </c>
      <c r="V1074" s="66"/>
      <c r="W1074" s="66"/>
      <c r="X1074" s="66"/>
      <c r="Y1074" s="66"/>
      <c r="Z1074" s="66"/>
      <c r="AA1074" s="66"/>
      <c r="AB1074" s="66"/>
      <c r="AC1074" s="66"/>
      <c r="AD1074" s="66"/>
      <c r="AE1074" s="66"/>
      <c r="AF1074" s="44"/>
      <c r="AG1074" s="254">
        <f>Prog_236[[#This Row],[SAÍDA DO CLIENTE]]-Prog_236[[#This Row],[PROGRAMAÇÃO CLIENTE]]</f>
        <v>0</v>
      </c>
      <c r="AH1074" s="44"/>
      <c r="AI1074" s="66"/>
      <c r="AJ1074" s="66"/>
      <c r="AK1074" s="66"/>
      <c r="AL1074" s="66"/>
      <c r="AM1074" s="66"/>
      <c r="AN1074" s="83"/>
      <c r="AO1074" s="66"/>
      <c r="AP1074" s="66"/>
      <c r="AQ1074" s="66"/>
      <c r="AR1074" s="81"/>
      <c r="AS1074" s="81"/>
      <c r="AT1074" s="81"/>
      <c r="AU1074" s="81"/>
      <c r="AV1074" s="83">
        <f>SUM(Prog_236[[#This Row],[ADIANTAMENTO]]+Prog_236[[#This Row],[SALDO]]+Prog_236[[#This Row],[MARGEM]]+Prog_236[[#This Row],[ESTADIA 1]])</f>
        <v>0</v>
      </c>
      <c r="AW10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4" s="81"/>
      <c r="AY1074" s="81"/>
      <c r="AZ1074" s="81">
        <f>Prog_236[[#This Row],[VLR NF]]*0.1%</f>
        <v>0</v>
      </c>
      <c r="BA1074" s="81">
        <f>Prog_236[[#This Row],[VLR NF]]*0.05%</f>
        <v>0</v>
      </c>
      <c r="BB1074" s="81"/>
      <c r="BC1074" s="81"/>
      <c r="BD1074" s="81"/>
      <c r="BE1074" s="81"/>
      <c r="BF1074" s="81"/>
      <c r="BG1074" s="81"/>
      <c r="BH1074" s="81"/>
      <c r="BI1074" s="81"/>
      <c r="BJ1074" s="81"/>
      <c r="BK1074" s="81"/>
      <c r="BL1074" s="66"/>
      <c r="BM1074" s="66"/>
      <c r="BN1074" s="66"/>
      <c r="BO1074" s="66" t="str">
        <f>PROPER(TEXT(Prog_236[[#This Row],[PROGRAMAÇÃO CLIENTE]],"mmm"))</f>
        <v>Jan</v>
      </c>
      <c r="BP1074" s="66">
        <f>YEAR(Prog_236[[#This Row],[PROGRAMAÇÃO CLIENTE]])</f>
        <v>1900</v>
      </c>
    </row>
    <row r="1075" spans="1:68" x14ac:dyDescent="0.25">
      <c r="A1075" s="200">
        <f>Prog_236[[#This Row],[CONTEINER]]</f>
        <v>0</v>
      </c>
      <c r="B1075" s="86"/>
      <c r="C10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5" s="44"/>
      <c r="E1075" s="66"/>
      <c r="F1075" s="66"/>
      <c r="G1075" s="66"/>
      <c r="H1075" s="44"/>
      <c r="I1075" s="44"/>
      <c r="J1075" s="66"/>
      <c r="K1075" s="66"/>
      <c r="L1075" s="66"/>
      <c r="M1075" s="66"/>
      <c r="N1075" s="66">
        <f>SUM(Prog_236[[#This Row],[TARA]]+Prog_236[[#This Row],[PESO]])</f>
        <v>0</v>
      </c>
      <c r="O1075" s="44"/>
      <c r="P1075" s="66"/>
      <c r="Q1075" s="66"/>
      <c r="R1075" s="66"/>
      <c r="S1075" s="66"/>
      <c r="T1075" s="138" t="str">
        <f>IFERROR(LOOKUP($S1075,MOTORISTAS!$D$3:$D$1048576,MOTORISTAS!E$3:$E$1048576),"")</f>
        <v/>
      </c>
      <c r="U1075" s="138" t="str">
        <f>IFERROR(LOOKUP($S1075,MOTORISTAS!$D$3:$D$1048576,MOTORISTAS!F$3:$F$1048576),"")</f>
        <v/>
      </c>
      <c r="V1075" s="66"/>
      <c r="W1075" s="66"/>
      <c r="X1075" s="66"/>
      <c r="Y1075" s="66"/>
      <c r="Z1075" s="66"/>
      <c r="AA1075" s="66"/>
      <c r="AB1075" s="66"/>
      <c r="AC1075" s="66"/>
      <c r="AD1075" s="66"/>
      <c r="AE1075" s="66"/>
      <c r="AF1075" s="44"/>
      <c r="AG1075" s="254">
        <f>Prog_236[[#This Row],[SAÍDA DO CLIENTE]]-Prog_236[[#This Row],[PROGRAMAÇÃO CLIENTE]]</f>
        <v>0</v>
      </c>
      <c r="AH1075" s="44"/>
      <c r="AI1075" s="66"/>
      <c r="AJ1075" s="66"/>
      <c r="AK1075" s="66"/>
      <c r="AL1075" s="66"/>
      <c r="AM1075" s="66"/>
      <c r="AN1075" s="83"/>
      <c r="AO1075" s="66"/>
      <c r="AP1075" s="66"/>
      <c r="AQ1075" s="66"/>
      <c r="AR1075" s="81"/>
      <c r="AS1075" s="81"/>
      <c r="AT1075" s="81"/>
      <c r="AU1075" s="81"/>
      <c r="AV1075" s="83">
        <f>SUM(Prog_236[[#This Row],[ADIANTAMENTO]]+Prog_236[[#This Row],[SALDO]]+Prog_236[[#This Row],[MARGEM]]+Prog_236[[#This Row],[ESTADIA 1]])</f>
        <v>0</v>
      </c>
      <c r="AW10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5" s="81"/>
      <c r="AY1075" s="81"/>
      <c r="AZ1075" s="81">
        <f>Prog_236[[#This Row],[VLR NF]]*0.1%</f>
        <v>0</v>
      </c>
      <c r="BA1075" s="81">
        <f>Prog_236[[#This Row],[VLR NF]]*0.05%</f>
        <v>0</v>
      </c>
      <c r="BB1075" s="81"/>
      <c r="BC1075" s="81"/>
      <c r="BD1075" s="81"/>
      <c r="BE1075" s="81"/>
      <c r="BF1075" s="81"/>
      <c r="BG1075" s="81"/>
      <c r="BH1075" s="81"/>
      <c r="BI1075" s="81"/>
      <c r="BJ1075" s="81"/>
      <c r="BK1075" s="81"/>
      <c r="BL1075" s="66"/>
      <c r="BM1075" s="66"/>
      <c r="BN1075" s="66"/>
      <c r="BO1075" s="66" t="str">
        <f>PROPER(TEXT(Prog_236[[#This Row],[PROGRAMAÇÃO CLIENTE]],"mmm"))</f>
        <v>Jan</v>
      </c>
      <c r="BP1075" s="66">
        <f>YEAR(Prog_236[[#This Row],[PROGRAMAÇÃO CLIENTE]])</f>
        <v>1900</v>
      </c>
    </row>
    <row r="1076" spans="1:68" x14ac:dyDescent="0.25">
      <c r="A1076" s="201">
        <f>Prog_236[[#This Row],[CONTEINER]]</f>
        <v>0</v>
      </c>
      <c r="B1076" s="86"/>
      <c r="C10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6" s="44"/>
      <c r="E1076" s="66"/>
      <c r="F1076" s="66"/>
      <c r="G1076" s="66"/>
      <c r="H1076" s="44"/>
      <c r="I1076" s="44"/>
      <c r="J1076" s="66"/>
      <c r="K1076" s="66"/>
      <c r="L1076" s="66"/>
      <c r="M1076" s="66"/>
      <c r="N1076" s="66">
        <f>SUM(Prog_236[[#This Row],[TARA]]+Prog_236[[#This Row],[PESO]])</f>
        <v>0</v>
      </c>
      <c r="O1076" s="44"/>
      <c r="P1076" s="66"/>
      <c r="Q1076" s="66"/>
      <c r="R1076" s="66"/>
      <c r="S1076" s="66"/>
      <c r="T1076" s="138" t="str">
        <f>IFERROR(LOOKUP($S1076,MOTORISTAS!$D$3:$D$1048576,MOTORISTAS!E$3:$E$1048576),"")</f>
        <v/>
      </c>
      <c r="U1076" s="138" t="str">
        <f>IFERROR(LOOKUP($S1076,MOTORISTAS!$D$3:$D$1048576,MOTORISTAS!F$3:$F$1048576),"")</f>
        <v/>
      </c>
      <c r="V1076" s="66"/>
      <c r="W1076" s="66"/>
      <c r="X1076" s="66"/>
      <c r="Y1076" s="66"/>
      <c r="Z1076" s="66"/>
      <c r="AA1076" s="66"/>
      <c r="AB1076" s="66"/>
      <c r="AC1076" s="66"/>
      <c r="AD1076" s="66"/>
      <c r="AE1076" s="66"/>
      <c r="AF1076" s="44"/>
      <c r="AG1076" s="254">
        <f>Prog_236[[#This Row],[SAÍDA DO CLIENTE]]-Prog_236[[#This Row],[PROGRAMAÇÃO CLIENTE]]</f>
        <v>0</v>
      </c>
      <c r="AH1076" s="44"/>
      <c r="AI1076" s="66"/>
      <c r="AJ1076" s="66"/>
      <c r="AK1076" s="66"/>
      <c r="AL1076" s="66"/>
      <c r="AM1076" s="66"/>
      <c r="AN1076" s="83"/>
      <c r="AO1076" s="66"/>
      <c r="AP1076" s="66"/>
      <c r="AQ1076" s="66"/>
      <c r="AR1076" s="81"/>
      <c r="AS1076" s="81"/>
      <c r="AT1076" s="81"/>
      <c r="AU1076" s="81"/>
      <c r="AV1076" s="83">
        <f>SUM(Prog_236[[#This Row],[ADIANTAMENTO]]+Prog_236[[#This Row],[SALDO]]+Prog_236[[#This Row],[MARGEM]]+Prog_236[[#This Row],[ESTADIA 1]])</f>
        <v>0</v>
      </c>
      <c r="AW10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6" s="81"/>
      <c r="AY1076" s="81"/>
      <c r="AZ1076" s="81">
        <f>Prog_236[[#This Row],[VLR NF]]*0.1%</f>
        <v>0</v>
      </c>
      <c r="BA1076" s="81">
        <f>Prog_236[[#This Row],[VLR NF]]*0.05%</f>
        <v>0</v>
      </c>
      <c r="BB1076" s="81"/>
      <c r="BC1076" s="81"/>
      <c r="BD1076" s="81"/>
      <c r="BE1076" s="81"/>
      <c r="BF1076" s="81"/>
      <c r="BG1076" s="81"/>
      <c r="BH1076" s="81"/>
      <c r="BI1076" s="81"/>
      <c r="BJ1076" s="81"/>
      <c r="BK1076" s="81"/>
      <c r="BL1076" s="66"/>
      <c r="BM1076" s="66"/>
      <c r="BN1076" s="66"/>
      <c r="BO1076" s="66" t="str">
        <f>PROPER(TEXT(Prog_236[[#This Row],[PROGRAMAÇÃO CLIENTE]],"mmm"))</f>
        <v>Jan</v>
      </c>
      <c r="BP1076" s="66">
        <f>YEAR(Prog_236[[#This Row],[PROGRAMAÇÃO CLIENTE]])</f>
        <v>1900</v>
      </c>
    </row>
    <row r="1077" spans="1:68" x14ac:dyDescent="0.25">
      <c r="A1077" s="200">
        <f>Prog_236[[#This Row],[CONTEINER]]</f>
        <v>0</v>
      </c>
      <c r="B1077" s="86"/>
      <c r="C10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7" s="44"/>
      <c r="E1077" s="66"/>
      <c r="F1077" s="66"/>
      <c r="G1077" s="66"/>
      <c r="H1077" s="44"/>
      <c r="I1077" s="44"/>
      <c r="J1077" s="66"/>
      <c r="K1077" s="66"/>
      <c r="L1077" s="66"/>
      <c r="M1077" s="66"/>
      <c r="N1077" s="66">
        <f>SUM(Prog_236[[#This Row],[TARA]]+Prog_236[[#This Row],[PESO]])</f>
        <v>0</v>
      </c>
      <c r="O1077" s="44"/>
      <c r="P1077" s="66"/>
      <c r="Q1077" s="66"/>
      <c r="R1077" s="66"/>
      <c r="S1077" s="66"/>
      <c r="T1077" s="138" t="str">
        <f>IFERROR(LOOKUP($S1077,MOTORISTAS!$D$3:$D$1048576,MOTORISTAS!E$3:$E$1048576),"")</f>
        <v/>
      </c>
      <c r="U1077" s="138" t="str">
        <f>IFERROR(LOOKUP($S1077,MOTORISTAS!$D$3:$D$1048576,MOTORISTAS!F$3:$F$1048576),"")</f>
        <v/>
      </c>
      <c r="V1077" s="66"/>
      <c r="W1077" s="66"/>
      <c r="X1077" s="66"/>
      <c r="Y1077" s="66"/>
      <c r="Z1077" s="66"/>
      <c r="AA1077" s="66"/>
      <c r="AB1077" s="66"/>
      <c r="AC1077" s="66"/>
      <c r="AD1077" s="66"/>
      <c r="AE1077" s="66"/>
      <c r="AF1077" s="44"/>
      <c r="AG1077" s="254">
        <f>Prog_236[[#This Row],[SAÍDA DO CLIENTE]]-Prog_236[[#This Row],[PROGRAMAÇÃO CLIENTE]]</f>
        <v>0</v>
      </c>
      <c r="AH1077" s="44"/>
      <c r="AI1077" s="66"/>
      <c r="AJ1077" s="66"/>
      <c r="AK1077" s="66"/>
      <c r="AL1077" s="66"/>
      <c r="AM1077" s="66"/>
      <c r="AN1077" s="83"/>
      <c r="AO1077" s="66"/>
      <c r="AP1077" s="66"/>
      <c r="AQ1077" s="66"/>
      <c r="AR1077" s="81"/>
      <c r="AS1077" s="81"/>
      <c r="AT1077" s="81"/>
      <c r="AU1077" s="81"/>
      <c r="AV1077" s="83">
        <f>SUM(Prog_236[[#This Row],[ADIANTAMENTO]]+Prog_236[[#This Row],[SALDO]]+Prog_236[[#This Row],[MARGEM]]+Prog_236[[#This Row],[ESTADIA 1]])</f>
        <v>0</v>
      </c>
      <c r="AW10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7" s="81"/>
      <c r="AY1077" s="81"/>
      <c r="AZ1077" s="81">
        <f>Prog_236[[#This Row],[VLR NF]]*0.1%</f>
        <v>0</v>
      </c>
      <c r="BA1077" s="81">
        <f>Prog_236[[#This Row],[VLR NF]]*0.05%</f>
        <v>0</v>
      </c>
      <c r="BB1077" s="81"/>
      <c r="BC1077" s="81"/>
      <c r="BD1077" s="81"/>
      <c r="BE1077" s="81"/>
      <c r="BF1077" s="81"/>
      <c r="BG1077" s="81"/>
      <c r="BH1077" s="81"/>
      <c r="BI1077" s="81"/>
      <c r="BJ1077" s="81"/>
      <c r="BK1077" s="81"/>
      <c r="BL1077" s="66"/>
      <c r="BM1077" s="66"/>
      <c r="BN1077" s="66"/>
      <c r="BO1077" s="66" t="str">
        <f>PROPER(TEXT(Prog_236[[#This Row],[PROGRAMAÇÃO CLIENTE]],"mmm"))</f>
        <v>Jan</v>
      </c>
      <c r="BP1077" s="66">
        <f>YEAR(Prog_236[[#This Row],[PROGRAMAÇÃO CLIENTE]])</f>
        <v>1900</v>
      </c>
    </row>
    <row r="1078" spans="1:68" x14ac:dyDescent="0.25">
      <c r="A1078" s="201">
        <f>Prog_236[[#This Row],[CONTEINER]]</f>
        <v>0</v>
      </c>
      <c r="B1078" s="86"/>
      <c r="C10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8" s="44"/>
      <c r="E1078" s="66"/>
      <c r="F1078" s="66"/>
      <c r="G1078" s="66"/>
      <c r="H1078" s="44"/>
      <c r="I1078" s="44"/>
      <c r="J1078" s="66"/>
      <c r="K1078" s="66"/>
      <c r="L1078" s="66"/>
      <c r="M1078" s="66"/>
      <c r="N1078" s="66">
        <f>SUM(Prog_236[[#This Row],[TARA]]+Prog_236[[#This Row],[PESO]])</f>
        <v>0</v>
      </c>
      <c r="O1078" s="44"/>
      <c r="P1078" s="66"/>
      <c r="Q1078" s="66"/>
      <c r="R1078" s="66"/>
      <c r="S1078" s="66"/>
      <c r="T1078" s="138" t="str">
        <f>IFERROR(LOOKUP($S1078,MOTORISTAS!$D$3:$D$1048576,MOTORISTAS!E$3:$E$1048576),"")</f>
        <v/>
      </c>
      <c r="U1078" s="138" t="str">
        <f>IFERROR(LOOKUP($S1078,MOTORISTAS!$D$3:$D$1048576,MOTORISTAS!F$3:$F$1048576),"")</f>
        <v/>
      </c>
      <c r="V1078" s="66"/>
      <c r="W1078" s="66"/>
      <c r="X1078" s="66"/>
      <c r="Y1078" s="66"/>
      <c r="Z1078" s="66"/>
      <c r="AA1078" s="66"/>
      <c r="AB1078" s="66"/>
      <c r="AC1078" s="66"/>
      <c r="AD1078" s="66"/>
      <c r="AE1078" s="66"/>
      <c r="AF1078" s="44"/>
      <c r="AG1078" s="254">
        <f>Prog_236[[#This Row],[SAÍDA DO CLIENTE]]-Prog_236[[#This Row],[PROGRAMAÇÃO CLIENTE]]</f>
        <v>0</v>
      </c>
      <c r="AH1078" s="44"/>
      <c r="AI1078" s="66"/>
      <c r="AJ1078" s="66"/>
      <c r="AK1078" s="66"/>
      <c r="AL1078" s="66"/>
      <c r="AM1078" s="66"/>
      <c r="AN1078" s="83"/>
      <c r="AO1078" s="66"/>
      <c r="AP1078" s="66"/>
      <c r="AQ1078" s="66"/>
      <c r="AR1078" s="81"/>
      <c r="AS1078" s="81"/>
      <c r="AT1078" s="81"/>
      <c r="AU1078" s="81"/>
      <c r="AV1078" s="83">
        <f>SUM(Prog_236[[#This Row],[ADIANTAMENTO]]+Prog_236[[#This Row],[SALDO]]+Prog_236[[#This Row],[MARGEM]]+Prog_236[[#This Row],[ESTADIA 1]])</f>
        <v>0</v>
      </c>
      <c r="AW10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8" s="81"/>
      <c r="AY1078" s="81"/>
      <c r="AZ1078" s="81">
        <f>Prog_236[[#This Row],[VLR NF]]*0.1%</f>
        <v>0</v>
      </c>
      <c r="BA1078" s="81">
        <f>Prog_236[[#This Row],[VLR NF]]*0.05%</f>
        <v>0</v>
      </c>
      <c r="BB1078" s="81"/>
      <c r="BC1078" s="81"/>
      <c r="BD1078" s="81"/>
      <c r="BE1078" s="81"/>
      <c r="BF1078" s="81"/>
      <c r="BG1078" s="81"/>
      <c r="BH1078" s="81"/>
      <c r="BI1078" s="81"/>
      <c r="BJ1078" s="81"/>
      <c r="BK1078" s="81"/>
      <c r="BL1078" s="66"/>
      <c r="BM1078" s="66"/>
      <c r="BN1078" s="66"/>
      <c r="BO1078" s="66" t="str">
        <f>PROPER(TEXT(Prog_236[[#This Row],[PROGRAMAÇÃO CLIENTE]],"mmm"))</f>
        <v>Jan</v>
      </c>
      <c r="BP1078" s="66">
        <f>YEAR(Prog_236[[#This Row],[PROGRAMAÇÃO CLIENTE]])</f>
        <v>1900</v>
      </c>
    </row>
    <row r="1079" spans="1:68" x14ac:dyDescent="0.25">
      <c r="A1079" s="200">
        <f>Prog_236[[#This Row],[CONTEINER]]</f>
        <v>0</v>
      </c>
      <c r="B1079" s="86"/>
      <c r="C10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79" s="44"/>
      <c r="E1079" s="66"/>
      <c r="F1079" s="66"/>
      <c r="G1079" s="66"/>
      <c r="H1079" s="44"/>
      <c r="I1079" s="44"/>
      <c r="J1079" s="66"/>
      <c r="K1079" s="66"/>
      <c r="L1079" s="66"/>
      <c r="M1079" s="66"/>
      <c r="N1079" s="66">
        <f>SUM(Prog_236[[#This Row],[TARA]]+Prog_236[[#This Row],[PESO]])</f>
        <v>0</v>
      </c>
      <c r="O1079" s="44"/>
      <c r="P1079" s="66"/>
      <c r="Q1079" s="66"/>
      <c r="R1079" s="66"/>
      <c r="S1079" s="66"/>
      <c r="T1079" s="138" t="str">
        <f>IFERROR(LOOKUP($S1079,MOTORISTAS!$D$3:$D$1048576,MOTORISTAS!E$3:$E$1048576),"")</f>
        <v/>
      </c>
      <c r="U1079" s="138" t="str">
        <f>IFERROR(LOOKUP($S1079,MOTORISTAS!$D$3:$D$1048576,MOTORISTAS!F$3:$F$1048576),"")</f>
        <v/>
      </c>
      <c r="V1079" s="66"/>
      <c r="W1079" s="66"/>
      <c r="X1079" s="66"/>
      <c r="Y1079" s="66"/>
      <c r="Z1079" s="66"/>
      <c r="AA1079" s="66"/>
      <c r="AB1079" s="66"/>
      <c r="AC1079" s="66"/>
      <c r="AD1079" s="66"/>
      <c r="AE1079" s="66"/>
      <c r="AF1079" s="44"/>
      <c r="AG1079" s="254">
        <f>Prog_236[[#This Row],[SAÍDA DO CLIENTE]]-Prog_236[[#This Row],[PROGRAMAÇÃO CLIENTE]]</f>
        <v>0</v>
      </c>
      <c r="AH1079" s="44"/>
      <c r="AI1079" s="66"/>
      <c r="AJ1079" s="66"/>
      <c r="AK1079" s="66"/>
      <c r="AL1079" s="66"/>
      <c r="AM1079" s="66"/>
      <c r="AN1079" s="83"/>
      <c r="AO1079" s="66"/>
      <c r="AP1079" s="66"/>
      <c r="AQ1079" s="66"/>
      <c r="AR1079" s="81"/>
      <c r="AS1079" s="81"/>
      <c r="AT1079" s="81"/>
      <c r="AU1079" s="81"/>
      <c r="AV1079" s="83">
        <f>SUM(Prog_236[[#This Row],[ADIANTAMENTO]]+Prog_236[[#This Row],[SALDO]]+Prog_236[[#This Row],[MARGEM]]+Prog_236[[#This Row],[ESTADIA 1]])</f>
        <v>0</v>
      </c>
      <c r="AW10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79" s="81"/>
      <c r="AY1079" s="81"/>
      <c r="AZ1079" s="81">
        <f>Prog_236[[#This Row],[VLR NF]]*0.1%</f>
        <v>0</v>
      </c>
      <c r="BA1079" s="81">
        <f>Prog_236[[#This Row],[VLR NF]]*0.05%</f>
        <v>0</v>
      </c>
      <c r="BB1079" s="81"/>
      <c r="BC1079" s="81"/>
      <c r="BD1079" s="81"/>
      <c r="BE1079" s="81"/>
      <c r="BF1079" s="81"/>
      <c r="BG1079" s="81"/>
      <c r="BH1079" s="81"/>
      <c r="BI1079" s="81"/>
      <c r="BJ1079" s="81"/>
      <c r="BK1079" s="81"/>
      <c r="BL1079" s="66"/>
      <c r="BM1079" s="66"/>
      <c r="BN1079" s="66"/>
      <c r="BO1079" s="66" t="str">
        <f>PROPER(TEXT(Prog_236[[#This Row],[PROGRAMAÇÃO CLIENTE]],"mmm"))</f>
        <v>Jan</v>
      </c>
      <c r="BP1079" s="66">
        <f>YEAR(Prog_236[[#This Row],[PROGRAMAÇÃO CLIENTE]])</f>
        <v>1900</v>
      </c>
    </row>
    <row r="1080" spans="1:68" x14ac:dyDescent="0.25">
      <c r="A1080" s="201">
        <f>Prog_236[[#This Row],[CONTEINER]]</f>
        <v>0</v>
      </c>
      <c r="B1080" s="86"/>
      <c r="C10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0" s="44"/>
      <c r="E1080" s="66"/>
      <c r="F1080" s="66"/>
      <c r="G1080" s="66"/>
      <c r="H1080" s="44"/>
      <c r="I1080" s="44"/>
      <c r="J1080" s="66"/>
      <c r="K1080" s="66"/>
      <c r="L1080" s="66"/>
      <c r="M1080" s="66"/>
      <c r="N1080" s="66">
        <f>SUM(Prog_236[[#This Row],[TARA]]+Prog_236[[#This Row],[PESO]])</f>
        <v>0</v>
      </c>
      <c r="O1080" s="44"/>
      <c r="P1080" s="66"/>
      <c r="Q1080" s="66"/>
      <c r="R1080" s="66"/>
      <c r="S1080" s="66"/>
      <c r="T1080" s="138" t="str">
        <f>IFERROR(LOOKUP($S1080,MOTORISTAS!$D$3:$D$1048576,MOTORISTAS!E$3:$E$1048576),"")</f>
        <v/>
      </c>
      <c r="U1080" s="138" t="str">
        <f>IFERROR(LOOKUP($S1080,MOTORISTAS!$D$3:$D$1048576,MOTORISTAS!F$3:$F$1048576),"")</f>
        <v/>
      </c>
      <c r="V1080" s="66"/>
      <c r="W1080" s="66"/>
      <c r="X1080" s="66"/>
      <c r="Y1080" s="66"/>
      <c r="Z1080" s="66"/>
      <c r="AA1080" s="66"/>
      <c r="AB1080" s="66"/>
      <c r="AC1080" s="66"/>
      <c r="AD1080" s="66"/>
      <c r="AE1080" s="66"/>
      <c r="AF1080" s="44"/>
      <c r="AG1080" s="254">
        <f>Prog_236[[#This Row],[SAÍDA DO CLIENTE]]-Prog_236[[#This Row],[PROGRAMAÇÃO CLIENTE]]</f>
        <v>0</v>
      </c>
      <c r="AH1080" s="44"/>
      <c r="AI1080" s="66"/>
      <c r="AJ1080" s="66"/>
      <c r="AK1080" s="66"/>
      <c r="AL1080" s="66"/>
      <c r="AM1080" s="66"/>
      <c r="AN1080" s="83"/>
      <c r="AO1080" s="66"/>
      <c r="AP1080" s="66"/>
      <c r="AQ1080" s="66"/>
      <c r="AR1080" s="81"/>
      <c r="AS1080" s="81"/>
      <c r="AT1080" s="81"/>
      <c r="AU1080" s="81"/>
      <c r="AV1080" s="83">
        <f>SUM(Prog_236[[#This Row],[ADIANTAMENTO]]+Prog_236[[#This Row],[SALDO]]+Prog_236[[#This Row],[MARGEM]]+Prog_236[[#This Row],[ESTADIA 1]])</f>
        <v>0</v>
      </c>
      <c r="AW10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0" s="81"/>
      <c r="AY1080" s="81"/>
      <c r="AZ1080" s="81">
        <f>Prog_236[[#This Row],[VLR NF]]*0.1%</f>
        <v>0</v>
      </c>
      <c r="BA1080" s="81">
        <f>Prog_236[[#This Row],[VLR NF]]*0.05%</f>
        <v>0</v>
      </c>
      <c r="BB1080" s="81"/>
      <c r="BC1080" s="81"/>
      <c r="BD1080" s="81"/>
      <c r="BE1080" s="81"/>
      <c r="BF1080" s="81"/>
      <c r="BG1080" s="81"/>
      <c r="BH1080" s="81"/>
      <c r="BI1080" s="81"/>
      <c r="BJ1080" s="81"/>
      <c r="BK1080" s="81"/>
      <c r="BL1080" s="66"/>
      <c r="BM1080" s="66"/>
      <c r="BN1080" s="66"/>
      <c r="BO1080" s="66" t="str">
        <f>PROPER(TEXT(Prog_236[[#This Row],[PROGRAMAÇÃO CLIENTE]],"mmm"))</f>
        <v>Jan</v>
      </c>
      <c r="BP1080" s="66">
        <f>YEAR(Prog_236[[#This Row],[PROGRAMAÇÃO CLIENTE]])</f>
        <v>1900</v>
      </c>
    </row>
    <row r="1081" spans="1:68" x14ac:dyDescent="0.25">
      <c r="A1081" s="200">
        <f>Prog_236[[#This Row],[CONTEINER]]</f>
        <v>0</v>
      </c>
      <c r="B1081" s="86"/>
      <c r="C10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1" s="44"/>
      <c r="E1081" s="66"/>
      <c r="F1081" s="66"/>
      <c r="G1081" s="66"/>
      <c r="H1081" s="44"/>
      <c r="I1081" s="44"/>
      <c r="J1081" s="66"/>
      <c r="K1081" s="66"/>
      <c r="L1081" s="66"/>
      <c r="M1081" s="66"/>
      <c r="N1081" s="66">
        <f>SUM(Prog_236[[#This Row],[TARA]]+Prog_236[[#This Row],[PESO]])</f>
        <v>0</v>
      </c>
      <c r="O1081" s="44"/>
      <c r="P1081" s="66"/>
      <c r="Q1081" s="66"/>
      <c r="R1081" s="66"/>
      <c r="S1081" s="66"/>
      <c r="T1081" s="138" t="str">
        <f>IFERROR(LOOKUP($S1081,MOTORISTAS!$D$3:$D$1048576,MOTORISTAS!E$3:$E$1048576),"")</f>
        <v/>
      </c>
      <c r="U1081" s="138" t="str">
        <f>IFERROR(LOOKUP($S1081,MOTORISTAS!$D$3:$D$1048576,MOTORISTAS!F$3:$F$1048576),"")</f>
        <v/>
      </c>
      <c r="V1081" s="66"/>
      <c r="W1081" s="66"/>
      <c r="X1081" s="66"/>
      <c r="Y1081" s="66"/>
      <c r="Z1081" s="66"/>
      <c r="AA1081" s="66"/>
      <c r="AB1081" s="66"/>
      <c r="AC1081" s="66"/>
      <c r="AD1081" s="66"/>
      <c r="AE1081" s="66"/>
      <c r="AF1081" s="44"/>
      <c r="AG1081" s="254">
        <f>Prog_236[[#This Row],[SAÍDA DO CLIENTE]]-Prog_236[[#This Row],[PROGRAMAÇÃO CLIENTE]]</f>
        <v>0</v>
      </c>
      <c r="AH1081" s="44"/>
      <c r="AI1081" s="66"/>
      <c r="AJ1081" s="66"/>
      <c r="AK1081" s="66"/>
      <c r="AL1081" s="66"/>
      <c r="AM1081" s="66"/>
      <c r="AN1081" s="83"/>
      <c r="AO1081" s="66"/>
      <c r="AP1081" s="66"/>
      <c r="AQ1081" s="66"/>
      <c r="AR1081" s="81"/>
      <c r="AS1081" s="81"/>
      <c r="AT1081" s="81"/>
      <c r="AU1081" s="81"/>
      <c r="AV1081" s="83">
        <f>SUM(Prog_236[[#This Row],[ADIANTAMENTO]]+Prog_236[[#This Row],[SALDO]]+Prog_236[[#This Row],[MARGEM]]+Prog_236[[#This Row],[ESTADIA 1]])</f>
        <v>0</v>
      </c>
      <c r="AW10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1" s="81"/>
      <c r="AY1081" s="81"/>
      <c r="AZ1081" s="81">
        <f>Prog_236[[#This Row],[VLR NF]]*0.1%</f>
        <v>0</v>
      </c>
      <c r="BA1081" s="81">
        <f>Prog_236[[#This Row],[VLR NF]]*0.05%</f>
        <v>0</v>
      </c>
      <c r="BB1081" s="81"/>
      <c r="BC1081" s="81"/>
      <c r="BD1081" s="81"/>
      <c r="BE1081" s="81"/>
      <c r="BF1081" s="81"/>
      <c r="BG1081" s="81"/>
      <c r="BH1081" s="81"/>
      <c r="BI1081" s="81"/>
      <c r="BJ1081" s="81"/>
      <c r="BK1081" s="81"/>
      <c r="BL1081" s="66"/>
      <c r="BM1081" s="66"/>
      <c r="BN1081" s="66"/>
      <c r="BO1081" s="66" t="str">
        <f>PROPER(TEXT(Prog_236[[#This Row],[PROGRAMAÇÃO CLIENTE]],"mmm"))</f>
        <v>Jan</v>
      </c>
      <c r="BP1081" s="66">
        <f>YEAR(Prog_236[[#This Row],[PROGRAMAÇÃO CLIENTE]])</f>
        <v>1900</v>
      </c>
    </row>
    <row r="1082" spans="1:68" x14ac:dyDescent="0.25">
      <c r="A1082" s="201">
        <f>Prog_236[[#This Row],[CONTEINER]]</f>
        <v>0</v>
      </c>
      <c r="B1082" s="86"/>
      <c r="C10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2" s="44"/>
      <c r="E1082" s="66"/>
      <c r="F1082" s="66"/>
      <c r="G1082" s="66"/>
      <c r="H1082" s="44"/>
      <c r="I1082" s="44"/>
      <c r="J1082" s="66"/>
      <c r="K1082" s="66"/>
      <c r="L1082" s="66"/>
      <c r="M1082" s="66"/>
      <c r="N1082" s="66">
        <f>SUM(Prog_236[[#This Row],[TARA]]+Prog_236[[#This Row],[PESO]])</f>
        <v>0</v>
      </c>
      <c r="O1082" s="44"/>
      <c r="P1082" s="66"/>
      <c r="Q1082" s="66"/>
      <c r="R1082" s="66"/>
      <c r="S1082" s="66"/>
      <c r="T1082" s="138" t="str">
        <f>IFERROR(LOOKUP($S1082,MOTORISTAS!$D$3:$D$1048576,MOTORISTAS!E$3:$E$1048576),"")</f>
        <v/>
      </c>
      <c r="U1082" s="138" t="str">
        <f>IFERROR(LOOKUP($S1082,MOTORISTAS!$D$3:$D$1048576,MOTORISTAS!F$3:$F$1048576),"")</f>
        <v/>
      </c>
      <c r="V1082" s="66"/>
      <c r="W1082" s="66"/>
      <c r="X1082" s="66"/>
      <c r="Y1082" s="66"/>
      <c r="Z1082" s="66"/>
      <c r="AA1082" s="66"/>
      <c r="AB1082" s="66"/>
      <c r="AC1082" s="66"/>
      <c r="AD1082" s="66"/>
      <c r="AE1082" s="66"/>
      <c r="AF1082" s="44"/>
      <c r="AG1082" s="254">
        <f>Prog_236[[#This Row],[SAÍDA DO CLIENTE]]-Prog_236[[#This Row],[PROGRAMAÇÃO CLIENTE]]</f>
        <v>0</v>
      </c>
      <c r="AH1082" s="44"/>
      <c r="AI1082" s="66"/>
      <c r="AJ1082" s="66"/>
      <c r="AK1082" s="66"/>
      <c r="AL1082" s="66"/>
      <c r="AM1082" s="66"/>
      <c r="AN1082" s="83"/>
      <c r="AO1082" s="66"/>
      <c r="AP1082" s="66"/>
      <c r="AQ1082" s="66"/>
      <c r="AR1082" s="81"/>
      <c r="AS1082" s="81"/>
      <c r="AT1082" s="81"/>
      <c r="AU1082" s="81"/>
      <c r="AV1082" s="83">
        <f>SUM(Prog_236[[#This Row],[ADIANTAMENTO]]+Prog_236[[#This Row],[SALDO]]+Prog_236[[#This Row],[MARGEM]]+Prog_236[[#This Row],[ESTADIA 1]])</f>
        <v>0</v>
      </c>
      <c r="AW10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2" s="81"/>
      <c r="AY1082" s="81"/>
      <c r="AZ1082" s="81">
        <f>Prog_236[[#This Row],[VLR NF]]*0.1%</f>
        <v>0</v>
      </c>
      <c r="BA1082" s="81">
        <f>Prog_236[[#This Row],[VLR NF]]*0.05%</f>
        <v>0</v>
      </c>
      <c r="BB1082" s="81"/>
      <c r="BC1082" s="81"/>
      <c r="BD1082" s="81"/>
      <c r="BE1082" s="81"/>
      <c r="BF1082" s="81"/>
      <c r="BG1082" s="81"/>
      <c r="BH1082" s="81"/>
      <c r="BI1082" s="81"/>
      <c r="BJ1082" s="81"/>
      <c r="BK1082" s="81"/>
      <c r="BL1082" s="66"/>
      <c r="BM1082" s="66"/>
      <c r="BN1082" s="66"/>
      <c r="BO1082" s="66" t="str">
        <f>PROPER(TEXT(Prog_236[[#This Row],[PROGRAMAÇÃO CLIENTE]],"mmm"))</f>
        <v>Jan</v>
      </c>
      <c r="BP1082" s="66">
        <f>YEAR(Prog_236[[#This Row],[PROGRAMAÇÃO CLIENTE]])</f>
        <v>1900</v>
      </c>
    </row>
    <row r="1083" spans="1:68" x14ac:dyDescent="0.25">
      <c r="A1083" s="200">
        <f>Prog_236[[#This Row],[CONTEINER]]</f>
        <v>0</v>
      </c>
      <c r="B1083" s="86"/>
      <c r="C10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3" s="44"/>
      <c r="E1083" s="66"/>
      <c r="F1083" s="66"/>
      <c r="G1083" s="66"/>
      <c r="H1083" s="44"/>
      <c r="I1083" s="44"/>
      <c r="J1083" s="66"/>
      <c r="K1083" s="66"/>
      <c r="L1083" s="66"/>
      <c r="M1083" s="66"/>
      <c r="N1083" s="66">
        <f>SUM(Prog_236[[#This Row],[TARA]]+Prog_236[[#This Row],[PESO]])</f>
        <v>0</v>
      </c>
      <c r="O1083" s="44"/>
      <c r="P1083" s="66"/>
      <c r="Q1083" s="66"/>
      <c r="R1083" s="66"/>
      <c r="S1083" s="66"/>
      <c r="T1083" s="138" t="str">
        <f>IFERROR(LOOKUP($S1083,MOTORISTAS!$D$3:$D$1048576,MOTORISTAS!E$3:$E$1048576),"")</f>
        <v/>
      </c>
      <c r="U1083" s="138" t="str">
        <f>IFERROR(LOOKUP($S1083,MOTORISTAS!$D$3:$D$1048576,MOTORISTAS!F$3:$F$1048576),"")</f>
        <v/>
      </c>
      <c r="V1083" s="66"/>
      <c r="W1083" s="66"/>
      <c r="X1083" s="66"/>
      <c r="Y1083" s="66"/>
      <c r="Z1083" s="66"/>
      <c r="AA1083" s="66"/>
      <c r="AB1083" s="66"/>
      <c r="AC1083" s="66"/>
      <c r="AD1083" s="66"/>
      <c r="AE1083" s="66"/>
      <c r="AF1083" s="44"/>
      <c r="AG1083" s="254">
        <f>Prog_236[[#This Row],[SAÍDA DO CLIENTE]]-Prog_236[[#This Row],[PROGRAMAÇÃO CLIENTE]]</f>
        <v>0</v>
      </c>
      <c r="AH1083" s="44"/>
      <c r="AI1083" s="66"/>
      <c r="AJ1083" s="66"/>
      <c r="AK1083" s="66"/>
      <c r="AL1083" s="66"/>
      <c r="AM1083" s="66"/>
      <c r="AN1083" s="83"/>
      <c r="AO1083" s="66"/>
      <c r="AP1083" s="66"/>
      <c r="AQ1083" s="66"/>
      <c r="AR1083" s="81"/>
      <c r="AS1083" s="81"/>
      <c r="AT1083" s="81"/>
      <c r="AU1083" s="81"/>
      <c r="AV1083" s="83">
        <f>SUM(Prog_236[[#This Row],[ADIANTAMENTO]]+Prog_236[[#This Row],[SALDO]]+Prog_236[[#This Row],[MARGEM]]+Prog_236[[#This Row],[ESTADIA 1]])</f>
        <v>0</v>
      </c>
      <c r="AW10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3" s="81"/>
      <c r="AY1083" s="81"/>
      <c r="AZ1083" s="81">
        <f>Prog_236[[#This Row],[VLR NF]]*0.1%</f>
        <v>0</v>
      </c>
      <c r="BA1083" s="81">
        <f>Prog_236[[#This Row],[VLR NF]]*0.05%</f>
        <v>0</v>
      </c>
      <c r="BB1083" s="81"/>
      <c r="BC1083" s="81"/>
      <c r="BD1083" s="81"/>
      <c r="BE1083" s="81"/>
      <c r="BF1083" s="81"/>
      <c r="BG1083" s="81"/>
      <c r="BH1083" s="81"/>
      <c r="BI1083" s="81"/>
      <c r="BJ1083" s="81"/>
      <c r="BK1083" s="81"/>
      <c r="BL1083" s="66"/>
      <c r="BM1083" s="66"/>
      <c r="BN1083" s="66"/>
      <c r="BO1083" s="66" t="str">
        <f>PROPER(TEXT(Prog_236[[#This Row],[PROGRAMAÇÃO CLIENTE]],"mmm"))</f>
        <v>Jan</v>
      </c>
      <c r="BP1083" s="66">
        <f>YEAR(Prog_236[[#This Row],[PROGRAMAÇÃO CLIENTE]])</f>
        <v>1900</v>
      </c>
    </row>
    <row r="1084" spans="1:68" x14ac:dyDescent="0.25">
      <c r="A1084" s="201">
        <f>Prog_236[[#This Row],[CONTEINER]]</f>
        <v>0</v>
      </c>
      <c r="B1084" s="86"/>
      <c r="C10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4" s="44"/>
      <c r="E1084" s="66"/>
      <c r="F1084" s="66"/>
      <c r="G1084" s="66"/>
      <c r="H1084" s="44"/>
      <c r="I1084" s="44"/>
      <c r="J1084" s="66"/>
      <c r="K1084" s="66"/>
      <c r="L1084" s="66"/>
      <c r="M1084" s="66"/>
      <c r="N1084" s="66">
        <f>SUM(Prog_236[[#This Row],[TARA]]+Prog_236[[#This Row],[PESO]])</f>
        <v>0</v>
      </c>
      <c r="O1084" s="44"/>
      <c r="P1084" s="66"/>
      <c r="Q1084" s="66"/>
      <c r="R1084" s="66"/>
      <c r="S1084" s="66"/>
      <c r="T1084" s="138" t="str">
        <f>IFERROR(LOOKUP($S1084,MOTORISTAS!$D$3:$D$1048576,MOTORISTAS!E$3:$E$1048576),"")</f>
        <v/>
      </c>
      <c r="U1084" s="138" t="str">
        <f>IFERROR(LOOKUP($S1084,MOTORISTAS!$D$3:$D$1048576,MOTORISTAS!F$3:$F$1048576),"")</f>
        <v/>
      </c>
      <c r="V1084" s="66"/>
      <c r="W1084" s="66"/>
      <c r="X1084" s="66"/>
      <c r="Y1084" s="66"/>
      <c r="Z1084" s="66"/>
      <c r="AA1084" s="66"/>
      <c r="AB1084" s="66"/>
      <c r="AC1084" s="66"/>
      <c r="AD1084" s="66"/>
      <c r="AE1084" s="66"/>
      <c r="AF1084" s="44"/>
      <c r="AG1084" s="254">
        <f>Prog_236[[#This Row],[SAÍDA DO CLIENTE]]-Prog_236[[#This Row],[PROGRAMAÇÃO CLIENTE]]</f>
        <v>0</v>
      </c>
      <c r="AH1084" s="44"/>
      <c r="AI1084" s="66"/>
      <c r="AJ1084" s="66"/>
      <c r="AK1084" s="66"/>
      <c r="AL1084" s="66"/>
      <c r="AM1084" s="66"/>
      <c r="AN1084" s="83"/>
      <c r="AO1084" s="66"/>
      <c r="AP1084" s="66"/>
      <c r="AQ1084" s="66"/>
      <c r="AR1084" s="81"/>
      <c r="AS1084" s="81"/>
      <c r="AT1084" s="81"/>
      <c r="AU1084" s="81"/>
      <c r="AV1084" s="83">
        <f>SUM(Prog_236[[#This Row],[ADIANTAMENTO]]+Prog_236[[#This Row],[SALDO]]+Prog_236[[#This Row],[MARGEM]]+Prog_236[[#This Row],[ESTADIA 1]])</f>
        <v>0</v>
      </c>
      <c r="AW10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4" s="81"/>
      <c r="AY1084" s="81"/>
      <c r="AZ1084" s="81">
        <f>Prog_236[[#This Row],[VLR NF]]*0.1%</f>
        <v>0</v>
      </c>
      <c r="BA1084" s="81">
        <f>Prog_236[[#This Row],[VLR NF]]*0.05%</f>
        <v>0</v>
      </c>
      <c r="BB1084" s="81"/>
      <c r="BC1084" s="81"/>
      <c r="BD1084" s="81"/>
      <c r="BE1084" s="81"/>
      <c r="BF1084" s="81"/>
      <c r="BG1084" s="81"/>
      <c r="BH1084" s="81"/>
      <c r="BI1084" s="81"/>
      <c r="BJ1084" s="81"/>
      <c r="BK1084" s="81"/>
      <c r="BL1084" s="66"/>
      <c r="BM1084" s="66"/>
      <c r="BN1084" s="66"/>
      <c r="BO1084" s="66" t="str">
        <f>PROPER(TEXT(Prog_236[[#This Row],[PROGRAMAÇÃO CLIENTE]],"mmm"))</f>
        <v>Jan</v>
      </c>
      <c r="BP1084" s="66">
        <f>YEAR(Prog_236[[#This Row],[PROGRAMAÇÃO CLIENTE]])</f>
        <v>1900</v>
      </c>
    </row>
    <row r="1085" spans="1:68" x14ac:dyDescent="0.25">
      <c r="A1085" s="200">
        <f>Prog_236[[#This Row],[CONTEINER]]</f>
        <v>0</v>
      </c>
      <c r="B1085" s="86"/>
      <c r="C10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5" s="44"/>
      <c r="E1085" s="66"/>
      <c r="F1085" s="66"/>
      <c r="G1085" s="66"/>
      <c r="H1085" s="44"/>
      <c r="I1085" s="44"/>
      <c r="J1085" s="66"/>
      <c r="K1085" s="66"/>
      <c r="L1085" s="66"/>
      <c r="M1085" s="66"/>
      <c r="N1085" s="66">
        <f>SUM(Prog_236[[#This Row],[TARA]]+Prog_236[[#This Row],[PESO]])</f>
        <v>0</v>
      </c>
      <c r="O1085" s="44"/>
      <c r="P1085" s="66"/>
      <c r="Q1085" s="66"/>
      <c r="R1085" s="66"/>
      <c r="S1085" s="66"/>
      <c r="T1085" s="138" t="str">
        <f>IFERROR(LOOKUP($S1085,MOTORISTAS!$D$3:$D$1048576,MOTORISTAS!E$3:$E$1048576),"")</f>
        <v/>
      </c>
      <c r="U1085" s="138" t="str">
        <f>IFERROR(LOOKUP($S1085,MOTORISTAS!$D$3:$D$1048576,MOTORISTAS!F$3:$F$1048576),"")</f>
        <v/>
      </c>
      <c r="V1085" s="66"/>
      <c r="W1085" s="66"/>
      <c r="X1085" s="66"/>
      <c r="Y1085" s="66"/>
      <c r="Z1085" s="66"/>
      <c r="AA1085" s="66"/>
      <c r="AB1085" s="66"/>
      <c r="AC1085" s="66"/>
      <c r="AD1085" s="66"/>
      <c r="AE1085" s="66"/>
      <c r="AF1085" s="44"/>
      <c r="AG1085" s="254">
        <f>Prog_236[[#This Row],[SAÍDA DO CLIENTE]]-Prog_236[[#This Row],[PROGRAMAÇÃO CLIENTE]]</f>
        <v>0</v>
      </c>
      <c r="AH1085" s="44"/>
      <c r="AI1085" s="66"/>
      <c r="AJ1085" s="66"/>
      <c r="AK1085" s="66"/>
      <c r="AL1085" s="66"/>
      <c r="AM1085" s="66"/>
      <c r="AN1085" s="83"/>
      <c r="AO1085" s="66"/>
      <c r="AP1085" s="66"/>
      <c r="AQ1085" s="66"/>
      <c r="AR1085" s="81"/>
      <c r="AS1085" s="81"/>
      <c r="AT1085" s="81"/>
      <c r="AU1085" s="81"/>
      <c r="AV1085" s="83">
        <f>SUM(Prog_236[[#This Row],[ADIANTAMENTO]]+Prog_236[[#This Row],[SALDO]]+Prog_236[[#This Row],[MARGEM]]+Prog_236[[#This Row],[ESTADIA 1]])</f>
        <v>0</v>
      </c>
      <c r="AW10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5" s="81"/>
      <c r="AY1085" s="81"/>
      <c r="AZ1085" s="81">
        <f>Prog_236[[#This Row],[VLR NF]]*0.1%</f>
        <v>0</v>
      </c>
      <c r="BA1085" s="81">
        <f>Prog_236[[#This Row],[VLR NF]]*0.05%</f>
        <v>0</v>
      </c>
      <c r="BB1085" s="81"/>
      <c r="BC1085" s="81"/>
      <c r="BD1085" s="81"/>
      <c r="BE1085" s="81"/>
      <c r="BF1085" s="81"/>
      <c r="BG1085" s="81"/>
      <c r="BH1085" s="81"/>
      <c r="BI1085" s="81"/>
      <c r="BJ1085" s="81"/>
      <c r="BK1085" s="81"/>
      <c r="BL1085" s="66"/>
      <c r="BM1085" s="66"/>
      <c r="BN1085" s="66"/>
      <c r="BO1085" s="66" t="str">
        <f>PROPER(TEXT(Prog_236[[#This Row],[PROGRAMAÇÃO CLIENTE]],"mmm"))</f>
        <v>Jan</v>
      </c>
      <c r="BP1085" s="66">
        <f>YEAR(Prog_236[[#This Row],[PROGRAMAÇÃO CLIENTE]])</f>
        <v>1900</v>
      </c>
    </row>
    <row r="1086" spans="1:68" x14ac:dyDescent="0.25">
      <c r="A1086" s="201">
        <f>Prog_236[[#This Row],[CONTEINER]]</f>
        <v>0</v>
      </c>
      <c r="B1086" s="86"/>
      <c r="C10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6" s="44"/>
      <c r="E1086" s="66"/>
      <c r="F1086" s="66"/>
      <c r="G1086" s="66"/>
      <c r="H1086" s="44"/>
      <c r="I1086" s="44"/>
      <c r="J1086" s="66"/>
      <c r="K1086" s="66"/>
      <c r="L1086" s="66"/>
      <c r="M1086" s="66"/>
      <c r="N1086" s="66">
        <f>SUM(Prog_236[[#This Row],[TARA]]+Prog_236[[#This Row],[PESO]])</f>
        <v>0</v>
      </c>
      <c r="O1086" s="44"/>
      <c r="P1086" s="66"/>
      <c r="Q1086" s="66"/>
      <c r="R1086" s="66"/>
      <c r="S1086" s="66"/>
      <c r="T1086" s="138" t="str">
        <f>IFERROR(LOOKUP($S1086,MOTORISTAS!$D$3:$D$1048576,MOTORISTAS!E$3:$E$1048576),"")</f>
        <v/>
      </c>
      <c r="U1086" s="138" t="str">
        <f>IFERROR(LOOKUP($S1086,MOTORISTAS!$D$3:$D$1048576,MOTORISTAS!F$3:$F$1048576),"")</f>
        <v/>
      </c>
      <c r="V1086" s="66"/>
      <c r="W1086" s="66"/>
      <c r="X1086" s="66"/>
      <c r="Y1086" s="66"/>
      <c r="Z1086" s="66"/>
      <c r="AA1086" s="66"/>
      <c r="AB1086" s="66"/>
      <c r="AC1086" s="66"/>
      <c r="AD1086" s="66"/>
      <c r="AE1086" s="66"/>
      <c r="AF1086" s="44"/>
      <c r="AG1086" s="254">
        <f>Prog_236[[#This Row],[SAÍDA DO CLIENTE]]-Prog_236[[#This Row],[PROGRAMAÇÃO CLIENTE]]</f>
        <v>0</v>
      </c>
      <c r="AH1086" s="44"/>
      <c r="AI1086" s="66"/>
      <c r="AJ1086" s="66"/>
      <c r="AK1086" s="66"/>
      <c r="AL1086" s="66"/>
      <c r="AM1086" s="66"/>
      <c r="AN1086" s="83"/>
      <c r="AO1086" s="66"/>
      <c r="AP1086" s="66"/>
      <c r="AQ1086" s="66"/>
      <c r="AR1086" s="81"/>
      <c r="AS1086" s="81"/>
      <c r="AT1086" s="81"/>
      <c r="AU1086" s="81"/>
      <c r="AV1086" s="83">
        <f>SUM(Prog_236[[#This Row],[ADIANTAMENTO]]+Prog_236[[#This Row],[SALDO]]+Prog_236[[#This Row],[MARGEM]]+Prog_236[[#This Row],[ESTADIA 1]])</f>
        <v>0</v>
      </c>
      <c r="AW10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6" s="81"/>
      <c r="AY1086" s="81"/>
      <c r="AZ1086" s="81">
        <f>Prog_236[[#This Row],[VLR NF]]*0.1%</f>
        <v>0</v>
      </c>
      <c r="BA1086" s="81">
        <f>Prog_236[[#This Row],[VLR NF]]*0.05%</f>
        <v>0</v>
      </c>
      <c r="BB1086" s="81"/>
      <c r="BC1086" s="81"/>
      <c r="BD1086" s="81"/>
      <c r="BE1086" s="81"/>
      <c r="BF1086" s="81"/>
      <c r="BG1086" s="81"/>
      <c r="BH1086" s="81"/>
      <c r="BI1086" s="81"/>
      <c r="BJ1086" s="81"/>
      <c r="BK1086" s="81"/>
      <c r="BL1086" s="66"/>
      <c r="BM1086" s="66"/>
      <c r="BN1086" s="66"/>
      <c r="BO1086" s="66" t="str">
        <f>PROPER(TEXT(Prog_236[[#This Row],[PROGRAMAÇÃO CLIENTE]],"mmm"))</f>
        <v>Jan</v>
      </c>
      <c r="BP1086" s="66">
        <f>YEAR(Prog_236[[#This Row],[PROGRAMAÇÃO CLIENTE]])</f>
        <v>1900</v>
      </c>
    </row>
    <row r="1087" spans="1:68" x14ac:dyDescent="0.25">
      <c r="A1087" s="200">
        <f>Prog_236[[#This Row],[CONTEINER]]</f>
        <v>0</v>
      </c>
      <c r="B1087" s="86"/>
      <c r="C10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7" s="44"/>
      <c r="E1087" s="66"/>
      <c r="F1087" s="66"/>
      <c r="G1087" s="66"/>
      <c r="H1087" s="44"/>
      <c r="I1087" s="44"/>
      <c r="J1087" s="66"/>
      <c r="K1087" s="66"/>
      <c r="L1087" s="66"/>
      <c r="M1087" s="66"/>
      <c r="N1087" s="66">
        <f>SUM(Prog_236[[#This Row],[TARA]]+Prog_236[[#This Row],[PESO]])</f>
        <v>0</v>
      </c>
      <c r="O1087" s="44"/>
      <c r="P1087" s="66"/>
      <c r="Q1087" s="66"/>
      <c r="R1087" s="66"/>
      <c r="S1087" s="66"/>
      <c r="T1087" s="138" t="str">
        <f>IFERROR(LOOKUP($S1087,MOTORISTAS!$D$3:$D$1048576,MOTORISTAS!E$3:$E$1048576),"")</f>
        <v/>
      </c>
      <c r="U1087" s="138" t="str">
        <f>IFERROR(LOOKUP($S1087,MOTORISTAS!$D$3:$D$1048576,MOTORISTAS!F$3:$F$1048576),"")</f>
        <v/>
      </c>
      <c r="V1087" s="66"/>
      <c r="W1087" s="66"/>
      <c r="X1087" s="66"/>
      <c r="Y1087" s="66"/>
      <c r="Z1087" s="66"/>
      <c r="AA1087" s="66"/>
      <c r="AB1087" s="66"/>
      <c r="AC1087" s="66"/>
      <c r="AD1087" s="66"/>
      <c r="AE1087" s="66"/>
      <c r="AF1087" s="44"/>
      <c r="AG1087" s="254">
        <f>Prog_236[[#This Row],[SAÍDA DO CLIENTE]]-Prog_236[[#This Row],[PROGRAMAÇÃO CLIENTE]]</f>
        <v>0</v>
      </c>
      <c r="AH1087" s="44"/>
      <c r="AI1087" s="66"/>
      <c r="AJ1087" s="66"/>
      <c r="AK1087" s="66"/>
      <c r="AL1087" s="66"/>
      <c r="AM1087" s="66"/>
      <c r="AN1087" s="83"/>
      <c r="AO1087" s="66"/>
      <c r="AP1087" s="66"/>
      <c r="AQ1087" s="66"/>
      <c r="AR1087" s="81"/>
      <c r="AS1087" s="81"/>
      <c r="AT1087" s="81"/>
      <c r="AU1087" s="81"/>
      <c r="AV1087" s="83">
        <f>SUM(Prog_236[[#This Row],[ADIANTAMENTO]]+Prog_236[[#This Row],[SALDO]]+Prog_236[[#This Row],[MARGEM]]+Prog_236[[#This Row],[ESTADIA 1]])</f>
        <v>0</v>
      </c>
      <c r="AW10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7" s="81"/>
      <c r="AY1087" s="81"/>
      <c r="AZ1087" s="81">
        <f>Prog_236[[#This Row],[VLR NF]]*0.1%</f>
        <v>0</v>
      </c>
      <c r="BA1087" s="81">
        <f>Prog_236[[#This Row],[VLR NF]]*0.05%</f>
        <v>0</v>
      </c>
      <c r="BB1087" s="81"/>
      <c r="BC1087" s="81"/>
      <c r="BD1087" s="81"/>
      <c r="BE1087" s="81"/>
      <c r="BF1087" s="81"/>
      <c r="BG1087" s="81"/>
      <c r="BH1087" s="81"/>
      <c r="BI1087" s="81"/>
      <c r="BJ1087" s="81"/>
      <c r="BK1087" s="81"/>
      <c r="BL1087" s="66"/>
      <c r="BM1087" s="66"/>
      <c r="BN1087" s="66"/>
      <c r="BO1087" s="66" t="str">
        <f>PROPER(TEXT(Prog_236[[#This Row],[PROGRAMAÇÃO CLIENTE]],"mmm"))</f>
        <v>Jan</v>
      </c>
      <c r="BP1087" s="66">
        <f>YEAR(Prog_236[[#This Row],[PROGRAMAÇÃO CLIENTE]])</f>
        <v>1900</v>
      </c>
    </row>
    <row r="1088" spans="1:68" x14ac:dyDescent="0.25">
      <c r="A1088" s="201">
        <f>Prog_236[[#This Row],[CONTEINER]]</f>
        <v>0</v>
      </c>
      <c r="B1088" s="86"/>
      <c r="C10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8" s="44"/>
      <c r="E1088" s="66"/>
      <c r="F1088" s="66"/>
      <c r="G1088" s="66"/>
      <c r="H1088" s="44"/>
      <c r="I1088" s="44"/>
      <c r="J1088" s="66"/>
      <c r="K1088" s="66"/>
      <c r="L1088" s="66"/>
      <c r="M1088" s="66"/>
      <c r="N1088" s="66">
        <f>SUM(Prog_236[[#This Row],[TARA]]+Prog_236[[#This Row],[PESO]])</f>
        <v>0</v>
      </c>
      <c r="O1088" s="44"/>
      <c r="P1088" s="66"/>
      <c r="Q1088" s="66"/>
      <c r="R1088" s="66"/>
      <c r="S1088" s="66"/>
      <c r="T1088" s="138" t="str">
        <f>IFERROR(LOOKUP($S1088,MOTORISTAS!$D$3:$D$1048576,MOTORISTAS!E$3:$E$1048576),"")</f>
        <v/>
      </c>
      <c r="U1088" s="138" t="str">
        <f>IFERROR(LOOKUP($S1088,MOTORISTAS!$D$3:$D$1048576,MOTORISTAS!F$3:$F$1048576),"")</f>
        <v/>
      </c>
      <c r="V1088" s="66"/>
      <c r="W1088" s="66"/>
      <c r="X1088" s="66"/>
      <c r="Y1088" s="66"/>
      <c r="Z1088" s="66"/>
      <c r="AA1088" s="66"/>
      <c r="AB1088" s="66"/>
      <c r="AC1088" s="66"/>
      <c r="AD1088" s="66"/>
      <c r="AE1088" s="66"/>
      <c r="AF1088" s="44"/>
      <c r="AG1088" s="254">
        <f>Prog_236[[#This Row],[SAÍDA DO CLIENTE]]-Prog_236[[#This Row],[PROGRAMAÇÃO CLIENTE]]</f>
        <v>0</v>
      </c>
      <c r="AH1088" s="44"/>
      <c r="AI1088" s="66"/>
      <c r="AJ1088" s="66"/>
      <c r="AK1088" s="66"/>
      <c r="AL1088" s="66"/>
      <c r="AM1088" s="66"/>
      <c r="AN1088" s="83"/>
      <c r="AO1088" s="66"/>
      <c r="AP1088" s="66"/>
      <c r="AQ1088" s="66"/>
      <c r="AR1088" s="81"/>
      <c r="AS1088" s="81"/>
      <c r="AT1088" s="81"/>
      <c r="AU1088" s="81"/>
      <c r="AV1088" s="83">
        <f>SUM(Prog_236[[#This Row],[ADIANTAMENTO]]+Prog_236[[#This Row],[SALDO]]+Prog_236[[#This Row],[MARGEM]]+Prog_236[[#This Row],[ESTADIA 1]])</f>
        <v>0</v>
      </c>
      <c r="AW10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8" s="81"/>
      <c r="AY1088" s="81"/>
      <c r="AZ1088" s="81">
        <f>Prog_236[[#This Row],[VLR NF]]*0.1%</f>
        <v>0</v>
      </c>
      <c r="BA1088" s="81">
        <f>Prog_236[[#This Row],[VLR NF]]*0.05%</f>
        <v>0</v>
      </c>
      <c r="BB1088" s="81"/>
      <c r="BC1088" s="81"/>
      <c r="BD1088" s="81"/>
      <c r="BE1088" s="81"/>
      <c r="BF1088" s="81"/>
      <c r="BG1088" s="81"/>
      <c r="BH1088" s="81"/>
      <c r="BI1088" s="81"/>
      <c r="BJ1088" s="81"/>
      <c r="BK1088" s="81"/>
      <c r="BL1088" s="66"/>
      <c r="BM1088" s="66"/>
      <c r="BN1088" s="66"/>
      <c r="BO1088" s="66" t="str">
        <f>PROPER(TEXT(Prog_236[[#This Row],[PROGRAMAÇÃO CLIENTE]],"mmm"))</f>
        <v>Jan</v>
      </c>
      <c r="BP1088" s="66">
        <f>YEAR(Prog_236[[#This Row],[PROGRAMAÇÃO CLIENTE]])</f>
        <v>1900</v>
      </c>
    </row>
    <row r="1089" spans="1:68" x14ac:dyDescent="0.25">
      <c r="A1089" s="200">
        <f>Prog_236[[#This Row],[CONTEINER]]</f>
        <v>0</v>
      </c>
      <c r="B1089" s="86"/>
      <c r="C10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89" s="44"/>
      <c r="E1089" s="66"/>
      <c r="F1089" s="66"/>
      <c r="G1089" s="66"/>
      <c r="H1089" s="44"/>
      <c r="I1089" s="44"/>
      <c r="J1089" s="66"/>
      <c r="K1089" s="66"/>
      <c r="L1089" s="66"/>
      <c r="M1089" s="66"/>
      <c r="N1089" s="66">
        <f>SUM(Prog_236[[#This Row],[TARA]]+Prog_236[[#This Row],[PESO]])</f>
        <v>0</v>
      </c>
      <c r="O1089" s="44"/>
      <c r="P1089" s="66"/>
      <c r="Q1089" s="66"/>
      <c r="R1089" s="66"/>
      <c r="S1089" s="66"/>
      <c r="T1089" s="138" t="str">
        <f>IFERROR(LOOKUP($S1089,MOTORISTAS!$D$3:$D$1048576,MOTORISTAS!E$3:$E$1048576),"")</f>
        <v/>
      </c>
      <c r="U1089" s="138" t="str">
        <f>IFERROR(LOOKUP($S1089,MOTORISTAS!$D$3:$D$1048576,MOTORISTAS!F$3:$F$1048576),"")</f>
        <v/>
      </c>
      <c r="V1089" s="66"/>
      <c r="W1089" s="66"/>
      <c r="X1089" s="66"/>
      <c r="Y1089" s="66"/>
      <c r="Z1089" s="66"/>
      <c r="AA1089" s="66"/>
      <c r="AB1089" s="66"/>
      <c r="AC1089" s="66"/>
      <c r="AD1089" s="66"/>
      <c r="AE1089" s="66"/>
      <c r="AF1089" s="44"/>
      <c r="AG1089" s="254">
        <f>Prog_236[[#This Row],[SAÍDA DO CLIENTE]]-Prog_236[[#This Row],[PROGRAMAÇÃO CLIENTE]]</f>
        <v>0</v>
      </c>
      <c r="AH1089" s="44"/>
      <c r="AI1089" s="66"/>
      <c r="AJ1089" s="66"/>
      <c r="AK1089" s="66"/>
      <c r="AL1089" s="66"/>
      <c r="AM1089" s="66"/>
      <c r="AN1089" s="83"/>
      <c r="AO1089" s="66"/>
      <c r="AP1089" s="66"/>
      <c r="AQ1089" s="66"/>
      <c r="AR1089" s="81"/>
      <c r="AS1089" s="81"/>
      <c r="AT1089" s="81"/>
      <c r="AU1089" s="81"/>
      <c r="AV1089" s="83">
        <f>SUM(Prog_236[[#This Row],[ADIANTAMENTO]]+Prog_236[[#This Row],[SALDO]]+Prog_236[[#This Row],[MARGEM]]+Prog_236[[#This Row],[ESTADIA 1]])</f>
        <v>0</v>
      </c>
      <c r="AW10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89" s="81"/>
      <c r="AY1089" s="81"/>
      <c r="AZ1089" s="81">
        <f>Prog_236[[#This Row],[VLR NF]]*0.1%</f>
        <v>0</v>
      </c>
      <c r="BA1089" s="81">
        <f>Prog_236[[#This Row],[VLR NF]]*0.05%</f>
        <v>0</v>
      </c>
      <c r="BB1089" s="81"/>
      <c r="BC1089" s="81"/>
      <c r="BD1089" s="81"/>
      <c r="BE1089" s="81"/>
      <c r="BF1089" s="81"/>
      <c r="BG1089" s="81"/>
      <c r="BH1089" s="81"/>
      <c r="BI1089" s="81"/>
      <c r="BJ1089" s="81"/>
      <c r="BK1089" s="81"/>
      <c r="BL1089" s="66"/>
      <c r="BM1089" s="66"/>
      <c r="BN1089" s="66"/>
      <c r="BO1089" s="66" t="str">
        <f>PROPER(TEXT(Prog_236[[#This Row],[PROGRAMAÇÃO CLIENTE]],"mmm"))</f>
        <v>Jan</v>
      </c>
      <c r="BP1089" s="66">
        <f>YEAR(Prog_236[[#This Row],[PROGRAMAÇÃO CLIENTE]])</f>
        <v>1900</v>
      </c>
    </row>
    <row r="1090" spans="1:68" x14ac:dyDescent="0.25">
      <c r="A1090" s="201">
        <f>Prog_236[[#This Row],[CONTEINER]]</f>
        <v>0</v>
      </c>
      <c r="B1090" s="86"/>
      <c r="C10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0" s="44"/>
      <c r="E1090" s="66"/>
      <c r="F1090" s="66"/>
      <c r="G1090" s="66"/>
      <c r="H1090" s="44"/>
      <c r="I1090" s="44"/>
      <c r="J1090" s="66"/>
      <c r="K1090" s="66"/>
      <c r="L1090" s="66"/>
      <c r="M1090" s="66"/>
      <c r="N1090" s="66">
        <f>SUM(Prog_236[[#This Row],[TARA]]+Prog_236[[#This Row],[PESO]])</f>
        <v>0</v>
      </c>
      <c r="O1090" s="44"/>
      <c r="P1090" s="66"/>
      <c r="Q1090" s="66"/>
      <c r="R1090" s="66"/>
      <c r="S1090" s="66"/>
      <c r="T1090" s="138" t="str">
        <f>IFERROR(LOOKUP($S1090,MOTORISTAS!$D$3:$D$1048576,MOTORISTAS!E$3:$E$1048576),"")</f>
        <v/>
      </c>
      <c r="U1090" s="138" t="str">
        <f>IFERROR(LOOKUP($S1090,MOTORISTAS!$D$3:$D$1048576,MOTORISTAS!F$3:$F$1048576),"")</f>
        <v/>
      </c>
      <c r="V1090" s="66"/>
      <c r="W1090" s="66"/>
      <c r="X1090" s="66"/>
      <c r="Y1090" s="66"/>
      <c r="Z1090" s="66"/>
      <c r="AA1090" s="66"/>
      <c r="AB1090" s="66"/>
      <c r="AC1090" s="66"/>
      <c r="AD1090" s="66"/>
      <c r="AE1090" s="66"/>
      <c r="AF1090" s="44"/>
      <c r="AG1090" s="254">
        <f>Prog_236[[#This Row],[SAÍDA DO CLIENTE]]-Prog_236[[#This Row],[PROGRAMAÇÃO CLIENTE]]</f>
        <v>0</v>
      </c>
      <c r="AH1090" s="44"/>
      <c r="AI1090" s="66"/>
      <c r="AJ1090" s="66"/>
      <c r="AK1090" s="66"/>
      <c r="AL1090" s="66"/>
      <c r="AM1090" s="66"/>
      <c r="AN1090" s="83"/>
      <c r="AO1090" s="66"/>
      <c r="AP1090" s="66"/>
      <c r="AQ1090" s="66"/>
      <c r="AR1090" s="81"/>
      <c r="AS1090" s="81"/>
      <c r="AT1090" s="81"/>
      <c r="AU1090" s="81"/>
      <c r="AV1090" s="83">
        <f>SUM(Prog_236[[#This Row],[ADIANTAMENTO]]+Prog_236[[#This Row],[SALDO]]+Prog_236[[#This Row],[MARGEM]]+Prog_236[[#This Row],[ESTADIA 1]])</f>
        <v>0</v>
      </c>
      <c r="AW10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0" s="81"/>
      <c r="AY1090" s="81"/>
      <c r="AZ1090" s="81">
        <f>Prog_236[[#This Row],[VLR NF]]*0.1%</f>
        <v>0</v>
      </c>
      <c r="BA1090" s="81">
        <f>Prog_236[[#This Row],[VLR NF]]*0.05%</f>
        <v>0</v>
      </c>
      <c r="BB1090" s="81"/>
      <c r="BC1090" s="81"/>
      <c r="BD1090" s="81"/>
      <c r="BE1090" s="81"/>
      <c r="BF1090" s="81"/>
      <c r="BG1090" s="81"/>
      <c r="BH1090" s="81"/>
      <c r="BI1090" s="81"/>
      <c r="BJ1090" s="81"/>
      <c r="BK1090" s="81"/>
      <c r="BL1090" s="66"/>
      <c r="BM1090" s="66"/>
      <c r="BN1090" s="66"/>
      <c r="BO1090" s="66" t="str">
        <f>PROPER(TEXT(Prog_236[[#This Row],[PROGRAMAÇÃO CLIENTE]],"mmm"))</f>
        <v>Jan</v>
      </c>
      <c r="BP1090" s="66">
        <f>YEAR(Prog_236[[#This Row],[PROGRAMAÇÃO CLIENTE]])</f>
        <v>1900</v>
      </c>
    </row>
    <row r="1091" spans="1:68" x14ac:dyDescent="0.25">
      <c r="A1091" s="200">
        <f>Prog_236[[#This Row],[CONTEINER]]</f>
        <v>0</v>
      </c>
      <c r="B1091" s="86"/>
      <c r="C10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1" s="44"/>
      <c r="E1091" s="66"/>
      <c r="F1091" s="66"/>
      <c r="G1091" s="66"/>
      <c r="H1091" s="44"/>
      <c r="I1091" s="44"/>
      <c r="J1091" s="66"/>
      <c r="K1091" s="66"/>
      <c r="L1091" s="66"/>
      <c r="M1091" s="66"/>
      <c r="N1091" s="66">
        <f>SUM(Prog_236[[#This Row],[TARA]]+Prog_236[[#This Row],[PESO]])</f>
        <v>0</v>
      </c>
      <c r="O1091" s="44"/>
      <c r="P1091" s="66"/>
      <c r="Q1091" s="66"/>
      <c r="R1091" s="66"/>
      <c r="S1091" s="66"/>
      <c r="T1091" s="138" t="str">
        <f>IFERROR(LOOKUP($S1091,MOTORISTAS!$D$3:$D$1048576,MOTORISTAS!E$3:$E$1048576),"")</f>
        <v/>
      </c>
      <c r="U1091" s="138" t="str">
        <f>IFERROR(LOOKUP($S1091,MOTORISTAS!$D$3:$D$1048576,MOTORISTAS!F$3:$F$1048576),"")</f>
        <v/>
      </c>
      <c r="V1091" s="66"/>
      <c r="W1091" s="66"/>
      <c r="X1091" s="66"/>
      <c r="Y1091" s="66"/>
      <c r="Z1091" s="66"/>
      <c r="AA1091" s="66"/>
      <c r="AB1091" s="66"/>
      <c r="AC1091" s="66"/>
      <c r="AD1091" s="66"/>
      <c r="AE1091" s="66"/>
      <c r="AF1091" s="44"/>
      <c r="AG1091" s="254">
        <f>Prog_236[[#This Row],[SAÍDA DO CLIENTE]]-Prog_236[[#This Row],[PROGRAMAÇÃO CLIENTE]]</f>
        <v>0</v>
      </c>
      <c r="AH1091" s="44"/>
      <c r="AI1091" s="66"/>
      <c r="AJ1091" s="66"/>
      <c r="AK1091" s="66"/>
      <c r="AL1091" s="66"/>
      <c r="AM1091" s="66"/>
      <c r="AN1091" s="83"/>
      <c r="AO1091" s="66"/>
      <c r="AP1091" s="66"/>
      <c r="AQ1091" s="66"/>
      <c r="AR1091" s="81"/>
      <c r="AS1091" s="81"/>
      <c r="AT1091" s="81"/>
      <c r="AU1091" s="81"/>
      <c r="AV1091" s="83">
        <f>SUM(Prog_236[[#This Row],[ADIANTAMENTO]]+Prog_236[[#This Row],[SALDO]]+Prog_236[[#This Row],[MARGEM]]+Prog_236[[#This Row],[ESTADIA 1]])</f>
        <v>0</v>
      </c>
      <c r="AW10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1" s="81"/>
      <c r="AY1091" s="81"/>
      <c r="AZ1091" s="81">
        <f>Prog_236[[#This Row],[VLR NF]]*0.1%</f>
        <v>0</v>
      </c>
      <c r="BA1091" s="81">
        <f>Prog_236[[#This Row],[VLR NF]]*0.05%</f>
        <v>0</v>
      </c>
      <c r="BB1091" s="81"/>
      <c r="BC1091" s="81"/>
      <c r="BD1091" s="81"/>
      <c r="BE1091" s="81"/>
      <c r="BF1091" s="81"/>
      <c r="BG1091" s="81"/>
      <c r="BH1091" s="81"/>
      <c r="BI1091" s="81"/>
      <c r="BJ1091" s="81"/>
      <c r="BK1091" s="81"/>
      <c r="BL1091" s="66"/>
      <c r="BM1091" s="66"/>
      <c r="BN1091" s="66"/>
      <c r="BO1091" s="66" t="str">
        <f>PROPER(TEXT(Prog_236[[#This Row],[PROGRAMAÇÃO CLIENTE]],"mmm"))</f>
        <v>Jan</v>
      </c>
      <c r="BP1091" s="66">
        <f>YEAR(Prog_236[[#This Row],[PROGRAMAÇÃO CLIENTE]])</f>
        <v>1900</v>
      </c>
    </row>
    <row r="1092" spans="1:68" x14ac:dyDescent="0.25">
      <c r="A1092" s="201">
        <f>Prog_236[[#This Row],[CONTEINER]]</f>
        <v>0</v>
      </c>
      <c r="B1092" s="86"/>
      <c r="C10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2" s="44"/>
      <c r="E1092" s="66"/>
      <c r="F1092" s="66"/>
      <c r="G1092" s="66"/>
      <c r="H1092" s="44"/>
      <c r="I1092" s="44"/>
      <c r="J1092" s="66"/>
      <c r="K1092" s="66"/>
      <c r="L1092" s="66"/>
      <c r="M1092" s="66"/>
      <c r="N1092" s="66">
        <f>SUM(Prog_236[[#This Row],[TARA]]+Prog_236[[#This Row],[PESO]])</f>
        <v>0</v>
      </c>
      <c r="O1092" s="44"/>
      <c r="P1092" s="66"/>
      <c r="Q1092" s="66"/>
      <c r="R1092" s="66"/>
      <c r="S1092" s="66"/>
      <c r="T1092" s="138" t="str">
        <f>IFERROR(LOOKUP($S1092,MOTORISTAS!$D$3:$D$1048576,MOTORISTAS!E$3:$E$1048576),"")</f>
        <v/>
      </c>
      <c r="U1092" s="138" t="str">
        <f>IFERROR(LOOKUP($S1092,MOTORISTAS!$D$3:$D$1048576,MOTORISTAS!F$3:$F$1048576),"")</f>
        <v/>
      </c>
      <c r="V1092" s="66"/>
      <c r="W1092" s="66"/>
      <c r="X1092" s="66"/>
      <c r="Y1092" s="66"/>
      <c r="Z1092" s="66"/>
      <c r="AA1092" s="66"/>
      <c r="AB1092" s="66"/>
      <c r="AC1092" s="66"/>
      <c r="AD1092" s="66"/>
      <c r="AE1092" s="66"/>
      <c r="AF1092" s="44"/>
      <c r="AG1092" s="254">
        <f>Prog_236[[#This Row],[SAÍDA DO CLIENTE]]-Prog_236[[#This Row],[PROGRAMAÇÃO CLIENTE]]</f>
        <v>0</v>
      </c>
      <c r="AH1092" s="44"/>
      <c r="AI1092" s="66"/>
      <c r="AJ1092" s="66"/>
      <c r="AK1092" s="66"/>
      <c r="AL1092" s="66"/>
      <c r="AM1092" s="66"/>
      <c r="AN1092" s="83"/>
      <c r="AO1092" s="66"/>
      <c r="AP1092" s="66"/>
      <c r="AQ1092" s="66"/>
      <c r="AR1092" s="81"/>
      <c r="AS1092" s="81"/>
      <c r="AT1092" s="81"/>
      <c r="AU1092" s="81"/>
      <c r="AV1092" s="83">
        <f>SUM(Prog_236[[#This Row],[ADIANTAMENTO]]+Prog_236[[#This Row],[SALDO]]+Prog_236[[#This Row],[MARGEM]]+Prog_236[[#This Row],[ESTADIA 1]])</f>
        <v>0</v>
      </c>
      <c r="AW10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2" s="81"/>
      <c r="AY1092" s="81"/>
      <c r="AZ1092" s="81">
        <f>Prog_236[[#This Row],[VLR NF]]*0.1%</f>
        <v>0</v>
      </c>
      <c r="BA1092" s="81">
        <f>Prog_236[[#This Row],[VLR NF]]*0.05%</f>
        <v>0</v>
      </c>
      <c r="BB1092" s="81"/>
      <c r="BC1092" s="81"/>
      <c r="BD1092" s="81"/>
      <c r="BE1092" s="81"/>
      <c r="BF1092" s="81"/>
      <c r="BG1092" s="81"/>
      <c r="BH1092" s="81"/>
      <c r="BI1092" s="81"/>
      <c r="BJ1092" s="81"/>
      <c r="BK1092" s="81"/>
      <c r="BL1092" s="66"/>
      <c r="BM1092" s="66"/>
      <c r="BN1092" s="66"/>
      <c r="BO1092" s="66" t="str">
        <f>PROPER(TEXT(Prog_236[[#This Row],[PROGRAMAÇÃO CLIENTE]],"mmm"))</f>
        <v>Jan</v>
      </c>
      <c r="BP1092" s="66">
        <f>YEAR(Prog_236[[#This Row],[PROGRAMAÇÃO CLIENTE]])</f>
        <v>1900</v>
      </c>
    </row>
    <row r="1093" spans="1:68" x14ac:dyDescent="0.25">
      <c r="A1093" s="200">
        <f>Prog_236[[#This Row],[CONTEINER]]</f>
        <v>0</v>
      </c>
      <c r="B1093" s="86"/>
      <c r="C10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3" s="44"/>
      <c r="E1093" s="66"/>
      <c r="F1093" s="66"/>
      <c r="G1093" s="66"/>
      <c r="H1093" s="44"/>
      <c r="I1093" s="44"/>
      <c r="J1093" s="66"/>
      <c r="K1093" s="66"/>
      <c r="L1093" s="66"/>
      <c r="M1093" s="66"/>
      <c r="N1093" s="66">
        <f>SUM(Prog_236[[#This Row],[TARA]]+Prog_236[[#This Row],[PESO]])</f>
        <v>0</v>
      </c>
      <c r="O1093" s="44"/>
      <c r="P1093" s="66"/>
      <c r="Q1093" s="66"/>
      <c r="R1093" s="66"/>
      <c r="S1093" s="66"/>
      <c r="T1093" s="138" t="str">
        <f>IFERROR(LOOKUP($S1093,MOTORISTAS!$D$3:$D$1048576,MOTORISTAS!E$3:$E$1048576),"")</f>
        <v/>
      </c>
      <c r="U1093" s="138" t="str">
        <f>IFERROR(LOOKUP($S1093,MOTORISTAS!$D$3:$D$1048576,MOTORISTAS!F$3:$F$1048576),"")</f>
        <v/>
      </c>
      <c r="V1093" s="66"/>
      <c r="W1093" s="66"/>
      <c r="X1093" s="66"/>
      <c r="Y1093" s="66"/>
      <c r="Z1093" s="66"/>
      <c r="AA1093" s="66"/>
      <c r="AB1093" s="66"/>
      <c r="AC1093" s="66"/>
      <c r="AD1093" s="66"/>
      <c r="AE1093" s="66"/>
      <c r="AF1093" s="44"/>
      <c r="AG1093" s="254">
        <f>Prog_236[[#This Row],[SAÍDA DO CLIENTE]]-Prog_236[[#This Row],[PROGRAMAÇÃO CLIENTE]]</f>
        <v>0</v>
      </c>
      <c r="AH1093" s="44"/>
      <c r="AI1093" s="66"/>
      <c r="AJ1093" s="66"/>
      <c r="AK1093" s="66"/>
      <c r="AL1093" s="66"/>
      <c r="AM1093" s="66"/>
      <c r="AN1093" s="83"/>
      <c r="AO1093" s="66"/>
      <c r="AP1093" s="66"/>
      <c r="AQ1093" s="66"/>
      <c r="AR1093" s="81"/>
      <c r="AS1093" s="81"/>
      <c r="AT1093" s="81"/>
      <c r="AU1093" s="81"/>
      <c r="AV1093" s="83">
        <f>SUM(Prog_236[[#This Row],[ADIANTAMENTO]]+Prog_236[[#This Row],[SALDO]]+Prog_236[[#This Row],[MARGEM]]+Prog_236[[#This Row],[ESTADIA 1]])</f>
        <v>0</v>
      </c>
      <c r="AW10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3" s="81"/>
      <c r="AY1093" s="81"/>
      <c r="AZ1093" s="81">
        <f>Prog_236[[#This Row],[VLR NF]]*0.1%</f>
        <v>0</v>
      </c>
      <c r="BA1093" s="81">
        <f>Prog_236[[#This Row],[VLR NF]]*0.05%</f>
        <v>0</v>
      </c>
      <c r="BB1093" s="81"/>
      <c r="BC1093" s="81"/>
      <c r="BD1093" s="81"/>
      <c r="BE1093" s="81"/>
      <c r="BF1093" s="81"/>
      <c r="BG1093" s="81"/>
      <c r="BH1093" s="81"/>
      <c r="BI1093" s="81"/>
      <c r="BJ1093" s="81"/>
      <c r="BK1093" s="81"/>
      <c r="BL1093" s="66"/>
      <c r="BM1093" s="66"/>
      <c r="BN1093" s="66"/>
      <c r="BO1093" s="66" t="str">
        <f>PROPER(TEXT(Prog_236[[#This Row],[PROGRAMAÇÃO CLIENTE]],"mmm"))</f>
        <v>Jan</v>
      </c>
      <c r="BP1093" s="66">
        <f>YEAR(Prog_236[[#This Row],[PROGRAMAÇÃO CLIENTE]])</f>
        <v>1900</v>
      </c>
    </row>
    <row r="1094" spans="1:68" x14ac:dyDescent="0.25">
      <c r="A1094" s="201">
        <f>Prog_236[[#This Row],[CONTEINER]]</f>
        <v>0</v>
      </c>
      <c r="B1094" s="86"/>
      <c r="C10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4" s="44"/>
      <c r="E1094" s="66"/>
      <c r="F1094" s="66"/>
      <c r="G1094" s="66"/>
      <c r="H1094" s="44"/>
      <c r="I1094" s="44"/>
      <c r="J1094" s="66"/>
      <c r="K1094" s="66"/>
      <c r="L1094" s="66"/>
      <c r="M1094" s="66"/>
      <c r="N1094" s="66">
        <f>SUM(Prog_236[[#This Row],[TARA]]+Prog_236[[#This Row],[PESO]])</f>
        <v>0</v>
      </c>
      <c r="O1094" s="44"/>
      <c r="P1094" s="66"/>
      <c r="Q1094" s="66"/>
      <c r="R1094" s="66"/>
      <c r="S1094" s="66"/>
      <c r="T1094" s="138" t="str">
        <f>IFERROR(LOOKUP($S1094,MOTORISTAS!$D$3:$D$1048576,MOTORISTAS!E$3:$E$1048576),"")</f>
        <v/>
      </c>
      <c r="U1094" s="138" t="str">
        <f>IFERROR(LOOKUP($S1094,MOTORISTAS!$D$3:$D$1048576,MOTORISTAS!F$3:$F$1048576),"")</f>
        <v/>
      </c>
      <c r="V1094" s="66"/>
      <c r="W1094" s="66"/>
      <c r="X1094" s="66"/>
      <c r="Y1094" s="66"/>
      <c r="Z1094" s="66"/>
      <c r="AA1094" s="66"/>
      <c r="AB1094" s="66"/>
      <c r="AC1094" s="66"/>
      <c r="AD1094" s="66"/>
      <c r="AE1094" s="66"/>
      <c r="AF1094" s="44"/>
      <c r="AG1094" s="254">
        <f>Prog_236[[#This Row],[SAÍDA DO CLIENTE]]-Prog_236[[#This Row],[PROGRAMAÇÃO CLIENTE]]</f>
        <v>0</v>
      </c>
      <c r="AH1094" s="44"/>
      <c r="AI1094" s="66"/>
      <c r="AJ1094" s="66"/>
      <c r="AK1094" s="66"/>
      <c r="AL1094" s="66"/>
      <c r="AM1094" s="66"/>
      <c r="AN1094" s="83"/>
      <c r="AO1094" s="66"/>
      <c r="AP1094" s="66"/>
      <c r="AQ1094" s="66"/>
      <c r="AR1094" s="81"/>
      <c r="AS1094" s="81"/>
      <c r="AT1094" s="81"/>
      <c r="AU1094" s="81"/>
      <c r="AV1094" s="83">
        <f>SUM(Prog_236[[#This Row],[ADIANTAMENTO]]+Prog_236[[#This Row],[SALDO]]+Prog_236[[#This Row],[MARGEM]]+Prog_236[[#This Row],[ESTADIA 1]])</f>
        <v>0</v>
      </c>
      <c r="AW10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4" s="81"/>
      <c r="AY1094" s="81"/>
      <c r="AZ1094" s="81">
        <f>Prog_236[[#This Row],[VLR NF]]*0.1%</f>
        <v>0</v>
      </c>
      <c r="BA1094" s="81">
        <f>Prog_236[[#This Row],[VLR NF]]*0.05%</f>
        <v>0</v>
      </c>
      <c r="BB1094" s="81"/>
      <c r="BC1094" s="81"/>
      <c r="BD1094" s="81"/>
      <c r="BE1094" s="81"/>
      <c r="BF1094" s="81"/>
      <c r="BG1094" s="81"/>
      <c r="BH1094" s="81"/>
      <c r="BI1094" s="81"/>
      <c r="BJ1094" s="81"/>
      <c r="BK1094" s="81"/>
      <c r="BL1094" s="66"/>
      <c r="BM1094" s="66"/>
      <c r="BN1094" s="66"/>
      <c r="BO1094" s="66" t="str">
        <f>PROPER(TEXT(Prog_236[[#This Row],[PROGRAMAÇÃO CLIENTE]],"mmm"))</f>
        <v>Jan</v>
      </c>
      <c r="BP1094" s="66">
        <f>YEAR(Prog_236[[#This Row],[PROGRAMAÇÃO CLIENTE]])</f>
        <v>1900</v>
      </c>
    </row>
    <row r="1095" spans="1:68" x14ac:dyDescent="0.25">
      <c r="A1095" s="200">
        <f>Prog_236[[#This Row],[CONTEINER]]</f>
        <v>0</v>
      </c>
      <c r="B1095" s="86"/>
      <c r="C10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5" s="44"/>
      <c r="E1095" s="66"/>
      <c r="F1095" s="66"/>
      <c r="G1095" s="66"/>
      <c r="H1095" s="44"/>
      <c r="I1095" s="44"/>
      <c r="J1095" s="66"/>
      <c r="K1095" s="66"/>
      <c r="L1095" s="66"/>
      <c r="M1095" s="66"/>
      <c r="N1095" s="66">
        <f>SUM(Prog_236[[#This Row],[TARA]]+Prog_236[[#This Row],[PESO]])</f>
        <v>0</v>
      </c>
      <c r="O1095" s="44"/>
      <c r="P1095" s="66"/>
      <c r="Q1095" s="66"/>
      <c r="R1095" s="66"/>
      <c r="S1095" s="66"/>
      <c r="T1095" s="138" t="str">
        <f>IFERROR(LOOKUP($S1095,MOTORISTAS!$D$3:$D$1048576,MOTORISTAS!E$3:$E$1048576),"")</f>
        <v/>
      </c>
      <c r="U1095" s="138" t="str">
        <f>IFERROR(LOOKUP($S1095,MOTORISTAS!$D$3:$D$1048576,MOTORISTAS!F$3:$F$1048576),"")</f>
        <v/>
      </c>
      <c r="V1095" s="66"/>
      <c r="W1095" s="66"/>
      <c r="X1095" s="66"/>
      <c r="Y1095" s="66"/>
      <c r="Z1095" s="66"/>
      <c r="AA1095" s="66"/>
      <c r="AB1095" s="66"/>
      <c r="AC1095" s="66"/>
      <c r="AD1095" s="66"/>
      <c r="AE1095" s="66"/>
      <c r="AF1095" s="44"/>
      <c r="AG1095" s="254">
        <f>Prog_236[[#This Row],[SAÍDA DO CLIENTE]]-Prog_236[[#This Row],[PROGRAMAÇÃO CLIENTE]]</f>
        <v>0</v>
      </c>
      <c r="AH1095" s="44"/>
      <c r="AI1095" s="66"/>
      <c r="AJ1095" s="66"/>
      <c r="AK1095" s="66"/>
      <c r="AL1095" s="66"/>
      <c r="AM1095" s="66"/>
      <c r="AN1095" s="83"/>
      <c r="AO1095" s="66"/>
      <c r="AP1095" s="66"/>
      <c r="AQ1095" s="66"/>
      <c r="AR1095" s="81"/>
      <c r="AS1095" s="81"/>
      <c r="AT1095" s="81"/>
      <c r="AU1095" s="81"/>
      <c r="AV1095" s="83">
        <f>SUM(Prog_236[[#This Row],[ADIANTAMENTO]]+Prog_236[[#This Row],[SALDO]]+Prog_236[[#This Row],[MARGEM]]+Prog_236[[#This Row],[ESTADIA 1]])</f>
        <v>0</v>
      </c>
      <c r="AW10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5" s="81"/>
      <c r="AY1095" s="81"/>
      <c r="AZ1095" s="81">
        <f>Prog_236[[#This Row],[VLR NF]]*0.1%</f>
        <v>0</v>
      </c>
      <c r="BA1095" s="81">
        <f>Prog_236[[#This Row],[VLR NF]]*0.05%</f>
        <v>0</v>
      </c>
      <c r="BB1095" s="81"/>
      <c r="BC1095" s="81"/>
      <c r="BD1095" s="81"/>
      <c r="BE1095" s="81"/>
      <c r="BF1095" s="81"/>
      <c r="BG1095" s="81"/>
      <c r="BH1095" s="81"/>
      <c r="BI1095" s="81"/>
      <c r="BJ1095" s="81"/>
      <c r="BK1095" s="81"/>
      <c r="BL1095" s="66"/>
      <c r="BM1095" s="66"/>
      <c r="BN1095" s="66"/>
      <c r="BO1095" s="66" t="str">
        <f>PROPER(TEXT(Prog_236[[#This Row],[PROGRAMAÇÃO CLIENTE]],"mmm"))</f>
        <v>Jan</v>
      </c>
      <c r="BP1095" s="66">
        <f>YEAR(Prog_236[[#This Row],[PROGRAMAÇÃO CLIENTE]])</f>
        <v>1900</v>
      </c>
    </row>
    <row r="1096" spans="1:68" x14ac:dyDescent="0.25">
      <c r="A1096" s="201">
        <f>Prog_236[[#This Row],[CONTEINER]]</f>
        <v>0</v>
      </c>
      <c r="B1096" s="86"/>
      <c r="C10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6" s="44"/>
      <c r="E1096" s="66"/>
      <c r="F1096" s="66"/>
      <c r="G1096" s="66"/>
      <c r="H1096" s="44"/>
      <c r="I1096" s="44"/>
      <c r="J1096" s="66"/>
      <c r="K1096" s="66"/>
      <c r="L1096" s="66"/>
      <c r="M1096" s="66"/>
      <c r="N1096" s="66">
        <f>SUM(Prog_236[[#This Row],[TARA]]+Prog_236[[#This Row],[PESO]])</f>
        <v>0</v>
      </c>
      <c r="O1096" s="44"/>
      <c r="P1096" s="66"/>
      <c r="Q1096" s="66"/>
      <c r="R1096" s="66"/>
      <c r="S1096" s="66"/>
      <c r="T1096" s="138" t="str">
        <f>IFERROR(LOOKUP($S1096,MOTORISTAS!$D$3:$D$1048576,MOTORISTAS!E$3:$E$1048576),"")</f>
        <v/>
      </c>
      <c r="U1096" s="138" t="str">
        <f>IFERROR(LOOKUP($S1096,MOTORISTAS!$D$3:$D$1048576,MOTORISTAS!F$3:$F$1048576),"")</f>
        <v/>
      </c>
      <c r="V1096" s="66"/>
      <c r="W1096" s="66"/>
      <c r="X1096" s="66"/>
      <c r="Y1096" s="66"/>
      <c r="Z1096" s="66"/>
      <c r="AA1096" s="66"/>
      <c r="AB1096" s="66"/>
      <c r="AC1096" s="66"/>
      <c r="AD1096" s="66"/>
      <c r="AE1096" s="66"/>
      <c r="AF1096" s="44"/>
      <c r="AG1096" s="254">
        <f>Prog_236[[#This Row],[SAÍDA DO CLIENTE]]-Prog_236[[#This Row],[PROGRAMAÇÃO CLIENTE]]</f>
        <v>0</v>
      </c>
      <c r="AH1096" s="44"/>
      <c r="AI1096" s="66"/>
      <c r="AJ1096" s="66"/>
      <c r="AK1096" s="66"/>
      <c r="AL1096" s="66"/>
      <c r="AM1096" s="66"/>
      <c r="AN1096" s="83"/>
      <c r="AO1096" s="66"/>
      <c r="AP1096" s="66"/>
      <c r="AQ1096" s="66"/>
      <c r="AR1096" s="81"/>
      <c r="AS1096" s="81"/>
      <c r="AT1096" s="81"/>
      <c r="AU1096" s="81"/>
      <c r="AV1096" s="83">
        <f>SUM(Prog_236[[#This Row],[ADIANTAMENTO]]+Prog_236[[#This Row],[SALDO]]+Prog_236[[#This Row],[MARGEM]]+Prog_236[[#This Row],[ESTADIA 1]])</f>
        <v>0</v>
      </c>
      <c r="AW10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6" s="81"/>
      <c r="AY1096" s="81"/>
      <c r="AZ1096" s="81">
        <f>Prog_236[[#This Row],[VLR NF]]*0.1%</f>
        <v>0</v>
      </c>
      <c r="BA1096" s="81">
        <f>Prog_236[[#This Row],[VLR NF]]*0.05%</f>
        <v>0</v>
      </c>
      <c r="BB1096" s="81"/>
      <c r="BC1096" s="81"/>
      <c r="BD1096" s="81"/>
      <c r="BE1096" s="81"/>
      <c r="BF1096" s="81"/>
      <c r="BG1096" s="81"/>
      <c r="BH1096" s="81"/>
      <c r="BI1096" s="81"/>
      <c r="BJ1096" s="81"/>
      <c r="BK1096" s="81"/>
      <c r="BL1096" s="66"/>
      <c r="BM1096" s="66"/>
      <c r="BN1096" s="66"/>
      <c r="BO1096" s="66" t="str">
        <f>PROPER(TEXT(Prog_236[[#This Row],[PROGRAMAÇÃO CLIENTE]],"mmm"))</f>
        <v>Jan</v>
      </c>
      <c r="BP1096" s="66">
        <f>YEAR(Prog_236[[#This Row],[PROGRAMAÇÃO CLIENTE]])</f>
        <v>1900</v>
      </c>
    </row>
    <row r="1097" spans="1:68" x14ac:dyDescent="0.25">
      <c r="A1097" s="200">
        <f>Prog_236[[#This Row],[CONTEINER]]</f>
        <v>0</v>
      </c>
      <c r="B1097" s="86"/>
      <c r="C10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7" s="44"/>
      <c r="E1097" s="66"/>
      <c r="F1097" s="66"/>
      <c r="G1097" s="66"/>
      <c r="H1097" s="44"/>
      <c r="I1097" s="44"/>
      <c r="J1097" s="66"/>
      <c r="K1097" s="66"/>
      <c r="L1097" s="66"/>
      <c r="M1097" s="66"/>
      <c r="N1097" s="66">
        <f>SUM(Prog_236[[#This Row],[TARA]]+Prog_236[[#This Row],[PESO]])</f>
        <v>0</v>
      </c>
      <c r="O1097" s="44"/>
      <c r="P1097" s="66"/>
      <c r="Q1097" s="66"/>
      <c r="R1097" s="66"/>
      <c r="S1097" s="66"/>
      <c r="T1097" s="138" t="str">
        <f>IFERROR(LOOKUP($S1097,MOTORISTAS!$D$3:$D$1048576,MOTORISTAS!E$3:$E$1048576),"")</f>
        <v/>
      </c>
      <c r="U1097" s="138" t="str">
        <f>IFERROR(LOOKUP($S1097,MOTORISTAS!$D$3:$D$1048576,MOTORISTAS!F$3:$F$1048576),"")</f>
        <v/>
      </c>
      <c r="V1097" s="66"/>
      <c r="W1097" s="66"/>
      <c r="X1097" s="66"/>
      <c r="Y1097" s="66"/>
      <c r="Z1097" s="66"/>
      <c r="AA1097" s="66"/>
      <c r="AB1097" s="66"/>
      <c r="AC1097" s="66"/>
      <c r="AD1097" s="66"/>
      <c r="AE1097" s="66"/>
      <c r="AF1097" s="44"/>
      <c r="AG1097" s="254">
        <f>Prog_236[[#This Row],[SAÍDA DO CLIENTE]]-Prog_236[[#This Row],[PROGRAMAÇÃO CLIENTE]]</f>
        <v>0</v>
      </c>
      <c r="AH1097" s="44"/>
      <c r="AI1097" s="66"/>
      <c r="AJ1097" s="66"/>
      <c r="AK1097" s="66"/>
      <c r="AL1097" s="66"/>
      <c r="AM1097" s="66"/>
      <c r="AN1097" s="83"/>
      <c r="AO1097" s="66"/>
      <c r="AP1097" s="66"/>
      <c r="AQ1097" s="66"/>
      <c r="AR1097" s="81"/>
      <c r="AS1097" s="81"/>
      <c r="AT1097" s="81"/>
      <c r="AU1097" s="81"/>
      <c r="AV1097" s="83">
        <f>SUM(Prog_236[[#This Row],[ADIANTAMENTO]]+Prog_236[[#This Row],[SALDO]]+Prog_236[[#This Row],[MARGEM]]+Prog_236[[#This Row],[ESTADIA 1]])</f>
        <v>0</v>
      </c>
      <c r="AW10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7" s="81"/>
      <c r="AY1097" s="81"/>
      <c r="AZ1097" s="81">
        <f>Prog_236[[#This Row],[VLR NF]]*0.1%</f>
        <v>0</v>
      </c>
      <c r="BA1097" s="81">
        <f>Prog_236[[#This Row],[VLR NF]]*0.05%</f>
        <v>0</v>
      </c>
      <c r="BB1097" s="81"/>
      <c r="BC1097" s="81"/>
      <c r="BD1097" s="81"/>
      <c r="BE1097" s="81"/>
      <c r="BF1097" s="81"/>
      <c r="BG1097" s="81"/>
      <c r="BH1097" s="81"/>
      <c r="BI1097" s="81"/>
      <c r="BJ1097" s="81"/>
      <c r="BK1097" s="81"/>
      <c r="BL1097" s="66"/>
      <c r="BM1097" s="66"/>
      <c r="BN1097" s="66"/>
      <c r="BO1097" s="66" t="str">
        <f>PROPER(TEXT(Prog_236[[#This Row],[PROGRAMAÇÃO CLIENTE]],"mmm"))</f>
        <v>Jan</v>
      </c>
      <c r="BP1097" s="66">
        <f>YEAR(Prog_236[[#This Row],[PROGRAMAÇÃO CLIENTE]])</f>
        <v>1900</v>
      </c>
    </row>
    <row r="1098" spans="1:68" x14ac:dyDescent="0.25">
      <c r="A1098" s="201">
        <f>Prog_236[[#This Row],[CONTEINER]]</f>
        <v>0</v>
      </c>
      <c r="B1098" s="86"/>
      <c r="C10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8" s="44"/>
      <c r="E1098" s="66"/>
      <c r="F1098" s="66"/>
      <c r="G1098" s="66"/>
      <c r="H1098" s="44"/>
      <c r="I1098" s="44"/>
      <c r="J1098" s="66"/>
      <c r="K1098" s="66"/>
      <c r="L1098" s="66"/>
      <c r="M1098" s="66"/>
      <c r="N1098" s="66">
        <f>SUM(Prog_236[[#This Row],[TARA]]+Prog_236[[#This Row],[PESO]])</f>
        <v>0</v>
      </c>
      <c r="O1098" s="44"/>
      <c r="P1098" s="66"/>
      <c r="Q1098" s="66"/>
      <c r="R1098" s="66"/>
      <c r="S1098" s="66"/>
      <c r="T1098" s="138" t="str">
        <f>IFERROR(LOOKUP($S1098,MOTORISTAS!$D$3:$D$1048576,MOTORISTAS!E$3:$E$1048576),"")</f>
        <v/>
      </c>
      <c r="U1098" s="138" t="str">
        <f>IFERROR(LOOKUP($S1098,MOTORISTAS!$D$3:$D$1048576,MOTORISTAS!F$3:$F$1048576),"")</f>
        <v/>
      </c>
      <c r="V1098" s="66"/>
      <c r="W1098" s="66"/>
      <c r="X1098" s="66"/>
      <c r="Y1098" s="66"/>
      <c r="Z1098" s="66"/>
      <c r="AA1098" s="66"/>
      <c r="AB1098" s="66"/>
      <c r="AC1098" s="66"/>
      <c r="AD1098" s="66"/>
      <c r="AE1098" s="66"/>
      <c r="AF1098" s="44"/>
      <c r="AG1098" s="254">
        <f>Prog_236[[#This Row],[SAÍDA DO CLIENTE]]-Prog_236[[#This Row],[PROGRAMAÇÃO CLIENTE]]</f>
        <v>0</v>
      </c>
      <c r="AH1098" s="44"/>
      <c r="AI1098" s="66"/>
      <c r="AJ1098" s="66"/>
      <c r="AK1098" s="66"/>
      <c r="AL1098" s="66"/>
      <c r="AM1098" s="66"/>
      <c r="AN1098" s="83"/>
      <c r="AO1098" s="66"/>
      <c r="AP1098" s="66"/>
      <c r="AQ1098" s="66"/>
      <c r="AR1098" s="81"/>
      <c r="AS1098" s="81"/>
      <c r="AT1098" s="81"/>
      <c r="AU1098" s="81"/>
      <c r="AV1098" s="83">
        <f>SUM(Prog_236[[#This Row],[ADIANTAMENTO]]+Prog_236[[#This Row],[SALDO]]+Prog_236[[#This Row],[MARGEM]]+Prog_236[[#This Row],[ESTADIA 1]])</f>
        <v>0</v>
      </c>
      <c r="AW10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8" s="81"/>
      <c r="AY1098" s="81"/>
      <c r="AZ1098" s="81">
        <f>Prog_236[[#This Row],[VLR NF]]*0.1%</f>
        <v>0</v>
      </c>
      <c r="BA1098" s="81">
        <f>Prog_236[[#This Row],[VLR NF]]*0.05%</f>
        <v>0</v>
      </c>
      <c r="BB1098" s="81"/>
      <c r="BC1098" s="81"/>
      <c r="BD1098" s="81"/>
      <c r="BE1098" s="81"/>
      <c r="BF1098" s="81"/>
      <c r="BG1098" s="81"/>
      <c r="BH1098" s="81"/>
      <c r="BI1098" s="81"/>
      <c r="BJ1098" s="81"/>
      <c r="BK1098" s="81"/>
      <c r="BL1098" s="66"/>
      <c r="BM1098" s="66"/>
      <c r="BN1098" s="66"/>
      <c r="BO1098" s="66" t="str">
        <f>PROPER(TEXT(Prog_236[[#This Row],[PROGRAMAÇÃO CLIENTE]],"mmm"))</f>
        <v>Jan</v>
      </c>
      <c r="BP1098" s="66">
        <f>YEAR(Prog_236[[#This Row],[PROGRAMAÇÃO CLIENTE]])</f>
        <v>1900</v>
      </c>
    </row>
    <row r="1099" spans="1:68" x14ac:dyDescent="0.25">
      <c r="A1099" s="200">
        <f>Prog_236[[#This Row],[CONTEINER]]</f>
        <v>0</v>
      </c>
      <c r="B1099" s="86"/>
      <c r="C10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099" s="44"/>
      <c r="E1099" s="66"/>
      <c r="F1099" s="66"/>
      <c r="G1099" s="66"/>
      <c r="H1099" s="44"/>
      <c r="I1099" s="44"/>
      <c r="J1099" s="66"/>
      <c r="K1099" s="66"/>
      <c r="L1099" s="66"/>
      <c r="M1099" s="66"/>
      <c r="N1099" s="66">
        <f>SUM(Prog_236[[#This Row],[TARA]]+Prog_236[[#This Row],[PESO]])</f>
        <v>0</v>
      </c>
      <c r="O1099" s="44"/>
      <c r="P1099" s="66"/>
      <c r="Q1099" s="66"/>
      <c r="R1099" s="66"/>
      <c r="S1099" s="66"/>
      <c r="T1099" s="138" t="str">
        <f>IFERROR(LOOKUP($S1099,MOTORISTAS!$D$3:$D$1048576,MOTORISTAS!E$3:$E$1048576),"")</f>
        <v/>
      </c>
      <c r="U1099" s="138" t="str">
        <f>IFERROR(LOOKUP($S1099,MOTORISTAS!$D$3:$D$1048576,MOTORISTAS!F$3:$F$1048576),"")</f>
        <v/>
      </c>
      <c r="V1099" s="66"/>
      <c r="W1099" s="66"/>
      <c r="X1099" s="66"/>
      <c r="Y1099" s="66"/>
      <c r="Z1099" s="66"/>
      <c r="AA1099" s="66"/>
      <c r="AB1099" s="66"/>
      <c r="AC1099" s="66"/>
      <c r="AD1099" s="66"/>
      <c r="AE1099" s="66"/>
      <c r="AF1099" s="44"/>
      <c r="AG1099" s="254">
        <f>Prog_236[[#This Row],[SAÍDA DO CLIENTE]]-Prog_236[[#This Row],[PROGRAMAÇÃO CLIENTE]]</f>
        <v>0</v>
      </c>
      <c r="AH1099" s="44"/>
      <c r="AI1099" s="66"/>
      <c r="AJ1099" s="66"/>
      <c r="AK1099" s="66"/>
      <c r="AL1099" s="66"/>
      <c r="AM1099" s="66"/>
      <c r="AN1099" s="83"/>
      <c r="AO1099" s="66"/>
      <c r="AP1099" s="66"/>
      <c r="AQ1099" s="66"/>
      <c r="AR1099" s="81"/>
      <c r="AS1099" s="81"/>
      <c r="AT1099" s="81"/>
      <c r="AU1099" s="81"/>
      <c r="AV1099" s="83">
        <f>SUM(Prog_236[[#This Row],[ADIANTAMENTO]]+Prog_236[[#This Row],[SALDO]]+Prog_236[[#This Row],[MARGEM]]+Prog_236[[#This Row],[ESTADIA 1]])</f>
        <v>0</v>
      </c>
      <c r="AW10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099" s="81"/>
      <c r="AY1099" s="81"/>
      <c r="AZ1099" s="81">
        <f>Prog_236[[#This Row],[VLR NF]]*0.1%</f>
        <v>0</v>
      </c>
      <c r="BA1099" s="81">
        <f>Prog_236[[#This Row],[VLR NF]]*0.05%</f>
        <v>0</v>
      </c>
      <c r="BB1099" s="81"/>
      <c r="BC1099" s="81"/>
      <c r="BD1099" s="81"/>
      <c r="BE1099" s="81"/>
      <c r="BF1099" s="81"/>
      <c r="BG1099" s="81"/>
      <c r="BH1099" s="81"/>
      <c r="BI1099" s="81"/>
      <c r="BJ1099" s="81"/>
      <c r="BK1099" s="81"/>
      <c r="BL1099" s="66"/>
      <c r="BM1099" s="66"/>
      <c r="BN1099" s="66"/>
      <c r="BO1099" s="66" t="str">
        <f>PROPER(TEXT(Prog_236[[#This Row],[PROGRAMAÇÃO CLIENTE]],"mmm"))</f>
        <v>Jan</v>
      </c>
      <c r="BP1099" s="66">
        <f>YEAR(Prog_236[[#This Row],[PROGRAMAÇÃO CLIENTE]])</f>
        <v>1900</v>
      </c>
    </row>
    <row r="1100" spans="1:68" x14ac:dyDescent="0.25">
      <c r="A1100" s="201">
        <f>Prog_236[[#This Row],[CONTEINER]]</f>
        <v>0</v>
      </c>
      <c r="B1100" s="86"/>
      <c r="C11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0" s="44"/>
      <c r="E1100" s="66"/>
      <c r="F1100" s="66"/>
      <c r="G1100" s="66"/>
      <c r="H1100" s="44"/>
      <c r="I1100" s="44"/>
      <c r="J1100" s="66"/>
      <c r="K1100" s="66"/>
      <c r="L1100" s="66"/>
      <c r="M1100" s="66"/>
      <c r="N1100" s="66">
        <f>SUM(Prog_236[[#This Row],[TARA]]+Prog_236[[#This Row],[PESO]])</f>
        <v>0</v>
      </c>
      <c r="O1100" s="44"/>
      <c r="P1100" s="66"/>
      <c r="Q1100" s="66"/>
      <c r="R1100" s="66"/>
      <c r="S1100" s="66"/>
      <c r="T1100" s="138" t="str">
        <f>IFERROR(LOOKUP($S1100,MOTORISTAS!$D$3:$D$1048576,MOTORISTAS!E$3:$E$1048576),"")</f>
        <v/>
      </c>
      <c r="U1100" s="138" t="str">
        <f>IFERROR(LOOKUP($S1100,MOTORISTAS!$D$3:$D$1048576,MOTORISTAS!F$3:$F$1048576),"")</f>
        <v/>
      </c>
      <c r="V1100" s="66"/>
      <c r="W1100" s="66"/>
      <c r="X1100" s="66"/>
      <c r="Y1100" s="66"/>
      <c r="Z1100" s="66"/>
      <c r="AA1100" s="66"/>
      <c r="AB1100" s="66"/>
      <c r="AC1100" s="66"/>
      <c r="AD1100" s="66"/>
      <c r="AE1100" s="66"/>
      <c r="AF1100" s="44"/>
      <c r="AG1100" s="254">
        <f>Prog_236[[#This Row],[SAÍDA DO CLIENTE]]-Prog_236[[#This Row],[PROGRAMAÇÃO CLIENTE]]</f>
        <v>0</v>
      </c>
      <c r="AH1100" s="44"/>
      <c r="AI1100" s="66"/>
      <c r="AJ1100" s="66"/>
      <c r="AK1100" s="66"/>
      <c r="AL1100" s="66"/>
      <c r="AM1100" s="66"/>
      <c r="AN1100" s="83"/>
      <c r="AO1100" s="66"/>
      <c r="AP1100" s="66"/>
      <c r="AQ1100" s="66"/>
      <c r="AR1100" s="81"/>
      <c r="AS1100" s="81"/>
      <c r="AT1100" s="81"/>
      <c r="AU1100" s="81"/>
      <c r="AV1100" s="83">
        <f>SUM(Prog_236[[#This Row],[ADIANTAMENTO]]+Prog_236[[#This Row],[SALDO]]+Prog_236[[#This Row],[MARGEM]]+Prog_236[[#This Row],[ESTADIA 1]])</f>
        <v>0</v>
      </c>
      <c r="AW11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0" s="81"/>
      <c r="AY1100" s="81"/>
      <c r="AZ1100" s="81">
        <f>Prog_236[[#This Row],[VLR NF]]*0.1%</f>
        <v>0</v>
      </c>
      <c r="BA1100" s="81">
        <f>Prog_236[[#This Row],[VLR NF]]*0.05%</f>
        <v>0</v>
      </c>
      <c r="BB1100" s="81"/>
      <c r="BC1100" s="81"/>
      <c r="BD1100" s="81"/>
      <c r="BE1100" s="81"/>
      <c r="BF1100" s="81"/>
      <c r="BG1100" s="81"/>
      <c r="BH1100" s="81"/>
      <c r="BI1100" s="81"/>
      <c r="BJ1100" s="81"/>
      <c r="BK1100" s="81"/>
      <c r="BL1100" s="66"/>
      <c r="BM1100" s="66"/>
      <c r="BN1100" s="66"/>
      <c r="BO1100" s="66" t="str">
        <f>PROPER(TEXT(Prog_236[[#This Row],[PROGRAMAÇÃO CLIENTE]],"mmm"))</f>
        <v>Jan</v>
      </c>
      <c r="BP1100" s="66">
        <f>YEAR(Prog_236[[#This Row],[PROGRAMAÇÃO CLIENTE]])</f>
        <v>1900</v>
      </c>
    </row>
    <row r="1101" spans="1:68" x14ac:dyDescent="0.25">
      <c r="A1101" s="200">
        <f>Prog_236[[#This Row],[CONTEINER]]</f>
        <v>0</v>
      </c>
      <c r="B1101" s="86"/>
      <c r="C11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1" s="44"/>
      <c r="E1101" s="66"/>
      <c r="F1101" s="66"/>
      <c r="G1101" s="66"/>
      <c r="H1101" s="44"/>
      <c r="I1101" s="44"/>
      <c r="J1101" s="66"/>
      <c r="K1101" s="66"/>
      <c r="L1101" s="66"/>
      <c r="M1101" s="66"/>
      <c r="N1101" s="66">
        <f>SUM(Prog_236[[#This Row],[TARA]]+Prog_236[[#This Row],[PESO]])</f>
        <v>0</v>
      </c>
      <c r="O1101" s="44"/>
      <c r="P1101" s="66"/>
      <c r="Q1101" s="66"/>
      <c r="R1101" s="66"/>
      <c r="S1101" s="66"/>
      <c r="T1101" s="138" t="str">
        <f>IFERROR(LOOKUP($S1101,MOTORISTAS!$D$3:$D$1048576,MOTORISTAS!E$3:$E$1048576),"")</f>
        <v/>
      </c>
      <c r="U1101" s="138" t="str">
        <f>IFERROR(LOOKUP($S1101,MOTORISTAS!$D$3:$D$1048576,MOTORISTAS!F$3:$F$1048576),"")</f>
        <v/>
      </c>
      <c r="V1101" s="66"/>
      <c r="W1101" s="66"/>
      <c r="X1101" s="66"/>
      <c r="Y1101" s="66"/>
      <c r="Z1101" s="66"/>
      <c r="AA1101" s="66"/>
      <c r="AB1101" s="66"/>
      <c r="AC1101" s="66"/>
      <c r="AD1101" s="66"/>
      <c r="AE1101" s="66"/>
      <c r="AF1101" s="44"/>
      <c r="AG1101" s="254">
        <f>Prog_236[[#This Row],[SAÍDA DO CLIENTE]]-Prog_236[[#This Row],[PROGRAMAÇÃO CLIENTE]]</f>
        <v>0</v>
      </c>
      <c r="AH1101" s="44"/>
      <c r="AI1101" s="66"/>
      <c r="AJ1101" s="66"/>
      <c r="AK1101" s="66"/>
      <c r="AL1101" s="66"/>
      <c r="AM1101" s="66"/>
      <c r="AN1101" s="83"/>
      <c r="AO1101" s="66"/>
      <c r="AP1101" s="66"/>
      <c r="AQ1101" s="66"/>
      <c r="AR1101" s="81"/>
      <c r="AS1101" s="81"/>
      <c r="AT1101" s="81"/>
      <c r="AU1101" s="81"/>
      <c r="AV1101" s="83">
        <f>SUM(Prog_236[[#This Row],[ADIANTAMENTO]]+Prog_236[[#This Row],[SALDO]]+Prog_236[[#This Row],[MARGEM]]+Prog_236[[#This Row],[ESTADIA 1]])</f>
        <v>0</v>
      </c>
      <c r="AW11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1" s="81"/>
      <c r="AY1101" s="81"/>
      <c r="AZ1101" s="81">
        <f>Prog_236[[#This Row],[VLR NF]]*0.1%</f>
        <v>0</v>
      </c>
      <c r="BA1101" s="81">
        <f>Prog_236[[#This Row],[VLR NF]]*0.05%</f>
        <v>0</v>
      </c>
      <c r="BB1101" s="81"/>
      <c r="BC1101" s="81"/>
      <c r="BD1101" s="81"/>
      <c r="BE1101" s="81"/>
      <c r="BF1101" s="81"/>
      <c r="BG1101" s="81"/>
      <c r="BH1101" s="81"/>
      <c r="BI1101" s="81"/>
      <c r="BJ1101" s="81"/>
      <c r="BK1101" s="81"/>
      <c r="BL1101" s="66"/>
      <c r="BM1101" s="66"/>
      <c r="BN1101" s="66"/>
      <c r="BO1101" s="66" t="str">
        <f>PROPER(TEXT(Prog_236[[#This Row],[PROGRAMAÇÃO CLIENTE]],"mmm"))</f>
        <v>Jan</v>
      </c>
      <c r="BP1101" s="66">
        <f>YEAR(Prog_236[[#This Row],[PROGRAMAÇÃO CLIENTE]])</f>
        <v>1900</v>
      </c>
    </row>
    <row r="1102" spans="1:68" x14ac:dyDescent="0.25">
      <c r="A1102" s="201">
        <f>Prog_236[[#This Row],[CONTEINER]]</f>
        <v>0</v>
      </c>
      <c r="B1102" s="86"/>
      <c r="C11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2" s="44"/>
      <c r="E1102" s="66"/>
      <c r="F1102" s="66"/>
      <c r="G1102" s="66"/>
      <c r="H1102" s="44"/>
      <c r="I1102" s="44"/>
      <c r="J1102" s="66"/>
      <c r="K1102" s="66"/>
      <c r="L1102" s="66"/>
      <c r="M1102" s="66"/>
      <c r="N1102" s="66">
        <f>SUM(Prog_236[[#This Row],[TARA]]+Prog_236[[#This Row],[PESO]])</f>
        <v>0</v>
      </c>
      <c r="O1102" s="44"/>
      <c r="P1102" s="66"/>
      <c r="Q1102" s="66"/>
      <c r="R1102" s="66"/>
      <c r="S1102" s="66"/>
      <c r="T1102" s="138" t="str">
        <f>IFERROR(LOOKUP($S1102,MOTORISTAS!$D$3:$D$1048576,MOTORISTAS!E$3:$E$1048576),"")</f>
        <v/>
      </c>
      <c r="U1102" s="138" t="str">
        <f>IFERROR(LOOKUP($S1102,MOTORISTAS!$D$3:$D$1048576,MOTORISTAS!F$3:$F$1048576),"")</f>
        <v/>
      </c>
      <c r="V1102" s="66"/>
      <c r="W1102" s="66"/>
      <c r="X1102" s="66"/>
      <c r="Y1102" s="66"/>
      <c r="Z1102" s="66"/>
      <c r="AA1102" s="66"/>
      <c r="AB1102" s="66"/>
      <c r="AC1102" s="66"/>
      <c r="AD1102" s="66"/>
      <c r="AE1102" s="66"/>
      <c r="AF1102" s="44"/>
      <c r="AG1102" s="254">
        <f>Prog_236[[#This Row],[SAÍDA DO CLIENTE]]-Prog_236[[#This Row],[PROGRAMAÇÃO CLIENTE]]</f>
        <v>0</v>
      </c>
      <c r="AH1102" s="44"/>
      <c r="AI1102" s="66"/>
      <c r="AJ1102" s="66"/>
      <c r="AK1102" s="66"/>
      <c r="AL1102" s="66"/>
      <c r="AM1102" s="66"/>
      <c r="AN1102" s="83"/>
      <c r="AO1102" s="66"/>
      <c r="AP1102" s="66"/>
      <c r="AQ1102" s="66"/>
      <c r="AR1102" s="81"/>
      <c r="AS1102" s="81"/>
      <c r="AT1102" s="81"/>
      <c r="AU1102" s="81"/>
      <c r="AV1102" s="83">
        <f>SUM(Prog_236[[#This Row],[ADIANTAMENTO]]+Prog_236[[#This Row],[SALDO]]+Prog_236[[#This Row],[MARGEM]]+Prog_236[[#This Row],[ESTADIA 1]])</f>
        <v>0</v>
      </c>
      <c r="AW11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2" s="81"/>
      <c r="AY1102" s="81"/>
      <c r="AZ1102" s="81">
        <f>Prog_236[[#This Row],[VLR NF]]*0.1%</f>
        <v>0</v>
      </c>
      <c r="BA1102" s="81">
        <f>Prog_236[[#This Row],[VLR NF]]*0.05%</f>
        <v>0</v>
      </c>
      <c r="BB1102" s="81"/>
      <c r="BC1102" s="81"/>
      <c r="BD1102" s="81"/>
      <c r="BE1102" s="81"/>
      <c r="BF1102" s="81"/>
      <c r="BG1102" s="81"/>
      <c r="BH1102" s="81"/>
      <c r="BI1102" s="81"/>
      <c r="BJ1102" s="81"/>
      <c r="BK1102" s="81"/>
      <c r="BL1102" s="66"/>
      <c r="BM1102" s="66"/>
      <c r="BN1102" s="66"/>
      <c r="BO1102" s="66" t="str">
        <f>PROPER(TEXT(Prog_236[[#This Row],[PROGRAMAÇÃO CLIENTE]],"mmm"))</f>
        <v>Jan</v>
      </c>
      <c r="BP1102" s="66">
        <f>YEAR(Prog_236[[#This Row],[PROGRAMAÇÃO CLIENTE]])</f>
        <v>1900</v>
      </c>
    </row>
    <row r="1103" spans="1:68" x14ac:dyDescent="0.25">
      <c r="A1103" s="200">
        <f>Prog_236[[#This Row],[CONTEINER]]</f>
        <v>0</v>
      </c>
      <c r="B1103" s="86"/>
      <c r="C11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3" s="44"/>
      <c r="E1103" s="66"/>
      <c r="F1103" s="66"/>
      <c r="G1103" s="66"/>
      <c r="H1103" s="44"/>
      <c r="I1103" s="44"/>
      <c r="J1103" s="66"/>
      <c r="K1103" s="66"/>
      <c r="L1103" s="66"/>
      <c r="M1103" s="66"/>
      <c r="N1103" s="66">
        <f>SUM(Prog_236[[#This Row],[TARA]]+Prog_236[[#This Row],[PESO]])</f>
        <v>0</v>
      </c>
      <c r="O1103" s="44"/>
      <c r="P1103" s="66"/>
      <c r="Q1103" s="66"/>
      <c r="R1103" s="66"/>
      <c r="S1103" s="66"/>
      <c r="T1103" s="138" t="str">
        <f>IFERROR(LOOKUP($S1103,MOTORISTAS!$D$3:$D$1048576,MOTORISTAS!E$3:$E$1048576),"")</f>
        <v/>
      </c>
      <c r="U1103" s="138" t="str">
        <f>IFERROR(LOOKUP($S1103,MOTORISTAS!$D$3:$D$1048576,MOTORISTAS!F$3:$F$1048576),"")</f>
        <v/>
      </c>
      <c r="V1103" s="66"/>
      <c r="W1103" s="66"/>
      <c r="X1103" s="66"/>
      <c r="Y1103" s="66"/>
      <c r="Z1103" s="66"/>
      <c r="AA1103" s="66"/>
      <c r="AB1103" s="66"/>
      <c r="AC1103" s="66"/>
      <c r="AD1103" s="66"/>
      <c r="AE1103" s="66"/>
      <c r="AF1103" s="44"/>
      <c r="AG1103" s="254">
        <f>Prog_236[[#This Row],[SAÍDA DO CLIENTE]]-Prog_236[[#This Row],[PROGRAMAÇÃO CLIENTE]]</f>
        <v>0</v>
      </c>
      <c r="AH1103" s="44"/>
      <c r="AI1103" s="66"/>
      <c r="AJ1103" s="66"/>
      <c r="AK1103" s="66"/>
      <c r="AL1103" s="66"/>
      <c r="AM1103" s="66"/>
      <c r="AN1103" s="83"/>
      <c r="AO1103" s="66"/>
      <c r="AP1103" s="66"/>
      <c r="AQ1103" s="66"/>
      <c r="AR1103" s="81"/>
      <c r="AS1103" s="81"/>
      <c r="AT1103" s="81"/>
      <c r="AU1103" s="81"/>
      <c r="AV1103" s="83">
        <f>SUM(Prog_236[[#This Row],[ADIANTAMENTO]]+Prog_236[[#This Row],[SALDO]]+Prog_236[[#This Row],[MARGEM]]+Prog_236[[#This Row],[ESTADIA 1]])</f>
        <v>0</v>
      </c>
      <c r="AW11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3" s="81"/>
      <c r="AY1103" s="81"/>
      <c r="AZ1103" s="81">
        <f>Prog_236[[#This Row],[VLR NF]]*0.1%</f>
        <v>0</v>
      </c>
      <c r="BA1103" s="81">
        <f>Prog_236[[#This Row],[VLR NF]]*0.05%</f>
        <v>0</v>
      </c>
      <c r="BB1103" s="81"/>
      <c r="BC1103" s="81"/>
      <c r="BD1103" s="81"/>
      <c r="BE1103" s="81"/>
      <c r="BF1103" s="81"/>
      <c r="BG1103" s="81"/>
      <c r="BH1103" s="81"/>
      <c r="BI1103" s="81"/>
      <c r="BJ1103" s="81"/>
      <c r="BK1103" s="81"/>
      <c r="BL1103" s="66"/>
      <c r="BM1103" s="66"/>
      <c r="BN1103" s="66"/>
      <c r="BO1103" s="66" t="str">
        <f>PROPER(TEXT(Prog_236[[#This Row],[PROGRAMAÇÃO CLIENTE]],"mmm"))</f>
        <v>Jan</v>
      </c>
      <c r="BP1103" s="66">
        <f>YEAR(Prog_236[[#This Row],[PROGRAMAÇÃO CLIENTE]])</f>
        <v>1900</v>
      </c>
    </row>
    <row r="1104" spans="1:68" x14ac:dyDescent="0.25">
      <c r="A1104" s="201">
        <f>Prog_236[[#This Row],[CONTEINER]]</f>
        <v>0</v>
      </c>
      <c r="B1104" s="86"/>
      <c r="C11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4" s="44"/>
      <c r="E1104" s="66"/>
      <c r="F1104" s="66"/>
      <c r="G1104" s="66"/>
      <c r="H1104" s="44"/>
      <c r="I1104" s="44"/>
      <c r="J1104" s="66"/>
      <c r="K1104" s="66"/>
      <c r="L1104" s="66"/>
      <c r="M1104" s="66"/>
      <c r="N1104" s="66">
        <f>SUM(Prog_236[[#This Row],[TARA]]+Prog_236[[#This Row],[PESO]])</f>
        <v>0</v>
      </c>
      <c r="O1104" s="44"/>
      <c r="P1104" s="66"/>
      <c r="Q1104" s="66"/>
      <c r="R1104" s="66"/>
      <c r="S1104" s="66"/>
      <c r="T1104" s="138" t="str">
        <f>IFERROR(LOOKUP($S1104,MOTORISTAS!$D$3:$D$1048576,MOTORISTAS!E$3:$E$1048576),"")</f>
        <v/>
      </c>
      <c r="U1104" s="138" t="str">
        <f>IFERROR(LOOKUP($S1104,MOTORISTAS!$D$3:$D$1048576,MOTORISTAS!F$3:$F$1048576),"")</f>
        <v/>
      </c>
      <c r="V1104" s="66"/>
      <c r="W1104" s="66"/>
      <c r="X1104" s="66"/>
      <c r="Y1104" s="66"/>
      <c r="Z1104" s="66"/>
      <c r="AA1104" s="66"/>
      <c r="AB1104" s="66"/>
      <c r="AC1104" s="66"/>
      <c r="AD1104" s="66"/>
      <c r="AE1104" s="66"/>
      <c r="AF1104" s="44"/>
      <c r="AG1104" s="254">
        <f>Prog_236[[#This Row],[SAÍDA DO CLIENTE]]-Prog_236[[#This Row],[PROGRAMAÇÃO CLIENTE]]</f>
        <v>0</v>
      </c>
      <c r="AH1104" s="44"/>
      <c r="AI1104" s="66"/>
      <c r="AJ1104" s="66"/>
      <c r="AK1104" s="66"/>
      <c r="AL1104" s="66"/>
      <c r="AM1104" s="66"/>
      <c r="AN1104" s="83"/>
      <c r="AO1104" s="66"/>
      <c r="AP1104" s="66"/>
      <c r="AQ1104" s="66"/>
      <c r="AR1104" s="81"/>
      <c r="AS1104" s="81"/>
      <c r="AT1104" s="81"/>
      <c r="AU1104" s="81"/>
      <c r="AV1104" s="83">
        <f>SUM(Prog_236[[#This Row],[ADIANTAMENTO]]+Prog_236[[#This Row],[SALDO]]+Prog_236[[#This Row],[MARGEM]]+Prog_236[[#This Row],[ESTADIA 1]])</f>
        <v>0</v>
      </c>
      <c r="AW11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4" s="81"/>
      <c r="AY1104" s="81"/>
      <c r="AZ1104" s="81">
        <f>Prog_236[[#This Row],[VLR NF]]*0.1%</f>
        <v>0</v>
      </c>
      <c r="BA1104" s="81">
        <f>Prog_236[[#This Row],[VLR NF]]*0.05%</f>
        <v>0</v>
      </c>
      <c r="BB1104" s="81"/>
      <c r="BC1104" s="81"/>
      <c r="BD1104" s="81"/>
      <c r="BE1104" s="81"/>
      <c r="BF1104" s="81"/>
      <c r="BG1104" s="81"/>
      <c r="BH1104" s="81"/>
      <c r="BI1104" s="81"/>
      <c r="BJ1104" s="81"/>
      <c r="BK1104" s="81"/>
      <c r="BL1104" s="66"/>
      <c r="BM1104" s="66"/>
      <c r="BN1104" s="66"/>
      <c r="BO1104" s="66" t="str">
        <f>PROPER(TEXT(Prog_236[[#This Row],[PROGRAMAÇÃO CLIENTE]],"mmm"))</f>
        <v>Jan</v>
      </c>
      <c r="BP1104" s="66">
        <f>YEAR(Prog_236[[#This Row],[PROGRAMAÇÃO CLIENTE]])</f>
        <v>1900</v>
      </c>
    </row>
    <row r="1105" spans="1:68" x14ac:dyDescent="0.25">
      <c r="A1105" s="200">
        <f>Prog_236[[#This Row],[CONTEINER]]</f>
        <v>0</v>
      </c>
      <c r="B1105" s="86"/>
      <c r="C11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5" s="44"/>
      <c r="E1105" s="66"/>
      <c r="F1105" s="66"/>
      <c r="G1105" s="66"/>
      <c r="H1105" s="44"/>
      <c r="I1105" s="44"/>
      <c r="J1105" s="66"/>
      <c r="K1105" s="66"/>
      <c r="L1105" s="66"/>
      <c r="M1105" s="66"/>
      <c r="N1105" s="66">
        <f>SUM(Prog_236[[#This Row],[TARA]]+Prog_236[[#This Row],[PESO]])</f>
        <v>0</v>
      </c>
      <c r="O1105" s="44"/>
      <c r="P1105" s="66"/>
      <c r="Q1105" s="66"/>
      <c r="R1105" s="66"/>
      <c r="S1105" s="66"/>
      <c r="T1105" s="138" t="str">
        <f>IFERROR(LOOKUP($S1105,MOTORISTAS!$D$3:$D$1048576,MOTORISTAS!E$3:$E$1048576),"")</f>
        <v/>
      </c>
      <c r="U1105" s="138" t="str">
        <f>IFERROR(LOOKUP($S1105,MOTORISTAS!$D$3:$D$1048576,MOTORISTAS!F$3:$F$1048576),"")</f>
        <v/>
      </c>
      <c r="V1105" s="66"/>
      <c r="W1105" s="66"/>
      <c r="X1105" s="66"/>
      <c r="Y1105" s="66"/>
      <c r="Z1105" s="66"/>
      <c r="AA1105" s="66"/>
      <c r="AB1105" s="66"/>
      <c r="AC1105" s="66"/>
      <c r="AD1105" s="66"/>
      <c r="AE1105" s="66"/>
      <c r="AF1105" s="44"/>
      <c r="AG1105" s="254">
        <f>Prog_236[[#This Row],[SAÍDA DO CLIENTE]]-Prog_236[[#This Row],[PROGRAMAÇÃO CLIENTE]]</f>
        <v>0</v>
      </c>
      <c r="AH1105" s="44"/>
      <c r="AI1105" s="66"/>
      <c r="AJ1105" s="66"/>
      <c r="AK1105" s="66"/>
      <c r="AL1105" s="66"/>
      <c r="AM1105" s="66"/>
      <c r="AN1105" s="83"/>
      <c r="AO1105" s="66"/>
      <c r="AP1105" s="66"/>
      <c r="AQ1105" s="66"/>
      <c r="AR1105" s="81"/>
      <c r="AS1105" s="81"/>
      <c r="AT1105" s="81"/>
      <c r="AU1105" s="81"/>
      <c r="AV1105" s="83">
        <f>SUM(Prog_236[[#This Row],[ADIANTAMENTO]]+Prog_236[[#This Row],[SALDO]]+Prog_236[[#This Row],[MARGEM]]+Prog_236[[#This Row],[ESTADIA 1]])</f>
        <v>0</v>
      </c>
      <c r="AW11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5" s="81"/>
      <c r="AY1105" s="81"/>
      <c r="AZ1105" s="81">
        <f>Prog_236[[#This Row],[VLR NF]]*0.1%</f>
        <v>0</v>
      </c>
      <c r="BA1105" s="81">
        <f>Prog_236[[#This Row],[VLR NF]]*0.05%</f>
        <v>0</v>
      </c>
      <c r="BB1105" s="81"/>
      <c r="BC1105" s="81"/>
      <c r="BD1105" s="81"/>
      <c r="BE1105" s="81"/>
      <c r="BF1105" s="81"/>
      <c r="BG1105" s="81"/>
      <c r="BH1105" s="81"/>
      <c r="BI1105" s="81"/>
      <c r="BJ1105" s="81"/>
      <c r="BK1105" s="81"/>
      <c r="BL1105" s="66"/>
      <c r="BM1105" s="66"/>
      <c r="BN1105" s="66"/>
      <c r="BO1105" s="66" t="str">
        <f>PROPER(TEXT(Prog_236[[#This Row],[PROGRAMAÇÃO CLIENTE]],"mmm"))</f>
        <v>Jan</v>
      </c>
      <c r="BP1105" s="66">
        <f>YEAR(Prog_236[[#This Row],[PROGRAMAÇÃO CLIENTE]])</f>
        <v>1900</v>
      </c>
    </row>
    <row r="1106" spans="1:68" x14ac:dyDescent="0.25">
      <c r="A1106" s="201">
        <f>Prog_236[[#This Row],[CONTEINER]]</f>
        <v>0</v>
      </c>
      <c r="B1106" s="86"/>
      <c r="C11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6" s="44"/>
      <c r="E1106" s="66"/>
      <c r="F1106" s="66"/>
      <c r="G1106" s="66"/>
      <c r="H1106" s="44"/>
      <c r="I1106" s="44"/>
      <c r="J1106" s="66"/>
      <c r="K1106" s="66"/>
      <c r="L1106" s="66"/>
      <c r="M1106" s="66"/>
      <c r="N1106" s="66">
        <f>SUM(Prog_236[[#This Row],[TARA]]+Prog_236[[#This Row],[PESO]])</f>
        <v>0</v>
      </c>
      <c r="O1106" s="44"/>
      <c r="P1106" s="66"/>
      <c r="Q1106" s="66"/>
      <c r="R1106" s="66"/>
      <c r="S1106" s="66"/>
      <c r="T1106" s="138" t="str">
        <f>IFERROR(LOOKUP($S1106,MOTORISTAS!$D$3:$D$1048576,MOTORISTAS!E$3:$E$1048576),"")</f>
        <v/>
      </c>
      <c r="U1106" s="138" t="str">
        <f>IFERROR(LOOKUP($S1106,MOTORISTAS!$D$3:$D$1048576,MOTORISTAS!F$3:$F$1048576),"")</f>
        <v/>
      </c>
      <c r="V1106" s="66"/>
      <c r="W1106" s="66"/>
      <c r="X1106" s="66"/>
      <c r="Y1106" s="66"/>
      <c r="Z1106" s="66"/>
      <c r="AA1106" s="66"/>
      <c r="AB1106" s="66"/>
      <c r="AC1106" s="66"/>
      <c r="AD1106" s="66"/>
      <c r="AE1106" s="66"/>
      <c r="AF1106" s="44"/>
      <c r="AG1106" s="254">
        <f>Prog_236[[#This Row],[SAÍDA DO CLIENTE]]-Prog_236[[#This Row],[PROGRAMAÇÃO CLIENTE]]</f>
        <v>0</v>
      </c>
      <c r="AH1106" s="44"/>
      <c r="AI1106" s="66"/>
      <c r="AJ1106" s="66"/>
      <c r="AK1106" s="66"/>
      <c r="AL1106" s="66"/>
      <c r="AM1106" s="66"/>
      <c r="AN1106" s="83"/>
      <c r="AO1106" s="66"/>
      <c r="AP1106" s="66"/>
      <c r="AQ1106" s="66"/>
      <c r="AR1106" s="81"/>
      <c r="AS1106" s="81"/>
      <c r="AT1106" s="81"/>
      <c r="AU1106" s="81"/>
      <c r="AV1106" s="83">
        <f>SUM(Prog_236[[#This Row],[ADIANTAMENTO]]+Prog_236[[#This Row],[SALDO]]+Prog_236[[#This Row],[MARGEM]]+Prog_236[[#This Row],[ESTADIA 1]])</f>
        <v>0</v>
      </c>
      <c r="AW11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6" s="81"/>
      <c r="AY1106" s="81"/>
      <c r="AZ1106" s="81">
        <f>Prog_236[[#This Row],[VLR NF]]*0.1%</f>
        <v>0</v>
      </c>
      <c r="BA1106" s="81">
        <f>Prog_236[[#This Row],[VLR NF]]*0.05%</f>
        <v>0</v>
      </c>
      <c r="BB1106" s="81"/>
      <c r="BC1106" s="81"/>
      <c r="BD1106" s="81"/>
      <c r="BE1106" s="81"/>
      <c r="BF1106" s="81"/>
      <c r="BG1106" s="81"/>
      <c r="BH1106" s="81"/>
      <c r="BI1106" s="81"/>
      <c r="BJ1106" s="81"/>
      <c r="BK1106" s="81"/>
      <c r="BL1106" s="66"/>
      <c r="BM1106" s="66"/>
      <c r="BN1106" s="66"/>
      <c r="BO1106" s="66" t="str">
        <f>PROPER(TEXT(Prog_236[[#This Row],[PROGRAMAÇÃO CLIENTE]],"mmm"))</f>
        <v>Jan</v>
      </c>
      <c r="BP1106" s="66">
        <f>YEAR(Prog_236[[#This Row],[PROGRAMAÇÃO CLIENTE]])</f>
        <v>1900</v>
      </c>
    </row>
    <row r="1107" spans="1:68" x14ac:dyDescent="0.25">
      <c r="A1107" s="200">
        <f>Prog_236[[#This Row],[CONTEINER]]</f>
        <v>0</v>
      </c>
      <c r="B1107" s="86"/>
      <c r="C11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7" s="44"/>
      <c r="E1107" s="66"/>
      <c r="F1107" s="66"/>
      <c r="G1107" s="66"/>
      <c r="H1107" s="44"/>
      <c r="I1107" s="44"/>
      <c r="J1107" s="66"/>
      <c r="K1107" s="66"/>
      <c r="L1107" s="66"/>
      <c r="M1107" s="66"/>
      <c r="N1107" s="66">
        <f>SUM(Prog_236[[#This Row],[TARA]]+Prog_236[[#This Row],[PESO]])</f>
        <v>0</v>
      </c>
      <c r="O1107" s="44"/>
      <c r="P1107" s="66"/>
      <c r="Q1107" s="66"/>
      <c r="R1107" s="66"/>
      <c r="S1107" s="66"/>
      <c r="T1107" s="138" t="str">
        <f>IFERROR(LOOKUP($S1107,MOTORISTAS!$D$3:$D$1048576,MOTORISTAS!E$3:$E$1048576),"")</f>
        <v/>
      </c>
      <c r="U1107" s="138" t="str">
        <f>IFERROR(LOOKUP($S1107,MOTORISTAS!$D$3:$D$1048576,MOTORISTAS!F$3:$F$1048576),"")</f>
        <v/>
      </c>
      <c r="V1107" s="66"/>
      <c r="W1107" s="66"/>
      <c r="X1107" s="66"/>
      <c r="Y1107" s="66"/>
      <c r="Z1107" s="66"/>
      <c r="AA1107" s="66"/>
      <c r="AB1107" s="66"/>
      <c r="AC1107" s="66"/>
      <c r="AD1107" s="66"/>
      <c r="AE1107" s="66"/>
      <c r="AF1107" s="44"/>
      <c r="AG1107" s="254">
        <f>Prog_236[[#This Row],[SAÍDA DO CLIENTE]]-Prog_236[[#This Row],[PROGRAMAÇÃO CLIENTE]]</f>
        <v>0</v>
      </c>
      <c r="AH1107" s="44"/>
      <c r="AI1107" s="66"/>
      <c r="AJ1107" s="66"/>
      <c r="AK1107" s="66"/>
      <c r="AL1107" s="66"/>
      <c r="AM1107" s="66"/>
      <c r="AN1107" s="83"/>
      <c r="AO1107" s="66"/>
      <c r="AP1107" s="66"/>
      <c r="AQ1107" s="66"/>
      <c r="AR1107" s="81"/>
      <c r="AS1107" s="81"/>
      <c r="AT1107" s="81"/>
      <c r="AU1107" s="81"/>
      <c r="AV1107" s="83">
        <f>SUM(Prog_236[[#This Row],[ADIANTAMENTO]]+Prog_236[[#This Row],[SALDO]]+Prog_236[[#This Row],[MARGEM]]+Prog_236[[#This Row],[ESTADIA 1]])</f>
        <v>0</v>
      </c>
      <c r="AW11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7" s="81"/>
      <c r="AY1107" s="81"/>
      <c r="AZ1107" s="81">
        <f>Prog_236[[#This Row],[VLR NF]]*0.1%</f>
        <v>0</v>
      </c>
      <c r="BA1107" s="81">
        <f>Prog_236[[#This Row],[VLR NF]]*0.05%</f>
        <v>0</v>
      </c>
      <c r="BB1107" s="81"/>
      <c r="BC1107" s="81"/>
      <c r="BD1107" s="81"/>
      <c r="BE1107" s="81"/>
      <c r="BF1107" s="81"/>
      <c r="BG1107" s="81"/>
      <c r="BH1107" s="81"/>
      <c r="BI1107" s="81"/>
      <c r="BJ1107" s="81"/>
      <c r="BK1107" s="81"/>
      <c r="BL1107" s="66"/>
      <c r="BM1107" s="66"/>
      <c r="BN1107" s="66"/>
      <c r="BO1107" s="66" t="str">
        <f>PROPER(TEXT(Prog_236[[#This Row],[PROGRAMAÇÃO CLIENTE]],"mmm"))</f>
        <v>Jan</v>
      </c>
      <c r="BP1107" s="66">
        <f>YEAR(Prog_236[[#This Row],[PROGRAMAÇÃO CLIENTE]])</f>
        <v>1900</v>
      </c>
    </row>
    <row r="1108" spans="1:68" x14ac:dyDescent="0.25">
      <c r="A1108" s="201">
        <f>Prog_236[[#This Row],[CONTEINER]]</f>
        <v>0</v>
      </c>
      <c r="B1108" s="86"/>
      <c r="C11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8" s="44"/>
      <c r="E1108" s="66"/>
      <c r="F1108" s="66"/>
      <c r="G1108" s="66"/>
      <c r="H1108" s="44"/>
      <c r="I1108" s="44"/>
      <c r="J1108" s="66"/>
      <c r="K1108" s="66"/>
      <c r="L1108" s="66"/>
      <c r="M1108" s="66"/>
      <c r="N1108" s="66">
        <f>SUM(Prog_236[[#This Row],[TARA]]+Prog_236[[#This Row],[PESO]])</f>
        <v>0</v>
      </c>
      <c r="O1108" s="44"/>
      <c r="P1108" s="66"/>
      <c r="Q1108" s="66"/>
      <c r="R1108" s="66"/>
      <c r="S1108" s="66"/>
      <c r="T1108" s="138" t="str">
        <f>IFERROR(LOOKUP($S1108,MOTORISTAS!$D$3:$D$1048576,MOTORISTAS!E$3:$E$1048576),"")</f>
        <v/>
      </c>
      <c r="U1108" s="138" t="str">
        <f>IFERROR(LOOKUP($S1108,MOTORISTAS!$D$3:$D$1048576,MOTORISTAS!F$3:$F$1048576),"")</f>
        <v/>
      </c>
      <c r="V1108" s="66"/>
      <c r="W1108" s="66"/>
      <c r="X1108" s="66"/>
      <c r="Y1108" s="66"/>
      <c r="Z1108" s="66"/>
      <c r="AA1108" s="66"/>
      <c r="AB1108" s="66"/>
      <c r="AC1108" s="66"/>
      <c r="AD1108" s="66"/>
      <c r="AE1108" s="66"/>
      <c r="AF1108" s="44"/>
      <c r="AG1108" s="254">
        <f>Prog_236[[#This Row],[SAÍDA DO CLIENTE]]-Prog_236[[#This Row],[PROGRAMAÇÃO CLIENTE]]</f>
        <v>0</v>
      </c>
      <c r="AH1108" s="44"/>
      <c r="AI1108" s="66"/>
      <c r="AJ1108" s="66"/>
      <c r="AK1108" s="66"/>
      <c r="AL1108" s="66"/>
      <c r="AM1108" s="66"/>
      <c r="AN1108" s="83"/>
      <c r="AO1108" s="66"/>
      <c r="AP1108" s="66"/>
      <c r="AQ1108" s="66"/>
      <c r="AR1108" s="81"/>
      <c r="AS1108" s="81"/>
      <c r="AT1108" s="81"/>
      <c r="AU1108" s="81"/>
      <c r="AV1108" s="83">
        <f>SUM(Prog_236[[#This Row],[ADIANTAMENTO]]+Prog_236[[#This Row],[SALDO]]+Prog_236[[#This Row],[MARGEM]]+Prog_236[[#This Row],[ESTADIA 1]])</f>
        <v>0</v>
      </c>
      <c r="AW11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8" s="81"/>
      <c r="AY1108" s="81"/>
      <c r="AZ1108" s="81">
        <f>Prog_236[[#This Row],[VLR NF]]*0.1%</f>
        <v>0</v>
      </c>
      <c r="BA1108" s="81">
        <f>Prog_236[[#This Row],[VLR NF]]*0.05%</f>
        <v>0</v>
      </c>
      <c r="BB1108" s="81"/>
      <c r="BC1108" s="81"/>
      <c r="BD1108" s="81"/>
      <c r="BE1108" s="81"/>
      <c r="BF1108" s="81"/>
      <c r="BG1108" s="81"/>
      <c r="BH1108" s="81"/>
      <c r="BI1108" s="81"/>
      <c r="BJ1108" s="81"/>
      <c r="BK1108" s="81"/>
      <c r="BL1108" s="66"/>
      <c r="BM1108" s="66"/>
      <c r="BN1108" s="66"/>
      <c r="BO1108" s="66" t="str">
        <f>PROPER(TEXT(Prog_236[[#This Row],[PROGRAMAÇÃO CLIENTE]],"mmm"))</f>
        <v>Jan</v>
      </c>
      <c r="BP1108" s="66">
        <f>YEAR(Prog_236[[#This Row],[PROGRAMAÇÃO CLIENTE]])</f>
        <v>1900</v>
      </c>
    </row>
    <row r="1109" spans="1:68" x14ac:dyDescent="0.25">
      <c r="A1109" s="200">
        <f>Prog_236[[#This Row],[CONTEINER]]</f>
        <v>0</v>
      </c>
      <c r="B1109" s="86"/>
      <c r="C11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09" s="44"/>
      <c r="E1109" s="66"/>
      <c r="F1109" s="66"/>
      <c r="G1109" s="66"/>
      <c r="H1109" s="44"/>
      <c r="I1109" s="44"/>
      <c r="J1109" s="66"/>
      <c r="K1109" s="66"/>
      <c r="L1109" s="66"/>
      <c r="M1109" s="66"/>
      <c r="N1109" s="66">
        <f>SUM(Prog_236[[#This Row],[TARA]]+Prog_236[[#This Row],[PESO]])</f>
        <v>0</v>
      </c>
      <c r="O1109" s="44"/>
      <c r="P1109" s="66"/>
      <c r="Q1109" s="66"/>
      <c r="R1109" s="66"/>
      <c r="S1109" s="66"/>
      <c r="T1109" s="138" t="str">
        <f>IFERROR(LOOKUP($S1109,MOTORISTAS!$D$3:$D$1048576,MOTORISTAS!E$3:$E$1048576),"")</f>
        <v/>
      </c>
      <c r="U1109" s="138" t="str">
        <f>IFERROR(LOOKUP($S1109,MOTORISTAS!$D$3:$D$1048576,MOTORISTAS!F$3:$F$1048576),"")</f>
        <v/>
      </c>
      <c r="V1109" s="66"/>
      <c r="W1109" s="66"/>
      <c r="X1109" s="66"/>
      <c r="Y1109" s="66"/>
      <c r="Z1109" s="66"/>
      <c r="AA1109" s="66"/>
      <c r="AB1109" s="66"/>
      <c r="AC1109" s="66"/>
      <c r="AD1109" s="66"/>
      <c r="AE1109" s="66"/>
      <c r="AF1109" s="44"/>
      <c r="AG1109" s="254">
        <f>Prog_236[[#This Row],[SAÍDA DO CLIENTE]]-Prog_236[[#This Row],[PROGRAMAÇÃO CLIENTE]]</f>
        <v>0</v>
      </c>
      <c r="AH1109" s="44"/>
      <c r="AI1109" s="66"/>
      <c r="AJ1109" s="66"/>
      <c r="AK1109" s="66"/>
      <c r="AL1109" s="66"/>
      <c r="AM1109" s="66"/>
      <c r="AN1109" s="83"/>
      <c r="AO1109" s="66"/>
      <c r="AP1109" s="66"/>
      <c r="AQ1109" s="66"/>
      <c r="AR1109" s="81"/>
      <c r="AS1109" s="81"/>
      <c r="AT1109" s="81"/>
      <c r="AU1109" s="81"/>
      <c r="AV1109" s="83">
        <f>SUM(Prog_236[[#This Row],[ADIANTAMENTO]]+Prog_236[[#This Row],[SALDO]]+Prog_236[[#This Row],[MARGEM]]+Prog_236[[#This Row],[ESTADIA 1]])</f>
        <v>0</v>
      </c>
      <c r="AW11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09" s="81"/>
      <c r="AY1109" s="81"/>
      <c r="AZ1109" s="81">
        <f>Prog_236[[#This Row],[VLR NF]]*0.1%</f>
        <v>0</v>
      </c>
      <c r="BA1109" s="81">
        <f>Prog_236[[#This Row],[VLR NF]]*0.05%</f>
        <v>0</v>
      </c>
      <c r="BB1109" s="81"/>
      <c r="BC1109" s="81"/>
      <c r="BD1109" s="81"/>
      <c r="BE1109" s="81"/>
      <c r="BF1109" s="81"/>
      <c r="BG1109" s="81"/>
      <c r="BH1109" s="81"/>
      <c r="BI1109" s="81"/>
      <c r="BJ1109" s="81"/>
      <c r="BK1109" s="81"/>
      <c r="BL1109" s="66"/>
      <c r="BM1109" s="66"/>
      <c r="BN1109" s="66"/>
      <c r="BO1109" s="66" t="str">
        <f>PROPER(TEXT(Prog_236[[#This Row],[PROGRAMAÇÃO CLIENTE]],"mmm"))</f>
        <v>Jan</v>
      </c>
      <c r="BP1109" s="66">
        <f>YEAR(Prog_236[[#This Row],[PROGRAMAÇÃO CLIENTE]])</f>
        <v>1900</v>
      </c>
    </row>
    <row r="1110" spans="1:68" x14ac:dyDescent="0.25">
      <c r="A1110" s="201">
        <f>Prog_236[[#This Row],[CONTEINER]]</f>
        <v>0</v>
      </c>
      <c r="B1110" s="86"/>
      <c r="C11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0" s="44"/>
      <c r="E1110" s="66"/>
      <c r="F1110" s="66"/>
      <c r="G1110" s="66"/>
      <c r="H1110" s="44"/>
      <c r="I1110" s="44"/>
      <c r="J1110" s="66"/>
      <c r="K1110" s="66"/>
      <c r="L1110" s="66"/>
      <c r="M1110" s="66"/>
      <c r="N1110" s="66">
        <f>SUM(Prog_236[[#This Row],[TARA]]+Prog_236[[#This Row],[PESO]])</f>
        <v>0</v>
      </c>
      <c r="O1110" s="44"/>
      <c r="P1110" s="66"/>
      <c r="Q1110" s="66"/>
      <c r="R1110" s="66"/>
      <c r="S1110" s="66"/>
      <c r="T1110" s="138" t="str">
        <f>IFERROR(LOOKUP($S1110,MOTORISTAS!$D$3:$D$1048576,MOTORISTAS!E$3:$E$1048576),"")</f>
        <v/>
      </c>
      <c r="U1110" s="138" t="str">
        <f>IFERROR(LOOKUP($S1110,MOTORISTAS!$D$3:$D$1048576,MOTORISTAS!F$3:$F$1048576),"")</f>
        <v/>
      </c>
      <c r="V1110" s="66"/>
      <c r="W1110" s="66"/>
      <c r="X1110" s="66"/>
      <c r="Y1110" s="66"/>
      <c r="Z1110" s="66"/>
      <c r="AA1110" s="66"/>
      <c r="AB1110" s="66"/>
      <c r="AC1110" s="66"/>
      <c r="AD1110" s="66"/>
      <c r="AE1110" s="66"/>
      <c r="AF1110" s="44"/>
      <c r="AG1110" s="254">
        <f>Prog_236[[#This Row],[SAÍDA DO CLIENTE]]-Prog_236[[#This Row],[PROGRAMAÇÃO CLIENTE]]</f>
        <v>0</v>
      </c>
      <c r="AH1110" s="44"/>
      <c r="AI1110" s="66"/>
      <c r="AJ1110" s="66"/>
      <c r="AK1110" s="66"/>
      <c r="AL1110" s="66"/>
      <c r="AM1110" s="66"/>
      <c r="AN1110" s="83"/>
      <c r="AO1110" s="66"/>
      <c r="AP1110" s="66"/>
      <c r="AQ1110" s="66"/>
      <c r="AR1110" s="81"/>
      <c r="AS1110" s="81"/>
      <c r="AT1110" s="81"/>
      <c r="AU1110" s="81"/>
      <c r="AV1110" s="83">
        <f>SUM(Prog_236[[#This Row],[ADIANTAMENTO]]+Prog_236[[#This Row],[SALDO]]+Prog_236[[#This Row],[MARGEM]]+Prog_236[[#This Row],[ESTADIA 1]])</f>
        <v>0</v>
      </c>
      <c r="AW11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0" s="81"/>
      <c r="AY1110" s="81"/>
      <c r="AZ1110" s="81">
        <f>Prog_236[[#This Row],[VLR NF]]*0.1%</f>
        <v>0</v>
      </c>
      <c r="BA1110" s="81">
        <f>Prog_236[[#This Row],[VLR NF]]*0.05%</f>
        <v>0</v>
      </c>
      <c r="BB1110" s="81"/>
      <c r="BC1110" s="81"/>
      <c r="BD1110" s="81"/>
      <c r="BE1110" s="81"/>
      <c r="BF1110" s="81"/>
      <c r="BG1110" s="81"/>
      <c r="BH1110" s="81"/>
      <c r="BI1110" s="81"/>
      <c r="BJ1110" s="81"/>
      <c r="BK1110" s="81"/>
      <c r="BL1110" s="66"/>
      <c r="BM1110" s="66"/>
      <c r="BN1110" s="66"/>
      <c r="BO1110" s="66" t="str">
        <f>PROPER(TEXT(Prog_236[[#This Row],[PROGRAMAÇÃO CLIENTE]],"mmm"))</f>
        <v>Jan</v>
      </c>
      <c r="BP1110" s="66">
        <f>YEAR(Prog_236[[#This Row],[PROGRAMAÇÃO CLIENTE]])</f>
        <v>1900</v>
      </c>
    </row>
    <row r="1111" spans="1:68" x14ac:dyDescent="0.25">
      <c r="A1111" s="200">
        <f>Prog_236[[#This Row],[CONTEINER]]</f>
        <v>0</v>
      </c>
      <c r="B1111" s="86"/>
      <c r="C11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1" s="44"/>
      <c r="E1111" s="66"/>
      <c r="F1111" s="66"/>
      <c r="G1111" s="66"/>
      <c r="H1111" s="44"/>
      <c r="I1111" s="44"/>
      <c r="J1111" s="66"/>
      <c r="K1111" s="66"/>
      <c r="L1111" s="66"/>
      <c r="M1111" s="66"/>
      <c r="N1111" s="66">
        <f>SUM(Prog_236[[#This Row],[TARA]]+Prog_236[[#This Row],[PESO]])</f>
        <v>0</v>
      </c>
      <c r="O1111" s="44"/>
      <c r="P1111" s="66"/>
      <c r="Q1111" s="66"/>
      <c r="R1111" s="66"/>
      <c r="S1111" s="66"/>
      <c r="T1111" s="138" t="str">
        <f>IFERROR(LOOKUP($S1111,MOTORISTAS!$D$3:$D$1048576,MOTORISTAS!E$3:$E$1048576),"")</f>
        <v/>
      </c>
      <c r="U1111" s="138" t="str">
        <f>IFERROR(LOOKUP($S1111,MOTORISTAS!$D$3:$D$1048576,MOTORISTAS!F$3:$F$1048576),"")</f>
        <v/>
      </c>
      <c r="V1111" s="66"/>
      <c r="W1111" s="66"/>
      <c r="X1111" s="66"/>
      <c r="Y1111" s="66"/>
      <c r="Z1111" s="66"/>
      <c r="AA1111" s="66"/>
      <c r="AB1111" s="66"/>
      <c r="AC1111" s="66"/>
      <c r="AD1111" s="66"/>
      <c r="AE1111" s="66"/>
      <c r="AF1111" s="44"/>
      <c r="AG1111" s="254">
        <f>Prog_236[[#This Row],[SAÍDA DO CLIENTE]]-Prog_236[[#This Row],[PROGRAMAÇÃO CLIENTE]]</f>
        <v>0</v>
      </c>
      <c r="AH1111" s="44"/>
      <c r="AI1111" s="66"/>
      <c r="AJ1111" s="66"/>
      <c r="AK1111" s="66"/>
      <c r="AL1111" s="66"/>
      <c r="AM1111" s="66"/>
      <c r="AN1111" s="83"/>
      <c r="AO1111" s="66"/>
      <c r="AP1111" s="66"/>
      <c r="AQ1111" s="66"/>
      <c r="AR1111" s="81"/>
      <c r="AS1111" s="81"/>
      <c r="AT1111" s="81"/>
      <c r="AU1111" s="81"/>
      <c r="AV1111" s="83">
        <f>SUM(Prog_236[[#This Row],[ADIANTAMENTO]]+Prog_236[[#This Row],[SALDO]]+Prog_236[[#This Row],[MARGEM]]+Prog_236[[#This Row],[ESTADIA 1]])</f>
        <v>0</v>
      </c>
      <c r="AW11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1" s="81"/>
      <c r="AY1111" s="81"/>
      <c r="AZ1111" s="81">
        <f>Prog_236[[#This Row],[VLR NF]]*0.1%</f>
        <v>0</v>
      </c>
      <c r="BA1111" s="81">
        <f>Prog_236[[#This Row],[VLR NF]]*0.05%</f>
        <v>0</v>
      </c>
      <c r="BB1111" s="81"/>
      <c r="BC1111" s="81"/>
      <c r="BD1111" s="81"/>
      <c r="BE1111" s="81"/>
      <c r="BF1111" s="81"/>
      <c r="BG1111" s="81"/>
      <c r="BH1111" s="81"/>
      <c r="BI1111" s="81"/>
      <c r="BJ1111" s="81"/>
      <c r="BK1111" s="81"/>
      <c r="BL1111" s="66"/>
      <c r="BM1111" s="66"/>
      <c r="BN1111" s="66"/>
      <c r="BO1111" s="66" t="str">
        <f>PROPER(TEXT(Prog_236[[#This Row],[PROGRAMAÇÃO CLIENTE]],"mmm"))</f>
        <v>Jan</v>
      </c>
      <c r="BP1111" s="66">
        <f>YEAR(Prog_236[[#This Row],[PROGRAMAÇÃO CLIENTE]])</f>
        <v>1900</v>
      </c>
    </row>
    <row r="1112" spans="1:68" x14ac:dyDescent="0.25">
      <c r="A1112" s="201">
        <f>Prog_236[[#This Row],[CONTEINER]]</f>
        <v>0</v>
      </c>
      <c r="B1112" s="86"/>
      <c r="C11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2" s="44"/>
      <c r="E1112" s="66"/>
      <c r="F1112" s="66"/>
      <c r="G1112" s="66"/>
      <c r="H1112" s="44"/>
      <c r="I1112" s="44"/>
      <c r="J1112" s="66"/>
      <c r="K1112" s="66"/>
      <c r="L1112" s="66"/>
      <c r="M1112" s="66"/>
      <c r="N1112" s="66">
        <f>SUM(Prog_236[[#This Row],[TARA]]+Prog_236[[#This Row],[PESO]])</f>
        <v>0</v>
      </c>
      <c r="O1112" s="44"/>
      <c r="P1112" s="66"/>
      <c r="Q1112" s="66"/>
      <c r="R1112" s="66"/>
      <c r="S1112" s="66"/>
      <c r="T1112" s="138" t="str">
        <f>IFERROR(LOOKUP($S1112,MOTORISTAS!$D$3:$D$1048576,MOTORISTAS!E$3:$E$1048576),"")</f>
        <v/>
      </c>
      <c r="U1112" s="138" t="str">
        <f>IFERROR(LOOKUP($S1112,MOTORISTAS!$D$3:$D$1048576,MOTORISTAS!F$3:$F$1048576),"")</f>
        <v/>
      </c>
      <c r="V1112" s="66"/>
      <c r="W1112" s="66"/>
      <c r="X1112" s="66"/>
      <c r="Y1112" s="66"/>
      <c r="Z1112" s="66"/>
      <c r="AA1112" s="66"/>
      <c r="AB1112" s="66"/>
      <c r="AC1112" s="66"/>
      <c r="AD1112" s="66"/>
      <c r="AE1112" s="66"/>
      <c r="AF1112" s="44"/>
      <c r="AG1112" s="254">
        <f>Prog_236[[#This Row],[SAÍDA DO CLIENTE]]-Prog_236[[#This Row],[PROGRAMAÇÃO CLIENTE]]</f>
        <v>0</v>
      </c>
      <c r="AH1112" s="44"/>
      <c r="AI1112" s="66"/>
      <c r="AJ1112" s="66"/>
      <c r="AK1112" s="66"/>
      <c r="AL1112" s="66"/>
      <c r="AM1112" s="66"/>
      <c r="AN1112" s="83"/>
      <c r="AO1112" s="66"/>
      <c r="AP1112" s="66"/>
      <c r="AQ1112" s="66"/>
      <c r="AR1112" s="81"/>
      <c r="AS1112" s="81"/>
      <c r="AT1112" s="81"/>
      <c r="AU1112" s="81"/>
      <c r="AV1112" s="83">
        <f>SUM(Prog_236[[#This Row],[ADIANTAMENTO]]+Prog_236[[#This Row],[SALDO]]+Prog_236[[#This Row],[MARGEM]]+Prog_236[[#This Row],[ESTADIA 1]])</f>
        <v>0</v>
      </c>
      <c r="AW11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2" s="81"/>
      <c r="AY1112" s="81"/>
      <c r="AZ1112" s="81">
        <f>Prog_236[[#This Row],[VLR NF]]*0.1%</f>
        <v>0</v>
      </c>
      <c r="BA1112" s="81">
        <f>Prog_236[[#This Row],[VLR NF]]*0.05%</f>
        <v>0</v>
      </c>
      <c r="BB1112" s="81"/>
      <c r="BC1112" s="81"/>
      <c r="BD1112" s="81"/>
      <c r="BE1112" s="81"/>
      <c r="BF1112" s="81"/>
      <c r="BG1112" s="81"/>
      <c r="BH1112" s="81"/>
      <c r="BI1112" s="81"/>
      <c r="BJ1112" s="81"/>
      <c r="BK1112" s="81"/>
      <c r="BL1112" s="66"/>
      <c r="BM1112" s="66"/>
      <c r="BN1112" s="66"/>
      <c r="BO1112" s="66" t="str">
        <f>PROPER(TEXT(Prog_236[[#This Row],[PROGRAMAÇÃO CLIENTE]],"mmm"))</f>
        <v>Jan</v>
      </c>
      <c r="BP1112" s="66">
        <f>YEAR(Prog_236[[#This Row],[PROGRAMAÇÃO CLIENTE]])</f>
        <v>1900</v>
      </c>
    </row>
    <row r="1113" spans="1:68" x14ac:dyDescent="0.25">
      <c r="A1113" s="200">
        <f>Prog_236[[#This Row],[CONTEINER]]</f>
        <v>0</v>
      </c>
      <c r="B1113" s="86"/>
      <c r="C11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3" s="44"/>
      <c r="E1113" s="66"/>
      <c r="F1113" s="66"/>
      <c r="G1113" s="66"/>
      <c r="H1113" s="44"/>
      <c r="I1113" s="44"/>
      <c r="J1113" s="66"/>
      <c r="K1113" s="66"/>
      <c r="L1113" s="66"/>
      <c r="M1113" s="66"/>
      <c r="N1113" s="66">
        <f>SUM(Prog_236[[#This Row],[TARA]]+Prog_236[[#This Row],[PESO]])</f>
        <v>0</v>
      </c>
      <c r="O1113" s="44"/>
      <c r="P1113" s="66"/>
      <c r="Q1113" s="66"/>
      <c r="R1113" s="66"/>
      <c r="S1113" s="66"/>
      <c r="T1113" s="138" t="str">
        <f>IFERROR(LOOKUP($S1113,MOTORISTAS!$D$3:$D$1048576,MOTORISTAS!E$3:$E$1048576),"")</f>
        <v/>
      </c>
      <c r="U1113" s="138" t="str">
        <f>IFERROR(LOOKUP($S1113,MOTORISTAS!$D$3:$D$1048576,MOTORISTAS!F$3:$F$1048576),"")</f>
        <v/>
      </c>
      <c r="V1113" s="66"/>
      <c r="W1113" s="66"/>
      <c r="X1113" s="66"/>
      <c r="Y1113" s="66"/>
      <c r="Z1113" s="66"/>
      <c r="AA1113" s="66"/>
      <c r="AB1113" s="66"/>
      <c r="AC1113" s="66"/>
      <c r="AD1113" s="66"/>
      <c r="AE1113" s="66"/>
      <c r="AF1113" s="44"/>
      <c r="AG1113" s="254">
        <f>Prog_236[[#This Row],[SAÍDA DO CLIENTE]]-Prog_236[[#This Row],[PROGRAMAÇÃO CLIENTE]]</f>
        <v>0</v>
      </c>
      <c r="AH1113" s="44"/>
      <c r="AI1113" s="66"/>
      <c r="AJ1113" s="66"/>
      <c r="AK1113" s="66"/>
      <c r="AL1113" s="66"/>
      <c r="AM1113" s="66"/>
      <c r="AN1113" s="83"/>
      <c r="AO1113" s="66"/>
      <c r="AP1113" s="66"/>
      <c r="AQ1113" s="66"/>
      <c r="AR1113" s="81"/>
      <c r="AS1113" s="81"/>
      <c r="AT1113" s="81"/>
      <c r="AU1113" s="81"/>
      <c r="AV1113" s="83">
        <f>SUM(Prog_236[[#This Row],[ADIANTAMENTO]]+Prog_236[[#This Row],[SALDO]]+Prog_236[[#This Row],[MARGEM]]+Prog_236[[#This Row],[ESTADIA 1]])</f>
        <v>0</v>
      </c>
      <c r="AW11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3" s="81"/>
      <c r="AY1113" s="81"/>
      <c r="AZ1113" s="81">
        <f>Prog_236[[#This Row],[VLR NF]]*0.1%</f>
        <v>0</v>
      </c>
      <c r="BA1113" s="81">
        <f>Prog_236[[#This Row],[VLR NF]]*0.05%</f>
        <v>0</v>
      </c>
      <c r="BB1113" s="81"/>
      <c r="BC1113" s="81"/>
      <c r="BD1113" s="81"/>
      <c r="BE1113" s="81"/>
      <c r="BF1113" s="81"/>
      <c r="BG1113" s="81"/>
      <c r="BH1113" s="81"/>
      <c r="BI1113" s="81"/>
      <c r="BJ1113" s="81"/>
      <c r="BK1113" s="81"/>
      <c r="BL1113" s="66"/>
      <c r="BM1113" s="66"/>
      <c r="BN1113" s="66"/>
      <c r="BO1113" s="66" t="str">
        <f>PROPER(TEXT(Prog_236[[#This Row],[PROGRAMAÇÃO CLIENTE]],"mmm"))</f>
        <v>Jan</v>
      </c>
      <c r="BP1113" s="66">
        <f>YEAR(Prog_236[[#This Row],[PROGRAMAÇÃO CLIENTE]])</f>
        <v>1900</v>
      </c>
    </row>
    <row r="1114" spans="1:68" x14ac:dyDescent="0.25">
      <c r="A1114" s="201">
        <f>Prog_236[[#This Row],[CONTEINER]]</f>
        <v>0</v>
      </c>
      <c r="B1114" s="86"/>
      <c r="C11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4" s="44"/>
      <c r="E1114" s="66"/>
      <c r="F1114" s="66"/>
      <c r="G1114" s="66"/>
      <c r="H1114" s="44"/>
      <c r="I1114" s="44"/>
      <c r="J1114" s="66"/>
      <c r="K1114" s="66"/>
      <c r="L1114" s="66"/>
      <c r="M1114" s="66"/>
      <c r="N1114" s="66">
        <f>SUM(Prog_236[[#This Row],[TARA]]+Prog_236[[#This Row],[PESO]])</f>
        <v>0</v>
      </c>
      <c r="O1114" s="44"/>
      <c r="P1114" s="66"/>
      <c r="Q1114" s="66"/>
      <c r="R1114" s="66"/>
      <c r="S1114" s="66"/>
      <c r="T1114" s="138" t="str">
        <f>IFERROR(LOOKUP($S1114,MOTORISTAS!$D$3:$D$1048576,MOTORISTAS!E$3:$E$1048576),"")</f>
        <v/>
      </c>
      <c r="U1114" s="138" t="str">
        <f>IFERROR(LOOKUP($S1114,MOTORISTAS!$D$3:$D$1048576,MOTORISTAS!F$3:$F$1048576),"")</f>
        <v/>
      </c>
      <c r="V1114" s="66"/>
      <c r="W1114" s="66"/>
      <c r="X1114" s="66"/>
      <c r="Y1114" s="66"/>
      <c r="Z1114" s="66"/>
      <c r="AA1114" s="66"/>
      <c r="AB1114" s="66"/>
      <c r="AC1114" s="66"/>
      <c r="AD1114" s="66"/>
      <c r="AE1114" s="66"/>
      <c r="AF1114" s="44"/>
      <c r="AG1114" s="254">
        <f>Prog_236[[#This Row],[SAÍDA DO CLIENTE]]-Prog_236[[#This Row],[PROGRAMAÇÃO CLIENTE]]</f>
        <v>0</v>
      </c>
      <c r="AH1114" s="44"/>
      <c r="AI1114" s="66"/>
      <c r="AJ1114" s="66"/>
      <c r="AK1114" s="66"/>
      <c r="AL1114" s="66"/>
      <c r="AM1114" s="66"/>
      <c r="AN1114" s="83"/>
      <c r="AO1114" s="66"/>
      <c r="AP1114" s="66"/>
      <c r="AQ1114" s="66"/>
      <c r="AR1114" s="81"/>
      <c r="AS1114" s="81"/>
      <c r="AT1114" s="81"/>
      <c r="AU1114" s="81"/>
      <c r="AV1114" s="83">
        <f>SUM(Prog_236[[#This Row],[ADIANTAMENTO]]+Prog_236[[#This Row],[SALDO]]+Prog_236[[#This Row],[MARGEM]]+Prog_236[[#This Row],[ESTADIA 1]])</f>
        <v>0</v>
      </c>
      <c r="AW11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4" s="81"/>
      <c r="AY1114" s="81"/>
      <c r="AZ1114" s="81">
        <f>Prog_236[[#This Row],[VLR NF]]*0.1%</f>
        <v>0</v>
      </c>
      <c r="BA1114" s="81">
        <f>Prog_236[[#This Row],[VLR NF]]*0.05%</f>
        <v>0</v>
      </c>
      <c r="BB1114" s="81"/>
      <c r="BC1114" s="81"/>
      <c r="BD1114" s="81"/>
      <c r="BE1114" s="81"/>
      <c r="BF1114" s="81"/>
      <c r="BG1114" s="81"/>
      <c r="BH1114" s="81"/>
      <c r="BI1114" s="81"/>
      <c r="BJ1114" s="81"/>
      <c r="BK1114" s="81"/>
      <c r="BL1114" s="66"/>
      <c r="BM1114" s="66"/>
      <c r="BN1114" s="66"/>
      <c r="BO1114" s="66" t="str">
        <f>PROPER(TEXT(Prog_236[[#This Row],[PROGRAMAÇÃO CLIENTE]],"mmm"))</f>
        <v>Jan</v>
      </c>
      <c r="BP1114" s="66">
        <f>YEAR(Prog_236[[#This Row],[PROGRAMAÇÃO CLIENTE]])</f>
        <v>1900</v>
      </c>
    </row>
    <row r="1115" spans="1:68" x14ac:dyDescent="0.25">
      <c r="A1115" s="200">
        <f>Prog_236[[#This Row],[CONTEINER]]</f>
        <v>0</v>
      </c>
      <c r="B1115" s="86"/>
      <c r="C11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5" s="44"/>
      <c r="E1115" s="66"/>
      <c r="F1115" s="66"/>
      <c r="G1115" s="66"/>
      <c r="H1115" s="44"/>
      <c r="I1115" s="44"/>
      <c r="J1115" s="66"/>
      <c r="K1115" s="66"/>
      <c r="L1115" s="66"/>
      <c r="M1115" s="66"/>
      <c r="N1115" s="66">
        <f>SUM(Prog_236[[#This Row],[TARA]]+Prog_236[[#This Row],[PESO]])</f>
        <v>0</v>
      </c>
      <c r="O1115" s="44"/>
      <c r="P1115" s="66"/>
      <c r="Q1115" s="66"/>
      <c r="R1115" s="66"/>
      <c r="S1115" s="66"/>
      <c r="T1115" s="138" t="str">
        <f>IFERROR(LOOKUP($S1115,MOTORISTAS!$D$3:$D$1048576,MOTORISTAS!E$3:$E$1048576),"")</f>
        <v/>
      </c>
      <c r="U1115" s="138" t="str">
        <f>IFERROR(LOOKUP($S1115,MOTORISTAS!$D$3:$D$1048576,MOTORISTAS!F$3:$F$1048576),"")</f>
        <v/>
      </c>
      <c r="V1115" s="66"/>
      <c r="W1115" s="66"/>
      <c r="X1115" s="66"/>
      <c r="Y1115" s="66"/>
      <c r="Z1115" s="66"/>
      <c r="AA1115" s="66"/>
      <c r="AB1115" s="66"/>
      <c r="AC1115" s="66"/>
      <c r="AD1115" s="66"/>
      <c r="AE1115" s="66"/>
      <c r="AF1115" s="44"/>
      <c r="AG1115" s="254">
        <f>Prog_236[[#This Row],[SAÍDA DO CLIENTE]]-Prog_236[[#This Row],[PROGRAMAÇÃO CLIENTE]]</f>
        <v>0</v>
      </c>
      <c r="AH1115" s="44"/>
      <c r="AI1115" s="66"/>
      <c r="AJ1115" s="66"/>
      <c r="AK1115" s="66"/>
      <c r="AL1115" s="66"/>
      <c r="AM1115" s="66"/>
      <c r="AN1115" s="83"/>
      <c r="AO1115" s="66"/>
      <c r="AP1115" s="66"/>
      <c r="AQ1115" s="66"/>
      <c r="AR1115" s="81"/>
      <c r="AS1115" s="81"/>
      <c r="AT1115" s="81"/>
      <c r="AU1115" s="81"/>
      <c r="AV1115" s="83">
        <f>SUM(Prog_236[[#This Row],[ADIANTAMENTO]]+Prog_236[[#This Row],[SALDO]]+Prog_236[[#This Row],[MARGEM]]+Prog_236[[#This Row],[ESTADIA 1]])</f>
        <v>0</v>
      </c>
      <c r="AW11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5" s="81"/>
      <c r="AY1115" s="81"/>
      <c r="AZ1115" s="81">
        <f>Prog_236[[#This Row],[VLR NF]]*0.1%</f>
        <v>0</v>
      </c>
      <c r="BA1115" s="81">
        <f>Prog_236[[#This Row],[VLR NF]]*0.05%</f>
        <v>0</v>
      </c>
      <c r="BB1115" s="81"/>
      <c r="BC1115" s="81"/>
      <c r="BD1115" s="81"/>
      <c r="BE1115" s="81"/>
      <c r="BF1115" s="81"/>
      <c r="BG1115" s="81"/>
      <c r="BH1115" s="81"/>
      <c r="BI1115" s="81"/>
      <c r="BJ1115" s="81"/>
      <c r="BK1115" s="81"/>
      <c r="BL1115" s="66"/>
      <c r="BM1115" s="66"/>
      <c r="BN1115" s="66"/>
      <c r="BO1115" s="66" t="str">
        <f>PROPER(TEXT(Prog_236[[#This Row],[PROGRAMAÇÃO CLIENTE]],"mmm"))</f>
        <v>Jan</v>
      </c>
      <c r="BP1115" s="66">
        <f>YEAR(Prog_236[[#This Row],[PROGRAMAÇÃO CLIENTE]])</f>
        <v>1900</v>
      </c>
    </row>
    <row r="1116" spans="1:68" x14ac:dyDescent="0.25">
      <c r="A1116" s="201">
        <f>Prog_236[[#This Row],[CONTEINER]]</f>
        <v>0</v>
      </c>
      <c r="B1116" s="86"/>
      <c r="C11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6" s="44"/>
      <c r="E1116" s="66"/>
      <c r="F1116" s="66"/>
      <c r="G1116" s="66"/>
      <c r="H1116" s="44"/>
      <c r="I1116" s="44"/>
      <c r="J1116" s="66"/>
      <c r="K1116" s="66"/>
      <c r="L1116" s="66"/>
      <c r="M1116" s="66"/>
      <c r="N1116" s="66">
        <f>SUM(Prog_236[[#This Row],[TARA]]+Prog_236[[#This Row],[PESO]])</f>
        <v>0</v>
      </c>
      <c r="O1116" s="44"/>
      <c r="P1116" s="66"/>
      <c r="Q1116" s="66"/>
      <c r="R1116" s="66"/>
      <c r="S1116" s="66"/>
      <c r="T1116" s="138" t="str">
        <f>IFERROR(LOOKUP($S1116,MOTORISTAS!$D$3:$D$1048576,MOTORISTAS!E$3:$E$1048576),"")</f>
        <v/>
      </c>
      <c r="U1116" s="138" t="str">
        <f>IFERROR(LOOKUP($S1116,MOTORISTAS!$D$3:$D$1048576,MOTORISTAS!F$3:$F$1048576),"")</f>
        <v/>
      </c>
      <c r="V1116" s="66"/>
      <c r="W1116" s="66"/>
      <c r="X1116" s="66"/>
      <c r="Y1116" s="66"/>
      <c r="Z1116" s="66"/>
      <c r="AA1116" s="66"/>
      <c r="AB1116" s="66"/>
      <c r="AC1116" s="66"/>
      <c r="AD1116" s="66"/>
      <c r="AE1116" s="66"/>
      <c r="AF1116" s="44"/>
      <c r="AG1116" s="254">
        <f>Prog_236[[#This Row],[SAÍDA DO CLIENTE]]-Prog_236[[#This Row],[PROGRAMAÇÃO CLIENTE]]</f>
        <v>0</v>
      </c>
      <c r="AH1116" s="44"/>
      <c r="AI1116" s="66"/>
      <c r="AJ1116" s="66"/>
      <c r="AK1116" s="66"/>
      <c r="AL1116" s="66"/>
      <c r="AM1116" s="66"/>
      <c r="AN1116" s="83"/>
      <c r="AO1116" s="66"/>
      <c r="AP1116" s="66"/>
      <c r="AQ1116" s="66"/>
      <c r="AR1116" s="81"/>
      <c r="AS1116" s="81"/>
      <c r="AT1116" s="81"/>
      <c r="AU1116" s="81"/>
      <c r="AV1116" s="83">
        <f>SUM(Prog_236[[#This Row],[ADIANTAMENTO]]+Prog_236[[#This Row],[SALDO]]+Prog_236[[#This Row],[MARGEM]]+Prog_236[[#This Row],[ESTADIA 1]])</f>
        <v>0</v>
      </c>
      <c r="AW11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6" s="81"/>
      <c r="AY1116" s="81"/>
      <c r="AZ1116" s="81">
        <f>Prog_236[[#This Row],[VLR NF]]*0.1%</f>
        <v>0</v>
      </c>
      <c r="BA1116" s="81">
        <f>Prog_236[[#This Row],[VLR NF]]*0.05%</f>
        <v>0</v>
      </c>
      <c r="BB1116" s="81"/>
      <c r="BC1116" s="81"/>
      <c r="BD1116" s="81"/>
      <c r="BE1116" s="81"/>
      <c r="BF1116" s="81"/>
      <c r="BG1116" s="81"/>
      <c r="BH1116" s="81"/>
      <c r="BI1116" s="81"/>
      <c r="BJ1116" s="81"/>
      <c r="BK1116" s="81"/>
      <c r="BL1116" s="66"/>
      <c r="BM1116" s="66"/>
      <c r="BN1116" s="66"/>
      <c r="BO1116" s="66" t="str">
        <f>PROPER(TEXT(Prog_236[[#This Row],[PROGRAMAÇÃO CLIENTE]],"mmm"))</f>
        <v>Jan</v>
      </c>
      <c r="BP1116" s="66">
        <f>YEAR(Prog_236[[#This Row],[PROGRAMAÇÃO CLIENTE]])</f>
        <v>1900</v>
      </c>
    </row>
    <row r="1117" spans="1:68" x14ac:dyDescent="0.25">
      <c r="A1117" s="200">
        <f>Prog_236[[#This Row],[CONTEINER]]</f>
        <v>0</v>
      </c>
      <c r="B1117" s="86"/>
      <c r="C11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7" s="44"/>
      <c r="E1117" s="66"/>
      <c r="F1117" s="66"/>
      <c r="G1117" s="66"/>
      <c r="H1117" s="44"/>
      <c r="I1117" s="44"/>
      <c r="J1117" s="66"/>
      <c r="K1117" s="66"/>
      <c r="L1117" s="66"/>
      <c r="M1117" s="66"/>
      <c r="N1117" s="66">
        <f>SUM(Prog_236[[#This Row],[TARA]]+Prog_236[[#This Row],[PESO]])</f>
        <v>0</v>
      </c>
      <c r="O1117" s="44"/>
      <c r="P1117" s="66"/>
      <c r="Q1117" s="66"/>
      <c r="R1117" s="66"/>
      <c r="S1117" s="66"/>
      <c r="T1117" s="138" t="str">
        <f>IFERROR(LOOKUP($S1117,MOTORISTAS!$D$3:$D$1048576,MOTORISTAS!E$3:$E$1048576),"")</f>
        <v/>
      </c>
      <c r="U1117" s="138" t="str">
        <f>IFERROR(LOOKUP($S1117,MOTORISTAS!$D$3:$D$1048576,MOTORISTAS!F$3:$F$1048576),"")</f>
        <v/>
      </c>
      <c r="V1117" s="66"/>
      <c r="W1117" s="66"/>
      <c r="X1117" s="66"/>
      <c r="Y1117" s="66"/>
      <c r="Z1117" s="66"/>
      <c r="AA1117" s="66"/>
      <c r="AB1117" s="66"/>
      <c r="AC1117" s="66"/>
      <c r="AD1117" s="66"/>
      <c r="AE1117" s="66"/>
      <c r="AF1117" s="44"/>
      <c r="AG1117" s="254">
        <f>Prog_236[[#This Row],[SAÍDA DO CLIENTE]]-Prog_236[[#This Row],[PROGRAMAÇÃO CLIENTE]]</f>
        <v>0</v>
      </c>
      <c r="AH1117" s="44"/>
      <c r="AI1117" s="66"/>
      <c r="AJ1117" s="66"/>
      <c r="AK1117" s="66"/>
      <c r="AL1117" s="66"/>
      <c r="AM1117" s="66"/>
      <c r="AN1117" s="83"/>
      <c r="AO1117" s="66"/>
      <c r="AP1117" s="66"/>
      <c r="AQ1117" s="66"/>
      <c r="AR1117" s="81"/>
      <c r="AS1117" s="81"/>
      <c r="AT1117" s="81"/>
      <c r="AU1117" s="81"/>
      <c r="AV1117" s="83">
        <f>SUM(Prog_236[[#This Row],[ADIANTAMENTO]]+Prog_236[[#This Row],[SALDO]]+Prog_236[[#This Row],[MARGEM]]+Prog_236[[#This Row],[ESTADIA 1]])</f>
        <v>0</v>
      </c>
      <c r="AW11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7" s="81"/>
      <c r="AY1117" s="81"/>
      <c r="AZ1117" s="81">
        <f>Prog_236[[#This Row],[VLR NF]]*0.1%</f>
        <v>0</v>
      </c>
      <c r="BA1117" s="81">
        <f>Prog_236[[#This Row],[VLR NF]]*0.05%</f>
        <v>0</v>
      </c>
      <c r="BB1117" s="81"/>
      <c r="BC1117" s="81"/>
      <c r="BD1117" s="81"/>
      <c r="BE1117" s="81"/>
      <c r="BF1117" s="81"/>
      <c r="BG1117" s="81"/>
      <c r="BH1117" s="81"/>
      <c r="BI1117" s="81"/>
      <c r="BJ1117" s="81"/>
      <c r="BK1117" s="81"/>
      <c r="BL1117" s="66"/>
      <c r="BM1117" s="66"/>
      <c r="BN1117" s="66"/>
      <c r="BO1117" s="66" t="str">
        <f>PROPER(TEXT(Prog_236[[#This Row],[PROGRAMAÇÃO CLIENTE]],"mmm"))</f>
        <v>Jan</v>
      </c>
      <c r="BP1117" s="66">
        <f>YEAR(Prog_236[[#This Row],[PROGRAMAÇÃO CLIENTE]])</f>
        <v>1900</v>
      </c>
    </row>
    <row r="1118" spans="1:68" x14ac:dyDescent="0.25">
      <c r="A1118" s="201">
        <f>Prog_236[[#This Row],[CONTEINER]]</f>
        <v>0</v>
      </c>
      <c r="B1118" s="86"/>
      <c r="C11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8" s="44"/>
      <c r="E1118" s="66"/>
      <c r="F1118" s="66"/>
      <c r="G1118" s="66"/>
      <c r="H1118" s="44"/>
      <c r="I1118" s="44"/>
      <c r="J1118" s="66"/>
      <c r="K1118" s="66"/>
      <c r="L1118" s="66"/>
      <c r="M1118" s="66"/>
      <c r="N1118" s="66">
        <f>SUM(Prog_236[[#This Row],[TARA]]+Prog_236[[#This Row],[PESO]])</f>
        <v>0</v>
      </c>
      <c r="O1118" s="44"/>
      <c r="P1118" s="66"/>
      <c r="Q1118" s="66"/>
      <c r="R1118" s="66"/>
      <c r="S1118" s="66"/>
      <c r="T1118" s="138" t="str">
        <f>IFERROR(LOOKUP($S1118,MOTORISTAS!$D$3:$D$1048576,MOTORISTAS!E$3:$E$1048576),"")</f>
        <v/>
      </c>
      <c r="U1118" s="138" t="str">
        <f>IFERROR(LOOKUP($S1118,MOTORISTAS!$D$3:$D$1048576,MOTORISTAS!F$3:$F$1048576),"")</f>
        <v/>
      </c>
      <c r="V1118" s="66"/>
      <c r="W1118" s="66"/>
      <c r="X1118" s="66"/>
      <c r="Y1118" s="66"/>
      <c r="Z1118" s="66"/>
      <c r="AA1118" s="66"/>
      <c r="AB1118" s="66"/>
      <c r="AC1118" s="66"/>
      <c r="AD1118" s="66"/>
      <c r="AE1118" s="66"/>
      <c r="AF1118" s="44"/>
      <c r="AG1118" s="254">
        <f>Prog_236[[#This Row],[SAÍDA DO CLIENTE]]-Prog_236[[#This Row],[PROGRAMAÇÃO CLIENTE]]</f>
        <v>0</v>
      </c>
      <c r="AH1118" s="44"/>
      <c r="AI1118" s="66"/>
      <c r="AJ1118" s="66"/>
      <c r="AK1118" s="66"/>
      <c r="AL1118" s="66"/>
      <c r="AM1118" s="66"/>
      <c r="AN1118" s="83"/>
      <c r="AO1118" s="66"/>
      <c r="AP1118" s="66"/>
      <c r="AQ1118" s="66"/>
      <c r="AR1118" s="81"/>
      <c r="AS1118" s="81"/>
      <c r="AT1118" s="81"/>
      <c r="AU1118" s="81"/>
      <c r="AV1118" s="83">
        <f>SUM(Prog_236[[#This Row],[ADIANTAMENTO]]+Prog_236[[#This Row],[SALDO]]+Prog_236[[#This Row],[MARGEM]]+Prog_236[[#This Row],[ESTADIA 1]])</f>
        <v>0</v>
      </c>
      <c r="AW11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8" s="81"/>
      <c r="AY1118" s="81"/>
      <c r="AZ1118" s="81">
        <f>Prog_236[[#This Row],[VLR NF]]*0.1%</f>
        <v>0</v>
      </c>
      <c r="BA1118" s="81">
        <f>Prog_236[[#This Row],[VLR NF]]*0.05%</f>
        <v>0</v>
      </c>
      <c r="BB1118" s="81"/>
      <c r="BC1118" s="81"/>
      <c r="BD1118" s="81"/>
      <c r="BE1118" s="81"/>
      <c r="BF1118" s="81"/>
      <c r="BG1118" s="81"/>
      <c r="BH1118" s="81"/>
      <c r="BI1118" s="81"/>
      <c r="BJ1118" s="81"/>
      <c r="BK1118" s="81"/>
      <c r="BL1118" s="66"/>
      <c r="BM1118" s="66"/>
      <c r="BN1118" s="66"/>
      <c r="BO1118" s="66" t="str">
        <f>PROPER(TEXT(Prog_236[[#This Row],[PROGRAMAÇÃO CLIENTE]],"mmm"))</f>
        <v>Jan</v>
      </c>
      <c r="BP1118" s="66">
        <f>YEAR(Prog_236[[#This Row],[PROGRAMAÇÃO CLIENTE]])</f>
        <v>1900</v>
      </c>
    </row>
    <row r="1119" spans="1:68" x14ac:dyDescent="0.25">
      <c r="A1119" s="200">
        <f>Prog_236[[#This Row],[CONTEINER]]</f>
        <v>0</v>
      </c>
      <c r="B1119" s="86"/>
      <c r="C11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19" s="44"/>
      <c r="E1119" s="66"/>
      <c r="F1119" s="66"/>
      <c r="G1119" s="66"/>
      <c r="H1119" s="44"/>
      <c r="I1119" s="44"/>
      <c r="J1119" s="66"/>
      <c r="K1119" s="66"/>
      <c r="L1119" s="66"/>
      <c r="M1119" s="66"/>
      <c r="N1119" s="66">
        <f>SUM(Prog_236[[#This Row],[TARA]]+Prog_236[[#This Row],[PESO]])</f>
        <v>0</v>
      </c>
      <c r="O1119" s="44"/>
      <c r="P1119" s="66"/>
      <c r="Q1119" s="66"/>
      <c r="R1119" s="66"/>
      <c r="S1119" s="66"/>
      <c r="T1119" s="138" t="str">
        <f>IFERROR(LOOKUP($S1119,MOTORISTAS!$D$3:$D$1048576,MOTORISTAS!E$3:$E$1048576),"")</f>
        <v/>
      </c>
      <c r="U1119" s="138" t="str">
        <f>IFERROR(LOOKUP($S1119,MOTORISTAS!$D$3:$D$1048576,MOTORISTAS!F$3:$F$1048576),"")</f>
        <v/>
      </c>
      <c r="V1119" s="66"/>
      <c r="W1119" s="66"/>
      <c r="X1119" s="66"/>
      <c r="Y1119" s="66"/>
      <c r="Z1119" s="66"/>
      <c r="AA1119" s="66"/>
      <c r="AB1119" s="66"/>
      <c r="AC1119" s="66"/>
      <c r="AD1119" s="66"/>
      <c r="AE1119" s="66"/>
      <c r="AF1119" s="44"/>
      <c r="AG1119" s="254">
        <f>Prog_236[[#This Row],[SAÍDA DO CLIENTE]]-Prog_236[[#This Row],[PROGRAMAÇÃO CLIENTE]]</f>
        <v>0</v>
      </c>
      <c r="AH1119" s="44"/>
      <c r="AI1119" s="66"/>
      <c r="AJ1119" s="66"/>
      <c r="AK1119" s="66"/>
      <c r="AL1119" s="66"/>
      <c r="AM1119" s="66"/>
      <c r="AN1119" s="83"/>
      <c r="AO1119" s="66"/>
      <c r="AP1119" s="66"/>
      <c r="AQ1119" s="66"/>
      <c r="AR1119" s="81"/>
      <c r="AS1119" s="81"/>
      <c r="AT1119" s="81"/>
      <c r="AU1119" s="81"/>
      <c r="AV1119" s="83">
        <f>SUM(Prog_236[[#This Row],[ADIANTAMENTO]]+Prog_236[[#This Row],[SALDO]]+Prog_236[[#This Row],[MARGEM]]+Prog_236[[#This Row],[ESTADIA 1]])</f>
        <v>0</v>
      </c>
      <c r="AW11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19" s="81"/>
      <c r="AY1119" s="81"/>
      <c r="AZ1119" s="81">
        <f>Prog_236[[#This Row],[VLR NF]]*0.1%</f>
        <v>0</v>
      </c>
      <c r="BA1119" s="81">
        <f>Prog_236[[#This Row],[VLR NF]]*0.05%</f>
        <v>0</v>
      </c>
      <c r="BB1119" s="81"/>
      <c r="BC1119" s="81"/>
      <c r="BD1119" s="81"/>
      <c r="BE1119" s="81"/>
      <c r="BF1119" s="81"/>
      <c r="BG1119" s="81"/>
      <c r="BH1119" s="81"/>
      <c r="BI1119" s="81"/>
      <c r="BJ1119" s="81"/>
      <c r="BK1119" s="81"/>
      <c r="BL1119" s="66"/>
      <c r="BM1119" s="66"/>
      <c r="BN1119" s="66"/>
      <c r="BO1119" s="66" t="str">
        <f>PROPER(TEXT(Prog_236[[#This Row],[PROGRAMAÇÃO CLIENTE]],"mmm"))</f>
        <v>Jan</v>
      </c>
      <c r="BP1119" s="66">
        <f>YEAR(Prog_236[[#This Row],[PROGRAMAÇÃO CLIENTE]])</f>
        <v>1900</v>
      </c>
    </row>
    <row r="1120" spans="1:68" x14ac:dyDescent="0.25">
      <c r="A1120" s="201">
        <f>Prog_236[[#This Row],[CONTEINER]]</f>
        <v>0</v>
      </c>
      <c r="B1120" s="86"/>
      <c r="C11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0" s="44"/>
      <c r="E1120" s="66"/>
      <c r="F1120" s="66"/>
      <c r="G1120" s="66"/>
      <c r="H1120" s="44"/>
      <c r="I1120" s="44"/>
      <c r="J1120" s="66"/>
      <c r="K1120" s="66"/>
      <c r="L1120" s="66"/>
      <c r="M1120" s="66"/>
      <c r="N1120" s="66">
        <f>SUM(Prog_236[[#This Row],[TARA]]+Prog_236[[#This Row],[PESO]])</f>
        <v>0</v>
      </c>
      <c r="O1120" s="44"/>
      <c r="P1120" s="66"/>
      <c r="Q1120" s="66"/>
      <c r="R1120" s="66"/>
      <c r="S1120" s="66"/>
      <c r="T1120" s="138" t="str">
        <f>IFERROR(LOOKUP($S1120,MOTORISTAS!$D$3:$D$1048576,MOTORISTAS!E$3:$E$1048576),"")</f>
        <v/>
      </c>
      <c r="U1120" s="138" t="str">
        <f>IFERROR(LOOKUP($S1120,MOTORISTAS!$D$3:$D$1048576,MOTORISTAS!F$3:$F$1048576),"")</f>
        <v/>
      </c>
      <c r="V1120" s="66"/>
      <c r="W1120" s="66"/>
      <c r="X1120" s="66"/>
      <c r="Y1120" s="66"/>
      <c r="Z1120" s="66"/>
      <c r="AA1120" s="66"/>
      <c r="AB1120" s="66"/>
      <c r="AC1120" s="66"/>
      <c r="AD1120" s="66"/>
      <c r="AE1120" s="66"/>
      <c r="AF1120" s="44"/>
      <c r="AG1120" s="254">
        <f>Prog_236[[#This Row],[SAÍDA DO CLIENTE]]-Prog_236[[#This Row],[PROGRAMAÇÃO CLIENTE]]</f>
        <v>0</v>
      </c>
      <c r="AH1120" s="44"/>
      <c r="AI1120" s="66"/>
      <c r="AJ1120" s="66"/>
      <c r="AK1120" s="66"/>
      <c r="AL1120" s="66"/>
      <c r="AM1120" s="66"/>
      <c r="AN1120" s="83"/>
      <c r="AO1120" s="66"/>
      <c r="AP1120" s="66"/>
      <c r="AQ1120" s="66"/>
      <c r="AR1120" s="81"/>
      <c r="AS1120" s="81"/>
      <c r="AT1120" s="81"/>
      <c r="AU1120" s="81"/>
      <c r="AV1120" s="83">
        <f>SUM(Prog_236[[#This Row],[ADIANTAMENTO]]+Prog_236[[#This Row],[SALDO]]+Prog_236[[#This Row],[MARGEM]]+Prog_236[[#This Row],[ESTADIA 1]])</f>
        <v>0</v>
      </c>
      <c r="AW11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0" s="81"/>
      <c r="AY1120" s="81"/>
      <c r="AZ1120" s="81">
        <f>Prog_236[[#This Row],[VLR NF]]*0.1%</f>
        <v>0</v>
      </c>
      <c r="BA1120" s="81">
        <f>Prog_236[[#This Row],[VLR NF]]*0.05%</f>
        <v>0</v>
      </c>
      <c r="BB1120" s="81"/>
      <c r="BC1120" s="81"/>
      <c r="BD1120" s="81"/>
      <c r="BE1120" s="81"/>
      <c r="BF1120" s="81"/>
      <c r="BG1120" s="81"/>
      <c r="BH1120" s="81"/>
      <c r="BI1120" s="81"/>
      <c r="BJ1120" s="81"/>
      <c r="BK1120" s="81"/>
      <c r="BL1120" s="66"/>
      <c r="BM1120" s="66"/>
      <c r="BN1120" s="66"/>
      <c r="BO1120" s="66" t="str">
        <f>PROPER(TEXT(Prog_236[[#This Row],[PROGRAMAÇÃO CLIENTE]],"mmm"))</f>
        <v>Jan</v>
      </c>
      <c r="BP1120" s="66">
        <f>YEAR(Prog_236[[#This Row],[PROGRAMAÇÃO CLIENTE]])</f>
        <v>1900</v>
      </c>
    </row>
    <row r="1121" spans="1:68" x14ac:dyDescent="0.25">
      <c r="A1121" s="200">
        <f>Prog_236[[#This Row],[CONTEINER]]</f>
        <v>0</v>
      </c>
      <c r="B1121" s="86"/>
      <c r="C11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1" s="44"/>
      <c r="E1121" s="66"/>
      <c r="F1121" s="66"/>
      <c r="G1121" s="66"/>
      <c r="H1121" s="44"/>
      <c r="I1121" s="44"/>
      <c r="J1121" s="66"/>
      <c r="K1121" s="66"/>
      <c r="L1121" s="66"/>
      <c r="M1121" s="66"/>
      <c r="N1121" s="66">
        <f>SUM(Prog_236[[#This Row],[TARA]]+Prog_236[[#This Row],[PESO]])</f>
        <v>0</v>
      </c>
      <c r="O1121" s="44"/>
      <c r="P1121" s="66"/>
      <c r="Q1121" s="66"/>
      <c r="R1121" s="66"/>
      <c r="S1121" s="66"/>
      <c r="T1121" s="138" t="str">
        <f>IFERROR(LOOKUP($S1121,MOTORISTAS!$D$3:$D$1048576,MOTORISTAS!E$3:$E$1048576),"")</f>
        <v/>
      </c>
      <c r="U1121" s="138" t="str">
        <f>IFERROR(LOOKUP($S1121,MOTORISTAS!$D$3:$D$1048576,MOTORISTAS!F$3:$F$1048576),"")</f>
        <v/>
      </c>
      <c r="V1121" s="66"/>
      <c r="W1121" s="66"/>
      <c r="X1121" s="66"/>
      <c r="Y1121" s="66"/>
      <c r="Z1121" s="66"/>
      <c r="AA1121" s="66"/>
      <c r="AB1121" s="66"/>
      <c r="AC1121" s="66"/>
      <c r="AD1121" s="66"/>
      <c r="AE1121" s="66"/>
      <c r="AF1121" s="44"/>
      <c r="AG1121" s="254">
        <f>Prog_236[[#This Row],[SAÍDA DO CLIENTE]]-Prog_236[[#This Row],[PROGRAMAÇÃO CLIENTE]]</f>
        <v>0</v>
      </c>
      <c r="AH1121" s="44"/>
      <c r="AI1121" s="66"/>
      <c r="AJ1121" s="66"/>
      <c r="AK1121" s="66"/>
      <c r="AL1121" s="66"/>
      <c r="AM1121" s="66"/>
      <c r="AN1121" s="83"/>
      <c r="AO1121" s="66"/>
      <c r="AP1121" s="66"/>
      <c r="AQ1121" s="66"/>
      <c r="AR1121" s="81"/>
      <c r="AS1121" s="81"/>
      <c r="AT1121" s="81"/>
      <c r="AU1121" s="81"/>
      <c r="AV1121" s="83">
        <f>SUM(Prog_236[[#This Row],[ADIANTAMENTO]]+Prog_236[[#This Row],[SALDO]]+Prog_236[[#This Row],[MARGEM]]+Prog_236[[#This Row],[ESTADIA 1]])</f>
        <v>0</v>
      </c>
      <c r="AW11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1" s="81"/>
      <c r="AY1121" s="81"/>
      <c r="AZ1121" s="81">
        <f>Prog_236[[#This Row],[VLR NF]]*0.1%</f>
        <v>0</v>
      </c>
      <c r="BA1121" s="81">
        <f>Prog_236[[#This Row],[VLR NF]]*0.05%</f>
        <v>0</v>
      </c>
      <c r="BB1121" s="81"/>
      <c r="BC1121" s="81"/>
      <c r="BD1121" s="81"/>
      <c r="BE1121" s="81"/>
      <c r="BF1121" s="81"/>
      <c r="BG1121" s="81"/>
      <c r="BH1121" s="81"/>
      <c r="BI1121" s="81"/>
      <c r="BJ1121" s="81"/>
      <c r="BK1121" s="81"/>
      <c r="BL1121" s="66"/>
      <c r="BM1121" s="66"/>
      <c r="BN1121" s="66"/>
      <c r="BO1121" s="66" t="str">
        <f>PROPER(TEXT(Prog_236[[#This Row],[PROGRAMAÇÃO CLIENTE]],"mmm"))</f>
        <v>Jan</v>
      </c>
      <c r="BP1121" s="66">
        <f>YEAR(Prog_236[[#This Row],[PROGRAMAÇÃO CLIENTE]])</f>
        <v>1900</v>
      </c>
    </row>
    <row r="1122" spans="1:68" x14ac:dyDescent="0.25">
      <c r="A1122" s="201">
        <f>Prog_236[[#This Row],[CONTEINER]]</f>
        <v>0</v>
      </c>
      <c r="B1122" s="86"/>
      <c r="C11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2" s="44"/>
      <c r="E1122" s="66"/>
      <c r="F1122" s="66"/>
      <c r="G1122" s="66"/>
      <c r="H1122" s="44"/>
      <c r="I1122" s="44"/>
      <c r="J1122" s="66"/>
      <c r="K1122" s="66"/>
      <c r="L1122" s="66"/>
      <c r="M1122" s="66"/>
      <c r="N1122" s="66">
        <f>SUM(Prog_236[[#This Row],[TARA]]+Prog_236[[#This Row],[PESO]])</f>
        <v>0</v>
      </c>
      <c r="O1122" s="44"/>
      <c r="P1122" s="66"/>
      <c r="Q1122" s="66"/>
      <c r="R1122" s="66"/>
      <c r="S1122" s="66"/>
      <c r="T1122" s="138" t="str">
        <f>IFERROR(LOOKUP($S1122,MOTORISTAS!$D$3:$D$1048576,MOTORISTAS!E$3:$E$1048576),"")</f>
        <v/>
      </c>
      <c r="U1122" s="138" t="str">
        <f>IFERROR(LOOKUP($S1122,MOTORISTAS!$D$3:$D$1048576,MOTORISTAS!F$3:$F$1048576),"")</f>
        <v/>
      </c>
      <c r="V1122" s="66"/>
      <c r="W1122" s="66"/>
      <c r="X1122" s="66"/>
      <c r="Y1122" s="66"/>
      <c r="Z1122" s="66"/>
      <c r="AA1122" s="66"/>
      <c r="AB1122" s="66"/>
      <c r="AC1122" s="66"/>
      <c r="AD1122" s="66"/>
      <c r="AE1122" s="66"/>
      <c r="AF1122" s="44"/>
      <c r="AG1122" s="254">
        <f>Prog_236[[#This Row],[SAÍDA DO CLIENTE]]-Prog_236[[#This Row],[PROGRAMAÇÃO CLIENTE]]</f>
        <v>0</v>
      </c>
      <c r="AH1122" s="44"/>
      <c r="AI1122" s="66"/>
      <c r="AJ1122" s="66"/>
      <c r="AK1122" s="66"/>
      <c r="AL1122" s="66"/>
      <c r="AM1122" s="66"/>
      <c r="AN1122" s="83"/>
      <c r="AO1122" s="66"/>
      <c r="AP1122" s="66"/>
      <c r="AQ1122" s="66"/>
      <c r="AR1122" s="81"/>
      <c r="AS1122" s="81"/>
      <c r="AT1122" s="81"/>
      <c r="AU1122" s="81"/>
      <c r="AV1122" s="83">
        <f>SUM(Prog_236[[#This Row],[ADIANTAMENTO]]+Prog_236[[#This Row],[SALDO]]+Prog_236[[#This Row],[MARGEM]]+Prog_236[[#This Row],[ESTADIA 1]])</f>
        <v>0</v>
      </c>
      <c r="AW11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2" s="81"/>
      <c r="AY1122" s="81"/>
      <c r="AZ1122" s="81">
        <f>Prog_236[[#This Row],[VLR NF]]*0.1%</f>
        <v>0</v>
      </c>
      <c r="BA1122" s="81">
        <f>Prog_236[[#This Row],[VLR NF]]*0.05%</f>
        <v>0</v>
      </c>
      <c r="BB1122" s="81"/>
      <c r="BC1122" s="81"/>
      <c r="BD1122" s="81"/>
      <c r="BE1122" s="81"/>
      <c r="BF1122" s="81"/>
      <c r="BG1122" s="81"/>
      <c r="BH1122" s="81"/>
      <c r="BI1122" s="81"/>
      <c r="BJ1122" s="81"/>
      <c r="BK1122" s="81"/>
      <c r="BL1122" s="66"/>
      <c r="BM1122" s="66"/>
      <c r="BN1122" s="66"/>
      <c r="BO1122" s="66" t="str">
        <f>PROPER(TEXT(Prog_236[[#This Row],[PROGRAMAÇÃO CLIENTE]],"mmm"))</f>
        <v>Jan</v>
      </c>
      <c r="BP1122" s="66">
        <f>YEAR(Prog_236[[#This Row],[PROGRAMAÇÃO CLIENTE]])</f>
        <v>1900</v>
      </c>
    </row>
    <row r="1123" spans="1:68" x14ac:dyDescent="0.25">
      <c r="A1123" s="200">
        <f>Prog_236[[#This Row],[CONTEINER]]</f>
        <v>0</v>
      </c>
      <c r="B1123" s="86"/>
      <c r="C11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3" s="44"/>
      <c r="E1123" s="66"/>
      <c r="F1123" s="66"/>
      <c r="G1123" s="66"/>
      <c r="H1123" s="44"/>
      <c r="I1123" s="44"/>
      <c r="J1123" s="66"/>
      <c r="K1123" s="66"/>
      <c r="L1123" s="66"/>
      <c r="M1123" s="66"/>
      <c r="N1123" s="66">
        <f>SUM(Prog_236[[#This Row],[TARA]]+Prog_236[[#This Row],[PESO]])</f>
        <v>0</v>
      </c>
      <c r="O1123" s="44"/>
      <c r="P1123" s="66"/>
      <c r="Q1123" s="66"/>
      <c r="R1123" s="66"/>
      <c r="S1123" s="66"/>
      <c r="T1123" s="138" t="str">
        <f>IFERROR(LOOKUP($S1123,MOTORISTAS!$D$3:$D$1048576,MOTORISTAS!E$3:$E$1048576),"")</f>
        <v/>
      </c>
      <c r="U1123" s="138" t="str">
        <f>IFERROR(LOOKUP($S1123,MOTORISTAS!$D$3:$D$1048576,MOTORISTAS!F$3:$F$1048576),"")</f>
        <v/>
      </c>
      <c r="V1123" s="66"/>
      <c r="W1123" s="66"/>
      <c r="X1123" s="66"/>
      <c r="Y1123" s="66"/>
      <c r="Z1123" s="66"/>
      <c r="AA1123" s="66"/>
      <c r="AB1123" s="66"/>
      <c r="AC1123" s="66"/>
      <c r="AD1123" s="66"/>
      <c r="AE1123" s="66"/>
      <c r="AF1123" s="44"/>
      <c r="AG1123" s="254">
        <f>Prog_236[[#This Row],[SAÍDA DO CLIENTE]]-Prog_236[[#This Row],[PROGRAMAÇÃO CLIENTE]]</f>
        <v>0</v>
      </c>
      <c r="AH1123" s="44"/>
      <c r="AI1123" s="66"/>
      <c r="AJ1123" s="66"/>
      <c r="AK1123" s="66"/>
      <c r="AL1123" s="66"/>
      <c r="AM1123" s="66"/>
      <c r="AN1123" s="83"/>
      <c r="AO1123" s="66"/>
      <c r="AP1123" s="66"/>
      <c r="AQ1123" s="66"/>
      <c r="AR1123" s="81"/>
      <c r="AS1123" s="81"/>
      <c r="AT1123" s="81"/>
      <c r="AU1123" s="81"/>
      <c r="AV1123" s="83">
        <f>SUM(Prog_236[[#This Row],[ADIANTAMENTO]]+Prog_236[[#This Row],[SALDO]]+Prog_236[[#This Row],[MARGEM]]+Prog_236[[#This Row],[ESTADIA 1]])</f>
        <v>0</v>
      </c>
      <c r="AW11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3" s="81"/>
      <c r="AY1123" s="81"/>
      <c r="AZ1123" s="81">
        <f>Prog_236[[#This Row],[VLR NF]]*0.1%</f>
        <v>0</v>
      </c>
      <c r="BA1123" s="81">
        <f>Prog_236[[#This Row],[VLR NF]]*0.05%</f>
        <v>0</v>
      </c>
      <c r="BB1123" s="81"/>
      <c r="BC1123" s="81"/>
      <c r="BD1123" s="81"/>
      <c r="BE1123" s="81"/>
      <c r="BF1123" s="81"/>
      <c r="BG1123" s="81"/>
      <c r="BH1123" s="81"/>
      <c r="BI1123" s="81"/>
      <c r="BJ1123" s="81"/>
      <c r="BK1123" s="81"/>
      <c r="BL1123" s="66"/>
      <c r="BM1123" s="66"/>
      <c r="BN1123" s="66"/>
      <c r="BO1123" s="66" t="str">
        <f>PROPER(TEXT(Prog_236[[#This Row],[PROGRAMAÇÃO CLIENTE]],"mmm"))</f>
        <v>Jan</v>
      </c>
      <c r="BP1123" s="66">
        <f>YEAR(Prog_236[[#This Row],[PROGRAMAÇÃO CLIENTE]])</f>
        <v>1900</v>
      </c>
    </row>
    <row r="1124" spans="1:68" x14ac:dyDescent="0.25">
      <c r="A1124" s="201">
        <f>Prog_236[[#This Row],[CONTEINER]]</f>
        <v>0</v>
      </c>
      <c r="B1124" s="86"/>
      <c r="C11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4" s="44"/>
      <c r="E1124" s="66"/>
      <c r="F1124" s="66"/>
      <c r="G1124" s="66"/>
      <c r="H1124" s="44"/>
      <c r="I1124" s="44"/>
      <c r="J1124" s="66"/>
      <c r="K1124" s="66"/>
      <c r="L1124" s="66"/>
      <c r="M1124" s="66"/>
      <c r="N1124" s="66">
        <f>SUM(Prog_236[[#This Row],[TARA]]+Prog_236[[#This Row],[PESO]])</f>
        <v>0</v>
      </c>
      <c r="O1124" s="44"/>
      <c r="P1124" s="66"/>
      <c r="Q1124" s="66"/>
      <c r="R1124" s="66"/>
      <c r="S1124" s="66"/>
      <c r="T1124" s="138" t="str">
        <f>IFERROR(LOOKUP($S1124,MOTORISTAS!$D$3:$D$1048576,MOTORISTAS!E$3:$E$1048576),"")</f>
        <v/>
      </c>
      <c r="U1124" s="138" t="str">
        <f>IFERROR(LOOKUP($S1124,MOTORISTAS!$D$3:$D$1048576,MOTORISTAS!F$3:$F$1048576),"")</f>
        <v/>
      </c>
      <c r="V1124" s="66"/>
      <c r="W1124" s="66"/>
      <c r="X1124" s="66"/>
      <c r="Y1124" s="66"/>
      <c r="Z1124" s="66"/>
      <c r="AA1124" s="66"/>
      <c r="AB1124" s="66"/>
      <c r="AC1124" s="66"/>
      <c r="AD1124" s="66"/>
      <c r="AE1124" s="66"/>
      <c r="AF1124" s="44"/>
      <c r="AG1124" s="254">
        <f>Prog_236[[#This Row],[SAÍDA DO CLIENTE]]-Prog_236[[#This Row],[PROGRAMAÇÃO CLIENTE]]</f>
        <v>0</v>
      </c>
      <c r="AH1124" s="44"/>
      <c r="AI1124" s="66"/>
      <c r="AJ1124" s="66"/>
      <c r="AK1124" s="66"/>
      <c r="AL1124" s="66"/>
      <c r="AM1124" s="66"/>
      <c r="AN1124" s="83"/>
      <c r="AO1124" s="66"/>
      <c r="AP1124" s="66"/>
      <c r="AQ1124" s="66"/>
      <c r="AR1124" s="81"/>
      <c r="AS1124" s="81"/>
      <c r="AT1124" s="81"/>
      <c r="AU1124" s="81"/>
      <c r="AV1124" s="83">
        <f>SUM(Prog_236[[#This Row],[ADIANTAMENTO]]+Prog_236[[#This Row],[SALDO]]+Prog_236[[#This Row],[MARGEM]]+Prog_236[[#This Row],[ESTADIA 1]])</f>
        <v>0</v>
      </c>
      <c r="AW11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4" s="81"/>
      <c r="AY1124" s="81"/>
      <c r="AZ1124" s="81">
        <f>Prog_236[[#This Row],[VLR NF]]*0.1%</f>
        <v>0</v>
      </c>
      <c r="BA1124" s="81">
        <f>Prog_236[[#This Row],[VLR NF]]*0.05%</f>
        <v>0</v>
      </c>
      <c r="BB1124" s="81"/>
      <c r="BC1124" s="81"/>
      <c r="BD1124" s="81"/>
      <c r="BE1124" s="81"/>
      <c r="BF1124" s="81"/>
      <c r="BG1124" s="81"/>
      <c r="BH1124" s="81"/>
      <c r="BI1124" s="81"/>
      <c r="BJ1124" s="81"/>
      <c r="BK1124" s="81"/>
      <c r="BL1124" s="66"/>
      <c r="BM1124" s="66"/>
      <c r="BN1124" s="66"/>
      <c r="BO1124" s="66" t="str">
        <f>PROPER(TEXT(Prog_236[[#This Row],[PROGRAMAÇÃO CLIENTE]],"mmm"))</f>
        <v>Jan</v>
      </c>
      <c r="BP1124" s="66">
        <f>YEAR(Prog_236[[#This Row],[PROGRAMAÇÃO CLIENTE]])</f>
        <v>1900</v>
      </c>
    </row>
    <row r="1125" spans="1:68" x14ac:dyDescent="0.25">
      <c r="A1125" s="200">
        <f>Prog_236[[#This Row],[CONTEINER]]</f>
        <v>0</v>
      </c>
      <c r="B1125" s="86"/>
      <c r="C11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5" s="44"/>
      <c r="E1125" s="66"/>
      <c r="F1125" s="66"/>
      <c r="G1125" s="66"/>
      <c r="H1125" s="44"/>
      <c r="I1125" s="44"/>
      <c r="J1125" s="66"/>
      <c r="K1125" s="66"/>
      <c r="L1125" s="66"/>
      <c r="M1125" s="66"/>
      <c r="N1125" s="66">
        <f>SUM(Prog_236[[#This Row],[TARA]]+Prog_236[[#This Row],[PESO]])</f>
        <v>0</v>
      </c>
      <c r="O1125" s="44"/>
      <c r="P1125" s="66"/>
      <c r="Q1125" s="66"/>
      <c r="R1125" s="66"/>
      <c r="S1125" s="66"/>
      <c r="T1125" s="138" t="str">
        <f>IFERROR(LOOKUP($S1125,MOTORISTAS!$D$3:$D$1048576,MOTORISTAS!E$3:$E$1048576),"")</f>
        <v/>
      </c>
      <c r="U1125" s="138" t="str">
        <f>IFERROR(LOOKUP($S1125,MOTORISTAS!$D$3:$D$1048576,MOTORISTAS!F$3:$F$1048576),"")</f>
        <v/>
      </c>
      <c r="V1125" s="66"/>
      <c r="W1125" s="66"/>
      <c r="X1125" s="66"/>
      <c r="Y1125" s="66"/>
      <c r="Z1125" s="66"/>
      <c r="AA1125" s="66"/>
      <c r="AB1125" s="66"/>
      <c r="AC1125" s="66"/>
      <c r="AD1125" s="66"/>
      <c r="AE1125" s="66"/>
      <c r="AF1125" s="44"/>
      <c r="AG1125" s="254">
        <f>Prog_236[[#This Row],[SAÍDA DO CLIENTE]]-Prog_236[[#This Row],[PROGRAMAÇÃO CLIENTE]]</f>
        <v>0</v>
      </c>
      <c r="AH1125" s="44"/>
      <c r="AI1125" s="66"/>
      <c r="AJ1125" s="66"/>
      <c r="AK1125" s="66"/>
      <c r="AL1125" s="66"/>
      <c r="AM1125" s="66"/>
      <c r="AN1125" s="83"/>
      <c r="AO1125" s="66"/>
      <c r="AP1125" s="66"/>
      <c r="AQ1125" s="66"/>
      <c r="AR1125" s="81"/>
      <c r="AS1125" s="81"/>
      <c r="AT1125" s="81"/>
      <c r="AU1125" s="81"/>
      <c r="AV1125" s="83">
        <f>SUM(Prog_236[[#This Row],[ADIANTAMENTO]]+Prog_236[[#This Row],[SALDO]]+Prog_236[[#This Row],[MARGEM]]+Prog_236[[#This Row],[ESTADIA 1]])</f>
        <v>0</v>
      </c>
      <c r="AW11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5" s="81"/>
      <c r="AY1125" s="81"/>
      <c r="AZ1125" s="81">
        <f>Prog_236[[#This Row],[VLR NF]]*0.1%</f>
        <v>0</v>
      </c>
      <c r="BA1125" s="81">
        <f>Prog_236[[#This Row],[VLR NF]]*0.05%</f>
        <v>0</v>
      </c>
      <c r="BB1125" s="81"/>
      <c r="BC1125" s="81"/>
      <c r="BD1125" s="81"/>
      <c r="BE1125" s="81"/>
      <c r="BF1125" s="81"/>
      <c r="BG1125" s="81"/>
      <c r="BH1125" s="81"/>
      <c r="BI1125" s="81"/>
      <c r="BJ1125" s="81"/>
      <c r="BK1125" s="81"/>
      <c r="BL1125" s="66"/>
      <c r="BM1125" s="66"/>
      <c r="BN1125" s="66"/>
      <c r="BO1125" s="66" t="str">
        <f>PROPER(TEXT(Prog_236[[#This Row],[PROGRAMAÇÃO CLIENTE]],"mmm"))</f>
        <v>Jan</v>
      </c>
      <c r="BP1125" s="66">
        <f>YEAR(Prog_236[[#This Row],[PROGRAMAÇÃO CLIENTE]])</f>
        <v>1900</v>
      </c>
    </row>
    <row r="1126" spans="1:68" x14ac:dyDescent="0.25">
      <c r="A1126" s="201">
        <f>Prog_236[[#This Row],[CONTEINER]]</f>
        <v>0</v>
      </c>
      <c r="B1126" s="86"/>
      <c r="C11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6" s="44"/>
      <c r="E1126" s="66"/>
      <c r="F1126" s="66"/>
      <c r="G1126" s="66"/>
      <c r="H1126" s="44"/>
      <c r="I1126" s="44"/>
      <c r="J1126" s="66"/>
      <c r="K1126" s="66"/>
      <c r="L1126" s="66"/>
      <c r="M1126" s="66"/>
      <c r="N1126" s="66">
        <f>SUM(Prog_236[[#This Row],[TARA]]+Prog_236[[#This Row],[PESO]])</f>
        <v>0</v>
      </c>
      <c r="O1126" s="44"/>
      <c r="P1126" s="66"/>
      <c r="Q1126" s="66"/>
      <c r="R1126" s="66"/>
      <c r="S1126" s="66"/>
      <c r="T1126" s="138" t="str">
        <f>IFERROR(LOOKUP($S1126,MOTORISTAS!$D$3:$D$1048576,MOTORISTAS!E$3:$E$1048576),"")</f>
        <v/>
      </c>
      <c r="U1126" s="138" t="str">
        <f>IFERROR(LOOKUP($S1126,MOTORISTAS!$D$3:$D$1048576,MOTORISTAS!F$3:$F$1048576),"")</f>
        <v/>
      </c>
      <c r="V1126" s="66"/>
      <c r="W1126" s="66"/>
      <c r="X1126" s="66"/>
      <c r="Y1126" s="66"/>
      <c r="Z1126" s="66"/>
      <c r="AA1126" s="66"/>
      <c r="AB1126" s="66"/>
      <c r="AC1126" s="66"/>
      <c r="AD1126" s="66"/>
      <c r="AE1126" s="66"/>
      <c r="AF1126" s="44"/>
      <c r="AG1126" s="254">
        <f>Prog_236[[#This Row],[SAÍDA DO CLIENTE]]-Prog_236[[#This Row],[PROGRAMAÇÃO CLIENTE]]</f>
        <v>0</v>
      </c>
      <c r="AH1126" s="44"/>
      <c r="AI1126" s="66"/>
      <c r="AJ1126" s="66"/>
      <c r="AK1126" s="66"/>
      <c r="AL1126" s="66"/>
      <c r="AM1126" s="66"/>
      <c r="AN1126" s="83"/>
      <c r="AO1126" s="66"/>
      <c r="AP1126" s="66"/>
      <c r="AQ1126" s="66"/>
      <c r="AR1126" s="81"/>
      <c r="AS1126" s="81"/>
      <c r="AT1126" s="81"/>
      <c r="AU1126" s="81"/>
      <c r="AV1126" s="83">
        <f>SUM(Prog_236[[#This Row],[ADIANTAMENTO]]+Prog_236[[#This Row],[SALDO]]+Prog_236[[#This Row],[MARGEM]]+Prog_236[[#This Row],[ESTADIA 1]])</f>
        <v>0</v>
      </c>
      <c r="AW11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6" s="81"/>
      <c r="AY1126" s="81"/>
      <c r="AZ1126" s="81">
        <f>Prog_236[[#This Row],[VLR NF]]*0.1%</f>
        <v>0</v>
      </c>
      <c r="BA1126" s="81">
        <f>Prog_236[[#This Row],[VLR NF]]*0.05%</f>
        <v>0</v>
      </c>
      <c r="BB1126" s="81"/>
      <c r="BC1126" s="81"/>
      <c r="BD1126" s="81"/>
      <c r="BE1126" s="81"/>
      <c r="BF1126" s="81"/>
      <c r="BG1126" s="81"/>
      <c r="BH1126" s="81"/>
      <c r="BI1126" s="81"/>
      <c r="BJ1126" s="81"/>
      <c r="BK1126" s="81"/>
      <c r="BL1126" s="66"/>
      <c r="BM1126" s="66"/>
      <c r="BN1126" s="66"/>
      <c r="BO1126" s="66" t="str">
        <f>PROPER(TEXT(Prog_236[[#This Row],[PROGRAMAÇÃO CLIENTE]],"mmm"))</f>
        <v>Jan</v>
      </c>
      <c r="BP1126" s="66">
        <f>YEAR(Prog_236[[#This Row],[PROGRAMAÇÃO CLIENTE]])</f>
        <v>1900</v>
      </c>
    </row>
    <row r="1127" spans="1:68" x14ac:dyDescent="0.25">
      <c r="A1127" s="200">
        <f>Prog_236[[#This Row],[CONTEINER]]</f>
        <v>0</v>
      </c>
      <c r="B1127" s="86"/>
      <c r="C11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7" s="44"/>
      <c r="E1127" s="66"/>
      <c r="F1127" s="66"/>
      <c r="G1127" s="66"/>
      <c r="H1127" s="44"/>
      <c r="I1127" s="44"/>
      <c r="J1127" s="66"/>
      <c r="K1127" s="66"/>
      <c r="L1127" s="66"/>
      <c r="M1127" s="66"/>
      <c r="N1127" s="66">
        <f>SUM(Prog_236[[#This Row],[TARA]]+Prog_236[[#This Row],[PESO]])</f>
        <v>0</v>
      </c>
      <c r="O1127" s="44"/>
      <c r="P1127" s="66"/>
      <c r="Q1127" s="66"/>
      <c r="R1127" s="66"/>
      <c r="S1127" s="66"/>
      <c r="T1127" s="138" t="str">
        <f>IFERROR(LOOKUP($S1127,MOTORISTAS!$D$3:$D$1048576,MOTORISTAS!E$3:$E$1048576),"")</f>
        <v/>
      </c>
      <c r="U1127" s="138" t="str">
        <f>IFERROR(LOOKUP($S1127,MOTORISTAS!$D$3:$D$1048576,MOTORISTAS!F$3:$F$1048576),"")</f>
        <v/>
      </c>
      <c r="V1127" s="66"/>
      <c r="W1127" s="66"/>
      <c r="X1127" s="66"/>
      <c r="Y1127" s="66"/>
      <c r="Z1127" s="66"/>
      <c r="AA1127" s="66"/>
      <c r="AB1127" s="66"/>
      <c r="AC1127" s="66"/>
      <c r="AD1127" s="66"/>
      <c r="AE1127" s="66"/>
      <c r="AF1127" s="44"/>
      <c r="AG1127" s="254">
        <f>Prog_236[[#This Row],[SAÍDA DO CLIENTE]]-Prog_236[[#This Row],[PROGRAMAÇÃO CLIENTE]]</f>
        <v>0</v>
      </c>
      <c r="AH1127" s="44"/>
      <c r="AI1127" s="66"/>
      <c r="AJ1127" s="66"/>
      <c r="AK1127" s="66"/>
      <c r="AL1127" s="66"/>
      <c r="AM1127" s="66"/>
      <c r="AN1127" s="83"/>
      <c r="AO1127" s="66"/>
      <c r="AP1127" s="66"/>
      <c r="AQ1127" s="66"/>
      <c r="AR1127" s="81"/>
      <c r="AS1127" s="81"/>
      <c r="AT1127" s="81"/>
      <c r="AU1127" s="81"/>
      <c r="AV1127" s="83">
        <f>SUM(Prog_236[[#This Row],[ADIANTAMENTO]]+Prog_236[[#This Row],[SALDO]]+Prog_236[[#This Row],[MARGEM]]+Prog_236[[#This Row],[ESTADIA 1]])</f>
        <v>0</v>
      </c>
      <c r="AW11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7" s="81"/>
      <c r="AY1127" s="81"/>
      <c r="AZ1127" s="81">
        <f>Prog_236[[#This Row],[VLR NF]]*0.1%</f>
        <v>0</v>
      </c>
      <c r="BA1127" s="81">
        <f>Prog_236[[#This Row],[VLR NF]]*0.05%</f>
        <v>0</v>
      </c>
      <c r="BB1127" s="81"/>
      <c r="BC1127" s="81"/>
      <c r="BD1127" s="81"/>
      <c r="BE1127" s="81"/>
      <c r="BF1127" s="81"/>
      <c r="BG1127" s="81"/>
      <c r="BH1127" s="81"/>
      <c r="BI1127" s="81"/>
      <c r="BJ1127" s="81"/>
      <c r="BK1127" s="81"/>
      <c r="BL1127" s="66"/>
      <c r="BM1127" s="66"/>
      <c r="BN1127" s="66"/>
      <c r="BO1127" s="66" t="str">
        <f>PROPER(TEXT(Prog_236[[#This Row],[PROGRAMAÇÃO CLIENTE]],"mmm"))</f>
        <v>Jan</v>
      </c>
      <c r="BP1127" s="66">
        <f>YEAR(Prog_236[[#This Row],[PROGRAMAÇÃO CLIENTE]])</f>
        <v>1900</v>
      </c>
    </row>
    <row r="1128" spans="1:68" x14ac:dyDescent="0.25">
      <c r="A1128" s="201">
        <f>Prog_236[[#This Row],[CONTEINER]]</f>
        <v>0</v>
      </c>
      <c r="B1128" s="86"/>
      <c r="C11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8" s="44"/>
      <c r="E1128" s="66"/>
      <c r="F1128" s="66"/>
      <c r="G1128" s="66"/>
      <c r="H1128" s="44"/>
      <c r="I1128" s="44"/>
      <c r="J1128" s="66"/>
      <c r="K1128" s="66"/>
      <c r="L1128" s="66"/>
      <c r="M1128" s="66"/>
      <c r="N1128" s="66">
        <f>SUM(Prog_236[[#This Row],[TARA]]+Prog_236[[#This Row],[PESO]])</f>
        <v>0</v>
      </c>
      <c r="O1128" s="44"/>
      <c r="P1128" s="66"/>
      <c r="Q1128" s="66"/>
      <c r="R1128" s="66"/>
      <c r="S1128" s="66"/>
      <c r="T1128" s="138" t="str">
        <f>IFERROR(LOOKUP($S1128,MOTORISTAS!$D$3:$D$1048576,MOTORISTAS!E$3:$E$1048576),"")</f>
        <v/>
      </c>
      <c r="U1128" s="138" t="str">
        <f>IFERROR(LOOKUP($S1128,MOTORISTAS!$D$3:$D$1048576,MOTORISTAS!F$3:$F$1048576),"")</f>
        <v/>
      </c>
      <c r="V1128" s="66"/>
      <c r="W1128" s="66"/>
      <c r="X1128" s="66"/>
      <c r="Y1128" s="66"/>
      <c r="Z1128" s="66"/>
      <c r="AA1128" s="66"/>
      <c r="AB1128" s="66"/>
      <c r="AC1128" s="66"/>
      <c r="AD1128" s="66"/>
      <c r="AE1128" s="66"/>
      <c r="AF1128" s="44"/>
      <c r="AG1128" s="254">
        <f>Prog_236[[#This Row],[SAÍDA DO CLIENTE]]-Prog_236[[#This Row],[PROGRAMAÇÃO CLIENTE]]</f>
        <v>0</v>
      </c>
      <c r="AH1128" s="44"/>
      <c r="AI1128" s="66"/>
      <c r="AJ1128" s="66"/>
      <c r="AK1128" s="66"/>
      <c r="AL1128" s="66"/>
      <c r="AM1128" s="66"/>
      <c r="AN1128" s="83"/>
      <c r="AO1128" s="66"/>
      <c r="AP1128" s="66"/>
      <c r="AQ1128" s="66"/>
      <c r="AR1128" s="81"/>
      <c r="AS1128" s="81"/>
      <c r="AT1128" s="81"/>
      <c r="AU1128" s="81"/>
      <c r="AV1128" s="83">
        <f>SUM(Prog_236[[#This Row],[ADIANTAMENTO]]+Prog_236[[#This Row],[SALDO]]+Prog_236[[#This Row],[MARGEM]]+Prog_236[[#This Row],[ESTADIA 1]])</f>
        <v>0</v>
      </c>
      <c r="AW11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8" s="81"/>
      <c r="AY1128" s="81"/>
      <c r="AZ1128" s="81">
        <f>Prog_236[[#This Row],[VLR NF]]*0.1%</f>
        <v>0</v>
      </c>
      <c r="BA1128" s="81">
        <f>Prog_236[[#This Row],[VLR NF]]*0.05%</f>
        <v>0</v>
      </c>
      <c r="BB1128" s="81"/>
      <c r="BC1128" s="81"/>
      <c r="BD1128" s="81"/>
      <c r="BE1128" s="81"/>
      <c r="BF1128" s="81"/>
      <c r="BG1128" s="81"/>
      <c r="BH1128" s="81"/>
      <c r="BI1128" s="81"/>
      <c r="BJ1128" s="81"/>
      <c r="BK1128" s="81"/>
      <c r="BL1128" s="66"/>
      <c r="BM1128" s="66"/>
      <c r="BN1128" s="66"/>
      <c r="BO1128" s="66" t="str">
        <f>PROPER(TEXT(Prog_236[[#This Row],[PROGRAMAÇÃO CLIENTE]],"mmm"))</f>
        <v>Jan</v>
      </c>
      <c r="BP1128" s="66">
        <f>YEAR(Prog_236[[#This Row],[PROGRAMAÇÃO CLIENTE]])</f>
        <v>1900</v>
      </c>
    </row>
    <row r="1129" spans="1:68" x14ac:dyDescent="0.25">
      <c r="A1129" s="200">
        <f>Prog_236[[#This Row],[CONTEINER]]</f>
        <v>0</v>
      </c>
      <c r="B1129" s="86"/>
      <c r="C11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29" s="44"/>
      <c r="E1129" s="66"/>
      <c r="F1129" s="66"/>
      <c r="G1129" s="66"/>
      <c r="H1129" s="44"/>
      <c r="I1129" s="44"/>
      <c r="J1129" s="66"/>
      <c r="K1129" s="66"/>
      <c r="L1129" s="66"/>
      <c r="M1129" s="66"/>
      <c r="N1129" s="66">
        <f>SUM(Prog_236[[#This Row],[TARA]]+Prog_236[[#This Row],[PESO]])</f>
        <v>0</v>
      </c>
      <c r="O1129" s="44"/>
      <c r="P1129" s="66"/>
      <c r="Q1129" s="66"/>
      <c r="R1129" s="66"/>
      <c r="S1129" s="66"/>
      <c r="T1129" s="138" t="str">
        <f>IFERROR(LOOKUP($S1129,MOTORISTAS!$D$3:$D$1048576,MOTORISTAS!E$3:$E$1048576),"")</f>
        <v/>
      </c>
      <c r="U1129" s="138" t="str">
        <f>IFERROR(LOOKUP($S1129,MOTORISTAS!$D$3:$D$1048576,MOTORISTAS!F$3:$F$1048576),"")</f>
        <v/>
      </c>
      <c r="V1129" s="66"/>
      <c r="W1129" s="66"/>
      <c r="X1129" s="66"/>
      <c r="Y1129" s="66"/>
      <c r="Z1129" s="66"/>
      <c r="AA1129" s="66"/>
      <c r="AB1129" s="66"/>
      <c r="AC1129" s="66"/>
      <c r="AD1129" s="66"/>
      <c r="AE1129" s="66"/>
      <c r="AF1129" s="44"/>
      <c r="AG1129" s="254">
        <f>Prog_236[[#This Row],[SAÍDA DO CLIENTE]]-Prog_236[[#This Row],[PROGRAMAÇÃO CLIENTE]]</f>
        <v>0</v>
      </c>
      <c r="AH1129" s="44"/>
      <c r="AI1129" s="66"/>
      <c r="AJ1129" s="66"/>
      <c r="AK1129" s="66"/>
      <c r="AL1129" s="66"/>
      <c r="AM1129" s="66"/>
      <c r="AN1129" s="83"/>
      <c r="AO1129" s="66"/>
      <c r="AP1129" s="66"/>
      <c r="AQ1129" s="66"/>
      <c r="AR1129" s="81"/>
      <c r="AS1129" s="81"/>
      <c r="AT1129" s="81"/>
      <c r="AU1129" s="81"/>
      <c r="AV1129" s="83">
        <f>SUM(Prog_236[[#This Row],[ADIANTAMENTO]]+Prog_236[[#This Row],[SALDO]]+Prog_236[[#This Row],[MARGEM]]+Prog_236[[#This Row],[ESTADIA 1]])</f>
        <v>0</v>
      </c>
      <c r="AW11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29" s="81"/>
      <c r="AY1129" s="81"/>
      <c r="AZ1129" s="81">
        <f>Prog_236[[#This Row],[VLR NF]]*0.1%</f>
        <v>0</v>
      </c>
      <c r="BA1129" s="81">
        <f>Prog_236[[#This Row],[VLR NF]]*0.05%</f>
        <v>0</v>
      </c>
      <c r="BB1129" s="81"/>
      <c r="BC1129" s="81"/>
      <c r="BD1129" s="81"/>
      <c r="BE1129" s="81"/>
      <c r="BF1129" s="81"/>
      <c r="BG1129" s="81"/>
      <c r="BH1129" s="81"/>
      <c r="BI1129" s="81"/>
      <c r="BJ1129" s="81"/>
      <c r="BK1129" s="81"/>
      <c r="BL1129" s="66"/>
      <c r="BM1129" s="66"/>
      <c r="BN1129" s="66"/>
      <c r="BO1129" s="66" t="str">
        <f>PROPER(TEXT(Prog_236[[#This Row],[PROGRAMAÇÃO CLIENTE]],"mmm"))</f>
        <v>Jan</v>
      </c>
      <c r="BP1129" s="66">
        <f>YEAR(Prog_236[[#This Row],[PROGRAMAÇÃO CLIENTE]])</f>
        <v>1900</v>
      </c>
    </row>
    <row r="1130" spans="1:68" x14ac:dyDescent="0.25">
      <c r="A1130" s="201">
        <f>Prog_236[[#This Row],[CONTEINER]]</f>
        <v>0</v>
      </c>
      <c r="B1130" s="86"/>
      <c r="C11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0" s="44"/>
      <c r="E1130" s="66"/>
      <c r="F1130" s="66"/>
      <c r="G1130" s="66"/>
      <c r="H1130" s="44"/>
      <c r="I1130" s="44"/>
      <c r="J1130" s="66"/>
      <c r="K1130" s="66"/>
      <c r="L1130" s="66"/>
      <c r="M1130" s="66"/>
      <c r="N1130" s="66">
        <f>SUM(Prog_236[[#This Row],[TARA]]+Prog_236[[#This Row],[PESO]])</f>
        <v>0</v>
      </c>
      <c r="O1130" s="44"/>
      <c r="P1130" s="66"/>
      <c r="Q1130" s="66"/>
      <c r="R1130" s="66"/>
      <c r="S1130" s="66"/>
      <c r="T1130" s="138" t="str">
        <f>IFERROR(LOOKUP($S1130,MOTORISTAS!$D$3:$D$1048576,MOTORISTAS!E$3:$E$1048576),"")</f>
        <v/>
      </c>
      <c r="U1130" s="138" t="str">
        <f>IFERROR(LOOKUP($S1130,MOTORISTAS!$D$3:$D$1048576,MOTORISTAS!F$3:$F$1048576),"")</f>
        <v/>
      </c>
      <c r="V1130" s="66"/>
      <c r="W1130" s="66"/>
      <c r="X1130" s="66"/>
      <c r="Y1130" s="66"/>
      <c r="Z1130" s="66"/>
      <c r="AA1130" s="66"/>
      <c r="AB1130" s="66"/>
      <c r="AC1130" s="66"/>
      <c r="AD1130" s="66"/>
      <c r="AE1130" s="66"/>
      <c r="AF1130" s="44"/>
      <c r="AG1130" s="254">
        <f>Prog_236[[#This Row],[SAÍDA DO CLIENTE]]-Prog_236[[#This Row],[PROGRAMAÇÃO CLIENTE]]</f>
        <v>0</v>
      </c>
      <c r="AH1130" s="44"/>
      <c r="AI1130" s="66"/>
      <c r="AJ1130" s="66"/>
      <c r="AK1130" s="66"/>
      <c r="AL1130" s="66"/>
      <c r="AM1130" s="66"/>
      <c r="AN1130" s="83"/>
      <c r="AO1130" s="66"/>
      <c r="AP1130" s="66"/>
      <c r="AQ1130" s="66"/>
      <c r="AR1130" s="81"/>
      <c r="AS1130" s="81"/>
      <c r="AT1130" s="81"/>
      <c r="AU1130" s="81"/>
      <c r="AV1130" s="83">
        <f>SUM(Prog_236[[#This Row],[ADIANTAMENTO]]+Prog_236[[#This Row],[SALDO]]+Prog_236[[#This Row],[MARGEM]]+Prog_236[[#This Row],[ESTADIA 1]])</f>
        <v>0</v>
      </c>
      <c r="AW11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0" s="81"/>
      <c r="AY1130" s="81"/>
      <c r="AZ1130" s="81">
        <f>Prog_236[[#This Row],[VLR NF]]*0.1%</f>
        <v>0</v>
      </c>
      <c r="BA1130" s="81">
        <f>Prog_236[[#This Row],[VLR NF]]*0.05%</f>
        <v>0</v>
      </c>
      <c r="BB1130" s="81"/>
      <c r="BC1130" s="81"/>
      <c r="BD1130" s="81"/>
      <c r="BE1130" s="81"/>
      <c r="BF1130" s="81"/>
      <c r="BG1130" s="81"/>
      <c r="BH1130" s="81"/>
      <c r="BI1130" s="81"/>
      <c r="BJ1130" s="81"/>
      <c r="BK1130" s="81"/>
      <c r="BL1130" s="66"/>
      <c r="BM1130" s="66"/>
      <c r="BN1130" s="66"/>
      <c r="BO1130" s="66" t="str">
        <f>PROPER(TEXT(Prog_236[[#This Row],[PROGRAMAÇÃO CLIENTE]],"mmm"))</f>
        <v>Jan</v>
      </c>
      <c r="BP1130" s="66">
        <f>YEAR(Prog_236[[#This Row],[PROGRAMAÇÃO CLIENTE]])</f>
        <v>1900</v>
      </c>
    </row>
    <row r="1131" spans="1:68" x14ac:dyDescent="0.25">
      <c r="A1131" s="200">
        <f>Prog_236[[#This Row],[CONTEINER]]</f>
        <v>0</v>
      </c>
      <c r="B1131" s="86"/>
      <c r="C11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1" s="44"/>
      <c r="E1131" s="66"/>
      <c r="F1131" s="66"/>
      <c r="G1131" s="66"/>
      <c r="H1131" s="44"/>
      <c r="I1131" s="44"/>
      <c r="J1131" s="66"/>
      <c r="K1131" s="66"/>
      <c r="L1131" s="66"/>
      <c r="M1131" s="66"/>
      <c r="N1131" s="66">
        <f>SUM(Prog_236[[#This Row],[TARA]]+Prog_236[[#This Row],[PESO]])</f>
        <v>0</v>
      </c>
      <c r="O1131" s="44"/>
      <c r="P1131" s="66"/>
      <c r="Q1131" s="66"/>
      <c r="R1131" s="66"/>
      <c r="S1131" s="66"/>
      <c r="T1131" s="138" t="str">
        <f>IFERROR(LOOKUP($S1131,MOTORISTAS!$D$3:$D$1048576,MOTORISTAS!E$3:$E$1048576),"")</f>
        <v/>
      </c>
      <c r="U1131" s="138" t="str">
        <f>IFERROR(LOOKUP($S1131,MOTORISTAS!$D$3:$D$1048576,MOTORISTAS!F$3:$F$1048576),"")</f>
        <v/>
      </c>
      <c r="V1131" s="66"/>
      <c r="W1131" s="66"/>
      <c r="X1131" s="66"/>
      <c r="Y1131" s="66"/>
      <c r="Z1131" s="66"/>
      <c r="AA1131" s="66"/>
      <c r="AB1131" s="66"/>
      <c r="AC1131" s="66"/>
      <c r="AD1131" s="66"/>
      <c r="AE1131" s="66"/>
      <c r="AF1131" s="44"/>
      <c r="AG1131" s="254">
        <f>Prog_236[[#This Row],[SAÍDA DO CLIENTE]]-Prog_236[[#This Row],[PROGRAMAÇÃO CLIENTE]]</f>
        <v>0</v>
      </c>
      <c r="AH1131" s="44"/>
      <c r="AI1131" s="66"/>
      <c r="AJ1131" s="66"/>
      <c r="AK1131" s="66"/>
      <c r="AL1131" s="66"/>
      <c r="AM1131" s="66"/>
      <c r="AN1131" s="83"/>
      <c r="AO1131" s="66"/>
      <c r="AP1131" s="66"/>
      <c r="AQ1131" s="66"/>
      <c r="AR1131" s="81"/>
      <c r="AS1131" s="81"/>
      <c r="AT1131" s="81"/>
      <c r="AU1131" s="81"/>
      <c r="AV1131" s="83">
        <f>SUM(Prog_236[[#This Row],[ADIANTAMENTO]]+Prog_236[[#This Row],[SALDO]]+Prog_236[[#This Row],[MARGEM]]+Prog_236[[#This Row],[ESTADIA 1]])</f>
        <v>0</v>
      </c>
      <c r="AW11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1" s="81"/>
      <c r="AY1131" s="81"/>
      <c r="AZ1131" s="81">
        <f>Prog_236[[#This Row],[VLR NF]]*0.1%</f>
        <v>0</v>
      </c>
      <c r="BA1131" s="81">
        <f>Prog_236[[#This Row],[VLR NF]]*0.05%</f>
        <v>0</v>
      </c>
      <c r="BB1131" s="81"/>
      <c r="BC1131" s="81"/>
      <c r="BD1131" s="81"/>
      <c r="BE1131" s="81"/>
      <c r="BF1131" s="81"/>
      <c r="BG1131" s="81"/>
      <c r="BH1131" s="81"/>
      <c r="BI1131" s="81"/>
      <c r="BJ1131" s="81"/>
      <c r="BK1131" s="81"/>
      <c r="BL1131" s="66"/>
      <c r="BM1131" s="66"/>
      <c r="BN1131" s="66"/>
      <c r="BO1131" s="66" t="str">
        <f>PROPER(TEXT(Prog_236[[#This Row],[PROGRAMAÇÃO CLIENTE]],"mmm"))</f>
        <v>Jan</v>
      </c>
      <c r="BP1131" s="66">
        <f>YEAR(Prog_236[[#This Row],[PROGRAMAÇÃO CLIENTE]])</f>
        <v>1900</v>
      </c>
    </row>
    <row r="1132" spans="1:68" x14ac:dyDescent="0.25">
      <c r="A1132" s="201">
        <f>Prog_236[[#This Row],[CONTEINER]]</f>
        <v>0</v>
      </c>
      <c r="B1132" s="86"/>
      <c r="C11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2" s="44"/>
      <c r="E1132" s="66"/>
      <c r="F1132" s="66"/>
      <c r="G1132" s="66"/>
      <c r="H1132" s="44"/>
      <c r="I1132" s="44"/>
      <c r="J1132" s="66"/>
      <c r="K1132" s="66"/>
      <c r="L1132" s="66"/>
      <c r="M1132" s="66"/>
      <c r="N1132" s="66">
        <f>SUM(Prog_236[[#This Row],[TARA]]+Prog_236[[#This Row],[PESO]])</f>
        <v>0</v>
      </c>
      <c r="O1132" s="44"/>
      <c r="P1132" s="66"/>
      <c r="Q1132" s="66"/>
      <c r="R1132" s="66"/>
      <c r="S1132" s="66"/>
      <c r="T1132" s="138" t="str">
        <f>IFERROR(LOOKUP($S1132,MOTORISTAS!$D$3:$D$1048576,MOTORISTAS!E$3:$E$1048576),"")</f>
        <v/>
      </c>
      <c r="U1132" s="138" t="str">
        <f>IFERROR(LOOKUP($S1132,MOTORISTAS!$D$3:$D$1048576,MOTORISTAS!F$3:$F$1048576),"")</f>
        <v/>
      </c>
      <c r="V1132" s="66"/>
      <c r="W1132" s="66"/>
      <c r="X1132" s="66"/>
      <c r="Y1132" s="66"/>
      <c r="Z1132" s="66"/>
      <c r="AA1132" s="66"/>
      <c r="AB1132" s="66"/>
      <c r="AC1132" s="66"/>
      <c r="AD1132" s="66"/>
      <c r="AE1132" s="66"/>
      <c r="AF1132" s="44"/>
      <c r="AG1132" s="254">
        <f>Prog_236[[#This Row],[SAÍDA DO CLIENTE]]-Prog_236[[#This Row],[PROGRAMAÇÃO CLIENTE]]</f>
        <v>0</v>
      </c>
      <c r="AH1132" s="44"/>
      <c r="AI1132" s="66"/>
      <c r="AJ1132" s="66"/>
      <c r="AK1132" s="66"/>
      <c r="AL1132" s="66"/>
      <c r="AM1132" s="66"/>
      <c r="AN1132" s="83"/>
      <c r="AO1132" s="66"/>
      <c r="AP1132" s="66"/>
      <c r="AQ1132" s="66"/>
      <c r="AR1132" s="81"/>
      <c r="AS1132" s="81"/>
      <c r="AT1132" s="81"/>
      <c r="AU1132" s="81"/>
      <c r="AV1132" s="83">
        <f>SUM(Prog_236[[#This Row],[ADIANTAMENTO]]+Prog_236[[#This Row],[SALDO]]+Prog_236[[#This Row],[MARGEM]]+Prog_236[[#This Row],[ESTADIA 1]])</f>
        <v>0</v>
      </c>
      <c r="AW11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2" s="81"/>
      <c r="AY1132" s="81"/>
      <c r="AZ1132" s="81">
        <f>Prog_236[[#This Row],[VLR NF]]*0.1%</f>
        <v>0</v>
      </c>
      <c r="BA1132" s="81">
        <f>Prog_236[[#This Row],[VLR NF]]*0.05%</f>
        <v>0</v>
      </c>
      <c r="BB1132" s="81"/>
      <c r="BC1132" s="81"/>
      <c r="BD1132" s="81"/>
      <c r="BE1132" s="81"/>
      <c r="BF1132" s="81"/>
      <c r="BG1132" s="81"/>
      <c r="BH1132" s="81"/>
      <c r="BI1132" s="81"/>
      <c r="BJ1132" s="81"/>
      <c r="BK1132" s="81"/>
      <c r="BL1132" s="66"/>
      <c r="BM1132" s="66"/>
      <c r="BN1132" s="66"/>
      <c r="BO1132" s="66" t="str">
        <f>PROPER(TEXT(Prog_236[[#This Row],[PROGRAMAÇÃO CLIENTE]],"mmm"))</f>
        <v>Jan</v>
      </c>
      <c r="BP1132" s="66">
        <f>YEAR(Prog_236[[#This Row],[PROGRAMAÇÃO CLIENTE]])</f>
        <v>1900</v>
      </c>
    </row>
    <row r="1133" spans="1:68" x14ac:dyDescent="0.25">
      <c r="A1133" s="200">
        <f>Prog_236[[#This Row],[CONTEINER]]</f>
        <v>0</v>
      </c>
      <c r="B1133" s="86"/>
      <c r="C11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3" s="44"/>
      <c r="E1133" s="66"/>
      <c r="F1133" s="66"/>
      <c r="G1133" s="66"/>
      <c r="H1133" s="44"/>
      <c r="I1133" s="44"/>
      <c r="J1133" s="66"/>
      <c r="K1133" s="66"/>
      <c r="L1133" s="66"/>
      <c r="M1133" s="66"/>
      <c r="N1133" s="66">
        <f>SUM(Prog_236[[#This Row],[TARA]]+Prog_236[[#This Row],[PESO]])</f>
        <v>0</v>
      </c>
      <c r="O1133" s="44"/>
      <c r="P1133" s="66"/>
      <c r="Q1133" s="66"/>
      <c r="R1133" s="66"/>
      <c r="S1133" s="66"/>
      <c r="T1133" s="138" t="str">
        <f>IFERROR(LOOKUP($S1133,MOTORISTAS!$D$3:$D$1048576,MOTORISTAS!E$3:$E$1048576),"")</f>
        <v/>
      </c>
      <c r="U1133" s="138" t="str">
        <f>IFERROR(LOOKUP($S1133,MOTORISTAS!$D$3:$D$1048576,MOTORISTAS!F$3:$F$1048576),"")</f>
        <v/>
      </c>
      <c r="V1133" s="66"/>
      <c r="W1133" s="66"/>
      <c r="X1133" s="66"/>
      <c r="Y1133" s="66"/>
      <c r="Z1133" s="66"/>
      <c r="AA1133" s="66"/>
      <c r="AB1133" s="66"/>
      <c r="AC1133" s="66"/>
      <c r="AD1133" s="66"/>
      <c r="AE1133" s="66"/>
      <c r="AF1133" s="44"/>
      <c r="AG1133" s="254">
        <f>Prog_236[[#This Row],[SAÍDA DO CLIENTE]]-Prog_236[[#This Row],[PROGRAMAÇÃO CLIENTE]]</f>
        <v>0</v>
      </c>
      <c r="AH1133" s="44"/>
      <c r="AI1133" s="66"/>
      <c r="AJ1133" s="66"/>
      <c r="AK1133" s="66"/>
      <c r="AL1133" s="66"/>
      <c r="AM1133" s="66"/>
      <c r="AN1133" s="83"/>
      <c r="AO1133" s="66"/>
      <c r="AP1133" s="66"/>
      <c r="AQ1133" s="66"/>
      <c r="AR1133" s="81"/>
      <c r="AS1133" s="81"/>
      <c r="AT1133" s="81"/>
      <c r="AU1133" s="81"/>
      <c r="AV1133" s="83">
        <f>SUM(Prog_236[[#This Row],[ADIANTAMENTO]]+Prog_236[[#This Row],[SALDO]]+Prog_236[[#This Row],[MARGEM]]+Prog_236[[#This Row],[ESTADIA 1]])</f>
        <v>0</v>
      </c>
      <c r="AW11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3" s="81"/>
      <c r="AY1133" s="81"/>
      <c r="AZ1133" s="81">
        <f>Prog_236[[#This Row],[VLR NF]]*0.1%</f>
        <v>0</v>
      </c>
      <c r="BA1133" s="81">
        <f>Prog_236[[#This Row],[VLR NF]]*0.05%</f>
        <v>0</v>
      </c>
      <c r="BB1133" s="81"/>
      <c r="BC1133" s="81"/>
      <c r="BD1133" s="81"/>
      <c r="BE1133" s="81"/>
      <c r="BF1133" s="81"/>
      <c r="BG1133" s="81"/>
      <c r="BH1133" s="81"/>
      <c r="BI1133" s="81"/>
      <c r="BJ1133" s="81"/>
      <c r="BK1133" s="81"/>
      <c r="BL1133" s="66"/>
      <c r="BM1133" s="66"/>
      <c r="BN1133" s="66"/>
      <c r="BO1133" s="66" t="str">
        <f>PROPER(TEXT(Prog_236[[#This Row],[PROGRAMAÇÃO CLIENTE]],"mmm"))</f>
        <v>Jan</v>
      </c>
      <c r="BP1133" s="66">
        <f>YEAR(Prog_236[[#This Row],[PROGRAMAÇÃO CLIENTE]])</f>
        <v>1900</v>
      </c>
    </row>
    <row r="1134" spans="1:68" x14ac:dyDescent="0.25">
      <c r="A1134" s="201">
        <f>Prog_236[[#This Row],[CONTEINER]]</f>
        <v>0</v>
      </c>
      <c r="B1134" s="86"/>
      <c r="C11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4" s="44"/>
      <c r="E1134" s="66"/>
      <c r="F1134" s="66"/>
      <c r="G1134" s="66"/>
      <c r="H1134" s="44"/>
      <c r="I1134" s="44"/>
      <c r="J1134" s="66"/>
      <c r="K1134" s="66"/>
      <c r="L1134" s="66"/>
      <c r="M1134" s="66"/>
      <c r="N1134" s="66">
        <f>SUM(Prog_236[[#This Row],[TARA]]+Prog_236[[#This Row],[PESO]])</f>
        <v>0</v>
      </c>
      <c r="O1134" s="44"/>
      <c r="P1134" s="66"/>
      <c r="Q1134" s="66"/>
      <c r="R1134" s="66"/>
      <c r="S1134" s="66"/>
      <c r="T1134" s="138" t="str">
        <f>IFERROR(LOOKUP($S1134,MOTORISTAS!$D$3:$D$1048576,MOTORISTAS!E$3:$E$1048576),"")</f>
        <v/>
      </c>
      <c r="U1134" s="138" t="str">
        <f>IFERROR(LOOKUP($S1134,MOTORISTAS!$D$3:$D$1048576,MOTORISTAS!F$3:$F$1048576),"")</f>
        <v/>
      </c>
      <c r="V1134" s="66"/>
      <c r="W1134" s="66"/>
      <c r="X1134" s="66"/>
      <c r="Y1134" s="66"/>
      <c r="Z1134" s="66"/>
      <c r="AA1134" s="66"/>
      <c r="AB1134" s="66"/>
      <c r="AC1134" s="66"/>
      <c r="AD1134" s="66"/>
      <c r="AE1134" s="66"/>
      <c r="AF1134" s="44"/>
      <c r="AG1134" s="254">
        <f>Prog_236[[#This Row],[SAÍDA DO CLIENTE]]-Prog_236[[#This Row],[PROGRAMAÇÃO CLIENTE]]</f>
        <v>0</v>
      </c>
      <c r="AH1134" s="44"/>
      <c r="AI1134" s="66"/>
      <c r="AJ1134" s="66"/>
      <c r="AK1134" s="66"/>
      <c r="AL1134" s="66"/>
      <c r="AM1134" s="66"/>
      <c r="AN1134" s="83"/>
      <c r="AO1134" s="66"/>
      <c r="AP1134" s="66"/>
      <c r="AQ1134" s="66"/>
      <c r="AR1134" s="81"/>
      <c r="AS1134" s="81"/>
      <c r="AT1134" s="81"/>
      <c r="AU1134" s="81"/>
      <c r="AV1134" s="83">
        <f>SUM(Prog_236[[#This Row],[ADIANTAMENTO]]+Prog_236[[#This Row],[SALDO]]+Prog_236[[#This Row],[MARGEM]]+Prog_236[[#This Row],[ESTADIA 1]])</f>
        <v>0</v>
      </c>
      <c r="AW11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4" s="81"/>
      <c r="AY1134" s="81"/>
      <c r="AZ1134" s="81">
        <f>Prog_236[[#This Row],[VLR NF]]*0.1%</f>
        <v>0</v>
      </c>
      <c r="BA1134" s="81">
        <f>Prog_236[[#This Row],[VLR NF]]*0.05%</f>
        <v>0</v>
      </c>
      <c r="BB1134" s="81"/>
      <c r="BC1134" s="81"/>
      <c r="BD1134" s="81"/>
      <c r="BE1134" s="81"/>
      <c r="BF1134" s="81"/>
      <c r="BG1134" s="81"/>
      <c r="BH1134" s="81"/>
      <c r="BI1134" s="81"/>
      <c r="BJ1134" s="81"/>
      <c r="BK1134" s="81"/>
      <c r="BL1134" s="66"/>
      <c r="BM1134" s="66"/>
      <c r="BN1134" s="66"/>
      <c r="BO1134" s="66" t="str">
        <f>PROPER(TEXT(Prog_236[[#This Row],[PROGRAMAÇÃO CLIENTE]],"mmm"))</f>
        <v>Jan</v>
      </c>
      <c r="BP1134" s="66">
        <f>YEAR(Prog_236[[#This Row],[PROGRAMAÇÃO CLIENTE]])</f>
        <v>1900</v>
      </c>
    </row>
    <row r="1135" spans="1:68" x14ac:dyDescent="0.25">
      <c r="A1135" s="200">
        <f>Prog_236[[#This Row],[CONTEINER]]</f>
        <v>0</v>
      </c>
      <c r="B1135" s="86"/>
      <c r="C11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5" s="44"/>
      <c r="E1135" s="66"/>
      <c r="F1135" s="66"/>
      <c r="G1135" s="66"/>
      <c r="H1135" s="44"/>
      <c r="I1135" s="44"/>
      <c r="J1135" s="66"/>
      <c r="K1135" s="66"/>
      <c r="L1135" s="66"/>
      <c r="M1135" s="66"/>
      <c r="N1135" s="66">
        <f>SUM(Prog_236[[#This Row],[TARA]]+Prog_236[[#This Row],[PESO]])</f>
        <v>0</v>
      </c>
      <c r="O1135" s="44"/>
      <c r="P1135" s="66"/>
      <c r="Q1135" s="66"/>
      <c r="R1135" s="66"/>
      <c r="S1135" s="66"/>
      <c r="T1135" s="138" t="str">
        <f>IFERROR(LOOKUP($S1135,MOTORISTAS!$D$3:$D$1048576,MOTORISTAS!E$3:$E$1048576),"")</f>
        <v/>
      </c>
      <c r="U1135" s="138" t="str">
        <f>IFERROR(LOOKUP($S1135,MOTORISTAS!$D$3:$D$1048576,MOTORISTAS!F$3:$F$1048576),"")</f>
        <v/>
      </c>
      <c r="V1135" s="66"/>
      <c r="W1135" s="66"/>
      <c r="X1135" s="66"/>
      <c r="Y1135" s="66"/>
      <c r="Z1135" s="66"/>
      <c r="AA1135" s="66"/>
      <c r="AB1135" s="66"/>
      <c r="AC1135" s="66"/>
      <c r="AD1135" s="66"/>
      <c r="AE1135" s="66"/>
      <c r="AF1135" s="44"/>
      <c r="AG1135" s="254">
        <f>Prog_236[[#This Row],[SAÍDA DO CLIENTE]]-Prog_236[[#This Row],[PROGRAMAÇÃO CLIENTE]]</f>
        <v>0</v>
      </c>
      <c r="AH1135" s="44"/>
      <c r="AI1135" s="66"/>
      <c r="AJ1135" s="66"/>
      <c r="AK1135" s="66"/>
      <c r="AL1135" s="66"/>
      <c r="AM1135" s="66"/>
      <c r="AN1135" s="83"/>
      <c r="AO1135" s="66"/>
      <c r="AP1135" s="66"/>
      <c r="AQ1135" s="66"/>
      <c r="AR1135" s="81"/>
      <c r="AS1135" s="81"/>
      <c r="AT1135" s="81"/>
      <c r="AU1135" s="81"/>
      <c r="AV1135" s="83">
        <f>SUM(Prog_236[[#This Row],[ADIANTAMENTO]]+Prog_236[[#This Row],[SALDO]]+Prog_236[[#This Row],[MARGEM]]+Prog_236[[#This Row],[ESTADIA 1]])</f>
        <v>0</v>
      </c>
      <c r="AW11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5" s="81"/>
      <c r="AY1135" s="81"/>
      <c r="AZ1135" s="81">
        <f>Prog_236[[#This Row],[VLR NF]]*0.1%</f>
        <v>0</v>
      </c>
      <c r="BA1135" s="81">
        <f>Prog_236[[#This Row],[VLR NF]]*0.05%</f>
        <v>0</v>
      </c>
      <c r="BB1135" s="81"/>
      <c r="BC1135" s="81"/>
      <c r="BD1135" s="81"/>
      <c r="BE1135" s="81"/>
      <c r="BF1135" s="81"/>
      <c r="BG1135" s="81"/>
      <c r="BH1135" s="81"/>
      <c r="BI1135" s="81"/>
      <c r="BJ1135" s="81"/>
      <c r="BK1135" s="81"/>
      <c r="BL1135" s="66"/>
      <c r="BM1135" s="66"/>
      <c r="BN1135" s="66"/>
      <c r="BO1135" s="66" t="str">
        <f>PROPER(TEXT(Prog_236[[#This Row],[PROGRAMAÇÃO CLIENTE]],"mmm"))</f>
        <v>Jan</v>
      </c>
      <c r="BP1135" s="66">
        <f>YEAR(Prog_236[[#This Row],[PROGRAMAÇÃO CLIENTE]])</f>
        <v>1900</v>
      </c>
    </row>
    <row r="1136" spans="1:68" x14ac:dyDescent="0.25">
      <c r="A1136" s="201">
        <f>Prog_236[[#This Row],[CONTEINER]]</f>
        <v>0</v>
      </c>
      <c r="B1136" s="86"/>
      <c r="C11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6" s="44"/>
      <c r="E1136" s="66"/>
      <c r="F1136" s="66"/>
      <c r="G1136" s="66"/>
      <c r="H1136" s="44"/>
      <c r="I1136" s="44"/>
      <c r="J1136" s="66"/>
      <c r="K1136" s="66"/>
      <c r="L1136" s="66"/>
      <c r="M1136" s="66"/>
      <c r="N1136" s="66">
        <f>SUM(Prog_236[[#This Row],[TARA]]+Prog_236[[#This Row],[PESO]])</f>
        <v>0</v>
      </c>
      <c r="O1136" s="44"/>
      <c r="P1136" s="66"/>
      <c r="Q1136" s="66"/>
      <c r="R1136" s="66"/>
      <c r="S1136" s="66"/>
      <c r="T1136" s="138" t="str">
        <f>IFERROR(LOOKUP($S1136,MOTORISTAS!$D$3:$D$1048576,MOTORISTAS!E$3:$E$1048576),"")</f>
        <v/>
      </c>
      <c r="U1136" s="138" t="str">
        <f>IFERROR(LOOKUP($S1136,MOTORISTAS!$D$3:$D$1048576,MOTORISTAS!F$3:$F$1048576),"")</f>
        <v/>
      </c>
      <c r="V1136" s="66"/>
      <c r="W1136" s="66"/>
      <c r="X1136" s="66"/>
      <c r="Y1136" s="66"/>
      <c r="Z1136" s="66"/>
      <c r="AA1136" s="66"/>
      <c r="AB1136" s="66"/>
      <c r="AC1136" s="66"/>
      <c r="AD1136" s="66"/>
      <c r="AE1136" s="66"/>
      <c r="AF1136" s="44"/>
      <c r="AG1136" s="254">
        <f>Prog_236[[#This Row],[SAÍDA DO CLIENTE]]-Prog_236[[#This Row],[PROGRAMAÇÃO CLIENTE]]</f>
        <v>0</v>
      </c>
      <c r="AH1136" s="44"/>
      <c r="AI1136" s="66"/>
      <c r="AJ1136" s="66"/>
      <c r="AK1136" s="66"/>
      <c r="AL1136" s="66"/>
      <c r="AM1136" s="66"/>
      <c r="AN1136" s="83"/>
      <c r="AO1136" s="66"/>
      <c r="AP1136" s="66"/>
      <c r="AQ1136" s="66"/>
      <c r="AR1136" s="81"/>
      <c r="AS1136" s="81"/>
      <c r="AT1136" s="81"/>
      <c r="AU1136" s="81"/>
      <c r="AV1136" s="83">
        <f>SUM(Prog_236[[#This Row],[ADIANTAMENTO]]+Prog_236[[#This Row],[SALDO]]+Prog_236[[#This Row],[MARGEM]]+Prog_236[[#This Row],[ESTADIA 1]])</f>
        <v>0</v>
      </c>
      <c r="AW11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6" s="81"/>
      <c r="AY1136" s="81"/>
      <c r="AZ1136" s="81">
        <f>Prog_236[[#This Row],[VLR NF]]*0.1%</f>
        <v>0</v>
      </c>
      <c r="BA1136" s="81">
        <f>Prog_236[[#This Row],[VLR NF]]*0.05%</f>
        <v>0</v>
      </c>
      <c r="BB1136" s="81"/>
      <c r="BC1136" s="81"/>
      <c r="BD1136" s="81"/>
      <c r="BE1136" s="81"/>
      <c r="BF1136" s="81"/>
      <c r="BG1136" s="81"/>
      <c r="BH1136" s="81"/>
      <c r="BI1136" s="81"/>
      <c r="BJ1136" s="81"/>
      <c r="BK1136" s="81"/>
      <c r="BL1136" s="66"/>
      <c r="BM1136" s="66"/>
      <c r="BN1136" s="66"/>
      <c r="BO1136" s="66" t="str">
        <f>PROPER(TEXT(Prog_236[[#This Row],[PROGRAMAÇÃO CLIENTE]],"mmm"))</f>
        <v>Jan</v>
      </c>
      <c r="BP1136" s="66">
        <f>YEAR(Prog_236[[#This Row],[PROGRAMAÇÃO CLIENTE]])</f>
        <v>1900</v>
      </c>
    </row>
    <row r="1137" spans="1:68" x14ac:dyDescent="0.25">
      <c r="A1137" s="200">
        <f>Prog_236[[#This Row],[CONTEINER]]</f>
        <v>0</v>
      </c>
      <c r="B1137" s="86"/>
      <c r="C11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7" s="44"/>
      <c r="E1137" s="66"/>
      <c r="F1137" s="66"/>
      <c r="G1137" s="66"/>
      <c r="H1137" s="44"/>
      <c r="I1137" s="44"/>
      <c r="J1137" s="66"/>
      <c r="K1137" s="66"/>
      <c r="L1137" s="66"/>
      <c r="M1137" s="66"/>
      <c r="N1137" s="66">
        <f>SUM(Prog_236[[#This Row],[TARA]]+Prog_236[[#This Row],[PESO]])</f>
        <v>0</v>
      </c>
      <c r="O1137" s="44"/>
      <c r="P1137" s="66"/>
      <c r="Q1137" s="66"/>
      <c r="R1137" s="66"/>
      <c r="S1137" s="66"/>
      <c r="T1137" s="138" t="str">
        <f>IFERROR(LOOKUP($S1137,MOTORISTAS!$D$3:$D$1048576,MOTORISTAS!E$3:$E$1048576),"")</f>
        <v/>
      </c>
      <c r="U1137" s="138" t="str">
        <f>IFERROR(LOOKUP($S1137,MOTORISTAS!$D$3:$D$1048576,MOTORISTAS!F$3:$F$1048576),"")</f>
        <v/>
      </c>
      <c r="V1137" s="66"/>
      <c r="W1137" s="66"/>
      <c r="X1137" s="66"/>
      <c r="Y1137" s="66"/>
      <c r="Z1137" s="66"/>
      <c r="AA1137" s="66"/>
      <c r="AB1137" s="66"/>
      <c r="AC1137" s="66"/>
      <c r="AD1137" s="66"/>
      <c r="AE1137" s="66"/>
      <c r="AF1137" s="44"/>
      <c r="AG1137" s="254">
        <f>Prog_236[[#This Row],[SAÍDA DO CLIENTE]]-Prog_236[[#This Row],[PROGRAMAÇÃO CLIENTE]]</f>
        <v>0</v>
      </c>
      <c r="AH1137" s="44"/>
      <c r="AI1137" s="66"/>
      <c r="AJ1137" s="66"/>
      <c r="AK1137" s="66"/>
      <c r="AL1137" s="66"/>
      <c r="AM1137" s="66"/>
      <c r="AN1137" s="83"/>
      <c r="AO1137" s="66"/>
      <c r="AP1137" s="66"/>
      <c r="AQ1137" s="66"/>
      <c r="AR1137" s="81"/>
      <c r="AS1137" s="81"/>
      <c r="AT1137" s="81"/>
      <c r="AU1137" s="81"/>
      <c r="AV1137" s="83">
        <f>SUM(Prog_236[[#This Row],[ADIANTAMENTO]]+Prog_236[[#This Row],[SALDO]]+Prog_236[[#This Row],[MARGEM]]+Prog_236[[#This Row],[ESTADIA 1]])</f>
        <v>0</v>
      </c>
      <c r="AW11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7" s="81"/>
      <c r="AY1137" s="81"/>
      <c r="AZ1137" s="81">
        <f>Prog_236[[#This Row],[VLR NF]]*0.1%</f>
        <v>0</v>
      </c>
      <c r="BA1137" s="81">
        <f>Prog_236[[#This Row],[VLR NF]]*0.05%</f>
        <v>0</v>
      </c>
      <c r="BB1137" s="81"/>
      <c r="BC1137" s="81"/>
      <c r="BD1137" s="81"/>
      <c r="BE1137" s="81"/>
      <c r="BF1137" s="81"/>
      <c r="BG1137" s="81"/>
      <c r="BH1137" s="81"/>
      <c r="BI1137" s="81"/>
      <c r="BJ1137" s="81"/>
      <c r="BK1137" s="81"/>
      <c r="BL1137" s="66"/>
      <c r="BM1137" s="66"/>
      <c r="BN1137" s="66"/>
      <c r="BO1137" s="66" t="str">
        <f>PROPER(TEXT(Prog_236[[#This Row],[PROGRAMAÇÃO CLIENTE]],"mmm"))</f>
        <v>Jan</v>
      </c>
      <c r="BP1137" s="66">
        <f>YEAR(Prog_236[[#This Row],[PROGRAMAÇÃO CLIENTE]])</f>
        <v>1900</v>
      </c>
    </row>
    <row r="1138" spans="1:68" x14ac:dyDescent="0.25">
      <c r="A1138" s="201">
        <f>Prog_236[[#This Row],[CONTEINER]]</f>
        <v>0</v>
      </c>
      <c r="B1138" s="86"/>
      <c r="C11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8" s="44"/>
      <c r="E1138" s="66"/>
      <c r="F1138" s="66"/>
      <c r="G1138" s="66"/>
      <c r="H1138" s="44"/>
      <c r="I1138" s="44"/>
      <c r="J1138" s="66"/>
      <c r="K1138" s="66"/>
      <c r="L1138" s="66"/>
      <c r="M1138" s="66"/>
      <c r="N1138" s="66">
        <f>SUM(Prog_236[[#This Row],[TARA]]+Prog_236[[#This Row],[PESO]])</f>
        <v>0</v>
      </c>
      <c r="O1138" s="44"/>
      <c r="P1138" s="66"/>
      <c r="Q1138" s="66"/>
      <c r="R1138" s="66"/>
      <c r="S1138" s="66"/>
      <c r="T1138" s="138" t="str">
        <f>IFERROR(LOOKUP($S1138,MOTORISTAS!$D$3:$D$1048576,MOTORISTAS!E$3:$E$1048576),"")</f>
        <v/>
      </c>
      <c r="U1138" s="138" t="str">
        <f>IFERROR(LOOKUP($S1138,MOTORISTAS!$D$3:$D$1048576,MOTORISTAS!F$3:$F$1048576),"")</f>
        <v/>
      </c>
      <c r="V1138" s="66"/>
      <c r="W1138" s="66"/>
      <c r="X1138" s="66"/>
      <c r="Y1138" s="66"/>
      <c r="Z1138" s="66"/>
      <c r="AA1138" s="66"/>
      <c r="AB1138" s="66"/>
      <c r="AC1138" s="66"/>
      <c r="AD1138" s="66"/>
      <c r="AE1138" s="66"/>
      <c r="AF1138" s="44"/>
      <c r="AG1138" s="254">
        <f>Prog_236[[#This Row],[SAÍDA DO CLIENTE]]-Prog_236[[#This Row],[PROGRAMAÇÃO CLIENTE]]</f>
        <v>0</v>
      </c>
      <c r="AH1138" s="44"/>
      <c r="AI1138" s="66"/>
      <c r="AJ1138" s="66"/>
      <c r="AK1138" s="66"/>
      <c r="AL1138" s="66"/>
      <c r="AM1138" s="66"/>
      <c r="AN1138" s="83"/>
      <c r="AO1138" s="66"/>
      <c r="AP1138" s="66"/>
      <c r="AQ1138" s="66"/>
      <c r="AR1138" s="81"/>
      <c r="AS1138" s="81"/>
      <c r="AT1138" s="81"/>
      <c r="AU1138" s="81"/>
      <c r="AV1138" s="83">
        <f>SUM(Prog_236[[#This Row],[ADIANTAMENTO]]+Prog_236[[#This Row],[SALDO]]+Prog_236[[#This Row],[MARGEM]]+Prog_236[[#This Row],[ESTADIA 1]])</f>
        <v>0</v>
      </c>
      <c r="AW11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8" s="81"/>
      <c r="AY1138" s="81"/>
      <c r="AZ1138" s="81">
        <f>Prog_236[[#This Row],[VLR NF]]*0.1%</f>
        <v>0</v>
      </c>
      <c r="BA1138" s="81">
        <f>Prog_236[[#This Row],[VLR NF]]*0.05%</f>
        <v>0</v>
      </c>
      <c r="BB1138" s="81"/>
      <c r="BC1138" s="81"/>
      <c r="BD1138" s="81"/>
      <c r="BE1138" s="81"/>
      <c r="BF1138" s="81"/>
      <c r="BG1138" s="81"/>
      <c r="BH1138" s="81"/>
      <c r="BI1138" s="81"/>
      <c r="BJ1138" s="81"/>
      <c r="BK1138" s="81"/>
      <c r="BL1138" s="66"/>
      <c r="BM1138" s="66"/>
      <c r="BN1138" s="66"/>
      <c r="BO1138" s="66" t="str">
        <f>PROPER(TEXT(Prog_236[[#This Row],[PROGRAMAÇÃO CLIENTE]],"mmm"))</f>
        <v>Jan</v>
      </c>
      <c r="BP1138" s="66">
        <f>YEAR(Prog_236[[#This Row],[PROGRAMAÇÃO CLIENTE]])</f>
        <v>1900</v>
      </c>
    </row>
    <row r="1139" spans="1:68" x14ac:dyDescent="0.25">
      <c r="A1139" s="200">
        <f>Prog_236[[#This Row],[CONTEINER]]</f>
        <v>0</v>
      </c>
      <c r="B1139" s="86"/>
      <c r="C11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39" s="44"/>
      <c r="E1139" s="66"/>
      <c r="F1139" s="66"/>
      <c r="G1139" s="66"/>
      <c r="H1139" s="44"/>
      <c r="I1139" s="44"/>
      <c r="J1139" s="66"/>
      <c r="K1139" s="66"/>
      <c r="L1139" s="66"/>
      <c r="M1139" s="66"/>
      <c r="N1139" s="66">
        <f>SUM(Prog_236[[#This Row],[TARA]]+Prog_236[[#This Row],[PESO]])</f>
        <v>0</v>
      </c>
      <c r="O1139" s="44"/>
      <c r="P1139" s="66"/>
      <c r="Q1139" s="66"/>
      <c r="R1139" s="66"/>
      <c r="S1139" s="66"/>
      <c r="T1139" s="138" t="str">
        <f>IFERROR(LOOKUP($S1139,MOTORISTAS!$D$3:$D$1048576,MOTORISTAS!E$3:$E$1048576),"")</f>
        <v/>
      </c>
      <c r="U1139" s="138" t="str">
        <f>IFERROR(LOOKUP($S1139,MOTORISTAS!$D$3:$D$1048576,MOTORISTAS!F$3:$F$1048576),"")</f>
        <v/>
      </c>
      <c r="V1139" s="66"/>
      <c r="W1139" s="66"/>
      <c r="X1139" s="66"/>
      <c r="Y1139" s="66"/>
      <c r="Z1139" s="66"/>
      <c r="AA1139" s="66"/>
      <c r="AB1139" s="66"/>
      <c r="AC1139" s="66"/>
      <c r="AD1139" s="66"/>
      <c r="AE1139" s="66"/>
      <c r="AF1139" s="44"/>
      <c r="AG1139" s="254">
        <f>Prog_236[[#This Row],[SAÍDA DO CLIENTE]]-Prog_236[[#This Row],[PROGRAMAÇÃO CLIENTE]]</f>
        <v>0</v>
      </c>
      <c r="AH1139" s="44"/>
      <c r="AI1139" s="66"/>
      <c r="AJ1139" s="66"/>
      <c r="AK1139" s="66"/>
      <c r="AL1139" s="66"/>
      <c r="AM1139" s="66"/>
      <c r="AN1139" s="83"/>
      <c r="AO1139" s="66"/>
      <c r="AP1139" s="66"/>
      <c r="AQ1139" s="66"/>
      <c r="AR1139" s="81"/>
      <c r="AS1139" s="81"/>
      <c r="AT1139" s="81"/>
      <c r="AU1139" s="81"/>
      <c r="AV1139" s="83">
        <f>SUM(Prog_236[[#This Row],[ADIANTAMENTO]]+Prog_236[[#This Row],[SALDO]]+Prog_236[[#This Row],[MARGEM]]+Prog_236[[#This Row],[ESTADIA 1]])</f>
        <v>0</v>
      </c>
      <c r="AW11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39" s="81"/>
      <c r="AY1139" s="81"/>
      <c r="AZ1139" s="81">
        <f>Prog_236[[#This Row],[VLR NF]]*0.1%</f>
        <v>0</v>
      </c>
      <c r="BA1139" s="81">
        <f>Prog_236[[#This Row],[VLR NF]]*0.05%</f>
        <v>0</v>
      </c>
      <c r="BB1139" s="81"/>
      <c r="BC1139" s="81"/>
      <c r="BD1139" s="81"/>
      <c r="BE1139" s="81"/>
      <c r="BF1139" s="81"/>
      <c r="BG1139" s="81"/>
      <c r="BH1139" s="81"/>
      <c r="BI1139" s="81"/>
      <c r="BJ1139" s="81"/>
      <c r="BK1139" s="81"/>
      <c r="BL1139" s="66"/>
      <c r="BM1139" s="66"/>
      <c r="BN1139" s="66"/>
      <c r="BO1139" s="66" t="str">
        <f>PROPER(TEXT(Prog_236[[#This Row],[PROGRAMAÇÃO CLIENTE]],"mmm"))</f>
        <v>Jan</v>
      </c>
      <c r="BP1139" s="66">
        <f>YEAR(Prog_236[[#This Row],[PROGRAMAÇÃO CLIENTE]])</f>
        <v>1900</v>
      </c>
    </row>
    <row r="1140" spans="1:68" x14ac:dyDescent="0.25">
      <c r="A1140" s="201">
        <f>Prog_236[[#This Row],[CONTEINER]]</f>
        <v>0</v>
      </c>
      <c r="B1140" s="86"/>
      <c r="C11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0" s="44"/>
      <c r="E1140" s="66"/>
      <c r="F1140" s="66"/>
      <c r="G1140" s="66"/>
      <c r="H1140" s="44"/>
      <c r="I1140" s="44"/>
      <c r="J1140" s="66"/>
      <c r="K1140" s="66"/>
      <c r="L1140" s="66"/>
      <c r="M1140" s="66"/>
      <c r="N1140" s="66">
        <f>SUM(Prog_236[[#This Row],[TARA]]+Prog_236[[#This Row],[PESO]])</f>
        <v>0</v>
      </c>
      <c r="O1140" s="44"/>
      <c r="P1140" s="66"/>
      <c r="Q1140" s="66"/>
      <c r="R1140" s="66"/>
      <c r="S1140" s="66"/>
      <c r="T1140" s="138" t="str">
        <f>IFERROR(LOOKUP($S1140,MOTORISTAS!$D$3:$D$1048576,MOTORISTAS!E$3:$E$1048576),"")</f>
        <v/>
      </c>
      <c r="U1140" s="138" t="str">
        <f>IFERROR(LOOKUP($S1140,MOTORISTAS!$D$3:$D$1048576,MOTORISTAS!F$3:$F$1048576),"")</f>
        <v/>
      </c>
      <c r="V1140" s="66"/>
      <c r="W1140" s="66"/>
      <c r="X1140" s="66"/>
      <c r="Y1140" s="66"/>
      <c r="Z1140" s="66"/>
      <c r="AA1140" s="66"/>
      <c r="AB1140" s="66"/>
      <c r="AC1140" s="66"/>
      <c r="AD1140" s="66"/>
      <c r="AE1140" s="66"/>
      <c r="AF1140" s="44"/>
      <c r="AG1140" s="254">
        <f>Prog_236[[#This Row],[SAÍDA DO CLIENTE]]-Prog_236[[#This Row],[PROGRAMAÇÃO CLIENTE]]</f>
        <v>0</v>
      </c>
      <c r="AH1140" s="44"/>
      <c r="AI1140" s="66"/>
      <c r="AJ1140" s="66"/>
      <c r="AK1140" s="66"/>
      <c r="AL1140" s="66"/>
      <c r="AM1140" s="66"/>
      <c r="AN1140" s="83"/>
      <c r="AO1140" s="66"/>
      <c r="AP1140" s="66"/>
      <c r="AQ1140" s="66"/>
      <c r="AR1140" s="81"/>
      <c r="AS1140" s="81"/>
      <c r="AT1140" s="81"/>
      <c r="AU1140" s="81"/>
      <c r="AV1140" s="83">
        <f>SUM(Prog_236[[#This Row],[ADIANTAMENTO]]+Prog_236[[#This Row],[SALDO]]+Prog_236[[#This Row],[MARGEM]]+Prog_236[[#This Row],[ESTADIA 1]])</f>
        <v>0</v>
      </c>
      <c r="AW11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0" s="81"/>
      <c r="AY1140" s="81"/>
      <c r="AZ1140" s="81">
        <f>Prog_236[[#This Row],[VLR NF]]*0.1%</f>
        <v>0</v>
      </c>
      <c r="BA1140" s="81">
        <f>Prog_236[[#This Row],[VLR NF]]*0.05%</f>
        <v>0</v>
      </c>
      <c r="BB1140" s="81"/>
      <c r="BC1140" s="81"/>
      <c r="BD1140" s="81"/>
      <c r="BE1140" s="81"/>
      <c r="BF1140" s="81"/>
      <c r="BG1140" s="81"/>
      <c r="BH1140" s="81"/>
      <c r="BI1140" s="81"/>
      <c r="BJ1140" s="81"/>
      <c r="BK1140" s="81"/>
      <c r="BL1140" s="66"/>
      <c r="BM1140" s="66"/>
      <c r="BN1140" s="66"/>
      <c r="BO1140" s="66" t="str">
        <f>PROPER(TEXT(Prog_236[[#This Row],[PROGRAMAÇÃO CLIENTE]],"mmm"))</f>
        <v>Jan</v>
      </c>
      <c r="BP1140" s="66">
        <f>YEAR(Prog_236[[#This Row],[PROGRAMAÇÃO CLIENTE]])</f>
        <v>1900</v>
      </c>
    </row>
    <row r="1141" spans="1:68" x14ac:dyDescent="0.25">
      <c r="A1141" s="200">
        <f>Prog_236[[#This Row],[CONTEINER]]</f>
        <v>0</v>
      </c>
      <c r="B1141" s="86"/>
      <c r="C11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1" s="44"/>
      <c r="E1141" s="66"/>
      <c r="F1141" s="66"/>
      <c r="G1141" s="66"/>
      <c r="H1141" s="44"/>
      <c r="I1141" s="44"/>
      <c r="J1141" s="66"/>
      <c r="K1141" s="66"/>
      <c r="L1141" s="66"/>
      <c r="M1141" s="66"/>
      <c r="N1141" s="66">
        <f>SUM(Prog_236[[#This Row],[TARA]]+Prog_236[[#This Row],[PESO]])</f>
        <v>0</v>
      </c>
      <c r="O1141" s="44"/>
      <c r="P1141" s="66"/>
      <c r="Q1141" s="66"/>
      <c r="R1141" s="66"/>
      <c r="S1141" s="66"/>
      <c r="T1141" s="138" t="str">
        <f>IFERROR(LOOKUP($S1141,MOTORISTAS!$D$3:$D$1048576,MOTORISTAS!E$3:$E$1048576),"")</f>
        <v/>
      </c>
      <c r="U1141" s="138" t="str">
        <f>IFERROR(LOOKUP($S1141,MOTORISTAS!$D$3:$D$1048576,MOTORISTAS!F$3:$F$1048576),"")</f>
        <v/>
      </c>
      <c r="V1141" s="66"/>
      <c r="W1141" s="66"/>
      <c r="X1141" s="66"/>
      <c r="Y1141" s="66"/>
      <c r="Z1141" s="66"/>
      <c r="AA1141" s="66"/>
      <c r="AB1141" s="66"/>
      <c r="AC1141" s="66"/>
      <c r="AD1141" s="66"/>
      <c r="AE1141" s="66"/>
      <c r="AF1141" s="44"/>
      <c r="AG1141" s="254">
        <f>Prog_236[[#This Row],[SAÍDA DO CLIENTE]]-Prog_236[[#This Row],[PROGRAMAÇÃO CLIENTE]]</f>
        <v>0</v>
      </c>
      <c r="AH1141" s="44"/>
      <c r="AI1141" s="66"/>
      <c r="AJ1141" s="66"/>
      <c r="AK1141" s="66"/>
      <c r="AL1141" s="66"/>
      <c r="AM1141" s="66"/>
      <c r="AN1141" s="83"/>
      <c r="AO1141" s="66"/>
      <c r="AP1141" s="66"/>
      <c r="AQ1141" s="66"/>
      <c r="AR1141" s="81"/>
      <c r="AS1141" s="81"/>
      <c r="AT1141" s="81"/>
      <c r="AU1141" s="81"/>
      <c r="AV1141" s="83">
        <f>SUM(Prog_236[[#This Row],[ADIANTAMENTO]]+Prog_236[[#This Row],[SALDO]]+Prog_236[[#This Row],[MARGEM]]+Prog_236[[#This Row],[ESTADIA 1]])</f>
        <v>0</v>
      </c>
      <c r="AW11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1" s="81"/>
      <c r="AY1141" s="81"/>
      <c r="AZ1141" s="81">
        <f>Prog_236[[#This Row],[VLR NF]]*0.1%</f>
        <v>0</v>
      </c>
      <c r="BA1141" s="81">
        <f>Prog_236[[#This Row],[VLR NF]]*0.05%</f>
        <v>0</v>
      </c>
      <c r="BB1141" s="81"/>
      <c r="BC1141" s="81"/>
      <c r="BD1141" s="81"/>
      <c r="BE1141" s="81"/>
      <c r="BF1141" s="81"/>
      <c r="BG1141" s="81"/>
      <c r="BH1141" s="81"/>
      <c r="BI1141" s="81"/>
      <c r="BJ1141" s="81"/>
      <c r="BK1141" s="81"/>
      <c r="BL1141" s="66"/>
      <c r="BM1141" s="66"/>
      <c r="BN1141" s="66"/>
      <c r="BO1141" s="66" t="str">
        <f>PROPER(TEXT(Prog_236[[#This Row],[PROGRAMAÇÃO CLIENTE]],"mmm"))</f>
        <v>Jan</v>
      </c>
      <c r="BP1141" s="66">
        <f>YEAR(Prog_236[[#This Row],[PROGRAMAÇÃO CLIENTE]])</f>
        <v>1900</v>
      </c>
    </row>
    <row r="1142" spans="1:68" x14ac:dyDescent="0.25">
      <c r="A1142" s="201">
        <f>Prog_236[[#This Row],[CONTEINER]]</f>
        <v>0</v>
      </c>
      <c r="B1142" s="86"/>
      <c r="C11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2" s="44"/>
      <c r="E1142" s="66"/>
      <c r="F1142" s="66"/>
      <c r="G1142" s="66"/>
      <c r="H1142" s="44"/>
      <c r="I1142" s="44"/>
      <c r="J1142" s="66"/>
      <c r="K1142" s="66"/>
      <c r="L1142" s="66"/>
      <c r="M1142" s="66"/>
      <c r="N1142" s="66">
        <f>SUM(Prog_236[[#This Row],[TARA]]+Prog_236[[#This Row],[PESO]])</f>
        <v>0</v>
      </c>
      <c r="O1142" s="44"/>
      <c r="P1142" s="66"/>
      <c r="Q1142" s="66"/>
      <c r="R1142" s="66"/>
      <c r="S1142" s="66"/>
      <c r="T1142" s="138" t="str">
        <f>IFERROR(LOOKUP($S1142,MOTORISTAS!$D$3:$D$1048576,MOTORISTAS!E$3:$E$1048576),"")</f>
        <v/>
      </c>
      <c r="U1142" s="138" t="str">
        <f>IFERROR(LOOKUP($S1142,MOTORISTAS!$D$3:$D$1048576,MOTORISTAS!F$3:$F$1048576),"")</f>
        <v/>
      </c>
      <c r="V1142" s="66"/>
      <c r="W1142" s="66"/>
      <c r="X1142" s="66"/>
      <c r="Y1142" s="66"/>
      <c r="Z1142" s="66"/>
      <c r="AA1142" s="66"/>
      <c r="AB1142" s="66"/>
      <c r="AC1142" s="66"/>
      <c r="AD1142" s="66"/>
      <c r="AE1142" s="66"/>
      <c r="AF1142" s="44"/>
      <c r="AG1142" s="254">
        <f>Prog_236[[#This Row],[SAÍDA DO CLIENTE]]-Prog_236[[#This Row],[PROGRAMAÇÃO CLIENTE]]</f>
        <v>0</v>
      </c>
      <c r="AH1142" s="44"/>
      <c r="AI1142" s="66"/>
      <c r="AJ1142" s="66"/>
      <c r="AK1142" s="66"/>
      <c r="AL1142" s="66"/>
      <c r="AM1142" s="66"/>
      <c r="AN1142" s="83"/>
      <c r="AO1142" s="66"/>
      <c r="AP1142" s="66"/>
      <c r="AQ1142" s="66"/>
      <c r="AR1142" s="81"/>
      <c r="AS1142" s="81"/>
      <c r="AT1142" s="81"/>
      <c r="AU1142" s="81"/>
      <c r="AV1142" s="83">
        <f>SUM(Prog_236[[#This Row],[ADIANTAMENTO]]+Prog_236[[#This Row],[SALDO]]+Prog_236[[#This Row],[MARGEM]]+Prog_236[[#This Row],[ESTADIA 1]])</f>
        <v>0</v>
      </c>
      <c r="AW11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2" s="81"/>
      <c r="AY1142" s="81"/>
      <c r="AZ1142" s="81">
        <f>Prog_236[[#This Row],[VLR NF]]*0.1%</f>
        <v>0</v>
      </c>
      <c r="BA1142" s="81">
        <f>Prog_236[[#This Row],[VLR NF]]*0.05%</f>
        <v>0</v>
      </c>
      <c r="BB1142" s="81"/>
      <c r="BC1142" s="81"/>
      <c r="BD1142" s="81"/>
      <c r="BE1142" s="81"/>
      <c r="BF1142" s="81"/>
      <c r="BG1142" s="81"/>
      <c r="BH1142" s="81"/>
      <c r="BI1142" s="81"/>
      <c r="BJ1142" s="81"/>
      <c r="BK1142" s="81"/>
      <c r="BL1142" s="66"/>
      <c r="BM1142" s="66"/>
      <c r="BN1142" s="66"/>
      <c r="BO1142" s="66" t="str">
        <f>PROPER(TEXT(Prog_236[[#This Row],[PROGRAMAÇÃO CLIENTE]],"mmm"))</f>
        <v>Jan</v>
      </c>
      <c r="BP1142" s="66">
        <f>YEAR(Prog_236[[#This Row],[PROGRAMAÇÃO CLIENTE]])</f>
        <v>1900</v>
      </c>
    </row>
    <row r="1143" spans="1:68" x14ac:dyDescent="0.25">
      <c r="A1143" s="200">
        <f>Prog_236[[#This Row],[CONTEINER]]</f>
        <v>0</v>
      </c>
      <c r="B1143" s="86"/>
      <c r="C11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3" s="44"/>
      <c r="E1143" s="66"/>
      <c r="F1143" s="66"/>
      <c r="G1143" s="66"/>
      <c r="H1143" s="44"/>
      <c r="I1143" s="44"/>
      <c r="J1143" s="66"/>
      <c r="K1143" s="66"/>
      <c r="L1143" s="66"/>
      <c r="M1143" s="66"/>
      <c r="N1143" s="66">
        <f>SUM(Prog_236[[#This Row],[TARA]]+Prog_236[[#This Row],[PESO]])</f>
        <v>0</v>
      </c>
      <c r="O1143" s="44"/>
      <c r="P1143" s="66"/>
      <c r="Q1143" s="66"/>
      <c r="R1143" s="66"/>
      <c r="S1143" s="66"/>
      <c r="T1143" s="138" t="str">
        <f>IFERROR(LOOKUP($S1143,MOTORISTAS!$D$3:$D$1048576,MOTORISTAS!E$3:$E$1048576),"")</f>
        <v/>
      </c>
      <c r="U1143" s="138" t="str">
        <f>IFERROR(LOOKUP($S1143,MOTORISTAS!$D$3:$D$1048576,MOTORISTAS!F$3:$F$1048576),"")</f>
        <v/>
      </c>
      <c r="V1143" s="66"/>
      <c r="W1143" s="66"/>
      <c r="X1143" s="66"/>
      <c r="Y1143" s="66"/>
      <c r="Z1143" s="66"/>
      <c r="AA1143" s="66"/>
      <c r="AB1143" s="66"/>
      <c r="AC1143" s="66"/>
      <c r="AD1143" s="66"/>
      <c r="AE1143" s="66"/>
      <c r="AF1143" s="44"/>
      <c r="AG1143" s="254">
        <f>Prog_236[[#This Row],[SAÍDA DO CLIENTE]]-Prog_236[[#This Row],[PROGRAMAÇÃO CLIENTE]]</f>
        <v>0</v>
      </c>
      <c r="AH1143" s="44"/>
      <c r="AI1143" s="66"/>
      <c r="AJ1143" s="66"/>
      <c r="AK1143" s="66"/>
      <c r="AL1143" s="66"/>
      <c r="AM1143" s="66"/>
      <c r="AN1143" s="83"/>
      <c r="AO1143" s="66"/>
      <c r="AP1143" s="66"/>
      <c r="AQ1143" s="66"/>
      <c r="AR1143" s="81"/>
      <c r="AS1143" s="81"/>
      <c r="AT1143" s="81"/>
      <c r="AU1143" s="81"/>
      <c r="AV1143" s="83">
        <f>SUM(Prog_236[[#This Row],[ADIANTAMENTO]]+Prog_236[[#This Row],[SALDO]]+Prog_236[[#This Row],[MARGEM]]+Prog_236[[#This Row],[ESTADIA 1]])</f>
        <v>0</v>
      </c>
      <c r="AW11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3" s="81"/>
      <c r="AY1143" s="81"/>
      <c r="AZ1143" s="81">
        <f>Prog_236[[#This Row],[VLR NF]]*0.1%</f>
        <v>0</v>
      </c>
      <c r="BA1143" s="81">
        <f>Prog_236[[#This Row],[VLR NF]]*0.05%</f>
        <v>0</v>
      </c>
      <c r="BB1143" s="81"/>
      <c r="BC1143" s="81"/>
      <c r="BD1143" s="81"/>
      <c r="BE1143" s="81"/>
      <c r="BF1143" s="81"/>
      <c r="BG1143" s="81"/>
      <c r="BH1143" s="81"/>
      <c r="BI1143" s="81"/>
      <c r="BJ1143" s="81"/>
      <c r="BK1143" s="81"/>
      <c r="BL1143" s="66"/>
      <c r="BM1143" s="66"/>
      <c r="BN1143" s="66"/>
      <c r="BO1143" s="66" t="str">
        <f>PROPER(TEXT(Prog_236[[#This Row],[PROGRAMAÇÃO CLIENTE]],"mmm"))</f>
        <v>Jan</v>
      </c>
      <c r="BP1143" s="66">
        <f>YEAR(Prog_236[[#This Row],[PROGRAMAÇÃO CLIENTE]])</f>
        <v>1900</v>
      </c>
    </row>
    <row r="1144" spans="1:68" x14ac:dyDescent="0.25">
      <c r="A1144" s="201">
        <f>Prog_236[[#This Row],[CONTEINER]]</f>
        <v>0</v>
      </c>
      <c r="B1144" s="86"/>
      <c r="C11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4" s="44"/>
      <c r="E1144" s="66"/>
      <c r="F1144" s="66"/>
      <c r="G1144" s="66"/>
      <c r="H1144" s="44"/>
      <c r="I1144" s="44"/>
      <c r="J1144" s="66"/>
      <c r="K1144" s="66"/>
      <c r="L1144" s="66"/>
      <c r="M1144" s="66"/>
      <c r="N1144" s="66">
        <f>SUM(Prog_236[[#This Row],[TARA]]+Prog_236[[#This Row],[PESO]])</f>
        <v>0</v>
      </c>
      <c r="O1144" s="44"/>
      <c r="P1144" s="66"/>
      <c r="Q1144" s="66"/>
      <c r="R1144" s="66"/>
      <c r="S1144" s="66"/>
      <c r="T1144" s="138" t="str">
        <f>IFERROR(LOOKUP($S1144,MOTORISTAS!$D$3:$D$1048576,MOTORISTAS!E$3:$E$1048576),"")</f>
        <v/>
      </c>
      <c r="U1144" s="138" t="str">
        <f>IFERROR(LOOKUP($S1144,MOTORISTAS!$D$3:$D$1048576,MOTORISTAS!F$3:$F$1048576),"")</f>
        <v/>
      </c>
      <c r="V1144" s="66"/>
      <c r="W1144" s="66"/>
      <c r="X1144" s="66"/>
      <c r="Y1144" s="66"/>
      <c r="Z1144" s="66"/>
      <c r="AA1144" s="66"/>
      <c r="AB1144" s="66"/>
      <c r="AC1144" s="66"/>
      <c r="AD1144" s="66"/>
      <c r="AE1144" s="66"/>
      <c r="AF1144" s="44"/>
      <c r="AG1144" s="254">
        <f>Prog_236[[#This Row],[SAÍDA DO CLIENTE]]-Prog_236[[#This Row],[PROGRAMAÇÃO CLIENTE]]</f>
        <v>0</v>
      </c>
      <c r="AH1144" s="44"/>
      <c r="AI1144" s="66"/>
      <c r="AJ1144" s="66"/>
      <c r="AK1144" s="66"/>
      <c r="AL1144" s="66"/>
      <c r="AM1144" s="66"/>
      <c r="AN1144" s="83"/>
      <c r="AO1144" s="66"/>
      <c r="AP1144" s="66"/>
      <c r="AQ1144" s="66"/>
      <c r="AR1144" s="81"/>
      <c r="AS1144" s="81"/>
      <c r="AT1144" s="81"/>
      <c r="AU1144" s="81"/>
      <c r="AV1144" s="83">
        <f>SUM(Prog_236[[#This Row],[ADIANTAMENTO]]+Prog_236[[#This Row],[SALDO]]+Prog_236[[#This Row],[MARGEM]]+Prog_236[[#This Row],[ESTADIA 1]])</f>
        <v>0</v>
      </c>
      <c r="AW11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4" s="81"/>
      <c r="AY1144" s="81"/>
      <c r="AZ1144" s="81">
        <f>Prog_236[[#This Row],[VLR NF]]*0.1%</f>
        <v>0</v>
      </c>
      <c r="BA1144" s="81">
        <f>Prog_236[[#This Row],[VLR NF]]*0.05%</f>
        <v>0</v>
      </c>
      <c r="BB1144" s="81"/>
      <c r="BC1144" s="81"/>
      <c r="BD1144" s="81"/>
      <c r="BE1144" s="81"/>
      <c r="BF1144" s="81"/>
      <c r="BG1144" s="81"/>
      <c r="BH1144" s="81"/>
      <c r="BI1144" s="81"/>
      <c r="BJ1144" s="81"/>
      <c r="BK1144" s="81"/>
      <c r="BL1144" s="66"/>
      <c r="BM1144" s="66"/>
      <c r="BN1144" s="66"/>
      <c r="BO1144" s="66" t="str">
        <f>PROPER(TEXT(Prog_236[[#This Row],[PROGRAMAÇÃO CLIENTE]],"mmm"))</f>
        <v>Jan</v>
      </c>
      <c r="BP1144" s="66">
        <f>YEAR(Prog_236[[#This Row],[PROGRAMAÇÃO CLIENTE]])</f>
        <v>1900</v>
      </c>
    </row>
    <row r="1145" spans="1:68" x14ac:dyDescent="0.25">
      <c r="A1145" s="200">
        <f>Prog_236[[#This Row],[CONTEINER]]</f>
        <v>0</v>
      </c>
      <c r="B1145" s="86"/>
      <c r="C11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5" s="44"/>
      <c r="E1145" s="66"/>
      <c r="F1145" s="66"/>
      <c r="G1145" s="66"/>
      <c r="H1145" s="44"/>
      <c r="I1145" s="44"/>
      <c r="J1145" s="66"/>
      <c r="K1145" s="66"/>
      <c r="L1145" s="66"/>
      <c r="M1145" s="66"/>
      <c r="N1145" s="66">
        <f>SUM(Prog_236[[#This Row],[TARA]]+Prog_236[[#This Row],[PESO]])</f>
        <v>0</v>
      </c>
      <c r="O1145" s="44"/>
      <c r="P1145" s="66"/>
      <c r="Q1145" s="66"/>
      <c r="R1145" s="66"/>
      <c r="S1145" s="66"/>
      <c r="T1145" s="138" t="str">
        <f>IFERROR(LOOKUP($S1145,MOTORISTAS!$D$3:$D$1048576,MOTORISTAS!E$3:$E$1048576),"")</f>
        <v/>
      </c>
      <c r="U1145" s="138" t="str">
        <f>IFERROR(LOOKUP($S1145,MOTORISTAS!$D$3:$D$1048576,MOTORISTAS!F$3:$F$1048576),"")</f>
        <v/>
      </c>
      <c r="V1145" s="66"/>
      <c r="W1145" s="66"/>
      <c r="X1145" s="66"/>
      <c r="Y1145" s="66"/>
      <c r="Z1145" s="66"/>
      <c r="AA1145" s="66"/>
      <c r="AB1145" s="66"/>
      <c r="AC1145" s="66"/>
      <c r="AD1145" s="66"/>
      <c r="AE1145" s="66"/>
      <c r="AF1145" s="44"/>
      <c r="AG1145" s="254">
        <f>Prog_236[[#This Row],[SAÍDA DO CLIENTE]]-Prog_236[[#This Row],[PROGRAMAÇÃO CLIENTE]]</f>
        <v>0</v>
      </c>
      <c r="AH1145" s="44"/>
      <c r="AI1145" s="66"/>
      <c r="AJ1145" s="66"/>
      <c r="AK1145" s="66"/>
      <c r="AL1145" s="66"/>
      <c r="AM1145" s="66"/>
      <c r="AN1145" s="83"/>
      <c r="AO1145" s="66"/>
      <c r="AP1145" s="66"/>
      <c r="AQ1145" s="66"/>
      <c r="AR1145" s="81"/>
      <c r="AS1145" s="81"/>
      <c r="AT1145" s="81"/>
      <c r="AU1145" s="81"/>
      <c r="AV1145" s="83">
        <f>SUM(Prog_236[[#This Row],[ADIANTAMENTO]]+Prog_236[[#This Row],[SALDO]]+Prog_236[[#This Row],[MARGEM]]+Prog_236[[#This Row],[ESTADIA 1]])</f>
        <v>0</v>
      </c>
      <c r="AW11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5" s="81"/>
      <c r="AY1145" s="81"/>
      <c r="AZ1145" s="81">
        <f>Prog_236[[#This Row],[VLR NF]]*0.1%</f>
        <v>0</v>
      </c>
      <c r="BA1145" s="81">
        <f>Prog_236[[#This Row],[VLR NF]]*0.05%</f>
        <v>0</v>
      </c>
      <c r="BB1145" s="81"/>
      <c r="BC1145" s="81"/>
      <c r="BD1145" s="81"/>
      <c r="BE1145" s="81"/>
      <c r="BF1145" s="81"/>
      <c r="BG1145" s="81"/>
      <c r="BH1145" s="81"/>
      <c r="BI1145" s="81"/>
      <c r="BJ1145" s="81"/>
      <c r="BK1145" s="81"/>
      <c r="BL1145" s="66"/>
      <c r="BM1145" s="66"/>
      <c r="BN1145" s="66"/>
      <c r="BO1145" s="66" t="str">
        <f>PROPER(TEXT(Prog_236[[#This Row],[PROGRAMAÇÃO CLIENTE]],"mmm"))</f>
        <v>Jan</v>
      </c>
      <c r="BP1145" s="66">
        <f>YEAR(Prog_236[[#This Row],[PROGRAMAÇÃO CLIENTE]])</f>
        <v>1900</v>
      </c>
    </row>
    <row r="1146" spans="1:68" x14ac:dyDescent="0.25">
      <c r="A1146" s="201">
        <f>Prog_236[[#This Row],[CONTEINER]]</f>
        <v>0</v>
      </c>
      <c r="B1146" s="86"/>
      <c r="C11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6" s="44"/>
      <c r="E1146" s="66"/>
      <c r="F1146" s="66"/>
      <c r="G1146" s="66"/>
      <c r="H1146" s="44"/>
      <c r="I1146" s="44"/>
      <c r="J1146" s="66"/>
      <c r="K1146" s="66"/>
      <c r="L1146" s="66"/>
      <c r="M1146" s="66"/>
      <c r="N1146" s="66">
        <f>SUM(Prog_236[[#This Row],[TARA]]+Prog_236[[#This Row],[PESO]])</f>
        <v>0</v>
      </c>
      <c r="O1146" s="44"/>
      <c r="P1146" s="66"/>
      <c r="Q1146" s="66"/>
      <c r="R1146" s="66"/>
      <c r="S1146" s="66"/>
      <c r="T1146" s="138" t="str">
        <f>IFERROR(LOOKUP($S1146,MOTORISTAS!$D$3:$D$1048576,MOTORISTAS!E$3:$E$1048576),"")</f>
        <v/>
      </c>
      <c r="U1146" s="138" t="str">
        <f>IFERROR(LOOKUP($S1146,MOTORISTAS!$D$3:$D$1048576,MOTORISTAS!F$3:$F$1048576),"")</f>
        <v/>
      </c>
      <c r="V1146" s="66"/>
      <c r="W1146" s="66"/>
      <c r="X1146" s="66"/>
      <c r="Y1146" s="66"/>
      <c r="Z1146" s="66"/>
      <c r="AA1146" s="66"/>
      <c r="AB1146" s="66"/>
      <c r="AC1146" s="66"/>
      <c r="AD1146" s="66"/>
      <c r="AE1146" s="66"/>
      <c r="AF1146" s="44"/>
      <c r="AG1146" s="254">
        <f>Prog_236[[#This Row],[SAÍDA DO CLIENTE]]-Prog_236[[#This Row],[PROGRAMAÇÃO CLIENTE]]</f>
        <v>0</v>
      </c>
      <c r="AH1146" s="44"/>
      <c r="AI1146" s="66"/>
      <c r="AJ1146" s="66"/>
      <c r="AK1146" s="66"/>
      <c r="AL1146" s="66"/>
      <c r="AM1146" s="66"/>
      <c r="AN1146" s="83"/>
      <c r="AO1146" s="66"/>
      <c r="AP1146" s="66"/>
      <c r="AQ1146" s="66"/>
      <c r="AR1146" s="81"/>
      <c r="AS1146" s="81"/>
      <c r="AT1146" s="81"/>
      <c r="AU1146" s="81"/>
      <c r="AV1146" s="83">
        <f>SUM(Prog_236[[#This Row],[ADIANTAMENTO]]+Prog_236[[#This Row],[SALDO]]+Prog_236[[#This Row],[MARGEM]]+Prog_236[[#This Row],[ESTADIA 1]])</f>
        <v>0</v>
      </c>
      <c r="AW11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6" s="81"/>
      <c r="AY1146" s="81"/>
      <c r="AZ1146" s="81">
        <f>Prog_236[[#This Row],[VLR NF]]*0.1%</f>
        <v>0</v>
      </c>
      <c r="BA1146" s="81">
        <f>Prog_236[[#This Row],[VLR NF]]*0.05%</f>
        <v>0</v>
      </c>
      <c r="BB1146" s="81"/>
      <c r="BC1146" s="81"/>
      <c r="BD1146" s="81"/>
      <c r="BE1146" s="81"/>
      <c r="BF1146" s="81"/>
      <c r="BG1146" s="81"/>
      <c r="BH1146" s="81"/>
      <c r="BI1146" s="81"/>
      <c r="BJ1146" s="81"/>
      <c r="BK1146" s="81"/>
      <c r="BL1146" s="66"/>
      <c r="BM1146" s="66"/>
      <c r="BN1146" s="66"/>
      <c r="BO1146" s="66" t="str">
        <f>PROPER(TEXT(Prog_236[[#This Row],[PROGRAMAÇÃO CLIENTE]],"mmm"))</f>
        <v>Jan</v>
      </c>
      <c r="BP1146" s="66">
        <f>YEAR(Prog_236[[#This Row],[PROGRAMAÇÃO CLIENTE]])</f>
        <v>1900</v>
      </c>
    </row>
    <row r="1147" spans="1:68" x14ac:dyDescent="0.25">
      <c r="A1147" s="200">
        <f>Prog_236[[#This Row],[CONTEINER]]</f>
        <v>0</v>
      </c>
      <c r="B1147" s="86"/>
      <c r="C11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7" s="44"/>
      <c r="E1147" s="66"/>
      <c r="F1147" s="66"/>
      <c r="G1147" s="66"/>
      <c r="H1147" s="44"/>
      <c r="I1147" s="44"/>
      <c r="J1147" s="66"/>
      <c r="K1147" s="66"/>
      <c r="L1147" s="66"/>
      <c r="M1147" s="66"/>
      <c r="N1147" s="66">
        <f>SUM(Prog_236[[#This Row],[TARA]]+Prog_236[[#This Row],[PESO]])</f>
        <v>0</v>
      </c>
      <c r="O1147" s="44"/>
      <c r="P1147" s="66"/>
      <c r="Q1147" s="66"/>
      <c r="R1147" s="66"/>
      <c r="S1147" s="66"/>
      <c r="T1147" s="138" t="str">
        <f>IFERROR(LOOKUP($S1147,MOTORISTAS!$D$3:$D$1048576,MOTORISTAS!E$3:$E$1048576),"")</f>
        <v/>
      </c>
      <c r="U1147" s="138" t="str">
        <f>IFERROR(LOOKUP($S1147,MOTORISTAS!$D$3:$D$1048576,MOTORISTAS!F$3:$F$1048576),"")</f>
        <v/>
      </c>
      <c r="V1147" s="66"/>
      <c r="W1147" s="66"/>
      <c r="X1147" s="66"/>
      <c r="Y1147" s="66"/>
      <c r="Z1147" s="66"/>
      <c r="AA1147" s="66"/>
      <c r="AB1147" s="66"/>
      <c r="AC1147" s="66"/>
      <c r="AD1147" s="66"/>
      <c r="AE1147" s="66"/>
      <c r="AF1147" s="44"/>
      <c r="AG1147" s="254">
        <f>Prog_236[[#This Row],[SAÍDA DO CLIENTE]]-Prog_236[[#This Row],[PROGRAMAÇÃO CLIENTE]]</f>
        <v>0</v>
      </c>
      <c r="AH1147" s="44"/>
      <c r="AI1147" s="66"/>
      <c r="AJ1147" s="66"/>
      <c r="AK1147" s="66"/>
      <c r="AL1147" s="66"/>
      <c r="AM1147" s="66"/>
      <c r="AN1147" s="83"/>
      <c r="AO1147" s="66"/>
      <c r="AP1147" s="66"/>
      <c r="AQ1147" s="66"/>
      <c r="AR1147" s="81"/>
      <c r="AS1147" s="81"/>
      <c r="AT1147" s="81"/>
      <c r="AU1147" s="81"/>
      <c r="AV1147" s="83">
        <f>SUM(Prog_236[[#This Row],[ADIANTAMENTO]]+Prog_236[[#This Row],[SALDO]]+Prog_236[[#This Row],[MARGEM]]+Prog_236[[#This Row],[ESTADIA 1]])</f>
        <v>0</v>
      </c>
      <c r="AW11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7" s="81"/>
      <c r="AY1147" s="81"/>
      <c r="AZ1147" s="81">
        <f>Prog_236[[#This Row],[VLR NF]]*0.1%</f>
        <v>0</v>
      </c>
      <c r="BA1147" s="81">
        <f>Prog_236[[#This Row],[VLR NF]]*0.05%</f>
        <v>0</v>
      </c>
      <c r="BB1147" s="81"/>
      <c r="BC1147" s="81"/>
      <c r="BD1147" s="81"/>
      <c r="BE1147" s="81"/>
      <c r="BF1147" s="81"/>
      <c r="BG1147" s="81"/>
      <c r="BH1147" s="81"/>
      <c r="BI1147" s="81"/>
      <c r="BJ1147" s="81"/>
      <c r="BK1147" s="81"/>
      <c r="BL1147" s="66"/>
      <c r="BM1147" s="66"/>
      <c r="BN1147" s="66"/>
      <c r="BO1147" s="66" t="str">
        <f>PROPER(TEXT(Prog_236[[#This Row],[PROGRAMAÇÃO CLIENTE]],"mmm"))</f>
        <v>Jan</v>
      </c>
      <c r="BP1147" s="66">
        <f>YEAR(Prog_236[[#This Row],[PROGRAMAÇÃO CLIENTE]])</f>
        <v>1900</v>
      </c>
    </row>
    <row r="1148" spans="1:68" x14ac:dyDescent="0.25">
      <c r="A1148" s="201">
        <f>Prog_236[[#This Row],[CONTEINER]]</f>
        <v>0</v>
      </c>
      <c r="B1148" s="86"/>
      <c r="C11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8" s="44"/>
      <c r="E1148" s="66"/>
      <c r="F1148" s="66"/>
      <c r="G1148" s="66"/>
      <c r="H1148" s="44"/>
      <c r="I1148" s="44"/>
      <c r="J1148" s="66"/>
      <c r="K1148" s="66"/>
      <c r="L1148" s="66"/>
      <c r="M1148" s="66"/>
      <c r="N1148" s="66">
        <f>SUM(Prog_236[[#This Row],[TARA]]+Prog_236[[#This Row],[PESO]])</f>
        <v>0</v>
      </c>
      <c r="O1148" s="44"/>
      <c r="P1148" s="66"/>
      <c r="Q1148" s="66"/>
      <c r="R1148" s="66"/>
      <c r="S1148" s="66"/>
      <c r="T1148" s="138" t="str">
        <f>IFERROR(LOOKUP($S1148,MOTORISTAS!$D$3:$D$1048576,MOTORISTAS!E$3:$E$1048576),"")</f>
        <v/>
      </c>
      <c r="U1148" s="138" t="str">
        <f>IFERROR(LOOKUP($S1148,MOTORISTAS!$D$3:$D$1048576,MOTORISTAS!F$3:$F$1048576),"")</f>
        <v/>
      </c>
      <c r="V1148" s="66"/>
      <c r="W1148" s="66"/>
      <c r="X1148" s="66"/>
      <c r="Y1148" s="66"/>
      <c r="Z1148" s="66"/>
      <c r="AA1148" s="66"/>
      <c r="AB1148" s="66"/>
      <c r="AC1148" s="66"/>
      <c r="AD1148" s="66"/>
      <c r="AE1148" s="66"/>
      <c r="AF1148" s="44"/>
      <c r="AG1148" s="254">
        <f>Prog_236[[#This Row],[SAÍDA DO CLIENTE]]-Prog_236[[#This Row],[PROGRAMAÇÃO CLIENTE]]</f>
        <v>0</v>
      </c>
      <c r="AH1148" s="44"/>
      <c r="AI1148" s="66"/>
      <c r="AJ1148" s="66"/>
      <c r="AK1148" s="66"/>
      <c r="AL1148" s="66"/>
      <c r="AM1148" s="66"/>
      <c r="AN1148" s="83"/>
      <c r="AO1148" s="66"/>
      <c r="AP1148" s="66"/>
      <c r="AQ1148" s="66"/>
      <c r="AR1148" s="81"/>
      <c r="AS1148" s="81"/>
      <c r="AT1148" s="81"/>
      <c r="AU1148" s="81"/>
      <c r="AV1148" s="83">
        <f>SUM(Prog_236[[#This Row],[ADIANTAMENTO]]+Prog_236[[#This Row],[SALDO]]+Prog_236[[#This Row],[MARGEM]]+Prog_236[[#This Row],[ESTADIA 1]])</f>
        <v>0</v>
      </c>
      <c r="AW11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8" s="81"/>
      <c r="AY1148" s="81"/>
      <c r="AZ1148" s="81">
        <f>Prog_236[[#This Row],[VLR NF]]*0.1%</f>
        <v>0</v>
      </c>
      <c r="BA1148" s="81">
        <f>Prog_236[[#This Row],[VLR NF]]*0.05%</f>
        <v>0</v>
      </c>
      <c r="BB1148" s="81"/>
      <c r="BC1148" s="81"/>
      <c r="BD1148" s="81"/>
      <c r="BE1148" s="81"/>
      <c r="BF1148" s="81"/>
      <c r="BG1148" s="81"/>
      <c r="BH1148" s="81"/>
      <c r="BI1148" s="81"/>
      <c r="BJ1148" s="81"/>
      <c r="BK1148" s="81"/>
      <c r="BL1148" s="66"/>
      <c r="BM1148" s="66"/>
      <c r="BN1148" s="66"/>
      <c r="BO1148" s="66" t="str">
        <f>PROPER(TEXT(Prog_236[[#This Row],[PROGRAMAÇÃO CLIENTE]],"mmm"))</f>
        <v>Jan</v>
      </c>
      <c r="BP1148" s="66">
        <f>YEAR(Prog_236[[#This Row],[PROGRAMAÇÃO CLIENTE]])</f>
        <v>1900</v>
      </c>
    </row>
    <row r="1149" spans="1:68" x14ac:dyDescent="0.25">
      <c r="A1149" s="200">
        <f>Prog_236[[#This Row],[CONTEINER]]</f>
        <v>0</v>
      </c>
      <c r="B1149" s="86"/>
      <c r="C11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49" s="44"/>
      <c r="E1149" s="66"/>
      <c r="F1149" s="66"/>
      <c r="G1149" s="66"/>
      <c r="H1149" s="44"/>
      <c r="I1149" s="44"/>
      <c r="J1149" s="66"/>
      <c r="K1149" s="66"/>
      <c r="L1149" s="66"/>
      <c r="M1149" s="66"/>
      <c r="N1149" s="66">
        <f>SUM(Prog_236[[#This Row],[TARA]]+Prog_236[[#This Row],[PESO]])</f>
        <v>0</v>
      </c>
      <c r="O1149" s="44"/>
      <c r="P1149" s="66"/>
      <c r="Q1149" s="66"/>
      <c r="R1149" s="66"/>
      <c r="S1149" s="66"/>
      <c r="T1149" s="138" t="str">
        <f>IFERROR(LOOKUP($S1149,MOTORISTAS!$D$3:$D$1048576,MOTORISTAS!E$3:$E$1048576),"")</f>
        <v/>
      </c>
      <c r="U1149" s="138" t="str">
        <f>IFERROR(LOOKUP($S1149,MOTORISTAS!$D$3:$D$1048576,MOTORISTAS!F$3:$F$1048576),"")</f>
        <v/>
      </c>
      <c r="V1149" s="66"/>
      <c r="W1149" s="66"/>
      <c r="X1149" s="66"/>
      <c r="Y1149" s="66"/>
      <c r="Z1149" s="66"/>
      <c r="AA1149" s="66"/>
      <c r="AB1149" s="66"/>
      <c r="AC1149" s="66"/>
      <c r="AD1149" s="66"/>
      <c r="AE1149" s="66"/>
      <c r="AF1149" s="44"/>
      <c r="AG1149" s="254">
        <f>Prog_236[[#This Row],[SAÍDA DO CLIENTE]]-Prog_236[[#This Row],[PROGRAMAÇÃO CLIENTE]]</f>
        <v>0</v>
      </c>
      <c r="AH1149" s="44"/>
      <c r="AI1149" s="66"/>
      <c r="AJ1149" s="66"/>
      <c r="AK1149" s="66"/>
      <c r="AL1149" s="66"/>
      <c r="AM1149" s="66"/>
      <c r="AN1149" s="83"/>
      <c r="AO1149" s="66"/>
      <c r="AP1149" s="66"/>
      <c r="AQ1149" s="66"/>
      <c r="AR1149" s="81"/>
      <c r="AS1149" s="81"/>
      <c r="AT1149" s="81"/>
      <c r="AU1149" s="81"/>
      <c r="AV1149" s="83">
        <f>SUM(Prog_236[[#This Row],[ADIANTAMENTO]]+Prog_236[[#This Row],[SALDO]]+Prog_236[[#This Row],[MARGEM]]+Prog_236[[#This Row],[ESTADIA 1]])</f>
        <v>0</v>
      </c>
      <c r="AW11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49" s="81"/>
      <c r="AY1149" s="81"/>
      <c r="AZ1149" s="81">
        <f>Prog_236[[#This Row],[VLR NF]]*0.1%</f>
        <v>0</v>
      </c>
      <c r="BA1149" s="81">
        <f>Prog_236[[#This Row],[VLR NF]]*0.05%</f>
        <v>0</v>
      </c>
      <c r="BB1149" s="81"/>
      <c r="BC1149" s="81"/>
      <c r="BD1149" s="81"/>
      <c r="BE1149" s="81"/>
      <c r="BF1149" s="81"/>
      <c r="BG1149" s="81"/>
      <c r="BH1149" s="81"/>
      <c r="BI1149" s="81"/>
      <c r="BJ1149" s="81"/>
      <c r="BK1149" s="81"/>
      <c r="BL1149" s="66"/>
      <c r="BM1149" s="66"/>
      <c r="BN1149" s="66"/>
      <c r="BO1149" s="66" t="str">
        <f>PROPER(TEXT(Prog_236[[#This Row],[PROGRAMAÇÃO CLIENTE]],"mmm"))</f>
        <v>Jan</v>
      </c>
      <c r="BP1149" s="66">
        <f>YEAR(Prog_236[[#This Row],[PROGRAMAÇÃO CLIENTE]])</f>
        <v>1900</v>
      </c>
    </row>
    <row r="1150" spans="1:68" x14ac:dyDescent="0.25">
      <c r="A1150" s="201">
        <f>Prog_236[[#This Row],[CONTEINER]]</f>
        <v>0</v>
      </c>
      <c r="B1150" s="86"/>
      <c r="C11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0" s="44"/>
      <c r="E1150" s="66"/>
      <c r="F1150" s="66"/>
      <c r="G1150" s="66"/>
      <c r="H1150" s="44"/>
      <c r="I1150" s="44"/>
      <c r="J1150" s="66"/>
      <c r="K1150" s="66"/>
      <c r="L1150" s="66"/>
      <c r="M1150" s="66"/>
      <c r="N1150" s="66">
        <f>SUM(Prog_236[[#This Row],[TARA]]+Prog_236[[#This Row],[PESO]])</f>
        <v>0</v>
      </c>
      <c r="O1150" s="44"/>
      <c r="P1150" s="66"/>
      <c r="Q1150" s="66"/>
      <c r="R1150" s="66"/>
      <c r="S1150" s="66"/>
      <c r="T1150" s="138" t="str">
        <f>IFERROR(LOOKUP($S1150,MOTORISTAS!$D$3:$D$1048576,MOTORISTAS!E$3:$E$1048576),"")</f>
        <v/>
      </c>
      <c r="U1150" s="138" t="str">
        <f>IFERROR(LOOKUP($S1150,MOTORISTAS!$D$3:$D$1048576,MOTORISTAS!F$3:$F$1048576),"")</f>
        <v/>
      </c>
      <c r="V1150" s="66"/>
      <c r="W1150" s="66"/>
      <c r="X1150" s="66"/>
      <c r="Y1150" s="66"/>
      <c r="Z1150" s="66"/>
      <c r="AA1150" s="66"/>
      <c r="AB1150" s="66"/>
      <c r="AC1150" s="66"/>
      <c r="AD1150" s="66"/>
      <c r="AE1150" s="66"/>
      <c r="AF1150" s="44"/>
      <c r="AG1150" s="254">
        <f>Prog_236[[#This Row],[SAÍDA DO CLIENTE]]-Prog_236[[#This Row],[PROGRAMAÇÃO CLIENTE]]</f>
        <v>0</v>
      </c>
      <c r="AH1150" s="44"/>
      <c r="AI1150" s="66"/>
      <c r="AJ1150" s="66"/>
      <c r="AK1150" s="66"/>
      <c r="AL1150" s="66"/>
      <c r="AM1150" s="66"/>
      <c r="AN1150" s="83"/>
      <c r="AO1150" s="66"/>
      <c r="AP1150" s="66"/>
      <c r="AQ1150" s="66"/>
      <c r="AR1150" s="81"/>
      <c r="AS1150" s="81"/>
      <c r="AT1150" s="81"/>
      <c r="AU1150" s="81"/>
      <c r="AV1150" s="83">
        <f>SUM(Prog_236[[#This Row],[ADIANTAMENTO]]+Prog_236[[#This Row],[SALDO]]+Prog_236[[#This Row],[MARGEM]]+Prog_236[[#This Row],[ESTADIA 1]])</f>
        <v>0</v>
      </c>
      <c r="AW11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0" s="81"/>
      <c r="AY1150" s="81"/>
      <c r="AZ1150" s="81">
        <f>Prog_236[[#This Row],[VLR NF]]*0.1%</f>
        <v>0</v>
      </c>
      <c r="BA1150" s="81">
        <f>Prog_236[[#This Row],[VLR NF]]*0.05%</f>
        <v>0</v>
      </c>
      <c r="BB1150" s="81"/>
      <c r="BC1150" s="81"/>
      <c r="BD1150" s="81"/>
      <c r="BE1150" s="81"/>
      <c r="BF1150" s="81"/>
      <c r="BG1150" s="81"/>
      <c r="BH1150" s="81"/>
      <c r="BI1150" s="81"/>
      <c r="BJ1150" s="81"/>
      <c r="BK1150" s="81"/>
      <c r="BL1150" s="66"/>
      <c r="BM1150" s="66"/>
      <c r="BN1150" s="66"/>
      <c r="BO1150" s="66" t="str">
        <f>PROPER(TEXT(Prog_236[[#This Row],[PROGRAMAÇÃO CLIENTE]],"mmm"))</f>
        <v>Jan</v>
      </c>
      <c r="BP1150" s="66">
        <f>YEAR(Prog_236[[#This Row],[PROGRAMAÇÃO CLIENTE]])</f>
        <v>1900</v>
      </c>
    </row>
    <row r="1151" spans="1:68" x14ac:dyDescent="0.25">
      <c r="A1151" s="200">
        <f>Prog_236[[#This Row],[CONTEINER]]</f>
        <v>0</v>
      </c>
      <c r="B1151" s="86"/>
      <c r="C11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1" s="44"/>
      <c r="E1151" s="66"/>
      <c r="F1151" s="66"/>
      <c r="G1151" s="66"/>
      <c r="H1151" s="44"/>
      <c r="I1151" s="44"/>
      <c r="J1151" s="66"/>
      <c r="K1151" s="66"/>
      <c r="L1151" s="66"/>
      <c r="M1151" s="66"/>
      <c r="N1151" s="66">
        <f>SUM(Prog_236[[#This Row],[TARA]]+Prog_236[[#This Row],[PESO]])</f>
        <v>0</v>
      </c>
      <c r="O1151" s="44"/>
      <c r="P1151" s="66"/>
      <c r="Q1151" s="66"/>
      <c r="R1151" s="66"/>
      <c r="S1151" s="66"/>
      <c r="T1151" s="138" t="str">
        <f>IFERROR(LOOKUP($S1151,MOTORISTAS!$D$3:$D$1048576,MOTORISTAS!E$3:$E$1048576),"")</f>
        <v/>
      </c>
      <c r="U1151" s="138" t="str">
        <f>IFERROR(LOOKUP($S1151,MOTORISTAS!$D$3:$D$1048576,MOTORISTAS!F$3:$F$1048576),"")</f>
        <v/>
      </c>
      <c r="V1151" s="66"/>
      <c r="W1151" s="66"/>
      <c r="X1151" s="66"/>
      <c r="Y1151" s="66"/>
      <c r="Z1151" s="66"/>
      <c r="AA1151" s="66"/>
      <c r="AB1151" s="66"/>
      <c r="AC1151" s="66"/>
      <c r="AD1151" s="66"/>
      <c r="AE1151" s="66"/>
      <c r="AF1151" s="44"/>
      <c r="AG1151" s="254">
        <f>Prog_236[[#This Row],[SAÍDA DO CLIENTE]]-Prog_236[[#This Row],[PROGRAMAÇÃO CLIENTE]]</f>
        <v>0</v>
      </c>
      <c r="AH1151" s="44"/>
      <c r="AI1151" s="66"/>
      <c r="AJ1151" s="66"/>
      <c r="AK1151" s="66"/>
      <c r="AL1151" s="66"/>
      <c r="AM1151" s="66"/>
      <c r="AN1151" s="83"/>
      <c r="AO1151" s="66"/>
      <c r="AP1151" s="66"/>
      <c r="AQ1151" s="66"/>
      <c r="AR1151" s="81"/>
      <c r="AS1151" s="81"/>
      <c r="AT1151" s="81"/>
      <c r="AU1151" s="81"/>
      <c r="AV1151" s="83">
        <f>SUM(Prog_236[[#This Row],[ADIANTAMENTO]]+Prog_236[[#This Row],[SALDO]]+Prog_236[[#This Row],[MARGEM]]+Prog_236[[#This Row],[ESTADIA 1]])</f>
        <v>0</v>
      </c>
      <c r="AW11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1" s="81"/>
      <c r="AY1151" s="81"/>
      <c r="AZ1151" s="81">
        <f>Prog_236[[#This Row],[VLR NF]]*0.1%</f>
        <v>0</v>
      </c>
      <c r="BA1151" s="81">
        <f>Prog_236[[#This Row],[VLR NF]]*0.05%</f>
        <v>0</v>
      </c>
      <c r="BB1151" s="81"/>
      <c r="BC1151" s="81"/>
      <c r="BD1151" s="81"/>
      <c r="BE1151" s="81"/>
      <c r="BF1151" s="81"/>
      <c r="BG1151" s="81"/>
      <c r="BH1151" s="81"/>
      <c r="BI1151" s="81"/>
      <c r="BJ1151" s="81"/>
      <c r="BK1151" s="81"/>
      <c r="BL1151" s="66"/>
      <c r="BM1151" s="66"/>
      <c r="BN1151" s="66"/>
      <c r="BO1151" s="66" t="str">
        <f>PROPER(TEXT(Prog_236[[#This Row],[PROGRAMAÇÃO CLIENTE]],"mmm"))</f>
        <v>Jan</v>
      </c>
      <c r="BP1151" s="66">
        <f>YEAR(Prog_236[[#This Row],[PROGRAMAÇÃO CLIENTE]])</f>
        <v>1900</v>
      </c>
    </row>
    <row r="1152" spans="1:68" x14ac:dyDescent="0.25">
      <c r="A1152" s="201">
        <f>Prog_236[[#This Row],[CONTEINER]]</f>
        <v>0</v>
      </c>
      <c r="B1152" s="86"/>
      <c r="C11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2" s="44"/>
      <c r="E1152" s="66"/>
      <c r="F1152" s="66"/>
      <c r="G1152" s="66"/>
      <c r="H1152" s="44"/>
      <c r="I1152" s="44"/>
      <c r="J1152" s="66"/>
      <c r="K1152" s="66"/>
      <c r="L1152" s="66"/>
      <c r="M1152" s="66"/>
      <c r="N1152" s="66">
        <f>SUM(Prog_236[[#This Row],[TARA]]+Prog_236[[#This Row],[PESO]])</f>
        <v>0</v>
      </c>
      <c r="O1152" s="44"/>
      <c r="P1152" s="66"/>
      <c r="Q1152" s="66"/>
      <c r="R1152" s="66"/>
      <c r="S1152" s="66"/>
      <c r="T1152" s="138" t="str">
        <f>IFERROR(LOOKUP($S1152,MOTORISTAS!$D$3:$D$1048576,MOTORISTAS!E$3:$E$1048576),"")</f>
        <v/>
      </c>
      <c r="U1152" s="138" t="str">
        <f>IFERROR(LOOKUP($S1152,MOTORISTAS!$D$3:$D$1048576,MOTORISTAS!F$3:$F$1048576),"")</f>
        <v/>
      </c>
      <c r="V1152" s="66"/>
      <c r="W1152" s="66"/>
      <c r="X1152" s="66"/>
      <c r="Y1152" s="66"/>
      <c r="Z1152" s="66"/>
      <c r="AA1152" s="66"/>
      <c r="AB1152" s="66"/>
      <c r="AC1152" s="66"/>
      <c r="AD1152" s="66"/>
      <c r="AE1152" s="66"/>
      <c r="AF1152" s="44"/>
      <c r="AG1152" s="254">
        <f>Prog_236[[#This Row],[SAÍDA DO CLIENTE]]-Prog_236[[#This Row],[PROGRAMAÇÃO CLIENTE]]</f>
        <v>0</v>
      </c>
      <c r="AH1152" s="44"/>
      <c r="AI1152" s="66"/>
      <c r="AJ1152" s="66"/>
      <c r="AK1152" s="66"/>
      <c r="AL1152" s="66"/>
      <c r="AM1152" s="66"/>
      <c r="AN1152" s="83"/>
      <c r="AO1152" s="66"/>
      <c r="AP1152" s="66"/>
      <c r="AQ1152" s="66"/>
      <c r="AR1152" s="81"/>
      <c r="AS1152" s="81"/>
      <c r="AT1152" s="81"/>
      <c r="AU1152" s="81"/>
      <c r="AV1152" s="83">
        <f>SUM(Prog_236[[#This Row],[ADIANTAMENTO]]+Prog_236[[#This Row],[SALDO]]+Prog_236[[#This Row],[MARGEM]]+Prog_236[[#This Row],[ESTADIA 1]])</f>
        <v>0</v>
      </c>
      <c r="AW11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2" s="81"/>
      <c r="AY1152" s="81"/>
      <c r="AZ1152" s="81">
        <f>Prog_236[[#This Row],[VLR NF]]*0.1%</f>
        <v>0</v>
      </c>
      <c r="BA1152" s="81">
        <f>Prog_236[[#This Row],[VLR NF]]*0.05%</f>
        <v>0</v>
      </c>
      <c r="BB1152" s="81"/>
      <c r="BC1152" s="81"/>
      <c r="BD1152" s="81"/>
      <c r="BE1152" s="81"/>
      <c r="BF1152" s="81"/>
      <c r="BG1152" s="81"/>
      <c r="BH1152" s="81"/>
      <c r="BI1152" s="81"/>
      <c r="BJ1152" s="81"/>
      <c r="BK1152" s="81"/>
      <c r="BL1152" s="66"/>
      <c r="BM1152" s="66"/>
      <c r="BN1152" s="66"/>
      <c r="BO1152" s="66" t="str">
        <f>PROPER(TEXT(Prog_236[[#This Row],[PROGRAMAÇÃO CLIENTE]],"mmm"))</f>
        <v>Jan</v>
      </c>
      <c r="BP1152" s="66">
        <f>YEAR(Prog_236[[#This Row],[PROGRAMAÇÃO CLIENTE]])</f>
        <v>1900</v>
      </c>
    </row>
    <row r="1153" spans="1:68" x14ac:dyDescent="0.25">
      <c r="A1153" s="200">
        <f>Prog_236[[#This Row],[CONTEINER]]</f>
        <v>0</v>
      </c>
      <c r="B1153" s="86"/>
      <c r="C11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3" s="44"/>
      <c r="E1153" s="66"/>
      <c r="F1153" s="66"/>
      <c r="G1153" s="66"/>
      <c r="H1153" s="44"/>
      <c r="I1153" s="44"/>
      <c r="J1153" s="66"/>
      <c r="K1153" s="66"/>
      <c r="L1153" s="66"/>
      <c r="M1153" s="66"/>
      <c r="N1153" s="66">
        <f>SUM(Prog_236[[#This Row],[TARA]]+Prog_236[[#This Row],[PESO]])</f>
        <v>0</v>
      </c>
      <c r="O1153" s="44"/>
      <c r="P1153" s="66"/>
      <c r="Q1153" s="66"/>
      <c r="R1153" s="66"/>
      <c r="S1153" s="66"/>
      <c r="T1153" s="138" t="str">
        <f>IFERROR(LOOKUP($S1153,MOTORISTAS!$D$3:$D$1048576,MOTORISTAS!E$3:$E$1048576),"")</f>
        <v/>
      </c>
      <c r="U1153" s="138" t="str">
        <f>IFERROR(LOOKUP($S1153,MOTORISTAS!$D$3:$D$1048576,MOTORISTAS!F$3:$F$1048576),"")</f>
        <v/>
      </c>
      <c r="V1153" s="66"/>
      <c r="W1153" s="66"/>
      <c r="X1153" s="66"/>
      <c r="Y1153" s="66"/>
      <c r="Z1153" s="66"/>
      <c r="AA1153" s="66"/>
      <c r="AB1153" s="66"/>
      <c r="AC1153" s="66"/>
      <c r="AD1153" s="66"/>
      <c r="AE1153" s="66"/>
      <c r="AF1153" s="44"/>
      <c r="AG1153" s="254">
        <f>Prog_236[[#This Row],[SAÍDA DO CLIENTE]]-Prog_236[[#This Row],[PROGRAMAÇÃO CLIENTE]]</f>
        <v>0</v>
      </c>
      <c r="AH1153" s="44"/>
      <c r="AI1153" s="66"/>
      <c r="AJ1153" s="66"/>
      <c r="AK1153" s="66"/>
      <c r="AL1153" s="66"/>
      <c r="AM1153" s="66"/>
      <c r="AN1153" s="83"/>
      <c r="AO1153" s="66"/>
      <c r="AP1153" s="66"/>
      <c r="AQ1153" s="66"/>
      <c r="AR1153" s="81"/>
      <c r="AS1153" s="81"/>
      <c r="AT1153" s="81"/>
      <c r="AU1153" s="81"/>
      <c r="AV1153" s="83">
        <f>SUM(Prog_236[[#This Row],[ADIANTAMENTO]]+Prog_236[[#This Row],[SALDO]]+Prog_236[[#This Row],[MARGEM]]+Prog_236[[#This Row],[ESTADIA 1]])</f>
        <v>0</v>
      </c>
      <c r="AW11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3" s="81"/>
      <c r="AY1153" s="81"/>
      <c r="AZ1153" s="81">
        <f>Prog_236[[#This Row],[VLR NF]]*0.1%</f>
        <v>0</v>
      </c>
      <c r="BA1153" s="81">
        <f>Prog_236[[#This Row],[VLR NF]]*0.05%</f>
        <v>0</v>
      </c>
      <c r="BB1153" s="81"/>
      <c r="BC1153" s="81"/>
      <c r="BD1153" s="81"/>
      <c r="BE1153" s="81"/>
      <c r="BF1153" s="81"/>
      <c r="BG1153" s="81"/>
      <c r="BH1153" s="81"/>
      <c r="BI1153" s="81"/>
      <c r="BJ1153" s="81"/>
      <c r="BK1153" s="81"/>
      <c r="BL1153" s="66"/>
      <c r="BM1153" s="66"/>
      <c r="BN1153" s="66"/>
      <c r="BO1153" s="66" t="str">
        <f>PROPER(TEXT(Prog_236[[#This Row],[PROGRAMAÇÃO CLIENTE]],"mmm"))</f>
        <v>Jan</v>
      </c>
      <c r="BP1153" s="66">
        <f>YEAR(Prog_236[[#This Row],[PROGRAMAÇÃO CLIENTE]])</f>
        <v>1900</v>
      </c>
    </row>
    <row r="1154" spans="1:68" x14ac:dyDescent="0.25">
      <c r="A1154" s="201">
        <f>Prog_236[[#This Row],[CONTEINER]]</f>
        <v>0</v>
      </c>
      <c r="B1154" s="86"/>
      <c r="C11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4" s="44"/>
      <c r="E1154" s="66"/>
      <c r="F1154" s="66"/>
      <c r="G1154" s="66"/>
      <c r="H1154" s="44"/>
      <c r="I1154" s="44"/>
      <c r="J1154" s="66"/>
      <c r="K1154" s="66"/>
      <c r="L1154" s="66"/>
      <c r="M1154" s="66"/>
      <c r="N1154" s="66">
        <f>SUM(Prog_236[[#This Row],[TARA]]+Prog_236[[#This Row],[PESO]])</f>
        <v>0</v>
      </c>
      <c r="O1154" s="44"/>
      <c r="P1154" s="66"/>
      <c r="Q1154" s="66"/>
      <c r="R1154" s="66"/>
      <c r="S1154" s="66"/>
      <c r="T1154" s="138" t="str">
        <f>IFERROR(LOOKUP($S1154,MOTORISTAS!$D$3:$D$1048576,MOTORISTAS!E$3:$E$1048576),"")</f>
        <v/>
      </c>
      <c r="U1154" s="138" t="str">
        <f>IFERROR(LOOKUP($S1154,MOTORISTAS!$D$3:$D$1048576,MOTORISTAS!F$3:$F$1048576),"")</f>
        <v/>
      </c>
      <c r="V1154" s="66"/>
      <c r="W1154" s="66"/>
      <c r="X1154" s="66"/>
      <c r="Y1154" s="66"/>
      <c r="Z1154" s="66"/>
      <c r="AA1154" s="66"/>
      <c r="AB1154" s="66"/>
      <c r="AC1154" s="66"/>
      <c r="AD1154" s="66"/>
      <c r="AE1154" s="66"/>
      <c r="AF1154" s="44"/>
      <c r="AG1154" s="254">
        <f>Prog_236[[#This Row],[SAÍDA DO CLIENTE]]-Prog_236[[#This Row],[PROGRAMAÇÃO CLIENTE]]</f>
        <v>0</v>
      </c>
      <c r="AH1154" s="44"/>
      <c r="AI1154" s="66"/>
      <c r="AJ1154" s="66"/>
      <c r="AK1154" s="66"/>
      <c r="AL1154" s="66"/>
      <c r="AM1154" s="66"/>
      <c r="AN1154" s="83"/>
      <c r="AO1154" s="66"/>
      <c r="AP1154" s="66"/>
      <c r="AQ1154" s="66"/>
      <c r="AR1154" s="81"/>
      <c r="AS1154" s="81"/>
      <c r="AT1154" s="81"/>
      <c r="AU1154" s="81"/>
      <c r="AV1154" s="83">
        <f>SUM(Prog_236[[#This Row],[ADIANTAMENTO]]+Prog_236[[#This Row],[SALDO]]+Prog_236[[#This Row],[MARGEM]]+Prog_236[[#This Row],[ESTADIA 1]])</f>
        <v>0</v>
      </c>
      <c r="AW11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4" s="81"/>
      <c r="AY1154" s="81"/>
      <c r="AZ1154" s="81">
        <f>Prog_236[[#This Row],[VLR NF]]*0.1%</f>
        <v>0</v>
      </c>
      <c r="BA1154" s="81">
        <f>Prog_236[[#This Row],[VLR NF]]*0.05%</f>
        <v>0</v>
      </c>
      <c r="BB1154" s="81"/>
      <c r="BC1154" s="81"/>
      <c r="BD1154" s="81"/>
      <c r="BE1154" s="81"/>
      <c r="BF1154" s="81"/>
      <c r="BG1154" s="81"/>
      <c r="BH1154" s="81"/>
      <c r="BI1154" s="81"/>
      <c r="BJ1154" s="81"/>
      <c r="BK1154" s="81"/>
      <c r="BL1154" s="66"/>
      <c r="BM1154" s="66"/>
      <c r="BN1154" s="66"/>
      <c r="BO1154" s="66" t="str">
        <f>PROPER(TEXT(Prog_236[[#This Row],[PROGRAMAÇÃO CLIENTE]],"mmm"))</f>
        <v>Jan</v>
      </c>
      <c r="BP1154" s="66">
        <f>YEAR(Prog_236[[#This Row],[PROGRAMAÇÃO CLIENTE]])</f>
        <v>1900</v>
      </c>
    </row>
    <row r="1155" spans="1:68" x14ac:dyDescent="0.25">
      <c r="A1155" s="200">
        <f>Prog_236[[#This Row],[CONTEINER]]</f>
        <v>0</v>
      </c>
      <c r="B1155" s="86"/>
      <c r="C11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5" s="44"/>
      <c r="E1155" s="66"/>
      <c r="F1155" s="66"/>
      <c r="G1155" s="66"/>
      <c r="H1155" s="44"/>
      <c r="I1155" s="44"/>
      <c r="J1155" s="66"/>
      <c r="K1155" s="66"/>
      <c r="L1155" s="66"/>
      <c r="M1155" s="66"/>
      <c r="N1155" s="66">
        <f>SUM(Prog_236[[#This Row],[TARA]]+Prog_236[[#This Row],[PESO]])</f>
        <v>0</v>
      </c>
      <c r="O1155" s="44"/>
      <c r="P1155" s="66"/>
      <c r="Q1155" s="66"/>
      <c r="R1155" s="66"/>
      <c r="S1155" s="66"/>
      <c r="T1155" s="138" t="str">
        <f>IFERROR(LOOKUP($S1155,MOTORISTAS!$D$3:$D$1048576,MOTORISTAS!E$3:$E$1048576),"")</f>
        <v/>
      </c>
      <c r="U1155" s="138" t="str">
        <f>IFERROR(LOOKUP($S1155,MOTORISTAS!$D$3:$D$1048576,MOTORISTAS!F$3:$F$1048576),"")</f>
        <v/>
      </c>
      <c r="V1155" s="66"/>
      <c r="W1155" s="66"/>
      <c r="X1155" s="66"/>
      <c r="Y1155" s="66"/>
      <c r="Z1155" s="66"/>
      <c r="AA1155" s="66"/>
      <c r="AB1155" s="66"/>
      <c r="AC1155" s="66"/>
      <c r="AD1155" s="66"/>
      <c r="AE1155" s="66"/>
      <c r="AF1155" s="44"/>
      <c r="AG1155" s="254">
        <f>Prog_236[[#This Row],[SAÍDA DO CLIENTE]]-Prog_236[[#This Row],[PROGRAMAÇÃO CLIENTE]]</f>
        <v>0</v>
      </c>
      <c r="AH1155" s="44"/>
      <c r="AI1155" s="66"/>
      <c r="AJ1155" s="66"/>
      <c r="AK1155" s="66"/>
      <c r="AL1155" s="66"/>
      <c r="AM1155" s="66"/>
      <c r="AN1155" s="83"/>
      <c r="AO1155" s="66"/>
      <c r="AP1155" s="66"/>
      <c r="AQ1155" s="66"/>
      <c r="AR1155" s="81"/>
      <c r="AS1155" s="81"/>
      <c r="AT1155" s="81"/>
      <c r="AU1155" s="81"/>
      <c r="AV1155" s="83">
        <f>SUM(Prog_236[[#This Row],[ADIANTAMENTO]]+Prog_236[[#This Row],[SALDO]]+Prog_236[[#This Row],[MARGEM]]+Prog_236[[#This Row],[ESTADIA 1]])</f>
        <v>0</v>
      </c>
      <c r="AW11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5" s="81"/>
      <c r="AY1155" s="81"/>
      <c r="AZ1155" s="81">
        <f>Prog_236[[#This Row],[VLR NF]]*0.1%</f>
        <v>0</v>
      </c>
      <c r="BA1155" s="81">
        <f>Prog_236[[#This Row],[VLR NF]]*0.05%</f>
        <v>0</v>
      </c>
      <c r="BB1155" s="81"/>
      <c r="BC1155" s="81"/>
      <c r="BD1155" s="81"/>
      <c r="BE1155" s="81"/>
      <c r="BF1155" s="81"/>
      <c r="BG1155" s="81"/>
      <c r="BH1155" s="81"/>
      <c r="BI1155" s="81"/>
      <c r="BJ1155" s="81"/>
      <c r="BK1155" s="81"/>
      <c r="BL1155" s="66"/>
      <c r="BM1155" s="66"/>
      <c r="BN1155" s="66"/>
      <c r="BO1155" s="66" t="str">
        <f>PROPER(TEXT(Prog_236[[#This Row],[PROGRAMAÇÃO CLIENTE]],"mmm"))</f>
        <v>Jan</v>
      </c>
      <c r="BP1155" s="66">
        <f>YEAR(Prog_236[[#This Row],[PROGRAMAÇÃO CLIENTE]])</f>
        <v>1900</v>
      </c>
    </row>
    <row r="1156" spans="1:68" x14ac:dyDescent="0.25">
      <c r="A1156" s="201">
        <f>Prog_236[[#This Row],[CONTEINER]]</f>
        <v>0</v>
      </c>
      <c r="B1156" s="86"/>
      <c r="C11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6" s="44"/>
      <c r="E1156" s="66"/>
      <c r="F1156" s="66"/>
      <c r="G1156" s="66"/>
      <c r="H1156" s="44"/>
      <c r="I1156" s="44"/>
      <c r="J1156" s="66"/>
      <c r="K1156" s="66"/>
      <c r="L1156" s="66"/>
      <c r="M1156" s="66"/>
      <c r="N1156" s="66">
        <f>SUM(Prog_236[[#This Row],[TARA]]+Prog_236[[#This Row],[PESO]])</f>
        <v>0</v>
      </c>
      <c r="O1156" s="44"/>
      <c r="P1156" s="66"/>
      <c r="Q1156" s="66"/>
      <c r="R1156" s="66"/>
      <c r="S1156" s="66"/>
      <c r="T1156" s="138" t="str">
        <f>IFERROR(LOOKUP($S1156,MOTORISTAS!$D$3:$D$1048576,MOTORISTAS!E$3:$E$1048576),"")</f>
        <v/>
      </c>
      <c r="U1156" s="138" t="str">
        <f>IFERROR(LOOKUP($S1156,MOTORISTAS!$D$3:$D$1048576,MOTORISTAS!F$3:$F$1048576),"")</f>
        <v/>
      </c>
      <c r="V1156" s="66"/>
      <c r="W1156" s="66"/>
      <c r="X1156" s="66"/>
      <c r="Y1156" s="66"/>
      <c r="Z1156" s="66"/>
      <c r="AA1156" s="66"/>
      <c r="AB1156" s="66"/>
      <c r="AC1156" s="66"/>
      <c r="AD1156" s="66"/>
      <c r="AE1156" s="66"/>
      <c r="AF1156" s="44"/>
      <c r="AG1156" s="254">
        <f>Prog_236[[#This Row],[SAÍDA DO CLIENTE]]-Prog_236[[#This Row],[PROGRAMAÇÃO CLIENTE]]</f>
        <v>0</v>
      </c>
      <c r="AH1156" s="44"/>
      <c r="AI1156" s="66"/>
      <c r="AJ1156" s="66"/>
      <c r="AK1156" s="66"/>
      <c r="AL1156" s="66"/>
      <c r="AM1156" s="66"/>
      <c r="AN1156" s="83"/>
      <c r="AO1156" s="66"/>
      <c r="AP1156" s="66"/>
      <c r="AQ1156" s="66"/>
      <c r="AR1156" s="81"/>
      <c r="AS1156" s="81"/>
      <c r="AT1156" s="81"/>
      <c r="AU1156" s="81"/>
      <c r="AV1156" s="83">
        <f>SUM(Prog_236[[#This Row],[ADIANTAMENTO]]+Prog_236[[#This Row],[SALDO]]+Prog_236[[#This Row],[MARGEM]]+Prog_236[[#This Row],[ESTADIA 1]])</f>
        <v>0</v>
      </c>
      <c r="AW11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6" s="81"/>
      <c r="AY1156" s="81"/>
      <c r="AZ1156" s="81">
        <f>Prog_236[[#This Row],[VLR NF]]*0.1%</f>
        <v>0</v>
      </c>
      <c r="BA1156" s="81">
        <f>Prog_236[[#This Row],[VLR NF]]*0.05%</f>
        <v>0</v>
      </c>
      <c r="BB1156" s="81"/>
      <c r="BC1156" s="81"/>
      <c r="BD1156" s="81"/>
      <c r="BE1156" s="81"/>
      <c r="BF1156" s="81"/>
      <c r="BG1156" s="81"/>
      <c r="BH1156" s="81"/>
      <c r="BI1156" s="81"/>
      <c r="BJ1156" s="81"/>
      <c r="BK1156" s="81"/>
      <c r="BL1156" s="66"/>
      <c r="BM1156" s="66"/>
      <c r="BN1156" s="66"/>
      <c r="BO1156" s="66" t="str">
        <f>PROPER(TEXT(Prog_236[[#This Row],[PROGRAMAÇÃO CLIENTE]],"mmm"))</f>
        <v>Jan</v>
      </c>
      <c r="BP1156" s="66">
        <f>YEAR(Prog_236[[#This Row],[PROGRAMAÇÃO CLIENTE]])</f>
        <v>1900</v>
      </c>
    </row>
    <row r="1157" spans="1:68" x14ac:dyDescent="0.25">
      <c r="A1157" s="200">
        <f>Prog_236[[#This Row],[CONTEINER]]</f>
        <v>0</v>
      </c>
      <c r="B1157" s="86"/>
      <c r="C11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7" s="44"/>
      <c r="E1157" s="66"/>
      <c r="F1157" s="66"/>
      <c r="G1157" s="66"/>
      <c r="H1157" s="44"/>
      <c r="I1157" s="44"/>
      <c r="J1157" s="66"/>
      <c r="K1157" s="66"/>
      <c r="L1157" s="66"/>
      <c r="M1157" s="66"/>
      <c r="N1157" s="66">
        <f>SUM(Prog_236[[#This Row],[TARA]]+Prog_236[[#This Row],[PESO]])</f>
        <v>0</v>
      </c>
      <c r="O1157" s="44"/>
      <c r="P1157" s="66"/>
      <c r="Q1157" s="66"/>
      <c r="R1157" s="66"/>
      <c r="S1157" s="66"/>
      <c r="T1157" s="138" t="str">
        <f>IFERROR(LOOKUP($S1157,MOTORISTAS!$D$3:$D$1048576,MOTORISTAS!E$3:$E$1048576),"")</f>
        <v/>
      </c>
      <c r="U1157" s="138" t="str">
        <f>IFERROR(LOOKUP($S1157,MOTORISTAS!$D$3:$D$1048576,MOTORISTAS!F$3:$F$1048576),"")</f>
        <v/>
      </c>
      <c r="V1157" s="66"/>
      <c r="W1157" s="66"/>
      <c r="X1157" s="66"/>
      <c r="Y1157" s="66"/>
      <c r="Z1157" s="66"/>
      <c r="AA1157" s="66"/>
      <c r="AB1157" s="66"/>
      <c r="AC1157" s="66"/>
      <c r="AD1157" s="66"/>
      <c r="AE1157" s="66"/>
      <c r="AF1157" s="44"/>
      <c r="AG1157" s="254">
        <f>Prog_236[[#This Row],[SAÍDA DO CLIENTE]]-Prog_236[[#This Row],[PROGRAMAÇÃO CLIENTE]]</f>
        <v>0</v>
      </c>
      <c r="AH1157" s="44"/>
      <c r="AI1157" s="66"/>
      <c r="AJ1157" s="66"/>
      <c r="AK1157" s="66"/>
      <c r="AL1157" s="66"/>
      <c r="AM1157" s="66"/>
      <c r="AN1157" s="83"/>
      <c r="AO1157" s="66"/>
      <c r="AP1157" s="66"/>
      <c r="AQ1157" s="66"/>
      <c r="AR1157" s="81"/>
      <c r="AS1157" s="81"/>
      <c r="AT1157" s="81"/>
      <c r="AU1157" s="81"/>
      <c r="AV1157" s="83">
        <f>SUM(Prog_236[[#This Row],[ADIANTAMENTO]]+Prog_236[[#This Row],[SALDO]]+Prog_236[[#This Row],[MARGEM]]+Prog_236[[#This Row],[ESTADIA 1]])</f>
        <v>0</v>
      </c>
      <c r="AW11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7" s="81"/>
      <c r="AY1157" s="81"/>
      <c r="AZ1157" s="81">
        <f>Prog_236[[#This Row],[VLR NF]]*0.1%</f>
        <v>0</v>
      </c>
      <c r="BA1157" s="81">
        <f>Prog_236[[#This Row],[VLR NF]]*0.05%</f>
        <v>0</v>
      </c>
      <c r="BB1157" s="81"/>
      <c r="BC1157" s="81"/>
      <c r="BD1157" s="81"/>
      <c r="BE1157" s="81"/>
      <c r="BF1157" s="81"/>
      <c r="BG1157" s="81"/>
      <c r="BH1157" s="81"/>
      <c r="BI1157" s="81"/>
      <c r="BJ1157" s="81"/>
      <c r="BK1157" s="81"/>
      <c r="BL1157" s="66"/>
      <c r="BM1157" s="66"/>
      <c r="BN1157" s="66"/>
      <c r="BO1157" s="66" t="str">
        <f>PROPER(TEXT(Prog_236[[#This Row],[PROGRAMAÇÃO CLIENTE]],"mmm"))</f>
        <v>Jan</v>
      </c>
      <c r="BP1157" s="66">
        <f>YEAR(Prog_236[[#This Row],[PROGRAMAÇÃO CLIENTE]])</f>
        <v>1900</v>
      </c>
    </row>
    <row r="1158" spans="1:68" x14ac:dyDescent="0.25">
      <c r="A1158" s="201">
        <f>Prog_236[[#This Row],[CONTEINER]]</f>
        <v>0</v>
      </c>
      <c r="B1158" s="86"/>
      <c r="C11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8" s="44"/>
      <c r="E1158" s="66"/>
      <c r="F1158" s="66"/>
      <c r="G1158" s="66"/>
      <c r="H1158" s="44"/>
      <c r="I1158" s="44"/>
      <c r="J1158" s="66"/>
      <c r="K1158" s="66"/>
      <c r="L1158" s="66"/>
      <c r="M1158" s="66"/>
      <c r="N1158" s="66">
        <f>SUM(Prog_236[[#This Row],[TARA]]+Prog_236[[#This Row],[PESO]])</f>
        <v>0</v>
      </c>
      <c r="O1158" s="44"/>
      <c r="P1158" s="66"/>
      <c r="Q1158" s="66"/>
      <c r="R1158" s="66"/>
      <c r="S1158" s="66"/>
      <c r="T1158" s="138" t="str">
        <f>IFERROR(LOOKUP($S1158,MOTORISTAS!$D$3:$D$1048576,MOTORISTAS!E$3:$E$1048576),"")</f>
        <v/>
      </c>
      <c r="U1158" s="138" t="str">
        <f>IFERROR(LOOKUP($S1158,MOTORISTAS!$D$3:$D$1048576,MOTORISTAS!F$3:$F$1048576),"")</f>
        <v/>
      </c>
      <c r="V1158" s="66"/>
      <c r="W1158" s="66"/>
      <c r="X1158" s="66"/>
      <c r="Y1158" s="66"/>
      <c r="Z1158" s="66"/>
      <c r="AA1158" s="66"/>
      <c r="AB1158" s="66"/>
      <c r="AC1158" s="66"/>
      <c r="AD1158" s="66"/>
      <c r="AE1158" s="66"/>
      <c r="AF1158" s="44"/>
      <c r="AG1158" s="254">
        <f>Prog_236[[#This Row],[SAÍDA DO CLIENTE]]-Prog_236[[#This Row],[PROGRAMAÇÃO CLIENTE]]</f>
        <v>0</v>
      </c>
      <c r="AH1158" s="44"/>
      <c r="AI1158" s="66"/>
      <c r="AJ1158" s="66"/>
      <c r="AK1158" s="66"/>
      <c r="AL1158" s="66"/>
      <c r="AM1158" s="66"/>
      <c r="AN1158" s="83"/>
      <c r="AO1158" s="66"/>
      <c r="AP1158" s="66"/>
      <c r="AQ1158" s="66"/>
      <c r="AR1158" s="81"/>
      <c r="AS1158" s="81"/>
      <c r="AT1158" s="81"/>
      <c r="AU1158" s="81"/>
      <c r="AV1158" s="83">
        <f>SUM(Prog_236[[#This Row],[ADIANTAMENTO]]+Prog_236[[#This Row],[SALDO]]+Prog_236[[#This Row],[MARGEM]]+Prog_236[[#This Row],[ESTADIA 1]])</f>
        <v>0</v>
      </c>
      <c r="AW11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8" s="81"/>
      <c r="AY1158" s="81"/>
      <c r="AZ1158" s="81">
        <f>Prog_236[[#This Row],[VLR NF]]*0.1%</f>
        <v>0</v>
      </c>
      <c r="BA1158" s="81">
        <f>Prog_236[[#This Row],[VLR NF]]*0.05%</f>
        <v>0</v>
      </c>
      <c r="BB1158" s="81"/>
      <c r="BC1158" s="81"/>
      <c r="BD1158" s="81"/>
      <c r="BE1158" s="81"/>
      <c r="BF1158" s="81"/>
      <c r="BG1158" s="81"/>
      <c r="BH1158" s="81"/>
      <c r="BI1158" s="81"/>
      <c r="BJ1158" s="81"/>
      <c r="BK1158" s="81"/>
      <c r="BL1158" s="66"/>
      <c r="BM1158" s="66"/>
      <c r="BN1158" s="66"/>
      <c r="BO1158" s="66" t="str">
        <f>PROPER(TEXT(Prog_236[[#This Row],[PROGRAMAÇÃO CLIENTE]],"mmm"))</f>
        <v>Jan</v>
      </c>
      <c r="BP1158" s="66">
        <f>YEAR(Prog_236[[#This Row],[PROGRAMAÇÃO CLIENTE]])</f>
        <v>1900</v>
      </c>
    </row>
    <row r="1159" spans="1:68" x14ac:dyDescent="0.25">
      <c r="A1159" s="200">
        <f>Prog_236[[#This Row],[CONTEINER]]</f>
        <v>0</v>
      </c>
      <c r="B1159" s="86"/>
      <c r="C11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59" s="44"/>
      <c r="E1159" s="66"/>
      <c r="F1159" s="66"/>
      <c r="G1159" s="66"/>
      <c r="H1159" s="44"/>
      <c r="I1159" s="44"/>
      <c r="J1159" s="66"/>
      <c r="K1159" s="66"/>
      <c r="L1159" s="66"/>
      <c r="M1159" s="66"/>
      <c r="N1159" s="66">
        <f>SUM(Prog_236[[#This Row],[TARA]]+Prog_236[[#This Row],[PESO]])</f>
        <v>0</v>
      </c>
      <c r="O1159" s="44"/>
      <c r="P1159" s="66"/>
      <c r="Q1159" s="66"/>
      <c r="R1159" s="66"/>
      <c r="S1159" s="66"/>
      <c r="T1159" s="138" t="str">
        <f>IFERROR(LOOKUP($S1159,MOTORISTAS!$D$3:$D$1048576,MOTORISTAS!E$3:$E$1048576),"")</f>
        <v/>
      </c>
      <c r="U1159" s="138" t="str">
        <f>IFERROR(LOOKUP($S1159,MOTORISTAS!$D$3:$D$1048576,MOTORISTAS!F$3:$F$1048576),"")</f>
        <v/>
      </c>
      <c r="V1159" s="66"/>
      <c r="W1159" s="66"/>
      <c r="X1159" s="66"/>
      <c r="Y1159" s="66"/>
      <c r="Z1159" s="66"/>
      <c r="AA1159" s="66"/>
      <c r="AB1159" s="66"/>
      <c r="AC1159" s="66"/>
      <c r="AD1159" s="66"/>
      <c r="AE1159" s="66"/>
      <c r="AF1159" s="44"/>
      <c r="AG1159" s="254">
        <f>Prog_236[[#This Row],[SAÍDA DO CLIENTE]]-Prog_236[[#This Row],[PROGRAMAÇÃO CLIENTE]]</f>
        <v>0</v>
      </c>
      <c r="AH1159" s="44"/>
      <c r="AI1159" s="66"/>
      <c r="AJ1159" s="66"/>
      <c r="AK1159" s="66"/>
      <c r="AL1159" s="66"/>
      <c r="AM1159" s="66"/>
      <c r="AN1159" s="83"/>
      <c r="AO1159" s="66"/>
      <c r="AP1159" s="66"/>
      <c r="AQ1159" s="66"/>
      <c r="AR1159" s="81"/>
      <c r="AS1159" s="81"/>
      <c r="AT1159" s="81"/>
      <c r="AU1159" s="81"/>
      <c r="AV1159" s="83">
        <f>SUM(Prog_236[[#This Row],[ADIANTAMENTO]]+Prog_236[[#This Row],[SALDO]]+Prog_236[[#This Row],[MARGEM]]+Prog_236[[#This Row],[ESTADIA 1]])</f>
        <v>0</v>
      </c>
      <c r="AW11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59" s="81"/>
      <c r="AY1159" s="81"/>
      <c r="AZ1159" s="81">
        <f>Prog_236[[#This Row],[VLR NF]]*0.1%</f>
        <v>0</v>
      </c>
      <c r="BA1159" s="81">
        <f>Prog_236[[#This Row],[VLR NF]]*0.05%</f>
        <v>0</v>
      </c>
      <c r="BB1159" s="81"/>
      <c r="BC1159" s="81"/>
      <c r="BD1159" s="81"/>
      <c r="BE1159" s="81"/>
      <c r="BF1159" s="81"/>
      <c r="BG1159" s="81"/>
      <c r="BH1159" s="81"/>
      <c r="BI1159" s="81"/>
      <c r="BJ1159" s="81"/>
      <c r="BK1159" s="81"/>
      <c r="BL1159" s="66"/>
      <c r="BM1159" s="66"/>
      <c r="BN1159" s="66"/>
      <c r="BO1159" s="66" t="str">
        <f>PROPER(TEXT(Prog_236[[#This Row],[PROGRAMAÇÃO CLIENTE]],"mmm"))</f>
        <v>Jan</v>
      </c>
      <c r="BP1159" s="66">
        <f>YEAR(Prog_236[[#This Row],[PROGRAMAÇÃO CLIENTE]])</f>
        <v>1900</v>
      </c>
    </row>
    <row r="1160" spans="1:68" x14ac:dyDescent="0.25">
      <c r="A1160" s="201">
        <f>Prog_236[[#This Row],[CONTEINER]]</f>
        <v>0</v>
      </c>
      <c r="B1160" s="86"/>
      <c r="C11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0" s="44"/>
      <c r="E1160" s="66"/>
      <c r="F1160" s="66"/>
      <c r="G1160" s="66"/>
      <c r="H1160" s="44"/>
      <c r="I1160" s="44"/>
      <c r="J1160" s="66"/>
      <c r="K1160" s="66"/>
      <c r="L1160" s="66"/>
      <c r="M1160" s="66"/>
      <c r="N1160" s="66">
        <f>SUM(Prog_236[[#This Row],[TARA]]+Prog_236[[#This Row],[PESO]])</f>
        <v>0</v>
      </c>
      <c r="O1160" s="44"/>
      <c r="P1160" s="66"/>
      <c r="Q1160" s="66"/>
      <c r="R1160" s="66"/>
      <c r="S1160" s="66"/>
      <c r="T1160" s="138" t="str">
        <f>IFERROR(LOOKUP($S1160,MOTORISTAS!$D$3:$D$1048576,MOTORISTAS!E$3:$E$1048576),"")</f>
        <v/>
      </c>
      <c r="U1160" s="138" t="str">
        <f>IFERROR(LOOKUP($S1160,MOTORISTAS!$D$3:$D$1048576,MOTORISTAS!F$3:$F$1048576),"")</f>
        <v/>
      </c>
      <c r="V1160" s="66"/>
      <c r="W1160" s="66"/>
      <c r="X1160" s="66"/>
      <c r="Y1160" s="66"/>
      <c r="Z1160" s="66"/>
      <c r="AA1160" s="66"/>
      <c r="AB1160" s="66"/>
      <c r="AC1160" s="66"/>
      <c r="AD1160" s="66"/>
      <c r="AE1160" s="66"/>
      <c r="AF1160" s="44"/>
      <c r="AG1160" s="254">
        <f>Prog_236[[#This Row],[SAÍDA DO CLIENTE]]-Prog_236[[#This Row],[PROGRAMAÇÃO CLIENTE]]</f>
        <v>0</v>
      </c>
      <c r="AH1160" s="44"/>
      <c r="AI1160" s="66"/>
      <c r="AJ1160" s="66"/>
      <c r="AK1160" s="66"/>
      <c r="AL1160" s="66"/>
      <c r="AM1160" s="66"/>
      <c r="AN1160" s="83"/>
      <c r="AO1160" s="66"/>
      <c r="AP1160" s="66"/>
      <c r="AQ1160" s="66"/>
      <c r="AR1160" s="81"/>
      <c r="AS1160" s="81"/>
      <c r="AT1160" s="81"/>
      <c r="AU1160" s="81"/>
      <c r="AV1160" s="83">
        <f>SUM(Prog_236[[#This Row],[ADIANTAMENTO]]+Prog_236[[#This Row],[SALDO]]+Prog_236[[#This Row],[MARGEM]]+Prog_236[[#This Row],[ESTADIA 1]])</f>
        <v>0</v>
      </c>
      <c r="AW11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0" s="81"/>
      <c r="AY1160" s="81"/>
      <c r="AZ1160" s="81">
        <f>Prog_236[[#This Row],[VLR NF]]*0.1%</f>
        <v>0</v>
      </c>
      <c r="BA1160" s="81">
        <f>Prog_236[[#This Row],[VLR NF]]*0.05%</f>
        <v>0</v>
      </c>
      <c r="BB1160" s="81"/>
      <c r="BC1160" s="81"/>
      <c r="BD1160" s="81"/>
      <c r="BE1160" s="81"/>
      <c r="BF1160" s="81"/>
      <c r="BG1160" s="81"/>
      <c r="BH1160" s="81"/>
      <c r="BI1160" s="81"/>
      <c r="BJ1160" s="81"/>
      <c r="BK1160" s="81"/>
      <c r="BL1160" s="66"/>
      <c r="BM1160" s="66"/>
      <c r="BN1160" s="66"/>
      <c r="BO1160" s="66" t="str">
        <f>PROPER(TEXT(Prog_236[[#This Row],[PROGRAMAÇÃO CLIENTE]],"mmm"))</f>
        <v>Jan</v>
      </c>
      <c r="BP1160" s="66">
        <f>YEAR(Prog_236[[#This Row],[PROGRAMAÇÃO CLIENTE]])</f>
        <v>1900</v>
      </c>
    </row>
    <row r="1161" spans="1:68" x14ac:dyDescent="0.25">
      <c r="A1161" s="200">
        <f>Prog_236[[#This Row],[CONTEINER]]</f>
        <v>0</v>
      </c>
      <c r="B1161" s="86"/>
      <c r="C11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1" s="44"/>
      <c r="E1161" s="66"/>
      <c r="F1161" s="66"/>
      <c r="G1161" s="66"/>
      <c r="H1161" s="44"/>
      <c r="I1161" s="44"/>
      <c r="J1161" s="66"/>
      <c r="K1161" s="66"/>
      <c r="L1161" s="66"/>
      <c r="M1161" s="66"/>
      <c r="N1161" s="66">
        <f>SUM(Prog_236[[#This Row],[TARA]]+Prog_236[[#This Row],[PESO]])</f>
        <v>0</v>
      </c>
      <c r="O1161" s="44"/>
      <c r="P1161" s="66"/>
      <c r="Q1161" s="66"/>
      <c r="R1161" s="66"/>
      <c r="S1161" s="66"/>
      <c r="T1161" s="138" t="str">
        <f>IFERROR(LOOKUP($S1161,MOTORISTAS!$D$3:$D$1048576,MOTORISTAS!E$3:$E$1048576),"")</f>
        <v/>
      </c>
      <c r="U1161" s="138" t="str">
        <f>IFERROR(LOOKUP($S1161,MOTORISTAS!$D$3:$D$1048576,MOTORISTAS!F$3:$F$1048576),"")</f>
        <v/>
      </c>
      <c r="V1161" s="66"/>
      <c r="W1161" s="66"/>
      <c r="X1161" s="66"/>
      <c r="Y1161" s="66"/>
      <c r="Z1161" s="66"/>
      <c r="AA1161" s="66"/>
      <c r="AB1161" s="66"/>
      <c r="AC1161" s="66"/>
      <c r="AD1161" s="66"/>
      <c r="AE1161" s="66"/>
      <c r="AF1161" s="44"/>
      <c r="AG1161" s="254">
        <f>Prog_236[[#This Row],[SAÍDA DO CLIENTE]]-Prog_236[[#This Row],[PROGRAMAÇÃO CLIENTE]]</f>
        <v>0</v>
      </c>
      <c r="AH1161" s="44"/>
      <c r="AI1161" s="66"/>
      <c r="AJ1161" s="66"/>
      <c r="AK1161" s="66"/>
      <c r="AL1161" s="66"/>
      <c r="AM1161" s="66"/>
      <c r="AN1161" s="83"/>
      <c r="AO1161" s="66"/>
      <c r="AP1161" s="66"/>
      <c r="AQ1161" s="66"/>
      <c r="AR1161" s="81"/>
      <c r="AS1161" s="81"/>
      <c r="AT1161" s="81"/>
      <c r="AU1161" s="81"/>
      <c r="AV1161" s="83">
        <f>SUM(Prog_236[[#This Row],[ADIANTAMENTO]]+Prog_236[[#This Row],[SALDO]]+Prog_236[[#This Row],[MARGEM]]+Prog_236[[#This Row],[ESTADIA 1]])</f>
        <v>0</v>
      </c>
      <c r="AW11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1" s="81"/>
      <c r="AY1161" s="81"/>
      <c r="AZ1161" s="81">
        <f>Prog_236[[#This Row],[VLR NF]]*0.1%</f>
        <v>0</v>
      </c>
      <c r="BA1161" s="81">
        <f>Prog_236[[#This Row],[VLR NF]]*0.05%</f>
        <v>0</v>
      </c>
      <c r="BB1161" s="81"/>
      <c r="BC1161" s="81"/>
      <c r="BD1161" s="81"/>
      <c r="BE1161" s="81"/>
      <c r="BF1161" s="81"/>
      <c r="BG1161" s="81"/>
      <c r="BH1161" s="81"/>
      <c r="BI1161" s="81"/>
      <c r="BJ1161" s="81"/>
      <c r="BK1161" s="81"/>
      <c r="BL1161" s="66"/>
      <c r="BM1161" s="66"/>
      <c r="BN1161" s="66"/>
      <c r="BO1161" s="66" t="str">
        <f>PROPER(TEXT(Prog_236[[#This Row],[PROGRAMAÇÃO CLIENTE]],"mmm"))</f>
        <v>Jan</v>
      </c>
      <c r="BP1161" s="66">
        <f>YEAR(Prog_236[[#This Row],[PROGRAMAÇÃO CLIENTE]])</f>
        <v>1900</v>
      </c>
    </row>
    <row r="1162" spans="1:68" x14ac:dyDescent="0.25">
      <c r="A1162" s="201">
        <f>Prog_236[[#This Row],[CONTEINER]]</f>
        <v>0</v>
      </c>
      <c r="B1162" s="86"/>
      <c r="C11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2" s="44"/>
      <c r="E1162" s="66"/>
      <c r="F1162" s="66"/>
      <c r="G1162" s="66"/>
      <c r="H1162" s="44"/>
      <c r="I1162" s="44"/>
      <c r="J1162" s="66"/>
      <c r="K1162" s="66"/>
      <c r="L1162" s="66"/>
      <c r="M1162" s="66"/>
      <c r="N1162" s="66">
        <f>SUM(Prog_236[[#This Row],[TARA]]+Prog_236[[#This Row],[PESO]])</f>
        <v>0</v>
      </c>
      <c r="O1162" s="44"/>
      <c r="P1162" s="66"/>
      <c r="Q1162" s="66"/>
      <c r="R1162" s="66"/>
      <c r="S1162" s="66"/>
      <c r="T1162" s="138" t="str">
        <f>IFERROR(LOOKUP($S1162,MOTORISTAS!$D$3:$D$1048576,MOTORISTAS!E$3:$E$1048576),"")</f>
        <v/>
      </c>
      <c r="U1162" s="138" t="str">
        <f>IFERROR(LOOKUP($S1162,MOTORISTAS!$D$3:$D$1048576,MOTORISTAS!F$3:$F$1048576),"")</f>
        <v/>
      </c>
      <c r="V1162" s="66"/>
      <c r="W1162" s="66"/>
      <c r="X1162" s="66"/>
      <c r="Y1162" s="66"/>
      <c r="Z1162" s="66"/>
      <c r="AA1162" s="66"/>
      <c r="AB1162" s="66"/>
      <c r="AC1162" s="66"/>
      <c r="AD1162" s="66"/>
      <c r="AE1162" s="66"/>
      <c r="AF1162" s="44"/>
      <c r="AG1162" s="254">
        <f>Prog_236[[#This Row],[SAÍDA DO CLIENTE]]-Prog_236[[#This Row],[PROGRAMAÇÃO CLIENTE]]</f>
        <v>0</v>
      </c>
      <c r="AH1162" s="44"/>
      <c r="AI1162" s="66"/>
      <c r="AJ1162" s="66"/>
      <c r="AK1162" s="66"/>
      <c r="AL1162" s="66"/>
      <c r="AM1162" s="66"/>
      <c r="AN1162" s="83"/>
      <c r="AO1162" s="66"/>
      <c r="AP1162" s="66"/>
      <c r="AQ1162" s="66"/>
      <c r="AR1162" s="81"/>
      <c r="AS1162" s="81"/>
      <c r="AT1162" s="81"/>
      <c r="AU1162" s="81"/>
      <c r="AV1162" s="83">
        <f>SUM(Prog_236[[#This Row],[ADIANTAMENTO]]+Prog_236[[#This Row],[SALDO]]+Prog_236[[#This Row],[MARGEM]]+Prog_236[[#This Row],[ESTADIA 1]])</f>
        <v>0</v>
      </c>
      <c r="AW11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2" s="81"/>
      <c r="AY1162" s="81"/>
      <c r="AZ1162" s="81">
        <f>Prog_236[[#This Row],[VLR NF]]*0.1%</f>
        <v>0</v>
      </c>
      <c r="BA1162" s="81">
        <f>Prog_236[[#This Row],[VLR NF]]*0.05%</f>
        <v>0</v>
      </c>
      <c r="BB1162" s="81"/>
      <c r="BC1162" s="81"/>
      <c r="BD1162" s="81"/>
      <c r="BE1162" s="81"/>
      <c r="BF1162" s="81"/>
      <c r="BG1162" s="81"/>
      <c r="BH1162" s="81"/>
      <c r="BI1162" s="81"/>
      <c r="BJ1162" s="81"/>
      <c r="BK1162" s="81"/>
      <c r="BL1162" s="66"/>
      <c r="BM1162" s="66"/>
      <c r="BN1162" s="66"/>
      <c r="BO1162" s="66" t="str">
        <f>PROPER(TEXT(Prog_236[[#This Row],[PROGRAMAÇÃO CLIENTE]],"mmm"))</f>
        <v>Jan</v>
      </c>
      <c r="BP1162" s="66">
        <f>YEAR(Prog_236[[#This Row],[PROGRAMAÇÃO CLIENTE]])</f>
        <v>1900</v>
      </c>
    </row>
    <row r="1163" spans="1:68" x14ac:dyDescent="0.25">
      <c r="A1163" s="200">
        <f>Prog_236[[#This Row],[CONTEINER]]</f>
        <v>0</v>
      </c>
      <c r="B1163" s="86"/>
      <c r="C11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3" s="44"/>
      <c r="E1163" s="66"/>
      <c r="F1163" s="66"/>
      <c r="G1163" s="66"/>
      <c r="H1163" s="44"/>
      <c r="I1163" s="44"/>
      <c r="J1163" s="66"/>
      <c r="K1163" s="66"/>
      <c r="L1163" s="66"/>
      <c r="M1163" s="66"/>
      <c r="N1163" s="66">
        <f>SUM(Prog_236[[#This Row],[TARA]]+Prog_236[[#This Row],[PESO]])</f>
        <v>0</v>
      </c>
      <c r="O1163" s="44"/>
      <c r="P1163" s="66"/>
      <c r="Q1163" s="66"/>
      <c r="R1163" s="66"/>
      <c r="S1163" s="66"/>
      <c r="T1163" s="138" t="str">
        <f>IFERROR(LOOKUP($S1163,MOTORISTAS!$D$3:$D$1048576,MOTORISTAS!E$3:$E$1048576),"")</f>
        <v/>
      </c>
      <c r="U1163" s="138" t="str">
        <f>IFERROR(LOOKUP($S1163,MOTORISTAS!$D$3:$D$1048576,MOTORISTAS!F$3:$F$1048576),"")</f>
        <v/>
      </c>
      <c r="V1163" s="66"/>
      <c r="W1163" s="66"/>
      <c r="X1163" s="66"/>
      <c r="Y1163" s="66"/>
      <c r="Z1163" s="66"/>
      <c r="AA1163" s="66"/>
      <c r="AB1163" s="66"/>
      <c r="AC1163" s="66"/>
      <c r="AD1163" s="66"/>
      <c r="AE1163" s="66"/>
      <c r="AF1163" s="44"/>
      <c r="AG1163" s="254">
        <f>Prog_236[[#This Row],[SAÍDA DO CLIENTE]]-Prog_236[[#This Row],[PROGRAMAÇÃO CLIENTE]]</f>
        <v>0</v>
      </c>
      <c r="AH1163" s="44"/>
      <c r="AI1163" s="66"/>
      <c r="AJ1163" s="66"/>
      <c r="AK1163" s="66"/>
      <c r="AL1163" s="66"/>
      <c r="AM1163" s="66"/>
      <c r="AN1163" s="83"/>
      <c r="AO1163" s="66"/>
      <c r="AP1163" s="66"/>
      <c r="AQ1163" s="66"/>
      <c r="AR1163" s="81"/>
      <c r="AS1163" s="81"/>
      <c r="AT1163" s="81"/>
      <c r="AU1163" s="81"/>
      <c r="AV1163" s="83">
        <f>SUM(Prog_236[[#This Row],[ADIANTAMENTO]]+Prog_236[[#This Row],[SALDO]]+Prog_236[[#This Row],[MARGEM]]+Prog_236[[#This Row],[ESTADIA 1]])</f>
        <v>0</v>
      </c>
      <c r="AW11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3" s="81"/>
      <c r="AY1163" s="81"/>
      <c r="AZ1163" s="81">
        <f>Prog_236[[#This Row],[VLR NF]]*0.1%</f>
        <v>0</v>
      </c>
      <c r="BA1163" s="81">
        <f>Prog_236[[#This Row],[VLR NF]]*0.05%</f>
        <v>0</v>
      </c>
      <c r="BB1163" s="81"/>
      <c r="BC1163" s="81"/>
      <c r="BD1163" s="81"/>
      <c r="BE1163" s="81"/>
      <c r="BF1163" s="81"/>
      <c r="BG1163" s="81"/>
      <c r="BH1163" s="81"/>
      <c r="BI1163" s="81"/>
      <c r="BJ1163" s="81"/>
      <c r="BK1163" s="81"/>
      <c r="BL1163" s="66"/>
      <c r="BM1163" s="66"/>
      <c r="BN1163" s="66"/>
      <c r="BO1163" s="66" t="str">
        <f>PROPER(TEXT(Prog_236[[#This Row],[PROGRAMAÇÃO CLIENTE]],"mmm"))</f>
        <v>Jan</v>
      </c>
      <c r="BP1163" s="66">
        <f>YEAR(Prog_236[[#This Row],[PROGRAMAÇÃO CLIENTE]])</f>
        <v>1900</v>
      </c>
    </row>
    <row r="1164" spans="1:68" x14ac:dyDescent="0.25">
      <c r="A1164" s="201">
        <f>Prog_236[[#This Row],[CONTEINER]]</f>
        <v>0</v>
      </c>
      <c r="B1164" s="86"/>
      <c r="C11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4" s="44"/>
      <c r="E1164" s="66"/>
      <c r="F1164" s="66"/>
      <c r="G1164" s="66"/>
      <c r="H1164" s="44"/>
      <c r="I1164" s="44"/>
      <c r="J1164" s="66"/>
      <c r="K1164" s="66"/>
      <c r="L1164" s="66"/>
      <c r="M1164" s="66"/>
      <c r="N1164" s="66">
        <f>SUM(Prog_236[[#This Row],[TARA]]+Prog_236[[#This Row],[PESO]])</f>
        <v>0</v>
      </c>
      <c r="O1164" s="44"/>
      <c r="P1164" s="66"/>
      <c r="Q1164" s="66"/>
      <c r="R1164" s="66"/>
      <c r="S1164" s="66"/>
      <c r="T1164" s="138" t="str">
        <f>IFERROR(LOOKUP($S1164,MOTORISTAS!$D$3:$D$1048576,MOTORISTAS!E$3:$E$1048576),"")</f>
        <v/>
      </c>
      <c r="U1164" s="138" t="str">
        <f>IFERROR(LOOKUP($S1164,MOTORISTAS!$D$3:$D$1048576,MOTORISTAS!F$3:$F$1048576),"")</f>
        <v/>
      </c>
      <c r="V1164" s="66"/>
      <c r="W1164" s="66"/>
      <c r="X1164" s="66"/>
      <c r="Y1164" s="66"/>
      <c r="Z1164" s="66"/>
      <c r="AA1164" s="66"/>
      <c r="AB1164" s="66"/>
      <c r="AC1164" s="66"/>
      <c r="AD1164" s="66"/>
      <c r="AE1164" s="66"/>
      <c r="AF1164" s="44"/>
      <c r="AG1164" s="254">
        <f>Prog_236[[#This Row],[SAÍDA DO CLIENTE]]-Prog_236[[#This Row],[PROGRAMAÇÃO CLIENTE]]</f>
        <v>0</v>
      </c>
      <c r="AH1164" s="44"/>
      <c r="AI1164" s="66"/>
      <c r="AJ1164" s="66"/>
      <c r="AK1164" s="66"/>
      <c r="AL1164" s="66"/>
      <c r="AM1164" s="66"/>
      <c r="AN1164" s="83"/>
      <c r="AO1164" s="66"/>
      <c r="AP1164" s="66"/>
      <c r="AQ1164" s="66"/>
      <c r="AR1164" s="81"/>
      <c r="AS1164" s="81"/>
      <c r="AT1164" s="81"/>
      <c r="AU1164" s="81"/>
      <c r="AV1164" s="83">
        <f>SUM(Prog_236[[#This Row],[ADIANTAMENTO]]+Prog_236[[#This Row],[SALDO]]+Prog_236[[#This Row],[MARGEM]]+Prog_236[[#This Row],[ESTADIA 1]])</f>
        <v>0</v>
      </c>
      <c r="AW11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4" s="81"/>
      <c r="AY1164" s="81"/>
      <c r="AZ1164" s="81">
        <f>Prog_236[[#This Row],[VLR NF]]*0.1%</f>
        <v>0</v>
      </c>
      <c r="BA1164" s="81">
        <f>Prog_236[[#This Row],[VLR NF]]*0.05%</f>
        <v>0</v>
      </c>
      <c r="BB1164" s="81"/>
      <c r="BC1164" s="81"/>
      <c r="BD1164" s="81"/>
      <c r="BE1164" s="81"/>
      <c r="BF1164" s="81"/>
      <c r="BG1164" s="81"/>
      <c r="BH1164" s="81"/>
      <c r="BI1164" s="81"/>
      <c r="BJ1164" s="81"/>
      <c r="BK1164" s="81"/>
      <c r="BL1164" s="66"/>
      <c r="BM1164" s="66"/>
      <c r="BN1164" s="66"/>
      <c r="BO1164" s="66" t="str">
        <f>PROPER(TEXT(Prog_236[[#This Row],[PROGRAMAÇÃO CLIENTE]],"mmm"))</f>
        <v>Jan</v>
      </c>
      <c r="BP1164" s="66">
        <f>YEAR(Prog_236[[#This Row],[PROGRAMAÇÃO CLIENTE]])</f>
        <v>1900</v>
      </c>
    </row>
    <row r="1165" spans="1:68" x14ac:dyDescent="0.25">
      <c r="A1165" s="200">
        <f>Prog_236[[#This Row],[CONTEINER]]</f>
        <v>0</v>
      </c>
      <c r="B1165" s="86"/>
      <c r="C11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5" s="44"/>
      <c r="E1165" s="66"/>
      <c r="F1165" s="66"/>
      <c r="G1165" s="66"/>
      <c r="H1165" s="44"/>
      <c r="I1165" s="44"/>
      <c r="J1165" s="66"/>
      <c r="K1165" s="66"/>
      <c r="L1165" s="66"/>
      <c r="M1165" s="66"/>
      <c r="N1165" s="66">
        <f>SUM(Prog_236[[#This Row],[TARA]]+Prog_236[[#This Row],[PESO]])</f>
        <v>0</v>
      </c>
      <c r="O1165" s="44"/>
      <c r="P1165" s="66"/>
      <c r="Q1165" s="66"/>
      <c r="R1165" s="66"/>
      <c r="S1165" s="66"/>
      <c r="T1165" s="138" t="str">
        <f>IFERROR(LOOKUP($S1165,MOTORISTAS!$D$3:$D$1048576,MOTORISTAS!E$3:$E$1048576),"")</f>
        <v/>
      </c>
      <c r="U1165" s="138" t="str">
        <f>IFERROR(LOOKUP($S1165,MOTORISTAS!$D$3:$D$1048576,MOTORISTAS!F$3:$F$1048576),"")</f>
        <v/>
      </c>
      <c r="V1165" s="66"/>
      <c r="W1165" s="66"/>
      <c r="X1165" s="66"/>
      <c r="Y1165" s="66"/>
      <c r="Z1165" s="66"/>
      <c r="AA1165" s="66"/>
      <c r="AB1165" s="66"/>
      <c r="AC1165" s="66"/>
      <c r="AD1165" s="66"/>
      <c r="AE1165" s="66"/>
      <c r="AF1165" s="44"/>
      <c r="AG1165" s="254">
        <f>Prog_236[[#This Row],[SAÍDA DO CLIENTE]]-Prog_236[[#This Row],[PROGRAMAÇÃO CLIENTE]]</f>
        <v>0</v>
      </c>
      <c r="AH1165" s="44"/>
      <c r="AI1165" s="66"/>
      <c r="AJ1165" s="66"/>
      <c r="AK1165" s="66"/>
      <c r="AL1165" s="66"/>
      <c r="AM1165" s="66"/>
      <c r="AN1165" s="83"/>
      <c r="AO1165" s="66"/>
      <c r="AP1165" s="66"/>
      <c r="AQ1165" s="66"/>
      <c r="AR1165" s="81"/>
      <c r="AS1165" s="81"/>
      <c r="AT1165" s="81"/>
      <c r="AU1165" s="81"/>
      <c r="AV1165" s="83">
        <f>SUM(Prog_236[[#This Row],[ADIANTAMENTO]]+Prog_236[[#This Row],[SALDO]]+Prog_236[[#This Row],[MARGEM]]+Prog_236[[#This Row],[ESTADIA 1]])</f>
        <v>0</v>
      </c>
      <c r="AW11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5" s="81"/>
      <c r="AY1165" s="81"/>
      <c r="AZ1165" s="81">
        <f>Prog_236[[#This Row],[VLR NF]]*0.1%</f>
        <v>0</v>
      </c>
      <c r="BA1165" s="81">
        <f>Prog_236[[#This Row],[VLR NF]]*0.05%</f>
        <v>0</v>
      </c>
      <c r="BB1165" s="81"/>
      <c r="BC1165" s="81"/>
      <c r="BD1165" s="81"/>
      <c r="BE1165" s="81"/>
      <c r="BF1165" s="81"/>
      <c r="BG1165" s="81"/>
      <c r="BH1165" s="81"/>
      <c r="BI1165" s="81"/>
      <c r="BJ1165" s="81"/>
      <c r="BK1165" s="81"/>
      <c r="BL1165" s="66"/>
      <c r="BM1165" s="66"/>
      <c r="BN1165" s="66"/>
      <c r="BO1165" s="66" t="str">
        <f>PROPER(TEXT(Prog_236[[#This Row],[PROGRAMAÇÃO CLIENTE]],"mmm"))</f>
        <v>Jan</v>
      </c>
      <c r="BP1165" s="66">
        <f>YEAR(Prog_236[[#This Row],[PROGRAMAÇÃO CLIENTE]])</f>
        <v>1900</v>
      </c>
    </row>
    <row r="1166" spans="1:68" x14ac:dyDescent="0.25">
      <c r="A1166" s="201">
        <f>Prog_236[[#This Row],[CONTEINER]]</f>
        <v>0</v>
      </c>
      <c r="B1166" s="86"/>
      <c r="C11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6" s="44"/>
      <c r="E1166" s="66"/>
      <c r="F1166" s="66"/>
      <c r="G1166" s="66"/>
      <c r="H1166" s="44"/>
      <c r="I1166" s="44"/>
      <c r="J1166" s="66"/>
      <c r="K1166" s="66"/>
      <c r="L1166" s="66"/>
      <c r="M1166" s="66"/>
      <c r="N1166" s="66">
        <f>SUM(Prog_236[[#This Row],[TARA]]+Prog_236[[#This Row],[PESO]])</f>
        <v>0</v>
      </c>
      <c r="O1166" s="44"/>
      <c r="P1166" s="66"/>
      <c r="Q1166" s="66"/>
      <c r="R1166" s="66"/>
      <c r="S1166" s="66"/>
      <c r="T1166" s="138" t="str">
        <f>IFERROR(LOOKUP($S1166,MOTORISTAS!$D$3:$D$1048576,MOTORISTAS!E$3:$E$1048576),"")</f>
        <v/>
      </c>
      <c r="U1166" s="138" t="str">
        <f>IFERROR(LOOKUP($S1166,MOTORISTAS!$D$3:$D$1048576,MOTORISTAS!F$3:$F$1048576),"")</f>
        <v/>
      </c>
      <c r="V1166" s="66"/>
      <c r="W1166" s="66"/>
      <c r="X1166" s="66"/>
      <c r="Y1166" s="66"/>
      <c r="Z1166" s="66"/>
      <c r="AA1166" s="66"/>
      <c r="AB1166" s="66"/>
      <c r="AC1166" s="66"/>
      <c r="AD1166" s="66"/>
      <c r="AE1166" s="66"/>
      <c r="AF1166" s="44"/>
      <c r="AG1166" s="254">
        <f>Prog_236[[#This Row],[SAÍDA DO CLIENTE]]-Prog_236[[#This Row],[PROGRAMAÇÃO CLIENTE]]</f>
        <v>0</v>
      </c>
      <c r="AH1166" s="44"/>
      <c r="AI1166" s="66"/>
      <c r="AJ1166" s="66"/>
      <c r="AK1166" s="66"/>
      <c r="AL1166" s="66"/>
      <c r="AM1166" s="66"/>
      <c r="AN1166" s="83"/>
      <c r="AO1166" s="66"/>
      <c r="AP1166" s="66"/>
      <c r="AQ1166" s="66"/>
      <c r="AR1166" s="81"/>
      <c r="AS1166" s="81"/>
      <c r="AT1166" s="81"/>
      <c r="AU1166" s="81"/>
      <c r="AV1166" s="83">
        <f>SUM(Prog_236[[#This Row],[ADIANTAMENTO]]+Prog_236[[#This Row],[SALDO]]+Prog_236[[#This Row],[MARGEM]]+Prog_236[[#This Row],[ESTADIA 1]])</f>
        <v>0</v>
      </c>
      <c r="AW11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6" s="81"/>
      <c r="AY1166" s="81"/>
      <c r="AZ1166" s="81">
        <f>Prog_236[[#This Row],[VLR NF]]*0.1%</f>
        <v>0</v>
      </c>
      <c r="BA1166" s="81">
        <f>Prog_236[[#This Row],[VLR NF]]*0.05%</f>
        <v>0</v>
      </c>
      <c r="BB1166" s="81"/>
      <c r="BC1166" s="81"/>
      <c r="BD1166" s="81"/>
      <c r="BE1166" s="81"/>
      <c r="BF1166" s="81"/>
      <c r="BG1166" s="81"/>
      <c r="BH1166" s="81"/>
      <c r="BI1166" s="81"/>
      <c r="BJ1166" s="81"/>
      <c r="BK1166" s="81"/>
      <c r="BL1166" s="66"/>
      <c r="BM1166" s="66"/>
      <c r="BN1166" s="66"/>
      <c r="BO1166" s="66" t="str">
        <f>PROPER(TEXT(Prog_236[[#This Row],[PROGRAMAÇÃO CLIENTE]],"mmm"))</f>
        <v>Jan</v>
      </c>
      <c r="BP1166" s="66">
        <f>YEAR(Prog_236[[#This Row],[PROGRAMAÇÃO CLIENTE]])</f>
        <v>1900</v>
      </c>
    </row>
    <row r="1167" spans="1:68" x14ac:dyDescent="0.25">
      <c r="A1167" s="200">
        <f>Prog_236[[#This Row],[CONTEINER]]</f>
        <v>0</v>
      </c>
      <c r="B1167" s="86"/>
      <c r="C11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7" s="44"/>
      <c r="E1167" s="66"/>
      <c r="F1167" s="66"/>
      <c r="G1167" s="66"/>
      <c r="H1167" s="44"/>
      <c r="I1167" s="44"/>
      <c r="J1167" s="66"/>
      <c r="K1167" s="66"/>
      <c r="L1167" s="66"/>
      <c r="M1167" s="66"/>
      <c r="N1167" s="66">
        <f>SUM(Prog_236[[#This Row],[TARA]]+Prog_236[[#This Row],[PESO]])</f>
        <v>0</v>
      </c>
      <c r="O1167" s="44"/>
      <c r="P1167" s="66"/>
      <c r="Q1167" s="66"/>
      <c r="R1167" s="66"/>
      <c r="S1167" s="66"/>
      <c r="T1167" s="138" t="str">
        <f>IFERROR(LOOKUP($S1167,MOTORISTAS!$D$3:$D$1048576,MOTORISTAS!E$3:$E$1048576),"")</f>
        <v/>
      </c>
      <c r="U1167" s="138" t="str">
        <f>IFERROR(LOOKUP($S1167,MOTORISTAS!$D$3:$D$1048576,MOTORISTAS!F$3:$F$1048576),"")</f>
        <v/>
      </c>
      <c r="V1167" s="66"/>
      <c r="W1167" s="66"/>
      <c r="X1167" s="66"/>
      <c r="Y1167" s="66"/>
      <c r="Z1167" s="66"/>
      <c r="AA1167" s="66"/>
      <c r="AB1167" s="66"/>
      <c r="AC1167" s="66"/>
      <c r="AD1167" s="66"/>
      <c r="AE1167" s="66"/>
      <c r="AF1167" s="44"/>
      <c r="AG1167" s="254">
        <f>Prog_236[[#This Row],[SAÍDA DO CLIENTE]]-Prog_236[[#This Row],[PROGRAMAÇÃO CLIENTE]]</f>
        <v>0</v>
      </c>
      <c r="AH1167" s="44"/>
      <c r="AI1167" s="66"/>
      <c r="AJ1167" s="66"/>
      <c r="AK1167" s="66"/>
      <c r="AL1167" s="66"/>
      <c r="AM1167" s="66"/>
      <c r="AN1167" s="83"/>
      <c r="AO1167" s="66"/>
      <c r="AP1167" s="66"/>
      <c r="AQ1167" s="66"/>
      <c r="AR1167" s="81"/>
      <c r="AS1167" s="81"/>
      <c r="AT1167" s="81"/>
      <c r="AU1167" s="81"/>
      <c r="AV1167" s="83">
        <f>SUM(Prog_236[[#This Row],[ADIANTAMENTO]]+Prog_236[[#This Row],[SALDO]]+Prog_236[[#This Row],[MARGEM]]+Prog_236[[#This Row],[ESTADIA 1]])</f>
        <v>0</v>
      </c>
      <c r="AW11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7" s="81"/>
      <c r="AY1167" s="81"/>
      <c r="AZ1167" s="81">
        <f>Prog_236[[#This Row],[VLR NF]]*0.1%</f>
        <v>0</v>
      </c>
      <c r="BA1167" s="81">
        <f>Prog_236[[#This Row],[VLR NF]]*0.05%</f>
        <v>0</v>
      </c>
      <c r="BB1167" s="81"/>
      <c r="BC1167" s="81"/>
      <c r="BD1167" s="81"/>
      <c r="BE1167" s="81"/>
      <c r="BF1167" s="81"/>
      <c r="BG1167" s="81"/>
      <c r="BH1167" s="81"/>
      <c r="BI1167" s="81"/>
      <c r="BJ1167" s="81"/>
      <c r="BK1167" s="81"/>
      <c r="BL1167" s="66"/>
      <c r="BM1167" s="66"/>
      <c r="BN1167" s="66"/>
      <c r="BO1167" s="66" t="str">
        <f>PROPER(TEXT(Prog_236[[#This Row],[PROGRAMAÇÃO CLIENTE]],"mmm"))</f>
        <v>Jan</v>
      </c>
      <c r="BP1167" s="66">
        <f>YEAR(Prog_236[[#This Row],[PROGRAMAÇÃO CLIENTE]])</f>
        <v>1900</v>
      </c>
    </row>
    <row r="1168" spans="1:68" x14ac:dyDescent="0.25">
      <c r="A1168" s="201">
        <f>Prog_236[[#This Row],[CONTEINER]]</f>
        <v>0</v>
      </c>
      <c r="B1168" s="86"/>
      <c r="C11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8" s="44"/>
      <c r="E1168" s="66"/>
      <c r="F1168" s="66"/>
      <c r="G1168" s="66"/>
      <c r="H1168" s="44"/>
      <c r="I1168" s="44"/>
      <c r="J1168" s="66"/>
      <c r="K1168" s="66"/>
      <c r="L1168" s="66"/>
      <c r="M1168" s="66"/>
      <c r="N1168" s="66">
        <f>SUM(Prog_236[[#This Row],[TARA]]+Prog_236[[#This Row],[PESO]])</f>
        <v>0</v>
      </c>
      <c r="O1168" s="44"/>
      <c r="P1168" s="66"/>
      <c r="Q1168" s="66"/>
      <c r="R1168" s="66"/>
      <c r="S1168" s="66"/>
      <c r="T1168" s="138" t="str">
        <f>IFERROR(LOOKUP($S1168,MOTORISTAS!$D$3:$D$1048576,MOTORISTAS!E$3:$E$1048576),"")</f>
        <v/>
      </c>
      <c r="U1168" s="138" t="str">
        <f>IFERROR(LOOKUP($S1168,MOTORISTAS!$D$3:$D$1048576,MOTORISTAS!F$3:$F$1048576),"")</f>
        <v/>
      </c>
      <c r="V1168" s="66"/>
      <c r="W1168" s="66"/>
      <c r="X1168" s="66"/>
      <c r="Y1168" s="66"/>
      <c r="Z1168" s="66"/>
      <c r="AA1168" s="66"/>
      <c r="AB1168" s="66"/>
      <c r="AC1168" s="66"/>
      <c r="AD1168" s="66"/>
      <c r="AE1168" s="66"/>
      <c r="AF1168" s="44"/>
      <c r="AG1168" s="254">
        <f>Prog_236[[#This Row],[SAÍDA DO CLIENTE]]-Prog_236[[#This Row],[PROGRAMAÇÃO CLIENTE]]</f>
        <v>0</v>
      </c>
      <c r="AH1168" s="44"/>
      <c r="AI1168" s="66"/>
      <c r="AJ1168" s="66"/>
      <c r="AK1168" s="66"/>
      <c r="AL1168" s="66"/>
      <c r="AM1168" s="66"/>
      <c r="AN1168" s="83"/>
      <c r="AO1168" s="66"/>
      <c r="AP1168" s="66"/>
      <c r="AQ1168" s="66"/>
      <c r="AR1168" s="81"/>
      <c r="AS1168" s="81"/>
      <c r="AT1168" s="81"/>
      <c r="AU1168" s="81"/>
      <c r="AV1168" s="83">
        <f>SUM(Prog_236[[#This Row],[ADIANTAMENTO]]+Prog_236[[#This Row],[SALDO]]+Prog_236[[#This Row],[MARGEM]]+Prog_236[[#This Row],[ESTADIA 1]])</f>
        <v>0</v>
      </c>
      <c r="AW11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8" s="81"/>
      <c r="AY1168" s="81"/>
      <c r="AZ1168" s="81">
        <f>Prog_236[[#This Row],[VLR NF]]*0.1%</f>
        <v>0</v>
      </c>
      <c r="BA1168" s="81">
        <f>Prog_236[[#This Row],[VLR NF]]*0.05%</f>
        <v>0</v>
      </c>
      <c r="BB1168" s="81"/>
      <c r="BC1168" s="81"/>
      <c r="BD1168" s="81"/>
      <c r="BE1168" s="81"/>
      <c r="BF1168" s="81"/>
      <c r="BG1168" s="81"/>
      <c r="BH1168" s="81"/>
      <c r="BI1168" s="81"/>
      <c r="BJ1168" s="81"/>
      <c r="BK1168" s="81"/>
      <c r="BL1168" s="66"/>
      <c r="BM1168" s="66"/>
      <c r="BN1168" s="66"/>
      <c r="BO1168" s="66" t="str">
        <f>PROPER(TEXT(Prog_236[[#This Row],[PROGRAMAÇÃO CLIENTE]],"mmm"))</f>
        <v>Jan</v>
      </c>
      <c r="BP1168" s="66">
        <f>YEAR(Prog_236[[#This Row],[PROGRAMAÇÃO CLIENTE]])</f>
        <v>1900</v>
      </c>
    </row>
    <row r="1169" spans="1:68" x14ac:dyDescent="0.25">
      <c r="A1169" s="200">
        <f>Prog_236[[#This Row],[CONTEINER]]</f>
        <v>0</v>
      </c>
      <c r="B1169" s="86"/>
      <c r="C11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69" s="44"/>
      <c r="E1169" s="66"/>
      <c r="F1169" s="66"/>
      <c r="G1169" s="66"/>
      <c r="H1169" s="44"/>
      <c r="I1169" s="44"/>
      <c r="J1169" s="66"/>
      <c r="K1169" s="66"/>
      <c r="L1169" s="66"/>
      <c r="M1169" s="66"/>
      <c r="N1169" s="66">
        <f>SUM(Prog_236[[#This Row],[TARA]]+Prog_236[[#This Row],[PESO]])</f>
        <v>0</v>
      </c>
      <c r="O1169" s="44"/>
      <c r="P1169" s="66"/>
      <c r="Q1169" s="66"/>
      <c r="R1169" s="66"/>
      <c r="S1169" s="66"/>
      <c r="T1169" s="138" t="str">
        <f>IFERROR(LOOKUP($S1169,MOTORISTAS!$D$3:$D$1048576,MOTORISTAS!E$3:$E$1048576),"")</f>
        <v/>
      </c>
      <c r="U1169" s="138" t="str">
        <f>IFERROR(LOOKUP($S1169,MOTORISTAS!$D$3:$D$1048576,MOTORISTAS!F$3:$F$1048576),"")</f>
        <v/>
      </c>
      <c r="V1169" s="66"/>
      <c r="W1169" s="66"/>
      <c r="X1169" s="66"/>
      <c r="Y1169" s="66"/>
      <c r="Z1169" s="66"/>
      <c r="AA1169" s="66"/>
      <c r="AB1169" s="66"/>
      <c r="AC1169" s="66"/>
      <c r="AD1169" s="66"/>
      <c r="AE1169" s="66"/>
      <c r="AF1169" s="44"/>
      <c r="AG1169" s="254">
        <f>Prog_236[[#This Row],[SAÍDA DO CLIENTE]]-Prog_236[[#This Row],[PROGRAMAÇÃO CLIENTE]]</f>
        <v>0</v>
      </c>
      <c r="AH1169" s="44"/>
      <c r="AI1169" s="66"/>
      <c r="AJ1169" s="66"/>
      <c r="AK1169" s="66"/>
      <c r="AL1169" s="66"/>
      <c r="AM1169" s="66"/>
      <c r="AN1169" s="83"/>
      <c r="AO1169" s="66"/>
      <c r="AP1169" s="66"/>
      <c r="AQ1169" s="66"/>
      <c r="AR1169" s="81"/>
      <c r="AS1169" s="81"/>
      <c r="AT1169" s="81"/>
      <c r="AU1169" s="81"/>
      <c r="AV1169" s="83">
        <f>SUM(Prog_236[[#This Row],[ADIANTAMENTO]]+Prog_236[[#This Row],[SALDO]]+Prog_236[[#This Row],[MARGEM]]+Prog_236[[#This Row],[ESTADIA 1]])</f>
        <v>0</v>
      </c>
      <c r="AW11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69" s="81"/>
      <c r="AY1169" s="81"/>
      <c r="AZ1169" s="81">
        <f>Prog_236[[#This Row],[VLR NF]]*0.1%</f>
        <v>0</v>
      </c>
      <c r="BA1169" s="81">
        <f>Prog_236[[#This Row],[VLR NF]]*0.05%</f>
        <v>0</v>
      </c>
      <c r="BB1169" s="81"/>
      <c r="BC1169" s="81"/>
      <c r="BD1169" s="81"/>
      <c r="BE1169" s="81"/>
      <c r="BF1169" s="81"/>
      <c r="BG1169" s="81"/>
      <c r="BH1169" s="81"/>
      <c r="BI1169" s="81"/>
      <c r="BJ1169" s="81"/>
      <c r="BK1169" s="81"/>
      <c r="BL1169" s="66"/>
      <c r="BM1169" s="66"/>
      <c r="BN1169" s="66"/>
      <c r="BO1169" s="66" t="str">
        <f>PROPER(TEXT(Prog_236[[#This Row],[PROGRAMAÇÃO CLIENTE]],"mmm"))</f>
        <v>Jan</v>
      </c>
      <c r="BP1169" s="66">
        <f>YEAR(Prog_236[[#This Row],[PROGRAMAÇÃO CLIENTE]])</f>
        <v>1900</v>
      </c>
    </row>
    <row r="1170" spans="1:68" x14ac:dyDescent="0.25">
      <c r="A1170" s="201">
        <f>Prog_236[[#This Row],[CONTEINER]]</f>
        <v>0</v>
      </c>
      <c r="B1170" s="86"/>
      <c r="C11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0" s="44"/>
      <c r="E1170" s="66"/>
      <c r="F1170" s="66"/>
      <c r="G1170" s="66"/>
      <c r="H1170" s="44"/>
      <c r="I1170" s="44"/>
      <c r="J1170" s="66"/>
      <c r="K1170" s="66"/>
      <c r="L1170" s="66"/>
      <c r="M1170" s="66"/>
      <c r="N1170" s="66">
        <f>SUM(Prog_236[[#This Row],[TARA]]+Prog_236[[#This Row],[PESO]])</f>
        <v>0</v>
      </c>
      <c r="O1170" s="44"/>
      <c r="P1170" s="66"/>
      <c r="Q1170" s="66"/>
      <c r="R1170" s="66"/>
      <c r="S1170" s="66"/>
      <c r="T1170" s="138" t="str">
        <f>IFERROR(LOOKUP($S1170,MOTORISTAS!$D$3:$D$1048576,MOTORISTAS!E$3:$E$1048576),"")</f>
        <v/>
      </c>
      <c r="U1170" s="138" t="str">
        <f>IFERROR(LOOKUP($S1170,MOTORISTAS!$D$3:$D$1048576,MOTORISTAS!F$3:$F$1048576),"")</f>
        <v/>
      </c>
      <c r="V1170" s="66"/>
      <c r="W1170" s="66"/>
      <c r="X1170" s="66"/>
      <c r="Y1170" s="66"/>
      <c r="Z1170" s="66"/>
      <c r="AA1170" s="66"/>
      <c r="AB1170" s="66"/>
      <c r="AC1170" s="66"/>
      <c r="AD1170" s="66"/>
      <c r="AE1170" s="66"/>
      <c r="AF1170" s="44"/>
      <c r="AG1170" s="254">
        <f>Prog_236[[#This Row],[SAÍDA DO CLIENTE]]-Prog_236[[#This Row],[PROGRAMAÇÃO CLIENTE]]</f>
        <v>0</v>
      </c>
      <c r="AH1170" s="44"/>
      <c r="AI1170" s="66"/>
      <c r="AJ1170" s="66"/>
      <c r="AK1170" s="66"/>
      <c r="AL1170" s="66"/>
      <c r="AM1170" s="66"/>
      <c r="AN1170" s="83"/>
      <c r="AO1170" s="66"/>
      <c r="AP1170" s="66"/>
      <c r="AQ1170" s="66"/>
      <c r="AR1170" s="81"/>
      <c r="AS1170" s="81"/>
      <c r="AT1170" s="81"/>
      <c r="AU1170" s="81"/>
      <c r="AV1170" s="83">
        <f>SUM(Prog_236[[#This Row],[ADIANTAMENTO]]+Prog_236[[#This Row],[SALDO]]+Prog_236[[#This Row],[MARGEM]]+Prog_236[[#This Row],[ESTADIA 1]])</f>
        <v>0</v>
      </c>
      <c r="AW11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0" s="81"/>
      <c r="AY1170" s="81"/>
      <c r="AZ1170" s="81">
        <f>Prog_236[[#This Row],[VLR NF]]*0.1%</f>
        <v>0</v>
      </c>
      <c r="BA1170" s="81">
        <f>Prog_236[[#This Row],[VLR NF]]*0.05%</f>
        <v>0</v>
      </c>
      <c r="BB1170" s="81"/>
      <c r="BC1170" s="81"/>
      <c r="BD1170" s="81"/>
      <c r="BE1170" s="81"/>
      <c r="BF1170" s="81"/>
      <c r="BG1170" s="81"/>
      <c r="BH1170" s="81"/>
      <c r="BI1170" s="81"/>
      <c r="BJ1170" s="81"/>
      <c r="BK1170" s="81"/>
      <c r="BL1170" s="66"/>
      <c r="BM1170" s="66"/>
      <c r="BN1170" s="66"/>
      <c r="BO1170" s="66" t="str">
        <f>PROPER(TEXT(Prog_236[[#This Row],[PROGRAMAÇÃO CLIENTE]],"mmm"))</f>
        <v>Jan</v>
      </c>
      <c r="BP1170" s="66">
        <f>YEAR(Prog_236[[#This Row],[PROGRAMAÇÃO CLIENTE]])</f>
        <v>1900</v>
      </c>
    </row>
    <row r="1171" spans="1:68" x14ac:dyDescent="0.25">
      <c r="A1171" s="200">
        <f>Prog_236[[#This Row],[CONTEINER]]</f>
        <v>0</v>
      </c>
      <c r="B1171" s="86"/>
      <c r="C11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1" s="44"/>
      <c r="E1171" s="66"/>
      <c r="F1171" s="66"/>
      <c r="G1171" s="66"/>
      <c r="H1171" s="44"/>
      <c r="I1171" s="44"/>
      <c r="J1171" s="66"/>
      <c r="K1171" s="66"/>
      <c r="L1171" s="66"/>
      <c r="M1171" s="66"/>
      <c r="N1171" s="66">
        <f>SUM(Prog_236[[#This Row],[TARA]]+Prog_236[[#This Row],[PESO]])</f>
        <v>0</v>
      </c>
      <c r="O1171" s="44"/>
      <c r="P1171" s="66"/>
      <c r="Q1171" s="66"/>
      <c r="R1171" s="66"/>
      <c r="S1171" s="66"/>
      <c r="T1171" s="138" t="str">
        <f>IFERROR(LOOKUP($S1171,MOTORISTAS!$D$3:$D$1048576,MOTORISTAS!E$3:$E$1048576),"")</f>
        <v/>
      </c>
      <c r="U1171" s="138" t="str">
        <f>IFERROR(LOOKUP($S1171,MOTORISTAS!$D$3:$D$1048576,MOTORISTAS!F$3:$F$1048576),"")</f>
        <v/>
      </c>
      <c r="V1171" s="66"/>
      <c r="W1171" s="66"/>
      <c r="X1171" s="66"/>
      <c r="Y1171" s="66"/>
      <c r="Z1171" s="66"/>
      <c r="AA1171" s="66"/>
      <c r="AB1171" s="66"/>
      <c r="AC1171" s="66"/>
      <c r="AD1171" s="66"/>
      <c r="AE1171" s="66"/>
      <c r="AF1171" s="44"/>
      <c r="AG1171" s="254">
        <f>Prog_236[[#This Row],[SAÍDA DO CLIENTE]]-Prog_236[[#This Row],[PROGRAMAÇÃO CLIENTE]]</f>
        <v>0</v>
      </c>
      <c r="AH1171" s="44"/>
      <c r="AI1171" s="66"/>
      <c r="AJ1171" s="66"/>
      <c r="AK1171" s="66"/>
      <c r="AL1171" s="66"/>
      <c r="AM1171" s="66"/>
      <c r="AN1171" s="83"/>
      <c r="AO1171" s="66"/>
      <c r="AP1171" s="66"/>
      <c r="AQ1171" s="66"/>
      <c r="AR1171" s="81"/>
      <c r="AS1171" s="81"/>
      <c r="AT1171" s="81"/>
      <c r="AU1171" s="81"/>
      <c r="AV1171" s="83">
        <f>SUM(Prog_236[[#This Row],[ADIANTAMENTO]]+Prog_236[[#This Row],[SALDO]]+Prog_236[[#This Row],[MARGEM]]+Prog_236[[#This Row],[ESTADIA 1]])</f>
        <v>0</v>
      </c>
      <c r="AW11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1" s="81"/>
      <c r="AY1171" s="81"/>
      <c r="AZ1171" s="81">
        <f>Prog_236[[#This Row],[VLR NF]]*0.1%</f>
        <v>0</v>
      </c>
      <c r="BA1171" s="81">
        <f>Prog_236[[#This Row],[VLR NF]]*0.05%</f>
        <v>0</v>
      </c>
      <c r="BB1171" s="81"/>
      <c r="BC1171" s="81"/>
      <c r="BD1171" s="81"/>
      <c r="BE1171" s="81"/>
      <c r="BF1171" s="81"/>
      <c r="BG1171" s="81"/>
      <c r="BH1171" s="81"/>
      <c r="BI1171" s="81"/>
      <c r="BJ1171" s="81"/>
      <c r="BK1171" s="81"/>
      <c r="BL1171" s="66"/>
      <c r="BM1171" s="66"/>
      <c r="BN1171" s="66"/>
      <c r="BO1171" s="66" t="str">
        <f>PROPER(TEXT(Prog_236[[#This Row],[PROGRAMAÇÃO CLIENTE]],"mmm"))</f>
        <v>Jan</v>
      </c>
      <c r="BP1171" s="66">
        <f>YEAR(Prog_236[[#This Row],[PROGRAMAÇÃO CLIENTE]])</f>
        <v>1900</v>
      </c>
    </row>
    <row r="1172" spans="1:68" x14ac:dyDescent="0.25">
      <c r="A1172" s="201">
        <f>Prog_236[[#This Row],[CONTEINER]]</f>
        <v>0</v>
      </c>
      <c r="B1172" s="86"/>
      <c r="C11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2" s="44"/>
      <c r="E1172" s="66"/>
      <c r="F1172" s="66"/>
      <c r="G1172" s="66"/>
      <c r="H1172" s="44"/>
      <c r="I1172" s="44"/>
      <c r="J1172" s="66"/>
      <c r="K1172" s="66"/>
      <c r="L1172" s="66"/>
      <c r="M1172" s="66"/>
      <c r="N1172" s="66">
        <f>SUM(Prog_236[[#This Row],[TARA]]+Prog_236[[#This Row],[PESO]])</f>
        <v>0</v>
      </c>
      <c r="O1172" s="44"/>
      <c r="P1172" s="66"/>
      <c r="Q1172" s="66"/>
      <c r="R1172" s="66"/>
      <c r="S1172" s="66"/>
      <c r="T1172" s="138" t="str">
        <f>IFERROR(LOOKUP($S1172,MOTORISTAS!$D$3:$D$1048576,MOTORISTAS!E$3:$E$1048576),"")</f>
        <v/>
      </c>
      <c r="U1172" s="138" t="str">
        <f>IFERROR(LOOKUP($S1172,MOTORISTAS!$D$3:$D$1048576,MOTORISTAS!F$3:$F$1048576),"")</f>
        <v/>
      </c>
      <c r="V1172" s="66"/>
      <c r="W1172" s="66"/>
      <c r="X1172" s="66"/>
      <c r="Y1172" s="66"/>
      <c r="Z1172" s="66"/>
      <c r="AA1172" s="66"/>
      <c r="AB1172" s="66"/>
      <c r="AC1172" s="66"/>
      <c r="AD1172" s="66"/>
      <c r="AE1172" s="66"/>
      <c r="AF1172" s="44"/>
      <c r="AG1172" s="254">
        <f>Prog_236[[#This Row],[SAÍDA DO CLIENTE]]-Prog_236[[#This Row],[PROGRAMAÇÃO CLIENTE]]</f>
        <v>0</v>
      </c>
      <c r="AH1172" s="44"/>
      <c r="AI1172" s="66"/>
      <c r="AJ1172" s="66"/>
      <c r="AK1172" s="66"/>
      <c r="AL1172" s="66"/>
      <c r="AM1172" s="66"/>
      <c r="AN1172" s="83"/>
      <c r="AO1172" s="66"/>
      <c r="AP1172" s="66"/>
      <c r="AQ1172" s="66"/>
      <c r="AR1172" s="81"/>
      <c r="AS1172" s="81"/>
      <c r="AT1172" s="81"/>
      <c r="AU1172" s="81"/>
      <c r="AV1172" s="83">
        <f>SUM(Prog_236[[#This Row],[ADIANTAMENTO]]+Prog_236[[#This Row],[SALDO]]+Prog_236[[#This Row],[MARGEM]]+Prog_236[[#This Row],[ESTADIA 1]])</f>
        <v>0</v>
      </c>
      <c r="AW11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2" s="81"/>
      <c r="AY1172" s="81"/>
      <c r="AZ1172" s="81">
        <f>Prog_236[[#This Row],[VLR NF]]*0.1%</f>
        <v>0</v>
      </c>
      <c r="BA1172" s="81">
        <f>Prog_236[[#This Row],[VLR NF]]*0.05%</f>
        <v>0</v>
      </c>
      <c r="BB1172" s="81"/>
      <c r="BC1172" s="81"/>
      <c r="BD1172" s="81"/>
      <c r="BE1172" s="81"/>
      <c r="BF1172" s="81"/>
      <c r="BG1172" s="81"/>
      <c r="BH1172" s="81"/>
      <c r="BI1172" s="81"/>
      <c r="BJ1172" s="81"/>
      <c r="BK1172" s="81"/>
      <c r="BL1172" s="66"/>
      <c r="BM1172" s="66"/>
      <c r="BN1172" s="66"/>
      <c r="BO1172" s="66" t="str">
        <f>PROPER(TEXT(Prog_236[[#This Row],[PROGRAMAÇÃO CLIENTE]],"mmm"))</f>
        <v>Jan</v>
      </c>
      <c r="BP1172" s="66">
        <f>YEAR(Prog_236[[#This Row],[PROGRAMAÇÃO CLIENTE]])</f>
        <v>1900</v>
      </c>
    </row>
    <row r="1173" spans="1:68" x14ac:dyDescent="0.25">
      <c r="A1173" s="200">
        <f>Prog_236[[#This Row],[CONTEINER]]</f>
        <v>0</v>
      </c>
      <c r="B1173" s="86"/>
      <c r="C11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3" s="44"/>
      <c r="E1173" s="66"/>
      <c r="F1173" s="66"/>
      <c r="G1173" s="66"/>
      <c r="H1173" s="44"/>
      <c r="I1173" s="44"/>
      <c r="J1173" s="66"/>
      <c r="K1173" s="66"/>
      <c r="L1173" s="66"/>
      <c r="M1173" s="66"/>
      <c r="N1173" s="66">
        <f>SUM(Prog_236[[#This Row],[TARA]]+Prog_236[[#This Row],[PESO]])</f>
        <v>0</v>
      </c>
      <c r="O1173" s="44"/>
      <c r="P1173" s="66"/>
      <c r="Q1173" s="66"/>
      <c r="R1173" s="66"/>
      <c r="S1173" s="66"/>
      <c r="T1173" s="138" t="str">
        <f>IFERROR(LOOKUP($S1173,MOTORISTAS!$D$3:$D$1048576,MOTORISTAS!E$3:$E$1048576),"")</f>
        <v/>
      </c>
      <c r="U1173" s="138" t="str">
        <f>IFERROR(LOOKUP($S1173,MOTORISTAS!$D$3:$D$1048576,MOTORISTAS!F$3:$F$1048576),"")</f>
        <v/>
      </c>
      <c r="V1173" s="66"/>
      <c r="W1173" s="66"/>
      <c r="X1173" s="66"/>
      <c r="Y1173" s="66"/>
      <c r="Z1173" s="66"/>
      <c r="AA1173" s="66"/>
      <c r="AB1173" s="66"/>
      <c r="AC1173" s="66"/>
      <c r="AD1173" s="66"/>
      <c r="AE1173" s="66"/>
      <c r="AF1173" s="44"/>
      <c r="AG1173" s="254">
        <f>Prog_236[[#This Row],[SAÍDA DO CLIENTE]]-Prog_236[[#This Row],[PROGRAMAÇÃO CLIENTE]]</f>
        <v>0</v>
      </c>
      <c r="AH1173" s="44"/>
      <c r="AI1173" s="66"/>
      <c r="AJ1173" s="66"/>
      <c r="AK1173" s="66"/>
      <c r="AL1173" s="66"/>
      <c r="AM1173" s="66"/>
      <c r="AN1173" s="83"/>
      <c r="AO1173" s="66"/>
      <c r="AP1173" s="66"/>
      <c r="AQ1173" s="66"/>
      <c r="AR1173" s="81"/>
      <c r="AS1173" s="81"/>
      <c r="AT1173" s="81"/>
      <c r="AU1173" s="81"/>
      <c r="AV1173" s="83">
        <f>SUM(Prog_236[[#This Row],[ADIANTAMENTO]]+Prog_236[[#This Row],[SALDO]]+Prog_236[[#This Row],[MARGEM]]+Prog_236[[#This Row],[ESTADIA 1]])</f>
        <v>0</v>
      </c>
      <c r="AW11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3" s="81"/>
      <c r="AY1173" s="81"/>
      <c r="AZ1173" s="81">
        <f>Prog_236[[#This Row],[VLR NF]]*0.1%</f>
        <v>0</v>
      </c>
      <c r="BA1173" s="81">
        <f>Prog_236[[#This Row],[VLR NF]]*0.05%</f>
        <v>0</v>
      </c>
      <c r="BB1173" s="81"/>
      <c r="BC1173" s="81"/>
      <c r="BD1173" s="81"/>
      <c r="BE1173" s="81"/>
      <c r="BF1173" s="81"/>
      <c r="BG1173" s="81"/>
      <c r="BH1173" s="81"/>
      <c r="BI1173" s="81"/>
      <c r="BJ1173" s="81"/>
      <c r="BK1173" s="81"/>
      <c r="BL1173" s="66"/>
      <c r="BM1173" s="66"/>
      <c r="BN1173" s="66"/>
      <c r="BO1173" s="66" t="str">
        <f>PROPER(TEXT(Prog_236[[#This Row],[PROGRAMAÇÃO CLIENTE]],"mmm"))</f>
        <v>Jan</v>
      </c>
      <c r="BP1173" s="66">
        <f>YEAR(Prog_236[[#This Row],[PROGRAMAÇÃO CLIENTE]])</f>
        <v>1900</v>
      </c>
    </row>
    <row r="1174" spans="1:68" x14ac:dyDescent="0.25">
      <c r="A1174" s="201">
        <f>Prog_236[[#This Row],[CONTEINER]]</f>
        <v>0</v>
      </c>
      <c r="B1174" s="86"/>
      <c r="C11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4" s="44"/>
      <c r="E1174" s="66"/>
      <c r="F1174" s="66"/>
      <c r="G1174" s="66"/>
      <c r="H1174" s="44"/>
      <c r="I1174" s="44"/>
      <c r="J1174" s="66"/>
      <c r="K1174" s="66"/>
      <c r="L1174" s="66"/>
      <c r="M1174" s="66"/>
      <c r="N1174" s="66">
        <f>SUM(Prog_236[[#This Row],[TARA]]+Prog_236[[#This Row],[PESO]])</f>
        <v>0</v>
      </c>
      <c r="O1174" s="44"/>
      <c r="P1174" s="66"/>
      <c r="Q1174" s="66"/>
      <c r="R1174" s="66"/>
      <c r="S1174" s="66"/>
      <c r="T1174" s="138" t="str">
        <f>IFERROR(LOOKUP($S1174,MOTORISTAS!$D$3:$D$1048576,MOTORISTAS!E$3:$E$1048576),"")</f>
        <v/>
      </c>
      <c r="U1174" s="138" t="str">
        <f>IFERROR(LOOKUP($S1174,MOTORISTAS!$D$3:$D$1048576,MOTORISTAS!F$3:$F$1048576),"")</f>
        <v/>
      </c>
      <c r="V1174" s="66"/>
      <c r="W1174" s="66"/>
      <c r="X1174" s="66"/>
      <c r="Y1174" s="66"/>
      <c r="Z1174" s="66"/>
      <c r="AA1174" s="66"/>
      <c r="AB1174" s="66"/>
      <c r="AC1174" s="66"/>
      <c r="AD1174" s="66"/>
      <c r="AE1174" s="66"/>
      <c r="AF1174" s="44"/>
      <c r="AG1174" s="254">
        <f>Prog_236[[#This Row],[SAÍDA DO CLIENTE]]-Prog_236[[#This Row],[PROGRAMAÇÃO CLIENTE]]</f>
        <v>0</v>
      </c>
      <c r="AH1174" s="44"/>
      <c r="AI1174" s="66"/>
      <c r="AJ1174" s="66"/>
      <c r="AK1174" s="66"/>
      <c r="AL1174" s="66"/>
      <c r="AM1174" s="66"/>
      <c r="AN1174" s="83"/>
      <c r="AO1174" s="66"/>
      <c r="AP1174" s="66"/>
      <c r="AQ1174" s="66"/>
      <c r="AR1174" s="81"/>
      <c r="AS1174" s="81"/>
      <c r="AT1174" s="81"/>
      <c r="AU1174" s="81"/>
      <c r="AV1174" s="83">
        <f>SUM(Prog_236[[#This Row],[ADIANTAMENTO]]+Prog_236[[#This Row],[SALDO]]+Prog_236[[#This Row],[MARGEM]]+Prog_236[[#This Row],[ESTADIA 1]])</f>
        <v>0</v>
      </c>
      <c r="AW11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4" s="81"/>
      <c r="AY1174" s="81"/>
      <c r="AZ1174" s="81">
        <f>Prog_236[[#This Row],[VLR NF]]*0.1%</f>
        <v>0</v>
      </c>
      <c r="BA1174" s="81">
        <f>Prog_236[[#This Row],[VLR NF]]*0.05%</f>
        <v>0</v>
      </c>
      <c r="BB1174" s="81"/>
      <c r="BC1174" s="81"/>
      <c r="BD1174" s="81"/>
      <c r="BE1174" s="81"/>
      <c r="BF1174" s="81"/>
      <c r="BG1174" s="81"/>
      <c r="BH1174" s="81"/>
      <c r="BI1174" s="81"/>
      <c r="BJ1174" s="81"/>
      <c r="BK1174" s="81"/>
      <c r="BL1174" s="66"/>
      <c r="BM1174" s="66"/>
      <c r="BN1174" s="66"/>
      <c r="BO1174" s="66" t="str">
        <f>PROPER(TEXT(Prog_236[[#This Row],[PROGRAMAÇÃO CLIENTE]],"mmm"))</f>
        <v>Jan</v>
      </c>
      <c r="BP1174" s="66">
        <f>YEAR(Prog_236[[#This Row],[PROGRAMAÇÃO CLIENTE]])</f>
        <v>1900</v>
      </c>
    </row>
    <row r="1175" spans="1:68" x14ac:dyDescent="0.25">
      <c r="A1175" s="200">
        <f>Prog_236[[#This Row],[CONTEINER]]</f>
        <v>0</v>
      </c>
      <c r="B1175" s="86"/>
      <c r="C11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5" s="44"/>
      <c r="E1175" s="66"/>
      <c r="F1175" s="66"/>
      <c r="G1175" s="66"/>
      <c r="H1175" s="44"/>
      <c r="I1175" s="44"/>
      <c r="J1175" s="66"/>
      <c r="K1175" s="66"/>
      <c r="L1175" s="66"/>
      <c r="M1175" s="66"/>
      <c r="N1175" s="66">
        <f>SUM(Prog_236[[#This Row],[TARA]]+Prog_236[[#This Row],[PESO]])</f>
        <v>0</v>
      </c>
      <c r="O1175" s="44"/>
      <c r="P1175" s="66"/>
      <c r="Q1175" s="66"/>
      <c r="R1175" s="66"/>
      <c r="S1175" s="66"/>
      <c r="T1175" s="138" t="str">
        <f>IFERROR(LOOKUP($S1175,MOTORISTAS!$D$3:$D$1048576,MOTORISTAS!E$3:$E$1048576),"")</f>
        <v/>
      </c>
      <c r="U1175" s="138" t="str">
        <f>IFERROR(LOOKUP($S1175,MOTORISTAS!$D$3:$D$1048576,MOTORISTAS!F$3:$F$1048576),"")</f>
        <v/>
      </c>
      <c r="V1175" s="66"/>
      <c r="W1175" s="66"/>
      <c r="X1175" s="66"/>
      <c r="Y1175" s="66"/>
      <c r="Z1175" s="66"/>
      <c r="AA1175" s="66"/>
      <c r="AB1175" s="66"/>
      <c r="AC1175" s="66"/>
      <c r="AD1175" s="66"/>
      <c r="AE1175" s="66"/>
      <c r="AF1175" s="44"/>
      <c r="AG1175" s="254">
        <f>Prog_236[[#This Row],[SAÍDA DO CLIENTE]]-Prog_236[[#This Row],[PROGRAMAÇÃO CLIENTE]]</f>
        <v>0</v>
      </c>
      <c r="AH1175" s="44"/>
      <c r="AI1175" s="66"/>
      <c r="AJ1175" s="66"/>
      <c r="AK1175" s="66"/>
      <c r="AL1175" s="66"/>
      <c r="AM1175" s="66"/>
      <c r="AN1175" s="83"/>
      <c r="AO1175" s="66"/>
      <c r="AP1175" s="66"/>
      <c r="AQ1175" s="66"/>
      <c r="AR1175" s="81"/>
      <c r="AS1175" s="81"/>
      <c r="AT1175" s="81"/>
      <c r="AU1175" s="81"/>
      <c r="AV1175" s="83">
        <f>SUM(Prog_236[[#This Row],[ADIANTAMENTO]]+Prog_236[[#This Row],[SALDO]]+Prog_236[[#This Row],[MARGEM]]+Prog_236[[#This Row],[ESTADIA 1]])</f>
        <v>0</v>
      </c>
      <c r="AW11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5" s="81"/>
      <c r="AY1175" s="81"/>
      <c r="AZ1175" s="81">
        <f>Prog_236[[#This Row],[VLR NF]]*0.1%</f>
        <v>0</v>
      </c>
      <c r="BA1175" s="81">
        <f>Prog_236[[#This Row],[VLR NF]]*0.05%</f>
        <v>0</v>
      </c>
      <c r="BB1175" s="81"/>
      <c r="BC1175" s="81"/>
      <c r="BD1175" s="81"/>
      <c r="BE1175" s="81"/>
      <c r="BF1175" s="81"/>
      <c r="BG1175" s="81"/>
      <c r="BH1175" s="81"/>
      <c r="BI1175" s="81"/>
      <c r="BJ1175" s="81"/>
      <c r="BK1175" s="81"/>
      <c r="BL1175" s="66"/>
      <c r="BM1175" s="66"/>
      <c r="BN1175" s="66"/>
      <c r="BO1175" s="66" t="str">
        <f>PROPER(TEXT(Prog_236[[#This Row],[PROGRAMAÇÃO CLIENTE]],"mmm"))</f>
        <v>Jan</v>
      </c>
      <c r="BP1175" s="66">
        <f>YEAR(Prog_236[[#This Row],[PROGRAMAÇÃO CLIENTE]])</f>
        <v>1900</v>
      </c>
    </row>
    <row r="1176" spans="1:68" x14ac:dyDescent="0.25">
      <c r="A1176" s="201">
        <f>Prog_236[[#This Row],[CONTEINER]]</f>
        <v>0</v>
      </c>
      <c r="B1176" s="86"/>
      <c r="C11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6" s="44"/>
      <c r="E1176" s="66"/>
      <c r="F1176" s="66"/>
      <c r="G1176" s="66"/>
      <c r="H1176" s="44"/>
      <c r="I1176" s="44"/>
      <c r="J1176" s="66"/>
      <c r="K1176" s="66"/>
      <c r="L1176" s="66"/>
      <c r="M1176" s="66"/>
      <c r="N1176" s="66">
        <f>SUM(Prog_236[[#This Row],[TARA]]+Prog_236[[#This Row],[PESO]])</f>
        <v>0</v>
      </c>
      <c r="O1176" s="44"/>
      <c r="P1176" s="66"/>
      <c r="Q1176" s="66"/>
      <c r="R1176" s="66"/>
      <c r="S1176" s="66"/>
      <c r="T1176" s="138" t="str">
        <f>IFERROR(LOOKUP($S1176,MOTORISTAS!$D$3:$D$1048576,MOTORISTAS!E$3:$E$1048576),"")</f>
        <v/>
      </c>
      <c r="U1176" s="138" t="str">
        <f>IFERROR(LOOKUP($S1176,MOTORISTAS!$D$3:$D$1048576,MOTORISTAS!F$3:$F$1048576),"")</f>
        <v/>
      </c>
      <c r="V1176" s="66"/>
      <c r="W1176" s="66"/>
      <c r="X1176" s="66"/>
      <c r="Y1176" s="66"/>
      <c r="Z1176" s="66"/>
      <c r="AA1176" s="66"/>
      <c r="AB1176" s="66"/>
      <c r="AC1176" s="66"/>
      <c r="AD1176" s="66"/>
      <c r="AE1176" s="66"/>
      <c r="AF1176" s="44"/>
      <c r="AG1176" s="254">
        <f>Prog_236[[#This Row],[SAÍDA DO CLIENTE]]-Prog_236[[#This Row],[PROGRAMAÇÃO CLIENTE]]</f>
        <v>0</v>
      </c>
      <c r="AH1176" s="44"/>
      <c r="AI1176" s="66"/>
      <c r="AJ1176" s="66"/>
      <c r="AK1176" s="66"/>
      <c r="AL1176" s="66"/>
      <c r="AM1176" s="66"/>
      <c r="AN1176" s="83"/>
      <c r="AO1176" s="66"/>
      <c r="AP1176" s="66"/>
      <c r="AQ1176" s="66"/>
      <c r="AR1176" s="81"/>
      <c r="AS1176" s="81"/>
      <c r="AT1176" s="81"/>
      <c r="AU1176" s="81"/>
      <c r="AV1176" s="83">
        <f>SUM(Prog_236[[#This Row],[ADIANTAMENTO]]+Prog_236[[#This Row],[SALDO]]+Prog_236[[#This Row],[MARGEM]]+Prog_236[[#This Row],[ESTADIA 1]])</f>
        <v>0</v>
      </c>
      <c r="AW11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6" s="81"/>
      <c r="AY1176" s="81"/>
      <c r="AZ1176" s="81">
        <f>Prog_236[[#This Row],[VLR NF]]*0.1%</f>
        <v>0</v>
      </c>
      <c r="BA1176" s="81">
        <f>Prog_236[[#This Row],[VLR NF]]*0.05%</f>
        <v>0</v>
      </c>
      <c r="BB1176" s="81"/>
      <c r="BC1176" s="81"/>
      <c r="BD1176" s="81"/>
      <c r="BE1176" s="81"/>
      <c r="BF1176" s="81"/>
      <c r="BG1176" s="81"/>
      <c r="BH1176" s="81"/>
      <c r="BI1176" s="81"/>
      <c r="BJ1176" s="81"/>
      <c r="BK1176" s="81"/>
      <c r="BL1176" s="66"/>
      <c r="BM1176" s="66"/>
      <c r="BN1176" s="66"/>
      <c r="BO1176" s="66" t="str">
        <f>PROPER(TEXT(Prog_236[[#This Row],[PROGRAMAÇÃO CLIENTE]],"mmm"))</f>
        <v>Jan</v>
      </c>
      <c r="BP1176" s="66">
        <f>YEAR(Prog_236[[#This Row],[PROGRAMAÇÃO CLIENTE]])</f>
        <v>1900</v>
      </c>
    </row>
    <row r="1177" spans="1:68" x14ac:dyDescent="0.25">
      <c r="A1177" s="200">
        <f>Prog_236[[#This Row],[CONTEINER]]</f>
        <v>0</v>
      </c>
      <c r="B1177" s="86"/>
      <c r="C11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7" s="44"/>
      <c r="E1177" s="66"/>
      <c r="F1177" s="66"/>
      <c r="G1177" s="66"/>
      <c r="H1177" s="44"/>
      <c r="I1177" s="44"/>
      <c r="J1177" s="66"/>
      <c r="K1177" s="66"/>
      <c r="L1177" s="66"/>
      <c r="M1177" s="66"/>
      <c r="N1177" s="66">
        <f>SUM(Prog_236[[#This Row],[TARA]]+Prog_236[[#This Row],[PESO]])</f>
        <v>0</v>
      </c>
      <c r="O1177" s="44"/>
      <c r="P1177" s="66"/>
      <c r="Q1177" s="66"/>
      <c r="R1177" s="66"/>
      <c r="S1177" s="66"/>
      <c r="T1177" s="138" t="str">
        <f>IFERROR(LOOKUP($S1177,MOTORISTAS!$D$3:$D$1048576,MOTORISTAS!E$3:$E$1048576),"")</f>
        <v/>
      </c>
      <c r="U1177" s="138" t="str">
        <f>IFERROR(LOOKUP($S1177,MOTORISTAS!$D$3:$D$1048576,MOTORISTAS!F$3:$F$1048576),"")</f>
        <v/>
      </c>
      <c r="V1177" s="66"/>
      <c r="W1177" s="66"/>
      <c r="X1177" s="66"/>
      <c r="Y1177" s="66"/>
      <c r="Z1177" s="66"/>
      <c r="AA1177" s="66"/>
      <c r="AB1177" s="66"/>
      <c r="AC1177" s="66"/>
      <c r="AD1177" s="66"/>
      <c r="AE1177" s="66"/>
      <c r="AF1177" s="44"/>
      <c r="AG1177" s="254">
        <f>Prog_236[[#This Row],[SAÍDA DO CLIENTE]]-Prog_236[[#This Row],[PROGRAMAÇÃO CLIENTE]]</f>
        <v>0</v>
      </c>
      <c r="AH1177" s="44"/>
      <c r="AI1177" s="66"/>
      <c r="AJ1177" s="66"/>
      <c r="AK1177" s="66"/>
      <c r="AL1177" s="66"/>
      <c r="AM1177" s="66"/>
      <c r="AN1177" s="83"/>
      <c r="AO1177" s="66"/>
      <c r="AP1177" s="66"/>
      <c r="AQ1177" s="66"/>
      <c r="AR1177" s="81"/>
      <c r="AS1177" s="81"/>
      <c r="AT1177" s="81"/>
      <c r="AU1177" s="81"/>
      <c r="AV1177" s="83">
        <f>SUM(Prog_236[[#This Row],[ADIANTAMENTO]]+Prog_236[[#This Row],[SALDO]]+Prog_236[[#This Row],[MARGEM]]+Prog_236[[#This Row],[ESTADIA 1]])</f>
        <v>0</v>
      </c>
      <c r="AW11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7" s="81"/>
      <c r="AY1177" s="81"/>
      <c r="AZ1177" s="81">
        <f>Prog_236[[#This Row],[VLR NF]]*0.1%</f>
        <v>0</v>
      </c>
      <c r="BA1177" s="81">
        <f>Prog_236[[#This Row],[VLR NF]]*0.05%</f>
        <v>0</v>
      </c>
      <c r="BB1177" s="81"/>
      <c r="BC1177" s="81"/>
      <c r="BD1177" s="81"/>
      <c r="BE1177" s="81"/>
      <c r="BF1177" s="81"/>
      <c r="BG1177" s="81"/>
      <c r="BH1177" s="81"/>
      <c r="BI1177" s="81"/>
      <c r="BJ1177" s="81"/>
      <c r="BK1177" s="81"/>
      <c r="BL1177" s="66"/>
      <c r="BM1177" s="66"/>
      <c r="BN1177" s="66"/>
      <c r="BO1177" s="66" t="str">
        <f>PROPER(TEXT(Prog_236[[#This Row],[PROGRAMAÇÃO CLIENTE]],"mmm"))</f>
        <v>Jan</v>
      </c>
      <c r="BP1177" s="66">
        <f>YEAR(Prog_236[[#This Row],[PROGRAMAÇÃO CLIENTE]])</f>
        <v>1900</v>
      </c>
    </row>
    <row r="1178" spans="1:68" x14ac:dyDescent="0.25">
      <c r="A1178" s="201">
        <f>Prog_236[[#This Row],[CONTEINER]]</f>
        <v>0</v>
      </c>
      <c r="B1178" s="86"/>
      <c r="C11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8" s="44"/>
      <c r="E1178" s="66"/>
      <c r="F1178" s="66"/>
      <c r="G1178" s="66"/>
      <c r="H1178" s="44"/>
      <c r="I1178" s="44"/>
      <c r="J1178" s="66"/>
      <c r="K1178" s="66"/>
      <c r="L1178" s="66"/>
      <c r="M1178" s="66"/>
      <c r="N1178" s="66">
        <f>SUM(Prog_236[[#This Row],[TARA]]+Prog_236[[#This Row],[PESO]])</f>
        <v>0</v>
      </c>
      <c r="O1178" s="44"/>
      <c r="P1178" s="66"/>
      <c r="Q1178" s="66"/>
      <c r="R1178" s="66"/>
      <c r="S1178" s="66"/>
      <c r="T1178" s="138" t="str">
        <f>IFERROR(LOOKUP($S1178,MOTORISTAS!$D$3:$D$1048576,MOTORISTAS!E$3:$E$1048576),"")</f>
        <v/>
      </c>
      <c r="U1178" s="138" t="str">
        <f>IFERROR(LOOKUP($S1178,MOTORISTAS!$D$3:$D$1048576,MOTORISTAS!F$3:$F$1048576),"")</f>
        <v/>
      </c>
      <c r="V1178" s="66"/>
      <c r="W1178" s="66"/>
      <c r="X1178" s="66"/>
      <c r="Y1178" s="66"/>
      <c r="Z1178" s="66"/>
      <c r="AA1178" s="66"/>
      <c r="AB1178" s="66"/>
      <c r="AC1178" s="66"/>
      <c r="AD1178" s="66"/>
      <c r="AE1178" s="66"/>
      <c r="AF1178" s="44"/>
      <c r="AG1178" s="254">
        <f>Prog_236[[#This Row],[SAÍDA DO CLIENTE]]-Prog_236[[#This Row],[PROGRAMAÇÃO CLIENTE]]</f>
        <v>0</v>
      </c>
      <c r="AH1178" s="44"/>
      <c r="AI1178" s="66"/>
      <c r="AJ1178" s="66"/>
      <c r="AK1178" s="66"/>
      <c r="AL1178" s="66"/>
      <c r="AM1178" s="66"/>
      <c r="AN1178" s="83"/>
      <c r="AO1178" s="66"/>
      <c r="AP1178" s="66"/>
      <c r="AQ1178" s="66"/>
      <c r="AR1178" s="81"/>
      <c r="AS1178" s="81"/>
      <c r="AT1178" s="81"/>
      <c r="AU1178" s="81"/>
      <c r="AV1178" s="83">
        <f>SUM(Prog_236[[#This Row],[ADIANTAMENTO]]+Prog_236[[#This Row],[SALDO]]+Prog_236[[#This Row],[MARGEM]]+Prog_236[[#This Row],[ESTADIA 1]])</f>
        <v>0</v>
      </c>
      <c r="AW11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8" s="81"/>
      <c r="AY1178" s="81"/>
      <c r="AZ1178" s="81">
        <f>Prog_236[[#This Row],[VLR NF]]*0.1%</f>
        <v>0</v>
      </c>
      <c r="BA1178" s="81">
        <f>Prog_236[[#This Row],[VLR NF]]*0.05%</f>
        <v>0</v>
      </c>
      <c r="BB1178" s="81"/>
      <c r="BC1178" s="81"/>
      <c r="BD1178" s="81"/>
      <c r="BE1178" s="81"/>
      <c r="BF1178" s="81"/>
      <c r="BG1178" s="81"/>
      <c r="BH1178" s="81"/>
      <c r="BI1178" s="81"/>
      <c r="BJ1178" s="81"/>
      <c r="BK1178" s="81"/>
      <c r="BL1178" s="66"/>
      <c r="BM1178" s="66"/>
      <c r="BN1178" s="66"/>
      <c r="BO1178" s="66" t="str">
        <f>PROPER(TEXT(Prog_236[[#This Row],[PROGRAMAÇÃO CLIENTE]],"mmm"))</f>
        <v>Jan</v>
      </c>
      <c r="BP1178" s="66">
        <f>YEAR(Prog_236[[#This Row],[PROGRAMAÇÃO CLIENTE]])</f>
        <v>1900</v>
      </c>
    </row>
    <row r="1179" spans="1:68" x14ac:dyDescent="0.25">
      <c r="A1179" s="200">
        <f>Prog_236[[#This Row],[CONTEINER]]</f>
        <v>0</v>
      </c>
      <c r="B1179" s="86"/>
      <c r="C11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79" s="44"/>
      <c r="E1179" s="66"/>
      <c r="F1179" s="66"/>
      <c r="G1179" s="66"/>
      <c r="H1179" s="44"/>
      <c r="I1179" s="44"/>
      <c r="J1179" s="66"/>
      <c r="K1179" s="66"/>
      <c r="L1179" s="66"/>
      <c r="M1179" s="66"/>
      <c r="N1179" s="66">
        <f>SUM(Prog_236[[#This Row],[TARA]]+Prog_236[[#This Row],[PESO]])</f>
        <v>0</v>
      </c>
      <c r="O1179" s="44"/>
      <c r="P1179" s="66"/>
      <c r="Q1179" s="66"/>
      <c r="R1179" s="66"/>
      <c r="S1179" s="66"/>
      <c r="T1179" s="138" t="str">
        <f>IFERROR(LOOKUP($S1179,MOTORISTAS!$D$3:$D$1048576,MOTORISTAS!E$3:$E$1048576),"")</f>
        <v/>
      </c>
      <c r="U1179" s="138" t="str">
        <f>IFERROR(LOOKUP($S1179,MOTORISTAS!$D$3:$D$1048576,MOTORISTAS!F$3:$F$1048576),"")</f>
        <v/>
      </c>
      <c r="V1179" s="66"/>
      <c r="W1179" s="66"/>
      <c r="X1179" s="66"/>
      <c r="Y1179" s="66"/>
      <c r="Z1179" s="66"/>
      <c r="AA1179" s="66"/>
      <c r="AB1179" s="66"/>
      <c r="AC1179" s="66"/>
      <c r="AD1179" s="66"/>
      <c r="AE1179" s="66"/>
      <c r="AF1179" s="44"/>
      <c r="AG1179" s="254">
        <f>Prog_236[[#This Row],[SAÍDA DO CLIENTE]]-Prog_236[[#This Row],[PROGRAMAÇÃO CLIENTE]]</f>
        <v>0</v>
      </c>
      <c r="AH1179" s="44"/>
      <c r="AI1179" s="66"/>
      <c r="AJ1179" s="66"/>
      <c r="AK1179" s="66"/>
      <c r="AL1179" s="66"/>
      <c r="AM1179" s="66"/>
      <c r="AN1179" s="83"/>
      <c r="AO1179" s="66"/>
      <c r="AP1179" s="66"/>
      <c r="AQ1179" s="66"/>
      <c r="AR1179" s="81"/>
      <c r="AS1179" s="81"/>
      <c r="AT1179" s="81"/>
      <c r="AU1179" s="81"/>
      <c r="AV1179" s="83">
        <f>SUM(Prog_236[[#This Row],[ADIANTAMENTO]]+Prog_236[[#This Row],[SALDO]]+Prog_236[[#This Row],[MARGEM]]+Prog_236[[#This Row],[ESTADIA 1]])</f>
        <v>0</v>
      </c>
      <c r="AW11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79" s="81"/>
      <c r="AY1179" s="81"/>
      <c r="AZ1179" s="81">
        <f>Prog_236[[#This Row],[VLR NF]]*0.1%</f>
        <v>0</v>
      </c>
      <c r="BA1179" s="81">
        <f>Prog_236[[#This Row],[VLR NF]]*0.05%</f>
        <v>0</v>
      </c>
      <c r="BB1179" s="81"/>
      <c r="BC1179" s="81"/>
      <c r="BD1179" s="81"/>
      <c r="BE1179" s="81"/>
      <c r="BF1179" s="81"/>
      <c r="BG1179" s="81"/>
      <c r="BH1179" s="81"/>
      <c r="BI1179" s="81"/>
      <c r="BJ1179" s="81"/>
      <c r="BK1179" s="81"/>
      <c r="BL1179" s="66"/>
      <c r="BM1179" s="66"/>
      <c r="BN1179" s="66"/>
      <c r="BO1179" s="66" t="str">
        <f>PROPER(TEXT(Prog_236[[#This Row],[PROGRAMAÇÃO CLIENTE]],"mmm"))</f>
        <v>Jan</v>
      </c>
      <c r="BP1179" s="66">
        <f>YEAR(Prog_236[[#This Row],[PROGRAMAÇÃO CLIENTE]])</f>
        <v>1900</v>
      </c>
    </row>
    <row r="1180" spans="1:68" x14ac:dyDescent="0.25">
      <c r="A1180" s="201">
        <f>Prog_236[[#This Row],[CONTEINER]]</f>
        <v>0</v>
      </c>
      <c r="B1180" s="86"/>
      <c r="C11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0" s="44"/>
      <c r="E1180" s="66"/>
      <c r="F1180" s="66"/>
      <c r="G1180" s="66"/>
      <c r="H1180" s="44"/>
      <c r="I1180" s="44"/>
      <c r="J1180" s="66"/>
      <c r="K1180" s="66"/>
      <c r="L1180" s="66"/>
      <c r="M1180" s="66"/>
      <c r="N1180" s="66">
        <f>SUM(Prog_236[[#This Row],[TARA]]+Prog_236[[#This Row],[PESO]])</f>
        <v>0</v>
      </c>
      <c r="O1180" s="44"/>
      <c r="P1180" s="66"/>
      <c r="Q1180" s="66"/>
      <c r="R1180" s="66"/>
      <c r="S1180" s="66"/>
      <c r="T1180" s="138" t="str">
        <f>IFERROR(LOOKUP($S1180,MOTORISTAS!$D$3:$D$1048576,MOTORISTAS!E$3:$E$1048576),"")</f>
        <v/>
      </c>
      <c r="U1180" s="138" t="str">
        <f>IFERROR(LOOKUP($S1180,MOTORISTAS!$D$3:$D$1048576,MOTORISTAS!F$3:$F$1048576),"")</f>
        <v/>
      </c>
      <c r="V1180" s="66"/>
      <c r="W1180" s="66"/>
      <c r="X1180" s="66"/>
      <c r="Y1180" s="66"/>
      <c r="Z1180" s="66"/>
      <c r="AA1180" s="66"/>
      <c r="AB1180" s="66"/>
      <c r="AC1180" s="66"/>
      <c r="AD1180" s="66"/>
      <c r="AE1180" s="66"/>
      <c r="AF1180" s="44"/>
      <c r="AG1180" s="254">
        <f>Prog_236[[#This Row],[SAÍDA DO CLIENTE]]-Prog_236[[#This Row],[PROGRAMAÇÃO CLIENTE]]</f>
        <v>0</v>
      </c>
      <c r="AH1180" s="44"/>
      <c r="AI1180" s="66"/>
      <c r="AJ1180" s="66"/>
      <c r="AK1180" s="66"/>
      <c r="AL1180" s="66"/>
      <c r="AM1180" s="66"/>
      <c r="AN1180" s="83"/>
      <c r="AO1180" s="66"/>
      <c r="AP1180" s="66"/>
      <c r="AQ1180" s="66"/>
      <c r="AR1180" s="81"/>
      <c r="AS1180" s="81"/>
      <c r="AT1180" s="81"/>
      <c r="AU1180" s="81"/>
      <c r="AV1180" s="83">
        <f>SUM(Prog_236[[#This Row],[ADIANTAMENTO]]+Prog_236[[#This Row],[SALDO]]+Prog_236[[#This Row],[MARGEM]]+Prog_236[[#This Row],[ESTADIA 1]])</f>
        <v>0</v>
      </c>
      <c r="AW11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0" s="81"/>
      <c r="AY1180" s="81"/>
      <c r="AZ1180" s="81">
        <f>Prog_236[[#This Row],[VLR NF]]*0.1%</f>
        <v>0</v>
      </c>
      <c r="BA1180" s="81">
        <f>Prog_236[[#This Row],[VLR NF]]*0.05%</f>
        <v>0</v>
      </c>
      <c r="BB1180" s="81"/>
      <c r="BC1180" s="81"/>
      <c r="BD1180" s="81"/>
      <c r="BE1180" s="81"/>
      <c r="BF1180" s="81"/>
      <c r="BG1180" s="81"/>
      <c r="BH1180" s="81"/>
      <c r="BI1180" s="81"/>
      <c r="BJ1180" s="81"/>
      <c r="BK1180" s="81"/>
      <c r="BL1180" s="66"/>
      <c r="BM1180" s="66"/>
      <c r="BN1180" s="66"/>
      <c r="BO1180" s="66" t="str">
        <f>PROPER(TEXT(Prog_236[[#This Row],[PROGRAMAÇÃO CLIENTE]],"mmm"))</f>
        <v>Jan</v>
      </c>
      <c r="BP1180" s="66">
        <f>YEAR(Prog_236[[#This Row],[PROGRAMAÇÃO CLIENTE]])</f>
        <v>1900</v>
      </c>
    </row>
    <row r="1181" spans="1:68" x14ac:dyDescent="0.25">
      <c r="A1181" s="200">
        <f>Prog_236[[#This Row],[CONTEINER]]</f>
        <v>0</v>
      </c>
      <c r="B1181" s="86"/>
      <c r="C11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1" s="44"/>
      <c r="E1181" s="66"/>
      <c r="F1181" s="66"/>
      <c r="G1181" s="66"/>
      <c r="H1181" s="44"/>
      <c r="I1181" s="44"/>
      <c r="J1181" s="66"/>
      <c r="K1181" s="66"/>
      <c r="L1181" s="66"/>
      <c r="M1181" s="66"/>
      <c r="N1181" s="66">
        <f>SUM(Prog_236[[#This Row],[TARA]]+Prog_236[[#This Row],[PESO]])</f>
        <v>0</v>
      </c>
      <c r="O1181" s="44"/>
      <c r="P1181" s="66"/>
      <c r="Q1181" s="66"/>
      <c r="R1181" s="66"/>
      <c r="S1181" s="66"/>
      <c r="T1181" s="138" t="str">
        <f>IFERROR(LOOKUP($S1181,MOTORISTAS!$D$3:$D$1048576,MOTORISTAS!E$3:$E$1048576),"")</f>
        <v/>
      </c>
      <c r="U1181" s="138" t="str">
        <f>IFERROR(LOOKUP($S1181,MOTORISTAS!$D$3:$D$1048576,MOTORISTAS!F$3:$F$1048576),"")</f>
        <v/>
      </c>
      <c r="V1181" s="66"/>
      <c r="W1181" s="66"/>
      <c r="X1181" s="66"/>
      <c r="Y1181" s="66"/>
      <c r="Z1181" s="66"/>
      <c r="AA1181" s="66"/>
      <c r="AB1181" s="66"/>
      <c r="AC1181" s="66"/>
      <c r="AD1181" s="66"/>
      <c r="AE1181" s="66"/>
      <c r="AF1181" s="44"/>
      <c r="AG1181" s="254">
        <f>Prog_236[[#This Row],[SAÍDA DO CLIENTE]]-Prog_236[[#This Row],[PROGRAMAÇÃO CLIENTE]]</f>
        <v>0</v>
      </c>
      <c r="AH1181" s="44"/>
      <c r="AI1181" s="66"/>
      <c r="AJ1181" s="66"/>
      <c r="AK1181" s="66"/>
      <c r="AL1181" s="66"/>
      <c r="AM1181" s="66"/>
      <c r="AN1181" s="83"/>
      <c r="AO1181" s="66"/>
      <c r="AP1181" s="66"/>
      <c r="AQ1181" s="66"/>
      <c r="AR1181" s="81"/>
      <c r="AS1181" s="81"/>
      <c r="AT1181" s="81"/>
      <c r="AU1181" s="81"/>
      <c r="AV1181" s="83">
        <f>SUM(Prog_236[[#This Row],[ADIANTAMENTO]]+Prog_236[[#This Row],[SALDO]]+Prog_236[[#This Row],[MARGEM]]+Prog_236[[#This Row],[ESTADIA 1]])</f>
        <v>0</v>
      </c>
      <c r="AW11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1" s="81"/>
      <c r="AY1181" s="81"/>
      <c r="AZ1181" s="81">
        <f>Prog_236[[#This Row],[VLR NF]]*0.1%</f>
        <v>0</v>
      </c>
      <c r="BA1181" s="81">
        <f>Prog_236[[#This Row],[VLR NF]]*0.05%</f>
        <v>0</v>
      </c>
      <c r="BB1181" s="81"/>
      <c r="BC1181" s="81"/>
      <c r="BD1181" s="81"/>
      <c r="BE1181" s="81"/>
      <c r="BF1181" s="81"/>
      <c r="BG1181" s="81"/>
      <c r="BH1181" s="81"/>
      <c r="BI1181" s="81"/>
      <c r="BJ1181" s="81"/>
      <c r="BK1181" s="81"/>
      <c r="BL1181" s="66"/>
      <c r="BM1181" s="66"/>
      <c r="BN1181" s="66"/>
      <c r="BO1181" s="66" t="str">
        <f>PROPER(TEXT(Prog_236[[#This Row],[PROGRAMAÇÃO CLIENTE]],"mmm"))</f>
        <v>Jan</v>
      </c>
      <c r="BP1181" s="66">
        <f>YEAR(Prog_236[[#This Row],[PROGRAMAÇÃO CLIENTE]])</f>
        <v>1900</v>
      </c>
    </row>
    <row r="1182" spans="1:68" x14ac:dyDescent="0.25">
      <c r="A1182" s="201">
        <f>Prog_236[[#This Row],[CONTEINER]]</f>
        <v>0</v>
      </c>
      <c r="B1182" s="86"/>
      <c r="C11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2" s="44"/>
      <c r="E1182" s="66"/>
      <c r="F1182" s="66"/>
      <c r="G1182" s="66"/>
      <c r="H1182" s="44"/>
      <c r="I1182" s="44"/>
      <c r="J1182" s="66"/>
      <c r="K1182" s="66"/>
      <c r="L1182" s="66"/>
      <c r="M1182" s="66"/>
      <c r="N1182" s="66">
        <f>SUM(Prog_236[[#This Row],[TARA]]+Prog_236[[#This Row],[PESO]])</f>
        <v>0</v>
      </c>
      <c r="O1182" s="44"/>
      <c r="P1182" s="66"/>
      <c r="Q1182" s="66"/>
      <c r="R1182" s="66"/>
      <c r="S1182" s="66"/>
      <c r="T1182" s="138" t="str">
        <f>IFERROR(LOOKUP($S1182,MOTORISTAS!$D$3:$D$1048576,MOTORISTAS!E$3:$E$1048576),"")</f>
        <v/>
      </c>
      <c r="U1182" s="138" t="str">
        <f>IFERROR(LOOKUP($S1182,MOTORISTAS!$D$3:$D$1048576,MOTORISTAS!F$3:$F$1048576),"")</f>
        <v/>
      </c>
      <c r="V1182" s="66"/>
      <c r="W1182" s="66"/>
      <c r="X1182" s="66"/>
      <c r="Y1182" s="66"/>
      <c r="Z1182" s="66"/>
      <c r="AA1182" s="66"/>
      <c r="AB1182" s="66"/>
      <c r="AC1182" s="66"/>
      <c r="AD1182" s="66"/>
      <c r="AE1182" s="66"/>
      <c r="AF1182" s="44"/>
      <c r="AG1182" s="254">
        <f>Prog_236[[#This Row],[SAÍDA DO CLIENTE]]-Prog_236[[#This Row],[PROGRAMAÇÃO CLIENTE]]</f>
        <v>0</v>
      </c>
      <c r="AH1182" s="44"/>
      <c r="AI1182" s="66"/>
      <c r="AJ1182" s="66"/>
      <c r="AK1182" s="66"/>
      <c r="AL1182" s="66"/>
      <c r="AM1182" s="66"/>
      <c r="AN1182" s="83"/>
      <c r="AO1182" s="66"/>
      <c r="AP1182" s="66"/>
      <c r="AQ1182" s="66"/>
      <c r="AR1182" s="81"/>
      <c r="AS1182" s="81"/>
      <c r="AT1182" s="81"/>
      <c r="AU1182" s="81"/>
      <c r="AV1182" s="83">
        <f>SUM(Prog_236[[#This Row],[ADIANTAMENTO]]+Prog_236[[#This Row],[SALDO]]+Prog_236[[#This Row],[MARGEM]]+Prog_236[[#This Row],[ESTADIA 1]])</f>
        <v>0</v>
      </c>
      <c r="AW11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2" s="81"/>
      <c r="AY1182" s="81"/>
      <c r="AZ1182" s="81">
        <f>Prog_236[[#This Row],[VLR NF]]*0.1%</f>
        <v>0</v>
      </c>
      <c r="BA1182" s="81">
        <f>Prog_236[[#This Row],[VLR NF]]*0.05%</f>
        <v>0</v>
      </c>
      <c r="BB1182" s="81"/>
      <c r="BC1182" s="81"/>
      <c r="BD1182" s="81"/>
      <c r="BE1182" s="81"/>
      <c r="BF1182" s="81"/>
      <c r="BG1182" s="81"/>
      <c r="BH1182" s="81"/>
      <c r="BI1182" s="81"/>
      <c r="BJ1182" s="81"/>
      <c r="BK1182" s="81"/>
      <c r="BL1182" s="66"/>
      <c r="BM1182" s="66"/>
      <c r="BN1182" s="66"/>
      <c r="BO1182" s="66" t="str">
        <f>PROPER(TEXT(Prog_236[[#This Row],[PROGRAMAÇÃO CLIENTE]],"mmm"))</f>
        <v>Jan</v>
      </c>
      <c r="BP1182" s="66">
        <f>YEAR(Prog_236[[#This Row],[PROGRAMAÇÃO CLIENTE]])</f>
        <v>1900</v>
      </c>
    </row>
    <row r="1183" spans="1:68" x14ac:dyDescent="0.25">
      <c r="A1183" s="200">
        <f>Prog_236[[#This Row],[CONTEINER]]</f>
        <v>0</v>
      </c>
      <c r="B1183" s="86"/>
      <c r="C11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3" s="44"/>
      <c r="E1183" s="66"/>
      <c r="F1183" s="66"/>
      <c r="G1183" s="66"/>
      <c r="H1183" s="44"/>
      <c r="I1183" s="44"/>
      <c r="J1183" s="66"/>
      <c r="K1183" s="66"/>
      <c r="L1183" s="66"/>
      <c r="M1183" s="66"/>
      <c r="N1183" s="66">
        <f>SUM(Prog_236[[#This Row],[TARA]]+Prog_236[[#This Row],[PESO]])</f>
        <v>0</v>
      </c>
      <c r="O1183" s="44"/>
      <c r="P1183" s="66"/>
      <c r="Q1183" s="66"/>
      <c r="R1183" s="66"/>
      <c r="S1183" s="66"/>
      <c r="T1183" s="138" t="str">
        <f>IFERROR(LOOKUP($S1183,MOTORISTAS!$D$3:$D$1048576,MOTORISTAS!E$3:$E$1048576),"")</f>
        <v/>
      </c>
      <c r="U1183" s="138" t="str">
        <f>IFERROR(LOOKUP($S1183,MOTORISTAS!$D$3:$D$1048576,MOTORISTAS!F$3:$F$1048576),"")</f>
        <v/>
      </c>
      <c r="V1183" s="66"/>
      <c r="W1183" s="66"/>
      <c r="X1183" s="66"/>
      <c r="Y1183" s="66"/>
      <c r="Z1183" s="66"/>
      <c r="AA1183" s="66"/>
      <c r="AB1183" s="66"/>
      <c r="AC1183" s="66"/>
      <c r="AD1183" s="66"/>
      <c r="AE1183" s="66"/>
      <c r="AF1183" s="44"/>
      <c r="AG1183" s="254">
        <f>Prog_236[[#This Row],[SAÍDA DO CLIENTE]]-Prog_236[[#This Row],[PROGRAMAÇÃO CLIENTE]]</f>
        <v>0</v>
      </c>
      <c r="AH1183" s="44"/>
      <c r="AI1183" s="66"/>
      <c r="AJ1183" s="66"/>
      <c r="AK1183" s="66"/>
      <c r="AL1183" s="66"/>
      <c r="AM1183" s="66"/>
      <c r="AN1183" s="83"/>
      <c r="AO1183" s="66"/>
      <c r="AP1183" s="66"/>
      <c r="AQ1183" s="66"/>
      <c r="AR1183" s="81"/>
      <c r="AS1183" s="81"/>
      <c r="AT1183" s="81"/>
      <c r="AU1183" s="81"/>
      <c r="AV1183" s="83">
        <f>SUM(Prog_236[[#This Row],[ADIANTAMENTO]]+Prog_236[[#This Row],[SALDO]]+Prog_236[[#This Row],[MARGEM]]+Prog_236[[#This Row],[ESTADIA 1]])</f>
        <v>0</v>
      </c>
      <c r="AW11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3" s="81"/>
      <c r="AY1183" s="81"/>
      <c r="AZ1183" s="81">
        <f>Prog_236[[#This Row],[VLR NF]]*0.1%</f>
        <v>0</v>
      </c>
      <c r="BA1183" s="81">
        <f>Prog_236[[#This Row],[VLR NF]]*0.05%</f>
        <v>0</v>
      </c>
      <c r="BB1183" s="81"/>
      <c r="BC1183" s="81"/>
      <c r="BD1183" s="81"/>
      <c r="BE1183" s="81"/>
      <c r="BF1183" s="81"/>
      <c r="BG1183" s="81"/>
      <c r="BH1183" s="81"/>
      <c r="BI1183" s="81"/>
      <c r="BJ1183" s="81"/>
      <c r="BK1183" s="81"/>
      <c r="BL1183" s="66"/>
      <c r="BM1183" s="66"/>
      <c r="BN1183" s="66"/>
      <c r="BO1183" s="66" t="str">
        <f>PROPER(TEXT(Prog_236[[#This Row],[PROGRAMAÇÃO CLIENTE]],"mmm"))</f>
        <v>Jan</v>
      </c>
      <c r="BP1183" s="66">
        <f>YEAR(Prog_236[[#This Row],[PROGRAMAÇÃO CLIENTE]])</f>
        <v>1900</v>
      </c>
    </row>
    <row r="1184" spans="1:68" x14ac:dyDescent="0.25">
      <c r="A1184" s="201">
        <f>Prog_236[[#This Row],[CONTEINER]]</f>
        <v>0</v>
      </c>
      <c r="B1184" s="86"/>
      <c r="C11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4" s="44"/>
      <c r="E1184" s="66"/>
      <c r="F1184" s="66"/>
      <c r="G1184" s="66"/>
      <c r="H1184" s="44"/>
      <c r="I1184" s="44"/>
      <c r="J1184" s="66"/>
      <c r="K1184" s="66"/>
      <c r="L1184" s="66"/>
      <c r="M1184" s="66"/>
      <c r="N1184" s="66">
        <f>SUM(Prog_236[[#This Row],[TARA]]+Prog_236[[#This Row],[PESO]])</f>
        <v>0</v>
      </c>
      <c r="O1184" s="44"/>
      <c r="P1184" s="66"/>
      <c r="Q1184" s="66"/>
      <c r="R1184" s="66"/>
      <c r="S1184" s="66"/>
      <c r="T1184" s="138" t="str">
        <f>IFERROR(LOOKUP($S1184,MOTORISTAS!$D$3:$D$1048576,MOTORISTAS!E$3:$E$1048576),"")</f>
        <v/>
      </c>
      <c r="U1184" s="138" t="str">
        <f>IFERROR(LOOKUP($S1184,MOTORISTAS!$D$3:$D$1048576,MOTORISTAS!F$3:$F$1048576),"")</f>
        <v/>
      </c>
      <c r="V1184" s="66"/>
      <c r="W1184" s="66"/>
      <c r="X1184" s="66"/>
      <c r="Y1184" s="66"/>
      <c r="Z1184" s="66"/>
      <c r="AA1184" s="66"/>
      <c r="AB1184" s="66"/>
      <c r="AC1184" s="66"/>
      <c r="AD1184" s="66"/>
      <c r="AE1184" s="66"/>
      <c r="AF1184" s="44"/>
      <c r="AG1184" s="254">
        <f>Prog_236[[#This Row],[SAÍDA DO CLIENTE]]-Prog_236[[#This Row],[PROGRAMAÇÃO CLIENTE]]</f>
        <v>0</v>
      </c>
      <c r="AH1184" s="44"/>
      <c r="AI1184" s="66"/>
      <c r="AJ1184" s="66"/>
      <c r="AK1184" s="66"/>
      <c r="AL1184" s="66"/>
      <c r="AM1184" s="66"/>
      <c r="AN1184" s="83"/>
      <c r="AO1184" s="66"/>
      <c r="AP1184" s="66"/>
      <c r="AQ1184" s="66"/>
      <c r="AR1184" s="81"/>
      <c r="AS1184" s="81"/>
      <c r="AT1184" s="81"/>
      <c r="AU1184" s="81"/>
      <c r="AV1184" s="83">
        <f>SUM(Prog_236[[#This Row],[ADIANTAMENTO]]+Prog_236[[#This Row],[SALDO]]+Prog_236[[#This Row],[MARGEM]]+Prog_236[[#This Row],[ESTADIA 1]])</f>
        <v>0</v>
      </c>
      <c r="AW11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4" s="81"/>
      <c r="AY1184" s="81"/>
      <c r="AZ1184" s="81">
        <f>Prog_236[[#This Row],[VLR NF]]*0.1%</f>
        <v>0</v>
      </c>
      <c r="BA1184" s="81">
        <f>Prog_236[[#This Row],[VLR NF]]*0.05%</f>
        <v>0</v>
      </c>
      <c r="BB1184" s="81"/>
      <c r="BC1184" s="81"/>
      <c r="BD1184" s="81"/>
      <c r="BE1184" s="81"/>
      <c r="BF1184" s="81"/>
      <c r="BG1184" s="81"/>
      <c r="BH1184" s="81"/>
      <c r="BI1184" s="81"/>
      <c r="BJ1184" s="81"/>
      <c r="BK1184" s="81"/>
      <c r="BL1184" s="66"/>
      <c r="BM1184" s="66"/>
      <c r="BN1184" s="66"/>
      <c r="BO1184" s="66" t="str">
        <f>PROPER(TEXT(Prog_236[[#This Row],[PROGRAMAÇÃO CLIENTE]],"mmm"))</f>
        <v>Jan</v>
      </c>
      <c r="BP1184" s="66">
        <f>YEAR(Prog_236[[#This Row],[PROGRAMAÇÃO CLIENTE]])</f>
        <v>1900</v>
      </c>
    </row>
    <row r="1185" spans="1:68" x14ac:dyDescent="0.25">
      <c r="A1185" s="200">
        <f>Prog_236[[#This Row],[CONTEINER]]</f>
        <v>0</v>
      </c>
      <c r="B1185" s="86"/>
      <c r="C11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5" s="44"/>
      <c r="E1185" s="66"/>
      <c r="F1185" s="66"/>
      <c r="G1185" s="66"/>
      <c r="H1185" s="44"/>
      <c r="I1185" s="44"/>
      <c r="J1185" s="66"/>
      <c r="K1185" s="66"/>
      <c r="L1185" s="66"/>
      <c r="M1185" s="66"/>
      <c r="N1185" s="66">
        <f>SUM(Prog_236[[#This Row],[TARA]]+Prog_236[[#This Row],[PESO]])</f>
        <v>0</v>
      </c>
      <c r="O1185" s="44"/>
      <c r="P1185" s="66"/>
      <c r="Q1185" s="66"/>
      <c r="R1185" s="66"/>
      <c r="S1185" s="66"/>
      <c r="T1185" s="138" t="str">
        <f>IFERROR(LOOKUP($S1185,MOTORISTAS!$D$3:$D$1048576,MOTORISTAS!E$3:$E$1048576),"")</f>
        <v/>
      </c>
      <c r="U1185" s="138" t="str">
        <f>IFERROR(LOOKUP($S1185,MOTORISTAS!$D$3:$D$1048576,MOTORISTAS!F$3:$F$1048576),"")</f>
        <v/>
      </c>
      <c r="V1185" s="66"/>
      <c r="W1185" s="66"/>
      <c r="X1185" s="66"/>
      <c r="Y1185" s="66"/>
      <c r="Z1185" s="66"/>
      <c r="AA1185" s="66"/>
      <c r="AB1185" s="66"/>
      <c r="AC1185" s="66"/>
      <c r="AD1185" s="66"/>
      <c r="AE1185" s="66"/>
      <c r="AF1185" s="44"/>
      <c r="AG1185" s="254">
        <f>Prog_236[[#This Row],[SAÍDA DO CLIENTE]]-Prog_236[[#This Row],[PROGRAMAÇÃO CLIENTE]]</f>
        <v>0</v>
      </c>
      <c r="AH1185" s="44"/>
      <c r="AI1185" s="66"/>
      <c r="AJ1185" s="66"/>
      <c r="AK1185" s="66"/>
      <c r="AL1185" s="66"/>
      <c r="AM1185" s="66"/>
      <c r="AN1185" s="83"/>
      <c r="AO1185" s="66"/>
      <c r="AP1185" s="66"/>
      <c r="AQ1185" s="66"/>
      <c r="AR1185" s="81"/>
      <c r="AS1185" s="81"/>
      <c r="AT1185" s="81"/>
      <c r="AU1185" s="81"/>
      <c r="AV1185" s="83">
        <f>SUM(Prog_236[[#This Row],[ADIANTAMENTO]]+Prog_236[[#This Row],[SALDO]]+Prog_236[[#This Row],[MARGEM]]+Prog_236[[#This Row],[ESTADIA 1]])</f>
        <v>0</v>
      </c>
      <c r="AW11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5" s="81"/>
      <c r="AY1185" s="81"/>
      <c r="AZ1185" s="81">
        <f>Prog_236[[#This Row],[VLR NF]]*0.1%</f>
        <v>0</v>
      </c>
      <c r="BA1185" s="81">
        <f>Prog_236[[#This Row],[VLR NF]]*0.05%</f>
        <v>0</v>
      </c>
      <c r="BB1185" s="81"/>
      <c r="BC1185" s="81"/>
      <c r="BD1185" s="81"/>
      <c r="BE1185" s="81"/>
      <c r="BF1185" s="81"/>
      <c r="BG1185" s="81"/>
      <c r="BH1185" s="81"/>
      <c r="BI1185" s="81"/>
      <c r="BJ1185" s="81"/>
      <c r="BK1185" s="81"/>
      <c r="BL1185" s="66"/>
      <c r="BM1185" s="66"/>
      <c r="BN1185" s="66"/>
      <c r="BO1185" s="66" t="str">
        <f>PROPER(TEXT(Prog_236[[#This Row],[PROGRAMAÇÃO CLIENTE]],"mmm"))</f>
        <v>Jan</v>
      </c>
      <c r="BP1185" s="66">
        <f>YEAR(Prog_236[[#This Row],[PROGRAMAÇÃO CLIENTE]])</f>
        <v>1900</v>
      </c>
    </row>
    <row r="1186" spans="1:68" x14ac:dyDescent="0.25">
      <c r="A1186" s="201">
        <f>Prog_236[[#This Row],[CONTEINER]]</f>
        <v>0</v>
      </c>
      <c r="B1186" s="86"/>
      <c r="C11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6" s="44"/>
      <c r="E1186" s="66"/>
      <c r="F1186" s="66"/>
      <c r="G1186" s="66"/>
      <c r="H1186" s="44"/>
      <c r="I1186" s="44"/>
      <c r="J1186" s="66"/>
      <c r="K1186" s="66"/>
      <c r="L1186" s="66"/>
      <c r="M1186" s="66"/>
      <c r="N1186" s="66">
        <f>SUM(Prog_236[[#This Row],[TARA]]+Prog_236[[#This Row],[PESO]])</f>
        <v>0</v>
      </c>
      <c r="O1186" s="44"/>
      <c r="P1186" s="66"/>
      <c r="Q1186" s="66"/>
      <c r="R1186" s="66"/>
      <c r="S1186" s="66"/>
      <c r="T1186" s="138" t="str">
        <f>IFERROR(LOOKUP($S1186,MOTORISTAS!$D$3:$D$1048576,MOTORISTAS!E$3:$E$1048576),"")</f>
        <v/>
      </c>
      <c r="U1186" s="138" t="str">
        <f>IFERROR(LOOKUP($S1186,MOTORISTAS!$D$3:$D$1048576,MOTORISTAS!F$3:$F$1048576),"")</f>
        <v/>
      </c>
      <c r="V1186" s="66"/>
      <c r="W1186" s="66"/>
      <c r="X1186" s="66"/>
      <c r="Y1186" s="66"/>
      <c r="Z1186" s="66"/>
      <c r="AA1186" s="66"/>
      <c r="AB1186" s="66"/>
      <c r="AC1186" s="66"/>
      <c r="AD1186" s="66"/>
      <c r="AE1186" s="66"/>
      <c r="AF1186" s="44"/>
      <c r="AG1186" s="254">
        <f>Prog_236[[#This Row],[SAÍDA DO CLIENTE]]-Prog_236[[#This Row],[PROGRAMAÇÃO CLIENTE]]</f>
        <v>0</v>
      </c>
      <c r="AH1186" s="44"/>
      <c r="AI1186" s="66"/>
      <c r="AJ1186" s="66"/>
      <c r="AK1186" s="66"/>
      <c r="AL1186" s="66"/>
      <c r="AM1186" s="66"/>
      <c r="AN1186" s="83"/>
      <c r="AO1186" s="66"/>
      <c r="AP1186" s="66"/>
      <c r="AQ1186" s="66"/>
      <c r="AR1186" s="81"/>
      <c r="AS1186" s="81"/>
      <c r="AT1186" s="81"/>
      <c r="AU1186" s="81"/>
      <c r="AV1186" s="83">
        <f>SUM(Prog_236[[#This Row],[ADIANTAMENTO]]+Prog_236[[#This Row],[SALDO]]+Prog_236[[#This Row],[MARGEM]]+Prog_236[[#This Row],[ESTADIA 1]])</f>
        <v>0</v>
      </c>
      <c r="AW11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6" s="81"/>
      <c r="AY1186" s="81"/>
      <c r="AZ1186" s="81">
        <f>Prog_236[[#This Row],[VLR NF]]*0.1%</f>
        <v>0</v>
      </c>
      <c r="BA1186" s="81">
        <f>Prog_236[[#This Row],[VLR NF]]*0.05%</f>
        <v>0</v>
      </c>
      <c r="BB1186" s="81"/>
      <c r="BC1186" s="81"/>
      <c r="BD1186" s="81"/>
      <c r="BE1186" s="81"/>
      <c r="BF1186" s="81"/>
      <c r="BG1186" s="81"/>
      <c r="BH1186" s="81"/>
      <c r="BI1186" s="81"/>
      <c r="BJ1186" s="81"/>
      <c r="BK1186" s="81"/>
      <c r="BL1186" s="66"/>
      <c r="BM1186" s="66"/>
      <c r="BN1186" s="66"/>
      <c r="BO1186" s="66" t="str">
        <f>PROPER(TEXT(Prog_236[[#This Row],[PROGRAMAÇÃO CLIENTE]],"mmm"))</f>
        <v>Jan</v>
      </c>
      <c r="BP1186" s="66">
        <f>YEAR(Prog_236[[#This Row],[PROGRAMAÇÃO CLIENTE]])</f>
        <v>1900</v>
      </c>
    </row>
    <row r="1187" spans="1:68" x14ac:dyDescent="0.25">
      <c r="A1187" s="200">
        <f>Prog_236[[#This Row],[CONTEINER]]</f>
        <v>0</v>
      </c>
      <c r="B1187" s="86"/>
      <c r="C11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7" s="44"/>
      <c r="E1187" s="66"/>
      <c r="F1187" s="66"/>
      <c r="G1187" s="66"/>
      <c r="H1187" s="44"/>
      <c r="I1187" s="44"/>
      <c r="J1187" s="66"/>
      <c r="K1187" s="66"/>
      <c r="L1187" s="66"/>
      <c r="M1187" s="66"/>
      <c r="N1187" s="66">
        <f>SUM(Prog_236[[#This Row],[TARA]]+Prog_236[[#This Row],[PESO]])</f>
        <v>0</v>
      </c>
      <c r="O1187" s="44"/>
      <c r="P1187" s="66"/>
      <c r="Q1187" s="66"/>
      <c r="R1187" s="66"/>
      <c r="S1187" s="66"/>
      <c r="T1187" s="138" t="str">
        <f>IFERROR(LOOKUP($S1187,MOTORISTAS!$D$3:$D$1048576,MOTORISTAS!E$3:$E$1048576),"")</f>
        <v/>
      </c>
      <c r="U1187" s="138" t="str">
        <f>IFERROR(LOOKUP($S1187,MOTORISTAS!$D$3:$D$1048576,MOTORISTAS!F$3:$F$1048576),"")</f>
        <v/>
      </c>
      <c r="V1187" s="66"/>
      <c r="W1187" s="66"/>
      <c r="X1187" s="66"/>
      <c r="Y1187" s="66"/>
      <c r="Z1187" s="66"/>
      <c r="AA1187" s="66"/>
      <c r="AB1187" s="66"/>
      <c r="AC1187" s="66"/>
      <c r="AD1187" s="66"/>
      <c r="AE1187" s="66"/>
      <c r="AF1187" s="44"/>
      <c r="AG1187" s="254">
        <f>Prog_236[[#This Row],[SAÍDA DO CLIENTE]]-Prog_236[[#This Row],[PROGRAMAÇÃO CLIENTE]]</f>
        <v>0</v>
      </c>
      <c r="AH1187" s="44"/>
      <c r="AI1187" s="66"/>
      <c r="AJ1187" s="66"/>
      <c r="AK1187" s="66"/>
      <c r="AL1187" s="66"/>
      <c r="AM1187" s="66"/>
      <c r="AN1187" s="83"/>
      <c r="AO1187" s="66"/>
      <c r="AP1187" s="66"/>
      <c r="AQ1187" s="66"/>
      <c r="AR1187" s="81"/>
      <c r="AS1187" s="81"/>
      <c r="AT1187" s="81"/>
      <c r="AU1187" s="81"/>
      <c r="AV1187" s="83">
        <f>SUM(Prog_236[[#This Row],[ADIANTAMENTO]]+Prog_236[[#This Row],[SALDO]]+Prog_236[[#This Row],[MARGEM]]+Prog_236[[#This Row],[ESTADIA 1]])</f>
        <v>0</v>
      </c>
      <c r="AW11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7" s="81"/>
      <c r="AY1187" s="81"/>
      <c r="AZ1187" s="81">
        <f>Prog_236[[#This Row],[VLR NF]]*0.1%</f>
        <v>0</v>
      </c>
      <c r="BA1187" s="81">
        <f>Prog_236[[#This Row],[VLR NF]]*0.05%</f>
        <v>0</v>
      </c>
      <c r="BB1187" s="81"/>
      <c r="BC1187" s="81"/>
      <c r="BD1187" s="81"/>
      <c r="BE1187" s="81"/>
      <c r="BF1187" s="81"/>
      <c r="BG1187" s="81"/>
      <c r="BH1187" s="81"/>
      <c r="BI1187" s="81"/>
      <c r="BJ1187" s="81"/>
      <c r="BK1187" s="81"/>
      <c r="BL1187" s="66"/>
      <c r="BM1187" s="66"/>
      <c r="BN1187" s="66"/>
      <c r="BO1187" s="66" t="str">
        <f>PROPER(TEXT(Prog_236[[#This Row],[PROGRAMAÇÃO CLIENTE]],"mmm"))</f>
        <v>Jan</v>
      </c>
      <c r="BP1187" s="66">
        <f>YEAR(Prog_236[[#This Row],[PROGRAMAÇÃO CLIENTE]])</f>
        <v>1900</v>
      </c>
    </row>
    <row r="1188" spans="1:68" x14ac:dyDescent="0.25">
      <c r="A1188" s="201">
        <f>Prog_236[[#This Row],[CONTEINER]]</f>
        <v>0</v>
      </c>
      <c r="B1188" s="86"/>
      <c r="C11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8" s="44"/>
      <c r="E1188" s="66"/>
      <c r="F1188" s="66"/>
      <c r="G1188" s="66"/>
      <c r="H1188" s="44"/>
      <c r="I1188" s="44"/>
      <c r="J1188" s="66"/>
      <c r="K1188" s="66"/>
      <c r="L1188" s="66"/>
      <c r="M1188" s="66"/>
      <c r="N1188" s="66">
        <f>SUM(Prog_236[[#This Row],[TARA]]+Prog_236[[#This Row],[PESO]])</f>
        <v>0</v>
      </c>
      <c r="O1188" s="44"/>
      <c r="P1188" s="66"/>
      <c r="Q1188" s="66"/>
      <c r="R1188" s="66"/>
      <c r="S1188" s="66"/>
      <c r="T1188" s="138" t="str">
        <f>IFERROR(LOOKUP($S1188,MOTORISTAS!$D$3:$D$1048576,MOTORISTAS!E$3:$E$1048576),"")</f>
        <v/>
      </c>
      <c r="U1188" s="138" t="str">
        <f>IFERROR(LOOKUP($S1188,MOTORISTAS!$D$3:$D$1048576,MOTORISTAS!F$3:$F$1048576),"")</f>
        <v/>
      </c>
      <c r="V1188" s="66"/>
      <c r="W1188" s="66"/>
      <c r="X1188" s="66"/>
      <c r="Y1188" s="66"/>
      <c r="Z1188" s="66"/>
      <c r="AA1188" s="66"/>
      <c r="AB1188" s="66"/>
      <c r="AC1188" s="66"/>
      <c r="AD1188" s="66"/>
      <c r="AE1188" s="66"/>
      <c r="AF1188" s="44"/>
      <c r="AG1188" s="254">
        <f>Prog_236[[#This Row],[SAÍDA DO CLIENTE]]-Prog_236[[#This Row],[PROGRAMAÇÃO CLIENTE]]</f>
        <v>0</v>
      </c>
      <c r="AH1188" s="44"/>
      <c r="AI1188" s="66"/>
      <c r="AJ1188" s="66"/>
      <c r="AK1188" s="66"/>
      <c r="AL1188" s="66"/>
      <c r="AM1188" s="66"/>
      <c r="AN1188" s="83"/>
      <c r="AO1188" s="66"/>
      <c r="AP1188" s="66"/>
      <c r="AQ1188" s="66"/>
      <c r="AR1188" s="81"/>
      <c r="AS1188" s="81"/>
      <c r="AT1188" s="81"/>
      <c r="AU1188" s="81"/>
      <c r="AV1188" s="83">
        <f>SUM(Prog_236[[#This Row],[ADIANTAMENTO]]+Prog_236[[#This Row],[SALDO]]+Prog_236[[#This Row],[MARGEM]]+Prog_236[[#This Row],[ESTADIA 1]])</f>
        <v>0</v>
      </c>
      <c r="AW11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8" s="81"/>
      <c r="AY1188" s="81"/>
      <c r="AZ1188" s="81">
        <f>Prog_236[[#This Row],[VLR NF]]*0.1%</f>
        <v>0</v>
      </c>
      <c r="BA1188" s="81">
        <f>Prog_236[[#This Row],[VLR NF]]*0.05%</f>
        <v>0</v>
      </c>
      <c r="BB1188" s="81"/>
      <c r="BC1188" s="81"/>
      <c r="BD1188" s="81"/>
      <c r="BE1188" s="81"/>
      <c r="BF1188" s="81"/>
      <c r="BG1188" s="81"/>
      <c r="BH1188" s="81"/>
      <c r="BI1188" s="81"/>
      <c r="BJ1188" s="81"/>
      <c r="BK1188" s="81"/>
      <c r="BL1188" s="66"/>
      <c r="BM1188" s="66"/>
      <c r="BN1188" s="66"/>
      <c r="BO1188" s="66" t="str">
        <f>PROPER(TEXT(Prog_236[[#This Row],[PROGRAMAÇÃO CLIENTE]],"mmm"))</f>
        <v>Jan</v>
      </c>
      <c r="BP1188" s="66">
        <f>YEAR(Prog_236[[#This Row],[PROGRAMAÇÃO CLIENTE]])</f>
        <v>1900</v>
      </c>
    </row>
    <row r="1189" spans="1:68" x14ac:dyDescent="0.25">
      <c r="A1189" s="200">
        <f>Prog_236[[#This Row],[CONTEINER]]</f>
        <v>0</v>
      </c>
      <c r="B1189" s="86"/>
      <c r="C11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89" s="44"/>
      <c r="E1189" s="66"/>
      <c r="F1189" s="66"/>
      <c r="G1189" s="66"/>
      <c r="H1189" s="44"/>
      <c r="I1189" s="44"/>
      <c r="J1189" s="66"/>
      <c r="K1189" s="66"/>
      <c r="L1189" s="66"/>
      <c r="M1189" s="66"/>
      <c r="N1189" s="66">
        <f>SUM(Prog_236[[#This Row],[TARA]]+Prog_236[[#This Row],[PESO]])</f>
        <v>0</v>
      </c>
      <c r="O1189" s="44"/>
      <c r="P1189" s="66"/>
      <c r="Q1189" s="66"/>
      <c r="R1189" s="66"/>
      <c r="S1189" s="66"/>
      <c r="T1189" s="138" t="str">
        <f>IFERROR(LOOKUP($S1189,MOTORISTAS!$D$3:$D$1048576,MOTORISTAS!E$3:$E$1048576),"")</f>
        <v/>
      </c>
      <c r="U1189" s="138" t="str">
        <f>IFERROR(LOOKUP($S1189,MOTORISTAS!$D$3:$D$1048576,MOTORISTAS!F$3:$F$1048576),"")</f>
        <v/>
      </c>
      <c r="V1189" s="66"/>
      <c r="W1189" s="66"/>
      <c r="X1189" s="66"/>
      <c r="Y1189" s="66"/>
      <c r="Z1189" s="66"/>
      <c r="AA1189" s="66"/>
      <c r="AB1189" s="66"/>
      <c r="AC1189" s="66"/>
      <c r="AD1189" s="66"/>
      <c r="AE1189" s="66"/>
      <c r="AF1189" s="44"/>
      <c r="AG1189" s="254">
        <f>Prog_236[[#This Row],[SAÍDA DO CLIENTE]]-Prog_236[[#This Row],[PROGRAMAÇÃO CLIENTE]]</f>
        <v>0</v>
      </c>
      <c r="AH1189" s="44"/>
      <c r="AI1189" s="66"/>
      <c r="AJ1189" s="66"/>
      <c r="AK1189" s="66"/>
      <c r="AL1189" s="66"/>
      <c r="AM1189" s="66"/>
      <c r="AN1189" s="83"/>
      <c r="AO1189" s="66"/>
      <c r="AP1189" s="66"/>
      <c r="AQ1189" s="66"/>
      <c r="AR1189" s="81"/>
      <c r="AS1189" s="81"/>
      <c r="AT1189" s="81"/>
      <c r="AU1189" s="81"/>
      <c r="AV1189" s="83">
        <f>SUM(Prog_236[[#This Row],[ADIANTAMENTO]]+Prog_236[[#This Row],[SALDO]]+Prog_236[[#This Row],[MARGEM]]+Prog_236[[#This Row],[ESTADIA 1]])</f>
        <v>0</v>
      </c>
      <c r="AW11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89" s="81"/>
      <c r="AY1189" s="81"/>
      <c r="AZ1189" s="81">
        <f>Prog_236[[#This Row],[VLR NF]]*0.1%</f>
        <v>0</v>
      </c>
      <c r="BA1189" s="81">
        <f>Prog_236[[#This Row],[VLR NF]]*0.05%</f>
        <v>0</v>
      </c>
      <c r="BB1189" s="81"/>
      <c r="BC1189" s="81"/>
      <c r="BD1189" s="81"/>
      <c r="BE1189" s="81"/>
      <c r="BF1189" s="81"/>
      <c r="BG1189" s="81"/>
      <c r="BH1189" s="81"/>
      <c r="BI1189" s="81"/>
      <c r="BJ1189" s="81"/>
      <c r="BK1189" s="81"/>
      <c r="BL1189" s="66"/>
      <c r="BM1189" s="66"/>
      <c r="BN1189" s="66"/>
      <c r="BO1189" s="66" t="str">
        <f>PROPER(TEXT(Prog_236[[#This Row],[PROGRAMAÇÃO CLIENTE]],"mmm"))</f>
        <v>Jan</v>
      </c>
      <c r="BP1189" s="66">
        <f>YEAR(Prog_236[[#This Row],[PROGRAMAÇÃO CLIENTE]])</f>
        <v>1900</v>
      </c>
    </row>
    <row r="1190" spans="1:68" x14ac:dyDescent="0.25">
      <c r="A1190" s="201">
        <f>Prog_236[[#This Row],[CONTEINER]]</f>
        <v>0</v>
      </c>
      <c r="B1190" s="86"/>
      <c r="C11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0" s="44"/>
      <c r="E1190" s="66"/>
      <c r="F1190" s="66"/>
      <c r="G1190" s="66"/>
      <c r="H1190" s="44"/>
      <c r="I1190" s="44"/>
      <c r="J1190" s="66"/>
      <c r="K1190" s="66"/>
      <c r="L1190" s="66"/>
      <c r="M1190" s="66"/>
      <c r="N1190" s="66">
        <f>SUM(Prog_236[[#This Row],[TARA]]+Prog_236[[#This Row],[PESO]])</f>
        <v>0</v>
      </c>
      <c r="O1190" s="44"/>
      <c r="P1190" s="66"/>
      <c r="Q1190" s="66"/>
      <c r="R1190" s="66"/>
      <c r="S1190" s="66"/>
      <c r="T1190" s="138" t="str">
        <f>IFERROR(LOOKUP($S1190,MOTORISTAS!$D$3:$D$1048576,MOTORISTAS!E$3:$E$1048576),"")</f>
        <v/>
      </c>
      <c r="U1190" s="138" t="str">
        <f>IFERROR(LOOKUP($S1190,MOTORISTAS!$D$3:$D$1048576,MOTORISTAS!F$3:$F$1048576),"")</f>
        <v/>
      </c>
      <c r="V1190" s="66"/>
      <c r="W1190" s="66"/>
      <c r="X1190" s="66"/>
      <c r="Y1190" s="66"/>
      <c r="Z1190" s="66"/>
      <c r="AA1190" s="66"/>
      <c r="AB1190" s="66"/>
      <c r="AC1190" s="66"/>
      <c r="AD1190" s="66"/>
      <c r="AE1190" s="66"/>
      <c r="AF1190" s="44"/>
      <c r="AG1190" s="254">
        <f>Prog_236[[#This Row],[SAÍDA DO CLIENTE]]-Prog_236[[#This Row],[PROGRAMAÇÃO CLIENTE]]</f>
        <v>0</v>
      </c>
      <c r="AH1190" s="44"/>
      <c r="AI1190" s="66"/>
      <c r="AJ1190" s="66"/>
      <c r="AK1190" s="66"/>
      <c r="AL1190" s="66"/>
      <c r="AM1190" s="66"/>
      <c r="AN1190" s="83"/>
      <c r="AO1190" s="66"/>
      <c r="AP1190" s="66"/>
      <c r="AQ1190" s="66"/>
      <c r="AR1190" s="81"/>
      <c r="AS1190" s="81"/>
      <c r="AT1190" s="81"/>
      <c r="AU1190" s="81"/>
      <c r="AV1190" s="83">
        <f>SUM(Prog_236[[#This Row],[ADIANTAMENTO]]+Prog_236[[#This Row],[SALDO]]+Prog_236[[#This Row],[MARGEM]]+Prog_236[[#This Row],[ESTADIA 1]])</f>
        <v>0</v>
      </c>
      <c r="AW11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0" s="81"/>
      <c r="AY1190" s="81"/>
      <c r="AZ1190" s="81">
        <f>Prog_236[[#This Row],[VLR NF]]*0.1%</f>
        <v>0</v>
      </c>
      <c r="BA1190" s="81">
        <f>Prog_236[[#This Row],[VLR NF]]*0.05%</f>
        <v>0</v>
      </c>
      <c r="BB1190" s="81"/>
      <c r="BC1190" s="81"/>
      <c r="BD1190" s="81"/>
      <c r="BE1190" s="81"/>
      <c r="BF1190" s="81"/>
      <c r="BG1190" s="81"/>
      <c r="BH1190" s="81"/>
      <c r="BI1190" s="81"/>
      <c r="BJ1190" s="81"/>
      <c r="BK1190" s="81"/>
      <c r="BL1190" s="66"/>
      <c r="BM1190" s="66"/>
      <c r="BN1190" s="66"/>
      <c r="BO1190" s="66" t="str">
        <f>PROPER(TEXT(Prog_236[[#This Row],[PROGRAMAÇÃO CLIENTE]],"mmm"))</f>
        <v>Jan</v>
      </c>
      <c r="BP1190" s="66">
        <f>YEAR(Prog_236[[#This Row],[PROGRAMAÇÃO CLIENTE]])</f>
        <v>1900</v>
      </c>
    </row>
    <row r="1191" spans="1:68" x14ac:dyDescent="0.25">
      <c r="A1191" s="200">
        <f>Prog_236[[#This Row],[CONTEINER]]</f>
        <v>0</v>
      </c>
      <c r="B1191" s="86"/>
      <c r="C11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1" s="44"/>
      <c r="E1191" s="66"/>
      <c r="F1191" s="66"/>
      <c r="G1191" s="66"/>
      <c r="H1191" s="44"/>
      <c r="I1191" s="44"/>
      <c r="J1191" s="66"/>
      <c r="K1191" s="66"/>
      <c r="L1191" s="66"/>
      <c r="M1191" s="66"/>
      <c r="N1191" s="66">
        <f>SUM(Prog_236[[#This Row],[TARA]]+Prog_236[[#This Row],[PESO]])</f>
        <v>0</v>
      </c>
      <c r="O1191" s="44"/>
      <c r="P1191" s="66"/>
      <c r="Q1191" s="66"/>
      <c r="R1191" s="66"/>
      <c r="S1191" s="66"/>
      <c r="T1191" s="138" t="str">
        <f>IFERROR(LOOKUP($S1191,MOTORISTAS!$D$3:$D$1048576,MOTORISTAS!E$3:$E$1048576),"")</f>
        <v/>
      </c>
      <c r="U1191" s="138" t="str">
        <f>IFERROR(LOOKUP($S1191,MOTORISTAS!$D$3:$D$1048576,MOTORISTAS!F$3:$F$1048576),"")</f>
        <v/>
      </c>
      <c r="V1191" s="66"/>
      <c r="W1191" s="66"/>
      <c r="X1191" s="66"/>
      <c r="Y1191" s="66"/>
      <c r="Z1191" s="66"/>
      <c r="AA1191" s="66"/>
      <c r="AB1191" s="66"/>
      <c r="AC1191" s="66"/>
      <c r="AD1191" s="66"/>
      <c r="AE1191" s="66"/>
      <c r="AF1191" s="44"/>
      <c r="AG1191" s="254">
        <f>Prog_236[[#This Row],[SAÍDA DO CLIENTE]]-Prog_236[[#This Row],[PROGRAMAÇÃO CLIENTE]]</f>
        <v>0</v>
      </c>
      <c r="AH1191" s="44"/>
      <c r="AI1191" s="66"/>
      <c r="AJ1191" s="66"/>
      <c r="AK1191" s="66"/>
      <c r="AL1191" s="66"/>
      <c r="AM1191" s="66"/>
      <c r="AN1191" s="83"/>
      <c r="AO1191" s="66"/>
      <c r="AP1191" s="66"/>
      <c r="AQ1191" s="66"/>
      <c r="AR1191" s="81"/>
      <c r="AS1191" s="81"/>
      <c r="AT1191" s="81"/>
      <c r="AU1191" s="81"/>
      <c r="AV1191" s="83">
        <f>SUM(Prog_236[[#This Row],[ADIANTAMENTO]]+Prog_236[[#This Row],[SALDO]]+Prog_236[[#This Row],[MARGEM]]+Prog_236[[#This Row],[ESTADIA 1]])</f>
        <v>0</v>
      </c>
      <c r="AW11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1" s="81"/>
      <c r="AY1191" s="81"/>
      <c r="AZ1191" s="81">
        <f>Prog_236[[#This Row],[VLR NF]]*0.1%</f>
        <v>0</v>
      </c>
      <c r="BA1191" s="81">
        <f>Prog_236[[#This Row],[VLR NF]]*0.05%</f>
        <v>0</v>
      </c>
      <c r="BB1191" s="81"/>
      <c r="BC1191" s="81"/>
      <c r="BD1191" s="81"/>
      <c r="BE1191" s="81"/>
      <c r="BF1191" s="81"/>
      <c r="BG1191" s="81"/>
      <c r="BH1191" s="81"/>
      <c r="BI1191" s="81"/>
      <c r="BJ1191" s="81"/>
      <c r="BK1191" s="81"/>
      <c r="BL1191" s="66"/>
      <c r="BM1191" s="66"/>
      <c r="BN1191" s="66"/>
      <c r="BO1191" s="66" t="str">
        <f>PROPER(TEXT(Prog_236[[#This Row],[PROGRAMAÇÃO CLIENTE]],"mmm"))</f>
        <v>Jan</v>
      </c>
      <c r="BP1191" s="66">
        <f>YEAR(Prog_236[[#This Row],[PROGRAMAÇÃO CLIENTE]])</f>
        <v>1900</v>
      </c>
    </row>
    <row r="1192" spans="1:68" x14ac:dyDescent="0.25">
      <c r="A1192" s="201">
        <f>Prog_236[[#This Row],[CONTEINER]]</f>
        <v>0</v>
      </c>
      <c r="B1192" s="86"/>
      <c r="C11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2" s="44"/>
      <c r="E1192" s="66"/>
      <c r="F1192" s="66"/>
      <c r="G1192" s="66"/>
      <c r="H1192" s="44"/>
      <c r="I1192" s="44"/>
      <c r="J1192" s="66"/>
      <c r="K1192" s="66"/>
      <c r="L1192" s="66"/>
      <c r="M1192" s="66"/>
      <c r="N1192" s="66">
        <f>SUM(Prog_236[[#This Row],[TARA]]+Prog_236[[#This Row],[PESO]])</f>
        <v>0</v>
      </c>
      <c r="O1192" s="44"/>
      <c r="P1192" s="66"/>
      <c r="Q1192" s="66"/>
      <c r="R1192" s="66"/>
      <c r="S1192" s="66"/>
      <c r="T1192" s="138" t="str">
        <f>IFERROR(LOOKUP($S1192,MOTORISTAS!$D$3:$D$1048576,MOTORISTAS!E$3:$E$1048576),"")</f>
        <v/>
      </c>
      <c r="U1192" s="138" t="str">
        <f>IFERROR(LOOKUP($S1192,MOTORISTAS!$D$3:$D$1048576,MOTORISTAS!F$3:$F$1048576),"")</f>
        <v/>
      </c>
      <c r="V1192" s="66"/>
      <c r="W1192" s="66"/>
      <c r="X1192" s="66"/>
      <c r="Y1192" s="66"/>
      <c r="Z1192" s="66"/>
      <c r="AA1192" s="66"/>
      <c r="AB1192" s="66"/>
      <c r="AC1192" s="66"/>
      <c r="AD1192" s="66"/>
      <c r="AE1192" s="66"/>
      <c r="AF1192" s="44"/>
      <c r="AG1192" s="254">
        <f>Prog_236[[#This Row],[SAÍDA DO CLIENTE]]-Prog_236[[#This Row],[PROGRAMAÇÃO CLIENTE]]</f>
        <v>0</v>
      </c>
      <c r="AH1192" s="44"/>
      <c r="AI1192" s="66"/>
      <c r="AJ1192" s="66"/>
      <c r="AK1192" s="66"/>
      <c r="AL1192" s="66"/>
      <c r="AM1192" s="66"/>
      <c r="AN1192" s="83"/>
      <c r="AO1192" s="66"/>
      <c r="AP1192" s="66"/>
      <c r="AQ1192" s="66"/>
      <c r="AR1192" s="81"/>
      <c r="AS1192" s="81"/>
      <c r="AT1192" s="81"/>
      <c r="AU1192" s="81"/>
      <c r="AV1192" s="83">
        <f>SUM(Prog_236[[#This Row],[ADIANTAMENTO]]+Prog_236[[#This Row],[SALDO]]+Prog_236[[#This Row],[MARGEM]]+Prog_236[[#This Row],[ESTADIA 1]])</f>
        <v>0</v>
      </c>
      <c r="AW11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2" s="81"/>
      <c r="AY1192" s="81"/>
      <c r="AZ1192" s="81">
        <f>Prog_236[[#This Row],[VLR NF]]*0.1%</f>
        <v>0</v>
      </c>
      <c r="BA1192" s="81">
        <f>Prog_236[[#This Row],[VLR NF]]*0.05%</f>
        <v>0</v>
      </c>
      <c r="BB1192" s="81"/>
      <c r="BC1192" s="81"/>
      <c r="BD1192" s="81"/>
      <c r="BE1192" s="81"/>
      <c r="BF1192" s="81"/>
      <c r="BG1192" s="81"/>
      <c r="BH1192" s="81"/>
      <c r="BI1192" s="81"/>
      <c r="BJ1192" s="81"/>
      <c r="BK1192" s="81"/>
      <c r="BL1192" s="66"/>
      <c r="BM1192" s="66"/>
      <c r="BN1192" s="66"/>
      <c r="BO1192" s="66" t="str">
        <f>PROPER(TEXT(Prog_236[[#This Row],[PROGRAMAÇÃO CLIENTE]],"mmm"))</f>
        <v>Jan</v>
      </c>
      <c r="BP1192" s="66">
        <f>YEAR(Prog_236[[#This Row],[PROGRAMAÇÃO CLIENTE]])</f>
        <v>1900</v>
      </c>
    </row>
    <row r="1193" spans="1:68" x14ac:dyDescent="0.25">
      <c r="A1193" s="200">
        <f>Prog_236[[#This Row],[CONTEINER]]</f>
        <v>0</v>
      </c>
      <c r="B1193" s="86"/>
      <c r="C11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3" s="44"/>
      <c r="E1193" s="66"/>
      <c r="F1193" s="66"/>
      <c r="G1193" s="66"/>
      <c r="H1193" s="44"/>
      <c r="I1193" s="44"/>
      <c r="J1193" s="66"/>
      <c r="K1193" s="66"/>
      <c r="L1193" s="66"/>
      <c r="M1193" s="66"/>
      <c r="N1193" s="66">
        <f>SUM(Prog_236[[#This Row],[TARA]]+Prog_236[[#This Row],[PESO]])</f>
        <v>0</v>
      </c>
      <c r="O1193" s="44"/>
      <c r="P1193" s="66"/>
      <c r="Q1193" s="66"/>
      <c r="R1193" s="66"/>
      <c r="S1193" s="66"/>
      <c r="T1193" s="138" t="str">
        <f>IFERROR(LOOKUP($S1193,MOTORISTAS!$D$3:$D$1048576,MOTORISTAS!E$3:$E$1048576),"")</f>
        <v/>
      </c>
      <c r="U1193" s="138" t="str">
        <f>IFERROR(LOOKUP($S1193,MOTORISTAS!$D$3:$D$1048576,MOTORISTAS!F$3:$F$1048576),"")</f>
        <v/>
      </c>
      <c r="V1193" s="66"/>
      <c r="W1193" s="66"/>
      <c r="X1193" s="66"/>
      <c r="Y1193" s="66"/>
      <c r="Z1193" s="66"/>
      <c r="AA1193" s="66"/>
      <c r="AB1193" s="66"/>
      <c r="AC1193" s="66"/>
      <c r="AD1193" s="66"/>
      <c r="AE1193" s="66"/>
      <c r="AF1193" s="44"/>
      <c r="AG1193" s="254">
        <f>Prog_236[[#This Row],[SAÍDA DO CLIENTE]]-Prog_236[[#This Row],[PROGRAMAÇÃO CLIENTE]]</f>
        <v>0</v>
      </c>
      <c r="AH1193" s="44"/>
      <c r="AI1193" s="66"/>
      <c r="AJ1193" s="66"/>
      <c r="AK1193" s="66"/>
      <c r="AL1193" s="66"/>
      <c r="AM1193" s="66"/>
      <c r="AN1193" s="83"/>
      <c r="AO1193" s="66"/>
      <c r="AP1193" s="66"/>
      <c r="AQ1193" s="66"/>
      <c r="AR1193" s="81"/>
      <c r="AS1193" s="81"/>
      <c r="AT1193" s="81"/>
      <c r="AU1193" s="81"/>
      <c r="AV1193" s="83">
        <f>SUM(Prog_236[[#This Row],[ADIANTAMENTO]]+Prog_236[[#This Row],[SALDO]]+Prog_236[[#This Row],[MARGEM]]+Prog_236[[#This Row],[ESTADIA 1]])</f>
        <v>0</v>
      </c>
      <c r="AW11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3" s="81"/>
      <c r="AY1193" s="81"/>
      <c r="AZ1193" s="81">
        <f>Prog_236[[#This Row],[VLR NF]]*0.1%</f>
        <v>0</v>
      </c>
      <c r="BA1193" s="81">
        <f>Prog_236[[#This Row],[VLR NF]]*0.05%</f>
        <v>0</v>
      </c>
      <c r="BB1193" s="81"/>
      <c r="BC1193" s="81"/>
      <c r="BD1193" s="81"/>
      <c r="BE1193" s="81"/>
      <c r="BF1193" s="81"/>
      <c r="BG1193" s="81"/>
      <c r="BH1193" s="81"/>
      <c r="BI1193" s="81"/>
      <c r="BJ1193" s="81"/>
      <c r="BK1193" s="81"/>
      <c r="BL1193" s="66"/>
      <c r="BM1193" s="66"/>
      <c r="BN1193" s="66"/>
      <c r="BO1193" s="66" t="str">
        <f>PROPER(TEXT(Prog_236[[#This Row],[PROGRAMAÇÃO CLIENTE]],"mmm"))</f>
        <v>Jan</v>
      </c>
      <c r="BP1193" s="66">
        <f>YEAR(Prog_236[[#This Row],[PROGRAMAÇÃO CLIENTE]])</f>
        <v>1900</v>
      </c>
    </row>
    <row r="1194" spans="1:68" x14ac:dyDescent="0.25">
      <c r="A1194" s="201">
        <f>Prog_236[[#This Row],[CONTEINER]]</f>
        <v>0</v>
      </c>
      <c r="B1194" s="86"/>
      <c r="C11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4" s="44"/>
      <c r="E1194" s="66"/>
      <c r="F1194" s="66"/>
      <c r="G1194" s="66"/>
      <c r="H1194" s="44"/>
      <c r="I1194" s="44"/>
      <c r="J1194" s="66"/>
      <c r="K1194" s="66"/>
      <c r="L1194" s="66"/>
      <c r="M1194" s="66"/>
      <c r="N1194" s="66">
        <f>SUM(Prog_236[[#This Row],[TARA]]+Prog_236[[#This Row],[PESO]])</f>
        <v>0</v>
      </c>
      <c r="O1194" s="44"/>
      <c r="P1194" s="66"/>
      <c r="Q1194" s="66"/>
      <c r="R1194" s="66"/>
      <c r="S1194" s="66"/>
      <c r="T1194" s="138" t="str">
        <f>IFERROR(LOOKUP($S1194,MOTORISTAS!$D$3:$D$1048576,MOTORISTAS!E$3:$E$1048576),"")</f>
        <v/>
      </c>
      <c r="U1194" s="138" t="str">
        <f>IFERROR(LOOKUP($S1194,MOTORISTAS!$D$3:$D$1048576,MOTORISTAS!F$3:$F$1048576),"")</f>
        <v/>
      </c>
      <c r="V1194" s="66"/>
      <c r="W1194" s="66"/>
      <c r="X1194" s="66"/>
      <c r="Y1194" s="66"/>
      <c r="Z1194" s="66"/>
      <c r="AA1194" s="66"/>
      <c r="AB1194" s="66"/>
      <c r="AC1194" s="66"/>
      <c r="AD1194" s="66"/>
      <c r="AE1194" s="66"/>
      <c r="AF1194" s="44"/>
      <c r="AG1194" s="254">
        <f>Prog_236[[#This Row],[SAÍDA DO CLIENTE]]-Prog_236[[#This Row],[PROGRAMAÇÃO CLIENTE]]</f>
        <v>0</v>
      </c>
      <c r="AH1194" s="44"/>
      <c r="AI1194" s="66"/>
      <c r="AJ1194" s="66"/>
      <c r="AK1194" s="66"/>
      <c r="AL1194" s="66"/>
      <c r="AM1194" s="66"/>
      <c r="AN1194" s="83"/>
      <c r="AO1194" s="66"/>
      <c r="AP1194" s="66"/>
      <c r="AQ1194" s="66"/>
      <c r="AR1194" s="81"/>
      <c r="AS1194" s="81"/>
      <c r="AT1194" s="81"/>
      <c r="AU1194" s="81"/>
      <c r="AV1194" s="83">
        <f>SUM(Prog_236[[#This Row],[ADIANTAMENTO]]+Prog_236[[#This Row],[SALDO]]+Prog_236[[#This Row],[MARGEM]]+Prog_236[[#This Row],[ESTADIA 1]])</f>
        <v>0</v>
      </c>
      <c r="AW11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4" s="81"/>
      <c r="AY1194" s="81"/>
      <c r="AZ1194" s="81">
        <f>Prog_236[[#This Row],[VLR NF]]*0.1%</f>
        <v>0</v>
      </c>
      <c r="BA1194" s="81">
        <f>Prog_236[[#This Row],[VLR NF]]*0.05%</f>
        <v>0</v>
      </c>
      <c r="BB1194" s="81"/>
      <c r="BC1194" s="81"/>
      <c r="BD1194" s="81"/>
      <c r="BE1194" s="81"/>
      <c r="BF1194" s="81"/>
      <c r="BG1194" s="81"/>
      <c r="BH1194" s="81"/>
      <c r="BI1194" s="81"/>
      <c r="BJ1194" s="81"/>
      <c r="BK1194" s="81"/>
      <c r="BL1194" s="66"/>
      <c r="BM1194" s="66"/>
      <c r="BN1194" s="66"/>
      <c r="BO1194" s="66" t="str">
        <f>PROPER(TEXT(Prog_236[[#This Row],[PROGRAMAÇÃO CLIENTE]],"mmm"))</f>
        <v>Jan</v>
      </c>
      <c r="BP1194" s="66">
        <f>YEAR(Prog_236[[#This Row],[PROGRAMAÇÃO CLIENTE]])</f>
        <v>1900</v>
      </c>
    </row>
    <row r="1195" spans="1:68" x14ac:dyDescent="0.25">
      <c r="A1195" s="200">
        <f>Prog_236[[#This Row],[CONTEINER]]</f>
        <v>0</v>
      </c>
      <c r="B1195" s="86"/>
      <c r="C11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5" s="44"/>
      <c r="E1195" s="66"/>
      <c r="F1195" s="66"/>
      <c r="G1195" s="66"/>
      <c r="H1195" s="44"/>
      <c r="I1195" s="44"/>
      <c r="J1195" s="66"/>
      <c r="K1195" s="66"/>
      <c r="L1195" s="66"/>
      <c r="M1195" s="66"/>
      <c r="N1195" s="66">
        <f>SUM(Prog_236[[#This Row],[TARA]]+Prog_236[[#This Row],[PESO]])</f>
        <v>0</v>
      </c>
      <c r="O1195" s="44"/>
      <c r="P1195" s="66"/>
      <c r="Q1195" s="66"/>
      <c r="R1195" s="66"/>
      <c r="S1195" s="66"/>
      <c r="T1195" s="138" t="str">
        <f>IFERROR(LOOKUP($S1195,MOTORISTAS!$D$3:$D$1048576,MOTORISTAS!E$3:$E$1048576),"")</f>
        <v/>
      </c>
      <c r="U1195" s="138" t="str">
        <f>IFERROR(LOOKUP($S1195,MOTORISTAS!$D$3:$D$1048576,MOTORISTAS!F$3:$F$1048576),"")</f>
        <v/>
      </c>
      <c r="V1195" s="66"/>
      <c r="W1195" s="66"/>
      <c r="X1195" s="66"/>
      <c r="Y1195" s="66"/>
      <c r="Z1195" s="66"/>
      <c r="AA1195" s="66"/>
      <c r="AB1195" s="66"/>
      <c r="AC1195" s="66"/>
      <c r="AD1195" s="66"/>
      <c r="AE1195" s="66"/>
      <c r="AF1195" s="44"/>
      <c r="AG1195" s="254">
        <f>Prog_236[[#This Row],[SAÍDA DO CLIENTE]]-Prog_236[[#This Row],[PROGRAMAÇÃO CLIENTE]]</f>
        <v>0</v>
      </c>
      <c r="AH1195" s="44"/>
      <c r="AI1195" s="66"/>
      <c r="AJ1195" s="66"/>
      <c r="AK1195" s="66"/>
      <c r="AL1195" s="66"/>
      <c r="AM1195" s="66"/>
      <c r="AN1195" s="83"/>
      <c r="AO1195" s="66"/>
      <c r="AP1195" s="66"/>
      <c r="AQ1195" s="66"/>
      <c r="AR1195" s="81"/>
      <c r="AS1195" s="81"/>
      <c r="AT1195" s="81"/>
      <c r="AU1195" s="81"/>
      <c r="AV1195" s="83">
        <f>SUM(Prog_236[[#This Row],[ADIANTAMENTO]]+Prog_236[[#This Row],[SALDO]]+Prog_236[[#This Row],[MARGEM]]+Prog_236[[#This Row],[ESTADIA 1]])</f>
        <v>0</v>
      </c>
      <c r="AW11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5" s="81"/>
      <c r="AY1195" s="81"/>
      <c r="AZ1195" s="81">
        <f>Prog_236[[#This Row],[VLR NF]]*0.1%</f>
        <v>0</v>
      </c>
      <c r="BA1195" s="81">
        <f>Prog_236[[#This Row],[VLR NF]]*0.05%</f>
        <v>0</v>
      </c>
      <c r="BB1195" s="81"/>
      <c r="BC1195" s="81"/>
      <c r="BD1195" s="81"/>
      <c r="BE1195" s="81"/>
      <c r="BF1195" s="81"/>
      <c r="BG1195" s="81"/>
      <c r="BH1195" s="81"/>
      <c r="BI1195" s="81"/>
      <c r="BJ1195" s="81"/>
      <c r="BK1195" s="81"/>
      <c r="BL1195" s="66"/>
      <c r="BM1195" s="66"/>
      <c r="BN1195" s="66"/>
      <c r="BO1195" s="66" t="str">
        <f>PROPER(TEXT(Prog_236[[#This Row],[PROGRAMAÇÃO CLIENTE]],"mmm"))</f>
        <v>Jan</v>
      </c>
      <c r="BP1195" s="66">
        <f>YEAR(Prog_236[[#This Row],[PROGRAMAÇÃO CLIENTE]])</f>
        <v>1900</v>
      </c>
    </row>
    <row r="1196" spans="1:68" x14ac:dyDescent="0.25">
      <c r="A1196" s="201">
        <f>Prog_236[[#This Row],[CONTEINER]]</f>
        <v>0</v>
      </c>
      <c r="B1196" s="86"/>
      <c r="C11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6" s="44"/>
      <c r="E1196" s="66"/>
      <c r="F1196" s="66"/>
      <c r="G1196" s="66"/>
      <c r="H1196" s="44"/>
      <c r="I1196" s="44"/>
      <c r="J1196" s="66"/>
      <c r="K1196" s="66"/>
      <c r="L1196" s="66"/>
      <c r="M1196" s="66"/>
      <c r="N1196" s="66">
        <f>SUM(Prog_236[[#This Row],[TARA]]+Prog_236[[#This Row],[PESO]])</f>
        <v>0</v>
      </c>
      <c r="O1196" s="44"/>
      <c r="P1196" s="66"/>
      <c r="Q1196" s="66"/>
      <c r="R1196" s="66"/>
      <c r="S1196" s="66"/>
      <c r="T1196" s="138" t="str">
        <f>IFERROR(LOOKUP($S1196,MOTORISTAS!$D$3:$D$1048576,MOTORISTAS!E$3:$E$1048576),"")</f>
        <v/>
      </c>
      <c r="U1196" s="138" t="str">
        <f>IFERROR(LOOKUP($S1196,MOTORISTAS!$D$3:$D$1048576,MOTORISTAS!F$3:$F$1048576),"")</f>
        <v/>
      </c>
      <c r="V1196" s="66"/>
      <c r="W1196" s="66"/>
      <c r="X1196" s="66"/>
      <c r="Y1196" s="66"/>
      <c r="Z1196" s="66"/>
      <c r="AA1196" s="66"/>
      <c r="AB1196" s="66"/>
      <c r="AC1196" s="66"/>
      <c r="AD1196" s="66"/>
      <c r="AE1196" s="66"/>
      <c r="AF1196" s="44"/>
      <c r="AG1196" s="254">
        <f>Prog_236[[#This Row],[SAÍDA DO CLIENTE]]-Prog_236[[#This Row],[PROGRAMAÇÃO CLIENTE]]</f>
        <v>0</v>
      </c>
      <c r="AH1196" s="44"/>
      <c r="AI1196" s="66"/>
      <c r="AJ1196" s="66"/>
      <c r="AK1196" s="66"/>
      <c r="AL1196" s="66"/>
      <c r="AM1196" s="66"/>
      <c r="AN1196" s="83"/>
      <c r="AO1196" s="66"/>
      <c r="AP1196" s="66"/>
      <c r="AQ1196" s="66"/>
      <c r="AR1196" s="81"/>
      <c r="AS1196" s="81"/>
      <c r="AT1196" s="81"/>
      <c r="AU1196" s="81"/>
      <c r="AV1196" s="83">
        <f>SUM(Prog_236[[#This Row],[ADIANTAMENTO]]+Prog_236[[#This Row],[SALDO]]+Prog_236[[#This Row],[MARGEM]]+Prog_236[[#This Row],[ESTADIA 1]])</f>
        <v>0</v>
      </c>
      <c r="AW11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6" s="81"/>
      <c r="AY1196" s="81"/>
      <c r="AZ1196" s="81">
        <f>Prog_236[[#This Row],[VLR NF]]*0.1%</f>
        <v>0</v>
      </c>
      <c r="BA1196" s="81">
        <f>Prog_236[[#This Row],[VLR NF]]*0.05%</f>
        <v>0</v>
      </c>
      <c r="BB1196" s="81"/>
      <c r="BC1196" s="81"/>
      <c r="BD1196" s="81"/>
      <c r="BE1196" s="81"/>
      <c r="BF1196" s="81"/>
      <c r="BG1196" s="81"/>
      <c r="BH1196" s="81"/>
      <c r="BI1196" s="81"/>
      <c r="BJ1196" s="81"/>
      <c r="BK1196" s="81"/>
      <c r="BL1196" s="66"/>
      <c r="BM1196" s="66"/>
      <c r="BN1196" s="66"/>
      <c r="BO1196" s="66" t="str">
        <f>PROPER(TEXT(Prog_236[[#This Row],[PROGRAMAÇÃO CLIENTE]],"mmm"))</f>
        <v>Jan</v>
      </c>
      <c r="BP1196" s="66">
        <f>YEAR(Prog_236[[#This Row],[PROGRAMAÇÃO CLIENTE]])</f>
        <v>1900</v>
      </c>
    </row>
    <row r="1197" spans="1:68" x14ac:dyDescent="0.25">
      <c r="A1197" s="200">
        <f>Prog_236[[#This Row],[CONTEINER]]</f>
        <v>0</v>
      </c>
      <c r="B1197" s="86"/>
      <c r="C11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7" s="44"/>
      <c r="E1197" s="66"/>
      <c r="F1197" s="66"/>
      <c r="G1197" s="66"/>
      <c r="H1197" s="44"/>
      <c r="I1197" s="44"/>
      <c r="J1197" s="66"/>
      <c r="K1197" s="66"/>
      <c r="L1197" s="66"/>
      <c r="M1197" s="66"/>
      <c r="N1197" s="66">
        <f>SUM(Prog_236[[#This Row],[TARA]]+Prog_236[[#This Row],[PESO]])</f>
        <v>0</v>
      </c>
      <c r="O1197" s="44"/>
      <c r="P1197" s="66"/>
      <c r="Q1197" s="66"/>
      <c r="R1197" s="66"/>
      <c r="S1197" s="66"/>
      <c r="T1197" s="138" t="str">
        <f>IFERROR(LOOKUP($S1197,MOTORISTAS!$D$3:$D$1048576,MOTORISTAS!E$3:$E$1048576),"")</f>
        <v/>
      </c>
      <c r="U1197" s="138" t="str">
        <f>IFERROR(LOOKUP($S1197,MOTORISTAS!$D$3:$D$1048576,MOTORISTAS!F$3:$F$1048576),"")</f>
        <v/>
      </c>
      <c r="V1197" s="66"/>
      <c r="W1197" s="66"/>
      <c r="X1197" s="66"/>
      <c r="Y1197" s="66"/>
      <c r="Z1197" s="66"/>
      <c r="AA1197" s="66"/>
      <c r="AB1197" s="66"/>
      <c r="AC1197" s="66"/>
      <c r="AD1197" s="66"/>
      <c r="AE1197" s="66"/>
      <c r="AF1197" s="44"/>
      <c r="AG1197" s="254">
        <f>Prog_236[[#This Row],[SAÍDA DO CLIENTE]]-Prog_236[[#This Row],[PROGRAMAÇÃO CLIENTE]]</f>
        <v>0</v>
      </c>
      <c r="AH1197" s="44"/>
      <c r="AI1197" s="66"/>
      <c r="AJ1197" s="66"/>
      <c r="AK1197" s="66"/>
      <c r="AL1197" s="66"/>
      <c r="AM1197" s="66"/>
      <c r="AN1197" s="83"/>
      <c r="AO1197" s="66"/>
      <c r="AP1197" s="66"/>
      <c r="AQ1197" s="66"/>
      <c r="AR1197" s="81"/>
      <c r="AS1197" s="81"/>
      <c r="AT1197" s="81"/>
      <c r="AU1197" s="81"/>
      <c r="AV1197" s="83">
        <f>SUM(Prog_236[[#This Row],[ADIANTAMENTO]]+Prog_236[[#This Row],[SALDO]]+Prog_236[[#This Row],[MARGEM]]+Prog_236[[#This Row],[ESTADIA 1]])</f>
        <v>0</v>
      </c>
      <c r="AW11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7" s="81"/>
      <c r="AY1197" s="81"/>
      <c r="AZ1197" s="81">
        <f>Prog_236[[#This Row],[VLR NF]]*0.1%</f>
        <v>0</v>
      </c>
      <c r="BA1197" s="81">
        <f>Prog_236[[#This Row],[VLR NF]]*0.05%</f>
        <v>0</v>
      </c>
      <c r="BB1197" s="81"/>
      <c r="BC1197" s="81"/>
      <c r="BD1197" s="81"/>
      <c r="BE1197" s="81"/>
      <c r="BF1197" s="81"/>
      <c r="BG1197" s="81"/>
      <c r="BH1197" s="81"/>
      <c r="BI1197" s="81"/>
      <c r="BJ1197" s="81"/>
      <c r="BK1197" s="81"/>
      <c r="BL1197" s="66"/>
      <c r="BM1197" s="66"/>
      <c r="BN1197" s="66"/>
      <c r="BO1197" s="66" t="str">
        <f>PROPER(TEXT(Prog_236[[#This Row],[PROGRAMAÇÃO CLIENTE]],"mmm"))</f>
        <v>Jan</v>
      </c>
      <c r="BP1197" s="66">
        <f>YEAR(Prog_236[[#This Row],[PROGRAMAÇÃO CLIENTE]])</f>
        <v>1900</v>
      </c>
    </row>
    <row r="1198" spans="1:68" x14ac:dyDescent="0.25">
      <c r="A1198" s="201">
        <f>Prog_236[[#This Row],[CONTEINER]]</f>
        <v>0</v>
      </c>
      <c r="B1198" s="86"/>
      <c r="C11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8" s="44"/>
      <c r="E1198" s="66"/>
      <c r="F1198" s="66"/>
      <c r="G1198" s="66"/>
      <c r="H1198" s="44"/>
      <c r="I1198" s="44"/>
      <c r="J1198" s="66"/>
      <c r="K1198" s="66"/>
      <c r="L1198" s="66"/>
      <c r="M1198" s="66"/>
      <c r="N1198" s="66">
        <f>SUM(Prog_236[[#This Row],[TARA]]+Prog_236[[#This Row],[PESO]])</f>
        <v>0</v>
      </c>
      <c r="O1198" s="44"/>
      <c r="P1198" s="66"/>
      <c r="Q1198" s="66"/>
      <c r="R1198" s="66"/>
      <c r="S1198" s="66"/>
      <c r="T1198" s="138" t="str">
        <f>IFERROR(LOOKUP($S1198,MOTORISTAS!$D$3:$D$1048576,MOTORISTAS!E$3:$E$1048576),"")</f>
        <v/>
      </c>
      <c r="U1198" s="138" t="str">
        <f>IFERROR(LOOKUP($S1198,MOTORISTAS!$D$3:$D$1048576,MOTORISTAS!F$3:$F$1048576),"")</f>
        <v/>
      </c>
      <c r="V1198" s="66"/>
      <c r="W1198" s="66"/>
      <c r="X1198" s="66"/>
      <c r="Y1198" s="66"/>
      <c r="Z1198" s="66"/>
      <c r="AA1198" s="66"/>
      <c r="AB1198" s="66"/>
      <c r="AC1198" s="66"/>
      <c r="AD1198" s="66"/>
      <c r="AE1198" s="66"/>
      <c r="AF1198" s="44"/>
      <c r="AG1198" s="254">
        <f>Prog_236[[#This Row],[SAÍDA DO CLIENTE]]-Prog_236[[#This Row],[PROGRAMAÇÃO CLIENTE]]</f>
        <v>0</v>
      </c>
      <c r="AH1198" s="44"/>
      <c r="AI1198" s="66"/>
      <c r="AJ1198" s="66"/>
      <c r="AK1198" s="66"/>
      <c r="AL1198" s="66"/>
      <c r="AM1198" s="66"/>
      <c r="AN1198" s="83"/>
      <c r="AO1198" s="66"/>
      <c r="AP1198" s="66"/>
      <c r="AQ1198" s="66"/>
      <c r="AR1198" s="81"/>
      <c r="AS1198" s="81"/>
      <c r="AT1198" s="81"/>
      <c r="AU1198" s="81"/>
      <c r="AV1198" s="83">
        <f>SUM(Prog_236[[#This Row],[ADIANTAMENTO]]+Prog_236[[#This Row],[SALDO]]+Prog_236[[#This Row],[MARGEM]]+Prog_236[[#This Row],[ESTADIA 1]])</f>
        <v>0</v>
      </c>
      <c r="AW11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8" s="81"/>
      <c r="AY1198" s="81"/>
      <c r="AZ1198" s="81">
        <f>Prog_236[[#This Row],[VLR NF]]*0.1%</f>
        <v>0</v>
      </c>
      <c r="BA1198" s="81">
        <f>Prog_236[[#This Row],[VLR NF]]*0.05%</f>
        <v>0</v>
      </c>
      <c r="BB1198" s="81"/>
      <c r="BC1198" s="81"/>
      <c r="BD1198" s="81"/>
      <c r="BE1198" s="81"/>
      <c r="BF1198" s="81"/>
      <c r="BG1198" s="81"/>
      <c r="BH1198" s="81"/>
      <c r="BI1198" s="81"/>
      <c r="BJ1198" s="81"/>
      <c r="BK1198" s="81"/>
      <c r="BL1198" s="66"/>
      <c r="BM1198" s="66"/>
      <c r="BN1198" s="66"/>
      <c r="BO1198" s="66" t="str">
        <f>PROPER(TEXT(Prog_236[[#This Row],[PROGRAMAÇÃO CLIENTE]],"mmm"))</f>
        <v>Jan</v>
      </c>
      <c r="BP1198" s="66">
        <f>YEAR(Prog_236[[#This Row],[PROGRAMAÇÃO CLIENTE]])</f>
        <v>1900</v>
      </c>
    </row>
    <row r="1199" spans="1:68" x14ac:dyDescent="0.25">
      <c r="A1199" s="200">
        <f>Prog_236[[#This Row],[CONTEINER]]</f>
        <v>0</v>
      </c>
      <c r="B1199" s="86"/>
      <c r="C11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199" s="44"/>
      <c r="E1199" s="66"/>
      <c r="F1199" s="66"/>
      <c r="G1199" s="66"/>
      <c r="H1199" s="44"/>
      <c r="I1199" s="44"/>
      <c r="J1199" s="66"/>
      <c r="K1199" s="66"/>
      <c r="L1199" s="66"/>
      <c r="M1199" s="66"/>
      <c r="N1199" s="66">
        <f>SUM(Prog_236[[#This Row],[TARA]]+Prog_236[[#This Row],[PESO]])</f>
        <v>0</v>
      </c>
      <c r="O1199" s="44"/>
      <c r="P1199" s="66"/>
      <c r="Q1199" s="66"/>
      <c r="R1199" s="66"/>
      <c r="S1199" s="66"/>
      <c r="T1199" s="138" t="str">
        <f>IFERROR(LOOKUP($S1199,MOTORISTAS!$D$3:$D$1048576,MOTORISTAS!E$3:$E$1048576),"")</f>
        <v/>
      </c>
      <c r="U1199" s="138" t="str">
        <f>IFERROR(LOOKUP($S1199,MOTORISTAS!$D$3:$D$1048576,MOTORISTAS!F$3:$F$1048576),"")</f>
        <v/>
      </c>
      <c r="V1199" s="66"/>
      <c r="W1199" s="66"/>
      <c r="X1199" s="66"/>
      <c r="Y1199" s="66"/>
      <c r="Z1199" s="66"/>
      <c r="AA1199" s="66"/>
      <c r="AB1199" s="66"/>
      <c r="AC1199" s="66"/>
      <c r="AD1199" s="66"/>
      <c r="AE1199" s="66"/>
      <c r="AF1199" s="44"/>
      <c r="AG1199" s="254">
        <f>Prog_236[[#This Row],[SAÍDA DO CLIENTE]]-Prog_236[[#This Row],[PROGRAMAÇÃO CLIENTE]]</f>
        <v>0</v>
      </c>
      <c r="AH1199" s="44"/>
      <c r="AI1199" s="66"/>
      <c r="AJ1199" s="66"/>
      <c r="AK1199" s="66"/>
      <c r="AL1199" s="66"/>
      <c r="AM1199" s="66"/>
      <c r="AN1199" s="83"/>
      <c r="AO1199" s="66"/>
      <c r="AP1199" s="66"/>
      <c r="AQ1199" s="66"/>
      <c r="AR1199" s="81"/>
      <c r="AS1199" s="81"/>
      <c r="AT1199" s="81"/>
      <c r="AU1199" s="81"/>
      <c r="AV1199" s="83">
        <f>SUM(Prog_236[[#This Row],[ADIANTAMENTO]]+Prog_236[[#This Row],[SALDO]]+Prog_236[[#This Row],[MARGEM]]+Prog_236[[#This Row],[ESTADIA 1]])</f>
        <v>0</v>
      </c>
      <c r="AW11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199" s="81"/>
      <c r="AY1199" s="81"/>
      <c r="AZ1199" s="81">
        <f>Prog_236[[#This Row],[VLR NF]]*0.1%</f>
        <v>0</v>
      </c>
      <c r="BA1199" s="81">
        <f>Prog_236[[#This Row],[VLR NF]]*0.05%</f>
        <v>0</v>
      </c>
      <c r="BB1199" s="81"/>
      <c r="BC1199" s="81"/>
      <c r="BD1199" s="81"/>
      <c r="BE1199" s="81"/>
      <c r="BF1199" s="81"/>
      <c r="BG1199" s="81"/>
      <c r="BH1199" s="81"/>
      <c r="BI1199" s="81"/>
      <c r="BJ1199" s="81"/>
      <c r="BK1199" s="81"/>
      <c r="BL1199" s="66"/>
      <c r="BM1199" s="66"/>
      <c r="BN1199" s="66"/>
      <c r="BO1199" s="66" t="str">
        <f>PROPER(TEXT(Prog_236[[#This Row],[PROGRAMAÇÃO CLIENTE]],"mmm"))</f>
        <v>Jan</v>
      </c>
      <c r="BP1199" s="66">
        <f>YEAR(Prog_236[[#This Row],[PROGRAMAÇÃO CLIENTE]])</f>
        <v>1900</v>
      </c>
    </row>
    <row r="1200" spans="1:68" x14ac:dyDescent="0.25">
      <c r="A1200" s="201">
        <f>Prog_236[[#This Row],[CONTEINER]]</f>
        <v>0</v>
      </c>
      <c r="B1200" s="86"/>
      <c r="C12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0" s="44"/>
      <c r="E1200" s="66"/>
      <c r="F1200" s="66"/>
      <c r="G1200" s="66"/>
      <c r="H1200" s="44"/>
      <c r="I1200" s="44"/>
      <c r="J1200" s="66"/>
      <c r="K1200" s="66"/>
      <c r="L1200" s="66"/>
      <c r="M1200" s="66"/>
      <c r="N1200" s="66">
        <f>SUM(Prog_236[[#This Row],[TARA]]+Prog_236[[#This Row],[PESO]])</f>
        <v>0</v>
      </c>
      <c r="O1200" s="44"/>
      <c r="P1200" s="66"/>
      <c r="Q1200" s="66"/>
      <c r="R1200" s="66"/>
      <c r="S1200" s="66"/>
      <c r="T1200" s="138" t="str">
        <f>IFERROR(LOOKUP($S1200,MOTORISTAS!$D$3:$D$1048576,MOTORISTAS!E$3:$E$1048576),"")</f>
        <v/>
      </c>
      <c r="U1200" s="138" t="str">
        <f>IFERROR(LOOKUP($S1200,MOTORISTAS!$D$3:$D$1048576,MOTORISTAS!F$3:$F$1048576),"")</f>
        <v/>
      </c>
      <c r="V1200" s="66"/>
      <c r="W1200" s="66"/>
      <c r="X1200" s="66"/>
      <c r="Y1200" s="66"/>
      <c r="Z1200" s="66"/>
      <c r="AA1200" s="66"/>
      <c r="AB1200" s="66"/>
      <c r="AC1200" s="66"/>
      <c r="AD1200" s="66"/>
      <c r="AE1200" s="66"/>
      <c r="AF1200" s="44"/>
      <c r="AG1200" s="254">
        <f>Prog_236[[#This Row],[SAÍDA DO CLIENTE]]-Prog_236[[#This Row],[PROGRAMAÇÃO CLIENTE]]</f>
        <v>0</v>
      </c>
      <c r="AH1200" s="44"/>
      <c r="AI1200" s="66"/>
      <c r="AJ1200" s="66"/>
      <c r="AK1200" s="66"/>
      <c r="AL1200" s="66"/>
      <c r="AM1200" s="66"/>
      <c r="AN1200" s="83"/>
      <c r="AO1200" s="66"/>
      <c r="AP1200" s="66"/>
      <c r="AQ1200" s="66"/>
      <c r="AR1200" s="81"/>
      <c r="AS1200" s="81"/>
      <c r="AT1200" s="81"/>
      <c r="AU1200" s="81"/>
      <c r="AV1200" s="83">
        <f>SUM(Prog_236[[#This Row],[ADIANTAMENTO]]+Prog_236[[#This Row],[SALDO]]+Prog_236[[#This Row],[MARGEM]]+Prog_236[[#This Row],[ESTADIA 1]])</f>
        <v>0</v>
      </c>
      <c r="AW12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0" s="81"/>
      <c r="AY1200" s="81"/>
      <c r="AZ1200" s="81">
        <f>Prog_236[[#This Row],[VLR NF]]*0.1%</f>
        <v>0</v>
      </c>
      <c r="BA1200" s="81">
        <f>Prog_236[[#This Row],[VLR NF]]*0.05%</f>
        <v>0</v>
      </c>
      <c r="BB1200" s="81"/>
      <c r="BC1200" s="81"/>
      <c r="BD1200" s="81"/>
      <c r="BE1200" s="81"/>
      <c r="BF1200" s="81"/>
      <c r="BG1200" s="81"/>
      <c r="BH1200" s="81"/>
      <c r="BI1200" s="81"/>
      <c r="BJ1200" s="81"/>
      <c r="BK1200" s="81"/>
      <c r="BL1200" s="66"/>
      <c r="BM1200" s="66"/>
      <c r="BN1200" s="66"/>
      <c r="BO1200" s="66" t="str">
        <f>PROPER(TEXT(Prog_236[[#This Row],[PROGRAMAÇÃO CLIENTE]],"mmm"))</f>
        <v>Jan</v>
      </c>
      <c r="BP1200" s="66">
        <f>YEAR(Prog_236[[#This Row],[PROGRAMAÇÃO CLIENTE]])</f>
        <v>1900</v>
      </c>
    </row>
    <row r="1201" spans="1:68" x14ac:dyDescent="0.25">
      <c r="A1201" s="200">
        <f>Prog_236[[#This Row],[CONTEINER]]</f>
        <v>0</v>
      </c>
      <c r="B1201" s="86"/>
      <c r="C12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1" s="44"/>
      <c r="E1201" s="66"/>
      <c r="F1201" s="66"/>
      <c r="G1201" s="66"/>
      <c r="H1201" s="44"/>
      <c r="I1201" s="44"/>
      <c r="J1201" s="66"/>
      <c r="K1201" s="66"/>
      <c r="L1201" s="66"/>
      <c r="M1201" s="66"/>
      <c r="N1201" s="66">
        <f>SUM(Prog_236[[#This Row],[TARA]]+Prog_236[[#This Row],[PESO]])</f>
        <v>0</v>
      </c>
      <c r="O1201" s="44"/>
      <c r="P1201" s="66"/>
      <c r="Q1201" s="66"/>
      <c r="R1201" s="66"/>
      <c r="S1201" s="66"/>
      <c r="T1201" s="138" t="str">
        <f>IFERROR(LOOKUP($S1201,MOTORISTAS!$D$3:$D$1048576,MOTORISTAS!E$3:$E$1048576),"")</f>
        <v/>
      </c>
      <c r="U1201" s="138" t="str">
        <f>IFERROR(LOOKUP($S1201,MOTORISTAS!$D$3:$D$1048576,MOTORISTAS!F$3:$F$1048576),"")</f>
        <v/>
      </c>
      <c r="V1201" s="66"/>
      <c r="W1201" s="66"/>
      <c r="X1201" s="66"/>
      <c r="Y1201" s="66"/>
      <c r="Z1201" s="66"/>
      <c r="AA1201" s="66"/>
      <c r="AB1201" s="66"/>
      <c r="AC1201" s="66"/>
      <c r="AD1201" s="66"/>
      <c r="AE1201" s="66"/>
      <c r="AF1201" s="44"/>
      <c r="AG1201" s="254">
        <f>Prog_236[[#This Row],[SAÍDA DO CLIENTE]]-Prog_236[[#This Row],[PROGRAMAÇÃO CLIENTE]]</f>
        <v>0</v>
      </c>
      <c r="AH1201" s="44"/>
      <c r="AI1201" s="66"/>
      <c r="AJ1201" s="66"/>
      <c r="AK1201" s="66"/>
      <c r="AL1201" s="66"/>
      <c r="AM1201" s="66"/>
      <c r="AN1201" s="83"/>
      <c r="AO1201" s="66"/>
      <c r="AP1201" s="66"/>
      <c r="AQ1201" s="66"/>
      <c r="AR1201" s="81"/>
      <c r="AS1201" s="81"/>
      <c r="AT1201" s="81"/>
      <c r="AU1201" s="81"/>
      <c r="AV1201" s="83">
        <f>SUM(Prog_236[[#This Row],[ADIANTAMENTO]]+Prog_236[[#This Row],[SALDO]]+Prog_236[[#This Row],[MARGEM]]+Prog_236[[#This Row],[ESTADIA 1]])</f>
        <v>0</v>
      </c>
      <c r="AW12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1" s="81"/>
      <c r="AY1201" s="81"/>
      <c r="AZ1201" s="81">
        <f>Prog_236[[#This Row],[VLR NF]]*0.1%</f>
        <v>0</v>
      </c>
      <c r="BA1201" s="81">
        <f>Prog_236[[#This Row],[VLR NF]]*0.05%</f>
        <v>0</v>
      </c>
      <c r="BB1201" s="81"/>
      <c r="BC1201" s="81"/>
      <c r="BD1201" s="81"/>
      <c r="BE1201" s="81"/>
      <c r="BF1201" s="81"/>
      <c r="BG1201" s="81"/>
      <c r="BH1201" s="81"/>
      <c r="BI1201" s="81"/>
      <c r="BJ1201" s="81"/>
      <c r="BK1201" s="81"/>
      <c r="BL1201" s="66"/>
      <c r="BM1201" s="66"/>
      <c r="BN1201" s="66"/>
      <c r="BO1201" s="66" t="str">
        <f>PROPER(TEXT(Prog_236[[#This Row],[PROGRAMAÇÃO CLIENTE]],"mmm"))</f>
        <v>Jan</v>
      </c>
      <c r="BP1201" s="66">
        <f>YEAR(Prog_236[[#This Row],[PROGRAMAÇÃO CLIENTE]])</f>
        <v>1900</v>
      </c>
    </row>
    <row r="1202" spans="1:68" x14ac:dyDescent="0.25">
      <c r="A1202" s="201">
        <f>Prog_236[[#This Row],[CONTEINER]]</f>
        <v>0</v>
      </c>
      <c r="B1202" s="86"/>
      <c r="C12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2" s="44"/>
      <c r="E1202" s="66"/>
      <c r="F1202" s="66"/>
      <c r="G1202" s="66"/>
      <c r="H1202" s="44"/>
      <c r="I1202" s="44"/>
      <c r="J1202" s="66"/>
      <c r="K1202" s="66"/>
      <c r="L1202" s="66"/>
      <c r="M1202" s="66"/>
      <c r="N1202" s="66">
        <f>SUM(Prog_236[[#This Row],[TARA]]+Prog_236[[#This Row],[PESO]])</f>
        <v>0</v>
      </c>
      <c r="O1202" s="44"/>
      <c r="P1202" s="66"/>
      <c r="Q1202" s="66"/>
      <c r="R1202" s="66"/>
      <c r="S1202" s="66"/>
      <c r="T1202" s="138" t="str">
        <f>IFERROR(LOOKUP($S1202,MOTORISTAS!$D$3:$D$1048576,MOTORISTAS!E$3:$E$1048576),"")</f>
        <v/>
      </c>
      <c r="U1202" s="138" t="str">
        <f>IFERROR(LOOKUP($S1202,MOTORISTAS!$D$3:$D$1048576,MOTORISTAS!F$3:$F$1048576),"")</f>
        <v/>
      </c>
      <c r="V1202" s="66"/>
      <c r="W1202" s="66"/>
      <c r="X1202" s="66"/>
      <c r="Y1202" s="66"/>
      <c r="Z1202" s="66"/>
      <c r="AA1202" s="66"/>
      <c r="AB1202" s="66"/>
      <c r="AC1202" s="66"/>
      <c r="AD1202" s="66"/>
      <c r="AE1202" s="66"/>
      <c r="AF1202" s="44"/>
      <c r="AG1202" s="254">
        <f>Prog_236[[#This Row],[SAÍDA DO CLIENTE]]-Prog_236[[#This Row],[PROGRAMAÇÃO CLIENTE]]</f>
        <v>0</v>
      </c>
      <c r="AH1202" s="44"/>
      <c r="AI1202" s="66"/>
      <c r="AJ1202" s="66"/>
      <c r="AK1202" s="66"/>
      <c r="AL1202" s="66"/>
      <c r="AM1202" s="66"/>
      <c r="AN1202" s="83"/>
      <c r="AO1202" s="66"/>
      <c r="AP1202" s="66"/>
      <c r="AQ1202" s="66"/>
      <c r="AR1202" s="81"/>
      <c r="AS1202" s="81"/>
      <c r="AT1202" s="81"/>
      <c r="AU1202" s="81"/>
      <c r="AV1202" s="83">
        <f>SUM(Prog_236[[#This Row],[ADIANTAMENTO]]+Prog_236[[#This Row],[SALDO]]+Prog_236[[#This Row],[MARGEM]]+Prog_236[[#This Row],[ESTADIA 1]])</f>
        <v>0</v>
      </c>
      <c r="AW12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2" s="81"/>
      <c r="AY1202" s="81"/>
      <c r="AZ1202" s="81">
        <f>Prog_236[[#This Row],[VLR NF]]*0.1%</f>
        <v>0</v>
      </c>
      <c r="BA1202" s="81">
        <f>Prog_236[[#This Row],[VLR NF]]*0.05%</f>
        <v>0</v>
      </c>
      <c r="BB1202" s="81"/>
      <c r="BC1202" s="81"/>
      <c r="BD1202" s="81"/>
      <c r="BE1202" s="81"/>
      <c r="BF1202" s="81"/>
      <c r="BG1202" s="81"/>
      <c r="BH1202" s="81"/>
      <c r="BI1202" s="81"/>
      <c r="BJ1202" s="81"/>
      <c r="BK1202" s="81"/>
      <c r="BL1202" s="66"/>
      <c r="BM1202" s="66"/>
      <c r="BN1202" s="66"/>
      <c r="BO1202" s="66" t="str">
        <f>PROPER(TEXT(Prog_236[[#This Row],[PROGRAMAÇÃO CLIENTE]],"mmm"))</f>
        <v>Jan</v>
      </c>
      <c r="BP1202" s="66">
        <f>YEAR(Prog_236[[#This Row],[PROGRAMAÇÃO CLIENTE]])</f>
        <v>1900</v>
      </c>
    </row>
    <row r="1203" spans="1:68" x14ac:dyDescent="0.25">
      <c r="A1203" s="200">
        <f>Prog_236[[#This Row],[CONTEINER]]</f>
        <v>0</v>
      </c>
      <c r="B1203" s="86"/>
      <c r="C12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3" s="44"/>
      <c r="E1203" s="66"/>
      <c r="F1203" s="66"/>
      <c r="G1203" s="66"/>
      <c r="H1203" s="44"/>
      <c r="I1203" s="44"/>
      <c r="J1203" s="66"/>
      <c r="K1203" s="66"/>
      <c r="L1203" s="66"/>
      <c r="M1203" s="66"/>
      <c r="N1203" s="66">
        <f>SUM(Prog_236[[#This Row],[TARA]]+Prog_236[[#This Row],[PESO]])</f>
        <v>0</v>
      </c>
      <c r="O1203" s="44"/>
      <c r="P1203" s="66"/>
      <c r="Q1203" s="66"/>
      <c r="R1203" s="66"/>
      <c r="S1203" s="66"/>
      <c r="T1203" s="138" t="str">
        <f>IFERROR(LOOKUP($S1203,MOTORISTAS!$D$3:$D$1048576,MOTORISTAS!E$3:$E$1048576),"")</f>
        <v/>
      </c>
      <c r="U1203" s="138" t="str">
        <f>IFERROR(LOOKUP($S1203,MOTORISTAS!$D$3:$D$1048576,MOTORISTAS!F$3:$F$1048576),"")</f>
        <v/>
      </c>
      <c r="V1203" s="66"/>
      <c r="W1203" s="66"/>
      <c r="X1203" s="66"/>
      <c r="Y1203" s="66"/>
      <c r="Z1203" s="66"/>
      <c r="AA1203" s="66"/>
      <c r="AB1203" s="66"/>
      <c r="AC1203" s="66"/>
      <c r="AD1203" s="66"/>
      <c r="AE1203" s="66"/>
      <c r="AF1203" s="44"/>
      <c r="AG1203" s="254">
        <f>Prog_236[[#This Row],[SAÍDA DO CLIENTE]]-Prog_236[[#This Row],[PROGRAMAÇÃO CLIENTE]]</f>
        <v>0</v>
      </c>
      <c r="AH1203" s="44"/>
      <c r="AI1203" s="66"/>
      <c r="AJ1203" s="66"/>
      <c r="AK1203" s="66"/>
      <c r="AL1203" s="66"/>
      <c r="AM1203" s="66"/>
      <c r="AN1203" s="83"/>
      <c r="AO1203" s="66"/>
      <c r="AP1203" s="66"/>
      <c r="AQ1203" s="66"/>
      <c r="AR1203" s="81"/>
      <c r="AS1203" s="81"/>
      <c r="AT1203" s="81"/>
      <c r="AU1203" s="81"/>
      <c r="AV1203" s="83">
        <f>SUM(Prog_236[[#This Row],[ADIANTAMENTO]]+Prog_236[[#This Row],[SALDO]]+Prog_236[[#This Row],[MARGEM]]+Prog_236[[#This Row],[ESTADIA 1]])</f>
        <v>0</v>
      </c>
      <c r="AW12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3" s="81"/>
      <c r="AY1203" s="81"/>
      <c r="AZ1203" s="81">
        <f>Prog_236[[#This Row],[VLR NF]]*0.1%</f>
        <v>0</v>
      </c>
      <c r="BA1203" s="81">
        <f>Prog_236[[#This Row],[VLR NF]]*0.05%</f>
        <v>0</v>
      </c>
      <c r="BB1203" s="81"/>
      <c r="BC1203" s="81"/>
      <c r="BD1203" s="81"/>
      <c r="BE1203" s="81"/>
      <c r="BF1203" s="81"/>
      <c r="BG1203" s="81"/>
      <c r="BH1203" s="81"/>
      <c r="BI1203" s="81"/>
      <c r="BJ1203" s="81"/>
      <c r="BK1203" s="81"/>
      <c r="BL1203" s="66"/>
      <c r="BM1203" s="66"/>
      <c r="BN1203" s="66"/>
      <c r="BO1203" s="66" t="str">
        <f>PROPER(TEXT(Prog_236[[#This Row],[PROGRAMAÇÃO CLIENTE]],"mmm"))</f>
        <v>Jan</v>
      </c>
      <c r="BP1203" s="66">
        <f>YEAR(Prog_236[[#This Row],[PROGRAMAÇÃO CLIENTE]])</f>
        <v>1900</v>
      </c>
    </row>
    <row r="1204" spans="1:68" x14ac:dyDescent="0.25">
      <c r="A1204" s="201">
        <f>Prog_236[[#This Row],[CONTEINER]]</f>
        <v>0</v>
      </c>
      <c r="B1204" s="86"/>
      <c r="C12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4" s="44"/>
      <c r="E1204" s="66"/>
      <c r="F1204" s="66"/>
      <c r="G1204" s="66"/>
      <c r="H1204" s="44"/>
      <c r="I1204" s="44"/>
      <c r="J1204" s="66"/>
      <c r="K1204" s="66"/>
      <c r="L1204" s="66"/>
      <c r="M1204" s="66"/>
      <c r="N1204" s="66">
        <f>SUM(Prog_236[[#This Row],[TARA]]+Prog_236[[#This Row],[PESO]])</f>
        <v>0</v>
      </c>
      <c r="O1204" s="44"/>
      <c r="P1204" s="66"/>
      <c r="Q1204" s="66"/>
      <c r="R1204" s="66"/>
      <c r="S1204" s="66"/>
      <c r="T1204" s="138" t="str">
        <f>IFERROR(LOOKUP($S1204,MOTORISTAS!$D$3:$D$1048576,MOTORISTAS!E$3:$E$1048576),"")</f>
        <v/>
      </c>
      <c r="U1204" s="138" t="str">
        <f>IFERROR(LOOKUP($S1204,MOTORISTAS!$D$3:$D$1048576,MOTORISTAS!F$3:$F$1048576),"")</f>
        <v/>
      </c>
      <c r="V1204" s="66"/>
      <c r="W1204" s="66"/>
      <c r="X1204" s="66"/>
      <c r="Y1204" s="66"/>
      <c r="Z1204" s="66"/>
      <c r="AA1204" s="66"/>
      <c r="AB1204" s="66"/>
      <c r="AC1204" s="66"/>
      <c r="AD1204" s="66"/>
      <c r="AE1204" s="66"/>
      <c r="AF1204" s="44"/>
      <c r="AG1204" s="254">
        <f>Prog_236[[#This Row],[SAÍDA DO CLIENTE]]-Prog_236[[#This Row],[PROGRAMAÇÃO CLIENTE]]</f>
        <v>0</v>
      </c>
      <c r="AH1204" s="44"/>
      <c r="AI1204" s="66"/>
      <c r="AJ1204" s="66"/>
      <c r="AK1204" s="66"/>
      <c r="AL1204" s="66"/>
      <c r="AM1204" s="66"/>
      <c r="AN1204" s="83"/>
      <c r="AO1204" s="66"/>
      <c r="AP1204" s="66"/>
      <c r="AQ1204" s="66"/>
      <c r="AR1204" s="81"/>
      <c r="AS1204" s="81"/>
      <c r="AT1204" s="81"/>
      <c r="AU1204" s="81"/>
      <c r="AV1204" s="83">
        <f>SUM(Prog_236[[#This Row],[ADIANTAMENTO]]+Prog_236[[#This Row],[SALDO]]+Prog_236[[#This Row],[MARGEM]]+Prog_236[[#This Row],[ESTADIA 1]])</f>
        <v>0</v>
      </c>
      <c r="AW12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4" s="81"/>
      <c r="AY1204" s="81"/>
      <c r="AZ1204" s="81">
        <f>Prog_236[[#This Row],[VLR NF]]*0.1%</f>
        <v>0</v>
      </c>
      <c r="BA1204" s="81">
        <f>Prog_236[[#This Row],[VLR NF]]*0.05%</f>
        <v>0</v>
      </c>
      <c r="BB1204" s="81"/>
      <c r="BC1204" s="81"/>
      <c r="BD1204" s="81"/>
      <c r="BE1204" s="81"/>
      <c r="BF1204" s="81"/>
      <c r="BG1204" s="81"/>
      <c r="BH1204" s="81"/>
      <c r="BI1204" s="81"/>
      <c r="BJ1204" s="81"/>
      <c r="BK1204" s="81"/>
      <c r="BL1204" s="66"/>
      <c r="BM1204" s="66"/>
      <c r="BN1204" s="66"/>
      <c r="BO1204" s="66" t="str">
        <f>PROPER(TEXT(Prog_236[[#This Row],[PROGRAMAÇÃO CLIENTE]],"mmm"))</f>
        <v>Jan</v>
      </c>
      <c r="BP1204" s="66">
        <f>YEAR(Prog_236[[#This Row],[PROGRAMAÇÃO CLIENTE]])</f>
        <v>1900</v>
      </c>
    </row>
    <row r="1205" spans="1:68" x14ac:dyDescent="0.25">
      <c r="A1205" s="200">
        <f>Prog_236[[#This Row],[CONTEINER]]</f>
        <v>0</v>
      </c>
      <c r="B1205" s="86"/>
      <c r="C12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5" s="44"/>
      <c r="E1205" s="66"/>
      <c r="F1205" s="66"/>
      <c r="G1205" s="66"/>
      <c r="H1205" s="44"/>
      <c r="I1205" s="44"/>
      <c r="J1205" s="66"/>
      <c r="K1205" s="66"/>
      <c r="L1205" s="66"/>
      <c r="M1205" s="66"/>
      <c r="N1205" s="66">
        <f>SUM(Prog_236[[#This Row],[TARA]]+Prog_236[[#This Row],[PESO]])</f>
        <v>0</v>
      </c>
      <c r="O1205" s="44"/>
      <c r="P1205" s="66"/>
      <c r="Q1205" s="66"/>
      <c r="R1205" s="66"/>
      <c r="S1205" s="66"/>
      <c r="T1205" s="138" t="str">
        <f>IFERROR(LOOKUP($S1205,MOTORISTAS!$D$3:$D$1048576,MOTORISTAS!E$3:$E$1048576),"")</f>
        <v/>
      </c>
      <c r="U1205" s="138" t="str">
        <f>IFERROR(LOOKUP($S1205,MOTORISTAS!$D$3:$D$1048576,MOTORISTAS!F$3:$F$1048576),"")</f>
        <v/>
      </c>
      <c r="V1205" s="66"/>
      <c r="W1205" s="66"/>
      <c r="X1205" s="66"/>
      <c r="Y1205" s="66"/>
      <c r="Z1205" s="66"/>
      <c r="AA1205" s="66"/>
      <c r="AB1205" s="66"/>
      <c r="AC1205" s="66"/>
      <c r="AD1205" s="66"/>
      <c r="AE1205" s="66"/>
      <c r="AF1205" s="44"/>
      <c r="AG1205" s="254">
        <f>Prog_236[[#This Row],[SAÍDA DO CLIENTE]]-Prog_236[[#This Row],[PROGRAMAÇÃO CLIENTE]]</f>
        <v>0</v>
      </c>
      <c r="AH1205" s="44"/>
      <c r="AI1205" s="66"/>
      <c r="AJ1205" s="66"/>
      <c r="AK1205" s="66"/>
      <c r="AL1205" s="66"/>
      <c r="AM1205" s="66"/>
      <c r="AN1205" s="83"/>
      <c r="AO1205" s="66"/>
      <c r="AP1205" s="66"/>
      <c r="AQ1205" s="66"/>
      <c r="AR1205" s="81"/>
      <c r="AS1205" s="81"/>
      <c r="AT1205" s="81"/>
      <c r="AU1205" s="81"/>
      <c r="AV1205" s="83">
        <f>SUM(Prog_236[[#This Row],[ADIANTAMENTO]]+Prog_236[[#This Row],[SALDO]]+Prog_236[[#This Row],[MARGEM]]+Prog_236[[#This Row],[ESTADIA 1]])</f>
        <v>0</v>
      </c>
      <c r="AW12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5" s="81"/>
      <c r="AY1205" s="81"/>
      <c r="AZ1205" s="81">
        <f>Prog_236[[#This Row],[VLR NF]]*0.1%</f>
        <v>0</v>
      </c>
      <c r="BA1205" s="81">
        <f>Prog_236[[#This Row],[VLR NF]]*0.05%</f>
        <v>0</v>
      </c>
      <c r="BB1205" s="81"/>
      <c r="BC1205" s="81"/>
      <c r="BD1205" s="81"/>
      <c r="BE1205" s="81"/>
      <c r="BF1205" s="81"/>
      <c r="BG1205" s="81"/>
      <c r="BH1205" s="81"/>
      <c r="BI1205" s="81"/>
      <c r="BJ1205" s="81"/>
      <c r="BK1205" s="81"/>
      <c r="BL1205" s="66"/>
      <c r="BM1205" s="66"/>
      <c r="BN1205" s="66"/>
      <c r="BO1205" s="66" t="str">
        <f>PROPER(TEXT(Prog_236[[#This Row],[PROGRAMAÇÃO CLIENTE]],"mmm"))</f>
        <v>Jan</v>
      </c>
      <c r="BP1205" s="66">
        <f>YEAR(Prog_236[[#This Row],[PROGRAMAÇÃO CLIENTE]])</f>
        <v>1900</v>
      </c>
    </row>
    <row r="1206" spans="1:68" x14ac:dyDescent="0.25">
      <c r="A1206" s="201">
        <f>Prog_236[[#This Row],[CONTEINER]]</f>
        <v>0</v>
      </c>
      <c r="B1206" s="86"/>
      <c r="C12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6" s="44"/>
      <c r="E1206" s="66"/>
      <c r="F1206" s="66"/>
      <c r="G1206" s="66"/>
      <c r="H1206" s="44"/>
      <c r="I1206" s="44"/>
      <c r="J1206" s="66"/>
      <c r="K1206" s="66"/>
      <c r="L1206" s="66"/>
      <c r="M1206" s="66"/>
      <c r="N1206" s="66">
        <f>SUM(Prog_236[[#This Row],[TARA]]+Prog_236[[#This Row],[PESO]])</f>
        <v>0</v>
      </c>
      <c r="O1206" s="44"/>
      <c r="P1206" s="66"/>
      <c r="Q1206" s="66"/>
      <c r="R1206" s="66"/>
      <c r="S1206" s="66"/>
      <c r="T1206" s="138" t="str">
        <f>IFERROR(LOOKUP($S1206,MOTORISTAS!$D$3:$D$1048576,MOTORISTAS!E$3:$E$1048576),"")</f>
        <v/>
      </c>
      <c r="U1206" s="138" t="str">
        <f>IFERROR(LOOKUP($S1206,MOTORISTAS!$D$3:$D$1048576,MOTORISTAS!F$3:$F$1048576),"")</f>
        <v/>
      </c>
      <c r="V1206" s="66"/>
      <c r="W1206" s="66"/>
      <c r="X1206" s="66"/>
      <c r="Y1206" s="66"/>
      <c r="Z1206" s="66"/>
      <c r="AA1206" s="66"/>
      <c r="AB1206" s="66"/>
      <c r="AC1206" s="66"/>
      <c r="AD1206" s="66"/>
      <c r="AE1206" s="66"/>
      <c r="AF1206" s="44"/>
      <c r="AG1206" s="254">
        <f>Prog_236[[#This Row],[SAÍDA DO CLIENTE]]-Prog_236[[#This Row],[PROGRAMAÇÃO CLIENTE]]</f>
        <v>0</v>
      </c>
      <c r="AH1206" s="44"/>
      <c r="AI1206" s="66"/>
      <c r="AJ1206" s="66"/>
      <c r="AK1206" s="66"/>
      <c r="AL1206" s="66"/>
      <c r="AM1206" s="66"/>
      <c r="AN1206" s="83"/>
      <c r="AO1206" s="66"/>
      <c r="AP1206" s="66"/>
      <c r="AQ1206" s="66"/>
      <c r="AR1206" s="81"/>
      <c r="AS1206" s="81"/>
      <c r="AT1206" s="81"/>
      <c r="AU1206" s="81"/>
      <c r="AV1206" s="83">
        <f>SUM(Prog_236[[#This Row],[ADIANTAMENTO]]+Prog_236[[#This Row],[SALDO]]+Prog_236[[#This Row],[MARGEM]]+Prog_236[[#This Row],[ESTADIA 1]])</f>
        <v>0</v>
      </c>
      <c r="AW12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6" s="81"/>
      <c r="AY1206" s="81"/>
      <c r="AZ1206" s="81">
        <f>Prog_236[[#This Row],[VLR NF]]*0.1%</f>
        <v>0</v>
      </c>
      <c r="BA1206" s="81">
        <f>Prog_236[[#This Row],[VLR NF]]*0.05%</f>
        <v>0</v>
      </c>
      <c r="BB1206" s="81"/>
      <c r="BC1206" s="81"/>
      <c r="BD1206" s="81"/>
      <c r="BE1206" s="81"/>
      <c r="BF1206" s="81"/>
      <c r="BG1206" s="81"/>
      <c r="BH1206" s="81"/>
      <c r="BI1206" s="81"/>
      <c r="BJ1206" s="81"/>
      <c r="BK1206" s="81"/>
      <c r="BL1206" s="66"/>
      <c r="BM1206" s="66"/>
      <c r="BN1206" s="66"/>
      <c r="BO1206" s="66" t="str">
        <f>PROPER(TEXT(Prog_236[[#This Row],[PROGRAMAÇÃO CLIENTE]],"mmm"))</f>
        <v>Jan</v>
      </c>
      <c r="BP1206" s="66">
        <f>YEAR(Prog_236[[#This Row],[PROGRAMAÇÃO CLIENTE]])</f>
        <v>1900</v>
      </c>
    </row>
    <row r="1207" spans="1:68" x14ac:dyDescent="0.25">
      <c r="A1207" s="200">
        <f>Prog_236[[#This Row],[CONTEINER]]</f>
        <v>0</v>
      </c>
      <c r="B1207" s="86"/>
      <c r="C12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7" s="44"/>
      <c r="E1207" s="66"/>
      <c r="F1207" s="66"/>
      <c r="G1207" s="66"/>
      <c r="H1207" s="44"/>
      <c r="I1207" s="44"/>
      <c r="J1207" s="66"/>
      <c r="K1207" s="66"/>
      <c r="L1207" s="66"/>
      <c r="M1207" s="66"/>
      <c r="N1207" s="66">
        <f>SUM(Prog_236[[#This Row],[TARA]]+Prog_236[[#This Row],[PESO]])</f>
        <v>0</v>
      </c>
      <c r="O1207" s="44"/>
      <c r="P1207" s="66"/>
      <c r="Q1207" s="66"/>
      <c r="R1207" s="66"/>
      <c r="S1207" s="66"/>
      <c r="T1207" s="138" t="str">
        <f>IFERROR(LOOKUP($S1207,MOTORISTAS!$D$3:$D$1048576,MOTORISTAS!E$3:$E$1048576),"")</f>
        <v/>
      </c>
      <c r="U1207" s="138" t="str">
        <f>IFERROR(LOOKUP($S1207,MOTORISTAS!$D$3:$D$1048576,MOTORISTAS!F$3:$F$1048576),"")</f>
        <v/>
      </c>
      <c r="V1207" s="66"/>
      <c r="W1207" s="66"/>
      <c r="X1207" s="66"/>
      <c r="Y1207" s="66"/>
      <c r="Z1207" s="66"/>
      <c r="AA1207" s="66"/>
      <c r="AB1207" s="66"/>
      <c r="AC1207" s="66"/>
      <c r="AD1207" s="66"/>
      <c r="AE1207" s="66"/>
      <c r="AF1207" s="44"/>
      <c r="AG1207" s="254">
        <f>Prog_236[[#This Row],[SAÍDA DO CLIENTE]]-Prog_236[[#This Row],[PROGRAMAÇÃO CLIENTE]]</f>
        <v>0</v>
      </c>
      <c r="AH1207" s="44"/>
      <c r="AI1207" s="66"/>
      <c r="AJ1207" s="66"/>
      <c r="AK1207" s="66"/>
      <c r="AL1207" s="66"/>
      <c r="AM1207" s="66"/>
      <c r="AN1207" s="83"/>
      <c r="AO1207" s="66"/>
      <c r="AP1207" s="66"/>
      <c r="AQ1207" s="66"/>
      <c r="AR1207" s="81"/>
      <c r="AS1207" s="81"/>
      <c r="AT1207" s="81"/>
      <c r="AU1207" s="81"/>
      <c r="AV1207" s="83">
        <f>SUM(Prog_236[[#This Row],[ADIANTAMENTO]]+Prog_236[[#This Row],[SALDO]]+Prog_236[[#This Row],[MARGEM]]+Prog_236[[#This Row],[ESTADIA 1]])</f>
        <v>0</v>
      </c>
      <c r="AW12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7" s="81"/>
      <c r="AY1207" s="81"/>
      <c r="AZ1207" s="81">
        <f>Prog_236[[#This Row],[VLR NF]]*0.1%</f>
        <v>0</v>
      </c>
      <c r="BA1207" s="81">
        <f>Prog_236[[#This Row],[VLR NF]]*0.05%</f>
        <v>0</v>
      </c>
      <c r="BB1207" s="81"/>
      <c r="BC1207" s="81"/>
      <c r="BD1207" s="81"/>
      <c r="BE1207" s="81"/>
      <c r="BF1207" s="81"/>
      <c r="BG1207" s="81"/>
      <c r="BH1207" s="81"/>
      <c r="BI1207" s="81"/>
      <c r="BJ1207" s="81"/>
      <c r="BK1207" s="81"/>
      <c r="BL1207" s="66"/>
      <c r="BM1207" s="66"/>
      <c r="BN1207" s="66"/>
      <c r="BO1207" s="66" t="str">
        <f>PROPER(TEXT(Prog_236[[#This Row],[PROGRAMAÇÃO CLIENTE]],"mmm"))</f>
        <v>Jan</v>
      </c>
      <c r="BP1207" s="66">
        <f>YEAR(Prog_236[[#This Row],[PROGRAMAÇÃO CLIENTE]])</f>
        <v>1900</v>
      </c>
    </row>
    <row r="1208" spans="1:68" x14ac:dyDescent="0.25">
      <c r="A1208" s="201">
        <f>Prog_236[[#This Row],[CONTEINER]]</f>
        <v>0</v>
      </c>
      <c r="B1208" s="86"/>
      <c r="C12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8" s="44"/>
      <c r="E1208" s="66"/>
      <c r="F1208" s="66"/>
      <c r="G1208" s="66"/>
      <c r="H1208" s="44"/>
      <c r="I1208" s="44"/>
      <c r="J1208" s="66"/>
      <c r="K1208" s="66"/>
      <c r="L1208" s="66"/>
      <c r="M1208" s="66"/>
      <c r="N1208" s="66">
        <f>SUM(Prog_236[[#This Row],[TARA]]+Prog_236[[#This Row],[PESO]])</f>
        <v>0</v>
      </c>
      <c r="O1208" s="44"/>
      <c r="P1208" s="66"/>
      <c r="Q1208" s="66"/>
      <c r="R1208" s="66"/>
      <c r="S1208" s="66"/>
      <c r="T1208" s="138" t="str">
        <f>IFERROR(LOOKUP($S1208,MOTORISTAS!$D$3:$D$1048576,MOTORISTAS!E$3:$E$1048576),"")</f>
        <v/>
      </c>
      <c r="U1208" s="138" t="str">
        <f>IFERROR(LOOKUP($S1208,MOTORISTAS!$D$3:$D$1048576,MOTORISTAS!F$3:$F$1048576),"")</f>
        <v/>
      </c>
      <c r="V1208" s="66"/>
      <c r="W1208" s="66"/>
      <c r="X1208" s="66"/>
      <c r="Y1208" s="66"/>
      <c r="Z1208" s="66"/>
      <c r="AA1208" s="66"/>
      <c r="AB1208" s="66"/>
      <c r="AC1208" s="66"/>
      <c r="AD1208" s="66"/>
      <c r="AE1208" s="66"/>
      <c r="AF1208" s="44"/>
      <c r="AG1208" s="254">
        <f>Prog_236[[#This Row],[SAÍDA DO CLIENTE]]-Prog_236[[#This Row],[PROGRAMAÇÃO CLIENTE]]</f>
        <v>0</v>
      </c>
      <c r="AH1208" s="44"/>
      <c r="AI1208" s="66"/>
      <c r="AJ1208" s="66"/>
      <c r="AK1208" s="66"/>
      <c r="AL1208" s="66"/>
      <c r="AM1208" s="66"/>
      <c r="AN1208" s="83"/>
      <c r="AO1208" s="66"/>
      <c r="AP1208" s="66"/>
      <c r="AQ1208" s="66"/>
      <c r="AR1208" s="81"/>
      <c r="AS1208" s="81"/>
      <c r="AT1208" s="81"/>
      <c r="AU1208" s="81"/>
      <c r="AV1208" s="83">
        <f>SUM(Prog_236[[#This Row],[ADIANTAMENTO]]+Prog_236[[#This Row],[SALDO]]+Prog_236[[#This Row],[MARGEM]]+Prog_236[[#This Row],[ESTADIA 1]])</f>
        <v>0</v>
      </c>
      <c r="AW12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8" s="81"/>
      <c r="AY1208" s="81"/>
      <c r="AZ1208" s="81">
        <f>Prog_236[[#This Row],[VLR NF]]*0.1%</f>
        <v>0</v>
      </c>
      <c r="BA1208" s="81">
        <f>Prog_236[[#This Row],[VLR NF]]*0.05%</f>
        <v>0</v>
      </c>
      <c r="BB1208" s="81"/>
      <c r="BC1208" s="81"/>
      <c r="BD1208" s="81"/>
      <c r="BE1208" s="81"/>
      <c r="BF1208" s="81"/>
      <c r="BG1208" s="81"/>
      <c r="BH1208" s="81"/>
      <c r="BI1208" s="81"/>
      <c r="BJ1208" s="81"/>
      <c r="BK1208" s="81"/>
      <c r="BL1208" s="66"/>
      <c r="BM1208" s="66"/>
      <c r="BN1208" s="66"/>
      <c r="BO1208" s="66" t="str">
        <f>PROPER(TEXT(Prog_236[[#This Row],[PROGRAMAÇÃO CLIENTE]],"mmm"))</f>
        <v>Jan</v>
      </c>
      <c r="BP1208" s="66">
        <f>YEAR(Prog_236[[#This Row],[PROGRAMAÇÃO CLIENTE]])</f>
        <v>1900</v>
      </c>
    </row>
    <row r="1209" spans="1:68" x14ac:dyDescent="0.25">
      <c r="A1209" s="200">
        <f>Prog_236[[#This Row],[CONTEINER]]</f>
        <v>0</v>
      </c>
      <c r="B1209" s="86"/>
      <c r="C12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09" s="44"/>
      <c r="E1209" s="66"/>
      <c r="F1209" s="66"/>
      <c r="G1209" s="66"/>
      <c r="H1209" s="44"/>
      <c r="I1209" s="44"/>
      <c r="J1209" s="66"/>
      <c r="K1209" s="66"/>
      <c r="L1209" s="66"/>
      <c r="M1209" s="66"/>
      <c r="N1209" s="66">
        <f>SUM(Prog_236[[#This Row],[TARA]]+Prog_236[[#This Row],[PESO]])</f>
        <v>0</v>
      </c>
      <c r="O1209" s="44"/>
      <c r="P1209" s="66"/>
      <c r="Q1209" s="66"/>
      <c r="R1209" s="66"/>
      <c r="S1209" s="66"/>
      <c r="T1209" s="138" t="str">
        <f>IFERROR(LOOKUP($S1209,MOTORISTAS!$D$3:$D$1048576,MOTORISTAS!E$3:$E$1048576),"")</f>
        <v/>
      </c>
      <c r="U1209" s="138" t="str">
        <f>IFERROR(LOOKUP($S1209,MOTORISTAS!$D$3:$D$1048576,MOTORISTAS!F$3:$F$1048576),"")</f>
        <v/>
      </c>
      <c r="V1209" s="66"/>
      <c r="W1209" s="66"/>
      <c r="X1209" s="66"/>
      <c r="Y1209" s="66"/>
      <c r="Z1209" s="66"/>
      <c r="AA1209" s="66"/>
      <c r="AB1209" s="66"/>
      <c r="AC1209" s="66"/>
      <c r="AD1209" s="66"/>
      <c r="AE1209" s="66"/>
      <c r="AF1209" s="44"/>
      <c r="AG1209" s="254">
        <f>Prog_236[[#This Row],[SAÍDA DO CLIENTE]]-Prog_236[[#This Row],[PROGRAMAÇÃO CLIENTE]]</f>
        <v>0</v>
      </c>
      <c r="AH1209" s="44"/>
      <c r="AI1209" s="66"/>
      <c r="AJ1209" s="66"/>
      <c r="AK1209" s="66"/>
      <c r="AL1209" s="66"/>
      <c r="AM1209" s="66"/>
      <c r="AN1209" s="83"/>
      <c r="AO1209" s="66"/>
      <c r="AP1209" s="66"/>
      <c r="AQ1209" s="66"/>
      <c r="AR1209" s="81"/>
      <c r="AS1209" s="81"/>
      <c r="AT1209" s="81"/>
      <c r="AU1209" s="81"/>
      <c r="AV1209" s="83">
        <f>SUM(Prog_236[[#This Row],[ADIANTAMENTO]]+Prog_236[[#This Row],[SALDO]]+Prog_236[[#This Row],[MARGEM]]+Prog_236[[#This Row],[ESTADIA 1]])</f>
        <v>0</v>
      </c>
      <c r="AW12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09" s="81"/>
      <c r="AY1209" s="81"/>
      <c r="AZ1209" s="81">
        <f>Prog_236[[#This Row],[VLR NF]]*0.1%</f>
        <v>0</v>
      </c>
      <c r="BA1209" s="81">
        <f>Prog_236[[#This Row],[VLR NF]]*0.05%</f>
        <v>0</v>
      </c>
      <c r="BB1209" s="81"/>
      <c r="BC1209" s="81"/>
      <c r="BD1209" s="81"/>
      <c r="BE1209" s="81"/>
      <c r="BF1209" s="81"/>
      <c r="BG1209" s="81"/>
      <c r="BH1209" s="81"/>
      <c r="BI1209" s="81"/>
      <c r="BJ1209" s="81"/>
      <c r="BK1209" s="81"/>
      <c r="BL1209" s="66"/>
      <c r="BM1209" s="66"/>
      <c r="BN1209" s="66"/>
      <c r="BO1209" s="66" t="str">
        <f>PROPER(TEXT(Prog_236[[#This Row],[PROGRAMAÇÃO CLIENTE]],"mmm"))</f>
        <v>Jan</v>
      </c>
      <c r="BP1209" s="66">
        <f>YEAR(Prog_236[[#This Row],[PROGRAMAÇÃO CLIENTE]])</f>
        <v>1900</v>
      </c>
    </row>
    <row r="1210" spans="1:68" x14ac:dyDescent="0.25">
      <c r="A1210" s="201">
        <f>Prog_236[[#This Row],[CONTEINER]]</f>
        <v>0</v>
      </c>
      <c r="B1210" s="86"/>
      <c r="C12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0" s="44"/>
      <c r="E1210" s="66"/>
      <c r="F1210" s="66"/>
      <c r="G1210" s="66"/>
      <c r="H1210" s="44"/>
      <c r="I1210" s="44"/>
      <c r="J1210" s="66"/>
      <c r="K1210" s="66"/>
      <c r="L1210" s="66"/>
      <c r="M1210" s="66"/>
      <c r="N1210" s="66">
        <f>SUM(Prog_236[[#This Row],[TARA]]+Prog_236[[#This Row],[PESO]])</f>
        <v>0</v>
      </c>
      <c r="O1210" s="44"/>
      <c r="P1210" s="66"/>
      <c r="Q1210" s="66"/>
      <c r="R1210" s="66"/>
      <c r="S1210" s="66"/>
      <c r="T1210" s="138" t="str">
        <f>IFERROR(LOOKUP($S1210,MOTORISTAS!$D$3:$D$1048576,MOTORISTAS!E$3:$E$1048576),"")</f>
        <v/>
      </c>
      <c r="U1210" s="138" t="str">
        <f>IFERROR(LOOKUP($S1210,MOTORISTAS!$D$3:$D$1048576,MOTORISTAS!F$3:$F$1048576),"")</f>
        <v/>
      </c>
      <c r="V1210" s="66"/>
      <c r="W1210" s="66"/>
      <c r="X1210" s="66"/>
      <c r="Y1210" s="66"/>
      <c r="Z1210" s="66"/>
      <c r="AA1210" s="66"/>
      <c r="AB1210" s="66"/>
      <c r="AC1210" s="66"/>
      <c r="AD1210" s="66"/>
      <c r="AE1210" s="66"/>
      <c r="AF1210" s="44"/>
      <c r="AG1210" s="254">
        <f>Prog_236[[#This Row],[SAÍDA DO CLIENTE]]-Prog_236[[#This Row],[PROGRAMAÇÃO CLIENTE]]</f>
        <v>0</v>
      </c>
      <c r="AH1210" s="44"/>
      <c r="AI1210" s="66"/>
      <c r="AJ1210" s="66"/>
      <c r="AK1210" s="66"/>
      <c r="AL1210" s="66"/>
      <c r="AM1210" s="66"/>
      <c r="AN1210" s="83"/>
      <c r="AO1210" s="66"/>
      <c r="AP1210" s="66"/>
      <c r="AQ1210" s="66"/>
      <c r="AR1210" s="81"/>
      <c r="AS1210" s="81"/>
      <c r="AT1210" s="81"/>
      <c r="AU1210" s="81"/>
      <c r="AV1210" s="83">
        <f>SUM(Prog_236[[#This Row],[ADIANTAMENTO]]+Prog_236[[#This Row],[SALDO]]+Prog_236[[#This Row],[MARGEM]]+Prog_236[[#This Row],[ESTADIA 1]])</f>
        <v>0</v>
      </c>
      <c r="AW12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0" s="81"/>
      <c r="AY1210" s="81"/>
      <c r="AZ1210" s="81">
        <f>Prog_236[[#This Row],[VLR NF]]*0.1%</f>
        <v>0</v>
      </c>
      <c r="BA1210" s="81">
        <f>Prog_236[[#This Row],[VLR NF]]*0.05%</f>
        <v>0</v>
      </c>
      <c r="BB1210" s="81"/>
      <c r="BC1210" s="81"/>
      <c r="BD1210" s="81"/>
      <c r="BE1210" s="81"/>
      <c r="BF1210" s="81"/>
      <c r="BG1210" s="81"/>
      <c r="BH1210" s="81"/>
      <c r="BI1210" s="81"/>
      <c r="BJ1210" s="81"/>
      <c r="BK1210" s="81"/>
      <c r="BL1210" s="66"/>
      <c r="BM1210" s="66"/>
      <c r="BN1210" s="66"/>
      <c r="BO1210" s="66" t="str">
        <f>PROPER(TEXT(Prog_236[[#This Row],[PROGRAMAÇÃO CLIENTE]],"mmm"))</f>
        <v>Jan</v>
      </c>
      <c r="BP1210" s="66">
        <f>YEAR(Prog_236[[#This Row],[PROGRAMAÇÃO CLIENTE]])</f>
        <v>1900</v>
      </c>
    </row>
    <row r="1211" spans="1:68" x14ac:dyDescent="0.25">
      <c r="A1211" s="200">
        <f>Prog_236[[#This Row],[CONTEINER]]</f>
        <v>0</v>
      </c>
      <c r="B1211" s="86"/>
      <c r="C12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1" s="44"/>
      <c r="E1211" s="66"/>
      <c r="F1211" s="66"/>
      <c r="G1211" s="66"/>
      <c r="H1211" s="44"/>
      <c r="I1211" s="44"/>
      <c r="J1211" s="66"/>
      <c r="K1211" s="66"/>
      <c r="L1211" s="66"/>
      <c r="M1211" s="66"/>
      <c r="N1211" s="66">
        <f>SUM(Prog_236[[#This Row],[TARA]]+Prog_236[[#This Row],[PESO]])</f>
        <v>0</v>
      </c>
      <c r="O1211" s="44"/>
      <c r="P1211" s="66"/>
      <c r="Q1211" s="66"/>
      <c r="R1211" s="66"/>
      <c r="S1211" s="66"/>
      <c r="T1211" s="138" t="str">
        <f>IFERROR(LOOKUP($S1211,MOTORISTAS!$D$3:$D$1048576,MOTORISTAS!E$3:$E$1048576),"")</f>
        <v/>
      </c>
      <c r="U1211" s="138" t="str">
        <f>IFERROR(LOOKUP($S1211,MOTORISTAS!$D$3:$D$1048576,MOTORISTAS!F$3:$F$1048576),"")</f>
        <v/>
      </c>
      <c r="V1211" s="66"/>
      <c r="W1211" s="66"/>
      <c r="X1211" s="66"/>
      <c r="Y1211" s="66"/>
      <c r="Z1211" s="66"/>
      <c r="AA1211" s="66"/>
      <c r="AB1211" s="66"/>
      <c r="AC1211" s="66"/>
      <c r="AD1211" s="66"/>
      <c r="AE1211" s="66"/>
      <c r="AF1211" s="44"/>
      <c r="AG1211" s="254">
        <f>Prog_236[[#This Row],[SAÍDA DO CLIENTE]]-Prog_236[[#This Row],[PROGRAMAÇÃO CLIENTE]]</f>
        <v>0</v>
      </c>
      <c r="AH1211" s="44"/>
      <c r="AI1211" s="66"/>
      <c r="AJ1211" s="66"/>
      <c r="AK1211" s="66"/>
      <c r="AL1211" s="66"/>
      <c r="AM1211" s="66"/>
      <c r="AN1211" s="83"/>
      <c r="AO1211" s="66"/>
      <c r="AP1211" s="66"/>
      <c r="AQ1211" s="66"/>
      <c r="AR1211" s="81"/>
      <c r="AS1211" s="81"/>
      <c r="AT1211" s="81"/>
      <c r="AU1211" s="81"/>
      <c r="AV1211" s="83">
        <f>SUM(Prog_236[[#This Row],[ADIANTAMENTO]]+Prog_236[[#This Row],[SALDO]]+Prog_236[[#This Row],[MARGEM]]+Prog_236[[#This Row],[ESTADIA 1]])</f>
        <v>0</v>
      </c>
      <c r="AW12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1" s="81"/>
      <c r="AY1211" s="81"/>
      <c r="AZ1211" s="81">
        <f>Prog_236[[#This Row],[VLR NF]]*0.1%</f>
        <v>0</v>
      </c>
      <c r="BA1211" s="81">
        <f>Prog_236[[#This Row],[VLR NF]]*0.05%</f>
        <v>0</v>
      </c>
      <c r="BB1211" s="81"/>
      <c r="BC1211" s="81"/>
      <c r="BD1211" s="81"/>
      <c r="BE1211" s="81"/>
      <c r="BF1211" s="81"/>
      <c r="BG1211" s="81"/>
      <c r="BH1211" s="81"/>
      <c r="BI1211" s="81"/>
      <c r="BJ1211" s="81"/>
      <c r="BK1211" s="81"/>
      <c r="BL1211" s="66"/>
      <c r="BM1211" s="66"/>
      <c r="BN1211" s="66"/>
      <c r="BO1211" s="66" t="str">
        <f>PROPER(TEXT(Prog_236[[#This Row],[PROGRAMAÇÃO CLIENTE]],"mmm"))</f>
        <v>Jan</v>
      </c>
      <c r="BP1211" s="66">
        <f>YEAR(Prog_236[[#This Row],[PROGRAMAÇÃO CLIENTE]])</f>
        <v>1900</v>
      </c>
    </row>
    <row r="1212" spans="1:68" x14ac:dyDescent="0.25">
      <c r="A1212" s="201">
        <f>Prog_236[[#This Row],[CONTEINER]]</f>
        <v>0</v>
      </c>
      <c r="B1212" s="86"/>
      <c r="C12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2" s="44"/>
      <c r="E1212" s="66"/>
      <c r="F1212" s="66"/>
      <c r="G1212" s="66"/>
      <c r="H1212" s="44"/>
      <c r="I1212" s="44"/>
      <c r="J1212" s="66"/>
      <c r="K1212" s="66"/>
      <c r="L1212" s="66"/>
      <c r="M1212" s="66"/>
      <c r="N1212" s="66">
        <f>SUM(Prog_236[[#This Row],[TARA]]+Prog_236[[#This Row],[PESO]])</f>
        <v>0</v>
      </c>
      <c r="O1212" s="44"/>
      <c r="P1212" s="66"/>
      <c r="Q1212" s="66"/>
      <c r="R1212" s="66"/>
      <c r="S1212" s="66"/>
      <c r="T1212" s="138" t="str">
        <f>IFERROR(LOOKUP($S1212,MOTORISTAS!$D$3:$D$1048576,MOTORISTAS!E$3:$E$1048576),"")</f>
        <v/>
      </c>
      <c r="U1212" s="138" t="str">
        <f>IFERROR(LOOKUP($S1212,MOTORISTAS!$D$3:$D$1048576,MOTORISTAS!F$3:$F$1048576),"")</f>
        <v/>
      </c>
      <c r="V1212" s="66"/>
      <c r="W1212" s="66"/>
      <c r="X1212" s="66"/>
      <c r="Y1212" s="66"/>
      <c r="Z1212" s="66"/>
      <c r="AA1212" s="66"/>
      <c r="AB1212" s="66"/>
      <c r="AC1212" s="66"/>
      <c r="AD1212" s="66"/>
      <c r="AE1212" s="66"/>
      <c r="AF1212" s="44"/>
      <c r="AG1212" s="254">
        <f>Prog_236[[#This Row],[SAÍDA DO CLIENTE]]-Prog_236[[#This Row],[PROGRAMAÇÃO CLIENTE]]</f>
        <v>0</v>
      </c>
      <c r="AH1212" s="44"/>
      <c r="AI1212" s="66"/>
      <c r="AJ1212" s="66"/>
      <c r="AK1212" s="66"/>
      <c r="AL1212" s="66"/>
      <c r="AM1212" s="66"/>
      <c r="AN1212" s="83"/>
      <c r="AO1212" s="66"/>
      <c r="AP1212" s="66"/>
      <c r="AQ1212" s="66"/>
      <c r="AR1212" s="81"/>
      <c r="AS1212" s="81"/>
      <c r="AT1212" s="81"/>
      <c r="AU1212" s="81"/>
      <c r="AV1212" s="83">
        <f>SUM(Prog_236[[#This Row],[ADIANTAMENTO]]+Prog_236[[#This Row],[SALDO]]+Prog_236[[#This Row],[MARGEM]]+Prog_236[[#This Row],[ESTADIA 1]])</f>
        <v>0</v>
      </c>
      <c r="AW12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2" s="81"/>
      <c r="AY1212" s="81"/>
      <c r="AZ1212" s="81">
        <f>Prog_236[[#This Row],[VLR NF]]*0.1%</f>
        <v>0</v>
      </c>
      <c r="BA1212" s="81">
        <f>Prog_236[[#This Row],[VLR NF]]*0.05%</f>
        <v>0</v>
      </c>
      <c r="BB1212" s="81"/>
      <c r="BC1212" s="81"/>
      <c r="BD1212" s="81"/>
      <c r="BE1212" s="81"/>
      <c r="BF1212" s="81"/>
      <c r="BG1212" s="81"/>
      <c r="BH1212" s="81"/>
      <c r="BI1212" s="81"/>
      <c r="BJ1212" s="81"/>
      <c r="BK1212" s="81"/>
      <c r="BL1212" s="66"/>
      <c r="BM1212" s="66"/>
      <c r="BN1212" s="66"/>
      <c r="BO1212" s="66" t="str">
        <f>PROPER(TEXT(Prog_236[[#This Row],[PROGRAMAÇÃO CLIENTE]],"mmm"))</f>
        <v>Jan</v>
      </c>
      <c r="BP1212" s="66">
        <f>YEAR(Prog_236[[#This Row],[PROGRAMAÇÃO CLIENTE]])</f>
        <v>1900</v>
      </c>
    </row>
    <row r="1213" spans="1:68" x14ac:dyDescent="0.25">
      <c r="A1213" s="200">
        <f>Prog_236[[#This Row],[CONTEINER]]</f>
        <v>0</v>
      </c>
      <c r="B1213" s="86"/>
      <c r="C12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3" s="44"/>
      <c r="E1213" s="66"/>
      <c r="F1213" s="66"/>
      <c r="G1213" s="66"/>
      <c r="H1213" s="44"/>
      <c r="I1213" s="44"/>
      <c r="J1213" s="66"/>
      <c r="K1213" s="66"/>
      <c r="L1213" s="66"/>
      <c r="M1213" s="66"/>
      <c r="N1213" s="66">
        <f>SUM(Prog_236[[#This Row],[TARA]]+Prog_236[[#This Row],[PESO]])</f>
        <v>0</v>
      </c>
      <c r="O1213" s="44"/>
      <c r="P1213" s="66"/>
      <c r="Q1213" s="66"/>
      <c r="R1213" s="66"/>
      <c r="S1213" s="66"/>
      <c r="T1213" s="138" t="str">
        <f>IFERROR(LOOKUP($S1213,MOTORISTAS!$D$3:$D$1048576,MOTORISTAS!E$3:$E$1048576),"")</f>
        <v/>
      </c>
      <c r="U1213" s="138" t="str">
        <f>IFERROR(LOOKUP($S1213,MOTORISTAS!$D$3:$D$1048576,MOTORISTAS!F$3:$F$1048576),"")</f>
        <v/>
      </c>
      <c r="V1213" s="66"/>
      <c r="W1213" s="66"/>
      <c r="X1213" s="66"/>
      <c r="Y1213" s="66"/>
      <c r="Z1213" s="66"/>
      <c r="AA1213" s="66"/>
      <c r="AB1213" s="66"/>
      <c r="AC1213" s="66"/>
      <c r="AD1213" s="66"/>
      <c r="AE1213" s="66"/>
      <c r="AF1213" s="44"/>
      <c r="AG1213" s="254">
        <f>Prog_236[[#This Row],[SAÍDA DO CLIENTE]]-Prog_236[[#This Row],[PROGRAMAÇÃO CLIENTE]]</f>
        <v>0</v>
      </c>
      <c r="AH1213" s="44"/>
      <c r="AI1213" s="66"/>
      <c r="AJ1213" s="66"/>
      <c r="AK1213" s="66"/>
      <c r="AL1213" s="66"/>
      <c r="AM1213" s="66"/>
      <c r="AN1213" s="83"/>
      <c r="AO1213" s="66"/>
      <c r="AP1213" s="66"/>
      <c r="AQ1213" s="66"/>
      <c r="AR1213" s="81"/>
      <c r="AS1213" s="81"/>
      <c r="AT1213" s="81"/>
      <c r="AU1213" s="81"/>
      <c r="AV1213" s="83">
        <f>SUM(Prog_236[[#This Row],[ADIANTAMENTO]]+Prog_236[[#This Row],[SALDO]]+Prog_236[[#This Row],[MARGEM]]+Prog_236[[#This Row],[ESTADIA 1]])</f>
        <v>0</v>
      </c>
      <c r="AW12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3" s="81"/>
      <c r="AY1213" s="81"/>
      <c r="AZ1213" s="81">
        <f>Prog_236[[#This Row],[VLR NF]]*0.1%</f>
        <v>0</v>
      </c>
      <c r="BA1213" s="81">
        <f>Prog_236[[#This Row],[VLR NF]]*0.05%</f>
        <v>0</v>
      </c>
      <c r="BB1213" s="81"/>
      <c r="BC1213" s="81"/>
      <c r="BD1213" s="81"/>
      <c r="BE1213" s="81"/>
      <c r="BF1213" s="81"/>
      <c r="BG1213" s="81"/>
      <c r="BH1213" s="81"/>
      <c r="BI1213" s="81"/>
      <c r="BJ1213" s="81"/>
      <c r="BK1213" s="81"/>
      <c r="BL1213" s="66"/>
      <c r="BM1213" s="66"/>
      <c r="BN1213" s="66"/>
      <c r="BO1213" s="66" t="str">
        <f>PROPER(TEXT(Prog_236[[#This Row],[PROGRAMAÇÃO CLIENTE]],"mmm"))</f>
        <v>Jan</v>
      </c>
      <c r="BP1213" s="66">
        <f>YEAR(Prog_236[[#This Row],[PROGRAMAÇÃO CLIENTE]])</f>
        <v>1900</v>
      </c>
    </row>
    <row r="1214" spans="1:68" x14ac:dyDescent="0.25">
      <c r="A1214" s="201">
        <f>Prog_236[[#This Row],[CONTEINER]]</f>
        <v>0</v>
      </c>
      <c r="B1214" s="86"/>
      <c r="C12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4" s="44"/>
      <c r="E1214" s="66"/>
      <c r="F1214" s="66"/>
      <c r="G1214" s="66"/>
      <c r="H1214" s="44"/>
      <c r="I1214" s="44"/>
      <c r="J1214" s="66"/>
      <c r="K1214" s="66"/>
      <c r="L1214" s="66"/>
      <c r="M1214" s="66"/>
      <c r="N1214" s="66">
        <f>SUM(Prog_236[[#This Row],[TARA]]+Prog_236[[#This Row],[PESO]])</f>
        <v>0</v>
      </c>
      <c r="O1214" s="44"/>
      <c r="P1214" s="66"/>
      <c r="Q1214" s="66"/>
      <c r="R1214" s="66"/>
      <c r="S1214" s="66"/>
      <c r="T1214" s="138" t="str">
        <f>IFERROR(LOOKUP($S1214,MOTORISTAS!$D$3:$D$1048576,MOTORISTAS!E$3:$E$1048576),"")</f>
        <v/>
      </c>
      <c r="U1214" s="138" t="str">
        <f>IFERROR(LOOKUP($S1214,MOTORISTAS!$D$3:$D$1048576,MOTORISTAS!F$3:$F$1048576),"")</f>
        <v/>
      </c>
      <c r="V1214" s="66"/>
      <c r="W1214" s="66"/>
      <c r="X1214" s="66"/>
      <c r="Y1214" s="66"/>
      <c r="Z1214" s="66"/>
      <c r="AA1214" s="66"/>
      <c r="AB1214" s="66"/>
      <c r="AC1214" s="66"/>
      <c r="AD1214" s="66"/>
      <c r="AE1214" s="66"/>
      <c r="AF1214" s="44"/>
      <c r="AG1214" s="254">
        <f>Prog_236[[#This Row],[SAÍDA DO CLIENTE]]-Prog_236[[#This Row],[PROGRAMAÇÃO CLIENTE]]</f>
        <v>0</v>
      </c>
      <c r="AH1214" s="44"/>
      <c r="AI1214" s="66"/>
      <c r="AJ1214" s="66"/>
      <c r="AK1214" s="66"/>
      <c r="AL1214" s="66"/>
      <c r="AM1214" s="66"/>
      <c r="AN1214" s="83"/>
      <c r="AO1214" s="66"/>
      <c r="AP1214" s="66"/>
      <c r="AQ1214" s="66"/>
      <c r="AR1214" s="81"/>
      <c r="AS1214" s="81"/>
      <c r="AT1214" s="81"/>
      <c r="AU1214" s="81"/>
      <c r="AV1214" s="83">
        <f>SUM(Prog_236[[#This Row],[ADIANTAMENTO]]+Prog_236[[#This Row],[SALDO]]+Prog_236[[#This Row],[MARGEM]]+Prog_236[[#This Row],[ESTADIA 1]])</f>
        <v>0</v>
      </c>
      <c r="AW12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4" s="81"/>
      <c r="AY1214" s="81"/>
      <c r="AZ1214" s="81">
        <f>Prog_236[[#This Row],[VLR NF]]*0.1%</f>
        <v>0</v>
      </c>
      <c r="BA1214" s="81">
        <f>Prog_236[[#This Row],[VLR NF]]*0.05%</f>
        <v>0</v>
      </c>
      <c r="BB1214" s="81"/>
      <c r="BC1214" s="81"/>
      <c r="BD1214" s="81"/>
      <c r="BE1214" s="81"/>
      <c r="BF1214" s="81"/>
      <c r="BG1214" s="81"/>
      <c r="BH1214" s="81"/>
      <c r="BI1214" s="81"/>
      <c r="BJ1214" s="81"/>
      <c r="BK1214" s="81"/>
      <c r="BL1214" s="66"/>
      <c r="BM1214" s="66"/>
      <c r="BN1214" s="66"/>
      <c r="BO1214" s="66" t="str">
        <f>PROPER(TEXT(Prog_236[[#This Row],[PROGRAMAÇÃO CLIENTE]],"mmm"))</f>
        <v>Jan</v>
      </c>
      <c r="BP1214" s="66">
        <f>YEAR(Prog_236[[#This Row],[PROGRAMAÇÃO CLIENTE]])</f>
        <v>1900</v>
      </c>
    </row>
    <row r="1215" spans="1:68" x14ac:dyDescent="0.25">
      <c r="A1215" s="200">
        <f>Prog_236[[#This Row],[CONTEINER]]</f>
        <v>0</v>
      </c>
      <c r="B1215" s="86"/>
      <c r="C12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5" s="44"/>
      <c r="E1215" s="66"/>
      <c r="F1215" s="66"/>
      <c r="G1215" s="66"/>
      <c r="H1215" s="44"/>
      <c r="I1215" s="44"/>
      <c r="J1215" s="66"/>
      <c r="K1215" s="66"/>
      <c r="L1215" s="66"/>
      <c r="M1215" s="66"/>
      <c r="N1215" s="66">
        <f>SUM(Prog_236[[#This Row],[TARA]]+Prog_236[[#This Row],[PESO]])</f>
        <v>0</v>
      </c>
      <c r="O1215" s="44"/>
      <c r="P1215" s="66"/>
      <c r="Q1215" s="66"/>
      <c r="R1215" s="66"/>
      <c r="S1215" s="66"/>
      <c r="T1215" s="138" t="str">
        <f>IFERROR(LOOKUP($S1215,MOTORISTAS!$D$3:$D$1048576,MOTORISTAS!E$3:$E$1048576),"")</f>
        <v/>
      </c>
      <c r="U1215" s="138" t="str">
        <f>IFERROR(LOOKUP($S1215,MOTORISTAS!$D$3:$D$1048576,MOTORISTAS!F$3:$F$1048576),"")</f>
        <v/>
      </c>
      <c r="V1215" s="66"/>
      <c r="W1215" s="66"/>
      <c r="X1215" s="66"/>
      <c r="Y1215" s="66"/>
      <c r="Z1215" s="66"/>
      <c r="AA1215" s="66"/>
      <c r="AB1215" s="66"/>
      <c r="AC1215" s="66"/>
      <c r="AD1215" s="66"/>
      <c r="AE1215" s="66"/>
      <c r="AF1215" s="44"/>
      <c r="AG1215" s="254">
        <f>Prog_236[[#This Row],[SAÍDA DO CLIENTE]]-Prog_236[[#This Row],[PROGRAMAÇÃO CLIENTE]]</f>
        <v>0</v>
      </c>
      <c r="AH1215" s="44"/>
      <c r="AI1215" s="66"/>
      <c r="AJ1215" s="66"/>
      <c r="AK1215" s="66"/>
      <c r="AL1215" s="66"/>
      <c r="AM1215" s="66"/>
      <c r="AN1215" s="83"/>
      <c r="AO1215" s="66"/>
      <c r="AP1215" s="66"/>
      <c r="AQ1215" s="66"/>
      <c r="AR1215" s="81"/>
      <c r="AS1215" s="81"/>
      <c r="AT1215" s="81"/>
      <c r="AU1215" s="81"/>
      <c r="AV1215" s="83">
        <f>SUM(Prog_236[[#This Row],[ADIANTAMENTO]]+Prog_236[[#This Row],[SALDO]]+Prog_236[[#This Row],[MARGEM]]+Prog_236[[#This Row],[ESTADIA 1]])</f>
        <v>0</v>
      </c>
      <c r="AW12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5" s="81"/>
      <c r="AY1215" s="81"/>
      <c r="AZ1215" s="81">
        <f>Prog_236[[#This Row],[VLR NF]]*0.1%</f>
        <v>0</v>
      </c>
      <c r="BA1215" s="81">
        <f>Prog_236[[#This Row],[VLR NF]]*0.05%</f>
        <v>0</v>
      </c>
      <c r="BB1215" s="81"/>
      <c r="BC1215" s="81"/>
      <c r="BD1215" s="81"/>
      <c r="BE1215" s="81"/>
      <c r="BF1215" s="81"/>
      <c r="BG1215" s="81"/>
      <c r="BH1215" s="81"/>
      <c r="BI1215" s="81"/>
      <c r="BJ1215" s="81"/>
      <c r="BK1215" s="81"/>
      <c r="BL1215" s="66"/>
      <c r="BM1215" s="66"/>
      <c r="BN1215" s="66"/>
      <c r="BO1215" s="66" t="str">
        <f>PROPER(TEXT(Prog_236[[#This Row],[PROGRAMAÇÃO CLIENTE]],"mmm"))</f>
        <v>Jan</v>
      </c>
      <c r="BP1215" s="66">
        <f>YEAR(Prog_236[[#This Row],[PROGRAMAÇÃO CLIENTE]])</f>
        <v>1900</v>
      </c>
    </row>
    <row r="1216" spans="1:68" x14ac:dyDescent="0.25">
      <c r="A1216" s="201">
        <f>Prog_236[[#This Row],[CONTEINER]]</f>
        <v>0</v>
      </c>
      <c r="B1216" s="86"/>
      <c r="C12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6" s="44"/>
      <c r="E1216" s="66"/>
      <c r="F1216" s="66"/>
      <c r="G1216" s="66"/>
      <c r="H1216" s="44"/>
      <c r="I1216" s="44"/>
      <c r="J1216" s="66"/>
      <c r="K1216" s="66"/>
      <c r="L1216" s="66"/>
      <c r="M1216" s="66"/>
      <c r="N1216" s="66">
        <f>SUM(Prog_236[[#This Row],[TARA]]+Prog_236[[#This Row],[PESO]])</f>
        <v>0</v>
      </c>
      <c r="O1216" s="44"/>
      <c r="P1216" s="66"/>
      <c r="Q1216" s="66"/>
      <c r="R1216" s="66"/>
      <c r="S1216" s="66"/>
      <c r="T1216" s="138" t="str">
        <f>IFERROR(LOOKUP($S1216,MOTORISTAS!$D$3:$D$1048576,MOTORISTAS!E$3:$E$1048576),"")</f>
        <v/>
      </c>
      <c r="U1216" s="138" t="str">
        <f>IFERROR(LOOKUP($S1216,MOTORISTAS!$D$3:$D$1048576,MOTORISTAS!F$3:$F$1048576),"")</f>
        <v/>
      </c>
      <c r="V1216" s="66"/>
      <c r="W1216" s="66"/>
      <c r="X1216" s="66"/>
      <c r="Y1216" s="66"/>
      <c r="Z1216" s="66"/>
      <c r="AA1216" s="66"/>
      <c r="AB1216" s="66"/>
      <c r="AC1216" s="66"/>
      <c r="AD1216" s="66"/>
      <c r="AE1216" s="66"/>
      <c r="AF1216" s="44"/>
      <c r="AG1216" s="254">
        <f>Prog_236[[#This Row],[SAÍDA DO CLIENTE]]-Prog_236[[#This Row],[PROGRAMAÇÃO CLIENTE]]</f>
        <v>0</v>
      </c>
      <c r="AH1216" s="44"/>
      <c r="AI1216" s="66"/>
      <c r="AJ1216" s="66"/>
      <c r="AK1216" s="66"/>
      <c r="AL1216" s="66"/>
      <c r="AM1216" s="66"/>
      <c r="AN1216" s="83"/>
      <c r="AO1216" s="66"/>
      <c r="AP1216" s="66"/>
      <c r="AQ1216" s="66"/>
      <c r="AR1216" s="81"/>
      <c r="AS1216" s="81"/>
      <c r="AT1216" s="81"/>
      <c r="AU1216" s="81"/>
      <c r="AV1216" s="83">
        <f>SUM(Prog_236[[#This Row],[ADIANTAMENTO]]+Prog_236[[#This Row],[SALDO]]+Prog_236[[#This Row],[MARGEM]]+Prog_236[[#This Row],[ESTADIA 1]])</f>
        <v>0</v>
      </c>
      <c r="AW12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6" s="81"/>
      <c r="AY1216" s="81"/>
      <c r="AZ1216" s="81">
        <f>Prog_236[[#This Row],[VLR NF]]*0.1%</f>
        <v>0</v>
      </c>
      <c r="BA1216" s="81">
        <f>Prog_236[[#This Row],[VLR NF]]*0.05%</f>
        <v>0</v>
      </c>
      <c r="BB1216" s="81"/>
      <c r="BC1216" s="81"/>
      <c r="BD1216" s="81"/>
      <c r="BE1216" s="81"/>
      <c r="BF1216" s="81"/>
      <c r="BG1216" s="81"/>
      <c r="BH1216" s="81"/>
      <c r="BI1216" s="81"/>
      <c r="BJ1216" s="81"/>
      <c r="BK1216" s="81"/>
      <c r="BL1216" s="66"/>
      <c r="BM1216" s="66"/>
      <c r="BN1216" s="66"/>
      <c r="BO1216" s="66" t="str">
        <f>PROPER(TEXT(Prog_236[[#This Row],[PROGRAMAÇÃO CLIENTE]],"mmm"))</f>
        <v>Jan</v>
      </c>
      <c r="BP1216" s="66">
        <f>YEAR(Prog_236[[#This Row],[PROGRAMAÇÃO CLIENTE]])</f>
        <v>1900</v>
      </c>
    </row>
    <row r="1217" spans="1:68" x14ac:dyDescent="0.25">
      <c r="A1217" s="200">
        <f>Prog_236[[#This Row],[CONTEINER]]</f>
        <v>0</v>
      </c>
      <c r="B1217" s="86"/>
      <c r="C12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7" s="44"/>
      <c r="E1217" s="66"/>
      <c r="F1217" s="66"/>
      <c r="G1217" s="66"/>
      <c r="H1217" s="44"/>
      <c r="I1217" s="44"/>
      <c r="J1217" s="66"/>
      <c r="K1217" s="66"/>
      <c r="L1217" s="66"/>
      <c r="M1217" s="66"/>
      <c r="N1217" s="66">
        <f>SUM(Prog_236[[#This Row],[TARA]]+Prog_236[[#This Row],[PESO]])</f>
        <v>0</v>
      </c>
      <c r="O1217" s="44"/>
      <c r="P1217" s="66"/>
      <c r="Q1217" s="66"/>
      <c r="R1217" s="66"/>
      <c r="S1217" s="66"/>
      <c r="T1217" s="138" t="str">
        <f>IFERROR(LOOKUP($S1217,MOTORISTAS!$D$3:$D$1048576,MOTORISTAS!E$3:$E$1048576),"")</f>
        <v/>
      </c>
      <c r="U1217" s="138" t="str">
        <f>IFERROR(LOOKUP($S1217,MOTORISTAS!$D$3:$D$1048576,MOTORISTAS!F$3:$F$1048576),"")</f>
        <v/>
      </c>
      <c r="V1217" s="66"/>
      <c r="W1217" s="66"/>
      <c r="X1217" s="66"/>
      <c r="Y1217" s="66"/>
      <c r="Z1217" s="66"/>
      <c r="AA1217" s="66"/>
      <c r="AB1217" s="66"/>
      <c r="AC1217" s="66"/>
      <c r="AD1217" s="66"/>
      <c r="AE1217" s="66"/>
      <c r="AF1217" s="44"/>
      <c r="AG1217" s="254">
        <f>Prog_236[[#This Row],[SAÍDA DO CLIENTE]]-Prog_236[[#This Row],[PROGRAMAÇÃO CLIENTE]]</f>
        <v>0</v>
      </c>
      <c r="AH1217" s="44"/>
      <c r="AI1217" s="66"/>
      <c r="AJ1217" s="66"/>
      <c r="AK1217" s="66"/>
      <c r="AL1217" s="66"/>
      <c r="AM1217" s="66"/>
      <c r="AN1217" s="83"/>
      <c r="AO1217" s="66"/>
      <c r="AP1217" s="66"/>
      <c r="AQ1217" s="66"/>
      <c r="AR1217" s="81"/>
      <c r="AS1217" s="81"/>
      <c r="AT1217" s="81"/>
      <c r="AU1217" s="81"/>
      <c r="AV1217" s="83">
        <f>SUM(Prog_236[[#This Row],[ADIANTAMENTO]]+Prog_236[[#This Row],[SALDO]]+Prog_236[[#This Row],[MARGEM]]+Prog_236[[#This Row],[ESTADIA 1]])</f>
        <v>0</v>
      </c>
      <c r="AW12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7" s="81"/>
      <c r="AY1217" s="81"/>
      <c r="AZ1217" s="81">
        <f>Prog_236[[#This Row],[VLR NF]]*0.1%</f>
        <v>0</v>
      </c>
      <c r="BA1217" s="81">
        <f>Prog_236[[#This Row],[VLR NF]]*0.05%</f>
        <v>0</v>
      </c>
      <c r="BB1217" s="81"/>
      <c r="BC1217" s="81"/>
      <c r="BD1217" s="81"/>
      <c r="BE1217" s="81"/>
      <c r="BF1217" s="81"/>
      <c r="BG1217" s="81"/>
      <c r="BH1217" s="81"/>
      <c r="BI1217" s="81"/>
      <c r="BJ1217" s="81"/>
      <c r="BK1217" s="81"/>
      <c r="BL1217" s="66"/>
      <c r="BM1217" s="66"/>
      <c r="BN1217" s="66"/>
      <c r="BO1217" s="66" t="str">
        <f>PROPER(TEXT(Prog_236[[#This Row],[PROGRAMAÇÃO CLIENTE]],"mmm"))</f>
        <v>Jan</v>
      </c>
      <c r="BP1217" s="66">
        <f>YEAR(Prog_236[[#This Row],[PROGRAMAÇÃO CLIENTE]])</f>
        <v>1900</v>
      </c>
    </row>
    <row r="1218" spans="1:68" x14ac:dyDescent="0.25">
      <c r="A1218" s="201">
        <f>Prog_236[[#This Row],[CONTEINER]]</f>
        <v>0</v>
      </c>
      <c r="B1218" s="86"/>
      <c r="C12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8" s="44"/>
      <c r="E1218" s="66"/>
      <c r="F1218" s="66"/>
      <c r="G1218" s="66"/>
      <c r="H1218" s="44"/>
      <c r="I1218" s="44"/>
      <c r="J1218" s="66"/>
      <c r="K1218" s="66"/>
      <c r="L1218" s="66"/>
      <c r="M1218" s="66"/>
      <c r="N1218" s="66">
        <f>SUM(Prog_236[[#This Row],[TARA]]+Prog_236[[#This Row],[PESO]])</f>
        <v>0</v>
      </c>
      <c r="O1218" s="44"/>
      <c r="P1218" s="66"/>
      <c r="Q1218" s="66"/>
      <c r="R1218" s="66"/>
      <c r="S1218" s="66"/>
      <c r="T1218" s="138" t="str">
        <f>IFERROR(LOOKUP($S1218,MOTORISTAS!$D$3:$D$1048576,MOTORISTAS!E$3:$E$1048576),"")</f>
        <v/>
      </c>
      <c r="U1218" s="138" t="str">
        <f>IFERROR(LOOKUP($S1218,MOTORISTAS!$D$3:$D$1048576,MOTORISTAS!F$3:$F$1048576),"")</f>
        <v/>
      </c>
      <c r="V1218" s="66"/>
      <c r="W1218" s="66"/>
      <c r="X1218" s="66"/>
      <c r="Y1218" s="66"/>
      <c r="Z1218" s="66"/>
      <c r="AA1218" s="66"/>
      <c r="AB1218" s="66"/>
      <c r="AC1218" s="66"/>
      <c r="AD1218" s="66"/>
      <c r="AE1218" s="66"/>
      <c r="AF1218" s="44"/>
      <c r="AG1218" s="254">
        <f>Prog_236[[#This Row],[SAÍDA DO CLIENTE]]-Prog_236[[#This Row],[PROGRAMAÇÃO CLIENTE]]</f>
        <v>0</v>
      </c>
      <c r="AH1218" s="44"/>
      <c r="AI1218" s="66"/>
      <c r="AJ1218" s="66"/>
      <c r="AK1218" s="66"/>
      <c r="AL1218" s="66"/>
      <c r="AM1218" s="66"/>
      <c r="AN1218" s="83"/>
      <c r="AO1218" s="66"/>
      <c r="AP1218" s="66"/>
      <c r="AQ1218" s="66"/>
      <c r="AR1218" s="81"/>
      <c r="AS1218" s="81"/>
      <c r="AT1218" s="81"/>
      <c r="AU1218" s="81"/>
      <c r="AV1218" s="83">
        <f>SUM(Prog_236[[#This Row],[ADIANTAMENTO]]+Prog_236[[#This Row],[SALDO]]+Prog_236[[#This Row],[MARGEM]]+Prog_236[[#This Row],[ESTADIA 1]])</f>
        <v>0</v>
      </c>
      <c r="AW12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8" s="81"/>
      <c r="AY1218" s="81"/>
      <c r="AZ1218" s="81">
        <f>Prog_236[[#This Row],[VLR NF]]*0.1%</f>
        <v>0</v>
      </c>
      <c r="BA1218" s="81">
        <f>Prog_236[[#This Row],[VLR NF]]*0.05%</f>
        <v>0</v>
      </c>
      <c r="BB1218" s="81"/>
      <c r="BC1218" s="81"/>
      <c r="BD1218" s="81"/>
      <c r="BE1218" s="81"/>
      <c r="BF1218" s="81"/>
      <c r="BG1218" s="81"/>
      <c r="BH1218" s="81"/>
      <c r="BI1218" s="81"/>
      <c r="BJ1218" s="81"/>
      <c r="BK1218" s="81"/>
      <c r="BL1218" s="66"/>
      <c r="BM1218" s="66"/>
      <c r="BN1218" s="66"/>
      <c r="BO1218" s="66" t="str">
        <f>PROPER(TEXT(Prog_236[[#This Row],[PROGRAMAÇÃO CLIENTE]],"mmm"))</f>
        <v>Jan</v>
      </c>
      <c r="BP1218" s="66">
        <f>YEAR(Prog_236[[#This Row],[PROGRAMAÇÃO CLIENTE]])</f>
        <v>1900</v>
      </c>
    </row>
    <row r="1219" spans="1:68" x14ac:dyDescent="0.25">
      <c r="A1219" s="200">
        <f>Prog_236[[#This Row],[CONTEINER]]</f>
        <v>0</v>
      </c>
      <c r="B1219" s="86"/>
      <c r="C12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19" s="44"/>
      <c r="E1219" s="66"/>
      <c r="F1219" s="66"/>
      <c r="G1219" s="66"/>
      <c r="H1219" s="44"/>
      <c r="I1219" s="44"/>
      <c r="J1219" s="66"/>
      <c r="K1219" s="66"/>
      <c r="L1219" s="66"/>
      <c r="M1219" s="66"/>
      <c r="N1219" s="66">
        <f>SUM(Prog_236[[#This Row],[TARA]]+Prog_236[[#This Row],[PESO]])</f>
        <v>0</v>
      </c>
      <c r="O1219" s="44"/>
      <c r="P1219" s="66"/>
      <c r="Q1219" s="66"/>
      <c r="R1219" s="66"/>
      <c r="S1219" s="66"/>
      <c r="T1219" s="138" t="str">
        <f>IFERROR(LOOKUP($S1219,MOTORISTAS!$D$3:$D$1048576,MOTORISTAS!E$3:$E$1048576),"")</f>
        <v/>
      </c>
      <c r="U1219" s="138" t="str">
        <f>IFERROR(LOOKUP($S1219,MOTORISTAS!$D$3:$D$1048576,MOTORISTAS!F$3:$F$1048576),"")</f>
        <v/>
      </c>
      <c r="V1219" s="66"/>
      <c r="W1219" s="66"/>
      <c r="X1219" s="66"/>
      <c r="Y1219" s="66"/>
      <c r="Z1219" s="66"/>
      <c r="AA1219" s="66"/>
      <c r="AB1219" s="66"/>
      <c r="AC1219" s="66"/>
      <c r="AD1219" s="66"/>
      <c r="AE1219" s="66"/>
      <c r="AF1219" s="44"/>
      <c r="AG1219" s="254">
        <f>Prog_236[[#This Row],[SAÍDA DO CLIENTE]]-Prog_236[[#This Row],[PROGRAMAÇÃO CLIENTE]]</f>
        <v>0</v>
      </c>
      <c r="AH1219" s="44"/>
      <c r="AI1219" s="66"/>
      <c r="AJ1219" s="66"/>
      <c r="AK1219" s="66"/>
      <c r="AL1219" s="66"/>
      <c r="AM1219" s="66"/>
      <c r="AN1219" s="83"/>
      <c r="AO1219" s="66"/>
      <c r="AP1219" s="66"/>
      <c r="AQ1219" s="66"/>
      <c r="AR1219" s="81"/>
      <c r="AS1219" s="81"/>
      <c r="AT1219" s="81"/>
      <c r="AU1219" s="81"/>
      <c r="AV1219" s="83">
        <f>SUM(Prog_236[[#This Row],[ADIANTAMENTO]]+Prog_236[[#This Row],[SALDO]]+Prog_236[[#This Row],[MARGEM]]+Prog_236[[#This Row],[ESTADIA 1]])</f>
        <v>0</v>
      </c>
      <c r="AW12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19" s="81"/>
      <c r="AY1219" s="81"/>
      <c r="AZ1219" s="81">
        <f>Prog_236[[#This Row],[VLR NF]]*0.1%</f>
        <v>0</v>
      </c>
      <c r="BA1219" s="81">
        <f>Prog_236[[#This Row],[VLR NF]]*0.05%</f>
        <v>0</v>
      </c>
      <c r="BB1219" s="81"/>
      <c r="BC1219" s="81"/>
      <c r="BD1219" s="81"/>
      <c r="BE1219" s="81"/>
      <c r="BF1219" s="81"/>
      <c r="BG1219" s="81"/>
      <c r="BH1219" s="81"/>
      <c r="BI1219" s="81"/>
      <c r="BJ1219" s="81"/>
      <c r="BK1219" s="81"/>
      <c r="BL1219" s="66"/>
      <c r="BM1219" s="66"/>
      <c r="BN1219" s="66"/>
      <c r="BO1219" s="66" t="str">
        <f>PROPER(TEXT(Prog_236[[#This Row],[PROGRAMAÇÃO CLIENTE]],"mmm"))</f>
        <v>Jan</v>
      </c>
      <c r="BP1219" s="66">
        <f>YEAR(Prog_236[[#This Row],[PROGRAMAÇÃO CLIENTE]])</f>
        <v>1900</v>
      </c>
    </row>
    <row r="1220" spans="1:68" x14ac:dyDescent="0.25">
      <c r="A1220" s="201">
        <f>Prog_236[[#This Row],[CONTEINER]]</f>
        <v>0</v>
      </c>
      <c r="B1220" s="86"/>
      <c r="C12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0" s="44"/>
      <c r="E1220" s="66"/>
      <c r="F1220" s="66"/>
      <c r="G1220" s="66"/>
      <c r="H1220" s="44"/>
      <c r="I1220" s="44"/>
      <c r="J1220" s="66"/>
      <c r="K1220" s="66"/>
      <c r="L1220" s="66"/>
      <c r="M1220" s="66"/>
      <c r="N1220" s="66">
        <f>SUM(Prog_236[[#This Row],[TARA]]+Prog_236[[#This Row],[PESO]])</f>
        <v>0</v>
      </c>
      <c r="O1220" s="44"/>
      <c r="P1220" s="66"/>
      <c r="Q1220" s="66"/>
      <c r="R1220" s="66"/>
      <c r="S1220" s="66"/>
      <c r="T1220" s="138" t="str">
        <f>IFERROR(LOOKUP($S1220,MOTORISTAS!$D$3:$D$1048576,MOTORISTAS!E$3:$E$1048576),"")</f>
        <v/>
      </c>
      <c r="U1220" s="138" t="str">
        <f>IFERROR(LOOKUP($S1220,MOTORISTAS!$D$3:$D$1048576,MOTORISTAS!F$3:$F$1048576),"")</f>
        <v/>
      </c>
      <c r="V1220" s="66"/>
      <c r="W1220" s="66"/>
      <c r="X1220" s="66"/>
      <c r="Y1220" s="66"/>
      <c r="Z1220" s="66"/>
      <c r="AA1220" s="66"/>
      <c r="AB1220" s="66"/>
      <c r="AC1220" s="66"/>
      <c r="AD1220" s="66"/>
      <c r="AE1220" s="66"/>
      <c r="AF1220" s="44"/>
      <c r="AG1220" s="254">
        <f>Prog_236[[#This Row],[SAÍDA DO CLIENTE]]-Prog_236[[#This Row],[PROGRAMAÇÃO CLIENTE]]</f>
        <v>0</v>
      </c>
      <c r="AH1220" s="44"/>
      <c r="AI1220" s="66"/>
      <c r="AJ1220" s="66"/>
      <c r="AK1220" s="66"/>
      <c r="AL1220" s="66"/>
      <c r="AM1220" s="66"/>
      <c r="AN1220" s="83"/>
      <c r="AO1220" s="66"/>
      <c r="AP1220" s="66"/>
      <c r="AQ1220" s="66"/>
      <c r="AR1220" s="81"/>
      <c r="AS1220" s="81"/>
      <c r="AT1220" s="81"/>
      <c r="AU1220" s="81"/>
      <c r="AV1220" s="83">
        <f>SUM(Prog_236[[#This Row],[ADIANTAMENTO]]+Prog_236[[#This Row],[SALDO]]+Prog_236[[#This Row],[MARGEM]]+Prog_236[[#This Row],[ESTADIA 1]])</f>
        <v>0</v>
      </c>
      <c r="AW12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0" s="81"/>
      <c r="AY1220" s="81"/>
      <c r="AZ1220" s="81">
        <f>Prog_236[[#This Row],[VLR NF]]*0.1%</f>
        <v>0</v>
      </c>
      <c r="BA1220" s="81">
        <f>Prog_236[[#This Row],[VLR NF]]*0.05%</f>
        <v>0</v>
      </c>
      <c r="BB1220" s="81"/>
      <c r="BC1220" s="81"/>
      <c r="BD1220" s="81"/>
      <c r="BE1220" s="81"/>
      <c r="BF1220" s="81"/>
      <c r="BG1220" s="81"/>
      <c r="BH1220" s="81"/>
      <c r="BI1220" s="81"/>
      <c r="BJ1220" s="81"/>
      <c r="BK1220" s="81"/>
      <c r="BL1220" s="66"/>
      <c r="BM1220" s="66"/>
      <c r="BN1220" s="66"/>
      <c r="BO1220" s="66" t="str">
        <f>PROPER(TEXT(Prog_236[[#This Row],[PROGRAMAÇÃO CLIENTE]],"mmm"))</f>
        <v>Jan</v>
      </c>
      <c r="BP1220" s="66">
        <f>YEAR(Prog_236[[#This Row],[PROGRAMAÇÃO CLIENTE]])</f>
        <v>1900</v>
      </c>
    </row>
    <row r="1221" spans="1:68" x14ac:dyDescent="0.25">
      <c r="A1221" s="200">
        <f>Prog_236[[#This Row],[CONTEINER]]</f>
        <v>0</v>
      </c>
      <c r="B1221" s="86"/>
      <c r="C12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1" s="44"/>
      <c r="E1221" s="66"/>
      <c r="F1221" s="66"/>
      <c r="G1221" s="66"/>
      <c r="H1221" s="44"/>
      <c r="I1221" s="44"/>
      <c r="J1221" s="66"/>
      <c r="K1221" s="66"/>
      <c r="L1221" s="66"/>
      <c r="M1221" s="66"/>
      <c r="N1221" s="66">
        <f>SUM(Prog_236[[#This Row],[TARA]]+Prog_236[[#This Row],[PESO]])</f>
        <v>0</v>
      </c>
      <c r="O1221" s="44"/>
      <c r="P1221" s="66"/>
      <c r="Q1221" s="66"/>
      <c r="R1221" s="66"/>
      <c r="S1221" s="66"/>
      <c r="T1221" s="138" t="str">
        <f>IFERROR(LOOKUP($S1221,MOTORISTAS!$D$3:$D$1048576,MOTORISTAS!E$3:$E$1048576),"")</f>
        <v/>
      </c>
      <c r="U1221" s="138" t="str">
        <f>IFERROR(LOOKUP($S1221,MOTORISTAS!$D$3:$D$1048576,MOTORISTAS!F$3:$F$1048576),"")</f>
        <v/>
      </c>
      <c r="V1221" s="66"/>
      <c r="W1221" s="66"/>
      <c r="X1221" s="66"/>
      <c r="Y1221" s="66"/>
      <c r="Z1221" s="66"/>
      <c r="AA1221" s="66"/>
      <c r="AB1221" s="66"/>
      <c r="AC1221" s="66"/>
      <c r="AD1221" s="66"/>
      <c r="AE1221" s="66"/>
      <c r="AF1221" s="44"/>
      <c r="AG1221" s="254">
        <f>Prog_236[[#This Row],[SAÍDA DO CLIENTE]]-Prog_236[[#This Row],[PROGRAMAÇÃO CLIENTE]]</f>
        <v>0</v>
      </c>
      <c r="AH1221" s="44"/>
      <c r="AI1221" s="66"/>
      <c r="AJ1221" s="66"/>
      <c r="AK1221" s="66"/>
      <c r="AL1221" s="66"/>
      <c r="AM1221" s="66"/>
      <c r="AN1221" s="83"/>
      <c r="AO1221" s="66"/>
      <c r="AP1221" s="66"/>
      <c r="AQ1221" s="66"/>
      <c r="AR1221" s="81"/>
      <c r="AS1221" s="81"/>
      <c r="AT1221" s="81"/>
      <c r="AU1221" s="81"/>
      <c r="AV1221" s="83">
        <f>SUM(Prog_236[[#This Row],[ADIANTAMENTO]]+Prog_236[[#This Row],[SALDO]]+Prog_236[[#This Row],[MARGEM]]+Prog_236[[#This Row],[ESTADIA 1]])</f>
        <v>0</v>
      </c>
      <c r="AW12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1" s="81"/>
      <c r="AY1221" s="81"/>
      <c r="AZ1221" s="81">
        <f>Prog_236[[#This Row],[VLR NF]]*0.1%</f>
        <v>0</v>
      </c>
      <c r="BA1221" s="81">
        <f>Prog_236[[#This Row],[VLR NF]]*0.05%</f>
        <v>0</v>
      </c>
      <c r="BB1221" s="81"/>
      <c r="BC1221" s="81"/>
      <c r="BD1221" s="81"/>
      <c r="BE1221" s="81"/>
      <c r="BF1221" s="81"/>
      <c r="BG1221" s="81"/>
      <c r="BH1221" s="81"/>
      <c r="BI1221" s="81"/>
      <c r="BJ1221" s="81"/>
      <c r="BK1221" s="81"/>
      <c r="BL1221" s="66"/>
      <c r="BM1221" s="66"/>
      <c r="BN1221" s="66"/>
      <c r="BO1221" s="66" t="str">
        <f>PROPER(TEXT(Prog_236[[#This Row],[PROGRAMAÇÃO CLIENTE]],"mmm"))</f>
        <v>Jan</v>
      </c>
      <c r="BP1221" s="66">
        <f>YEAR(Prog_236[[#This Row],[PROGRAMAÇÃO CLIENTE]])</f>
        <v>1900</v>
      </c>
    </row>
    <row r="1222" spans="1:68" x14ac:dyDescent="0.25">
      <c r="A1222" s="201">
        <f>Prog_236[[#This Row],[CONTEINER]]</f>
        <v>0</v>
      </c>
      <c r="B1222" s="86"/>
      <c r="C12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2" s="44"/>
      <c r="E1222" s="66"/>
      <c r="F1222" s="66"/>
      <c r="G1222" s="66"/>
      <c r="H1222" s="44"/>
      <c r="I1222" s="44"/>
      <c r="J1222" s="66"/>
      <c r="K1222" s="66"/>
      <c r="L1222" s="66"/>
      <c r="M1222" s="66"/>
      <c r="N1222" s="66">
        <f>SUM(Prog_236[[#This Row],[TARA]]+Prog_236[[#This Row],[PESO]])</f>
        <v>0</v>
      </c>
      <c r="O1222" s="44"/>
      <c r="P1222" s="66"/>
      <c r="Q1222" s="66"/>
      <c r="R1222" s="66"/>
      <c r="S1222" s="66"/>
      <c r="T1222" s="138" t="str">
        <f>IFERROR(LOOKUP($S1222,MOTORISTAS!$D$3:$D$1048576,MOTORISTAS!E$3:$E$1048576),"")</f>
        <v/>
      </c>
      <c r="U1222" s="138" t="str">
        <f>IFERROR(LOOKUP($S1222,MOTORISTAS!$D$3:$D$1048576,MOTORISTAS!F$3:$F$1048576),"")</f>
        <v/>
      </c>
      <c r="V1222" s="66"/>
      <c r="W1222" s="66"/>
      <c r="X1222" s="66"/>
      <c r="Y1222" s="66"/>
      <c r="Z1222" s="66"/>
      <c r="AA1222" s="66"/>
      <c r="AB1222" s="66"/>
      <c r="AC1222" s="66"/>
      <c r="AD1222" s="66"/>
      <c r="AE1222" s="66"/>
      <c r="AF1222" s="44"/>
      <c r="AG1222" s="254">
        <f>Prog_236[[#This Row],[SAÍDA DO CLIENTE]]-Prog_236[[#This Row],[PROGRAMAÇÃO CLIENTE]]</f>
        <v>0</v>
      </c>
      <c r="AH1222" s="44"/>
      <c r="AI1222" s="66"/>
      <c r="AJ1222" s="66"/>
      <c r="AK1222" s="66"/>
      <c r="AL1222" s="66"/>
      <c r="AM1222" s="66"/>
      <c r="AN1222" s="83"/>
      <c r="AO1222" s="66"/>
      <c r="AP1222" s="66"/>
      <c r="AQ1222" s="66"/>
      <c r="AR1222" s="81"/>
      <c r="AS1222" s="81"/>
      <c r="AT1222" s="81"/>
      <c r="AU1222" s="81"/>
      <c r="AV1222" s="83">
        <f>SUM(Prog_236[[#This Row],[ADIANTAMENTO]]+Prog_236[[#This Row],[SALDO]]+Prog_236[[#This Row],[MARGEM]]+Prog_236[[#This Row],[ESTADIA 1]])</f>
        <v>0</v>
      </c>
      <c r="AW12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2" s="81"/>
      <c r="AY1222" s="81"/>
      <c r="AZ1222" s="81">
        <f>Prog_236[[#This Row],[VLR NF]]*0.1%</f>
        <v>0</v>
      </c>
      <c r="BA1222" s="81">
        <f>Prog_236[[#This Row],[VLR NF]]*0.05%</f>
        <v>0</v>
      </c>
      <c r="BB1222" s="81"/>
      <c r="BC1222" s="81"/>
      <c r="BD1222" s="81"/>
      <c r="BE1222" s="81"/>
      <c r="BF1222" s="81"/>
      <c r="BG1222" s="81"/>
      <c r="BH1222" s="81"/>
      <c r="BI1222" s="81"/>
      <c r="BJ1222" s="81"/>
      <c r="BK1222" s="81"/>
      <c r="BL1222" s="66"/>
      <c r="BM1222" s="66"/>
      <c r="BN1222" s="66"/>
      <c r="BO1222" s="66" t="str">
        <f>PROPER(TEXT(Prog_236[[#This Row],[PROGRAMAÇÃO CLIENTE]],"mmm"))</f>
        <v>Jan</v>
      </c>
      <c r="BP1222" s="66">
        <f>YEAR(Prog_236[[#This Row],[PROGRAMAÇÃO CLIENTE]])</f>
        <v>1900</v>
      </c>
    </row>
    <row r="1223" spans="1:68" x14ac:dyDescent="0.25">
      <c r="A1223" s="200">
        <f>Prog_236[[#This Row],[CONTEINER]]</f>
        <v>0</v>
      </c>
      <c r="B1223" s="86"/>
      <c r="C12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3" s="44"/>
      <c r="E1223" s="66"/>
      <c r="F1223" s="66"/>
      <c r="G1223" s="66"/>
      <c r="H1223" s="44"/>
      <c r="I1223" s="44"/>
      <c r="J1223" s="66"/>
      <c r="K1223" s="66"/>
      <c r="L1223" s="66"/>
      <c r="M1223" s="66"/>
      <c r="N1223" s="66">
        <f>SUM(Prog_236[[#This Row],[TARA]]+Prog_236[[#This Row],[PESO]])</f>
        <v>0</v>
      </c>
      <c r="O1223" s="44"/>
      <c r="P1223" s="66"/>
      <c r="Q1223" s="66"/>
      <c r="R1223" s="66"/>
      <c r="S1223" s="66"/>
      <c r="T1223" s="138" t="str">
        <f>IFERROR(LOOKUP($S1223,MOTORISTAS!$D$3:$D$1048576,MOTORISTAS!E$3:$E$1048576),"")</f>
        <v/>
      </c>
      <c r="U1223" s="138" t="str">
        <f>IFERROR(LOOKUP($S1223,MOTORISTAS!$D$3:$D$1048576,MOTORISTAS!F$3:$F$1048576),"")</f>
        <v/>
      </c>
      <c r="V1223" s="66"/>
      <c r="W1223" s="66"/>
      <c r="X1223" s="66"/>
      <c r="Y1223" s="66"/>
      <c r="Z1223" s="66"/>
      <c r="AA1223" s="66"/>
      <c r="AB1223" s="66"/>
      <c r="AC1223" s="66"/>
      <c r="AD1223" s="66"/>
      <c r="AE1223" s="66"/>
      <c r="AF1223" s="44"/>
      <c r="AG1223" s="254">
        <f>Prog_236[[#This Row],[SAÍDA DO CLIENTE]]-Prog_236[[#This Row],[PROGRAMAÇÃO CLIENTE]]</f>
        <v>0</v>
      </c>
      <c r="AH1223" s="44"/>
      <c r="AI1223" s="66"/>
      <c r="AJ1223" s="66"/>
      <c r="AK1223" s="66"/>
      <c r="AL1223" s="66"/>
      <c r="AM1223" s="66"/>
      <c r="AN1223" s="83"/>
      <c r="AO1223" s="66"/>
      <c r="AP1223" s="66"/>
      <c r="AQ1223" s="66"/>
      <c r="AR1223" s="81"/>
      <c r="AS1223" s="81"/>
      <c r="AT1223" s="81"/>
      <c r="AU1223" s="81"/>
      <c r="AV1223" s="83">
        <f>SUM(Prog_236[[#This Row],[ADIANTAMENTO]]+Prog_236[[#This Row],[SALDO]]+Prog_236[[#This Row],[MARGEM]]+Prog_236[[#This Row],[ESTADIA 1]])</f>
        <v>0</v>
      </c>
      <c r="AW12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3" s="81"/>
      <c r="AY1223" s="81"/>
      <c r="AZ1223" s="81">
        <f>Prog_236[[#This Row],[VLR NF]]*0.1%</f>
        <v>0</v>
      </c>
      <c r="BA1223" s="81">
        <f>Prog_236[[#This Row],[VLR NF]]*0.05%</f>
        <v>0</v>
      </c>
      <c r="BB1223" s="81"/>
      <c r="BC1223" s="81"/>
      <c r="BD1223" s="81"/>
      <c r="BE1223" s="81"/>
      <c r="BF1223" s="81"/>
      <c r="BG1223" s="81"/>
      <c r="BH1223" s="81"/>
      <c r="BI1223" s="81"/>
      <c r="BJ1223" s="81"/>
      <c r="BK1223" s="81"/>
      <c r="BL1223" s="66"/>
      <c r="BM1223" s="66"/>
      <c r="BN1223" s="66"/>
      <c r="BO1223" s="66" t="str">
        <f>PROPER(TEXT(Prog_236[[#This Row],[PROGRAMAÇÃO CLIENTE]],"mmm"))</f>
        <v>Jan</v>
      </c>
      <c r="BP1223" s="66">
        <f>YEAR(Prog_236[[#This Row],[PROGRAMAÇÃO CLIENTE]])</f>
        <v>1900</v>
      </c>
    </row>
    <row r="1224" spans="1:68" x14ac:dyDescent="0.25">
      <c r="A1224" s="201">
        <f>Prog_236[[#This Row],[CONTEINER]]</f>
        <v>0</v>
      </c>
      <c r="B1224" s="86"/>
      <c r="C12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4" s="44"/>
      <c r="E1224" s="66"/>
      <c r="F1224" s="66"/>
      <c r="G1224" s="66"/>
      <c r="H1224" s="44"/>
      <c r="I1224" s="44"/>
      <c r="J1224" s="66"/>
      <c r="K1224" s="66"/>
      <c r="L1224" s="66"/>
      <c r="M1224" s="66"/>
      <c r="N1224" s="66">
        <f>SUM(Prog_236[[#This Row],[TARA]]+Prog_236[[#This Row],[PESO]])</f>
        <v>0</v>
      </c>
      <c r="O1224" s="44"/>
      <c r="P1224" s="66"/>
      <c r="Q1224" s="66"/>
      <c r="R1224" s="66"/>
      <c r="S1224" s="66"/>
      <c r="T1224" s="138" t="str">
        <f>IFERROR(LOOKUP($S1224,MOTORISTAS!$D$3:$D$1048576,MOTORISTAS!E$3:$E$1048576),"")</f>
        <v/>
      </c>
      <c r="U1224" s="138" t="str">
        <f>IFERROR(LOOKUP($S1224,MOTORISTAS!$D$3:$D$1048576,MOTORISTAS!F$3:$F$1048576),"")</f>
        <v/>
      </c>
      <c r="V1224" s="66"/>
      <c r="W1224" s="66"/>
      <c r="X1224" s="66"/>
      <c r="Y1224" s="66"/>
      <c r="Z1224" s="66"/>
      <c r="AA1224" s="66"/>
      <c r="AB1224" s="66"/>
      <c r="AC1224" s="66"/>
      <c r="AD1224" s="66"/>
      <c r="AE1224" s="66"/>
      <c r="AF1224" s="44"/>
      <c r="AG1224" s="254">
        <f>Prog_236[[#This Row],[SAÍDA DO CLIENTE]]-Prog_236[[#This Row],[PROGRAMAÇÃO CLIENTE]]</f>
        <v>0</v>
      </c>
      <c r="AH1224" s="44"/>
      <c r="AI1224" s="66"/>
      <c r="AJ1224" s="66"/>
      <c r="AK1224" s="66"/>
      <c r="AL1224" s="66"/>
      <c r="AM1224" s="66"/>
      <c r="AN1224" s="83"/>
      <c r="AO1224" s="66"/>
      <c r="AP1224" s="66"/>
      <c r="AQ1224" s="66"/>
      <c r="AR1224" s="81"/>
      <c r="AS1224" s="81"/>
      <c r="AT1224" s="81"/>
      <c r="AU1224" s="81"/>
      <c r="AV1224" s="83">
        <f>SUM(Prog_236[[#This Row],[ADIANTAMENTO]]+Prog_236[[#This Row],[SALDO]]+Prog_236[[#This Row],[MARGEM]]+Prog_236[[#This Row],[ESTADIA 1]])</f>
        <v>0</v>
      </c>
      <c r="AW12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4" s="81"/>
      <c r="AY1224" s="81"/>
      <c r="AZ1224" s="81">
        <f>Prog_236[[#This Row],[VLR NF]]*0.1%</f>
        <v>0</v>
      </c>
      <c r="BA1224" s="81">
        <f>Prog_236[[#This Row],[VLR NF]]*0.05%</f>
        <v>0</v>
      </c>
      <c r="BB1224" s="81"/>
      <c r="BC1224" s="81"/>
      <c r="BD1224" s="81"/>
      <c r="BE1224" s="81"/>
      <c r="BF1224" s="81"/>
      <c r="BG1224" s="81"/>
      <c r="BH1224" s="81"/>
      <c r="BI1224" s="81"/>
      <c r="BJ1224" s="81"/>
      <c r="BK1224" s="81"/>
      <c r="BL1224" s="66"/>
      <c r="BM1224" s="66"/>
      <c r="BN1224" s="66"/>
      <c r="BO1224" s="66" t="str">
        <f>PROPER(TEXT(Prog_236[[#This Row],[PROGRAMAÇÃO CLIENTE]],"mmm"))</f>
        <v>Jan</v>
      </c>
      <c r="BP1224" s="66">
        <f>YEAR(Prog_236[[#This Row],[PROGRAMAÇÃO CLIENTE]])</f>
        <v>1900</v>
      </c>
    </row>
    <row r="1225" spans="1:68" x14ac:dyDescent="0.25">
      <c r="A1225" s="200">
        <f>Prog_236[[#This Row],[CONTEINER]]</f>
        <v>0</v>
      </c>
      <c r="B1225" s="86"/>
      <c r="C12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5" s="44"/>
      <c r="E1225" s="66"/>
      <c r="F1225" s="66"/>
      <c r="G1225" s="66"/>
      <c r="H1225" s="44"/>
      <c r="I1225" s="44"/>
      <c r="J1225" s="66"/>
      <c r="K1225" s="66"/>
      <c r="L1225" s="66"/>
      <c r="M1225" s="66"/>
      <c r="N1225" s="66">
        <f>SUM(Prog_236[[#This Row],[TARA]]+Prog_236[[#This Row],[PESO]])</f>
        <v>0</v>
      </c>
      <c r="O1225" s="44"/>
      <c r="P1225" s="66"/>
      <c r="Q1225" s="66"/>
      <c r="R1225" s="66"/>
      <c r="S1225" s="66"/>
      <c r="T1225" s="138" t="str">
        <f>IFERROR(LOOKUP($S1225,MOTORISTAS!$D$3:$D$1048576,MOTORISTAS!E$3:$E$1048576),"")</f>
        <v/>
      </c>
      <c r="U1225" s="138" t="str">
        <f>IFERROR(LOOKUP($S1225,MOTORISTAS!$D$3:$D$1048576,MOTORISTAS!F$3:$F$1048576),"")</f>
        <v/>
      </c>
      <c r="V1225" s="66"/>
      <c r="W1225" s="66"/>
      <c r="X1225" s="66"/>
      <c r="Y1225" s="66"/>
      <c r="Z1225" s="66"/>
      <c r="AA1225" s="66"/>
      <c r="AB1225" s="66"/>
      <c r="AC1225" s="66"/>
      <c r="AD1225" s="66"/>
      <c r="AE1225" s="66"/>
      <c r="AF1225" s="44"/>
      <c r="AG1225" s="254">
        <f>Prog_236[[#This Row],[SAÍDA DO CLIENTE]]-Prog_236[[#This Row],[PROGRAMAÇÃO CLIENTE]]</f>
        <v>0</v>
      </c>
      <c r="AH1225" s="44"/>
      <c r="AI1225" s="66"/>
      <c r="AJ1225" s="66"/>
      <c r="AK1225" s="66"/>
      <c r="AL1225" s="66"/>
      <c r="AM1225" s="66"/>
      <c r="AN1225" s="83"/>
      <c r="AO1225" s="66"/>
      <c r="AP1225" s="66"/>
      <c r="AQ1225" s="66"/>
      <c r="AR1225" s="81"/>
      <c r="AS1225" s="81"/>
      <c r="AT1225" s="81"/>
      <c r="AU1225" s="81"/>
      <c r="AV1225" s="83">
        <f>SUM(Prog_236[[#This Row],[ADIANTAMENTO]]+Prog_236[[#This Row],[SALDO]]+Prog_236[[#This Row],[MARGEM]]+Prog_236[[#This Row],[ESTADIA 1]])</f>
        <v>0</v>
      </c>
      <c r="AW12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5" s="81"/>
      <c r="AY1225" s="81"/>
      <c r="AZ1225" s="81">
        <f>Prog_236[[#This Row],[VLR NF]]*0.1%</f>
        <v>0</v>
      </c>
      <c r="BA1225" s="81">
        <f>Prog_236[[#This Row],[VLR NF]]*0.05%</f>
        <v>0</v>
      </c>
      <c r="BB1225" s="81"/>
      <c r="BC1225" s="81"/>
      <c r="BD1225" s="81"/>
      <c r="BE1225" s="81"/>
      <c r="BF1225" s="81"/>
      <c r="BG1225" s="81"/>
      <c r="BH1225" s="81"/>
      <c r="BI1225" s="81"/>
      <c r="BJ1225" s="81"/>
      <c r="BK1225" s="81"/>
      <c r="BL1225" s="66"/>
      <c r="BM1225" s="66"/>
      <c r="BN1225" s="66"/>
      <c r="BO1225" s="66" t="str">
        <f>PROPER(TEXT(Prog_236[[#This Row],[PROGRAMAÇÃO CLIENTE]],"mmm"))</f>
        <v>Jan</v>
      </c>
      <c r="BP1225" s="66">
        <f>YEAR(Prog_236[[#This Row],[PROGRAMAÇÃO CLIENTE]])</f>
        <v>1900</v>
      </c>
    </row>
    <row r="1226" spans="1:68" x14ac:dyDescent="0.25">
      <c r="A1226" s="201">
        <f>Prog_236[[#This Row],[CONTEINER]]</f>
        <v>0</v>
      </c>
      <c r="B1226" s="86"/>
      <c r="C12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6" s="44"/>
      <c r="E1226" s="66"/>
      <c r="F1226" s="66"/>
      <c r="G1226" s="66"/>
      <c r="H1226" s="44"/>
      <c r="I1226" s="44"/>
      <c r="J1226" s="66"/>
      <c r="K1226" s="66"/>
      <c r="L1226" s="66"/>
      <c r="M1226" s="66"/>
      <c r="N1226" s="66">
        <f>SUM(Prog_236[[#This Row],[TARA]]+Prog_236[[#This Row],[PESO]])</f>
        <v>0</v>
      </c>
      <c r="O1226" s="44"/>
      <c r="P1226" s="66"/>
      <c r="Q1226" s="66"/>
      <c r="R1226" s="66"/>
      <c r="S1226" s="66"/>
      <c r="T1226" s="138" t="str">
        <f>IFERROR(LOOKUP($S1226,MOTORISTAS!$D$3:$D$1048576,MOTORISTAS!E$3:$E$1048576),"")</f>
        <v/>
      </c>
      <c r="U1226" s="138" t="str">
        <f>IFERROR(LOOKUP($S1226,MOTORISTAS!$D$3:$D$1048576,MOTORISTAS!F$3:$F$1048576),"")</f>
        <v/>
      </c>
      <c r="V1226" s="66"/>
      <c r="W1226" s="66"/>
      <c r="X1226" s="66"/>
      <c r="Y1226" s="66"/>
      <c r="Z1226" s="66"/>
      <c r="AA1226" s="66"/>
      <c r="AB1226" s="66"/>
      <c r="AC1226" s="66"/>
      <c r="AD1226" s="66"/>
      <c r="AE1226" s="66"/>
      <c r="AF1226" s="44"/>
      <c r="AG1226" s="254">
        <f>Prog_236[[#This Row],[SAÍDA DO CLIENTE]]-Prog_236[[#This Row],[PROGRAMAÇÃO CLIENTE]]</f>
        <v>0</v>
      </c>
      <c r="AH1226" s="44"/>
      <c r="AI1226" s="66"/>
      <c r="AJ1226" s="66"/>
      <c r="AK1226" s="66"/>
      <c r="AL1226" s="66"/>
      <c r="AM1226" s="66"/>
      <c r="AN1226" s="83"/>
      <c r="AO1226" s="66"/>
      <c r="AP1226" s="66"/>
      <c r="AQ1226" s="66"/>
      <c r="AR1226" s="81"/>
      <c r="AS1226" s="81"/>
      <c r="AT1226" s="81"/>
      <c r="AU1226" s="81"/>
      <c r="AV1226" s="83">
        <f>SUM(Prog_236[[#This Row],[ADIANTAMENTO]]+Prog_236[[#This Row],[SALDO]]+Prog_236[[#This Row],[MARGEM]]+Prog_236[[#This Row],[ESTADIA 1]])</f>
        <v>0</v>
      </c>
      <c r="AW12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6" s="81"/>
      <c r="AY1226" s="81"/>
      <c r="AZ1226" s="81">
        <f>Prog_236[[#This Row],[VLR NF]]*0.1%</f>
        <v>0</v>
      </c>
      <c r="BA1226" s="81">
        <f>Prog_236[[#This Row],[VLR NF]]*0.05%</f>
        <v>0</v>
      </c>
      <c r="BB1226" s="81"/>
      <c r="BC1226" s="81"/>
      <c r="BD1226" s="81"/>
      <c r="BE1226" s="81"/>
      <c r="BF1226" s="81"/>
      <c r="BG1226" s="81"/>
      <c r="BH1226" s="81"/>
      <c r="BI1226" s="81"/>
      <c r="BJ1226" s="81"/>
      <c r="BK1226" s="81"/>
      <c r="BL1226" s="66"/>
      <c r="BM1226" s="66"/>
      <c r="BN1226" s="66"/>
      <c r="BO1226" s="66" t="str">
        <f>PROPER(TEXT(Prog_236[[#This Row],[PROGRAMAÇÃO CLIENTE]],"mmm"))</f>
        <v>Jan</v>
      </c>
      <c r="BP1226" s="66">
        <f>YEAR(Prog_236[[#This Row],[PROGRAMAÇÃO CLIENTE]])</f>
        <v>1900</v>
      </c>
    </row>
    <row r="1227" spans="1:68" x14ac:dyDescent="0.25">
      <c r="A1227" s="200">
        <f>Prog_236[[#This Row],[CONTEINER]]</f>
        <v>0</v>
      </c>
      <c r="B1227" s="86"/>
      <c r="C12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7" s="44"/>
      <c r="E1227" s="66"/>
      <c r="F1227" s="66"/>
      <c r="G1227" s="66"/>
      <c r="H1227" s="44"/>
      <c r="I1227" s="44"/>
      <c r="J1227" s="66"/>
      <c r="K1227" s="66"/>
      <c r="L1227" s="66"/>
      <c r="M1227" s="66"/>
      <c r="N1227" s="66">
        <f>SUM(Prog_236[[#This Row],[TARA]]+Prog_236[[#This Row],[PESO]])</f>
        <v>0</v>
      </c>
      <c r="O1227" s="44"/>
      <c r="P1227" s="66"/>
      <c r="Q1227" s="66"/>
      <c r="R1227" s="66"/>
      <c r="S1227" s="66"/>
      <c r="T1227" s="138" t="str">
        <f>IFERROR(LOOKUP($S1227,MOTORISTAS!$D$3:$D$1048576,MOTORISTAS!E$3:$E$1048576),"")</f>
        <v/>
      </c>
      <c r="U1227" s="138" t="str">
        <f>IFERROR(LOOKUP($S1227,MOTORISTAS!$D$3:$D$1048576,MOTORISTAS!F$3:$F$1048576),"")</f>
        <v/>
      </c>
      <c r="V1227" s="66"/>
      <c r="W1227" s="66"/>
      <c r="X1227" s="66"/>
      <c r="Y1227" s="66"/>
      <c r="Z1227" s="66"/>
      <c r="AA1227" s="66"/>
      <c r="AB1227" s="66"/>
      <c r="AC1227" s="66"/>
      <c r="AD1227" s="66"/>
      <c r="AE1227" s="66"/>
      <c r="AF1227" s="44"/>
      <c r="AG1227" s="254">
        <f>Prog_236[[#This Row],[SAÍDA DO CLIENTE]]-Prog_236[[#This Row],[PROGRAMAÇÃO CLIENTE]]</f>
        <v>0</v>
      </c>
      <c r="AH1227" s="44"/>
      <c r="AI1227" s="66"/>
      <c r="AJ1227" s="66"/>
      <c r="AK1227" s="66"/>
      <c r="AL1227" s="66"/>
      <c r="AM1227" s="66"/>
      <c r="AN1227" s="83"/>
      <c r="AO1227" s="66"/>
      <c r="AP1227" s="66"/>
      <c r="AQ1227" s="66"/>
      <c r="AR1227" s="81"/>
      <c r="AS1227" s="81"/>
      <c r="AT1227" s="81"/>
      <c r="AU1227" s="81"/>
      <c r="AV1227" s="83">
        <f>SUM(Prog_236[[#This Row],[ADIANTAMENTO]]+Prog_236[[#This Row],[SALDO]]+Prog_236[[#This Row],[MARGEM]]+Prog_236[[#This Row],[ESTADIA 1]])</f>
        <v>0</v>
      </c>
      <c r="AW12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7" s="81"/>
      <c r="AY1227" s="81"/>
      <c r="AZ1227" s="81">
        <f>Prog_236[[#This Row],[VLR NF]]*0.1%</f>
        <v>0</v>
      </c>
      <c r="BA1227" s="81">
        <f>Prog_236[[#This Row],[VLR NF]]*0.05%</f>
        <v>0</v>
      </c>
      <c r="BB1227" s="81"/>
      <c r="BC1227" s="81"/>
      <c r="BD1227" s="81"/>
      <c r="BE1227" s="81"/>
      <c r="BF1227" s="81"/>
      <c r="BG1227" s="81"/>
      <c r="BH1227" s="81"/>
      <c r="BI1227" s="81"/>
      <c r="BJ1227" s="81"/>
      <c r="BK1227" s="81"/>
      <c r="BL1227" s="66"/>
      <c r="BM1227" s="66"/>
      <c r="BN1227" s="66"/>
      <c r="BO1227" s="66" t="str">
        <f>PROPER(TEXT(Prog_236[[#This Row],[PROGRAMAÇÃO CLIENTE]],"mmm"))</f>
        <v>Jan</v>
      </c>
      <c r="BP1227" s="66">
        <f>YEAR(Prog_236[[#This Row],[PROGRAMAÇÃO CLIENTE]])</f>
        <v>1900</v>
      </c>
    </row>
    <row r="1228" spans="1:68" x14ac:dyDescent="0.25">
      <c r="A1228" s="201">
        <f>Prog_236[[#This Row],[CONTEINER]]</f>
        <v>0</v>
      </c>
      <c r="B1228" s="86"/>
      <c r="C12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8" s="44"/>
      <c r="E1228" s="66"/>
      <c r="F1228" s="66"/>
      <c r="G1228" s="66"/>
      <c r="H1228" s="44"/>
      <c r="I1228" s="44"/>
      <c r="J1228" s="66"/>
      <c r="K1228" s="66"/>
      <c r="L1228" s="66"/>
      <c r="M1228" s="66"/>
      <c r="N1228" s="66">
        <f>SUM(Prog_236[[#This Row],[TARA]]+Prog_236[[#This Row],[PESO]])</f>
        <v>0</v>
      </c>
      <c r="O1228" s="44"/>
      <c r="P1228" s="66"/>
      <c r="Q1228" s="66"/>
      <c r="R1228" s="66"/>
      <c r="S1228" s="66"/>
      <c r="T1228" s="138" t="str">
        <f>IFERROR(LOOKUP($S1228,MOTORISTAS!$D$3:$D$1048576,MOTORISTAS!E$3:$E$1048576),"")</f>
        <v/>
      </c>
      <c r="U1228" s="138" t="str">
        <f>IFERROR(LOOKUP($S1228,MOTORISTAS!$D$3:$D$1048576,MOTORISTAS!F$3:$F$1048576),"")</f>
        <v/>
      </c>
      <c r="V1228" s="66"/>
      <c r="W1228" s="66"/>
      <c r="X1228" s="66"/>
      <c r="Y1228" s="66"/>
      <c r="Z1228" s="66"/>
      <c r="AA1228" s="66"/>
      <c r="AB1228" s="66"/>
      <c r="AC1228" s="66"/>
      <c r="AD1228" s="66"/>
      <c r="AE1228" s="66"/>
      <c r="AF1228" s="44"/>
      <c r="AG1228" s="254">
        <f>Prog_236[[#This Row],[SAÍDA DO CLIENTE]]-Prog_236[[#This Row],[PROGRAMAÇÃO CLIENTE]]</f>
        <v>0</v>
      </c>
      <c r="AH1228" s="44"/>
      <c r="AI1228" s="66"/>
      <c r="AJ1228" s="66"/>
      <c r="AK1228" s="66"/>
      <c r="AL1228" s="66"/>
      <c r="AM1228" s="66"/>
      <c r="AN1228" s="83"/>
      <c r="AO1228" s="66"/>
      <c r="AP1228" s="66"/>
      <c r="AQ1228" s="66"/>
      <c r="AR1228" s="81"/>
      <c r="AS1228" s="81"/>
      <c r="AT1228" s="81"/>
      <c r="AU1228" s="81"/>
      <c r="AV1228" s="83">
        <f>SUM(Prog_236[[#This Row],[ADIANTAMENTO]]+Prog_236[[#This Row],[SALDO]]+Prog_236[[#This Row],[MARGEM]]+Prog_236[[#This Row],[ESTADIA 1]])</f>
        <v>0</v>
      </c>
      <c r="AW12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8" s="81"/>
      <c r="AY1228" s="81"/>
      <c r="AZ1228" s="81">
        <f>Prog_236[[#This Row],[VLR NF]]*0.1%</f>
        <v>0</v>
      </c>
      <c r="BA1228" s="81">
        <f>Prog_236[[#This Row],[VLR NF]]*0.05%</f>
        <v>0</v>
      </c>
      <c r="BB1228" s="81"/>
      <c r="BC1228" s="81"/>
      <c r="BD1228" s="81"/>
      <c r="BE1228" s="81"/>
      <c r="BF1228" s="81"/>
      <c r="BG1228" s="81"/>
      <c r="BH1228" s="81"/>
      <c r="BI1228" s="81"/>
      <c r="BJ1228" s="81"/>
      <c r="BK1228" s="81"/>
      <c r="BL1228" s="66"/>
      <c r="BM1228" s="66"/>
      <c r="BN1228" s="66"/>
      <c r="BO1228" s="66" t="str">
        <f>PROPER(TEXT(Prog_236[[#This Row],[PROGRAMAÇÃO CLIENTE]],"mmm"))</f>
        <v>Jan</v>
      </c>
      <c r="BP1228" s="66">
        <f>YEAR(Prog_236[[#This Row],[PROGRAMAÇÃO CLIENTE]])</f>
        <v>1900</v>
      </c>
    </row>
    <row r="1229" spans="1:68" x14ac:dyDescent="0.25">
      <c r="A1229" s="200">
        <f>Prog_236[[#This Row],[CONTEINER]]</f>
        <v>0</v>
      </c>
      <c r="B1229" s="86"/>
      <c r="C12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29" s="44"/>
      <c r="E1229" s="66"/>
      <c r="F1229" s="66"/>
      <c r="G1229" s="66"/>
      <c r="H1229" s="44"/>
      <c r="I1229" s="44"/>
      <c r="J1229" s="66"/>
      <c r="K1229" s="66"/>
      <c r="L1229" s="66"/>
      <c r="M1229" s="66"/>
      <c r="N1229" s="66">
        <f>SUM(Prog_236[[#This Row],[TARA]]+Prog_236[[#This Row],[PESO]])</f>
        <v>0</v>
      </c>
      <c r="O1229" s="44"/>
      <c r="P1229" s="66"/>
      <c r="Q1229" s="66"/>
      <c r="R1229" s="66"/>
      <c r="S1229" s="66"/>
      <c r="T1229" s="138" t="str">
        <f>IFERROR(LOOKUP($S1229,MOTORISTAS!$D$3:$D$1048576,MOTORISTAS!E$3:$E$1048576),"")</f>
        <v/>
      </c>
      <c r="U1229" s="138" t="str">
        <f>IFERROR(LOOKUP($S1229,MOTORISTAS!$D$3:$D$1048576,MOTORISTAS!F$3:$F$1048576),"")</f>
        <v/>
      </c>
      <c r="V1229" s="66"/>
      <c r="W1229" s="66"/>
      <c r="X1229" s="66"/>
      <c r="Y1229" s="66"/>
      <c r="Z1229" s="66"/>
      <c r="AA1229" s="66"/>
      <c r="AB1229" s="66"/>
      <c r="AC1229" s="66"/>
      <c r="AD1229" s="66"/>
      <c r="AE1229" s="66"/>
      <c r="AF1229" s="44"/>
      <c r="AG1229" s="254">
        <f>Prog_236[[#This Row],[SAÍDA DO CLIENTE]]-Prog_236[[#This Row],[PROGRAMAÇÃO CLIENTE]]</f>
        <v>0</v>
      </c>
      <c r="AH1229" s="44"/>
      <c r="AI1229" s="66"/>
      <c r="AJ1229" s="66"/>
      <c r="AK1229" s="66"/>
      <c r="AL1229" s="66"/>
      <c r="AM1229" s="66"/>
      <c r="AN1229" s="83"/>
      <c r="AO1229" s="66"/>
      <c r="AP1229" s="66"/>
      <c r="AQ1229" s="66"/>
      <c r="AR1229" s="81"/>
      <c r="AS1229" s="81"/>
      <c r="AT1229" s="81"/>
      <c r="AU1229" s="81"/>
      <c r="AV1229" s="83">
        <f>SUM(Prog_236[[#This Row],[ADIANTAMENTO]]+Prog_236[[#This Row],[SALDO]]+Prog_236[[#This Row],[MARGEM]]+Prog_236[[#This Row],[ESTADIA 1]])</f>
        <v>0</v>
      </c>
      <c r="AW12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29" s="81"/>
      <c r="AY1229" s="81"/>
      <c r="AZ1229" s="81">
        <f>Prog_236[[#This Row],[VLR NF]]*0.1%</f>
        <v>0</v>
      </c>
      <c r="BA1229" s="81">
        <f>Prog_236[[#This Row],[VLR NF]]*0.05%</f>
        <v>0</v>
      </c>
      <c r="BB1229" s="81"/>
      <c r="BC1229" s="81"/>
      <c r="BD1229" s="81"/>
      <c r="BE1229" s="81"/>
      <c r="BF1229" s="81"/>
      <c r="BG1229" s="81"/>
      <c r="BH1229" s="81"/>
      <c r="BI1229" s="81"/>
      <c r="BJ1229" s="81"/>
      <c r="BK1229" s="81"/>
      <c r="BL1229" s="66"/>
      <c r="BM1229" s="66"/>
      <c r="BN1229" s="66"/>
      <c r="BO1229" s="66" t="str">
        <f>PROPER(TEXT(Prog_236[[#This Row],[PROGRAMAÇÃO CLIENTE]],"mmm"))</f>
        <v>Jan</v>
      </c>
      <c r="BP1229" s="66">
        <f>YEAR(Prog_236[[#This Row],[PROGRAMAÇÃO CLIENTE]])</f>
        <v>1900</v>
      </c>
    </row>
    <row r="1230" spans="1:68" x14ac:dyDescent="0.25">
      <c r="A1230" s="201">
        <f>Prog_236[[#This Row],[CONTEINER]]</f>
        <v>0</v>
      </c>
      <c r="B1230" s="86"/>
      <c r="C12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0" s="44"/>
      <c r="E1230" s="66"/>
      <c r="F1230" s="66"/>
      <c r="G1230" s="66"/>
      <c r="H1230" s="44"/>
      <c r="I1230" s="44"/>
      <c r="J1230" s="66"/>
      <c r="K1230" s="66"/>
      <c r="L1230" s="66"/>
      <c r="M1230" s="66"/>
      <c r="N1230" s="66">
        <f>SUM(Prog_236[[#This Row],[TARA]]+Prog_236[[#This Row],[PESO]])</f>
        <v>0</v>
      </c>
      <c r="O1230" s="44"/>
      <c r="P1230" s="66"/>
      <c r="Q1230" s="66"/>
      <c r="R1230" s="66"/>
      <c r="S1230" s="66"/>
      <c r="T1230" s="138" t="str">
        <f>IFERROR(LOOKUP($S1230,MOTORISTAS!$D$3:$D$1048576,MOTORISTAS!E$3:$E$1048576),"")</f>
        <v/>
      </c>
      <c r="U1230" s="138" t="str">
        <f>IFERROR(LOOKUP($S1230,MOTORISTAS!$D$3:$D$1048576,MOTORISTAS!F$3:$F$1048576),"")</f>
        <v/>
      </c>
      <c r="V1230" s="66"/>
      <c r="W1230" s="66"/>
      <c r="X1230" s="66"/>
      <c r="Y1230" s="66"/>
      <c r="Z1230" s="66"/>
      <c r="AA1230" s="66"/>
      <c r="AB1230" s="66"/>
      <c r="AC1230" s="66"/>
      <c r="AD1230" s="66"/>
      <c r="AE1230" s="66"/>
      <c r="AF1230" s="44"/>
      <c r="AG1230" s="254">
        <f>Prog_236[[#This Row],[SAÍDA DO CLIENTE]]-Prog_236[[#This Row],[PROGRAMAÇÃO CLIENTE]]</f>
        <v>0</v>
      </c>
      <c r="AH1230" s="44"/>
      <c r="AI1230" s="66"/>
      <c r="AJ1230" s="66"/>
      <c r="AK1230" s="66"/>
      <c r="AL1230" s="66"/>
      <c r="AM1230" s="66"/>
      <c r="AN1230" s="83"/>
      <c r="AO1230" s="66"/>
      <c r="AP1230" s="66"/>
      <c r="AQ1230" s="66"/>
      <c r="AR1230" s="81"/>
      <c r="AS1230" s="81"/>
      <c r="AT1230" s="81"/>
      <c r="AU1230" s="81"/>
      <c r="AV1230" s="83">
        <f>SUM(Prog_236[[#This Row],[ADIANTAMENTO]]+Prog_236[[#This Row],[SALDO]]+Prog_236[[#This Row],[MARGEM]]+Prog_236[[#This Row],[ESTADIA 1]])</f>
        <v>0</v>
      </c>
      <c r="AW12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0" s="81"/>
      <c r="AY1230" s="81"/>
      <c r="AZ1230" s="81">
        <f>Prog_236[[#This Row],[VLR NF]]*0.1%</f>
        <v>0</v>
      </c>
      <c r="BA1230" s="81">
        <f>Prog_236[[#This Row],[VLR NF]]*0.05%</f>
        <v>0</v>
      </c>
      <c r="BB1230" s="81"/>
      <c r="BC1230" s="81"/>
      <c r="BD1230" s="81"/>
      <c r="BE1230" s="81"/>
      <c r="BF1230" s="81"/>
      <c r="BG1230" s="81"/>
      <c r="BH1230" s="81"/>
      <c r="BI1230" s="81"/>
      <c r="BJ1230" s="81"/>
      <c r="BK1230" s="81"/>
      <c r="BL1230" s="66"/>
      <c r="BM1230" s="66"/>
      <c r="BN1230" s="66"/>
      <c r="BO1230" s="66" t="str">
        <f>PROPER(TEXT(Prog_236[[#This Row],[PROGRAMAÇÃO CLIENTE]],"mmm"))</f>
        <v>Jan</v>
      </c>
      <c r="BP1230" s="66">
        <f>YEAR(Prog_236[[#This Row],[PROGRAMAÇÃO CLIENTE]])</f>
        <v>1900</v>
      </c>
    </row>
    <row r="1231" spans="1:68" x14ac:dyDescent="0.25">
      <c r="A1231" s="200">
        <f>Prog_236[[#This Row],[CONTEINER]]</f>
        <v>0</v>
      </c>
      <c r="B1231" s="86"/>
      <c r="C12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1" s="44"/>
      <c r="E1231" s="66"/>
      <c r="F1231" s="66"/>
      <c r="G1231" s="66"/>
      <c r="H1231" s="44"/>
      <c r="I1231" s="44"/>
      <c r="J1231" s="66"/>
      <c r="K1231" s="66"/>
      <c r="L1231" s="66"/>
      <c r="M1231" s="66"/>
      <c r="N1231" s="66">
        <f>SUM(Prog_236[[#This Row],[TARA]]+Prog_236[[#This Row],[PESO]])</f>
        <v>0</v>
      </c>
      <c r="O1231" s="44"/>
      <c r="P1231" s="66"/>
      <c r="Q1231" s="66"/>
      <c r="R1231" s="66"/>
      <c r="S1231" s="66"/>
      <c r="T1231" s="138" t="str">
        <f>IFERROR(LOOKUP($S1231,MOTORISTAS!$D$3:$D$1048576,MOTORISTAS!E$3:$E$1048576),"")</f>
        <v/>
      </c>
      <c r="U1231" s="138" t="str">
        <f>IFERROR(LOOKUP($S1231,MOTORISTAS!$D$3:$D$1048576,MOTORISTAS!F$3:$F$1048576),"")</f>
        <v/>
      </c>
      <c r="V1231" s="66"/>
      <c r="W1231" s="66"/>
      <c r="X1231" s="66"/>
      <c r="Y1231" s="66"/>
      <c r="Z1231" s="66"/>
      <c r="AA1231" s="66"/>
      <c r="AB1231" s="66"/>
      <c r="AC1231" s="66"/>
      <c r="AD1231" s="66"/>
      <c r="AE1231" s="66"/>
      <c r="AF1231" s="44"/>
      <c r="AG1231" s="254">
        <f>Prog_236[[#This Row],[SAÍDA DO CLIENTE]]-Prog_236[[#This Row],[PROGRAMAÇÃO CLIENTE]]</f>
        <v>0</v>
      </c>
      <c r="AH1231" s="44"/>
      <c r="AI1231" s="66"/>
      <c r="AJ1231" s="66"/>
      <c r="AK1231" s="66"/>
      <c r="AL1231" s="66"/>
      <c r="AM1231" s="66"/>
      <c r="AN1231" s="83"/>
      <c r="AO1231" s="66"/>
      <c r="AP1231" s="66"/>
      <c r="AQ1231" s="66"/>
      <c r="AR1231" s="81"/>
      <c r="AS1231" s="81"/>
      <c r="AT1231" s="81"/>
      <c r="AU1231" s="81"/>
      <c r="AV1231" s="83">
        <f>SUM(Prog_236[[#This Row],[ADIANTAMENTO]]+Prog_236[[#This Row],[SALDO]]+Prog_236[[#This Row],[MARGEM]]+Prog_236[[#This Row],[ESTADIA 1]])</f>
        <v>0</v>
      </c>
      <c r="AW12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1" s="81"/>
      <c r="AY1231" s="81"/>
      <c r="AZ1231" s="81">
        <f>Prog_236[[#This Row],[VLR NF]]*0.1%</f>
        <v>0</v>
      </c>
      <c r="BA1231" s="81">
        <f>Prog_236[[#This Row],[VLR NF]]*0.05%</f>
        <v>0</v>
      </c>
      <c r="BB1231" s="81"/>
      <c r="BC1231" s="81"/>
      <c r="BD1231" s="81"/>
      <c r="BE1231" s="81"/>
      <c r="BF1231" s="81"/>
      <c r="BG1231" s="81"/>
      <c r="BH1231" s="81"/>
      <c r="BI1231" s="81"/>
      <c r="BJ1231" s="81"/>
      <c r="BK1231" s="81"/>
      <c r="BL1231" s="66"/>
      <c r="BM1231" s="66"/>
      <c r="BN1231" s="66"/>
      <c r="BO1231" s="66" t="str">
        <f>PROPER(TEXT(Prog_236[[#This Row],[PROGRAMAÇÃO CLIENTE]],"mmm"))</f>
        <v>Jan</v>
      </c>
      <c r="BP1231" s="66">
        <f>YEAR(Prog_236[[#This Row],[PROGRAMAÇÃO CLIENTE]])</f>
        <v>1900</v>
      </c>
    </row>
    <row r="1232" spans="1:68" x14ac:dyDescent="0.25">
      <c r="A1232" s="201">
        <f>Prog_236[[#This Row],[CONTEINER]]</f>
        <v>0</v>
      </c>
      <c r="B1232" s="86"/>
      <c r="C12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2" s="44"/>
      <c r="E1232" s="66"/>
      <c r="F1232" s="66"/>
      <c r="G1232" s="66"/>
      <c r="H1232" s="44"/>
      <c r="I1232" s="44"/>
      <c r="J1232" s="66"/>
      <c r="K1232" s="66"/>
      <c r="L1232" s="66"/>
      <c r="M1232" s="66"/>
      <c r="N1232" s="66">
        <f>SUM(Prog_236[[#This Row],[TARA]]+Prog_236[[#This Row],[PESO]])</f>
        <v>0</v>
      </c>
      <c r="O1232" s="44"/>
      <c r="P1232" s="66"/>
      <c r="Q1232" s="66"/>
      <c r="R1232" s="66"/>
      <c r="S1232" s="66"/>
      <c r="T1232" s="138" t="str">
        <f>IFERROR(LOOKUP($S1232,MOTORISTAS!$D$3:$D$1048576,MOTORISTAS!E$3:$E$1048576),"")</f>
        <v/>
      </c>
      <c r="U1232" s="138" t="str">
        <f>IFERROR(LOOKUP($S1232,MOTORISTAS!$D$3:$D$1048576,MOTORISTAS!F$3:$F$1048576),"")</f>
        <v/>
      </c>
      <c r="V1232" s="66"/>
      <c r="W1232" s="66"/>
      <c r="X1232" s="66"/>
      <c r="Y1232" s="66"/>
      <c r="Z1232" s="66"/>
      <c r="AA1232" s="66"/>
      <c r="AB1232" s="66"/>
      <c r="AC1232" s="66"/>
      <c r="AD1232" s="66"/>
      <c r="AE1232" s="66"/>
      <c r="AF1232" s="44"/>
      <c r="AG1232" s="254">
        <f>Prog_236[[#This Row],[SAÍDA DO CLIENTE]]-Prog_236[[#This Row],[PROGRAMAÇÃO CLIENTE]]</f>
        <v>0</v>
      </c>
      <c r="AH1232" s="44"/>
      <c r="AI1232" s="66"/>
      <c r="AJ1232" s="66"/>
      <c r="AK1232" s="66"/>
      <c r="AL1232" s="66"/>
      <c r="AM1232" s="66"/>
      <c r="AN1232" s="83"/>
      <c r="AO1232" s="66"/>
      <c r="AP1232" s="66"/>
      <c r="AQ1232" s="66"/>
      <c r="AR1232" s="81"/>
      <c r="AS1232" s="81"/>
      <c r="AT1232" s="81"/>
      <c r="AU1232" s="81"/>
      <c r="AV1232" s="83">
        <f>SUM(Prog_236[[#This Row],[ADIANTAMENTO]]+Prog_236[[#This Row],[SALDO]]+Prog_236[[#This Row],[MARGEM]]+Prog_236[[#This Row],[ESTADIA 1]])</f>
        <v>0</v>
      </c>
      <c r="AW12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2" s="81"/>
      <c r="AY1232" s="81"/>
      <c r="AZ1232" s="81">
        <f>Prog_236[[#This Row],[VLR NF]]*0.1%</f>
        <v>0</v>
      </c>
      <c r="BA1232" s="81">
        <f>Prog_236[[#This Row],[VLR NF]]*0.05%</f>
        <v>0</v>
      </c>
      <c r="BB1232" s="81"/>
      <c r="BC1232" s="81"/>
      <c r="BD1232" s="81"/>
      <c r="BE1232" s="81"/>
      <c r="BF1232" s="81"/>
      <c r="BG1232" s="81"/>
      <c r="BH1232" s="81"/>
      <c r="BI1232" s="81"/>
      <c r="BJ1232" s="81"/>
      <c r="BK1232" s="81"/>
      <c r="BL1232" s="66"/>
      <c r="BM1232" s="66"/>
      <c r="BN1232" s="66"/>
      <c r="BO1232" s="66" t="str">
        <f>PROPER(TEXT(Prog_236[[#This Row],[PROGRAMAÇÃO CLIENTE]],"mmm"))</f>
        <v>Jan</v>
      </c>
      <c r="BP1232" s="66">
        <f>YEAR(Prog_236[[#This Row],[PROGRAMAÇÃO CLIENTE]])</f>
        <v>1900</v>
      </c>
    </row>
    <row r="1233" spans="1:68" x14ac:dyDescent="0.25">
      <c r="A1233" s="200">
        <f>Prog_236[[#This Row],[CONTEINER]]</f>
        <v>0</v>
      </c>
      <c r="B1233" s="86"/>
      <c r="C12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3" s="44"/>
      <c r="E1233" s="66"/>
      <c r="F1233" s="66"/>
      <c r="G1233" s="66"/>
      <c r="H1233" s="44"/>
      <c r="I1233" s="44"/>
      <c r="J1233" s="66"/>
      <c r="K1233" s="66"/>
      <c r="L1233" s="66"/>
      <c r="M1233" s="66"/>
      <c r="N1233" s="66">
        <f>SUM(Prog_236[[#This Row],[TARA]]+Prog_236[[#This Row],[PESO]])</f>
        <v>0</v>
      </c>
      <c r="O1233" s="44"/>
      <c r="P1233" s="66"/>
      <c r="Q1233" s="66"/>
      <c r="R1233" s="66"/>
      <c r="S1233" s="66"/>
      <c r="T1233" s="138" t="str">
        <f>IFERROR(LOOKUP($S1233,MOTORISTAS!$D$3:$D$1048576,MOTORISTAS!E$3:$E$1048576),"")</f>
        <v/>
      </c>
      <c r="U1233" s="138" t="str">
        <f>IFERROR(LOOKUP($S1233,MOTORISTAS!$D$3:$D$1048576,MOTORISTAS!F$3:$F$1048576),"")</f>
        <v/>
      </c>
      <c r="V1233" s="66"/>
      <c r="W1233" s="66"/>
      <c r="X1233" s="66"/>
      <c r="Y1233" s="66"/>
      <c r="Z1233" s="66"/>
      <c r="AA1233" s="66"/>
      <c r="AB1233" s="66"/>
      <c r="AC1233" s="66"/>
      <c r="AD1233" s="66"/>
      <c r="AE1233" s="66"/>
      <c r="AF1233" s="44"/>
      <c r="AG1233" s="254">
        <f>Prog_236[[#This Row],[SAÍDA DO CLIENTE]]-Prog_236[[#This Row],[PROGRAMAÇÃO CLIENTE]]</f>
        <v>0</v>
      </c>
      <c r="AH1233" s="44"/>
      <c r="AI1233" s="66"/>
      <c r="AJ1233" s="66"/>
      <c r="AK1233" s="66"/>
      <c r="AL1233" s="66"/>
      <c r="AM1233" s="66"/>
      <c r="AN1233" s="83"/>
      <c r="AO1233" s="66"/>
      <c r="AP1233" s="66"/>
      <c r="AQ1233" s="66"/>
      <c r="AR1233" s="81"/>
      <c r="AS1233" s="81"/>
      <c r="AT1233" s="81"/>
      <c r="AU1233" s="81"/>
      <c r="AV1233" s="83">
        <f>SUM(Prog_236[[#This Row],[ADIANTAMENTO]]+Prog_236[[#This Row],[SALDO]]+Prog_236[[#This Row],[MARGEM]]+Prog_236[[#This Row],[ESTADIA 1]])</f>
        <v>0</v>
      </c>
      <c r="AW12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3" s="81"/>
      <c r="AY1233" s="81"/>
      <c r="AZ1233" s="81">
        <f>Prog_236[[#This Row],[VLR NF]]*0.1%</f>
        <v>0</v>
      </c>
      <c r="BA1233" s="81">
        <f>Prog_236[[#This Row],[VLR NF]]*0.05%</f>
        <v>0</v>
      </c>
      <c r="BB1233" s="81"/>
      <c r="BC1233" s="81"/>
      <c r="BD1233" s="81"/>
      <c r="BE1233" s="81"/>
      <c r="BF1233" s="81"/>
      <c r="BG1233" s="81"/>
      <c r="BH1233" s="81"/>
      <c r="BI1233" s="81"/>
      <c r="BJ1233" s="81"/>
      <c r="BK1233" s="81"/>
      <c r="BL1233" s="66"/>
      <c r="BM1233" s="66"/>
      <c r="BN1233" s="66"/>
      <c r="BO1233" s="66" t="str">
        <f>PROPER(TEXT(Prog_236[[#This Row],[PROGRAMAÇÃO CLIENTE]],"mmm"))</f>
        <v>Jan</v>
      </c>
      <c r="BP1233" s="66">
        <f>YEAR(Prog_236[[#This Row],[PROGRAMAÇÃO CLIENTE]])</f>
        <v>1900</v>
      </c>
    </row>
    <row r="1234" spans="1:68" x14ac:dyDescent="0.25">
      <c r="A1234" s="201">
        <f>Prog_236[[#This Row],[CONTEINER]]</f>
        <v>0</v>
      </c>
      <c r="B1234" s="86"/>
      <c r="C12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4" s="44"/>
      <c r="E1234" s="66"/>
      <c r="F1234" s="66"/>
      <c r="G1234" s="66"/>
      <c r="H1234" s="44"/>
      <c r="I1234" s="44"/>
      <c r="J1234" s="66"/>
      <c r="K1234" s="66"/>
      <c r="L1234" s="66"/>
      <c r="M1234" s="66"/>
      <c r="N1234" s="66">
        <f>SUM(Prog_236[[#This Row],[TARA]]+Prog_236[[#This Row],[PESO]])</f>
        <v>0</v>
      </c>
      <c r="O1234" s="44"/>
      <c r="P1234" s="66"/>
      <c r="Q1234" s="66"/>
      <c r="R1234" s="66"/>
      <c r="S1234" s="66"/>
      <c r="T1234" s="138" t="str">
        <f>IFERROR(LOOKUP($S1234,MOTORISTAS!$D$3:$D$1048576,MOTORISTAS!E$3:$E$1048576),"")</f>
        <v/>
      </c>
      <c r="U1234" s="138" t="str">
        <f>IFERROR(LOOKUP($S1234,MOTORISTAS!$D$3:$D$1048576,MOTORISTAS!F$3:$F$1048576),"")</f>
        <v/>
      </c>
      <c r="V1234" s="66"/>
      <c r="W1234" s="66"/>
      <c r="X1234" s="66"/>
      <c r="Y1234" s="66"/>
      <c r="Z1234" s="66"/>
      <c r="AA1234" s="66"/>
      <c r="AB1234" s="66"/>
      <c r="AC1234" s="66"/>
      <c r="AD1234" s="66"/>
      <c r="AE1234" s="66"/>
      <c r="AF1234" s="44"/>
      <c r="AG1234" s="254">
        <f>Prog_236[[#This Row],[SAÍDA DO CLIENTE]]-Prog_236[[#This Row],[PROGRAMAÇÃO CLIENTE]]</f>
        <v>0</v>
      </c>
      <c r="AH1234" s="44"/>
      <c r="AI1234" s="66"/>
      <c r="AJ1234" s="66"/>
      <c r="AK1234" s="66"/>
      <c r="AL1234" s="66"/>
      <c r="AM1234" s="66"/>
      <c r="AN1234" s="83"/>
      <c r="AO1234" s="66"/>
      <c r="AP1234" s="66"/>
      <c r="AQ1234" s="66"/>
      <c r="AR1234" s="81"/>
      <c r="AS1234" s="81"/>
      <c r="AT1234" s="81"/>
      <c r="AU1234" s="81"/>
      <c r="AV1234" s="83">
        <f>SUM(Prog_236[[#This Row],[ADIANTAMENTO]]+Prog_236[[#This Row],[SALDO]]+Prog_236[[#This Row],[MARGEM]]+Prog_236[[#This Row],[ESTADIA 1]])</f>
        <v>0</v>
      </c>
      <c r="AW12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4" s="81"/>
      <c r="AY1234" s="81"/>
      <c r="AZ1234" s="81">
        <f>Prog_236[[#This Row],[VLR NF]]*0.1%</f>
        <v>0</v>
      </c>
      <c r="BA1234" s="81">
        <f>Prog_236[[#This Row],[VLR NF]]*0.05%</f>
        <v>0</v>
      </c>
      <c r="BB1234" s="81"/>
      <c r="BC1234" s="81"/>
      <c r="BD1234" s="81"/>
      <c r="BE1234" s="81"/>
      <c r="BF1234" s="81"/>
      <c r="BG1234" s="81"/>
      <c r="BH1234" s="81"/>
      <c r="BI1234" s="81"/>
      <c r="BJ1234" s="81"/>
      <c r="BK1234" s="81"/>
      <c r="BL1234" s="66"/>
      <c r="BM1234" s="66"/>
      <c r="BN1234" s="66"/>
      <c r="BO1234" s="66" t="str">
        <f>PROPER(TEXT(Prog_236[[#This Row],[PROGRAMAÇÃO CLIENTE]],"mmm"))</f>
        <v>Jan</v>
      </c>
      <c r="BP1234" s="66">
        <f>YEAR(Prog_236[[#This Row],[PROGRAMAÇÃO CLIENTE]])</f>
        <v>1900</v>
      </c>
    </row>
    <row r="1235" spans="1:68" x14ac:dyDescent="0.25">
      <c r="A1235" s="200">
        <f>Prog_236[[#This Row],[CONTEINER]]</f>
        <v>0</v>
      </c>
      <c r="B1235" s="86"/>
      <c r="C12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5" s="44"/>
      <c r="E1235" s="66"/>
      <c r="F1235" s="66"/>
      <c r="G1235" s="66"/>
      <c r="H1235" s="44"/>
      <c r="I1235" s="44"/>
      <c r="J1235" s="66"/>
      <c r="K1235" s="66"/>
      <c r="L1235" s="66"/>
      <c r="M1235" s="66"/>
      <c r="N1235" s="66">
        <f>SUM(Prog_236[[#This Row],[TARA]]+Prog_236[[#This Row],[PESO]])</f>
        <v>0</v>
      </c>
      <c r="O1235" s="44"/>
      <c r="P1235" s="66"/>
      <c r="Q1235" s="66"/>
      <c r="R1235" s="66"/>
      <c r="S1235" s="66"/>
      <c r="T1235" s="138" t="str">
        <f>IFERROR(LOOKUP($S1235,MOTORISTAS!$D$3:$D$1048576,MOTORISTAS!E$3:$E$1048576),"")</f>
        <v/>
      </c>
      <c r="U1235" s="138" t="str">
        <f>IFERROR(LOOKUP($S1235,MOTORISTAS!$D$3:$D$1048576,MOTORISTAS!F$3:$F$1048576),"")</f>
        <v/>
      </c>
      <c r="V1235" s="66"/>
      <c r="W1235" s="66"/>
      <c r="X1235" s="66"/>
      <c r="Y1235" s="66"/>
      <c r="Z1235" s="66"/>
      <c r="AA1235" s="66"/>
      <c r="AB1235" s="66"/>
      <c r="AC1235" s="66"/>
      <c r="AD1235" s="66"/>
      <c r="AE1235" s="66"/>
      <c r="AF1235" s="44"/>
      <c r="AG1235" s="254">
        <f>Prog_236[[#This Row],[SAÍDA DO CLIENTE]]-Prog_236[[#This Row],[PROGRAMAÇÃO CLIENTE]]</f>
        <v>0</v>
      </c>
      <c r="AH1235" s="44"/>
      <c r="AI1235" s="66"/>
      <c r="AJ1235" s="66"/>
      <c r="AK1235" s="66"/>
      <c r="AL1235" s="66"/>
      <c r="AM1235" s="66"/>
      <c r="AN1235" s="83"/>
      <c r="AO1235" s="66"/>
      <c r="AP1235" s="66"/>
      <c r="AQ1235" s="66"/>
      <c r="AR1235" s="81"/>
      <c r="AS1235" s="81"/>
      <c r="AT1235" s="81"/>
      <c r="AU1235" s="81"/>
      <c r="AV1235" s="83">
        <f>SUM(Prog_236[[#This Row],[ADIANTAMENTO]]+Prog_236[[#This Row],[SALDO]]+Prog_236[[#This Row],[MARGEM]]+Prog_236[[#This Row],[ESTADIA 1]])</f>
        <v>0</v>
      </c>
      <c r="AW12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5" s="81"/>
      <c r="AY1235" s="81"/>
      <c r="AZ1235" s="81">
        <f>Prog_236[[#This Row],[VLR NF]]*0.1%</f>
        <v>0</v>
      </c>
      <c r="BA1235" s="81">
        <f>Prog_236[[#This Row],[VLR NF]]*0.05%</f>
        <v>0</v>
      </c>
      <c r="BB1235" s="81"/>
      <c r="BC1235" s="81"/>
      <c r="BD1235" s="81"/>
      <c r="BE1235" s="81"/>
      <c r="BF1235" s="81"/>
      <c r="BG1235" s="81"/>
      <c r="BH1235" s="81"/>
      <c r="BI1235" s="81"/>
      <c r="BJ1235" s="81"/>
      <c r="BK1235" s="81"/>
      <c r="BL1235" s="66"/>
      <c r="BM1235" s="66"/>
      <c r="BN1235" s="66"/>
      <c r="BO1235" s="66" t="str">
        <f>PROPER(TEXT(Prog_236[[#This Row],[PROGRAMAÇÃO CLIENTE]],"mmm"))</f>
        <v>Jan</v>
      </c>
      <c r="BP1235" s="66">
        <f>YEAR(Prog_236[[#This Row],[PROGRAMAÇÃO CLIENTE]])</f>
        <v>1900</v>
      </c>
    </row>
    <row r="1236" spans="1:68" x14ac:dyDescent="0.25">
      <c r="A1236" s="201">
        <f>Prog_236[[#This Row],[CONTEINER]]</f>
        <v>0</v>
      </c>
      <c r="B1236" s="86"/>
      <c r="C12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6" s="44"/>
      <c r="E1236" s="66"/>
      <c r="F1236" s="66"/>
      <c r="G1236" s="66"/>
      <c r="H1236" s="44"/>
      <c r="I1236" s="44"/>
      <c r="J1236" s="66"/>
      <c r="K1236" s="66"/>
      <c r="L1236" s="66"/>
      <c r="M1236" s="66"/>
      <c r="N1236" s="66">
        <f>SUM(Prog_236[[#This Row],[TARA]]+Prog_236[[#This Row],[PESO]])</f>
        <v>0</v>
      </c>
      <c r="O1236" s="44"/>
      <c r="P1236" s="66"/>
      <c r="Q1236" s="66"/>
      <c r="R1236" s="66"/>
      <c r="S1236" s="66"/>
      <c r="T1236" s="138" t="str">
        <f>IFERROR(LOOKUP($S1236,MOTORISTAS!$D$3:$D$1048576,MOTORISTAS!E$3:$E$1048576),"")</f>
        <v/>
      </c>
      <c r="U1236" s="138" t="str">
        <f>IFERROR(LOOKUP($S1236,MOTORISTAS!$D$3:$D$1048576,MOTORISTAS!F$3:$F$1048576),"")</f>
        <v/>
      </c>
      <c r="V1236" s="66"/>
      <c r="W1236" s="66"/>
      <c r="X1236" s="66"/>
      <c r="Y1236" s="66"/>
      <c r="Z1236" s="66"/>
      <c r="AA1236" s="66"/>
      <c r="AB1236" s="66"/>
      <c r="AC1236" s="66"/>
      <c r="AD1236" s="66"/>
      <c r="AE1236" s="66"/>
      <c r="AF1236" s="44"/>
      <c r="AG1236" s="254">
        <f>Prog_236[[#This Row],[SAÍDA DO CLIENTE]]-Prog_236[[#This Row],[PROGRAMAÇÃO CLIENTE]]</f>
        <v>0</v>
      </c>
      <c r="AH1236" s="44"/>
      <c r="AI1236" s="66"/>
      <c r="AJ1236" s="66"/>
      <c r="AK1236" s="66"/>
      <c r="AL1236" s="66"/>
      <c r="AM1236" s="66"/>
      <c r="AN1236" s="83"/>
      <c r="AO1236" s="66"/>
      <c r="AP1236" s="66"/>
      <c r="AQ1236" s="66"/>
      <c r="AR1236" s="81"/>
      <c r="AS1236" s="81"/>
      <c r="AT1236" s="81"/>
      <c r="AU1236" s="81"/>
      <c r="AV1236" s="83">
        <f>SUM(Prog_236[[#This Row],[ADIANTAMENTO]]+Prog_236[[#This Row],[SALDO]]+Prog_236[[#This Row],[MARGEM]]+Prog_236[[#This Row],[ESTADIA 1]])</f>
        <v>0</v>
      </c>
      <c r="AW12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6" s="81"/>
      <c r="AY1236" s="81"/>
      <c r="AZ1236" s="81">
        <f>Prog_236[[#This Row],[VLR NF]]*0.1%</f>
        <v>0</v>
      </c>
      <c r="BA1236" s="81">
        <f>Prog_236[[#This Row],[VLR NF]]*0.05%</f>
        <v>0</v>
      </c>
      <c r="BB1236" s="81"/>
      <c r="BC1236" s="81"/>
      <c r="BD1236" s="81"/>
      <c r="BE1236" s="81"/>
      <c r="BF1236" s="81"/>
      <c r="BG1236" s="81"/>
      <c r="BH1236" s="81"/>
      <c r="BI1236" s="81"/>
      <c r="BJ1236" s="81"/>
      <c r="BK1236" s="81"/>
      <c r="BL1236" s="66"/>
      <c r="BM1236" s="66"/>
      <c r="BN1236" s="66"/>
      <c r="BO1236" s="66" t="str">
        <f>PROPER(TEXT(Prog_236[[#This Row],[PROGRAMAÇÃO CLIENTE]],"mmm"))</f>
        <v>Jan</v>
      </c>
      <c r="BP1236" s="66">
        <f>YEAR(Prog_236[[#This Row],[PROGRAMAÇÃO CLIENTE]])</f>
        <v>1900</v>
      </c>
    </row>
    <row r="1237" spans="1:68" x14ac:dyDescent="0.25">
      <c r="A1237" s="200">
        <f>Prog_236[[#This Row],[CONTEINER]]</f>
        <v>0</v>
      </c>
      <c r="B1237" s="86"/>
      <c r="C12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7" s="44"/>
      <c r="E1237" s="66"/>
      <c r="F1237" s="66"/>
      <c r="G1237" s="66"/>
      <c r="H1237" s="44"/>
      <c r="I1237" s="44"/>
      <c r="J1237" s="66"/>
      <c r="K1237" s="66"/>
      <c r="L1237" s="66"/>
      <c r="M1237" s="66"/>
      <c r="N1237" s="66">
        <f>SUM(Prog_236[[#This Row],[TARA]]+Prog_236[[#This Row],[PESO]])</f>
        <v>0</v>
      </c>
      <c r="O1237" s="44"/>
      <c r="P1237" s="66"/>
      <c r="Q1237" s="66"/>
      <c r="R1237" s="66"/>
      <c r="S1237" s="66"/>
      <c r="T1237" s="138" t="str">
        <f>IFERROR(LOOKUP($S1237,MOTORISTAS!$D$3:$D$1048576,MOTORISTAS!E$3:$E$1048576),"")</f>
        <v/>
      </c>
      <c r="U1237" s="138" t="str">
        <f>IFERROR(LOOKUP($S1237,MOTORISTAS!$D$3:$D$1048576,MOTORISTAS!F$3:$F$1048576),"")</f>
        <v/>
      </c>
      <c r="V1237" s="66"/>
      <c r="W1237" s="66"/>
      <c r="X1237" s="66"/>
      <c r="Y1237" s="66"/>
      <c r="Z1237" s="66"/>
      <c r="AA1237" s="66"/>
      <c r="AB1237" s="66"/>
      <c r="AC1237" s="66"/>
      <c r="AD1237" s="66"/>
      <c r="AE1237" s="66"/>
      <c r="AF1237" s="44"/>
      <c r="AG1237" s="254">
        <f>Prog_236[[#This Row],[SAÍDA DO CLIENTE]]-Prog_236[[#This Row],[PROGRAMAÇÃO CLIENTE]]</f>
        <v>0</v>
      </c>
      <c r="AH1237" s="44"/>
      <c r="AI1237" s="66"/>
      <c r="AJ1237" s="66"/>
      <c r="AK1237" s="66"/>
      <c r="AL1237" s="66"/>
      <c r="AM1237" s="66"/>
      <c r="AN1237" s="83"/>
      <c r="AO1237" s="66"/>
      <c r="AP1237" s="66"/>
      <c r="AQ1237" s="66"/>
      <c r="AR1237" s="81"/>
      <c r="AS1237" s="81"/>
      <c r="AT1237" s="81"/>
      <c r="AU1237" s="81"/>
      <c r="AV1237" s="83">
        <f>SUM(Prog_236[[#This Row],[ADIANTAMENTO]]+Prog_236[[#This Row],[SALDO]]+Prog_236[[#This Row],[MARGEM]]+Prog_236[[#This Row],[ESTADIA 1]])</f>
        <v>0</v>
      </c>
      <c r="AW12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7" s="81"/>
      <c r="AY1237" s="81"/>
      <c r="AZ1237" s="81">
        <f>Prog_236[[#This Row],[VLR NF]]*0.1%</f>
        <v>0</v>
      </c>
      <c r="BA1237" s="81">
        <f>Prog_236[[#This Row],[VLR NF]]*0.05%</f>
        <v>0</v>
      </c>
      <c r="BB1237" s="81"/>
      <c r="BC1237" s="81"/>
      <c r="BD1237" s="81"/>
      <c r="BE1237" s="81"/>
      <c r="BF1237" s="81"/>
      <c r="BG1237" s="81"/>
      <c r="BH1237" s="81"/>
      <c r="BI1237" s="81"/>
      <c r="BJ1237" s="81"/>
      <c r="BK1237" s="81"/>
      <c r="BL1237" s="66"/>
      <c r="BM1237" s="66"/>
      <c r="BN1237" s="66"/>
      <c r="BO1237" s="66" t="str">
        <f>PROPER(TEXT(Prog_236[[#This Row],[PROGRAMAÇÃO CLIENTE]],"mmm"))</f>
        <v>Jan</v>
      </c>
      <c r="BP1237" s="66">
        <f>YEAR(Prog_236[[#This Row],[PROGRAMAÇÃO CLIENTE]])</f>
        <v>1900</v>
      </c>
    </row>
    <row r="1238" spans="1:68" x14ac:dyDescent="0.25">
      <c r="A1238" s="201">
        <f>Prog_236[[#This Row],[CONTEINER]]</f>
        <v>0</v>
      </c>
      <c r="B1238" s="86"/>
      <c r="C12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8" s="44"/>
      <c r="E1238" s="66"/>
      <c r="F1238" s="66"/>
      <c r="G1238" s="66"/>
      <c r="H1238" s="44"/>
      <c r="I1238" s="44"/>
      <c r="J1238" s="66"/>
      <c r="K1238" s="66"/>
      <c r="L1238" s="66"/>
      <c r="M1238" s="66"/>
      <c r="N1238" s="66">
        <f>SUM(Prog_236[[#This Row],[TARA]]+Prog_236[[#This Row],[PESO]])</f>
        <v>0</v>
      </c>
      <c r="O1238" s="44"/>
      <c r="P1238" s="66"/>
      <c r="Q1238" s="66"/>
      <c r="R1238" s="66"/>
      <c r="S1238" s="66"/>
      <c r="T1238" s="138" t="str">
        <f>IFERROR(LOOKUP($S1238,MOTORISTAS!$D$3:$D$1048576,MOTORISTAS!E$3:$E$1048576),"")</f>
        <v/>
      </c>
      <c r="U1238" s="138" t="str">
        <f>IFERROR(LOOKUP($S1238,MOTORISTAS!$D$3:$D$1048576,MOTORISTAS!F$3:$F$1048576),"")</f>
        <v/>
      </c>
      <c r="V1238" s="66"/>
      <c r="W1238" s="66"/>
      <c r="X1238" s="66"/>
      <c r="Y1238" s="66"/>
      <c r="Z1238" s="66"/>
      <c r="AA1238" s="66"/>
      <c r="AB1238" s="66"/>
      <c r="AC1238" s="66"/>
      <c r="AD1238" s="66"/>
      <c r="AE1238" s="66"/>
      <c r="AF1238" s="44"/>
      <c r="AG1238" s="254">
        <f>Prog_236[[#This Row],[SAÍDA DO CLIENTE]]-Prog_236[[#This Row],[PROGRAMAÇÃO CLIENTE]]</f>
        <v>0</v>
      </c>
      <c r="AH1238" s="44"/>
      <c r="AI1238" s="66"/>
      <c r="AJ1238" s="66"/>
      <c r="AK1238" s="66"/>
      <c r="AL1238" s="66"/>
      <c r="AM1238" s="66"/>
      <c r="AN1238" s="83"/>
      <c r="AO1238" s="66"/>
      <c r="AP1238" s="66"/>
      <c r="AQ1238" s="66"/>
      <c r="AR1238" s="81"/>
      <c r="AS1238" s="81"/>
      <c r="AT1238" s="81"/>
      <c r="AU1238" s="81"/>
      <c r="AV1238" s="83">
        <f>SUM(Prog_236[[#This Row],[ADIANTAMENTO]]+Prog_236[[#This Row],[SALDO]]+Prog_236[[#This Row],[MARGEM]]+Prog_236[[#This Row],[ESTADIA 1]])</f>
        <v>0</v>
      </c>
      <c r="AW12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8" s="81"/>
      <c r="AY1238" s="81"/>
      <c r="AZ1238" s="81">
        <f>Prog_236[[#This Row],[VLR NF]]*0.1%</f>
        <v>0</v>
      </c>
      <c r="BA1238" s="81">
        <f>Prog_236[[#This Row],[VLR NF]]*0.05%</f>
        <v>0</v>
      </c>
      <c r="BB1238" s="81"/>
      <c r="BC1238" s="81"/>
      <c r="BD1238" s="81"/>
      <c r="BE1238" s="81"/>
      <c r="BF1238" s="81"/>
      <c r="BG1238" s="81"/>
      <c r="BH1238" s="81"/>
      <c r="BI1238" s="81"/>
      <c r="BJ1238" s="81"/>
      <c r="BK1238" s="81"/>
      <c r="BL1238" s="66"/>
      <c r="BM1238" s="66"/>
      <c r="BN1238" s="66"/>
      <c r="BO1238" s="66" t="str">
        <f>PROPER(TEXT(Prog_236[[#This Row],[PROGRAMAÇÃO CLIENTE]],"mmm"))</f>
        <v>Jan</v>
      </c>
      <c r="BP1238" s="66">
        <f>YEAR(Prog_236[[#This Row],[PROGRAMAÇÃO CLIENTE]])</f>
        <v>1900</v>
      </c>
    </row>
    <row r="1239" spans="1:68" x14ac:dyDescent="0.25">
      <c r="A1239" s="200">
        <f>Prog_236[[#This Row],[CONTEINER]]</f>
        <v>0</v>
      </c>
      <c r="B1239" s="86"/>
      <c r="C12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39" s="44"/>
      <c r="E1239" s="66"/>
      <c r="F1239" s="66"/>
      <c r="G1239" s="66"/>
      <c r="H1239" s="44"/>
      <c r="I1239" s="44"/>
      <c r="J1239" s="66"/>
      <c r="K1239" s="66"/>
      <c r="L1239" s="66"/>
      <c r="M1239" s="66"/>
      <c r="N1239" s="66">
        <f>SUM(Prog_236[[#This Row],[TARA]]+Prog_236[[#This Row],[PESO]])</f>
        <v>0</v>
      </c>
      <c r="O1239" s="44"/>
      <c r="P1239" s="66"/>
      <c r="Q1239" s="66"/>
      <c r="R1239" s="66"/>
      <c r="S1239" s="66"/>
      <c r="T1239" s="138" t="str">
        <f>IFERROR(LOOKUP($S1239,MOTORISTAS!$D$3:$D$1048576,MOTORISTAS!E$3:$E$1048576),"")</f>
        <v/>
      </c>
      <c r="U1239" s="138" t="str">
        <f>IFERROR(LOOKUP($S1239,MOTORISTAS!$D$3:$D$1048576,MOTORISTAS!F$3:$F$1048576),"")</f>
        <v/>
      </c>
      <c r="V1239" s="66"/>
      <c r="W1239" s="66"/>
      <c r="X1239" s="66"/>
      <c r="Y1239" s="66"/>
      <c r="Z1239" s="66"/>
      <c r="AA1239" s="66"/>
      <c r="AB1239" s="66"/>
      <c r="AC1239" s="66"/>
      <c r="AD1239" s="66"/>
      <c r="AE1239" s="66"/>
      <c r="AF1239" s="44"/>
      <c r="AG1239" s="254">
        <f>Prog_236[[#This Row],[SAÍDA DO CLIENTE]]-Prog_236[[#This Row],[PROGRAMAÇÃO CLIENTE]]</f>
        <v>0</v>
      </c>
      <c r="AH1239" s="44"/>
      <c r="AI1239" s="66"/>
      <c r="AJ1239" s="66"/>
      <c r="AK1239" s="66"/>
      <c r="AL1239" s="66"/>
      <c r="AM1239" s="66"/>
      <c r="AN1239" s="83"/>
      <c r="AO1239" s="66"/>
      <c r="AP1239" s="66"/>
      <c r="AQ1239" s="66"/>
      <c r="AR1239" s="81"/>
      <c r="AS1239" s="81"/>
      <c r="AT1239" s="81"/>
      <c r="AU1239" s="81"/>
      <c r="AV1239" s="83">
        <f>SUM(Prog_236[[#This Row],[ADIANTAMENTO]]+Prog_236[[#This Row],[SALDO]]+Prog_236[[#This Row],[MARGEM]]+Prog_236[[#This Row],[ESTADIA 1]])</f>
        <v>0</v>
      </c>
      <c r="AW12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39" s="81"/>
      <c r="AY1239" s="81"/>
      <c r="AZ1239" s="81">
        <f>Prog_236[[#This Row],[VLR NF]]*0.1%</f>
        <v>0</v>
      </c>
      <c r="BA1239" s="81">
        <f>Prog_236[[#This Row],[VLR NF]]*0.05%</f>
        <v>0</v>
      </c>
      <c r="BB1239" s="81"/>
      <c r="BC1239" s="81"/>
      <c r="BD1239" s="81"/>
      <c r="BE1239" s="81"/>
      <c r="BF1239" s="81"/>
      <c r="BG1239" s="81"/>
      <c r="BH1239" s="81"/>
      <c r="BI1239" s="81"/>
      <c r="BJ1239" s="81"/>
      <c r="BK1239" s="81"/>
      <c r="BL1239" s="66"/>
      <c r="BM1239" s="66"/>
      <c r="BN1239" s="66"/>
      <c r="BO1239" s="66" t="str">
        <f>PROPER(TEXT(Prog_236[[#This Row],[PROGRAMAÇÃO CLIENTE]],"mmm"))</f>
        <v>Jan</v>
      </c>
      <c r="BP1239" s="66">
        <f>YEAR(Prog_236[[#This Row],[PROGRAMAÇÃO CLIENTE]])</f>
        <v>1900</v>
      </c>
    </row>
    <row r="1240" spans="1:68" x14ac:dyDescent="0.25">
      <c r="A1240" s="201">
        <f>Prog_236[[#This Row],[CONTEINER]]</f>
        <v>0</v>
      </c>
      <c r="B1240" s="86"/>
      <c r="C12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0" s="44"/>
      <c r="E1240" s="66"/>
      <c r="F1240" s="66"/>
      <c r="G1240" s="66"/>
      <c r="H1240" s="44"/>
      <c r="I1240" s="44"/>
      <c r="J1240" s="66"/>
      <c r="K1240" s="66"/>
      <c r="L1240" s="66"/>
      <c r="M1240" s="66"/>
      <c r="N1240" s="66">
        <f>SUM(Prog_236[[#This Row],[TARA]]+Prog_236[[#This Row],[PESO]])</f>
        <v>0</v>
      </c>
      <c r="O1240" s="44"/>
      <c r="P1240" s="66"/>
      <c r="Q1240" s="66"/>
      <c r="R1240" s="66"/>
      <c r="S1240" s="66"/>
      <c r="T1240" s="138" t="str">
        <f>IFERROR(LOOKUP($S1240,MOTORISTAS!$D$3:$D$1048576,MOTORISTAS!E$3:$E$1048576),"")</f>
        <v/>
      </c>
      <c r="U1240" s="138" t="str">
        <f>IFERROR(LOOKUP($S1240,MOTORISTAS!$D$3:$D$1048576,MOTORISTAS!F$3:$F$1048576),"")</f>
        <v/>
      </c>
      <c r="V1240" s="66"/>
      <c r="W1240" s="66"/>
      <c r="X1240" s="66"/>
      <c r="Y1240" s="66"/>
      <c r="Z1240" s="66"/>
      <c r="AA1240" s="66"/>
      <c r="AB1240" s="66"/>
      <c r="AC1240" s="66"/>
      <c r="AD1240" s="66"/>
      <c r="AE1240" s="66"/>
      <c r="AF1240" s="44"/>
      <c r="AG1240" s="254">
        <f>Prog_236[[#This Row],[SAÍDA DO CLIENTE]]-Prog_236[[#This Row],[PROGRAMAÇÃO CLIENTE]]</f>
        <v>0</v>
      </c>
      <c r="AH1240" s="44"/>
      <c r="AI1240" s="66"/>
      <c r="AJ1240" s="66"/>
      <c r="AK1240" s="66"/>
      <c r="AL1240" s="66"/>
      <c r="AM1240" s="66"/>
      <c r="AN1240" s="83"/>
      <c r="AO1240" s="66"/>
      <c r="AP1240" s="66"/>
      <c r="AQ1240" s="66"/>
      <c r="AR1240" s="81"/>
      <c r="AS1240" s="81"/>
      <c r="AT1240" s="81"/>
      <c r="AU1240" s="81"/>
      <c r="AV1240" s="83">
        <f>SUM(Prog_236[[#This Row],[ADIANTAMENTO]]+Prog_236[[#This Row],[SALDO]]+Prog_236[[#This Row],[MARGEM]]+Prog_236[[#This Row],[ESTADIA 1]])</f>
        <v>0</v>
      </c>
      <c r="AW12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0" s="81"/>
      <c r="AY1240" s="81"/>
      <c r="AZ1240" s="81">
        <f>Prog_236[[#This Row],[VLR NF]]*0.1%</f>
        <v>0</v>
      </c>
      <c r="BA1240" s="81">
        <f>Prog_236[[#This Row],[VLR NF]]*0.05%</f>
        <v>0</v>
      </c>
      <c r="BB1240" s="81"/>
      <c r="BC1240" s="81"/>
      <c r="BD1240" s="81"/>
      <c r="BE1240" s="81"/>
      <c r="BF1240" s="81"/>
      <c r="BG1240" s="81"/>
      <c r="BH1240" s="81"/>
      <c r="BI1240" s="81"/>
      <c r="BJ1240" s="81"/>
      <c r="BK1240" s="81"/>
      <c r="BL1240" s="66"/>
      <c r="BM1240" s="66"/>
      <c r="BN1240" s="66"/>
      <c r="BO1240" s="66" t="str">
        <f>PROPER(TEXT(Prog_236[[#This Row],[PROGRAMAÇÃO CLIENTE]],"mmm"))</f>
        <v>Jan</v>
      </c>
      <c r="BP1240" s="66">
        <f>YEAR(Prog_236[[#This Row],[PROGRAMAÇÃO CLIENTE]])</f>
        <v>1900</v>
      </c>
    </row>
    <row r="1241" spans="1:68" x14ac:dyDescent="0.25">
      <c r="A1241" s="200">
        <f>Prog_236[[#This Row],[CONTEINER]]</f>
        <v>0</v>
      </c>
      <c r="B1241" s="86"/>
      <c r="C12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1" s="44"/>
      <c r="E1241" s="66"/>
      <c r="F1241" s="66"/>
      <c r="G1241" s="66"/>
      <c r="H1241" s="44"/>
      <c r="I1241" s="44"/>
      <c r="J1241" s="66"/>
      <c r="K1241" s="66"/>
      <c r="L1241" s="66"/>
      <c r="M1241" s="66"/>
      <c r="N1241" s="66">
        <f>SUM(Prog_236[[#This Row],[TARA]]+Prog_236[[#This Row],[PESO]])</f>
        <v>0</v>
      </c>
      <c r="O1241" s="44"/>
      <c r="P1241" s="66"/>
      <c r="Q1241" s="66"/>
      <c r="R1241" s="66"/>
      <c r="S1241" s="66"/>
      <c r="T1241" s="138" t="str">
        <f>IFERROR(LOOKUP($S1241,MOTORISTAS!$D$3:$D$1048576,MOTORISTAS!E$3:$E$1048576),"")</f>
        <v/>
      </c>
      <c r="U1241" s="138" t="str">
        <f>IFERROR(LOOKUP($S1241,MOTORISTAS!$D$3:$D$1048576,MOTORISTAS!F$3:$F$1048576),"")</f>
        <v/>
      </c>
      <c r="V1241" s="66"/>
      <c r="W1241" s="66"/>
      <c r="X1241" s="66"/>
      <c r="Y1241" s="66"/>
      <c r="Z1241" s="66"/>
      <c r="AA1241" s="66"/>
      <c r="AB1241" s="66"/>
      <c r="AC1241" s="66"/>
      <c r="AD1241" s="66"/>
      <c r="AE1241" s="66"/>
      <c r="AF1241" s="44"/>
      <c r="AG1241" s="254">
        <f>Prog_236[[#This Row],[SAÍDA DO CLIENTE]]-Prog_236[[#This Row],[PROGRAMAÇÃO CLIENTE]]</f>
        <v>0</v>
      </c>
      <c r="AH1241" s="44"/>
      <c r="AI1241" s="66"/>
      <c r="AJ1241" s="66"/>
      <c r="AK1241" s="66"/>
      <c r="AL1241" s="66"/>
      <c r="AM1241" s="66"/>
      <c r="AN1241" s="83"/>
      <c r="AO1241" s="66"/>
      <c r="AP1241" s="66"/>
      <c r="AQ1241" s="66"/>
      <c r="AR1241" s="81"/>
      <c r="AS1241" s="81"/>
      <c r="AT1241" s="81"/>
      <c r="AU1241" s="81"/>
      <c r="AV1241" s="83">
        <f>SUM(Prog_236[[#This Row],[ADIANTAMENTO]]+Prog_236[[#This Row],[SALDO]]+Prog_236[[#This Row],[MARGEM]]+Prog_236[[#This Row],[ESTADIA 1]])</f>
        <v>0</v>
      </c>
      <c r="AW12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1" s="81"/>
      <c r="AY1241" s="81"/>
      <c r="AZ1241" s="81">
        <f>Prog_236[[#This Row],[VLR NF]]*0.1%</f>
        <v>0</v>
      </c>
      <c r="BA1241" s="81">
        <f>Prog_236[[#This Row],[VLR NF]]*0.05%</f>
        <v>0</v>
      </c>
      <c r="BB1241" s="81"/>
      <c r="BC1241" s="81"/>
      <c r="BD1241" s="81"/>
      <c r="BE1241" s="81"/>
      <c r="BF1241" s="81"/>
      <c r="BG1241" s="81"/>
      <c r="BH1241" s="81"/>
      <c r="BI1241" s="81"/>
      <c r="BJ1241" s="81"/>
      <c r="BK1241" s="81"/>
      <c r="BL1241" s="66"/>
      <c r="BM1241" s="66"/>
      <c r="BN1241" s="66"/>
      <c r="BO1241" s="66" t="str">
        <f>PROPER(TEXT(Prog_236[[#This Row],[PROGRAMAÇÃO CLIENTE]],"mmm"))</f>
        <v>Jan</v>
      </c>
      <c r="BP1241" s="66">
        <f>YEAR(Prog_236[[#This Row],[PROGRAMAÇÃO CLIENTE]])</f>
        <v>1900</v>
      </c>
    </row>
    <row r="1242" spans="1:68" x14ac:dyDescent="0.25">
      <c r="A1242" s="201">
        <f>Prog_236[[#This Row],[CONTEINER]]</f>
        <v>0</v>
      </c>
      <c r="B1242" s="86"/>
      <c r="C12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2" s="44"/>
      <c r="E1242" s="66"/>
      <c r="F1242" s="66"/>
      <c r="G1242" s="66"/>
      <c r="H1242" s="44"/>
      <c r="I1242" s="44"/>
      <c r="J1242" s="66"/>
      <c r="K1242" s="66"/>
      <c r="L1242" s="66"/>
      <c r="M1242" s="66"/>
      <c r="N1242" s="66">
        <f>SUM(Prog_236[[#This Row],[TARA]]+Prog_236[[#This Row],[PESO]])</f>
        <v>0</v>
      </c>
      <c r="O1242" s="44"/>
      <c r="P1242" s="66"/>
      <c r="Q1242" s="66"/>
      <c r="R1242" s="66"/>
      <c r="S1242" s="66"/>
      <c r="T1242" s="138" t="str">
        <f>IFERROR(LOOKUP($S1242,MOTORISTAS!$D$3:$D$1048576,MOTORISTAS!E$3:$E$1048576),"")</f>
        <v/>
      </c>
      <c r="U1242" s="138" t="str">
        <f>IFERROR(LOOKUP($S1242,MOTORISTAS!$D$3:$D$1048576,MOTORISTAS!F$3:$F$1048576),"")</f>
        <v/>
      </c>
      <c r="V1242" s="66"/>
      <c r="W1242" s="66"/>
      <c r="X1242" s="66"/>
      <c r="Y1242" s="66"/>
      <c r="Z1242" s="66"/>
      <c r="AA1242" s="66"/>
      <c r="AB1242" s="66"/>
      <c r="AC1242" s="66"/>
      <c r="AD1242" s="66"/>
      <c r="AE1242" s="66"/>
      <c r="AF1242" s="44"/>
      <c r="AG1242" s="254">
        <f>Prog_236[[#This Row],[SAÍDA DO CLIENTE]]-Prog_236[[#This Row],[PROGRAMAÇÃO CLIENTE]]</f>
        <v>0</v>
      </c>
      <c r="AH1242" s="44"/>
      <c r="AI1242" s="66"/>
      <c r="AJ1242" s="66"/>
      <c r="AK1242" s="66"/>
      <c r="AL1242" s="66"/>
      <c r="AM1242" s="66"/>
      <c r="AN1242" s="83"/>
      <c r="AO1242" s="66"/>
      <c r="AP1242" s="66"/>
      <c r="AQ1242" s="66"/>
      <c r="AR1242" s="81"/>
      <c r="AS1242" s="81"/>
      <c r="AT1242" s="81"/>
      <c r="AU1242" s="81"/>
      <c r="AV1242" s="83">
        <f>SUM(Prog_236[[#This Row],[ADIANTAMENTO]]+Prog_236[[#This Row],[SALDO]]+Prog_236[[#This Row],[MARGEM]]+Prog_236[[#This Row],[ESTADIA 1]])</f>
        <v>0</v>
      </c>
      <c r="AW12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2" s="81"/>
      <c r="AY1242" s="81"/>
      <c r="AZ1242" s="81">
        <f>Prog_236[[#This Row],[VLR NF]]*0.1%</f>
        <v>0</v>
      </c>
      <c r="BA1242" s="81">
        <f>Prog_236[[#This Row],[VLR NF]]*0.05%</f>
        <v>0</v>
      </c>
      <c r="BB1242" s="81"/>
      <c r="BC1242" s="81"/>
      <c r="BD1242" s="81"/>
      <c r="BE1242" s="81"/>
      <c r="BF1242" s="81"/>
      <c r="BG1242" s="81"/>
      <c r="BH1242" s="81"/>
      <c r="BI1242" s="81"/>
      <c r="BJ1242" s="81"/>
      <c r="BK1242" s="81"/>
      <c r="BL1242" s="66"/>
      <c r="BM1242" s="66"/>
      <c r="BN1242" s="66"/>
      <c r="BO1242" s="66" t="str">
        <f>PROPER(TEXT(Prog_236[[#This Row],[PROGRAMAÇÃO CLIENTE]],"mmm"))</f>
        <v>Jan</v>
      </c>
      <c r="BP1242" s="66">
        <f>YEAR(Prog_236[[#This Row],[PROGRAMAÇÃO CLIENTE]])</f>
        <v>1900</v>
      </c>
    </row>
    <row r="1243" spans="1:68" x14ac:dyDescent="0.25">
      <c r="A1243" s="200">
        <f>Prog_236[[#This Row],[CONTEINER]]</f>
        <v>0</v>
      </c>
      <c r="B1243" s="86"/>
      <c r="C12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3" s="44"/>
      <c r="E1243" s="66"/>
      <c r="F1243" s="66"/>
      <c r="G1243" s="66"/>
      <c r="H1243" s="44"/>
      <c r="I1243" s="44"/>
      <c r="J1243" s="66"/>
      <c r="K1243" s="66"/>
      <c r="L1243" s="66"/>
      <c r="M1243" s="66"/>
      <c r="N1243" s="66">
        <f>SUM(Prog_236[[#This Row],[TARA]]+Prog_236[[#This Row],[PESO]])</f>
        <v>0</v>
      </c>
      <c r="O1243" s="44"/>
      <c r="P1243" s="66"/>
      <c r="Q1243" s="66"/>
      <c r="R1243" s="66"/>
      <c r="S1243" s="66"/>
      <c r="T1243" s="138" t="str">
        <f>IFERROR(LOOKUP($S1243,MOTORISTAS!$D$3:$D$1048576,MOTORISTAS!E$3:$E$1048576),"")</f>
        <v/>
      </c>
      <c r="U1243" s="138" t="str">
        <f>IFERROR(LOOKUP($S1243,MOTORISTAS!$D$3:$D$1048576,MOTORISTAS!F$3:$F$1048576),"")</f>
        <v/>
      </c>
      <c r="V1243" s="66"/>
      <c r="W1243" s="66"/>
      <c r="X1243" s="66"/>
      <c r="Y1243" s="66"/>
      <c r="Z1243" s="66"/>
      <c r="AA1243" s="66"/>
      <c r="AB1243" s="66"/>
      <c r="AC1243" s="66"/>
      <c r="AD1243" s="66"/>
      <c r="AE1243" s="66"/>
      <c r="AF1243" s="44"/>
      <c r="AG1243" s="254">
        <f>Prog_236[[#This Row],[SAÍDA DO CLIENTE]]-Prog_236[[#This Row],[PROGRAMAÇÃO CLIENTE]]</f>
        <v>0</v>
      </c>
      <c r="AH1243" s="44"/>
      <c r="AI1243" s="66"/>
      <c r="AJ1243" s="66"/>
      <c r="AK1243" s="66"/>
      <c r="AL1243" s="66"/>
      <c r="AM1243" s="66"/>
      <c r="AN1243" s="83"/>
      <c r="AO1243" s="66"/>
      <c r="AP1243" s="66"/>
      <c r="AQ1243" s="66"/>
      <c r="AR1243" s="81"/>
      <c r="AS1243" s="81"/>
      <c r="AT1243" s="81"/>
      <c r="AU1243" s="81"/>
      <c r="AV1243" s="83">
        <f>SUM(Prog_236[[#This Row],[ADIANTAMENTO]]+Prog_236[[#This Row],[SALDO]]+Prog_236[[#This Row],[MARGEM]]+Prog_236[[#This Row],[ESTADIA 1]])</f>
        <v>0</v>
      </c>
      <c r="AW12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3" s="81"/>
      <c r="AY1243" s="81"/>
      <c r="AZ1243" s="81">
        <f>Prog_236[[#This Row],[VLR NF]]*0.1%</f>
        <v>0</v>
      </c>
      <c r="BA1243" s="81">
        <f>Prog_236[[#This Row],[VLR NF]]*0.05%</f>
        <v>0</v>
      </c>
      <c r="BB1243" s="81"/>
      <c r="BC1243" s="81"/>
      <c r="BD1243" s="81"/>
      <c r="BE1243" s="81"/>
      <c r="BF1243" s="81"/>
      <c r="BG1243" s="81"/>
      <c r="BH1243" s="81"/>
      <c r="BI1243" s="81"/>
      <c r="BJ1243" s="81"/>
      <c r="BK1243" s="81"/>
      <c r="BL1243" s="66"/>
      <c r="BM1243" s="66"/>
      <c r="BN1243" s="66"/>
      <c r="BO1243" s="66" t="str">
        <f>PROPER(TEXT(Prog_236[[#This Row],[PROGRAMAÇÃO CLIENTE]],"mmm"))</f>
        <v>Jan</v>
      </c>
      <c r="BP1243" s="66">
        <f>YEAR(Prog_236[[#This Row],[PROGRAMAÇÃO CLIENTE]])</f>
        <v>1900</v>
      </c>
    </row>
    <row r="1244" spans="1:68" x14ac:dyDescent="0.25">
      <c r="A1244" s="201">
        <f>Prog_236[[#This Row],[CONTEINER]]</f>
        <v>0</v>
      </c>
      <c r="B1244" s="86"/>
      <c r="C12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4" s="44"/>
      <c r="E1244" s="66"/>
      <c r="F1244" s="66"/>
      <c r="G1244" s="66"/>
      <c r="H1244" s="44"/>
      <c r="I1244" s="44"/>
      <c r="J1244" s="66"/>
      <c r="K1244" s="66"/>
      <c r="L1244" s="66"/>
      <c r="M1244" s="66"/>
      <c r="N1244" s="66">
        <f>SUM(Prog_236[[#This Row],[TARA]]+Prog_236[[#This Row],[PESO]])</f>
        <v>0</v>
      </c>
      <c r="O1244" s="44"/>
      <c r="P1244" s="66"/>
      <c r="Q1244" s="66"/>
      <c r="R1244" s="66"/>
      <c r="S1244" s="66"/>
      <c r="T1244" s="138" t="str">
        <f>IFERROR(LOOKUP($S1244,MOTORISTAS!$D$3:$D$1048576,MOTORISTAS!E$3:$E$1048576),"")</f>
        <v/>
      </c>
      <c r="U1244" s="138" t="str">
        <f>IFERROR(LOOKUP($S1244,MOTORISTAS!$D$3:$D$1048576,MOTORISTAS!F$3:$F$1048576),"")</f>
        <v/>
      </c>
      <c r="V1244" s="66"/>
      <c r="W1244" s="66"/>
      <c r="X1244" s="66"/>
      <c r="Y1244" s="66"/>
      <c r="Z1244" s="66"/>
      <c r="AA1244" s="66"/>
      <c r="AB1244" s="66"/>
      <c r="AC1244" s="66"/>
      <c r="AD1244" s="66"/>
      <c r="AE1244" s="66"/>
      <c r="AF1244" s="44"/>
      <c r="AG1244" s="254">
        <f>Prog_236[[#This Row],[SAÍDA DO CLIENTE]]-Prog_236[[#This Row],[PROGRAMAÇÃO CLIENTE]]</f>
        <v>0</v>
      </c>
      <c r="AH1244" s="44"/>
      <c r="AI1244" s="66"/>
      <c r="AJ1244" s="66"/>
      <c r="AK1244" s="66"/>
      <c r="AL1244" s="66"/>
      <c r="AM1244" s="66"/>
      <c r="AN1244" s="83"/>
      <c r="AO1244" s="66"/>
      <c r="AP1244" s="66"/>
      <c r="AQ1244" s="66"/>
      <c r="AR1244" s="81"/>
      <c r="AS1244" s="81"/>
      <c r="AT1244" s="81"/>
      <c r="AU1244" s="81"/>
      <c r="AV1244" s="83">
        <f>SUM(Prog_236[[#This Row],[ADIANTAMENTO]]+Prog_236[[#This Row],[SALDO]]+Prog_236[[#This Row],[MARGEM]]+Prog_236[[#This Row],[ESTADIA 1]])</f>
        <v>0</v>
      </c>
      <c r="AW12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4" s="81"/>
      <c r="AY1244" s="81"/>
      <c r="AZ1244" s="81">
        <f>Prog_236[[#This Row],[VLR NF]]*0.1%</f>
        <v>0</v>
      </c>
      <c r="BA1244" s="81">
        <f>Prog_236[[#This Row],[VLR NF]]*0.05%</f>
        <v>0</v>
      </c>
      <c r="BB1244" s="81"/>
      <c r="BC1244" s="81"/>
      <c r="BD1244" s="81"/>
      <c r="BE1244" s="81"/>
      <c r="BF1244" s="81"/>
      <c r="BG1244" s="81"/>
      <c r="BH1244" s="81"/>
      <c r="BI1244" s="81"/>
      <c r="BJ1244" s="81"/>
      <c r="BK1244" s="81"/>
      <c r="BL1244" s="66"/>
      <c r="BM1244" s="66"/>
      <c r="BN1244" s="66"/>
      <c r="BO1244" s="66" t="str">
        <f>PROPER(TEXT(Prog_236[[#This Row],[PROGRAMAÇÃO CLIENTE]],"mmm"))</f>
        <v>Jan</v>
      </c>
      <c r="BP1244" s="66">
        <f>YEAR(Prog_236[[#This Row],[PROGRAMAÇÃO CLIENTE]])</f>
        <v>1900</v>
      </c>
    </row>
    <row r="1245" spans="1:68" x14ac:dyDescent="0.25">
      <c r="A1245" s="200">
        <f>Prog_236[[#This Row],[CONTEINER]]</f>
        <v>0</v>
      </c>
      <c r="B1245" s="86"/>
      <c r="C12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5" s="44"/>
      <c r="E1245" s="66"/>
      <c r="F1245" s="66"/>
      <c r="G1245" s="66"/>
      <c r="H1245" s="44"/>
      <c r="I1245" s="44"/>
      <c r="J1245" s="66"/>
      <c r="K1245" s="66"/>
      <c r="L1245" s="66"/>
      <c r="M1245" s="66"/>
      <c r="N1245" s="66">
        <f>SUM(Prog_236[[#This Row],[TARA]]+Prog_236[[#This Row],[PESO]])</f>
        <v>0</v>
      </c>
      <c r="O1245" s="44"/>
      <c r="P1245" s="66"/>
      <c r="Q1245" s="66"/>
      <c r="R1245" s="66"/>
      <c r="S1245" s="66"/>
      <c r="T1245" s="138" t="str">
        <f>IFERROR(LOOKUP($S1245,MOTORISTAS!$D$3:$D$1048576,MOTORISTAS!E$3:$E$1048576),"")</f>
        <v/>
      </c>
      <c r="U1245" s="138" t="str">
        <f>IFERROR(LOOKUP($S1245,MOTORISTAS!$D$3:$D$1048576,MOTORISTAS!F$3:$F$1048576),"")</f>
        <v/>
      </c>
      <c r="V1245" s="66"/>
      <c r="W1245" s="66"/>
      <c r="X1245" s="66"/>
      <c r="Y1245" s="66"/>
      <c r="Z1245" s="66"/>
      <c r="AA1245" s="66"/>
      <c r="AB1245" s="66"/>
      <c r="AC1245" s="66"/>
      <c r="AD1245" s="66"/>
      <c r="AE1245" s="66"/>
      <c r="AF1245" s="44"/>
      <c r="AG1245" s="254">
        <f>Prog_236[[#This Row],[SAÍDA DO CLIENTE]]-Prog_236[[#This Row],[PROGRAMAÇÃO CLIENTE]]</f>
        <v>0</v>
      </c>
      <c r="AH1245" s="44"/>
      <c r="AI1245" s="66"/>
      <c r="AJ1245" s="66"/>
      <c r="AK1245" s="66"/>
      <c r="AL1245" s="66"/>
      <c r="AM1245" s="66"/>
      <c r="AN1245" s="83"/>
      <c r="AO1245" s="66"/>
      <c r="AP1245" s="66"/>
      <c r="AQ1245" s="66"/>
      <c r="AR1245" s="81"/>
      <c r="AS1245" s="81"/>
      <c r="AT1245" s="81"/>
      <c r="AU1245" s="81"/>
      <c r="AV1245" s="83">
        <f>SUM(Prog_236[[#This Row],[ADIANTAMENTO]]+Prog_236[[#This Row],[SALDO]]+Prog_236[[#This Row],[MARGEM]]+Prog_236[[#This Row],[ESTADIA 1]])</f>
        <v>0</v>
      </c>
      <c r="AW12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5" s="81"/>
      <c r="AY1245" s="81"/>
      <c r="AZ1245" s="81">
        <f>Prog_236[[#This Row],[VLR NF]]*0.1%</f>
        <v>0</v>
      </c>
      <c r="BA1245" s="81">
        <f>Prog_236[[#This Row],[VLR NF]]*0.05%</f>
        <v>0</v>
      </c>
      <c r="BB1245" s="81"/>
      <c r="BC1245" s="81"/>
      <c r="BD1245" s="81"/>
      <c r="BE1245" s="81"/>
      <c r="BF1245" s="81"/>
      <c r="BG1245" s="81"/>
      <c r="BH1245" s="81"/>
      <c r="BI1245" s="81"/>
      <c r="BJ1245" s="81"/>
      <c r="BK1245" s="81"/>
      <c r="BL1245" s="66"/>
      <c r="BM1245" s="66"/>
      <c r="BN1245" s="66"/>
      <c r="BO1245" s="66" t="str">
        <f>PROPER(TEXT(Prog_236[[#This Row],[PROGRAMAÇÃO CLIENTE]],"mmm"))</f>
        <v>Jan</v>
      </c>
      <c r="BP1245" s="66">
        <f>YEAR(Prog_236[[#This Row],[PROGRAMAÇÃO CLIENTE]])</f>
        <v>1900</v>
      </c>
    </row>
    <row r="1246" spans="1:68" x14ac:dyDescent="0.25">
      <c r="A1246" s="201">
        <f>Prog_236[[#This Row],[CONTEINER]]</f>
        <v>0</v>
      </c>
      <c r="B1246" s="86"/>
      <c r="C12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6" s="44"/>
      <c r="E1246" s="66"/>
      <c r="F1246" s="66"/>
      <c r="G1246" s="66"/>
      <c r="H1246" s="44"/>
      <c r="I1246" s="44"/>
      <c r="J1246" s="66"/>
      <c r="K1246" s="66"/>
      <c r="L1246" s="66"/>
      <c r="M1246" s="66"/>
      <c r="N1246" s="66">
        <f>SUM(Prog_236[[#This Row],[TARA]]+Prog_236[[#This Row],[PESO]])</f>
        <v>0</v>
      </c>
      <c r="O1246" s="44"/>
      <c r="P1246" s="66"/>
      <c r="Q1246" s="66"/>
      <c r="R1246" s="66"/>
      <c r="S1246" s="66"/>
      <c r="T1246" s="138" t="str">
        <f>IFERROR(LOOKUP($S1246,MOTORISTAS!$D$3:$D$1048576,MOTORISTAS!E$3:$E$1048576),"")</f>
        <v/>
      </c>
      <c r="U1246" s="138" t="str">
        <f>IFERROR(LOOKUP($S1246,MOTORISTAS!$D$3:$D$1048576,MOTORISTAS!F$3:$F$1048576),"")</f>
        <v/>
      </c>
      <c r="V1246" s="66"/>
      <c r="W1246" s="66"/>
      <c r="X1246" s="66"/>
      <c r="Y1246" s="66"/>
      <c r="Z1246" s="66"/>
      <c r="AA1246" s="66"/>
      <c r="AB1246" s="66"/>
      <c r="AC1246" s="66"/>
      <c r="AD1246" s="66"/>
      <c r="AE1246" s="66"/>
      <c r="AF1246" s="44"/>
      <c r="AG1246" s="254">
        <f>Prog_236[[#This Row],[SAÍDA DO CLIENTE]]-Prog_236[[#This Row],[PROGRAMAÇÃO CLIENTE]]</f>
        <v>0</v>
      </c>
      <c r="AH1246" s="44"/>
      <c r="AI1246" s="66"/>
      <c r="AJ1246" s="66"/>
      <c r="AK1246" s="66"/>
      <c r="AL1246" s="66"/>
      <c r="AM1246" s="66"/>
      <c r="AN1246" s="83"/>
      <c r="AO1246" s="66"/>
      <c r="AP1246" s="66"/>
      <c r="AQ1246" s="66"/>
      <c r="AR1246" s="81"/>
      <c r="AS1246" s="81"/>
      <c r="AT1246" s="81"/>
      <c r="AU1246" s="81"/>
      <c r="AV1246" s="83">
        <f>SUM(Prog_236[[#This Row],[ADIANTAMENTO]]+Prog_236[[#This Row],[SALDO]]+Prog_236[[#This Row],[MARGEM]]+Prog_236[[#This Row],[ESTADIA 1]])</f>
        <v>0</v>
      </c>
      <c r="AW12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6" s="81"/>
      <c r="AY1246" s="81"/>
      <c r="AZ1246" s="81">
        <f>Prog_236[[#This Row],[VLR NF]]*0.1%</f>
        <v>0</v>
      </c>
      <c r="BA1246" s="81">
        <f>Prog_236[[#This Row],[VLR NF]]*0.05%</f>
        <v>0</v>
      </c>
      <c r="BB1246" s="81"/>
      <c r="BC1246" s="81"/>
      <c r="BD1246" s="81"/>
      <c r="BE1246" s="81"/>
      <c r="BF1246" s="81"/>
      <c r="BG1246" s="81"/>
      <c r="BH1246" s="81"/>
      <c r="BI1246" s="81"/>
      <c r="BJ1246" s="81"/>
      <c r="BK1246" s="81"/>
      <c r="BL1246" s="66"/>
      <c r="BM1246" s="66"/>
      <c r="BN1246" s="66"/>
      <c r="BO1246" s="66" t="str">
        <f>PROPER(TEXT(Prog_236[[#This Row],[PROGRAMAÇÃO CLIENTE]],"mmm"))</f>
        <v>Jan</v>
      </c>
      <c r="BP1246" s="66">
        <f>YEAR(Prog_236[[#This Row],[PROGRAMAÇÃO CLIENTE]])</f>
        <v>1900</v>
      </c>
    </row>
    <row r="1247" spans="1:68" x14ac:dyDescent="0.25">
      <c r="A1247" s="200">
        <f>Prog_236[[#This Row],[CONTEINER]]</f>
        <v>0</v>
      </c>
      <c r="B1247" s="86"/>
      <c r="C12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7" s="44"/>
      <c r="E1247" s="66"/>
      <c r="F1247" s="66"/>
      <c r="G1247" s="66"/>
      <c r="H1247" s="44"/>
      <c r="I1247" s="44"/>
      <c r="J1247" s="66"/>
      <c r="K1247" s="66"/>
      <c r="L1247" s="66"/>
      <c r="M1247" s="66"/>
      <c r="N1247" s="66">
        <f>SUM(Prog_236[[#This Row],[TARA]]+Prog_236[[#This Row],[PESO]])</f>
        <v>0</v>
      </c>
      <c r="O1247" s="44"/>
      <c r="P1247" s="66"/>
      <c r="Q1247" s="66"/>
      <c r="R1247" s="66"/>
      <c r="S1247" s="66"/>
      <c r="T1247" s="138" t="str">
        <f>IFERROR(LOOKUP($S1247,MOTORISTAS!$D$3:$D$1048576,MOTORISTAS!E$3:$E$1048576),"")</f>
        <v/>
      </c>
      <c r="U1247" s="138" t="str">
        <f>IFERROR(LOOKUP($S1247,MOTORISTAS!$D$3:$D$1048576,MOTORISTAS!F$3:$F$1048576),"")</f>
        <v/>
      </c>
      <c r="V1247" s="66"/>
      <c r="W1247" s="66"/>
      <c r="X1247" s="66"/>
      <c r="Y1247" s="66"/>
      <c r="Z1247" s="66"/>
      <c r="AA1247" s="66"/>
      <c r="AB1247" s="66"/>
      <c r="AC1247" s="66"/>
      <c r="AD1247" s="66"/>
      <c r="AE1247" s="66"/>
      <c r="AF1247" s="44"/>
      <c r="AG1247" s="254">
        <f>Prog_236[[#This Row],[SAÍDA DO CLIENTE]]-Prog_236[[#This Row],[PROGRAMAÇÃO CLIENTE]]</f>
        <v>0</v>
      </c>
      <c r="AH1247" s="44"/>
      <c r="AI1247" s="66"/>
      <c r="AJ1247" s="66"/>
      <c r="AK1247" s="66"/>
      <c r="AL1247" s="66"/>
      <c r="AM1247" s="66"/>
      <c r="AN1247" s="83"/>
      <c r="AO1247" s="66"/>
      <c r="AP1247" s="66"/>
      <c r="AQ1247" s="66"/>
      <c r="AR1247" s="81"/>
      <c r="AS1247" s="81"/>
      <c r="AT1247" s="81"/>
      <c r="AU1247" s="81"/>
      <c r="AV1247" s="83">
        <f>SUM(Prog_236[[#This Row],[ADIANTAMENTO]]+Prog_236[[#This Row],[SALDO]]+Prog_236[[#This Row],[MARGEM]]+Prog_236[[#This Row],[ESTADIA 1]])</f>
        <v>0</v>
      </c>
      <c r="AW12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7" s="81"/>
      <c r="AY1247" s="81"/>
      <c r="AZ1247" s="81">
        <f>Prog_236[[#This Row],[VLR NF]]*0.1%</f>
        <v>0</v>
      </c>
      <c r="BA1247" s="81">
        <f>Prog_236[[#This Row],[VLR NF]]*0.05%</f>
        <v>0</v>
      </c>
      <c r="BB1247" s="81"/>
      <c r="BC1247" s="81"/>
      <c r="BD1247" s="81"/>
      <c r="BE1247" s="81"/>
      <c r="BF1247" s="81"/>
      <c r="BG1247" s="81"/>
      <c r="BH1247" s="81"/>
      <c r="BI1247" s="81"/>
      <c r="BJ1247" s="81"/>
      <c r="BK1247" s="81"/>
      <c r="BL1247" s="66"/>
      <c r="BM1247" s="66"/>
      <c r="BN1247" s="66"/>
      <c r="BO1247" s="66" t="str">
        <f>PROPER(TEXT(Prog_236[[#This Row],[PROGRAMAÇÃO CLIENTE]],"mmm"))</f>
        <v>Jan</v>
      </c>
      <c r="BP1247" s="66">
        <f>YEAR(Prog_236[[#This Row],[PROGRAMAÇÃO CLIENTE]])</f>
        <v>1900</v>
      </c>
    </row>
    <row r="1248" spans="1:68" x14ac:dyDescent="0.25">
      <c r="A1248" s="201">
        <f>Prog_236[[#This Row],[CONTEINER]]</f>
        <v>0</v>
      </c>
      <c r="B1248" s="86"/>
      <c r="C12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8" s="44"/>
      <c r="E1248" s="66"/>
      <c r="F1248" s="66"/>
      <c r="G1248" s="66"/>
      <c r="H1248" s="44"/>
      <c r="I1248" s="44"/>
      <c r="J1248" s="66"/>
      <c r="K1248" s="66"/>
      <c r="L1248" s="66"/>
      <c r="M1248" s="66"/>
      <c r="N1248" s="66">
        <f>SUM(Prog_236[[#This Row],[TARA]]+Prog_236[[#This Row],[PESO]])</f>
        <v>0</v>
      </c>
      <c r="O1248" s="44"/>
      <c r="P1248" s="66"/>
      <c r="Q1248" s="66"/>
      <c r="R1248" s="66"/>
      <c r="S1248" s="66"/>
      <c r="T1248" s="138" t="str">
        <f>IFERROR(LOOKUP($S1248,MOTORISTAS!$D$3:$D$1048576,MOTORISTAS!E$3:$E$1048576),"")</f>
        <v/>
      </c>
      <c r="U1248" s="138" t="str">
        <f>IFERROR(LOOKUP($S1248,MOTORISTAS!$D$3:$D$1048576,MOTORISTAS!F$3:$F$1048576),"")</f>
        <v/>
      </c>
      <c r="V1248" s="66"/>
      <c r="W1248" s="66"/>
      <c r="X1248" s="66"/>
      <c r="Y1248" s="66"/>
      <c r="Z1248" s="66"/>
      <c r="AA1248" s="66"/>
      <c r="AB1248" s="66"/>
      <c r="AC1248" s="66"/>
      <c r="AD1248" s="66"/>
      <c r="AE1248" s="66"/>
      <c r="AF1248" s="44"/>
      <c r="AG1248" s="254">
        <f>Prog_236[[#This Row],[SAÍDA DO CLIENTE]]-Prog_236[[#This Row],[PROGRAMAÇÃO CLIENTE]]</f>
        <v>0</v>
      </c>
      <c r="AH1248" s="44"/>
      <c r="AI1248" s="66"/>
      <c r="AJ1248" s="66"/>
      <c r="AK1248" s="66"/>
      <c r="AL1248" s="66"/>
      <c r="AM1248" s="66"/>
      <c r="AN1248" s="83"/>
      <c r="AO1248" s="66"/>
      <c r="AP1248" s="66"/>
      <c r="AQ1248" s="66"/>
      <c r="AR1248" s="81"/>
      <c r="AS1248" s="81"/>
      <c r="AT1248" s="81"/>
      <c r="AU1248" s="81"/>
      <c r="AV1248" s="83">
        <f>SUM(Prog_236[[#This Row],[ADIANTAMENTO]]+Prog_236[[#This Row],[SALDO]]+Prog_236[[#This Row],[MARGEM]]+Prog_236[[#This Row],[ESTADIA 1]])</f>
        <v>0</v>
      </c>
      <c r="AW12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8" s="81"/>
      <c r="AY1248" s="81"/>
      <c r="AZ1248" s="81">
        <f>Prog_236[[#This Row],[VLR NF]]*0.1%</f>
        <v>0</v>
      </c>
      <c r="BA1248" s="81">
        <f>Prog_236[[#This Row],[VLR NF]]*0.05%</f>
        <v>0</v>
      </c>
      <c r="BB1248" s="81"/>
      <c r="BC1248" s="81"/>
      <c r="BD1248" s="81"/>
      <c r="BE1248" s="81"/>
      <c r="BF1248" s="81"/>
      <c r="BG1248" s="81"/>
      <c r="BH1248" s="81"/>
      <c r="BI1248" s="81"/>
      <c r="BJ1248" s="81"/>
      <c r="BK1248" s="81"/>
      <c r="BL1248" s="66"/>
      <c r="BM1248" s="66"/>
      <c r="BN1248" s="66"/>
      <c r="BO1248" s="66" t="str">
        <f>PROPER(TEXT(Prog_236[[#This Row],[PROGRAMAÇÃO CLIENTE]],"mmm"))</f>
        <v>Jan</v>
      </c>
      <c r="BP1248" s="66">
        <f>YEAR(Prog_236[[#This Row],[PROGRAMAÇÃO CLIENTE]])</f>
        <v>1900</v>
      </c>
    </row>
    <row r="1249" spans="1:68" x14ac:dyDescent="0.25">
      <c r="A1249" s="200">
        <f>Prog_236[[#This Row],[CONTEINER]]</f>
        <v>0</v>
      </c>
      <c r="B1249" s="86"/>
      <c r="C12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49" s="44"/>
      <c r="E1249" s="66"/>
      <c r="F1249" s="66"/>
      <c r="G1249" s="66"/>
      <c r="H1249" s="44"/>
      <c r="I1249" s="44"/>
      <c r="J1249" s="66"/>
      <c r="K1249" s="66"/>
      <c r="L1249" s="66"/>
      <c r="M1249" s="66"/>
      <c r="N1249" s="66">
        <f>SUM(Prog_236[[#This Row],[TARA]]+Prog_236[[#This Row],[PESO]])</f>
        <v>0</v>
      </c>
      <c r="O1249" s="44"/>
      <c r="P1249" s="66"/>
      <c r="Q1249" s="66"/>
      <c r="R1249" s="66"/>
      <c r="S1249" s="66"/>
      <c r="T1249" s="138" t="str">
        <f>IFERROR(LOOKUP($S1249,MOTORISTAS!$D$3:$D$1048576,MOTORISTAS!E$3:$E$1048576),"")</f>
        <v/>
      </c>
      <c r="U1249" s="138" t="str">
        <f>IFERROR(LOOKUP($S1249,MOTORISTAS!$D$3:$D$1048576,MOTORISTAS!F$3:$F$1048576),"")</f>
        <v/>
      </c>
      <c r="V1249" s="66"/>
      <c r="W1249" s="66"/>
      <c r="X1249" s="66"/>
      <c r="Y1249" s="66"/>
      <c r="Z1249" s="66"/>
      <c r="AA1249" s="66"/>
      <c r="AB1249" s="66"/>
      <c r="AC1249" s="66"/>
      <c r="AD1249" s="66"/>
      <c r="AE1249" s="66"/>
      <c r="AF1249" s="44"/>
      <c r="AG1249" s="254">
        <f>Prog_236[[#This Row],[SAÍDA DO CLIENTE]]-Prog_236[[#This Row],[PROGRAMAÇÃO CLIENTE]]</f>
        <v>0</v>
      </c>
      <c r="AH1249" s="44"/>
      <c r="AI1249" s="66"/>
      <c r="AJ1249" s="66"/>
      <c r="AK1249" s="66"/>
      <c r="AL1249" s="66"/>
      <c r="AM1249" s="66"/>
      <c r="AN1249" s="83"/>
      <c r="AO1249" s="66"/>
      <c r="AP1249" s="66"/>
      <c r="AQ1249" s="66"/>
      <c r="AR1249" s="81"/>
      <c r="AS1249" s="81"/>
      <c r="AT1249" s="81"/>
      <c r="AU1249" s="81"/>
      <c r="AV1249" s="83">
        <f>SUM(Prog_236[[#This Row],[ADIANTAMENTO]]+Prog_236[[#This Row],[SALDO]]+Prog_236[[#This Row],[MARGEM]]+Prog_236[[#This Row],[ESTADIA 1]])</f>
        <v>0</v>
      </c>
      <c r="AW12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49" s="81"/>
      <c r="AY1249" s="81"/>
      <c r="AZ1249" s="81">
        <f>Prog_236[[#This Row],[VLR NF]]*0.1%</f>
        <v>0</v>
      </c>
      <c r="BA1249" s="81">
        <f>Prog_236[[#This Row],[VLR NF]]*0.05%</f>
        <v>0</v>
      </c>
      <c r="BB1249" s="81"/>
      <c r="BC1249" s="81"/>
      <c r="BD1249" s="81"/>
      <c r="BE1249" s="81"/>
      <c r="BF1249" s="81"/>
      <c r="BG1249" s="81"/>
      <c r="BH1249" s="81"/>
      <c r="BI1249" s="81"/>
      <c r="BJ1249" s="81"/>
      <c r="BK1249" s="81"/>
      <c r="BL1249" s="66"/>
      <c r="BM1249" s="66"/>
      <c r="BN1249" s="66"/>
      <c r="BO1249" s="66" t="str">
        <f>PROPER(TEXT(Prog_236[[#This Row],[PROGRAMAÇÃO CLIENTE]],"mmm"))</f>
        <v>Jan</v>
      </c>
      <c r="BP1249" s="66">
        <f>YEAR(Prog_236[[#This Row],[PROGRAMAÇÃO CLIENTE]])</f>
        <v>1900</v>
      </c>
    </row>
    <row r="1250" spans="1:68" x14ac:dyDescent="0.25">
      <c r="A1250" s="201">
        <f>Prog_236[[#This Row],[CONTEINER]]</f>
        <v>0</v>
      </c>
      <c r="B1250" s="86"/>
      <c r="C12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0" s="44"/>
      <c r="E1250" s="66"/>
      <c r="F1250" s="66"/>
      <c r="G1250" s="66"/>
      <c r="H1250" s="44"/>
      <c r="I1250" s="44"/>
      <c r="J1250" s="66"/>
      <c r="K1250" s="66"/>
      <c r="L1250" s="66"/>
      <c r="M1250" s="66"/>
      <c r="N1250" s="66">
        <f>SUM(Prog_236[[#This Row],[TARA]]+Prog_236[[#This Row],[PESO]])</f>
        <v>0</v>
      </c>
      <c r="O1250" s="44"/>
      <c r="P1250" s="66"/>
      <c r="Q1250" s="66"/>
      <c r="R1250" s="66"/>
      <c r="S1250" s="66"/>
      <c r="T1250" s="138" t="str">
        <f>IFERROR(LOOKUP($S1250,MOTORISTAS!$D$3:$D$1048576,MOTORISTAS!E$3:$E$1048576),"")</f>
        <v/>
      </c>
      <c r="U1250" s="138" t="str">
        <f>IFERROR(LOOKUP($S1250,MOTORISTAS!$D$3:$D$1048576,MOTORISTAS!F$3:$F$1048576),"")</f>
        <v/>
      </c>
      <c r="V1250" s="66"/>
      <c r="W1250" s="66"/>
      <c r="X1250" s="66"/>
      <c r="Y1250" s="66"/>
      <c r="Z1250" s="66"/>
      <c r="AA1250" s="66"/>
      <c r="AB1250" s="66"/>
      <c r="AC1250" s="66"/>
      <c r="AD1250" s="66"/>
      <c r="AE1250" s="66"/>
      <c r="AF1250" s="44"/>
      <c r="AG1250" s="254">
        <f>Prog_236[[#This Row],[SAÍDA DO CLIENTE]]-Prog_236[[#This Row],[PROGRAMAÇÃO CLIENTE]]</f>
        <v>0</v>
      </c>
      <c r="AH1250" s="44"/>
      <c r="AI1250" s="66"/>
      <c r="AJ1250" s="66"/>
      <c r="AK1250" s="66"/>
      <c r="AL1250" s="66"/>
      <c r="AM1250" s="66"/>
      <c r="AN1250" s="83"/>
      <c r="AO1250" s="66"/>
      <c r="AP1250" s="66"/>
      <c r="AQ1250" s="66"/>
      <c r="AR1250" s="81"/>
      <c r="AS1250" s="81"/>
      <c r="AT1250" s="81"/>
      <c r="AU1250" s="81"/>
      <c r="AV1250" s="83">
        <f>SUM(Prog_236[[#This Row],[ADIANTAMENTO]]+Prog_236[[#This Row],[SALDO]]+Prog_236[[#This Row],[MARGEM]]+Prog_236[[#This Row],[ESTADIA 1]])</f>
        <v>0</v>
      </c>
      <c r="AW12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0" s="81"/>
      <c r="AY1250" s="81"/>
      <c r="AZ1250" s="81">
        <f>Prog_236[[#This Row],[VLR NF]]*0.1%</f>
        <v>0</v>
      </c>
      <c r="BA1250" s="81">
        <f>Prog_236[[#This Row],[VLR NF]]*0.05%</f>
        <v>0</v>
      </c>
      <c r="BB1250" s="81"/>
      <c r="BC1250" s="81"/>
      <c r="BD1250" s="81"/>
      <c r="BE1250" s="81"/>
      <c r="BF1250" s="81"/>
      <c r="BG1250" s="81"/>
      <c r="BH1250" s="81"/>
      <c r="BI1250" s="81"/>
      <c r="BJ1250" s="81"/>
      <c r="BK1250" s="81"/>
      <c r="BL1250" s="66"/>
      <c r="BM1250" s="66"/>
      <c r="BN1250" s="66"/>
      <c r="BO1250" s="66" t="str">
        <f>PROPER(TEXT(Prog_236[[#This Row],[PROGRAMAÇÃO CLIENTE]],"mmm"))</f>
        <v>Jan</v>
      </c>
      <c r="BP1250" s="66">
        <f>YEAR(Prog_236[[#This Row],[PROGRAMAÇÃO CLIENTE]])</f>
        <v>1900</v>
      </c>
    </row>
    <row r="1251" spans="1:68" x14ac:dyDescent="0.25">
      <c r="A1251" s="200">
        <f>Prog_236[[#This Row],[CONTEINER]]</f>
        <v>0</v>
      </c>
      <c r="B1251" s="86"/>
      <c r="C12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1" s="44"/>
      <c r="E1251" s="66"/>
      <c r="F1251" s="66"/>
      <c r="G1251" s="66"/>
      <c r="H1251" s="44"/>
      <c r="I1251" s="44"/>
      <c r="J1251" s="66"/>
      <c r="K1251" s="66"/>
      <c r="L1251" s="66"/>
      <c r="M1251" s="66"/>
      <c r="N1251" s="66">
        <f>SUM(Prog_236[[#This Row],[TARA]]+Prog_236[[#This Row],[PESO]])</f>
        <v>0</v>
      </c>
      <c r="O1251" s="44"/>
      <c r="P1251" s="66"/>
      <c r="Q1251" s="66"/>
      <c r="R1251" s="66"/>
      <c r="S1251" s="66"/>
      <c r="T1251" s="138" t="str">
        <f>IFERROR(LOOKUP($S1251,MOTORISTAS!$D$3:$D$1048576,MOTORISTAS!E$3:$E$1048576),"")</f>
        <v/>
      </c>
      <c r="U1251" s="138" t="str">
        <f>IFERROR(LOOKUP($S1251,MOTORISTAS!$D$3:$D$1048576,MOTORISTAS!F$3:$F$1048576),"")</f>
        <v/>
      </c>
      <c r="V1251" s="66"/>
      <c r="W1251" s="66"/>
      <c r="X1251" s="66"/>
      <c r="Y1251" s="66"/>
      <c r="Z1251" s="66"/>
      <c r="AA1251" s="66"/>
      <c r="AB1251" s="66"/>
      <c r="AC1251" s="66"/>
      <c r="AD1251" s="66"/>
      <c r="AE1251" s="66"/>
      <c r="AF1251" s="44"/>
      <c r="AG1251" s="254">
        <f>Prog_236[[#This Row],[SAÍDA DO CLIENTE]]-Prog_236[[#This Row],[PROGRAMAÇÃO CLIENTE]]</f>
        <v>0</v>
      </c>
      <c r="AH1251" s="44"/>
      <c r="AI1251" s="66"/>
      <c r="AJ1251" s="66"/>
      <c r="AK1251" s="66"/>
      <c r="AL1251" s="66"/>
      <c r="AM1251" s="66"/>
      <c r="AN1251" s="83"/>
      <c r="AO1251" s="66"/>
      <c r="AP1251" s="66"/>
      <c r="AQ1251" s="66"/>
      <c r="AR1251" s="81"/>
      <c r="AS1251" s="81"/>
      <c r="AT1251" s="81"/>
      <c r="AU1251" s="81"/>
      <c r="AV1251" s="83">
        <f>SUM(Prog_236[[#This Row],[ADIANTAMENTO]]+Prog_236[[#This Row],[SALDO]]+Prog_236[[#This Row],[MARGEM]]+Prog_236[[#This Row],[ESTADIA 1]])</f>
        <v>0</v>
      </c>
      <c r="AW12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1" s="81"/>
      <c r="AY1251" s="81"/>
      <c r="AZ1251" s="81">
        <f>Prog_236[[#This Row],[VLR NF]]*0.1%</f>
        <v>0</v>
      </c>
      <c r="BA1251" s="81">
        <f>Prog_236[[#This Row],[VLR NF]]*0.05%</f>
        <v>0</v>
      </c>
      <c r="BB1251" s="81"/>
      <c r="BC1251" s="81"/>
      <c r="BD1251" s="81"/>
      <c r="BE1251" s="81"/>
      <c r="BF1251" s="81"/>
      <c r="BG1251" s="81"/>
      <c r="BH1251" s="81"/>
      <c r="BI1251" s="81"/>
      <c r="BJ1251" s="81"/>
      <c r="BK1251" s="81"/>
      <c r="BL1251" s="66"/>
      <c r="BM1251" s="66"/>
      <c r="BN1251" s="66"/>
      <c r="BO1251" s="66" t="str">
        <f>PROPER(TEXT(Prog_236[[#This Row],[PROGRAMAÇÃO CLIENTE]],"mmm"))</f>
        <v>Jan</v>
      </c>
      <c r="BP1251" s="66">
        <f>YEAR(Prog_236[[#This Row],[PROGRAMAÇÃO CLIENTE]])</f>
        <v>1900</v>
      </c>
    </row>
    <row r="1252" spans="1:68" x14ac:dyDescent="0.25">
      <c r="A1252" s="201">
        <f>Prog_236[[#This Row],[CONTEINER]]</f>
        <v>0</v>
      </c>
      <c r="B1252" s="86"/>
      <c r="C12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2" s="44"/>
      <c r="E1252" s="66"/>
      <c r="F1252" s="66"/>
      <c r="G1252" s="66"/>
      <c r="H1252" s="44"/>
      <c r="I1252" s="44"/>
      <c r="J1252" s="66"/>
      <c r="K1252" s="66"/>
      <c r="L1252" s="66"/>
      <c r="M1252" s="66"/>
      <c r="N1252" s="66">
        <f>SUM(Prog_236[[#This Row],[TARA]]+Prog_236[[#This Row],[PESO]])</f>
        <v>0</v>
      </c>
      <c r="O1252" s="44"/>
      <c r="P1252" s="66"/>
      <c r="Q1252" s="66"/>
      <c r="R1252" s="66"/>
      <c r="S1252" s="66"/>
      <c r="T1252" s="138" t="str">
        <f>IFERROR(LOOKUP($S1252,MOTORISTAS!$D$3:$D$1048576,MOTORISTAS!E$3:$E$1048576),"")</f>
        <v/>
      </c>
      <c r="U1252" s="138" t="str">
        <f>IFERROR(LOOKUP($S1252,MOTORISTAS!$D$3:$D$1048576,MOTORISTAS!F$3:$F$1048576),"")</f>
        <v/>
      </c>
      <c r="V1252" s="66"/>
      <c r="W1252" s="66"/>
      <c r="X1252" s="66"/>
      <c r="Y1252" s="66"/>
      <c r="Z1252" s="66"/>
      <c r="AA1252" s="66"/>
      <c r="AB1252" s="66"/>
      <c r="AC1252" s="66"/>
      <c r="AD1252" s="66"/>
      <c r="AE1252" s="66"/>
      <c r="AF1252" s="44"/>
      <c r="AG1252" s="254">
        <f>Prog_236[[#This Row],[SAÍDA DO CLIENTE]]-Prog_236[[#This Row],[PROGRAMAÇÃO CLIENTE]]</f>
        <v>0</v>
      </c>
      <c r="AH1252" s="44"/>
      <c r="AI1252" s="66"/>
      <c r="AJ1252" s="66"/>
      <c r="AK1252" s="66"/>
      <c r="AL1252" s="66"/>
      <c r="AM1252" s="66"/>
      <c r="AN1252" s="83"/>
      <c r="AO1252" s="66"/>
      <c r="AP1252" s="66"/>
      <c r="AQ1252" s="66"/>
      <c r="AR1252" s="81"/>
      <c r="AS1252" s="81"/>
      <c r="AT1252" s="81"/>
      <c r="AU1252" s="81"/>
      <c r="AV1252" s="83">
        <f>SUM(Prog_236[[#This Row],[ADIANTAMENTO]]+Prog_236[[#This Row],[SALDO]]+Prog_236[[#This Row],[MARGEM]]+Prog_236[[#This Row],[ESTADIA 1]])</f>
        <v>0</v>
      </c>
      <c r="AW12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2" s="81"/>
      <c r="AY1252" s="81"/>
      <c r="AZ1252" s="81">
        <f>Prog_236[[#This Row],[VLR NF]]*0.1%</f>
        <v>0</v>
      </c>
      <c r="BA1252" s="81">
        <f>Prog_236[[#This Row],[VLR NF]]*0.05%</f>
        <v>0</v>
      </c>
      <c r="BB1252" s="81"/>
      <c r="BC1252" s="81"/>
      <c r="BD1252" s="81"/>
      <c r="BE1252" s="81"/>
      <c r="BF1252" s="81"/>
      <c r="BG1252" s="81"/>
      <c r="BH1252" s="81"/>
      <c r="BI1252" s="81"/>
      <c r="BJ1252" s="81"/>
      <c r="BK1252" s="81"/>
      <c r="BL1252" s="66"/>
      <c r="BM1252" s="66"/>
      <c r="BN1252" s="66"/>
      <c r="BO1252" s="66" t="str">
        <f>PROPER(TEXT(Prog_236[[#This Row],[PROGRAMAÇÃO CLIENTE]],"mmm"))</f>
        <v>Jan</v>
      </c>
      <c r="BP1252" s="66">
        <f>YEAR(Prog_236[[#This Row],[PROGRAMAÇÃO CLIENTE]])</f>
        <v>1900</v>
      </c>
    </row>
    <row r="1253" spans="1:68" x14ac:dyDescent="0.25">
      <c r="A1253" s="200">
        <f>Prog_236[[#This Row],[CONTEINER]]</f>
        <v>0</v>
      </c>
      <c r="B1253" s="86"/>
      <c r="C12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3" s="44"/>
      <c r="E1253" s="66"/>
      <c r="F1253" s="66"/>
      <c r="G1253" s="66"/>
      <c r="H1253" s="44"/>
      <c r="I1253" s="44"/>
      <c r="J1253" s="66"/>
      <c r="K1253" s="66"/>
      <c r="L1253" s="66"/>
      <c r="M1253" s="66"/>
      <c r="N1253" s="66">
        <f>SUM(Prog_236[[#This Row],[TARA]]+Prog_236[[#This Row],[PESO]])</f>
        <v>0</v>
      </c>
      <c r="O1253" s="44"/>
      <c r="P1253" s="66"/>
      <c r="Q1253" s="66"/>
      <c r="R1253" s="66"/>
      <c r="S1253" s="66"/>
      <c r="T1253" s="138" t="str">
        <f>IFERROR(LOOKUP($S1253,MOTORISTAS!$D$3:$D$1048576,MOTORISTAS!E$3:$E$1048576),"")</f>
        <v/>
      </c>
      <c r="U1253" s="138" t="str">
        <f>IFERROR(LOOKUP($S1253,MOTORISTAS!$D$3:$D$1048576,MOTORISTAS!F$3:$F$1048576),"")</f>
        <v/>
      </c>
      <c r="V1253" s="66"/>
      <c r="W1253" s="66"/>
      <c r="X1253" s="66"/>
      <c r="Y1253" s="66"/>
      <c r="Z1253" s="66"/>
      <c r="AA1253" s="66"/>
      <c r="AB1253" s="66"/>
      <c r="AC1253" s="66"/>
      <c r="AD1253" s="66"/>
      <c r="AE1253" s="66"/>
      <c r="AF1253" s="44"/>
      <c r="AG1253" s="254">
        <f>Prog_236[[#This Row],[SAÍDA DO CLIENTE]]-Prog_236[[#This Row],[PROGRAMAÇÃO CLIENTE]]</f>
        <v>0</v>
      </c>
      <c r="AH1253" s="44"/>
      <c r="AI1253" s="66"/>
      <c r="AJ1253" s="66"/>
      <c r="AK1253" s="66"/>
      <c r="AL1253" s="66"/>
      <c r="AM1253" s="66"/>
      <c r="AN1253" s="83"/>
      <c r="AO1253" s="66"/>
      <c r="AP1253" s="66"/>
      <c r="AQ1253" s="66"/>
      <c r="AR1253" s="81"/>
      <c r="AS1253" s="81"/>
      <c r="AT1253" s="81"/>
      <c r="AU1253" s="81"/>
      <c r="AV1253" s="83">
        <f>SUM(Prog_236[[#This Row],[ADIANTAMENTO]]+Prog_236[[#This Row],[SALDO]]+Prog_236[[#This Row],[MARGEM]]+Prog_236[[#This Row],[ESTADIA 1]])</f>
        <v>0</v>
      </c>
      <c r="AW12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3" s="81"/>
      <c r="AY1253" s="81"/>
      <c r="AZ1253" s="81">
        <f>Prog_236[[#This Row],[VLR NF]]*0.1%</f>
        <v>0</v>
      </c>
      <c r="BA1253" s="81">
        <f>Prog_236[[#This Row],[VLR NF]]*0.05%</f>
        <v>0</v>
      </c>
      <c r="BB1253" s="81"/>
      <c r="BC1253" s="81"/>
      <c r="BD1253" s="81"/>
      <c r="BE1253" s="81"/>
      <c r="BF1253" s="81"/>
      <c r="BG1253" s="81"/>
      <c r="BH1253" s="81"/>
      <c r="BI1253" s="81"/>
      <c r="BJ1253" s="81"/>
      <c r="BK1253" s="81"/>
      <c r="BL1253" s="66"/>
      <c r="BM1253" s="66"/>
      <c r="BN1253" s="66"/>
      <c r="BO1253" s="66" t="str">
        <f>PROPER(TEXT(Prog_236[[#This Row],[PROGRAMAÇÃO CLIENTE]],"mmm"))</f>
        <v>Jan</v>
      </c>
      <c r="BP1253" s="66">
        <f>YEAR(Prog_236[[#This Row],[PROGRAMAÇÃO CLIENTE]])</f>
        <v>1900</v>
      </c>
    </row>
    <row r="1254" spans="1:68" x14ac:dyDescent="0.25">
      <c r="A1254" s="201">
        <f>Prog_236[[#This Row],[CONTEINER]]</f>
        <v>0</v>
      </c>
      <c r="B1254" s="86"/>
      <c r="C12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4" s="44"/>
      <c r="E1254" s="66"/>
      <c r="F1254" s="66"/>
      <c r="G1254" s="66"/>
      <c r="H1254" s="44"/>
      <c r="I1254" s="44"/>
      <c r="J1254" s="66"/>
      <c r="K1254" s="66"/>
      <c r="L1254" s="66"/>
      <c r="M1254" s="66"/>
      <c r="N1254" s="66">
        <f>SUM(Prog_236[[#This Row],[TARA]]+Prog_236[[#This Row],[PESO]])</f>
        <v>0</v>
      </c>
      <c r="O1254" s="44"/>
      <c r="P1254" s="66"/>
      <c r="Q1254" s="66"/>
      <c r="R1254" s="66"/>
      <c r="S1254" s="66"/>
      <c r="T1254" s="138" t="str">
        <f>IFERROR(LOOKUP($S1254,MOTORISTAS!$D$3:$D$1048576,MOTORISTAS!E$3:$E$1048576),"")</f>
        <v/>
      </c>
      <c r="U1254" s="138" t="str">
        <f>IFERROR(LOOKUP($S1254,MOTORISTAS!$D$3:$D$1048576,MOTORISTAS!F$3:$F$1048576),"")</f>
        <v/>
      </c>
      <c r="V1254" s="66"/>
      <c r="W1254" s="66"/>
      <c r="X1254" s="66"/>
      <c r="Y1254" s="66"/>
      <c r="Z1254" s="66"/>
      <c r="AA1254" s="66"/>
      <c r="AB1254" s="66"/>
      <c r="AC1254" s="66"/>
      <c r="AD1254" s="66"/>
      <c r="AE1254" s="66"/>
      <c r="AF1254" s="44"/>
      <c r="AG1254" s="254">
        <f>Prog_236[[#This Row],[SAÍDA DO CLIENTE]]-Prog_236[[#This Row],[PROGRAMAÇÃO CLIENTE]]</f>
        <v>0</v>
      </c>
      <c r="AH1254" s="44"/>
      <c r="AI1254" s="66"/>
      <c r="AJ1254" s="66"/>
      <c r="AK1254" s="66"/>
      <c r="AL1254" s="66"/>
      <c r="AM1254" s="66"/>
      <c r="AN1254" s="83"/>
      <c r="AO1254" s="66"/>
      <c r="AP1254" s="66"/>
      <c r="AQ1254" s="66"/>
      <c r="AR1254" s="81"/>
      <c r="AS1254" s="81"/>
      <c r="AT1254" s="81"/>
      <c r="AU1254" s="81"/>
      <c r="AV1254" s="83">
        <f>SUM(Prog_236[[#This Row],[ADIANTAMENTO]]+Prog_236[[#This Row],[SALDO]]+Prog_236[[#This Row],[MARGEM]]+Prog_236[[#This Row],[ESTADIA 1]])</f>
        <v>0</v>
      </c>
      <c r="AW12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4" s="81"/>
      <c r="AY1254" s="81"/>
      <c r="AZ1254" s="81">
        <f>Prog_236[[#This Row],[VLR NF]]*0.1%</f>
        <v>0</v>
      </c>
      <c r="BA1254" s="81">
        <f>Prog_236[[#This Row],[VLR NF]]*0.05%</f>
        <v>0</v>
      </c>
      <c r="BB1254" s="81"/>
      <c r="BC1254" s="81"/>
      <c r="BD1254" s="81"/>
      <c r="BE1254" s="81"/>
      <c r="BF1254" s="81"/>
      <c r="BG1254" s="81"/>
      <c r="BH1254" s="81"/>
      <c r="BI1254" s="81"/>
      <c r="BJ1254" s="81"/>
      <c r="BK1254" s="81"/>
      <c r="BL1254" s="66"/>
      <c r="BM1254" s="66"/>
      <c r="BN1254" s="66"/>
      <c r="BO1254" s="66" t="str">
        <f>PROPER(TEXT(Prog_236[[#This Row],[PROGRAMAÇÃO CLIENTE]],"mmm"))</f>
        <v>Jan</v>
      </c>
      <c r="BP1254" s="66">
        <f>YEAR(Prog_236[[#This Row],[PROGRAMAÇÃO CLIENTE]])</f>
        <v>1900</v>
      </c>
    </row>
    <row r="1255" spans="1:68" x14ac:dyDescent="0.25">
      <c r="A1255" s="200">
        <f>Prog_236[[#This Row],[CONTEINER]]</f>
        <v>0</v>
      </c>
      <c r="B1255" s="86"/>
      <c r="C12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5" s="44"/>
      <c r="E1255" s="66"/>
      <c r="F1255" s="66"/>
      <c r="G1255" s="66"/>
      <c r="H1255" s="44"/>
      <c r="I1255" s="44"/>
      <c r="J1255" s="66"/>
      <c r="K1255" s="66"/>
      <c r="L1255" s="66"/>
      <c r="M1255" s="66"/>
      <c r="N1255" s="66">
        <f>SUM(Prog_236[[#This Row],[TARA]]+Prog_236[[#This Row],[PESO]])</f>
        <v>0</v>
      </c>
      <c r="O1255" s="44"/>
      <c r="P1255" s="66"/>
      <c r="Q1255" s="66"/>
      <c r="R1255" s="66"/>
      <c r="S1255" s="66"/>
      <c r="T1255" s="138" t="str">
        <f>IFERROR(LOOKUP($S1255,MOTORISTAS!$D$3:$D$1048576,MOTORISTAS!E$3:$E$1048576),"")</f>
        <v/>
      </c>
      <c r="U1255" s="138" t="str">
        <f>IFERROR(LOOKUP($S1255,MOTORISTAS!$D$3:$D$1048576,MOTORISTAS!F$3:$F$1048576),"")</f>
        <v/>
      </c>
      <c r="V1255" s="66"/>
      <c r="W1255" s="66"/>
      <c r="X1255" s="66"/>
      <c r="Y1255" s="66"/>
      <c r="Z1255" s="66"/>
      <c r="AA1255" s="66"/>
      <c r="AB1255" s="66"/>
      <c r="AC1255" s="66"/>
      <c r="AD1255" s="66"/>
      <c r="AE1255" s="66"/>
      <c r="AF1255" s="44"/>
      <c r="AG1255" s="254">
        <f>Prog_236[[#This Row],[SAÍDA DO CLIENTE]]-Prog_236[[#This Row],[PROGRAMAÇÃO CLIENTE]]</f>
        <v>0</v>
      </c>
      <c r="AH1255" s="44"/>
      <c r="AI1255" s="66"/>
      <c r="AJ1255" s="66"/>
      <c r="AK1255" s="66"/>
      <c r="AL1255" s="66"/>
      <c r="AM1255" s="66"/>
      <c r="AN1255" s="83"/>
      <c r="AO1255" s="66"/>
      <c r="AP1255" s="66"/>
      <c r="AQ1255" s="66"/>
      <c r="AR1255" s="81"/>
      <c r="AS1255" s="81"/>
      <c r="AT1255" s="81"/>
      <c r="AU1255" s="81"/>
      <c r="AV1255" s="83">
        <f>SUM(Prog_236[[#This Row],[ADIANTAMENTO]]+Prog_236[[#This Row],[SALDO]]+Prog_236[[#This Row],[MARGEM]]+Prog_236[[#This Row],[ESTADIA 1]])</f>
        <v>0</v>
      </c>
      <c r="AW12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5" s="81"/>
      <c r="AY1255" s="81"/>
      <c r="AZ1255" s="81">
        <f>Prog_236[[#This Row],[VLR NF]]*0.1%</f>
        <v>0</v>
      </c>
      <c r="BA1255" s="81">
        <f>Prog_236[[#This Row],[VLR NF]]*0.05%</f>
        <v>0</v>
      </c>
      <c r="BB1255" s="81"/>
      <c r="BC1255" s="81"/>
      <c r="BD1255" s="81"/>
      <c r="BE1255" s="81"/>
      <c r="BF1255" s="81"/>
      <c r="BG1255" s="81"/>
      <c r="BH1255" s="81"/>
      <c r="BI1255" s="81"/>
      <c r="BJ1255" s="81"/>
      <c r="BK1255" s="81"/>
      <c r="BL1255" s="66"/>
      <c r="BM1255" s="66"/>
      <c r="BN1255" s="66"/>
      <c r="BO1255" s="66" t="str">
        <f>PROPER(TEXT(Prog_236[[#This Row],[PROGRAMAÇÃO CLIENTE]],"mmm"))</f>
        <v>Jan</v>
      </c>
      <c r="BP1255" s="66">
        <f>YEAR(Prog_236[[#This Row],[PROGRAMAÇÃO CLIENTE]])</f>
        <v>1900</v>
      </c>
    </row>
    <row r="1256" spans="1:68" x14ac:dyDescent="0.25">
      <c r="A1256" s="201">
        <f>Prog_236[[#This Row],[CONTEINER]]</f>
        <v>0</v>
      </c>
      <c r="B1256" s="86"/>
      <c r="C12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6" s="44"/>
      <c r="E1256" s="66"/>
      <c r="F1256" s="66"/>
      <c r="G1256" s="66"/>
      <c r="H1256" s="44"/>
      <c r="I1256" s="44"/>
      <c r="J1256" s="66"/>
      <c r="K1256" s="66"/>
      <c r="L1256" s="66"/>
      <c r="M1256" s="66"/>
      <c r="N1256" s="66">
        <f>SUM(Prog_236[[#This Row],[TARA]]+Prog_236[[#This Row],[PESO]])</f>
        <v>0</v>
      </c>
      <c r="O1256" s="44"/>
      <c r="P1256" s="66"/>
      <c r="Q1256" s="66"/>
      <c r="R1256" s="66"/>
      <c r="S1256" s="66"/>
      <c r="T1256" s="138" t="str">
        <f>IFERROR(LOOKUP($S1256,MOTORISTAS!$D$3:$D$1048576,MOTORISTAS!E$3:$E$1048576),"")</f>
        <v/>
      </c>
      <c r="U1256" s="138" t="str">
        <f>IFERROR(LOOKUP($S1256,MOTORISTAS!$D$3:$D$1048576,MOTORISTAS!F$3:$F$1048576),"")</f>
        <v/>
      </c>
      <c r="V1256" s="66"/>
      <c r="W1256" s="66"/>
      <c r="X1256" s="66"/>
      <c r="Y1256" s="66"/>
      <c r="Z1256" s="66"/>
      <c r="AA1256" s="66"/>
      <c r="AB1256" s="66"/>
      <c r="AC1256" s="66"/>
      <c r="AD1256" s="66"/>
      <c r="AE1256" s="66"/>
      <c r="AF1256" s="44"/>
      <c r="AG1256" s="254">
        <f>Prog_236[[#This Row],[SAÍDA DO CLIENTE]]-Prog_236[[#This Row],[PROGRAMAÇÃO CLIENTE]]</f>
        <v>0</v>
      </c>
      <c r="AH1256" s="44"/>
      <c r="AI1256" s="66"/>
      <c r="AJ1256" s="66"/>
      <c r="AK1256" s="66"/>
      <c r="AL1256" s="66"/>
      <c r="AM1256" s="66"/>
      <c r="AN1256" s="83"/>
      <c r="AO1256" s="66"/>
      <c r="AP1256" s="66"/>
      <c r="AQ1256" s="66"/>
      <c r="AR1256" s="81"/>
      <c r="AS1256" s="81"/>
      <c r="AT1256" s="81"/>
      <c r="AU1256" s="81"/>
      <c r="AV1256" s="83">
        <f>SUM(Prog_236[[#This Row],[ADIANTAMENTO]]+Prog_236[[#This Row],[SALDO]]+Prog_236[[#This Row],[MARGEM]]+Prog_236[[#This Row],[ESTADIA 1]])</f>
        <v>0</v>
      </c>
      <c r="AW12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6" s="81"/>
      <c r="AY1256" s="81"/>
      <c r="AZ1256" s="81">
        <f>Prog_236[[#This Row],[VLR NF]]*0.1%</f>
        <v>0</v>
      </c>
      <c r="BA1256" s="81">
        <f>Prog_236[[#This Row],[VLR NF]]*0.05%</f>
        <v>0</v>
      </c>
      <c r="BB1256" s="81"/>
      <c r="BC1256" s="81"/>
      <c r="BD1256" s="81"/>
      <c r="BE1256" s="81"/>
      <c r="BF1256" s="81"/>
      <c r="BG1256" s="81"/>
      <c r="BH1256" s="81"/>
      <c r="BI1256" s="81"/>
      <c r="BJ1256" s="81"/>
      <c r="BK1256" s="81"/>
      <c r="BL1256" s="66"/>
      <c r="BM1256" s="66"/>
      <c r="BN1256" s="66"/>
      <c r="BO1256" s="66" t="str">
        <f>PROPER(TEXT(Prog_236[[#This Row],[PROGRAMAÇÃO CLIENTE]],"mmm"))</f>
        <v>Jan</v>
      </c>
      <c r="BP1256" s="66">
        <f>YEAR(Prog_236[[#This Row],[PROGRAMAÇÃO CLIENTE]])</f>
        <v>1900</v>
      </c>
    </row>
    <row r="1257" spans="1:68" x14ac:dyDescent="0.25">
      <c r="A1257" s="200">
        <f>Prog_236[[#This Row],[CONTEINER]]</f>
        <v>0</v>
      </c>
      <c r="B1257" s="86"/>
      <c r="C12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7" s="44"/>
      <c r="E1257" s="66"/>
      <c r="F1257" s="66"/>
      <c r="G1257" s="66"/>
      <c r="H1257" s="44"/>
      <c r="I1257" s="44"/>
      <c r="J1257" s="66"/>
      <c r="K1257" s="66"/>
      <c r="L1257" s="66"/>
      <c r="M1257" s="66"/>
      <c r="N1257" s="66">
        <f>SUM(Prog_236[[#This Row],[TARA]]+Prog_236[[#This Row],[PESO]])</f>
        <v>0</v>
      </c>
      <c r="O1257" s="44"/>
      <c r="P1257" s="66"/>
      <c r="Q1257" s="66"/>
      <c r="R1257" s="66"/>
      <c r="S1257" s="66"/>
      <c r="T1257" s="138" t="str">
        <f>IFERROR(LOOKUP($S1257,MOTORISTAS!$D$3:$D$1048576,MOTORISTAS!E$3:$E$1048576),"")</f>
        <v/>
      </c>
      <c r="U1257" s="138" t="str">
        <f>IFERROR(LOOKUP($S1257,MOTORISTAS!$D$3:$D$1048576,MOTORISTAS!F$3:$F$1048576),"")</f>
        <v/>
      </c>
      <c r="V1257" s="66"/>
      <c r="W1257" s="66"/>
      <c r="X1257" s="66"/>
      <c r="Y1257" s="66"/>
      <c r="Z1257" s="66"/>
      <c r="AA1257" s="66"/>
      <c r="AB1257" s="66"/>
      <c r="AC1257" s="66"/>
      <c r="AD1257" s="66"/>
      <c r="AE1257" s="66"/>
      <c r="AF1257" s="44"/>
      <c r="AG1257" s="254">
        <f>Prog_236[[#This Row],[SAÍDA DO CLIENTE]]-Prog_236[[#This Row],[PROGRAMAÇÃO CLIENTE]]</f>
        <v>0</v>
      </c>
      <c r="AH1257" s="44"/>
      <c r="AI1257" s="66"/>
      <c r="AJ1257" s="66"/>
      <c r="AK1257" s="66"/>
      <c r="AL1257" s="66"/>
      <c r="AM1257" s="66"/>
      <c r="AN1257" s="83"/>
      <c r="AO1257" s="66"/>
      <c r="AP1257" s="66"/>
      <c r="AQ1257" s="66"/>
      <c r="AR1257" s="81"/>
      <c r="AS1257" s="81"/>
      <c r="AT1257" s="81"/>
      <c r="AU1257" s="81"/>
      <c r="AV1257" s="83">
        <f>SUM(Prog_236[[#This Row],[ADIANTAMENTO]]+Prog_236[[#This Row],[SALDO]]+Prog_236[[#This Row],[MARGEM]]+Prog_236[[#This Row],[ESTADIA 1]])</f>
        <v>0</v>
      </c>
      <c r="AW12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7" s="81"/>
      <c r="AY1257" s="81"/>
      <c r="AZ1257" s="81">
        <f>Prog_236[[#This Row],[VLR NF]]*0.1%</f>
        <v>0</v>
      </c>
      <c r="BA1257" s="81">
        <f>Prog_236[[#This Row],[VLR NF]]*0.05%</f>
        <v>0</v>
      </c>
      <c r="BB1257" s="81"/>
      <c r="BC1257" s="81"/>
      <c r="BD1257" s="81"/>
      <c r="BE1257" s="81"/>
      <c r="BF1257" s="81"/>
      <c r="BG1257" s="81"/>
      <c r="BH1257" s="81"/>
      <c r="BI1257" s="81"/>
      <c r="BJ1257" s="81"/>
      <c r="BK1257" s="81"/>
      <c r="BL1257" s="66"/>
      <c r="BM1257" s="66"/>
      <c r="BN1257" s="66"/>
      <c r="BO1257" s="66" t="str">
        <f>PROPER(TEXT(Prog_236[[#This Row],[PROGRAMAÇÃO CLIENTE]],"mmm"))</f>
        <v>Jan</v>
      </c>
      <c r="BP1257" s="66">
        <f>YEAR(Prog_236[[#This Row],[PROGRAMAÇÃO CLIENTE]])</f>
        <v>1900</v>
      </c>
    </row>
    <row r="1258" spans="1:68" x14ac:dyDescent="0.25">
      <c r="A1258" s="201">
        <f>Prog_236[[#This Row],[CONTEINER]]</f>
        <v>0</v>
      </c>
      <c r="B1258" s="86"/>
      <c r="C12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8" s="44"/>
      <c r="E1258" s="66"/>
      <c r="F1258" s="66"/>
      <c r="G1258" s="66"/>
      <c r="H1258" s="44"/>
      <c r="I1258" s="44"/>
      <c r="J1258" s="66"/>
      <c r="K1258" s="66"/>
      <c r="L1258" s="66"/>
      <c r="M1258" s="66"/>
      <c r="N1258" s="66">
        <f>SUM(Prog_236[[#This Row],[TARA]]+Prog_236[[#This Row],[PESO]])</f>
        <v>0</v>
      </c>
      <c r="O1258" s="44"/>
      <c r="P1258" s="66"/>
      <c r="Q1258" s="66"/>
      <c r="R1258" s="66"/>
      <c r="S1258" s="66"/>
      <c r="T1258" s="138" t="str">
        <f>IFERROR(LOOKUP($S1258,MOTORISTAS!$D$3:$D$1048576,MOTORISTAS!E$3:$E$1048576),"")</f>
        <v/>
      </c>
      <c r="U1258" s="138" t="str">
        <f>IFERROR(LOOKUP($S1258,MOTORISTAS!$D$3:$D$1048576,MOTORISTAS!F$3:$F$1048576),"")</f>
        <v/>
      </c>
      <c r="V1258" s="66"/>
      <c r="W1258" s="66"/>
      <c r="X1258" s="66"/>
      <c r="Y1258" s="66"/>
      <c r="Z1258" s="66"/>
      <c r="AA1258" s="66"/>
      <c r="AB1258" s="66"/>
      <c r="AC1258" s="66"/>
      <c r="AD1258" s="66"/>
      <c r="AE1258" s="66"/>
      <c r="AF1258" s="44"/>
      <c r="AG1258" s="254">
        <f>Prog_236[[#This Row],[SAÍDA DO CLIENTE]]-Prog_236[[#This Row],[PROGRAMAÇÃO CLIENTE]]</f>
        <v>0</v>
      </c>
      <c r="AH1258" s="44"/>
      <c r="AI1258" s="66"/>
      <c r="AJ1258" s="66"/>
      <c r="AK1258" s="66"/>
      <c r="AL1258" s="66"/>
      <c r="AM1258" s="66"/>
      <c r="AN1258" s="83"/>
      <c r="AO1258" s="66"/>
      <c r="AP1258" s="66"/>
      <c r="AQ1258" s="66"/>
      <c r="AR1258" s="81"/>
      <c r="AS1258" s="81"/>
      <c r="AT1258" s="81"/>
      <c r="AU1258" s="81"/>
      <c r="AV1258" s="83">
        <f>SUM(Prog_236[[#This Row],[ADIANTAMENTO]]+Prog_236[[#This Row],[SALDO]]+Prog_236[[#This Row],[MARGEM]]+Prog_236[[#This Row],[ESTADIA 1]])</f>
        <v>0</v>
      </c>
      <c r="AW12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8" s="81"/>
      <c r="AY1258" s="81"/>
      <c r="AZ1258" s="81">
        <f>Prog_236[[#This Row],[VLR NF]]*0.1%</f>
        <v>0</v>
      </c>
      <c r="BA1258" s="81">
        <f>Prog_236[[#This Row],[VLR NF]]*0.05%</f>
        <v>0</v>
      </c>
      <c r="BB1258" s="81"/>
      <c r="BC1258" s="81"/>
      <c r="BD1258" s="81"/>
      <c r="BE1258" s="81"/>
      <c r="BF1258" s="81"/>
      <c r="BG1258" s="81"/>
      <c r="BH1258" s="81"/>
      <c r="BI1258" s="81"/>
      <c r="BJ1258" s="81"/>
      <c r="BK1258" s="81"/>
      <c r="BL1258" s="66"/>
      <c r="BM1258" s="66"/>
      <c r="BN1258" s="66"/>
      <c r="BO1258" s="66" t="str">
        <f>PROPER(TEXT(Prog_236[[#This Row],[PROGRAMAÇÃO CLIENTE]],"mmm"))</f>
        <v>Jan</v>
      </c>
      <c r="BP1258" s="66">
        <f>YEAR(Prog_236[[#This Row],[PROGRAMAÇÃO CLIENTE]])</f>
        <v>1900</v>
      </c>
    </row>
    <row r="1259" spans="1:68" x14ac:dyDescent="0.25">
      <c r="A1259" s="200">
        <f>Prog_236[[#This Row],[CONTEINER]]</f>
        <v>0</v>
      </c>
      <c r="B1259" s="86"/>
      <c r="C12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59" s="44"/>
      <c r="E1259" s="66"/>
      <c r="F1259" s="66"/>
      <c r="G1259" s="66"/>
      <c r="H1259" s="44"/>
      <c r="I1259" s="44"/>
      <c r="J1259" s="66"/>
      <c r="K1259" s="66"/>
      <c r="L1259" s="66"/>
      <c r="M1259" s="66"/>
      <c r="N1259" s="66">
        <f>SUM(Prog_236[[#This Row],[TARA]]+Prog_236[[#This Row],[PESO]])</f>
        <v>0</v>
      </c>
      <c r="O1259" s="44"/>
      <c r="P1259" s="66"/>
      <c r="Q1259" s="66"/>
      <c r="R1259" s="66"/>
      <c r="S1259" s="66"/>
      <c r="T1259" s="138" t="str">
        <f>IFERROR(LOOKUP($S1259,MOTORISTAS!$D$3:$D$1048576,MOTORISTAS!E$3:$E$1048576),"")</f>
        <v/>
      </c>
      <c r="U1259" s="138" t="str">
        <f>IFERROR(LOOKUP($S1259,MOTORISTAS!$D$3:$D$1048576,MOTORISTAS!F$3:$F$1048576),"")</f>
        <v/>
      </c>
      <c r="V1259" s="66"/>
      <c r="W1259" s="66"/>
      <c r="X1259" s="66"/>
      <c r="Y1259" s="66"/>
      <c r="Z1259" s="66"/>
      <c r="AA1259" s="66"/>
      <c r="AB1259" s="66"/>
      <c r="AC1259" s="66"/>
      <c r="AD1259" s="66"/>
      <c r="AE1259" s="66"/>
      <c r="AF1259" s="44"/>
      <c r="AG1259" s="254">
        <f>Prog_236[[#This Row],[SAÍDA DO CLIENTE]]-Prog_236[[#This Row],[PROGRAMAÇÃO CLIENTE]]</f>
        <v>0</v>
      </c>
      <c r="AH1259" s="44"/>
      <c r="AI1259" s="66"/>
      <c r="AJ1259" s="66"/>
      <c r="AK1259" s="66"/>
      <c r="AL1259" s="66"/>
      <c r="AM1259" s="66"/>
      <c r="AN1259" s="83"/>
      <c r="AO1259" s="66"/>
      <c r="AP1259" s="66"/>
      <c r="AQ1259" s="66"/>
      <c r="AR1259" s="81"/>
      <c r="AS1259" s="81"/>
      <c r="AT1259" s="81"/>
      <c r="AU1259" s="81"/>
      <c r="AV1259" s="83">
        <f>SUM(Prog_236[[#This Row],[ADIANTAMENTO]]+Prog_236[[#This Row],[SALDO]]+Prog_236[[#This Row],[MARGEM]]+Prog_236[[#This Row],[ESTADIA 1]])</f>
        <v>0</v>
      </c>
      <c r="AW12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59" s="81"/>
      <c r="AY1259" s="81"/>
      <c r="AZ1259" s="81">
        <f>Prog_236[[#This Row],[VLR NF]]*0.1%</f>
        <v>0</v>
      </c>
      <c r="BA1259" s="81">
        <f>Prog_236[[#This Row],[VLR NF]]*0.05%</f>
        <v>0</v>
      </c>
      <c r="BB1259" s="81"/>
      <c r="BC1259" s="81"/>
      <c r="BD1259" s="81"/>
      <c r="BE1259" s="81"/>
      <c r="BF1259" s="81"/>
      <c r="BG1259" s="81"/>
      <c r="BH1259" s="81"/>
      <c r="BI1259" s="81"/>
      <c r="BJ1259" s="81"/>
      <c r="BK1259" s="81"/>
      <c r="BL1259" s="66"/>
      <c r="BM1259" s="66"/>
      <c r="BN1259" s="66"/>
      <c r="BO1259" s="66" t="str">
        <f>PROPER(TEXT(Prog_236[[#This Row],[PROGRAMAÇÃO CLIENTE]],"mmm"))</f>
        <v>Jan</v>
      </c>
      <c r="BP1259" s="66">
        <f>YEAR(Prog_236[[#This Row],[PROGRAMAÇÃO CLIENTE]])</f>
        <v>1900</v>
      </c>
    </row>
    <row r="1260" spans="1:68" x14ac:dyDescent="0.25">
      <c r="A1260" s="201">
        <f>Prog_236[[#This Row],[CONTEINER]]</f>
        <v>0</v>
      </c>
      <c r="B1260" s="86"/>
      <c r="C12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0" s="44"/>
      <c r="E1260" s="66"/>
      <c r="F1260" s="66"/>
      <c r="G1260" s="66"/>
      <c r="H1260" s="44"/>
      <c r="I1260" s="44"/>
      <c r="J1260" s="66"/>
      <c r="K1260" s="66"/>
      <c r="L1260" s="66"/>
      <c r="M1260" s="66"/>
      <c r="N1260" s="66">
        <f>SUM(Prog_236[[#This Row],[TARA]]+Prog_236[[#This Row],[PESO]])</f>
        <v>0</v>
      </c>
      <c r="O1260" s="44"/>
      <c r="P1260" s="66"/>
      <c r="Q1260" s="66"/>
      <c r="R1260" s="66"/>
      <c r="S1260" s="66"/>
      <c r="T1260" s="138" t="str">
        <f>IFERROR(LOOKUP($S1260,MOTORISTAS!$D$3:$D$1048576,MOTORISTAS!E$3:$E$1048576),"")</f>
        <v/>
      </c>
      <c r="U1260" s="138" t="str">
        <f>IFERROR(LOOKUP($S1260,MOTORISTAS!$D$3:$D$1048576,MOTORISTAS!F$3:$F$1048576),"")</f>
        <v/>
      </c>
      <c r="V1260" s="66"/>
      <c r="W1260" s="66"/>
      <c r="X1260" s="66"/>
      <c r="Y1260" s="66"/>
      <c r="Z1260" s="66"/>
      <c r="AA1260" s="66"/>
      <c r="AB1260" s="66"/>
      <c r="AC1260" s="66"/>
      <c r="AD1260" s="66"/>
      <c r="AE1260" s="66"/>
      <c r="AF1260" s="44"/>
      <c r="AG1260" s="254">
        <f>Prog_236[[#This Row],[SAÍDA DO CLIENTE]]-Prog_236[[#This Row],[PROGRAMAÇÃO CLIENTE]]</f>
        <v>0</v>
      </c>
      <c r="AH1260" s="44"/>
      <c r="AI1260" s="66"/>
      <c r="AJ1260" s="66"/>
      <c r="AK1260" s="66"/>
      <c r="AL1260" s="66"/>
      <c r="AM1260" s="66"/>
      <c r="AN1260" s="83"/>
      <c r="AO1260" s="66"/>
      <c r="AP1260" s="66"/>
      <c r="AQ1260" s="66"/>
      <c r="AR1260" s="81"/>
      <c r="AS1260" s="81"/>
      <c r="AT1260" s="81"/>
      <c r="AU1260" s="81"/>
      <c r="AV1260" s="83">
        <f>SUM(Prog_236[[#This Row],[ADIANTAMENTO]]+Prog_236[[#This Row],[SALDO]]+Prog_236[[#This Row],[MARGEM]]+Prog_236[[#This Row],[ESTADIA 1]])</f>
        <v>0</v>
      </c>
      <c r="AW12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0" s="81"/>
      <c r="AY1260" s="81"/>
      <c r="AZ1260" s="81">
        <f>Prog_236[[#This Row],[VLR NF]]*0.1%</f>
        <v>0</v>
      </c>
      <c r="BA1260" s="81">
        <f>Prog_236[[#This Row],[VLR NF]]*0.05%</f>
        <v>0</v>
      </c>
      <c r="BB1260" s="81"/>
      <c r="BC1260" s="81"/>
      <c r="BD1260" s="81"/>
      <c r="BE1260" s="81"/>
      <c r="BF1260" s="81"/>
      <c r="BG1260" s="81"/>
      <c r="BH1260" s="81"/>
      <c r="BI1260" s="81"/>
      <c r="BJ1260" s="81"/>
      <c r="BK1260" s="81"/>
      <c r="BL1260" s="66"/>
      <c r="BM1260" s="66"/>
      <c r="BN1260" s="66"/>
      <c r="BO1260" s="66" t="str">
        <f>PROPER(TEXT(Prog_236[[#This Row],[PROGRAMAÇÃO CLIENTE]],"mmm"))</f>
        <v>Jan</v>
      </c>
      <c r="BP1260" s="66">
        <f>YEAR(Prog_236[[#This Row],[PROGRAMAÇÃO CLIENTE]])</f>
        <v>1900</v>
      </c>
    </row>
    <row r="1261" spans="1:68" x14ac:dyDescent="0.25">
      <c r="A1261" s="200">
        <f>Prog_236[[#This Row],[CONTEINER]]</f>
        <v>0</v>
      </c>
      <c r="B1261" s="86"/>
      <c r="C12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1" s="44"/>
      <c r="E1261" s="66"/>
      <c r="F1261" s="66"/>
      <c r="G1261" s="66"/>
      <c r="H1261" s="44"/>
      <c r="I1261" s="44"/>
      <c r="J1261" s="66"/>
      <c r="K1261" s="66"/>
      <c r="L1261" s="66"/>
      <c r="M1261" s="66"/>
      <c r="N1261" s="66">
        <f>SUM(Prog_236[[#This Row],[TARA]]+Prog_236[[#This Row],[PESO]])</f>
        <v>0</v>
      </c>
      <c r="O1261" s="44"/>
      <c r="P1261" s="66"/>
      <c r="Q1261" s="66"/>
      <c r="R1261" s="66"/>
      <c r="S1261" s="66"/>
      <c r="T1261" s="138" t="str">
        <f>IFERROR(LOOKUP($S1261,MOTORISTAS!$D$3:$D$1048576,MOTORISTAS!E$3:$E$1048576),"")</f>
        <v/>
      </c>
      <c r="U1261" s="138" t="str">
        <f>IFERROR(LOOKUP($S1261,MOTORISTAS!$D$3:$D$1048576,MOTORISTAS!F$3:$F$1048576),"")</f>
        <v/>
      </c>
      <c r="V1261" s="66"/>
      <c r="W1261" s="66"/>
      <c r="X1261" s="66"/>
      <c r="Y1261" s="66"/>
      <c r="Z1261" s="66"/>
      <c r="AA1261" s="66"/>
      <c r="AB1261" s="66"/>
      <c r="AC1261" s="66"/>
      <c r="AD1261" s="66"/>
      <c r="AE1261" s="66"/>
      <c r="AF1261" s="44"/>
      <c r="AG1261" s="254">
        <f>Prog_236[[#This Row],[SAÍDA DO CLIENTE]]-Prog_236[[#This Row],[PROGRAMAÇÃO CLIENTE]]</f>
        <v>0</v>
      </c>
      <c r="AH1261" s="44"/>
      <c r="AI1261" s="66"/>
      <c r="AJ1261" s="66"/>
      <c r="AK1261" s="66"/>
      <c r="AL1261" s="66"/>
      <c r="AM1261" s="66"/>
      <c r="AN1261" s="83"/>
      <c r="AO1261" s="66"/>
      <c r="AP1261" s="66"/>
      <c r="AQ1261" s="66"/>
      <c r="AR1261" s="81"/>
      <c r="AS1261" s="81"/>
      <c r="AT1261" s="81"/>
      <c r="AU1261" s="81"/>
      <c r="AV1261" s="83">
        <f>SUM(Prog_236[[#This Row],[ADIANTAMENTO]]+Prog_236[[#This Row],[SALDO]]+Prog_236[[#This Row],[MARGEM]]+Prog_236[[#This Row],[ESTADIA 1]])</f>
        <v>0</v>
      </c>
      <c r="AW12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1" s="81"/>
      <c r="AY1261" s="81"/>
      <c r="AZ1261" s="81">
        <f>Prog_236[[#This Row],[VLR NF]]*0.1%</f>
        <v>0</v>
      </c>
      <c r="BA1261" s="81">
        <f>Prog_236[[#This Row],[VLR NF]]*0.05%</f>
        <v>0</v>
      </c>
      <c r="BB1261" s="81"/>
      <c r="BC1261" s="81"/>
      <c r="BD1261" s="81"/>
      <c r="BE1261" s="81"/>
      <c r="BF1261" s="81"/>
      <c r="BG1261" s="81"/>
      <c r="BH1261" s="81"/>
      <c r="BI1261" s="81"/>
      <c r="BJ1261" s="81"/>
      <c r="BK1261" s="81"/>
      <c r="BL1261" s="66"/>
      <c r="BM1261" s="66"/>
      <c r="BN1261" s="66"/>
      <c r="BO1261" s="66" t="str">
        <f>PROPER(TEXT(Prog_236[[#This Row],[PROGRAMAÇÃO CLIENTE]],"mmm"))</f>
        <v>Jan</v>
      </c>
      <c r="BP1261" s="66">
        <f>YEAR(Prog_236[[#This Row],[PROGRAMAÇÃO CLIENTE]])</f>
        <v>1900</v>
      </c>
    </row>
    <row r="1262" spans="1:68" x14ac:dyDescent="0.25">
      <c r="A1262" s="201">
        <f>Prog_236[[#This Row],[CONTEINER]]</f>
        <v>0</v>
      </c>
      <c r="B1262" s="86"/>
      <c r="C12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2" s="44"/>
      <c r="E1262" s="66"/>
      <c r="F1262" s="66"/>
      <c r="G1262" s="66"/>
      <c r="H1262" s="44"/>
      <c r="I1262" s="44"/>
      <c r="J1262" s="66"/>
      <c r="K1262" s="66"/>
      <c r="L1262" s="66"/>
      <c r="M1262" s="66"/>
      <c r="N1262" s="66">
        <f>SUM(Prog_236[[#This Row],[TARA]]+Prog_236[[#This Row],[PESO]])</f>
        <v>0</v>
      </c>
      <c r="O1262" s="44"/>
      <c r="P1262" s="66"/>
      <c r="Q1262" s="66"/>
      <c r="R1262" s="66"/>
      <c r="S1262" s="66"/>
      <c r="T1262" s="138" t="str">
        <f>IFERROR(LOOKUP($S1262,MOTORISTAS!$D$3:$D$1048576,MOTORISTAS!E$3:$E$1048576),"")</f>
        <v/>
      </c>
      <c r="U1262" s="138" t="str">
        <f>IFERROR(LOOKUP($S1262,MOTORISTAS!$D$3:$D$1048576,MOTORISTAS!F$3:$F$1048576),"")</f>
        <v/>
      </c>
      <c r="V1262" s="66"/>
      <c r="W1262" s="66"/>
      <c r="X1262" s="66"/>
      <c r="Y1262" s="66"/>
      <c r="Z1262" s="66"/>
      <c r="AA1262" s="66"/>
      <c r="AB1262" s="66"/>
      <c r="AC1262" s="66"/>
      <c r="AD1262" s="66"/>
      <c r="AE1262" s="66"/>
      <c r="AF1262" s="44"/>
      <c r="AG1262" s="254">
        <f>Prog_236[[#This Row],[SAÍDA DO CLIENTE]]-Prog_236[[#This Row],[PROGRAMAÇÃO CLIENTE]]</f>
        <v>0</v>
      </c>
      <c r="AH1262" s="44"/>
      <c r="AI1262" s="66"/>
      <c r="AJ1262" s="66"/>
      <c r="AK1262" s="66"/>
      <c r="AL1262" s="66"/>
      <c r="AM1262" s="66"/>
      <c r="AN1262" s="83"/>
      <c r="AO1262" s="66"/>
      <c r="AP1262" s="66"/>
      <c r="AQ1262" s="66"/>
      <c r="AR1262" s="81"/>
      <c r="AS1262" s="81"/>
      <c r="AT1262" s="81"/>
      <c r="AU1262" s="81"/>
      <c r="AV1262" s="83">
        <f>SUM(Prog_236[[#This Row],[ADIANTAMENTO]]+Prog_236[[#This Row],[SALDO]]+Prog_236[[#This Row],[MARGEM]]+Prog_236[[#This Row],[ESTADIA 1]])</f>
        <v>0</v>
      </c>
      <c r="AW12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2" s="81"/>
      <c r="AY1262" s="81"/>
      <c r="AZ1262" s="81">
        <f>Prog_236[[#This Row],[VLR NF]]*0.1%</f>
        <v>0</v>
      </c>
      <c r="BA1262" s="81">
        <f>Prog_236[[#This Row],[VLR NF]]*0.05%</f>
        <v>0</v>
      </c>
      <c r="BB1262" s="81"/>
      <c r="BC1262" s="81"/>
      <c r="BD1262" s="81"/>
      <c r="BE1262" s="81"/>
      <c r="BF1262" s="81"/>
      <c r="BG1262" s="81"/>
      <c r="BH1262" s="81"/>
      <c r="BI1262" s="81"/>
      <c r="BJ1262" s="81"/>
      <c r="BK1262" s="81"/>
      <c r="BL1262" s="66"/>
      <c r="BM1262" s="66"/>
      <c r="BN1262" s="66"/>
      <c r="BO1262" s="66" t="str">
        <f>PROPER(TEXT(Prog_236[[#This Row],[PROGRAMAÇÃO CLIENTE]],"mmm"))</f>
        <v>Jan</v>
      </c>
      <c r="BP1262" s="66">
        <f>YEAR(Prog_236[[#This Row],[PROGRAMAÇÃO CLIENTE]])</f>
        <v>1900</v>
      </c>
    </row>
    <row r="1263" spans="1:68" x14ac:dyDescent="0.25">
      <c r="A1263" s="200">
        <f>Prog_236[[#This Row],[CONTEINER]]</f>
        <v>0</v>
      </c>
      <c r="B1263" s="86"/>
      <c r="C12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3" s="44"/>
      <c r="E1263" s="66"/>
      <c r="F1263" s="66"/>
      <c r="G1263" s="66"/>
      <c r="H1263" s="44"/>
      <c r="I1263" s="44"/>
      <c r="J1263" s="66"/>
      <c r="K1263" s="66"/>
      <c r="L1263" s="66"/>
      <c r="M1263" s="66"/>
      <c r="N1263" s="66">
        <f>SUM(Prog_236[[#This Row],[TARA]]+Prog_236[[#This Row],[PESO]])</f>
        <v>0</v>
      </c>
      <c r="O1263" s="44"/>
      <c r="P1263" s="66"/>
      <c r="Q1263" s="66"/>
      <c r="R1263" s="66"/>
      <c r="S1263" s="66"/>
      <c r="T1263" s="138" t="str">
        <f>IFERROR(LOOKUP($S1263,MOTORISTAS!$D$3:$D$1048576,MOTORISTAS!E$3:$E$1048576),"")</f>
        <v/>
      </c>
      <c r="U1263" s="138" t="str">
        <f>IFERROR(LOOKUP($S1263,MOTORISTAS!$D$3:$D$1048576,MOTORISTAS!F$3:$F$1048576),"")</f>
        <v/>
      </c>
      <c r="V1263" s="66"/>
      <c r="W1263" s="66"/>
      <c r="X1263" s="66"/>
      <c r="Y1263" s="66"/>
      <c r="Z1263" s="66"/>
      <c r="AA1263" s="66"/>
      <c r="AB1263" s="66"/>
      <c r="AC1263" s="66"/>
      <c r="AD1263" s="66"/>
      <c r="AE1263" s="66"/>
      <c r="AF1263" s="44"/>
      <c r="AG1263" s="254">
        <f>Prog_236[[#This Row],[SAÍDA DO CLIENTE]]-Prog_236[[#This Row],[PROGRAMAÇÃO CLIENTE]]</f>
        <v>0</v>
      </c>
      <c r="AH1263" s="44"/>
      <c r="AI1263" s="66"/>
      <c r="AJ1263" s="66"/>
      <c r="AK1263" s="66"/>
      <c r="AL1263" s="66"/>
      <c r="AM1263" s="66"/>
      <c r="AN1263" s="83"/>
      <c r="AO1263" s="66"/>
      <c r="AP1263" s="66"/>
      <c r="AQ1263" s="66"/>
      <c r="AR1263" s="81"/>
      <c r="AS1263" s="81"/>
      <c r="AT1263" s="81"/>
      <c r="AU1263" s="81"/>
      <c r="AV1263" s="83">
        <f>SUM(Prog_236[[#This Row],[ADIANTAMENTO]]+Prog_236[[#This Row],[SALDO]]+Prog_236[[#This Row],[MARGEM]]+Prog_236[[#This Row],[ESTADIA 1]])</f>
        <v>0</v>
      </c>
      <c r="AW12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3" s="81"/>
      <c r="AY1263" s="81"/>
      <c r="AZ1263" s="81">
        <f>Prog_236[[#This Row],[VLR NF]]*0.1%</f>
        <v>0</v>
      </c>
      <c r="BA1263" s="81">
        <f>Prog_236[[#This Row],[VLR NF]]*0.05%</f>
        <v>0</v>
      </c>
      <c r="BB1263" s="81"/>
      <c r="BC1263" s="81"/>
      <c r="BD1263" s="81"/>
      <c r="BE1263" s="81"/>
      <c r="BF1263" s="81"/>
      <c r="BG1263" s="81"/>
      <c r="BH1263" s="81"/>
      <c r="BI1263" s="81"/>
      <c r="BJ1263" s="81"/>
      <c r="BK1263" s="81"/>
      <c r="BL1263" s="66"/>
      <c r="BM1263" s="66"/>
      <c r="BN1263" s="66"/>
      <c r="BO1263" s="66" t="str">
        <f>PROPER(TEXT(Prog_236[[#This Row],[PROGRAMAÇÃO CLIENTE]],"mmm"))</f>
        <v>Jan</v>
      </c>
      <c r="BP1263" s="66">
        <f>YEAR(Prog_236[[#This Row],[PROGRAMAÇÃO CLIENTE]])</f>
        <v>1900</v>
      </c>
    </row>
    <row r="1264" spans="1:68" x14ac:dyDescent="0.25">
      <c r="A1264" s="201">
        <f>Prog_236[[#This Row],[CONTEINER]]</f>
        <v>0</v>
      </c>
      <c r="B1264" s="86"/>
      <c r="C12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4" s="44"/>
      <c r="E1264" s="66"/>
      <c r="F1264" s="66"/>
      <c r="G1264" s="66"/>
      <c r="H1264" s="44"/>
      <c r="I1264" s="44"/>
      <c r="J1264" s="66"/>
      <c r="K1264" s="66"/>
      <c r="L1264" s="66"/>
      <c r="M1264" s="66"/>
      <c r="N1264" s="66">
        <f>SUM(Prog_236[[#This Row],[TARA]]+Prog_236[[#This Row],[PESO]])</f>
        <v>0</v>
      </c>
      <c r="O1264" s="44"/>
      <c r="P1264" s="66"/>
      <c r="Q1264" s="66"/>
      <c r="R1264" s="66"/>
      <c r="S1264" s="66"/>
      <c r="T1264" s="138" t="str">
        <f>IFERROR(LOOKUP($S1264,MOTORISTAS!$D$3:$D$1048576,MOTORISTAS!E$3:$E$1048576),"")</f>
        <v/>
      </c>
      <c r="U1264" s="138" t="str">
        <f>IFERROR(LOOKUP($S1264,MOTORISTAS!$D$3:$D$1048576,MOTORISTAS!F$3:$F$1048576),"")</f>
        <v/>
      </c>
      <c r="V1264" s="66"/>
      <c r="W1264" s="66"/>
      <c r="X1264" s="66"/>
      <c r="Y1264" s="66"/>
      <c r="Z1264" s="66"/>
      <c r="AA1264" s="66"/>
      <c r="AB1264" s="66"/>
      <c r="AC1264" s="66"/>
      <c r="AD1264" s="66"/>
      <c r="AE1264" s="66"/>
      <c r="AF1264" s="44"/>
      <c r="AG1264" s="254">
        <f>Prog_236[[#This Row],[SAÍDA DO CLIENTE]]-Prog_236[[#This Row],[PROGRAMAÇÃO CLIENTE]]</f>
        <v>0</v>
      </c>
      <c r="AH1264" s="44"/>
      <c r="AI1264" s="66"/>
      <c r="AJ1264" s="66"/>
      <c r="AK1264" s="66"/>
      <c r="AL1264" s="66"/>
      <c r="AM1264" s="66"/>
      <c r="AN1264" s="83"/>
      <c r="AO1264" s="66"/>
      <c r="AP1264" s="66"/>
      <c r="AQ1264" s="66"/>
      <c r="AR1264" s="81"/>
      <c r="AS1264" s="81"/>
      <c r="AT1264" s="81"/>
      <c r="AU1264" s="81"/>
      <c r="AV1264" s="83">
        <f>SUM(Prog_236[[#This Row],[ADIANTAMENTO]]+Prog_236[[#This Row],[SALDO]]+Prog_236[[#This Row],[MARGEM]]+Prog_236[[#This Row],[ESTADIA 1]])</f>
        <v>0</v>
      </c>
      <c r="AW12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4" s="81"/>
      <c r="AY1264" s="81"/>
      <c r="AZ1264" s="81">
        <f>Prog_236[[#This Row],[VLR NF]]*0.1%</f>
        <v>0</v>
      </c>
      <c r="BA1264" s="81">
        <f>Prog_236[[#This Row],[VLR NF]]*0.05%</f>
        <v>0</v>
      </c>
      <c r="BB1264" s="81"/>
      <c r="BC1264" s="81"/>
      <c r="BD1264" s="81"/>
      <c r="BE1264" s="81"/>
      <c r="BF1264" s="81"/>
      <c r="BG1264" s="81"/>
      <c r="BH1264" s="81"/>
      <c r="BI1264" s="81"/>
      <c r="BJ1264" s="81"/>
      <c r="BK1264" s="81"/>
      <c r="BL1264" s="66"/>
      <c r="BM1264" s="66"/>
      <c r="BN1264" s="66"/>
      <c r="BO1264" s="66" t="str">
        <f>PROPER(TEXT(Prog_236[[#This Row],[PROGRAMAÇÃO CLIENTE]],"mmm"))</f>
        <v>Jan</v>
      </c>
      <c r="BP1264" s="66">
        <f>YEAR(Prog_236[[#This Row],[PROGRAMAÇÃO CLIENTE]])</f>
        <v>1900</v>
      </c>
    </row>
    <row r="1265" spans="1:68" x14ac:dyDescent="0.25">
      <c r="A1265" s="200">
        <f>Prog_236[[#This Row],[CONTEINER]]</f>
        <v>0</v>
      </c>
      <c r="B1265" s="86"/>
      <c r="C12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5" s="44"/>
      <c r="E1265" s="66"/>
      <c r="F1265" s="66"/>
      <c r="G1265" s="66"/>
      <c r="H1265" s="44"/>
      <c r="I1265" s="44"/>
      <c r="J1265" s="66"/>
      <c r="K1265" s="66"/>
      <c r="L1265" s="66"/>
      <c r="M1265" s="66"/>
      <c r="N1265" s="66">
        <f>SUM(Prog_236[[#This Row],[TARA]]+Prog_236[[#This Row],[PESO]])</f>
        <v>0</v>
      </c>
      <c r="O1265" s="44"/>
      <c r="P1265" s="66"/>
      <c r="Q1265" s="66"/>
      <c r="R1265" s="66"/>
      <c r="S1265" s="66"/>
      <c r="T1265" s="138" t="str">
        <f>IFERROR(LOOKUP($S1265,MOTORISTAS!$D$3:$D$1048576,MOTORISTAS!E$3:$E$1048576),"")</f>
        <v/>
      </c>
      <c r="U1265" s="138" t="str">
        <f>IFERROR(LOOKUP($S1265,MOTORISTAS!$D$3:$D$1048576,MOTORISTAS!F$3:$F$1048576),"")</f>
        <v/>
      </c>
      <c r="V1265" s="66"/>
      <c r="W1265" s="66"/>
      <c r="X1265" s="66"/>
      <c r="Y1265" s="66"/>
      <c r="Z1265" s="66"/>
      <c r="AA1265" s="66"/>
      <c r="AB1265" s="66"/>
      <c r="AC1265" s="66"/>
      <c r="AD1265" s="66"/>
      <c r="AE1265" s="66"/>
      <c r="AF1265" s="44"/>
      <c r="AG1265" s="254">
        <f>Prog_236[[#This Row],[SAÍDA DO CLIENTE]]-Prog_236[[#This Row],[PROGRAMAÇÃO CLIENTE]]</f>
        <v>0</v>
      </c>
      <c r="AH1265" s="44"/>
      <c r="AI1265" s="66"/>
      <c r="AJ1265" s="66"/>
      <c r="AK1265" s="66"/>
      <c r="AL1265" s="66"/>
      <c r="AM1265" s="66"/>
      <c r="AN1265" s="83"/>
      <c r="AO1265" s="66"/>
      <c r="AP1265" s="66"/>
      <c r="AQ1265" s="66"/>
      <c r="AR1265" s="81"/>
      <c r="AS1265" s="81"/>
      <c r="AT1265" s="81"/>
      <c r="AU1265" s="81"/>
      <c r="AV1265" s="83">
        <f>SUM(Prog_236[[#This Row],[ADIANTAMENTO]]+Prog_236[[#This Row],[SALDO]]+Prog_236[[#This Row],[MARGEM]]+Prog_236[[#This Row],[ESTADIA 1]])</f>
        <v>0</v>
      </c>
      <c r="AW12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5" s="81"/>
      <c r="AY1265" s="81"/>
      <c r="AZ1265" s="81">
        <f>Prog_236[[#This Row],[VLR NF]]*0.1%</f>
        <v>0</v>
      </c>
      <c r="BA1265" s="81">
        <f>Prog_236[[#This Row],[VLR NF]]*0.05%</f>
        <v>0</v>
      </c>
      <c r="BB1265" s="81"/>
      <c r="BC1265" s="81"/>
      <c r="BD1265" s="81"/>
      <c r="BE1265" s="81"/>
      <c r="BF1265" s="81"/>
      <c r="BG1265" s="81"/>
      <c r="BH1265" s="81"/>
      <c r="BI1265" s="81"/>
      <c r="BJ1265" s="81"/>
      <c r="BK1265" s="81"/>
      <c r="BL1265" s="66"/>
      <c r="BM1265" s="66"/>
      <c r="BN1265" s="66"/>
      <c r="BO1265" s="66" t="str">
        <f>PROPER(TEXT(Prog_236[[#This Row],[PROGRAMAÇÃO CLIENTE]],"mmm"))</f>
        <v>Jan</v>
      </c>
      <c r="BP1265" s="66">
        <f>YEAR(Prog_236[[#This Row],[PROGRAMAÇÃO CLIENTE]])</f>
        <v>1900</v>
      </c>
    </row>
    <row r="1266" spans="1:68" x14ac:dyDescent="0.25">
      <c r="A1266" s="201">
        <f>Prog_236[[#This Row],[CONTEINER]]</f>
        <v>0</v>
      </c>
      <c r="B1266" s="86"/>
      <c r="C12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6" s="44"/>
      <c r="E1266" s="66"/>
      <c r="F1266" s="66"/>
      <c r="G1266" s="66"/>
      <c r="H1266" s="44"/>
      <c r="I1266" s="44"/>
      <c r="J1266" s="66"/>
      <c r="K1266" s="66"/>
      <c r="L1266" s="66"/>
      <c r="M1266" s="66"/>
      <c r="N1266" s="66">
        <f>SUM(Prog_236[[#This Row],[TARA]]+Prog_236[[#This Row],[PESO]])</f>
        <v>0</v>
      </c>
      <c r="O1266" s="44"/>
      <c r="P1266" s="66"/>
      <c r="Q1266" s="66"/>
      <c r="R1266" s="66"/>
      <c r="S1266" s="66"/>
      <c r="T1266" s="138" t="str">
        <f>IFERROR(LOOKUP($S1266,MOTORISTAS!$D$3:$D$1048576,MOTORISTAS!E$3:$E$1048576),"")</f>
        <v/>
      </c>
      <c r="U1266" s="138" t="str">
        <f>IFERROR(LOOKUP($S1266,MOTORISTAS!$D$3:$D$1048576,MOTORISTAS!F$3:$F$1048576),"")</f>
        <v/>
      </c>
      <c r="V1266" s="66"/>
      <c r="W1266" s="66"/>
      <c r="X1266" s="66"/>
      <c r="Y1266" s="66"/>
      <c r="Z1266" s="66"/>
      <c r="AA1266" s="66"/>
      <c r="AB1266" s="66"/>
      <c r="AC1266" s="66"/>
      <c r="AD1266" s="66"/>
      <c r="AE1266" s="66"/>
      <c r="AF1266" s="44"/>
      <c r="AG1266" s="254">
        <f>Prog_236[[#This Row],[SAÍDA DO CLIENTE]]-Prog_236[[#This Row],[PROGRAMAÇÃO CLIENTE]]</f>
        <v>0</v>
      </c>
      <c r="AH1266" s="44"/>
      <c r="AI1266" s="66"/>
      <c r="AJ1266" s="66"/>
      <c r="AK1266" s="66"/>
      <c r="AL1266" s="66"/>
      <c r="AM1266" s="66"/>
      <c r="AN1266" s="83"/>
      <c r="AO1266" s="66"/>
      <c r="AP1266" s="66"/>
      <c r="AQ1266" s="66"/>
      <c r="AR1266" s="81"/>
      <c r="AS1266" s="81"/>
      <c r="AT1266" s="81"/>
      <c r="AU1266" s="81"/>
      <c r="AV1266" s="83">
        <f>SUM(Prog_236[[#This Row],[ADIANTAMENTO]]+Prog_236[[#This Row],[SALDO]]+Prog_236[[#This Row],[MARGEM]]+Prog_236[[#This Row],[ESTADIA 1]])</f>
        <v>0</v>
      </c>
      <c r="AW12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6" s="81"/>
      <c r="AY1266" s="81"/>
      <c r="AZ1266" s="81">
        <f>Prog_236[[#This Row],[VLR NF]]*0.1%</f>
        <v>0</v>
      </c>
      <c r="BA1266" s="81">
        <f>Prog_236[[#This Row],[VLR NF]]*0.05%</f>
        <v>0</v>
      </c>
      <c r="BB1266" s="81"/>
      <c r="BC1266" s="81"/>
      <c r="BD1266" s="81"/>
      <c r="BE1266" s="81"/>
      <c r="BF1266" s="81"/>
      <c r="BG1266" s="81"/>
      <c r="BH1266" s="81"/>
      <c r="BI1266" s="81"/>
      <c r="BJ1266" s="81"/>
      <c r="BK1266" s="81"/>
      <c r="BL1266" s="66"/>
      <c r="BM1266" s="66"/>
      <c r="BN1266" s="66"/>
      <c r="BO1266" s="66" t="str">
        <f>PROPER(TEXT(Prog_236[[#This Row],[PROGRAMAÇÃO CLIENTE]],"mmm"))</f>
        <v>Jan</v>
      </c>
      <c r="BP1266" s="66">
        <f>YEAR(Prog_236[[#This Row],[PROGRAMAÇÃO CLIENTE]])</f>
        <v>1900</v>
      </c>
    </row>
    <row r="1267" spans="1:68" x14ac:dyDescent="0.25">
      <c r="A1267" s="200">
        <f>Prog_236[[#This Row],[CONTEINER]]</f>
        <v>0</v>
      </c>
      <c r="B1267" s="86"/>
      <c r="C12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7" s="44"/>
      <c r="E1267" s="66"/>
      <c r="F1267" s="66"/>
      <c r="G1267" s="66"/>
      <c r="H1267" s="44"/>
      <c r="I1267" s="44"/>
      <c r="J1267" s="66"/>
      <c r="K1267" s="66"/>
      <c r="L1267" s="66"/>
      <c r="M1267" s="66"/>
      <c r="N1267" s="66">
        <f>SUM(Prog_236[[#This Row],[TARA]]+Prog_236[[#This Row],[PESO]])</f>
        <v>0</v>
      </c>
      <c r="O1267" s="44"/>
      <c r="P1267" s="66"/>
      <c r="Q1267" s="66"/>
      <c r="R1267" s="66"/>
      <c r="S1267" s="66"/>
      <c r="T1267" s="138" t="str">
        <f>IFERROR(LOOKUP($S1267,MOTORISTAS!$D$3:$D$1048576,MOTORISTAS!E$3:$E$1048576),"")</f>
        <v/>
      </c>
      <c r="U1267" s="138" t="str">
        <f>IFERROR(LOOKUP($S1267,MOTORISTAS!$D$3:$D$1048576,MOTORISTAS!F$3:$F$1048576),"")</f>
        <v/>
      </c>
      <c r="V1267" s="66"/>
      <c r="W1267" s="66"/>
      <c r="X1267" s="66"/>
      <c r="Y1267" s="66"/>
      <c r="Z1267" s="66"/>
      <c r="AA1267" s="66"/>
      <c r="AB1267" s="66"/>
      <c r="AC1267" s="66"/>
      <c r="AD1267" s="66"/>
      <c r="AE1267" s="66"/>
      <c r="AF1267" s="44"/>
      <c r="AG1267" s="254">
        <f>Prog_236[[#This Row],[SAÍDA DO CLIENTE]]-Prog_236[[#This Row],[PROGRAMAÇÃO CLIENTE]]</f>
        <v>0</v>
      </c>
      <c r="AH1267" s="44"/>
      <c r="AI1267" s="66"/>
      <c r="AJ1267" s="66"/>
      <c r="AK1267" s="66"/>
      <c r="AL1267" s="66"/>
      <c r="AM1267" s="66"/>
      <c r="AN1267" s="83"/>
      <c r="AO1267" s="66"/>
      <c r="AP1267" s="66"/>
      <c r="AQ1267" s="66"/>
      <c r="AR1267" s="81"/>
      <c r="AS1267" s="81"/>
      <c r="AT1267" s="81"/>
      <c r="AU1267" s="81"/>
      <c r="AV1267" s="83">
        <f>SUM(Prog_236[[#This Row],[ADIANTAMENTO]]+Prog_236[[#This Row],[SALDO]]+Prog_236[[#This Row],[MARGEM]]+Prog_236[[#This Row],[ESTADIA 1]])</f>
        <v>0</v>
      </c>
      <c r="AW12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7" s="81"/>
      <c r="AY1267" s="81"/>
      <c r="AZ1267" s="81">
        <f>Prog_236[[#This Row],[VLR NF]]*0.1%</f>
        <v>0</v>
      </c>
      <c r="BA1267" s="81">
        <f>Prog_236[[#This Row],[VLR NF]]*0.05%</f>
        <v>0</v>
      </c>
      <c r="BB1267" s="81"/>
      <c r="BC1267" s="81"/>
      <c r="BD1267" s="81"/>
      <c r="BE1267" s="81"/>
      <c r="BF1267" s="81"/>
      <c r="BG1267" s="81"/>
      <c r="BH1267" s="81"/>
      <c r="BI1267" s="81"/>
      <c r="BJ1267" s="81"/>
      <c r="BK1267" s="81"/>
      <c r="BL1267" s="66"/>
      <c r="BM1267" s="66"/>
      <c r="BN1267" s="66"/>
      <c r="BO1267" s="66" t="str">
        <f>PROPER(TEXT(Prog_236[[#This Row],[PROGRAMAÇÃO CLIENTE]],"mmm"))</f>
        <v>Jan</v>
      </c>
      <c r="BP1267" s="66">
        <f>YEAR(Prog_236[[#This Row],[PROGRAMAÇÃO CLIENTE]])</f>
        <v>1900</v>
      </c>
    </row>
    <row r="1268" spans="1:68" x14ac:dyDescent="0.25">
      <c r="A1268" s="201">
        <f>Prog_236[[#This Row],[CONTEINER]]</f>
        <v>0</v>
      </c>
      <c r="B1268" s="86"/>
      <c r="C12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8" s="44"/>
      <c r="E1268" s="66"/>
      <c r="F1268" s="66"/>
      <c r="G1268" s="66"/>
      <c r="H1268" s="44"/>
      <c r="I1268" s="44"/>
      <c r="J1268" s="66"/>
      <c r="K1268" s="66"/>
      <c r="L1268" s="66"/>
      <c r="M1268" s="66"/>
      <c r="N1268" s="66">
        <f>SUM(Prog_236[[#This Row],[TARA]]+Prog_236[[#This Row],[PESO]])</f>
        <v>0</v>
      </c>
      <c r="O1268" s="44"/>
      <c r="P1268" s="66"/>
      <c r="Q1268" s="66"/>
      <c r="R1268" s="66"/>
      <c r="S1268" s="66"/>
      <c r="T1268" s="138" t="str">
        <f>IFERROR(LOOKUP($S1268,MOTORISTAS!$D$3:$D$1048576,MOTORISTAS!E$3:$E$1048576),"")</f>
        <v/>
      </c>
      <c r="U1268" s="138" t="str">
        <f>IFERROR(LOOKUP($S1268,MOTORISTAS!$D$3:$D$1048576,MOTORISTAS!F$3:$F$1048576),"")</f>
        <v/>
      </c>
      <c r="V1268" s="66"/>
      <c r="W1268" s="66"/>
      <c r="X1268" s="66"/>
      <c r="Y1268" s="66"/>
      <c r="Z1268" s="66"/>
      <c r="AA1268" s="66"/>
      <c r="AB1268" s="66"/>
      <c r="AC1268" s="66"/>
      <c r="AD1268" s="66"/>
      <c r="AE1268" s="66"/>
      <c r="AF1268" s="44"/>
      <c r="AG1268" s="254">
        <f>Prog_236[[#This Row],[SAÍDA DO CLIENTE]]-Prog_236[[#This Row],[PROGRAMAÇÃO CLIENTE]]</f>
        <v>0</v>
      </c>
      <c r="AH1268" s="44"/>
      <c r="AI1268" s="66"/>
      <c r="AJ1268" s="66"/>
      <c r="AK1268" s="66"/>
      <c r="AL1268" s="66"/>
      <c r="AM1268" s="66"/>
      <c r="AN1268" s="83"/>
      <c r="AO1268" s="66"/>
      <c r="AP1268" s="66"/>
      <c r="AQ1268" s="66"/>
      <c r="AR1268" s="81"/>
      <c r="AS1268" s="81"/>
      <c r="AT1268" s="81"/>
      <c r="AU1268" s="81"/>
      <c r="AV1268" s="83">
        <f>SUM(Prog_236[[#This Row],[ADIANTAMENTO]]+Prog_236[[#This Row],[SALDO]]+Prog_236[[#This Row],[MARGEM]]+Prog_236[[#This Row],[ESTADIA 1]])</f>
        <v>0</v>
      </c>
      <c r="AW12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8" s="81"/>
      <c r="AY1268" s="81"/>
      <c r="AZ1268" s="81">
        <f>Prog_236[[#This Row],[VLR NF]]*0.1%</f>
        <v>0</v>
      </c>
      <c r="BA1268" s="81">
        <f>Prog_236[[#This Row],[VLR NF]]*0.05%</f>
        <v>0</v>
      </c>
      <c r="BB1268" s="81"/>
      <c r="BC1268" s="81"/>
      <c r="BD1268" s="81"/>
      <c r="BE1268" s="81"/>
      <c r="BF1268" s="81"/>
      <c r="BG1268" s="81"/>
      <c r="BH1268" s="81"/>
      <c r="BI1268" s="81"/>
      <c r="BJ1268" s="81"/>
      <c r="BK1268" s="81"/>
      <c r="BL1268" s="66"/>
      <c r="BM1268" s="66"/>
      <c r="BN1268" s="66"/>
      <c r="BO1268" s="66" t="str">
        <f>PROPER(TEXT(Prog_236[[#This Row],[PROGRAMAÇÃO CLIENTE]],"mmm"))</f>
        <v>Jan</v>
      </c>
      <c r="BP1268" s="66">
        <f>YEAR(Prog_236[[#This Row],[PROGRAMAÇÃO CLIENTE]])</f>
        <v>1900</v>
      </c>
    </row>
    <row r="1269" spans="1:68" x14ac:dyDescent="0.25">
      <c r="A1269" s="200">
        <f>Prog_236[[#This Row],[CONTEINER]]</f>
        <v>0</v>
      </c>
      <c r="B1269" s="86"/>
      <c r="C12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69" s="44"/>
      <c r="E1269" s="66"/>
      <c r="F1269" s="66"/>
      <c r="G1269" s="66"/>
      <c r="H1269" s="44"/>
      <c r="I1269" s="44"/>
      <c r="J1269" s="66"/>
      <c r="K1269" s="66"/>
      <c r="L1269" s="66"/>
      <c r="M1269" s="66"/>
      <c r="N1269" s="66">
        <f>SUM(Prog_236[[#This Row],[TARA]]+Prog_236[[#This Row],[PESO]])</f>
        <v>0</v>
      </c>
      <c r="O1269" s="44"/>
      <c r="P1269" s="66"/>
      <c r="Q1269" s="66"/>
      <c r="R1269" s="66"/>
      <c r="S1269" s="66"/>
      <c r="T1269" s="138" t="str">
        <f>IFERROR(LOOKUP($S1269,MOTORISTAS!$D$3:$D$1048576,MOTORISTAS!E$3:$E$1048576),"")</f>
        <v/>
      </c>
      <c r="U1269" s="138" t="str">
        <f>IFERROR(LOOKUP($S1269,MOTORISTAS!$D$3:$D$1048576,MOTORISTAS!F$3:$F$1048576),"")</f>
        <v/>
      </c>
      <c r="V1269" s="66"/>
      <c r="W1269" s="66"/>
      <c r="X1269" s="66"/>
      <c r="Y1269" s="66"/>
      <c r="Z1269" s="66"/>
      <c r="AA1269" s="66"/>
      <c r="AB1269" s="66"/>
      <c r="AC1269" s="66"/>
      <c r="AD1269" s="66"/>
      <c r="AE1269" s="66"/>
      <c r="AF1269" s="44"/>
      <c r="AG1269" s="254">
        <f>Prog_236[[#This Row],[SAÍDA DO CLIENTE]]-Prog_236[[#This Row],[PROGRAMAÇÃO CLIENTE]]</f>
        <v>0</v>
      </c>
      <c r="AH1269" s="44"/>
      <c r="AI1269" s="66"/>
      <c r="AJ1269" s="66"/>
      <c r="AK1269" s="66"/>
      <c r="AL1269" s="66"/>
      <c r="AM1269" s="66"/>
      <c r="AN1269" s="83"/>
      <c r="AO1269" s="66"/>
      <c r="AP1269" s="66"/>
      <c r="AQ1269" s="66"/>
      <c r="AR1269" s="81"/>
      <c r="AS1269" s="81"/>
      <c r="AT1269" s="81"/>
      <c r="AU1269" s="81"/>
      <c r="AV1269" s="83">
        <f>SUM(Prog_236[[#This Row],[ADIANTAMENTO]]+Prog_236[[#This Row],[SALDO]]+Prog_236[[#This Row],[MARGEM]]+Prog_236[[#This Row],[ESTADIA 1]])</f>
        <v>0</v>
      </c>
      <c r="AW12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69" s="81"/>
      <c r="AY1269" s="81"/>
      <c r="AZ1269" s="81">
        <f>Prog_236[[#This Row],[VLR NF]]*0.1%</f>
        <v>0</v>
      </c>
      <c r="BA1269" s="81">
        <f>Prog_236[[#This Row],[VLR NF]]*0.05%</f>
        <v>0</v>
      </c>
      <c r="BB1269" s="81"/>
      <c r="BC1269" s="81"/>
      <c r="BD1269" s="81"/>
      <c r="BE1269" s="81"/>
      <c r="BF1269" s="81"/>
      <c r="BG1269" s="81"/>
      <c r="BH1269" s="81"/>
      <c r="BI1269" s="81"/>
      <c r="BJ1269" s="81"/>
      <c r="BK1269" s="81"/>
      <c r="BL1269" s="66"/>
      <c r="BM1269" s="66"/>
      <c r="BN1269" s="66"/>
      <c r="BO1269" s="66" t="str">
        <f>PROPER(TEXT(Prog_236[[#This Row],[PROGRAMAÇÃO CLIENTE]],"mmm"))</f>
        <v>Jan</v>
      </c>
      <c r="BP1269" s="66">
        <f>YEAR(Prog_236[[#This Row],[PROGRAMAÇÃO CLIENTE]])</f>
        <v>1900</v>
      </c>
    </row>
    <row r="1270" spans="1:68" x14ac:dyDescent="0.25">
      <c r="A1270" s="201">
        <f>Prog_236[[#This Row],[CONTEINER]]</f>
        <v>0</v>
      </c>
      <c r="B1270" s="86"/>
      <c r="C12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0" s="44"/>
      <c r="E1270" s="66"/>
      <c r="F1270" s="66"/>
      <c r="G1270" s="66"/>
      <c r="H1270" s="44"/>
      <c r="I1270" s="44"/>
      <c r="J1270" s="66"/>
      <c r="K1270" s="66"/>
      <c r="L1270" s="66"/>
      <c r="M1270" s="66"/>
      <c r="N1270" s="66">
        <f>SUM(Prog_236[[#This Row],[TARA]]+Prog_236[[#This Row],[PESO]])</f>
        <v>0</v>
      </c>
      <c r="O1270" s="44"/>
      <c r="P1270" s="66"/>
      <c r="Q1270" s="66"/>
      <c r="R1270" s="66"/>
      <c r="S1270" s="66"/>
      <c r="T1270" s="138" t="str">
        <f>IFERROR(LOOKUP($S1270,MOTORISTAS!$D$3:$D$1048576,MOTORISTAS!E$3:$E$1048576),"")</f>
        <v/>
      </c>
      <c r="U1270" s="138" t="str">
        <f>IFERROR(LOOKUP($S1270,MOTORISTAS!$D$3:$D$1048576,MOTORISTAS!F$3:$F$1048576),"")</f>
        <v/>
      </c>
      <c r="V1270" s="66"/>
      <c r="W1270" s="66"/>
      <c r="X1270" s="66"/>
      <c r="Y1270" s="66"/>
      <c r="Z1270" s="66"/>
      <c r="AA1270" s="66"/>
      <c r="AB1270" s="66"/>
      <c r="AC1270" s="66"/>
      <c r="AD1270" s="66"/>
      <c r="AE1270" s="66"/>
      <c r="AF1270" s="44"/>
      <c r="AG1270" s="254">
        <f>Prog_236[[#This Row],[SAÍDA DO CLIENTE]]-Prog_236[[#This Row],[PROGRAMAÇÃO CLIENTE]]</f>
        <v>0</v>
      </c>
      <c r="AH1270" s="44"/>
      <c r="AI1270" s="66"/>
      <c r="AJ1270" s="66"/>
      <c r="AK1270" s="66"/>
      <c r="AL1270" s="66"/>
      <c r="AM1270" s="66"/>
      <c r="AN1270" s="83"/>
      <c r="AO1270" s="66"/>
      <c r="AP1270" s="66"/>
      <c r="AQ1270" s="66"/>
      <c r="AR1270" s="81"/>
      <c r="AS1270" s="81"/>
      <c r="AT1270" s="81"/>
      <c r="AU1270" s="81"/>
      <c r="AV1270" s="83">
        <f>SUM(Prog_236[[#This Row],[ADIANTAMENTO]]+Prog_236[[#This Row],[SALDO]]+Prog_236[[#This Row],[MARGEM]]+Prog_236[[#This Row],[ESTADIA 1]])</f>
        <v>0</v>
      </c>
      <c r="AW12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0" s="81"/>
      <c r="AY1270" s="81"/>
      <c r="AZ1270" s="81">
        <f>Prog_236[[#This Row],[VLR NF]]*0.1%</f>
        <v>0</v>
      </c>
      <c r="BA1270" s="81">
        <f>Prog_236[[#This Row],[VLR NF]]*0.05%</f>
        <v>0</v>
      </c>
      <c r="BB1270" s="81"/>
      <c r="BC1270" s="81"/>
      <c r="BD1270" s="81"/>
      <c r="BE1270" s="81"/>
      <c r="BF1270" s="81"/>
      <c r="BG1270" s="81"/>
      <c r="BH1270" s="81"/>
      <c r="BI1270" s="81"/>
      <c r="BJ1270" s="81"/>
      <c r="BK1270" s="81"/>
      <c r="BL1270" s="66"/>
      <c r="BM1270" s="66"/>
      <c r="BN1270" s="66"/>
      <c r="BO1270" s="66" t="str">
        <f>PROPER(TEXT(Prog_236[[#This Row],[PROGRAMAÇÃO CLIENTE]],"mmm"))</f>
        <v>Jan</v>
      </c>
      <c r="BP1270" s="66">
        <f>YEAR(Prog_236[[#This Row],[PROGRAMAÇÃO CLIENTE]])</f>
        <v>1900</v>
      </c>
    </row>
    <row r="1271" spans="1:68" x14ac:dyDescent="0.25">
      <c r="A1271" s="200">
        <f>Prog_236[[#This Row],[CONTEINER]]</f>
        <v>0</v>
      </c>
      <c r="B1271" s="86"/>
      <c r="C12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1" s="44"/>
      <c r="E1271" s="66"/>
      <c r="F1271" s="66"/>
      <c r="G1271" s="66"/>
      <c r="H1271" s="44"/>
      <c r="I1271" s="44"/>
      <c r="J1271" s="66"/>
      <c r="K1271" s="66"/>
      <c r="L1271" s="66"/>
      <c r="M1271" s="66"/>
      <c r="N1271" s="66">
        <f>SUM(Prog_236[[#This Row],[TARA]]+Prog_236[[#This Row],[PESO]])</f>
        <v>0</v>
      </c>
      <c r="O1271" s="44"/>
      <c r="P1271" s="66"/>
      <c r="Q1271" s="66"/>
      <c r="R1271" s="66"/>
      <c r="S1271" s="66"/>
      <c r="T1271" s="138" t="str">
        <f>IFERROR(LOOKUP($S1271,MOTORISTAS!$D$3:$D$1048576,MOTORISTAS!E$3:$E$1048576),"")</f>
        <v/>
      </c>
      <c r="U1271" s="138" t="str">
        <f>IFERROR(LOOKUP($S1271,MOTORISTAS!$D$3:$D$1048576,MOTORISTAS!F$3:$F$1048576),"")</f>
        <v/>
      </c>
      <c r="V1271" s="66"/>
      <c r="W1271" s="66"/>
      <c r="X1271" s="66"/>
      <c r="Y1271" s="66"/>
      <c r="Z1271" s="66"/>
      <c r="AA1271" s="66"/>
      <c r="AB1271" s="66"/>
      <c r="AC1271" s="66"/>
      <c r="AD1271" s="66"/>
      <c r="AE1271" s="66"/>
      <c r="AF1271" s="44"/>
      <c r="AG1271" s="254">
        <f>Prog_236[[#This Row],[SAÍDA DO CLIENTE]]-Prog_236[[#This Row],[PROGRAMAÇÃO CLIENTE]]</f>
        <v>0</v>
      </c>
      <c r="AH1271" s="44"/>
      <c r="AI1271" s="66"/>
      <c r="AJ1271" s="66"/>
      <c r="AK1271" s="66"/>
      <c r="AL1271" s="66"/>
      <c r="AM1271" s="66"/>
      <c r="AN1271" s="83"/>
      <c r="AO1271" s="66"/>
      <c r="AP1271" s="66"/>
      <c r="AQ1271" s="66"/>
      <c r="AR1271" s="81"/>
      <c r="AS1271" s="81"/>
      <c r="AT1271" s="81"/>
      <c r="AU1271" s="81"/>
      <c r="AV1271" s="83">
        <f>SUM(Prog_236[[#This Row],[ADIANTAMENTO]]+Prog_236[[#This Row],[SALDO]]+Prog_236[[#This Row],[MARGEM]]+Prog_236[[#This Row],[ESTADIA 1]])</f>
        <v>0</v>
      </c>
      <c r="AW12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1" s="81"/>
      <c r="AY1271" s="81"/>
      <c r="AZ1271" s="81">
        <f>Prog_236[[#This Row],[VLR NF]]*0.1%</f>
        <v>0</v>
      </c>
      <c r="BA1271" s="81">
        <f>Prog_236[[#This Row],[VLR NF]]*0.05%</f>
        <v>0</v>
      </c>
      <c r="BB1271" s="81"/>
      <c r="BC1271" s="81"/>
      <c r="BD1271" s="81"/>
      <c r="BE1271" s="81"/>
      <c r="BF1271" s="81"/>
      <c r="BG1271" s="81"/>
      <c r="BH1271" s="81"/>
      <c r="BI1271" s="81"/>
      <c r="BJ1271" s="81"/>
      <c r="BK1271" s="81"/>
      <c r="BL1271" s="66"/>
      <c r="BM1271" s="66"/>
      <c r="BN1271" s="66"/>
      <c r="BO1271" s="66" t="str">
        <f>PROPER(TEXT(Prog_236[[#This Row],[PROGRAMAÇÃO CLIENTE]],"mmm"))</f>
        <v>Jan</v>
      </c>
      <c r="BP1271" s="66">
        <f>YEAR(Prog_236[[#This Row],[PROGRAMAÇÃO CLIENTE]])</f>
        <v>1900</v>
      </c>
    </row>
    <row r="1272" spans="1:68" x14ac:dyDescent="0.25">
      <c r="A1272" s="201">
        <f>Prog_236[[#This Row],[CONTEINER]]</f>
        <v>0</v>
      </c>
      <c r="B1272" s="86"/>
      <c r="C12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2" s="44"/>
      <c r="E1272" s="66"/>
      <c r="F1272" s="66"/>
      <c r="G1272" s="66"/>
      <c r="H1272" s="44"/>
      <c r="I1272" s="44"/>
      <c r="J1272" s="66"/>
      <c r="K1272" s="66"/>
      <c r="L1272" s="66"/>
      <c r="M1272" s="66"/>
      <c r="N1272" s="66">
        <f>SUM(Prog_236[[#This Row],[TARA]]+Prog_236[[#This Row],[PESO]])</f>
        <v>0</v>
      </c>
      <c r="O1272" s="44"/>
      <c r="P1272" s="66"/>
      <c r="Q1272" s="66"/>
      <c r="R1272" s="66"/>
      <c r="S1272" s="66"/>
      <c r="T1272" s="138" t="str">
        <f>IFERROR(LOOKUP($S1272,MOTORISTAS!$D$3:$D$1048576,MOTORISTAS!E$3:$E$1048576),"")</f>
        <v/>
      </c>
      <c r="U1272" s="138" t="str">
        <f>IFERROR(LOOKUP($S1272,MOTORISTAS!$D$3:$D$1048576,MOTORISTAS!F$3:$F$1048576),"")</f>
        <v/>
      </c>
      <c r="V1272" s="66"/>
      <c r="W1272" s="66"/>
      <c r="X1272" s="66"/>
      <c r="Y1272" s="66"/>
      <c r="Z1272" s="66"/>
      <c r="AA1272" s="66"/>
      <c r="AB1272" s="66"/>
      <c r="AC1272" s="66"/>
      <c r="AD1272" s="66"/>
      <c r="AE1272" s="66"/>
      <c r="AF1272" s="44"/>
      <c r="AG1272" s="254">
        <f>Prog_236[[#This Row],[SAÍDA DO CLIENTE]]-Prog_236[[#This Row],[PROGRAMAÇÃO CLIENTE]]</f>
        <v>0</v>
      </c>
      <c r="AH1272" s="44"/>
      <c r="AI1272" s="66"/>
      <c r="AJ1272" s="66"/>
      <c r="AK1272" s="66"/>
      <c r="AL1272" s="66"/>
      <c r="AM1272" s="66"/>
      <c r="AN1272" s="83"/>
      <c r="AO1272" s="66"/>
      <c r="AP1272" s="66"/>
      <c r="AQ1272" s="66"/>
      <c r="AR1272" s="81"/>
      <c r="AS1272" s="81"/>
      <c r="AT1272" s="81"/>
      <c r="AU1272" s="81"/>
      <c r="AV1272" s="83">
        <f>SUM(Prog_236[[#This Row],[ADIANTAMENTO]]+Prog_236[[#This Row],[SALDO]]+Prog_236[[#This Row],[MARGEM]]+Prog_236[[#This Row],[ESTADIA 1]])</f>
        <v>0</v>
      </c>
      <c r="AW12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2" s="81"/>
      <c r="AY1272" s="81"/>
      <c r="AZ1272" s="81">
        <f>Prog_236[[#This Row],[VLR NF]]*0.1%</f>
        <v>0</v>
      </c>
      <c r="BA1272" s="81">
        <f>Prog_236[[#This Row],[VLR NF]]*0.05%</f>
        <v>0</v>
      </c>
      <c r="BB1272" s="81"/>
      <c r="BC1272" s="81"/>
      <c r="BD1272" s="81"/>
      <c r="BE1272" s="81"/>
      <c r="BF1272" s="81"/>
      <c r="BG1272" s="81"/>
      <c r="BH1272" s="81"/>
      <c r="BI1272" s="81"/>
      <c r="BJ1272" s="81"/>
      <c r="BK1272" s="81"/>
      <c r="BL1272" s="66"/>
      <c r="BM1272" s="66"/>
      <c r="BN1272" s="66"/>
      <c r="BO1272" s="66" t="str">
        <f>PROPER(TEXT(Prog_236[[#This Row],[PROGRAMAÇÃO CLIENTE]],"mmm"))</f>
        <v>Jan</v>
      </c>
      <c r="BP1272" s="66">
        <f>YEAR(Prog_236[[#This Row],[PROGRAMAÇÃO CLIENTE]])</f>
        <v>1900</v>
      </c>
    </row>
    <row r="1273" spans="1:68" x14ac:dyDescent="0.25">
      <c r="A1273" s="200">
        <f>Prog_236[[#This Row],[CONTEINER]]</f>
        <v>0</v>
      </c>
      <c r="B1273" s="86"/>
      <c r="C12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3" s="44"/>
      <c r="E1273" s="66"/>
      <c r="F1273" s="66"/>
      <c r="G1273" s="66"/>
      <c r="H1273" s="44"/>
      <c r="I1273" s="44"/>
      <c r="J1273" s="66"/>
      <c r="K1273" s="66"/>
      <c r="L1273" s="66"/>
      <c r="M1273" s="66"/>
      <c r="N1273" s="66">
        <f>SUM(Prog_236[[#This Row],[TARA]]+Prog_236[[#This Row],[PESO]])</f>
        <v>0</v>
      </c>
      <c r="O1273" s="44"/>
      <c r="P1273" s="66"/>
      <c r="Q1273" s="66"/>
      <c r="R1273" s="66"/>
      <c r="S1273" s="66"/>
      <c r="T1273" s="138" t="str">
        <f>IFERROR(LOOKUP($S1273,MOTORISTAS!$D$3:$D$1048576,MOTORISTAS!E$3:$E$1048576),"")</f>
        <v/>
      </c>
      <c r="U1273" s="138" t="str">
        <f>IFERROR(LOOKUP($S1273,MOTORISTAS!$D$3:$D$1048576,MOTORISTAS!F$3:$F$1048576),"")</f>
        <v/>
      </c>
      <c r="V1273" s="66"/>
      <c r="W1273" s="66"/>
      <c r="X1273" s="66"/>
      <c r="Y1273" s="66"/>
      <c r="Z1273" s="66"/>
      <c r="AA1273" s="66"/>
      <c r="AB1273" s="66"/>
      <c r="AC1273" s="66"/>
      <c r="AD1273" s="66"/>
      <c r="AE1273" s="66"/>
      <c r="AF1273" s="44"/>
      <c r="AG1273" s="254">
        <f>Prog_236[[#This Row],[SAÍDA DO CLIENTE]]-Prog_236[[#This Row],[PROGRAMAÇÃO CLIENTE]]</f>
        <v>0</v>
      </c>
      <c r="AH1273" s="44"/>
      <c r="AI1273" s="66"/>
      <c r="AJ1273" s="66"/>
      <c r="AK1273" s="66"/>
      <c r="AL1273" s="66"/>
      <c r="AM1273" s="66"/>
      <c r="AN1273" s="83"/>
      <c r="AO1273" s="66"/>
      <c r="AP1273" s="66"/>
      <c r="AQ1273" s="66"/>
      <c r="AR1273" s="81"/>
      <c r="AS1273" s="81"/>
      <c r="AT1273" s="81"/>
      <c r="AU1273" s="81"/>
      <c r="AV1273" s="83">
        <f>SUM(Prog_236[[#This Row],[ADIANTAMENTO]]+Prog_236[[#This Row],[SALDO]]+Prog_236[[#This Row],[MARGEM]]+Prog_236[[#This Row],[ESTADIA 1]])</f>
        <v>0</v>
      </c>
      <c r="AW12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3" s="81"/>
      <c r="AY1273" s="81"/>
      <c r="AZ1273" s="81">
        <f>Prog_236[[#This Row],[VLR NF]]*0.1%</f>
        <v>0</v>
      </c>
      <c r="BA1273" s="81">
        <f>Prog_236[[#This Row],[VLR NF]]*0.05%</f>
        <v>0</v>
      </c>
      <c r="BB1273" s="81"/>
      <c r="BC1273" s="81"/>
      <c r="BD1273" s="81"/>
      <c r="BE1273" s="81"/>
      <c r="BF1273" s="81"/>
      <c r="BG1273" s="81"/>
      <c r="BH1273" s="81"/>
      <c r="BI1273" s="81"/>
      <c r="BJ1273" s="81"/>
      <c r="BK1273" s="81"/>
      <c r="BL1273" s="66"/>
      <c r="BM1273" s="66"/>
      <c r="BN1273" s="66"/>
      <c r="BO1273" s="66" t="str">
        <f>PROPER(TEXT(Prog_236[[#This Row],[PROGRAMAÇÃO CLIENTE]],"mmm"))</f>
        <v>Jan</v>
      </c>
      <c r="BP1273" s="66">
        <f>YEAR(Prog_236[[#This Row],[PROGRAMAÇÃO CLIENTE]])</f>
        <v>1900</v>
      </c>
    </row>
    <row r="1274" spans="1:68" x14ac:dyDescent="0.25">
      <c r="A1274" s="201">
        <f>Prog_236[[#This Row],[CONTEINER]]</f>
        <v>0</v>
      </c>
      <c r="B1274" s="86"/>
      <c r="C12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4" s="44"/>
      <c r="E1274" s="66"/>
      <c r="F1274" s="66"/>
      <c r="G1274" s="66"/>
      <c r="H1274" s="44"/>
      <c r="I1274" s="44"/>
      <c r="J1274" s="66"/>
      <c r="K1274" s="66"/>
      <c r="L1274" s="66"/>
      <c r="M1274" s="66"/>
      <c r="N1274" s="66">
        <f>SUM(Prog_236[[#This Row],[TARA]]+Prog_236[[#This Row],[PESO]])</f>
        <v>0</v>
      </c>
      <c r="O1274" s="44"/>
      <c r="P1274" s="66"/>
      <c r="Q1274" s="66"/>
      <c r="R1274" s="66"/>
      <c r="S1274" s="66"/>
      <c r="T1274" s="138" t="str">
        <f>IFERROR(LOOKUP($S1274,MOTORISTAS!$D$3:$D$1048576,MOTORISTAS!E$3:$E$1048576),"")</f>
        <v/>
      </c>
      <c r="U1274" s="138" t="str">
        <f>IFERROR(LOOKUP($S1274,MOTORISTAS!$D$3:$D$1048576,MOTORISTAS!F$3:$F$1048576),"")</f>
        <v/>
      </c>
      <c r="V1274" s="66"/>
      <c r="W1274" s="66"/>
      <c r="X1274" s="66"/>
      <c r="Y1274" s="66"/>
      <c r="Z1274" s="66"/>
      <c r="AA1274" s="66"/>
      <c r="AB1274" s="66"/>
      <c r="AC1274" s="66"/>
      <c r="AD1274" s="66"/>
      <c r="AE1274" s="66"/>
      <c r="AF1274" s="44"/>
      <c r="AG1274" s="254">
        <f>Prog_236[[#This Row],[SAÍDA DO CLIENTE]]-Prog_236[[#This Row],[PROGRAMAÇÃO CLIENTE]]</f>
        <v>0</v>
      </c>
      <c r="AH1274" s="44"/>
      <c r="AI1274" s="66"/>
      <c r="AJ1274" s="66"/>
      <c r="AK1274" s="66"/>
      <c r="AL1274" s="66"/>
      <c r="AM1274" s="66"/>
      <c r="AN1274" s="83"/>
      <c r="AO1274" s="66"/>
      <c r="AP1274" s="66"/>
      <c r="AQ1274" s="66"/>
      <c r="AR1274" s="81"/>
      <c r="AS1274" s="81"/>
      <c r="AT1274" s="81"/>
      <c r="AU1274" s="81"/>
      <c r="AV1274" s="83">
        <f>SUM(Prog_236[[#This Row],[ADIANTAMENTO]]+Prog_236[[#This Row],[SALDO]]+Prog_236[[#This Row],[MARGEM]]+Prog_236[[#This Row],[ESTADIA 1]])</f>
        <v>0</v>
      </c>
      <c r="AW12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4" s="81"/>
      <c r="AY1274" s="81"/>
      <c r="AZ1274" s="81">
        <f>Prog_236[[#This Row],[VLR NF]]*0.1%</f>
        <v>0</v>
      </c>
      <c r="BA1274" s="81">
        <f>Prog_236[[#This Row],[VLR NF]]*0.05%</f>
        <v>0</v>
      </c>
      <c r="BB1274" s="81"/>
      <c r="BC1274" s="81"/>
      <c r="BD1274" s="81"/>
      <c r="BE1274" s="81"/>
      <c r="BF1274" s="81"/>
      <c r="BG1274" s="81"/>
      <c r="BH1274" s="81"/>
      <c r="BI1274" s="81"/>
      <c r="BJ1274" s="81"/>
      <c r="BK1274" s="81"/>
      <c r="BL1274" s="66"/>
      <c r="BM1274" s="66"/>
      <c r="BN1274" s="66"/>
      <c r="BO1274" s="66" t="str">
        <f>PROPER(TEXT(Prog_236[[#This Row],[PROGRAMAÇÃO CLIENTE]],"mmm"))</f>
        <v>Jan</v>
      </c>
      <c r="BP1274" s="66">
        <f>YEAR(Prog_236[[#This Row],[PROGRAMAÇÃO CLIENTE]])</f>
        <v>1900</v>
      </c>
    </row>
    <row r="1275" spans="1:68" x14ac:dyDescent="0.25">
      <c r="A1275" s="200">
        <f>Prog_236[[#This Row],[CONTEINER]]</f>
        <v>0</v>
      </c>
      <c r="B1275" s="86"/>
      <c r="C12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5" s="44"/>
      <c r="E1275" s="66"/>
      <c r="F1275" s="66"/>
      <c r="G1275" s="66"/>
      <c r="H1275" s="44"/>
      <c r="I1275" s="44"/>
      <c r="J1275" s="66"/>
      <c r="K1275" s="66"/>
      <c r="L1275" s="66"/>
      <c r="M1275" s="66"/>
      <c r="N1275" s="66">
        <f>SUM(Prog_236[[#This Row],[TARA]]+Prog_236[[#This Row],[PESO]])</f>
        <v>0</v>
      </c>
      <c r="O1275" s="44"/>
      <c r="P1275" s="66"/>
      <c r="Q1275" s="66"/>
      <c r="R1275" s="66"/>
      <c r="S1275" s="66"/>
      <c r="T1275" s="138" t="str">
        <f>IFERROR(LOOKUP($S1275,MOTORISTAS!$D$3:$D$1048576,MOTORISTAS!E$3:$E$1048576),"")</f>
        <v/>
      </c>
      <c r="U1275" s="138" t="str">
        <f>IFERROR(LOOKUP($S1275,MOTORISTAS!$D$3:$D$1048576,MOTORISTAS!F$3:$F$1048576),"")</f>
        <v/>
      </c>
      <c r="V1275" s="66"/>
      <c r="W1275" s="66"/>
      <c r="X1275" s="66"/>
      <c r="Y1275" s="66"/>
      <c r="Z1275" s="66"/>
      <c r="AA1275" s="66"/>
      <c r="AB1275" s="66"/>
      <c r="AC1275" s="66"/>
      <c r="AD1275" s="66"/>
      <c r="AE1275" s="66"/>
      <c r="AF1275" s="44"/>
      <c r="AG1275" s="254">
        <f>Prog_236[[#This Row],[SAÍDA DO CLIENTE]]-Prog_236[[#This Row],[PROGRAMAÇÃO CLIENTE]]</f>
        <v>0</v>
      </c>
      <c r="AH1275" s="44"/>
      <c r="AI1275" s="66"/>
      <c r="AJ1275" s="66"/>
      <c r="AK1275" s="66"/>
      <c r="AL1275" s="66"/>
      <c r="AM1275" s="66"/>
      <c r="AN1275" s="83"/>
      <c r="AO1275" s="66"/>
      <c r="AP1275" s="66"/>
      <c r="AQ1275" s="66"/>
      <c r="AR1275" s="81"/>
      <c r="AS1275" s="81"/>
      <c r="AT1275" s="81"/>
      <c r="AU1275" s="81"/>
      <c r="AV1275" s="83">
        <f>SUM(Prog_236[[#This Row],[ADIANTAMENTO]]+Prog_236[[#This Row],[SALDO]]+Prog_236[[#This Row],[MARGEM]]+Prog_236[[#This Row],[ESTADIA 1]])</f>
        <v>0</v>
      </c>
      <c r="AW12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5" s="81"/>
      <c r="AY1275" s="81"/>
      <c r="AZ1275" s="81">
        <f>Prog_236[[#This Row],[VLR NF]]*0.1%</f>
        <v>0</v>
      </c>
      <c r="BA1275" s="81">
        <f>Prog_236[[#This Row],[VLR NF]]*0.05%</f>
        <v>0</v>
      </c>
      <c r="BB1275" s="81"/>
      <c r="BC1275" s="81"/>
      <c r="BD1275" s="81"/>
      <c r="BE1275" s="81"/>
      <c r="BF1275" s="81"/>
      <c r="BG1275" s="81"/>
      <c r="BH1275" s="81"/>
      <c r="BI1275" s="81"/>
      <c r="BJ1275" s="81"/>
      <c r="BK1275" s="81"/>
      <c r="BL1275" s="66"/>
      <c r="BM1275" s="66"/>
      <c r="BN1275" s="66"/>
      <c r="BO1275" s="66" t="str">
        <f>PROPER(TEXT(Prog_236[[#This Row],[PROGRAMAÇÃO CLIENTE]],"mmm"))</f>
        <v>Jan</v>
      </c>
      <c r="BP1275" s="66">
        <f>YEAR(Prog_236[[#This Row],[PROGRAMAÇÃO CLIENTE]])</f>
        <v>1900</v>
      </c>
    </row>
    <row r="1276" spans="1:68" x14ac:dyDescent="0.25">
      <c r="A1276" s="201">
        <f>Prog_236[[#This Row],[CONTEINER]]</f>
        <v>0</v>
      </c>
      <c r="B1276" s="86"/>
      <c r="C12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6" s="44"/>
      <c r="E1276" s="66"/>
      <c r="F1276" s="66"/>
      <c r="G1276" s="66"/>
      <c r="H1276" s="44"/>
      <c r="I1276" s="44"/>
      <c r="J1276" s="66"/>
      <c r="K1276" s="66"/>
      <c r="L1276" s="66"/>
      <c r="M1276" s="66"/>
      <c r="N1276" s="66">
        <f>SUM(Prog_236[[#This Row],[TARA]]+Prog_236[[#This Row],[PESO]])</f>
        <v>0</v>
      </c>
      <c r="O1276" s="44"/>
      <c r="P1276" s="66"/>
      <c r="Q1276" s="66"/>
      <c r="R1276" s="66"/>
      <c r="S1276" s="66"/>
      <c r="T1276" s="138" t="str">
        <f>IFERROR(LOOKUP($S1276,MOTORISTAS!$D$3:$D$1048576,MOTORISTAS!E$3:$E$1048576),"")</f>
        <v/>
      </c>
      <c r="U1276" s="138" t="str">
        <f>IFERROR(LOOKUP($S1276,MOTORISTAS!$D$3:$D$1048576,MOTORISTAS!F$3:$F$1048576),"")</f>
        <v/>
      </c>
      <c r="V1276" s="66"/>
      <c r="W1276" s="66"/>
      <c r="X1276" s="66"/>
      <c r="Y1276" s="66"/>
      <c r="Z1276" s="66"/>
      <c r="AA1276" s="66"/>
      <c r="AB1276" s="66"/>
      <c r="AC1276" s="66"/>
      <c r="AD1276" s="66"/>
      <c r="AE1276" s="66"/>
      <c r="AF1276" s="44"/>
      <c r="AG1276" s="254">
        <f>Prog_236[[#This Row],[SAÍDA DO CLIENTE]]-Prog_236[[#This Row],[PROGRAMAÇÃO CLIENTE]]</f>
        <v>0</v>
      </c>
      <c r="AH1276" s="44"/>
      <c r="AI1276" s="66"/>
      <c r="AJ1276" s="66"/>
      <c r="AK1276" s="66"/>
      <c r="AL1276" s="66"/>
      <c r="AM1276" s="66"/>
      <c r="AN1276" s="83"/>
      <c r="AO1276" s="66"/>
      <c r="AP1276" s="66"/>
      <c r="AQ1276" s="66"/>
      <c r="AR1276" s="81"/>
      <c r="AS1276" s="81"/>
      <c r="AT1276" s="81"/>
      <c r="AU1276" s="81"/>
      <c r="AV1276" s="83">
        <f>SUM(Prog_236[[#This Row],[ADIANTAMENTO]]+Prog_236[[#This Row],[SALDO]]+Prog_236[[#This Row],[MARGEM]]+Prog_236[[#This Row],[ESTADIA 1]])</f>
        <v>0</v>
      </c>
      <c r="AW12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6" s="81"/>
      <c r="AY1276" s="81"/>
      <c r="AZ1276" s="81">
        <f>Prog_236[[#This Row],[VLR NF]]*0.1%</f>
        <v>0</v>
      </c>
      <c r="BA1276" s="81">
        <f>Prog_236[[#This Row],[VLR NF]]*0.05%</f>
        <v>0</v>
      </c>
      <c r="BB1276" s="81"/>
      <c r="BC1276" s="81"/>
      <c r="BD1276" s="81"/>
      <c r="BE1276" s="81"/>
      <c r="BF1276" s="81"/>
      <c r="BG1276" s="81"/>
      <c r="BH1276" s="81"/>
      <c r="BI1276" s="81"/>
      <c r="BJ1276" s="81"/>
      <c r="BK1276" s="81"/>
      <c r="BL1276" s="66"/>
      <c r="BM1276" s="66"/>
      <c r="BN1276" s="66"/>
      <c r="BO1276" s="66" t="str">
        <f>PROPER(TEXT(Prog_236[[#This Row],[PROGRAMAÇÃO CLIENTE]],"mmm"))</f>
        <v>Jan</v>
      </c>
      <c r="BP1276" s="66">
        <f>YEAR(Prog_236[[#This Row],[PROGRAMAÇÃO CLIENTE]])</f>
        <v>1900</v>
      </c>
    </row>
    <row r="1277" spans="1:68" x14ac:dyDescent="0.25">
      <c r="A1277" s="200">
        <f>Prog_236[[#This Row],[CONTEINER]]</f>
        <v>0</v>
      </c>
      <c r="B1277" s="86"/>
      <c r="C12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7" s="44"/>
      <c r="E1277" s="66"/>
      <c r="F1277" s="66"/>
      <c r="G1277" s="66"/>
      <c r="H1277" s="44"/>
      <c r="I1277" s="44"/>
      <c r="J1277" s="66"/>
      <c r="K1277" s="66"/>
      <c r="L1277" s="66"/>
      <c r="M1277" s="66"/>
      <c r="N1277" s="66">
        <f>SUM(Prog_236[[#This Row],[TARA]]+Prog_236[[#This Row],[PESO]])</f>
        <v>0</v>
      </c>
      <c r="O1277" s="44"/>
      <c r="P1277" s="66"/>
      <c r="Q1277" s="66"/>
      <c r="R1277" s="66"/>
      <c r="S1277" s="66"/>
      <c r="T1277" s="138" t="str">
        <f>IFERROR(LOOKUP($S1277,MOTORISTAS!$D$3:$D$1048576,MOTORISTAS!E$3:$E$1048576),"")</f>
        <v/>
      </c>
      <c r="U1277" s="138" t="str">
        <f>IFERROR(LOOKUP($S1277,MOTORISTAS!$D$3:$D$1048576,MOTORISTAS!F$3:$F$1048576),"")</f>
        <v/>
      </c>
      <c r="V1277" s="66"/>
      <c r="W1277" s="66"/>
      <c r="X1277" s="66"/>
      <c r="Y1277" s="66"/>
      <c r="Z1277" s="66"/>
      <c r="AA1277" s="66"/>
      <c r="AB1277" s="66"/>
      <c r="AC1277" s="66"/>
      <c r="AD1277" s="66"/>
      <c r="AE1277" s="66"/>
      <c r="AF1277" s="44"/>
      <c r="AG1277" s="254">
        <f>Prog_236[[#This Row],[SAÍDA DO CLIENTE]]-Prog_236[[#This Row],[PROGRAMAÇÃO CLIENTE]]</f>
        <v>0</v>
      </c>
      <c r="AH1277" s="44"/>
      <c r="AI1277" s="66"/>
      <c r="AJ1277" s="66"/>
      <c r="AK1277" s="66"/>
      <c r="AL1277" s="66"/>
      <c r="AM1277" s="66"/>
      <c r="AN1277" s="83"/>
      <c r="AO1277" s="66"/>
      <c r="AP1277" s="66"/>
      <c r="AQ1277" s="66"/>
      <c r="AR1277" s="81"/>
      <c r="AS1277" s="81"/>
      <c r="AT1277" s="81"/>
      <c r="AU1277" s="81"/>
      <c r="AV1277" s="83">
        <f>SUM(Prog_236[[#This Row],[ADIANTAMENTO]]+Prog_236[[#This Row],[SALDO]]+Prog_236[[#This Row],[MARGEM]]+Prog_236[[#This Row],[ESTADIA 1]])</f>
        <v>0</v>
      </c>
      <c r="AW12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7" s="81"/>
      <c r="AY1277" s="81"/>
      <c r="AZ1277" s="81">
        <f>Prog_236[[#This Row],[VLR NF]]*0.1%</f>
        <v>0</v>
      </c>
      <c r="BA1277" s="81">
        <f>Prog_236[[#This Row],[VLR NF]]*0.05%</f>
        <v>0</v>
      </c>
      <c r="BB1277" s="81"/>
      <c r="BC1277" s="81"/>
      <c r="BD1277" s="81"/>
      <c r="BE1277" s="81"/>
      <c r="BF1277" s="81"/>
      <c r="BG1277" s="81"/>
      <c r="BH1277" s="81"/>
      <c r="BI1277" s="81"/>
      <c r="BJ1277" s="81"/>
      <c r="BK1277" s="81"/>
      <c r="BL1277" s="66"/>
      <c r="BM1277" s="66"/>
      <c r="BN1277" s="66"/>
      <c r="BO1277" s="66" t="str">
        <f>PROPER(TEXT(Prog_236[[#This Row],[PROGRAMAÇÃO CLIENTE]],"mmm"))</f>
        <v>Jan</v>
      </c>
      <c r="BP1277" s="66">
        <f>YEAR(Prog_236[[#This Row],[PROGRAMAÇÃO CLIENTE]])</f>
        <v>1900</v>
      </c>
    </row>
    <row r="1278" spans="1:68" x14ac:dyDescent="0.25">
      <c r="A1278" s="201">
        <f>Prog_236[[#This Row],[CONTEINER]]</f>
        <v>0</v>
      </c>
      <c r="B1278" s="86"/>
      <c r="C12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8" s="44"/>
      <c r="E1278" s="66"/>
      <c r="F1278" s="66"/>
      <c r="G1278" s="66"/>
      <c r="H1278" s="44"/>
      <c r="I1278" s="44"/>
      <c r="J1278" s="66"/>
      <c r="K1278" s="66"/>
      <c r="L1278" s="66"/>
      <c r="M1278" s="66"/>
      <c r="N1278" s="66">
        <f>SUM(Prog_236[[#This Row],[TARA]]+Prog_236[[#This Row],[PESO]])</f>
        <v>0</v>
      </c>
      <c r="O1278" s="44"/>
      <c r="P1278" s="66"/>
      <c r="Q1278" s="66"/>
      <c r="R1278" s="66"/>
      <c r="S1278" s="66"/>
      <c r="T1278" s="138" t="str">
        <f>IFERROR(LOOKUP($S1278,MOTORISTAS!$D$3:$D$1048576,MOTORISTAS!E$3:$E$1048576),"")</f>
        <v/>
      </c>
      <c r="U1278" s="138" t="str">
        <f>IFERROR(LOOKUP($S1278,MOTORISTAS!$D$3:$D$1048576,MOTORISTAS!F$3:$F$1048576),"")</f>
        <v/>
      </c>
      <c r="V1278" s="66"/>
      <c r="W1278" s="66"/>
      <c r="X1278" s="66"/>
      <c r="Y1278" s="66"/>
      <c r="Z1278" s="66"/>
      <c r="AA1278" s="66"/>
      <c r="AB1278" s="66"/>
      <c r="AC1278" s="66"/>
      <c r="AD1278" s="66"/>
      <c r="AE1278" s="66"/>
      <c r="AF1278" s="44"/>
      <c r="AG1278" s="254">
        <f>Prog_236[[#This Row],[SAÍDA DO CLIENTE]]-Prog_236[[#This Row],[PROGRAMAÇÃO CLIENTE]]</f>
        <v>0</v>
      </c>
      <c r="AH1278" s="44"/>
      <c r="AI1278" s="66"/>
      <c r="AJ1278" s="66"/>
      <c r="AK1278" s="66"/>
      <c r="AL1278" s="66"/>
      <c r="AM1278" s="66"/>
      <c r="AN1278" s="83"/>
      <c r="AO1278" s="66"/>
      <c r="AP1278" s="66"/>
      <c r="AQ1278" s="66"/>
      <c r="AR1278" s="81"/>
      <c r="AS1278" s="81"/>
      <c r="AT1278" s="81"/>
      <c r="AU1278" s="81"/>
      <c r="AV1278" s="83">
        <f>SUM(Prog_236[[#This Row],[ADIANTAMENTO]]+Prog_236[[#This Row],[SALDO]]+Prog_236[[#This Row],[MARGEM]]+Prog_236[[#This Row],[ESTADIA 1]])</f>
        <v>0</v>
      </c>
      <c r="AW12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8" s="81"/>
      <c r="AY1278" s="81"/>
      <c r="AZ1278" s="81">
        <f>Prog_236[[#This Row],[VLR NF]]*0.1%</f>
        <v>0</v>
      </c>
      <c r="BA1278" s="81">
        <f>Prog_236[[#This Row],[VLR NF]]*0.05%</f>
        <v>0</v>
      </c>
      <c r="BB1278" s="81"/>
      <c r="BC1278" s="81"/>
      <c r="BD1278" s="81"/>
      <c r="BE1278" s="81"/>
      <c r="BF1278" s="81"/>
      <c r="BG1278" s="81"/>
      <c r="BH1278" s="81"/>
      <c r="BI1278" s="81"/>
      <c r="BJ1278" s="81"/>
      <c r="BK1278" s="81"/>
      <c r="BL1278" s="66"/>
      <c r="BM1278" s="66"/>
      <c r="BN1278" s="66"/>
      <c r="BO1278" s="66" t="str">
        <f>PROPER(TEXT(Prog_236[[#This Row],[PROGRAMAÇÃO CLIENTE]],"mmm"))</f>
        <v>Jan</v>
      </c>
      <c r="BP1278" s="66">
        <f>YEAR(Prog_236[[#This Row],[PROGRAMAÇÃO CLIENTE]])</f>
        <v>1900</v>
      </c>
    </row>
    <row r="1279" spans="1:68" x14ac:dyDescent="0.25">
      <c r="A1279" s="200">
        <f>Prog_236[[#This Row],[CONTEINER]]</f>
        <v>0</v>
      </c>
      <c r="B1279" s="86"/>
      <c r="C12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79" s="44"/>
      <c r="E1279" s="66"/>
      <c r="F1279" s="66"/>
      <c r="G1279" s="66"/>
      <c r="H1279" s="44"/>
      <c r="I1279" s="44"/>
      <c r="J1279" s="66"/>
      <c r="K1279" s="66"/>
      <c r="L1279" s="66"/>
      <c r="M1279" s="66"/>
      <c r="N1279" s="66">
        <f>SUM(Prog_236[[#This Row],[TARA]]+Prog_236[[#This Row],[PESO]])</f>
        <v>0</v>
      </c>
      <c r="O1279" s="44"/>
      <c r="P1279" s="66"/>
      <c r="Q1279" s="66"/>
      <c r="R1279" s="66"/>
      <c r="S1279" s="66"/>
      <c r="T1279" s="138" t="str">
        <f>IFERROR(LOOKUP($S1279,MOTORISTAS!$D$3:$D$1048576,MOTORISTAS!E$3:$E$1048576),"")</f>
        <v/>
      </c>
      <c r="U1279" s="138" t="str">
        <f>IFERROR(LOOKUP($S1279,MOTORISTAS!$D$3:$D$1048576,MOTORISTAS!F$3:$F$1048576),"")</f>
        <v/>
      </c>
      <c r="V1279" s="66"/>
      <c r="W1279" s="66"/>
      <c r="X1279" s="66"/>
      <c r="Y1279" s="66"/>
      <c r="Z1279" s="66"/>
      <c r="AA1279" s="66"/>
      <c r="AB1279" s="66"/>
      <c r="AC1279" s="66"/>
      <c r="AD1279" s="66"/>
      <c r="AE1279" s="66"/>
      <c r="AF1279" s="44"/>
      <c r="AG1279" s="254">
        <f>Prog_236[[#This Row],[SAÍDA DO CLIENTE]]-Prog_236[[#This Row],[PROGRAMAÇÃO CLIENTE]]</f>
        <v>0</v>
      </c>
      <c r="AH1279" s="44"/>
      <c r="AI1279" s="66"/>
      <c r="AJ1279" s="66"/>
      <c r="AK1279" s="66"/>
      <c r="AL1279" s="66"/>
      <c r="AM1279" s="66"/>
      <c r="AN1279" s="83"/>
      <c r="AO1279" s="66"/>
      <c r="AP1279" s="66"/>
      <c r="AQ1279" s="66"/>
      <c r="AR1279" s="81"/>
      <c r="AS1279" s="81"/>
      <c r="AT1279" s="81"/>
      <c r="AU1279" s="81"/>
      <c r="AV1279" s="83">
        <f>SUM(Prog_236[[#This Row],[ADIANTAMENTO]]+Prog_236[[#This Row],[SALDO]]+Prog_236[[#This Row],[MARGEM]]+Prog_236[[#This Row],[ESTADIA 1]])</f>
        <v>0</v>
      </c>
      <c r="AW12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79" s="81"/>
      <c r="AY1279" s="81"/>
      <c r="AZ1279" s="81">
        <f>Prog_236[[#This Row],[VLR NF]]*0.1%</f>
        <v>0</v>
      </c>
      <c r="BA1279" s="81">
        <f>Prog_236[[#This Row],[VLR NF]]*0.05%</f>
        <v>0</v>
      </c>
      <c r="BB1279" s="81"/>
      <c r="BC1279" s="81"/>
      <c r="BD1279" s="81"/>
      <c r="BE1279" s="81"/>
      <c r="BF1279" s="81"/>
      <c r="BG1279" s="81"/>
      <c r="BH1279" s="81"/>
      <c r="BI1279" s="81"/>
      <c r="BJ1279" s="81"/>
      <c r="BK1279" s="81"/>
      <c r="BL1279" s="66"/>
      <c r="BM1279" s="66"/>
      <c r="BN1279" s="66"/>
      <c r="BO1279" s="66" t="str">
        <f>PROPER(TEXT(Prog_236[[#This Row],[PROGRAMAÇÃO CLIENTE]],"mmm"))</f>
        <v>Jan</v>
      </c>
      <c r="BP1279" s="66">
        <f>YEAR(Prog_236[[#This Row],[PROGRAMAÇÃO CLIENTE]])</f>
        <v>1900</v>
      </c>
    </row>
    <row r="1280" spans="1:68" x14ac:dyDescent="0.25">
      <c r="A1280" s="201">
        <f>Prog_236[[#This Row],[CONTEINER]]</f>
        <v>0</v>
      </c>
      <c r="B1280" s="86"/>
      <c r="C12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0" s="44"/>
      <c r="E1280" s="66"/>
      <c r="F1280" s="66"/>
      <c r="G1280" s="66"/>
      <c r="H1280" s="44"/>
      <c r="I1280" s="44"/>
      <c r="J1280" s="66"/>
      <c r="K1280" s="66"/>
      <c r="L1280" s="66"/>
      <c r="M1280" s="66"/>
      <c r="N1280" s="66">
        <f>SUM(Prog_236[[#This Row],[TARA]]+Prog_236[[#This Row],[PESO]])</f>
        <v>0</v>
      </c>
      <c r="O1280" s="44"/>
      <c r="P1280" s="66"/>
      <c r="Q1280" s="66"/>
      <c r="R1280" s="66"/>
      <c r="S1280" s="66"/>
      <c r="T1280" s="138" t="str">
        <f>IFERROR(LOOKUP($S1280,MOTORISTAS!$D$3:$D$1048576,MOTORISTAS!E$3:$E$1048576),"")</f>
        <v/>
      </c>
      <c r="U1280" s="138" t="str">
        <f>IFERROR(LOOKUP($S1280,MOTORISTAS!$D$3:$D$1048576,MOTORISTAS!F$3:$F$1048576),"")</f>
        <v/>
      </c>
      <c r="V1280" s="66"/>
      <c r="W1280" s="66"/>
      <c r="X1280" s="66"/>
      <c r="Y1280" s="66"/>
      <c r="Z1280" s="66"/>
      <c r="AA1280" s="66"/>
      <c r="AB1280" s="66"/>
      <c r="AC1280" s="66"/>
      <c r="AD1280" s="66"/>
      <c r="AE1280" s="66"/>
      <c r="AF1280" s="44"/>
      <c r="AG1280" s="254">
        <f>Prog_236[[#This Row],[SAÍDA DO CLIENTE]]-Prog_236[[#This Row],[PROGRAMAÇÃO CLIENTE]]</f>
        <v>0</v>
      </c>
      <c r="AH1280" s="44"/>
      <c r="AI1280" s="66"/>
      <c r="AJ1280" s="66"/>
      <c r="AK1280" s="66"/>
      <c r="AL1280" s="66"/>
      <c r="AM1280" s="66"/>
      <c r="AN1280" s="83"/>
      <c r="AO1280" s="66"/>
      <c r="AP1280" s="66"/>
      <c r="AQ1280" s="66"/>
      <c r="AR1280" s="81"/>
      <c r="AS1280" s="81"/>
      <c r="AT1280" s="81"/>
      <c r="AU1280" s="81"/>
      <c r="AV1280" s="83">
        <f>SUM(Prog_236[[#This Row],[ADIANTAMENTO]]+Prog_236[[#This Row],[SALDO]]+Prog_236[[#This Row],[MARGEM]]+Prog_236[[#This Row],[ESTADIA 1]])</f>
        <v>0</v>
      </c>
      <c r="AW12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0" s="81"/>
      <c r="AY1280" s="81"/>
      <c r="AZ1280" s="81">
        <f>Prog_236[[#This Row],[VLR NF]]*0.1%</f>
        <v>0</v>
      </c>
      <c r="BA1280" s="81">
        <f>Prog_236[[#This Row],[VLR NF]]*0.05%</f>
        <v>0</v>
      </c>
      <c r="BB1280" s="81"/>
      <c r="BC1280" s="81"/>
      <c r="BD1280" s="81"/>
      <c r="BE1280" s="81"/>
      <c r="BF1280" s="81"/>
      <c r="BG1280" s="81"/>
      <c r="BH1280" s="81"/>
      <c r="BI1280" s="81"/>
      <c r="BJ1280" s="81"/>
      <c r="BK1280" s="81"/>
      <c r="BL1280" s="66"/>
      <c r="BM1280" s="66"/>
      <c r="BN1280" s="66"/>
      <c r="BO1280" s="66" t="str">
        <f>PROPER(TEXT(Prog_236[[#This Row],[PROGRAMAÇÃO CLIENTE]],"mmm"))</f>
        <v>Jan</v>
      </c>
      <c r="BP1280" s="66">
        <f>YEAR(Prog_236[[#This Row],[PROGRAMAÇÃO CLIENTE]])</f>
        <v>1900</v>
      </c>
    </row>
    <row r="1281" spans="1:68" x14ac:dyDescent="0.25">
      <c r="A1281" s="200">
        <f>Prog_236[[#This Row],[CONTEINER]]</f>
        <v>0</v>
      </c>
      <c r="B1281" s="86"/>
      <c r="C12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1" s="44"/>
      <c r="E1281" s="66"/>
      <c r="F1281" s="66"/>
      <c r="G1281" s="66"/>
      <c r="H1281" s="44"/>
      <c r="I1281" s="44"/>
      <c r="J1281" s="66"/>
      <c r="K1281" s="66"/>
      <c r="L1281" s="66"/>
      <c r="M1281" s="66"/>
      <c r="N1281" s="66">
        <f>SUM(Prog_236[[#This Row],[TARA]]+Prog_236[[#This Row],[PESO]])</f>
        <v>0</v>
      </c>
      <c r="O1281" s="44"/>
      <c r="P1281" s="66"/>
      <c r="Q1281" s="66"/>
      <c r="R1281" s="66"/>
      <c r="S1281" s="66"/>
      <c r="T1281" s="138" t="str">
        <f>IFERROR(LOOKUP($S1281,MOTORISTAS!$D$3:$D$1048576,MOTORISTAS!E$3:$E$1048576),"")</f>
        <v/>
      </c>
      <c r="U1281" s="138" t="str">
        <f>IFERROR(LOOKUP($S1281,MOTORISTAS!$D$3:$D$1048576,MOTORISTAS!F$3:$F$1048576),"")</f>
        <v/>
      </c>
      <c r="V1281" s="66"/>
      <c r="W1281" s="66"/>
      <c r="X1281" s="66"/>
      <c r="Y1281" s="66"/>
      <c r="Z1281" s="66"/>
      <c r="AA1281" s="66"/>
      <c r="AB1281" s="66"/>
      <c r="AC1281" s="66"/>
      <c r="AD1281" s="66"/>
      <c r="AE1281" s="66"/>
      <c r="AF1281" s="44"/>
      <c r="AG1281" s="254">
        <f>Prog_236[[#This Row],[SAÍDA DO CLIENTE]]-Prog_236[[#This Row],[PROGRAMAÇÃO CLIENTE]]</f>
        <v>0</v>
      </c>
      <c r="AH1281" s="44"/>
      <c r="AI1281" s="66"/>
      <c r="AJ1281" s="66"/>
      <c r="AK1281" s="66"/>
      <c r="AL1281" s="66"/>
      <c r="AM1281" s="66"/>
      <c r="AN1281" s="83"/>
      <c r="AO1281" s="66"/>
      <c r="AP1281" s="66"/>
      <c r="AQ1281" s="66"/>
      <c r="AR1281" s="81"/>
      <c r="AS1281" s="81"/>
      <c r="AT1281" s="81"/>
      <c r="AU1281" s="81"/>
      <c r="AV1281" s="83">
        <f>SUM(Prog_236[[#This Row],[ADIANTAMENTO]]+Prog_236[[#This Row],[SALDO]]+Prog_236[[#This Row],[MARGEM]]+Prog_236[[#This Row],[ESTADIA 1]])</f>
        <v>0</v>
      </c>
      <c r="AW12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1" s="81"/>
      <c r="AY1281" s="81"/>
      <c r="AZ1281" s="81">
        <f>Prog_236[[#This Row],[VLR NF]]*0.1%</f>
        <v>0</v>
      </c>
      <c r="BA1281" s="81">
        <f>Prog_236[[#This Row],[VLR NF]]*0.05%</f>
        <v>0</v>
      </c>
      <c r="BB1281" s="81"/>
      <c r="BC1281" s="81"/>
      <c r="BD1281" s="81"/>
      <c r="BE1281" s="81"/>
      <c r="BF1281" s="81"/>
      <c r="BG1281" s="81"/>
      <c r="BH1281" s="81"/>
      <c r="BI1281" s="81"/>
      <c r="BJ1281" s="81"/>
      <c r="BK1281" s="81"/>
      <c r="BL1281" s="66"/>
      <c r="BM1281" s="66"/>
      <c r="BN1281" s="66"/>
      <c r="BO1281" s="66" t="str">
        <f>PROPER(TEXT(Prog_236[[#This Row],[PROGRAMAÇÃO CLIENTE]],"mmm"))</f>
        <v>Jan</v>
      </c>
      <c r="BP1281" s="66">
        <f>YEAR(Prog_236[[#This Row],[PROGRAMAÇÃO CLIENTE]])</f>
        <v>1900</v>
      </c>
    </row>
    <row r="1282" spans="1:68" x14ac:dyDescent="0.25">
      <c r="A1282" s="201">
        <f>Prog_236[[#This Row],[CONTEINER]]</f>
        <v>0</v>
      </c>
      <c r="B1282" s="86"/>
      <c r="C12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2" s="44"/>
      <c r="E1282" s="66"/>
      <c r="F1282" s="66"/>
      <c r="G1282" s="66"/>
      <c r="H1282" s="44"/>
      <c r="I1282" s="44"/>
      <c r="J1282" s="66"/>
      <c r="K1282" s="66"/>
      <c r="L1282" s="66"/>
      <c r="M1282" s="66"/>
      <c r="N1282" s="66">
        <f>SUM(Prog_236[[#This Row],[TARA]]+Prog_236[[#This Row],[PESO]])</f>
        <v>0</v>
      </c>
      <c r="O1282" s="44"/>
      <c r="P1282" s="66"/>
      <c r="Q1282" s="66"/>
      <c r="R1282" s="66"/>
      <c r="S1282" s="66"/>
      <c r="T1282" s="138" t="str">
        <f>IFERROR(LOOKUP($S1282,MOTORISTAS!$D$3:$D$1048576,MOTORISTAS!E$3:$E$1048576),"")</f>
        <v/>
      </c>
      <c r="U1282" s="138" t="str">
        <f>IFERROR(LOOKUP($S1282,MOTORISTAS!$D$3:$D$1048576,MOTORISTAS!F$3:$F$1048576),"")</f>
        <v/>
      </c>
      <c r="V1282" s="66"/>
      <c r="W1282" s="66"/>
      <c r="X1282" s="66"/>
      <c r="Y1282" s="66"/>
      <c r="Z1282" s="66"/>
      <c r="AA1282" s="66"/>
      <c r="AB1282" s="66"/>
      <c r="AC1282" s="66"/>
      <c r="AD1282" s="66"/>
      <c r="AE1282" s="66"/>
      <c r="AF1282" s="44"/>
      <c r="AG1282" s="254">
        <f>Prog_236[[#This Row],[SAÍDA DO CLIENTE]]-Prog_236[[#This Row],[PROGRAMAÇÃO CLIENTE]]</f>
        <v>0</v>
      </c>
      <c r="AH1282" s="44"/>
      <c r="AI1282" s="66"/>
      <c r="AJ1282" s="66"/>
      <c r="AK1282" s="66"/>
      <c r="AL1282" s="66"/>
      <c r="AM1282" s="66"/>
      <c r="AN1282" s="83"/>
      <c r="AO1282" s="66"/>
      <c r="AP1282" s="66"/>
      <c r="AQ1282" s="66"/>
      <c r="AR1282" s="81"/>
      <c r="AS1282" s="81"/>
      <c r="AT1282" s="81"/>
      <c r="AU1282" s="81"/>
      <c r="AV1282" s="83">
        <f>SUM(Prog_236[[#This Row],[ADIANTAMENTO]]+Prog_236[[#This Row],[SALDO]]+Prog_236[[#This Row],[MARGEM]]+Prog_236[[#This Row],[ESTADIA 1]])</f>
        <v>0</v>
      </c>
      <c r="AW12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2" s="81"/>
      <c r="AY1282" s="81"/>
      <c r="AZ1282" s="81">
        <f>Prog_236[[#This Row],[VLR NF]]*0.1%</f>
        <v>0</v>
      </c>
      <c r="BA1282" s="81">
        <f>Prog_236[[#This Row],[VLR NF]]*0.05%</f>
        <v>0</v>
      </c>
      <c r="BB1282" s="81"/>
      <c r="BC1282" s="81"/>
      <c r="BD1282" s="81"/>
      <c r="BE1282" s="81"/>
      <c r="BF1282" s="81"/>
      <c r="BG1282" s="81"/>
      <c r="BH1282" s="81"/>
      <c r="BI1282" s="81"/>
      <c r="BJ1282" s="81"/>
      <c r="BK1282" s="81"/>
      <c r="BL1282" s="66"/>
      <c r="BM1282" s="66"/>
      <c r="BN1282" s="66"/>
      <c r="BO1282" s="66" t="str">
        <f>PROPER(TEXT(Prog_236[[#This Row],[PROGRAMAÇÃO CLIENTE]],"mmm"))</f>
        <v>Jan</v>
      </c>
      <c r="BP1282" s="66">
        <f>YEAR(Prog_236[[#This Row],[PROGRAMAÇÃO CLIENTE]])</f>
        <v>1900</v>
      </c>
    </row>
    <row r="1283" spans="1:68" x14ac:dyDescent="0.25">
      <c r="A1283" s="200">
        <f>Prog_236[[#This Row],[CONTEINER]]</f>
        <v>0</v>
      </c>
      <c r="B1283" s="86"/>
      <c r="C12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3" s="44"/>
      <c r="E1283" s="66"/>
      <c r="F1283" s="66"/>
      <c r="G1283" s="66"/>
      <c r="H1283" s="44"/>
      <c r="I1283" s="44"/>
      <c r="J1283" s="66"/>
      <c r="K1283" s="66"/>
      <c r="L1283" s="66"/>
      <c r="M1283" s="66"/>
      <c r="N1283" s="66">
        <f>SUM(Prog_236[[#This Row],[TARA]]+Prog_236[[#This Row],[PESO]])</f>
        <v>0</v>
      </c>
      <c r="O1283" s="44"/>
      <c r="P1283" s="66"/>
      <c r="Q1283" s="66"/>
      <c r="R1283" s="66"/>
      <c r="S1283" s="66"/>
      <c r="T1283" s="138" t="str">
        <f>IFERROR(LOOKUP($S1283,MOTORISTAS!$D$3:$D$1048576,MOTORISTAS!E$3:$E$1048576),"")</f>
        <v/>
      </c>
      <c r="U1283" s="138" t="str">
        <f>IFERROR(LOOKUP($S1283,MOTORISTAS!$D$3:$D$1048576,MOTORISTAS!F$3:$F$1048576),"")</f>
        <v/>
      </c>
      <c r="V1283" s="66"/>
      <c r="W1283" s="66"/>
      <c r="X1283" s="66"/>
      <c r="Y1283" s="66"/>
      <c r="Z1283" s="66"/>
      <c r="AA1283" s="66"/>
      <c r="AB1283" s="66"/>
      <c r="AC1283" s="66"/>
      <c r="AD1283" s="66"/>
      <c r="AE1283" s="66"/>
      <c r="AF1283" s="44"/>
      <c r="AG1283" s="254">
        <f>Prog_236[[#This Row],[SAÍDA DO CLIENTE]]-Prog_236[[#This Row],[PROGRAMAÇÃO CLIENTE]]</f>
        <v>0</v>
      </c>
      <c r="AH1283" s="44"/>
      <c r="AI1283" s="66"/>
      <c r="AJ1283" s="66"/>
      <c r="AK1283" s="66"/>
      <c r="AL1283" s="66"/>
      <c r="AM1283" s="66"/>
      <c r="AN1283" s="83"/>
      <c r="AO1283" s="66"/>
      <c r="AP1283" s="66"/>
      <c r="AQ1283" s="66"/>
      <c r="AR1283" s="81"/>
      <c r="AS1283" s="81"/>
      <c r="AT1283" s="81"/>
      <c r="AU1283" s="81"/>
      <c r="AV1283" s="83">
        <f>SUM(Prog_236[[#This Row],[ADIANTAMENTO]]+Prog_236[[#This Row],[SALDO]]+Prog_236[[#This Row],[MARGEM]]+Prog_236[[#This Row],[ESTADIA 1]])</f>
        <v>0</v>
      </c>
      <c r="AW12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3" s="81"/>
      <c r="AY1283" s="81"/>
      <c r="AZ1283" s="81">
        <f>Prog_236[[#This Row],[VLR NF]]*0.1%</f>
        <v>0</v>
      </c>
      <c r="BA1283" s="81">
        <f>Prog_236[[#This Row],[VLR NF]]*0.05%</f>
        <v>0</v>
      </c>
      <c r="BB1283" s="81"/>
      <c r="BC1283" s="81"/>
      <c r="BD1283" s="81"/>
      <c r="BE1283" s="81"/>
      <c r="BF1283" s="81"/>
      <c r="BG1283" s="81"/>
      <c r="BH1283" s="81"/>
      <c r="BI1283" s="81"/>
      <c r="BJ1283" s="81"/>
      <c r="BK1283" s="81"/>
      <c r="BL1283" s="66"/>
      <c r="BM1283" s="66"/>
      <c r="BN1283" s="66"/>
      <c r="BO1283" s="66" t="str">
        <f>PROPER(TEXT(Prog_236[[#This Row],[PROGRAMAÇÃO CLIENTE]],"mmm"))</f>
        <v>Jan</v>
      </c>
      <c r="BP1283" s="66">
        <f>YEAR(Prog_236[[#This Row],[PROGRAMAÇÃO CLIENTE]])</f>
        <v>1900</v>
      </c>
    </row>
    <row r="1284" spans="1:68" x14ac:dyDescent="0.25">
      <c r="A1284" s="201">
        <f>Prog_236[[#This Row],[CONTEINER]]</f>
        <v>0</v>
      </c>
      <c r="B1284" s="86"/>
      <c r="C12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4" s="44"/>
      <c r="E1284" s="66"/>
      <c r="F1284" s="66"/>
      <c r="G1284" s="66"/>
      <c r="H1284" s="44"/>
      <c r="I1284" s="44"/>
      <c r="J1284" s="66"/>
      <c r="K1284" s="66"/>
      <c r="L1284" s="66"/>
      <c r="M1284" s="66"/>
      <c r="N1284" s="66">
        <f>SUM(Prog_236[[#This Row],[TARA]]+Prog_236[[#This Row],[PESO]])</f>
        <v>0</v>
      </c>
      <c r="O1284" s="44"/>
      <c r="P1284" s="66"/>
      <c r="Q1284" s="66"/>
      <c r="R1284" s="66"/>
      <c r="S1284" s="66"/>
      <c r="T1284" s="138" t="str">
        <f>IFERROR(LOOKUP($S1284,MOTORISTAS!$D$3:$D$1048576,MOTORISTAS!E$3:$E$1048576),"")</f>
        <v/>
      </c>
      <c r="U1284" s="138" t="str">
        <f>IFERROR(LOOKUP($S1284,MOTORISTAS!$D$3:$D$1048576,MOTORISTAS!F$3:$F$1048576),"")</f>
        <v/>
      </c>
      <c r="V1284" s="66"/>
      <c r="W1284" s="66"/>
      <c r="X1284" s="66"/>
      <c r="Y1284" s="66"/>
      <c r="Z1284" s="66"/>
      <c r="AA1284" s="66"/>
      <c r="AB1284" s="66"/>
      <c r="AC1284" s="66"/>
      <c r="AD1284" s="66"/>
      <c r="AE1284" s="66"/>
      <c r="AF1284" s="44"/>
      <c r="AG1284" s="254">
        <f>Prog_236[[#This Row],[SAÍDA DO CLIENTE]]-Prog_236[[#This Row],[PROGRAMAÇÃO CLIENTE]]</f>
        <v>0</v>
      </c>
      <c r="AH1284" s="44"/>
      <c r="AI1284" s="66"/>
      <c r="AJ1284" s="66"/>
      <c r="AK1284" s="66"/>
      <c r="AL1284" s="66"/>
      <c r="AM1284" s="66"/>
      <c r="AN1284" s="83"/>
      <c r="AO1284" s="66"/>
      <c r="AP1284" s="66"/>
      <c r="AQ1284" s="66"/>
      <c r="AR1284" s="81"/>
      <c r="AS1284" s="81"/>
      <c r="AT1284" s="81"/>
      <c r="AU1284" s="81"/>
      <c r="AV1284" s="83">
        <f>SUM(Prog_236[[#This Row],[ADIANTAMENTO]]+Prog_236[[#This Row],[SALDO]]+Prog_236[[#This Row],[MARGEM]]+Prog_236[[#This Row],[ESTADIA 1]])</f>
        <v>0</v>
      </c>
      <c r="AW12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4" s="81"/>
      <c r="AY1284" s="81"/>
      <c r="AZ1284" s="81">
        <f>Prog_236[[#This Row],[VLR NF]]*0.1%</f>
        <v>0</v>
      </c>
      <c r="BA1284" s="81">
        <f>Prog_236[[#This Row],[VLR NF]]*0.05%</f>
        <v>0</v>
      </c>
      <c r="BB1284" s="81"/>
      <c r="BC1284" s="81"/>
      <c r="BD1284" s="81"/>
      <c r="BE1284" s="81"/>
      <c r="BF1284" s="81"/>
      <c r="BG1284" s="81"/>
      <c r="BH1284" s="81"/>
      <c r="BI1284" s="81"/>
      <c r="BJ1284" s="81"/>
      <c r="BK1284" s="81"/>
      <c r="BL1284" s="66"/>
      <c r="BM1284" s="66"/>
      <c r="BN1284" s="66"/>
      <c r="BO1284" s="66" t="str">
        <f>PROPER(TEXT(Prog_236[[#This Row],[PROGRAMAÇÃO CLIENTE]],"mmm"))</f>
        <v>Jan</v>
      </c>
      <c r="BP1284" s="66">
        <f>YEAR(Prog_236[[#This Row],[PROGRAMAÇÃO CLIENTE]])</f>
        <v>1900</v>
      </c>
    </row>
    <row r="1285" spans="1:68" x14ac:dyDescent="0.25">
      <c r="A1285" s="200">
        <f>Prog_236[[#This Row],[CONTEINER]]</f>
        <v>0</v>
      </c>
      <c r="B1285" s="86"/>
      <c r="C12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5" s="44"/>
      <c r="E1285" s="66"/>
      <c r="F1285" s="66"/>
      <c r="G1285" s="66"/>
      <c r="H1285" s="44"/>
      <c r="I1285" s="44"/>
      <c r="J1285" s="66"/>
      <c r="K1285" s="66"/>
      <c r="L1285" s="66"/>
      <c r="M1285" s="66"/>
      <c r="N1285" s="66">
        <f>SUM(Prog_236[[#This Row],[TARA]]+Prog_236[[#This Row],[PESO]])</f>
        <v>0</v>
      </c>
      <c r="O1285" s="44"/>
      <c r="P1285" s="66"/>
      <c r="Q1285" s="66"/>
      <c r="R1285" s="66"/>
      <c r="S1285" s="66"/>
      <c r="T1285" s="138" t="str">
        <f>IFERROR(LOOKUP($S1285,MOTORISTAS!$D$3:$D$1048576,MOTORISTAS!E$3:$E$1048576),"")</f>
        <v/>
      </c>
      <c r="U1285" s="138" t="str">
        <f>IFERROR(LOOKUP($S1285,MOTORISTAS!$D$3:$D$1048576,MOTORISTAS!F$3:$F$1048576),"")</f>
        <v/>
      </c>
      <c r="V1285" s="66"/>
      <c r="W1285" s="66"/>
      <c r="X1285" s="66"/>
      <c r="Y1285" s="66"/>
      <c r="Z1285" s="66"/>
      <c r="AA1285" s="66"/>
      <c r="AB1285" s="66"/>
      <c r="AC1285" s="66"/>
      <c r="AD1285" s="66"/>
      <c r="AE1285" s="66"/>
      <c r="AF1285" s="44"/>
      <c r="AG1285" s="254">
        <f>Prog_236[[#This Row],[SAÍDA DO CLIENTE]]-Prog_236[[#This Row],[PROGRAMAÇÃO CLIENTE]]</f>
        <v>0</v>
      </c>
      <c r="AH1285" s="44"/>
      <c r="AI1285" s="66"/>
      <c r="AJ1285" s="66"/>
      <c r="AK1285" s="66"/>
      <c r="AL1285" s="66"/>
      <c r="AM1285" s="66"/>
      <c r="AN1285" s="83"/>
      <c r="AO1285" s="66"/>
      <c r="AP1285" s="66"/>
      <c r="AQ1285" s="66"/>
      <c r="AR1285" s="81"/>
      <c r="AS1285" s="81"/>
      <c r="AT1285" s="81"/>
      <c r="AU1285" s="81"/>
      <c r="AV1285" s="83">
        <f>SUM(Prog_236[[#This Row],[ADIANTAMENTO]]+Prog_236[[#This Row],[SALDO]]+Prog_236[[#This Row],[MARGEM]]+Prog_236[[#This Row],[ESTADIA 1]])</f>
        <v>0</v>
      </c>
      <c r="AW12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5" s="81"/>
      <c r="AY1285" s="81"/>
      <c r="AZ1285" s="81">
        <f>Prog_236[[#This Row],[VLR NF]]*0.1%</f>
        <v>0</v>
      </c>
      <c r="BA1285" s="81">
        <f>Prog_236[[#This Row],[VLR NF]]*0.05%</f>
        <v>0</v>
      </c>
      <c r="BB1285" s="81"/>
      <c r="BC1285" s="81"/>
      <c r="BD1285" s="81"/>
      <c r="BE1285" s="81"/>
      <c r="BF1285" s="81"/>
      <c r="BG1285" s="81"/>
      <c r="BH1285" s="81"/>
      <c r="BI1285" s="81"/>
      <c r="BJ1285" s="81"/>
      <c r="BK1285" s="81"/>
      <c r="BL1285" s="66"/>
      <c r="BM1285" s="66"/>
      <c r="BN1285" s="66"/>
      <c r="BO1285" s="66" t="str">
        <f>PROPER(TEXT(Prog_236[[#This Row],[PROGRAMAÇÃO CLIENTE]],"mmm"))</f>
        <v>Jan</v>
      </c>
      <c r="BP1285" s="66">
        <f>YEAR(Prog_236[[#This Row],[PROGRAMAÇÃO CLIENTE]])</f>
        <v>1900</v>
      </c>
    </row>
    <row r="1286" spans="1:68" x14ac:dyDescent="0.25">
      <c r="A1286" s="201">
        <f>Prog_236[[#This Row],[CONTEINER]]</f>
        <v>0</v>
      </c>
      <c r="B1286" s="86"/>
      <c r="C12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6" s="44"/>
      <c r="E1286" s="66"/>
      <c r="F1286" s="66"/>
      <c r="G1286" s="66"/>
      <c r="H1286" s="44"/>
      <c r="I1286" s="44"/>
      <c r="J1286" s="66"/>
      <c r="K1286" s="66"/>
      <c r="L1286" s="66"/>
      <c r="M1286" s="66"/>
      <c r="N1286" s="66">
        <f>SUM(Prog_236[[#This Row],[TARA]]+Prog_236[[#This Row],[PESO]])</f>
        <v>0</v>
      </c>
      <c r="O1286" s="44"/>
      <c r="P1286" s="66"/>
      <c r="Q1286" s="66"/>
      <c r="R1286" s="66"/>
      <c r="S1286" s="66"/>
      <c r="T1286" s="138" t="str">
        <f>IFERROR(LOOKUP($S1286,MOTORISTAS!$D$3:$D$1048576,MOTORISTAS!E$3:$E$1048576),"")</f>
        <v/>
      </c>
      <c r="U1286" s="138" t="str">
        <f>IFERROR(LOOKUP($S1286,MOTORISTAS!$D$3:$D$1048576,MOTORISTAS!F$3:$F$1048576),"")</f>
        <v/>
      </c>
      <c r="V1286" s="66"/>
      <c r="W1286" s="66"/>
      <c r="X1286" s="66"/>
      <c r="Y1286" s="66"/>
      <c r="Z1286" s="66"/>
      <c r="AA1286" s="66"/>
      <c r="AB1286" s="66"/>
      <c r="AC1286" s="66"/>
      <c r="AD1286" s="66"/>
      <c r="AE1286" s="66"/>
      <c r="AF1286" s="44"/>
      <c r="AG1286" s="254">
        <f>Prog_236[[#This Row],[SAÍDA DO CLIENTE]]-Prog_236[[#This Row],[PROGRAMAÇÃO CLIENTE]]</f>
        <v>0</v>
      </c>
      <c r="AH1286" s="44"/>
      <c r="AI1286" s="66"/>
      <c r="AJ1286" s="66"/>
      <c r="AK1286" s="66"/>
      <c r="AL1286" s="66"/>
      <c r="AM1286" s="66"/>
      <c r="AN1286" s="83"/>
      <c r="AO1286" s="66"/>
      <c r="AP1286" s="66"/>
      <c r="AQ1286" s="66"/>
      <c r="AR1286" s="81"/>
      <c r="AS1286" s="81"/>
      <c r="AT1286" s="81"/>
      <c r="AU1286" s="81"/>
      <c r="AV1286" s="83">
        <f>SUM(Prog_236[[#This Row],[ADIANTAMENTO]]+Prog_236[[#This Row],[SALDO]]+Prog_236[[#This Row],[MARGEM]]+Prog_236[[#This Row],[ESTADIA 1]])</f>
        <v>0</v>
      </c>
      <c r="AW12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6" s="81"/>
      <c r="AY1286" s="81"/>
      <c r="AZ1286" s="81">
        <f>Prog_236[[#This Row],[VLR NF]]*0.1%</f>
        <v>0</v>
      </c>
      <c r="BA1286" s="81">
        <f>Prog_236[[#This Row],[VLR NF]]*0.05%</f>
        <v>0</v>
      </c>
      <c r="BB1286" s="81"/>
      <c r="BC1286" s="81"/>
      <c r="BD1286" s="81"/>
      <c r="BE1286" s="81"/>
      <c r="BF1286" s="81"/>
      <c r="BG1286" s="81"/>
      <c r="BH1286" s="81"/>
      <c r="BI1286" s="81"/>
      <c r="BJ1286" s="81"/>
      <c r="BK1286" s="81"/>
      <c r="BL1286" s="66"/>
      <c r="BM1286" s="66"/>
      <c r="BN1286" s="66"/>
      <c r="BO1286" s="66" t="str">
        <f>PROPER(TEXT(Prog_236[[#This Row],[PROGRAMAÇÃO CLIENTE]],"mmm"))</f>
        <v>Jan</v>
      </c>
      <c r="BP1286" s="66">
        <f>YEAR(Prog_236[[#This Row],[PROGRAMAÇÃO CLIENTE]])</f>
        <v>1900</v>
      </c>
    </row>
    <row r="1287" spans="1:68" x14ac:dyDescent="0.25">
      <c r="A1287" s="200">
        <f>Prog_236[[#This Row],[CONTEINER]]</f>
        <v>0</v>
      </c>
      <c r="B1287" s="86"/>
      <c r="C12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7" s="44"/>
      <c r="E1287" s="66"/>
      <c r="F1287" s="66"/>
      <c r="G1287" s="66"/>
      <c r="H1287" s="44"/>
      <c r="I1287" s="44"/>
      <c r="J1287" s="66"/>
      <c r="K1287" s="66"/>
      <c r="L1287" s="66"/>
      <c r="M1287" s="66"/>
      <c r="N1287" s="66">
        <f>SUM(Prog_236[[#This Row],[TARA]]+Prog_236[[#This Row],[PESO]])</f>
        <v>0</v>
      </c>
      <c r="O1287" s="44"/>
      <c r="P1287" s="66"/>
      <c r="Q1287" s="66"/>
      <c r="R1287" s="66"/>
      <c r="S1287" s="66"/>
      <c r="T1287" s="138" t="str">
        <f>IFERROR(LOOKUP($S1287,MOTORISTAS!$D$3:$D$1048576,MOTORISTAS!E$3:$E$1048576),"")</f>
        <v/>
      </c>
      <c r="U1287" s="138" t="str">
        <f>IFERROR(LOOKUP($S1287,MOTORISTAS!$D$3:$D$1048576,MOTORISTAS!F$3:$F$1048576),"")</f>
        <v/>
      </c>
      <c r="V1287" s="66"/>
      <c r="W1287" s="66"/>
      <c r="X1287" s="66"/>
      <c r="Y1287" s="66"/>
      <c r="Z1287" s="66"/>
      <c r="AA1287" s="66"/>
      <c r="AB1287" s="66"/>
      <c r="AC1287" s="66"/>
      <c r="AD1287" s="66"/>
      <c r="AE1287" s="66"/>
      <c r="AF1287" s="44"/>
      <c r="AG1287" s="254">
        <f>Prog_236[[#This Row],[SAÍDA DO CLIENTE]]-Prog_236[[#This Row],[PROGRAMAÇÃO CLIENTE]]</f>
        <v>0</v>
      </c>
      <c r="AH1287" s="44"/>
      <c r="AI1287" s="66"/>
      <c r="AJ1287" s="66"/>
      <c r="AK1287" s="66"/>
      <c r="AL1287" s="66"/>
      <c r="AM1287" s="66"/>
      <c r="AN1287" s="83"/>
      <c r="AO1287" s="66"/>
      <c r="AP1287" s="66"/>
      <c r="AQ1287" s="66"/>
      <c r="AR1287" s="81"/>
      <c r="AS1287" s="81"/>
      <c r="AT1287" s="81"/>
      <c r="AU1287" s="81"/>
      <c r="AV1287" s="83">
        <f>SUM(Prog_236[[#This Row],[ADIANTAMENTO]]+Prog_236[[#This Row],[SALDO]]+Prog_236[[#This Row],[MARGEM]]+Prog_236[[#This Row],[ESTADIA 1]])</f>
        <v>0</v>
      </c>
      <c r="AW12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7" s="81"/>
      <c r="AY1287" s="81"/>
      <c r="AZ1287" s="81">
        <f>Prog_236[[#This Row],[VLR NF]]*0.1%</f>
        <v>0</v>
      </c>
      <c r="BA1287" s="81">
        <f>Prog_236[[#This Row],[VLR NF]]*0.05%</f>
        <v>0</v>
      </c>
      <c r="BB1287" s="81"/>
      <c r="BC1287" s="81"/>
      <c r="BD1287" s="81"/>
      <c r="BE1287" s="81"/>
      <c r="BF1287" s="81"/>
      <c r="BG1287" s="81"/>
      <c r="BH1287" s="81"/>
      <c r="BI1287" s="81"/>
      <c r="BJ1287" s="81"/>
      <c r="BK1287" s="81"/>
      <c r="BL1287" s="66"/>
      <c r="BM1287" s="66"/>
      <c r="BN1287" s="66"/>
      <c r="BO1287" s="66" t="str">
        <f>PROPER(TEXT(Prog_236[[#This Row],[PROGRAMAÇÃO CLIENTE]],"mmm"))</f>
        <v>Jan</v>
      </c>
      <c r="BP1287" s="66">
        <f>YEAR(Prog_236[[#This Row],[PROGRAMAÇÃO CLIENTE]])</f>
        <v>1900</v>
      </c>
    </row>
    <row r="1288" spans="1:68" x14ac:dyDescent="0.25">
      <c r="A1288" s="201">
        <f>Prog_236[[#This Row],[CONTEINER]]</f>
        <v>0</v>
      </c>
      <c r="B1288" s="86"/>
      <c r="C12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8" s="44"/>
      <c r="E1288" s="66"/>
      <c r="F1288" s="66"/>
      <c r="G1288" s="66"/>
      <c r="H1288" s="44"/>
      <c r="I1288" s="44"/>
      <c r="J1288" s="66"/>
      <c r="K1288" s="66"/>
      <c r="L1288" s="66"/>
      <c r="M1288" s="66"/>
      <c r="N1288" s="66">
        <f>SUM(Prog_236[[#This Row],[TARA]]+Prog_236[[#This Row],[PESO]])</f>
        <v>0</v>
      </c>
      <c r="O1288" s="44"/>
      <c r="P1288" s="66"/>
      <c r="Q1288" s="66"/>
      <c r="R1288" s="66"/>
      <c r="S1288" s="66"/>
      <c r="T1288" s="138" t="str">
        <f>IFERROR(LOOKUP($S1288,MOTORISTAS!$D$3:$D$1048576,MOTORISTAS!E$3:$E$1048576),"")</f>
        <v/>
      </c>
      <c r="U1288" s="138" t="str">
        <f>IFERROR(LOOKUP($S1288,MOTORISTAS!$D$3:$D$1048576,MOTORISTAS!F$3:$F$1048576),"")</f>
        <v/>
      </c>
      <c r="V1288" s="66"/>
      <c r="W1288" s="66"/>
      <c r="X1288" s="66"/>
      <c r="Y1288" s="66"/>
      <c r="Z1288" s="66"/>
      <c r="AA1288" s="66"/>
      <c r="AB1288" s="66"/>
      <c r="AC1288" s="66"/>
      <c r="AD1288" s="66"/>
      <c r="AE1288" s="66"/>
      <c r="AF1288" s="44"/>
      <c r="AG1288" s="254">
        <f>Prog_236[[#This Row],[SAÍDA DO CLIENTE]]-Prog_236[[#This Row],[PROGRAMAÇÃO CLIENTE]]</f>
        <v>0</v>
      </c>
      <c r="AH1288" s="44"/>
      <c r="AI1288" s="66"/>
      <c r="AJ1288" s="66"/>
      <c r="AK1288" s="66"/>
      <c r="AL1288" s="66"/>
      <c r="AM1288" s="66"/>
      <c r="AN1288" s="83"/>
      <c r="AO1288" s="66"/>
      <c r="AP1288" s="66"/>
      <c r="AQ1288" s="66"/>
      <c r="AR1288" s="81"/>
      <c r="AS1288" s="81"/>
      <c r="AT1288" s="81"/>
      <c r="AU1288" s="81"/>
      <c r="AV1288" s="83">
        <f>SUM(Prog_236[[#This Row],[ADIANTAMENTO]]+Prog_236[[#This Row],[SALDO]]+Prog_236[[#This Row],[MARGEM]]+Prog_236[[#This Row],[ESTADIA 1]])</f>
        <v>0</v>
      </c>
      <c r="AW12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8" s="81"/>
      <c r="AY1288" s="81"/>
      <c r="AZ1288" s="81">
        <f>Prog_236[[#This Row],[VLR NF]]*0.1%</f>
        <v>0</v>
      </c>
      <c r="BA1288" s="81">
        <f>Prog_236[[#This Row],[VLR NF]]*0.05%</f>
        <v>0</v>
      </c>
      <c r="BB1288" s="81"/>
      <c r="BC1288" s="81"/>
      <c r="BD1288" s="81"/>
      <c r="BE1288" s="81"/>
      <c r="BF1288" s="81"/>
      <c r="BG1288" s="81"/>
      <c r="BH1288" s="81"/>
      <c r="BI1288" s="81"/>
      <c r="BJ1288" s="81"/>
      <c r="BK1288" s="81"/>
      <c r="BL1288" s="66"/>
      <c r="BM1288" s="66"/>
      <c r="BN1288" s="66"/>
      <c r="BO1288" s="66" t="str">
        <f>PROPER(TEXT(Prog_236[[#This Row],[PROGRAMAÇÃO CLIENTE]],"mmm"))</f>
        <v>Jan</v>
      </c>
      <c r="BP1288" s="66">
        <f>YEAR(Prog_236[[#This Row],[PROGRAMAÇÃO CLIENTE]])</f>
        <v>1900</v>
      </c>
    </row>
    <row r="1289" spans="1:68" x14ac:dyDescent="0.25">
      <c r="A1289" s="200">
        <f>Prog_236[[#This Row],[CONTEINER]]</f>
        <v>0</v>
      </c>
      <c r="B1289" s="86"/>
      <c r="C12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89" s="44"/>
      <c r="E1289" s="66"/>
      <c r="F1289" s="66"/>
      <c r="G1289" s="66"/>
      <c r="H1289" s="44"/>
      <c r="I1289" s="44"/>
      <c r="J1289" s="66"/>
      <c r="K1289" s="66"/>
      <c r="L1289" s="66"/>
      <c r="M1289" s="66"/>
      <c r="N1289" s="66">
        <f>SUM(Prog_236[[#This Row],[TARA]]+Prog_236[[#This Row],[PESO]])</f>
        <v>0</v>
      </c>
      <c r="O1289" s="44"/>
      <c r="P1289" s="66"/>
      <c r="Q1289" s="66"/>
      <c r="R1289" s="66"/>
      <c r="S1289" s="66"/>
      <c r="T1289" s="138" t="str">
        <f>IFERROR(LOOKUP($S1289,MOTORISTAS!$D$3:$D$1048576,MOTORISTAS!E$3:$E$1048576),"")</f>
        <v/>
      </c>
      <c r="U1289" s="138" t="str">
        <f>IFERROR(LOOKUP($S1289,MOTORISTAS!$D$3:$D$1048576,MOTORISTAS!F$3:$F$1048576),"")</f>
        <v/>
      </c>
      <c r="V1289" s="66"/>
      <c r="W1289" s="66"/>
      <c r="X1289" s="66"/>
      <c r="Y1289" s="66"/>
      <c r="Z1289" s="66"/>
      <c r="AA1289" s="66"/>
      <c r="AB1289" s="66"/>
      <c r="AC1289" s="66"/>
      <c r="AD1289" s="66"/>
      <c r="AE1289" s="66"/>
      <c r="AF1289" s="44"/>
      <c r="AG1289" s="254">
        <f>Prog_236[[#This Row],[SAÍDA DO CLIENTE]]-Prog_236[[#This Row],[PROGRAMAÇÃO CLIENTE]]</f>
        <v>0</v>
      </c>
      <c r="AH1289" s="44"/>
      <c r="AI1289" s="66"/>
      <c r="AJ1289" s="66"/>
      <c r="AK1289" s="66"/>
      <c r="AL1289" s="66"/>
      <c r="AM1289" s="66"/>
      <c r="AN1289" s="83"/>
      <c r="AO1289" s="66"/>
      <c r="AP1289" s="66"/>
      <c r="AQ1289" s="66"/>
      <c r="AR1289" s="81"/>
      <c r="AS1289" s="81"/>
      <c r="AT1289" s="81"/>
      <c r="AU1289" s="81"/>
      <c r="AV1289" s="83">
        <f>SUM(Prog_236[[#This Row],[ADIANTAMENTO]]+Prog_236[[#This Row],[SALDO]]+Prog_236[[#This Row],[MARGEM]]+Prog_236[[#This Row],[ESTADIA 1]])</f>
        <v>0</v>
      </c>
      <c r="AW12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89" s="81"/>
      <c r="AY1289" s="81"/>
      <c r="AZ1289" s="81">
        <f>Prog_236[[#This Row],[VLR NF]]*0.1%</f>
        <v>0</v>
      </c>
      <c r="BA1289" s="81">
        <f>Prog_236[[#This Row],[VLR NF]]*0.05%</f>
        <v>0</v>
      </c>
      <c r="BB1289" s="81"/>
      <c r="BC1289" s="81"/>
      <c r="BD1289" s="81"/>
      <c r="BE1289" s="81"/>
      <c r="BF1289" s="81"/>
      <c r="BG1289" s="81"/>
      <c r="BH1289" s="81"/>
      <c r="BI1289" s="81"/>
      <c r="BJ1289" s="81"/>
      <c r="BK1289" s="81"/>
      <c r="BL1289" s="66"/>
      <c r="BM1289" s="66"/>
      <c r="BN1289" s="66"/>
      <c r="BO1289" s="66" t="str">
        <f>PROPER(TEXT(Prog_236[[#This Row],[PROGRAMAÇÃO CLIENTE]],"mmm"))</f>
        <v>Jan</v>
      </c>
      <c r="BP1289" s="66">
        <f>YEAR(Prog_236[[#This Row],[PROGRAMAÇÃO CLIENTE]])</f>
        <v>1900</v>
      </c>
    </row>
    <row r="1290" spans="1:68" x14ac:dyDescent="0.25">
      <c r="A1290" s="201">
        <f>Prog_236[[#This Row],[CONTEINER]]</f>
        <v>0</v>
      </c>
      <c r="B1290" s="86"/>
      <c r="C12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0" s="44"/>
      <c r="E1290" s="66"/>
      <c r="F1290" s="66"/>
      <c r="G1290" s="66"/>
      <c r="H1290" s="44"/>
      <c r="I1290" s="44"/>
      <c r="J1290" s="66"/>
      <c r="K1290" s="66"/>
      <c r="L1290" s="66"/>
      <c r="M1290" s="66"/>
      <c r="N1290" s="66">
        <f>SUM(Prog_236[[#This Row],[TARA]]+Prog_236[[#This Row],[PESO]])</f>
        <v>0</v>
      </c>
      <c r="O1290" s="44"/>
      <c r="P1290" s="66"/>
      <c r="Q1290" s="66"/>
      <c r="R1290" s="66"/>
      <c r="S1290" s="66"/>
      <c r="T1290" s="138" t="str">
        <f>IFERROR(LOOKUP($S1290,MOTORISTAS!$D$3:$D$1048576,MOTORISTAS!E$3:$E$1048576),"")</f>
        <v/>
      </c>
      <c r="U1290" s="138" t="str">
        <f>IFERROR(LOOKUP($S1290,MOTORISTAS!$D$3:$D$1048576,MOTORISTAS!F$3:$F$1048576),"")</f>
        <v/>
      </c>
      <c r="V1290" s="66"/>
      <c r="W1290" s="66"/>
      <c r="X1290" s="66"/>
      <c r="Y1290" s="66"/>
      <c r="Z1290" s="66"/>
      <c r="AA1290" s="66"/>
      <c r="AB1290" s="66"/>
      <c r="AC1290" s="66"/>
      <c r="AD1290" s="66"/>
      <c r="AE1290" s="66"/>
      <c r="AF1290" s="44"/>
      <c r="AG1290" s="254">
        <f>Prog_236[[#This Row],[SAÍDA DO CLIENTE]]-Prog_236[[#This Row],[PROGRAMAÇÃO CLIENTE]]</f>
        <v>0</v>
      </c>
      <c r="AH1290" s="44"/>
      <c r="AI1290" s="66"/>
      <c r="AJ1290" s="66"/>
      <c r="AK1290" s="66"/>
      <c r="AL1290" s="66"/>
      <c r="AM1290" s="66"/>
      <c r="AN1290" s="83"/>
      <c r="AO1290" s="66"/>
      <c r="AP1290" s="66"/>
      <c r="AQ1290" s="66"/>
      <c r="AR1290" s="81"/>
      <c r="AS1290" s="81"/>
      <c r="AT1290" s="81"/>
      <c r="AU1290" s="81"/>
      <c r="AV1290" s="83">
        <f>SUM(Prog_236[[#This Row],[ADIANTAMENTO]]+Prog_236[[#This Row],[SALDO]]+Prog_236[[#This Row],[MARGEM]]+Prog_236[[#This Row],[ESTADIA 1]])</f>
        <v>0</v>
      </c>
      <c r="AW12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0" s="81"/>
      <c r="AY1290" s="81"/>
      <c r="AZ1290" s="81">
        <f>Prog_236[[#This Row],[VLR NF]]*0.1%</f>
        <v>0</v>
      </c>
      <c r="BA1290" s="81">
        <f>Prog_236[[#This Row],[VLR NF]]*0.05%</f>
        <v>0</v>
      </c>
      <c r="BB1290" s="81"/>
      <c r="BC1290" s="81"/>
      <c r="BD1290" s="81"/>
      <c r="BE1290" s="81"/>
      <c r="BF1290" s="81"/>
      <c r="BG1290" s="81"/>
      <c r="BH1290" s="81"/>
      <c r="BI1290" s="81"/>
      <c r="BJ1290" s="81"/>
      <c r="BK1290" s="81"/>
      <c r="BL1290" s="66"/>
      <c r="BM1290" s="66"/>
      <c r="BN1290" s="66"/>
      <c r="BO1290" s="66" t="str">
        <f>PROPER(TEXT(Prog_236[[#This Row],[PROGRAMAÇÃO CLIENTE]],"mmm"))</f>
        <v>Jan</v>
      </c>
      <c r="BP1290" s="66">
        <f>YEAR(Prog_236[[#This Row],[PROGRAMAÇÃO CLIENTE]])</f>
        <v>1900</v>
      </c>
    </row>
    <row r="1291" spans="1:68" x14ac:dyDescent="0.25">
      <c r="A1291" s="200">
        <f>Prog_236[[#This Row],[CONTEINER]]</f>
        <v>0</v>
      </c>
      <c r="B1291" s="86"/>
      <c r="C12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1" s="44"/>
      <c r="E1291" s="66"/>
      <c r="F1291" s="66"/>
      <c r="G1291" s="66"/>
      <c r="H1291" s="44"/>
      <c r="I1291" s="44"/>
      <c r="J1291" s="66"/>
      <c r="K1291" s="66"/>
      <c r="L1291" s="66"/>
      <c r="M1291" s="66"/>
      <c r="N1291" s="66">
        <f>SUM(Prog_236[[#This Row],[TARA]]+Prog_236[[#This Row],[PESO]])</f>
        <v>0</v>
      </c>
      <c r="O1291" s="44"/>
      <c r="P1291" s="66"/>
      <c r="Q1291" s="66"/>
      <c r="R1291" s="66"/>
      <c r="S1291" s="66"/>
      <c r="T1291" s="138" t="str">
        <f>IFERROR(LOOKUP($S1291,MOTORISTAS!$D$3:$D$1048576,MOTORISTAS!E$3:$E$1048576),"")</f>
        <v/>
      </c>
      <c r="U1291" s="138" t="str">
        <f>IFERROR(LOOKUP($S1291,MOTORISTAS!$D$3:$D$1048576,MOTORISTAS!F$3:$F$1048576),"")</f>
        <v/>
      </c>
      <c r="V1291" s="66"/>
      <c r="W1291" s="66"/>
      <c r="X1291" s="66"/>
      <c r="Y1291" s="66"/>
      <c r="Z1291" s="66"/>
      <c r="AA1291" s="66"/>
      <c r="AB1291" s="66"/>
      <c r="AC1291" s="66"/>
      <c r="AD1291" s="66"/>
      <c r="AE1291" s="66"/>
      <c r="AF1291" s="44"/>
      <c r="AG1291" s="254">
        <f>Prog_236[[#This Row],[SAÍDA DO CLIENTE]]-Prog_236[[#This Row],[PROGRAMAÇÃO CLIENTE]]</f>
        <v>0</v>
      </c>
      <c r="AH1291" s="44"/>
      <c r="AI1291" s="66"/>
      <c r="AJ1291" s="66"/>
      <c r="AK1291" s="66"/>
      <c r="AL1291" s="66"/>
      <c r="AM1291" s="66"/>
      <c r="AN1291" s="83"/>
      <c r="AO1291" s="66"/>
      <c r="AP1291" s="66"/>
      <c r="AQ1291" s="66"/>
      <c r="AR1291" s="81"/>
      <c r="AS1291" s="81"/>
      <c r="AT1291" s="81"/>
      <c r="AU1291" s="81"/>
      <c r="AV1291" s="83">
        <f>SUM(Prog_236[[#This Row],[ADIANTAMENTO]]+Prog_236[[#This Row],[SALDO]]+Prog_236[[#This Row],[MARGEM]]+Prog_236[[#This Row],[ESTADIA 1]])</f>
        <v>0</v>
      </c>
      <c r="AW12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1" s="81"/>
      <c r="AY1291" s="81"/>
      <c r="AZ1291" s="81">
        <f>Prog_236[[#This Row],[VLR NF]]*0.1%</f>
        <v>0</v>
      </c>
      <c r="BA1291" s="81">
        <f>Prog_236[[#This Row],[VLR NF]]*0.05%</f>
        <v>0</v>
      </c>
      <c r="BB1291" s="81"/>
      <c r="BC1291" s="81"/>
      <c r="BD1291" s="81"/>
      <c r="BE1291" s="81"/>
      <c r="BF1291" s="81"/>
      <c r="BG1291" s="81"/>
      <c r="BH1291" s="81"/>
      <c r="BI1291" s="81"/>
      <c r="BJ1291" s="81"/>
      <c r="BK1291" s="81"/>
      <c r="BL1291" s="66"/>
      <c r="BM1291" s="66"/>
      <c r="BN1291" s="66"/>
      <c r="BO1291" s="66" t="str">
        <f>PROPER(TEXT(Prog_236[[#This Row],[PROGRAMAÇÃO CLIENTE]],"mmm"))</f>
        <v>Jan</v>
      </c>
      <c r="BP1291" s="66">
        <f>YEAR(Prog_236[[#This Row],[PROGRAMAÇÃO CLIENTE]])</f>
        <v>1900</v>
      </c>
    </row>
    <row r="1292" spans="1:68" x14ac:dyDescent="0.25">
      <c r="A1292" s="201">
        <f>Prog_236[[#This Row],[CONTEINER]]</f>
        <v>0</v>
      </c>
      <c r="B1292" s="86"/>
      <c r="C12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2" s="44"/>
      <c r="E1292" s="66"/>
      <c r="F1292" s="66"/>
      <c r="G1292" s="66"/>
      <c r="H1292" s="44"/>
      <c r="I1292" s="44"/>
      <c r="J1292" s="66"/>
      <c r="K1292" s="66"/>
      <c r="L1292" s="66"/>
      <c r="M1292" s="66"/>
      <c r="N1292" s="66">
        <f>SUM(Prog_236[[#This Row],[TARA]]+Prog_236[[#This Row],[PESO]])</f>
        <v>0</v>
      </c>
      <c r="O1292" s="44"/>
      <c r="P1292" s="66"/>
      <c r="Q1292" s="66"/>
      <c r="R1292" s="66"/>
      <c r="S1292" s="66"/>
      <c r="T1292" s="138" t="str">
        <f>IFERROR(LOOKUP($S1292,MOTORISTAS!$D$3:$D$1048576,MOTORISTAS!E$3:$E$1048576),"")</f>
        <v/>
      </c>
      <c r="U1292" s="138" t="str">
        <f>IFERROR(LOOKUP($S1292,MOTORISTAS!$D$3:$D$1048576,MOTORISTAS!F$3:$F$1048576),"")</f>
        <v/>
      </c>
      <c r="V1292" s="66"/>
      <c r="W1292" s="66"/>
      <c r="X1292" s="66"/>
      <c r="Y1292" s="66"/>
      <c r="Z1292" s="66"/>
      <c r="AA1292" s="66"/>
      <c r="AB1292" s="66"/>
      <c r="AC1292" s="66"/>
      <c r="AD1292" s="66"/>
      <c r="AE1292" s="66"/>
      <c r="AF1292" s="44"/>
      <c r="AG1292" s="254">
        <f>Prog_236[[#This Row],[SAÍDA DO CLIENTE]]-Prog_236[[#This Row],[PROGRAMAÇÃO CLIENTE]]</f>
        <v>0</v>
      </c>
      <c r="AH1292" s="44"/>
      <c r="AI1292" s="66"/>
      <c r="AJ1292" s="66"/>
      <c r="AK1292" s="66"/>
      <c r="AL1292" s="66"/>
      <c r="AM1292" s="66"/>
      <c r="AN1292" s="83"/>
      <c r="AO1292" s="66"/>
      <c r="AP1292" s="66"/>
      <c r="AQ1292" s="66"/>
      <c r="AR1292" s="81"/>
      <c r="AS1292" s="81"/>
      <c r="AT1292" s="81"/>
      <c r="AU1292" s="81"/>
      <c r="AV1292" s="83">
        <f>SUM(Prog_236[[#This Row],[ADIANTAMENTO]]+Prog_236[[#This Row],[SALDO]]+Prog_236[[#This Row],[MARGEM]]+Prog_236[[#This Row],[ESTADIA 1]])</f>
        <v>0</v>
      </c>
      <c r="AW12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2" s="81"/>
      <c r="AY1292" s="81"/>
      <c r="AZ1292" s="81">
        <f>Prog_236[[#This Row],[VLR NF]]*0.1%</f>
        <v>0</v>
      </c>
      <c r="BA1292" s="81">
        <f>Prog_236[[#This Row],[VLR NF]]*0.05%</f>
        <v>0</v>
      </c>
      <c r="BB1292" s="81"/>
      <c r="BC1292" s="81"/>
      <c r="BD1292" s="81"/>
      <c r="BE1292" s="81"/>
      <c r="BF1292" s="81"/>
      <c r="BG1292" s="81"/>
      <c r="BH1292" s="81"/>
      <c r="BI1292" s="81"/>
      <c r="BJ1292" s="81"/>
      <c r="BK1292" s="81"/>
      <c r="BL1292" s="66"/>
      <c r="BM1292" s="66"/>
      <c r="BN1292" s="66"/>
      <c r="BO1292" s="66" t="str">
        <f>PROPER(TEXT(Prog_236[[#This Row],[PROGRAMAÇÃO CLIENTE]],"mmm"))</f>
        <v>Jan</v>
      </c>
      <c r="BP1292" s="66">
        <f>YEAR(Prog_236[[#This Row],[PROGRAMAÇÃO CLIENTE]])</f>
        <v>1900</v>
      </c>
    </row>
    <row r="1293" spans="1:68" x14ac:dyDescent="0.25">
      <c r="A1293" s="200">
        <f>Prog_236[[#This Row],[CONTEINER]]</f>
        <v>0</v>
      </c>
      <c r="B1293" s="86"/>
      <c r="C12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3" s="44"/>
      <c r="E1293" s="66"/>
      <c r="F1293" s="66"/>
      <c r="G1293" s="66"/>
      <c r="H1293" s="44"/>
      <c r="I1293" s="44"/>
      <c r="J1293" s="66"/>
      <c r="K1293" s="66"/>
      <c r="L1293" s="66"/>
      <c r="M1293" s="66"/>
      <c r="N1293" s="66">
        <f>SUM(Prog_236[[#This Row],[TARA]]+Prog_236[[#This Row],[PESO]])</f>
        <v>0</v>
      </c>
      <c r="O1293" s="44"/>
      <c r="P1293" s="66"/>
      <c r="Q1293" s="66"/>
      <c r="R1293" s="66"/>
      <c r="S1293" s="66"/>
      <c r="T1293" s="138" t="str">
        <f>IFERROR(LOOKUP($S1293,MOTORISTAS!$D$3:$D$1048576,MOTORISTAS!E$3:$E$1048576),"")</f>
        <v/>
      </c>
      <c r="U1293" s="138" t="str">
        <f>IFERROR(LOOKUP($S1293,MOTORISTAS!$D$3:$D$1048576,MOTORISTAS!F$3:$F$1048576),"")</f>
        <v/>
      </c>
      <c r="V1293" s="66"/>
      <c r="W1293" s="66"/>
      <c r="X1293" s="66"/>
      <c r="Y1293" s="66"/>
      <c r="Z1293" s="66"/>
      <c r="AA1293" s="66"/>
      <c r="AB1293" s="66"/>
      <c r="AC1293" s="66"/>
      <c r="AD1293" s="66"/>
      <c r="AE1293" s="66"/>
      <c r="AF1293" s="44"/>
      <c r="AG1293" s="254">
        <f>Prog_236[[#This Row],[SAÍDA DO CLIENTE]]-Prog_236[[#This Row],[PROGRAMAÇÃO CLIENTE]]</f>
        <v>0</v>
      </c>
      <c r="AH1293" s="44"/>
      <c r="AI1293" s="66"/>
      <c r="AJ1293" s="66"/>
      <c r="AK1293" s="66"/>
      <c r="AL1293" s="66"/>
      <c r="AM1293" s="66"/>
      <c r="AN1293" s="83"/>
      <c r="AO1293" s="66"/>
      <c r="AP1293" s="66"/>
      <c r="AQ1293" s="66"/>
      <c r="AR1293" s="81"/>
      <c r="AS1293" s="81"/>
      <c r="AT1293" s="81"/>
      <c r="AU1293" s="81"/>
      <c r="AV1293" s="83">
        <f>SUM(Prog_236[[#This Row],[ADIANTAMENTO]]+Prog_236[[#This Row],[SALDO]]+Prog_236[[#This Row],[MARGEM]]+Prog_236[[#This Row],[ESTADIA 1]])</f>
        <v>0</v>
      </c>
      <c r="AW12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3" s="81"/>
      <c r="AY1293" s="81"/>
      <c r="AZ1293" s="81">
        <f>Prog_236[[#This Row],[VLR NF]]*0.1%</f>
        <v>0</v>
      </c>
      <c r="BA1293" s="81">
        <f>Prog_236[[#This Row],[VLR NF]]*0.05%</f>
        <v>0</v>
      </c>
      <c r="BB1293" s="81"/>
      <c r="BC1293" s="81"/>
      <c r="BD1293" s="81"/>
      <c r="BE1293" s="81"/>
      <c r="BF1293" s="81"/>
      <c r="BG1293" s="81"/>
      <c r="BH1293" s="81"/>
      <c r="BI1293" s="81"/>
      <c r="BJ1293" s="81"/>
      <c r="BK1293" s="81"/>
      <c r="BL1293" s="66"/>
      <c r="BM1293" s="66"/>
      <c r="BN1293" s="66"/>
      <c r="BO1293" s="66" t="str">
        <f>PROPER(TEXT(Prog_236[[#This Row],[PROGRAMAÇÃO CLIENTE]],"mmm"))</f>
        <v>Jan</v>
      </c>
      <c r="BP1293" s="66">
        <f>YEAR(Prog_236[[#This Row],[PROGRAMAÇÃO CLIENTE]])</f>
        <v>1900</v>
      </c>
    </row>
    <row r="1294" spans="1:68" x14ac:dyDescent="0.25">
      <c r="A1294" s="201">
        <f>Prog_236[[#This Row],[CONTEINER]]</f>
        <v>0</v>
      </c>
      <c r="B1294" s="86"/>
      <c r="C12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4" s="44"/>
      <c r="E1294" s="66"/>
      <c r="F1294" s="66"/>
      <c r="G1294" s="66"/>
      <c r="H1294" s="44"/>
      <c r="I1294" s="44"/>
      <c r="J1294" s="66"/>
      <c r="K1294" s="66"/>
      <c r="L1294" s="66"/>
      <c r="M1294" s="66"/>
      <c r="N1294" s="66">
        <f>SUM(Prog_236[[#This Row],[TARA]]+Prog_236[[#This Row],[PESO]])</f>
        <v>0</v>
      </c>
      <c r="O1294" s="44"/>
      <c r="P1294" s="66"/>
      <c r="Q1294" s="66"/>
      <c r="R1294" s="66"/>
      <c r="S1294" s="66"/>
      <c r="T1294" s="138" t="str">
        <f>IFERROR(LOOKUP($S1294,MOTORISTAS!$D$3:$D$1048576,MOTORISTAS!E$3:$E$1048576),"")</f>
        <v/>
      </c>
      <c r="U1294" s="138" t="str">
        <f>IFERROR(LOOKUP($S1294,MOTORISTAS!$D$3:$D$1048576,MOTORISTAS!F$3:$F$1048576),"")</f>
        <v/>
      </c>
      <c r="V1294" s="66"/>
      <c r="W1294" s="66"/>
      <c r="X1294" s="66"/>
      <c r="Y1294" s="66"/>
      <c r="Z1294" s="66"/>
      <c r="AA1294" s="66"/>
      <c r="AB1294" s="66"/>
      <c r="AC1294" s="66"/>
      <c r="AD1294" s="66"/>
      <c r="AE1294" s="66"/>
      <c r="AF1294" s="44"/>
      <c r="AG1294" s="254">
        <f>Prog_236[[#This Row],[SAÍDA DO CLIENTE]]-Prog_236[[#This Row],[PROGRAMAÇÃO CLIENTE]]</f>
        <v>0</v>
      </c>
      <c r="AH1294" s="44"/>
      <c r="AI1294" s="66"/>
      <c r="AJ1294" s="66"/>
      <c r="AK1294" s="66"/>
      <c r="AL1294" s="66"/>
      <c r="AM1294" s="66"/>
      <c r="AN1294" s="83"/>
      <c r="AO1294" s="66"/>
      <c r="AP1294" s="66"/>
      <c r="AQ1294" s="66"/>
      <c r="AR1294" s="81"/>
      <c r="AS1294" s="81"/>
      <c r="AT1294" s="81"/>
      <c r="AU1294" s="81"/>
      <c r="AV1294" s="83">
        <f>SUM(Prog_236[[#This Row],[ADIANTAMENTO]]+Prog_236[[#This Row],[SALDO]]+Prog_236[[#This Row],[MARGEM]]+Prog_236[[#This Row],[ESTADIA 1]])</f>
        <v>0</v>
      </c>
      <c r="AW12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4" s="81"/>
      <c r="AY1294" s="81"/>
      <c r="AZ1294" s="81">
        <f>Prog_236[[#This Row],[VLR NF]]*0.1%</f>
        <v>0</v>
      </c>
      <c r="BA1294" s="81">
        <f>Prog_236[[#This Row],[VLR NF]]*0.05%</f>
        <v>0</v>
      </c>
      <c r="BB1294" s="81"/>
      <c r="BC1294" s="81"/>
      <c r="BD1294" s="81"/>
      <c r="BE1294" s="81"/>
      <c r="BF1294" s="81"/>
      <c r="BG1294" s="81"/>
      <c r="BH1294" s="81"/>
      <c r="BI1294" s="81"/>
      <c r="BJ1294" s="81"/>
      <c r="BK1294" s="81"/>
      <c r="BL1294" s="66"/>
      <c r="BM1294" s="66"/>
      <c r="BN1294" s="66"/>
      <c r="BO1294" s="66" t="str">
        <f>PROPER(TEXT(Prog_236[[#This Row],[PROGRAMAÇÃO CLIENTE]],"mmm"))</f>
        <v>Jan</v>
      </c>
      <c r="BP1294" s="66">
        <f>YEAR(Prog_236[[#This Row],[PROGRAMAÇÃO CLIENTE]])</f>
        <v>1900</v>
      </c>
    </row>
    <row r="1295" spans="1:68" x14ac:dyDescent="0.25">
      <c r="A1295" s="200">
        <f>Prog_236[[#This Row],[CONTEINER]]</f>
        <v>0</v>
      </c>
      <c r="B1295" s="86"/>
      <c r="C12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5" s="44"/>
      <c r="E1295" s="66"/>
      <c r="F1295" s="66"/>
      <c r="G1295" s="66"/>
      <c r="H1295" s="44"/>
      <c r="I1295" s="44"/>
      <c r="J1295" s="66"/>
      <c r="K1295" s="66"/>
      <c r="L1295" s="66"/>
      <c r="M1295" s="66"/>
      <c r="N1295" s="66">
        <f>SUM(Prog_236[[#This Row],[TARA]]+Prog_236[[#This Row],[PESO]])</f>
        <v>0</v>
      </c>
      <c r="O1295" s="44"/>
      <c r="P1295" s="66"/>
      <c r="Q1295" s="66"/>
      <c r="R1295" s="66"/>
      <c r="S1295" s="66"/>
      <c r="T1295" s="138" t="str">
        <f>IFERROR(LOOKUP($S1295,MOTORISTAS!$D$3:$D$1048576,MOTORISTAS!E$3:$E$1048576),"")</f>
        <v/>
      </c>
      <c r="U1295" s="138" t="str">
        <f>IFERROR(LOOKUP($S1295,MOTORISTAS!$D$3:$D$1048576,MOTORISTAS!F$3:$F$1048576),"")</f>
        <v/>
      </c>
      <c r="V1295" s="66"/>
      <c r="W1295" s="66"/>
      <c r="X1295" s="66"/>
      <c r="Y1295" s="66"/>
      <c r="Z1295" s="66"/>
      <c r="AA1295" s="66"/>
      <c r="AB1295" s="66"/>
      <c r="AC1295" s="66"/>
      <c r="AD1295" s="66"/>
      <c r="AE1295" s="66"/>
      <c r="AF1295" s="44"/>
      <c r="AG1295" s="254">
        <f>Prog_236[[#This Row],[SAÍDA DO CLIENTE]]-Prog_236[[#This Row],[PROGRAMAÇÃO CLIENTE]]</f>
        <v>0</v>
      </c>
      <c r="AH1295" s="44"/>
      <c r="AI1295" s="66"/>
      <c r="AJ1295" s="66"/>
      <c r="AK1295" s="66"/>
      <c r="AL1295" s="66"/>
      <c r="AM1295" s="66"/>
      <c r="AN1295" s="83"/>
      <c r="AO1295" s="66"/>
      <c r="AP1295" s="66"/>
      <c r="AQ1295" s="66"/>
      <c r="AR1295" s="81"/>
      <c r="AS1295" s="81"/>
      <c r="AT1295" s="81"/>
      <c r="AU1295" s="81"/>
      <c r="AV1295" s="83">
        <f>SUM(Prog_236[[#This Row],[ADIANTAMENTO]]+Prog_236[[#This Row],[SALDO]]+Prog_236[[#This Row],[MARGEM]]+Prog_236[[#This Row],[ESTADIA 1]])</f>
        <v>0</v>
      </c>
      <c r="AW12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5" s="81"/>
      <c r="AY1295" s="81"/>
      <c r="AZ1295" s="81">
        <f>Prog_236[[#This Row],[VLR NF]]*0.1%</f>
        <v>0</v>
      </c>
      <c r="BA1295" s="81">
        <f>Prog_236[[#This Row],[VLR NF]]*0.05%</f>
        <v>0</v>
      </c>
      <c r="BB1295" s="81"/>
      <c r="BC1295" s="81"/>
      <c r="BD1295" s="81"/>
      <c r="BE1295" s="81"/>
      <c r="BF1295" s="81"/>
      <c r="BG1295" s="81"/>
      <c r="BH1295" s="81"/>
      <c r="BI1295" s="81"/>
      <c r="BJ1295" s="81"/>
      <c r="BK1295" s="81"/>
      <c r="BL1295" s="66"/>
      <c r="BM1295" s="66"/>
      <c r="BN1295" s="66"/>
      <c r="BO1295" s="66" t="str">
        <f>PROPER(TEXT(Prog_236[[#This Row],[PROGRAMAÇÃO CLIENTE]],"mmm"))</f>
        <v>Jan</v>
      </c>
      <c r="BP1295" s="66">
        <f>YEAR(Prog_236[[#This Row],[PROGRAMAÇÃO CLIENTE]])</f>
        <v>1900</v>
      </c>
    </row>
    <row r="1296" spans="1:68" x14ac:dyDescent="0.25">
      <c r="A1296" s="201">
        <f>Prog_236[[#This Row],[CONTEINER]]</f>
        <v>0</v>
      </c>
      <c r="B1296" s="86"/>
      <c r="C12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6" s="44"/>
      <c r="E1296" s="66"/>
      <c r="F1296" s="66"/>
      <c r="G1296" s="66"/>
      <c r="H1296" s="44"/>
      <c r="I1296" s="44"/>
      <c r="J1296" s="66"/>
      <c r="K1296" s="66"/>
      <c r="L1296" s="66"/>
      <c r="M1296" s="66"/>
      <c r="N1296" s="66">
        <f>SUM(Prog_236[[#This Row],[TARA]]+Prog_236[[#This Row],[PESO]])</f>
        <v>0</v>
      </c>
      <c r="O1296" s="44"/>
      <c r="P1296" s="66"/>
      <c r="Q1296" s="66"/>
      <c r="R1296" s="66"/>
      <c r="S1296" s="66"/>
      <c r="T1296" s="138" t="str">
        <f>IFERROR(LOOKUP($S1296,MOTORISTAS!$D$3:$D$1048576,MOTORISTAS!E$3:$E$1048576),"")</f>
        <v/>
      </c>
      <c r="U1296" s="138" t="str">
        <f>IFERROR(LOOKUP($S1296,MOTORISTAS!$D$3:$D$1048576,MOTORISTAS!F$3:$F$1048576),"")</f>
        <v/>
      </c>
      <c r="V1296" s="66"/>
      <c r="W1296" s="66"/>
      <c r="X1296" s="66"/>
      <c r="Y1296" s="66"/>
      <c r="Z1296" s="66"/>
      <c r="AA1296" s="66"/>
      <c r="AB1296" s="66"/>
      <c r="AC1296" s="66"/>
      <c r="AD1296" s="66"/>
      <c r="AE1296" s="66"/>
      <c r="AF1296" s="44"/>
      <c r="AG1296" s="254">
        <f>Prog_236[[#This Row],[SAÍDA DO CLIENTE]]-Prog_236[[#This Row],[PROGRAMAÇÃO CLIENTE]]</f>
        <v>0</v>
      </c>
      <c r="AH1296" s="44"/>
      <c r="AI1296" s="66"/>
      <c r="AJ1296" s="66"/>
      <c r="AK1296" s="66"/>
      <c r="AL1296" s="66"/>
      <c r="AM1296" s="66"/>
      <c r="AN1296" s="83"/>
      <c r="AO1296" s="66"/>
      <c r="AP1296" s="66"/>
      <c r="AQ1296" s="66"/>
      <c r="AR1296" s="81"/>
      <c r="AS1296" s="81"/>
      <c r="AT1296" s="81"/>
      <c r="AU1296" s="81"/>
      <c r="AV1296" s="83">
        <f>SUM(Prog_236[[#This Row],[ADIANTAMENTO]]+Prog_236[[#This Row],[SALDO]]+Prog_236[[#This Row],[MARGEM]]+Prog_236[[#This Row],[ESTADIA 1]])</f>
        <v>0</v>
      </c>
      <c r="AW12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6" s="81"/>
      <c r="AY1296" s="81"/>
      <c r="AZ1296" s="81">
        <f>Prog_236[[#This Row],[VLR NF]]*0.1%</f>
        <v>0</v>
      </c>
      <c r="BA1296" s="81">
        <f>Prog_236[[#This Row],[VLR NF]]*0.05%</f>
        <v>0</v>
      </c>
      <c r="BB1296" s="81"/>
      <c r="BC1296" s="81"/>
      <c r="BD1296" s="81"/>
      <c r="BE1296" s="81"/>
      <c r="BF1296" s="81"/>
      <c r="BG1296" s="81"/>
      <c r="BH1296" s="81"/>
      <c r="BI1296" s="81"/>
      <c r="BJ1296" s="81"/>
      <c r="BK1296" s="81"/>
      <c r="BL1296" s="66"/>
      <c r="BM1296" s="66"/>
      <c r="BN1296" s="66"/>
      <c r="BO1296" s="66" t="str">
        <f>PROPER(TEXT(Prog_236[[#This Row],[PROGRAMAÇÃO CLIENTE]],"mmm"))</f>
        <v>Jan</v>
      </c>
      <c r="BP1296" s="66">
        <f>YEAR(Prog_236[[#This Row],[PROGRAMAÇÃO CLIENTE]])</f>
        <v>1900</v>
      </c>
    </row>
    <row r="1297" spans="1:68" x14ac:dyDescent="0.25">
      <c r="A1297" s="200">
        <f>Prog_236[[#This Row],[CONTEINER]]</f>
        <v>0</v>
      </c>
      <c r="B1297" s="86"/>
      <c r="C12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7" s="44"/>
      <c r="E1297" s="66"/>
      <c r="F1297" s="66"/>
      <c r="G1297" s="66"/>
      <c r="H1297" s="44"/>
      <c r="I1297" s="44"/>
      <c r="J1297" s="66"/>
      <c r="K1297" s="66"/>
      <c r="L1297" s="66"/>
      <c r="M1297" s="66"/>
      <c r="N1297" s="66">
        <f>SUM(Prog_236[[#This Row],[TARA]]+Prog_236[[#This Row],[PESO]])</f>
        <v>0</v>
      </c>
      <c r="O1297" s="44"/>
      <c r="P1297" s="66"/>
      <c r="Q1297" s="66"/>
      <c r="R1297" s="66"/>
      <c r="S1297" s="66"/>
      <c r="T1297" s="138" t="str">
        <f>IFERROR(LOOKUP($S1297,MOTORISTAS!$D$3:$D$1048576,MOTORISTAS!E$3:$E$1048576),"")</f>
        <v/>
      </c>
      <c r="U1297" s="138" t="str">
        <f>IFERROR(LOOKUP($S1297,MOTORISTAS!$D$3:$D$1048576,MOTORISTAS!F$3:$F$1048576),"")</f>
        <v/>
      </c>
      <c r="V1297" s="66"/>
      <c r="W1297" s="66"/>
      <c r="X1297" s="66"/>
      <c r="Y1297" s="66"/>
      <c r="Z1297" s="66"/>
      <c r="AA1297" s="66"/>
      <c r="AB1297" s="66"/>
      <c r="AC1297" s="66"/>
      <c r="AD1297" s="66"/>
      <c r="AE1297" s="66"/>
      <c r="AF1297" s="44"/>
      <c r="AG1297" s="254">
        <f>Prog_236[[#This Row],[SAÍDA DO CLIENTE]]-Prog_236[[#This Row],[PROGRAMAÇÃO CLIENTE]]</f>
        <v>0</v>
      </c>
      <c r="AH1297" s="44"/>
      <c r="AI1297" s="66"/>
      <c r="AJ1297" s="66"/>
      <c r="AK1297" s="66"/>
      <c r="AL1297" s="66"/>
      <c r="AM1297" s="66"/>
      <c r="AN1297" s="83"/>
      <c r="AO1297" s="66"/>
      <c r="AP1297" s="66"/>
      <c r="AQ1297" s="66"/>
      <c r="AR1297" s="81"/>
      <c r="AS1297" s="81"/>
      <c r="AT1297" s="81"/>
      <c r="AU1297" s="81"/>
      <c r="AV1297" s="83">
        <f>SUM(Prog_236[[#This Row],[ADIANTAMENTO]]+Prog_236[[#This Row],[SALDO]]+Prog_236[[#This Row],[MARGEM]]+Prog_236[[#This Row],[ESTADIA 1]])</f>
        <v>0</v>
      </c>
      <c r="AW12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7" s="81"/>
      <c r="AY1297" s="81"/>
      <c r="AZ1297" s="81">
        <f>Prog_236[[#This Row],[VLR NF]]*0.1%</f>
        <v>0</v>
      </c>
      <c r="BA1297" s="81">
        <f>Prog_236[[#This Row],[VLR NF]]*0.05%</f>
        <v>0</v>
      </c>
      <c r="BB1297" s="81"/>
      <c r="BC1297" s="81"/>
      <c r="BD1297" s="81"/>
      <c r="BE1297" s="81"/>
      <c r="BF1297" s="81"/>
      <c r="BG1297" s="81"/>
      <c r="BH1297" s="81"/>
      <c r="BI1297" s="81"/>
      <c r="BJ1297" s="81"/>
      <c r="BK1297" s="81"/>
      <c r="BL1297" s="66"/>
      <c r="BM1297" s="66"/>
      <c r="BN1297" s="66"/>
      <c r="BO1297" s="66" t="str">
        <f>PROPER(TEXT(Prog_236[[#This Row],[PROGRAMAÇÃO CLIENTE]],"mmm"))</f>
        <v>Jan</v>
      </c>
      <c r="BP1297" s="66">
        <f>YEAR(Prog_236[[#This Row],[PROGRAMAÇÃO CLIENTE]])</f>
        <v>1900</v>
      </c>
    </row>
    <row r="1298" spans="1:68" x14ac:dyDescent="0.25">
      <c r="A1298" s="201">
        <f>Prog_236[[#This Row],[CONTEINER]]</f>
        <v>0</v>
      </c>
      <c r="B1298" s="86"/>
      <c r="C12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8" s="44"/>
      <c r="E1298" s="66"/>
      <c r="F1298" s="66"/>
      <c r="G1298" s="66"/>
      <c r="H1298" s="44"/>
      <c r="I1298" s="44"/>
      <c r="J1298" s="66"/>
      <c r="K1298" s="66"/>
      <c r="L1298" s="66"/>
      <c r="M1298" s="66"/>
      <c r="N1298" s="66">
        <f>SUM(Prog_236[[#This Row],[TARA]]+Prog_236[[#This Row],[PESO]])</f>
        <v>0</v>
      </c>
      <c r="O1298" s="44"/>
      <c r="P1298" s="66"/>
      <c r="Q1298" s="66"/>
      <c r="R1298" s="66"/>
      <c r="S1298" s="66"/>
      <c r="T1298" s="138" t="str">
        <f>IFERROR(LOOKUP($S1298,MOTORISTAS!$D$3:$D$1048576,MOTORISTAS!E$3:$E$1048576),"")</f>
        <v/>
      </c>
      <c r="U1298" s="138" t="str">
        <f>IFERROR(LOOKUP($S1298,MOTORISTAS!$D$3:$D$1048576,MOTORISTAS!F$3:$F$1048576),"")</f>
        <v/>
      </c>
      <c r="V1298" s="66"/>
      <c r="W1298" s="66"/>
      <c r="X1298" s="66"/>
      <c r="Y1298" s="66"/>
      <c r="Z1298" s="66"/>
      <c r="AA1298" s="66"/>
      <c r="AB1298" s="66"/>
      <c r="AC1298" s="66"/>
      <c r="AD1298" s="66"/>
      <c r="AE1298" s="66"/>
      <c r="AF1298" s="44"/>
      <c r="AG1298" s="254">
        <f>Prog_236[[#This Row],[SAÍDA DO CLIENTE]]-Prog_236[[#This Row],[PROGRAMAÇÃO CLIENTE]]</f>
        <v>0</v>
      </c>
      <c r="AH1298" s="44"/>
      <c r="AI1298" s="66"/>
      <c r="AJ1298" s="66"/>
      <c r="AK1298" s="66"/>
      <c r="AL1298" s="66"/>
      <c r="AM1298" s="66"/>
      <c r="AN1298" s="83"/>
      <c r="AO1298" s="66"/>
      <c r="AP1298" s="66"/>
      <c r="AQ1298" s="66"/>
      <c r="AR1298" s="81"/>
      <c r="AS1298" s="81"/>
      <c r="AT1298" s="81"/>
      <c r="AU1298" s="81"/>
      <c r="AV1298" s="83">
        <f>SUM(Prog_236[[#This Row],[ADIANTAMENTO]]+Prog_236[[#This Row],[SALDO]]+Prog_236[[#This Row],[MARGEM]]+Prog_236[[#This Row],[ESTADIA 1]])</f>
        <v>0</v>
      </c>
      <c r="AW12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8" s="81"/>
      <c r="AY1298" s="81"/>
      <c r="AZ1298" s="81">
        <f>Prog_236[[#This Row],[VLR NF]]*0.1%</f>
        <v>0</v>
      </c>
      <c r="BA1298" s="81">
        <f>Prog_236[[#This Row],[VLR NF]]*0.05%</f>
        <v>0</v>
      </c>
      <c r="BB1298" s="81"/>
      <c r="BC1298" s="81"/>
      <c r="BD1298" s="81"/>
      <c r="BE1298" s="81"/>
      <c r="BF1298" s="81"/>
      <c r="BG1298" s="81"/>
      <c r="BH1298" s="81"/>
      <c r="BI1298" s="81"/>
      <c r="BJ1298" s="81"/>
      <c r="BK1298" s="81"/>
      <c r="BL1298" s="66"/>
      <c r="BM1298" s="66"/>
      <c r="BN1298" s="66"/>
      <c r="BO1298" s="66" t="str">
        <f>PROPER(TEXT(Prog_236[[#This Row],[PROGRAMAÇÃO CLIENTE]],"mmm"))</f>
        <v>Jan</v>
      </c>
      <c r="BP1298" s="66">
        <f>YEAR(Prog_236[[#This Row],[PROGRAMAÇÃO CLIENTE]])</f>
        <v>1900</v>
      </c>
    </row>
    <row r="1299" spans="1:68" x14ac:dyDescent="0.25">
      <c r="A1299" s="200">
        <f>Prog_236[[#This Row],[CONTEINER]]</f>
        <v>0</v>
      </c>
      <c r="B1299" s="86"/>
      <c r="C12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299" s="44"/>
      <c r="E1299" s="66"/>
      <c r="F1299" s="66"/>
      <c r="G1299" s="66"/>
      <c r="H1299" s="44"/>
      <c r="I1299" s="44"/>
      <c r="J1299" s="66"/>
      <c r="K1299" s="66"/>
      <c r="L1299" s="66"/>
      <c r="M1299" s="66"/>
      <c r="N1299" s="66">
        <f>SUM(Prog_236[[#This Row],[TARA]]+Prog_236[[#This Row],[PESO]])</f>
        <v>0</v>
      </c>
      <c r="O1299" s="44"/>
      <c r="P1299" s="66"/>
      <c r="Q1299" s="66"/>
      <c r="R1299" s="66"/>
      <c r="S1299" s="66"/>
      <c r="T1299" s="138" t="str">
        <f>IFERROR(LOOKUP($S1299,MOTORISTAS!$D$3:$D$1048576,MOTORISTAS!E$3:$E$1048576),"")</f>
        <v/>
      </c>
      <c r="U1299" s="138" t="str">
        <f>IFERROR(LOOKUP($S1299,MOTORISTAS!$D$3:$D$1048576,MOTORISTAS!F$3:$F$1048576),"")</f>
        <v/>
      </c>
      <c r="V1299" s="66"/>
      <c r="W1299" s="66"/>
      <c r="X1299" s="66"/>
      <c r="Y1299" s="66"/>
      <c r="Z1299" s="66"/>
      <c r="AA1299" s="66"/>
      <c r="AB1299" s="66"/>
      <c r="AC1299" s="66"/>
      <c r="AD1299" s="66"/>
      <c r="AE1299" s="66"/>
      <c r="AF1299" s="44"/>
      <c r="AG1299" s="254">
        <f>Prog_236[[#This Row],[SAÍDA DO CLIENTE]]-Prog_236[[#This Row],[PROGRAMAÇÃO CLIENTE]]</f>
        <v>0</v>
      </c>
      <c r="AH1299" s="44"/>
      <c r="AI1299" s="66"/>
      <c r="AJ1299" s="66"/>
      <c r="AK1299" s="66"/>
      <c r="AL1299" s="66"/>
      <c r="AM1299" s="66"/>
      <c r="AN1299" s="83"/>
      <c r="AO1299" s="66"/>
      <c r="AP1299" s="66"/>
      <c r="AQ1299" s="66"/>
      <c r="AR1299" s="81"/>
      <c r="AS1299" s="81"/>
      <c r="AT1299" s="81"/>
      <c r="AU1299" s="81"/>
      <c r="AV1299" s="83">
        <f>SUM(Prog_236[[#This Row],[ADIANTAMENTO]]+Prog_236[[#This Row],[SALDO]]+Prog_236[[#This Row],[MARGEM]]+Prog_236[[#This Row],[ESTADIA 1]])</f>
        <v>0</v>
      </c>
      <c r="AW12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299" s="81"/>
      <c r="AY1299" s="81"/>
      <c r="AZ1299" s="81">
        <f>Prog_236[[#This Row],[VLR NF]]*0.1%</f>
        <v>0</v>
      </c>
      <c r="BA1299" s="81">
        <f>Prog_236[[#This Row],[VLR NF]]*0.05%</f>
        <v>0</v>
      </c>
      <c r="BB1299" s="81"/>
      <c r="BC1299" s="81"/>
      <c r="BD1299" s="81"/>
      <c r="BE1299" s="81"/>
      <c r="BF1299" s="81"/>
      <c r="BG1299" s="81"/>
      <c r="BH1299" s="81"/>
      <c r="BI1299" s="81"/>
      <c r="BJ1299" s="81"/>
      <c r="BK1299" s="81"/>
      <c r="BL1299" s="66"/>
      <c r="BM1299" s="66"/>
      <c r="BN1299" s="66"/>
      <c r="BO1299" s="66" t="str">
        <f>PROPER(TEXT(Prog_236[[#This Row],[PROGRAMAÇÃO CLIENTE]],"mmm"))</f>
        <v>Jan</v>
      </c>
      <c r="BP1299" s="66">
        <f>YEAR(Prog_236[[#This Row],[PROGRAMAÇÃO CLIENTE]])</f>
        <v>1900</v>
      </c>
    </row>
    <row r="1300" spans="1:68" x14ac:dyDescent="0.25">
      <c r="A1300" s="201">
        <f>Prog_236[[#This Row],[CONTEINER]]</f>
        <v>0</v>
      </c>
      <c r="B1300" s="86"/>
      <c r="C13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0" s="44"/>
      <c r="E1300" s="66"/>
      <c r="F1300" s="66"/>
      <c r="G1300" s="66"/>
      <c r="H1300" s="44"/>
      <c r="I1300" s="44"/>
      <c r="J1300" s="66"/>
      <c r="K1300" s="66"/>
      <c r="L1300" s="66"/>
      <c r="M1300" s="66"/>
      <c r="N1300" s="66">
        <f>SUM(Prog_236[[#This Row],[TARA]]+Prog_236[[#This Row],[PESO]])</f>
        <v>0</v>
      </c>
      <c r="O1300" s="44"/>
      <c r="P1300" s="66"/>
      <c r="Q1300" s="66"/>
      <c r="R1300" s="66"/>
      <c r="S1300" s="66"/>
      <c r="T1300" s="138" t="str">
        <f>IFERROR(LOOKUP($S1300,MOTORISTAS!$D$3:$D$1048576,MOTORISTAS!E$3:$E$1048576),"")</f>
        <v/>
      </c>
      <c r="U1300" s="138" t="str">
        <f>IFERROR(LOOKUP($S1300,MOTORISTAS!$D$3:$D$1048576,MOTORISTAS!F$3:$F$1048576),"")</f>
        <v/>
      </c>
      <c r="V1300" s="66"/>
      <c r="W1300" s="66"/>
      <c r="X1300" s="66"/>
      <c r="Y1300" s="66"/>
      <c r="Z1300" s="66"/>
      <c r="AA1300" s="66"/>
      <c r="AB1300" s="66"/>
      <c r="AC1300" s="66"/>
      <c r="AD1300" s="66"/>
      <c r="AE1300" s="66"/>
      <c r="AF1300" s="44"/>
      <c r="AG1300" s="254">
        <f>Prog_236[[#This Row],[SAÍDA DO CLIENTE]]-Prog_236[[#This Row],[PROGRAMAÇÃO CLIENTE]]</f>
        <v>0</v>
      </c>
      <c r="AH1300" s="44"/>
      <c r="AI1300" s="66"/>
      <c r="AJ1300" s="66"/>
      <c r="AK1300" s="66"/>
      <c r="AL1300" s="66"/>
      <c r="AM1300" s="66"/>
      <c r="AN1300" s="83"/>
      <c r="AO1300" s="66"/>
      <c r="AP1300" s="66"/>
      <c r="AQ1300" s="66"/>
      <c r="AR1300" s="81"/>
      <c r="AS1300" s="81"/>
      <c r="AT1300" s="81"/>
      <c r="AU1300" s="81"/>
      <c r="AV1300" s="83">
        <f>SUM(Prog_236[[#This Row],[ADIANTAMENTO]]+Prog_236[[#This Row],[SALDO]]+Prog_236[[#This Row],[MARGEM]]+Prog_236[[#This Row],[ESTADIA 1]])</f>
        <v>0</v>
      </c>
      <c r="AW13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0" s="81"/>
      <c r="AY1300" s="81"/>
      <c r="AZ1300" s="81">
        <f>Prog_236[[#This Row],[VLR NF]]*0.1%</f>
        <v>0</v>
      </c>
      <c r="BA1300" s="81">
        <f>Prog_236[[#This Row],[VLR NF]]*0.05%</f>
        <v>0</v>
      </c>
      <c r="BB1300" s="81"/>
      <c r="BC1300" s="81"/>
      <c r="BD1300" s="81"/>
      <c r="BE1300" s="81"/>
      <c r="BF1300" s="81"/>
      <c r="BG1300" s="81"/>
      <c r="BH1300" s="81"/>
      <c r="BI1300" s="81"/>
      <c r="BJ1300" s="81"/>
      <c r="BK1300" s="81"/>
      <c r="BL1300" s="66"/>
      <c r="BM1300" s="66"/>
      <c r="BN1300" s="66"/>
      <c r="BO1300" s="66" t="str">
        <f>PROPER(TEXT(Prog_236[[#This Row],[PROGRAMAÇÃO CLIENTE]],"mmm"))</f>
        <v>Jan</v>
      </c>
      <c r="BP1300" s="66">
        <f>YEAR(Prog_236[[#This Row],[PROGRAMAÇÃO CLIENTE]])</f>
        <v>1900</v>
      </c>
    </row>
    <row r="1301" spans="1:68" x14ac:dyDescent="0.25">
      <c r="A1301" s="200">
        <f>Prog_236[[#This Row],[CONTEINER]]</f>
        <v>0</v>
      </c>
      <c r="B1301" s="86"/>
      <c r="C13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1" s="44"/>
      <c r="E1301" s="66"/>
      <c r="F1301" s="66"/>
      <c r="G1301" s="66"/>
      <c r="H1301" s="44"/>
      <c r="I1301" s="44"/>
      <c r="J1301" s="66"/>
      <c r="K1301" s="66"/>
      <c r="L1301" s="66"/>
      <c r="M1301" s="66"/>
      <c r="N1301" s="66">
        <f>SUM(Prog_236[[#This Row],[TARA]]+Prog_236[[#This Row],[PESO]])</f>
        <v>0</v>
      </c>
      <c r="O1301" s="44"/>
      <c r="P1301" s="66"/>
      <c r="Q1301" s="66"/>
      <c r="R1301" s="66"/>
      <c r="S1301" s="66"/>
      <c r="T1301" s="138" t="str">
        <f>IFERROR(LOOKUP($S1301,MOTORISTAS!$D$3:$D$1048576,MOTORISTAS!E$3:$E$1048576),"")</f>
        <v/>
      </c>
      <c r="U1301" s="138" t="str">
        <f>IFERROR(LOOKUP($S1301,MOTORISTAS!$D$3:$D$1048576,MOTORISTAS!F$3:$F$1048576),"")</f>
        <v/>
      </c>
      <c r="V1301" s="66"/>
      <c r="W1301" s="66"/>
      <c r="X1301" s="66"/>
      <c r="Y1301" s="66"/>
      <c r="Z1301" s="66"/>
      <c r="AA1301" s="66"/>
      <c r="AB1301" s="66"/>
      <c r="AC1301" s="66"/>
      <c r="AD1301" s="66"/>
      <c r="AE1301" s="66"/>
      <c r="AF1301" s="44"/>
      <c r="AG1301" s="254">
        <f>Prog_236[[#This Row],[SAÍDA DO CLIENTE]]-Prog_236[[#This Row],[PROGRAMAÇÃO CLIENTE]]</f>
        <v>0</v>
      </c>
      <c r="AH1301" s="44"/>
      <c r="AI1301" s="66"/>
      <c r="AJ1301" s="66"/>
      <c r="AK1301" s="66"/>
      <c r="AL1301" s="66"/>
      <c r="AM1301" s="66"/>
      <c r="AN1301" s="83"/>
      <c r="AO1301" s="66"/>
      <c r="AP1301" s="66"/>
      <c r="AQ1301" s="66"/>
      <c r="AR1301" s="81"/>
      <c r="AS1301" s="81"/>
      <c r="AT1301" s="81"/>
      <c r="AU1301" s="81"/>
      <c r="AV1301" s="83">
        <f>SUM(Prog_236[[#This Row],[ADIANTAMENTO]]+Prog_236[[#This Row],[SALDO]]+Prog_236[[#This Row],[MARGEM]]+Prog_236[[#This Row],[ESTADIA 1]])</f>
        <v>0</v>
      </c>
      <c r="AW13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1" s="81"/>
      <c r="AY1301" s="81"/>
      <c r="AZ1301" s="81">
        <f>Prog_236[[#This Row],[VLR NF]]*0.1%</f>
        <v>0</v>
      </c>
      <c r="BA1301" s="81">
        <f>Prog_236[[#This Row],[VLR NF]]*0.05%</f>
        <v>0</v>
      </c>
      <c r="BB1301" s="81"/>
      <c r="BC1301" s="81"/>
      <c r="BD1301" s="81"/>
      <c r="BE1301" s="81"/>
      <c r="BF1301" s="81"/>
      <c r="BG1301" s="81"/>
      <c r="BH1301" s="81"/>
      <c r="BI1301" s="81"/>
      <c r="BJ1301" s="81"/>
      <c r="BK1301" s="81"/>
      <c r="BL1301" s="66"/>
      <c r="BM1301" s="66"/>
      <c r="BN1301" s="66"/>
      <c r="BO1301" s="66" t="str">
        <f>PROPER(TEXT(Prog_236[[#This Row],[PROGRAMAÇÃO CLIENTE]],"mmm"))</f>
        <v>Jan</v>
      </c>
      <c r="BP1301" s="66">
        <f>YEAR(Prog_236[[#This Row],[PROGRAMAÇÃO CLIENTE]])</f>
        <v>1900</v>
      </c>
    </row>
    <row r="1302" spans="1:68" x14ac:dyDescent="0.25">
      <c r="A1302" s="201">
        <f>Prog_236[[#This Row],[CONTEINER]]</f>
        <v>0</v>
      </c>
      <c r="B1302" s="86"/>
      <c r="C13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2" s="44"/>
      <c r="E1302" s="66"/>
      <c r="F1302" s="66"/>
      <c r="G1302" s="66"/>
      <c r="H1302" s="44"/>
      <c r="I1302" s="44"/>
      <c r="J1302" s="66"/>
      <c r="K1302" s="66"/>
      <c r="L1302" s="66"/>
      <c r="M1302" s="66"/>
      <c r="N1302" s="66">
        <f>SUM(Prog_236[[#This Row],[TARA]]+Prog_236[[#This Row],[PESO]])</f>
        <v>0</v>
      </c>
      <c r="O1302" s="44"/>
      <c r="P1302" s="66"/>
      <c r="Q1302" s="66"/>
      <c r="R1302" s="66"/>
      <c r="S1302" s="66"/>
      <c r="T1302" s="138" t="str">
        <f>IFERROR(LOOKUP($S1302,MOTORISTAS!$D$3:$D$1048576,MOTORISTAS!E$3:$E$1048576),"")</f>
        <v/>
      </c>
      <c r="U1302" s="138" t="str">
        <f>IFERROR(LOOKUP($S1302,MOTORISTAS!$D$3:$D$1048576,MOTORISTAS!F$3:$F$1048576),"")</f>
        <v/>
      </c>
      <c r="V1302" s="66"/>
      <c r="W1302" s="66"/>
      <c r="X1302" s="66"/>
      <c r="Y1302" s="66"/>
      <c r="Z1302" s="66"/>
      <c r="AA1302" s="66"/>
      <c r="AB1302" s="66"/>
      <c r="AC1302" s="66"/>
      <c r="AD1302" s="66"/>
      <c r="AE1302" s="66"/>
      <c r="AF1302" s="44"/>
      <c r="AG1302" s="254">
        <f>Prog_236[[#This Row],[SAÍDA DO CLIENTE]]-Prog_236[[#This Row],[PROGRAMAÇÃO CLIENTE]]</f>
        <v>0</v>
      </c>
      <c r="AH1302" s="44"/>
      <c r="AI1302" s="66"/>
      <c r="AJ1302" s="66"/>
      <c r="AK1302" s="66"/>
      <c r="AL1302" s="66"/>
      <c r="AM1302" s="66"/>
      <c r="AN1302" s="83"/>
      <c r="AO1302" s="66"/>
      <c r="AP1302" s="66"/>
      <c r="AQ1302" s="66"/>
      <c r="AR1302" s="81"/>
      <c r="AS1302" s="81"/>
      <c r="AT1302" s="81"/>
      <c r="AU1302" s="81"/>
      <c r="AV1302" s="83">
        <f>SUM(Prog_236[[#This Row],[ADIANTAMENTO]]+Prog_236[[#This Row],[SALDO]]+Prog_236[[#This Row],[MARGEM]]+Prog_236[[#This Row],[ESTADIA 1]])</f>
        <v>0</v>
      </c>
      <c r="AW13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2" s="81"/>
      <c r="AY1302" s="81"/>
      <c r="AZ1302" s="81">
        <f>Prog_236[[#This Row],[VLR NF]]*0.1%</f>
        <v>0</v>
      </c>
      <c r="BA1302" s="81">
        <f>Prog_236[[#This Row],[VLR NF]]*0.05%</f>
        <v>0</v>
      </c>
      <c r="BB1302" s="81"/>
      <c r="BC1302" s="81"/>
      <c r="BD1302" s="81"/>
      <c r="BE1302" s="81"/>
      <c r="BF1302" s="81"/>
      <c r="BG1302" s="81"/>
      <c r="BH1302" s="81"/>
      <c r="BI1302" s="81"/>
      <c r="BJ1302" s="81"/>
      <c r="BK1302" s="81"/>
      <c r="BL1302" s="66"/>
      <c r="BM1302" s="66"/>
      <c r="BN1302" s="66"/>
      <c r="BO1302" s="66" t="str">
        <f>PROPER(TEXT(Prog_236[[#This Row],[PROGRAMAÇÃO CLIENTE]],"mmm"))</f>
        <v>Jan</v>
      </c>
      <c r="BP1302" s="66">
        <f>YEAR(Prog_236[[#This Row],[PROGRAMAÇÃO CLIENTE]])</f>
        <v>1900</v>
      </c>
    </row>
    <row r="1303" spans="1:68" x14ac:dyDescent="0.25">
      <c r="A1303" s="200">
        <f>Prog_236[[#This Row],[CONTEINER]]</f>
        <v>0</v>
      </c>
      <c r="B1303" s="86"/>
      <c r="C13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3" s="44"/>
      <c r="E1303" s="66"/>
      <c r="F1303" s="66"/>
      <c r="G1303" s="66"/>
      <c r="H1303" s="44"/>
      <c r="I1303" s="44"/>
      <c r="J1303" s="66"/>
      <c r="K1303" s="66"/>
      <c r="L1303" s="66"/>
      <c r="M1303" s="66"/>
      <c r="N1303" s="66">
        <f>SUM(Prog_236[[#This Row],[TARA]]+Prog_236[[#This Row],[PESO]])</f>
        <v>0</v>
      </c>
      <c r="O1303" s="44"/>
      <c r="P1303" s="66"/>
      <c r="Q1303" s="66"/>
      <c r="R1303" s="66"/>
      <c r="S1303" s="66"/>
      <c r="T1303" s="138" t="str">
        <f>IFERROR(LOOKUP($S1303,MOTORISTAS!$D$3:$D$1048576,MOTORISTAS!E$3:$E$1048576),"")</f>
        <v/>
      </c>
      <c r="U1303" s="138" t="str">
        <f>IFERROR(LOOKUP($S1303,MOTORISTAS!$D$3:$D$1048576,MOTORISTAS!F$3:$F$1048576),"")</f>
        <v/>
      </c>
      <c r="V1303" s="66"/>
      <c r="W1303" s="66"/>
      <c r="X1303" s="66"/>
      <c r="Y1303" s="66"/>
      <c r="Z1303" s="66"/>
      <c r="AA1303" s="66"/>
      <c r="AB1303" s="66"/>
      <c r="AC1303" s="66"/>
      <c r="AD1303" s="66"/>
      <c r="AE1303" s="66"/>
      <c r="AF1303" s="44"/>
      <c r="AG1303" s="254">
        <f>Prog_236[[#This Row],[SAÍDA DO CLIENTE]]-Prog_236[[#This Row],[PROGRAMAÇÃO CLIENTE]]</f>
        <v>0</v>
      </c>
      <c r="AH1303" s="44"/>
      <c r="AI1303" s="66"/>
      <c r="AJ1303" s="66"/>
      <c r="AK1303" s="66"/>
      <c r="AL1303" s="66"/>
      <c r="AM1303" s="66"/>
      <c r="AN1303" s="83"/>
      <c r="AO1303" s="66"/>
      <c r="AP1303" s="66"/>
      <c r="AQ1303" s="66"/>
      <c r="AR1303" s="81"/>
      <c r="AS1303" s="81"/>
      <c r="AT1303" s="81"/>
      <c r="AU1303" s="81"/>
      <c r="AV1303" s="83">
        <f>SUM(Prog_236[[#This Row],[ADIANTAMENTO]]+Prog_236[[#This Row],[SALDO]]+Prog_236[[#This Row],[MARGEM]]+Prog_236[[#This Row],[ESTADIA 1]])</f>
        <v>0</v>
      </c>
      <c r="AW13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3" s="81"/>
      <c r="AY1303" s="81"/>
      <c r="AZ1303" s="81">
        <f>Prog_236[[#This Row],[VLR NF]]*0.1%</f>
        <v>0</v>
      </c>
      <c r="BA1303" s="81">
        <f>Prog_236[[#This Row],[VLR NF]]*0.05%</f>
        <v>0</v>
      </c>
      <c r="BB1303" s="81"/>
      <c r="BC1303" s="81"/>
      <c r="BD1303" s="81"/>
      <c r="BE1303" s="81"/>
      <c r="BF1303" s="81"/>
      <c r="BG1303" s="81"/>
      <c r="BH1303" s="81"/>
      <c r="BI1303" s="81"/>
      <c r="BJ1303" s="81"/>
      <c r="BK1303" s="81"/>
      <c r="BL1303" s="66"/>
      <c r="BM1303" s="66"/>
      <c r="BN1303" s="66"/>
      <c r="BO1303" s="66" t="str">
        <f>PROPER(TEXT(Prog_236[[#This Row],[PROGRAMAÇÃO CLIENTE]],"mmm"))</f>
        <v>Jan</v>
      </c>
      <c r="BP1303" s="66">
        <f>YEAR(Prog_236[[#This Row],[PROGRAMAÇÃO CLIENTE]])</f>
        <v>1900</v>
      </c>
    </row>
    <row r="1304" spans="1:68" x14ac:dyDescent="0.25">
      <c r="A1304" s="201">
        <f>Prog_236[[#This Row],[CONTEINER]]</f>
        <v>0</v>
      </c>
      <c r="B1304" s="86"/>
      <c r="C13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4" s="44"/>
      <c r="E1304" s="66"/>
      <c r="F1304" s="66"/>
      <c r="G1304" s="66"/>
      <c r="H1304" s="44"/>
      <c r="I1304" s="44"/>
      <c r="J1304" s="66"/>
      <c r="K1304" s="66"/>
      <c r="L1304" s="66"/>
      <c r="M1304" s="66"/>
      <c r="N1304" s="66">
        <f>SUM(Prog_236[[#This Row],[TARA]]+Prog_236[[#This Row],[PESO]])</f>
        <v>0</v>
      </c>
      <c r="O1304" s="44"/>
      <c r="P1304" s="66"/>
      <c r="Q1304" s="66"/>
      <c r="R1304" s="66"/>
      <c r="S1304" s="66"/>
      <c r="T1304" s="138" t="str">
        <f>IFERROR(LOOKUP($S1304,MOTORISTAS!$D$3:$D$1048576,MOTORISTAS!E$3:$E$1048576),"")</f>
        <v/>
      </c>
      <c r="U1304" s="138" t="str">
        <f>IFERROR(LOOKUP($S1304,MOTORISTAS!$D$3:$D$1048576,MOTORISTAS!F$3:$F$1048576),"")</f>
        <v/>
      </c>
      <c r="V1304" s="66"/>
      <c r="W1304" s="66"/>
      <c r="X1304" s="66"/>
      <c r="Y1304" s="66"/>
      <c r="Z1304" s="66"/>
      <c r="AA1304" s="66"/>
      <c r="AB1304" s="66"/>
      <c r="AC1304" s="66"/>
      <c r="AD1304" s="66"/>
      <c r="AE1304" s="66"/>
      <c r="AF1304" s="44"/>
      <c r="AG1304" s="254">
        <f>Prog_236[[#This Row],[SAÍDA DO CLIENTE]]-Prog_236[[#This Row],[PROGRAMAÇÃO CLIENTE]]</f>
        <v>0</v>
      </c>
      <c r="AH1304" s="44"/>
      <c r="AI1304" s="66"/>
      <c r="AJ1304" s="66"/>
      <c r="AK1304" s="66"/>
      <c r="AL1304" s="66"/>
      <c r="AM1304" s="66"/>
      <c r="AN1304" s="83"/>
      <c r="AO1304" s="66"/>
      <c r="AP1304" s="66"/>
      <c r="AQ1304" s="66"/>
      <c r="AR1304" s="81"/>
      <c r="AS1304" s="81"/>
      <c r="AT1304" s="81"/>
      <c r="AU1304" s="81"/>
      <c r="AV1304" s="83">
        <f>SUM(Prog_236[[#This Row],[ADIANTAMENTO]]+Prog_236[[#This Row],[SALDO]]+Prog_236[[#This Row],[MARGEM]]+Prog_236[[#This Row],[ESTADIA 1]])</f>
        <v>0</v>
      </c>
      <c r="AW13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4" s="81"/>
      <c r="AY1304" s="81"/>
      <c r="AZ1304" s="81">
        <f>Prog_236[[#This Row],[VLR NF]]*0.1%</f>
        <v>0</v>
      </c>
      <c r="BA1304" s="81">
        <f>Prog_236[[#This Row],[VLR NF]]*0.05%</f>
        <v>0</v>
      </c>
      <c r="BB1304" s="81"/>
      <c r="BC1304" s="81"/>
      <c r="BD1304" s="81"/>
      <c r="BE1304" s="81"/>
      <c r="BF1304" s="81"/>
      <c r="BG1304" s="81"/>
      <c r="BH1304" s="81"/>
      <c r="BI1304" s="81"/>
      <c r="BJ1304" s="81"/>
      <c r="BK1304" s="81"/>
      <c r="BL1304" s="66"/>
      <c r="BM1304" s="66"/>
      <c r="BN1304" s="66"/>
      <c r="BO1304" s="66" t="str">
        <f>PROPER(TEXT(Prog_236[[#This Row],[PROGRAMAÇÃO CLIENTE]],"mmm"))</f>
        <v>Jan</v>
      </c>
      <c r="BP1304" s="66">
        <f>YEAR(Prog_236[[#This Row],[PROGRAMAÇÃO CLIENTE]])</f>
        <v>1900</v>
      </c>
    </row>
    <row r="1305" spans="1:68" x14ac:dyDescent="0.25">
      <c r="A1305" s="200">
        <f>Prog_236[[#This Row],[CONTEINER]]</f>
        <v>0</v>
      </c>
      <c r="B1305" s="86"/>
      <c r="C13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5" s="44"/>
      <c r="E1305" s="66"/>
      <c r="F1305" s="66"/>
      <c r="G1305" s="66"/>
      <c r="H1305" s="44"/>
      <c r="I1305" s="44"/>
      <c r="J1305" s="66"/>
      <c r="K1305" s="66"/>
      <c r="L1305" s="66"/>
      <c r="M1305" s="66"/>
      <c r="N1305" s="66">
        <f>SUM(Prog_236[[#This Row],[TARA]]+Prog_236[[#This Row],[PESO]])</f>
        <v>0</v>
      </c>
      <c r="O1305" s="44"/>
      <c r="P1305" s="66"/>
      <c r="Q1305" s="66"/>
      <c r="R1305" s="66"/>
      <c r="S1305" s="66"/>
      <c r="T1305" s="138" t="str">
        <f>IFERROR(LOOKUP($S1305,MOTORISTAS!$D$3:$D$1048576,MOTORISTAS!E$3:$E$1048576),"")</f>
        <v/>
      </c>
      <c r="U1305" s="138" t="str">
        <f>IFERROR(LOOKUP($S1305,MOTORISTAS!$D$3:$D$1048576,MOTORISTAS!F$3:$F$1048576),"")</f>
        <v/>
      </c>
      <c r="V1305" s="66"/>
      <c r="W1305" s="66"/>
      <c r="X1305" s="66"/>
      <c r="Y1305" s="66"/>
      <c r="Z1305" s="66"/>
      <c r="AA1305" s="66"/>
      <c r="AB1305" s="66"/>
      <c r="AC1305" s="66"/>
      <c r="AD1305" s="66"/>
      <c r="AE1305" s="66"/>
      <c r="AF1305" s="44"/>
      <c r="AG1305" s="254">
        <f>Prog_236[[#This Row],[SAÍDA DO CLIENTE]]-Prog_236[[#This Row],[PROGRAMAÇÃO CLIENTE]]</f>
        <v>0</v>
      </c>
      <c r="AH1305" s="44"/>
      <c r="AI1305" s="66"/>
      <c r="AJ1305" s="66"/>
      <c r="AK1305" s="66"/>
      <c r="AL1305" s="66"/>
      <c r="AM1305" s="66"/>
      <c r="AN1305" s="83"/>
      <c r="AO1305" s="66"/>
      <c r="AP1305" s="66"/>
      <c r="AQ1305" s="66"/>
      <c r="AR1305" s="81"/>
      <c r="AS1305" s="81"/>
      <c r="AT1305" s="81"/>
      <c r="AU1305" s="81"/>
      <c r="AV1305" s="83">
        <f>SUM(Prog_236[[#This Row],[ADIANTAMENTO]]+Prog_236[[#This Row],[SALDO]]+Prog_236[[#This Row],[MARGEM]]+Prog_236[[#This Row],[ESTADIA 1]])</f>
        <v>0</v>
      </c>
      <c r="AW13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5" s="81"/>
      <c r="AY1305" s="81"/>
      <c r="AZ1305" s="81">
        <f>Prog_236[[#This Row],[VLR NF]]*0.1%</f>
        <v>0</v>
      </c>
      <c r="BA1305" s="81">
        <f>Prog_236[[#This Row],[VLR NF]]*0.05%</f>
        <v>0</v>
      </c>
      <c r="BB1305" s="81"/>
      <c r="BC1305" s="81"/>
      <c r="BD1305" s="81"/>
      <c r="BE1305" s="81"/>
      <c r="BF1305" s="81"/>
      <c r="BG1305" s="81"/>
      <c r="BH1305" s="81"/>
      <c r="BI1305" s="81"/>
      <c r="BJ1305" s="81"/>
      <c r="BK1305" s="81"/>
      <c r="BL1305" s="66"/>
      <c r="BM1305" s="66"/>
      <c r="BN1305" s="66"/>
      <c r="BO1305" s="66" t="str">
        <f>PROPER(TEXT(Prog_236[[#This Row],[PROGRAMAÇÃO CLIENTE]],"mmm"))</f>
        <v>Jan</v>
      </c>
      <c r="BP1305" s="66">
        <f>YEAR(Prog_236[[#This Row],[PROGRAMAÇÃO CLIENTE]])</f>
        <v>1900</v>
      </c>
    </row>
    <row r="1306" spans="1:68" x14ac:dyDescent="0.25">
      <c r="A1306" s="201">
        <f>Prog_236[[#This Row],[CONTEINER]]</f>
        <v>0</v>
      </c>
      <c r="B1306" s="86"/>
      <c r="C13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6" s="44"/>
      <c r="E1306" s="66"/>
      <c r="F1306" s="66"/>
      <c r="G1306" s="66"/>
      <c r="H1306" s="44"/>
      <c r="I1306" s="44"/>
      <c r="J1306" s="66"/>
      <c r="K1306" s="66"/>
      <c r="L1306" s="66"/>
      <c r="M1306" s="66"/>
      <c r="N1306" s="66">
        <f>SUM(Prog_236[[#This Row],[TARA]]+Prog_236[[#This Row],[PESO]])</f>
        <v>0</v>
      </c>
      <c r="O1306" s="44"/>
      <c r="P1306" s="66"/>
      <c r="Q1306" s="66"/>
      <c r="R1306" s="66"/>
      <c r="S1306" s="66"/>
      <c r="T1306" s="138" t="str">
        <f>IFERROR(LOOKUP($S1306,MOTORISTAS!$D$3:$D$1048576,MOTORISTAS!E$3:$E$1048576),"")</f>
        <v/>
      </c>
      <c r="U1306" s="138" t="str">
        <f>IFERROR(LOOKUP($S1306,MOTORISTAS!$D$3:$D$1048576,MOTORISTAS!F$3:$F$1048576),"")</f>
        <v/>
      </c>
      <c r="V1306" s="66"/>
      <c r="W1306" s="66"/>
      <c r="X1306" s="66"/>
      <c r="Y1306" s="66"/>
      <c r="Z1306" s="66"/>
      <c r="AA1306" s="66"/>
      <c r="AB1306" s="66"/>
      <c r="AC1306" s="66"/>
      <c r="AD1306" s="66"/>
      <c r="AE1306" s="66"/>
      <c r="AF1306" s="44"/>
      <c r="AG1306" s="254">
        <f>Prog_236[[#This Row],[SAÍDA DO CLIENTE]]-Prog_236[[#This Row],[PROGRAMAÇÃO CLIENTE]]</f>
        <v>0</v>
      </c>
      <c r="AH1306" s="44"/>
      <c r="AI1306" s="66"/>
      <c r="AJ1306" s="66"/>
      <c r="AK1306" s="66"/>
      <c r="AL1306" s="66"/>
      <c r="AM1306" s="66"/>
      <c r="AN1306" s="83"/>
      <c r="AO1306" s="66"/>
      <c r="AP1306" s="66"/>
      <c r="AQ1306" s="66"/>
      <c r="AR1306" s="81"/>
      <c r="AS1306" s="81"/>
      <c r="AT1306" s="81"/>
      <c r="AU1306" s="81"/>
      <c r="AV1306" s="83">
        <f>SUM(Prog_236[[#This Row],[ADIANTAMENTO]]+Prog_236[[#This Row],[SALDO]]+Prog_236[[#This Row],[MARGEM]]+Prog_236[[#This Row],[ESTADIA 1]])</f>
        <v>0</v>
      </c>
      <c r="AW13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6" s="81"/>
      <c r="AY1306" s="81"/>
      <c r="AZ1306" s="81">
        <f>Prog_236[[#This Row],[VLR NF]]*0.1%</f>
        <v>0</v>
      </c>
      <c r="BA1306" s="81">
        <f>Prog_236[[#This Row],[VLR NF]]*0.05%</f>
        <v>0</v>
      </c>
      <c r="BB1306" s="81"/>
      <c r="BC1306" s="81"/>
      <c r="BD1306" s="81"/>
      <c r="BE1306" s="81"/>
      <c r="BF1306" s="81"/>
      <c r="BG1306" s="81"/>
      <c r="BH1306" s="81"/>
      <c r="BI1306" s="81"/>
      <c r="BJ1306" s="81"/>
      <c r="BK1306" s="81"/>
      <c r="BL1306" s="66"/>
      <c r="BM1306" s="66"/>
      <c r="BN1306" s="66"/>
      <c r="BO1306" s="66" t="str">
        <f>PROPER(TEXT(Prog_236[[#This Row],[PROGRAMAÇÃO CLIENTE]],"mmm"))</f>
        <v>Jan</v>
      </c>
      <c r="BP1306" s="66">
        <f>YEAR(Prog_236[[#This Row],[PROGRAMAÇÃO CLIENTE]])</f>
        <v>1900</v>
      </c>
    </row>
    <row r="1307" spans="1:68" x14ac:dyDescent="0.25">
      <c r="A1307" s="200">
        <f>Prog_236[[#This Row],[CONTEINER]]</f>
        <v>0</v>
      </c>
      <c r="B1307" s="86"/>
      <c r="C13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7" s="44"/>
      <c r="E1307" s="66"/>
      <c r="F1307" s="66"/>
      <c r="G1307" s="66"/>
      <c r="H1307" s="44"/>
      <c r="I1307" s="44"/>
      <c r="J1307" s="66"/>
      <c r="K1307" s="66"/>
      <c r="L1307" s="66"/>
      <c r="M1307" s="66"/>
      <c r="N1307" s="66">
        <f>SUM(Prog_236[[#This Row],[TARA]]+Prog_236[[#This Row],[PESO]])</f>
        <v>0</v>
      </c>
      <c r="O1307" s="44"/>
      <c r="P1307" s="66"/>
      <c r="Q1307" s="66"/>
      <c r="R1307" s="66"/>
      <c r="S1307" s="66"/>
      <c r="T1307" s="138" t="str">
        <f>IFERROR(LOOKUP($S1307,MOTORISTAS!$D$3:$D$1048576,MOTORISTAS!E$3:$E$1048576),"")</f>
        <v/>
      </c>
      <c r="U1307" s="138" t="str">
        <f>IFERROR(LOOKUP($S1307,MOTORISTAS!$D$3:$D$1048576,MOTORISTAS!F$3:$F$1048576),"")</f>
        <v/>
      </c>
      <c r="V1307" s="66"/>
      <c r="W1307" s="66"/>
      <c r="X1307" s="66"/>
      <c r="Y1307" s="66"/>
      <c r="Z1307" s="66"/>
      <c r="AA1307" s="66"/>
      <c r="AB1307" s="66"/>
      <c r="AC1307" s="66"/>
      <c r="AD1307" s="66"/>
      <c r="AE1307" s="66"/>
      <c r="AF1307" s="44"/>
      <c r="AG1307" s="254">
        <f>Prog_236[[#This Row],[SAÍDA DO CLIENTE]]-Prog_236[[#This Row],[PROGRAMAÇÃO CLIENTE]]</f>
        <v>0</v>
      </c>
      <c r="AH1307" s="44"/>
      <c r="AI1307" s="66"/>
      <c r="AJ1307" s="66"/>
      <c r="AK1307" s="66"/>
      <c r="AL1307" s="66"/>
      <c r="AM1307" s="66"/>
      <c r="AN1307" s="83"/>
      <c r="AO1307" s="66"/>
      <c r="AP1307" s="66"/>
      <c r="AQ1307" s="66"/>
      <c r="AR1307" s="81"/>
      <c r="AS1307" s="81"/>
      <c r="AT1307" s="81"/>
      <c r="AU1307" s="81"/>
      <c r="AV1307" s="83">
        <f>SUM(Prog_236[[#This Row],[ADIANTAMENTO]]+Prog_236[[#This Row],[SALDO]]+Prog_236[[#This Row],[MARGEM]]+Prog_236[[#This Row],[ESTADIA 1]])</f>
        <v>0</v>
      </c>
      <c r="AW13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7" s="81"/>
      <c r="AY1307" s="81"/>
      <c r="AZ1307" s="81">
        <f>Prog_236[[#This Row],[VLR NF]]*0.1%</f>
        <v>0</v>
      </c>
      <c r="BA1307" s="81">
        <f>Prog_236[[#This Row],[VLR NF]]*0.05%</f>
        <v>0</v>
      </c>
      <c r="BB1307" s="81"/>
      <c r="BC1307" s="81"/>
      <c r="BD1307" s="81"/>
      <c r="BE1307" s="81"/>
      <c r="BF1307" s="81"/>
      <c r="BG1307" s="81"/>
      <c r="BH1307" s="81"/>
      <c r="BI1307" s="81"/>
      <c r="BJ1307" s="81"/>
      <c r="BK1307" s="81"/>
      <c r="BL1307" s="66"/>
      <c r="BM1307" s="66"/>
      <c r="BN1307" s="66"/>
      <c r="BO1307" s="66" t="str">
        <f>PROPER(TEXT(Prog_236[[#This Row],[PROGRAMAÇÃO CLIENTE]],"mmm"))</f>
        <v>Jan</v>
      </c>
      <c r="BP1307" s="66">
        <f>YEAR(Prog_236[[#This Row],[PROGRAMAÇÃO CLIENTE]])</f>
        <v>1900</v>
      </c>
    </row>
    <row r="1308" spans="1:68" x14ac:dyDescent="0.25">
      <c r="A1308" s="201">
        <f>Prog_236[[#This Row],[CONTEINER]]</f>
        <v>0</v>
      </c>
      <c r="B1308" s="86"/>
      <c r="C13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8" s="44"/>
      <c r="E1308" s="66"/>
      <c r="F1308" s="66"/>
      <c r="G1308" s="66"/>
      <c r="H1308" s="44"/>
      <c r="I1308" s="44"/>
      <c r="J1308" s="66"/>
      <c r="K1308" s="66"/>
      <c r="L1308" s="66"/>
      <c r="M1308" s="66"/>
      <c r="N1308" s="66">
        <f>SUM(Prog_236[[#This Row],[TARA]]+Prog_236[[#This Row],[PESO]])</f>
        <v>0</v>
      </c>
      <c r="O1308" s="44"/>
      <c r="P1308" s="66"/>
      <c r="Q1308" s="66"/>
      <c r="R1308" s="66"/>
      <c r="S1308" s="66"/>
      <c r="T1308" s="138" t="str">
        <f>IFERROR(LOOKUP($S1308,MOTORISTAS!$D$3:$D$1048576,MOTORISTAS!E$3:$E$1048576),"")</f>
        <v/>
      </c>
      <c r="U1308" s="138" t="str">
        <f>IFERROR(LOOKUP($S1308,MOTORISTAS!$D$3:$D$1048576,MOTORISTAS!F$3:$F$1048576),"")</f>
        <v/>
      </c>
      <c r="V1308" s="66"/>
      <c r="W1308" s="66"/>
      <c r="X1308" s="66"/>
      <c r="Y1308" s="66"/>
      <c r="Z1308" s="66"/>
      <c r="AA1308" s="66"/>
      <c r="AB1308" s="66"/>
      <c r="AC1308" s="66"/>
      <c r="AD1308" s="66"/>
      <c r="AE1308" s="66"/>
      <c r="AF1308" s="44"/>
      <c r="AG1308" s="254">
        <f>Prog_236[[#This Row],[SAÍDA DO CLIENTE]]-Prog_236[[#This Row],[PROGRAMAÇÃO CLIENTE]]</f>
        <v>0</v>
      </c>
      <c r="AH1308" s="44"/>
      <c r="AI1308" s="66"/>
      <c r="AJ1308" s="66"/>
      <c r="AK1308" s="66"/>
      <c r="AL1308" s="66"/>
      <c r="AM1308" s="66"/>
      <c r="AN1308" s="83"/>
      <c r="AO1308" s="66"/>
      <c r="AP1308" s="66"/>
      <c r="AQ1308" s="66"/>
      <c r="AR1308" s="81"/>
      <c r="AS1308" s="81"/>
      <c r="AT1308" s="81"/>
      <c r="AU1308" s="81"/>
      <c r="AV1308" s="83">
        <f>SUM(Prog_236[[#This Row],[ADIANTAMENTO]]+Prog_236[[#This Row],[SALDO]]+Prog_236[[#This Row],[MARGEM]]+Prog_236[[#This Row],[ESTADIA 1]])</f>
        <v>0</v>
      </c>
      <c r="AW13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8" s="81"/>
      <c r="AY1308" s="81"/>
      <c r="AZ1308" s="81">
        <f>Prog_236[[#This Row],[VLR NF]]*0.1%</f>
        <v>0</v>
      </c>
      <c r="BA1308" s="81">
        <f>Prog_236[[#This Row],[VLR NF]]*0.05%</f>
        <v>0</v>
      </c>
      <c r="BB1308" s="81"/>
      <c r="BC1308" s="81"/>
      <c r="BD1308" s="81"/>
      <c r="BE1308" s="81"/>
      <c r="BF1308" s="81"/>
      <c r="BG1308" s="81"/>
      <c r="BH1308" s="81"/>
      <c r="BI1308" s="81"/>
      <c r="BJ1308" s="81"/>
      <c r="BK1308" s="81"/>
      <c r="BL1308" s="66"/>
      <c r="BM1308" s="66"/>
      <c r="BN1308" s="66"/>
      <c r="BO1308" s="66" t="str">
        <f>PROPER(TEXT(Prog_236[[#This Row],[PROGRAMAÇÃO CLIENTE]],"mmm"))</f>
        <v>Jan</v>
      </c>
      <c r="BP1308" s="66">
        <f>YEAR(Prog_236[[#This Row],[PROGRAMAÇÃO CLIENTE]])</f>
        <v>1900</v>
      </c>
    </row>
    <row r="1309" spans="1:68" x14ac:dyDescent="0.25">
      <c r="A1309" s="200">
        <f>Prog_236[[#This Row],[CONTEINER]]</f>
        <v>0</v>
      </c>
      <c r="B1309" s="86"/>
      <c r="C13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09" s="44"/>
      <c r="E1309" s="66"/>
      <c r="F1309" s="66"/>
      <c r="G1309" s="66"/>
      <c r="H1309" s="44"/>
      <c r="I1309" s="44"/>
      <c r="J1309" s="66"/>
      <c r="K1309" s="66"/>
      <c r="L1309" s="66"/>
      <c r="M1309" s="66"/>
      <c r="N1309" s="66">
        <f>SUM(Prog_236[[#This Row],[TARA]]+Prog_236[[#This Row],[PESO]])</f>
        <v>0</v>
      </c>
      <c r="O1309" s="44"/>
      <c r="P1309" s="66"/>
      <c r="Q1309" s="66"/>
      <c r="R1309" s="66"/>
      <c r="S1309" s="66"/>
      <c r="T1309" s="138" t="str">
        <f>IFERROR(LOOKUP($S1309,MOTORISTAS!$D$3:$D$1048576,MOTORISTAS!E$3:$E$1048576),"")</f>
        <v/>
      </c>
      <c r="U1309" s="138" t="str">
        <f>IFERROR(LOOKUP($S1309,MOTORISTAS!$D$3:$D$1048576,MOTORISTAS!F$3:$F$1048576),"")</f>
        <v/>
      </c>
      <c r="V1309" s="66"/>
      <c r="W1309" s="66"/>
      <c r="X1309" s="66"/>
      <c r="Y1309" s="66"/>
      <c r="Z1309" s="66"/>
      <c r="AA1309" s="66"/>
      <c r="AB1309" s="66"/>
      <c r="AC1309" s="66"/>
      <c r="AD1309" s="66"/>
      <c r="AE1309" s="66"/>
      <c r="AF1309" s="44"/>
      <c r="AG1309" s="254">
        <f>Prog_236[[#This Row],[SAÍDA DO CLIENTE]]-Prog_236[[#This Row],[PROGRAMAÇÃO CLIENTE]]</f>
        <v>0</v>
      </c>
      <c r="AH1309" s="44"/>
      <c r="AI1309" s="66"/>
      <c r="AJ1309" s="66"/>
      <c r="AK1309" s="66"/>
      <c r="AL1309" s="66"/>
      <c r="AM1309" s="66"/>
      <c r="AN1309" s="83"/>
      <c r="AO1309" s="66"/>
      <c r="AP1309" s="66"/>
      <c r="AQ1309" s="66"/>
      <c r="AR1309" s="81"/>
      <c r="AS1309" s="81"/>
      <c r="AT1309" s="81"/>
      <c r="AU1309" s="81"/>
      <c r="AV1309" s="83">
        <f>SUM(Prog_236[[#This Row],[ADIANTAMENTO]]+Prog_236[[#This Row],[SALDO]]+Prog_236[[#This Row],[MARGEM]]+Prog_236[[#This Row],[ESTADIA 1]])</f>
        <v>0</v>
      </c>
      <c r="AW13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09" s="81"/>
      <c r="AY1309" s="81"/>
      <c r="AZ1309" s="81">
        <f>Prog_236[[#This Row],[VLR NF]]*0.1%</f>
        <v>0</v>
      </c>
      <c r="BA1309" s="81">
        <f>Prog_236[[#This Row],[VLR NF]]*0.05%</f>
        <v>0</v>
      </c>
      <c r="BB1309" s="81"/>
      <c r="BC1309" s="81"/>
      <c r="BD1309" s="81"/>
      <c r="BE1309" s="81"/>
      <c r="BF1309" s="81"/>
      <c r="BG1309" s="81"/>
      <c r="BH1309" s="81"/>
      <c r="BI1309" s="81"/>
      <c r="BJ1309" s="81"/>
      <c r="BK1309" s="81"/>
      <c r="BL1309" s="66"/>
      <c r="BM1309" s="66"/>
      <c r="BN1309" s="66"/>
      <c r="BO1309" s="66" t="str">
        <f>PROPER(TEXT(Prog_236[[#This Row],[PROGRAMAÇÃO CLIENTE]],"mmm"))</f>
        <v>Jan</v>
      </c>
      <c r="BP1309" s="66">
        <f>YEAR(Prog_236[[#This Row],[PROGRAMAÇÃO CLIENTE]])</f>
        <v>1900</v>
      </c>
    </row>
    <row r="1310" spans="1:68" x14ac:dyDescent="0.25">
      <c r="A1310" s="201">
        <f>Prog_236[[#This Row],[CONTEINER]]</f>
        <v>0</v>
      </c>
      <c r="B1310" s="86"/>
      <c r="C13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0" s="44"/>
      <c r="E1310" s="66"/>
      <c r="F1310" s="66"/>
      <c r="G1310" s="66"/>
      <c r="H1310" s="44"/>
      <c r="I1310" s="44"/>
      <c r="J1310" s="66"/>
      <c r="K1310" s="66"/>
      <c r="L1310" s="66"/>
      <c r="M1310" s="66"/>
      <c r="N1310" s="66">
        <f>SUM(Prog_236[[#This Row],[TARA]]+Prog_236[[#This Row],[PESO]])</f>
        <v>0</v>
      </c>
      <c r="O1310" s="44"/>
      <c r="P1310" s="66"/>
      <c r="Q1310" s="66"/>
      <c r="R1310" s="66"/>
      <c r="S1310" s="66"/>
      <c r="T1310" s="138" t="str">
        <f>IFERROR(LOOKUP($S1310,MOTORISTAS!$D$3:$D$1048576,MOTORISTAS!E$3:$E$1048576),"")</f>
        <v/>
      </c>
      <c r="U1310" s="138" t="str">
        <f>IFERROR(LOOKUP($S1310,MOTORISTAS!$D$3:$D$1048576,MOTORISTAS!F$3:$F$1048576),"")</f>
        <v/>
      </c>
      <c r="V1310" s="66"/>
      <c r="W1310" s="66"/>
      <c r="X1310" s="66"/>
      <c r="Y1310" s="66"/>
      <c r="Z1310" s="66"/>
      <c r="AA1310" s="66"/>
      <c r="AB1310" s="66"/>
      <c r="AC1310" s="66"/>
      <c r="AD1310" s="66"/>
      <c r="AE1310" s="66"/>
      <c r="AF1310" s="44"/>
      <c r="AG1310" s="254">
        <f>Prog_236[[#This Row],[SAÍDA DO CLIENTE]]-Prog_236[[#This Row],[PROGRAMAÇÃO CLIENTE]]</f>
        <v>0</v>
      </c>
      <c r="AH1310" s="44"/>
      <c r="AI1310" s="66"/>
      <c r="AJ1310" s="66"/>
      <c r="AK1310" s="66"/>
      <c r="AL1310" s="66"/>
      <c r="AM1310" s="66"/>
      <c r="AN1310" s="83"/>
      <c r="AO1310" s="66"/>
      <c r="AP1310" s="66"/>
      <c r="AQ1310" s="66"/>
      <c r="AR1310" s="81"/>
      <c r="AS1310" s="81"/>
      <c r="AT1310" s="81"/>
      <c r="AU1310" s="81"/>
      <c r="AV1310" s="83">
        <f>SUM(Prog_236[[#This Row],[ADIANTAMENTO]]+Prog_236[[#This Row],[SALDO]]+Prog_236[[#This Row],[MARGEM]]+Prog_236[[#This Row],[ESTADIA 1]])</f>
        <v>0</v>
      </c>
      <c r="AW13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0" s="81"/>
      <c r="AY1310" s="81"/>
      <c r="AZ1310" s="81">
        <f>Prog_236[[#This Row],[VLR NF]]*0.1%</f>
        <v>0</v>
      </c>
      <c r="BA1310" s="81">
        <f>Prog_236[[#This Row],[VLR NF]]*0.05%</f>
        <v>0</v>
      </c>
      <c r="BB1310" s="81"/>
      <c r="BC1310" s="81"/>
      <c r="BD1310" s="81"/>
      <c r="BE1310" s="81"/>
      <c r="BF1310" s="81"/>
      <c r="BG1310" s="81"/>
      <c r="BH1310" s="81"/>
      <c r="BI1310" s="81"/>
      <c r="BJ1310" s="81"/>
      <c r="BK1310" s="81"/>
      <c r="BL1310" s="66"/>
      <c r="BM1310" s="66"/>
      <c r="BN1310" s="66"/>
      <c r="BO1310" s="66" t="str">
        <f>PROPER(TEXT(Prog_236[[#This Row],[PROGRAMAÇÃO CLIENTE]],"mmm"))</f>
        <v>Jan</v>
      </c>
      <c r="BP1310" s="66">
        <f>YEAR(Prog_236[[#This Row],[PROGRAMAÇÃO CLIENTE]])</f>
        <v>1900</v>
      </c>
    </row>
    <row r="1311" spans="1:68" x14ac:dyDescent="0.25">
      <c r="A1311" s="200">
        <f>Prog_236[[#This Row],[CONTEINER]]</f>
        <v>0</v>
      </c>
      <c r="B1311" s="86"/>
      <c r="C13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1" s="44"/>
      <c r="E1311" s="66"/>
      <c r="F1311" s="66"/>
      <c r="G1311" s="66"/>
      <c r="H1311" s="44"/>
      <c r="I1311" s="44"/>
      <c r="J1311" s="66"/>
      <c r="K1311" s="66"/>
      <c r="L1311" s="66"/>
      <c r="M1311" s="66"/>
      <c r="N1311" s="66">
        <f>SUM(Prog_236[[#This Row],[TARA]]+Prog_236[[#This Row],[PESO]])</f>
        <v>0</v>
      </c>
      <c r="O1311" s="44"/>
      <c r="P1311" s="66"/>
      <c r="Q1311" s="66"/>
      <c r="R1311" s="66"/>
      <c r="S1311" s="66"/>
      <c r="T1311" s="138" t="str">
        <f>IFERROR(LOOKUP($S1311,MOTORISTAS!$D$3:$D$1048576,MOTORISTAS!E$3:$E$1048576),"")</f>
        <v/>
      </c>
      <c r="U1311" s="138" t="str">
        <f>IFERROR(LOOKUP($S1311,MOTORISTAS!$D$3:$D$1048576,MOTORISTAS!F$3:$F$1048576),"")</f>
        <v/>
      </c>
      <c r="V1311" s="66"/>
      <c r="W1311" s="66"/>
      <c r="X1311" s="66"/>
      <c r="Y1311" s="66"/>
      <c r="Z1311" s="66"/>
      <c r="AA1311" s="66"/>
      <c r="AB1311" s="66"/>
      <c r="AC1311" s="66"/>
      <c r="AD1311" s="66"/>
      <c r="AE1311" s="66"/>
      <c r="AF1311" s="44"/>
      <c r="AG1311" s="254">
        <f>Prog_236[[#This Row],[SAÍDA DO CLIENTE]]-Prog_236[[#This Row],[PROGRAMAÇÃO CLIENTE]]</f>
        <v>0</v>
      </c>
      <c r="AH1311" s="44"/>
      <c r="AI1311" s="66"/>
      <c r="AJ1311" s="66"/>
      <c r="AK1311" s="66"/>
      <c r="AL1311" s="66"/>
      <c r="AM1311" s="66"/>
      <c r="AN1311" s="83"/>
      <c r="AO1311" s="66"/>
      <c r="AP1311" s="66"/>
      <c r="AQ1311" s="66"/>
      <c r="AR1311" s="81"/>
      <c r="AS1311" s="81"/>
      <c r="AT1311" s="81"/>
      <c r="AU1311" s="81"/>
      <c r="AV1311" s="83">
        <f>SUM(Prog_236[[#This Row],[ADIANTAMENTO]]+Prog_236[[#This Row],[SALDO]]+Prog_236[[#This Row],[MARGEM]]+Prog_236[[#This Row],[ESTADIA 1]])</f>
        <v>0</v>
      </c>
      <c r="AW13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1" s="81"/>
      <c r="AY1311" s="81"/>
      <c r="AZ1311" s="81">
        <f>Prog_236[[#This Row],[VLR NF]]*0.1%</f>
        <v>0</v>
      </c>
      <c r="BA1311" s="81">
        <f>Prog_236[[#This Row],[VLR NF]]*0.05%</f>
        <v>0</v>
      </c>
      <c r="BB1311" s="81"/>
      <c r="BC1311" s="81"/>
      <c r="BD1311" s="81"/>
      <c r="BE1311" s="81"/>
      <c r="BF1311" s="81"/>
      <c r="BG1311" s="81"/>
      <c r="BH1311" s="81"/>
      <c r="BI1311" s="81"/>
      <c r="BJ1311" s="81"/>
      <c r="BK1311" s="81"/>
      <c r="BL1311" s="66"/>
      <c r="BM1311" s="66"/>
      <c r="BN1311" s="66"/>
      <c r="BO1311" s="66" t="str">
        <f>PROPER(TEXT(Prog_236[[#This Row],[PROGRAMAÇÃO CLIENTE]],"mmm"))</f>
        <v>Jan</v>
      </c>
      <c r="BP1311" s="66">
        <f>YEAR(Prog_236[[#This Row],[PROGRAMAÇÃO CLIENTE]])</f>
        <v>1900</v>
      </c>
    </row>
    <row r="1312" spans="1:68" x14ac:dyDescent="0.25">
      <c r="A1312" s="201">
        <f>Prog_236[[#This Row],[CONTEINER]]</f>
        <v>0</v>
      </c>
      <c r="B1312" s="86"/>
      <c r="C13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2" s="44"/>
      <c r="E1312" s="66"/>
      <c r="F1312" s="66"/>
      <c r="G1312" s="66"/>
      <c r="H1312" s="44"/>
      <c r="I1312" s="44"/>
      <c r="J1312" s="66"/>
      <c r="K1312" s="66"/>
      <c r="L1312" s="66"/>
      <c r="M1312" s="66"/>
      <c r="N1312" s="66">
        <f>SUM(Prog_236[[#This Row],[TARA]]+Prog_236[[#This Row],[PESO]])</f>
        <v>0</v>
      </c>
      <c r="O1312" s="44"/>
      <c r="P1312" s="66"/>
      <c r="Q1312" s="66"/>
      <c r="R1312" s="66"/>
      <c r="S1312" s="66"/>
      <c r="T1312" s="138" t="str">
        <f>IFERROR(LOOKUP($S1312,MOTORISTAS!$D$3:$D$1048576,MOTORISTAS!E$3:$E$1048576),"")</f>
        <v/>
      </c>
      <c r="U1312" s="138" t="str">
        <f>IFERROR(LOOKUP($S1312,MOTORISTAS!$D$3:$D$1048576,MOTORISTAS!F$3:$F$1048576),"")</f>
        <v/>
      </c>
      <c r="V1312" s="66"/>
      <c r="W1312" s="66"/>
      <c r="X1312" s="66"/>
      <c r="Y1312" s="66"/>
      <c r="Z1312" s="66"/>
      <c r="AA1312" s="66"/>
      <c r="AB1312" s="66"/>
      <c r="AC1312" s="66"/>
      <c r="AD1312" s="66"/>
      <c r="AE1312" s="66"/>
      <c r="AF1312" s="44"/>
      <c r="AG1312" s="254">
        <f>Prog_236[[#This Row],[SAÍDA DO CLIENTE]]-Prog_236[[#This Row],[PROGRAMAÇÃO CLIENTE]]</f>
        <v>0</v>
      </c>
      <c r="AH1312" s="44"/>
      <c r="AI1312" s="66"/>
      <c r="AJ1312" s="66"/>
      <c r="AK1312" s="66"/>
      <c r="AL1312" s="66"/>
      <c r="AM1312" s="66"/>
      <c r="AN1312" s="83"/>
      <c r="AO1312" s="66"/>
      <c r="AP1312" s="66"/>
      <c r="AQ1312" s="66"/>
      <c r="AR1312" s="81"/>
      <c r="AS1312" s="81"/>
      <c r="AT1312" s="81"/>
      <c r="AU1312" s="81"/>
      <c r="AV1312" s="83">
        <f>SUM(Prog_236[[#This Row],[ADIANTAMENTO]]+Prog_236[[#This Row],[SALDO]]+Prog_236[[#This Row],[MARGEM]]+Prog_236[[#This Row],[ESTADIA 1]])</f>
        <v>0</v>
      </c>
      <c r="AW13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2" s="81"/>
      <c r="AY1312" s="81"/>
      <c r="AZ1312" s="81">
        <f>Prog_236[[#This Row],[VLR NF]]*0.1%</f>
        <v>0</v>
      </c>
      <c r="BA1312" s="81">
        <f>Prog_236[[#This Row],[VLR NF]]*0.05%</f>
        <v>0</v>
      </c>
      <c r="BB1312" s="81"/>
      <c r="BC1312" s="81"/>
      <c r="BD1312" s="81"/>
      <c r="BE1312" s="81"/>
      <c r="BF1312" s="81"/>
      <c r="BG1312" s="81"/>
      <c r="BH1312" s="81"/>
      <c r="BI1312" s="81"/>
      <c r="BJ1312" s="81"/>
      <c r="BK1312" s="81"/>
      <c r="BL1312" s="66"/>
      <c r="BM1312" s="66"/>
      <c r="BN1312" s="66"/>
      <c r="BO1312" s="66" t="str">
        <f>PROPER(TEXT(Prog_236[[#This Row],[PROGRAMAÇÃO CLIENTE]],"mmm"))</f>
        <v>Jan</v>
      </c>
      <c r="BP1312" s="66">
        <f>YEAR(Prog_236[[#This Row],[PROGRAMAÇÃO CLIENTE]])</f>
        <v>1900</v>
      </c>
    </row>
    <row r="1313" spans="1:68" x14ac:dyDescent="0.25">
      <c r="A1313" s="200">
        <f>Prog_236[[#This Row],[CONTEINER]]</f>
        <v>0</v>
      </c>
      <c r="B1313" s="86"/>
      <c r="C13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3" s="44"/>
      <c r="E1313" s="66"/>
      <c r="F1313" s="66"/>
      <c r="G1313" s="66"/>
      <c r="H1313" s="44"/>
      <c r="I1313" s="44"/>
      <c r="J1313" s="66"/>
      <c r="K1313" s="66"/>
      <c r="L1313" s="66"/>
      <c r="M1313" s="66"/>
      <c r="N1313" s="66">
        <f>SUM(Prog_236[[#This Row],[TARA]]+Prog_236[[#This Row],[PESO]])</f>
        <v>0</v>
      </c>
      <c r="O1313" s="44"/>
      <c r="P1313" s="66"/>
      <c r="Q1313" s="66"/>
      <c r="R1313" s="66"/>
      <c r="S1313" s="66"/>
      <c r="T1313" s="138" t="str">
        <f>IFERROR(LOOKUP($S1313,MOTORISTAS!$D$3:$D$1048576,MOTORISTAS!E$3:$E$1048576),"")</f>
        <v/>
      </c>
      <c r="U1313" s="138" t="str">
        <f>IFERROR(LOOKUP($S1313,MOTORISTAS!$D$3:$D$1048576,MOTORISTAS!F$3:$F$1048576),"")</f>
        <v/>
      </c>
      <c r="V1313" s="66"/>
      <c r="W1313" s="66"/>
      <c r="X1313" s="66"/>
      <c r="Y1313" s="66"/>
      <c r="Z1313" s="66"/>
      <c r="AA1313" s="66"/>
      <c r="AB1313" s="66"/>
      <c r="AC1313" s="66"/>
      <c r="AD1313" s="66"/>
      <c r="AE1313" s="66"/>
      <c r="AF1313" s="44"/>
      <c r="AG1313" s="254">
        <f>Prog_236[[#This Row],[SAÍDA DO CLIENTE]]-Prog_236[[#This Row],[PROGRAMAÇÃO CLIENTE]]</f>
        <v>0</v>
      </c>
      <c r="AH1313" s="44"/>
      <c r="AI1313" s="66"/>
      <c r="AJ1313" s="66"/>
      <c r="AK1313" s="66"/>
      <c r="AL1313" s="66"/>
      <c r="AM1313" s="66"/>
      <c r="AN1313" s="83"/>
      <c r="AO1313" s="66"/>
      <c r="AP1313" s="66"/>
      <c r="AQ1313" s="66"/>
      <c r="AR1313" s="81"/>
      <c r="AS1313" s="81"/>
      <c r="AT1313" s="81"/>
      <c r="AU1313" s="81"/>
      <c r="AV1313" s="83">
        <f>SUM(Prog_236[[#This Row],[ADIANTAMENTO]]+Prog_236[[#This Row],[SALDO]]+Prog_236[[#This Row],[MARGEM]]+Prog_236[[#This Row],[ESTADIA 1]])</f>
        <v>0</v>
      </c>
      <c r="AW13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3" s="81"/>
      <c r="AY1313" s="81"/>
      <c r="AZ1313" s="81">
        <f>Prog_236[[#This Row],[VLR NF]]*0.1%</f>
        <v>0</v>
      </c>
      <c r="BA1313" s="81">
        <f>Prog_236[[#This Row],[VLR NF]]*0.05%</f>
        <v>0</v>
      </c>
      <c r="BB1313" s="81"/>
      <c r="BC1313" s="81"/>
      <c r="BD1313" s="81"/>
      <c r="BE1313" s="81"/>
      <c r="BF1313" s="81"/>
      <c r="BG1313" s="81"/>
      <c r="BH1313" s="81"/>
      <c r="BI1313" s="81"/>
      <c r="BJ1313" s="81"/>
      <c r="BK1313" s="81"/>
      <c r="BL1313" s="66"/>
      <c r="BM1313" s="66"/>
      <c r="BN1313" s="66"/>
      <c r="BO1313" s="66" t="str">
        <f>PROPER(TEXT(Prog_236[[#This Row],[PROGRAMAÇÃO CLIENTE]],"mmm"))</f>
        <v>Jan</v>
      </c>
      <c r="BP1313" s="66">
        <f>YEAR(Prog_236[[#This Row],[PROGRAMAÇÃO CLIENTE]])</f>
        <v>1900</v>
      </c>
    </row>
    <row r="1314" spans="1:68" x14ac:dyDescent="0.25">
      <c r="A1314" s="201">
        <f>Prog_236[[#This Row],[CONTEINER]]</f>
        <v>0</v>
      </c>
      <c r="B1314" s="86"/>
      <c r="C13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4" s="44"/>
      <c r="E1314" s="66"/>
      <c r="F1314" s="66"/>
      <c r="G1314" s="66"/>
      <c r="H1314" s="44"/>
      <c r="I1314" s="44"/>
      <c r="J1314" s="66"/>
      <c r="K1314" s="66"/>
      <c r="L1314" s="66"/>
      <c r="M1314" s="66"/>
      <c r="N1314" s="66">
        <f>SUM(Prog_236[[#This Row],[TARA]]+Prog_236[[#This Row],[PESO]])</f>
        <v>0</v>
      </c>
      <c r="O1314" s="44"/>
      <c r="P1314" s="66"/>
      <c r="Q1314" s="66"/>
      <c r="R1314" s="66"/>
      <c r="S1314" s="66"/>
      <c r="T1314" s="138" t="str">
        <f>IFERROR(LOOKUP($S1314,MOTORISTAS!$D$3:$D$1048576,MOTORISTAS!E$3:$E$1048576),"")</f>
        <v/>
      </c>
      <c r="U1314" s="138" t="str">
        <f>IFERROR(LOOKUP($S1314,MOTORISTAS!$D$3:$D$1048576,MOTORISTAS!F$3:$F$1048576),"")</f>
        <v/>
      </c>
      <c r="V1314" s="66"/>
      <c r="W1314" s="66"/>
      <c r="X1314" s="66"/>
      <c r="Y1314" s="66"/>
      <c r="Z1314" s="66"/>
      <c r="AA1314" s="66"/>
      <c r="AB1314" s="66"/>
      <c r="AC1314" s="66"/>
      <c r="AD1314" s="66"/>
      <c r="AE1314" s="66"/>
      <c r="AF1314" s="44"/>
      <c r="AG1314" s="254">
        <f>Prog_236[[#This Row],[SAÍDA DO CLIENTE]]-Prog_236[[#This Row],[PROGRAMAÇÃO CLIENTE]]</f>
        <v>0</v>
      </c>
      <c r="AH1314" s="44"/>
      <c r="AI1314" s="66"/>
      <c r="AJ1314" s="66"/>
      <c r="AK1314" s="66"/>
      <c r="AL1314" s="66"/>
      <c r="AM1314" s="66"/>
      <c r="AN1314" s="83"/>
      <c r="AO1314" s="66"/>
      <c r="AP1314" s="66"/>
      <c r="AQ1314" s="66"/>
      <c r="AR1314" s="81"/>
      <c r="AS1314" s="81"/>
      <c r="AT1314" s="81"/>
      <c r="AU1314" s="81"/>
      <c r="AV1314" s="83">
        <f>SUM(Prog_236[[#This Row],[ADIANTAMENTO]]+Prog_236[[#This Row],[SALDO]]+Prog_236[[#This Row],[MARGEM]]+Prog_236[[#This Row],[ESTADIA 1]])</f>
        <v>0</v>
      </c>
      <c r="AW13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4" s="81"/>
      <c r="AY1314" s="81"/>
      <c r="AZ1314" s="81">
        <f>Prog_236[[#This Row],[VLR NF]]*0.1%</f>
        <v>0</v>
      </c>
      <c r="BA1314" s="81">
        <f>Prog_236[[#This Row],[VLR NF]]*0.05%</f>
        <v>0</v>
      </c>
      <c r="BB1314" s="81"/>
      <c r="BC1314" s="81"/>
      <c r="BD1314" s="81"/>
      <c r="BE1314" s="81"/>
      <c r="BF1314" s="81"/>
      <c r="BG1314" s="81"/>
      <c r="BH1314" s="81"/>
      <c r="BI1314" s="81"/>
      <c r="BJ1314" s="81"/>
      <c r="BK1314" s="81"/>
      <c r="BL1314" s="66"/>
      <c r="BM1314" s="66"/>
      <c r="BN1314" s="66"/>
      <c r="BO1314" s="66" t="str">
        <f>PROPER(TEXT(Prog_236[[#This Row],[PROGRAMAÇÃO CLIENTE]],"mmm"))</f>
        <v>Jan</v>
      </c>
      <c r="BP1314" s="66">
        <f>YEAR(Prog_236[[#This Row],[PROGRAMAÇÃO CLIENTE]])</f>
        <v>1900</v>
      </c>
    </row>
    <row r="1315" spans="1:68" x14ac:dyDescent="0.25">
      <c r="A1315" s="200">
        <f>Prog_236[[#This Row],[CONTEINER]]</f>
        <v>0</v>
      </c>
      <c r="B1315" s="86"/>
      <c r="C13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5" s="44"/>
      <c r="E1315" s="66"/>
      <c r="F1315" s="66"/>
      <c r="G1315" s="66"/>
      <c r="H1315" s="44"/>
      <c r="I1315" s="44"/>
      <c r="J1315" s="66"/>
      <c r="K1315" s="66"/>
      <c r="L1315" s="66"/>
      <c r="M1315" s="66"/>
      <c r="N1315" s="66">
        <f>SUM(Prog_236[[#This Row],[TARA]]+Prog_236[[#This Row],[PESO]])</f>
        <v>0</v>
      </c>
      <c r="O1315" s="44"/>
      <c r="P1315" s="66"/>
      <c r="Q1315" s="66"/>
      <c r="R1315" s="66"/>
      <c r="S1315" s="66"/>
      <c r="T1315" s="138" t="str">
        <f>IFERROR(LOOKUP($S1315,MOTORISTAS!$D$3:$D$1048576,MOTORISTAS!E$3:$E$1048576),"")</f>
        <v/>
      </c>
      <c r="U1315" s="138" t="str">
        <f>IFERROR(LOOKUP($S1315,MOTORISTAS!$D$3:$D$1048576,MOTORISTAS!F$3:$F$1048576),"")</f>
        <v/>
      </c>
      <c r="V1315" s="66"/>
      <c r="W1315" s="66"/>
      <c r="X1315" s="66"/>
      <c r="Y1315" s="66"/>
      <c r="Z1315" s="66"/>
      <c r="AA1315" s="66"/>
      <c r="AB1315" s="66"/>
      <c r="AC1315" s="66"/>
      <c r="AD1315" s="66"/>
      <c r="AE1315" s="66"/>
      <c r="AF1315" s="44"/>
      <c r="AG1315" s="254">
        <f>Prog_236[[#This Row],[SAÍDA DO CLIENTE]]-Prog_236[[#This Row],[PROGRAMAÇÃO CLIENTE]]</f>
        <v>0</v>
      </c>
      <c r="AH1315" s="44"/>
      <c r="AI1315" s="66"/>
      <c r="AJ1315" s="66"/>
      <c r="AK1315" s="66"/>
      <c r="AL1315" s="66"/>
      <c r="AM1315" s="66"/>
      <c r="AN1315" s="83"/>
      <c r="AO1315" s="66"/>
      <c r="AP1315" s="66"/>
      <c r="AQ1315" s="66"/>
      <c r="AR1315" s="81"/>
      <c r="AS1315" s="81"/>
      <c r="AT1315" s="81"/>
      <c r="AU1315" s="81"/>
      <c r="AV1315" s="83">
        <f>SUM(Prog_236[[#This Row],[ADIANTAMENTO]]+Prog_236[[#This Row],[SALDO]]+Prog_236[[#This Row],[MARGEM]]+Prog_236[[#This Row],[ESTADIA 1]])</f>
        <v>0</v>
      </c>
      <c r="AW13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5" s="81"/>
      <c r="AY1315" s="81"/>
      <c r="AZ1315" s="81">
        <f>Prog_236[[#This Row],[VLR NF]]*0.1%</f>
        <v>0</v>
      </c>
      <c r="BA1315" s="81">
        <f>Prog_236[[#This Row],[VLR NF]]*0.05%</f>
        <v>0</v>
      </c>
      <c r="BB1315" s="81"/>
      <c r="BC1315" s="81"/>
      <c r="BD1315" s="81"/>
      <c r="BE1315" s="81"/>
      <c r="BF1315" s="81"/>
      <c r="BG1315" s="81"/>
      <c r="BH1315" s="81"/>
      <c r="BI1315" s="81"/>
      <c r="BJ1315" s="81"/>
      <c r="BK1315" s="81"/>
      <c r="BL1315" s="66"/>
      <c r="BM1315" s="66"/>
      <c r="BN1315" s="66"/>
      <c r="BO1315" s="66" t="str">
        <f>PROPER(TEXT(Prog_236[[#This Row],[PROGRAMAÇÃO CLIENTE]],"mmm"))</f>
        <v>Jan</v>
      </c>
      <c r="BP1315" s="66">
        <f>YEAR(Prog_236[[#This Row],[PROGRAMAÇÃO CLIENTE]])</f>
        <v>1900</v>
      </c>
    </row>
    <row r="1316" spans="1:68" x14ac:dyDescent="0.25">
      <c r="A1316" s="201">
        <f>Prog_236[[#This Row],[CONTEINER]]</f>
        <v>0</v>
      </c>
      <c r="B1316" s="86"/>
      <c r="C13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6" s="44"/>
      <c r="E1316" s="66"/>
      <c r="F1316" s="66"/>
      <c r="G1316" s="66"/>
      <c r="H1316" s="44"/>
      <c r="I1316" s="44"/>
      <c r="J1316" s="66"/>
      <c r="K1316" s="66"/>
      <c r="L1316" s="66"/>
      <c r="M1316" s="66"/>
      <c r="N1316" s="66">
        <f>SUM(Prog_236[[#This Row],[TARA]]+Prog_236[[#This Row],[PESO]])</f>
        <v>0</v>
      </c>
      <c r="O1316" s="44"/>
      <c r="P1316" s="66"/>
      <c r="Q1316" s="66"/>
      <c r="R1316" s="66"/>
      <c r="S1316" s="66"/>
      <c r="T1316" s="138" t="str">
        <f>IFERROR(LOOKUP($S1316,MOTORISTAS!$D$3:$D$1048576,MOTORISTAS!E$3:$E$1048576),"")</f>
        <v/>
      </c>
      <c r="U1316" s="138" t="str">
        <f>IFERROR(LOOKUP($S1316,MOTORISTAS!$D$3:$D$1048576,MOTORISTAS!F$3:$F$1048576),"")</f>
        <v/>
      </c>
      <c r="V1316" s="66"/>
      <c r="W1316" s="66"/>
      <c r="X1316" s="66"/>
      <c r="Y1316" s="66"/>
      <c r="Z1316" s="66"/>
      <c r="AA1316" s="66"/>
      <c r="AB1316" s="66"/>
      <c r="AC1316" s="66"/>
      <c r="AD1316" s="66"/>
      <c r="AE1316" s="66"/>
      <c r="AF1316" s="44"/>
      <c r="AG1316" s="254">
        <f>Prog_236[[#This Row],[SAÍDA DO CLIENTE]]-Prog_236[[#This Row],[PROGRAMAÇÃO CLIENTE]]</f>
        <v>0</v>
      </c>
      <c r="AH1316" s="44"/>
      <c r="AI1316" s="66"/>
      <c r="AJ1316" s="66"/>
      <c r="AK1316" s="66"/>
      <c r="AL1316" s="66"/>
      <c r="AM1316" s="66"/>
      <c r="AN1316" s="83"/>
      <c r="AO1316" s="66"/>
      <c r="AP1316" s="66"/>
      <c r="AQ1316" s="66"/>
      <c r="AR1316" s="81"/>
      <c r="AS1316" s="81"/>
      <c r="AT1316" s="81"/>
      <c r="AU1316" s="81"/>
      <c r="AV1316" s="83">
        <f>SUM(Prog_236[[#This Row],[ADIANTAMENTO]]+Prog_236[[#This Row],[SALDO]]+Prog_236[[#This Row],[MARGEM]]+Prog_236[[#This Row],[ESTADIA 1]])</f>
        <v>0</v>
      </c>
      <c r="AW13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6" s="81"/>
      <c r="AY1316" s="81"/>
      <c r="AZ1316" s="81">
        <f>Prog_236[[#This Row],[VLR NF]]*0.1%</f>
        <v>0</v>
      </c>
      <c r="BA1316" s="81">
        <f>Prog_236[[#This Row],[VLR NF]]*0.05%</f>
        <v>0</v>
      </c>
      <c r="BB1316" s="81"/>
      <c r="BC1316" s="81"/>
      <c r="BD1316" s="81"/>
      <c r="BE1316" s="81"/>
      <c r="BF1316" s="81"/>
      <c r="BG1316" s="81"/>
      <c r="BH1316" s="81"/>
      <c r="BI1316" s="81"/>
      <c r="BJ1316" s="81"/>
      <c r="BK1316" s="81"/>
      <c r="BL1316" s="66"/>
      <c r="BM1316" s="66"/>
      <c r="BN1316" s="66"/>
      <c r="BO1316" s="66" t="str">
        <f>PROPER(TEXT(Prog_236[[#This Row],[PROGRAMAÇÃO CLIENTE]],"mmm"))</f>
        <v>Jan</v>
      </c>
      <c r="BP1316" s="66">
        <f>YEAR(Prog_236[[#This Row],[PROGRAMAÇÃO CLIENTE]])</f>
        <v>1900</v>
      </c>
    </row>
    <row r="1317" spans="1:68" x14ac:dyDescent="0.25">
      <c r="A1317" s="200">
        <f>Prog_236[[#This Row],[CONTEINER]]</f>
        <v>0</v>
      </c>
      <c r="B1317" s="86"/>
      <c r="C13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7" s="44"/>
      <c r="E1317" s="66"/>
      <c r="F1317" s="66"/>
      <c r="G1317" s="66"/>
      <c r="H1317" s="44"/>
      <c r="I1317" s="44"/>
      <c r="J1317" s="66"/>
      <c r="K1317" s="66"/>
      <c r="L1317" s="66"/>
      <c r="M1317" s="66"/>
      <c r="N1317" s="66">
        <f>SUM(Prog_236[[#This Row],[TARA]]+Prog_236[[#This Row],[PESO]])</f>
        <v>0</v>
      </c>
      <c r="O1317" s="44"/>
      <c r="P1317" s="66"/>
      <c r="Q1317" s="66"/>
      <c r="R1317" s="66"/>
      <c r="S1317" s="66"/>
      <c r="T1317" s="138" t="str">
        <f>IFERROR(LOOKUP($S1317,MOTORISTAS!$D$3:$D$1048576,MOTORISTAS!E$3:$E$1048576),"")</f>
        <v/>
      </c>
      <c r="U1317" s="138" t="str">
        <f>IFERROR(LOOKUP($S1317,MOTORISTAS!$D$3:$D$1048576,MOTORISTAS!F$3:$F$1048576),"")</f>
        <v/>
      </c>
      <c r="V1317" s="66"/>
      <c r="W1317" s="66"/>
      <c r="X1317" s="66"/>
      <c r="Y1317" s="66"/>
      <c r="Z1317" s="66"/>
      <c r="AA1317" s="66"/>
      <c r="AB1317" s="66"/>
      <c r="AC1317" s="66"/>
      <c r="AD1317" s="66"/>
      <c r="AE1317" s="66"/>
      <c r="AF1317" s="44"/>
      <c r="AG1317" s="254">
        <f>Prog_236[[#This Row],[SAÍDA DO CLIENTE]]-Prog_236[[#This Row],[PROGRAMAÇÃO CLIENTE]]</f>
        <v>0</v>
      </c>
      <c r="AH1317" s="44"/>
      <c r="AI1317" s="66"/>
      <c r="AJ1317" s="66"/>
      <c r="AK1317" s="66"/>
      <c r="AL1317" s="66"/>
      <c r="AM1317" s="66"/>
      <c r="AN1317" s="83"/>
      <c r="AO1317" s="66"/>
      <c r="AP1317" s="66"/>
      <c r="AQ1317" s="66"/>
      <c r="AR1317" s="81"/>
      <c r="AS1317" s="81"/>
      <c r="AT1317" s="81"/>
      <c r="AU1317" s="81"/>
      <c r="AV1317" s="83">
        <f>SUM(Prog_236[[#This Row],[ADIANTAMENTO]]+Prog_236[[#This Row],[SALDO]]+Prog_236[[#This Row],[MARGEM]]+Prog_236[[#This Row],[ESTADIA 1]])</f>
        <v>0</v>
      </c>
      <c r="AW13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7" s="81"/>
      <c r="AY1317" s="81"/>
      <c r="AZ1317" s="81">
        <f>Prog_236[[#This Row],[VLR NF]]*0.1%</f>
        <v>0</v>
      </c>
      <c r="BA1317" s="81">
        <f>Prog_236[[#This Row],[VLR NF]]*0.05%</f>
        <v>0</v>
      </c>
      <c r="BB1317" s="81"/>
      <c r="BC1317" s="81"/>
      <c r="BD1317" s="81"/>
      <c r="BE1317" s="81"/>
      <c r="BF1317" s="81"/>
      <c r="BG1317" s="81"/>
      <c r="BH1317" s="81"/>
      <c r="BI1317" s="81"/>
      <c r="BJ1317" s="81"/>
      <c r="BK1317" s="81"/>
      <c r="BL1317" s="66"/>
      <c r="BM1317" s="66"/>
      <c r="BN1317" s="66"/>
      <c r="BO1317" s="66" t="str">
        <f>PROPER(TEXT(Prog_236[[#This Row],[PROGRAMAÇÃO CLIENTE]],"mmm"))</f>
        <v>Jan</v>
      </c>
      <c r="BP1317" s="66">
        <f>YEAR(Prog_236[[#This Row],[PROGRAMAÇÃO CLIENTE]])</f>
        <v>1900</v>
      </c>
    </row>
    <row r="1318" spans="1:68" x14ac:dyDescent="0.25">
      <c r="A1318" s="201">
        <f>Prog_236[[#This Row],[CONTEINER]]</f>
        <v>0</v>
      </c>
      <c r="B1318" s="86"/>
      <c r="C13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8" s="44"/>
      <c r="E1318" s="66"/>
      <c r="F1318" s="66"/>
      <c r="G1318" s="66"/>
      <c r="H1318" s="44"/>
      <c r="I1318" s="44"/>
      <c r="J1318" s="66"/>
      <c r="K1318" s="66"/>
      <c r="L1318" s="66"/>
      <c r="M1318" s="66"/>
      <c r="N1318" s="66">
        <f>SUM(Prog_236[[#This Row],[TARA]]+Prog_236[[#This Row],[PESO]])</f>
        <v>0</v>
      </c>
      <c r="O1318" s="44"/>
      <c r="P1318" s="66"/>
      <c r="Q1318" s="66"/>
      <c r="R1318" s="66"/>
      <c r="S1318" s="66"/>
      <c r="T1318" s="138" t="str">
        <f>IFERROR(LOOKUP($S1318,MOTORISTAS!$D$3:$D$1048576,MOTORISTAS!E$3:$E$1048576),"")</f>
        <v/>
      </c>
      <c r="U1318" s="138" t="str">
        <f>IFERROR(LOOKUP($S1318,MOTORISTAS!$D$3:$D$1048576,MOTORISTAS!F$3:$F$1048576),"")</f>
        <v/>
      </c>
      <c r="V1318" s="66"/>
      <c r="W1318" s="66"/>
      <c r="X1318" s="66"/>
      <c r="Y1318" s="66"/>
      <c r="Z1318" s="66"/>
      <c r="AA1318" s="66"/>
      <c r="AB1318" s="66"/>
      <c r="AC1318" s="66"/>
      <c r="AD1318" s="66"/>
      <c r="AE1318" s="66"/>
      <c r="AF1318" s="44"/>
      <c r="AG1318" s="254">
        <f>Prog_236[[#This Row],[SAÍDA DO CLIENTE]]-Prog_236[[#This Row],[PROGRAMAÇÃO CLIENTE]]</f>
        <v>0</v>
      </c>
      <c r="AH1318" s="44"/>
      <c r="AI1318" s="66"/>
      <c r="AJ1318" s="66"/>
      <c r="AK1318" s="66"/>
      <c r="AL1318" s="66"/>
      <c r="AM1318" s="66"/>
      <c r="AN1318" s="83"/>
      <c r="AO1318" s="66"/>
      <c r="AP1318" s="66"/>
      <c r="AQ1318" s="66"/>
      <c r="AR1318" s="81"/>
      <c r="AS1318" s="81"/>
      <c r="AT1318" s="81"/>
      <c r="AU1318" s="81"/>
      <c r="AV1318" s="83">
        <f>SUM(Prog_236[[#This Row],[ADIANTAMENTO]]+Prog_236[[#This Row],[SALDO]]+Prog_236[[#This Row],[MARGEM]]+Prog_236[[#This Row],[ESTADIA 1]])</f>
        <v>0</v>
      </c>
      <c r="AW13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8" s="81"/>
      <c r="AY1318" s="81"/>
      <c r="AZ1318" s="81">
        <f>Prog_236[[#This Row],[VLR NF]]*0.1%</f>
        <v>0</v>
      </c>
      <c r="BA1318" s="81">
        <f>Prog_236[[#This Row],[VLR NF]]*0.05%</f>
        <v>0</v>
      </c>
      <c r="BB1318" s="81"/>
      <c r="BC1318" s="81"/>
      <c r="BD1318" s="81"/>
      <c r="BE1318" s="81"/>
      <c r="BF1318" s="81"/>
      <c r="BG1318" s="81"/>
      <c r="BH1318" s="81"/>
      <c r="BI1318" s="81"/>
      <c r="BJ1318" s="81"/>
      <c r="BK1318" s="81"/>
      <c r="BL1318" s="66"/>
      <c r="BM1318" s="66"/>
      <c r="BN1318" s="66"/>
      <c r="BO1318" s="66" t="str">
        <f>PROPER(TEXT(Prog_236[[#This Row],[PROGRAMAÇÃO CLIENTE]],"mmm"))</f>
        <v>Jan</v>
      </c>
      <c r="BP1318" s="66">
        <f>YEAR(Prog_236[[#This Row],[PROGRAMAÇÃO CLIENTE]])</f>
        <v>1900</v>
      </c>
    </row>
    <row r="1319" spans="1:68" x14ac:dyDescent="0.25">
      <c r="A1319" s="200">
        <f>Prog_236[[#This Row],[CONTEINER]]</f>
        <v>0</v>
      </c>
      <c r="B1319" s="86"/>
      <c r="C13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19" s="44"/>
      <c r="E1319" s="66"/>
      <c r="F1319" s="66"/>
      <c r="G1319" s="66"/>
      <c r="H1319" s="44"/>
      <c r="I1319" s="44"/>
      <c r="J1319" s="66"/>
      <c r="K1319" s="66"/>
      <c r="L1319" s="66"/>
      <c r="M1319" s="66"/>
      <c r="N1319" s="66">
        <f>SUM(Prog_236[[#This Row],[TARA]]+Prog_236[[#This Row],[PESO]])</f>
        <v>0</v>
      </c>
      <c r="O1319" s="44"/>
      <c r="P1319" s="66"/>
      <c r="Q1319" s="66"/>
      <c r="R1319" s="66"/>
      <c r="S1319" s="66"/>
      <c r="T1319" s="138" t="str">
        <f>IFERROR(LOOKUP($S1319,MOTORISTAS!$D$3:$D$1048576,MOTORISTAS!E$3:$E$1048576),"")</f>
        <v/>
      </c>
      <c r="U1319" s="138" t="str">
        <f>IFERROR(LOOKUP($S1319,MOTORISTAS!$D$3:$D$1048576,MOTORISTAS!F$3:$F$1048576),"")</f>
        <v/>
      </c>
      <c r="V1319" s="66"/>
      <c r="W1319" s="66"/>
      <c r="X1319" s="66"/>
      <c r="Y1319" s="66"/>
      <c r="Z1319" s="66"/>
      <c r="AA1319" s="66"/>
      <c r="AB1319" s="66"/>
      <c r="AC1319" s="66"/>
      <c r="AD1319" s="66"/>
      <c r="AE1319" s="66"/>
      <c r="AF1319" s="44"/>
      <c r="AG1319" s="254">
        <f>Prog_236[[#This Row],[SAÍDA DO CLIENTE]]-Prog_236[[#This Row],[PROGRAMAÇÃO CLIENTE]]</f>
        <v>0</v>
      </c>
      <c r="AH1319" s="44"/>
      <c r="AI1319" s="66"/>
      <c r="AJ1319" s="66"/>
      <c r="AK1319" s="66"/>
      <c r="AL1319" s="66"/>
      <c r="AM1319" s="66"/>
      <c r="AN1319" s="83"/>
      <c r="AO1319" s="66"/>
      <c r="AP1319" s="66"/>
      <c r="AQ1319" s="66"/>
      <c r="AR1319" s="81"/>
      <c r="AS1319" s="81"/>
      <c r="AT1319" s="81"/>
      <c r="AU1319" s="81"/>
      <c r="AV1319" s="83">
        <f>SUM(Prog_236[[#This Row],[ADIANTAMENTO]]+Prog_236[[#This Row],[SALDO]]+Prog_236[[#This Row],[MARGEM]]+Prog_236[[#This Row],[ESTADIA 1]])</f>
        <v>0</v>
      </c>
      <c r="AW13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19" s="81"/>
      <c r="AY1319" s="81"/>
      <c r="AZ1319" s="81">
        <f>Prog_236[[#This Row],[VLR NF]]*0.1%</f>
        <v>0</v>
      </c>
      <c r="BA1319" s="81">
        <f>Prog_236[[#This Row],[VLR NF]]*0.05%</f>
        <v>0</v>
      </c>
      <c r="BB1319" s="81"/>
      <c r="BC1319" s="81"/>
      <c r="BD1319" s="81"/>
      <c r="BE1319" s="81"/>
      <c r="BF1319" s="81"/>
      <c r="BG1319" s="81"/>
      <c r="BH1319" s="81"/>
      <c r="BI1319" s="81"/>
      <c r="BJ1319" s="81"/>
      <c r="BK1319" s="81"/>
      <c r="BL1319" s="66"/>
      <c r="BM1319" s="66"/>
      <c r="BN1319" s="66"/>
      <c r="BO1319" s="66" t="str">
        <f>PROPER(TEXT(Prog_236[[#This Row],[PROGRAMAÇÃO CLIENTE]],"mmm"))</f>
        <v>Jan</v>
      </c>
      <c r="BP1319" s="66">
        <f>YEAR(Prog_236[[#This Row],[PROGRAMAÇÃO CLIENTE]])</f>
        <v>1900</v>
      </c>
    </row>
    <row r="1320" spans="1:68" x14ac:dyDescent="0.25">
      <c r="A1320" s="201">
        <f>Prog_236[[#This Row],[CONTEINER]]</f>
        <v>0</v>
      </c>
      <c r="B1320" s="86"/>
      <c r="C13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0" s="44"/>
      <c r="E1320" s="66"/>
      <c r="F1320" s="66"/>
      <c r="G1320" s="66"/>
      <c r="H1320" s="44"/>
      <c r="I1320" s="44"/>
      <c r="J1320" s="66"/>
      <c r="K1320" s="66"/>
      <c r="L1320" s="66"/>
      <c r="M1320" s="66"/>
      <c r="N1320" s="66">
        <f>SUM(Prog_236[[#This Row],[TARA]]+Prog_236[[#This Row],[PESO]])</f>
        <v>0</v>
      </c>
      <c r="O1320" s="44"/>
      <c r="P1320" s="66"/>
      <c r="Q1320" s="66"/>
      <c r="R1320" s="66"/>
      <c r="S1320" s="66"/>
      <c r="T1320" s="138" t="str">
        <f>IFERROR(LOOKUP($S1320,MOTORISTAS!$D$3:$D$1048576,MOTORISTAS!E$3:$E$1048576),"")</f>
        <v/>
      </c>
      <c r="U1320" s="138" t="str">
        <f>IFERROR(LOOKUP($S1320,MOTORISTAS!$D$3:$D$1048576,MOTORISTAS!F$3:$F$1048576),"")</f>
        <v/>
      </c>
      <c r="V1320" s="66"/>
      <c r="W1320" s="66"/>
      <c r="X1320" s="66"/>
      <c r="Y1320" s="66"/>
      <c r="Z1320" s="66"/>
      <c r="AA1320" s="66"/>
      <c r="AB1320" s="66"/>
      <c r="AC1320" s="66"/>
      <c r="AD1320" s="66"/>
      <c r="AE1320" s="66"/>
      <c r="AF1320" s="44"/>
      <c r="AG1320" s="254">
        <f>Prog_236[[#This Row],[SAÍDA DO CLIENTE]]-Prog_236[[#This Row],[PROGRAMAÇÃO CLIENTE]]</f>
        <v>0</v>
      </c>
      <c r="AH1320" s="44"/>
      <c r="AI1320" s="66"/>
      <c r="AJ1320" s="66"/>
      <c r="AK1320" s="66"/>
      <c r="AL1320" s="66"/>
      <c r="AM1320" s="66"/>
      <c r="AN1320" s="83"/>
      <c r="AO1320" s="66"/>
      <c r="AP1320" s="66"/>
      <c r="AQ1320" s="66"/>
      <c r="AR1320" s="81"/>
      <c r="AS1320" s="81"/>
      <c r="AT1320" s="81"/>
      <c r="AU1320" s="81"/>
      <c r="AV1320" s="83">
        <f>SUM(Prog_236[[#This Row],[ADIANTAMENTO]]+Prog_236[[#This Row],[SALDO]]+Prog_236[[#This Row],[MARGEM]]+Prog_236[[#This Row],[ESTADIA 1]])</f>
        <v>0</v>
      </c>
      <c r="AW13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0" s="81"/>
      <c r="AY1320" s="81"/>
      <c r="AZ1320" s="81">
        <f>Prog_236[[#This Row],[VLR NF]]*0.1%</f>
        <v>0</v>
      </c>
      <c r="BA1320" s="81">
        <f>Prog_236[[#This Row],[VLR NF]]*0.05%</f>
        <v>0</v>
      </c>
      <c r="BB1320" s="81"/>
      <c r="BC1320" s="81"/>
      <c r="BD1320" s="81"/>
      <c r="BE1320" s="81"/>
      <c r="BF1320" s="81"/>
      <c r="BG1320" s="81"/>
      <c r="BH1320" s="81"/>
      <c r="BI1320" s="81"/>
      <c r="BJ1320" s="81"/>
      <c r="BK1320" s="81"/>
      <c r="BL1320" s="66"/>
      <c r="BM1320" s="66"/>
      <c r="BN1320" s="66"/>
      <c r="BO1320" s="66" t="str">
        <f>PROPER(TEXT(Prog_236[[#This Row],[PROGRAMAÇÃO CLIENTE]],"mmm"))</f>
        <v>Jan</v>
      </c>
      <c r="BP1320" s="66">
        <f>YEAR(Prog_236[[#This Row],[PROGRAMAÇÃO CLIENTE]])</f>
        <v>1900</v>
      </c>
    </row>
    <row r="1321" spans="1:68" x14ac:dyDescent="0.25">
      <c r="A1321" s="200">
        <f>Prog_236[[#This Row],[CONTEINER]]</f>
        <v>0</v>
      </c>
      <c r="B1321" s="86"/>
      <c r="C13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1" s="44"/>
      <c r="E1321" s="66"/>
      <c r="F1321" s="66"/>
      <c r="G1321" s="66"/>
      <c r="H1321" s="44"/>
      <c r="I1321" s="44"/>
      <c r="J1321" s="66"/>
      <c r="K1321" s="66"/>
      <c r="L1321" s="66"/>
      <c r="M1321" s="66"/>
      <c r="N1321" s="66">
        <f>SUM(Prog_236[[#This Row],[TARA]]+Prog_236[[#This Row],[PESO]])</f>
        <v>0</v>
      </c>
      <c r="O1321" s="44"/>
      <c r="P1321" s="66"/>
      <c r="Q1321" s="66"/>
      <c r="R1321" s="66"/>
      <c r="S1321" s="66"/>
      <c r="T1321" s="138" t="str">
        <f>IFERROR(LOOKUP($S1321,MOTORISTAS!$D$3:$D$1048576,MOTORISTAS!E$3:$E$1048576),"")</f>
        <v/>
      </c>
      <c r="U1321" s="138" t="str">
        <f>IFERROR(LOOKUP($S1321,MOTORISTAS!$D$3:$D$1048576,MOTORISTAS!F$3:$F$1048576),"")</f>
        <v/>
      </c>
      <c r="V1321" s="66"/>
      <c r="W1321" s="66"/>
      <c r="X1321" s="66"/>
      <c r="Y1321" s="66"/>
      <c r="Z1321" s="66"/>
      <c r="AA1321" s="66"/>
      <c r="AB1321" s="66"/>
      <c r="AC1321" s="66"/>
      <c r="AD1321" s="66"/>
      <c r="AE1321" s="66"/>
      <c r="AF1321" s="44"/>
      <c r="AG1321" s="254">
        <f>Prog_236[[#This Row],[SAÍDA DO CLIENTE]]-Prog_236[[#This Row],[PROGRAMAÇÃO CLIENTE]]</f>
        <v>0</v>
      </c>
      <c r="AH1321" s="44"/>
      <c r="AI1321" s="66"/>
      <c r="AJ1321" s="66"/>
      <c r="AK1321" s="66"/>
      <c r="AL1321" s="66"/>
      <c r="AM1321" s="66"/>
      <c r="AN1321" s="83"/>
      <c r="AO1321" s="66"/>
      <c r="AP1321" s="66"/>
      <c r="AQ1321" s="66"/>
      <c r="AR1321" s="81"/>
      <c r="AS1321" s="81"/>
      <c r="AT1321" s="81"/>
      <c r="AU1321" s="81"/>
      <c r="AV1321" s="83">
        <f>SUM(Prog_236[[#This Row],[ADIANTAMENTO]]+Prog_236[[#This Row],[SALDO]]+Prog_236[[#This Row],[MARGEM]]+Prog_236[[#This Row],[ESTADIA 1]])</f>
        <v>0</v>
      </c>
      <c r="AW13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1" s="81"/>
      <c r="AY1321" s="81"/>
      <c r="AZ1321" s="81">
        <f>Prog_236[[#This Row],[VLR NF]]*0.1%</f>
        <v>0</v>
      </c>
      <c r="BA1321" s="81">
        <f>Prog_236[[#This Row],[VLR NF]]*0.05%</f>
        <v>0</v>
      </c>
      <c r="BB1321" s="81"/>
      <c r="BC1321" s="81"/>
      <c r="BD1321" s="81"/>
      <c r="BE1321" s="81"/>
      <c r="BF1321" s="81"/>
      <c r="BG1321" s="81"/>
      <c r="BH1321" s="81"/>
      <c r="BI1321" s="81"/>
      <c r="BJ1321" s="81"/>
      <c r="BK1321" s="81"/>
      <c r="BL1321" s="66"/>
      <c r="BM1321" s="66"/>
      <c r="BN1321" s="66"/>
      <c r="BO1321" s="66" t="str">
        <f>PROPER(TEXT(Prog_236[[#This Row],[PROGRAMAÇÃO CLIENTE]],"mmm"))</f>
        <v>Jan</v>
      </c>
      <c r="BP1321" s="66">
        <f>YEAR(Prog_236[[#This Row],[PROGRAMAÇÃO CLIENTE]])</f>
        <v>1900</v>
      </c>
    </row>
    <row r="1322" spans="1:68" x14ac:dyDescent="0.25">
      <c r="A1322" s="201">
        <f>Prog_236[[#This Row],[CONTEINER]]</f>
        <v>0</v>
      </c>
      <c r="B1322" s="86"/>
      <c r="C13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2" s="44"/>
      <c r="E1322" s="66"/>
      <c r="F1322" s="66"/>
      <c r="G1322" s="66"/>
      <c r="H1322" s="44"/>
      <c r="I1322" s="44"/>
      <c r="J1322" s="66"/>
      <c r="K1322" s="66"/>
      <c r="L1322" s="66"/>
      <c r="M1322" s="66"/>
      <c r="N1322" s="66">
        <f>SUM(Prog_236[[#This Row],[TARA]]+Prog_236[[#This Row],[PESO]])</f>
        <v>0</v>
      </c>
      <c r="O1322" s="44"/>
      <c r="P1322" s="66"/>
      <c r="Q1322" s="66"/>
      <c r="R1322" s="66"/>
      <c r="S1322" s="66"/>
      <c r="T1322" s="138" t="str">
        <f>IFERROR(LOOKUP($S1322,MOTORISTAS!$D$3:$D$1048576,MOTORISTAS!E$3:$E$1048576),"")</f>
        <v/>
      </c>
      <c r="U1322" s="138" t="str">
        <f>IFERROR(LOOKUP($S1322,MOTORISTAS!$D$3:$D$1048576,MOTORISTAS!F$3:$F$1048576),"")</f>
        <v/>
      </c>
      <c r="V1322" s="66"/>
      <c r="W1322" s="66"/>
      <c r="X1322" s="66"/>
      <c r="Y1322" s="66"/>
      <c r="Z1322" s="66"/>
      <c r="AA1322" s="66"/>
      <c r="AB1322" s="66"/>
      <c r="AC1322" s="66"/>
      <c r="AD1322" s="66"/>
      <c r="AE1322" s="66"/>
      <c r="AF1322" s="44"/>
      <c r="AG1322" s="254">
        <f>Prog_236[[#This Row],[SAÍDA DO CLIENTE]]-Prog_236[[#This Row],[PROGRAMAÇÃO CLIENTE]]</f>
        <v>0</v>
      </c>
      <c r="AH1322" s="44"/>
      <c r="AI1322" s="66"/>
      <c r="AJ1322" s="66"/>
      <c r="AK1322" s="66"/>
      <c r="AL1322" s="66"/>
      <c r="AM1322" s="66"/>
      <c r="AN1322" s="83"/>
      <c r="AO1322" s="66"/>
      <c r="AP1322" s="66"/>
      <c r="AQ1322" s="66"/>
      <c r="AR1322" s="81"/>
      <c r="AS1322" s="81"/>
      <c r="AT1322" s="81"/>
      <c r="AU1322" s="81"/>
      <c r="AV1322" s="83">
        <f>SUM(Prog_236[[#This Row],[ADIANTAMENTO]]+Prog_236[[#This Row],[SALDO]]+Prog_236[[#This Row],[MARGEM]]+Prog_236[[#This Row],[ESTADIA 1]])</f>
        <v>0</v>
      </c>
      <c r="AW13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2" s="81"/>
      <c r="AY1322" s="81"/>
      <c r="AZ1322" s="81">
        <f>Prog_236[[#This Row],[VLR NF]]*0.1%</f>
        <v>0</v>
      </c>
      <c r="BA1322" s="81">
        <f>Prog_236[[#This Row],[VLR NF]]*0.05%</f>
        <v>0</v>
      </c>
      <c r="BB1322" s="81"/>
      <c r="BC1322" s="81"/>
      <c r="BD1322" s="81"/>
      <c r="BE1322" s="81"/>
      <c r="BF1322" s="81"/>
      <c r="BG1322" s="81"/>
      <c r="BH1322" s="81"/>
      <c r="BI1322" s="81"/>
      <c r="BJ1322" s="81"/>
      <c r="BK1322" s="81"/>
      <c r="BL1322" s="66"/>
      <c r="BM1322" s="66"/>
      <c r="BN1322" s="66"/>
      <c r="BO1322" s="66" t="str">
        <f>PROPER(TEXT(Prog_236[[#This Row],[PROGRAMAÇÃO CLIENTE]],"mmm"))</f>
        <v>Jan</v>
      </c>
      <c r="BP1322" s="66">
        <f>YEAR(Prog_236[[#This Row],[PROGRAMAÇÃO CLIENTE]])</f>
        <v>1900</v>
      </c>
    </row>
    <row r="1323" spans="1:68" x14ac:dyDescent="0.25">
      <c r="A1323" s="200">
        <f>Prog_236[[#This Row],[CONTEINER]]</f>
        <v>0</v>
      </c>
      <c r="B1323" s="86"/>
      <c r="C13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3" s="44"/>
      <c r="E1323" s="66"/>
      <c r="F1323" s="66"/>
      <c r="G1323" s="66"/>
      <c r="H1323" s="44"/>
      <c r="I1323" s="44"/>
      <c r="J1323" s="66"/>
      <c r="K1323" s="66"/>
      <c r="L1323" s="66"/>
      <c r="M1323" s="66"/>
      <c r="N1323" s="66">
        <f>SUM(Prog_236[[#This Row],[TARA]]+Prog_236[[#This Row],[PESO]])</f>
        <v>0</v>
      </c>
      <c r="O1323" s="44"/>
      <c r="P1323" s="66"/>
      <c r="Q1323" s="66"/>
      <c r="R1323" s="66"/>
      <c r="S1323" s="66"/>
      <c r="T1323" s="138" t="str">
        <f>IFERROR(LOOKUP($S1323,MOTORISTAS!$D$3:$D$1048576,MOTORISTAS!E$3:$E$1048576),"")</f>
        <v/>
      </c>
      <c r="U1323" s="138" t="str">
        <f>IFERROR(LOOKUP($S1323,MOTORISTAS!$D$3:$D$1048576,MOTORISTAS!F$3:$F$1048576),"")</f>
        <v/>
      </c>
      <c r="V1323" s="66"/>
      <c r="W1323" s="66"/>
      <c r="X1323" s="66"/>
      <c r="Y1323" s="66"/>
      <c r="Z1323" s="66"/>
      <c r="AA1323" s="66"/>
      <c r="AB1323" s="66"/>
      <c r="AC1323" s="66"/>
      <c r="AD1323" s="66"/>
      <c r="AE1323" s="66"/>
      <c r="AF1323" s="44"/>
      <c r="AG1323" s="254">
        <f>Prog_236[[#This Row],[SAÍDA DO CLIENTE]]-Prog_236[[#This Row],[PROGRAMAÇÃO CLIENTE]]</f>
        <v>0</v>
      </c>
      <c r="AH1323" s="44"/>
      <c r="AI1323" s="66"/>
      <c r="AJ1323" s="66"/>
      <c r="AK1323" s="66"/>
      <c r="AL1323" s="66"/>
      <c r="AM1323" s="66"/>
      <c r="AN1323" s="83"/>
      <c r="AO1323" s="66"/>
      <c r="AP1323" s="66"/>
      <c r="AQ1323" s="66"/>
      <c r="AR1323" s="81"/>
      <c r="AS1323" s="81"/>
      <c r="AT1323" s="81"/>
      <c r="AU1323" s="81"/>
      <c r="AV1323" s="83">
        <f>SUM(Prog_236[[#This Row],[ADIANTAMENTO]]+Prog_236[[#This Row],[SALDO]]+Prog_236[[#This Row],[MARGEM]]+Prog_236[[#This Row],[ESTADIA 1]])</f>
        <v>0</v>
      </c>
      <c r="AW13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3" s="81"/>
      <c r="AY1323" s="81"/>
      <c r="AZ1323" s="81">
        <f>Prog_236[[#This Row],[VLR NF]]*0.1%</f>
        <v>0</v>
      </c>
      <c r="BA1323" s="81">
        <f>Prog_236[[#This Row],[VLR NF]]*0.05%</f>
        <v>0</v>
      </c>
      <c r="BB1323" s="81"/>
      <c r="BC1323" s="81"/>
      <c r="BD1323" s="81"/>
      <c r="BE1323" s="81"/>
      <c r="BF1323" s="81"/>
      <c r="BG1323" s="81"/>
      <c r="BH1323" s="81"/>
      <c r="BI1323" s="81"/>
      <c r="BJ1323" s="81"/>
      <c r="BK1323" s="81"/>
      <c r="BL1323" s="66"/>
      <c r="BM1323" s="66"/>
      <c r="BN1323" s="66"/>
      <c r="BO1323" s="66" t="str">
        <f>PROPER(TEXT(Prog_236[[#This Row],[PROGRAMAÇÃO CLIENTE]],"mmm"))</f>
        <v>Jan</v>
      </c>
      <c r="BP1323" s="66">
        <f>YEAR(Prog_236[[#This Row],[PROGRAMAÇÃO CLIENTE]])</f>
        <v>1900</v>
      </c>
    </row>
    <row r="1324" spans="1:68" x14ac:dyDescent="0.25">
      <c r="A1324" s="201">
        <f>Prog_236[[#This Row],[CONTEINER]]</f>
        <v>0</v>
      </c>
      <c r="B1324" s="86"/>
      <c r="C13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4" s="44"/>
      <c r="E1324" s="66"/>
      <c r="F1324" s="66"/>
      <c r="G1324" s="66"/>
      <c r="H1324" s="44"/>
      <c r="I1324" s="44"/>
      <c r="J1324" s="66"/>
      <c r="K1324" s="66"/>
      <c r="L1324" s="66"/>
      <c r="M1324" s="66"/>
      <c r="N1324" s="66">
        <f>SUM(Prog_236[[#This Row],[TARA]]+Prog_236[[#This Row],[PESO]])</f>
        <v>0</v>
      </c>
      <c r="O1324" s="44"/>
      <c r="P1324" s="66"/>
      <c r="Q1324" s="66"/>
      <c r="R1324" s="66"/>
      <c r="S1324" s="66"/>
      <c r="T1324" s="138" t="str">
        <f>IFERROR(LOOKUP($S1324,MOTORISTAS!$D$3:$D$1048576,MOTORISTAS!E$3:$E$1048576),"")</f>
        <v/>
      </c>
      <c r="U1324" s="138" t="str">
        <f>IFERROR(LOOKUP($S1324,MOTORISTAS!$D$3:$D$1048576,MOTORISTAS!F$3:$F$1048576),"")</f>
        <v/>
      </c>
      <c r="V1324" s="66"/>
      <c r="W1324" s="66"/>
      <c r="X1324" s="66"/>
      <c r="Y1324" s="66"/>
      <c r="Z1324" s="66"/>
      <c r="AA1324" s="66"/>
      <c r="AB1324" s="66"/>
      <c r="AC1324" s="66"/>
      <c r="AD1324" s="66"/>
      <c r="AE1324" s="66"/>
      <c r="AF1324" s="44"/>
      <c r="AG1324" s="254">
        <f>Prog_236[[#This Row],[SAÍDA DO CLIENTE]]-Prog_236[[#This Row],[PROGRAMAÇÃO CLIENTE]]</f>
        <v>0</v>
      </c>
      <c r="AH1324" s="44"/>
      <c r="AI1324" s="66"/>
      <c r="AJ1324" s="66"/>
      <c r="AK1324" s="66"/>
      <c r="AL1324" s="66"/>
      <c r="AM1324" s="66"/>
      <c r="AN1324" s="83"/>
      <c r="AO1324" s="66"/>
      <c r="AP1324" s="66"/>
      <c r="AQ1324" s="66"/>
      <c r="AR1324" s="81"/>
      <c r="AS1324" s="81"/>
      <c r="AT1324" s="81"/>
      <c r="AU1324" s="81"/>
      <c r="AV1324" s="83">
        <f>SUM(Prog_236[[#This Row],[ADIANTAMENTO]]+Prog_236[[#This Row],[SALDO]]+Prog_236[[#This Row],[MARGEM]]+Prog_236[[#This Row],[ESTADIA 1]])</f>
        <v>0</v>
      </c>
      <c r="AW13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4" s="81"/>
      <c r="AY1324" s="81"/>
      <c r="AZ1324" s="81">
        <f>Prog_236[[#This Row],[VLR NF]]*0.1%</f>
        <v>0</v>
      </c>
      <c r="BA1324" s="81">
        <f>Prog_236[[#This Row],[VLR NF]]*0.05%</f>
        <v>0</v>
      </c>
      <c r="BB1324" s="81"/>
      <c r="BC1324" s="81"/>
      <c r="BD1324" s="81"/>
      <c r="BE1324" s="81"/>
      <c r="BF1324" s="81"/>
      <c r="BG1324" s="81"/>
      <c r="BH1324" s="81"/>
      <c r="BI1324" s="81"/>
      <c r="BJ1324" s="81"/>
      <c r="BK1324" s="81"/>
      <c r="BL1324" s="66"/>
      <c r="BM1324" s="66"/>
      <c r="BN1324" s="66"/>
      <c r="BO1324" s="66" t="str">
        <f>PROPER(TEXT(Prog_236[[#This Row],[PROGRAMAÇÃO CLIENTE]],"mmm"))</f>
        <v>Jan</v>
      </c>
      <c r="BP1324" s="66">
        <f>YEAR(Prog_236[[#This Row],[PROGRAMAÇÃO CLIENTE]])</f>
        <v>1900</v>
      </c>
    </row>
    <row r="1325" spans="1:68" x14ac:dyDescent="0.25">
      <c r="A1325" s="200">
        <f>Prog_236[[#This Row],[CONTEINER]]</f>
        <v>0</v>
      </c>
      <c r="B1325" s="86"/>
      <c r="C13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5" s="44"/>
      <c r="E1325" s="66"/>
      <c r="F1325" s="66"/>
      <c r="G1325" s="66"/>
      <c r="H1325" s="44"/>
      <c r="I1325" s="44"/>
      <c r="J1325" s="66"/>
      <c r="K1325" s="66"/>
      <c r="L1325" s="66"/>
      <c r="M1325" s="66"/>
      <c r="N1325" s="66">
        <f>SUM(Prog_236[[#This Row],[TARA]]+Prog_236[[#This Row],[PESO]])</f>
        <v>0</v>
      </c>
      <c r="O1325" s="44"/>
      <c r="P1325" s="66"/>
      <c r="Q1325" s="66"/>
      <c r="R1325" s="66"/>
      <c r="S1325" s="66"/>
      <c r="T1325" s="138" t="str">
        <f>IFERROR(LOOKUP($S1325,MOTORISTAS!$D$3:$D$1048576,MOTORISTAS!E$3:$E$1048576),"")</f>
        <v/>
      </c>
      <c r="U1325" s="138" t="str">
        <f>IFERROR(LOOKUP($S1325,MOTORISTAS!$D$3:$D$1048576,MOTORISTAS!F$3:$F$1048576),"")</f>
        <v/>
      </c>
      <c r="V1325" s="66"/>
      <c r="W1325" s="66"/>
      <c r="X1325" s="66"/>
      <c r="Y1325" s="66"/>
      <c r="Z1325" s="66"/>
      <c r="AA1325" s="66"/>
      <c r="AB1325" s="66"/>
      <c r="AC1325" s="66"/>
      <c r="AD1325" s="66"/>
      <c r="AE1325" s="66"/>
      <c r="AF1325" s="44"/>
      <c r="AG1325" s="254">
        <f>Prog_236[[#This Row],[SAÍDA DO CLIENTE]]-Prog_236[[#This Row],[PROGRAMAÇÃO CLIENTE]]</f>
        <v>0</v>
      </c>
      <c r="AH1325" s="44"/>
      <c r="AI1325" s="66"/>
      <c r="AJ1325" s="66"/>
      <c r="AK1325" s="66"/>
      <c r="AL1325" s="66"/>
      <c r="AM1325" s="66"/>
      <c r="AN1325" s="83"/>
      <c r="AO1325" s="66"/>
      <c r="AP1325" s="66"/>
      <c r="AQ1325" s="66"/>
      <c r="AR1325" s="81"/>
      <c r="AS1325" s="81"/>
      <c r="AT1325" s="81"/>
      <c r="AU1325" s="81"/>
      <c r="AV1325" s="83">
        <f>SUM(Prog_236[[#This Row],[ADIANTAMENTO]]+Prog_236[[#This Row],[SALDO]]+Prog_236[[#This Row],[MARGEM]]+Prog_236[[#This Row],[ESTADIA 1]])</f>
        <v>0</v>
      </c>
      <c r="AW13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5" s="81"/>
      <c r="AY1325" s="81"/>
      <c r="AZ1325" s="81">
        <f>Prog_236[[#This Row],[VLR NF]]*0.1%</f>
        <v>0</v>
      </c>
      <c r="BA1325" s="81">
        <f>Prog_236[[#This Row],[VLR NF]]*0.05%</f>
        <v>0</v>
      </c>
      <c r="BB1325" s="81"/>
      <c r="BC1325" s="81"/>
      <c r="BD1325" s="81"/>
      <c r="BE1325" s="81"/>
      <c r="BF1325" s="81"/>
      <c r="BG1325" s="81"/>
      <c r="BH1325" s="81"/>
      <c r="BI1325" s="81"/>
      <c r="BJ1325" s="81"/>
      <c r="BK1325" s="81"/>
      <c r="BL1325" s="66"/>
      <c r="BM1325" s="66"/>
      <c r="BN1325" s="66"/>
      <c r="BO1325" s="66" t="str">
        <f>PROPER(TEXT(Prog_236[[#This Row],[PROGRAMAÇÃO CLIENTE]],"mmm"))</f>
        <v>Jan</v>
      </c>
      <c r="BP1325" s="66">
        <f>YEAR(Prog_236[[#This Row],[PROGRAMAÇÃO CLIENTE]])</f>
        <v>1900</v>
      </c>
    </row>
    <row r="1326" spans="1:68" x14ac:dyDescent="0.25">
      <c r="A1326" s="201">
        <f>Prog_236[[#This Row],[CONTEINER]]</f>
        <v>0</v>
      </c>
      <c r="B1326" s="86"/>
      <c r="C13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6" s="44"/>
      <c r="E1326" s="66"/>
      <c r="F1326" s="66"/>
      <c r="G1326" s="66"/>
      <c r="H1326" s="44"/>
      <c r="I1326" s="44"/>
      <c r="J1326" s="66"/>
      <c r="K1326" s="66"/>
      <c r="L1326" s="66"/>
      <c r="M1326" s="66"/>
      <c r="N1326" s="66">
        <f>SUM(Prog_236[[#This Row],[TARA]]+Prog_236[[#This Row],[PESO]])</f>
        <v>0</v>
      </c>
      <c r="O1326" s="44"/>
      <c r="P1326" s="66"/>
      <c r="Q1326" s="66"/>
      <c r="R1326" s="66"/>
      <c r="S1326" s="66"/>
      <c r="T1326" s="138" t="str">
        <f>IFERROR(LOOKUP($S1326,MOTORISTAS!$D$3:$D$1048576,MOTORISTAS!E$3:$E$1048576),"")</f>
        <v/>
      </c>
      <c r="U1326" s="138" t="str">
        <f>IFERROR(LOOKUP($S1326,MOTORISTAS!$D$3:$D$1048576,MOTORISTAS!F$3:$F$1048576),"")</f>
        <v/>
      </c>
      <c r="V1326" s="66"/>
      <c r="W1326" s="66"/>
      <c r="X1326" s="66"/>
      <c r="Y1326" s="66"/>
      <c r="Z1326" s="66"/>
      <c r="AA1326" s="66"/>
      <c r="AB1326" s="66"/>
      <c r="AC1326" s="66"/>
      <c r="AD1326" s="66"/>
      <c r="AE1326" s="66"/>
      <c r="AF1326" s="44"/>
      <c r="AG1326" s="254">
        <f>Prog_236[[#This Row],[SAÍDA DO CLIENTE]]-Prog_236[[#This Row],[PROGRAMAÇÃO CLIENTE]]</f>
        <v>0</v>
      </c>
      <c r="AH1326" s="44"/>
      <c r="AI1326" s="66"/>
      <c r="AJ1326" s="66"/>
      <c r="AK1326" s="66"/>
      <c r="AL1326" s="66"/>
      <c r="AM1326" s="66"/>
      <c r="AN1326" s="83"/>
      <c r="AO1326" s="66"/>
      <c r="AP1326" s="66"/>
      <c r="AQ1326" s="66"/>
      <c r="AR1326" s="81"/>
      <c r="AS1326" s="81"/>
      <c r="AT1326" s="81"/>
      <c r="AU1326" s="81"/>
      <c r="AV1326" s="83">
        <f>SUM(Prog_236[[#This Row],[ADIANTAMENTO]]+Prog_236[[#This Row],[SALDO]]+Prog_236[[#This Row],[MARGEM]]+Prog_236[[#This Row],[ESTADIA 1]])</f>
        <v>0</v>
      </c>
      <c r="AW13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6" s="81"/>
      <c r="AY1326" s="81"/>
      <c r="AZ1326" s="81">
        <f>Prog_236[[#This Row],[VLR NF]]*0.1%</f>
        <v>0</v>
      </c>
      <c r="BA1326" s="81">
        <f>Prog_236[[#This Row],[VLR NF]]*0.05%</f>
        <v>0</v>
      </c>
      <c r="BB1326" s="81"/>
      <c r="BC1326" s="81"/>
      <c r="BD1326" s="81"/>
      <c r="BE1326" s="81"/>
      <c r="BF1326" s="81"/>
      <c r="BG1326" s="81"/>
      <c r="BH1326" s="81"/>
      <c r="BI1326" s="81"/>
      <c r="BJ1326" s="81"/>
      <c r="BK1326" s="81"/>
      <c r="BL1326" s="66"/>
      <c r="BM1326" s="66"/>
      <c r="BN1326" s="66"/>
      <c r="BO1326" s="66" t="str">
        <f>PROPER(TEXT(Prog_236[[#This Row],[PROGRAMAÇÃO CLIENTE]],"mmm"))</f>
        <v>Jan</v>
      </c>
      <c r="BP1326" s="66">
        <f>YEAR(Prog_236[[#This Row],[PROGRAMAÇÃO CLIENTE]])</f>
        <v>1900</v>
      </c>
    </row>
    <row r="1327" spans="1:68" x14ac:dyDescent="0.25">
      <c r="A1327" s="200">
        <f>Prog_236[[#This Row],[CONTEINER]]</f>
        <v>0</v>
      </c>
      <c r="B1327" s="86"/>
      <c r="C13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7" s="44"/>
      <c r="E1327" s="66"/>
      <c r="F1327" s="66"/>
      <c r="G1327" s="66"/>
      <c r="H1327" s="44"/>
      <c r="I1327" s="44"/>
      <c r="J1327" s="66"/>
      <c r="K1327" s="66"/>
      <c r="L1327" s="66"/>
      <c r="M1327" s="66"/>
      <c r="N1327" s="66">
        <f>SUM(Prog_236[[#This Row],[TARA]]+Prog_236[[#This Row],[PESO]])</f>
        <v>0</v>
      </c>
      <c r="O1327" s="44"/>
      <c r="P1327" s="66"/>
      <c r="Q1327" s="66"/>
      <c r="R1327" s="66"/>
      <c r="S1327" s="66"/>
      <c r="T1327" s="138" t="str">
        <f>IFERROR(LOOKUP($S1327,MOTORISTAS!$D$3:$D$1048576,MOTORISTAS!E$3:$E$1048576),"")</f>
        <v/>
      </c>
      <c r="U1327" s="138" t="str">
        <f>IFERROR(LOOKUP($S1327,MOTORISTAS!$D$3:$D$1048576,MOTORISTAS!F$3:$F$1048576),"")</f>
        <v/>
      </c>
      <c r="V1327" s="66"/>
      <c r="W1327" s="66"/>
      <c r="X1327" s="66"/>
      <c r="Y1327" s="66"/>
      <c r="Z1327" s="66"/>
      <c r="AA1327" s="66"/>
      <c r="AB1327" s="66"/>
      <c r="AC1327" s="66"/>
      <c r="AD1327" s="66"/>
      <c r="AE1327" s="66"/>
      <c r="AF1327" s="44"/>
      <c r="AG1327" s="254">
        <f>Prog_236[[#This Row],[SAÍDA DO CLIENTE]]-Prog_236[[#This Row],[PROGRAMAÇÃO CLIENTE]]</f>
        <v>0</v>
      </c>
      <c r="AH1327" s="44"/>
      <c r="AI1327" s="66"/>
      <c r="AJ1327" s="66"/>
      <c r="AK1327" s="66"/>
      <c r="AL1327" s="66"/>
      <c r="AM1327" s="66"/>
      <c r="AN1327" s="83"/>
      <c r="AO1327" s="66"/>
      <c r="AP1327" s="66"/>
      <c r="AQ1327" s="66"/>
      <c r="AR1327" s="81"/>
      <c r="AS1327" s="81"/>
      <c r="AT1327" s="81"/>
      <c r="AU1327" s="81"/>
      <c r="AV1327" s="83">
        <f>SUM(Prog_236[[#This Row],[ADIANTAMENTO]]+Prog_236[[#This Row],[SALDO]]+Prog_236[[#This Row],[MARGEM]]+Prog_236[[#This Row],[ESTADIA 1]])</f>
        <v>0</v>
      </c>
      <c r="AW13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7" s="81"/>
      <c r="AY1327" s="81"/>
      <c r="AZ1327" s="81">
        <f>Prog_236[[#This Row],[VLR NF]]*0.1%</f>
        <v>0</v>
      </c>
      <c r="BA1327" s="81">
        <f>Prog_236[[#This Row],[VLR NF]]*0.05%</f>
        <v>0</v>
      </c>
      <c r="BB1327" s="81"/>
      <c r="BC1327" s="81"/>
      <c r="BD1327" s="81"/>
      <c r="BE1327" s="81"/>
      <c r="BF1327" s="81"/>
      <c r="BG1327" s="81"/>
      <c r="BH1327" s="81"/>
      <c r="BI1327" s="81"/>
      <c r="BJ1327" s="81"/>
      <c r="BK1327" s="81"/>
      <c r="BL1327" s="66"/>
      <c r="BM1327" s="66"/>
      <c r="BN1327" s="66"/>
      <c r="BO1327" s="66" t="str">
        <f>PROPER(TEXT(Prog_236[[#This Row],[PROGRAMAÇÃO CLIENTE]],"mmm"))</f>
        <v>Jan</v>
      </c>
      <c r="BP1327" s="66">
        <f>YEAR(Prog_236[[#This Row],[PROGRAMAÇÃO CLIENTE]])</f>
        <v>1900</v>
      </c>
    </row>
    <row r="1328" spans="1:68" x14ac:dyDescent="0.25">
      <c r="A1328" s="201">
        <f>Prog_236[[#This Row],[CONTEINER]]</f>
        <v>0</v>
      </c>
      <c r="B1328" s="86"/>
      <c r="C13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8" s="44"/>
      <c r="E1328" s="66"/>
      <c r="F1328" s="66"/>
      <c r="G1328" s="66"/>
      <c r="H1328" s="44"/>
      <c r="I1328" s="44"/>
      <c r="J1328" s="66"/>
      <c r="K1328" s="66"/>
      <c r="L1328" s="66"/>
      <c r="M1328" s="66"/>
      <c r="N1328" s="66">
        <f>SUM(Prog_236[[#This Row],[TARA]]+Prog_236[[#This Row],[PESO]])</f>
        <v>0</v>
      </c>
      <c r="O1328" s="44"/>
      <c r="P1328" s="66"/>
      <c r="Q1328" s="66"/>
      <c r="R1328" s="66"/>
      <c r="S1328" s="66"/>
      <c r="T1328" s="138" t="str">
        <f>IFERROR(LOOKUP($S1328,MOTORISTAS!$D$3:$D$1048576,MOTORISTAS!E$3:$E$1048576),"")</f>
        <v/>
      </c>
      <c r="U1328" s="138" t="str">
        <f>IFERROR(LOOKUP($S1328,MOTORISTAS!$D$3:$D$1048576,MOTORISTAS!F$3:$F$1048576),"")</f>
        <v/>
      </c>
      <c r="V1328" s="66"/>
      <c r="W1328" s="66"/>
      <c r="X1328" s="66"/>
      <c r="Y1328" s="66"/>
      <c r="Z1328" s="66"/>
      <c r="AA1328" s="66"/>
      <c r="AB1328" s="66"/>
      <c r="AC1328" s="66"/>
      <c r="AD1328" s="66"/>
      <c r="AE1328" s="66"/>
      <c r="AF1328" s="44"/>
      <c r="AG1328" s="254">
        <f>Prog_236[[#This Row],[SAÍDA DO CLIENTE]]-Prog_236[[#This Row],[PROGRAMAÇÃO CLIENTE]]</f>
        <v>0</v>
      </c>
      <c r="AH1328" s="44"/>
      <c r="AI1328" s="66"/>
      <c r="AJ1328" s="66"/>
      <c r="AK1328" s="66"/>
      <c r="AL1328" s="66"/>
      <c r="AM1328" s="66"/>
      <c r="AN1328" s="83"/>
      <c r="AO1328" s="66"/>
      <c r="AP1328" s="66"/>
      <c r="AQ1328" s="66"/>
      <c r="AR1328" s="81"/>
      <c r="AS1328" s="81"/>
      <c r="AT1328" s="81"/>
      <c r="AU1328" s="81"/>
      <c r="AV1328" s="83">
        <f>SUM(Prog_236[[#This Row],[ADIANTAMENTO]]+Prog_236[[#This Row],[SALDO]]+Prog_236[[#This Row],[MARGEM]]+Prog_236[[#This Row],[ESTADIA 1]])</f>
        <v>0</v>
      </c>
      <c r="AW13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8" s="81"/>
      <c r="AY1328" s="81"/>
      <c r="AZ1328" s="81">
        <f>Prog_236[[#This Row],[VLR NF]]*0.1%</f>
        <v>0</v>
      </c>
      <c r="BA1328" s="81">
        <f>Prog_236[[#This Row],[VLR NF]]*0.05%</f>
        <v>0</v>
      </c>
      <c r="BB1328" s="81"/>
      <c r="BC1328" s="81"/>
      <c r="BD1328" s="81"/>
      <c r="BE1328" s="81"/>
      <c r="BF1328" s="81"/>
      <c r="BG1328" s="81"/>
      <c r="BH1328" s="81"/>
      <c r="BI1328" s="81"/>
      <c r="BJ1328" s="81"/>
      <c r="BK1328" s="81"/>
      <c r="BL1328" s="66"/>
      <c r="BM1328" s="66"/>
      <c r="BN1328" s="66"/>
      <c r="BO1328" s="66" t="str">
        <f>PROPER(TEXT(Prog_236[[#This Row],[PROGRAMAÇÃO CLIENTE]],"mmm"))</f>
        <v>Jan</v>
      </c>
      <c r="BP1328" s="66">
        <f>YEAR(Prog_236[[#This Row],[PROGRAMAÇÃO CLIENTE]])</f>
        <v>1900</v>
      </c>
    </row>
    <row r="1329" spans="1:68" x14ac:dyDescent="0.25">
      <c r="A1329" s="200">
        <f>Prog_236[[#This Row],[CONTEINER]]</f>
        <v>0</v>
      </c>
      <c r="B1329" s="86"/>
      <c r="C13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29" s="44"/>
      <c r="E1329" s="66"/>
      <c r="F1329" s="66"/>
      <c r="G1329" s="66"/>
      <c r="H1329" s="44"/>
      <c r="I1329" s="44"/>
      <c r="J1329" s="66"/>
      <c r="K1329" s="66"/>
      <c r="L1329" s="66"/>
      <c r="M1329" s="66"/>
      <c r="N1329" s="66">
        <f>SUM(Prog_236[[#This Row],[TARA]]+Prog_236[[#This Row],[PESO]])</f>
        <v>0</v>
      </c>
      <c r="O1329" s="44"/>
      <c r="P1329" s="66"/>
      <c r="Q1329" s="66"/>
      <c r="R1329" s="66"/>
      <c r="S1329" s="66"/>
      <c r="T1329" s="138" t="str">
        <f>IFERROR(LOOKUP($S1329,MOTORISTAS!$D$3:$D$1048576,MOTORISTAS!E$3:$E$1048576),"")</f>
        <v/>
      </c>
      <c r="U1329" s="138" t="str">
        <f>IFERROR(LOOKUP($S1329,MOTORISTAS!$D$3:$D$1048576,MOTORISTAS!F$3:$F$1048576),"")</f>
        <v/>
      </c>
      <c r="V1329" s="66"/>
      <c r="W1329" s="66"/>
      <c r="X1329" s="66"/>
      <c r="Y1329" s="66"/>
      <c r="Z1329" s="66"/>
      <c r="AA1329" s="66"/>
      <c r="AB1329" s="66"/>
      <c r="AC1329" s="66"/>
      <c r="AD1329" s="66"/>
      <c r="AE1329" s="66"/>
      <c r="AF1329" s="44"/>
      <c r="AG1329" s="254">
        <f>Prog_236[[#This Row],[SAÍDA DO CLIENTE]]-Prog_236[[#This Row],[PROGRAMAÇÃO CLIENTE]]</f>
        <v>0</v>
      </c>
      <c r="AH1329" s="44"/>
      <c r="AI1329" s="66"/>
      <c r="AJ1329" s="66"/>
      <c r="AK1329" s="66"/>
      <c r="AL1329" s="66"/>
      <c r="AM1329" s="66"/>
      <c r="AN1329" s="83"/>
      <c r="AO1329" s="66"/>
      <c r="AP1329" s="66"/>
      <c r="AQ1329" s="66"/>
      <c r="AR1329" s="81"/>
      <c r="AS1329" s="81"/>
      <c r="AT1329" s="81"/>
      <c r="AU1329" s="81"/>
      <c r="AV1329" s="83">
        <f>SUM(Prog_236[[#This Row],[ADIANTAMENTO]]+Prog_236[[#This Row],[SALDO]]+Prog_236[[#This Row],[MARGEM]]+Prog_236[[#This Row],[ESTADIA 1]])</f>
        <v>0</v>
      </c>
      <c r="AW13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29" s="81"/>
      <c r="AY1329" s="81"/>
      <c r="AZ1329" s="81">
        <f>Prog_236[[#This Row],[VLR NF]]*0.1%</f>
        <v>0</v>
      </c>
      <c r="BA1329" s="81">
        <f>Prog_236[[#This Row],[VLR NF]]*0.05%</f>
        <v>0</v>
      </c>
      <c r="BB1329" s="81"/>
      <c r="BC1329" s="81"/>
      <c r="BD1329" s="81"/>
      <c r="BE1329" s="81"/>
      <c r="BF1329" s="81"/>
      <c r="BG1329" s="81"/>
      <c r="BH1329" s="81"/>
      <c r="BI1329" s="81"/>
      <c r="BJ1329" s="81"/>
      <c r="BK1329" s="81"/>
      <c r="BL1329" s="66"/>
      <c r="BM1329" s="66"/>
      <c r="BN1329" s="66"/>
      <c r="BO1329" s="66" t="str">
        <f>PROPER(TEXT(Prog_236[[#This Row],[PROGRAMAÇÃO CLIENTE]],"mmm"))</f>
        <v>Jan</v>
      </c>
      <c r="BP1329" s="66">
        <f>YEAR(Prog_236[[#This Row],[PROGRAMAÇÃO CLIENTE]])</f>
        <v>1900</v>
      </c>
    </row>
    <row r="1330" spans="1:68" x14ac:dyDescent="0.25">
      <c r="A1330" s="201">
        <f>Prog_236[[#This Row],[CONTEINER]]</f>
        <v>0</v>
      </c>
      <c r="B1330" s="86"/>
      <c r="C13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0" s="44"/>
      <c r="E1330" s="66"/>
      <c r="F1330" s="66"/>
      <c r="G1330" s="66"/>
      <c r="H1330" s="44"/>
      <c r="I1330" s="44"/>
      <c r="J1330" s="66"/>
      <c r="K1330" s="66"/>
      <c r="L1330" s="66"/>
      <c r="M1330" s="66"/>
      <c r="N1330" s="66">
        <f>SUM(Prog_236[[#This Row],[TARA]]+Prog_236[[#This Row],[PESO]])</f>
        <v>0</v>
      </c>
      <c r="O1330" s="44"/>
      <c r="P1330" s="66"/>
      <c r="Q1330" s="66"/>
      <c r="R1330" s="66"/>
      <c r="S1330" s="66"/>
      <c r="T1330" s="138" t="str">
        <f>IFERROR(LOOKUP($S1330,MOTORISTAS!$D$3:$D$1048576,MOTORISTAS!E$3:$E$1048576),"")</f>
        <v/>
      </c>
      <c r="U1330" s="138" t="str">
        <f>IFERROR(LOOKUP($S1330,MOTORISTAS!$D$3:$D$1048576,MOTORISTAS!F$3:$F$1048576),"")</f>
        <v/>
      </c>
      <c r="V1330" s="66"/>
      <c r="W1330" s="66"/>
      <c r="X1330" s="66"/>
      <c r="Y1330" s="66"/>
      <c r="Z1330" s="66"/>
      <c r="AA1330" s="66"/>
      <c r="AB1330" s="66"/>
      <c r="AC1330" s="66"/>
      <c r="AD1330" s="66"/>
      <c r="AE1330" s="66"/>
      <c r="AF1330" s="44"/>
      <c r="AG1330" s="254">
        <f>Prog_236[[#This Row],[SAÍDA DO CLIENTE]]-Prog_236[[#This Row],[PROGRAMAÇÃO CLIENTE]]</f>
        <v>0</v>
      </c>
      <c r="AH1330" s="44"/>
      <c r="AI1330" s="66"/>
      <c r="AJ1330" s="66"/>
      <c r="AK1330" s="66"/>
      <c r="AL1330" s="66"/>
      <c r="AM1330" s="66"/>
      <c r="AN1330" s="83"/>
      <c r="AO1330" s="66"/>
      <c r="AP1330" s="66"/>
      <c r="AQ1330" s="66"/>
      <c r="AR1330" s="81"/>
      <c r="AS1330" s="81"/>
      <c r="AT1330" s="81"/>
      <c r="AU1330" s="81"/>
      <c r="AV1330" s="83">
        <f>SUM(Prog_236[[#This Row],[ADIANTAMENTO]]+Prog_236[[#This Row],[SALDO]]+Prog_236[[#This Row],[MARGEM]]+Prog_236[[#This Row],[ESTADIA 1]])</f>
        <v>0</v>
      </c>
      <c r="AW13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0" s="81"/>
      <c r="AY1330" s="81"/>
      <c r="AZ1330" s="81">
        <f>Prog_236[[#This Row],[VLR NF]]*0.1%</f>
        <v>0</v>
      </c>
      <c r="BA1330" s="81">
        <f>Prog_236[[#This Row],[VLR NF]]*0.05%</f>
        <v>0</v>
      </c>
      <c r="BB1330" s="81"/>
      <c r="BC1330" s="81"/>
      <c r="BD1330" s="81"/>
      <c r="BE1330" s="81"/>
      <c r="BF1330" s="81"/>
      <c r="BG1330" s="81"/>
      <c r="BH1330" s="81"/>
      <c r="BI1330" s="81"/>
      <c r="BJ1330" s="81"/>
      <c r="BK1330" s="81"/>
      <c r="BL1330" s="66"/>
      <c r="BM1330" s="66"/>
      <c r="BN1330" s="66"/>
      <c r="BO1330" s="66" t="str">
        <f>PROPER(TEXT(Prog_236[[#This Row],[PROGRAMAÇÃO CLIENTE]],"mmm"))</f>
        <v>Jan</v>
      </c>
      <c r="BP1330" s="66">
        <f>YEAR(Prog_236[[#This Row],[PROGRAMAÇÃO CLIENTE]])</f>
        <v>1900</v>
      </c>
    </row>
    <row r="1331" spans="1:68" x14ac:dyDescent="0.25">
      <c r="A1331" s="200">
        <f>Prog_236[[#This Row],[CONTEINER]]</f>
        <v>0</v>
      </c>
      <c r="B1331" s="86"/>
      <c r="C13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1" s="44"/>
      <c r="E1331" s="66"/>
      <c r="F1331" s="66"/>
      <c r="G1331" s="66"/>
      <c r="H1331" s="44"/>
      <c r="I1331" s="44"/>
      <c r="J1331" s="66"/>
      <c r="K1331" s="66"/>
      <c r="L1331" s="66"/>
      <c r="M1331" s="66"/>
      <c r="N1331" s="66">
        <f>SUM(Prog_236[[#This Row],[TARA]]+Prog_236[[#This Row],[PESO]])</f>
        <v>0</v>
      </c>
      <c r="O1331" s="44"/>
      <c r="P1331" s="66"/>
      <c r="Q1331" s="66"/>
      <c r="R1331" s="66"/>
      <c r="S1331" s="66"/>
      <c r="T1331" s="138" t="str">
        <f>IFERROR(LOOKUP($S1331,MOTORISTAS!$D$3:$D$1048576,MOTORISTAS!E$3:$E$1048576),"")</f>
        <v/>
      </c>
      <c r="U1331" s="138" t="str">
        <f>IFERROR(LOOKUP($S1331,MOTORISTAS!$D$3:$D$1048576,MOTORISTAS!F$3:$F$1048576),"")</f>
        <v/>
      </c>
      <c r="V1331" s="66"/>
      <c r="W1331" s="66"/>
      <c r="X1331" s="66"/>
      <c r="Y1331" s="66"/>
      <c r="Z1331" s="66"/>
      <c r="AA1331" s="66"/>
      <c r="AB1331" s="66"/>
      <c r="AC1331" s="66"/>
      <c r="AD1331" s="66"/>
      <c r="AE1331" s="66"/>
      <c r="AF1331" s="44"/>
      <c r="AG1331" s="254">
        <f>Prog_236[[#This Row],[SAÍDA DO CLIENTE]]-Prog_236[[#This Row],[PROGRAMAÇÃO CLIENTE]]</f>
        <v>0</v>
      </c>
      <c r="AH1331" s="44"/>
      <c r="AI1331" s="66"/>
      <c r="AJ1331" s="66"/>
      <c r="AK1331" s="66"/>
      <c r="AL1331" s="66"/>
      <c r="AM1331" s="66"/>
      <c r="AN1331" s="83"/>
      <c r="AO1331" s="66"/>
      <c r="AP1331" s="66"/>
      <c r="AQ1331" s="66"/>
      <c r="AR1331" s="81"/>
      <c r="AS1331" s="81"/>
      <c r="AT1331" s="81"/>
      <c r="AU1331" s="81"/>
      <c r="AV1331" s="83">
        <f>SUM(Prog_236[[#This Row],[ADIANTAMENTO]]+Prog_236[[#This Row],[SALDO]]+Prog_236[[#This Row],[MARGEM]]+Prog_236[[#This Row],[ESTADIA 1]])</f>
        <v>0</v>
      </c>
      <c r="AW13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1" s="81"/>
      <c r="AY1331" s="81"/>
      <c r="AZ1331" s="81">
        <f>Prog_236[[#This Row],[VLR NF]]*0.1%</f>
        <v>0</v>
      </c>
      <c r="BA1331" s="81">
        <f>Prog_236[[#This Row],[VLR NF]]*0.05%</f>
        <v>0</v>
      </c>
      <c r="BB1331" s="81"/>
      <c r="BC1331" s="81"/>
      <c r="BD1331" s="81"/>
      <c r="BE1331" s="81"/>
      <c r="BF1331" s="81"/>
      <c r="BG1331" s="81"/>
      <c r="BH1331" s="81"/>
      <c r="BI1331" s="81"/>
      <c r="BJ1331" s="81"/>
      <c r="BK1331" s="81"/>
      <c r="BL1331" s="66"/>
      <c r="BM1331" s="66"/>
      <c r="BN1331" s="66"/>
      <c r="BO1331" s="66" t="str">
        <f>PROPER(TEXT(Prog_236[[#This Row],[PROGRAMAÇÃO CLIENTE]],"mmm"))</f>
        <v>Jan</v>
      </c>
      <c r="BP1331" s="66">
        <f>YEAR(Prog_236[[#This Row],[PROGRAMAÇÃO CLIENTE]])</f>
        <v>1900</v>
      </c>
    </row>
    <row r="1332" spans="1:68" x14ac:dyDescent="0.25">
      <c r="A1332" s="201">
        <f>Prog_236[[#This Row],[CONTEINER]]</f>
        <v>0</v>
      </c>
      <c r="B1332" s="86"/>
      <c r="C13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2" s="44"/>
      <c r="E1332" s="66"/>
      <c r="F1332" s="66"/>
      <c r="G1332" s="66"/>
      <c r="H1332" s="44"/>
      <c r="I1332" s="44"/>
      <c r="J1332" s="66"/>
      <c r="K1332" s="66"/>
      <c r="L1332" s="66"/>
      <c r="M1332" s="66"/>
      <c r="N1332" s="66">
        <f>SUM(Prog_236[[#This Row],[TARA]]+Prog_236[[#This Row],[PESO]])</f>
        <v>0</v>
      </c>
      <c r="O1332" s="44"/>
      <c r="P1332" s="66"/>
      <c r="Q1332" s="66"/>
      <c r="R1332" s="66"/>
      <c r="S1332" s="66"/>
      <c r="T1332" s="138" t="str">
        <f>IFERROR(LOOKUP($S1332,MOTORISTAS!$D$3:$D$1048576,MOTORISTAS!E$3:$E$1048576),"")</f>
        <v/>
      </c>
      <c r="U1332" s="138" t="str">
        <f>IFERROR(LOOKUP($S1332,MOTORISTAS!$D$3:$D$1048576,MOTORISTAS!F$3:$F$1048576),"")</f>
        <v/>
      </c>
      <c r="V1332" s="66"/>
      <c r="W1332" s="66"/>
      <c r="X1332" s="66"/>
      <c r="Y1332" s="66"/>
      <c r="Z1332" s="66"/>
      <c r="AA1332" s="66"/>
      <c r="AB1332" s="66"/>
      <c r="AC1332" s="66"/>
      <c r="AD1332" s="66"/>
      <c r="AE1332" s="66"/>
      <c r="AF1332" s="44"/>
      <c r="AG1332" s="254">
        <f>Prog_236[[#This Row],[SAÍDA DO CLIENTE]]-Prog_236[[#This Row],[PROGRAMAÇÃO CLIENTE]]</f>
        <v>0</v>
      </c>
      <c r="AH1332" s="44"/>
      <c r="AI1332" s="66"/>
      <c r="AJ1332" s="66"/>
      <c r="AK1332" s="66"/>
      <c r="AL1332" s="66"/>
      <c r="AM1332" s="66"/>
      <c r="AN1332" s="83"/>
      <c r="AO1332" s="66"/>
      <c r="AP1332" s="66"/>
      <c r="AQ1332" s="66"/>
      <c r="AR1332" s="81"/>
      <c r="AS1332" s="81"/>
      <c r="AT1332" s="81"/>
      <c r="AU1332" s="81"/>
      <c r="AV1332" s="83">
        <f>SUM(Prog_236[[#This Row],[ADIANTAMENTO]]+Prog_236[[#This Row],[SALDO]]+Prog_236[[#This Row],[MARGEM]]+Prog_236[[#This Row],[ESTADIA 1]])</f>
        <v>0</v>
      </c>
      <c r="AW13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2" s="81"/>
      <c r="AY1332" s="81"/>
      <c r="AZ1332" s="81">
        <f>Prog_236[[#This Row],[VLR NF]]*0.1%</f>
        <v>0</v>
      </c>
      <c r="BA1332" s="81">
        <f>Prog_236[[#This Row],[VLR NF]]*0.05%</f>
        <v>0</v>
      </c>
      <c r="BB1332" s="81"/>
      <c r="BC1332" s="81"/>
      <c r="BD1332" s="81"/>
      <c r="BE1332" s="81"/>
      <c r="BF1332" s="81"/>
      <c r="BG1332" s="81"/>
      <c r="BH1332" s="81"/>
      <c r="BI1332" s="81"/>
      <c r="BJ1332" s="81"/>
      <c r="BK1332" s="81"/>
      <c r="BL1332" s="66"/>
      <c r="BM1332" s="66"/>
      <c r="BN1332" s="66"/>
      <c r="BO1332" s="66" t="str">
        <f>PROPER(TEXT(Prog_236[[#This Row],[PROGRAMAÇÃO CLIENTE]],"mmm"))</f>
        <v>Jan</v>
      </c>
      <c r="BP1332" s="66">
        <f>YEAR(Prog_236[[#This Row],[PROGRAMAÇÃO CLIENTE]])</f>
        <v>1900</v>
      </c>
    </row>
    <row r="1333" spans="1:68" x14ac:dyDescent="0.25">
      <c r="A1333" s="200">
        <f>Prog_236[[#This Row],[CONTEINER]]</f>
        <v>0</v>
      </c>
      <c r="B1333" s="86"/>
      <c r="C13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3" s="44"/>
      <c r="E1333" s="66"/>
      <c r="F1333" s="66"/>
      <c r="G1333" s="66"/>
      <c r="H1333" s="44"/>
      <c r="I1333" s="44"/>
      <c r="J1333" s="66"/>
      <c r="K1333" s="66"/>
      <c r="L1333" s="66"/>
      <c r="M1333" s="66"/>
      <c r="N1333" s="66">
        <f>SUM(Prog_236[[#This Row],[TARA]]+Prog_236[[#This Row],[PESO]])</f>
        <v>0</v>
      </c>
      <c r="O1333" s="44"/>
      <c r="P1333" s="66"/>
      <c r="Q1333" s="66"/>
      <c r="R1333" s="66"/>
      <c r="S1333" s="66"/>
      <c r="T1333" s="138" t="str">
        <f>IFERROR(LOOKUP($S1333,MOTORISTAS!$D$3:$D$1048576,MOTORISTAS!E$3:$E$1048576),"")</f>
        <v/>
      </c>
      <c r="U1333" s="138" t="str">
        <f>IFERROR(LOOKUP($S1333,MOTORISTAS!$D$3:$D$1048576,MOTORISTAS!F$3:$F$1048576),"")</f>
        <v/>
      </c>
      <c r="V1333" s="66"/>
      <c r="W1333" s="66"/>
      <c r="X1333" s="66"/>
      <c r="Y1333" s="66"/>
      <c r="Z1333" s="66"/>
      <c r="AA1333" s="66"/>
      <c r="AB1333" s="66"/>
      <c r="AC1333" s="66"/>
      <c r="AD1333" s="66"/>
      <c r="AE1333" s="66"/>
      <c r="AF1333" s="44"/>
      <c r="AG1333" s="254">
        <f>Prog_236[[#This Row],[SAÍDA DO CLIENTE]]-Prog_236[[#This Row],[PROGRAMAÇÃO CLIENTE]]</f>
        <v>0</v>
      </c>
      <c r="AH1333" s="44"/>
      <c r="AI1333" s="66"/>
      <c r="AJ1333" s="66"/>
      <c r="AK1333" s="66"/>
      <c r="AL1333" s="66"/>
      <c r="AM1333" s="66"/>
      <c r="AN1333" s="83"/>
      <c r="AO1333" s="66"/>
      <c r="AP1333" s="66"/>
      <c r="AQ1333" s="66"/>
      <c r="AR1333" s="81"/>
      <c r="AS1333" s="81"/>
      <c r="AT1333" s="81"/>
      <c r="AU1333" s="81"/>
      <c r="AV1333" s="83">
        <f>SUM(Prog_236[[#This Row],[ADIANTAMENTO]]+Prog_236[[#This Row],[SALDO]]+Prog_236[[#This Row],[MARGEM]]+Prog_236[[#This Row],[ESTADIA 1]])</f>
        <v>0</v>
      </c>
      <c r="AW13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3" s="81"/>
      <c r="AY1333" s="81"/>
      <c r="AZ1333" s="81">
        <f>Prog_236[[#This Row],[VLR NF]]*0.1%</f>
        <v>0</v>
      </c>
      <c r="BA1333" s="81">
        <f>Prog_236[[#This Row],[VLR NF]]*0.05%</f>
        <v>0</v>
      </c>
      <c r="BB1333" s="81"/>
      <c r="BC1333" s="81"/>
      <c r="BD1333" s="81"/>
      <c r="BE1333" s="81"/>
      <c r="BF1333" s="81"/>
      <c r="BG1333" s="81"/>
      <c r="BH1333" s="81"/>
      <c r="BI1333" s="81"/>
      <c r="BJ1333" s="81"/>
      <c r="BK1333" s="81"/>
      <c r="BL1333" s="66"/>
      <c r="BM1333" s="66"/>
      <c r="BN1333" s="66"/>
      <c r="BO1333" s="66" t="str">
        <f>PROPER(TEXT(Prog_236[[#This Row],[PROGRAMAÇÃO CLIENTE]],"mmm"))</f>
        <v>Jan</v>
      </c>
      <c r="BP1333" s="66">
        <f>YEAR(Prog_236[[#This Row],[PROGRAMAÇÃO CLIENTE]])</f>
        <v>1900</v>
      </c>
    </row>
    <row r="1334" spans="1:68" x14ac:dyDescent="0.25">
      <c r="A1334" s="201">
        <f>Prog_236[[#This Row],[CONTEINER]]</f>
        <v>0</v>
      </c>
      <c r="B1334" s="86"/>
      <c r="C13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4" s="44"/>
      <c r="E1334" s="66"/>
      <c r="F1334" s="66"/>
      <c r="G1334" s="66"/>
      <c r="H1334" s="44"/>
      <c r="I1334" s="44"/>
      <c r="J1334" s="66"/>
      <c r="K1334" s="66"/>
      <c r="L1334" s="66"/>
      <c r="M1334" s="66"/>
      <c r="N1334" s="66">
        <f>SUM(Prog_236[[#This Row],[TARA]]+Prog_236[[#This Row],[PESO]])</f>
        <v>0</v>
      </c>
      <c r="O1334" s="44"/>
      <c r="P1334" s="66"/>
      <c r="Q1334" s="66"/>
      <c r="R1334" s="66"/>
      <c r="S1334" s="66"/>
      <c r="T1334" s="138" t="str">
        <f>IFERROR(LOOKUP($S1334,MOTORISTAS!$D$3:$D$1048576,MOTORISTAS!E$3:$E$1048576),"")</f>
        <v/>
      </c>
      <c r="U1334" s="138" t="str">
        <f>IFERROR(LOOKUP($S1334,MOTORISTAS!$D$3:$D$1048576,MOTORISTAS!F$3:$F$1048576),"")</f>
        <v/>
      </c>
      <c r="V1334" s="66"/>
      <c r="W1334" s="66"/>
      <c r="X1334" s="66"/>
      <c r="Y1334" s="66"/>
      <c r="Z1334" s="66"/>
      <c r="AA1334" s="66"/>
      <c r="AB1334" s="66"/>
      <c r="AC1334" s="66"/>
      <c r="AD1334" s="66"/>
      <c r="AE1334" s="66"/>
      <c r="AF1334" s="44"/>
      <c r="AG1334" s="254">
        <f>Prog_236[[#This Row],[SAÍDA DO CLIENTE]]-Prog_236[[#This Row],[PROGRAMAÇÃO CLIENTE]]</f>
        <v>0</v>
      </c>
      <c r="AH1334" s="44"/>
      <c r="AI1334" s="66"/>
      <c r="AJ1334" s="66"/>
      <c r="AK1334" s="66"/>
      <c r="AL1334" s="66"/>
      <c r="AM1334" s="66"/>
      <c r="AN1334" s="83"/>
      <c r="AO1334" s="66"/>
      <c r="AP1334" s="66"/>
      <c r="AQ1334" s="66"/>
      <c r="AR1334" s="81"/>
      <c r="AS1334" s="81"/>
      <c r="AT1334" s="81"/>
      <c r="AU1334" s="81"/>
      <c r="AV1334" s="83">
        <f>SUM(Prog_236[[#This Row],[ADIANTAMENTO]]+Prog_236[[#This Row],[SALDO]]+Prog_236[[#This Row],[MARGEM]]+Prog_236[[#This Row],[ESTADIA 1]])</f>
        <v>0</v>
      </c>
      <c r="AW13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4" s="81"/>
      <c r="AY1334" s="81"/>
      <c r="AZ1334" s="81">
        <f>Prog_236[[#This Row],[VLR NF]]*0.1%</f>
        <v>0</v>
      </c>
      <c r="BA1334" s="81">
        <f>Prog_236[[#This Row],[VLR NF]]*0.05%</f>
        <v>0</v>
      </c>
      <c r="BB1334" s="81"/>
      <c r="BC1334" s="81"/>
      <c r="BD1334" s="81"/>
      <c r="BE1334" s="81"/>
      <c r="BF1334" s="81"/>
      <c r="BG1334" s="81"/>
      <c r="BH1334" s="81"/>
      <c r="BI1334" s="81"/>
      <c r="BJ1334" s="81"/>
      <c r="BK1334" s="81"/>
      <c r="BL1334" s="66"/>
      <c r="BM1334" s="66"/>
      <c r="BN1334" s="66"/>
      <c r="BO1334" s="66" t="str">
        <f>PROPER(TEXT(Prog_236[[#This Row],[PROGRAMAÇÃO CLIENTE]],"mmm"))</f>
        <v>Jan</v>
      </c>
      <c r="BP1334" s="66">
        <f>YEAR(Prog_236[[#This Row],[PROGRAMAÇÃO CLIENTE]])</f>
        <v>1900</v>
      </c>
    </row>
    <row r="1335" spans="1:68" x14ac:dyDescent="0.25">
      <c r="A1335" s="200">
        <f>Prog_236[[#This Row],[CONTEINER]]</f>
        <v>0</v>
      </c>
      <c r="B1335" s="86"/>
      <c r="C13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5" s="44"/>
      <c r="E1335" s="66"/>
      <c r="F1335" s="66"/>
      <c r="G1335" s="66"/>
      <c r="H1335" s="44"/>
      <c r="I1335" s="44"/>
      <c r="J1335" s="66"/>
      <c r="K1335" s="66"/>
      <c r="L1335" s="66"/>
      <c r="M1335" s="66"/>
      <c r="N1335" s="66">
        <f>SUM(Prog_236[[#This Row],[TARA]]+Prog_236[[#This Row],[PESO]])</f>
        <v>0</v>
      </c>
      <c r="O1335" s="44"/>
      <c r="P1335" s="66"/>
      <c r="Q1335" s="66"/>
      <c r="R1335" s="66"/>
      <c r="S1335" s="66"/>
      <c r="T1335" s="138" t="str">
        <f>IFERROR(LOOKUP($S1335,MOTORISTAS!$D$3:$D$1048576,MOTORISTAS!E$3:$E$1048576),"")</f>
        <v/>
      </c>
      <c r="U1335" s="138" t="str">
        <f>IFERROR(LOOKUP($S1335,MOTORISTAS!$D$3:$D$1048576,MOTORISTAS!F$3:$F$1048576),"")</f>
        <v/>
      </c>
      <c r="V1335" s="66"/>
      <c r="W1335" s="66"/>
      <c r="X1335" s="66"/>
      <c r="Y1335" s="66"/>
      <c r="Z1335" s="66"/>
      <c r="AA1335" s="66"/>
      <c r="AB1335" s="66"/>
      <c r="AC1335" s="66"/>
      <c r="AD1335" s="66"/>
      <c r="AE1335" s="66"/>
      <c r="AF1335" s="44"/>
      <c r="AG1335" s="254">
        <f>Prog_236[[#This Row],[SAÍDA DO CLIENTE]]-Prog_236[[#This Row],[PROGRAMAÇÃO CLIENTE]]</f>
        <v>0</v>
      </c>
      <c r="AH1335" s="44"/>
      <c r="AI1335" s="66"/>
      <c r="AJ1335" s="66"/>
      <c r="AK1335" s="66"/>
      <c r="AL1335" s="66"/>
      <c r="AM1335" s="66"/>
      <c r="AN1335" s="83"/>
      <c r="AO1335" s="66"/>
      <c r="AP1335" s="66"/>
      <c r="AQ1335" s="66"/>
      <c r="AR1335" s="81"/>
      <c r="AS1335" s="81"/>
      <c r="AT1335" s="81"/>
      <c r="AU1335" s="81"/>
      <c r="AV1335" s="83">
        <f>SUM(Prog_236[[#This Row],[ADIANTAMENTO]]+Prog_236[[#This Row],[SALDO]]+Prog_236[[#This Row],[MARGEM]]+Prog_236[[#This Row],[ESTADIA 1]])</f>
        <v>0</v>
      </c>
      <c r="AW13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5" s="81"/>
      <c r="AY1335" s="81"/>
      <c r="AZ1335" s="81">
        <f>Prog_236[[#This Row],[VLR NF]]*0.1%</f>
        <v>0</v>
      </c>
      <c r="BA1335" s="81">
        <f>Prog_236[[#This Row],[VLR NF]]*0.05%</f>
        <v>0</v>
      </c>
      <c r="BB1335" s="81"/>
      <c r="BC1335" s="81"/>
      <c r="BD1335" s="81"/>
      <c r="BE1335" s="81"/>
      <c r="BF1335" s="81"/>
      <c r="BG1335" s="81"/>
      <c r="BH1335" s="81"/>
      <c r="BI1335" s="81"/>
      <c r="BJ1335" s="81"/>
      <c r="BK1335" s="81"/>
      <c r="BL1335" s="66"/>
      <c r="BM1335" s="66"/>
      <c r="BN1335" s="66"/>
      <c r="BO1335" s="66" t="str">
        <f>PROPER(TEXT(Prog_236[[#This Row],[PROGRAMAÇÃO CLIENTE]],"mmm"))</f>
        <v>Jan</v>
      </c>
      <c r="BP1335" s="66">
        <f>YEAR(Prog_236[[#This Row],[PROGRAMAÇÃO CLIENTE]])</f>
        <v>1900</v>
      </c>
    </row>
    <row r="1336" spans="1:68" x14ac:dyDescent="0.25">
      <c r="A1336" s="201">
        <f>Prog_236[[#This Row],[CONTEINER]]</f>
        <v>0</v>
      </c>
      <c r="B1336" s="86"/>
      <c r="C13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6" s="44"/>
      <c r="E1336" s="66"/>
      <c r="F1336" s="66"/>
      <c r="G1336" s="66"/>
      <c r="H1336" s="44"/>
      <c r="I1336" s="44"/>
      <c r="J1336" s="66"/>
      <c r="K1336" s="66"/>
      <c r="L1336" s="66"/>
      <c r="M1336" s="66"/>
      <c r="N1336" s="66">
        <f>SUM(Prog_236[[#This Row],[TARA]]+Prog_236[[#This Row],[PESO]])</f>
        <v>0</v>
      </c>
      <c r="O1336" s="44"/>
      <c r="P1336" s="66"/>
      <c r="Q1336" s="66"/>
      <c r="R1336" s="66"/>
      <c r="S1336" s="66"/>
      <c r="T1336" s="138" t="str">
        <f>IFERROR(LOOKUP($S1336,MOTORISTAS!$D$3:$D$1048576,MOTORISTAS!E$3:$E$1048576),"")</f>
        <v/>
      </c>
      <c r="U1336" s="138" t="str">
        <f>IFERROR(LOOKUP($S1336,MOTORISTAS!$D$3:$D$1048576,MOTORISTAS!F$3:$F$1048576),"")</f>
        <v/>
      </c>
      <c r="V1336" s="66"/>
      <c r="W1336" s="66"/>
      <c r="X1336" s="66"/>
      <c r="Y1336" s="66"/>
      <c r="Z1336" s="66"/>
      <c r="AA1336" s="66"/>
      <c r="AB1336" s="66"/>
      <c r="AC1336" s="66"/>
      <c r="AD1336" s="66"/>
      <c r="AE1336" s="66"/>
      <c r="AF1336" s="44"/>
      <c r="AG1336" s="254">
        <f>Prog_236[[#This Row],[SAÍDA DO CLIENTE]]-Prog_236[[#This Row],[PROGRAMAÇÃO CLIENTE]]</f>
        <v>0</v>
      </c>
      <c r="AH1336" s="44"/>
      <c r="AI1336" s="66"/>
      <c r="AJ1336" s="66"/>
      <c r="AK1336" s="66"/>
      <c r="AL1336" s="66"/>
      <c r="AM1336" s="66"/>
      <c r="AN1336" s="83"/>
      <c r="AO1336" s="66"/>
      <c r="AP1336" s="66"/>
      <c r="AQ1336" s="66"/>
      <c r="AR1336" s="81"/>
      <c r="AS1336" s="81"/>
      <c r="AT1336" s="81"/>
      <c r="AU1336" s="81"/>
      <c r="AV1336" s="83">
        <f>SUM(Prog_236[[#This Row],[ADIANTAMENTO]]+Prog_236[[#This Row],[SALDO]]+Prog_236[[#This Row],[MARGEM]]+Prog_236[[#This Row],[ESTADIA 1]])</f>
        <v>0</v>
      </c>
      <c r="AW13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6" s="81"/>
      <c r="AY1336" s="81"/>
      <c r="AZ1336" s="81">
        <f>Prog_236[[#This Row],[VLR NF]]*0.1%</f>
        <v>0</v>
      </c>
      <c r="BA1336" s="81">
        <f>Prog_236[[#This Row],[VLR NF]]*0.05%</f>
        <v>0</v>
      </c>
      <c r="BB1336" s="81"/>
      <c r="BC1336" s="81"/>
      <c r="BD1336" s="81"/>
      <c r="BE1336" s="81"/>
      <c r="BF1336" s="81"/>
      <c r="BG1336" s="81"/>
      <c r="BH1336" s="81"/>
      <c r="BI1336" s="81"/>
      <c r="BJ1336" s="81"/>
      <c r="BK1336" s="81"/>
      <c r="BL1336" s="66"/>
      <c r="BM1336" s="66"/>
      <c r="BN1336" s="66"/>
      <c r="BO1336" s="66" t="str">
        <f>PROPER(TEXT(Prog_236[[#This Row],[PROGRAMAÇÃO CLIENTE]],"mmm"))</f>
        <v>Jan</v>
      </c>
      <c r="BP1336" s="66">
        <f>YEAR(Prog_236[[#This Row],[PROGRAMAÇÃO CLIENTE]])</f>
        <v>1900</v>
      </c>
    </row>
    <row r="1337" spans="1:68" x14ac:dyDescent="0.25">
      <c r="A1337" s="200">
        <f>Prog_236[[#This Row],[CONTEINER]]</f>
        <v>0</v>
      </c>
      <c r="B1337" s="86"/>
      <c r="C13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7" s="44"/>
      <c r="E1337" s="66"/>
      <c r="F1337" s="66"/>
      <c r="G1337" s="66"/>
      <c r="H1337" s="44"/>
      <c r="I1337" s="44"/>
      <c r="J1337" s="66"/>
      <c r="K1337" s="66"/>
      <c r="L1337" s="66"/>
      <c r="M1337" s="66"/>
      <c r="N1337" s="66">
        <f>SUM(Prog_236[[#This Row],[TARA]]+Prog_236[[#This Row],[PESO]])</f>
        <v>0</v>
      </c>
      <c r="O1337" s="44"/>
      <c r="P1337" s="66"/>
      <c r="Q1337" s="66"/>
      <c r="R1337" s="66"/>
      <c r="S1337" s="66"/>
      <c r="T1337" s="138" t="str">
        <f>IFERROR(LOOKUP($S1337,MOTORISTAS!$D$3:$D$1048576,MOTORISTAS!E$3:$E$1048576),"")</f>
        <v/>
      </c>
      <c r="U1337" s="138" t="str">
        <f>IFERROR(LOOKUP($S1337,MOTORISTAS!$D$3:$D$1048576,MOTORISTAS!F$3:$F$1048576),"")</f>
        <v/>
      </c>
      <c r="V1337" s="66"/>
      <c r="W1337" s="66"/>
      <c r="X1337" s="66"/>
      <c r="Y1337" s="66"/>
      <c r="Z1337" s="66"/>
      <c r="AA1337" s="66"/>
      <c r="AB1337" s="66"/>
      <c r="AC1337" s="66"/>
      <c r="AD1337" s="66"/>
      <c r="AE1337" s="66"/>
      <c r="AF1337" s="44"/>
      <c r="AG1337" s="254">
        <f>Prog_236[[#This Row],[SAÍDA DO CLIENTE]]-Prog_236[[#This Row],[PROGRAMAÇÃO CLIENTE]]</f>
        <v>0</v>
      </c>
      <c r="AH1337" s="44"/>
      <c r="AI1337" s="66"/>
      <c r="AJ1337" s="66"/>
      <c r="AK1337" s="66"/>
      <c r="AL1337" s="66"/>
      <c r="AM1337" s="66"/>
      <c r="AN1337" s="83"/>
      <c r="AO1337" s="66"/>
      <c r="AP1337" s="66"/>
      <c r="AQ1337" s="66"/>
      <c r="AR1337" s="81"/>
      <c r="AS1337" s="81"/>
      <c r="AT1337" s="81"/>
      <c r="AU1337" s="81"/>
      <c r="AV1337" s="83">
        <f>SUM(Prog_236[[#This Row],[ADIANTAMENTO]]+Prog_236[[#This Row],[SALDO]]+Prog_236[[#This Row],[MARGEM]]+Prog_236[[#This Row],[ESTADIA 1]])</f>
        <v>0</v>
      </c>
      <c r="AW13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7" s="81"/>
      <c r="AY1337" s="81"/>
      <c r="AZ1337" s="81">
        <f>Prog_236[[#This Row],[VLR NF]]*0.1%</f>
        <v>0</v>
      </c>
      <c r="BA1337" s="81">
        <f>Prog_236[[#This Row],[VLR NF]]*0.05%</f>
        <v>0</v>
      </c>
      <c r="BB1337" s="81"/>
      <c r="BC1337" s="81"/>
      <c r="BD1337" s="81"/>
      <c r="BE1337" s="81"/>
      <c r="BF1337" s="81"/>
      <c r="BG1337" s="81"/>
      <c r="BH1337" s="81"/>
      <c r="BI1337" s="81"/>
      <c r="BJ1337" s="81"/>
      <c r="BK1337" s="81"/>
      <c r="BL1337" s="66"/>
      <c r="BM1337" s="66"/>
      <c r="BN1337" s="66"/>
      <c r="BO1337" s="66" t="str">
        <f>PROPER(TEXT(Prog_236[[#This Row],[PROGRAMAÇÃO CLIENTE]],"mmm"))</f>
        <v>Jan</v>
      </c>
      <c r="BP1337" s="66">
        <f>YEAR(Prog_236[[#This Row],[PROGRAMAÇÃO CLIENTE]])</f>
        <v>1900</v>
      </c>
    </row>
    <row r="1338" spans="1:68" x14ac:dyDescent="0.25">
      <c r="A1338" s="201">
        <f>Prog_236[[#This Row],[CONTEINER]]</f>
        <v>0</v>
      </c>
      <c r="B1338" s="86"/>
      <c r="C13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8" s="44"/>
      <c r="E1338" s="66"/>
      <c r="F1338" s="66"/>
      <c r="G1338" s="66"/>
      <c r="H1338" s="44"/>
      <c r="I1338" s="44"/>
      <c r="J1338" s="66"/>
      <c r="K1338" s="66"/>
      <c r="L1338" s="66"/>
      <c r="M1338" s="66"/>
      <c r="N1338" s="66">
        <f>SUM(Prog_236[[#This Row],[TARA]]+Prog_236[[#This Row],[PESO]])</f>
        <v>0</v>
      </c>
      <c r="O1338" s="44"/>
      <c r="P1338" s="66"/>
      <c r="Q1338" s="66"/>
      <c r="R1338" s="66"/>
      <c r="S1338" s="66"/>
      <c r="T1338" s="138" t="str">
        <f>IFERROR(LOOKUP($S1338,MOTORISTAS!$D$3:$D$1048576,MOTORISTAS!E$3:$E$1048576),"")</f>
        <v/>
      </c>
      <c r="U1338" s="138" t="str">
        <f>IFERROR(LOOKUP($S1338,MOTORISTAS!$D$3:$D$1048576,MOTORISTAS!F$3:$F$1048576),"")</f>
        <v/>
      </c>
      <c r="V1338" s="66"/>
      <c r="W1338" s="66"/>
      <c r="X1338" s="66"/>
      <c r="Y1338" s="66"/>
      <c r="Z1338" s="66"/>
      <c r="AA1338" s="66"/>
      <c r="AB1338" s="66"/>
      <c r="AC1338" s="66"/>
      <c r="AD1338" s="66"/>
      <c r="AE1338" s="66"/>
      <c r="AF1338" s="44"/>
      <c r="AG1338" s="254">
        <f>Prog_236[[#This Row],[SAÍDA DO CLIENTE]]-Prog_236[[#This Row],[PROGRAMAÇÃO CLIENTE]]</f>
        <v>0</v>
      </c>
      <c r="AH1338" s="44"/>
      <c r="AI1338" s="66"/>
      <c r="AJ1338" s="66"/>
      <c r="AK1338" s="66"/>
      <c r="AL1338" s="66"/>
      <c r="AM1338" s="66"/>
      <c r="AN1338" s="83"/>
      <c r="AO1338" s="66"/>
      <c r="AP1338" s="66"/>
      <c r="AQ1338" s="66"/>
      <c r="AR1338" s="81"/>
      <c r="AS1338" s="81"/>
      <c r="AT1338" s="81"/>
      <c r="AU1338" s="81"/>
      <c r="AV1338" s="83">
        <f>SUM(Prog_236[[#This Row],[ADIANTAMENTO]]+Prog_236[[#This Row],[SALDO]]+Prog_236[[#This Row],[MARGEM]]+Prog_236[[#This Row],[ESTADIA 1]])</f>
        <v>0</v>
      </c>
      <c r="AW13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8" s="81"/>
      <c r="AY1338" s="81"/>
      <c r="AZ1338" s="81">
        <f>Prog_236[[#This Row],[VLR NF]]*0.1%</f>
        <v>0</v>
      </c>
      <c r="BA1338" s="81">
        <f>Prog_236[[#This Row],[VLR NF]]*0.05%</f>
        <v>0</v>
      </c>
      <c r="BB1338" s="81"/>
      <c r="BC1338" s="81"/>
      <c r="BD1338" s="81"/>
      <c r="BE1338" s="81"/>
      <c r="BF1338" s="81"/>
      <c r="BG1338" s="81"/>
      <c r="BH1338" s="81"/>
      <c r="BI1338" s="81"/>
      <c r="BJ1338" s="81"/>
      <c r="BK1338" s="81"/>
      <c r="BL1338" s="66"/>
      <c r="BM1338" s="66"/>
      <c r="BN1338" s="66"/>
      <c r="BO1338" s="66" t="str">
        <f>PROPER(TEXT(Prog_236[[#This Row],[PROGRAMAÇÃO CLIENTE]],"mmm"))</f>
        <v>Jan</v>
      </c>
      <c r="BP1338" s="66">
        <f>YEAR(Prog_236[[#This Row],[PROGRAMAÇÃO CLIENTE]])</f>
        <v>1900</v>
      </c>
    </row>
    <row r="1339" spans="1:68" x14ac:dyDescent="0.25">
      <c r="A1339" s="200">
        <f>Prog_236[[#This Row],[CONTEINER]]</f>
        <v>0</v>
      </c>
      <c r="B1339" s="86"/>
      <c r="C13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39" s="44"/>
      <c r="E1339" s="66"/>
      <c r="F1339" s="66"/>
      <c r="G1339" s="66"/>
      <c r="H1339" s="44"/>
      <c r="I1339" s="44"/>
      <c r="J1339" s="66"/>
      <c r="K1339" s="66"/>
      <c r="L1339" s="66"/>
      <c r="M1339" s="66"/>
      <c r="N1339" s="66">
        <f>SUM(Prog_236[[#This Row],[TARA]]+Prog_236[[#This Row],[PESO]])</f>
        <v>0</v>
      </c>
      <c r="O1339" s="44"/>
      <c r="P1339" s="66"/>
      <c r="Q1339" s="66"/>
      <c r="R1339" s="66"/>
      <c r="S1339" s="66"/>
      <c r="T1339" s="138" t="str">
        <f>IFERROR(LOOKUP($S1339,MOTORISTAS!$D$3:$D$1048576,MOTORISTAS!E$3:$E$1048576),"")</f>
        <v/>
      </c>
      <c r="U1339" s="138" t="str">
        <f>IFERROR(LOOKUP($S1339,MOTORISTAS!$D$3:$D$1048576,MOTORISTAS!F$3:$F$1048576),"")</f>
        <v/>
      </c>
      <c r="V1339" s="66"/>
      <c r="W1339" s="66"/>
      <c r="X1339" s="66"/>
      <c r="Y1339" s="66"/>
      <c r="Z1339" s="66"/>
      <c r="AA1339" s="66"/>
      <c r="AB1339" s="66"/>
      <c r="AC1339" s="66"/>
      <c r="AD1339" s="66"/>
      <c r="AE1339" s="66"/>
      <c r="AF1339" s="44"/>
      <c r="AG1339" s="254">
        <f>Prog_236[[#This Row],[SAÍDA DO CLIENTE]]-Prog_236[[#This Row],[PROGRAMAÇÃO CLIENTE]]</f>
        <v>0</v>
      </c>
      <c r="AH1339" s="44"/>
      <c r="AI1339" s="66"/>
      <c r="AJ1339" s="66"/>
      <c r="AK1339" s="66"/>
      <c r="AL1339" s="66"/>
      <c r="AM1339" s="66"/>
      <c r="AN1339" s="83"/>
      <c r="AO1339" s="66"/>
      <c r="AP1339" s="66"/>
      <c r="AQ1339" s="66"/>
      <c r="AR1339" s="81"/>
      <c r="AS1339" s="81"/>
      <c r="AT1339" s="81"/>
      <c r="AU1339" s="81"/>
      <c r="AV1339" s="83">
        <f>SUM(Prog_236[[#This Row],[ADIANTAMENTO]]+Prog_236[[#This Row],[SALDO]]+Prog_236[[#This Row],[MARGEM]]+Prog_236[[#This Row],[ESTADIA 1]])</f>
        <v>0</v>
      </c>
      <c r="AW13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39" s="81"/>
      <c r="AY1339" s="81"/>
      <c r="AZ1339" s="81">
        <f>Prog_236[[#This Row],[VLR NF]]*0.1%</f>
        <v>0</v>
      </c>
      <c r="BA1339" s="81">
        <f>Prog_236[[#This Row],[VLR NF]]*0.05%</f>
        <v>0</v>
      </c>
      <c r="BB1339" s="81"/>
      <c r="BC1339" s="81"/>
      <c r="BD1339" s="81"/>
      <c r="BE1339" s="81"/>
      <c r="BF1339" s="81"/>
      <c r="BG1339" s="81"/>
      <c r="BH1339" s="81"/>
      <c r="BI1339" s="81"/>
      <c r="BJ1339" s="81"/>
      <c r="BK1339" s="81"/>
      <c r="BL1339" s="66"/>
      <c r="BM1339" s="66"/>
      <c r="BN1339" s="66"/>
      <c r="BO1339" s="66" t="str">
        <f>PROPER(TEXT(Prog_236[[#This Row],[PROGRAMAÇÃO CLIENTE]],"mmm"))</f>
        <v>Jan</v>
      </c>
      <c r="BP1339" s="66">
        <f>YEAR(Prog_236[[#This Row],[PROGRAMAÇÃO CLIENTE]])</f>
        <v>1900</v>
      </c>
    </row>
    <row r="1340" spans="1:68" x14ac:dyDescent="0.25">
      <c r="A1340" s="201">
        <f>Prog_236[[#This Row],[CONTEINER]]</f>
        <v>0</v>
      </c>
      <c r="B1340" s="86"/>
      <c r="C13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0" s="44"/>
      <c r="E1340" s="66"/>
      <c r="F1340" s="66"/>
      <c r="G1340" s="66"/>
      <c r="H1340" s="44"/>
      <c r="I1340" s="44"/>
      <c r="J1340" s="66"/>
      <c r="K1340" s="66"/>
      <c r="L1340" s="66"/>
      <c r="M1340" s="66"/>
      <c r="N1340" s="66">
        <f>SUM(Prog_236[[#This Row],[TARA]]+Prog_236[[#This Row],[PESO]])</f>
        <v>0</v>
      </c>
      <c r="O1340" s="44"/>
      <c r="P1340" s="66"/>
      <c r="Q1340" s="66"/>
      <c r="R1340" s="66"/>
      <c r="S1340" s="66"/>
      <c r="T1340" s="138" t="str">
        <f>IFERROR(LOOKUP($S1340,MOTORISTAS!$D$3:$D$1048576,MOTORISTAS!E$3:$E$1048576),"")</f>
        <v/>
      </c>
      <c r="U1340" s="138" t="str">
        <f>IFERROR(LOOKUP($S1340,MOTORISTAS!$D$3:$D$1048576,MOTORISTAS!F$3:$F$1048576),"")</f>
        <v/>
      </c>
      <c r="V1340" s="66"/>
      <c r="W1340" s="66"/>
      <c r="X1340" s="66"/>
      <c r="Y1340" s="66"/>
      <c r="Z1340" s="66"/>
      <c r="AA1340" s="66"/>
      <c r="AB1340" s="66"/>
      <c r="AC1340" s="66"/>
      <c r="AD1340" s="66"/>
      <c r="AE1340" s="66"/>
      <c r="AF1340" s="44"/>
      <c r="AG1340" s="254">
        <f>Prog_236[[#This Row],[SAÍDA DO CLIENTE]]-Prog_236[[#This Row],[PROGRAMAÇÃO CLIENTE]]</f>
        <v>0</v>
      </c>
      <c r="AH1340" s="44"/>
      <c r="AI1340" s="66"/>
      <c r="AJ1340" s="66"/>
      <c r="AK1340" s="66"/>
      <c r="AL1340" s="66"/>
      <c r="AM1340" s="66"/>
      <c r="AN1340" s="83"/>
      <c r="AO1340" s="66"/>
      <c r="AP1340" s="66"/>
      <c r="AQ1340" s="66"/>
      <c r="AR1340" s="81"/>
      <c r="AS1340" s="81"/>
      <c r="AT1340" s="81"/>
      <c r="AU1340" s="81"/>
      <c r="AV1340" s="83">
        <f>SUM(Prog_236[[#This Row],[ADIANTAMENTO]]+Prog_236[[#This Row],[SALDO]]+Prog_236[[#This Row],[MARGEM]]+Prog_236[[#This Row],[ESTADIA 1]])</f>
        <v>0</v>
      </c>
      <c r="AW13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0" s="81"/>
      <c r="AY1340" s="81"/>
      <c r="AZ1340" s="81">
        <f>Prog_236[[#This Row],[VLR NF]]*0.1%</f>
        <v>0</v>
      </c>
      <c r="BA1340" s="81">
        <f>Prog_236[[#This Row],[VLR NF]]*0.05%</f>
        <v>0</v>
      </c>
      <c r="BB1340" s="81"/>
      <c r="BC1340" s="81"/>
      <c r="BD1340" s="81"/>
      <c r="BE1340" s="81"/>
      <c r="BF1340" s="81"/>
      <c r="BG1340" s="81"/>
      <c r="BH1340" s="81"/>
      <c r="BI1340" s="81"/>
      <c r="BJ1340" s="81"/>
      <c r="BK1340" s="81"/>
      <c r="BL1340" s="66"/>
      <c r="BM1340" s="66"/>
      <c r="BN1340" s="66"/>
      <c r="BO1340" s="66" t="str">
        <f>PROPER(TEXT(Prog_236[[#This Row],[PROGRAMAÇÃO CLIENTE]],"mmm"))</f>
        <v>Jan</v>
      </c>
      <c r="BP1340" s="66">
        <f>YEAR(Prog_236[[#This Row],[PROGRAMAÇÃO CLIENTE]])</f>
        <v>1900</v>
      </c>
    </row>
    <row r="1341" spans="1:68" x14ac:dyDescent="0.25">
      <c r="A1341" s="200">
        <f>Prog_236[[#This Row],[CONTEINER]]</f>
        <v>0</v>
      </c>
      <c r="B1341" s="86"/>
      <c r="C13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1" s="44"/>
      <c r="E1341" s="66"/>
      <c r="F1341" s="66"/>
      <c r="G1341" s="66"/>
      <c r="H1341" s="44"/>
      <c r="I1341" s="44"/>
      <c r="J1341" s="66"/>
      <c r="K1341" s="66"/>
      <c r="L1341" s="66"/>
      <c r="M1341" s="66"/>
      <c r="N1341" s="66">
        <f>SUM(Prog_236[[#This Row],[TARA]]+Prog_236[[#This Row],[PESO]])</f>
        <v>0</v>
      </c>
      <c r="O1341" s="44"/>
      <c r="P1341" s="66"/>
      <c r="Q1341" s="66"/>
      <c r="R1341" s="66"/>
      <c r="S1341" s="66"/>
      <c r="T1341" s="138" t="str">
        <f>IFERROR(LOOKUP($S1341,MOTORISTAS!$D$3:$D$1048576,MOTORISTAS!E$3:$E$1048576),"")</f>
        <v/>
      </c>
      <c r="U1341" s="138" t="str">
        <f>IFERROR(LOOKUP($S1341,MOTORISTAS!$D$3:$D$1048576,MOTORISTAS!F$3:$F$1048576),"")</f>
        <v/>
      </c>
      <c r="V1341" s="66"/>
      <c r="W1341" s="66"/>
      <c r="X1341" s="66"/>
      <c r="Y1341" s="66"/>
      <c r="Z1341" s="66"/>
      <c r="AA1341" s="66"/>
      <c r="AB1341" s="66"/>
      <c r="AC1341" s="66"/>
      <c r="AD1341" s="66"/>
      <c r="AE1341" s="66"/>
      <c r="AF1341" s="44"/>
      <c r="AG1341" s="254">
        <f>Prog_236[[#This Row],[SAÍDA DO CLIENTE]]-Prog_236[[#This Row],[PROGRAMAÇÃO CLIENTE]]</f>
        <v>0</v>
      </c>
      <c r="AH1341" s="44"/>
      <c r="AI1341" s="66"/>
      <c r="AJ1341" s="66"/>
      <c r="AK1341" s="66"/>
      <c r="AL1341" s="66"/>
      <c r="AM1341" s="66"/>
      <c r="AN1341" s="83"/>
      <c r="AO1341" s="66"/>
      <c r="AP1341" s="66"/>
      <c r="AQ1341" s="66"/>
      <c r="AR1341" s="81"/>
      <c r="AS1341" s="81"/>
      <c r="AT1341" s="81"/>
      <c r="AU1341" s="81"/>
      <c r="AV1341" s="83">
        <f>SUM(Prog_236[[#This Row],[ADIANTAMENTO]]+Prog_236[[#This Row],[SALDO]]+Prog_236[[#This Row],[MARGEM]]+Prog_236[[#This Row],[ESTADIA 1]])</f>
        <v>0</v>
      </c>
      <c r="AW13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1" s="81"/>
      <c r="AY1341" s="81"/>
      <c r="AZ1341" s="81">
        <f>Prog_236[[#This Row],[VLR NF]]*0.1%</f>
        <v>0</v>
      </c>
      <c r="BA1341" s="81">
        <f>Prog_236[[#This Row],[VLR NF]]*0.05%</f>
        <v>0</v>
      </c>
      <c r="BB1341" s="81"/>
      <c r="BC1341" s="81"/>
      <c r="BD1341" s="81"/>
      <c r="BE1341" s="81"/>
      <c r="BF1341" s="81"/>
      <c r="BG1341" s="81"/>
      <c r="BH1341" s="81"/>
      <c r="BI1341" s="81"/>
      <c r="BJ1341" s="81"/>
      <c r="BK1341" s="81"/>
      <c r="BL1341" s="66"/>
      <c r="BM1341" s="66"/>
      <c r="BN1341" s="66"/>
      <c r="BO1341" s="66" t="str">
        <f>PROPER(TEXT(Prog_236[[#This Row],[PROGRAMAÇÃO CLIENTE]],"mmm"))</f>
        <v>Jan</v>
      </c>
      <c r="BP1341" s="66">
        <f>YEAR(Prog_236[[#This Row],[PROGRAMAÇÃO CLIENTE]])</f>
        <v>1900</v>
      </c>
    </row>
    <row r="1342" spans="1:68" x14ac:dyDescent="0.25">
      <c r="A1342" s="201">
        <f>Prog_236[[#This Row],[CONTEINER]]</f>
        <v>0</v>
      </c>
      <c r="B1342" s="86"/>
      <c r="C13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2" s="44"/>
      <c r="E1342" s="66"/>
      <c r="F1342" s="66"/>
      <c r="G1342" s="66"/>
      <c r="H1342" s="44"/>
      <c r="I1342" s="44"/>
      <c r="J1342" s="66"/>
      <c r="K1342" s="66"/>
      <c r="L1342" s="66"/>
      <c r="M1342" s="66"/>
      <c r="N1342" s="66">
        <f>SUM(Prog_236[[#This Row],[TARA]]+Prog_236[[#This Row],[PESO]])</f>
        <v>0</v>
      </c>
      <c r="O1342" s="44"/>
      <c r="P1342" s="66"/>
      <c r="Q1342" s="66"/>
      <c r="R1342" s="66"/>
      <c r="S1342" s="66"/>
      <c r="T1342" s="138" t="str">
        <f>IFERROR(LOOKUP($S1342,MOTORISTAS!$D$3:$D$1048576,MOTORISTAS!E$3:$E$1048576),"")</f>
        <v/>
      </c>
      <c r="U1342" s="138" t="str">
        <f>IFERROR(LOOKUP($S1342,MOTORISTAS!$D$3:$D$1048576,MOTORISTAS!F$3:$F$1048576),"")</f>
        <v/>
      </c>
      <c r="V1342" s="66"/>
      <c r="W1342" s="66"/>
      <c r="X1342" s="66"/>
      <c r="Y1342" s="66"/>
      <c r="Z1342" s="66"/>
      <c r="AA1342" s="66"/>
      <c r="AB1342" s="66"/>
      <c r="AC1342" s="66"/>
      <c r="AD1342" s="66"/>
      <c r="AE1342" s="66"/>
      <c r="AF1342" s="44"/>
      <c r="AG1342" s="254">
        <f>Prog_236[[#This Row],[SAÍDA DO CLIENTE]]-Prog_236[[#This Row],[PROGRAMAÇÃO CLIENTE]]</f>
        <v>0</v>
      </c>
      <c r="AH1342" s="44"/>
      <c r="AI1342" s="66"/>
      <c r="AJ1342" s="66"/>
      <c r="AK1342" s="66"/>
      <c r="AL1342" s="66"/>
      <c r="AM1342" s="66"/>
      <c r="AN1342" s="83"/>
      <c r="AO1342" s="66"/>
      <c r="AP1342" s="66"/>
      <c r="AQ1342" s="66"/>
      <c r="AR1342" s="81"/>
      <c r="AS1342" s="81"/>
      <c r="AT1342" s="81"/>
      <c r="AU1342" s="81"/>
      <c r="AV1342" s="83">
        <f>SUM(Prog_236[[#This Row],[ADIANTAMENTO]]+Prog_236[[#This Row],[SALDO]]+Prog_236[[#This Row],[MARGEM]]+Prog_236[[#This Row],[ESTADIA 1]])</f>
        <v>0</v>
      </c>
      <c r="AW13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2" s="81"/>
      <c r="AY1342" s="81"/>
      <c r="AZ1342" s="81">
        <f>Prog_236[[#This Row],[VLR NF]]*0.1%</f>
        <v>0</v>
      </c>
      <c r="BA1342" s="81">
        <f>Prog_236[[#This Row],[VLR NF]]*0.05%</f>
        <v>0</v>
      </c>
      <c r="BB1342" s="81"/>
      <c r="BC1342" s="81"/>
      <c r="BD1342" s="81"/>
      <c r="BE1342" s="81"/>
      <c r="BF1342" s="81"/>
      <c r="BG1342" s="81"/>
      <c r="BH1342" s="81"/>
      <c r="BI1342" s="81"/>
      <c r="BJ1342" s="81"/>
      <c r="BK1342" s="81"/>
      <c r="BL1342" s="66"/>
      <c r="BM1342" s="66"/>
      <c r="BN1342" s="66"/>
      <c r="BO1342" s="66" t="str">
        <f>PROPER(TEXT(Prog_236[[#This Row],[PROGRAMAÇÃO CLIENTE]],"mmm"))</f>
        <v>Jan</v>
      </c>
      <c r="BP1342" s="66">
        <f>YEAR(Prog_236[[#This Row],[PROGRAMAÇÃO CLIENTE]])</f>
        <v>1900</v>
      </c>
    </row>
    <row r="1343" spans="1:68" x14ac:dyDescent="0.25">
      <c r="A1343" s="200">
        <f>Prog_236[[#This Row],[CONTEINER]]</f>
        <v>0</v>
      </c>
      <c r="B1343" s="86"/>
      <c r="C13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3" s="44"/>
      <c r="E1343" s="66"/>
      <c r="F1343" s="66"/>
      <c r="G1343" s="66"/>
      <c r="H1343" s="44"/>
      <c r="I1343" s="44"/>
      <c r="J1343" s="66"/>
      <c r="K1343" s="66"/>
      <c r="L1343" s="66"/>
      <c r="M1343" s="66"/>
      <c r="N1343" s="66">
        <f>SUM(Prog_236[[#This Row],[TARA]]+Prog_236[[#This Row],[PESO]])</f>
        <v>0</v>
      </c>
      <c r="O1343" s="44"/>
      <c r="P1343" s="66"/>
      <c r="Q1343" s="66"/>
      <c r="R1343" s="66"/>
      <c r="S1343" s="66"/>
      <c r="T1343" s="138" t="str">
        <f>IFERROR(LOOKUP($S1343,MOTORISTAS!$D$3:$D$1048576,MOTORISTAS!E$3:$E$1048576),"")</f>
        <v/>
      </c>
      <c r="U1343" s="138" t="str">
        <f>IFERROR(LOOKUP($S1343,MOTORISTAS!$D$3:$D$1048576,MOTORISTAS!F$3:$F$1048576),"")</f>
        <v/>
      </c>
      <c r="V1343" s="66"/>
      <c r="W1343" s="66"/>
      <c r="X1343" s="66"/>
      <c r="Y1343" s="66"/>
      <c r="Z1343" s="66"/>
      <c r="AA1343" s="66"/>
      <c r="AB1343" s="66"/>
      <c r="AC1343" s="66"/>
      <c r="AD1343" s="66"/>
      <c r="AE1343" s="66"/>
      <c r="AF1343" s="44"/>
      <c r="AG1343" s="254">
        <f>Prog_236[[#This Row],[SAÍDA DO CLIENTE]]-Prog_236[[#This Row],[PROGRAMAÇÃO CLIENTE]]</f>
        <v>0</v>
      </c>
      <c r="AH1343" s="44"/>
      <c r="AI1343" s="66"/>
      <c r="AJ1343" s="66"/>
      <c r="AK1343" s="66"/>
      <c r="AL1343" s="66"/>
      <c r="AM1343" s="66"/>
      <c r="AN1343" s="83"/>
      <c r="AO1343" s="66"/>
      <c r="AP1343" s="66"/>
      <c r="AQ1343" s="66"/>
      <c r="AR1343" s="81"/>
      <c r="AS1343" s="81"/>
      <c r="AT1343" s="81"/>
      <c r="AU1343" s="81"/>
      <c r="AV1343" s="83">
        <f>SUM(Prog_236[[#This Row],[ADIANTAMENTO]]+Prog_236[[#This Row],[SALDO]]+Prog_236[[#This Row],[MARGEM]]+Prog_236[[#This Row],[ESTADIA 1]])</f>
        <v>0</v>
      </c>
      <c r="AW13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3" s="81"/>
      <c r="AY1343" s="81"/>
      <c r="AZ1343" s="81">
        <f>Prog_236[[#This Row],[VLR NF]]*0.1%</f>
        <v>0</v>
      </c>
      <c r="BA1343" s="81">
        <f>Prog_236[[#This Row],[VLR NF]]*0.05%</f>
        <v>0</v>
      </c>
      <c r="BB1343" s="81"/>
      <c r="BC1343" s="81"/>
      <c r="BD1343" s="81"/>
      <c r="BE1343" s="81"/>
      <c r="BF1343" s="81"/>
      <c r="BG1343" s="81"/>
      <c r="BH1343" s="81"/>
      <c r="BI1343" s="81"/>
      <c r="BJ1343" s="81"/>
      <c r="BK1343" s="81"/>
      <c r="BL1343" s="66"/>
      <c r="BM1343" s="66"/>
      <c r="BN1343" s="66"/>
      <c r="BO1343" s="66" t="str">
        <f>PROPER(TEXT(Prog_236[[#This Row],[PROGRAMAÇÃO CLIENTE]],"mmm"))</f>
        <v>Jan</v>
      </c>
      <c r="BP1343" s="66">
        <f>YEAR(Prog_236[[#This Row],[PROGRAMAÇÃO CLIENTE]])</f>
        <v>1900</v>
      </c>
    </row>
    <row r="1344" spans="1:68" x14ac:dyDescent="0.25">
      <c r="A1344" s="201">
        <f>Prog_236[[#This Row],[CONTEINER]]</f>
        <v>0</v>
      </c>
      <c r="B1344" s="86"/>
      <c r="C13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4" s="44"/>
      <c r="E1344" s="66"/>
      <c r="F1344" s="66"/>
      <c r="G1344" s="66"/>
      <c r="H1344" s="44"/>
      <c r="I1344" s="44"/>
      <c r="J1344" s="66"/>
      <c r="K1344" s="66"/>
      <c r="L1344" s="66"/>
      <c r="M1344" s="66"/>
      <c r="N1344" s="66">
        <f>SUM(Prog_236[[#This Row],[TARA]]+Prog_236[[#This Row],[PESO]])</f>
        <v>0</v>
      </c>
      <c r="O1344" s="44"/>
      <c r="P1344" s="66"/>
      <c r="Q1344" s="66"/>
      <c r="R1344" s="66"/>
      <c r="S1344" s="66"/>
      <c r="T1344" s="138" t="str">
        <f>IFERROR(LOOKUP($S1344,MOTORISTAS!$D$3:$D$1048576,MOTORISTAS!E$3:$E$1048576),"")</f>
        <v/>
      </c>
      <c r="U1344" s="138" t="str">
        <f>IFERROR(LOOKUP($S1344,MOTORISTAS!$D$3:$D$1048576,MOTORISTAS!F$3:$F$1048576),"")</f>
        <v/>
      </c>
      <c r="V1344" s="66"/>
      <c r="W1344" s="66"/>
      <c r="X1344" s="66"/>
      <c r="Y1344" s="66"/>
      <c r="Z1344" s="66"/>
      <c r="AA1344" s="66"/>
      <c r="AB1344" s="66"/>
      <c r="AC1344" s="66"/>
      <c r="AD1344" s="66"/>
      <c r="AE1344" s="66"/>
      <c r="AF1344" s="44"/>
      <c r="AG1344" s="254">
        <f>Prog_236[[#This Row],[SAÍDA DO CLIENTE]]-Prog_236[[#This Row],[PROGRAMAÇÃO CLIENTE]]</f>
        <v>0</v>
      </c>
      <c r="AH1344" s="44"/>
      <c r="AI1344" s="66"/>
      <c r="AJ1344" s="66"/>
      <c r="AK1344" s="66"/>
      <c r="AL1344" s="66"/>
      <c r="AM1344" s="66"/>
      <c r="AN1344" s="83"/>
      <c r="AO1344" s="66"/>
      <c r="AP1344" s="66"/>
      <c r="AQ1344" s="66"/>
      <c r="AR1344" s="81"/>
      <c r="AS1344" s="81"/>
      <c r="AT1344" s="81"/>
      <c r="AU1344" s="81"/>
      <c r="AV1344" s="83">
        <f>SUM(Prog_236[[#This Row],[ADIANTAMENTO]]+Prog_236[[#This Row],[SALDO]]+Prog_236[[#This Row],[MARGEM]]+Prog_236[[#This Row],[ESTADIA 1]])</f>
        <v>0</v>
      </c>
      <c r="AW13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4" s="81"/>
      <c r="AY1344" s="81"/>
      <c r="AZ1344" s="81">
        <f>Prog_236[[#This Row],[VLR NF]]*0.1%</f>
        <v>0</v>
      </c>
      <c r="BA1344" s="81">
        <f>Prog_236[[#This Row],[VLR NF]]*0.05%</f>
        <v>0</v>
      </c>
      <c r="BB1344" s="81"/>
      <c r="BC1344" s="81"/>
      <c r="BD1344" s="81"/>
      <c r="BE1344" s="81"/>
      <c r="BF1344" s="81"/>
      <c r="BG1344" s="81"/>
      <c r="BH1344" s="81"/>
      <c r="BI1344" s="81"/>
      <c r="BJ1344" s="81"/>
      <c r="BK1344" s="81"/>
      <c r="BL1344" s="66"/>
      <c r="BM1344" s="66"/>
      <c r="BN1344" s="66"/>
      <c r="BO1344" s="66" t="str">
        <f>PROPER(TEXT(Prog_236[[#This Row],[PROGRAMAÇÃO CLIENTE]],"mmm"))</f>
        <v>Jan</v>
      </c>
      <c r="BP1344" s="66">
        <f>YEAR(Prog_236[[#This Row],[PROGRAMAÇÃO CLIENTE]])</f>
        <v>1900</v>
      </c>
    </row>
    <row r="1345" spans="1:68" x14ac:dyDescent="0.25">
      <c r="A1345" s="200">
        <f>Prog_236[[#This Row],[CONTEINER]]</f>
        <v>0</v>
      </c>
      <c r="B1345" s="86"/>
      <c r="C13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5" s="44"/>
      <c r="E1345" s="66"/>
      <c r="F1345" s="66"/>
      <c r="G1345" s="66"/>
      <c r="H1345" s="44"/>
      <c r="I1345" s="44"/>
      <c r="J1345" s="66"/>
      <c r="K1345" s="66"/>
      <c r="L1345" s="66"/>
      <c r="M1345" s="66"/>
      <c r="N1345" s="66">
        <f>SUM(Prog_236[[#This Row],[TARA]]+Prog_236[[#This Row],[PESO]])</f>
        <v>0</v>
      </c>
      <c r="O1345" s="44"/>
      <c r="P1345" s="66"/>
      <c r="Q1345" s="66"/>
      <c r="R1345" s="66"/>
      <c r="S1345" s="66"/>
      <c r="T1345" s="138" t="str">
        <f>IFERROR(LOOKUP($S1345,MOTORISTAS!$D$3:$D$1048576,MOTORISTAS!E$3:$E$1048576),"")</f>
        <v/>
      </c>
      <c r="U1345" s="138" t="str">
        <f>IFERROR(LOOKUP($S1345,MOTORISTAS!$D$3:$D$1048576,MOTORISTAS!F$3:$F$1048576),"")</f>
        <v/>
      </c>
      <c r="V1345" s="66"/>
      <c r="W1345" s="66"/>
      <c r="X1345" s="66"/>
      <c r="Y1345" s="66"/>
      <c r="Z1345" s="66"/>
      <c r="AA1345" s="66"/>
      <c r="AB1345" s="66"/>
      <c r="AC1345" s="66"/>
      <c r="AD1345" s="66"/>
      <c r="AE1345" s="66"/>
      <c r="AF1345" s="44"/>
      <c r="AG1345" s="254">
        <f>Prog_236[[#This Row],[SAÍDA DO CLIENTE]]-Prog_236[[#This Row],[PROGRAMAÇÃO CLIENTE]]</f>
        <v>0</v>
      </c>
      <c r="AH1345" s="44"/>
      <c r="AI1345" s="66"/>
      <c r="AJ1345" s="66"/>
      <c r="AK1345" s="66"/>
      <c r="AL1345" s="66"/>
      <c r="AM1345" s="66"/>
      <c r="AN1345" s="83"/>
      <c r="AO1345" s="66"/>
      <c r="AP1345" s="66"/>
      <c r="AQ1345" s="66"/>
      <c r="AR1345" s="81"/>
      <c r="AS1345" s="81"/>
      <c r="AT1345" s="81"/>
      <c r="AU1345" s="81"/>
      <c r="AV1345" s="83">
        <f>SUM(Prog_236[[#This Row],[ADIANTAMENTO]]+Prog_236[[#This Row],[SALDO]]+Prog_236[[#This Row],[MARGEM]]+Prog_236[[#This Row],[ESTADIA 1]])</f>
        <v>0</v>
      </c>
      <c r="AW13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5" s="81"/>
      <c r="AY1345" s="81"/>
      <c r="AZ1345" s="81">
        <f>Prog_236[[#This Row],[VLR NF]]*0.1%</f>
        <v>0</v>
      </c>
      <c r="BA1345" s="81">
        <f>Prog_236[[#This Row],[VLR NF]]*0.05%</f>
        <v>0</v>
      </c>
      <c r="BB1345" s="81"/>
      <c r="BC1345" s="81"/>
      <c r="BD1345" s="81"/>
      <c r="BE1345" s="81"/>
      <c r="BF1345" s="81"/>
      <c r="BG1345" s="81"/>
      <c r="BH1345" s="81"/>
      <c r="BI1345" s="81"/>
      <c r="BJ1345" s="81"/>
      <c r="BK1345" s="81"/>
      <c r="BL1345" s="66"/>
      <c r="BM1345" s="66"/>
      <c r="BN1345" s="66"/>
      <c r="BO1345" s="66" t="str">
        <f>PROPER(TEXT(Prog_236[[#This Row],[PROGRAMAÇÃO CLIENTE]],"mmm"))</f>
        <v>Jan</v>
      </c>
      <c r="BP1345" s="66">
        <f>YEAR(Prog_236[[#This Row],[PROGRAMAÇÃO CLIENTE]])</f>
        <v>1900</v>
      </c>
    </row>
    <row r="1346" spans="1:68" x14ac:dyDescent="0.25">
      <c r="A1346" s="201">
        <f>Prog_236[[#This Row],[CONTEINER]]</f>
        <v>0</v>
      </c>
      <c r="B1346" s="86"/>
      <c r="C13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6" s="44"/>
      <c r="E1346" s="66"/>
      <c r="F1346" s="66"/>
      <c r="G1346" s="66"/>
      <c r="H1346" s="44"/>
      <c r="I1346" s="44"/>
      <c r="J1346" s="66"/>
      <c r="K1346" s="66"/>
      <c r="L1346" s="66"/>
      <c r="M1346" s="66"/>
      <c r="N1346" s="66">
        <f>SUM(Prog_236[[#This Row],[TARA]]+Prog_236[[#This Row],[PESO]])</f>
        <v>0</v>
      </c>
      <c r="O1346" s="44"/>
      <c r="P1346" s="66"/>
      <c r="Q1346" s="66"/>
      <c r="R1346" s="66"/>
      <c r="S1346" s="66"/>
      <c r="T1346" s="138" t="str">
        <f>IFERROR(LOOKUP($S1346,MOTORISTAS!$D$3:$D$1048576,MOTORISTAS!E$3:$E$1048576),"")</f>
        <v/>
      </c>
      <c r="U1346" s="138" t="str">
        <f>IFERROR(LOOKUP($S1346,MOTORISTAS!$D$3:$D$1048576,MOTORISTAS!F$3:$F$1048576),"")</f>
        <v/>
      </c>
      <c r="V1346" s="66"/>
      <c r="W1346" s="66"/>
      <c r="X1346" s="66"/>
      <c r="Y1346" s="66"/>
      <c r="Z1346" s="66"/>
      <c r="AA1346" s="66"/>
      <c r="AB1346" s="66"/>
      <c r="AC1346" s="66"/>
      <c r="AD1346" s="66"/>
      <c r="AE1346" s="66"/>
      <c r="AF1346" s="44"/>
      <c r="AG1346" s="254">
        <f>Prog_236[[#This Row],[SAÍDA DO CLIENTE]]-Prog_236[[#This Row],[PROGRAMAÇÃO CLIENTE]]</f>
        <v>0</v>
      </c>
      <c r="AH1346" s="44"/>
      <c r="AI1346" s="66"/>
      <c r="AJ1346" s="66"/>
      <c r="AK1346" s="66"/>
      <c r="AL1346" s="66"/>
      <c r="AM1346" s="66"/>
      <c r="AN1346" s="83"/>
      <c r="AO1346" s="66"/>
      <c r="AP1346" s="66"/>
      <c r="AQ1346" s="66"/>
      <c r="AR1346" s="81"/>
      <c r="AS1346" s="81"/>
      <c r="AT1346" s="81"/>
      <c r="AU1346" s="81"/>
      <c r="AV1346" s="83">
        <f>SUM(Prog_236[[#This Row],[ADIANTAMENTO]]+Prog_236[[#This Row],[SALDO]]+Prog_236[[#This Row],[MARGEM]]+Prog_236[[#This Row],[ESTADIA 1]])</f>
        <v>0</v>
      </c>
      <c r="AW13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6" s="81"/>
      <c r="AY1346" s="81"/>
      <c r="AZ1346" s="81">
        <f>Prog_236[[#This Row],[VLR NF]]*0.1%</f>
        <v>0</v>
      </c>
      <c r="BA1346" s="81">
        <f>Prog_236[[#This Row],[VLR NF]]*0.05%</f>
        <v>0</v>
      </c>
      <c r="BB1346" s="81"/>
      <c r="BC1346" s="81"/>
      <c r="BD1346" s="81"/>
      <c r="BE1346" s="81"/>
      <c r="BF1346" s="81"/>
      <c r="BG1346" s="81"/>
      <c r="BH1346" s="81"/>
      <c r="BI1346" s="81"/>
      <c r="BJ1346" s="81"/>
      <c r="BK1346" s="81"/>
      <c r="BL1346" s="66"/>
      <c r="BM1346" s="66"/>
      <c r="BN1346" s="66"/>
      <c r="BO1346" s="66" t="str">
        <f>PROPER(TEXT(Prog_236[[#This Row],[PROGRAMAÇÃO CLIENTE]],"mmm"))</f>
        <v>Jan</v>
      </c>
      <c r="BP1346" s="66">
        <f>YEAR(Prog_236[[#This Row],[PROGRAMAÇÃO CLIENTE]])</f>
        <v>1900</v>
      </c>
    </row>
    <row r="1347" spans="1:68" x14ac:dyDescent="0.25">
      <c r="A1347" s="200">
        <f>Prog_236[[#This Row],[CONTEINER]]</f>
        <v>0</v>
      </c>
      <c r="B1347" s="86"/>
      <c r="C13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7" s="44"/>
      <c r="E1347" s="66"/>
      <c r="F1347" s="66"/>
      <c r="G1347" s="66"/>
      <c r="H1347" s="44"/>
      <c r="I1347" s="44"/>
      <c r="J1347" s="66"/>
      <c r="K1347" s="66"/>
      <c r="L1347" s="66"/>
      <c r="M1347" s="66"/>
      <c r="N1347" s="66">
        <f>SUM(Prog_236[[#This Row],[TARA]]+Prog_236[[#This Row],[PESO]])</f>
        <v>0</v>
      </c>
      <c r="O1347" s="44"/>
      <c r="P1347" s="66"/>
      <c r="Q1347" s="66"/>
      <c r="R1347" s="66"/>
      <c r="S1347" s="66"/>
      <c r="T1347" s="138" t="str">
        <f>IFERROR(LOOKUP($S1347,MOTORISTAS!$D$3:$D$1048576,MOTORISTAS!E$3:$E$1048576),"")</f>
        <v/>
      </c>
      <c r="U1347" s="138" t="str">
        <f>IFERROR(LOOKUP($S1347,MOTORISTAS!$D$3:$D$1048576,MOTORISTAS!F$3:$F$1048576),"")</f>
        <v/>
      </c>
      <c r="V1347" s="66"/>
      <c r="W1347" s="66"/>
      <c r="X1347" s="66"/>
      <c r="Y1347" s="66"/>
      <c r="Z1347" s="66"/>
      <c r="AA1347" s="66"/>
      <c r="AB1347" s="66"/>
      <c r="AC1347" s="66"/>
      <c r="AD1347" s="66"/>
      <c r="AE1347" s="66"/>
      <c r="AF1347" s="44"/>
      <c r="AG1347" s="254">
        <f>Prog_236[[#This Row],[SAÍDA DO CLIENTE]]-Prog_236[[#This Row],[PROGRAMAÇÃO CLIENTE]]</f>
        <v>0</v>
      </c>
      <c r="AH1347" s="44"/>
      <c r="AI1347" s="66"/>
      <c r="AJ1347" s="66"/>
      <c r="AK1347" s="66"/>
      <c r="AL1347" s="66"/>
      <c r="AM1347" s="66"/>
      <c r="AN1347" s="83"/>
      <c r="AO1347" s="66"/>
      <c r="AP1347" s="66"/>
      <c r="AQ1347" s="66"/>
      <c r="AR1347" s="81"/>
      <c r="AS1347" s="81"/>
      <c r="AT1347" s="81"/>
      <c r="AU1347" s="81"/>
      <c r="AV1347" s="83">
        <f>SUM(Prog_236[[#This Row],[ADIANTAMENTO]]+Prog_236[[#This Row],[SALDO]]+Prog_236[[#This Row],[MARGEM]]+Prog_236[[#This Row],[ESTADIA 1]])</f>
        <v>0</v>
      </c>
      <c r="AW13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7" s="81"/>
      <c r="AY1347" s="81"/>
      <c r="AZ1347" s="81">
        <f>Prog_236[[#This Row],[VLR NF]]*0.1%</f>
        <v>0</v>
      </c>
      <c r="BA1347" s="81">
        <f>Prog_236[[#This Row],[VLR NF]]*0.05%</f>
        <v>0</v>
      </c>
      <c r="BB1347" s="81"/>
      <c r="BC1347" s="81"/>
      <c r="BD1347" s="81"/>
      <c r="BE1347" s="81"/>
      <c r="BF1347" s="81"/>
      <c r="BG1347" s="81"/>
      <c r="BH1347" s="81"/>
      <c r="BI1347" s="81"/>
      <c r="BJ1347" s="81"/>
      <c r="BK1347" s="81"/>
      <c r="BL1347" s="66"/>
      <c r="BM1347" s="66"/>
      <c r="BN1347" s="66"/>
      <c r="BO1347" s="66" t="str">
        <f>PROPER(TEXT(Prog_236[[#This Row],[PROGRAMAÇÃO CLIENTE]],"mmm"))</f>
        <v>Jan</v>
      </c>
      <c r="BP1347" s="66">
        <f>YEAR(Prog_236[[#This Row],[PROGRAMAÇÃO CLIENTE]])</f>
        <v>1900</v>
      </c>
    </row>
    <row r="1348" spans="1:68" x14ac:dyDescent="0.25">
      <c r="A1348" s="201">
        <f>Prog_236[[#This Row],[CONTEINER]]</f>
        <v>0</v>
      </c>
      <c r="B1348" s="86"/>
      <c r="C13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8" s="44"/>
      <c r="E1348" s="66"/>
      <c r="F1348" s="66"/>
      <c r="G1348" s="66"/>
      <c r="H1348" s="44"/>
      <c r="I1348" s="44"/>
      <c r="J1348" s="66"/>
      <c r="K1348" s="66"/>
      <c r="L1348" s="66"/>
      <c r="M1348" s="66"/>
      <c r="N1348" s="66">
        <f>SUM(Prog_236[[#This Row],[TARA]]+Prog_236[[#This Row],[PESO]])</f>
        <v>0</v>
      </c>
      <c r="O1348" s="44"/>
      <c r="P1348" s="66"/>
      <c r="Q1348" s="66"/>
      <c r="R1348" s="66"/>
      <c r="S1348" s="66"/>
      <c r="T1348" s="138" t="str">
        <f>IFERROR(LOOKUP($S1348,MOTORISTAS!$D$3:$D$1048576,MOTORISTAS!E$3:$E$1048576),"")</f>
        <v/>
      </c>
      <c r="U1348" s="138" t="str">
        <f>IFERROR(LOOKUP($S1348,MOTORISTAS!$D$3:$D$1048576,MOTORISTAS!F$3:$F$1048576),"")</f>
        <v/>
      </c>
      <c r="V1348" s="66"/>
      <c r="W1348" s="66"/>
      <c r="X1348" s="66"/>
      <c r="Y1348" s="66"/>
      <c r="Z1348" s="66"/>
      <c r="AA1348" s="66"/>
      <c r="AB1348" s="66"/>
      <c r="AC1348" s="66"/>
      <c r="AD1348" s="66"/>
      <c r="AE1348" s="66"/>
      <c r="AF1348" s="44"/>
      <c r="AG1348" s="254">
        <f>Prog_236[[#This Row],[SAÍDA DO CLIENTE]]-Prog_236[[#This Row],[PROGRAMAÇÃO CLIENTE]]</f>
        <v>0</v>
      </c>
      <c r="AH1348" s="44"/>
      <c r="AI1348" s="66"/>
      <c r="AJ1348" s="66"/>
      <c r="AK1348" s="66"/>
      <c r="AL1348" s="66"/>
      <c r="AM1348" s="66"/>
      <c r="AN1348" s="83"/>
      <c r="AO1348" s="66"/>
      <c r="AP1348" s="66"/>
      <c r="AQ1348" s="66"/>
      <c r="AR1348" s="81"/>
      <c r="AS1348" s="81"/>
      <c r="AT1348" s="81"/>
      <c r="AU1348" s="81"/>
      <c r="AV1348" s="83">
        <f>SUM(Prog_236[[#This Row],[ADIANTAMENTO]]+Prog_236[[#This Row],[SALDO]]+Prog_236[[#This Row],[MARGEM]]+Prog_236[[#This Row],[ESTADIA 1]])</f>
        <v>0</v>
      </c>
      <c r="AW13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8" s="81"/>
      <c r="AY1348" s="81"/>
      <c r="AZ1348" s="81">
        <f>Prog_236[[#This Row],[VLR NF]]*0.1%</f>
        <v>0</v>
      </c>
      <c r="BA1348" s="81">
        <f>Prog_236[[#This Row],[VLR NF]]*0.05%</f>
        <v>0</v>
      </c>
      <c r="BB1348" s="81"/>
      <c r="BC1348" s="81"/>
      <c r="BD1348" s="81"/>
      <c r="BE1348" s="81"/>
      <c r="BF1348" s="81"/>
      <c r="BG1348" s="81"/>
      <c r="BH1348" s="81"/>
      <c r="BI1348" s="81"/>
      <c r="BJ1348" s="81"/>
      <c r="BK1348" s="81"/>
      <c r="BL1348" s="66"/>
      <c r="BM1348" s="66"/>
      <c r="BN1348" s="66"/>
      <c r="BO1348" s="66" t="str">
        <f>PROPER(TEXT(Prog_236[[#This Row],[PROGRAMAÇÃO CLIENTE]],"mmm"))</f>
        <v>Jan</v>
      </c>
      <c r="BP1348" s="66">
        <f>YEAR(Prog_236[[#This Row],[PROGRAMAÇÃO CLIENTE]])</f>
        <v>1900</v>
      </c>
    </row>
    <row r="1349" spans="1:68" x14ac:dyDescent="0.25">
      <c r="A1349" s="200">
        <f>Prog_236[[#This Row],[CONTEINER]]</f>
        <v>0</v>
      </c>
      <c r="B1349" s="86"/>
      <c r="C13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49" s="44"/>
      <c r="E1349" s="66"/>
      <c r="F1349" s="66"/>
      <c r="G1349" s="66"/>
      <c r="H1349" s="44"/>
      <c r="I1349" s="44"/>
      <c r="J1349" s="66"/>
      <c r="K1349" s="66"/>
      <c r="L1349" s="66"/>
      <c r="M1349" s="66"/>
      <c r="N1349" s="66">
        <f>SUM(Prog_236[[#This Row],[TARA]]+Prog_236[[#This Row],[PESO]])</f>
        <v>0</v>
      </c>
      <c r="O1349" s="44"/>
      <c r="P1349" s="66"/>
      <c r="Q1349" s="66"/>
      <c r="R1349" s="66"/>
      <c r="S1349" s="66"/>
      <c r="T1349" s="138" t="str">
        <f>IFERROR(LOOKUP($S1349,MOTORISTAS!$D$3:$D$1048576,MOTORISTAS!E$3:$E$1048576),"")</f>
        <v/>
      </c>
      <c r="U1349" s="138" t="str">
        <f>IFERROR(LOOKUP($S1349,MOTORISTAS!$D$3:$D$1048576,MOTORISTAS!F$3:$F$1048576),"")</f>
        <v/>
      </c>
      <c r="V1349" s="66"/>
      <c r="W1349" s="66"/>
      <c r="X1349" s="66"/>
      <c r="Y1349" s="66"/>
      <c r="Z1349" s="66"/>
      <c r="AA1349" s="66"/>
      <c r="AB1349" s="66"/>
      <c r="AC1349" s="66"/>
      <c r="AD1349" s="66"/>
      <c r="AE1349" s="66"/>
      <c r="AF1349" s="44"/>
      <c r="AG1349" s="254">
        <f>Prog_236[[#This Row],[SAÍDA DO CLIENTE]]-Prog_236[[#This Row],[PROGRAMAÇÃO CLIENTE]]</f>
        <v>0</v>
      </c>
      <c r="AH1349" s="44"/>
      <c r="AI1349" s="66"/>
      <c r="AJ1349" s="66"/>
      <c r="AK1349" s="66"/>
      <c r="AL1349" s="66"/>
      <c r="AM1349" s="66"/>
      <c r="AN1349" s="83"/>
      <c r="AO1349" s="66"/>
      <c r="AP1349" s="66"/>
      <c r="AQ1349" s="66"/>
      <c r="AR1349" s="81"/>
      <c r="AS1349" s="81"/>
      <c r="AT1349" s="81"/>
      <c r="AU1349" s="81"/>
      <c r="AV1349" s="83">
        <f>SUM(Prog_236[[#This Row],[ADIANTAMENTO]]+Prog_236[[#This Row],[SALDO]]+Prog_236[[#This Row],[MARGEM]]+Prog_236[[#This Row],[ESTADIA 1]])</f>
        <v>0</v>
      </c>
      <c r="AW13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49" s="81"/>
      <c r="AY1349" s="81"/>
      <c r="AZ1349" s="81">
        <f>Prog_236[[#This Row],[VLR NF]]*0.1%</f>
        <v>0</v>
      </c>
      <c r="BA1349" s="81">
        <f>Prog_236[[#This Row],[VLR NF]]*0.05%</f>
        <v>0</v>
      </c>
      <c r="BB1349" s="81"/>
      <c r="BC1349" s="81"/>
      <c r="BD1349" s="81"/>
      <c r="BE1349" s="81"/>
      <c r="BF1349" s="81"/>
      <c r="BG1349" s="81"/>
      <c r="BH1349" s="81"/>
      <c r="BI1349" s="81"/>
      <c r="BJ1349" s="81"/>
      <c r="BK1349" s="81"/>
      <c r="BL1349" s="66"/>
      <c r="BM1349" s="66"/>
      <c r="BN1349" s="66"/>
      <c r="BO1349" s="66" t="str">
        <f>PROPER(TEXT(Prog_236[[#This Row],[PROGRAMAÇÃO CLIENTE]],"mmm"))</f>
        <v>Jan</v>
      </c>
      <c r="BP1349" s="66">
        <f>YEAR(Prog_236[[#This Row],[PROGRAMAÇÃO CLIENTE]])</f>
        <v>1900</v>
      </c>
    </row>
    <row r="1350" spans="1:68" x14ac:dyDescent="0.25">
      <c r="A1350" s="201">
        <f>Prog_236[[#This Row],[CONTEINER]]</f>
        <v>0</v>
      </c>
      <c r="B1350" s="86"/>
      <c r="C13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0" s="44"/>
      <c r="E1350" s="66"/>
      <c r="F1350" s="66"/>
      <c r="G1350" s="66"/>
      <c r="H1350" s="44"/>
      <c r="I1350" s="44"/>
      <c r="J1350" s="66"/>
      <c r="K1350" s="66"/>
      <c r="L1350" s="66"/>
      <c r="M1350" s="66"/>
      <c r="N1350" s="66">
        <f>SUM(Prog_236[[#This Row],[TARA]]+Prog_236[[#This Row],[PESO]])</f>
        <v>0</v>
      </c>
      <c r="O1350" s="44"/>
      <c r="P1350" s="66"/>
      <c r="Q1350" s="66"/>
      <c r="R1350" s="66"/>
      <c r="S1350" s="66"/>
      <c r="T1350" s="138" t="str">
        <f>IFERROR(LOOKUP($S1350,MOTORISTAS!$D$3:$D$1048576,MOTORISTAS!E$3:$E$1048576),"")</f>
        <v/>
      </c>
      <c r="U1350" s="138" t="str">
        <f>IFERROR(LOOKUP($S1350,MOTORISTAS!$D$3:$D$1048576,MOTORISTAS!F$3:$F$1048576),"")</f>
        <v/>
      </c>
      <c r="V1350" s="66"/>
      <c r="W1350" s="66"/>
      <c r="X1350" s="66"/>
      <c r="Y1350" s="66"/>
      <c r="Z1350" s="66"/>
      <c r="AA1350" s="66"/>
      <c r="AB1350" s="66"/>
      <c r="AC1350" s="66"/>
      <c r="AD1350" s="66"/>
      <c r="AE1350" s="66"/>
      <c r="AF1350" s="44"/>
      <c r="AG1350" s="254">
        <f>Prog_236[[#This Row],[SAÍDA DO CLIENTE]]-Prog_236[[#This Row],[PROGRAMAÇÃO CLIENTE]]</f>
        <v>0</v>
      </c>
      <c r="AH1350" s="44"/>
      <c r="AI1350" s="66"/>
      <c r="AJ1350" s="66"/>
      <c r="AK1350" s="66"/>
      <c r="AL1350" s="66"/>
      <c r="AM1350" s="66"/>
      <c r="AN1350" s="83"/>
      <c r="AO1350" s="66"/>
      <c r="AP1350" s="66"/>
      <c r="AQ1350" s="66"/>
      <c r="AR1350" s="81"/>
      <c r="AS1350" s="81"/>
      <c r="AT1350" s="81"/>
      <c r="AU1350" s="81"/>
      <c r="AV1350" s="83">
        <f>SUM(Prog_236[[#This Row],[ADIANTAMENTO]]+Prog_236[[#This Row],[SALDO]]+Prog_236[[#This Row],[MARGEM]]+Prog_236[[#This Row],[ESTADIA 1]])</f>
        <v>0</v>
      </c>
      <c r="AW13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0" s="81"/>
      <c r="AY1350" s="81"/>
      <c r="AZ1350" s="81">
        <f>Prog_236[[#This Row],[VLR NF]]*0.1%</f>
        <v>0</v>
      </c>
      <c r="BA1350" s="81">
        <f>Prog_236[[#This Row],[VLR NF]]*0.05%</f>
        <v>0</v>
      </c>
      <c r="BB1350" s="81"/>
      <c r="BC1350" s="81"/>
      <c r="BD1350" s="81"/>
      <c r="BE1350" s="81"/>
      <c r="BF1350" s="81"/>
      <c r="BG1350" s="81"/>
      <c r="BH1350" s="81"/>
      <c r="BI1350" s="81"/>
      <c r="BJ1350" s="81"/>
      <c r="BK1350" s="81"/>
      <c r="BL1350" s="66"/>
      <c r="BM1350" s="66"/>
      <c r="BN1350" s="66"/>
      <c r="BO1350" s="66" t="str">
        <f>PROPER(TEXT(Prog_236[[#This Row],[PROGRAMAÇÃO CLIENTE]],"mmm"))</f>
        <v>Jan</v>
      </c>
      <c r="BP1350" s="66">
        <f>YEAR(Prog_236[[#This Row],[PROGRAMAÇÃO CLIENTE]])</f>
        <v>1900</v>
      </c>
    </row>
    <row r="1351" spans="1:68" x14ac:dyDescent="0.25">
      <c r="A1351" s="200">
        <f>Prog_236[[#This Row],[CONTEINER]]</f>
        <v>0</v>
      </c>
      <c r="B1351" s="86"/>
      <c r="C13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1" s="44"/>
      <c r="E1351" s="66"/>
      <c r="F1351" s="66"/>
      <c r="G1351" s="66"/>
      <c r="H1351" s="44"/>
      <c r="I1351" s="44"/>
      <c r="J1351" s="66"/>
      <c r="K1351" s="66"/>
      <c r="L1351" s="66"/>
      <c r="M1351" s="66"/>
      <c r="N1351" s="66">
        <f>SUM(Prog_236[[#This Row],[TARA]]+Prog_236[[#This Row],[PESO]])</f>
        <v>0</v>
      </c>
      <c r="O1351" s="44"/>
      <c r="P1351" s="66"/>
      <c r="Q1351" s="66"/>
      <c r="R1351" s="66"/>
      <c r="S1351" s="66"/>
      <c r="T1351" s="138" t="str">
        <f>IFERROR(LOOKUP($S1351,MOTORISTAS!$D$3:$D$1048576,MOTORISTAS!E$3:$E$1048576),"")</f>
        <v/>
      </c>
      <c r="U1351" s="138" t="str">
        <f>IFERROR(LOOKUP($S1351,MOTORISTAS!$D$3:$D$1048576,MOTORISTAS!F$3:$F$1048576),"")</f>
        <v/>
      </c>
      <c r="V1351" s="66"/>
      <c r="W1351" s="66"/>
      <c r="X1351" s="66"/>
      <c r="Y1351" s="66"/>
      <c r="Z1351" s="66"/>
      <c r="AA1351" s="66"/>
      <c r="AB1351" s="66"/>
      <c r="AC1351" s="66"/>
      <c r="AD1351" s="66"/>
      <c r="AE1351" s="66"/>
      <c r="AF1351" s="44"/>
      <c r="AG1351" s="254">
        <f>Prog_236[[#This Row],[SAÍDA DO CLIENTE]]-Prog_236[[#This Row],[PROGRAMAÇÃO CLIENTE]]</f>
        <v>0</v>
      </c>
      <c r="AH1351" s="44"/>
      <c r="AI1351" s="66"/>
      <c r="AJ1351" s="66"/>
      <c r="AK1351" s="66"/>
      <c r="AL1351" s="66"/>
      <c r="AM1351" s="66"/>
      <c r="AN1351" s="83"/>
      <c r="AO1351" s="66"/>
      <c r="AP1351" s="66"/>
      <c r="AQ1351" s="66"/>
      <c r="AR1351" s="81"/>
      <c r="AS1351" s="81"/>
      <c r="AT1351" s="81"/>
      <c r="AU1351" s="81"/>
      <c r="AV1351" s="83">
        <f>SUM(Prog_236[[#This Row],[ADIANTAMENTO]]+Prog_236[[#This Row],[SALDO]]+Prog_236[[#This Row],[MARGEM]]+Prog_236[[#This Row],[ESTADIA 1]])</f>
        <v>0</v>
      </c>
      <c r="AW13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1" s="81"/>
      <c r="AY1351" s="81"/>
      <c r="AZ1351" s="81">
        <f>Prog_236[[#This Row],[VLR NF]]*0.1%</f>
        <v>0</v>
      </c>
      <c r="BA1351" s="81">
        <f>Prog_236[[#This Row],[VLR NF]]*0.05%</f>
        <v>0</v>
      </c>
      <c r="BB1351" s="81"/>
      <c r="BC1351" s="81"/>
      <c r="BD1351" s="81"/>
      <c r="BE1351" s="81"/>
      <c r="BF1351" s="81"/>
      <c r="BG1351" s="81"/>
      <c r="BH1351" s="81"/>
      <c r="BI1351" s="81"/>
      <c r="BJ1351" s="81"/>
      <c r="BK1351" s="81"/>
      <c r="BL1351" s="66"/>
      <c r="BM1351" s="66"/>
      <c r="BN1351" s="66"/>
      <c r="BO1351" s="66" t="str">
        <f>PROPER(TEXT(Prog_236[[#This Row],[PROGRAMAÇÃO CLIENTE]],"mmm"))</f>
        <v>Jan</v>
      </c>
      <c r="BP1351" s="66">
        <f>YEAR(Prog_236[[#This Row],[PROGRAMAÇÃO CLIENTE]])</f>
        <v>1900</v>
      </c>
    </row>
    <row r="1352" spans="1:68" x14ac:dyDescent="0.25">
      <c r="A1352" s="201">
        <f>Prog_236[[#This Row],[CONTEINER]]</f>
        <v>0</v>
      </c>
      <c r="B1352" s="86"/>
      <c r="C13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2" s="44"/>
      <c r="E1352" s="66"/>
      <c r="F1352" s="66"/>
      <c r="G1352" s="66"/>
      <c r="H1352" s="44"/>
      <c r="I1352" s="44"/>
      <c r="J1352" s="66"/>
      <c r="K1352" s="66"/>
      <c r="L1352" s="66"/>
      <c r="M1352" s="66"/>
      <c r="N1352" s="66">
        <f>SUM(Prog_236[[#This Row],[TARA]]+Prog_236[[#This Row],[PESO]])</f>
        <v>0</v>
      </c>
      <c r="O1352" s="44"/>
      <c r="P1352" s="66"/>
      <c r="Q1352" s="66"/>
      <c r="R1352" s="66"/>
      <c r="S1352" s="66"/>
      <c r="T1352" s="138" t="str">
        <f>IFERROR(LOOKUP($S1352,MOTORISTAS!$D$3:$D$1048576,MOTORISTAS!E$3:$E$1048576),"")</f>
        <v/>
      </c>
      <c r="U1352" s="138" t="str">
        <f>IFERROR(LOOKUP($S1352,MOTORISTAS!$D$3:$D$1048576,MOTORISTAS!F$3:$F$1048576),"")</f>
        <v/>
      </c>
      <c r="V1352" s="66"/>
      <c r="W1352" s="66"/>
      <c r="X1352" s="66"/>
      <c r="Y1352" s="66"/>
      <c r="Z1352" s="66"/>
      <c r="AA1352" s="66"/>
      <c r="AB1352" s="66"/>
      <c r="AC1352" s="66"/>
      <c r="AD1352" s="66"/>
      <c r="AE1352" s="66"/>
      <c r="AF1352" s="44"/>
      <c r="AG1352" s="254">
        <f>Prog_236[[#This Row],[SAÍDA DO CLIENTE]]-Prog_236[[#This Row],[PROGRAMAÇÃO CLIENTE]]</f>
        <v>0</v>
      </c>
      <c r="AH1352" s="44"/>
      <c r="AI1352" s="66"/>
      <c r="AJ1352" s="66"/>
      <c r="AK1352" s="66"/>
      <c r="AL1352" s="66"/>
      <c r="AM1352" s="66"/>
      <c r="AN1352" s="83"/>
      <c r="AO1352" s="66"/>
      <c r="AP1352" s="66"/>
      <c r="AQ1352" s="66"/>
      <c r="AR1352" s="81"/>
      <c r="AS1352" s="81"/>
      <c r="AT1352" s="81"/>
      <c r="AU1352" s="81"/>
      <c r="AV1352" s="83">
        <f>SUM(Prog_236[[#This Row],[ADIANTAMENTO]]+Prog_236[[#This Row],[SALDO]]+Prog_236[[#This Row],[MARGEM]]+Prog_236[[#This Row],[ESTADIA 1]])</f>
        <v>0</v>
      </c>
      <c r="AW13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2" s="81"/>
      <c r="AY1352" s="81"/>
      <c r="AZ1352" s="81">
        <f>Prog_236[[#This Row],[VLR NF]]*0.1%</f>
        <v>0</v>
      </c>
      <c r="BA1352" s="81">
        <f>Prog_236[[#This Row],[VLR NF]]*0.05%</f>
        <v>0</v>
      </c>
      <c r="BB1352" s="81"/>
      <c r="BC1352" s="81"/>
      <c r="BD1352" s="81"/>
      <c r="BE1352" s="81"/>
      <c r="BF1352" s="81"/>
      <c r="BG1352" s="81"/>
      <c r="BH1352" s="81"/>
      <c r="BI1352" s="81"/>
      <c r="BJ1352" s="81"/>
      <c r="BK1352" s="81"/>
      <c r="BL1352" s="66"/>
      <c r="BM1352" s="66"/>
      <c r="BN1352" s="66"/>
      <c r="BO1352" s="66" t="str">
        <f>PROPER(TEXT(Prog_236[[#This Row],[PROGRAMAÇÃO CLIENTE]],"mmm"))</f>
        <v>Jan</v>
      </c>
      <c r="BP1352" s="66">
        <f>YEAR(Prog_236[[#This Row],[PROGRAMAÇÃO CLIENTE]])</f>
        <v>1900</v>
      </c>
    </row>
    <row r="1353" spans="1:68" x14ac:dyDescent="0.25">
      <c r="A1353" s="200">
        <f>Prog_236[[#This Row],[CONTEINER]]</f>
        <v>0</v>
      </c>
      <c r="B1353" s="86"/>
      <c r="C13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3" s="44"/>
      <c r="E1353" s="66"/>
      <c r="F1353" s="66"/>
      <c r="G1353" s="66"/>
      <c r="H1353" s="44"/>
      <c r="I1353" s="44"/>
      <c r="J1353" s="66"/>
      <c r="K1353" s="66"/>
      <c r="L1353" s="66"/>
      <c r="M1353" s="66"/>
      <c r="N1353" s="66">
        <f>SUM(Prog_236[[#This Row],[TARA]]+Prog_236[[#This Row],[PESO]])</f>
        <v>0</v>
      </c>
      <c r="O1353" s="44"/>
      <c r="P1353" s="66"/>
      <c r="Q1353" s="66"/>
      <c r="R1353" s="66"/>
      <c r="S1353" s="66"/>
      <c r="T1353" s="138" t="str">
        <f>IFERROR(LOOKUP($S1353,MOTORISTAS!$D$3:$D$1048576,MOTORISTAS!E$3:$E$1048576),"")</f>
        <v/>
      </c>
      <c r="U1353" s="138" t="str">
        <f>IFERROR(LOOKUP($S1353,MOTORISTAS!$D$3:$D$1048576,MOTORISTAS!F$3:$F$1048576),"")</f>
        <v/>
      </c>
      <c r="V1353" s="66"/>
      <c r="W1353" s="66"/>
      <c r="X1353" s="66"/>
      <c r="Y1353" s="66"/>
      <c r="Z1353" s="66"/>
      <c r="AA1353" s="66"/>
      <c r="AB1353" s="66"/>
      <c r="AC1353" s="66"/>
      <c r="AD1353" s="66"/>
      <c r="AE1353" s="66"/>
      <c r="AF1353" s="44"/>
      <c r="AG1353" s="254">
        <f>Prog_236[[#This Row],[SAÍDA DO CLIENTE]]-Prog_236[[#This Row],[PROGRAMAÇÃO CLIENTE]]</f>
        <v>0</v>
      </c>
      <c r="AH1353" s="44"/>
      <c r="AI1353" s="66"/>
      <c r="AJ1353" s="66"/>
      <c r="AK1353" s="66"/>
      <c r="AL1353" s="66"/>
      <c r="AM1353" s="66"/>
      <c r="AN1353" s="83"/>
      <c r="AO1353" s="66"/>
      <c r="AP1353" s="66"/>
      <c r="AQ1353" s="66"/>
      <c r="AR1353" s="81"/>
      <c r="AS1353" s="81"/>
      <c r="AT1353" s="81"/>
      <c r="AU1353" s="81"/>
      <c r="AV1353" s="83">
        <f>SUM(Prog_236[[#This Row],[ADIANTAMENTO]]+Prog_236[[#This Row],[SALDO]]+Prog_236[[#This Row],[MARGEM]]+Prog_236[[#This Row],[ESTADIA 1]])</f>
        <v>0</v>
      </c>
      <c r="AW13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3" s="81"/>
      <c r="AY1353" s="81"/>
      <c r="AZ1353" s="81">
        <f>Prog_236[[#This Row],[VLR NF]]*0.1%</f>
        <v>0</v>
      </c>
      <c r="BA1353" s="81">
        <f>Prog_236[[#This Row],[VLR NF]]*0.05%</f>
        <v>0</v>
      </c>
      <c r="BB1353" s="81"/>
      <c r="BC1353" s="81"/>
      <c r="BD1353" s="81"/>
      <c r="BE1353" s="81"/>
      <c r="BF1353" s="81"/>
      <c r="BG1353" s="81"/>
      <c r="BH1353" s="81"/>
      <c r="BI1353" s="81"/>
      <c r="BJ1353" s="81"/>
      <c r="BK1353" s="81"/>
      <c r="BL1353" s="66"/>
      <c r="BM1353" s="66"/>
      <c r="BN1353" s="66"/>
      <c r="BO1353" s="66" t="str">
        <f>PROPER(TEXT(Prog_236[[#This Row],[PROGRAMAÇÃO CLIENTE]],"mmm"))</f>
        <v>Jan</v>
      </c>
      <c r="BP1353" s="66">
        <f>YEAR(Prog_236[[#This Row],[PROGRAMAÇÃO CLIENTE]])</f>
        <v>1900</v>
      </c>
    </row>
    <row r="1354" spans="1:68" x14ac:dyDescent="0.25">
      <c r="A1354" s="201">
        <f>Prog_236[[#This Row],[CONTEINER]]</f>
        <v>0</v>
      </c>
      <c r="B1354" s="86"/>
      <c r="C13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4" s="44"/>
      <c r="E1354" s="66"/>
      <c r="F1354" s="66"/>
      <c r="G1354" s="66"/>
      <c r="H1354" s="44"/>
      <c r="I1354" s="44"/>
      <c r="J1354" s="66"/>
      <c r="K1354" s="66"/>
      <c r="L1354" s="66"/>
      <c r="M1354" s="66"/>
      <c r="N1354" s="66">
        <f>SUM(Prog_236[[#This Row],[TARA]]+Prog_236[[#This Row],[PESO]])</f>
        <v>0</v>
      </c>
      <c r="O1354" s="44"/>
      <c r="P1354" s="66"/>
      <c r="Q1354" s="66"/>
      <c r="R1354" s="66"/>
      <c r="S1354" s="66"/>
      <c r="T1354" s="138" t="str">
        <f>IFERROR(LOOKUP($S1354,MOTORISTAS!$D$3:$D$1048576,MOTORISTAS!E$3:$E$1048576),"")</f>
        <v/>
      </c>
      <c r="U1354" s="138" t="str">
        <f>IFERROR(LOOKUP($S1354,MOTORISTAS!$D$3:$D$1048576,MOTORISTAS!F$3:$F$1048576),"")</f>
        <v/>
      </c>
      <c r="V1354" s="66"/>
      <c r="W1354" s="66"/>
      <c r="X1354" s="66"/>
      <c r="Y1354" s="66"/>
      <c r="Z1354" s="66"/>
      <c r="AA1354" s="66"/>
      <c r="AB1354" s="66"/>
      <c r="AC1354" s="66"/>
      <c r="AD1354" s="66"/>
      <c r="AE1354" s="66"/>
      <c r="AF1354" s="44"/>
      <c r="AG1354" s="254">
        <f>Prog_236[[#This Row],[SAÍDA DO CLIENTE]]-Prog_236[[#This Row],[PROGRAMAÇÃO CLIENTE]]</f>
        <v>0</v>
      </c>
      <c r="AH1354" s="44"/>
      <c r="AI1354" s="66"/>
      <c r="AJ1354" s="66"/>
      <c r="AK1354" s="66"/>
      <c r="AL1354" s="66"/>
      <c r="AM1354" s="66"/>
      <c r="AN1354" s="83"/>
      <c r="AO1354" s="66"/>
      <c r="AP1354" s="66"/>
      <c r="AQ1354" s="66"/>
      <c r="AR1354" s="81"/>
      <c r="AS1354" s="81"/>
      <c r="AT1354" s="81"/>
      <c r="AU1354" s="81"/>
      <c r="AV1354" s="83">
        <f>SUM(Prog_236[[#This Row],[ADIANTAMENTO]]+Prog_236[[#This Row],[SALDO]]+Prog_236[[#This Row],[MARGEM]]+Prog_236[[#This Row],[ESTADIA 1]])</f>
        <v>0</v>
      </c>
      <c r="AW13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4" s="81"/>
      <c r="AY1354" s="81"/>
      <c r="AZ1354" s="81">
        <f>Prog_236[[#This Row],[VLR NF]]*0.1%</f>
        <v>0</v>
      </c>
      <c r="BA1354" s="81">
        <f>Prog_236[[#This Row],[VLR NF]]*0.05%</f>
        <v>0</v>
      </c>
      <c r="BB1354" s="81"/>
      <c r="BC1354" s="81"/>
      <c r="BD1354" s="81"/>
      <c r="BE1354" s="81"/>
      <c r="BF1354" s="81"/>
      <c r="BG1354" s="81"/>
      <c r="BH1354" s="81"/>
      <c r="BI1354" s="81"/>
      <c r="BJ1354" s="81"/>
      <c r="BK1354" s="81"/>
      <c r="BL1354" s="66"/>
      <c r="BM1354" s="66"/>
      <c r="BN1354" s="66"/>
      <c r="BO1354" s="66" t="str">
        <f>PROPER(TEXT(Prog_236[[#This Row],[PROGRAMAÇÃO CLIENTE]],"mmm"))</f>
        <v>Jan</v>
      </c>
      <c r="BP1354" s="66">
        <f>YEAR(Prog_236[[#This Row],[PROGRAMAÇÃO CLIENTE]])</f>
        <v>1900</v>
      </c>
    </row>
    <row r="1355" spans="1:68" x14ac:dyDescent="0.25">
      <c r="A1355" s="200">
        <f>Prog_236[[#This Row],[CONTEINER]]</f>
        <v>0</v>
      </c>
      <c r="B1355" s="86"/>
      <c r="C13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5" s="44"/>
      <c r="E1355" s="66"/>
      <c r="F1355" s="66"/>
      <c r="G1355" s="66"/>
      <c r="H1355" s="44"/>
      <c r="I1355" s="44"/>
      <c r="J1355" s="66"/>
      <c r="K1355" s="66"/>
      <c r="L1355" s="66"/>
      <c r="M1355" s="66"/>
      <c r="N1355" s="66">
        <f>SUM(Prog_236[[#This Row],[TARA]]+Prog_236[[#This Row],[PESO]])</f>
        <v>0</v>
      </c>
      <c r="O1355" s="44"/>
      <c r="P1355" s="66"/>
      <c r="Q1355" s="66"/>
      <c r="R1355" s="66"/>
      <c r="S1355" s="66"/>
      <c r="T1355" s="138" t="str">
        <f>IFERROR(LOOKUP($S1355,MOTORISTAS!$D$3:$D$1048576,MOTORISTAS!E$3:$E$1048576),"")</f>
        <v/>
      </c>
      <c r="U1355" s="138" t="str">
        <f>IFERROR(LOOKUP($S1355,MOTORISTAS!$D$3:$D$1048576,MOTORISTAS!F$3:$F$1048576),"")</f>
        <v/>
      </c>
      <c r="V1355" s="66"/>
      <c r="W1355" s="66"/>
      <c r="X1355" s="66"/>
      <c r="Y1355" s="66"/>
      <c r="Z1355" s="66"/>
      <c r="AA1355" s="66"/>
      <c r="AB1355" s="66"/>
      <c r="AC1355" s="66"/>
      <c r="AD1355" s="66"/>
      <c r="AE1355" s="66"/>
      <c r="AF1355" s="44"/>
      <c r="AG1355" s="254">
        <f>Prog_236[[#This Row],[SAÍDA DO CLIENTE]]-Prog_236[[#This Row],[PROGRAMAÇÃO CLIENTE]]</f>
        <v>0</v>
      </c>
      <c r="AH1355" s="44"/>
      <c r="AI1355" s="66"/>
      <c r="AJ1355" s="66"/>
      <c r="AK1355" s="66"/>
      <c r="AL1355" s="66"/>
      <c r="AM1355" s="66"/>
      <c r="AN1355" s="83"/>
      <c r="AO1355" s="66"/>
      <c r="AP1355" s="66"/>
      <c r="AQ1355" s="66"/>
      <c r="AR1355" s="81"/>
      <c r="AS1355" s="81"/>
      <c r="AT1355" s="81"/>
      <c r="AU1355" s="81"/>
      <c r="AV1355" s="83">
        <f>SUM(Prog_236[[#This Row],[ADIANTAMENTO]]+Prog_236[[#This Row],[SALDO]]+Prog_236[[#This Row],[MARGEM]]+Prog_236[[#This Row],[ESTADIA 1]])</f>
        <v>0</v>
      </c>
      <c r="AW13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5" s="81"/>
      <c r="AY1355" s="81"/>
      <c r="AZ1355" s="81">
        <f>Prog_236[[#This Row],[VLR NF]]*0.1%</f>
        <v>0</v>
      </c>
      <c r="BA1355" s="81">
        <f>Prog_236[[#This Row],[VLR NF]]*0.05%</f>
        <v>0</v>
      </c>
      <c r="BB1355" s="81"/>
      <c r="BC1355" s="81"/>
      <c r="BD1355" s="81"/>
      <c r="BE1355" s="81"/>
      <c r="BF1355" s="81"/>
      <c r="BG1355" s="81"/>
      <c r="BH1355" s="81"/>
      <c r="BI1355" s="81"/>
      <c r="BJ1355" s="81"/>
      <c r="BK1355" s="81"/>
      <c r="BL1355" s="66"/>
      <c r="BM1355" s="66"/>
      <c r="BN1355" s="66"/>
      <c r="BO1355" s="66" t="str">
        <f>PROPER(TEXT(Prog_236[[#This Row],[PROGRAMAÇÃO CLIENTE]],"mmm"))</f>
        <v>Jan</v>
      </c>
      <c r="BP1355" s="66">
        <f>YEAR(Prog_236[[#This Row],[PROGRAMAÇÃO CLIENTE]])</f>
        <v>1900</v>
      </c>
    </row>
    <row r="1356" spans="1:68" x14ac:dyDescent="0.25">
      <c r="A1356" s="201">
        <f>Prog_236[[#This Row],[CONTEINER]]</f>
        <v>0</v>
      </c>
      <c r="B1356" s="86"/>
      <c r="C13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6" s="44"/>
      <c r="E1356" s="66"/>
      <c r="F1356" s="66"/>
      <c r="G1356" s="66"/>
      <c r="H1356" s="44"/>
      <c r="I1356" s="44"/>
      <c r="J1356" s="66"/>
      <c r="K1356" s="66"/>
      <c r="L1356" s="66"/>
      <c r="M1356" s="66"/>
      <c r="N1356" s="66">
        <f>SUM(Prog_236[[#This Row],[TARA]]+Prog_236[[#This Row],[PESO]])</f>
        <v>0</v>
      </c>
      <c r="O1356" s="44"/>
      <c r="P1356" s="66"/>
      <c r="Q1356" s="66"/>
      <c r="R1356" s="66"/>
      <c r="S1356" s="66"/>
      <c r="T1356" s="138" t="str">
        <f>IFERROR(LOOKUP($S1356,MOTORISTAS!$D$3:$D$1048576,MOTORISTAS!E$3:$E$1048576),"")</f>
        <v/>
      </c>
      <c r="U1356" s="138" t="str">
        <f>IFERROR(LOOKUP($S1356,MOTORISTAS!$D$3:$D$1048576,MOTORISTAS!F$3:$F$1048576),"")</f>
        <v/>
      </c>
      <c r="V1356" s="66"/>
      <c r="W1356" s="66"/>
      <c r="X1356" s="66"/>
      <c r="Y1356" s="66"/>
      <c r="Z1356" s="66"/>
      <c r="AA1356" s="66"/>
      <c r="AB1356" s="66"/>
      <c r="AC1356" s="66"/>
      <c r="AD1356" s="66"/>
      <c r="AE1356" s="66"/>
      <c r="AF1356" s="44"/>
      <c r="AG1356" s="254">
        <f>Prog_236[[#This Row],[SAÍDA DO CLIENTE]]-Prog_236[[#This Row],[PROGRAMAÇÃO CLIENTE]]</f>
        <v>0</v>
      </c>
      <c r="AH1356" s="44"/>
      <c r="AI1356" s="66"/>
      <c r="AJ1356" s="66"/>
      <c r="AK1356" s="66"/>
      <c r="AL1356" s="66"/>
      <c r="AM1356" s="66"/>
      <c r="AN1356" s="83"/>
      <c r="AO1356" s="66"/>
      <c r="AP1356" s="66"/>
      <c r="AQ1356" s="66"/>
      <c r="AR1356" s="81"/>
      <c r="AS1356" s="81"/>
      <c r="AT1356" s="81"/>
      <c r="AU1356" s="81"/>
      <c r="AV1356" s="83">
        <f>SUM(Prog_236[[#This Row],[ADIANTAMENTO]]+Prog_236[[#This Row],[SALDO]]+Prog_236[[#This Row],[MARGEM]]+Prog_236[[#This Row],[ESTADIA 1]])</f>
        <v>0</v>
      </c>
      <c r="AW13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6" s="81"/>
      <c r="AY1356" s="81"/>
      <c r="AZ1356" s="81">
        <f>Prog_236[[#This Row],[VLR NF]]*0.1%</f>
        <v>0</v>
      </c>
      <c r="BA1356" s="81">
        <f>Prog_236[[#This Row],[VLR NF]]*0.05%</f>
        <v>0</v>
      </c>
      <c r="BB1356" s="81"/>
      <c r="BC1356" s="81"/>
      <c r="BD1356" s="81"/>
      <c r="BE1356" s="81"/>
      <c r="BF1356" s="81"/>
      <c r="BG1356" s="81"/>
      <c r="BH1356" s="81"/>
      <c r="BI1356" s="81"/>
      <c r="BJ1356" s="81"/>
      <c r="BK1356" s="81"/>
      <c r="BL1356" s="66"/>
      <c r="BM1356" s="66"/>
      <c r="BN1356" s="66"/>
      <c r="BO1356" s="66" t="str">
        <f>PROPER(TEXT(Prog_236[[#This Row],[PROGRAMAÇÃO CLIENTE]],"mmm"))</f>
        <v>Jan</v>
      </c>
      <c r="BP1356" s="66">
        <f>YEAR(Prog_236[[#This Row],[PROGRAMAÇÃO CLIENTE]])</f>
        <v>1900</v>
      </c>
    </row>
    <row r="1357" spans="1:68" x14ac:dyDescent="0.25">
      <c r="A1357" s="200">
        <f>Prog_236[[#This Row],[CONTEINER]]</f>
        <v>0</v>
      </c>
      <c r="B1357" s="86"/>
      <c r="C13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7" s="44"/>
      <c r="E1357" s="66"/>
      <c r="F1357" s="66"/>
      <c r="G1357" s="66"/>
      <c r="H1357" s="44"/>
      <c r="I1357" s="44"/>
      <c r="J1357" s="66"/>
      <c r="K1357" s="66"/>
      <c r="L1357" s="66"/>
      <c r="M1357" s="66"/>
      <c r="N1357" s="66">
        <f>SUM(Prog_236[[#This Row],[TARA]]+Prog_236[[#This Row],[PESO]])</f>
        <v>0</v>
      </c>
      <c r="O1357" s="44"/>
      <c r="P1357" s="66"/>
      <c r="Q1357" s="66"/>
      <c r="R1357" s="66"/>
      <c r="S1357" s="66"/>
      <c r="T1357" s="138" t="str">
        <f>IFERROR(LOOKUP($S1357,MOTORISTAS!$D$3:$D$1048576,MOTORISTAS!E$3:$E$1048576),"")</f>
        <v/>
      </c>
      <c r="U1357" s="138" t="str">
        <f>IFERROR(LOOKUP($S1357,MOTORISTAS!$D$3:$D$1048576,MOTORISTAS!F$3:$F$1048576),"")</f>
        <v/>
      </c>
      <c r="V1357" s="66"/>
      <c r="W1357" s="66"/>
      <c r="X1357" s="66"/>
      <c r="Y1357" s="66"/>
      <c r="Z1357" s="66"/>
      <c r="AA1357" s="66"/>
      <c r="AB1357" s="66"/>
      <c r="AC1357" s="66"/>
      <c r="AD1357" s="66"/>
      <c r="AE1357" s="66"/>
      <c r="AF1357" s="44"/>
      <c r="AG1357" s="254">
        <f>Prog_236[[#This Row],[SAÍDA DO CLIENTE]]-Prog_236[[#This Row],[PROGRAMAÇÃO CLIENTE]]</f>
        <v>0</v>
      </c>
      <c r="AH1357" s="44"/>
      <c r="AI1357" s="66"/>
      <c r="AJ1357" s="66"/>
      <c r="AK1357" s="66"/>
      <c r="AL1357" s="66"/>
      <c r="AM1357" s="66"/>
      <c r="AN1357" s="83"/>
      <c r="AO1357" s="66"/>
      <c r="AP1357" s="66"/>
      <c r="AQ1357" s="66"/>
      <c r="AR1357" s="81"/>
      <c r="AS1357" s="81"/>
      <c r="AT1357" s="81"/>
      <c r="AU1357" s="81"/>
      <c r="AV1357" s="83">
        <f>SUM(Prog_236[[#This Row],[ADIANTAMENTO]]+Prog_236[[#This Row],[SALDO]]+Prog_236[[#This Row],[MARGEM]]+Prog_236[[#This Row],[ESTADIA 1]])</f>
        <v>0</v>
      </c>
      <c r="AW13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7" s="81"/>
      <c r="AY1357" s="81"/>
      <c r="AZ1357" s="81">
        <f>Prog_236[[#This Row],[VLR NF]]*0.1%</f>
        <v>0</v>
      </c>
      <c r="BA1357" s="81">
        <f>Prog_236[[#This Row],[VLR NF]]*0.05%</f>
        <v>0</v>
      </c>
      <c r="BB1357" s="81"/>
      <c r="BC1357" s="81"/>
      <c r="BD1357" s="81"/>
      <c r="BE1357" s="81"/>
      <c r="BF1357" s="81"/>
      <c r="BG1357" s="81"/>
      <c r="BH1357" s="81"/>
      <c r="BI1357" s="81"/>
      <c r="BJ1357" s="81"/>
      <c r="BK1357" s="81"/>
      <c r="BL1357" s="66"/>
      <c r="BM1357" s="66"/>
      <c r="BN1357" s="66"/>
      <c r="BO1357" s="66" t="str">
        <f>PROPER(TEXT(Prog_236[[#This Row],[PROGRAMAÇÃO CLIENTE]],"mmm"))</f>
        <v>Jan</v>
      </c>
      <c r="BP1357" s="66">
        <f>YEAR(Prog_236[[#This Row],[PROGRAMAÇÃO CLIENTE]])</f>
        <v>1900</v>
      </c>
    </row>
    <row r="1358" spans="1:68" x14ac:dyDescent="0.25">
      <c r="A1358" s="201">
        <f>Prog_236[[#This Row],[CONTEINER]]</f>
        <v>0</v>
      </c>
      <c r="B1358" s="86"/>
      <c r="C13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8" s="44"/>
      <c r="E1358" s="66"/>
      <c r="F1358" s="66"/>
      <c r="G1358" s="66"/>
      <c r="H1358" s="44"/>
      <c r="I1358" s="44"/>
      <c r="J1358" s="66"/>
      <c r="K1358" s="66"/>
      <c r="L1358" s="66"/>
      <c r="M1358" s="66"/>
      <c r="N1358" s="66">
        <f>SUM(Prog_236[[#This Row],[TARA]]+Prog_236[[#This Row],[PESO]])</f>
        <v>0</v>
      </c>
      <c r="O1358" s="44"/>
      <c r="P1358" s="66"/>
      <c r="Q1358" s="66"/>
      <c r="R1358" s="66"/>
      <c r="S1358" s="66"/>
      <c r="T1358" s="138" t="str">
        <f>IFERROR(LOOKUP($S1358,MOTORISTAS!$D$3:$D$1048576,MOTORISTAS!E$3:$E$1048576),"")</f>
        <v/>
      </c>
      <c r="U1358" s="138" t="str">
        <f>IFERROR(LOOKUP($S1358,MOTORISTAS!$D$3:$D$1048576,MOTORISTAS!F$3:$F$1048576),"")</f>
        <v/>
      </c>
      <c r="V1358" s="66"/>
      <c r="W1358" s="66"/>
      <c r="X1358" s="66"/>
      <c r="Y1358" s="66"/>
      <c r="Z1358" s="66"/>
      <c r="AA1358" s="66"/>
      <c r="AB1358" s="66"/>
      <c r="AC1358" s="66"/>
      <c r="AD1358" s="66"/>
      <c r="AE1358" s="66"/>
      <c r="AF1358" s="44"/>
      <c r="AG1358" s="254">
        <f>Prog_236[[#This Row],[SAÍDA DO CLIENTE]]-Prog_236[[#This Row],[PROGRAMAÇÃO CLIENTE]]</f>
        <v>0</v>
      </c>
      <c r="AH1358" s="44"/>
      <c r="AI1358" s="66"/>
      <c r="AJ1358" s="66"/>
      <c r="AK1358" s="66"/>
      <c r="AL1358" s="66"/>
      <c r="AM1358" s="66"/>
      <c r="AN1358" s="83"/>
      <c r="AO1358" s="66"/>
      <c r="AP1358" s="66"/>
      <c r="AQ1358" s="66"/>
      <c r="AR1358" s="81"/>
      <c r="AS1358" s="81"/>
      <c r="AT1358" s="81"/>
      <c r="AU1358" s="81"/>
      <c r="AV1358" s="83">
        <f>SUM(Prog_236[[#This Row],[ADIANTAMENTO]]+Prog_236[[#This Row],[SALDO]]+Prog_236[[#This Row],[MARGEM]]+Prog_236[[#This Row],[ESTADIA 1]])</f>
        <v>0</v>
      </c>
      <c r="AW13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8" s="81"/>
      <c r="AY1358" s="81"/>
      <c r="AZ1358" s="81">
        <f>Prog_236[[#This Row],[VLR NF]]*0.1%</f>
        <v>0</v>
      </c>
      <c r="BA1358" s="81">
        <f>Prog_236[[#This Row],[VLR NF]]*0.05%</f>
        <v>0</v>
      </c>
      <c r="BB1358" s="81"/>
      <c r="BC1358" s="81"/>
      <c r="BD1358" s="81"/>
      <c r="BE1358" s="81"/>
      <c r="BF1358" s="81"/>
      <c r="BG1358" s="81"/>
      <c r="BH1358" s="81"/>
      <c r="BI1358" s="81"/>
      <c r="BJ1358" s="81"/>
      <c r="BK1358" s="81"/>
      <c r="BL1358" s="66"/>
      <c r="BM1358" s="66"/>
      <c r="BN1358" s="66"/>
      <c r="BO1358" s="66" t="str">
        <f>PROPER(TEXT(Prog_236[[#This Row],[PROGRAMAÇÃO CLIENTE]],"mmm"))</f>
        <v>Jan</v>
      </c>
      <c r="BP1358" s="66">
        <f>YEAR(Prog_236[[#This Row],[PROGRAMAÇÃO CLIENTE]])</f>
        <v>1900</v>
      </c>
    </row>
    <row r="1359" spans="1:68" x14ac:dyDescent="0.25">
      <c r="A1359" s="200">
        <f>Prog_236[[#This Row],[CONTEINER]]</f>
        <v>0</v>
      </c>
      <c r="B1359" s="86"/>
      <c r="C13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59" s="44"/>
      <c r="E1359" s="66"/>
      <c r="F1359" s="66"/>
      <c r="G1359" s="66"/>
      <c r="H1359" s="44"/>
      <c r="I1359" s="44"/>
      <c r="J1359" s="66"/>
      <c r="K1359" s="66"/>
      <c r="L1359" s="66"/>
      <c r="M1359" s="66"/>
      <c r="N1359" s="66">
        <f>SUM(Prog_236[[#This Row],[TARA]]+Prog_236[[#This Row],[PESO]])</f>
        <v>0</v>
      </c>
      <c r="O1359" s="44"/>
      <c r="P1359" s="66"/>
      <c r="Q1359" s="66"/>
      <c r="R1359" s="66"/>
      <c r="S1359" s="66"/>
      <c r="T1359" s="138" t="str">
        <f>IFERROR(LOOKUP($S1359,MOTORISTAS!$D$3:$D$1048576,MOTORISTAS!E$3:$E$1048576),"")</f>
        <v/>
      </c>
      <c r="U1359" s="138" t="str">
        <f>IFERROR(LOOKUP($S1359,MOTORISTAS!$D$3:$D$1048576,MOTORISTAS!F$3:$F$1048576),"")</f>
        <v/>
      </c>
      <c r="V1359" s="66"/>
      <c r="W1359" s="66"/>
      <c r="X1359" s="66"/>
      <c r="Y1359" s="66"/>
      <c r="Z1359" s="66"/>
      <c r="AA1359" s="66"/>
      <c r="AB1359" s="66"/>
      <c r="AC1359" s="66"/>
      <c r="AD1359" s="66"/>
      <c r="AE1359" s="66"/>
      <c r="AF1359" s="44"/>
      <c r="AG1359" s="254">
        <f>Prog_236[[#This Row],[SAÍDA DO CLIENTE]]-Prog_236[[#This Row],[PROGRAMAÇÃO CLIENTE]]</f>
        <v>0</v>
      </c>
      <c r="AH1359" s="44"/>
      <c r="AI1359" s="66"/>
      <c r="AJ1359" s="66"/>
      <c r="AK1359" s="66"/>
      <c r="AL1359" s="66"/>
      <c r="AM1359" s="66"/>
      <c r="AN1359" s="83"/>
      <c r="AO1359" s="66"/>
      <c r="AP1359" s="66"/>
      <c r="AQ1359" s="66"/>
      <c r="AR1359" s="81"/>
      <c r="AS1359" s="81"/>
      <c r="AT1359" s="81"/>
      <c r="AU1359" s="81"/>
      <c r="AV1359" s="83">
        <f>SUM(Prog_236[[#This Row],[ADIANTAMENTO]]+Prog_236[[#This Row],[SALDO]]+Prog_236[[#This Row],[MARGEM]]+Prog_236[[#This Row],[ESTADIA 1]])</f>
        <v>0</v>
      </c>
      <c r="AW13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59" s="81"/>
      <c r="AY1359" s="81"/>
      <c r="AZ1359" s="81">
        <f>Prog_236[[#This Row],[VLR NF]]*0.1%</f>
        <v>0</v>
      </c>
      <c r="BA1359" s="81">
        <f>Prog_236[[#This Row],[VLR NF]]*0.05%</f>
        <v>0</v>
      </c>
      <c r="BB1359" s="81"/>
      <c r="BC1359" s="81"/>
      <c r="BD1359" s="81"/>
      <c r="BE1359" s="81"/>
      <c r="BF1359" s="81"/>
      <c r="BG1359" s="81"/>
      <c r="BH1359" s="81"/>
      <c r="BI1359" s="81"/>
      <c r="BJ1359" s="81"/>
      <c r="BK1359" s="81"/>
      <c r="BL1359" s="66"/>
      <c r="BM1359" s="66"/>
      <c r="BN1359" s="66"/>
      <c r="BO1359" s="66" t="str">
        <f>PROPER(TEXT(Prog_236[[#This Row],[PROGRAMAÇÃO CLIENTE]],"mmm"))</f>
        <v>Jan</v>
      </c>
      <c r="BP1359" s="66">
        <f>YEAR(Prog_236[[#This Row],[PROGRAMAÇÃO CLIENTE]])</f>
        <v>1900</v>
      </c>
    </row>
    <row r="1360" spans="1:68" x14ac:dyDescent="0.25">
      <c r="A1360" s="201">
        <f>Prog_236[[#This Row],[CONTEINER]]</f>
        <v>0</v>
      </c>
      <c r="B1360" s="86"/>
      <c r="C13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0" s="44"/>
      <c r="E1360" s="66"/>
      <c r="F1360" s="66"/>
      <c r="G1360" s="66"/>
      <c r="H1360" s="44"/>
      <c r="I1360" s="44"/>
      <c r="J1360" s="66"/>
      <c r="K1360" s="66"/>
      <c r="L1360" s="66"/>
      <c r="M1360" s="66"/>
      <c r="N1360" s="66">
        <f>SUM(Prog_236[[#This Row],[TARA]]+Prog_236[[#This Row],[PESO]])</f>
        <v>0</v>
      </c>
      <c r="O1360" s="44"/>
      <c r="P1360" s="66"/>
      <c r="Q1360" s="66"/>
      <c r="R1360" s="66"/>
      <c r="S1360" s="66"/>
      <c r="T1360" s="138" t="str">
        <f>IFERROR(LOOKUP($S1360,MOTORISTAS!$D$3:$D$1048576,MOTORISTAS!E$3:$E$1048576),"")</f>
        <v/>
      </c>
      <c r="U1360" s="138" t="str">
        <f>IFERROR(LOOKUP($S1360,MOTORISTAS!$D$3:$D$1048576,MOTORISTAS!F$3:$F$1048576),"")</f>
        <v/>
      </c>
      <c r="V1360" s="66"/>
      <c r="W1360" s="66"/>
      <c r="X1360" s="66"/>
      <c r="Y1360" s="66"/>
      <c r="Z1360" s="66"/>
      <c r="AA1360" s="66"/>
      <c r="AB1360" s="66"/>
      <c r="AC1360" s="66"/>
      <c r="AD1360" s="66"/>
      <c r="AE1360" s="66"/>
      <c r="AF1360" s="44"/>
      <c r="AG1360" s="254">
        <f>Prog_236[[#This Row],[SAÍDA DO CLIENTE]]-Prog_236[[#This Row],[PROGRAMAÇÃO CLIENTE]]</f>
        <v>0</v>
      </c>
      <c r="AH1360" s="44"/>
      <c r="AI1360" s="66"/>
      <c r="AJ1360" s="66"/>
      <c r="AK1360" s="66"/>
      <c r="AL1360" s="66"/>
      <c r="AM1360" s="66"/>
      <c r="AN1360" s="83"/>
      <c r="AO1360" s="66"/>
      <c r="AP1360" s="66"/>
      <c r="AQ1360" s="66"/>
      <c r="AR1360" s="81"/>
      <c r="AS1360" s="81"/>
      <c r="AT1360" s="81"/>
      <c r="AU1360" s="81"/>
      <c r="AV1360" s="83">
        <f>SUM(Prog_236[[#This Row],[ADIANTAMENTO]]+Prog_236[[#This Row],[SALDO]]+Prog_236[[#This Row],[MARGEM]]+Prog_236[[#This Row],[ESTADIA 1]])</f>
        <v>0</v>
      </c>
      <c r="AW13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0" s="81"/>
      <c r="AY1360" s="81"/>
      <c r="AZ1360" s="81">
        <f>Prog_236[[#This Row],[VLR NF]]*0.1%</f>
        <v>0</v>
      </c>
      <c r="BA1360" s="81">
        <f>Prog_236[[#This Row],[VLR NF]]*0.05%</f>
        <v>0</v>
      </c>
      <c r="BB1360" s="81"/>
      <c r="BC1360" s="81"/>
      <c r="BD1360" s="81"/>
      <c r="BE1360" s="81"/>
      <c r="BF1360" s="81"/>
      <c r="BG1360" s="81"/>
      <c r="BH1360" s="81"/>
      <c r="BI1360" s="81"/>
      <c r="BJ1360" s="81"/>
      <c r="BK1360" s="81"/>
      <c r="BL1360" s="66"/>
      <c r="BM1360" s="66"/>
      <c r="BN1360" s="66"/>
      <c r="BO1360" s="66" t="str">
        <f>PROPER(TEXT(Prog_236[[#This Row],[PROGRAMAÇÃO CLIENTE]],"mmm"))</f>
        <v>Jan</v>
      </c>
      <c r="BP1360" s="66">
        <f>YEAR(Prog_236[[#This Row],[PROGRAMAÇÃO CLIENTE]])</f>
        <v>1900</v>
      </c>
    </row>
    <row r="1361" spans="1:68" x14ac:dyDescent="0.25">
      <c r="A1361" s="200">
        <f>Prog_236[[#This Row],[CONTEINER]]</f>
        <v>0</v>
      </c>
      <c r="B1361" s="86"/>
      <c r="C13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1" s="44"/>
      <c r="E1361" s="66"/>
      <c r="F1361" s="66"/>
      <c r="G1361" s="66"/>
      <c r="H1361" s="44"/>
      <c r="I1361" s="44"/>
      <c r="J1361" s="66"/>
      <c r="K1361" s="66"/>
      <c r="L1361" s="66"/>
      <c r="M1361" s="66"/>
      <c r="N1361" s="66">
        <f>SUM(Prog_236[[#This Row],[TARA]]+Prog_236[[#This Row],[PESO]])</f>
        <v>0</v>
      </c>
      <c r="O1361" s="44"/>
      <c r="P1361" s="66"/>
      <c r="Q1361" s="66"/>
      <c r="R1361" s="66"/>
      <c r="S1361" s="66"/>
      <c r="T1361" s="138" t="str">
        <f>IFERROR(LOOKUP($S1361,MOTORISTAS!$D$3:$D$1048576,MOTORISTAS!E$3:$E$1048576),"")</f>
        <v/>
      </c>
      <c r="U1361" s="138" t="str">
        <f>IFERROR(LOOKUP($S1361,MOTORISTAS!$D$3:$D$1048576,MOTORISTAS!F$3:$F$1048576),"")</f>
        <v/>
      </c>
      <c r="V1361" s="66"/>
      <c r="W1361" s="66"/>
      <c r="X1361" s="66"/>
      <c r="Y1361" s="66"/>
      <c r="Z1361" s="66"/>
      <c r="AA1361" s="66"/>
      <c r="AB1361" s="66"/>
      <c r="AC1361" s="66"/>
      <c r="AD1361" s="66"/>
      <c r="AE1361" s="66"/>
      <c r="AF1361" s="44"/>
      <c r="AG1361" s="254">
        <f>Prog_236[[#This Row],[SAÍDA DO CLIENTE]]-Prog_236[[#This Row],[PROGRAMAÇÃO CLIENTE]]</f>
        <v>0</v>
      </c>
      <c r="AH1361" s="44"/>
      <c r="AI1361" s="66"/>
      <c r="AJ1361" s="66"/>
      <c r="AK1361" s="66"/>
      <c r="AL1361" s="66"/>
      <c r="AM1361" s="66"/>
      <c r="AN1361" s="83"/>
      <c r="AO1361" s="66"/>
      <c r="AP1361" s="66"/>
      <c r="AQ1361" s="66"/>
      <c r="AR1361" s="81"/>
      <c r="AS1361" s="81"/>
      <c r="AT1361" s="81"/>
      <c r="AU1361" s="81"/>
      <c r="AV1361" s="83">
        <f>SUM(Prog_236[[#This Row],[ADIANTAMENTO]]+Prog_236[[#This Row],[SALDO]]+Prog_236[[#This Row],[MARGEM]]+Prog_236[[#This Row],[ESTADIA 1]])</f>
        <v>0</v>
      </c>
      <c r="AW13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1" s="81"/>
      <c r="AY1361" s="81"/>
      <c r="AZ1361" s="81">
        <f>Prog_236[[#This Row],[VLR NF]]*0.1%</f>
        <v>0</v>
      </c>
      <c r="BA1361" s="81">
        <f>Prog_236[[#This Row],[VLR NF]]*0.05%</f>
        <v>0</v>
      </c>
      <c r="BB1361" s="81"/>
      <c r="BC1361" s="81"/>
      <c r="BD1361" s="81"/>
      <c r="BE1361" s="81"/>
      <c r="BF1361" s="81"/>
      <c r="BG1361" s="81"/>
      <c r="BH1361" s="81"/>
      <c r="BI1361" s="81"/>
      <c r="BJ1361" s="81"/>
      <c r="BK1361" s="81"/>
      <c r="BL1361" s="66"/>
      <c r="BM1361" s="66"/>
      <c r="BN1361" s="66"/>
      <c r="BO1361" s="66" t="str">
        <f>PROPER(TEXT(Prog_236[[#This Row],[PROGRAMAÇÃO CLIENTE]],"mmm"))</f>
        <v>Jan</v>
      </c>
      <c r="BP1361" s="66">
        <f>YEAR(Prog_236[[#This Row],[PROGRAMAÇÃO CLIENTE]])</f>
        <v>1900</v>
      </c>
    </row>
    <row r="1362" spans="1:68" x14ac:dyDescent="0.25">
      <c r="A1362" s="201">
        <f>Prog_236[[#This Row],[CONTEINER]]</f>
        <v>0</v>
      </c>
      <c r="B1362" s="86"/>
      <c r="C13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2" s="44"/>
      <c r="E1362" s="66"/>
      <c r="F1362" s="66"/>
      <c r="G1362" s="66"/>
      <c r="H1362" s="44"/>
      <c r="I1362" s="44"/>
      <c r="J1362" s="66"/>
      <c r="K1362" s="66"/>
      <c r="L1362" s="66"/>
      <c r="M1362" s="66"/>
      <c r="N1362" s="66">
        <f>SUM(Prog_236[[#This Row],[TARA]]+Prog_236[[#This Row],[PESO]])</f>
        <v>0</v>
      </c>
      <c r="O1362" s="44"/>
      <c r="P1362" s="66"/>
      <c r="Q1362" s="66"/>
      <c r="R1362" s="66"/>
      <c r="S1362" s="66"/>
      <c r="T1362" s="138" t="str">
        <f>IFERROR(LOOKUP($S1362,MOTORISTAS!$D$3:$D$1048576,MOTORISTAS!E$3:$E$1048576),"")</f>
        <v/>
      </c>
      <c r="U1362" s="138" t="str">
        <f>IFERROR(LOOKUP($S1362,MOTORISTAS!$D$3:$D$1048576,MOTORISTAS!F$3:$F$1048576),"")</f>
        <v/>
      </c>
      <c r="V1362" s="66"/>
      <c r="W1362" s="66"/>
      <c r="X1362" s="66"/>
      <c r="Y1362" s="66"/>
      <c r="Z1362" s="66"/>
      <c r="AA1362" s="66"/>
      <c r="AB1362" s="66"/>
      <c r="AC1362" s="66"/>
      <c r="AD1362" s="66"/>
      <c r="AE1362" s="66"/>
      <c r="AF1362" s="44"/>
      <c r="AG1362" s="254">
        <f>Prog_236[[#This Row],[SAÍDA DO CLIENTE]]-Prog_236[[#This Row],[PROGRAMAÇÃO CLIENTE]]</f>
        <v>0</v>
      </c>
      <c r="AH1362" s="44"/>
      <c r="AI1362" s="66"/>
      <c r="AJ1362" s="66"/>
      <c r="AK1362" s="66"/>
      <c r="AL1362" s="66"/>
      <c r="AM1362" s="66"/>
      <c r="AN1362" s="83"/>
      <c r="AO1362" s="66"/>
      <c r="AP1362" s="66"/>
      <c r="AQ1362" s="66"/>
      <c r="AR1362" s="81"/>
      <c r="AS1362" s="81"/>
      <c r="AT1362" s="81"/>
      <c r="AU1362" s="81"/>
      <c r="AV1362" s="83">
        <f>SUM(Prog_236[[#This Row],[ADIANTAMENTO]]+Prog_236[[#This Row],[SALDO]]+Prog_236[[#This Row],[MARGEM]]+Prog_236[[#This Row],[ESTADIA 1]])</f>
        <v>0</v>
      </c>
      <c r="AW13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2" s="81"/>
      <c r="AY1362" s="81"/>
      <c r="AZ1362" s="81">
        <f>Prog_236[[#This Row],[VLR NF]]*0.1%</f>
        <v>0</v>
      </c>
      <c r="BA1362" s="81">
        <f>Prog_236[[#This Row],[VLR NF]]*0.05%</f>
        <v>0</v>
      </c>
      <c r="BB1362" s="81"/>
      <c r="BC1362" s="81"/>
      <c r="BD1362" s="81"/>
      <c r="BE1362" s="81"/>
      <c r="BF1362" s="81"/>
      <c r="BG1362" s="81"/>
      <c r="BH1362" s="81"/>
      <c r="BI1362" s="81"/>
      <c r="BJ1362" s="81"/>
      <c r="BK1362" s="81"/>
      <c r="BL1362" s="66"/>
      <c r="BM1362" s="66"/>
      <c r="BN1362" s="66"/>
      <c r="BO1362" s="66" t="str">
        <f>PROPER(TEXT(Prog_236[[#This Row],[PROGRAMAÇÃO CLIENTE]],"mmm"))</f>
        <v>Jan</v>
      </c>
      <c r="BP1362" s="66">
        <f>YEAR(Prog_236[[#This Row],[PROGRAMAÇÃO CLIENTE]])</f>
        <v>1900</v>
      </c>
    </row>
    <row r="1363" spans="1:68" x14ac:dyDescent="0.25">
      <c r="A1363" s="200">
        <f>Prog_236[[#This Row],[CONTEINER]]</f>
        <v>0</v>
      </c>
      <c r="B1363" s="86"/>
      <c r="C13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3" s="44"/>
      <c r="E1363" s="66"/>
      <c r="F1363" s="66"/>
      <c r="G1363" s="66"/>
      <c r="H1363" s="44"/>
      <c r="I1363" s="44"/>
      <c r="J1363" s="66"/>
      <c r="K1363" s="66"/>
      <c r="L1363" s="66"/>
      <c r="M1363" s="66"/>
      <c r="N1363" s="66">
        <f>SUM(Prog_236[[#This Row],[TARA]]+Prog_236[[#This Row],[PESO]])</f>
        <v>0</v>
      </c>
      <c r="O1363" s="44"/>
      <c r="P1363" s="66"/>
      <c r="Q1363" s="66"/>
      <c r="R1363" s="66"/>
      <c r="S1363" s="66"/>
      <c r="T1363" s="138" t="str">
        <f>IFERROR(LOOKUP($S1363,MOTORISTAS!$D$3:$D$1048576,MOTORISTAS!E$3:$E$1048576),"")</f>
        <v/>
      </c>
      <c r="U1363" s="138" t="str">
        <f>IFERROR(LOOKUP($S1363,MOTORISTAS!$D$3:$D$1048576,MOTORISTAS!F$3:$F$1048576),"")</f>
        <v/>
      </c>
      <c r="V1363" s="66"/>
      <c r="W1363" s="66"/>
      <c r="X1363" s="66"/>
      <c r="Y1363" s="66"/>
      <c r="Z1363" s="66"/>
      <c r="AA1363" s="66"/>
      <c r="AB1363" s="66"/>
      <c r="AC1363" s="66"/>
      <c r="AD1363" s="66"/>
      <c r="AE1363" s="66"/>
      <c r="AF1363" s="44"/>
      <c r="AG1363" s="254">
        <f>Prog_236[[#This Row],[SAÍDA DO CLIENTE]]-Prog_236[[#This Row],[PROGRAMAÇÃO CLIENTE]]</f>
        <v>0</v>
      </c>
      <c r="AH1363" s="44"/>
      <c r="AI1363" s="66"/>
      <c r="AJ1363" s="66"/>
      <c r="AK1363" s="66"/>
      <c r="AL1363" s="66"/>
      <c r="AM1363" s="66"/>
      <c r="AN1363" s="83"/>
      <c r="AO1363" s="66"/>
      <c r="AP1363" s="66"/>
      <c r="AQ1363" s="66"/>
      <c r="AR1363" s="81"/>
      <c r="AS1363" s="81"/>
      <c r="AT1363" s="81"/>
      <c r="AU1363" s="81"/>
      <c r="AV1363" s="83">
        <f>SUM(Prog_236[[#This Row],[ADIANTAMENTO]]+Prog_236[[#This Row],[SALDO]]+Prog_236[[#This Row],[MARGEM]]+Prog_236[[#This Row],[ESTADIA 1]])</f>
        <v>0</v>
      </c>
      <c r="AW13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3" s="81"/>
      <c r="AY1363" s="81"/>
      <c r="AZ1363" s="81">
        <f>Prog_236[[#This Row],[VLR NF]]*0.1%</f>
        <v>0</v>
      </c>
      <c r="BA1363" s="81">
        <f>Prog_236[[#This Row],[VLR NF]]*0.05%</f>
        <v>0</v>
      </c>
      <c r="BB1363" s="81"/>
      <c r="BC1363" s="81"/>
      <c r="BD1363" s="81"/>
      <c r="BE1363" s="81"/>
      <c r="BF1363" s="81"/>
      <c r="BG1363" s="81"/>
      <c r="BH1363" s="81"/>
      <c r="BI1363" s="81"/>
      <c r="BJ1363" s="81"/>
      <c r="BK1363" s="81"/>
      <c r="BL1363" s="66"/>
      <c r="BM1363" s="66"/>
      <c r="BN1363" s="66"/>
      <c r="BO1363" s="66" t="str">
        <f>PROPER(TEXT(Prog_236[[#This Row],[PROGRAMAÇÃO CLIENTE]],"mmm"))</f>
        <v>Jan</v>
      </c>
      <c r="BP1363" s="66">
        <f>YEAR(Prog_236[[#This Row],[PROGRAMAÇÃO CLIENTE]])</f>
        <v>1900</v>
      </c>
    </row>
    <row r="1364" spans="1:68" x14ac:dyDescent="0.25">
      <c r="A1364" s="201">
        <f>Prog_236[[#This Row],[CONTEINER]]</f>
        <v>0</v>
      </c>
      <c r="B1364" s="86"/>
      <c r="C13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4" s="44"/>
      <c r="E1364" s="66"/>
      <c r="F1364" s="66"/>
      <c r="G1364" s="66"/>
      <c r="H1364" s="44"/>
      <c r="I1364" s="44"/>
      <c r="J1364" s="66"/>
      <c r="K1364" s="66"/>
      <c r="L1364" s="66"/>
      <c r="M1364" s="66"/>
      <c r="N1364" s="66">
        <f>SUM(Prog_236[[#This Row],[TARA]]+Prog_236[[#This Row],[PESO]])</f>
        <v>0</v>
      </c>
      <c r="O1364" s="44"/>
      <c r="P1364" s="66"/>
      <c r="Q1364" s="66"/>
      <c r="R1364" s="66"/>
      <c r="S1364" s="66"/>
      <c r="T1364" s="138" t="str">
        <f>IFERROR(LOOKUP($S1364,MOTORISTAS!$D$3:$D$1048576,MOTORISTAS!E$3:$E$1048576),"")</f>
        <v/>
      </c>
      <c r="U1364" s="138" t="str">
        <f>IFERROR(LOOKUP($S1364,MOTORISTAS!$D$3:$D$1048576,MOTORISTAS!F$3:$F$1048576),"")</f>
        <v/>
      </c>
      <c r="V1364" s="66"/>
      <c r="W1364" s="66"/>
      <c r="X1364" s="66"/>
      <c r="Y1364" s="66"/>
      <c r="Z1364" s="66"/>
      <c r="AA1364" s="66"/>
      <c r="AB1364" s="66"/>
      <c r="AC1364" s="66"/>
      <c r="AD1364" s="66"/>
      <c r="AE1364" s="66"/>
      <c r="AF1364" s="44"/>
      <c r="AG1364" s="254">
        <f>Prog_236[[#This Row],[SAÍDA DO CLIENTE]]-Prog_236[[#This Row],[PROGRAMAÇÃO CLIENTE]]</f>
        <v>0</v>
      </c>
      <c r="AH1364" s="44"/>
      <c r="AI1364" s="66"/>
      <c r="AJ1364" s="66"/>
      <c r="AK1364" s="66"/>
      <c r="AL1364" s="66"/>
      <c r="AM1364" s="66"/>
      <c r="AN1364" s="83"/>
      <c r="AO1364" s="66"/>
      <c r="AP1364" s="66"/>
      <c r="AQ1364" s="66"/>
      <c r="AR1364" s="81"/>
      <c r="AS1364" s="81"/>
      <c r="AT1364" s="81"/>
      <c r="AU1364" s="81"/>
      <c r="AV1364" s="83">
        <f>SUM(Prog_236[[#This Row],[ADIANTAMENTO]]+Prog_236[[#This Row],[SALDO]]+Prog_236[[#This Row],[MARGEM]]+Prog_236[[#This Row],[ESTADIA 1]])</f>
        <v>0</v>
      </c>
      <c r="AW13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4" s="81"/>
      <c r="AY1364" s="81"/>
      <c r="AZ1364" s="81">
        <f>Prog_236[[#This Row],[VLR NF]]*0.1%</f>
        <v>0</v>
      </c>
      <c r="BA1364" s="81">
        <f>Prog_236[[#This Row],[VLR NF]]*0.05%</f>
        <v>0</v>
      </c>
      <c r="BB1364" s="81"/>
      <c r="BC1364" s="81"/>
      <c r="BD1364" s="81"/>
      <c r="BE1364" s="81"/>
      <c r="BF1364" s="81"/>
      <c r="BG1364" s="81"/>
      <c r="BH1364" s="81"/>
      <c r="BI1364" s="81"/>
      <c r="BJ1364" s="81"/>
      <c r="BK1364" s="81"/>
      <c r="BL1364" s="66"/>
      <c r="BM1364" s="66"/>
      <c r="BN1364" s="66"/>
      <c r="BO1364" s="66" t="str">
        <f>PROPER(TEXT(Prog_236[[#This Row],[PROGRAMAÇÃO CLIENTE]],"mmm"))</f>
        <v>Jan</v>
      </c>
      <c r="BP1364" s="66">
        <f>YEAR(Prog_236[[#This Row],[PROGRAMAÇÃO CLIENTE]])</f>
        <v>1900</v>
      </c>
    </row>
    <row r="1365" spans="1:68" x14ac:dyDescent="0.25">
      <c r="A1365" s="200">
        <f>Prog_236[[#This Row],[CONTEINER]]</f>
        <v>0</v>
      </c>
      <c r="B1365" s="86"/>
      <c r="C13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5" s="44"/>
      <c r="E1365" s="66"/>
      <c r="F1365" s="66"/>
      <c r="G1365" s="66"/>
      <c r="H1365" s="44"/>
      <c r="I1365" s="44"/>
      <c r="J1365" s="66"/>
      <c r="K1365" s="66"/>
      <c r="L1365" s="66"/>
      <c r="M1365" s="66"/>
      <c r="N1365" s="66">
        <f>SUM(Prog_236[[#This Row],[TARA]]+Prog_236[[#This Row],[PESO]])</f>
        <v>0</v>
      </c>
      <c r="O1365" s="44"/>
      <c r="P1365" s="66"/>
      <c r="Q1365" s="66"/>
      <c r="R1365" s="66"/>
      <c r="S1365" s="66"/>
      <c r="T1365" s="138" t="str">
        <f>IFERROR(LOOKUP($S1365,MOTORISTAS!$D$3:$D$1048576,MOTORISTAS!E$3:$E$1048576),"")</f>
        <v/>
      </c>
      <c r="U1365" s="138" t="str">
        <f>IFERROR(LOOKUP($S1365,MOTORISTAS!$D$3:$D$1048576,MOTORISTAS!F$3:$F$1048576),"")</f>
        <v/>
      </c>
      <c r="V1365" s="66"/>
      <c r="W1365" s="66"/>
      <c r="X1365" s="66"/>
      <c r="Y1365" s="66"/>
      <c r="Z1365" s="66"/>
      <c r="AA1365" s="66"/>
      <c r="AB1365" s="66"/>
      <c r="AC1365" s="66"/>
      <c r="AD1365" s="66"/>
      <c r="AE1365" s="66"/>
      <c r="AF1365" s="44"/>
      <c r="AG1365" s="254">
        <f>Prog_236[[#This Row],[SAÍDA DO CLIENTE]]-Prog_236[[#This Row],[PROGRAMAÇÃO CLIENTE]]</f>
        <v>0</v>
      </c>
      <c r="AH1365" s="44"/>
      <c r="AI1365" s="66"/>
      <c r="AJ1365" s="66"/>
      <c r="AK1365" s="66"/>
      <c r="AL1365" s="66"/>
      <c r="AM1365" s="66"/>
      <c r="AN1365" s="83"/>
      <c r="AO1365" s="66"/>
      <c r="AP1365" s="66"/>
      <c r="AQ1365" s="66"/>
      <c r="AR1365" s="81"/>
      <c r="AS1365" s="81"/>
      <c r="AT1365" s="81"/>
      <c r="AU1365" s="81"/>
      <c r="AV1365" s="83">
        <f>SUM(Prog_236[[#This Row],[ADIANTAMENTO]]+Prog_236[[#This Row],[SALDO]]+Prog_236[[#This Row],[MARGEM]]+Prog_236[[#This Row],[ESTADIA 1]])</f>
        <v>0</v>
      </c>
      <c r="AW13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5" s="81"/>
      <c r="AY1365" s="81"/>
      <c r="AZ1365" s="81">
        <f>Prog_236[[#This Row],[VLR NF]]*0.1%</f>
        <v>0</v>
      </c>
      <c r="BA1365" s="81">
        <f>Prog_236[[#This Row],[VLR NF]]*0.05%</f>
        <v>0</v>
      </c>
      <c r="BB1365" s="81"/>
      <c r="BC1365" s="81"/>
      <c r="BD1365" s="81"/>
      <c r="BE1365" s="81"/>
      <c r="BF1365" s="81"/>
      <c r="BG1365" s="81"/>
      <c r="BH1365" s="81"/>
      <c r="BI1365" s="81"/>
      <c r="BJ1365" s="81"/>
      <c r="BK1365" s="81"/>
      <c r="BL1365" s="66"/>
      <c r="BM1365" s="66"/>
      <c r="BN1365" s="66"/>
      <c r="BO1365" s="66" t="str">
        <f>PROPER(TEXT(Prog_236[[#This Row],[PROGRAMAÇÃO CLIENTE]],"mmm"))</f>
        <v>Jan</v>
      </c>
      <c r="BP1365" s="66">
        <f>YEAR(Prog_236[[#This Row],[PROGRAMAÇÃO CLIENTE]])</f>
        <v>1900</v>
      </c>
    </row>
    <row r="1366" spans="1:68" x14ac:dyDescent="0.25">
      <c r="A1366" s="201">
        <f>Prog_236[[#This Row],[CONTEINER]]</f>
        <v>0</v>
      </c>
      <c r="B1366" s="86"/>
      <c r="C13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6" s="44"/>
      <c r="E1366" s="66"/>
      <c r="F1366" s="66"/>
      <c r="G1366" s="66"/>
      <c r="H1366" s="44"/>
      <c r="I1366" s="44"/>
      <c r="J1366" s="66"/>
      <c r="K1366" s="66"/>
      <c r="L1366" s="66"/>
      <c r="M1366" s="66"/>
      <c r="N1366" s="66">
        <f>SUM(Prog_236[[#This Row],[TARA]]+Prog_236[[#This Row],[PESO]])</f>
        <v>0</v>
      </c>
      <c r="O1366" s="44"/>
      <c r="P1366" s="66"/>
      <c r="Q1366" s="66"/>
      <c r="R1366" s="66"/>
      <c r="S1366" s="66"/>
      <c r="T1366" s="138" t="str">
        <f>IFERROR(LOOKUP($S1366,MOTORISTAS!$D$3:$D$1048576,MOTORISTAS!E$3:$E$1048576),"")</f>
        <v/>
      </c>
      <c r="U1366" s="138" t="str">
        <f>IFERROR(LOOKUP($S1366,MOTORISTAS!$D$3:$D$1048576,MOTORISTAS!F$3:$F$1048576),"")</f>
        <v/>
      </c>
      <c r="V1366" s="66"/>
      <c r="W1366" s="66"/>
      <c r="X1366" s="66"/>
      <c r="Y1366" s="66"/>
      <c r="Z1366" s="66"/>
      <c r="AA1366" s="66"/>
      <c r="AB1366" s="66"/>
      <c r="AC1366" s="66"/>
      <c r="AD1366" s="66"/>
      <c r="AE1366" s="66"/>
      <c r="AF1366" s="44"/>
      <c r="AG1366" s="254">
        <f>Prog_236[[#This Row],[SAÍDA DO CLIENTE]]-Prog_236[[#This Row],[PROGRAMAÇÃO CLIENTE]]</f>
        <v>0</v>
      </c>
      <c r="AH1366" s="44"/>
      <c r="AI1366" s="66"/>
      <c r="AJ1366" s="66"/>
      <c r="AK1366" s="66"/>
      <c r="AL1366" s="66"/>
      <c r="AM1366" s="66"/>
      <c r="AN1366" s="83"/>
      <c r="AO1366" s="66"/>
      <c r="AP1366" s="66"/>
      <c r="AQ1366" s="66"/>
      <c r="AR1366" s="81"/>
      <c r="AS1366" s="81"/>
      <c r="AT1366" s="81"/>
      <c r="AU1366" s="81"/>
      <c r="AV1366" s="83">
        <f>SUM(Prog_236[[#This Row],[ADIANTAMENTO]]+Prog_236[[#This Row],[SALDO]]+Prog_236[[#This Row],[MARGEM]]+Prog_236[[#This Row],[ESTADIA 1]])</f>
        <v>0</v>
      </c>
      <c r="AW13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6" s="81"/>
      <c r="AY1366" s="81"/>
      <c r="AZ1366" s="81">
        <f>Prog_236[[#This Row],[VLR NF]]*0.1%</f>
        <v>0</v>
      </c>
      <c r="BA1366" s="81">
        <f>Prog_236[[#This Row],[VLR NF]]*0.05%</f>
        <v>0</v>
      </c>
      <c r="BB1366" s="81"/>
      <c r="BC1366" s="81"/>
      <c r="BD1366" s="81"/>
      <c r="BE1366" s="81"/>
      <c r="BF1366" s="81"/>
      <c r="BG1366" s="81"/>
      <c r="BH1366" s="81"/>
      <c r="BI1366" s="81"/>
      <c r="BJ1366" s="81"/>
      <c r="BK1366" s="81"/>
      <c r="BL1366" s="66"/>
      <c r="BM1366" s="66"/>
      <c r="BN1366" s="66"/>
      <c r="BO1366" s="66" t="str">
        <f>PROPER(TEXT(Prog_236[[#This Row],[PROGRAMAÇÃO CLIENTE]],"mmm"))</f>
        <v>Jan</v>
      </c>
      <c r="BP1366" s="66">
        <f>YEAR(Prog_236[[#This Row],[PROGRAMAÇÃO CLIENTE]])</f>
        <v>1900</v>
      </c>
    </row>
    <row r="1367" spans="1:68" x14ac:dyDescent="0.25">
      <c r="A1367" s="200">
        <f>Prog_236[[#This Row],[CONTEINER]]</f>
        <v>0</v>
      </c>
      <c r="B1367" s="86"/>
      <c r="C13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7" s="44"/>
      <c r="E1367" s="66"/>
      <c r="F1367" s="66"/>
      <c r="G1367" s="66"/>
      <c r="H1367" s="44"/>
      <c r="I1367" s="44"/>
      <c r="J1367" s="66"/>
      <c r="K1367" s="66"/>
      <c r="L1367" s="66"/>
      <c r="M1367" s="66"/>
      <c r="N1367" s="66">
        <f>SUM(Prog_236[[#This Row],[TARA]]+Prog_236[[#This Row],[PESO]])</f>
        <v>0</v>
      </c>
      <c r="O1367" s="44"/>
      <c r="P1367" s="66"/>
      <c r="Q1367" s="66"/>
      <c r="R1367" s="66"/>
      <c r="S1367" s="66"/>
      <c r="T1367" s="138" t="str">
        <f>IFERROR(LOOKUP($S1367,MOTORISTAS!$D$3:$D$1048576,MOTORISTAS!E$3:$E$1048576),"")</f>
        <v/>
      </c>
      <c r="U1367" s="138" t="str">
        <f>IFERROR(LOOKUP($S1367,MOTORISTAS!$D$3:$D$1048576,MOTORISTAS!F$3:$F$1048576),"")</f>
        <v/>
      </c>
      <c r="V1367" s="66"/>
      <c r="W1367" s="66"/>
      <c r="X1367" s="66"/>
      <c r="Y1367" s="66"/>
      <c r="Z1367" s="66"/>
      <c r="AA1367" s="66"/>
      <c r="AB1367" s="66"/>
      <c r="AC1367" s="66"/>
      <c r="AD1367" s="66"/>
      <c r="AE1367" s="66"/>
      <c r="AF1367" s="44"/>
      <c r="AG1367" s="254">
        <f>Prog_236[[#This Row],[SAÍDA DO CLIENTE]]-Prog_236[[#This Row],[PROGRAMAÇÃO CLIENTE]]</f>
        <v>0</v>
      </c>
      <c r="AH1367" s="44"/>
      <c r="AI1367" s="66"/>
      <c r="AJ1367" s="66"/>
      <c r="AK1367" s="66"/>
      <c r="AL1367" s="66"/>
      <c r="AM1367" s="66"/>
      <c r="AN1367" s="83"/>
      <c r="AO1367" s="66"/>
      <c r="AP1367" s="66"/>
      <c r="AQ1367" s="66"/>
      <c r="AR1367" s="81"/>
      <c r="AS1367" s="81"/>
      <c r="AT1367" s="81"/>
      <c r="AU1367" s="81"/>
      <c r="AV1367" s="83">
        <f>SUM(Prog_236[[#This Row],[ADIANTAMENTO]]+Prog_236[[#This Row],[SALDO]]+Prog_236[[#This Row],[MARGEM]]+Prog_236[[#This Row],[ESTADIA 1]])</f>
        <v>0</v>
      </c>
      <c r="AW13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7" s="81"/>
      <c r="AY1367" s="81"/>
      <c r="AZ1367" s="81">
        <f>Prog_236[[#This Row],[VLR NF]]*0.1%</f>
        <v>0</v>
      </c>
      <c r="BA1367" s="81">
        <f>Prog_236[[#This Row],[VLR NF]]*0.05%</f>
        <v>0</v>
      </c>
      <c r="BB1367" s="81"/>
      <c r="BC1367" s="81"/>
      <c r="BD1367" s="81"/>
      <c r="BE1367" s="81"/>
      <c r="BF1367" s="81"/>
      <c r="BG1367" s="81"/>
      <c r="BH1367" s="81"/>
      <c r="BI1367" s="81"/>
      <c r="BJ1367" s="81"/>
      <c r="BK1367" s="81"/>
      <c r="BL1367" s="66"/>
      <c r="BM1367" s="66"/>
      <c r="BN1367" s="66"/>
      <c r="BO1367" s="66" t="str">
        <f>PROPER(TEXT(Prog_236[[#This Row],[PROGRAMAÇÃO CLIENTE]],"mmm"))</f>
        <v>Jan</v>
      </c>
      <c r="BP1367" s="66">
        <f>YEAR(Prog_236[[#This Row],[PROGRAMAÇÃO CLIENTE]])</f>
        <v>1900</v>
      </c>
    </row>
    <row r="1368" spans="1:68" x14ac:dyDescent="0.25">
      <c r="A1368" s="201">
        <f>Prog_236[[#This Row],[CONTEINER]]</f>
        <v>0</v>
      </c>
      <c r="B1368" s="86"/>
      <c r="C13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8" s="44"/>
      <c r="E1368" s="66"/>
      <c r="F1368" s="66"/>
      <c r="G1368" s="66"/>
      <c r="H1368" s="44"/>
      <c r="I1368" s="44"/>
      <c r="J1368" s="66"/>
      <c r="K1368" s="66"/>
      <c r="L1368" s="66"/>
      <c r="M1368" s="66"/>
      <c r="N1368" s="66">
        <f>SUM(Prog_236[[#This Row],[TARA]]+Prog_236[[#This Row],[PESO]])</f>
        <v>0</v>
      </c>
      <c r="O1368" s="44"/>
      <c r="P1368" s="66"/>
      <c r="Q1368" s="66"/>
      <c r="R1368" s="66"/>
      <c r="S1368" s="66"/>
      <c r="T1368" s="138" t="str">
        <f>IFERROR(LOOKUP($S1368,MOTORISTAS!$D$3:$D$1048576,MOTORISTAS!E$3:$E$1048576),"")</f>
        <v/>
      </c>
      <c r="U1368" s="138" t="str">
        <f>IFERROR(LOOKUP($S1368,MOTORISTAS!$D$3:$D$1048576,MOTORISTAS!F$3:$F$1048576),"")</f>
        <v/>
      </c>
      <c r="V1368" s="66"/>
      <c r="W1368" s="66"/>
      <c r="X1368" s="66"/>
      <c r="Y1368" s="66"/>
      <c r="Z1368" s="66"/>
      <c r="AA1368" s="66"/>
      <c r="AB1368" s="66"/>
      <c r="AC1368" s="66"/>
      <c r="AD1368" s="66"/>
      <c r="AE1368" s="66"/>
      <c r="AF1368" s="44"/>
      <c r="AG1368" s="254">
        <f>Prog_236[[#This Row],[SAÍDA DO CLIENTE]]-Prog_236[[#This Row],[PROGRAMAÇÃO CLIENTE]]</f>
        <v>0</v>
      </c>
      <c r="AH1368" s="44"/>
      <c r="AI1368" s="66"/>
      <c r="AJ1368" s="66"/>
      <c r="AK1368" s="66"/>
      <c r="AL1368" s="66"/>
      <c r="AM1368" s="66"/>
      <c r="AN1368" s="83"/>
      <c r="AO1368" s="66"/>
      <c r="AP1368" s="66"/>
      <c r="AQ1368" s="66"/>
      <c r="AR1368" s="81"/>
      <c r="AS1368" s="81"/>
      <c r="AT1368" s="81"/>
      <c r="AU1368" s="81"/>
      <c r="AV1368" s="83">
        <f>SUM(Prog_236[[#This Row],[ADIANTAMENTO]]+Prog_236[[#This Row],[SALDO]]+Prog_236[[#This Row],[MARGEM]]+Prog_236[[#This Row],[ESTADIA 1]])</f>
        <v>0</v>
      </c>
      <c r="AW13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8" s="81"/>
      <c r="AY1368" s="81"/>
      <c r="AZ1368" s="81">
        <f>Prog_236[[#This Row],[VLR NF]]*0.1%</f>
        <v>0</v>
      </c>
      <c r="BA1368" s="81">
        <f>Prog_236[[#This Row],[VLR NF]]*0.05%</f>
        <v>0</v>
      </c>
      <c r="BB1368" s="81"/>
      <c r="BC1368" s="81"/>
      <c r="BD1368" s="81"/>
      <c r="BE1368" s="81"/>
      <c r="BF1368" s="81"/>
      <c r="BG1368" s="81"/>
      <c r="BH1368" s="81"/>
      <c r="BI1368" s="81"/>
      <c r="BJ1368" s="81"/>
      <c r="BK1368" s="81"/>
      <c r="BL1368" s="66"/>
      <c r="BM1368" s="66"/>
      <c r="BN1368" s="66"/>
      <c r="BO1368" s="66" t="str">
        <f>PROPER(TEXT(Prog_236[[#This Row],[PROGRAMAÇÃO CLIENTE]],"mmm"))</f>
        <v>Jan</v>
      </c>
      <c r="BP1368" s="66">
        <f>YEAR(Prog_236[[#This Row],[PROGRAMAÇÃO CLIENTE]])</f>
        <v>1900</v>
      </c>
    </row>
    <row r="1369" spans="1:68" x14ac:dyDescent="0.25">
      <c r="A1369" s="200">
        <f>Prog_236[[#This Row],[CONTEINER]]</f>
        <v>0</v>
      </c>
      <c r="B1369" s="86"/>
      <c r="C13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69" s="44"/>
      <c r="E1369" s="66"/>
      <c r="F1369" s="66"/>
      <c r="G1369" s="66"/>
      <c r="H1369" s="44"/>
      <c r="I1369" s="44"/>
      <c r="J1369" s="66"/>
      <c r="K1369" s="66"/>
      <c r="L1369" s="66"/>
      <c r="M1369" s="66"/>
      <c r="N1369" s="66">
        <f>SUM(Prog_236[[#This Row],[TARA]]+Prog_236[[#This Row],[PESO]])</f>
        <v>0</v>
      </c>
      <c r="O1369" s="44"/>
      <c r="P1369" s="66"/>
      <c r="Q1369" s="66"/>
      <c r="R1369" s="66"/>
      <c r="S1369" s="66"/>
      <c r="T1369" s="138" t="str">
        <f>IFERROR(LOOKUP($S1369,MOTORISTAS!$D$3:$D$1048576,MOTORISTAS!E$3:$E$1048576),"")</f>
        <v/>
      </c>
      <c r="U1369" s="138" t="str">
        <f>IFERROR(LOOKUP($S1369,MOTORISTAS!$D$3:$D$1048576,MOTORISTAS!F$3:$F$1048576),"")</f>
        <v/>
      </c>
      <c r="V1369" s="66"/>
      <c r="W1369" s="66"/>
      <c r="X1369" s="66"/>
      <c r="Y1369" s="66"/>
      <c r="Z1369" s="66"/>
      <c r="AA1369" s="66"/>
      <c r="AB1369" s="66"/>
      <c r="AC1369" s="66"/>
      <c r="AD1369" s="66"/>
      <c r="AE1369" s="66"/>
      <c r="AF1369" s="44"/>
      <c r="AG1369" s="254">
        <f>Prog_236[[#This Row],[SAÍDA DO CLIENTE]]-Prog_236[[#This Row],[PROGRAMAÇÃO CLIENTE]]</f>
        <v>0</v>
      </c>
      <c r="AH1369" s="44"/>
      <c r="AI1369" s="66"/>
      <c r="AJ1369" s="66"/>
      <c r="AK1369" s="66"/>
      <c r="AL1369" s="66"/>
      <c r="AM1369" s="66"/>
      <c r="AN1369" s="83"/>
      <c r="AO1369" s="66"/>
      <c r="AP1369" s="66"/>
      <c r="AQ1369" s="66"/>
      <c r="AR1369" s="81"/>
      <c r="AS1369" s="81"/>
      <c r="AT1369" s="81"/>
      <c r="AU1369" s="81"/>
      <c r="AV1369" s="83">
        <f>SUM(Prog_236[[#This Row],[ADIANTAMENTO]]+Prog_236[[#This Row],[SALDO]]+Prog_236[[#This Row],[MARGEM]]+Prog_236[[#This Row],[ESTADIA 1]])</f>
        <v>0</v>
      </c>
      <c r="AW13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69" s="81"/>
      <c r="AY1369" s="81"/>
      <c r="AZ1369" s="81">
        <f>Prog_236[[#This Row],[VLR NF]]*0.1%</f>
        <v>0</v>
      </c>
      <c r="BA1369" s="81">
        <f>Prog_236[[#This Row],[VLR NF]]*0.05%</f>
        <v>0</v>
      </c>
      <c r="BB1369" s="81"/>
      <c r="BC1369" s="81"/>
      <c r="BD1369" s="81"/>
      <c r="BE1369" s="81"/>
      <c r="BF1369" s="81"/>
      <c r="BG1369" s="81"/>
      <c r="BH1369" s="81"/>
      <c r="BI1369" s="81"/>
      <c r="BJ1369" s="81"/>
      <c r="BK1369" s="81"/>
      <c r="BL1369" s="66"/>
      <c r="BM1369" s="66"/>
      <c r="BN1369" s="66"/>
      <c r="BO1369" s="66" t="str">
        <f>PROPER(TEXT(Prog_236[[#This Row],[PROGRAMAÇÃO CLIENTE]],"mmm"))</f>
        <v>Jan</v>
      </c>
      <c r="BP1369" s="66">
        <f>YEAR(Prog_236[[#This Row],[PROGRAMAÇÃO CLIENTE]])</f>
        <v>1900</v>
      </c>
    </row>
    <row r="1370" spans="1:68" x14ac:dyDescent="0.25">
      <c r="A1370" s="201">
        <f>Prog_236[[#This Row],[CONTEINER]]</f>
        <v>0</v>
      </c>
      <c r="B1370" s="86"/>
      <c r="C13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0" s="44"/>
      <c r="E1370" s="66"/>
      <c r="F1370" s="66"/>
      <c r="G1370" s="66"/>
      <c r="H1370" s="44"/>
      <c r="I1370" s="44"/>
      <c r="J1370" s="66"/>
      <c r="K1370" s="66"/>
      <c r="L1370" s="66"/>
      <c r="M1370" s="66"/>
      <c r="N1370" s="66">
        <f>SUM(Prog_236[[#This Row],[TARA]]+Prog_236[[#This Row],[PESO]])</f>
        <v>0</v>
      </c>
      <c r="O1370" s="44"/>
      <c r="P1370" s="66"/>
      <c r="Q1370" s="66"/>
      <c r="R1370" s="66"/>
      <c r="S1370" s="66"/>
      <c r="T1370" s="138" t="str">
        <f>IFERROR(LOOKUP($S1370,MOTORISTAS!$D$3:$D$1048576,MOTORISTAS!E$3:$E$1048576),"")</f>
        <v/>
      </c>
      <c r="U1370" s="138" t="str">
        <f>IFERROR(LOOKUP($S1370,MOTORISTAS!$D$3:$D$1048576,MOTORISTAS!F$3:$F$1048576),"")</f>
        <v/>
      </c>
      <c r="V1370" s="66"/>
      <c r="W1370" s="66"/>
      <c r="X1370" s="66"/>
      <c r="Y1370" s="66"/>
      <c r="Z1370" s="66"/>
      <c r="AA1370" s="66"/>
      <c r="AB1370" s="66"/>
      <c r="AC1370" s="66"/>
      <c r="AD1370" s="66"/>
      <c r="AE1370" s="66"/>
      <c r="AF1370" s="44"/>
      <c r="AG1370" s="254">
        <f>Prog_236[[#This Row],[SAÍDA DO CLIENTE]]-Prog_236[[#This Row],[PROGRAMAÇÃO CLIENTE]]</f>
        <v>0</v>
      </c>
      <c r="AH1370" s="44"/>
      <c r="AI1370" s="66"/>
      <c r="AJ1370" s="66"/>
      <c r="AK1370" s="66"/>
      <c r="AL1370" s="66"/>
      <c r="AM1370" s="66"/>
      <c r="AN1370" s="83"/>
      <c r="AO1370" s="66"/>
      <c r="AP1370" s="66"/>
      <c r="AQ1370" s="66"/>
      <c r="AR1370" s="81"/>
      <c r="AS1370" s="81"/>
      <c r="AT1370" s="81"/>
      <c r="AU1370" s="81"/>
      <c r="AV1370" s="83">
        <f>SUM(Prog_236[[#This Row],[ADIANTAMENTO]]+Prog_236[[#This Row],[SALDO]]+Prog_236[[#This Row],[MARGEM]]+Prog_236[[#This Row],[ESTADIA 1]])</f>
        <v>0</v>
      </c>
      <c r="AW13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0" s="81"/>
      <c r="AY1370" s="81"/>
      <c r="AZ1370" s="81">
        <f>Prog_236[[#This Row],[VLR NF]]*0.1%</f>
        <v>0</v>
      </c>
      <c r="BA1370" s="81">
        <f>Prog_236[[#This Row],[VLR NF]]*0.05%</f>
        <v>0</v>
      </c>
      <c r="BB1370" s="81"/>
      <c r="BC1370" s="81"/>
      <c r="BD1370" s="81"/>
      <c r="BE1370" s="81"/>
      <c r="BF1370" s="81"/>
      <c r="BG1370" s="81"/>
      <c r="BH1370" s="81"/>
      <c r="BI1370" s="81"/>
      <c r="BJ1370" s="81"/>
      <c r="BK1370" s="81"/>
      <c r="BL1370" s="66"/>
      <c r="BM1370" s="66"/>
      <c r="BN1370" s="66"/>
      <c r="BO1370" s="66" t="str">
        <f>PROPER(TEXT(Prog_236[[#This Row],[PROGRAMAÇÃO CLIENTE]],"mmm"))</f>
        <v>Jan</v>
      </c>
      <c r="BP1370" s="66">
        <f>YEAR(Prog_236[[#This Row],[PROGRAMAÇÃO CLIENTE]])</f>
        <v>1900</v>
      </c>
    </row>
    <row r="1371" spans="1:68" x14ac:dyDescent="0.25">
      <c r="A1371" s="200">
        <f>Prog_236[[#This Row],[CONTEINER]]</f>
        <v>0</v>
      </c>
      <c r="B1371" s="86"/>
      <c r="C13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1" s="44"/>
      <c r="E1371" s="66"/>
      <c r="F1371" s="66"/>
      <c r="G1371" s="66"/>
      <c r="H1371" s="44"/>
      <c r="I1371" s="44"/>
      <c r="J1371" s="66"/>
      <c r="K1371" s="66"/>
      <c r="L1371" s="66"/>
      <c r="M1371" s="66"/>
      <c r="N1371" s="66">
        <f>SUM(Prog_236[[#This Row],[TARA]]+Prog_236[[#This Row],[PESO]])</f>
        <v>0</v>
      </c>
      <c r="O1371" s="44"/>
      <c r="P1371" s="66"/>
      <c r="Q1371" s="66"/>
      <c r="R1371" s="66"/>
      <c r="S1371" s="66"/>
      <c r="T1371" s="138" t="str">
        <f>IFERROR(LOOKUP($S1371,MOTORISTAS!$D$3:$D$1048576,MOTORISTAS!E$3:$E$1048576),"")</f>
        <v/>
      </c>
      <c r="U1371" s="138" t="str">
        <f>IFERROR(LOOKUP($S1371,MOTORISTAS!$D$3:$D$1048576,MOTORISTAS!F$3:$F$1048576),"")</f>
        <v/>
      </c>
      <c r="V1371" s="66"/>
      <c r="W1371" s="66"/>
      <c r="X1371" s="66"/>
      <c r="Y1371" s="66"/>
      <c r="Z1371" s="66"/>
      <c r="AA1371" s="66"/>
      <c r="AB1371" s="66"/>
      <c r="AC1371" s="66"/>
      <c r="AD1371" s="66"/>
      <c r="AE1371" s="66"/>
      <c r="AF1371" s="44"/>
      <c r="AG1371" s="254">
        <f>Prog_236[[#This Row],[SAÍDA DO CLIENTE]]-Prog_236[[#This Row],[PROGRAMAÇÃO CLIENTE]]</f>
        <v>0</v>
      </c>
      <c r="AH1371" s="44"/>
      <c r="AI1371" s="66"/>
      <c r="AJ1371" s="66"/>
      <c r="AK1371" s="66"/>
      <c r="AL1371" s="66"/>
      <c r="AM1371" s="66"/>
      <c r="AN1371" s="83"/>
      <c r="AO1371" s="66"/>
      <c r="AP1371" s="66"/>
      <c r="AQ1371" s="66"/>
      <c r="AR1371" s="81"/>
      <c r="AS1371" s="81"/>
      <c r="AT1371" s="81"/>
      <c r="AU1371" s="81"/>
      <c r="AV1371" s="83">
        <f>SUM(Prog_236[[#This Row],[ADIANTAMENTO]]+Prog_236[[#This Row],[SALDO]]+Prog_236[[#This Row],[MARGEM]]+Prog_236[[#This Row],[ESTADIA 1]])</f>
        <v>0</v>
      </c>
      <c r="AW13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1" s="81"/>
      <c r="AY1371" s="81"/>
      <c r="AZ1371" s="81">
        <f>Prog_236[[#This Row],[VLR NF]]*0.1%</f>
        <v>0</v>
      </c>
      <c r="BA1371" s="81">
        <f>Prog_236[[#This Row],[VLR NF]]*0.05%</f>
        <v>0</v>
      </c>
      <c r="BB1371" s="81"/>
      <c r="BC1371" s="81"/>
      <c r="BD1371" s="81"/>
      <c r="BE1371" s="81"/>
      <c r="BF1371" s="81"/>
      <c r="BG1371" s="81"/>
      <c r="BH1371" s="81"/>
      <c r="BI1371" s="81"/>
      <c r="BJ1371" s="81"/>
      <c r="BK1371" s="81"/>
      <c r="BL1371" s="66"/>
      <c r="BM1371" s="66"/>
      <c r="BN1371" s="66"/>
      <c r="BO1371" s="66" t="str">
        <f>PROPER(TEXT(Prog_236[[#This Row],[PROGRAMAÇÃO CLIENTE]],"mmm"))</f>
        <v>Jan</v>
      </c>
      <c r="BP1371" s="66">
        <f>YEAR(Prog_236[[#This Row],[PROGRAMAÇÃO CLIENTE]])</f>
        <v>1900</v>
      </c>
    </row>
    <row r="1372" spans="1:68" x14ac:dyDescent="0.25">
      <c r="A1372" s="201">
        <f>Prog_236[[#This Row],[CONTEINER]]</f>
        <v>0</v>
      </c>
      <c r="B1372" s="86"/>
      <c r="C13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2" s="44"/>
      <c r="E1372" s="66"/>
      <c r="F1372" s="66"/>
      <c r="G1372" s="66"/>
      <c r="H1372" s="44"/>
      <c r="I1372" s="44"/>
      <c r="J1372" s="66"/>
      <c r="K1372" s="66"/>
      <c r="L1372" s="66"/>
      <c r="M1372" s="66"/>
      <c r="N1372" s="66">
        <f>SUM(Prog_236[[#This Row],[TARA]]+Prog_236[[#This Row],[PESO]])</f>
        <v>0</v>
      </c>
      <c r="O1372" s="44"/>
      <c r="P1372" s="66"/>
      <c r="Q1372" s="66"/>
      <c r="R1372" s="66"/>
      <c r="S1372" s="66"/>
      <c r="T1372" s="138" t="str">
        <f>IFERROR(LOOKUP($S1372,MOTORISTAS!$D$3:$D$1048576,MOTORISTAS!E$3:$E$1048576),"")</f>
        <v/>
      </c>
      <c r="U1372" s="138" t="str">
        <f>IFERROR(LOOKUP($S1372,MOTORISTAS!$D$3:$D$1048576,MOTORISTAS!F$3:$F$1048576),"")</f>
        <v/>
      </c>
      <c r="V1372" s="66"/>
      <c r="W1372" s="66"/>
      <c r="X1372" s="66"/>
      <c r="Y1372" s="66"/>
      <c r="Z1372" s="66"/>
      <c r="AA1372" s="66"/>
      <c r="AB1372" s="66"/>
      <c r="AC1372" s="66"/>
      <c r="AD1372" s="66"/>
      <c r="AE1372" s="66"/>
      <c r="AF1372" s="44"/>
      <c r="AG1372" s="254">
        <f>Prog_236[[#This Row],[SAÍDA DO CLIENTE]]-Prog_236[[#This Row],[PROGRAMAÇÃO CLIENTE]]</f>
        <v>0</v>
      </c>
      <c r="AH1372" s="44"/>
      <c r="AI1372" s="66"/>
      <c r="AJ1372" s="66"/>
      <c r="AK1372" s="66"/>
      <c r="AL1372" s="66"/>
      <c r="AM1372" s="66"/>
      <c r="AN1372" s="83"/>
      <c r="AO1372" s="66"/>
      <c r="AP1372" s="66"/>
      <c r="AQ1372" s="66"/>
      <c r="AR1372" s="81"/>
      <c r="AS1372" s="81"/>
      <c r="AT1372" s="81"/>
      <c r="AU1372" s="81"/>
      <c r="AV1372" s="83">
        <f>SUM(Prog_236[[#This Row],[ADIANTAMENTO]]+Prog_236[[#This Row],[SALDO]]+Prog_236[[#This Row],[MARGEM]]+Prog_236[[#This Row],[ESTADIA 1]])</f>
        <v>0</v>
      </c>
      <c r="AW13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2" s="81"/>
      <c r="AY1372" s="81"/>
      <c r="AZ1372" s="81">
        <f>Prog_236[[#This Row],[VLR NF]]*0.1%</f>
        <v>0</v>
      </c>
      <c r="BA1372" s="81">
        <f>Prog_236[[#This Row],[VLR NF]]*0.05%</f>
        <v>0</v>
      </c>
      <c r="BB1372" s="81"/>
      <c r="BC1372" s="81"/>
      <c r="BD1372" s="81"/>
      <c r="BE1372" s="81"/>
      <c r="BF1372" s="81"/>
      <c r="BG1372" s="81"/>
      <c r="BH1372" s="81"/>
      <c r="BI1372" s="81"/>
      <c r="BJ1372" s="81"/>
      <c r="BK1372" s="81"/>
      <c r="BL1372" s="66"/>
      <c r="BM1372" s="66"/>
      <c r="BN1372" s="66"/>
      <c r="BO1372" s="66" t="str">
        <f>PROPER(TEXT(Prog_236[[#This Row],[PROGRAMAÇÃO CLIENTE]],"mmm"))</f>
        <v>Jan</v>
      </c>
      <c r="BP1372" s="66">
        <f>YEAR(Prog_236[[#This Row],[PROGRAMAÇÃO CLIENTE]])</f>
        <v>1900</v>
      </c>
    </row>
    <row r="1373" spans="1:68" x14ac:dyDescent="0.25">
      <c r="A1373" s="200">
        <f>Prog_236[[#This Row],[CONTEINER]]</f>
        <v>0</v>
      </c>
      <c r="B1373" s="86"/>
      <c r="C13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3" s="44"/>
      <c r="E1373" s="66"/>
      <c r="F1373" s="66"/>
      <c r="G1373" s="66"/>
      <c r="H1373" s="44"/>
      <c r="I1373" s="44"/>
      <c r="J1373" s="66"/>
      <c r="K1373" s="66"/>
      <c r="L1373" s="66"/>
      <c r="M1373" s="66"/>
      <c r="N1373" s="66">
        <f>SUM(Prog_236[[#This Row],[TARA]]+Prog_236[[#This Row],[PESO]])</f>
        <v>0</v>
      </c>
      <c r="O1373" s="44"/>
      <c r="P1373" s="66"/>
      <c r="Q1373" s="66"/>
      <c r="R1373" s="66"/>
      <c r="S1373" s="66"/>
      <c r="T1373" s="138" t="str">
        <f>IFERROR(LOOKUP($S1373,MOTORISTAS!$D$3:$D$1048576,MOTORISTAS!E$3:$E$1048576),"")</f>
        <v/>
      </c>
      <c r="U1373" s="138" t="str">
        <f>IFERROR(LOOKUP($S1373,MOTORISTAS!$D$3:$D$1048576,MOTORISTAS!F$3:$F$1048576),"")</f>
        <v/>
      </c>
      <c r="V1373" s="66"/>
      <c r="W1373" s="66"/>
      <c r="X1373" s="66"/>
      <c r="Y1373" s="66"/>
      <c r="Z1373" s="66"/>
      <c r="AA1373" s="66"/>
      <c r="AB1373" s="66"/>
      <c r="AC1373" s="66"/>
      <c r="AD1373" s="66"/>
      <c r="AE1373" s="66"/>
      <c r="AF1373" s="44"/>
      <c r="AG1373" s="254">
        <f>Prog_236[[#This Row],[SAÍDA DO CLIENTE]]-Prog_236[[#This Row],[PROGRAMAÇÃO CLIENTE]]</f>
        <v>0</v>
      </c>
      <c r="AH1373" s="44"/>
      <c r="AI1373" s="66"/>
      <c r="AJ1373" s="66"/>
      <c r="AK1373" s="66"/>
      <c r="AL1373" s="66"/>
      <c r="AM1373" s="66"/>
      <c r="AN1373" s="83"/>
      <c r="AO1373" s="66"/>
      <c r="AP1373" s="66"/>
      <c r="AQ1373" s="66"/>
      <c r="AR1373" s="81"/>
      <c r="AS1373" s="81"/>
      <c r="AT1373" s="81"/>
      <c r="AU1373" s="81"/>
      <c r="AV1373" s="83">
        <f>SUM(Prog_236[[#This Row],[ADIANTAMENTO]]+Prog_236[[#This Row],[SALDO]]+Prog_236[[#This Row],[MARGEM]]+Prog_236[[#This Row],[ESTADIA 1]])</f>
        <v>0</v>
      </c>
      <c r="AW13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3" s="81"/>
      <c r="AY1373" s="81"/>
      <c r="AZ1373" s="81">
        <f>Prog_236[[#This Row],[VLR NF]]*0.1%</f>
        <v>0</v>
      </c>
      <c r="BA1373" s="81">
        <f>Prog_236[[#This Row],[VLR NF]]*0.05%</f>
        <v>0</v>
      </c>
      <c r="BB1373" s="81"/>
      <c r="BC1373" s="81"/>
      <c r="BD1373" s="81"/>
      <c r="BE1373" s="81"/>
      <c r="BF1373" s="81"/>
      <c r="BG1373" s="81"/>
      <c r="BH1373" s="81"/>
      <c r="BI1373" s="81"/>
      <c r="BJ1373" s="81"/>
      <c r="BK1373" s="81"/>
      <c r="BL1373" s="66"/>
      <c r="BM1373" s="66"/>
      <c r="BN1373" s="66"/>
      <c r="BO1373" s="66" t="str">
        <f>PROPER(TEXT(Prog_236[[#This Row],[PROGRAMAÇÃO CLIENTE]],"mmm"))</f>
        <v>Jan</v>
      </c>
      <c r="BP1373" s="66">
        <f>YEAR(Prog_236[[#This Row],[PROGRAMAÇÃO CLIENTE]])</f>
        <v>1900</v>
      </c>
    </row>
    <row r="1374" spans="1:68" x14ac:dyDescent="0.25">
      <c r="A1374" s="201">
        <f>Prog_236[[#This Row],[CONTEINER]]</f>
        <v>0</v>
      </c>
      <c r="B1374" s="86"/>
      <c r="C13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4" s="44"/>
      <c r="E1374" s="66"/>
      <c r="F1374" s="66"/>
      <c r="G1374" s="66"/>
      <c r="H1374" s="44"/>
      <c r="I1374" s="44"/>
      <c r="J1374" s="66"/>
      <c r="K1374" s="66"/>
      <c r="L1374" s="66"/>
      <c r="M1374" s="66"/>
      <c r="N1374" s="66">
        <f>SUM(Prog_236[[#This Row],[TARA]]+Prog_236[[#This Row],[PESO]])</f>
        <v>0</v>
      </c>
      <c r="O1374" s="44"/>
      <c r="P1374" s="66"/>
      <c r="Q1374" s="66"/>
      <c r="R1374" s="66"/>
      <c r="S1374" s="66"/>
      <c r="T1374" s="138" t="str">
        <f>IFERROR(LOOKUP($S1374,MOTORISTAS!$D$3:$D$1048576,MOTORISTAS!E$3:$E$1048576),"")</f>
        <v/>
      </c>
      <c r="U1374" s="138" t="str">
        <f>IFERROR(LOOKUP($S1374,MOTORISTAS!$D$3:$D$1048576,MOTORISTAS!F$3:$F$1048576),"")</f>
        <v/>
      </c>
      <c r="V1374" s="66"/>
      <c r="W1374" s="66"/>
      <c r="X1374" s="66"/>
      <c r="Y1374" s="66"/>
      <c r="Z1374" s="66"/>
      <c r="AA1374" s="66"/>
      <c r="AB1374" s="66"/>
      <c r="AC1374" s="66"/>
      <c r="AD1374" s="66"/>
      <c r="AE1374" s="66"/>
      <c r="AF1374" s="44"/>
      <c r="AG1374" s="254">
        <f>Prog_236[[#This Row],[SAÍDA DO CLIENTE]]-Prog_236[[#This Row],[PROGRAMAÇÃO CLIENTE]]</f>
        <v>0</v>
      </c>
      <c r="AH1374" s="44"/>
      <c r="AI1374" s="66"/>
      <c r="AJ1374" s="66"/>
      <c r="AK1374" s="66"/>
      <c r="AL1374" s="66"/>
      <c r="AM1374" s="66"/>
      <c r="AN1374" s="83"/>
      <c r="AO1374" s="66"/>
      <c r="AP1374" s="66"/>
      <c r="AQ1374" s="66"/>
      <c r="AR1374" s="81"/>
      <c r="AS1374" s="81"/>
      <c r="AT1374" s="81"/>
      <c r="AU1374" s="81"/>
      <c r="AV1374" s="83">
        <f>SUM(Prog_236[[#This Row],[ADIANTAMENTO]]+Prog_236[[#This Row],[SALDO]]+Prog_236[[#This Row],[MARGEM]]+Prog_236[[#This Row],[ESTADIA 1]])</f>
        <v>0</v>
      </c>
      <c r="AW13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4" s="81"/>
      <c r="AY1374" s="81"/>
      <c r="AZ1374" s="81">
        <f>Prog_236[[#This Row],[VLR NF]]*0.1%</f>
        <v>0</v>
      </c>
      <c r="BA1374" s="81">
        <f>Prog_236[[#This Row],[VLR NF]]*0.05%</f>
        <v>0</v>
      </c>
      <c r="BB1374" s="81"/>
      <c r="BC1374" s="81"/>
      <c r="BD1374" s="81"/>
      <c r="BE1374" s="81"/>
      <c r="BF1374" s="81"/>
      <c r="BG1374" s="81"/>
      <c r="BH1374" s="81"/>
      <c r="BI1374" s="81"/>
      <c r="BJ1374" s="81"/>
      <c r="BK1374" s="81"/>
      <c r="BL1374" s="66"/>
      <c r="BM1374" s="66"/>
      <c r="BN1374" s="66"/>
      <c r="BO1374" s="66" t="str">
        <f>PROPER(TEXT(Prog_236[[#This Row],[PROGRAMAÇÃO CLIENTE]],"mmm"))</f>
        <v>Jan</v>
      </c>
      <c r="BP1374" s="66">
        <f>YEAR(Prog_236[[#This Row],[PROGRAMAÇÃO CLIENTE]])</f>
        <v>1900</v>
      </c>
    </row>
    <row r="1375" spans="1:68" x14ac:dyDescent="0.25">
      <c r="A1375" s="200">
        <f>Prog_236[[#This Row],[CONTEINER]]</f>
        <v>0</v>
      </c>
      <c r="B1375" s="86"/>
      <c r="C13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5" s="44"/>
      <c r="E1375" s="66"/>
      <c r="F1375" s="66"/>
      <c r="G1375" s="66"/>
      <c r="H1375" s="44"/>
      <c r="I1375" s="44"/>
      <c r="J1375" s="66"/>
      <c r="K1375" s="66"/>
      <c r="L1375" s="66"/>
      <c r="M1375" s="66"/>
      <c r="N1375" s="66">
        <f>SUM(Prog_236[[#This Row],[TARA]]+Prog_236[[#This Row],[PESO]])</f>
        <v>0</v>
      </c>
      <c r="O1375" s="44"/>
      <c r="P1375" s="66"/>
      <c r="Q1375" s="66"/>
      <c r="R1375" s="66"/>
      <c r="S1375" s="66"/>
      <c r="T1375" s="138" t="str">
        <f>IFERROR(LOOKUP($S1375,MOTORISTAS!$D$3:$D$1048576,MOTORISTAS!E$3:$E$1048576),"")</f>
        <v/>
      </c>
      <c r="U1375" s="138" t="str">
        <f>IFERROR(LOOKUP($S1375,MOTORISTAS!$D$3:$D$1048576,MOTORISTAS!F$3:$F$1048576),"")</f>
        <v/>
      </c>
      <c r="V1375" s="66"/>
      <c r="W1375" s="66"/>
      <c r="X1375" s="66"/>
      <c r="Y1375" s="66"/>
      <c r="Z1375" s="66"/>
      <c r="AA1375" s="66"/>
      <c r="AB1375" s="66"/>
      <c r="AC1375" s="66"/>
      <c r="AD1375" s="66"/>
      <c r="AE1375" s="66"/>
      <c r="AF1375" s="44"/>
      <c r="AG1375" s="254">
        <f>Prog_236[[#This Row],[SAÍDA DO CLIENTE]]-Prog_236[[#This Row],[PROGRAMAÇÃO CLIENTE]]</f>
        <v>0</v>
      </c>
      <c r="AH1375" s="44"/>
      <c r="AI1375" s="66"/>
      <c r="AJ1375" s="66"/>
      <c r="AK1375" s="66"/>
      <c r="AL1375" s="66"/>
      <c r="AM1375" s="66"/>
      <c r="AN1375" s="83"/>
      <c r="AO1375" s="66"/>
      <c r="AP1375" s="66"/>
      <c r="AQ1375" s="66"/>
      <c r="AR1375" s="81"/>
      <c r="AS1375" s="81"/>
      <c r="AT1375" s="81"/>
      <c r="AU1375" s="81"/>
      <c r="AV1375" s="83">
        <f>SUM(Prog_236[[#This Row],[ADIANTAMENTO]]+Prog_236[[#This Row],[SALDO]]+Prog_236[[#This Row],[MARGEM]]+Prog_236[[#This Row],[ESTADIA 1]])</f>
        <v>0</v>
      </c>
      <c r="AW13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5" s="81"/>
      <c r="AY1375" s="81"/>
      <c r="AZ1375" s="81">
        <f>Prog_236[[#This Row],[VLR NF]]*0.1%</f>
        <v>0</v>
      </c>
      <c r="BA1375" s="81">
        <f>Prog_236[[#This Row],[VLR NF]]*0.05%</f>
        <v>0</v>
      </c>
      <c r="BB1375" s="81"/>
      <c r="BC1375" s="81"/>
      <c r="BD1375" s="81"/>
      <c r="BE1375" s="81"/>
      <c r="BF1375" s="81"/>
      <c r="BG1375" s="81"/>
      <c r="BH1375" s="81"/>
      <c r="BI1375" s="81"/>
      <c r="BJ1375" s="81"/>
      <c r="BK1375" s="81"/>
      <c r="BL1375" s="66"/>
      <c r="BM1375" s="66"/>
      <c r="BN1375" s="66"/>
      <c r="BO1375" s="66" t="str">
        <f>PROPER(TEXT(Prog_236[[#This Row],[PROGRAMAÇÃO CLIENTE]],"mmm"))</f>
        <v>Jan</v>
      </c>
      <c r="BP1375" s="66">
        <f>YEAR(Prog_236[[#This Row],[PROGRAMAÇÃO CLIENTE]])</f>
        <v>1900</v>
      </c>
    </row>
    <row r="1376" spans="1:68" x14ac:dyDescent="0.25">
      <c r="A1376" s="201">
        <f>Prog_236[[#This Row],[CONTEINER]]</f>
        <v>0</v>
      </c>
      <c r="B1376" s="86"/>
      <c r="C13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6" s="44"/>
      <c r="E1376" s="66"/>
      <c r="F1376" s="66"/>
      <c r="G1376" s="66"/>
      <c r="H1376" s="44"/>
      <c r="I1376" s="44"/>
      <c r="J1376" s="66"/>
      <c r="K1376" s="66"/>
      <c r="L1376" s="66"/>
      <c r="M1376" s="66"/>
      <c r="N1376" s="66">
        <f>SUM(Prog_236[[#This Row],[TARA]]+Prog_236[[#This Row],[PESO]])</f>
        <v>0</v>
      </c>
      <c r="O1376" s="44"/>
      <c r="P1376" s="66"/>
      <c r="Q1376" s="66"/>
      <c r="R1376" s="66"/>
      <c r="S1376" s="66"/>
      <c r="T1376" s="138" t="str">
        <f>IFERROR(LOOKUP($S1376,MOTORISTAS!$D$3:$D$1048576,MOTORISTAS!E$3:$E$1048576),"")</f>
        <v/>
      </c>
      <c r="U1376" s="138" t="str">
        <f>IFERROR(LOOKUP($S1376,MOTORISTAS!$D$3:$D$1048576,MOTORISTAS!F$3:$F$1048576),"")</f>
        <v/>
      </c>
      <c r="V1376" s="66"/>
      <c r="W1376" s="66"/>
      <c r="X1376" s="66"/>
      <c r="Y1376" s="66"/>
      <c r="Z1376" s="66"/>
      <c r="AA1376" s="66"/>
      <c r="AB1376" s="66"/>
      <c r="AC1376" s="66"/>
      <c r="AD1376" s="66"/>
      <c r="AE1376" s="66"/>
      <c r="AF1376" s="44"/>
      <c r="AG1376" s="254">
        <f>Prog_236[[#This Row],[SAÍDA DO CLIENTE]]-Prog_236[[#This Row],[PROGRAMAÇÃO CLIENTE]]</f>
        <v>0</v>
      </c>
      <c r="AH1376" s="44"/>
      <c r="AI1376" s="66"/>
      <c r="AJ1376" s="66"/>
      <c r="AK1376" s="66"/>
      <c r="AL1376" s="66"/>
      <c r="AM1376" s="66"/>
      <c r="AN1376" s="83"/>
      <c r="AO1376" s="66"/>
      <c r="AP1376" s="66"/>
      <c r="AQ1376" s="66"/>
      <c r="AR1376" s="81"/>
      <c r="AS1376" s="81"/>
      <c r="AT1376" s="81"/>
      <c r="AU1376" s="81"/>
      <c r="AV1376" s="83">
        <f>SUM(Prog_236[[#This Row],[ADIANTAMENTO]]+Prog_236[[#This Row],[SALDO]]+Prog_236[[#This Row],[MARGEM]]+Prog_236[[#This Row],[ESTADIA 1]])</f>
        <v>0</v>
      </c>
      <c r="AW13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6" s="81"/>
      <c r="AY1376" s="81"/>
      <c r="AZ1376" s="81">
        <f>Prog_236[[#This Row],[VLR NF]]*0.1%</f>
        <v>0</v>
      </c>
      <c r="BA1376" s="81">
        <f>Prog_236[[#This Row],[VLR NF]]*0.05%</f>
        <v>0</v>
      </c>
      <c r="BB1376" s="81"/>
      <c r="BC1376" s="81"/>
      <c r="BD1376" s="81"/>
      <c r="BE1376" s="81"/>
      <c r="BF1376" s="81"/>
      <c r="BG1376" s="81"/>
      <c r="BH1376" s="81"/>
      <c r="BI1376" s="81"/>
      <c r="BJ1376" s="81"/>
      <c r="BK1376" s="81"/>
      <c r="BL1376" s="66"/>
      <c r="BM1376" s="66"/>
      <c r="BN1376" s="66"/>
      <c r="BO1376" s="66" t="str">
        <f>PROPER(TEXT(Prog_236[[#This Row],[PROGRAMAÇÃO CLIENTE]],"mmm"))</f>
        <v>Jan</v>
      </c>
      <c r="BP1376" s="66">
        <f>YEAR(Prog_236[[#This Row],[PROGRAMAÇÃO CLIENTE]])</f>
        <v>1900</v>
      </c>
    </row>
    <row r="1377" spans="1:68" x14ac:dyDescent="0.25">
      <c r="A1377" s="200">
        <f>Prog_236[[#This Row],[CONTEINER]]</f>
        <v>0</v>
      </c>
      <c r="B1377" s="86"/>
      <c r="C13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7" s="44"/>
      <c r="E1377" s="66"/>
      <c r="F1377" s="66"/>
      <c r="G1377" s="66"/>
      <c r="H1377" s="44"/>
      <c r="I1377" s="44"/>
      <c r="J1377" s="66"/>
      <c r="K1377" s="66"/>
      <c r="L1377" s="66"/>
      <c r="M1377" s="66"/>
      <c r="N1377" s="66">
        <f>SUM(Prog_236[[#This Row],[TARA]]+Prog_236[[#This Row],[PESO]])</f>
        <v>0</v>
      </c>
      <c r="O1377" s="44"/>
      <c r="P1377" s="66"/>
      <c r="Q1377" s="66"/>
      <c r="R1377" s="66"/>
      <c r="S1377" s="66"/>
      <c r="T1377" s="138" t="str">
        <f>IFERROR(LOOKUP($S1377,MOTORISTAS!$D$3:$D$1048576,MOTORISTAS!E$3:$E$1048576),"")</f>
        <v/>
      </c>
      <c r="U1377" s="138" t="str">
        <f>IFERROR(LOOKUP($S1377,MOTORISTAS!$D$3:$D$1048576,MOTORISTAS!F$3:$F$1048576),"")</f>
        <v/>
      </c>
      <c r="V1377" s="66"/>
      <c r="W1377" s="66"/>
      <c r="X1377" s="66"/>
      <c r="Y1377" s="66"/>
      <c r="Z1377" s="66"/>
      <c r="AA1377" s="66"/>
      <c r="AB1377" s="66"/>
      <c r="AC1377" s="66"/>
      <c r="AD1377" s="66"/>
      <c r="AE1377" s="66"/>
      <c r="AF1377" s="44"/>
      <c r="AG1377" s="254">
        <f>Prog_236[[#This Row],[SAÍDA DO CLIENTE]]-Prog_236[[#This Row],[PROGRAMAÇÃO CLIENTE]]</f>
        <v>0</v>
      </c>
      <c r="AH1377" s="44"/>
      <c r="AI1377" s="66"/>
      <c r="AJ1377" s="66"/>
      <c r="AK1377" s="66"/>
      <c r="AL1377" s="66"/>
      <c r="AM1377" s="66"/>
      <c r="AN1377" s="83"/>
      <c r="AO1377" s="66"/>
      <c r="AP1377" s="66"/>
      <c r="AQ1377" s="66"/>
      <c r="AR1377" s="81"/>
      <c r="AS1377" s="81"/>
      <c r="AT1377" s="81"/>
      <c r="AU1377" s="81"/>
      <c r="AV1377" s="83">
        <f>SUM(Prog_236[[#This Row],[ADIANTAMENTO]]+Prog_236[[#This Row],[SALDO]]+Prog_236[[#This Row],[MARGEM]]+Prog_236[[#This Row],[ESTADIA 1]])</f>
        <v>0</v>
      </c>
      <c r="AW13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7" s="81"/>
      <c r="AY1377" s="81"/>
      <c r="AZ1377" s="81">
        <f>Prog_236[[#This Row],[VLR NF]]*0.1%</f>
        <v>0</v>
      </c>
      <c r="BA1377" s="81">
        <f>Prog_236[[#This Row],[VLR NF]]*0.05%</f>
        <v>0</v>
      </c>
      <c r="BB1377" s="81"/>
      <c r="BC1377" s="81"/>
      <c r="BD1377" s="81"/>
      <c r="BE1377" s="81"/>
      <c r="BF1377" s="81"/>
      <c r="BG1377" s="81"/>
      <c r="BH1377" s="81"/>
      <c r="BI1377" s="81"/>
      <c r="BJ1377" s="81"/>
      <c r="BK1377" s="81"/>
      <c r="BL1377" s="66"/>
      <c r="BM1377" s="66"/>
      <c r="BN1377" s="66"/>
      <c r="BO1377" s="66" t="str">
        <f>PROPER(TEXT(Prog_236[[#This Row],[PROGRAMAÇÃO CLIENTE]],"mmm"))</f>
        <v>Jan</v>
      </c>
      <c r="BP1377" s="66">
        <f>YEAR(Prog_236[[#This Row],[PROGRAMAÇÃO CLIENTE]])</f>
        <v>1900</v>
      </c>
    </row>
    <row r="1378" spans="1:68" x14ac:dyDescent="0.25">
      <c r="A1378" s="201">
        <f>Prog_236[[#This Row],[CONTEINER]]</f>
        <v>0</v>
      </c>
      <c r="B1378" s="86"/>
      <c r="C13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8" s="44"/>
      <c r="E1378" s="66"/>
      <c r="F1378" s="66"/>
      <c r="G1378" s="66"/>
      <c r="H1378" s="44"/>
      <c r="I1378" s="44"/>
      <c r="J1378" s="66"/>
      <c r="K1378" s="66"/>
      <c r="L1378" s="66"/>
      <c r="M1378" s="66"/>
      <c r="N1378" s="66">
        <f>SUM(Prog_236[[#This Row],[TARA]]+Prog_236[[#This Row],[PESO]])</f>
        <v>0</v>
      </c>
      <c r="O1378" s="44"/>
      <c r="P1378" s="66"/>
      <c r="Q1378" s="66"/>
      <c r="R1378" s="66"/>
      <c r="S1378" s="66"/>
      <c r="T1378" s="138" t="str">
        <f>IFERROR(LOOKUP($S1378,MOTORISTAS!$D$3:$D$1048576,MOTORISTAS!E$3:$E$1048576),"")</f>
        <v/>
      </c>
      <c r="U1378" s="138" t="str">
        <f>IFERROR(LOOKUP($S1378,MOTORISTAS!$D$3:$D$1048576,MOTORISTAS!F$3:$F$1048576),"")</f>
        <v/>
      </c>
      <c r="V1378" s="66"/>
      <c r="W1378" s="66"/>
      <c r="X1378" s="66"/>
      <c r="Y1378" s="66"/>
      <c r="Z1378" s="66"/>
      <c r="AA1378" s="66"/>
      <c r="AB1378" s="66"/>
      <c r="AC1378" s="66"/>
      <c r="AD1378" s="66"/>
      <c r="AE1378" s="66"/>
      <c r="AF1378" s="44"/>
      <c r="AG1378" s="254">
        <f>Prog_236[[#This Row],[SAÍDA DO CLIENTE]]-Prog_236[[#This Row],[PROGRAMAÇÃO CLIENTE]]</f>
        <v>0</v>
      </c>
      <c r="AH1378" s="44"/>
      <c r="AI1378" s="66"/>
      <c r="AJ1378" s="66"/>
      <c r="AK1378" s="66"/>
      <c r="AL1378" s="66"/>
      <c r="AM1378" s="66"/>
      <c r="AN1378" s="83"/>
      <c r="AO1378" s="66"/>
      <c r="AP1378" s="66"/>
      <c r="AQ1378" s="66"/>
      <c r="AR1378" s="81"/>
      <c r="AS1378" s="81"/>
      <c r="AT1378" s="81"/>
      <c r="AU1378" s="81"/>
      <c r="AV1378" s="83">
        <f>SUM(Prog_236[[#This Row],[ADIANTAMENTO]]+Prog_236[[#This Row],[SALDO]]+Prog_236[[#This Row],[MARGEM]]+Prog_236[[#This Row],[ESTADIA 1]])</f>
        <v>0</v>
      </c>
      <c r="AW13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8" s="81"/>
      <c r="AY1378" s="81"/>
      <c r="AZ1378" s="81">
        <f>Prog_236[[#This Row],[VLR NF]]*0.1%</f>
        <v>0</v>
      </c>
      <c r="BA1378" s="81">
        <f>Prog_236[[#This Row],[VLR NF]]*0.05%</f>
        <v>0</v>
      </c>
      <c r="BB1378" s="81"/>
      <c r="BC1378" s="81"/>
      <c r="BD1378" s="81"/>
      <c r="BE1378" s="81"/>
      <c r="BF1378" s="81"/>
      <c r="BG1378" s="81"/>
      <c r="BH1378" s="81"/>
      <c r="BI1378" s="81"/>
      <c r="BJ1378" s="81"/>
      <c r="BK1378" s="81"/>
      <c r="BL1378" s="66"/>
      <c r="BM1378" s="66"/>
      <c r="BN1378" s="66"/>
      <c r="BO1378" s="66" t="str">
        <f>PROPER(TEXT(Prog_236[[#This Row],[PROGRAMAÇÃO CLIENTE]],"mmm"))</f>
        <v>Jan</v>
      </c>
      <c r="BP1378" s="66">
        <f>YEAR(Prog_236[[#This Row],[PROGRAMAÇÃO CLIENTE]])</f>
        <v>1900</v>
      </c>
    </row>
    <row r="1379" spans="1:68" x14ac:dyDescent="0.25">
      <c r="A1379" s="200">
        <f>Prog_236[[#This Row],[CONTEINER]]</f>
        <v>0</v>
      </c>
      <c r="B1379" s="86"/>
      <c r="C13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79" s="44"/>
      <c r="E1379" s="66"/>
      <c r="F1379" s="66"/>
      <c r="G1379" s="66"/>
      <c r="H1379" s="44"/>
      <c r="I1379" s="44"/>
      <c r="J1379" s="66"/>
      <c r="K1379" s="66"/>
      <c r="L1379" s="66"/>
      <c r="M1379" s="66"/>
      <c r="N1379" s="66">
        <f>SUM(Prog_236[[#This Row],[TARA]]+Prog_236[[#This Row],[PESO]])</f>
        <v>0</v>
      </c>
      <c r="O1379" s="44"/>
      <c r="P1379" s="66"/>
      <c r="Q1379" s="66"/>
      <c r="R1379" s="66"/>
      <c r="S1379" s="66"/>
      <c r="T1379" s="138" t="str">
        <f>IFERROR(LOOKUP($S1379,MOTORISTAS!$D$3:$D$1048576,MOTORISTAS!E$3:$E$1048576),"")</f>
        <v/>
      </c>
      <c r="U1379" s="138" t="str">
        <f>IFERROR(LOOKUP($S1379,MOTORISTAS!$D$3:$D$1048576,MOTORISTAS!F$3:$F$1048576),"")</f>
        <v/>
      </c>
      <c r="V1379" s="66"/>
      <c r="W1379" s="66"/>
      <c r="X1379" s="66"/>
      <c r="Y1379" s="66"/>
      <c r="Z1379" s="66"/>
      <c r="AA1379" s="66"/>
      <c r="AB1379" s="66"/>
      <c r="AC1379" s="66"/>
      <c r="AD1379" s="66"/>
      <c r="AE1379" s="66"/>
      <c r="AF1379" s="44"/>
      <c r="AG1379" s="254">
        <f>Prog_236[[#This Row],[SAÍDA DO CLIENTE]]-Prog_236[[#This Row],[PROGRAMAÇÃO CLIENTE]]</f>
        <v>0</v>
      </c>
      <c r="AH1379" s="44"/>
      <c r="AI1379" s="66"/>
      <c r="AJ1379" s="66"/>
      <c r="AK1379" s="66"/>
      <c r="AL1379" s="66"/>
      <c r="AM1379" s="66"/>
      <c r="AN1379" s="83"/>
      <c r="AO1379" s="66"/>
      <c r="AP1379" s="66"/>
      <c r="AQ1379" s="66"/>
      <c r="AR1379" s="81"/>
      <c r="AS1379" s="81"/>
      <c r="AT1379" s="81"/>
      <c r="AU1379" s="81"/>
      <c r="AV1379" s="83">
        <f>SUM(Prog_236[[#This Row],[ADIANTAMENTO]]+Prog_236[[#This Row],[SALDO]]+Prog_236[[#This Row],[MARGEM]]+Prog_236[[#This Row],[ESTADIA 1]])</f>
        <v>0</v>
      </c>
      <c r="AW13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79" s="81"/>
      <c r="AY1379" s="81"/>
      <c r="AZ1379" s="81">
        <f>Prog_236[[#This Row],[VLR NF]]*0.1%</f>
        <v>0</v>
      </c>
      <c r="BA1379" s="81">
        <f>Prog_236[[#This Row],[VLR NF]]*0.05%</f>
        <v>0</v>
      </c>
      <c r="BB1379" s="81"/>
      <c r="BC1379" s="81"/>
      <c r="BD1379" s="81"/>
      <c r="BE1379" s="81"/>
      <c r="BF1379" s="81"/>
      <c r="BG1379" s="81"/>
      <c r="BH1379" s="81"/>
      <c r="BI1379" s="81"/>
      <c r="BJ1379" s="81"/>
      <c r="BK1379" s="81"/>
      <c r="BL1379" s="66"/>
      <c r="BM1379" s="66"/>
      <c r="BN1379" s="66"/>
      <c r="BO1379" s="66" t="str">
        <f>PROPER(TEXT(Prog_236[[#This Row],[PROGRAMAÇÃO CLIENTE]],"mmm"))</f>
        <v>Jan</v>
      </c>
      <c r="BP1379" s="66">
        <f>YEAR(Prog_236[[#This Row],[PROGRAMAÇÃO CLIENTE]])</f>
        <v>1900</v>
      </c>
    </row>
    <row r="1380" spans="1:68" x14ac:dyDescent="0.25">
      <c r="A1380" s="201">
        <f>Prog_236[[#This Row],[CONTEINER]]</f>
        <v>0</v>
      </c>
      <c r="B1380" s="86"/>
      <c r="C13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0" s="44"/>
      <c r="E1380" s="66"/>
      <c r="F1380" s="66"/>
      <c r="G1380" s="66"/>
      <c r="H1380" s="44"/>
      <c r="I1380" s="44"/>
      <c r="J1380" s="66"/>
      <c r="K1380" s="66"/>
      <c r="L1380" s="66"/>
      <c r="M1380" s="66"/>
      <c r="N1380" s="66">
        <f>SUM(Prog_236[[#This Row],[TARA]]+Prog_236[[#This Row],[PESO]])</f>
        <v>0</v>
      </c>
      <c r="O1380" s="44"/>
      <c r="P1380" s="66"/>
      <c r="Q1380" s="66"/>
      <c r="R1380" s="66"/>
      <c r="S1380" s="66"/>
      <c r="T1380" s="138" t="str">
        <f>IFERROR(LOOKUP($S1380,MOTORISTAS!$D$3:$D$1048576,MOTORISTAS!E$3:$E$1048576),"")</f>
        <v/>
      </c>
      <c r="U1380" s="138" t="str">
        <f>IFERROR(LOOKUP($S1380,MOTORISTAS!$D$3:$D$1048576,MOTORISTAS!F$3:$F$1048576),"")</f>
        <v/>
      </c>
      <c r="V1380" s="66"/>
      <c r="W1380" s="66"/>
      <c r="X1380" s="66"/>
      <c r="Y1380" s="66"/>
      <c r="Z1380" s="66"/>
      <c r="AA1380" s="66"/>
      <c r="AB1380" s="66"/>
      <c r="AC1380" s="66"/>
      <c r="AD1380" s="66"/>
      <c r="AE1380" s="66"/>
      <c r="AF1380" s="44"/>
      <c r="AG1380" s="254">
        <f>Prog_236[[#This Row],[SAÍDA DO CLIENTE]]-Prog_236[[#This Row],[PROGRAMAÇÃO CLIENTE]]</f>
        <v>0</v>
      </c>
      <c r="AH1380" s="44"/>
      <c r="AI1380" s="66"/>
      <c r="AJ1380" s="66"/>
      <c r="AK1380" s="66"/>
      <c r="AL1380" s="66"/>
      <c r="AM1380" s="66"/>
      <c r="AN1380" s="83"/>
      <c r="AO1380" s="66"/>
      <c r="AP1380" s="66"/>
      <c r="AQ1380" s="66"/>
      <c r="AR1380" s="81"/>
      <c r="AS1380" s="81"/>
      <c r="AT1380" s="81"/>
      <c r="AU1380" s="81"/>
      <c r="AV1380" s="83">
        <f>SUM(Prog_236[[#This Row],[ADIANTAMENTO]]+Prog_236[[#This Row],[SALDO]]+Prog_236[[#This Row],[MARGEM]]+Prog_236[[#This Row],[ESTADIA 1]])</f>
        <v>0</v>
      </c>
      <c r="AW13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0" s="81"/>
      <c r="AY1380" s="81"/>
      <c r="AZ1380" s="81">
        <f>Prog_236[[#This Row],[VLR NF]]*0.1%</f>
        <v>0</v>
      </c>
      <c r="BA1380" s="81">
        <f>Prog_236[[#This Row],[VLR NF]]*0.05%</f>
        <v>0</v>
      </c>
      <c r="BB1380" s="81"/>
      <c r="BC1380" s="81"/>
      <c r="BD1380" s="81"/>
      <c r="BE1380" s="81"/>
      <c r="BF1380" s="81"/>
      <c r="BG1380" s="81"/>
      <c r="BH1380" s="81"/>
      <c r="BI1380" s="81"/>
      <c r="BJ1380" s="81"/>
      <c r="BK1380" s="81"/>
      <c r="BL1380" s="66"/>
      <c r="BM1380" s="66"/>
      <c r="BN1380" s="66"/>
      <c r="BO1380" s="66" t="str">
        <f>PROPER(TEXT(Prog_236[[#This Row],[PROGRAMAÇÃO CLIENTE]],"mmm"))</f>
        <v>Jan</v>
      </c>
      <c r="BP1380" s="66">
        <f>YEAR(Prog_236[[#This Row],[PROGRAMAÇÃO CLIENTE]])</f>
        <v>1900</v>
      </c>
    </row>
    <row r="1381" spans="1:68" x14ac:dyDescent="0.25">
      <c r="A1381" s="200">
        <f>Prog_236[[#This Row],[CONTEINER]]</f>
        <v>0</v>
      </c>
      <c r="B1381" s="86"/>
      <c r="C13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1" s="44"/>
      <c r="E1381" s="66"/>
      <c r="F1381" s="66"/>
      <c r="G1381" s="66"/>
      <c r="H1381" s="44"/>
      <c r="I1381" s="44"/>
      <c r="J1381" s="66"/>
      <c r="K1381" s="66"/>
      <c r="L1381" s="66"/>
      <c r="M1381" s="66"/>
      <c r="N1381" s="66">
        <f>SUM(Prog_236[[#This Row],[TARA]]+Prog_236[[#This Row],[PESO]])</f>
        <v>0</v>
      </c>
      <c r="O1381" s="44"/>
      <c r="P1381" s="66"/>
      <c r="Q1381" s="66"/>
      <c r="R1381" s="66"/>
      <c r="S1381" s="66"/>
      <c r="T1381" s="138" t="str">
        <f>IFERROR(LOOKUP($S1381,MOTORISTAS!$D$3:$D$1048576,MOTORISTAS!E$3:$E$1048576),"")</f>
        <v/>
      </c>
      <c r="U1381" s="138" t="str">
        <f>IFERROR(LOOKUP($S1381,MOTORISTAS!$D$3:$D$1048576,MOTORISTAS!F$3:$F$1048576),"")</f>
        <v/>
      </c>
      <c r="V1381" s="66"/>
      <c r="W1381" s="66"/>
      <c r="X1381" s="66"/>
      <c r="Y1381" s="66"/>
      <c r="Z1381" s="66"/>
      <c r="AA1381" s="66"/>
      <c r="AB1381" s="66"/>
      <c r="AC1381" s="66"/>
      <c r="AD1381" s="66"/>
      <c r="AE1381" s="66"/>
      <c r="AF1381" s="44"/>
      <c r="AG1381" s="254">
        <f>Prog_236[[#This Row],[SAÍDA DO CLIENTE]]-Prog_236[[#This Row],[PROGRAMAÇÃO CLIENTE]]</f>
        <v>0</v>
      </c>
      <c r="AH1381" s="44"/>
      <c r="AI1381" s="66"/>
      <c r="AJ1381" s="66"/>
      <c r="AK1381" s="66"/>
      <c r="AL1381" s="66"/>
      <c r="AM1381" s="66"/>
      <c r="AN1381" s="83"/>
      <c r="AO1381" s="66"/>
      <c r="AP1381" s="66"/>
      <c r="AQ1381" s="66"/>
      <c r="AR1381" s="81"/>
      <c r="AS1381" s="81"/>
      <c r="AT1381" s="81"/>
      <c r="AU1381" s="81"/>
      <c r="AV1381" s="83">
        <f>SUM(Prog_236[[#This Row],[ADIANTAMENTO]]+Prog_236[[#This Row],[SALDO]]+Prog_236[[#This Row],[MARGEM]]+Prog_236[[#This Row],[ESTADIA 1]])</f>
        <v>0</v>
      </c>
      <c r="AW13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1" s="81"/>
      <c r="AY1381" s="81"/>
      <c r="AZ1381" s="81">
        <f>Prog_236[[#This Row],[VLR NF]]*0.1%</f>
        <v>0</v>
      </c>
      <c r="BA1381" s="81">
        <f>Prog_236[[#This Row],[VLR NF]]*0.05%</f>
        <v>0</v>
      </c>
      <c r="BB1381" s="81"/>
      <c r="BC1381" s="81"/>
      <c r="BD1381" s="81"/>
      <c r="BE1381" s="81"/>
      <c r="BF1381" s="81"/>
      <c r="BG1381" s="81"/>
      <c r="BH1381" s="81"/>
      <c r="BI1381" s="81"/>
      <c r="BJ1381" s="81"/>
      <c r="BK1381" s="81"/>
      <c r="BL1381" s="66"/>
      <c r="BM1381" s="66"/>
      <c r="BN1381" s="66"/>
      <c r="BO1381" s="66" t="str">
        <f>PROPER(TEXT(Prog_236[[#This Row],[PROGRAMAÇÃO CLIENTE]],"mmm"))</f>
        <v>Jan</v>
      </c>
      <c r="BP1381" s="66">
        <f>YEAR(Prog_236[[#This Row],[PROGRAMAÇÃO CLIENTE]])</f>
        <v>1900</v>
      </c>
    </row>
    <row r="1382" spans="1:68" x14ac:dyDescent="0.25">
      <c r="A1382" s="201">
        <f>Prog_236[[#This Row],[CONTEINER]]</f>
        <v>0</v>
      </c>
      <c r="B1382" s="86"/>
      <c r="C13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2" s="44"/>
      <c r="E1382" s="66"/>
      <c r="F1382" s="66"/>
      <c r="G1382" s="66"/>
      <c r="H1382" s="44"/>
      <c r="I1382" s="44"/>
      <c r="J1382" s="66"/>
      <c r="K1382" s="66"/>
      <c r="L1382" s="66"/>
      <c r="M1382" s="66"/>
      <c r="N1382" s="66">
        <f>SUM(Prog_236[[#This Row],[TARA]]+Prog_236[[#This Row],[PESO]])</f>
        <v>0</v>
      </c>
      <c r="O1382" s="44"/>
      <c r="P1382" s="66"/>
      <c r="Q1382" s="66"/>
      <c r="R1382" s="66"/>
      <c r="S1382" s="66"/>
      <c r="T1382" s="138" t="str">
        <f>IFERROR(LOOKUP($S1382,MOTORISTAS!$D$3:$D$1048576,MOTORISTAS!E$3:$E$1048576),"")</f>
        <v/>
      </c>
      <c r="U1382" s="138" t="str">
        <f>IFERROR(LOOKUP($S1382,MOTORISTAS!$D$3:$D$1048576,MOTORISTAS!F$3:$F$1048576),"")</f>
        <v/>
      </c>
      <c r="V1382" s="66"/>
      <c r="W1382" s="66"/>
      <c r="X1382" s="66"/>
      <c r="Y1382" s="66"/>
      <c r="Z1382" s="66"/>
      <c r="AA1382" s="66"/>
      <c r="AB1382" s="66"/>
      <c r="AC1382" s="66"/>
      <c r="AD1382" s="66"/>
      <c r="AE1382" s="66"/>
      <c r="AF1382" s="44"/>
      <c r="AG1382" s="254">
        <f>Prog_236[[#This Row],[SAÍDA DO CLIENTE]]-Prog_236[[#This Row],[PROGRAMAÇÃO CLIENTE]]</f>
        <v>0</v>
      </c>
      <c r="AH1382" s="44"/>
      <c r="AI1382" s="66"/>
      <c r="AJ1382" s="66"/>
      <c r="AK1382" s="66"/>
      <c r="AL1382" s="66"/>
      <c r="AM1382" s="66"/>
      <c r="AN1382" s="83"/>
      <c r="AO1382" s="66"/>
      <c r="AP1382" s="66"/>
      <c r="AQ1382" s="66"/>
      <c r="AR1382" s="81"/>
      <c r="AS1382" s="81"/>
      <c r="AT1382" s="81"/>
      <c r="AU1382" s="81"/>
      <c r="AV1382" s="83">
        <f>SUM(Prog_236[[#This Row],[ADIANTAMENTO]]+Prog_236[[#This Row],[SALDO]]+Prog_236[[#This Row],[MARGEM]]+Prog_236[[#This Row],[ESTADIA 1]])</f>
        <v>0</v>
      </c>
      <c r="AW13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2" s="81"/>
      <c r="AY1382" s="81"/>
      <c r="AZ1382" s="81">
        <f>Prog_236[[#This Row],[VLR NF]]*0.1%</f>
        <v>0</v>
      </c>
      <c r="BA1382" s="81">
        <f>Prog_236[[#This Row],[VLR NF]]*0.05%</f>
        <v>0</v>
      </c>
      <c r="BB1382" s="81"/>
      <c r="BC1382" s="81"/>
      <c r="BD1382" s="81"/>
      <c r="BE1382" s="81"/>
      <c r="BF1382" s="81"/>
      <c r="BG1382" s="81"/>
      <c r="BH1382" s="81"/>
      <c r="BI1382" s="81"/>
      <c r="BJ1382" s="81"/>
      <c r="BK1382" s="81"/>
      <c r="BL1382" s="66"/>
      <c r="BM1382" s="66"/>
      <c r="BN1382" s="66"/>
      <c r="BO1382" s="66" t="str">
        <f>PROPER(TEXT(Prog_236[[#This Row],[PROGRAMAÇÃO CLIENTE]],"mmm"))</f>
        <v>Jan</v>
      </c>
      <c r="BP1382" s="66">
        <f>YEAR(Prog_236[[#This Row],[PROGRAMAÇÃO CLIENTE]])</f>
        <v>1900</v>
      </c>
    </row>
    <row r="1383" spans="1:68" x14ac:dyDescent="0.25">
      <c r="A1383" s="200">
        <f>Prog_236[[#This Row],[CONTEINER]]</f>
        <v>0</v>
      </c>
      <c r="B1383" s="86"/>
      <c r="C13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3" s="44"/>
      <c r="E1383" s="66"/>
      <c r="F1383" s="66"/>
      <c r="G1383" s="66"/>
      <c r="H1383" s="44"/>
      <c r="I1383" s="44"/>
      <c r="J1383" s="66"/>
      <c r="K1383" s="66"/>
      <c r="L1383" s="66"/>
      <c r="M1383" s="66"/>
      <c r="N1383" s="66">
        <f>SUM(Prog_236[[#This Row],[TARA]]+Prog_236[[#This Row],[PESO]])</f>
        <v>0</v>
      </c>
      <c r="O1383" s="44"/>
      <c r="P1383" s="66"/>
      <c r="Q1383" s="66"/>
      <c r="R1383" s="66"/>
      <c r="S1383" s="66"/>
      <c r="T1383" s="138" t="str">
        <f>IFERROR(LOOKUP($S1383,MOTORISTAS!$D$3:$D$1048576,MOTORISTAS!E$3:$E$1048576),"")</f>
        <v/>
      </c>
      <c r="U1383" s="138" t="str">
        <f>IFERROR(LOOKUP($S1383,MOTORISTAS!$D$3:$D$1048576,MOTORISTAS!F$3:$F$1048576),"")</f>
        <v/>
      </c>
      <c r="V1383" s="66"/>
      <c r="W1383" s="66"/>
      <c r="X1383" s="66"/>
      <c r="Y1383" s="66"/>
      <c r="Z1383" s="66"/>
      <c r="AA1383" s="66"/>
      <c r="AB1383" s="66"/>
      <c r="AC1383" s="66"/>
      <c r="AD1383" s="66"/>
      <c r="AE1383" s="66"/>
      <c r="AF1383" s="44"/>
      <c r="AG1383" s="254">
        <f>Prog_236[[#This Row],[SAÍDA DO CLIENTE]]-Prog_236[[#This Row],[PROGRAMAÇÃO CLIENTE]]</f>
        <v>0</v>
      </c>
      <c r="AH1383" s="44"/>
      <c r="AI1383" s="66"/>
      <c r="AJ1383" s="66"/>
      <c r="AK1383" s="66"/>
      <c r="AL1383" s="66"/>
      <c r="AM1383" s="66"/>
      <c r="AN1383" s="83"/>
      <c r="AO1383" s="66"/>
      <c r="AP1383" s="66"/>
      <c r="AQ1383" s="66"/>
      <c r="AR1383" s="81"/>
      <c r="AS1383" s="81"/>
      <c r="AT1383" s="81"/>
      <c r="AU1383" s="81"/>
      <c r="AV1383" s="83">
        <f>SUM(Prog_236[[#This Row],[ADIANTAMENTO]]+Prog_236[[#This Row],[SALDO]]+Prog_236[[#This Row],[MARGEM]]+Prog_236[[#This Row],[ESTADIA 1]])</f>
        <v>0</v>
      </c>
      <c r="AW13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3" s="81"/>
      <c r="AY1383" s="81"/>
      <c r="AZ1383" s="81">
        <f>Prog_236[[#This Row],[VLR NF]]*0.1%</f>
        <v>0</v>
      </c>
      <c r="BA1383" s="81">
        <f>Prog_236[[#This Row],[VLR NF]]*0.05%</f>
        <v>0</v>
      </c>
      <c r="BB1383" s="81"/>
      <c r="BC1383" s="81"/>
      <c r="BD1383" s="81"/>
      <c r="BE1383" s="81"/>
      <c r="BF1383" s="81"/>
      <c r="BG1383" s="81"/>
      <c r="BH1383" s="81"/>
      <c r="BI1383" s="81"/>
      <c r="BJ1383" s="81"/>
      <c r="BK1383" s="81"/>
      <c r="BL1383" s="66"/>
      <c r="BM1383" s="66"/>
      <c r="BN1383" s="66"/>
      <c r="BO1383" s="66" t="str">
        <f>PROPER(TEXT(Prog_236[[#This Row],[PROGRAMAÇÃO CLIENTE]],"mmm"))</f>
        <v>Jan</v>
      </c>
      <c r="BP1383" s="66">
        <f>YEAR(Prog_236[[#This Row],[PROGRAMAÇÃO CLIENTE]])</f>
        <v>1900</v>
      </c>
    </row>
    <row r="1384" spans="1:68" x14ac:dyDescent="0.25">
      <c r="A1384" s="201">
        <f>Prog_236[[#This Row],[CONTEINER]]</f>
        <v>0</v>
      </c>
      <c r="B1384" s="86"/>
      <c r="C13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4" s="44"/>
      <c r="E1384" s="66"/>
      <c r="F1384" s="66"/>
      <c r="G1384" s="66"/>
      <c r="H1384" s="44"/>
      <c r="I1384" s="44"/>
      <c r="J1384" s="66"/>
      <c r="K1384" s="66"/>
      <c r="L1384" s="66"/>
      <c r="M1384" s="66"/>
      <c r="N1384" s="66">
        <f>SUM(Prog_236[[#This Row],[TARA]]+Prog_236[[#This Row],[PESO]])</f>
        <v>0</v>
      </c>
      <c r="O1384" s="44"/>
      <c r="P1384" s="66"/>
      <c r="Q1384" s="66"/>
      <c r="R1384" s="66"/>
      <c r="S1384" s="66"/>
      <c r="T1384" s="138" t="str">
        <f>IFERROR(LOOKUP($S1384,MOTORISTAS!$D$3:$D$1048576,MOTORISTAS!E$3:$E$1048576),"")</f>
        <v/>
      </c>
      <c r="U1384" s="138" t="str">
        <f>IFERROR(LOOKUP($S1384,MOTORISTAS!$D$3:$D$1048576,MOTORISTAS!F$3:$F$1048576),"")</f>
        <v/>
      </c>
      <c r="V1384" s="66"/>
      <c r="W1384" s="66"/>
      <c r="X1384" s="66"/>
      <c r="Y1384" s="66"/>
      <c r="Z1384" s="66"/>
      <c r="AA1384" s="66"/>
      <c r="AB1384" s="66"/>
      <c r="AC1384" s="66"/>
      <c r="AD1384" s="66"/>
      <c r="AE1384" s="66"/>
      <c r="AF1384" s="44"/>
      <c r="AG1384" s="254">
        <f>Prog_236[[#This Row],[SAÍDA DO CLIENTE]]-Prog_236[[#This Row],[PROGRAMAÇÃO CLIENTE]]</f>
        <v>0</v>
      </c>
      <c r="AH1384" s="44"/>
      <c r="AI1384" s="66"/>
      <c r="AJ1384" s="66"/>
      <c r="AK1384" s="66"/>
      <c r="AL1384" s="66"/>
      <c r="AM1384" s="66"/>
      <c r="AN1384" s="83"/>
      <c r="AO1384" s="66"/>
      <c r="AP1384" s="66"/>
      <c r="AQ1384" s="66"/>
      <c r="AR1384" s="81"/>
      <c r="AS1384" s="81"/>
      <c r="AT1384" s="81"/>
      <c r="AU1384" s="81"/>
      <c r="AV1384" s="83">
        <f>SUM(Prog_236[[#This Row],[ADIANTAMENTO]]+Prog_236[[#This Row],[SALDO]]+Prog_236[[#This Row],[MARGEM]]+Prog_236[[#This Row],[ESTADIA 1]])</f>
        <v>0</v>
      </c>
      <c r="AW13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4" s="81"/>
      <c r="AY1384" s="81"/>
      <c r="AZ1384" s="81">
        <f>Prog_236[[#This Row],[VLR NF]]*0.1%</f>
        <v>0</v>
      </c>
      <c r="BA1384" s="81">
        <f>Prog_236[[#This Row],[VLR NF]]*0.05%</f>
        <v>0</v>
      </c>
      <c r="BB1384" s="81"/>
      <c r="BC1384" s="81"/>
      <c r="BD1384" s="81"/>
      <c r="BE1384" s="81"/>
      <c r="BF1384" s="81"/>
      <c r="BG1384" s="81"/>
      <c r="BH1384" s="81"/>
      <c r="BI1384" s="81"/>
      <c r="BJ1384" s="81"/>
      <c r="BK1384" s="81"/>
      <c r="BL1384" s="66"/>
      <c r="BM1384" s="66"/>
      <c r="BN1384" s="66"/>
      <c r="BO1384" s="66" t="str">
        <f>PROPER(TEXT(Prog_236[[#This Row],[PROGRAMAÇÃO CLIENTE]],"mmm"))</f>
        <v>Jan</v>
      </c>
      <c r="BP1384" s="66">
        <f>YEAR(Prog_236[[#This Row],[PROGRAMAÇÃO CLIENTE]])</f>
        <v>1900</v>
      </c>
    </row>
    <row r="1385" spans="1:68" x14ac:dyDescent="0.25">
      <c r="A1385" s="200">
        <f>Prog_236[[#This Row],[CONTEINER]]</f>
        <v>0</v>
      </c>
      <c r="B1385" s="86"/>
      <c r="C13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5" s="44"/>
      <c r="E1385" s="66"/>
      <c r="F1385" s="66"/>
      <c r="G1385" s="66"/>
      <c r="H1385" s="44"/>
      <c r="I1385" s="44"/>
      <c r="J1385" s="66"/>
      <c r="K1385" s="66"/>
      <c r="L1385" s="66"/>
      <c r="M1385" s="66"/>
      <c r="N1385" s="66">
        <f>SUM(Prog_236[[#This Row],[TARA]]+Prog_236[[#This Row],[PESO]])</f>
        <v>0</v>
      </c>
      <c r="O1385" s="44"/>
      <c r="P1385" s="66"/>
      <c r="Q1385" s="66"/>
      <c r="R1385" s="66"/>
      <c r="S1385" s="66"/>
      <c r="T1385" s="138" t="str">
        <f>IFERROR(LOOKUP($S1385,MOTORISTAS!$D$3:$D$1048576,MOTORISTAS!E$3:$E$1048576),"")</f>
        <v/>
      </c>
      <c r="U1385" s="138" t="str">
        <f>IFERROR(LOOKUP($S1385,MOTORISTAS!$D$3:$D$1048576,MOTORISTAS!F$3:$F$1048576),"")</f>
        <v/>
      </c>
      <c r="V1385" s="66"/>
      <c r="W1385" s="66"/>
      <c r="X1385" s="66"/>
      <c r="Y1385" s="66"/>
      <c r="Z1385" s="66"/>
      <c r="AA1385" s="66"/>
      <c r="AB1385" s="66"/>
      <c r="AC1385" s="66"/>
      <c r="AD1385" s="66"/>
      <c r="AE1385" s="66"/>
      <c r="AF1385" s="44"/>
      <c r="AG1385" s="254">
        <f>Prog_236[[#This Row],[SAÍDA DO CLIENTE]]-Prog_236[[#This Row],[PROGRAMAÇÃO CLIENTE]]</f>
        <v>0</v>
      </c>
      <c r="AH1385" s="44"/>
      <c r="AI1385" s="66"/>
      <c r="AJ1385" s="66"/>
      <c r="AK1385" s="66"/>
      <c r="AL1385" s="66"/>
      <c r="AM1385" s="66"/>
      <c r="AN1385" s="83"/>
      <c r="AO1385" s="66"/>
      <c r="AP1385" s="66"/>
      <c r="AQ1385" s="66"/>
      <c r="AR1385" s="81"/>
      <c r="AS1385" s="81"/>
      <c r="AT1385" s="81"/>
      <c r="AU1385" s="81"/>
      <c r="AV1385" s="83">
        <f>SUM(Prog_236[[#This Row],[ADIANTAMENTO]]+Prog_236[[#This Row],[SALDO]]+Prog_236[[#This Row],[MARGEM]]+Prog_236[[#This Row],[ESTADIA 1]])</f>
        <v>0</v>
      </c>
      <c r="AW13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5" s="81"/>
      <c r="AY1385" s="81"/>
      <c r="AZ1385" s="81">
        <f>Prog_236[[#This Row],[VLR NF]]*0.1%</f>
        <v>0</v>
      </c>
      <c r="BA1385" s="81">
        <f>Prog_236[[#This Row],[VLR NF]]*0.05%</f>
        <v>0</v>
      </c>
      <c r="BB1385" s="81"/>
      <c r="BC1385" s="81"/>
      <c r="BD1385" s="81"/>
      <c r="BE1385" s="81"/>
      <c r="BF1385" s="81"/>
      <c r="BG1385" s="81"/>
      <c r="BH1385" s="81"/>
      <c r="BI1385" s="81"/>
      <c r="BJ1385" s="81"/>
      <c r="BK1385" s="81"/>
      <c r="BL1385" s="66"/>
      <c r="BM1385" s="66"/>
      <c r="BN1385" s="66"/>
      <c r="BO1385" s="66" t="str">
        <f>PROPER(TEXT(Prog_236[[#This Row],[PROGRAMAÇÃO CLIENTE]],"mmm"))</f>
        <v>Jan</v>
      </c>
      <c r="BP1385" s="66">
        <f>YEAR(Prog_236[[#This Row],[PROGRAMAÇÃO CLIENTE]])</f>
        <v>1900</v>
      </c>
    </row>
    <row r="1386" spans="1:68" x14ac:dyDescent="0.25">
      <c r="A1386" s="201">
        <f>Prog_236[[#This Row],[CONTEINER]]</f>
        <v>0</v>
      </c>
      <c r="B1386" s="86"/>
      <c r="C13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6" s="44"/>
      <c r="E1386" s="66"/>
      <c r="F1386" s="66"/>
      <c r="G1386" s="66"/>
      <c r="H1386" s="44"/>
      <c r="I1386" s="44"/>
      <c r="J1386" s="66"/>
      <c r="K1386" s="66"/>
      <c r="L1386" s="66"/>
      <c r="M1386" s="66"/>
      <c r="N1386" s="66">
        <f>SUM(Prog_236[[#This Row],[TARA]]+Prog_236[[#This Row],[PESO]])</f>
        <v>0</v>
      </c>
      <c r="O1386" s="44"/>
      <c r="P1386" s="66"/>
      <c r="Q1386" s="66"/>
      <c r="R1386" s="66"/>
      <c r="S1386" s="66"/>
      <c r="T1386" s="138" t="str">
        <f>IFERROR(LOOKUP($S1386,MOTORISTAS!$D$3:$D$1048576,MOTORISTAS!E$3:$E$1048576),"")</f>
        <v/>
      </c>
      <c r="U1386" s="138" t="str">
        <f>IFERROR(LOOKUP($S1386,MOTORISTAS!$D$3:$D$1048576,MOTORISTAS!F$3:$F$1048576),"")</f>
        <v/>
      </c>
      <c r="V1386" s="66"/>
      <c r="W1386" s="66"/>
      <c r="X1386" s="66"/>
      <c r="Y1386" s="66"/>
      <c r="Z1386" s="66"/>
      <c r="AA1386" s="66"/>
      <c r="AB1386" s="66"/>
      <c r="AC1386" s="66"/>
      <c r="AD1386" s="66"/>
      <c r="AE1386" s="66"/>
      <c r="AF1386" s="44"/>
      <c r="AG1386" s="254">
        <f>Prog_236[[#This Row],[SAÍDA DO CLIENTE]]-Prog_236[[#This Row],[PROGRAMAÇÃO CLIENTE]]</f>
        <v>0</v>
      </c>
      <c r="AH1386" s="44"/>
      <c r="AI1386" s="66"/>
      <c r="AJ1386" s="66"/>
      <c r="AK1386" s="66"/>
      <c r="AL1386" s="66"/>
      <c r="AM1386" s="66"/>
      <c r="AN1386" s="83"/>
      <c r="AO1386" s="66"/>
      <c r="AP1386" s="66"/>
      <c r="AQ1386" s="66"/>
      <c r="AR1386" s="81"/>
      <c r="AS1386" s="81"/>
      <c r="AT1386" s="81"/>
      <c r="AU1386" s="81"/>
      <c r="AV1386" s="83">
        <f>SUM(Prog_236[[#This Row],[ADIANTAMENTO]]+Prog_236[[#This Row],[SALDO]]+Prog_236[[#This Row],[MARGEM]]+Prog_236[[#This Row],[ESTADIA 1]])</f>
        <v>0</v>
      </c>
      <c r="AW13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6" s="81"/>
      <c r="AY1386" s="81"/>
      <c r="AZ1386" s="81">
        <f>Prog_236[[#This Row],[VLR NF]]*0.1%</f>
        <v>0</v>
      </c>
      <c r="BA1386" s="81">
        <f>Prog_236[[#This Row],[VLR NF]]*0.05%</f>
        <v>0</v>
      </c>
      <c r="BB1386" s="81"/>
      <c r="BC1386" s="81"/>
      <c r="BD1386" s="81"/>
      <c r="BE1386" s="81"/>
      <c r="BF1386" s="81"/>
      <c r="BG1386" s="81"/>
      <c r="BH1386" s="81"/>
      <c r="BI1386" s="81"/>
      <c r="BJ1386" s="81"/>
      <c r="BK1386" s="81"/>
      <c r="BL1386" s="66"/>
      <c r="BM1386" s="66"/>
      <c r="BN1386" s="66"/>
      <c r="BO1386" s="66" t="str">
        <f>PROPER(TEXT(Prog_236[[#This Row],[PROGRAMAÇÃO CLIENTE]],"mmm"))</f>
        <v>Jan</v>
      </c>
      <c r="BP1386" s="66">
        <f>YEAR(Prog_236[[#This Row],[PROGRAMAÇÃO CLIENTE]])</f>
        <v>1900</v>
      </c>
    </row>
    <row r="1387" spans="1:68" x14ac:dyDescent="0.25">
      <c r="A1387" s="200">
        <f>Prog_236[[#This Row],[CONTEINER]]</f>
        <v>0</v>
      </c>
      <c r="B1387" s="86"/>
      <c r="C13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7" s="44"/>
      <c r="E1387" s="66"/>
      <c r="F1387" s="66"/>
      <c r="G1387" s="66"/>
      <c r="H1387" s="44"/>
      <c r="I1387" s="44"/>
      <c r="J1387" s="66"/>
      <c r="K1387" s="66"/>
      <c r="L1387" s="66"/>
      <c r="M1387" s="66"/>
      <c r="N1387" s="66">
        <f>SUM(Prog_236[[#This Row],[TARA]]+Prog_236[[#This Row],[PESO]])</f>
        <v>0</v>
      </c>
      <c r="O1387" s="44"/>
      <c r="P1387" s="66"/>
      <c r="Q1387" s="66"/>
      <c r="R1387" s="66"/>
      <c r="S1387" s="66"/>
      <c r="T1387" s="138" t="str">
        <f>IFERROR(LOOKUP($S1387,MOTORISTAS!$D$3:$D$1048576,MOTORISTAS!E$3:$E$1048576),"")</f>
        <v/>
      </c>
      <c r="U1387" s="138" t="str">
        <f>IFERROR(LOOKUP($S1387,MOTORISTAS!$D$3:$D$1048576,MOTORISTAS!F$3:$F$1048576),"")</f>
        <v/>
      </c>
      <c r="V1387" s="66"/>
      <c r="W1387" s="66"/>
      <c r="X1387" s="66"/>
      <c r="Y1387" s="66"/>
      <c r="Z1387" s="66"/>
      <c r="AA1387" s="66"/>
      <c r="AB1387" s="66"/>
      <c r="AC1387" s="66"/>
      <c r="AD1387" s="66"/>
      <c r="AE1387" s="66"/>
      <c r="AF1387" s="44"/>
      <c r="AG1387" s="254">
        <f>Prog_236[[#This Row],[SAÍDA DO CLIENTE]]-Prog_236[[#This Row],[PROGRAMAÇÃO CLIENTE]]</f>
        <v>0</v>
      </c>
      <c r="AH1387" s="44"/>
      <c r="AI1387" s="66"/>
      <c r="AJ1387" s="66"/>
      <c r="AK1387" s="66"/>
      <c r="AL1387" s="66"/>
      <c r="AM1387" s="66"/>
      <c r="AN1387" s="83"/>
      <c r="AO1387" s="66"/>
      <c r="AP1387" s="66"/>
      <c r="AQ1387" s="66"/>
      <c r="AR1387" s="81"/>
      <c r="AS1387" s="81"/>
      <c r="AT1387" s="81"/>
      <c r="AU1387" s="81"/>
      <c r="AV1387" s="83">
        <f>SUM(Prog_236[[#This Row],[ADIANTAMENTO]]+Prog_236[[#This Row],[SALDO]]+Prog_236[[#This Row],[MARGEM]]+Prog_236[[#This Row],[ESTADIA 1]])</f>
        <v>0</v>
      </c>
      <c r="AW13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7" s="81"/>
      <c r="AY1387" s="81"/>
      <c r="AZ1387" s="81">
        <f>Prog_236[[#This Row],[VLR NF]]*0.1%</f>
        <v>0</v>
      </c>
      <c r="BA1387" s="81">
        <f>Prog_236[[#This Row],[VLR NF]]*0.05%</f>
        <v>0</v>
      </c>
      <c r="BB1387" s="81"/>
      <c r="BC1387" s="81"/>
      <c r="BD1387" s="81"/>
      <c r="BE1387" s="81"/>
      <c r="BF1387" s="81"/>
      <c r="BG1387" s="81"/>
      <c r="BH1387" s="81"/>
      <c r="BI1387" s="81"/>
      <c r="BJ1387" s="81"/>
      <c r="BK1387" s="81"/>
      <c r="BL1387" s="66"/>
      <c r="BM1387" s="66"/>
      <c r="BN1387" s="66"/>
      <c r="BO1387" s="66" t="str">
        <f>PROPER(TEXT(Prog_236[[#This Row],[PROGRAMAÇÃO CLIENTE]],"mmm"))</f>
        <v>Jan</v>
      </c>
      <c r="BP1387" s="66">
        <f>YEAR(Prog_236[[#This Row],[PROGRAMAÇÃO CLIENTE]])</f>
        <v>1900</v>
      </c>
    </row>
    <row r="1388" spans="1:68" x14ac:dyDescent="0.25">
      <c r="A1388" s="201">
        <f>Prog_236[[#This Row],[CONTEINER]]</f>
        <v>0</v>
      </c>
      <c r="B1388" s="86"/>
      <c r="C13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8" s="44"/>
      <c r="E1388" s="66"/>
      <c r="F1388" s="66"/>
      <c r="G1388" s="66"/>
      <c r="H1388" s="44"/>
      <c r="I1388" s="44"/>
      <c r="J1388" s="66"/>
      <c r="K1388" s="66"/>
      <c r="L1388" s="66"/>
      <c r="M1388" s="66"/>
      <c r="N1388" s="66">
        <f>SUM(Prog_236[[#This Row],[TARA]]+Prog_236[[#This Row],[PESO]])</f>
        <v>0</v>
      </c>
      <c r="O1388" s="44"/>
      <c r="P1388" s="66"/>
      <c r="Q1388" s="66"/>
      <c r="R1388" s="66"/>
      <c r="S1388" s="66"/>
      <c r="T1388" s="138" t="str">
        <f>IFERROR(LOOKUP($S1388,MOTORISTAS!$D$3:$D$1048576,MOTORISTAS!E$3:$E$1048576),"")</f>
        <v/>
      </c>
      <c r="U1388" s="138" t="str">
        <f>IFERROR(LOOKUP($S1388,MOTORISTAS!$D$3:$D$1048576,MOTORISTAS!F$3:$F$1048576),"")</f>
        <v/>
      </c>
      <c r="V1388" s="66"/>
      <c r="W1388" s="66"/>
      <c r="X1388" s="66"/>
      <c r="Y1388" s="66"/>
      <c r="Z1388" s="66"/>
      <c r="AA1388" s="66"/>
      <c r="AB1388" s="66"/>
      <c r="AC1388" s="66"/>
      <c r="AD1388" s="66"/>
      <c r="AE1388" s="66"/>
      <c r="AF1388" s="44"/>
      <c r="AG1388" s="254">
        <f>Prog_236[[#This Row],[SAÍDA DO CLIENTE]]-Prog_236[[#This Row],[PROGRAMAÇÃO CLIENTE]]</f>
        <v>0</v>
      </c>
      <c r="AH1388" s="44"/>
      <c r="AI1388" s="66"/>
      <c r="AJ1388" s="66"/>
      <c r="AK1388" s="66"/>
      <c r="AL1388" s="66"/>
      <c r="AM1388" s="66"/>
      <c r="AN1388" s="83"/>
      <c r="AO1388" s="66"/>
      <c r="AP1388" s="66"/>
      <c r="AQ1388" s="66"/>
      <c r="AR1388" s="81"/>
      <c r="AS1388" s="81"/>
      <c r="AT1388" s="81"/>
      <c r="AU1388" s="81"/>
      <c r="AV1388" s="83">
        <f>SUM(Prog_236[[#This Row],[ADIANTAMENTO]]+Prog_236[[#This Row],[SALDO]]+Prog_236[[#This Row],[MARGEM]]+Prog_236[[#This Row],[ESTADIA 1]])</f>
        <v>0</v>
      </c>
      <c r="AW13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8" s="81"/>
      <c r="AY1388" s="81"/>
      <c r="AZ1388" s="81">
        <f>Prog_236[[#This Row],[VLR NF]]*0.1%</f>
        <v>0</v>
      </c>
      <c r="BA1388" s="81">
        <f>Prog_236[[#This Row],[VLR NF]]*0.05%</f>
        <v>0</v>
      </c>
      <c r="BB1388" s="81"/>
      <c r="BC1388" s="81"/>
      <c r="BD1388" s="81"/>
      <c r="BE1388" s="81"/>
      <c r="BF1388" s="81"/>
      <c r="BG1388" s="81"/>
      <c r="BH1388" s="81"/>
      <c r="BI1388" s="81"/>
      <c r="BJ1388" s="81"/>
      <c r="BK1388" s="81"/>
      <c r="BL1388" s="66"/>
      <c r="BM1388" s="66"/>
      <c r="BN1388" s="66"/>
      <c r="BO1388" s="66" t="str">
        <f>PROPER(TEXT(Prog_236[[#This Row],[PROGRAMAÇÃO CLIENTE]],"mmm"))</f>
        <v>Jan</v>
      </c>
      <c r="BP1388" s="66">
        <f>YEAR(Prog_236[[#This Row],[PROGRAMAÇÃO CLIENTE]])</f>
        <v>1900</v>
      </c>
    </row>
    <row r="1389" spans="1:68" x14ac:dyDescent="0.25">
      <c r="A1389" s="200">
        <f>Prog_236[[#This Row],[CONTEINER]]</f>
        <v>0</v>
      </c>
      <c r="B1389" s="86"/>
      <c r="C13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89" s="44"/>
      <c r="E1389" s="66"/>
      <c r="F1389" s="66"/>
      <c r="G1389" s="66"/>
      <c r="H1389" s="44"/>
      <c r="I1389" s="44"/>
      <c r="J1389" s="66"/>
      <c r="K1389" s="66"/>
      <c r="L1389" s="66"/>
      <c r="M1389" s="66"/>
      <c r="N1389" s="66">
        <f>SUM(Prog_236[[#This Row],[TARA]]+Prog_236[[#This Row],[PESO]])</f>
        <v>0</v>
      </c>
      <c r="O1389" s="44"/>
      <c r="P1389" s="66"/>
      <c r="Q1389" s="66"/>
      <c r="R1389" s="66"/>
      <c r="S1389" s="66"/>
      <c r="T1389" s="138" t="str">
        <f>IFERROR(LOOKUP($S1389,MOTORISTAS!$D$3:$D$1048576,MOTORISTAS!E$3:$E$1048576),"")</f>
        <v/>
      </c>
      <c r="U1389" s="138" t="str">
        <f>IFERROR(LOOKUP($S1389,MOTORISTAS!$D$3:$D$1048576,MOTORISTAS!F$3:$F$1048576),"")</f>
        <v/>
      </c>
      <c r="V1389" s="66"/>
      <c r="W1389" s="66"/>
      <c r="X1389" s="66"/>
      <c r="Y1389" s="66"/>
      <c r="Z1389" s="66"/>
      <c r="AA1389" s="66"/>
      <c r="AB1389" s="66"/>
      <c r="AC1389" s="66"/>
      <c r="AD1389" s="66"/>
      <c r="AE1389" s="66"/>
      <c r="AF1389" s="44"/>
      <c r="AG1389" s="254">
        <f>Prog_236[[#This Row],[SAÍDA DO CLIENTE]]-Prog_236[[#This Row],[PROGRAMAÇÃO CLIENTE]]</f>
        <v>0</v>
      </c>
      <c r="AH1389" s="44"/>
      <c r="AI1389" s="66"/>
      <c r="AJ1389" s="66"/>
      <c r="AK1389" s="66"/>
      <c r="AL1389" s="66"/>
      <c r="AM1389" s="66"/>
      <c r="AN1389" s="83"/>
      <c r="AO1389" s="66"/>
      <c r="AP1389" s="66"/>
      <c r="AQ1389" s="66"/>
      <c r="AR1389" s="81"/>
      <c r="AS1389" s="81"/>
      <c r="AT1389" s="81"/>
      <c r="AU1389" s="81"/>
      <c r="AV1389" s="83">
        <f>SUM(Prog_236[[#This Row],[ADIANTAMENTO]]+Prog_236[[#This Row],[SALDO]]+Prog_236[[#This Row],[MARGEM]]+Prog_236[[#This Row],[ESTADIA 1]])</f>
        <v>0</v>
      </c>
      <c r="AW13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89" s="81"/>
      <c r="AY1389" s="81"/>
      <c r="AZ1389" s="81">
        <f>Prog_236[[#This Row],[VLR NF]]*0.1%</f>
        <v>0</v>
      </c>
      <c r="BA1389" s="81">
        <f>Prog_236[[#This Row],[VLR NF]]*0.05%</f>
        <v>0</v>
      </c>
      <c r="BB1389" s="81"/>
      <c r="BC1389" s="81"/>
      <c r="BD1389" s="81"/>
      <c r="BE1389" s="81"/>
      <c r="BF1389" s="81"/>
      <c r="BG1389" s="81"/>
      <c r="BH1389" s="81"/>
      <c r="BI1389" s="81"/>
      <c r="BJ1389" s="81"/>
      <c r="BK1389" s="81"/>
      <c r="BL1389" s="66"/>
      <c r="BM1389" s="66"/>
      <c r="BN1389" s="66"/>
      <c r="BO1389" s="66" t="str">
        <f>PROPER(TEXT(Prog_236[[#This Row],[PROGRAMAÇÃO CLIENTE]],"mmm"))</f>
        <v>Jan</v>
      </c>
      <c r="BP1389" s="66">
        <f>YEAR(Prog_236[[#This Row],[PROGRAMAÇÃO CLIENTE]])</f>
        <v>1900</v>
      </c>
    </row>
    <row r="1390" spans="1:68" x14ac:dyDescent="0.25">
      <c r="A1390" s="201">
        <f>Prog_236[[#This Row],[CONTEINER]]</f>
        <v>0</v>
      </c>
      <c r="B1390" s="86"/>
      <c r="C13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0" s="44"/>
      <c r="E1390" s="66"/>
      <c r="F1390" s="66"/>
      <c r="G1390" s="66"/>
      <c r="H1390" s="44"/>
      <c r="I1390" s="44"/>
      <c r="J1390" s="66"/>
      <c r="K1390" s="66"/>
      <c r="L1390" s="66"/>
      <c r="M1390" s="66"/>
      <c r="N1390" s="66">
        <f>SUM(Prog_236[[#This Row],[TARA]]+Prog_236[[#This Row],[PESO]])</f>
        <v>0</v>
      </c>
      <c r="O1390" s="44"/>
      <c r="P1390" s="66"/>
      <c r="Q1390" s="66"/>
      <c r="R1390" s="66"/>
      <c r="S1390" s="66"/>
      <c r="T1390" s="138" t="str">
        <f>IFERROR(LOOKUP($S1390,MOTORISTAS!$D$3:$D$1048576,MOTORISTAS!E$3:$E$1048576),"")</f>
        <v/>
      </c>
      <c r="U1390" s="138" t="str">
        <f>IFERROR(LOOKUP($S1390,MOTORISTAS!$D$3:$D$1048576,MOTORISTAS!F$3:$F$1048576),"")</f>
        <v/>
      </c>
      <c r="V1390" s="66"/>
      <c r="W1390" s="66"/>
      <c r="X1390" s="66"/>
      <c r="Y1390" s="66"/>
      <c r="Z1390" s="66"/>
      <c r="AA1390" s="66"/>
      <c r="AB1390" s="66"/>
      <c r="AC1390" s="66"/>
      <c r="AD1390" s="66"/>
      <c r="AE1390" s="66"/>
      <c r="AF1390" s="44"/>
      <c r="AG1390" s="254">
        <f>Prog_236[[#This Row],[SAÍDA DO CLIENTE]]-Prog_236[[#This Row],[PROGRAMAÇÃO CLIENTE]]</f>
        <v>0</v>
      </c>
      <c r="AH1390" s="44"/>
      <c r="AI1390" s="66"/>
      <c r="AJ1390" s="66"/>
      <c r="AK1390" s="66"/>
      <c r="AL1390" s="66"/>
      <c r="AM1390" s="66"/>
      <c r="AN1390" s="83"/>
      <c r="AO1390" s="66"/>
      <c r="AP1390" s="66"/>
      <c r="AQ1390" s="66"/>
      <c r="AR1390" s="81"/>
      <c r="AS1390" s="81"/>
      <c r="AT1390" s="81"/>
      <c r="AU1390" s="81"/>
      <c r="AV1390" s="83">
        <f>SUM(Prog_236[[#This Row],[ADIANTAMENTO]]+Prog_236[[#This Row],[SALDO]]+Prog_236[[#This Row],[MARGEM]]+Prog_236[[#This Row],[ESTADIA 1]])</f>
        <v>0</v>
      </c>
      <c r="AW13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0" s="81"/>
      <c r="AY1390" s="81"/>
      <c r="AZ1390" s="81">
        <f>Prog_236[[#This Row],[VLR NF]]*0.1%</f>
        <v>0</v>
      </c>
      <c r="BA1390" s="81">
        <f>Prog_236[[#This Row],[VLR NF]]*0.05%</f>
        <v>0</v>
      </c>
      <c r="BB1390" s="81"/>
      <c r="BC1390" s="81"/>
      <c r="BD1390" s="81"/>
      <c r="BE1390" s="81"/>
      <c r="BF1390" s="81"/>
      <c r="BG1390" s="81"/>
      <c r="BH1390" s="81"/>
      <c r="BI1390" s="81"/>
      <c r="BJ1390" s="81"/>
      <c r="BK1390" s="81"/>
      <c r="BL1390" s="66"/>
      <c r="BM1390" s="66"/>
      <c r="BN1390" s="66"/>
      <c r="BO1390" s="66" t="str">
        <f>PROPER(TEXT(Prog_236[[#This Row],[PROGRAMAÇÃO CLIENTE]],"mmm"))</f>
        <v>Jan</v>
      </c>
      <c r="BP1390" s="66">
        <f>YEAR(Prog_236[[#This Row],[PROGRAMAÇÃO CLIENTE]])</f>
        <v>1900</v>
      </c>
    </row>
    <row r="1391" spans="1:68" x14ac:dyDescent="0.25">
      <c r="A1391" s="200">
        <f>Prog_236[[#This Row],[CONTEINER]]</f>
        <v>0</v>
      </c>
      <c r="B1391" s="86"/>
      <c r="C13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1" s="44"/>
      <c r="E1391" s="66"/>
      <c r="F1391" s="66"/>
      <c r="G1391" s="66"/>
      <c r="H1391" s="44"/>
      <c r="I1391" s="44"/>
      <c r="J1391" s="66"/>
      <c r="K1391" s="66"/>
      <c r="L1391" s="66"/>
      <c r="M1391" s="66"/>
      <c r="N1391" s="66">
        <f>SUM(Prog_236[[#This Row],[TARA]]+Prog_236[[#This Row],[PESO]])</f>
        <v>0</v>
      </c>
      <c r="O1391" s="44"/>
      <c r="P1391" s="66"/>
      <c r="Q1391" s="66"/>
      <c r="R1391" s="66"/>
      <c r="S1391" s="66"/>
      <c r="T1391" s="138" t="str">
        <f>IFERROR(LOOKUP($S1391,MOTORISTAS!$D$3:$D$1048576,MOTORISTAS!E$3:$E$1048576),"")</f>
        <v/>
      </c>
      <c r="U1391" s="138" t="str">
        <f>IFERROR(LOOKUP($S1391,MOTORISTAS!$D$3:$D$1048576,MOTORISTAS!F$3:$F$1048576),"")</f>
        <v/>
      </c>
      <c r="V1391" s="66"/>
      <c r="W1391" s="66"/>
      <c r="X1391" s="66"/>
      <c r="Y1391" s="66"/>
      <c r="Z1391" s="66"/>
      <c r="AA1391" s="66"/>
      <c r="AB1391" s="66"/>
      <c r="AC1391" s="66"/>
      <c r="AD1391" s="66"/>
      <c r="AE1391" s="66"/>
      <c r="AF1391" s="44"/>
      <c r="AG1391" s="254">
        <f>Prog_236[[#This Row],[SAÍDA DO CLIENTE]]-Prog_236[[#This Row],[PROGRAMAÇÃO CLIENTE]]</f>
        <v>0</v>
      </c>
      <c r="AH1391" s="44"/>
      <c r="AI1391" s="66"/>
      <c r="AJ1391" s="66"/>
      <c r="AK1391" s="66"/>
      <c r="AL1391" s="66"/>
      <c r="AM1391" s="66"/>
      <c r="AN1391" s="83"/>
      <c r="AO1391" s="66"/>
      <c r="AP1391" s="66"/>
      <c r="AQ1391" s="66"/>
      <c r="AR1391" s="81"/>
      <c r="AS1391" s="81"/>
      <c r="AT1391" s="81"/>
      <c r="AU1391" s="81"/>
      <c r="AV1391" s="83">
        <f>SUM(Prog_236[[#This Row],[ADIANTAMENTO]]+Prog_236[[#This Row],[SALDO]]+Prog_236[[#This Row],[MARGEM]]+Prog_236[[#This Row],[ESTADIA 1]])</f>
        <v>0</v>
      </c>
      <c r="AW13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1" s="81"/>
      <c r="AY1391" s="81"/>
      <c r="AZ1391" s="81">
        <f>Prog_236[[#This Row],[VLR NF]]*0.1%</f>
        <v>0</v>
      </c>
      <c r="BA1391" s="81">
        <f>Prog_236[[#This Row],[VLR NF]]*0.05%</f>
        <v>0</v>
      </c>
      <c r="BB1391" s="81"/>
      <c r="BC1391" s="81"/>
      <c r="BD1391" s="81"/>
      <c r="BE1391" s="81"/>
      <c r="BF1391" s="81"/>
      <c r="BG1391" s="81"/>
      <c r="BH1391" s="81"/>
      <c r="BI1391" s="81"/>
      <c r="BJ1391" s="81"/>
      <c r="BK1391" s="81"/>
      <c r="BL1391" s="66"/>
      <c r="BM1391" s="66"/>
      <c r="BN1391" s="66"/>
      <c r="BO1391" s="66" t="str">
        <f>PROPER(TEXT(Prog_236[[#This Row],[PROGRAMAÇÃO CLIENTE]],"mmm"))</f>
        <v>Jan</v>
      </c>
      <c r="BP1391" s="66">
        <f>YEAR(Prog_236[[#This Row],[PROGRAMAÇÃO CLIENTE]])</f>
        <v>1900</v>
      </c>
    </row>
    <row r="1392" spans="1:68" x14ac:dyDescent="0.25">
      <c r="A1392" s="201">
        <f>Prog_236[[#This Row],[CONTEINER]]</f>
        <v>0</v>
      </c>
      <c r="B1392" s="86"/>
      <c r="C13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2" s="44"/>
      <c r="E1392" s="66"/>
      <c r="F1392" s="66"/>
      <c r="G1392" s="66"/>
      <c r="H1392" s="44"/>
      <c r="I1392" s="44"/>
      <c r="J1392" s="66"/>
      <c r="K1392" s="66"/>
      <c r="L1392" s="66"/>
      <c r="M1392" s="66"/>
      <c r="N1392" s="66">
        <f>SUM(Prog_236[[#This Row],[TARA]]+Prog_236[[#This Row],[PESO]])</f>
        <v>0</v>
      </c>
      <c r="O1392" s="44"/>
      <c r="P1392" s="66"/>
      <c r="Q1392" s="66"/>
      <c r="R1392" s="66"/>
      <c r="S1392" s="66"/>
      <c r="T1392" s="138" t="str">
        <f>IFERROR(LOOKUP($S1392,MOTORISTAS!$D$3:$D$1048576,MOTORISTAS!E$3:$E$1048576),"")</f>
        <v/>
      </c>
      <c r="U1392" s="138" t="str">
        <f>IFERROR(LOOKUP($S1392,MOTORISTAS!$D$3:$D$1048576,MOTORISTAS!F$3:$F$1048576),"")</f>
        <v/>
      </c>
      <c r="V1392" s="66"/>
      <c r="W1392" s="66"/>
      <c r="X1392" s="66"/>
      <c r="Y1392" s="66"/>
      <c r="Z1392" s="66"/>
      <c r="AA1392" s="66"/>
      <c r="AB1392" s="66"/>
      <c r="AC1392" s="66"/>
      <c r="AD1392" s="66"/>
      <c r="AE1392" s="66"/>
      <c r="AF1392" s="44"/>
      <c r="AG1392" s="254">
        <f>Prog_236[[#This Row],[SAÍDA DO CLIENTE]]-Prog_236[[#This Row],[PROGRAMAÇÃO CLIENTE]]</f>
        <v>0</v>
      </c>
      <c r="AH1392" s="44"/>
      <c r="AI1392" s="66"/>
      <c r="AJ1392" s="66"/>
      <c r="AK1392" s="66"/>
      <c r="AL1392" s="66"/>
      <c r="AM1392" s="66"/>
      <c r="AN1392" s="83"/>
      <c r="AO1392" s="66"/>
      <c r="AP1392" s="66"/>
      <c r="AQ1392" s="66"/>
      <c r="AR1392" s="81"/>
      <c r="AS1392" s="81"/>
      <c r="AT1392" s="81"/>
      <c r="AU1392" s="81"/>
      <c r="AV1392" s="83">
        <f>SUM(Prog_236[[#This Row],[ADIANTAMENTO]]+Prog_236[[#This Row],[SALDO]]+Prog_236[[#This Row],[MARGEM]]+Prog_236[[#This Row],[ESTADIA 1]])</f>
        <v>0</v>
      </c>
      <c r="AW13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2" s="81"/>
      <c r="AY1392" s="81"/>
      <c r="AZ1392" s="81">
        <f>Prog_236[[#This Row],[VLR NF]]*0.1%</f>
        <v>0</v>
      </c>
      <c r="BA1392" s="81">
        <f>Prog_236[[#This Row],[VLR NF]]*0.05%</f>
        <v>0</v>
      </c>
      <c r="BB1392" s="81"/>
      <c r="BC1392" s="81"/>
      <c r="BD1392" s="81"/>
      <c r="BE1392" s="81"/>
      <c r="BF1392" s="81"/>
      <c r="BG1392" s="81"/>
      <c r="BH1392" s="81"/>
      <c r="BI1392" s="81"/>
      <c r="BJ1392" s="81"/>
      <c r="BK1392" s="81"/>
      <c r="BL1392" s="66"/>
      <c r="BM1392" s="66"/>
      <c r="BN1392" s="66"/>
      <c r="BO1392" s="66" t="str">
        <f>PROPER(TEXT(Prog_236[[#This Row],[PROGRAMAÇÃO CLIENTE]],"mmm"))</f>
        <v>Jan</v>
      </c>
      <c r="BP1392" s="66">
        <f>YEAR(Prog_236[[#This Row],[PROGRAMAÇÃO CLIENTE]])</f>
        <v>1900</v>
      </c>
    </row>
    <row r="1393" spans="1:68" x14ac:dyDescent="0.25">
      <c r="A1393" s="200">
        <f>Prog_236[[#This Row],[CONTEINER]]</f>
        <v>0</v>
      </c>
      <c r="B1393" s="86"/>
      <c r="C13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3" s="44"/>
      <c r="E1393" s="66"/>
      <c r="F1393" s="66"/>
      <c r="G1393" s="66"/>
      <c r="H1393" s="44"/>
      <c r="I1393" s="44"/>
      <c r="J1393" s="66"/>
      <c r="K1393" s="66"/>
      <c r="L1393" s="66"/>
      <c r="M1393" s="66"/>
      <c r="N1393" s="66">
        <f>SUM(Prog_236[[#This Row],[TARA]]+Prog_236[[#This Row],[PESO]])</f>
        <v>0</v>
      </c>
      <c r="O1393" s="44"/>
      <c r="P1393" s="66"/>
      <c r="Q1393" s="66"/>
      <c r="R1393" s="66"/>
      <c r="S1393" s="66"/>
      <c r="T1393" s="138" t="str">
        <f>IFERROR(LOOKUP($S1393,MOTORISTAS!$D$3:$D$1048576,MOTORISTAS!E$3:$E$1048576),"")</f>
        <v/>
      </c>
      <c r="U1393" s="138" t="str">
        <f>IFERROR(LOOKUP($S1393,MOTORISTAS!$D$3:$D$1048576,MOTORISTAS!F$3:$F$1048576),"")</f>
        <v/>
      </c>
      <c r="V1393" s="66"/>
      <c r="W1393" s="66"/>
      <c r="X1393" s="66"/>
      <c r="Y1393" s="66"/>
      <c r="Z1393" s="66"/>
      <c r="AA1393" s="66"/>
      <c r="AB1393" s="66"/>
      <c r="AC1393" s="66"/>
      <c r="AD1393" s="66"/>
      <c r="AE1393" s="66"/>
      <c r="AF1393" s="44"/>
      <c r="AG1393" s="254">
        <f>Prog_236[[#This Row],[SAÍDA DO CLIENTE]]-Prog_236[[#This Row],[PROGRAMAÇÃO CLIENTE]]</f>
        <v>0</v>
      </c>
      <c r="AH1393" s="44"/>
      <c r="AI1393" s="66"/>
      <c r="AJ1393" s="66"/>
      <c r="AK1393" s="66"/>
      <c r="AL1393" s="66"/>
      <c r="AM1393" s="66"/>
      <c r="AN1393" s="83"/>
      <c r="AO1393" s="66"/>
      <c r="AP1393" s="66"/>
      <c r="AQ1393" s="66"/>
      <c r="AR1393" s="81"/>
      <c r="AS1393" s="81"/>
      <c r="AT1393" s="81"/>
      <c r="AU1393" s="81"/>
      <c r="AV1393" s="83">
        <f>SUM(Prog_236[[#This Row],[ADIANTAMENTO]]+Prog_236[[#This Row],[SALDO]]+Prog_236[[#This Row],[MARGEM]]+Prog_236[[#This Row],[ESTADIA 1]])</f>
        <v>0</v>
      </c>
      <c r="AW13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3" s="81"/>
      <c r="AY1393" s="81"/>
      <c r="AZ1393" s="81">
        <f>Prog_236[[#This Row],[VLR NF]]*0.1%</f>
        <v>0</v>
      </c>
      <c r="BA1393" s="81">
        <f>Prog_236[[#This Row],[VLR NF]]*0.05%</f>
        <v>0</v>
      </c>
      <c r="BB1393" s="81"/>
      <c r="BC1393" s="81"/>
      <c r="BD1393" s="81"/>
      <c r="BE1393" s="81"/>
      <c r="BF1393" s="81"/>
      <c r="BG1393" s="81"/>
      <c r="BH1393" s="81"/>
      <c r="BI1393" s="81"/>
      <c r="BJ1393" s="81"/>
      <c r="BK1393" s="81"/>
      <c r="BL1393" s="66"/>
      <c r="BM1393" s="66"/>
      <c r="BN1393" s="66"/>
      <c r="BO1393" s="66" t="str">
        <f>PROPER(TEXT(Prog_236[[#This Row],[PROGRAMAÇÃO CLIENTE]],"mmm"))</f>
        <v>Jan</v>
      </c>
      <c r="BP1393" s="66">
        <f>YEAR(Prog_236[[#This Row],[PROGRAMAÇÃO CLIENTE]])</f>
        <v>1900</v>
      </c>
    </row>
    <row r="1394" spans="1:68" x14ac:dyDescent="0.25">
      <c r="A1394" s="201">
        <f>Prog_236[[#This Row],[CONTEINER]]</f>
        <v>0</v>
      </c>
      <c r="B1394" s="86"/>
      <c r="C13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4" s="44"/>
      <c r="E1394" s="66"/>
      <c r="F1394" s="66"/>
      <c r="G1394" s="66"/>
      <c r="H1394" s="44"/>
      <c r="I1394" s="44"/>
      <c r="J1394" s="66"/>
      <c r="K1394" s="66"/>
      <c r="L1394" s="66"/>
      <c r="M1394" s="66"/>
      <c r="N1394" s="66">
        <f>SUM(Prog_236[[#This Row],[TARA]]+Prog_236[[#This Row],[PESO]])</f>
        <v>0</v>
      </c>
      <c r="O1394" s="44"/>
      <c r="P1394" s="66"/>
      <c r="Q1394" s="66"/>
      <c r="R1394" s="66"/>
      <c r="S1394" s="66"/>
      <c r="T1394" s="138" t="str">
        <f>IFERROR(LOOKUP($S1394,MOTORISTAS!$D$3:$D$1048576,MOTORISTAS!E$3:$E$1048576),"")</f>
        <v/>
      </c>
      <c r="U1394" s="138" t="str">
        <f>IFERROR(LOOKUP($S1394,MOTORISTAS!$D$3:$D$1048576,MOTORISTAS!F$3:$F$1048576),"")</f>
        <v/>
      </c>
      <c r="V1394" s="66"/>
      <c r="W1394" s="66"/>
      <c r="X1394" s="66"/>
      <c r="Y1394" s="66"/>
      <c r="Z1394" s="66"/>
      <c r="AA1394" s="66"/>
      <c r="AB1394" s="66"/>
      <c r="AC1394" s="66"/>
      <c r="AD1394" s="66"/>
      <c r="AE1394" s="66"/>
      <c r="AF1394" s="44"/>
      <c r="AG1394" s="254">
        <f>Prog_236[[#This Row],[SAÍDA DO CLIENTE]]-Prog_236[[#This Row],[PROGRAMAÇÃO CLIENTE]]</f>
        <v>0</v>
      </c>
      <c r="AH1394" s="44"/>
      <c r="AI1394" s="66"/>
      <c r="AJ1394" s="66"/>
      <c r="AK1394" s="66"/>
      <c r="AL1394" s="66"/>
      <c r="AM1394" s="66"/>
      <c r="AN1394" s="83"/>
      <c r="AO1394" s="66"/>
      <c r="AP1394" s="66"/>
      <c r="AQ1394" s="66"/>
      <c r="AR1394" s="81"/>
      <c r="AS1394" s="81"/>
      <c r="AT1394" s="81"/>
      <c r="AU1394" s="81"/>
      <c r="AV1394" s="83">
        <f>SUM(Prog_236[[#This Row],[ADIANTAMENTO]]+Prog_236[[#This Row],[SALDO]]+Prog_236[[#This Row],[MARGEM]]+Prog_236[[#This Row],[ESTADIA 1]])</f>
        <v>0</v>
      </c>
      <c r="AW13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4" s="81"/>
      <c r="AY1394" s="81"/>
      <c r="AZ1394" s="81">
        <f>Prog_236[[#This Row],[VLR NF]]*0.1%</f>
        <v>0</v>
      </c>
      <c r="BA1394" s="81">
        <f>Prog_236[[#This Row],[VLR NF]]*0.05%</f>
        <v>0</v>
      </c>
      <c r="BB1394" s="81"/>
      <c r="BC1394" s="81"/>
      <c r="BD1394" s="81"/>
      <c r="BE1394" s="81"/>
      <c r="BF1394" s="81"/>
      <c r="BG1394" s="81"/>
      <c r="BH1394" s="81"/>
      <c r="BI1394" s="81"/>
      <c r="BJ1394" s="81"/>
      <c r="BK1394" s="81"/>
      <c r="BL1394" s="66"/>
      <c r="BM1394" s="66"/>
      <c r="BN1394" s="66"/>
      <c r="BO1394" s="66" t="str">
        <f>PROPER(TEXT(Prog_236[[#This Row],[PROGRAMAÇÃO CLIENTE]],"mmm"))</f>
        <v>Jan</v>
      </c>
      <c r="BP1394" s="66">
        <f>YEAR(Prog_236[[#This Row],[PROGRAMAÇÃO CLIENTE]])</f>
        <v>1900</v>
      </c>
    </row>
    <row r="1395" spans="1:68" x14ac:dyDescent="0.25">
      <c r="A1395" s="200">
        <f>Prog_236[[#This Row],[CONTEINER]]</f>
        <v>0</v>
      </c>
      <c r="B1395" s="86"/>
      <c r="C13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5" s="44"/>
      <c r="E1395" s="66"/>
      <c r="F1395" s="66"/>
      <c r="G1395" s="66"/>
      <c r="H1395" s="44"/>
      <c r="I1395" s="44"/>
      <c r="J1395" s="66"/>
      <c r="K1395" s="66"/>
      <c r="L1395" s="66"/>
      <c r="M1395" s="66"/>
      <c r="N1395" s="66">
        <f>SUM(Prog_236[[#This Row],[TARA]]+Prog_236[[#This Row],[PESO]])</f>
        <v>0</v>
      </c>
      <c r="O1395" s="44"/>
      <c r="P1395" s="66"/>
      <c r="Q1395" s="66"/>
      <c r="R1395" s="66"/>
      <c r="S1395" s="66"/>
      <c r="T1395" s="138" t="str">
        <f>IFERROR(LOOKUP($S1395,MOTORISTAS!$D$3:$D$1048576,MOTORISTAS!E$3:$E$1048576),"")</f>
        <v/>
      </c>
      <c r="U1395" s="138" t="str">
        <f>IFERROR(LOOKUP($S1395,MOTORISTAS!$D$3:$D$1048576,MOTORISTAS!F$3:$F$1048576),"")</f>
        <v/>
      </c>
      <c r="V1395" s="66"/>
      <c r="W1395" s="66"/>
      <c r="X1395" s="66"/>
      <c r="Y1395" s="66"/>
      <c r="Z1395" s="66"/>
      <c r="AA1395" s="66"/>
      <c r="AB1395" s="66"/>
      <c r="AC1395" s="66"/>
      <c r="AD1395" s="66"/>
      <c r="AE1395" s="66"/>
      <c r="AF1395" s="44"/>
      <c r="AG1395" s="254">
        <f>Prog_236[[#This Row],[SAÍDA DO CLIENTE]]-Prog_236[[#This Row],[PROGRAMAÇÃO CLIENTE]]</f>
        <v>0</v>
      </c>
      <c r="AH1395" s="44"/>
      <c r="AI1395" s="66"/>
      <c r="AJ1395" s="66"/>
      <c r="AK1395" s="66"/>
      <c r="AL1395" s="66"/>
      <c r="AM1395" s="66"/>
      <c r="AN1395" s="83"/>
      <c r="AO1395" s="66"/>
      <c r="AP1395" s="66"/>
      <c r="AQ1395" s="66"/>
      <c r="AR1395" s="81"/>
      <c r="AS1395" s="81"/>
      <c r="AT1395" s="81"/>
      <c r="AU1395" s="81"/>
      <c r="AV1395" s="83">
        <f>SUM(Prog_236[[#This Row],[ADIANTAMENTO]]+Prog_236[[#This Row],[SALDO]]+Prog_236[[#This Row],[MARGEM]]+Prog_236[[#This Row],[ESTADIA 1]])</f>
        <v>0</v>
      </c>
      <c r="AW13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5" s="81"/>
      <c r="AY1395" s="81"/>
      <c r="AZ1395" s="81">
        <f>Prog_236[[#This Row],[VLR NF]]*0.1%</f>
        <v>0</v>
      </c>
      <c r="BA1395" s="81">
        <f>Prog_236[[#This Row],[VLR NF]]*0.05%</f>
        <v>0</v>
      </c>
      <c r="BB1395" s="81"/>
      <c r="BC1395" s="81"/>
      <c r="BD1395" s="81"/>
      <c r="BE1395" s="81"/>
      <c r="BF1395" s="81"/>
      <c r="BG1395" s="81"/>
      <c r="BH1395" s="81"/>
      <c r="BI1395" s="81"/>
      <c r="BJ1395" s="81"/>
      <c r="BK1395" s="81"/>
      <c r="BL1395" s="66"/>
      <c r="BM1395" s="66"/>
      <c r="BN1395" s="66"/>
      <c r="BO1395" s="66" t="str">
        <f>PROPER(TEXT(Prog_236[[#This Row],[PROGRAMAÇÃO CLIENTE]],"mmm"))</f>
        <v>Jan</v>
      </c>
      <c r="BP1395" s="66">
        <f>YEAR(Prog_236[[#This Row],[PROGRAMAÇÃO CLIENTE]])</f>
        <v>1900</v>
      </c>
    </row>
    <row r="1396" spans="1:68" x14ac:dyDescent="0.25">
      <c r="A1396" s="201">
        <f>Prog_236[[#This Row],[CONTEINER]]</f>
        <v>0</v>
      </c>
      <c r="B1396" s="86"/>
      <c r="C13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6" s="44"/>
      <c r="E1396" s="66"/>
      <c r="F1396" s="66"/>
      <c r="G1396" s="66"/>
      <c r="H1396" s="44"/>
      <c r="I1396" s="44"/>
      <c r="J1396" s="66"/>
      <c r="K1396" s="66"/>
      <c r="L1396" s="66"/>
      <c r="M1396" s="66"/>
      <c r="N1396" s="66">
        <f>SUM(Prog_236[[#This Row],[TARA]]+Prog_236[[#This Row],[PESO]])</f>
        <v>0</v>
      </c>
      <c r="O1396" s="44"/>
      <c r="P1396" s="66"/>
      <c r="Q1396" s="66"/>
      <c r="R1396" s="66"/>
      <c r="S1396" s="66"/>
      <c r="T1396" s="138" t="str">
        <f>IFERROR(LOOKUP($S1396,MOTORISTAS!$D$3:$D$1048576,MOTORISTAS!E$3:$E$1048576),"")</f>
        <v/>
      </c>
      <c r="U1396" s="138" t="str">
        <f>IFERROR(LOOKUP($S1396,MOTORISTAS!$D$3:$D$1048576,MOTORISTAS!F$3:$F$1048576),"")</f>
        <v/>
      </c>
      <c r="V1396" s="66"/>
      <c r="W1396" s="66"/>
      <c r="X1396" s="66"/>
      <c r="Y1396" s="66"/>
      <c r="Z1396" s="66"/>
      <c r="AA1396" s="66"/>
      <c r="AB1396" s="66"/>
      <c r="AC1396" s="66"/>
      <c r="AD1396" s="66"/>
      <c r="AE1396" s="66"/>
      <c r="AF1396" s="44"/>
      <c r="AG1396" s="254">
        <f>Prog_236[[#This Row],[SAÍDA DO CLIENTE]]-Prog_236[[#This Row],[PROGRAMAÇÃO CLIENTE]]</f>
        <v>0</v>
      </c>
      <c r="AH1396" s="44"/>
      <c r="AI1396" s="66"/>
      <c r="AJ1396" s="66"/>
      <c r="AK1396" s="66"/>
      <c r="AL1396" s="66"/>
      <c r="AM1396" s="66"/>
      <c r="AN1396" s="83"/>
      <c r="AO1396" s="66"/>
      <c r="AP1396" s="66"/>
      <c r="AQ1396" s="66"/>
      <c r="AR1396" s="81"/>
      <c r="AS1396" s="81"/>
      <c r="AT1396" s="81"/>
      <c r="AU1396" s="81"/>
      <c r="AV1396" s="83">
        <f>SUM(Prog_236[[#This Row],[ADIANTAMENTO]]+Prog_236[[#This Row],[SALDO]]+Prog_236[[#This Row],[MARGEM]]+Prog_236[[#This Row],[ESTADIA 1]])</f>
        <v>0</v>
      </c>
      <c r="AW13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6" s="81"/>
      <c r="AY1396" s="81"/>
      <c r="AZ1396" s="81">
        <f>Prog_236[[#This Row],[VLR NF]]*0.1%</f>
        <v>0</v>
      </c>
      <c r="BA1396" s="81">
        <f>Prog_236[[#This Row],[VLR NF]]*0.05%</f>
        <v>0</v>
      </c>
      <c r="BB1396" s="81"/>
      <c r="BC1396" s="81"/>
      <c r="BD1396" s="81"/>
      <c r="BE1396" s="81"/>
      <c r="BF1396" s="81"/>
      <c r="BG1396" s="81"/>
      <c r="BH1396" s="81"/>
      <c r="BI1396" s="81"/>
      <c r="BJ1396" s="81"/>
      <c r="BK1396" s="81"/>
      <c r="BL1396" s="66"/>
      <c r="BM1396" s="66"/>
      <c r="BN1396" s="66"/>
      <c r="BO1396" s="66" t="str">
        <f>PROPER(TEXT(Prog_236[[#This Row],[PROGRAMAÇÃO CLIENTE]],"mmm"))</f>
        <v>Jan</v>
      </c>
      <c r="BP1396" s="66">
        <f>YEAR(Prog_236[[#This Row],[PROGRAMAÇÃO CLIENTE]])</f>
        <v>1900</v>
      </c>
    </row>
    <row r="1397" spans="1:68" x14ac:dyDescent="0.25">
      <c r="A1397" s="200">
        <f>Prog_236[[#This Row],[CONTEINER]]</f>
        <v>0</v>
      </c>
      <c r="B1397" s="86"/>
      <c r="C13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7" s="44"/>
      <c r="E1397" s="66"/>
      <c r="F1397" s="66"/>
      <c r="G1397" s="66"/>
      <c r="H1397" s="44"/>
      <c r="I1397" s="44"/>
      <c r="J1397" s="66"/>
      <c r="K1397" s="66"/>
      <c r="L1397" s="66"/>
      <c r="M1397" s="66"/>
      <c r="N1397" s="66">
        <f>SUM(Prog_236[[#This Row],[TARA]]+Prog_236[[#This Row],[PESO]])</f>
        <v>0</v>
      </c>
      <c r="O1397" s="44"/>
      <c r="P1397" s="66"/>
      <c r="Q1397" s="66"/>
      <c r="R1397" s="66"/>
      <c r="S1397" s="66"/>
      <c r="T1397" s="138" t="str">
        <f>IFERROR(LOOKUP($S1397,MOTORISTAS!$D$3:$D$1048576,MOTORISTAS!E$3:$E$1048576),"")</f>
        <v/>
      </c>
      <c r="U1397" s="138" t="str">
        <f>IFERROR(LOOKUP($S1397,MOTORISTAS!$D$3:$D$1048576,MOTORISTAS!F$3:$F$1048576),"")</f>
        <v/>
      </c>
      <c r="V1397" s="66"/>
      <c r="W1397" s="66"/>
      <c r="X1397" s="66"/>
      <c r="Y1397" s="66"/>
      <c r="Z1397" s="66"/>
      <c r="AA1397" s="66"/>
      <c r="AB1397" s="66"/>
      <c r="AC1397" s="66"/>
      <c r="AD1397" s="66"/>
      <c r="AE1397" s="66"/>
      <c r="AF1397" s="44"/>
      <c r="AG1397" s="254">
        <f>Prog_236[[#This Row],[SAÍDA DO CLIENTE]]-Prog_236[[#This Row],[PROGRAMAÇÃO CLIENTE]]</f>
        <v>0</v>
      </c>
      <c r="AH1397" s="44"/>
      <c r="AI1397" s="66"/>
      <c r="AJ1397" s="66"/>
      <c r="AK1397" s="66"/>
      <c r="AL1397" s="66"/>
      <c r="AM1397" s="66"/>
      <c r="AN1397" s="83"/>
      <c r="AO1397" s="66"/>
      <c r="AP1397" s="66"/>
      <c r="AQ1397" s="66"/>
      <c r="AR1397" s="81"/>
      <c r="AS1397" s="81"/>
      <c r="AT1397" s="81"/>
      <c r="AU1397" s="81"/>
      <c r="AV1397" s="83">
        <f>SUM(Prog_236[[#This Row],[ADIANTAMENTO]]+Prog_236[[#This Row],[SALDO]]+Prog_236[[#This Row],[MARGEM]]+Prog_236[[#This Row],[ESTADIA 1]])</f>
        <v>0</v>
      </c>
      <c r="AW13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7" s="81"/>
      <c r="AY1397" s="81"/>
      <c r="AZ1397" s="81">
        <f>Prog_236[[#This Row],[VLR NF]]*0.1%</f>
        <v>0</v>
      </c>
      <c r="BA1397" s="81">
        <f>Prog_236[[#This Row],[VLR NF]]*0.05%</f>
        <v>0</v>
      </c>
      <c r="BB1397" s="81"/>
      <c r="BC1397" s="81"/>
      <c r="BD1397" s="81"/>
      <c r="BE1397" s="81"/>
      <c r="BF1397" s="81"/>
      <c r="BG1397" s="81"/>
      <c r="BH1397" s="81"/>
      <c r="BI1397" s="81"/>
      <c r="BJ1397" s="81"/>
      <c r="BK1397" s="81"/>
      <c r="BL1397" s="66"/>
      <c r="BM1397" s="66"/>
      <c r="BN1397" s="66"/>
      <c r="BO1397" s="66" t="str">
        <f>PROPER(TEXT(Prog_236[[#This Row],[PROGRAMAÇÃO CLIENTE]],"mmm"))</f>
        <v>Jan</v>
      </c>
      <c r="BP1397" s="66">
        <f>YEAR(Prog_236[[#This Row],[PROGRAMAÇÃO CLIENTE]])</f>
        <v>1900</v>
      </c>
    </row>
    <row r="1398" spans="1:68" x14ac:dyDescent="0.25">
      <c r="A1398" s="201">
        <f>Prog_236[[#This Row],[CONTEINER]]</f>
        <v>0</v>
      </c>
      <c r="B1398" s="86"/>
      <c r="C13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8" s="44"/>
      <c r="E1398" s="66"/>
      <c r="F1398" s="66"/>
      <c r="G1398" s="66"/>
      <c r="H1398" s="44"/>
      <c r="I1398" s="44"/>
      <c r="J1398" s="66"/>
      <c r="K1398" s="66"/>
      <c r="L1398" s="66"/>
      <c r="M1398" s="66"/>
      <c r="N1398" s="66">
        <f>SUM(Prog_236[[#This Row],[TARA]]+Prog_236[[#This Row],[PESO]])</f>
        <v>0</v>
      </c>
      <c r="O1398" s="44"/>
      <c r="P1398" s="66"/>
      <c r="Q1398" s="66"/>
      <c r="R1398" s="66"/>
      <c r="S1398" s="66"/>
      <c r="T1398" s="138" t="str">
        <f>IFERROR(LOOKUP($S1398,MOTORISTAS!$D$3:$D$1048576,MOTORISTAS!E$3:$E$1048576),"")</f>
        <v/>
      </c>
      <c r="U1398" s="138" t="str">
        <f>IFERROR(LOOKUP($S1398,MOTORISTAS!$D$3:$D$1048576,MOTORISTAS!F$3:$F$1048576),"")</f>
        <v/>
      </c>
      <c r="V1398" s="66"/>
      <c r="W1398" s="66"/>
      <c r="X1398" s="66"/>
      <c r="Y1398" s="66"/>
      <c r="Z1398" s="66"/>
      <c r="AA1398" s="66"/>
      <c r="AB1398" s="66"/>
      <c r="AC1398" s="66"/>
      <c r="AD1398" s="66"/>
      <c r="AE1398" s="66"/>
      <c r="AF1398" s="44"/>
      <c r="AG1398" s="254">
        <f>Prog_236[[#This Row],[SAÍDA DO CLIENTE]]-Prog_236[[#This Row],[PROGRAMAÇÃO CLIENTE]]</f>
        <v>0</v>
      </c>
      <c r="AH1398" s="44"/>
      <c r="AI1398" s="66"/>
      <c r="AJ1398" s="66"/>
      <c r="AK1398" s="66"/>
      <c r="AL1398" s="66"/>
      <c r="AM1398" s="66"/>
      <c r="AN1398" s="83"/>
      <c r="AO1398" s="66"/>
      <c r="AP1398" s="66"/>
      <c r="AQ1398" s="66"/>
      <c r="AR1398" s="81"/>
      <c r="AS1398" s="81"/>
      <c r="AT1398" s="81"/>
      <c r="AU1398" s="81"/>
      <c r="AV1398" s="83">
        <f>SUM(Prog_236[[#This Row],[ADIANTAMENTO]]+Prog_236[[#This Row],[SALDO]]+Prog_236[[#This Row],[MARGEM]]+Prog_236[[#This Row],[ESTADIA 1]])</f>
        <v>0</v>
      </c>
      <c r="AW13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8" s="81"/>
      <c r="AY1398" s="81"/>
      <c r="AZ1398" s="81">
        <f>Prog_236[[#This Row],[VLR NF]]*0.1%</f>
        <v>0</v>
      </c>
      <c r="BA1398" s="81">
        <f>Prog_236[[#This Row],[VLR NF]]*0.05%</f>
        <v>0</v>
      </c>
      <c r="BB1398" s="81"/>
      <c r="BC1398" s="81"/>
      <c r="BD1398" s="81"/>
      <c r="BE1398" s="81"/>
      <c r="BF1398" s="81"/>
      <c r="BG1398" s="81"/>
      <c r="BH1398" s="81"/>
      <c r="BI1398" s="81"/>
      <c r="BJ1398" s="81"/>
      <c r="BK1398" s="81"/>
      <c r="BL1398" s="66"/>
      <c r="BM1398" s="66"/>
      <c r="BN1398" s="66"/>
      <c r="BO1398" s="66" t="str">
        <f>PROPER(TEXT(Prog_236[[#This Row],[PROGRAMAÇÃO CLIENTE]],"mmm"))</f>
        <v>Jan</v>
      </c>
      <c r="BP1398" s="66">
        <f>YEAR(Prog_236[[#This Row],[PROGRAMAÇÃO CLIENTE]])</f>
        <v>1900</v>
      </c>
    </row>
    <row r="1399" spans="1:68" x14ac:dyDescent="0.25">
      <c r="A1399" s="200">
        <f>Prog_236[[#This Row],[CONTEINER]]</f>
        <v>0</v>
      </c>
      <c r="B1399" s="86"/>
      <c r="C13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399" s="44"/>
      <c r="E1399" s="66"/>
      <c r="F1399" s="66"/>
      <c r="G1399" s="66"/>
      <c r="H1399" s="44"/>
      <c r="I1399" s="44"/>
      <c r="J1399" s="66"/>
      <c r="K1399" s="66"/>
      <c r="L1399" s="66"/>
      <c r="M1399" s="66"/>
      <c r="N1399" s="66">
        <f>SUM(Prog_236[[#This Row],[TARA]]+Prog_236[[#This Row],[PESO]])</f>
        <v>0</v>
      </c>
      <c r="O1399" s="44"/>
      <c r="P1399" s="66"/>
      <c r="Q1399" s="66"/>
      <c r="R1399" s="66"/>
      <c r="S1399" s="66"/>
      <c r="T1399" s="138" t="str">
        <f>IFERROR(LOOKUP($S1399,MOTORISTAS!$D$3:$D$1048576,MOTORISTAS!E$3:$E$1048576),"")</f>
        <v/>
      </c>
      <c r="U1399" s="138" t="str">
        <f>IFERROR(LOOKUP($S1399,MOTORISTAS!$D$3:$D$1048576,MOTORISTAS!F$3:$F$1048576),"")</f>
        <v/>
      </c>
      <c r="V1399" s="66"/>
      <c r="W1399" s="66"/>
      <c r="X1399" s="66"/>
      <c r="Y1399" s="66"/>
      <c r="Z1399" s="66"/>
      <c r="AA1399" s="66"/>
      <c r="AB1399" s="66"/>
      <c r="AC1399" s="66"/>
      <c r="AD1399" s="66"/>
      <c r="AE1399" s="66"/>
      <c r="AF1399" s="44"/>
      <c r="AG1399" s="254">
        <f>Prog_236[[#This Row],[SAÍDA DO CLIENTE]]-Prog_236[[#This Row],[PROGRAMAÇÃO CLIENTE]]</f>
        <v>0</v>
      </c>
      <c r="AH1399" s="44"/>
      <c r="AI1399" s="66"/>
      <c r="AJ1399" s="66"/>
      <c r="AK1399" s="66"/>
      <c r="AL1399" s="66"/>
      <c r="AM1399" s="66"/>
      <c r="AN1399" s="83"/>
      <c r="AO1399" s="66"/>
      <c r="AP1399" s="66"/>
      <c r="AQ1399" s="66"/>
      <c r="AR1399" s="81"/>
      <c r="AS1399" s="81"/>
      <c r="AT1399" s="81"/>
      <c r="AU1399" s="81"/>
      <c r="AV1399" s="83">
        <f>SUM(Prog_236[[#This Row],[ADIANTAMENTO]]+Prog_236[[#This Row],[SALDO]]+Prog_236[[#This Row],[MARGEM]]+Prog_236[[#This Row],[ESTADIA 1]])</f>
        <v>0</v>
      </c>
      <c r="AW13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399" s="81"/>
      <c r="AY1399" s="81"/>
      <c r="AZ1399" s="81">
        <f>Prog_236[[#This Row],[VLR NF]]*0.1%</f>
        <v>0</v>
      </c>
      <c r="BA1399" s="81">
        <f>Prog_236[[#This Row],[VLR NF]]*0.05%</f>
        <v>0</v>
      </c>
      <c r="BB1399" s="81"/>
      <c r="BC1399" s="81"/>
      <c r="BD1399" s="81"/>
      <c r="BE1399" s="81"/>
      <c r="BF1399" s="81"/>
      <c r="BG1399" s="81"/>
      <c r="BH1399" s="81"/>
      <c r="BI1399" s="81"/>
      <c r="BJ1399" s="81"/>
      <c r="BK1399" s="81"/>
      <c r="BL1399" s="66"/>
      <c r="BM1399" s="66"/>
      <c r="BN1399" s="66"/>
      <c r="BO1399" s="66" t="str">
        <f>PROPER(TEXT(Prog_236[[#This Row],[PROGRAMAÇÃO CLIENTE]],"mmm"))</f>
        <v>Jan</v>
      </c>
      <c r="BP1399" s="66">
        <f>YEAR(Prog_236[[#This Row],[PROGRAMAÇÃO CLIENTE]])</f>
        <v>1900</v>
      </c>
    </row>
    <row r="1400" spans="1:68" x14ac:dyDescent="0.25">
      <c r="A1400" s="201">
        <f>Prog_236[[#This Row],[CONTEINER]]</f>
        <v>0</v>
      </c>
      <c r="B1400" s="86"/>
      <c r="C14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0" s="44"/>
      <c r="E1400" s="66"/>
      <c r="F1400" s="66"/>
      <c r="G1400" s="66"/>
      <c r="H1400" s="44"/>
      <c r="I1400" s="44"/>
      <c r="J1400" s="66"/>
      <c r="K1400" s="66"/>
      <c r="L1400" s="66"/>
      <c r="M1400" s="66"/>
      <c r="N1400" s="66">
        <f>SUM(Prog_236[[#This Row],[TARA]]+Prog_236[[#This Row],[PESO]])</f>
        <v>0</v>
      </c>
      <c r="O1400" s="44"/>
      <c r="P1400" s="66"/>
      <c r="Q1400" s="66"/>
      <c r="R1400" s="66"/>
      <c r="S1400" s="66"/>
      <c r="T1400" s="138" t="str">
        <f>IFERROR(LOOKUP($S1400,MOTORISTAS!$D$3:$D$1048576,MOTORISTAS!E$3:$E$1048576),"")</f>
        <v/>
      </c>
      <c r="U1400" s="138" t="str">
        <f>IFERROR(LOOKUP($S1400,MOTORISTAS!$D$3:$D$1048576,MOTORISTAS!F$3:$F$1048576),"")</f>
        <v/>
      </c>
      <c r="V1400" s="66"/>
      <c r="W1400" s="66"/>
      <c r="X1400" s="66"/>
      <c r="Y1400" s="66"/>
      <c r="Z1400" s="66"/>
      <c r="AA1400" s="66"/>
      <c r="AB1400" s="66"/>
      <c r="AC1400" s="66"/>
      <c r="AD1400" s="66"/>
      <c r="AE1400" s="66"/>
      <c r="AF1400" s="44"/>
      <c r="AG1400" s="254">
        <f>Prog_236[[#This Row],[SAÍDA DO CLIENTE]]-Prog_236[[#This Row],[PROGRAMAÇÃO CLIENTE]]</f>
        <v>0</v>
      </c>
      <c r="AH1400" s="44"/>
      <c r="AI1400" s="66"/>
      <c r="AJ1400" s="66"/>
      <c r="AK1400" s="66"/>
      <c r="AL1400" s="66"/>
      <c r="AM1400" s="66"/>
      <c r="AN1400" s="83"/>
      <c r="AO1400" s="66"/>
      <c r="AP1400" s="66"/>
      <c r="AQ1400" s="66"/>
      <c r="AR1400" s="81"/>
      <c r="AS1400" s="81"/>
      <c r="AT1400" s="81"/>
      <c r="AU1400" s="81"/>
      <c r="AV1400" s="83">
        <f>SUM(Prog_236[[#This Row],[ADIANTAMENTO]]+Prog_236[[#This Row],[SALDO]]+Prog_236[[#This Row],[MARGEM]]+Prog_236[[#This Row],[ESTADIA 1]])</f>
        <v>0</v>
      </c>
      <c r="AW14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0" s="81"/>
      <c r="AY1400" s="81"/>
      <c r="AZ1400" s="81">
        <f>Prog_236[[#This Row],[VLR NF]]*0.1%</f>
        <v>0</v>
      </c>
      <c r="BA1400" s="81">
        <f>Prog_236[[#This Row],[VLR NF]]*0.05%</f>
        <v>0</v>
      </c>
      <c r="BB1400" s="81"/>
      <c r="BC1400" s="81"/>
      <c r="BD1400" s="81"/>
      <c r="BE1400" s="81"/>
      <c r="BF1400" s="81"/>
      <c r="BG1400" s="81"/>
      <c r="BH1400" s="81"/>
      <c r="BI1400" s="81"/>
      <c r="BJ1400" s="81"/>
      <c r="BK1400" s="81"/>
      <c r="BL1400" s="66"/>
      <c r="BM1400" s="66"/>
      <c r="BN1400" s="66"/>
      <c r="BO1400" s="66" t="str">
        <f>PROPER(TEXT(Prog_236[[#This Row],[PROGRAMAÇÃO CLIENTE]],"mmm"))</f>
        <v>Jan</v>
      </c>
      <c r="BP1400" s="66">
        <f>YEAR(Prog_236[[#This Row],[PROGRAMAÇÃO CLIENTE]])</f>
        <v>1900</v>
      </c>
    </row>
    <row r="1401" spans="1:68" x14ac:dyDescent="0.25">
      <c r="A1401" s="200">
        <f>Prog_236[[#This Row],[CONTEINER]]</f>
        <v>0</v>
      </c>
      <c r="B1401" s="86"/>
      <c r="C14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1" s="44"/>
      <c r="E1401" s="66"/>
      <c r="F1401" s="66"/>
      <c r="G1401" s="66"/>
      <c r="H1401" s="44"/>
      <c r="I1401" s="44"/>
      <c r="J1401" s="66"/>
      <c r="K1401" s="66"/>
      <c r="L1401" s="66"/>
      <c r="M1401" s="66"/>
      <c r="N1401" s="66">
        <f>SUM(Prog_236[[#This Row],[TARA]]+Prog_236[[#This Row],[PESO]])</f>
        <v>0</v>
      </c>
      <c r="O1401" s="44"/>
      <c r="P1401" s="66"/>
      <c r="Q1401" s="66"/>
      <c r="R1401" s="66"/>
      <c r="S1401" s="66"/>
      <c r="T1401" s="138" t="str">
        <f>IFERROR(LOOKUP($S1401,MOTORISTAS!$D$3:$D$1048576,MOTORISTAS!E$3:$E$1048576),"")</f>
        <v/>
      </c>
      <c r="U1401" s="138" t="str">
        <f>IFERROR(LOOKUP($S1401,MOTORISTAS!$D$3:$D$1048576,MOTORISTAS!F$3:$F$1048576),"")</f>
        <v/>
      </c>
      <c r="V1401" s="66"/>
      <c r="W1401" s="66"/>
      <c r="X1401" s="66"/>
      <c r="Y1401" s="66"/>
      <c r="Z1401" s="66"/>
      <c r="AA1401" s="66"/>
      <c r="AB1401" s="66"/>
      <c r="AC1401" s="66"/>
      <c r="AD1401" s="66"/>
      <c r="AE1401" s="66"/>
      <c r="AF1401" s="44"/>
      <c r="AG1401" s="254">
        <f>Prog_236[[#This Row],[SAÍDA DO CLIENTE]]-Prog_236[[#This Row],[PROGRAMAÇÃO CLIENTE]]</f>
        <v>0</v>
      </c>
      <c r="AH1401" s="44"/>
      <c r="AI1401" s="66"/>
      <c r="AJ1401" s="66"/>
      <c r="AK1401" s="66"/>
      <c r="AL1401" s="66"/>
      <c r="AM1401" s="66"/>
      <c r="AN1401" s="83"/>
      <c r="AO1401" s="66"/>
      <c r="AP1401" s="66"/>
      <c r="AQ1401" s="66"/>
      <c r="AR1401" s="81"/>
      <c r="AS1401" s="81"/>
      <c r="AT1401" s="81"/>
      <c r="AU1401" s="81"/>
      <c r="AV1401" s="83">
        <f>SUM(Prog_236[[#This Row],[ADIANTAMENTO]]+Prog_236[[#This Row],[SALDO]]+Prog_236[[#This Row],[MARGEM]]+Prog_236[[#This Row],[ESTADIA 1]])</f>
        <v>0</v>
      </c>
      <c r="AW14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1" s="81"/>
      <c r="AY1401" s="81"/>
      <c r="AZ1401" s="81">
        <f>Prog_236[[#This Row],[VLR NF]]*0.1%</f>
        <v>0</v>
      </c>
      <c r="BA1401" s="81">
        <f>Prog_236[[#This Row],[VLR NF]]*0.05%</f>
        <v>0</v>
      </c>
      <c r="BB1401" s="81"/>
      <c r="BC1401" s="81"/>
      <c r="BD1401" s="81"/>
      <c r="BE1401" s="81"/>
      <c r="BF1401" s="81"/>
      <c r="BG1401" s="81"/>
      <c r="BH1401" s="81"/>
      <c r="BI1401" s="81"/>
      <c r="BJ1401" s="81"/>
      <c r="BK1401" s="81"/>
      <c r="BL1401" s="66"/>
      <c r="BM1401" s="66"/>
      <c r="BN1401" s="66"/>
      <c r="BO1401" s="66" t="str">
        <f>PROPER(TEXT(Prog_236[[#This Row],[PROGRAMAÇÃO CLIENTE]],"mmm"))</f>
        <v>Jan</v>
      </c>
      <c r="BP1401" s="66">
        <f>YEAR(Prog_236[[#This Row],[PROGRAMAÇÃO CLIENTE]])</f>
        <v>1900</v>
      </c>
    </row>
    <row r="1402" spans="1:68" x14ac:dyDescent="0.25">
      <c r="A1402" s="201">
        <f>Prog_236[[#This Row],[CONTEINER]]</f>
        <v>0</v>
      </c>
      <c r="B1402" s="86"/>
      <c r="C14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2" s="44"/>
      <c r="E1402" s="66"/>
      <c r="F1402" s="66"/>
      <c r="G1402" s="66"/>
      <c r="H1402" s="44"/>
      <c r="I1402" s="44"/>
      <c r="J1402" s="66"/>
      <c r="K1402" s="66"/>
      <c r="L1402" s="66"/>
      <c r="M1402" s="66"/>
      <c r="N1402" s="66">
        <f>SUM(Prog_236[[#This Row],[TARA]]+Prog_236[[#This Row],[PESO]])</f>
        <v>0</v>
      </c>
      <c r="O1402" s="44"/>
      <c r="P1402" s="66"/>
      <c r="Q1402" s="66"/>
      <c r="R1402" s="66"/>
      <c r="S1402" s="66"/>
      <c r="T1402" s="138" t="str">
        <f>IFERROR(LOOKUP($S1402,MOTORISTAS!$D$3:$D$1048576,MOTORISTAS!E$3:$E$1048576),"")</f>
        <v/>
      </c>
      <c r="U1402" s="138" t="str">
        <f>IFERROR(LOOKUP($S1402,MOTORISTAS!$D$3:$D$1048576,MOTORISTAS!F$3:$F$1048576),"")</f>
        <v/>
      </c>
      <c r="V1402" s="66"/>
      <c r="W1402" s="66"/>
      <c r="X1402" s="66"/>
      <c r="Y1402" s="66"/>
      <c r="Z1402" s="66"/>
      <c r="AA1402" s="66"/>
      <c r="AB1402" s="66"/>
      <c r="AC1402" s="66"/>
      <c r="AD1402" s="66"/>
      <c r="AE1402" s="66"/>
      <c r="AF1402" s="44"/>
      <c r="AG1402" s="254">
        <f>Prog_236[[#This Row],[SAÍDA DO CLIENTE]]-Prog_236[[#This Row],[PROGRAMAÇÃO CLIENTE]]</f>
        <v>0</v>
      </c>
      <c r="AH1402" s="44"/>
      <c r="AI1402" s="66"/>
      <c r="AJ1402" s="66"/>
      <c r="AK1402" s="66"/>
      <c r="AL1402" s="66"/>
      <c r="AM1402" s="66"/>
      <c r="AN1402" s="83"/>
      <c r="AO1402" s="66"/>
      <c r="AP1402" s="66"/>
      <c r="AQ1402" s="66"/>
      <c r="AR1402" s="81"/>
      <c r="AS1402" s="81"/>
      <c r="AT1402" s="81"/>
      <c r="AU1402" s="81"/>
      <c r="AV1402" s="83">
        <f>SUM(Prog_236[[#This Row],[ADIANTAMENTO]]+Prog_236[[#This Row],[SALDO]]+Prog_236[[#This Row],[MARGEM]]+Prog_236[[#This Row],[ESTADIA 1]])</f>
        <v>0</v>
      </c>
      <c r="AW14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2" s="81"/>
      <c r="AY1402" s="81"/>
      <c r="AZ1402" s="81">
        <f>Prog_236[[#This Row],[VLR NF]]*0.1%</f>
        <v>0</v>
      </c>
      <c r="BA1402" s="81">
        <f>Prog_236[[#This Row],[VLR NF]]*0.05%</f>
        <v>0</v>
      </c>
      <c r="BB1402" s="81"/>
      <c r="BC1402" s="81"/>
      <c r="BD1402" s="81"/>
      <c r="BE1402" s="81"/>
      <c r="BF1402" s="81"/>
      <c r="BG1402" s="81"/>
      <c r="BH1402" s="81"/>
      <c r="BI1402" s="81"/>
      <c r="BJ1402" s="81"/>
      <c r="BK1402" s="81"/>
      <c r="BL1402" s="66"/>
      <c r="BM1402" s="66"/>
      <c r="BN1402" s="66"/>
      <c r="BO1402" s="66" t="str">
        <f>PROPER(TEXT(Prog_236[[#This Row],[PROGRAMAÇÃO CLIENTE]],"mmm"))</f>
        <v>Jan</v>
      </c>
      <c r="BP1402" s="66">
        <f>YEAR(Prog_236[[#This Row],[PROGRAMAÇÃO CLIENTE]])</f>
        <v>1900</v>
      </c>
    </row>
    <row r="1403" spans="1:68" x14ac:dyDescent="0.25">
      <c r="A1403" s="200">
        <f>Prog_236[[#This Row],[CONTEINER]]</f>
        <v>0</v>
      </c>
      <c r="B1403" s="86"/>
      <c r="C14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3" s="44"/>
      <c r="E1403" s="66"/>
      <c r="F1403" s="66"/>
      <c r="G1403" s="66"/>
      <c r="H1403" s="44"/>
      <c r="I1403" s="44"/>
      <c r="J1403" s="66"/>
      <c r="K1403" s="66"/>
      <c r="L1403" s="66"/>
      <c r="M1403" s="66"/>
      <c r="N1403" s="66">
        <f>SUM(Prog_236[[#This Row],[TARA]]+Prog_236[[#This Row],[PESO]])</f>
        <v>0</v>
      </c>
      <c r="O1403" s="44"/>
      <c r="P1403" s="66"/>
      <c r="Q1403" s="66"/>
      <c r="R1403" s="66"/>
      <c r="S1403" s="66"/>
      <c r="T1403" s="138" t="str">
        <f>IFERROR(LOOKUP($S1403,MOTORISTAS!$D$3:$D$1048576,MOTORISTAS!E$3:$E$1048576),"")</f>
        <v/>
      </c>
      <c r="U1403" s="138" t="str">
        <f>IFERROR(LOOKUP($S1403,MOTORISTAS!$D$3:$D$1048576,MOTORISTAS!F$3:$F$1048576),"")</f>
        <v/>
      </c>
      <c r="V1403" s="66"/>
      <c r="W1403" s="66"/>
      <c r="X1403" s="66"/>
      <c r="Y1403" s="66"/>
      <c r="Z1403" s="66"/>
      <c r="AA1403" s="66"/>
      <c r="AB1403" s="66"/>
      <c r="AC1403" s="66"/>
      <c r="AD1403" s="66"/>
      <c r="AE1403" s="66"/>
      <c r="AF1403" s="44"/>
      <c r="AG1403" s="254">
        <f>Prog_236[[#This Row],[SAÍDA DO CLIENTE]]-Prog_236[[#This Row],[PROGRAMAÇÃO CLIENTE]]</f>
        <v>0</v>
      </c>
      <c r="AH1403" s="44"/>
      <c r="AI1403" s="66"/>
      <c r="AJ1403" s="66"/>
      <c r="AK1403" s="66"/>
      <c r="AL1403" s="66"/>
      <c r="AM1403" s="66"/>
      <c r="AN1403" s="83"/>
      <c r="AO1403" s="66"/>
      <c r="AP1403" s="66"/>
      <c r="AQ1403" s="66"/>
      <c r="AR1403" s="81"/>
      <c r="AS1403" s="81"/>
      <c r="AT1403" s="81"/>
      <c r="AU1403" s="81"/>
      <c r="AV1403" s="83">
        <f>SUM(Prog_236[[#This Row],[ADIANTAMENTO]]+Prog_236[[#This Row],[SALDO]]+Prog_236[[#This Row],[MARGEM]]+Prog_236[[#This Row],[ESTADIA 1]])</f>
        <v>0</v>
      </c>
      <c r="AW14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3" s="81"/>
      <c r="AY1403" s="81"/>
      <c r="AZ1403" s="81">
        <f>Prog_236[[#This Row],[VLR NF]]*0.1%</f>
        <v>0</v>
      </c>
      <c r="BA1403" s="81">
        <f>Prog_236[[#This Row],[VLR NF]]*0.05%</f>
        <v>0</v>
      </c>
      <c r="BB1403" s="81"/>
      <c r="BC1403" s="81"/>
      <c r="BD1403" s="81"/>
      <c r="BE1403" s="81"/>
      <c r="BF1403" s="81"/>
      <c r="BG1403" s="81"/>
      <c r="BH1403" s="81"/>
      <c r="BI1403" s="81"/>
      <c r="BJ1403" s="81"/>
      <c r="BK1403" s="81"/>
      <c r="BL1403" s="66"/>
      <c r="BM1403" s="66"/>
      <c r="BN1403" s="66"/>
      <c r="BO1403" s="66" t="str">
        <f>PROPER(TEXT(Prog_236[[#This Row],[PROGRAMAÇÃO CLIENTE]],"mmm"))</f>
        <v>Jan</v>
      </c>
      <c r="BP1403" s="66">
        <f>YEAR(Prog_236[[#This Row],[PROGRAMAÇÃO CLIENTE]])</f>
        <v>1900</v>
      </c>
    </row>
    <row r="1404" spans="1:68" x14ac:dyDescent="0.25">
      <c r="A1404" s="201">
        <f>Prog_236[[#This Row],[CONTEINER]]</f>
        <v>0</v>
      </c>
      <c r="B1404" s="86"/>
      <c r="C14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4" s="44"/>
      <c r="E1404" s="66"/>
      <c r="F1404" s="66"/>
      <c r="G1404" s="66"/>
      <c r="H1404" s="44"/>
      <c r="I1404" s="44"/>
      <c r="J1404" s="66"/>
      <c r="K1404" s="66"/>
      <c r="L1404" s="66"/>
      <c r="M1404" s="66"/>
      <c r="N1404" s="66">
        <f>SUM(Prog_236[[#This Row],[TARA]]+Prog_236[[#This Row],[PESO]])</f>
        <v>0</v>
      </c>
      <c r="O1404" s="44"/>
      <c r="P1404" s="66"/>
      <c r="Q1404" s="66"/>
      <c r="R1404" s="66"/>
      <c r="S1404" s="66"/>
      <c r="T1404" s="138" t="str">
        <f>IFERROR(LOOKUP($S1404,MOTORISTAS!$D$3:$D$1048576,MOTORISTAS!E$3:$E$1048576),"")</f>
        <v/>
      </c>
      <c r="U1404" s="138" t="str">
        <f>IFERROR(LOOKUP($S1404,MOTORISTAS!$D$3:$D$1048576,MOTORISTAS!F$3:$F$1048576),"")</f>
        <v/>
      </c>
      <c r="V1404" s="66"/>
      <c r="W1404" s="66"/>
      <c r="X1404" s="66"/>
      <c r="Y1404" s="66"/>
      <c r="Z1404" s="66"/>
      <c r="AA1404" s="66"/>
      <c r="AB1404" s="66"/>
      <c r="AC1404" s="66"/>
      <c r="AD1404" s="66"/>
      <c r="AE1404" s="66"/>
      <c r="AF1404" s="44"/>
      <c r="AG1404" s="254">
        <f>Prog_236[[#This Row],[SAÍDA DO CLIENTE]]-Prog_236[[#This Row],[PROGRAMAÇÃO CLIENTE]]</f>
        <v>0</v>
      </c>
      <c r="AH1404" s="44"/>
      <c r="AI1404" s="66"/>
      <c r="AJ1404" s="66"/>
      <c r="AK1404" s="66"/>
      <c r="AL1404" s="66"/>
      <c r="AM1404" s="66"/>
      <c r="AN1404" s="83"/>
      <c r="AO1404" s="66"/>
      <c r="AP1404" s="66"/>
      <c r="AQ1404" s="66"/>
      <c r="AR1404" s="81"/>
      <c r="AS1404" s="81"/>
      <c r="AT1404" s="81"/>
      <c r="AU1404" s="81"/>
      <c r="AV1404" s="83">
        <f>SUM(Prog_236[[#This Row],[ADIANTAMENTO]]+Prog_236[[#This Row],[SALDO]]+Prog_236[[#This Row],[MARGEM]]+Prog_236[[#This Row],[ESTADIA 1]])</f>
        <v>0</v>
      </c>
      <c r="AW14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4" s="81"/>
      <c r="AY1404" s="81"/>
      <c r="AZ1404" s="81">
        <f>Prog_236[[#This Row],[VLR NF]]*0.1%</f>
        <v>0</v>
      </c>
      <c r="BA1404" s="81">
        <f>Prog_236[[#This Row],[VLR NF]]*0.05%</f>
        <v>0</v>
      </c>
      <c r="BB1404" s="81"/>
      <c r="BC1404" s="81"/>
      <c r="BD1404" s="81"/>
      <c r="BE1404" s="81"/>
      <c r="BF1404" s="81"/>
      <c r="BG1404" s="81"/>
      <c r="BH1404" s="81"/>
      <c r="BI1404" s="81"/>
      <c r="BJ1404" s="81"/>
      <c r="BK1404" s="81"/>
      <c r="BL1404" s="66"/>
      <c r="BM1404" s="66"/>
      <c r="BN1404" s="66"/>
      <c r="BO1404" s="66" t="str">
        <f>PROPER(TEXT(Prog_236[[#This Row],[PROGRAMAÇÃO CLIENTE]],"mmm"))</f>
        <v>Jan</v>
      </c>
      <c r="BP1404" s="66">
        <f>YEAR(Prog_236[[#This Row],[PROGRAMAÇÃO CLIENTE]])</f>
        <v>1900</v>
      </c>
    </row>
    <row r="1405" spans="1:68" x14ac:dyDescent="0.25">
      <c r="A1405" s="200">
        <f>Prog_236[[#This Row],[CONTEINER]]</f>
        <v>0</v>
      </c>
      <c r="B1405" s="86"/>
      <c r="C14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5" s="44"/>
      <c r="E1405" s="66"/>
      <c r="F1405" s="66"/>
      <c r="G1405" s="66"/>
      <c r="H1405" s="44"/>
      <c r="I1405" s="44"/>
      <c r="J1405" s="66"/>
      <c r="K1405" s="66"/>
      <c r="L1405" s="66"/>
      <c r="M1405" s="66"/>
      <c r="N1405" s="66">
        <f>SUM(Prog_236[[#This Row],[TARA]]+Prog_236[[#This Row],[PESO]])</f>
        <v>0</v>
      </c>
      <c r="O1405" s="44"/>
      <c r="P1405" s="66"/>
      <c r="Q1405" s="66"/>
      <c r="R1405" s="66"/>
      <c r="S1405" s="66"/>
      <c r="T1405" s="138" t="str">
        <f>IFERROR(LOOKUP($S1405,MOTORISTAS!$D$3:$D$1048576,MOTORISTAS!E$3:$E$1048576),"")</f>
        <v/>
      </c>
      <c r="U1405" s="138" t="str">
        <f>IFERROR(LOOKUP($S1405,MOTORISTAS!$D$3:$D$1048576,MOTORISTAS!F$3:$F$1048576),"")</f>
        <v/>
      </c>
      <c r="V1405" s="66"/>
      <c r="W1405" s="66"/>
      <c r="X1405" s="66"/>
      <c r="Y1405" s="66"/>
      <c r="Z1405" s="66"/>
      <c r="AA1405" s="66"/>
      <c r="AB1405" s="66"/>
      <c r="AC1405" s="66"/>
      <c r="AD1405" s="66"/>
      <c r="AE1405" s="66"/>
      <c r="AF1405" s="44"/>
      <c r="AG1405" s="254">
        <f>Prog_236[[#This Row],[SAÍDA DO CLIENTE]]-Prog_236[[#This Row],[PROGRAMAÇÃO CLIENTE]]</f>
        <v>0</v>
      </c>
      <c r="AH1405" s="44"/>
      <c r="AI1405" s="66"/>
      <c r="AJ1405" s="66"/>
      <c r="AK1405" s="66"/>
      <c r="AL1405" s="66"/>
      <c r="AM1405" s="66"/>
      <c r="AN1405" s="83"/>
      <c r="AO1405" s="66"/>
      <c r="AP1405" s="66"/>
      <c r="AQ1405" s="66"/>
      <c r="AR1405" s="81"/>
      <c r="AS1405" s="81"/>
      <c r="AT1405" s="81"/>
      <c r="AU1405" s="81"/>
      <c r="AV1405" s="83">
        <f>SUM(Prog_236[[#This Row],[ADIANTAMENTO]]+Prog_236[[#This Row],[SALDO]]+Prog_236[[#This Row],[MARGEM]]+Prog_236[[#This Row],[ESTADIA 1]])</f>
        <v>0</v>
      </c>
      <c r="AW14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5" s="81"/>
      <c r="AY1405" s="81"/>
      <c r="AZ1405" s="81">
        <f>Prog_236[[#This Row],[VLR NF]]*0.1%</f>
        <v>0</v>
      </c>
      <c r="BA1405" s="81">
        <f>Prog_236[[#This Row],[VLR NF]]*0.05%</f>
        <v>0</v>
      </c>
      <c r="BB1405" s="81"/>
      <c r="BC1405" s="81"/>
      <c r="BD1405" s="81"/>
      <c r="BE1405" s="81"/>
      <c r="BF1405" s="81"/>
      <c r="BG1405" s="81"/>
      <c r="BH1405" s="81"/>
      <c r="BI1405" s="81"/>
      <c r="BJ1405" s="81"/>
      <c r="BK1405" s="81"/>
      <c r="BL1405" s="66"/>
      <c r="BM1405" s="66"/>
      <c r="BN1405" s="66"/>
      <c r="BO1405" s="66" t="str">
        <f>PROPER(TEXT(Prog_236[[#This Row],[PROGRAMAÇÃO CLIENTE]],"mmm"))</f>
        <v>Jan</v>
      </c>
      <c r="BP1405" s="66">
        <f>YEAR(Prog_236[[#This Row],[PROGRAMAÇÃO CLIENTE]])</f>
        <v>1900</v>
      </c>
    </row>
    <row r="1406" spans="1:68" x14ac:dyDescent="0.25">
      <c r="A1406" s="201">
        <f>Prog_236[[#This Row],[CONTEINER]]</f>
        <v>0</v>
      </c>
      <c r="B1406" s="86"/>
      <c r="C14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6" s="44"/>
      <c r="E1406" s="66"/>
      <c r="F1406" s="66"/>
      <c r="G1406" s="66"/>
      <c r="H1406" s="44"/>
      <c r="I1406" s="44"/>
      <c r="J1406" s="66"/>
      <c r="K1406" s="66"/>
      <c r="L1406" s="66"/>
      <c r="M1406" s="66"/>
      <c r="N1406" s="66">
        <f>SUM(Prog_236[[#This Row],[TARA]]+Prog_236[[#This Row],[PESO]])</f>
        <v>0</v>
      </c>
      <c r="O1406" s="44"/>
      <c r="P1406" s="66"/>
      <c r="Q1406" s="66"/>
      <c r="R1406" s="66"/>
      <c r="S1406" s="66"/>
      <c r="T1406" s="138" t="str">
        <f>IFERROR(LOOKUP($S1406,MOTORISTAS!$D$3:$D$1048576,MOTORISTAS!E$3:$E$1048576),"")</f>
        <v/>
      </c>
      <c r="U1406" s="138" t="str">
        <f>IFERROR(LOOKUP($S1406,MOTORISTAS!$D$3:$D$1048576,MOTORISTAS!F$3:$F$1048576),"")</f>
        <v/>
      </c>
      <c r="V1406" s="66"/>
      <c r="W1406" s="66"/>
      <c r="X1406" s="66"/>
      <c r="Y1406" s="66"/>
      <c r="Z1406" s="66"/>
      <c r="AA1406" s="66"/>
      <c r="AB1406" s="66"/>
      <c r="AC1406" s="66"/>
      <c r="AD1406" s="66"/>
      <c r="AE1406" s="66"/>
      <c r="AF1406" s="44"/>
      <c r="AG1406" s="254">
        <f>Prog_236[[#This Row],[SAÍDA DO CLIENTE]]-Prog_236[[#This Row],[PROGRAMAÇÃO CLIENTE]]</f>
        <v>0</v>
      </c>
      <c r="AH1406" s="44"/>
      <c r="AI1406" s="66"/>
      <c r="AJ1406" s="66"/>
      <c r="AK1406" s="66"/>
      <c r="AL1406" s="66"/>
      <c r="AM1406" s="66"/>
      <c r="AN1406" s="83"/>
      <c r="AO1406" s="66"/>
      <c r="AP1406" s="66"/>
      <c r="AQ1406" s="66"/>
      <c r="AR1406" s="81"/>
      <c r="AS1406" s="81"/>
      <c r="AT1406" s="81"/>
      <c r="AU1406" s="81"/>
      <c r="AV1406" s="83">
        <f>SUM(Prog_236[[#This Row],[ADIANTAMENTO]]+Prog_236[[#This Row],[SALDO]]+Prog_236[[#This Row],[MARGEM]]+Prog_236[[#This Row],[ESTADIA 1]])</f>
        <v>0</v>
      </c>
      <c r="AW14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6" s="81"/>
      <c r="AY1406" s="81"/>
      <c r="AZ1406" s="81">
        <f>Prog_236[[#This Row],[VLR NF]]*0.1%</f>
        <v>0</v>
      </c>
      <c r="BA1406" s="81">
        <f>Prog_236[[#This Row],[VLR NF]]*0.05%</f>
        <v>0</v>
      </c>
      <c r="BB1406" s="81"/>
      <c r="BC1406" s="81"/>
      <c r="BD1406" s="81"/>
      <c r="BE1406" s="81"/>
      <c r="BF1406" s="81"/>
      <c r="BG1406" s="81"/>
      <c r="BH1406" s="81"/>
      <c r="BI1406" s="81"/>
      <c r="BJ1406" s="81"/>
      <c r="BK1406" s="81"/>
      <c r="BL1406" s="66"/>
      <c r="BM1406" s="66"/>
      <c r="BN1406" s="66"/>
      <c r="BO1406" s="66" t="str">
        <f>PROPER(TEXT(Prog_236[[#This Row],[PROGRAMAÇÃO CLIENTE]],"mmm"))</f>
        <v>Jan</v>
      </c>
      <c r="BP1406" s="66">
        <f>YEAR(Prog_236[[#This Row],[PROGRAMAÇÃO CLIENTE]])</f>
        <v>1900</v>
      </c>
    </row>
    <row r="1407" spans="1:68" x14ac:dyDescent="0.25">
      <c r="A1407" s="200">
        <f>Prog_236[[#This Row],[CONTEINER]]</f>
        <v>0</v>
      </c>
      <c r="B1407" s="86"/>
      <c r="C14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7" s="44"/>
      <c r="E1407" s="66"/>
      <c r="F1407" s="66"/>
      <c r="G1407" s="66"/>
      <c r="H1407" s="44"/>
      <c r="I1407" s="44"/>
      <c r="J1407" s="66"/>
      <c r="K1407" s="66"/>
      <c r="L1407" s="66"/>
      <c r="M1407" s="66"/>
      <c r="N1407" s="66">
        <f>SUM(Prog_236[[#This Row],[TARA]]+Prog_236[[#This Row],[PESO]])</f>
        <v>0</v>
      </c>
      <c r="O1407" s="44"/>
      <c r="P1407" s="66"/>
      <c r="Q1407" s="66"/>
      <c r="R1407" s="66"/>
      <c r="S1407" s="66"/>
      <c r="T1407" s="138" t="str">
        <f>IFERROR(LOOKUP($S1407,MOTORISTAS!$D$3:$D$1048576,MOTORISTAS!E$3:$E$1048576),"")</f>
        <v/>
      </c>
      <c r="U1407" s="138" t="str">
        <f>IFERROR(LOOKUP($S1407,MOTORISTAS!$D$3:$D$1048576,MOTORISTAS!F$3:$F$1048576),"")</f>
        <v/>
      </c>
      <c r="V1407" s="66"/>
      <c r="W1407" s="66"/>
      <c r="X1407" s="66"/>
      <c r="Y1407" s="66"/>
      <c r="Z1407" s="66"/>
      <c r="AA1407" s="66"/>
      <c r="AB1407" s="66"/>
      <c r="AC1407" s="66"/>
      <c r="AD1407" s="66"/>
      <c r="AE1407" s="66"/>
      <c r="AF1407" s="44"/>
      <c r="AG1407" s="254">
        <f>Prog_236[[#This Row],[SAÍDA DO CLIENTE]]-Prog_236[[#This Row],[PROGRAMAÇÃO CLIENTE]]</f>
        <v>0</v>
      </c>
      <c r="AH1407" s="44"/>
      <c r="AI1407" s="66"/>
      <c r="AJ1407" s="66"/>
      <c r="AK1407" s="66"/>
      <c r="AL1407" s="66"/>
      <c r="AM1407" s="66"/>
      <c r="AN1407" s="83"/>
      <c r="AO1407" s="66"/>
      <c r="AP1407" s="66"/>
      <c r="AQ1407" s="66"/>
      <c r="AR1407" s="81"/>
      <c r="AS1407" s="81"/>
      <c r="AT1407" s="81"/>
      <c r="AU1407" s="81"/>
      <c r="AV1407" s="83">
        <f>SUM(Prog_236[[#This Row],[ADIANTAMENTO]]+Prog_236[[#This Row],[SALDO]]+Prog_236[[#This Row],[MARGEM]]+Prog_236[[#This Row],[ESTADIA 1]])</f>
        <v>0</v>
      </c>
      <c r="AW14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7" s="81"/>
      <c r="AY1407" s="81"/>
      <c r="AZ1407" s="81">
        <f>Prog_236[[#This Row],[VLR NF]]*0.1%</f>
        <v>0</v>
      </c>
      <c r="BA1407" s="81">
        <f>Prog_236[[#This Row],[VLR NF]]*0.05%</f>
        <v>0</v>
      </c>
      <c r="BB1407" s="81"/>
      <c r="BC1407" s="81"/>
      <c r="BD1407" s="81"/>
      <c r="BE1407" s="81"/>
      <c r="BF1407" s="81"/>
      <c r="BG1407" s="81"/>
      <c r="BH1407" s="81"/>
      <c r="BI1407" s="81"/>
      <c r="BJ1407" s="81"/>
      <c r="BK1407" s="81"/>
      <c r="BL1407" s="66"/>
      <c r="BM1407" s="66"/>
      <c r="BN1407" s="66"/>
      <c r="BO1407" s="66" t="str">
        <f>PROPER(TEXT(Prog_236[[#This Row],[PROGRAMAÇÃO CLIENTE]],"mmm"))</f>
        <v>Jan</v>
      </c>
      <c r="BP1407" s="66">
        <f>YEAR(Prog_236[[#This Row],[PROGRAMAÇÃO CLIENTE]])</f>
        <v>1900</v>
      </c>
    </row>
    <row r="1408" spans="1:68" x14ac:dyDescent="0.25">
      <c r="A1408" s="201">
        <f>Prog_236[[#This Row],[CONTEINER]]</f>
        <v>0</v>
      </c>
      <c r="B1408" s="86"/>
      <c r="C14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8" s="44"/>
      <c r="E1408" s="66"/>
      <c r="F1408" s="66"/>
      <c r="G1408" s="66"/>
      <c r="H1408" s="44"/>
      <c r="I1408" s="44"/>
      <c r="J1408" s="66"/>
      <c r="K1408" s="66"/>
      <c r="L1408" s="66"/>
      <c r="M1408" s="66"/>
      <c r="N1408" s="66">
        <f>SUM(Prog_236[[#This Row],[TARA]]+Prog_236[[#This Row],[PESO]])</f>
        <v>0</v>
      </c>
      <c r="O1408" s="44"/>
      <c r="P1408" s="66"/>
      <c r="Q1408" s="66"/>
      <c r="R1408" s="66"/>
      <c r="S1408" s="66"/>
      <c r="T1408" s="138" t="str">
        <f>IFERROR(LOOKUP($S1408,MOTORISTAS!$D$3:$D$1048576,MOTORISTAS!E$3:$E$1048576),"")</f>
        <v/>
      </c>
      <c r="U1408" s="138" t="str">
        <f>IFERROR(LOOKUP($S1408,MOTORISTAS!$D$3:$D$1048576,MOTORISTAS!F$3:$F$1048576),"")</f>
        <v/>
      </c>
      <c r="V1408" s="66"/>
      <c r="W1408" s="66"/>
      <c r="X1408" s="66"/>
      <c r="Y1408" s="66"/>
      <c r="Z1408" s="66"/>
      <c r="AA1408" s="66"/>
      <c r="AB1408" s="66"/>
      <c r="AC1408" s="66"/>
      <c r="AD1408" s="66"/>
      <c r="AE1408" s="66"/>
      <c r="AF1408" s="44"/>
      <c r="AG1408" s="254">
        <f>Prog_236[[#This Row],[SAÍDA DO CLIENTE]]-Prog_236[[#This Row],[PROGRAMAÇÃO CLIENTE]]</f>
        <v>0</v>
      </c>
      <c r="AH1408" s="44"/>
      <c r="AI1408" s="66"/>
      <c r="AJ1408" s="66"/>
      <c r="AK1408" s="66"/>
      <c r="AL1408" s="66"/>
      <c r="AM1408" s="66"/>
      <c r="AN1408" s="83"/>
      <c r="AO1408" s="66"/>
      <c r="AP1408" s="66"/>
      <c r="AQ1408" s="66"/>
      <c r="AR1408" s="81"/>
      <c r="AS1408" s="81"/>
      <c r="AT1408" s="81"/>
      <c r="AU1408" s="81"/>
      <c r="AV1408" s="83">
        <f>SUM(Prog_236[[#This Row],[ADIANTAMENTO]]+Prog_236[[#This Row],[SALDO]]+Prog_236[[#This Row],[MARGEM]]+Prog_236[[#This Row],[ESTADIA 1]])</f>
        <v>0</v>
      </c>
      <c r="AW14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8" s="81"/>
      <c r="AY1408" s="81"/>
      <c r="AZ1408" s="81">
        <f>Prog_236[[#This Row],[VLR NF]]*0.1%</f>
        <v>0</v>
      </c>
      <c r="BA1408" s="81">
        <f>Prog_236[[#This Row],[VLR NF]]*0.05%</f>
        <v>0</v>
      </c>
      <c r="BB1408" s="81"/>
      <c r="BC1408" s="81"/>
      <c r="BD1408" s="81"/>
      <c r="BE1408" s="81"/>
      <c r="BF1408" s="81"/>
      <c r="BG1408" s="81"/>
      <c r="BH1408" s="81"/>
      <c r="BI1408" s="81"/>
      <c r="BJ1408" s="81"/>
      <c r="BK1408" s="81"/>
      <c r="BL1408" s="66"/>
      <c r="BM1408" s="66"/>
      <c r="BN1408" s="66"/>
      <c r="BO1408" s="66" t="str">
        <f>PROPER(TEXT(Prog_236[[#This Row],[PROGRAMAÇÃO CLIENTE]],"mmm"))</f>
        <v>Jan</v>
      </c>
      <c r="BP1408" s="66">
        <f>YEAR(Prog_236[[#This Row],[PROGRAMAÇÃO CLIENTE]])</f>
        <v>1900</v>
      </c>
    </row>
    <row r="1409" spans="1:68" x14ac:dyDescent="0.25">
      <c r="A1409" s="200">
        <f>Prog_236[[#This Row],[CONTEINER]]</f>
        <v>0</v>
      </c>
      <c r="B1409" s="86"/>
      <c r="C14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09" s="44"/>
      <c r="E1409" s="66"/>
      <c r="F1409" s="66"/>
      <c r="G1409" s="66"/>
      <c r="H1409" s="44"/>
      <c r="I1409" s="44"/>
      <c r="J1409" s="66"/>
      <c r="K1409" s="66"/>
      <c r="L1409" s="66"/>
      <c r="M1409" s="66"/>
      <c r="N1409" s="66">
        <f>SUM(Prog_236[[#This Row],[TARA]]+Prog_236[[#This Row],[PESO]])</f>
        <v>0</v>
      </c>
      <c r="O1409" s="44"/>
      <c r="P1409" s="66"/>
      <c r="Q1409" s="66"/>
      <c r="R1409" s="66"/>
      <c r="S1409" s="66"/>
      <c r="T1409" s="138" t="str">
        <f>IFERROR(LOOKUP($S1409,MOTORISTAS!$D$3:$D$1048576,MOTORISTAS!E$3:$E$1048576),"")</f>
        <v/>
      </c>
      <c r="U1409" s="138" t="str">
        <f>IFERROR(LOOKUP($S1409,MOTORISTAS!$D$3:$D$1048576,MOTORISTAS!F$3:$F$1048576),"")</f>
        <v/>
      </c>
      <c r="V1409" s="66"/>
      <c r="W1409" s="66"/>
      <c r="X1409" s="66"/>
      <c r="Y1409" s="66"/>
      <c r="Z1409" s="66"/>
      <c r="AA1409" s="66"/>
      <c r="AB1409" s="66"/>
      <c r="AC1409" s="66"/>
      <c r="AD1409" s="66"/>
      <c r="AE1409" s="66"/>
      <c r="AF1409" s="44"/>
      <c r="AG1409" s="254">
        <f>Prog_236[[#This Row],[SAÍDA DO CLIENTE]]-Prog_236[[#This Row],[PROGRAMAÇÃO CLIENTE]]</f>
        <v>0</v>
      </c>
      <c r="AH1409" s="44"/>
      <c r="AI1409" s="66"/>
      <c r="AJ1409" s="66"/>
      <c r="AK1409" s="66"/>
      <c r="AL1409" s="66"/>
      <c r="AM1409" s="66"/>
      <c r="AN1409" s="83"/>
      <c r="AO1409" s="66"/>
      <c r="AP1409" s="66"/>
      <c r="AQ1409" s="66"/>
      <c r="AR1409" s="81"/>
      <c r="AS1409" s="81"/>
      <c r="AT1409" s="81"/>
      <c r="AU1409" s="81"/>
      <c r="AV1409" s="83">
        <f>SUM(Prog_236[[#This Row],[ADIANTAMENTO]]+Prog_236[[#This Row],[SALDO]]+Prog_236[[#This Row],[MARGEM]]+Prog_236[[#This Row],[ESTADIA 1]])</f>
        <v>0</v>
      </c>
      <c r="AW14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09" s="81"/>
      <c r="AY1409" s="81"/>
      <c r="AZ1409" s="81">
        <f>Prog_236[[#This Row],[VLR NF]]*0.1%</f>
        <v>0</v>
      </c>
      <c r="BA1409" s="81">
        <f>Prog_236[[#This Row],[VLR NF]]*0.05%</f>
        <v>0</v>
      </c>
      <c r="BB1409" s="81"/>
      <c r="BC1409" s="81"/>
      <c r="BD1409" s="81"/>
      <c r="BE1409" s="81"/>
      <c r="BF1409" s="81"/>
      <c r="BG1409" s="81"/>
      <c r="BH1409" s="81"/>
      <c r="BI1409" s="81"/>
      <c r="BJ1409" s="81"/>
      <c r="BK1409" s="81"/>
      <c r="BL1409" s="66"/>
      <c r="BM1409" s="66"/>
      <c r="BN1409" s="66"/>
      <c r="BO1409" s="66" t="str">
        <f>PROPER(TEXT(Prog_236[[#This Row],[PROGRAMAÇÃO CLIENTE]],"mmm"))</f>
        <v>Jan</v>
      </c>
      <c r="BP1409" s="66">
        <f>YEAR(Prog_236[[#This Row],[PROGRAMAÇÃO CLIENTE]])</f>
        <v>1900</v>
      </c>
    </row>
    <row r="1410" spans="1:68" x14ac:dyDescent="0.25">
      <c r="A1410" s="201">
        <f>Prog_236[[#This Row],[CONTEINER]]</f>
        <v>0</v>
      </c>
      <c r="B1410" s="86"/>
      <c r="C14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0" s="44"/>
      <c r="E1410" s="66"/>
      <c r="F1410" s="66"/>
      <c r="G1410" s="66"/>
      <c r="H1410" s="44"/>
      <c r="I1410" s="44"/>
      <c r="J1410" s="66"/>
      <c r="K1410" s="66"/>
      <c r="L1410" s="66"/>
      <c r="M1410" s="66"/>
      <c r="N1410" s="66">
        <f>SUM(Prog_236[[#This Row],[TARA]]+Prog_236[[#This Row],[PESO]])</f>
        <v>0</v>
      </c>
      <c r="O1410" s="44"/>
      <c r="P1410" s="66"/>
      <c r="Q1410" s="66"/>
      <c r="R1410" s="66"/>
      <c r="S1410" s="66"/>
      <c r="T1410" s="138" t="str">
        <f>IFERROR(LOOKUP($S1410,MOTORISTAS!$D$3:$D$1048576,MOTORISTAS!E$3:$E$1048576),"")</f>
        <v/>
      </c>
      <c r="U1410" s="138" t="str">
        <f>IFERROR(LOOKUP($S1410,MOTORISTAS!$D$3:$D$1048576,MOTORISTAS!F$3:$F$1048576),"")</f>
        <v/>
      </c>
      <c r="V1410" s="66"/>
      <c r="W1410" s="66"/>
      <c r="X1410" s="66"/>
      <c r="Y1410" s="66"/>
      <c r="Z1410" s="66"/>
      <c r="AA1410" s="66"/>
      <c r="AB1410" s="66"/>
      <c r="AC1410" s="66"/>
      <c r="AD1410" s="66"/>
      <c r="AE1410" s="66"/>
      <c r="AF1410" s="44"/>
      <c r="AG1410" s="254">
        <f>Prog_236[[#This Row],[SAÍDA DO CLIENTE]]-Prog_236[[#This Row],[PROGRAMAÇÃO CLIENTE]]</f>
        <v>0</v>
      </c>
      <c r="AH1410" s="44"/>
      <c r="AI1410" s="66"/>
      <c r="AJ1410" s="66"/>
      <c r="AK1410" s="66"/>
      <c r="AL1410" s="66"/>
      <c r="AM1410" s="66"/>
      <c r="AN1410" s="83"/>
      <c r="AO1410" s="66"/>
      <c r="AP1410" s="66"/>
      <c r="AQ1410" s="66"/>
      <c r="AR1410" s="81"/>
      <c r="AS1410" s="81"/>
      <c r="AT1410" s="81"/>
      <c r="AU1410" s="81"/>
      <c r="AV1410" s="83">
        <f>SUM(Prog_236[[#This Row],[ADIANTAMENTO]]+Prog_236[[#This Row],[SALDO]]+Prog_236[[#This Row],[MARGEM]]+Prog_236[[#This Row],[ESTADIA 1]])</f>
        <v>0</v>
      </c>
      <c r="AW14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0" s="81"/>
      <c r="AY1410" s="81"/>
      <c r="AZ1410" s="81">
        <f>Prog_236[[#This Row],[VLR NF]]*0.1%</f>
        <v>0</v>
      </c>
      <c r="BA1410" s="81">
        <f>Prog_236[[#This Row],[VLR NF]]*0.05%</f>
        <v>0</v>
      </c>
      <c r="BB1410" s="81"/>
      <c r="BC1410" s="81"/>
      <c r="BD1410" s="81"/>
      <c r="BE1410" s="81"/>
      <c r="BF1410" s="81"/>
      <c r="BG1410" s="81"/>
      <c r="BH1410" s="81"/>
      <c r="BI1410" s="81"/>
      <c r="BJ1410" s="81"/>
      <c r="BK1410" s="81"/>
      <c r="BL1410" s="66"/>
      <c r="BM1410" s="66"/>
      <c r="BN1410" s="66"/>
      <c r="BO1410" s="66" t="str">
        <f>PROPER(TEXT(Prog_236[[#This Row],[PROGRAMAÇÃO CLIENTE]],"mmm"))</f>
        <v>Jan</v>
      </c>
      <c r="BP1410" s="66">
        <f>YEAR(Prog_236[[#This Row],[PROGRAMAÇÃO CLIENTE]])</f>
        <v>1900</v>
      </c>
    </row>
    <row r="1411" spans="1:68" x14ac:dyDescent="0.25">
      <c r="A1411" s="200">
        <f>Prog_236[[#This Row],[CONTEINER]]</f>
        <v>0</v>
      </c>
      <c r="B1411" s="86"/>
      <c r="C14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1" s="44"/>
      <c r="E1411" s="66"/>
      <c r="F1411" s="66"/>
      <c r="G1411" s="66"/>
      <c r="H1411" s="44"/>
      <c r="I1411" s="44"/>
      <c r="J1411" s="66"/>
      <c r="K1411" s="66"/>
      <c r="L1411" s="66"/>
      <c r="M1411" s="66"/>
      <c r="N1411" s="66">
        <f>SUM(Prog_236[[#This Row],[TARA]]+Prog_236[[#This Row],[PESO]])</f>
        <v>0</v>
      </c>
      <c r="O1411" s="44"/>
      <c r="P1411" s="66"/>
      <c r="Q1411" s="66"/>
      <c r="R1411" s="66"/>
      <c r="S1411" s="66"/>
      <c r="T1411" s="138" t="str">
        <f>IFERROR(LOOKUP($S1411,MOTORISTAS!$D$3:$D$1048576,MOTORISTAS!E$3:$E$1048576),"")</f>
        <v/>
      </c>
      <c r="U1411" s="138" t="str">
        <f>IFERROR(LOOKUP($S1411,MOTORISTAS!$D$3:$D$1048576,MOTORISTAS!F$3:$F$1048576),"")</f>
        <v/>
      </c>
      <c r="V1411" s="66"/>
      <c r="W1411" s="66"/>
      <c r="X1411" s="66"/>
      <c r="Y1411" s="66"/>
      <c r="Z1411" s="66"/>
      <c r="AA1411" s="66"/>
      <c r="AB1411" s="66"/>
      <c r="AC1411" s="66"/>
      <c r="AD1411" s="66"/>
      <c r="AE1411" s="66"/>
      <c r="AF1411" s="44"/>
      <c r="AG1411" s="254">
        <f>Prog_236[[#This Row],[SAÍDA DO CLIENTE]]-Prog_236[[#This Row],[PROGRAMAÇÃO CLIENTE]]</f>
        <v>0</v>
      </c>
      <c r="AH1411" s="44"/>
      <c r="AI1411" s="66"/>
      <c r="AJ1411" s="66"/>
      <c r="AK1411" s="66"/>
      <c r="AL1411" s="66"/>
      <c r="AM1411" s="66"/>
      <c r="AN1411" s="83"/>
      <c r="AO1411" s="66"/>
      <c r="AP1411" s="66"/>
      <c r="AQ1411" s="66"/>
      <c r="AR1411" s="81"/>
      <c r="AS1411" s="81"/>
      <c r="AT1411" s="81"/>
      <c r="AU1411" s="81"/>
      <c r="AV1411" s="83">
        <f>SUM(Prog_236[[#This Row],[ADIANTAMENTO]]+Prog_236[[#This Row],[SALDO]]+Prog_236[[#This Row],[MARGEM]]+Prog_236[[#This Row],[ESTADIA 1]])</f>
        <v>0</v>
      </c>
      <c r="AW14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1" s="81"/>
      <c r="AY1411" s="81"/>
      <c r="AZ1411" s="81">
        <f>Prog_236[[#This Row],[VLR NF]]*0.1%</f>
        <v>0</v>
      </c>
      <c r="BA1411" s="81">
        <f>Prog_236[[#This Row],[VLR NF]]*0.05%</f>
        <v>0</v>
      </c>
      <c r="BB1411" s="81"/>
      <c r="BC1411" s="81"/>
      <c r="BD1411" s="81"/>
      <c r="BE1411" s="81"/>
      <c r="BF1411" s="81"/>
      <c r="BG1411" s="81"/>
      <c r="BH1411" s="81"/>
      <c r="BI1411" s="81"/>
      <c r="BJ1411" s="81"/>
      <c r="BK1411" s="81"/>
      <c r="BL1411" s="66"/>
      <c r="BM1411" s="66"/>
      <c r="BN1411" s="66"/>
      <c r="BO1411" s="66" t="str">
        <f>PROPER(TEXT(Prog_236[[#This Row],[PROGRAMAÇÃO CLIENTE]],"mmm"))</f>
        <v>Jan</v>
      </c>
      <c r="BP1411" s="66">
        <f>YEAR(Prog_236[[#This Row],[PROGRAMAÇÃO CLIENTE]])</f>
        <v>1900</v>
      </c>
    </row>
    <row r="1412" spans="1:68" x14ac:dyDescent="0.25">
      <c r="A1412" s="201">
        <f>Prog_236[[#This Row],[CONTEINER]]</f>
        <v>0</v>
      </c>
      <c r="B1412" s="86"/>
      <c r="C14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2" s="44"/>
      <c r="E1412" s="66"/>
      <c r="F1412" s="66"/>
      <c r="G1412" s="66"/>
      <c r="H1412" s="44"/>
      <c r="I1412" s="44"/>
      <c r="J1412" s="66"/>
      <c r="K1412" s="66"/>
      <c r="L1412" s="66"/>
      <c r="M1412" s="66"/>
      <c r="N1412" s="66">
        <f>SUM(Prog_236[[#This Row],[TARA]]+Prog_236[[#This Row],[PESO]])</f>
        <v>0</v>
      </c>
      <c r="O1412" s="44"/>
      <c r="P1412" s="66"/>
      <c r="Q1412" s="66"/>
      <c r="R1412" s="66"/>
      <c r="S1412" s="66"/>
      <c r="T1412" s="138" t="str">
        <f>IFERROR(LOOKUP($S1412,MOTORISTAS!$D$3:$D$1048576,MOTORISTAS!E$3:$E$1048576),"")</f>
        <v/>
      </c>
      <c r="U1412" s="138" t="str">
        <f>IFERROR(LOOKUP($S1412,MOTORISTAS!$D$3:$D$1048576,MOTORISTAS!F$3:$F$1048576),"")</f>
        <v/>
      </c>
      <c r="V1412" s="66"/>
      <c r="W1412" s="66"/>
      <c r="X1412" s="66"/>
      <c r="Y1412" s="66"/>
      <c r="Z1412" s="66"/>
      <c r="AA1412" s="66"/>
      <c r="AB1412" s="66"/>
      <c r="AC1412" s="66"/>
      <c r="AD1412" s="66"/>
      <c r="AE1412" s="66"/>
      <c r="AF1412" s="44"/>
      <c r="AG1412" s="254">
        <f>Prog_236[[#This Row],[SAÍDA DO CLIENTE]]-Prog_236[[#This Row],[PROGRAMAÇÃO CLIENTE]]</f>
        <v>0</v>
      </c>
      <c r="AH1412" s="44"/>
      <c r="AI1412" s="66"/>
      <c r="AJ1412" s="66"/>
      <c r="AK1412" s="66"/>
      <c r="AL1412" s="66"/>
      <c r="AM1412" s="66"/>
      <c r="AN1412" s="83"/>
      <c r="AO1412" s="66"/>
      <c r="AP1412" s="66"/>
      <c r="AQ1412" s="66"/>
      <c r="AR1412" s="81"/>
      <c r="AS1412" s="81"/>
      <c r="AT1412" s="81"/>
      <c r="AU1412" s="81"/>
      <c r="AV1412" s="83">
        <f>SUM(Prog_236[[#This Row],[ADIANTAMENTO]]+Prog_236[[#This Row],[SALDO]]+Prog_236[[#This Row],[MARGEM]]+Prog_236[[#This Row],[ESTADIA 1]])</f>
        <v>0</v>
      </c>
      <c r="AW14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2" s="81"/>
      <c r="AY1412" s="81"/>
      <c r="AZ1412" s="81">
        <f>Prog_236[[#This Row],[VLR NF]]*0.1%</f>
        <v>0</v>
      </c>
      <c r="BA1412" s="81">
        <f>Prog_236[[#This Row],[VLR NF]]*0.05%</f>
        <v>0</v>
      </c>
      <c r="BB1412" s="81"/>
      <c r="BC1412" s="81"/>
      <c r="BD1412" s="81"/>
      <c r="BE1412" s="81"/>
      <c r="BF1412" s="81"/>
      <c r="BG1412" s="81"/>
      <c r="BH1412" s="81"/>
      <c r="BI1412" s="81"/>
      <c r="BJ1412" s="81"/>
      <c r="BK1412" s="81"/>
      <c r="BL1412" s="66"/>
      <c r="BM1412" s="66"/>
      <c r="BN1412" s="66"/>
      <c r="BO1412" s="66" t="str">
        <f>PROPER(TEXT(Prog_236[[#This Row],[PROGRAMAÇÃO CLIENTE]],"mmm"))</f>
        <v>Jan</v>
      </c>
      <c r="BP1412" s="66">
        <f>YEAR(Prog_236[[#This Row],[PROGRAMAÇÃO CLIENTE]])</f>
        <v>1900</v>
      </c>
    </row>
    <row r="1413" spans="1:68" x14ac:dyDescent="0.25">
      <c r="A1413" s="200">
        <f>Prog_236[[#This Row],[CONTEINER]]</f>
        <v>0</v>
      </c>
      <c r="B1413" s="86"/>
      <c r="C14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3" s="44"/>
      <c r="E1413" s="66"/>
      <c r="F1413" s="66"/>
      <c r="G1413" s="66"/>
      <c r="H1413" s="44"/>
      <c r="I1413" s="44"/>
      <c r="J1413" s="66"/>
      <c r="K1413" s="66"/>
      <c r="L1413" s="66"/>
      <c r="M1413" s="66"/>
      <c r="N1413" s="66">
        <f>SUM(Prog_236[[#This Row],[TARA]]+Prog_236[[#This Row],[PESO]])</f>
        <v>0</v>
      </c>
      <c r="O1413" s="44"/>
      <c r="P1413" s="66"/>
      <c r="Q1413" s="66"/>
      <c r="R1413" s="66"/>
      <c r="S1413" s="66"/>
      <c r="T1413" s="138" t="str">
        <f>IFERROR(LOOKUP($S1413,MOTORISTAS!$D$3:$D$1048576,MOTORISTAS!E$3:$E$1048576),"")</f>
        <v/>
      </c>
      <c r="U1413" s="138" t="str">
        <f>IFERROR(LOOKUP($S1413,MOTORISTAS!$D$3:$D$1048576,MOTORISTAS!F$3:$F$1048576),"")</f>
        <v/>
      </c>
      <c r="V1413" s="66"/>
      <c r="W1413" s="66"/>
      <c r="X1413" s="66"/>
      <c r="Y1413" s="66"/>
      <c r="Z1413" s="66"/>
      <c r="AA1413" s="66"/>
      <c r="AB1413" s="66"/>
      <c r="AC1413" s="66"/>
      <c r="AD1413" s="66"/>
      <c r="AE1413" s="66"/>
      <c r="AF1413" s="44"/>
      <c r="AG1413" s="254">
        <f>Prog_236[[#This Row],[SAÍDA DO CLIENTE]]-Prog_236[[#This Row],[PROGRAMAÇÃO CLIENTE]]</f>
        <v>0</v>
      </c>
      <c r="AH1413" s="44"/>
      <c r="AI1413" s="66"/>
      <c r="AJ1413" s="66"/>
      <c r="AK1413" s="66"/>
      <c r="AL1413" s="66"/>
      <c r="AM1413" s="66"/>
      <c r="AN1413" s="83"/>
      <c r="AO1413" s="66"/>
      <c r="AP1413" s="66"/>
      <c r="AQ1413" s="66"/>
      <c r="AR1413" s="81"/>
      <c r="AS1413" s="81"/>
      <c r="AT1413" s="81"/>
      <c r="AU1413" s="81"/>
      <c r="AV1413" s="83">
        <f>SUM(Prog_236[[#This Row],[ADIANTAMENTO]]+Prog_236[[#This Row],[SALDO]]+Prog_236[[#This Row],[MARGEM]]+Prog_236[[#This Row],[ESTADIA 1]])</f>
        <v>0</v>
      </c>
      <c r="AW14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3" s="81"/>
      <c r="AY1413" s="81"/>
      <c r="AZ1413" s="81">
        <f>Prog_236[[#This Row],[VLR NF]]*0.1%</f>
        <v>0</v>
      </c>
      <c r="BA1413" s="81">
        <f>Prog_236[[#This Row],[VLR NF]]*0.05%</f>
        <v>0</v>
      </c>
      <c r="BB1413" s="81"/>
      <c r="BC1413" s="81"/>
      <c r="BD1413" s="81"/>
      <c r="BE1413" s="81"/>
      <c r="BF1413" s="81"/>
      <c r="BG1413" s="81"/>
      <c r="BH1413" s="81"/>
      <c r="BI1413" s="81"/>
      <c r="BJ1413" s="81"/>
      <c r="BK1413" s="81"/>
      <c r="BL1413" s="66"/>
      <c r="BM1413" s="66"/>
      <c r="BN1413" s="66"/>
      <c r="BO1413" s="66" t="str">
        <f>PROPER(TEXT(Prog_236[[#This Row],[PROGRAMAÇÃO CLIENTE]],"mmm"))</f>
        <v>Jan</v>
      </c>
      <c r="BP1413" s="66">
        <f>YEAR(Prog_236[[#This Row],[PROGRAMAÇÃO CLIENTE]])</f>
        <v>1900</v>
      </c>
    </row>
    <row r="1414" spans="1:68" x14ac:dyDescent="0.25">
      <c r="A1414" s="201">
        <f>Prog_236[[#This Row],[CONTEINER]]</f>
        <v>0</v>
      </c>
      <c r="B1414" s="86"/>
      <c r="C14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4" s="44"/>
      <c r="E1414" s="66"/>
      <c r="F1414" s="66"/>
      <c r="G1414" s="66"/>
      <c r="H1414" s="44"/>
      <c r="I1414" s="44"/>
      <c r="J1414" s="66"/>
      <c r="K1414" s="66"/>
      <c r="L1414" s="66"/>
      <c r="M1414" s="66"/>
      <c r="N1414" s="66">
        <f>SUM(Prog_236[[#This Row],[TARA]]+Prog_236[[#This Row],[PESO]])</f>
        <v>0</v>
      </c>
      <c r="O1414" s="44"/>
      <c r="P1414" s="66"/>
      <c r="Q1414" s="66"/>
      <c r="R1414" s="66"/>
      <c r="S1414" s="66"/>
      <c r="T1414" s="138" t="str">
        <f>IFERROR(LOOKUP($S1414,MOTORISTAS!$D$3:$D$1048576,MOTORISTAS!E$3:$E$1048576),"")</f>
        <v/>
      </c>
      <c r="U1414" s="138" t="str">
        <f>IFERROR(LOOKUP($S1414,MOTORISTAS!$D$3:$D$1048576,MOTORISTAS!F$3:$F$1048576),"")</f>
        <v/>
      </c>
      <c r="V1414" s="66"/>
      <c r="W1414" s="66"/>
      <c r="X1414" s="66"/>
      <c r="Y1414" s="66"/>
      <c r="Z1414" s="66"/>
      <c r="AA1414" s="66"/>
      <c r="AB1414" s="66"/>
      <c r="AC1414" s="66"/>
      <c r="AD1414" s="66"/>
      <c r="AE1414" s="66"/>
      <c r="AF1414" s="44"/>
      <c r="AG1414" s="254">
        <f>Prog_236[[#This Row],[SAÍDA DO CLIENTE]]-Prog_236[[#This Row],[PROGRAMAÇÃO CLIENTE]]</f>
        <v>0</v>
      </c>
      <c r="AH1414" s="44"/>
      <c r="AI1414" s="66"/>
      <c r="AJ1414" s="66"/>
      <c r="AK1414" s="66"/>
      <c r="AL1414" s="66"/>
      <c r="AM1414" s="66"/>
      <c r="AN1414" s="83"/>
      <c r="AO1414" s="66"/>
      <c r="AP1414" s="66"/>
      <c r="AQ1414" s="66"/>
      <c r="AR1414" s="81"/>
      <c r="AS1414" s="81"/>
      <c r="AT1414" s="81"/>
      <c r="AU1414" s="81"/>
      <c r="AV1414" s="83">
        <f>SUM(Prog_236[[#This Row],[ADIANTAMENTO]]+Prog_236[[#This Row],[SALDO]]+Prog_236[[#This Row],[MARGEM]]+Prog_236[[#This Row],[ESTADIA 1]])</f>
        <v>0</v>
      </c>
      <c r="AW14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4" s="81"/>
      <c r="AY1414" s="81"/>
      <c r="AZ1414" s="81">
        <f>Prog_236[[#This Row],[VLR NF]]*0.1%</f>
        <v>0</v>
      </c>
      <c r="BA1414" s="81">
        <f>Prog_236[[#This Row],[VLR NF]]*0.05%</f>
        <v>0</v>
      </c>
      <c r="BB1414" s="81"/>
      <c r="BC1414" s="81"/>
      <c r="BD1414" s="81"/>
      <c r="BE1414" s="81"/>
      <c r="BF1414" s="81"/>
      <c r="BG1414" s="81"/>
      <c r="BH1414" s="81"/>
      <c r="BI1414" s="81"/>
      <c r="BJ1414" s="81"/>
      <c r="BK1414" s="81"/>
      <c r="BL1414" s="66"/>
      <c r="BM1414" s="66"/>
      <c r="BN1414" s="66"/>
      <c r="BO1414" s="66" t="str">
        <f>PROPER(TEXT(Prog_236[[#This Row],[PROGRAMAÇÃO CLIENTE]],"mmm"))</f>
        <v>Jan</v>
      </c>
      <c r="BP1414" s="66">
        <f>YEAR(Prog_236[[#This Row],[PROGRAMAÇÃO CLIENTE]])</f>
        <v>1900</v>
      </c>
    </row>
    <row r="1415" spans="1:68" x14ac:dyDescent="0.25">
      <c r="A1415" s="200">
        <f>Prog_236[[#This Row],[CONTEINER]]</f>
        <v>0</v>
      </c>
      <c r="B1415" s="86"/>
      <c r="C14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5" s="44"/>
      <c r="E1415" s="66"/>
      <c r="F1415" s="66"/>
      <c r="G1415" s="66"/>
      <c r="H1415" s="44"/>
      <c r="I1415" s="44"/>
      <c r="J1415" s="66"/>
      <c r="K1415" s="66"/>
      <c r="L1415" s="66"/>
      <c r="M1415" s="66"/>
      <c r="N1415" s="66">
        <f>SUM(Prog_236[[#This Row],[TARA]]+Prog_236[[#This Row],[PESO]])</f>
        <v>0</v>
      </c>
      <c r="O1415" s="44"/>
      <c r="P1415" s="66"/>
      <c r="Q1415" s="66"/>
      <c r="R1415" s="66"/>
      <c r="S1415" s="66"/>
      <c r="T1415" s="138" t="str">
        <f>IFERROR(LOOKUP($S1415,MOTORISTAS!$D$3:$D$1048576,MOTORISTAS!E$3:$E$1048576),"")</f>
        <v/>
      </c>
      <c r="U1415" s="138" t="str">
        <f>IFERROR(LOOKUP($S1415,MOTORISTAS!$D$3:$D$1048576,MOTORISTAS!F$3:$F$1048576),"")</f>
        <v/>
      </c>
      <c r="V1415" s="66"/>
      <c r="W1415" s="66"/>
      <c r="X1415" s="66"/>
      <c r="Y1415" s="66"/>
      <c r="Z1415" s="66"/>
      <c r="AA1415" s="66"/>
      <c r="AB1415" s="66"/>
      <c r="AC1415" s="66"/>
      <c r="AD1415" s="66"/>
      <c r="AE1415" s="66"/>
      <c r="AF1415" s="44"/>
      <c r="AG1415" s="254">
        <f>Prog_236[[#This Row],[SAÍDA DO CLIENTE]]-Prog_236[[#This Row],[PROGRAMAÇÃO CLIENTE]]</f>
        <v>0</v>
      </c>
      <c r="AH1415" s="44"/>
      <c r="AI1415" s="66"/>
      <c r="AJ1415" s="66"/>
      <c r="AK1415" s="66"/>
      <c r="AL1415" s="66"/>
      <c r="AM1415" s="66"/>
      <c r="AN1415" s="83"/>
      <c r="AO1415" s="66"/>
      <c r="AP1415" s="66"/>
      <c r="AQ1415" s="66"/>
      <c r="AR1415" s="81"/>
      <c r="AS1415" s="81"/>
      <c r="AT1415" s="81"/>
      <c r="AU1415" s="81"/>
      <c r="AV1415" s="83">
        <f>SUM(Prog_236[[#This Row],[ADIANTAMENTO]]+Prog_236[[#This Row],[SALDO]]+Prog_236[[#This Row],[MARGEM]]+Prog_236[[#This Row],[ESTADIA 1]])</f>
        <v>0</v>
      </c>
      <c r="AW14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5" s="81"/>
      <c r="AY1415" s="81"/>
      <c r="AZ1415" s="81">
        <f>Prog_236[[#This Row],[VLR NF]]*0.1%</f>
        <v>0</v>
      </c>
      <c r="BA1415" s="81">
        <f>Prog_236[[#This Row],[VLR NF]]*0.05%</f>
        <v>0</v>
      </c>
      <c r="BB1415" s="81"/>
      <c r="BC1415" s="81"/>
      <c r="BD1415" s="81"/>
      <c r="BE1415" s="81"/>
      <c r="BF1415" s="81"/>
      <c r="BG1415" s="81"/>
      <c r="BH1415" s="81"/>
      <c r="BI1415" s="81"/>
      <c r="BJ1415" s="81"/>
      <c r="BK1415" s="81"/>
      <c r="BL1415" s="66"/>
      <c r="BM1415" s="66"/>
      <c r="BN1415" s="66"/>
      <c r="BO1415" s="66" t="str">
        <f>PROPER(TEXT(Prog_236[[#This Row],[PROGRAMAÇÃO CLIENTE]],"mmm"))</f>
        <v>Jan</v>
      </c>
      <c r="BP1415" s="66">
        <f>YEAR(Prog_236[[#This Row],[PROGRAMAÇÃO CLIENTE]])</f>
        <v>1900</v>
      </c>
    </row>
    <row r="1416" spans="1:68" x14ac:dyDescent="0.25">
      <c r="A1416" s="201">
        <f>Prog_236[[#This Row],[CONTEINER]]</f>
        <v>0</v>
      </c>
      <c r="B1416" s="86"/>
      <c r="C14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6" s="44"/>
      <c r="E1416" s="66"/>
      <c r="F1416" s="66"/>
      <c r="G1416" s="66"/>
      <c r="H1416" s="44"/>
      <c r="I1416" s="44"/>
      <c r="J1416" s="66"/>
      <c r="K1416" s="66"/>
      <c r="L1416" s="66"/>
      <c r="M1416" s="66"/>
      <c r="N1416" s="66">
        <f>SUM(Prog_236[[#This Row],[TARA]]+Prog_236[[#This Row],[PESO]])</f>
        <v>0</v>
      </c>
      <c r="O1416" s="44"/>
      <c r="P1416" s="66"/>
      <c r="Q1416" s="66"/>
      <c r="R1416" s="66"/>
      <c r="S1416" s="66"/>
      <c r="T1416" s="138" t="str">
        <f>IFERROR(LOOKUP($S1416,MOTORISTAS!$D$3:$D$1048576,MOTORISTAS!E$3:$E$1048576),"")</f>
        <v/>
      </c>
      <c r="U1416" s="138" t="str">
        <f>IFERROR(LOOKUP($S1416,MOTORISTAS!$D$3:$D$1048576,MOTORISTAS!F$3:$F$1048576),"")</f>
        <v/>
      </c>
      <c r="V1416" s="66"/>
      <c r="W1416" s="66"/>
      <c r="X1416" s="66"/>
      <c r="Y1416" s="66"/>
      <c r="Z1416" s="66"/>
      <c r="AA1416" s="66"/>
      <c r="AB1416" s="66"/>
      <c r="AC1416" s="66"/>
      <c r="AD1416" s="66"/>
      <c r="AE1416" s="66"/>
      <c r="AF1416" s="44"/>
      <c r="AG1416" s="254">
        <f>Prog_236[[#This Row],[SAÍDA DO CLIENTE]]-Prog_236[[#This Row],[PROGRAMAÇÃO CLIENTE]]</f>
        <v>0</v>
      </c>
      <c r="AH1416" s="44"/>
      <c r="AI1416" s="66"/>
      <c r="AJ1416" s="66"/>
      <c r="AK1416" s="66"/>
      <c r="AL1416" s="66"/>
      <c r="AM1416" s="66"/>
      <c r="AN1416" s="83"/>
      <c r="AO1416" s="66"/>
      <c r="AP1416" s="66"/>
      <c r="AQ1416" s="66"/>
      <c r="AR1416" s="81"/>
      <c r="AS1416" s="81"/>
      <c r="AT1416" s="81"/>
      <c r="AU1416" s="81"/>
      <c r="AV1416" s="83">
        <f>SUM(Prog_236[[#This Row],[ADIANTAMENTO]]+Prog_236[[#This Row],[SALDO]]+Prog_236[[#This Row],[MARGEM]]+Prog_236[[#This Row],[ESTADIA 1]])</f>
        <v>0</v>
      </c>
      <c r="AW14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6" s="81"/>
      <c r="AY1416" s="81"/>
      <c r="AZ1416" s="81">
        <f>Prog_236[[#This Row],[VLR NF]]*0.1%</f>
        <v>0</v>
      </c>
      <c r="BA1416" s="81">
        <f>Prog_236[[#This Row],[VLR NF]]*0.05%</f>
        <v>0</v>
      </c>
      <c r="BB1416" s="81"/>
      <c r="BC1416" s="81"/>
      <c r="BD1416" s="81"/>
      <c r="BE1416" s="81"/>
      <c r="BF1416" s="81"/>
      <c r="BG1416" s="81"/>
      <c r="BH1416" s="81"/>
      <c r="BI1416" s="81"/>
      <c r="BJ1416" s="81"/>
      <c r="BK1416" s="81"/>
      <c r="BL1416" s="66"/>
      <c r="BM1416" s="66"/>
      <c r="BN1416" s="66"/>
      <c r="BO1416" s="66" t="str">
        <f>PROPER(TEXT(Prog_236[[#This Row],[PROGRAMAÇÃO CLIENTE]],"mmm"))</f>
        <v>Jan</v>
      </c>
      <c r="BP1416" s="66">
        <f>YEAR(Prog_236[[#This Row],[PROGRAMAÇÃO CLIENTE]])</f>
        <v>1900</v>
      </c>
    </row>
    <row r="1417" spans="1:68" x14ac:dyDescent="0.25">
      <c r="A1417" s="200">
        <f>Prog_236[[#This Row],[CONTEINER]]</f>
        <v>0</v>
      </c>
      <c r="B1417" s="86"/>
      <c r="C14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7" s="44"/>
      <c r="E1417" s="66"/>
      <c r="F1417" s="66"/>
      <c r="G1417" s="66"/>
      <c r="H1417" s="44"/>
      <c r="I1417" s="44"/>
      <c r="J1417" s="66"/>
      <c r="K1417" s="66"/>
      <c r="L1417" s="66"/>
      <c r="M1417" s="66"/>
      <c r="N1417" s="66">
        <f>SUM(Prog_236[[#This Row],[TARA]]+Prog_236[[#This Row],[PESO]])</f>
        <v>0</v>
      </c>
      <c r="O1417" s="44"/>
      <c r="P1417" s="66"/>
      <c r="Q1417" s="66"/>
      <c r="R1417" s="66"/>
      <c r="S1417" s="66"/>
      <c r="T1417" s="138" t="str">
        <f>IFERROR(LOOKUP($S1417,MOTORISTAS!$D$3:$D$1048576,MOTORISTAS!E$3:$E$1048576),"")</f>
        <v/>
      </c>
      <c r="U1417" s="138" t="str">
        <f>IFERROR(LOOKUP($S1417,MOTORISTAS!$D$3:$D$1048576,MOTORISTAS!F$3:$F$1048576),"")</f>
        <v/>
      </c>
      <c r="V1417" s="66"/>
      <c r="W1417" s="66"/>
      <c r="X1417" s="66"/>
      <c r="Y1417" s="66"/>
      <c r="Z1417" s="66"/>
      <c r="AA1417" s="66"/>
      <c r="AB1417" s="66"/>
      <c r="AC1417" s="66"/>
      <c r="AD1417" s="66"/>
      <c r="AE1417" s="66"/>
      <c r="AF1417" s="44"/>
      <c r="AG1417" s="254">
        <f>Prog_236[[#This Row],[SAÍDA DO CLIENTE]]-Prog_236[[#This Row],[PROGRAMAÇÃO CLIENTE]]</f>
        <v>0</v>
      </c>
      <c r="AH1417" s="44"/>
      <c r="AI1417" s="66"/>
      <c r="AJ1417" s="66"/>
      <c r="AK1417" s="66"/>
      <c r="AL1417" s="66"/>
      <c r="AM1417" s="66"/>
      <c r="AN1417" s="83"/>
      <c r="AO1417" s="66"/>
      <c r="AP1417" s="66"/>
      <c r="AQ1417" s="66"/>
      <c r="AR1417" s="81"/>
      <c r="AS1417" s="81"/>
      <c r="AT1417" s="81"/>
      <c r="AU1417" s="81"/>
      <c r="AV1417" s="83">
        <f>SUM(Prog_236[[#This Row],[ADIANTAMENTO]]+Prog_236[[#This Row],[SALDO]]+Prog_236[[#This Row],[MARGEM]]+Prog_236[[#This Row],[ESTADIA 1]])</f>
        <v>0</v>
      </c>
      <c r="AW14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7" s="81"/>
      <c r="AY1417" s="81"/>
      <c r="AZ1417" s="81">
        <f>Prog_236[[#This Row],[VLR NF]]*0.1%</f>
        <v>0</v>
      </c>
      <c r="BA1417" s="81">
        <f>Prog_236[[#This Row],[VLR NF]]*0.05%</f>
        <v>0</v>
      </c>
      <c r="BB1417" s="81"/>
      <c r="BC1417" s="81"/>
      <c r="BD1417" s="81"/>
      <c r="BE1417" s="81"/>
      <c r="BF1417" s="81"/>
      <c r="BG1417" s="81"/>
      <c r="BH1417" s="81"/>
      <c r="BI1417" s="81"/>
      <c r="BJ1417" s="81"/>
      <c r="BK1417" s="81"/>
      <c r="BL1417" s="66"/>
      <c r="BM1417" s="66"/>
      <c r="BN1417" s="66"/>
      <c r="BO1417" s="66" t="str">
        <f>PROPER(TEXT(Prog_236[[#This Row],[PROGRAMAÇÃO CLIENTE]],"mmm"))</f>
        <v>Jan</v>
      </c>
      <c r="BP1417" s="66">
        <f>YEAR(Prog_236[[#This Row],[PROGRAMAÇÃO CLIENTE]])</f>
        <v>1900</v>
      </c>
    </row>
    <row r="1418" spans="1:68" x14ac:dyDescent="0.25">
      <c r="A1418" s="201">
        <f>Prog_236[[#This Row],[CONTEINER]]</f>
        <v>0</v>
      </c>
      <c r="B1418" s="86"/>
      <c r="C14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8" s="44"/>
      <c r="E1418" s="66"/>
      <c r="F1418" s="66"/>
      <c r="G1418" s="66"/>
      <c r="H1418" s="44"/>
      <c r="I1418" s="44"/>
      <c r="J1418" s="66"/>
      <c r="K1418" s="66"/>
      <c r="L1418" s="66"/>
      <c r="M1418" s="66"/>
      <c r="N1418" s="66">
        <f>SUM(Prog_236[[#This Row],[TARA]]+Prog_236[[#This Row],[PESO]])</f>
        <v>0</v>
      </c>
      <c r="O1418" s="44"/>
      <c r="P1418" s="66"/>
      <c r="Q1418" s="66"/>
      <c r="R1418" s="66"/>
      <c r="S1418" s="66"/>
      <c r="T1418" s="138" t="str">
        <f>IFERROR(LOOKUP($S1418,MOTORISTAS!$D$3:$D$1048576,MOTORISTAS!E$3:$E$1048576),"")</f>
        <v/>
      </c>
      <c r="U1418" s="138" t="str">
        <f>IFERROR(LOOKUP($S1418,MOTORISTAS!$D$3:$D$1048576,MOTORISTAS!F$3:$F$1048576),"")</f>
        <v/>
      </c>
      <c r="V1418" s="66"/>
      <c r="W1418" s="66"/>
      <c r="X1418" s="66"/>
      <c r="Y1418" s="66"/>
      <c r="Z1418" s="66"/>
      <c r="AA1418" s="66"/>
      <c r="AB1418" s="66"/>
      <c r="AC1418" s="66"/>
      <c r="AD1418" s="66"/>
      <c r="AE1418" s="66"/>
      <c r="AF1418" s="44"/>
      <c r="AG1418" s="254">
        <f>Prog_236[[#This Row],[SAÍDA DO CLIENTE]]-Prog_236[[#This Row],[PROGRAMAÇÃO CLIENTE]]</f>
        <v>0</v>
      </c>
      <c r="AH1418" s="44"/>
      <c r="AI1418" s="66"/>
      <c r="AJ1418" s="66"/>
      <c r="AK1418" s="66"/>
      <c r="AL1418" s="66"/>
      <c r="AM1418" s="66"/>
      <c r="AN1418" s="83"/>
      <c r="AO1418" s="66"/>
      <c r="AP1418" s="66"/>
      <c r="AQ1418" s="66"/>
      <c r="AR1418" s="81"/>
      <c r="AS1418" s="81"/>
      <c r="AT1418" s="81"/>
      <c r="AU1418" s="81"/>
      <c r="AV1418" s="83">
        <f>SUM(Prog_236[[#This Row],[ADIANTAMENTO]]+Prog_236[[#This Row],[SALDO]]+Prog_236[[#This Row],[MARGEM]]+Prog_236[[#This Row],[ESTADIA 1]])</f>
        <v>0</v>
      </c>
      <c r="AW14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8" s="81"/>
      <c r="AY1418" s="81"/>
      <c r="AZ1418" s="81">
        <f>Prog_236[[#This Row],[VLR NF]]*0.1%</f>
        <v>0</v>
      </c>
      <c r="BA1418" s="81">
        <f>Prog_236[[#This Row],[VLR NF]]*0.05%</f>
        <v>0</v>
      </c>
      <c r="BB1418" s="81"/>
      <c r="BC1418" s="81"/>
      <c r="BD1418" s="81"/>
      <c r="BE1418" s="81"/>
      <c r="BF1418" s="81"/>
      <c r="BG1418" s="81"/>
      <c r="BH1418" s="81"/>
      <c r="BI1418" s="81"/>
      <c r="BJ1418" s="81"/>
      <c r="BK1418" s="81"/>
      <c r="BL1418" s="66"/>
      <c r="BM1418" s="66"/>
      <c r="BN1418" s="66"/>
      <c r="BO1418" s="66" t="str">
        <f>PROPER(TEXT(Prog_236[[#This Row],[PROGRAMAÇÃO CLIENTE]],"mmm"))</f>
        <v>Jan</v>
      </c>
      <c r="BP1418" s="66">
        <f>YEAR(Prog_236[[#This Row],[PROGRAMAÇÃO CLIENTE]])</f>
        <v>1900</v>
      </c>
    </row>
    <row r="1419" spans="1:68" x14ac:dyDescent="0.25">
      <c r="A1419" s="200">
        <f>Prog_236[[#This Row],[CONTEINER]]</f>
        <v>0</v>
      </c>
      <c r="B1419" s="86"/>
      <c r="C14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19" s="44"/>
      <c r="E1419" s="66"/>
      <c r="F1419" s="66"/>
      <c r="G1419" s="66"/>
      <c r="H1419" s="44"/>
      <c r="I1419" s="44"/>
      <c r="J1419" s="66"/>
      <c r="K1419" s="66"/>
      <c r="L1419" s="66"/>
      <c r="M1419" s="66"/>
      <c r="N1419" s="66">
        <f>SUM(Prog_236[[#This Row],[TARA]]+Prog_236[[#This Row],[PESO]])</f>
        <v>0</v>
      </c>
      <c r="O1419" s="44"/>
      <c r="P1419" s="66"/>
      <c r="Q1419" s="66"/>
      <c r="R1419" s="66"/>
      <c r="S1419" s="66"/>
      <c r="T1419" s="138" t="str">
        <f>IFERROR(LOOKUP($S1419,MOTORISTAS!$D$3:$D$1048576,MOTORISTAS!E$3:$E$1048576),"")</f>
        <v/>
      </c>
      <c r="U1419" s="138" t="str">
        <f>IFERROR(LOOKUP($S1419,MOTORISTAS!$D$3:$D$1048576,MOTORISTAS!F$3:$F$1048576),"")</f>
        <v/>
      </c>
      <c r="V1419" s="66"/>
      <c r="W1419" s="66"/>
      <c r="X1419" s="66"/>
      <c r="Y1419" s="66"/>
      <c r="Z1419" s="66"/>
      <c r="AA1419" s="66"/>
      <c r="AB1419" s="66"/>
      <c r="AC1419" s="66"/>
      <c r="AD1419" s="66"/>
      <c r="AE1419" s="66"/>
      <c r="AF1419" s="44"/>
      <c r="AG1419" s="254">
        <f>Prog_236[[#This Row],[SAÍDA DO CLIENTE]]-Prog_236[[#This Row],[PROGRAMAÇÃO CLIENTE]]</f>
        <v>0</v>
      </c>
      <c r="AH1419" s="44"/>
      <c r="AI1419" s="66"/>
      <c r="AJ1419" s="66"/>
      <c r="AK1419" s="66"/>
      <c r="AL1419" s="66"/>
      <c r="AM1419" s="66"/>
      <c r="AN1419" s="83"/>
      <c r="AO1419" s="66"/>
      <c r="AP1419" s="66"/>
      <c r="AQ1419" s="66"/>
      <c r="AR1419" s="81"/>
      <c r="AS1419" s="81"/>
      <c r="AT1419" s="81"/>
      <c r="AU1419" s="81"/>
      <c r="AV1419" s="83">
        <f>SUM(Prog_236[[#This Row],[ADIANTAMENTO]]+Prog_236[[#This Row],[SALDO]]+Prog_236[[#This Row],[MARGEM]]+Prog_236[[#This Row],[ESTADIA 1]])</f>
        <v>0</v>
      </c>
      <c r="AW14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19" s="81"/>
      <c r="AY1419" s="81"/>
      <c r="AZ1419" s="81">
        <f>Prog_236[[#This Row],[VLR NF]]*0.1%</f>
        <v>0</v>
      </c>
      <c r="BA1419" s="81">
        <f>Prog_236[[#This Row],[VLR NF]]*0.05%</f>
        <v>0</v>
      </c>
      <c r="BB1419" s="81"/>
      <c r="BC1419" s="81"/>
      <c r="BD1419" s="81"/>
      <c r="BE1419" s="81"/>
      <c r="BF1419" s="81"/>
      <c r="BG1419" s="81"/>
      <c r="BH1419" s="81"/>
      <c r="BI1419" s="81"/>
      <c r="BJ1419" s="81"/>
      <c r="BK1419" s="81"/>
      <c r="BL1419" s="66"/>
      <c r="BM1419" s="66"/>
      <c r="BN1419" s="66"/>
      <c r="BO1419" s="66" t="str">
        <f>PROPER(TEXT(Prog_236[[#This Row],[PROGRAMAÇÃO CLIENTE]],"mmm"))</f>
        <v>Jan</v>
      </c>
      <c r="BP1419" s="66">
        <f>YEAR(Prog_236[[#This Row],[PROGRAMAÇÃO CLIENTE]])</f>
        <v>1900</v>
      </c>
    </row>
    <row r="1420" spans="1:68" x14ac:dyDescent="0.25">
      <c r="A1420" s="201">
        <f>Prog_236[[#This Row],[CONTEINER]]</f>
        <v>0</v>
      </c>
      <c r="B1420" s="86"/>
      <c r="C14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0" s="44"/>
      <c r="E1420" s="66"/>
      <c r="F1420" s="66"/>
      <c r="G1420" s="66"/>
      <c r="H1420" s="44"/>
      <c r="I1420" s="44"/>
      <c r="J1420" s="66"/>
      <c r="K1420" s="66"/>
      <c r="L1420" s="66"/>
      <c r="M1420" s="66"/>
      <c r="N1420" s="66">
        <f>SUM(Prog_236[[#This Row],[TARA]]+Prog_236[[#This Row],[PESO]])</f>
        <v>0</v>
      </c>
      <c r="O1420" s="44"/>
      <c r="P1420" s="66"/>
      <c r="Q1420" s="66"/>
      <c r="R1420" s="66"/>
      <c r="S1420" s="66"/>
      <c r="T1420" s="138" t="str">
        <f>IFERROR(LOOKUP($S1420,MOTORISTAS!$D$3:$D$1048576,MOTORISTAS!E$3:$E$1048576),"")</f>
        <v/>
      </c>
      <c r="U1420" s="138" t="str">
        <f>IFERROR(LOOKUP($S1420,MOTORISTAS!$D$3:$D$1048576,MOTORISTAS!F$3:$F$1048576),"")</f>
        <v/>
      </c>
      <c r="V1420" s="66"/>
      <c r="W1420" s="66"/>
      <c r="X1420" s="66"/>
      <c r="Y1420" s="66"/>
      <c r="Z1420" s="66"/>
      <c r="AA1420" s="66"/>
      <c r="AB1420" s="66"/>
      <c r="AC1420" s="66"/>
      <c r="AD1420" s="66"/>
      <c r="AE1420" s="66"/>
      <c r="AF1420" s="44"/>
      <c r="AG1420" s="254">
        <f>Prog_236[[#This Row],[SAÍDA DO CLIENTE]]-Prog_236[[#This Row],[PROGRAMAÇÃO CLIENTE]]</f>
        <v>0</v>
      </c>
      <c r="AH1420" s="44"/>
      <c r="AI1420" s="66"/>
      <c r="AJ1420" s="66"/>
      <c r="AK1420" s="66"/>
      <c r="AL1420" s="66"/>
      <c r="AM1420" s="66"/>
      <c r="AN1420" s="83"/>
      <c r="AO1420" s="66"/>
      <c r="AP1420" s="66"/>
      <c r="AQ1420" s="66"/>
      <c r="AR1420" s="81"/>
      <c r="AS1420" s="81"/>
      <c r="AT1420" s="81"/>
      <c r="AU1420" s="81"/>
      <c r="AV1420" s="83">
        <f>SUM(Prog_236[[#This Row],[ADIANTAMENTO]]+Prog_236[[#This Row],[SALDO]]+Prog_236[[#This Row],[MARGEM]]+Prog_236[[#This Row],[ESTADIA 1]])</f>
        <v>0</v>
      </c>
      <c r="AW14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0" s="81"/>
      <c r="AY1420" s="81"/>
      <c r="AZ1420" s="81">
        <f>Prog_236[[#This Row],[VLR NF]]*0.1%</f>
        <v>0</v>
      </c>
      <c r="BA1420" s="81">
        <f>Prog_236[[#This Row],[VLR NF]]*0.05%</f>
        <v>0</v>
      </c>
      <c r="BB1420" s="81"/>
      <c r="BC1420" s="81"/>
      <c r="BD1420" s="81"/>
      <c r="BE1420" s="81"/>
      <c r="BF1420" s="81"/>
      <c r="BG1420" s="81"/>
      <c r="BH1420" s="81"/>
      <c r="BI1420" s="81"/>
      <c r="BJ1420" s="81"/>
      <c r="BK1420" s="81"/>
      <c r="BL1420" s="66"/>
      <c r="BM1420" s="66"/>
      <c r="BN1420" s="66"/>
      <c r="BO1420" s="66" t="str">
        <f>PROPER(TEXT(Prog_236[[#This Row],[PROGRAMAÇÃO CLIENTE]],"mmm"))</f>
        <v>Jan</v>
      </c>
      <c r="BP1420" s="66">
        <f>YEAR(Prog_236[[#This Row],[PROGRAMAÇÃO CLIENTE]])</f>
        <v>1900</v>
      </c>
    </row>
    <row r="1421" spans="1:68" x14ac:dyDescent="0.25">
      <c r="A1421" s="200">
        <f>Prog_236[[#This Row],[CONTEINER]]</f>
        <v>0</v>
      </c>
      <c r="B1421" s="86"/>
      <c r="C14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1" s="44"/>
      <c r="E1421" s="66"/>
      <c r="F1421" s="66"/>
      <c r="G1421" s="66"/>
      <c r="H1421" s="44"/>
      <c r="I1421" s="44"/>
      <c r="J1421" s="66"/>
      <c r="K1421" s="66"/>
      <c r="L1421" s="66"/>
      <c r="M1421" s="66"/>
      <c r="N1421" s="66">
        <f>SUM(Prog_236[[#This Row],[TARA]]+Prog_236[[#This Row],[PESO]])</f>
        <v>0</v>
      </c>
      <c r="O1421" s="44"/>
      <c r="P1421" s="66"/>
      <c r="Q1421" s="66"/>
      <c r="R1421" s="66"/>
      <c r="S1421" s="66"/>
      <c r="T1421" s="138" t="str">
        <f>IFERROR(LOOKUP($S1421,MOTORISTAS!$D$3:$D$1048576,MOTORISTAS!E$3:$E$1048576),"")</f>
        <v/>
      </c>
      <c r="U1421" s="138" t="str">
        <f>IFERROR(LOOKUP($S1421,MOTORISTAS!$D$3:$D$1048576,MOTORISTAS!F$3:$F$1048576),"")</f>
        <v/>
      </c>
      <c r="V1421" s="66"/>
      <c r="W1421" s="66"/>
      <c r="X1421" s="66"/>
      <c r="Y1421" s="66"/>
      <c r="Z1421" s="66"/>
      <c r="AA1421" s="66"/>
      <c r="AB1421" s="66"/>
      <c r="AC1421" s="66"/>
      <c r="AD1421" s="66"/>
      <c r="AE1421" s="66"/>
      <c r="AF1421" s="44"/>
      <c r="AG1421" s="254">
        <f>Prog_236[[#This Row],[SAÍDA DO CLIENTE]]-Prog_236[[#This Row],[PROGRAMAÇÃO CLIENTE]]</f>
        <v>0</v>
      </c>
      <c r="AH1421" s="44"/>
      <c r="AI1421" s="66"/>
      <c r="AJ1421" s="66"/>
      <c r="AK1421" s="66"/>
      <c r="AL1421" s="66"/>
      <c r="AM1421" s="66"/>
      <c r="AN1421" s="83"/>
      <c r="AO1421" s="66"/>
      <c r="AP1421" s="66"/>
      <c r="AQ1421" s="66"/>
      <c r="AR1421" s="81"/>
      <c r="AS1421" s="81"/>
      <c r="AT1421" s="81"/>
      <c r="AU1421" s="81"/>
      <c r="AV1421" s="83">
        <f>SUM(Prog_236[[#This Row],[ADIANTAMENTO]]+Prog_236[[#This Row],[SALDO]]+Prog_236[[#This Row],[MARGEM]]+Prog_236[[#This Row],[ESTADIA 1]])</f>
        <v>0</v>
      </c>
      <c r="AW14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1" s="81"/>
      <c r="AY1421" s="81"/>
      <c r="AZ1421" s="81">
        <f>Prog_236[[#This Row],[VLR NF]]*0.1%</f>
        <v>0</v>
      </c>
      <c r="BA1421" s="81">
        <f>Prog_236[[#This Row],[VLR NF]]*0.05%</f>
        <v>0</v>
      </c>
      <c r="BB1421" s="81"/>
      <c r="BC1421" s="81"/>
      <c r="BD1421" s="81"/>
      <c r="BE1421" s="81"/>
      <c r="BF1421" s="81"/>
      <c r="BG1421" s="81"/>
      <c r="BH1421" s="81"/>
      <c r="BI1421" s="81"/>
      <c r="BJ1421" s="81"/>
      <c r="BK1421" s="81"/>
      <c r="BL1421" s="66"/>
      <c r="BM1421" s="66"/>
      <c r="BN1421" s="66"/>
      <c r="BO1421" s="66" t="str">
        <f>PROPER(TEXT(Prog_236[[#This Row],[PROGRAMAÇÃO CLIENTE]],"mmm"))</f>
        <v>Jan</v>
      </c>
      <c r="BP1421" s="66">
        <f>YEAR(Prog_236[[#This Row],[PROGRAMAÇÃO CLIENTE]])</f>
        <v>1900</v>
      </c>
    </row>
    <row r="1422" spans="1:68" x14ac:dyDescent="0.25">
      <c r="A1422" s="201">
        <f>Prog_236[[#This Row],[CONTEINER]]</f>
        <v>0</v>
      </c>
      <c r="B1422" s="86"/>
      <c r="C14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2" s="44"/>
      <c r="E1422" s="66"/>
      <c r="F1422" s="66"/>
      <c r="G1422" s="66"/>
      <c r="H1422" s="44"/>
      <c r="I1422" s="44"/>
      <c r="J1422" s="66"/>
      <c r="K1422" s="66"/>
      <c r="L1422" s="66"/>
      <c r="M1422" s="66"/>
      <c r="N1422" s="66">
        <f>SUM(Prog_236[[#This Row],[TARA]]+Prog_236[[#This Row],[PESO]])</f>
        <v>0</v>
      </c>
      <c r="O1422" s="44"/>
      <c r="P1422" s="66"/>
      <c r="Q1422" s="66"/>
      <c r="R1422" s="66"/>
      <c r="S1422" s="66"/>
      <c r="T1422" s="138" t="str">
        <f>IFERROR(LOOKUP($S1422,MOTORISTAS!$D$3:$D$1048576,MOTORISTAS!E$3:$E$1048576),"")</f>
        <v/>
      </c>
      <c r="U1422" s="138" t="str">
        <f>IFERROR(LOOKUP($S1422,MOTORISTAS!$D$3:$D$1048576,MOTORISTAS!F$3:$F$1048576),"")</f>
        <v/>
      </c>
      <c r="V1422" s="66"/>
      <c r="W1422" s="66"/>
      <c r="X1422" s="66"/>
      <c r="Y1422" s="66"/>
      <c r="Z1422" s="66"/>
      <c r="AA1422" s="66"/>
      <c r="AB1422" s="66"/>
      <c r="AC1422" s="66"/>
      <c r="AD1422" s="66"/>
      <c r="AE1422" s="66"/>
      <c r="AF1422" s="44"/>
      <c r="AG1422" s="254">
        <f>Prog_236[[#This Row],[SAÍDA DO CLIENTE]]-Prog_236[[#This Row],[PROGRAMAÇÃO CLIENTE]]</f>
        <v>0</v>
      </c>
      <c r="AH1422" s="44"/>
      <c r="AI1422" s="66"/>
      <c r="AJ1422" s="66"/>
      <c r="AK1422" s="66"/>
      <c r="AL1422" s="66"/>
      <c r="AM1422" s="66"/>
      <c r="AN1422" s="83"/>
      <c r="AO1422" s="66"/>
      <c r="AP1422" s="66"/>
      <c r="AQ1422" s="66"/>
      <c r="AR1422" s="81"/>
      <c r="AS1422" s="81"/>
      <c r="AT1422" s="81"/>
      <c r="AU1422" s="81"/>
      <c r="AV1422" s="83">
        <f>SUM(Prog_236[[#This Row],[ADIANTAMENTO]]+Prog_236[[#This Row],[SALDO]]+Prog_236[[#This Row],[MARGEM]]+Prog_236[[#This Row],[ESTADIA 1]])</f>
        <v>0</v>
      </c>
      <c r="AW14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2" s="81"/>
      <c r="AY1422" s="81"/>
      <c r="AZ1422" s="81">
        <f>Prog_236[[#This Row],[VLR NF]]*0.1%</f>
        <v>0</v>
      </c>
      <c r="BA1422" s="81">
        <f>Prog_236[[#This Row],[VLR NF]]*0.05%</f>
        <v>0</v>
      </c>
      <c r="BB1422" s="81"/>
      <c r="BC1422" s="81"/>
      <c r="BD1422" s="81"/>
      <c r="BE1422" s="81"/>
      <c r="BF1422" s="81"/>
      <c r="BG1422" s="81"/>
      <c r="BH1422" s="81"/>
      <c r="BI1422" s="81"/>
      <c r="BJ1422" s="81"/>
      <c r="BK1422" s="81"/>
      <c r="BL1422" s="66"/>
      <c r="BM1422" s="66"/>
      <c r="BN1422" s="66"/>
      <c r="BO1422" s="66" t="str">
        <f>PROPER(TEXT(Prog_236[[#This Row],[PROGRAMAÇÃO CLIENTE]],"mmm"))</f>
        <v>Jan</v>
      </c>
      <c r="BP1422" s="66">
        <f>YEAR(Prog_236[[#This Row],[PROGRAMAÇÃO CLIENTE]])</f>
        <v>1900</v>
      </c>
    </row>
    <row r="1423" spans="1:68" x14ac:dyDescent="0.25">
      <c r="A1423" s="200">
        <f>Prog_236[[#This Row],[CONTEINER]]</f>
        <v>0</v>
      </c>
      <c r="B1423" s="86"/>
      <c r="C14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3" s="44"/>
      <c r="E1423" s="66"/>
      <c r="F1423" s="66"/>
      <c r="G1423" s="66"/>
      <c r="H1423" s="44"/>
      <c r="I1423" s="44"/>
      <c r="J1423" s="66"/>
      <c r="K1423" s="66"/>
      <c r="L1423" s="66"/>
      <c r="M1423" s="66"/>
      <c r="N1423" s="66">
        <f>SUM(Prog_236[[#This Row],[TARA]]+Prog_236[[#This Row],[PESO]])</f>
        <v>0</v>
      </c>
      <c r="O1423" s="44"/>
      <c r="P1423" s="66"/>
      <c r="Q1423" s="66"/>
      <c r="R1423" s="66"/>
      <c r="S1423" s="66"/>
      <c r="T1423" s="138" t="str">
        <f>IFERROR(LOOKUP($S1423,MOTORISTAS!$D$3:$D$1048576,MOTORISTAS!E$3:$E$1048576),"")</f>
        <v/>
      </c>
      <c r="U1423" s="138" t="str">
        <f>IFERROR(LOOKUP($S1423,MOTORISTAS!$D$3:$D$1048576,MOTORISTAS!F$3:$F$1048576),"")</f>
        <v/>
      </c>
      <c r="V1423" s="66"/>
      <c r="W1423" s="66"/>
      <c r="X1423" s="66"/>
      <c r="Y1423" s="66"/>
      <c r="Z1423" s="66"/>
      <c r="AA1423" s="66"/>
      <c r="AB1423" s="66"/>
      <c r="AC1423" s="66"/>
      <c r="AD1423" s="66"/>
      <c r="AE1423" s="66"/>
      <c r="AF1423" s="44"/>
      <c r="AG1423" s="254">
        <f>Prog_236[[#This Row],[SAÍDA DO CLIENTE]]-Prog_236[[#This Row],[PROGRAMAÇÃO CLIENTE]]</f>
        <v>0</v>
      </c>
      <c r="AH1423" s="44"/>
      <c r="AI1423" s="66"/>
      <c r="AJ1423" s="66"/>
      <c r="AK1423" s="66"/>
      <c r="AL1423" s="66"/>
      <c r="AM1423" s="66"/>
      <c r="AN1423" s="83"/>
      <c r="AO1423" s="66"/>
      <c r="AP1423" s="66"/>
      <c r="AQ1423" s="66"/>
      <c r="AR1423" s="81"/>
      <c r="AS1423" s="81"/>
      <c r="AT1423" s="81"/>
      <c r="AU1423" s="81"/>
      <c r="AV1423" s="83">
        <f>SUM(Prog_236[[#This Row],[ADIANTAMENTO]]+Prog_236[[#This Row],[SALDO]]+Prog_236[[#This Row],[MARGEM]]+Prog_236[[#This Row],[ESTADIA 1]])</f>
        <v>0</v>
      </c>
      <c r="AW14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3" s="81"/>
      <c r="AY1423" s="81"/>
      <c r="AZ1423" s="81">
        <f>Prog_236[[#This Row],[VLR NF]]*0.1%</f>
        <v>0</v>
      </c>
      <c r="BA1423" s="81">
        <f>Prog_236[[#This Row],[VLR NF]]*0.05%</f>
        <v>0</v>
      </c>
      <c r="BB1423" s="81"/>
      <c r="BC1423" s="81"/>
      <c r="BD1423" s="81"/>
      <c r="BE1423" s="81"/>
      <c r="BF1423" s="81"/>
      <c r="BG1423" s="81"/>
      <c r="BH1423" s="81"/>
      <c r="BI1423" s="81"/>
      <c r="BJ1423" s="81"/>
      <c r="BK1423" s="81"/>
      <c r="BL1423" s="66"/>
      <c r="BM1423" s="66"/>
      <c r="BN1423" s="66"/>
      <c r="BO1423" s="66" t="str">
        <f>PROPER(TEXT(Prog_236[[#This Row],[PROGRAMAÇÃO CLIENTE]],"mmm"))</f>
        <v>Jan</v>
      </c>
      <c r="BP1423" s="66">
        <f>YEAR(Prog_236[[#This Row],[PROGRAMAÇÃO CLIENTE]])</f>
        <v>1900</v>
      </c>
    </row>
    <row r="1424" spans="1:68" x14ac:dyDescent="0.25">
      <c r="A1424" s="201">
        <f>Prog_236[[#This Row],[CONTEINER]]</f>
        <v>0</v>
      </c>
      <c r="B1424" s="86"/>
      <c r="C14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4" s="44"/>
      <c r="E1424" s="66"/>
      <c r="F1424" s="66"/>
      <c r="G1424" s="66"/>
      <c r="H1424" s="44"/>
      <c r="I1424" s="44"/>
      <c r="J1424" s="66"/>
      <c r="K1424" s="66"/>
      <c r="L1424" s="66"/>
      <c r="M1424" s="66"/>
      <c r="N1424" s="66">
        <f>SUM(Prog_236[[#This Row],[TARA]]+Prog_236[[#This Row],[PESO]])</f>
        <v>0</v>
      </c>
      <c r="O1424" s="44"/>
      <c r="P1424" s="66"/>
      <c r="Q1424" s="66"/>
      <c r="R1424" s="66"/>
      <c r="S1424" s="66"/>
      <c r="T1424" s="138" t="str">
        <f>IFERROR(LOOKUP($S1424,MOTORISTAS!$D$3:$D$1048576,MOTORISTAS!E$3:$E$1048576),"")</f>
        <v/>
      </c>
      <c r="U1424" s="138" t="str">
        <f>IFERROR(LOOKUP($S1424,MOTORISTAS!$D$3:$D$1048576,MOTORISTAS!F$3:$F$1048576),"")</f>
        <v/>
      </c>
      <c r="V1424" s="66"/>
      <c r="W1424" s="66"/>
      <c r="X1424" s="66"/>
      <c r="Y1424" s="66"/>
      <c r="Z1424" s="66"/>
      <c r="AA1424" s="66"/>
      <c r="AB1424" s="66"/>
      <c r="AC1424" s="66"/>
      <c r="AD1424" s="66"/>
      <c r="AE1424" s="66"/>
      <c r="AF1424" s="44"/>
      <c r="AG1424" s="254">
        <f>Prog_236[[#This Row],[SAÍDA DO CLIENTE]]-Prog_236[[#This Row],[PROGRAMAÇÃO CLIENTE]]</f>
        <v>0</v>
      </c>
      <c r="AH1424" s="44"/>
      <c r="AI1424" s="66"/>
      <c r="AJ1424" s="66"/>
      <c r="AK1424" s="66"/>
      <c r="AL1424" s="66"/>
      <c r="AM1424" s="66"/>
      <c r="AN1424" s="83"/>
      <c r="AO1424" s="66"/>
      <c r="AP1424" s="66"/>
      <c r="AQ1424" s="66"/>
      <c r="AR1424" s="81"/>
      <c r="AS1424" s="81"/>
      <c r="AT1424" s="81"/>
      <c r="AU1424" s="81"/>
      <c r="AV1424" s="83">
        <f>SUM(Prog_236[[#This Row],[ADIANTAMENTO]]+Prog_236[[#This Row],[SALDO]]+Prog_236[[#This Row],[MARGEM]]+Prog_236[[#This Row],[ESTADIA 1]])</f>
        <v>0</v>
      </c>
      <c r="AW14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4" s="81"/>
      <c r="AY1424" s="81"/>
      <c r="AZ1424" s="81">
        <f>Prog_236[[#This Row],[VLR NF]]*0.1%</f>
        <v>0</v>
      </c>
      <c r="BA1424" s="81">
        <f>Prog_236[[#This Row],[VLR NF]]*0.05%</f>
        <v>0</v>
      </c>
      <c r="BB1424" s="81"/>
      <c r="BC1424" s="81"/>
      <c r="BD1424" s="81"/>
      <c r="BE1424" s="81"/>
      <c r="BF1424" s="81"/>
      <c r="BG1424" s="81"/>
      <c r="BH1424" s="81"/>
      <c r="BI1424" s="81"/>
      <c r="BJ1424" s="81"/>
      <c r="BK1424" s="81"/>
      <c r="BL1424" s="66"/>
      <c r="BM1424" s="66"/>
      <c r="BN1424" s="66"/>
      <c r="BO1424" s="66" t="str">
        <f>PROPER(TEXT(Prog_236[[#This Row],[PROGRAMAÇÃO CLIENTE]],"mmm"))</f>
        <v>Jan</v>
      </c>
      <c r="BP1424" s="66">
        <f>YEAR(Prog_236[[#This Row],[PROGRAMAÇÃO CLIENTE]])</f>
        <v>1900</v>
      </c>
    </row>
    <row r="1425" spans="1:68" x14ac:dyDescent="0.25">
      <c r="A1425" s="200">
        <f>Prog_236[[#This Row],[CONTEINER]]</f>
        <v>0</v>
      </c>
      <c r="B1425" s="86"/>
      <c r="C14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5" s="44"/>
      <c r="E1425" s="66"/>
      <c r="F1425" s="66"/>
      <c r="G1425" s="66"/>
      <c r="H1425" s="44"/>
      <c r="I1425" s="44"/>
      <c r="J1425" s="66"/>
      <c r="K1425" s="66"/>
      <c r="L1425" s="66"/>
      <c r="M1425" s="66"/>
      <c r="N1425" s="66">
        <f>SUM(Prog_236[[#This Row],[TARA]]+Prog_236[[#This Row],[PESO]])</f>
        <v>0</v>
      </c>
      <c r="O1425" s="44"/>
      <c r="P1425" s="66"/>
      <c r="Q1425" s="66"/>
      <c r="R1425" s="66"/>
      <c r="S1425" s="66"/>
      <c r="T1425" s="138" t="str">
        <f>IFERROR(LOOKUP($S1425,MOTORISTAS!$D$3:$D$1048576,MOTORISTAS!E$3:$E$1048576),"")</f>
        <v/>
      </c>
      <c r="U1425" s="138" t="str">
        <f>IFERROR(LOOKUP($S1425,MOTORISTAS!$D$3:$D$1048576,MOTORISTAS!F$3:$F$1048576),"")</f>
        <v/>
      </c>
      <c r="V1425" s="66"/>
      <c r="W1425" s="66"/>
      <c r="X1425" s="66"/>
      <c r="Y1425" s="66"/>
      <c r="Z1425" s="66"/>
      <c r="AA1425" s="66"/>
      <c r="AB1425" s="66"/>
      <c r="AC1425" s="66"/>
      <c r="AD1425" s="66"/>
      <c r="AE1425" s="66"/>
      <c r="AF1425" s="44"/>
      <c r="AG1425" s="254">
        <f>Prog_236[[#This Row],[SAÍDA DO CLIENTE]]-Prog_236[[#This Row],[PROGRAMAÇÃO CLIENTE]]</f>
        <v>0</v>
      </c>
      <c r="AH1425" s="44"/>
      <c r="AI1425" s="66"/>
      <c r="AJ1425" s="66"/>
      <c r="AK1425" s="66"/>
      <c r="AL1425" s="66"/>
      <c r="AM1425" s="66"/>
      <c r="AN1425" s="83"/>
      <c r="AO1425" s="66"/>
      <c r="AP1425" s="66"/>
      <c r="AQ1425" s="66"/>
      <c r="AR1425" s="81"/>
      <c r="AS1425" s="81"/>
      <c r="AT1425" s="81"/>
      <c r="AU1425" s="81"/>
      <c r="AV1425" s="83">
        <f>SUM(Prog_236[[#This Row],[ADIANTAMENTO]]+Prog_236[[#This Row],[SALDO]]+Prog_236[[#This Row],[MARGEM]]+Prog_236[[#This Row],[ESTADIA 1]])</f>
        <v>0</v>
      </c>
      <c r="AW14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5" s="81"/>
      <c r="AY1425" s="81"/>
      <c r="AZ1425" s="81">
        <f>Prog_236[[#This Row],[VLR NF]]*0.1%</f>
        <v>0</v>
      </c>
      <c r="BA1425" s="81">
        <f>Prog_236[[#This Row],[VLR NF]]*0.05%</f>
        <v>0</v>
      </c>
      <c r="BB1425" s="81"/>
      <c r="BC1425" s="81"/>
      <c r="BD1425" s="81"/>
      <c r="BE1425" s="81"/>
      <c r="BF1425" s="81"/>
      <c r="BG1425" s="81"/>
      <c r="BH1425" s="81"/>
      <c r="BI1425" s="81"/>
      <c r="BJ1425" s="81"/>
      <c r="BK1425" s="81"/>
      <c r="BL1425" s="66"/>
      <c r="BM1425" s="66"/>
      <c r="BN1425" s="66"/>
      <c r="BO1425" s="66" t="str">
        <f>PROPER(TEXT(Prog_236[[#This Row],[PROGRAMAÇÃO CLIENTE]],"mmm"))</f>
        <v>Jan</v>
      </c>
      <c r="BP1425" s="66">
        <f>YEAR(Prog_236[[#This Row],[PROGRAMAÇÃO CLIENTE]])</f>
        <v>1900</v>
      </c>
    </row>
    <row r="1426" spans="1:68" x14ac:dyDescent="0.25">
      <c r="A1426" s="201">
        <f>Prog_236[[#This Row],[CONTEINER]]</f>
        <v>0</v>
      </c>
      <c r="B1426" s="86"/>
      <c r="C14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6" s="44"/>
      <c r="E1426" s="66"/>
      <c r="F1426" s="66"/>
      <c r="G1426" s="66"/>
      <c r="H1426" s="44"/>
      <c r="I1426" s="44"/>
      <c r="J1426" s="66"/>
      <c r="K1426" s="66"/>
      <c r="L1426" s="66"/>
      <c r="M1426" s="66"/>
      <c r="N1426" s="66">
        <f>SUM(Prog_236[[#This Row],[TARA]]+Prog_236[[#This Row],[PESO]])</f>
        <v>0</v>
      </c>
      <c r="O1426" s="44"/>
      <c r="P1426" s="66"/>
      <c r="Q1426" s="66"/>
      <c r="R1426" s="66"/>
      <c r="S1426" s="66"/>
      <c r="T1426" s="138" t="str">
        <f>IFERROR(LOOKUP($S1426,MOTORISTAS!$D$3:$D$1048576,MOTORISTAS!E$3:$E$1048576),"")</f>
        <v/>
      </c>
      <c r="U1426" s="138" t="str">
        <f>IFERROR(LOOKUP($S1426,MOTORISTAS!$D$3:$D$1048576,MOTORISTAS!F$3:$F$1048576),"")</f>
        <v/>
      </c>
      <c r="V1426" s="66"/>
      <c r="W1426" s="66"/>
      <c r="X1426" s="66"/>
      <c r="Y1426" s="66"/>
      <c r="Z1426" s="66"/>
      <c r="AA1426" s="66"/>
      <c r="AB1426" s="66"/>
      <c r="AC1426" s="66"/>
      <c r="AD1426" s="66"/>
      <c r="AE1426" s="66"/>
      <c r="AF1426" s="44"/>
      <c r="AG1426" s="254">
        <f>Prog_236[[#This Row],[SAÍDA DO CLIENTE]]-Prog_236[[#This Row],[PROGRAMAÇÃO CLIENTE]]</f>
        <v>0</v>
      </c>
      <c r="AH1426" s="44"/>
      <c r="AI1426" s="66"/>
      <c r="AJ1426" s="66"/>
      <c r="AK1426" s="66"/>
      <c r="AL1426" s="66"/>
      <c r="AM1426" s="66"/>
      <c r="AN1426" s="83"/>
      <c r="AO1426" s="66"/>
      <c r="AP1426" s="66"/>
      <c r="AQ1426" s="66"/>
      <c r="AR1426" s="81"/>
      <c r="AS1426" s="81"/>
      <c r="AT1426" s="81"/>
      <c r="AU1426" s="81"/>
      <c r="AV1426" s="83">
        <f>SUM(Prog_236[[#This Row],[ADIANTAMENTO]]+Prog_236[[#This Row],[SALDO]]+Prog_236[[#This Row],[MARGEM]]+Prog_236[[#This Row],[ESTADIA 1]])</f>
        <v>0</v>
      </c>
      <c r="AW14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6" s="81"/>
      <c r="AY1426" s="81"/>
      <c r="AZ1426" s="81">
        <f>Prog_236[[#This Row],[VLR NF]]*0.1%</f>
        <v>0</v>
      </c>
      <c r="BA1426" s="81">
        <f>Prog_236[[#This Row],[VLR NF]]*0.05%</f>
        <v>0</v>
      </c>
      <c r="BB1426" s="81"/>
      <c r="BC1426" s="81"/>
      <c r="BD1426" s="81"/>
      <c r="BE1426" s="81"/>
      <c r="BF1426" s="81"/>
      <c r="BG1426" s="81"/>
      <c r="BH1426" s="81"/>
      <c r="BI1426" s="81"/>
      <c r="BJ1426" s="81"/>
      <c r="BK1426" s="81"/>
      <c r="BL1426" s="66"/>
      <c r="BM1426" s="66"/>
      <c r="BN1426" s="66"/>
      <c r="BO1426" s="66" t="str">
        <f>PROPER(TEXT(Prog_236[[#This Row],[PROGRAMAÇÃO CLIENTE]],"mmm"))</f>
        <v>Jan</v>
      </c>
      <c r="BP1426" s="66">
        <f>YEAR(Prog_236[[#This Row],[PROGRAMAÇÃO CLIENTE]])</f>
        <v>1900</v>
      </c>
    </row>
    <row r="1427" spans="1:68" x14ac:dyDescent="0.25">
      <c r="A1427" s="200">
        <f>Prog_236[[#This Row],[CONTEINER]]</f>
        <v>0</v>
      </c>
      <c r="B1427" s="86"/>
      <c r="C14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7" s="44"/>
      <c r="E1427" s="66"/>
      <c r="F1427" s="66"/>
      <c r="G1427" s="66"/>
      <c r="H1427" s="44"/>
      <c r="I1427" s="44"/>
      <c r="J1427" s="66"/>
      <c r="K1427" s="66"/>
      <c r="L1427" s="66"/>
      <c r="M1427" s="66"/>
      <c r="N1427" s="66">
        <f>SUM(Prog_236[[#This Row],[TARA]]+Prog_236[[#This Row],[PESO]])</f>
        <v>0</v>
      </c>
      <c r="O1427" s="44"/>
      <c r="P1427" s="66"/>
      <c r="Q1427" s="66"/>
      <c r="R1427" s="66"/>
      <c r="S1427" s="66"/>
      <c r="T1427" s="138" t="str">
        <f>IFERROR(LOOKUP($S1427,MOTORISTAS!$D$3:$D$1048576,MOTORISTAS!E$3:$E$1048576),"")</f>
        <v/>
      </c>
      <c r="U1427" s="138" t="str">
        <f>IFERROR(LOOKUP($S1427,MOTORISTAS!$D$3:$D$1048576,MOTORISTAS!F$3:$F$1048576),"")</f>
        <v/>
      </c>
      <c r="V1427" s="66"/>
      <c r="W1427" s="66"/>
      <c r="X1427" s="66"/>
      <c r="Y1427" s="66"/>
      <c r="Z1427" s="66"/>
      <c r="AA1427" s="66"/>
      <c r="AB1427" s="66"/>
      <c r="AC1427" s="66"/>
      <c r="AD1427" s="66"/>
      <c r="AE1427" s="66"/>
      <c r="AF1427" s="44"/>
      <c r="AG1427" s="254">
        <f>Prog_236[[#This Row],[SAÍDA DO CLIENTE]]-Prog_236[[#This Row],[PROGRAMAÇÃO CLIENTE]]</f>
        <v>0</v>
      </c>
      <c r="AH1427" s="44"/>
      <c r="AI1427" s="66"/>
      <c r="AJ1427" s="66"/>
      <c r="AK1427" s="66"/>
      <c r="AL1427" s="66"/>
      <c r="AM1427" s="66"/>
      <c r="AN1427" s="83"/>
      <c r="AO1427" s="66"/>
      <c r="AP1427" s="66"/>
      <c r="AQ1427" s="66"/>
      <c r="AR1427" s="81"/>
      <c r="AS1427" s="81"/>
      <c r="AT1427" s="81"/>
      <c r="AU1427" s="81"/>
      <c r="AV1427" s="83">
        <f>SUM(Prog_236[[#This Row],[ADIANTAMENTO]]+Prog_236[[#This Row],[SALDO]]+Prog_236[[#This Row],[MARGEM]]+Prog_236[[#This Row],[ESTADIA 1]])</f>
        <v>0</v>
      </c>
      <c r="AW14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7" s="81"/>
      <c r="AY1427" s="81"/>
      <c r="AZ1427" s="81">
        <f>Prog_236[[#This Row],[VLR NF]]*0.1%</f>
        <v>0</v>
      </c>
      <c r="BA1427" s="81">
        <f>Prog_236[[#This Row],[VLR NF]]*0.05%</f>
        <v>0</v>
      </c>
      <c r="BB1427" s="81"/>
      <c r="BC1427" s="81"/>
      <c r="BD1427" s="81"/>
      <c r="BE1427" s="81"/>
      <c r="BF1427" s="81"/>
      <c r="BG1427" s="81"/>
      <c r="BH1427" s="81"/>
      <c r="BI1427" s="81"/>
      <c r="BJ1427" s="81"/>
      <c r="BK1427" s="81"/>
      <c r="BL1427" s="66"/>
      <c r="BM1427" s="66"/>
      <c r="BN1427" s="66"/>
      <c r="BO1427" s="66" t="str">
        <f>PROPER(TEXT(Prog_236[[#This Row],[PROGRAMAÇÃO CLIENTE]],"mmm"))</f>
        <v>Jan</v>
      </c>
      <c r="BP1427" s="66">
        <f>YEAR(Prog_236[[#This Row],[PROGRAMAÇÃO CLIENTE]])</f>
        <v>1900</v>
      </c>
    </row>
    <row r="1428" spans="1:68" x14ac:dyDescent="0.25">
      <c r="A1428" s="201">
        <f>Prog_236[[#This Row],[CONTEINER]]</f>
        <v>0</v>
      </c>
      <c r="B1428" s="86"/>
      <c r="C14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8" s="44"/>
      <c r="E1428" s="66"/>
      <c r="F1428" s="66"/>
      <c r="G1428" s="66"/>
      <c r="H1428" s="44"/>
      <c r="I1428" s="44"/>
      <c r="J1428" s="66"/>
      <c r="K1428" s="66"/>
      <c r="L1428" s="66"/>
      <c r="M1428" s="66"/>
      <c r="N1428" s="66">
        <f>SUM(Prog_236[[#This Row],[TARA]]+Prog_236[[#This Row],[PESO]])</f>
        <v>0</v>
      </c>
      <c r="O1428" s="44"/>
      <c r="P1428" s="66"/>
      <c r="Q1428" s="66"/>
      <c r="R1428" s="66"/>
      <c r="S1428" s="66"/>
      <c r="T1428" s="138" t="str">
        <f>IFERROR(LOOKUP($S1428,MOTORISTAS!$D$3:$D$1048576,MOTORISTAS!E$3:$E$1048576),"")</f>
        <v/>
      </c>
      <c r="U1428" s="138" t="str">
        <f>IFERROR(LOOKUP($S1428,MOTORISTAS!$D$3:$D$1048576,MOTORISTAS!F$3:$F$1048576),"")</f>
        <v/>
      </c>
      <c r="V1428" s="66"/>
      <c r="W1428" s="66"/>
      <c r="X1428" s="66"/>
      <c r="Y1428" s="66"/>
      <c r="Z1428" s="66"/>
      <c r="AA1428" s="66"/>
      <c r="AB1428" s="66"/>
      <c r="AC1428" s="66"/>
      <c r="AD1428" s="66"/>
      <c r="AE1428" s="66"/>
      <c r="AF1428" s="44"/>
      <c r="AG1428" s="254">
        <f>Prog_236[[#This Row],[SAÍDA DO CLIENTE]]-Prog_236[[#This Row],[PROGRAMAÇÃO CLIENTE]]</f>
        <v>0</v>
      </c>
      <c r="AH1428" s="44"/>
      <c r="AI1428" s="66"/>
      <c r="AJ1428" s="66"/>
      <c r="AK1428" s="66"/>
      <c r="AL1428" s="66"/>
      <c r="AM1428" s="66"/>
      <c r="AN1428" s="83"/>
      <c r="AO1428" s="66"/>
      <c r="AP1428" s="66"/>
      <c r="AQ1428" s="66"/>
      <c r="AR1428" s="81"/>
      <c r="AS1428" s="81"/>
      <c r="AT1428" s="81"/>
      <c r="AU1428" s="81"/>
      <c r="AV1428" s="83">
        <f>SUM(Prog_236[[#This Row],[ADIANTAMENTO]]+Prog_236[[#This Row],[SALDO]]+Prog_236[[#This Row],[MARGEM]]+Prog_236[[#This Row],[ESTADIA 1]])</f>
        <v>0</v>
      </c>
      <c r="AW14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8" s="81"/>
      <c r="AY1428" s="81"/>
      <c r="AZ1428" s="81">
        <f>Prog_236[[#This Row],[VLR NF]]*0.1%</f>
        <v>0</v>
      </c>
      <c r="BA1428" s="81">
        <f>Prog_236[[#This Row],[VLR NF]]*0.05%</f>
        <v>0</v>
      </c>
      <c r="BB1428" s="81"/>
      <c r="BC1428" s="81"/>
      <c r="BD1428" s="81"/>
      <c r="BE1428" s="81"/>
      <c r="BF1428" s="81"/>
      <c r="BG1428" s="81"/>
      <c r="BH1428" s="81"/>
      <c r="BI1428" s="81"/>
      <c r="BJ1428" s="81"/>
      <c r="BK1428" s="81"/>
      <c r="BL1428" s="66"/>
      <c r="BM1428" s="66"/>
      <c r="BN1428" s="66"/>
      <c r="BO1428" s="66" t="str">
        <f>PROPER(TEXT(Prog_236[[#This Row],[PROGRAMAÇÃO CLIENTE]],"mmm"))</f>
        <v>Jan</v>
      </c>
      <c r="BP1428" s="66">
        <f>YEAR(Prog_236[[#This Row],[PROGRAMAÇÃO CLIENTE]])</f>
        <v>1900</v>
      </c>
    </row>
    <row r="1429" spans="1:68" x14ac:dyDescent="0.25">
      <c r="A1429" s="200">
        <f>Prog_236[[#This Row],[CONTEINER]]</f>
        <v>0</v>
      </c>
      <c r="B1429" s="86"/>
      <c r="C14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29" s="44"/>
      <c r="E1429" s="66"/>
      <c r="F1429" s="66"/>
      <c r="G1429" s="66"/>
      <c r="H1429" s="44"/>
      <c r="I1429" s="44"/>
      <c r="J1429" s="66"/>
      <c r="K1429" s="66"/>
      <c r="L1429" s="66"/>
      <c r="M1429" s="66"/>
      <c r="N1429" s="66">
        <f>SUM(Prog_236[[#This Row],[TARA]]+Prog_236[[#This Row],[PESO]])</f>
        <v>0</v>
      </c>
      <c r="O1429" s="44"/>
      <c r="P1429" s="66"/>
      <c r="Q1429" s="66"/>
      <c r="R1429" s="66"/>
      <c r="S1429" s="66"/>
      <c r="T1429" s="138" t="str">
        <f>IFERROR(LOOKUP($S1429,MOTORISTAS!$D$3:$D$1048576,MOTORISTAS!E$3:$E$1048576),"")</f>
        <v/>
      </c>
      <c r="U1429" s="138" t="str">
        <f>IFERROR(LOOKUP($S1429,MOTORISTAS!$D$3:$D$1048576,MOTORISTAS!F$3:$F$1048576),"")</f>
        <v/>
      </c>
      <c r="V1429" s="66"/>
      <c r="W1429" s="66"/>
      <c r="X1429" s="66"/>
      <c r="Y1429" s="66"/>
      <c r="Z1429" s="66"/>
      <c r="AA1429" s="66"/>
      <c r="AB1429" s="66"/>
      <c r="AC1429" s="66"/>
      <c r="AD1429" s="66"/>
      <c r="AE1429" s="66"/>
      <c r="AF1429" s="44"/>
      <c r="AG1429" s="254">
        <f>Prog_236[[#This Row],[SAÍDA DO CLIENTE]]-Prog_236[[#This Row],[PROGRAMAÇÃO CLIENTE]]</f>
        <v>0</v>
      </c>
      <c r="AH1429" s="44"/>
      <c r="AI1429" s="66"/>
      <c r="AJ1429" s="66"/>
      <c r="AK1429" s="66"/>
      <c r="AL1429" s="66"/>
      <c r="AM1429" s="66"/>
      <c r="AN1429" s="83"/>
      <c r="AO1429" s="66"/>
      <c r="AP1429" s="66"/>
      <c r="AQ1429" s="66"/>
      <c r="AR1429" s="81"/>
      <c r="AS1429" s="81"/>
      <c r="AT1429" s="81"/>
      <c r="AU1429" s="81"/>
      <c r="AV1429" s="83">
        <f>SUM(Prog_236[[#This Row],[ADIANTAMENTO]]+Prog_236[[#This Row],[SALDO]]+Prog_236[[#This Row],[MARGEM]]+Prog_236[[#This Row],[ESTADIA 1]])</f>
        <v>0</v>
      </c>
      <c r="AW14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29" s="81"/>
      <c r="AY1429" s="81"/>
      <c r="AZ1429" s="81">
        <f>Prog_236[[#This Row],[VLR NF]]*0.1%</f>
        <v>0</v>
      </c>
      <c r="BA1429" s="81">
        <f>Prog_236[[#This Row],[VLR NF]]*0.05%</f>
        <v>0</v>
      </c>
      <c r="BB1429" s="81"/>
      <c r="BC1429" s="81"/>
      <c r="BD1429" s="81"/>
      <c r="BE1429" s="81"/>
      <c r="BF1429" s="81"/>
      <c r="BG1429" s="81"/>
      <c r="BH1429" s="81"/>
      <c r="BI1429" s="81"/>
      <c r="BJ1429" s="81"/>
      <c r="BK1429" s="81"/>
      <c r="BL1429" s="66"/>
      <c r="BM1429" s="66"/>
      <c r="BN1429" s="66"/>
      <c r="BO1429" s="66" t="str">
        <f>PROPER(TEXT(Prog_236[[#This Row],[PROGRAMAÇÃO CLIENTE]],"mmm"))</f>
        <v>Jan</v>
      </c>
      <c r="BP1429" s="66">
        <f>YEAR(Prog_236[[#This Row],[PROGRAMAÇÃO CLIENTE]])</f>
        <v>1900</v>
      </c>
    </row>
    <row r="1430" spans="1:68" x14ac:dyDescent="0.25">
      <c r="A1430" s="201">
        <f>Prog_236[[#This Row],[CONTEINER]]</f>
        <v>0</v>
      </c>
      <c r="B1430" s="86"/>
      <c r="C14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0" s="44"/>
      <c r="E1430" s="66"/>
      <c r="F1430" s="66"/>
      <c r="G1430" s="66"/>
      <c r="H1430" s="44"/>
      <c r="I1430" s="44"/>
      <c r="J1430" s="66"/>
      <c r="K1430" s="66"/>
      <c r="L1430" s="66"/>
      <c r="M1430" s="66"/>
      <c r="N1430" s="66">
        <f>SUM(Prog_236[[#This Row],[TARA]]+Prog_236[[#This Row],[PESO]])</f>
        <v>0</v>
      </c>
      <c r="O1430" s="44"/>
      <c r="P1430" s="66"/>
      <c r="Q1430" s="66"/>
      <c r="R1430" s="66"/>
      <c r="S1430" s="66"/>
      <c r="T1430" s="138" t="str">
        <f>IFERROR(LOOKUP($S1430,MOTORISTAS!$D$3:$D$1048576,MOTORISTAS!E$3:$E$1048576),"")</f>
        <v/>
      </c>
      <c r="U1430" s="138" t="str">
        <f>IFERROR(LOOKUP($S1430,MOTORISTAS!$D$3:$D$1048576,MOTORISTAS!F$3:$F$1048576),"")</f>
        <v/>
      </c>
      <c r="V1430" s="66"/>
      <c r="W1430" s="66"/>
      <c r="X1430" s="66"/>
      <c r="Y1430" s="66"/>
      <c r="Z1430" s="66"/>
      <c r="AA1430" s="66"/>
      <c r="AB1430" s="66"/>
      <c r="AC1430" s="66"/>
      <c r="AD1430" s="66"/>
      <c r="AE1430" s="66"/>
      <c r="AF1430" s="44"/>
      <c r="AG1430" s="254">
        <f>Prog_236[[#This Row],[SAÍDA DO CLIENTE]]-Prog_236[[#This Row],[PROGRAMAÇÃO CLIENTE]]</f>
        <v>0</v>
      </c>
      <c r="AH1430" s="44"/>
      <c r="AI1430" s="66"/>
      <c r="AJ1430" s="66"/>
      <c r="AK1430" s="66"/>
      <c r="AL1430" s="66"/>
      <c r="AM1430" s="66"/>
      <c r="AN1430" s="83"/>
      <c r="AO1430" s="66"/>
      <c r="AP1430" s="66"/>
      <c r="AQ1430" s="66"/>
      <c r="AR1430" s="81"/>
      <c r="AS1430" s="81"/>
      <c r="AT1430" s="81"/>
      <c r="AU1430" s="81"/>
      <c r="AV1430" s="83">
        <f>SUM(Prog_236[[#This Row],[ADIANTAMENTO]]+Prog_236[[#This Row],[SALDO]]+Prog_236[[#This Row],[MARGEM]]+Prog_236[[#This Row],[ESTADIA 1]])</f>
        <v>0</v>
      </c>
      <c r="AW14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0" s="81"/>
      <c r="AY1430" s="81"/>
      <c r="AZ1430" s="81">
        <f>Prog_236[[#This Row],[VLR NF]]*0.1%</f>
        <v>0</v>
      </c>
      <c r="BA1430" s="81">
        <f>Prog_236[[#This Row],[VLR NF]]*0.05%</f>
        <v>0</v>
      </c>
      <c r="BB1430" s="81"/>
      <c r="BC1430" s="81"/>
      <c r="BD1430" s="81"/>
      <c r="BE1430" s="81"/>
      <c r="BF1430" s="81"/>
      <c r="BG1430" s="81"/>
      <c r="BH1430" s="81"/>
      <c r="BI1430" s="81"/>
      <c r="BJ1430" s="81"/>
      <c r="BK1430" s="81"/>
      <c r="BL1430" s="66"/>
      <c r="BM1430" s="66"/>
      <c r="BN1430" s="66"/>
      <c r="BO1430" s="66" t="str">
        <f>PROPER(TEXT(Prog_236[[#This Row],[PROGRAMAÇÃO CLIENTE]],"mmm"))</f>
        <v>Jan</v>
      </c>
      <c r="BP1430" s="66">
        <f>YEAR(Prog_236[[#This Row],[PROGRAMAÇÃO CLIENTE]])</f>
        <v>1900</v>
      </c>
    </row>
    <row r="1431" spans="1:68" x14ac:dyDescent="0.25">
      <c r="A1431" s="200">
        <f>Prog_236[[#This Row],[CONTEINER]]</f>
        <v>0</v>
      </c>
      <c r="B1431" s="86"/>
      <c r="C14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1" s="44"/>
      <c r="E1431" s="66"/>
      <c r="F1431" s="66"/>
      <c r="G1431" s="66"/>
      <c r="H1431" s="44"/>
      <c r="I1431" s="44"/>
      <c r="J1431" s="66"/>
      <c r="K1431" s="66"/>
      <c r="L1431" s="66"/>
      <c r="M1431" s="66"/>
      <c r="N1431" s="66">
        <f>SUM(Prog_236[[#This Row],[TARA]]+Prog_236[[#This Row],[PESO]])</f>
        <v>0</v>
      </c>
      <c r="O1431" s="44"/>
      <c r="P1431" s="66"/>
      <c r="Q1431" s="66"/>
      <c r="R1431" s="66"/>
      <c r="S1431" s="66"/>
      <c r="T1431" s="138" t="str">
        <f>IFERROR(LOOKUP($S1431,MOTORISTAS!$D$3:$D$1048576,MOTORISTAS!E$3:$E$1048576),"")</f>
        <v/>
      </c>
      <c r="U1431" s="138" t="str">
        <f>IFERROR(LOOKUP($S1431,MOTORISTAS!$D$3:$D$1048576,MOTORISTAS!F$3:$F$1048576),"")</f>
        <v/>
      </c>
      <c r="V1431" s="66"/>
      <c r="W1431" s="66"/>
      <c r="X1431" s="66"/>
      <c r="Y1431" s="66"/>
      <c r="Z1431" s="66"/>
      <c r="AA1431" s="66"/>
      <c r="AB1431" s="66"/>
      <c r="AC1431" s="66"/>
      <c r="AD1431" s="66"/>
      <c r="AE1431" s="66"/>
      <c r="AF1431" s="44"/>
      <c r="AG1431" s="254">
        <f>Prog_236[[#This Row],[SAÍDA DO CLIENTE]]-Prog_236[[#This Row],[PROGRAMAÇÃO CLIENTE]]</f>
        <v>0</v>
      </c>
      <c r="AH1431" s="44"/>
      <c r="AI1431" s="66"/>
      <c r="AJ1431" s="66"/>
      <c r="AK1431" s="66"/>
      <c r="AL1431" s="66"/>
      <c r="AM1431" s="66"/>
      <c r="AN1431" s="83"/>
      <c r="AO1431" s="66"/>
      <c r="AP1431" s="66"/>
      <c r="AQ1431" s="66"/>
      <c r="AR1431" s="81"/>
      <c r="AS1431" s="81"/>
      <c r="AT1431" s="81"/>
      <c r="AU1431" s="81"/>
      <c r="AV1431" s="83">
        <f>SUM(Prog_236[[#This Row],[ADIANTAMENTO]]+Prog_236[[#This Row],[SALDO]]+Prog_236[[#This Row],[MARGEM]]+Prog_236[[#This Row],[ESTADIA 1]])</f>
        <v>0</v>
      </c>
      <c r="AW14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1" s="81"/>
      <c r="AY1431" s="81"/>
      <c r="AZ1431" s="81">
        <f>Prog_236[[#This Row],[VLR NF]]*0.1%</f>
        <v>0</v>
      </c>
      <c r="BA1431" s="81">
        <f>Prog_236[[#This Row],[VLR NF]]*0.05%</f>
        <v>0</v>
      </c>
      <c r="BB1431" s="81"/>
      <c r="BC1431" s="81"/>
      <c r="BD1431" s="81"/>
      <c r="BE1431" s="81"/>
      <c r="BF1431" s="81"/>
      <c r="BG1431" s="81"/>
      <c r="BH1431" s="81"/>
      <c r="BI1431" s="81"/>
      <c r="BJ1431" s="81"/>
      <c r="BK1431" s="81"/>
      <c r="BL1431" s="66"/>
      <c r="BM1431" s="66"/>
      <c r="BN1431" s="66"/>
      <c r="BO1431" s="66" t="str">
        <f>PROPER(TEXT(Prog_236[[#This Row],[PROGRAMAÇÃO CLIENTE]],"mmm"))</f>
        <v>Jan</v>
      </c>
      <c r="BP1431" s="66">
        <f>YEAR(Prog_236[[#This Row],[PROGRAMAÇÃO CLIENTE]])</f>
        <v>1900</v>
      </c>
    </row>
    <row r="1432" spans="1:68" x14ac:dyDescent="0.25">
      <c r="A1432" s="201">
        <f>Prog_236[[#This Row],[CONTEINER]]</f>
        <v>0</v>
      </c>
      <c r="B1432" s="86"/>
      <c r="C14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2" s="44"/>
      <c r="E1432" s="66"/>
      <c r="F1432" s="66"/>
      <c r="G1432" s="66"/>
      <c r="H1432" s="44"/>
      <c r="I1432" s="44"/>
      <c r="J1432" s="66"/>
      <c r="K1432" s="66"/>
      <c r="L1432" s="66"/>
      <c r="M1432" s="66"/>
      <c r="N1432" s="66">
        <f>SUM(Prog_236[[#This Row],[TARA]]+Prog_236[[#This Row],[PESO]])</f>
        <v>0</v>
      </c>
      <c r="O1432" s="44"/>
      <c r="P1432" s="66"/>
      <c r="Q1432" s="66"/>
      <c r="R1432" s="66"/>
      <c r="S1432" s="66"/>
      <c r="T1432" s="138" t="str">
        <f>IFERROR(LOOKUP($S1432,MOTORISTAS!$D$3:$D$1048576,MOTORISTAS!E$3:$E$1048576),"")</f>
        <v/>
      </c>
      <c r="U1432" s="138" t="str">
        <f>IFERROR(LOOKUP($S1432,MOTORISTAS!$D$3:$D$1048576,MOTORISTAS!F$3:$F$1048576),"")</f>
        <v/>
      </c>
      <c r="V1432" s="66"/>
      <c r="W1432" s="66"/>
      <c r="X1432" s="66"/>
      <c r="Y1432" s="66"/>
      <c r="Z1432" s="66"/>
      <c r="AA1432" s="66"/>
      <c r="AB1432" s="66"/>
      <c r="AC1432" s="66"/>
      <c r="AD1432" s="66"/>
      <c r="AE1432" s="66"/>
      <c r="AF1432" s="44"/>
      <c r="AG1432" s="254">
        <f>Prog_236[[#This Row],[SAÍDA DO CLIENTE]]-Prog_236[[#This Row],[PROGRAMAÇÃO CLIENTE]]</f>
        <v>0</v>
      </c>
      <c r="AH1432" s="44"/>
      <c r="AI1432" s="66"/>
      <c r="AJ1432" s="66"/>
      <c r="AK1432" s="66"/>
      <c r="AL1432" s="66"/>
      <c r="AM1432" s="66"/>
      <c r="AN1432" s="83"/>
      <c r="AO1432" s="66"/>
      <c r="AP1432" s="66"/>
      <c r="AQ1432" s="66"/>
      <c r="AR1432" s="81"/>
      <c r="AS1432" s="81"/>
      <c r="AT1432" s="81"/>
      <c r="AU1432" s="81"/>
      <c r="AV1432" s="83">
        <f>SUM(Prog_236[[#This Row],[ADIANTAMENTO]]+Prog_236[[#This Row],[SALDO]]+Prog_236[[#This Row],[MARGEM]]+Prog_236[[#This Row],[ESTADIA 1]])</f>
        <v>0</v>
      </c>
      <c r="AW14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2" s="81"/>
      <c r="AY1432" s="81"/>
      <c r="AZ1432" s="81">
        <f>Prog_236[[#This Row],[VLR NF]]*0.1%</f>
        <v>0</v>
      </c>
      <c r="BA1432" s="81">
        <f>Prog_236[[#This Row],[VLR NF]]*0.05%</f>
        <v>0</v>
      </c>
      <c r="BB1432" s="81"/>
      <c r="BC1432" s="81"/>
      <c r="BD1432" s="81"/>
      <c r="BE1432" s="81"/>
      <c r="BF1432" s="81"/>
      <c r="BG1432" s="81"/>
      <c r="BH1432" s="81"/>
      <c r="BI1432" s="81"/>
      <c r="BJ1432" s="81"/>
      <c r="BK1432" s="81"/>
      <c r="BL1432" s="66"/>
      <c r="BM1432" s="66"/>
      <c r="BN1432" s="66"/>
      <c r="BO1432" s="66" t="str">
        <f>PROPER(TEXT(Prog_236[[#This Row],[PROGRAMAÇÃO CLIENTE]],"mmm"))</f>
        <v>Jan</v>
      </c>
      <c r="BP1432" s="66">
        <f>YEAR(Prog_236[[#This Row],[PROGRAMAÇÃO CLIENTE]])</f>
        <v>1900</v>
      </c>
    </row>
    <row r="1433" spans="1:68" x14ac:dyDescent="0.25">
      <c r="A1433" s="200">
        <f>Prog_236[[#This Row],[CONTEINER]]</f>
        <v>0</v>
      </c>
      <c r="B1433" s="86"/>
      <c r="C14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3" s="44"/>
      <c r="E1433" s="66"/>
      <c r="F1433" s="66"/>
      <c r="G1433" s="66"/>
      <c r="H1433" s="44"/>
      <c r="I1433" s="44"/>
      <c r="J1433" s="66"/>
      <c r="K1433" s="66"/>
      <c r="L1433" s="66"/>
      <c r="M1433" s="66"/>
      <c r="N1433" s="66">
        <f>SUM(Prog_236[[#This Row],[TARA]]+Prog_236[[#This Row],[PESO]])</f>
        <v>0</v>
      </c>
      <c r="O1433" s="44"/>
      <c r="P1433" s="66"/>
      <c r="Q1433" s="66"/>
      <c r="R1433" s="66"/>
      <c r="S1433" s="66"/>
      <c r="T1433" s="138" t="str">
        <f>IFERROR(LOOKUP($S1433,MOTORISTAS!$D$3:$D$1048576,MOTORISTAS!E$3:$E$1048576),"")</f>
        <v/>
      </c>
      <c r="U1433" s="138" t="str">
        <f>IFERROR(LOOKUP($S1433,MOTORISTAS!$D$3:$D$1048576,MOTORISTAS!F$3:$F$1048576),"")</f>
        <v/>
      </c>
      <c r="V1433" s="66"/>
      <c r="W1433" s="66"/>
      <c r="X1433" s="66"/>
      <c r="Y1433" s="66"/>
      <c r="Z1433" s="66"/>
      <c r="AA1433" s="66"/>
      <c r="AB1433" s="66"/>
      <c r="AC1433" s="66"/>
      <c r="AD1433" s="66"/>
      <c r="AE1433" s="66"/>
      <c r="AF1433" s="44"/>
      <c r="AG1433" s="254">
        <f>Prog_236[[#This Row],[SAÍDA DO CLIENTE]]-Prog_236[[#This Row],[PROGRAMAÇÃO CLIENTE]]</f>
        <v>0</v>
      </c>
      <c r="AH1433" s="44"/>
      <c r="AI1433" s="66"/>
      <c r="AJ1433" s="66"/>
      <c r="AK1433" s="66"/>
      <c r="AL1433" s="66"/>
      <c r="AM1433" s="66"/>
      <c r="AN1433" s="83"/>
      <c r="AO1433" s="66"/>
      <c r="AP1433" s="66"/>
      <c r="AQ1433" s="66"/>
      <c r="AR1433" s="81"/>
      <c r="AS1433" s="81"/>
      <c r="AT1433" s="81"/>
      <c r="AU1433" s="81"/>
      <c r="AV1433" s="83">
        <f>SUM(Prog_236[[#This Row],[ADIANTAMENTO]]+Prog_236[[#This Row],[SALDO]]+Prog_236[[#This Row],[MARGEM]]+Prog_236[[#This Row],[ESTADIA 1]])</f>
        <v>0</v>
      </c>
      <c r="AW14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3" s="81"/>
      <c r="AY1433" s="81"/>
      <c r="AZ1433" s="81">
        <f>Prog_236[[#This Row],[VLR NF]]*0.1%</f>
        <v>0</v>
      </c>
      <c r="BA1433" s="81">
        <f>Prog_236[[#This Row],[VLR NF]]*0.05%</f>
        <v>0</v>
      </c>
      <c r="BB1433" s="81"/>
      <c r="BC1433" s="81"/>
      <c r="BD1433" s="81"/>
      <c r="BE1433" s="81"/>
      <c r="BF1433" s="81"/>
      <c r="BG1433" s="81"/>
      <c r="BH1433" s="81"/>
      <c r="BI1433" s="81"/>
      <c r="BJ1433" s="81"/>
      <c r="BK1433" s="81"/>
      <c r="BL1433" s="66"/>
      <c r="BM1433" s="66"/>
      <c r="BN1433" s="66"/>
      <c r="BO1433" s="66" t="str">
        <f>PROPER(TEXT(Prog_236[[#This Row],[PROGRAMAÇÃO CLIENTE]],"mmm"))</f>
        <v>Jan</v>
      </c>
      <c r="BP1433" s="66">
        <f>YEAR(Prog_236[[#This Row],[PROGRAMAÇÃO CLIENTE]])</f>
        <v>1900</v>
      </c>
    </row>
    <row r="1434" spans="1:68" x14ac:dyDescent="0.25">
      <c r="A1434" s="201">
        <f>Prog_236[[#This Row],[CONTEINER]]</f>
        <v>0</v>
      </c>
      <c r="B1434" s="86"/>
      <c r="C14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4" s="44"/>
      <c r="E1434" s="66"/>
      <c r="F1434" s="66"/>
      <c r="G1434" s="66"/>
      <c r="H1434" s="44"/>
      <c r="I1434" s="44"/>
      <c r="J1434" s="66"/>
      <c r="K1434" s="66"/>
      <c r="L1434" s="66"/>
      <c r="M1434" s="66"/>
      <c r="N1434" s="66">
        <f>SUM(Prog_236[[#This Row],[TARA]]+Prog_236[[#This Row],[PESO]])</f>
        <v>0</v>
      </c>
      <c r="O1434" s="44"/>
      <c r="P1434" s="66"/>
      <c r="Q1434" s="66"/>
      <c r="R1434" s="66"/>
      <c r="S1434" s="66"/>
      <c r="T1434" s="138" t="str">
        <f>IFERROR(LOOKUP($S1434,MOTORISTAS!$D$3:$D$1048576,MOTORISTAS!E$3:$E$1048576),"")</f>
        <v/>
      </c>
      <c r="U1434" s="138" t="str">
        <f>IFERROR(LOOKUP($S1434,MOTORISTAS!$D$3:$D$1048576,MOTORISTAS!F$3:$F$1048576),"")</f>
        <v/>
      </c>
      <c r="V1434" s="66"/>
      <c r="W1434" s="66"/>
      <c r="X1434" s="66"/>
      <c r="Y1434" s="66"/>
      <c r="Z1434" s="66"/>
      <c r="AA1434" s="66"/>
      <c r="AB1434" s="66"/>
      <c r="AC1434" s="66"/>
      <c r="AD1434" s="66"/>
      <c r="AE1434" s="66"/>
      <c r="AF1434" s="44"/>
      <c r="AG1434" s="254">
        <f>Prog_236[[#This Row],[SAÍDA DO CLIENTE]]-Prog_236[[#This Row],[PROGRAMAÇÃO CLIENTE]]</f>
        <v>0</v>
      </c>
      <c r="AH1434" s="44"/>
      <c r="AI1434" s="66"/>
      <c r="AJ1434" s="66"/>
      <c r="AK1434" s="66"/>
      <c r="AL1434" s="66"/>
      <c r="AM1434" s="66"/>
      <c r="AN1434" s="83"/>
      <c r="AO1434" s="66"/>
      <c r="AP1434" s="66"/>
      <c r="AQ1434" s="66"/>
      <c r="AR1434" s="81"/>
      <c r="AS1434" s="81"/>
      <c r="AT1434" s="81"/>
      <c r="AU1434" s="81"/>
      <c r="AV1434" s="83">
        <f>SUM(Prog_236[[#This Row],[ADIANTAMENTO]]+Prog_236[[#This Row],[SALDO]]+Prog_236[[#This Row],[MARGEM]]+Prog_236[[#This Row],[ESTADIA 1]])</f>
        <v>0</v>
      </c>
      <c r="AW14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4" s="81"/>
      <c r="AY1434" s="81"/>
      <c r="AZ1434" s="81">
        <f>Prog_236[[#This Row],[VLR NF]]*0.1%</f>
        <v>0</v>
      </c>
      <c r="BA1434" s="81">
        <f>Prog_236[[#This Row],[VLR NF]]*0.05%</f>
        <v>0</v>
      </c>
      <c r="BB1434" s="81"/>
      <c r="BC1434" s="81"/>
      <c r="BD1434" s="81"/>
      <c r="BE1434" s="81"/>
      <c r="BF1434" s="81"/>
      <c r="BG1434" s="81"/>
      <c r="BH1434" s="81"/>
      <c r="BI1434" s="81"/>
      <c r="BJ1434" s="81"/>
      <c r="BK1434" s="81"/>
      <c r="BL1434" s="66"/>
      <c r="BM1434" s="66"/>
      <c r="BN1434" s="66"/>
      <c r="BO1434" s="66" t="str">
        <f>PROPER(TEXT(Prog_236[[#This Row],[PROGRAMAÇÃO CLIENTE]],"mmm"))</f>
        <v>Jan</v>
      </c>
      <c r="BP1434" s="66">
        <f>YEAR(Prog_236[[#This Row],[PROGRAMAÇÃO CLIENTE]])</f>
        <v>1900</v>
      </c>
    </row>
    <row r="1435" spans="1:68" x14ac:dyDescent="0.25">
      <c r="A1435" s="200">
        <f>Prog_236[[#This Row],[CONTEINER]]</f>
        <v>0</v>
      </c>
      <c r="B1435" s="86"/>
      <c r="C14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5" s="44"/>
      <c r="E1435" s="66"/>
      <c r="F1435" s="66"/>
      <c r="G1435" s="66"/>
      <c r="H1435" s="44"/>
      <c r="I1435" s="44"/>
      <c r="J1435" s="66"/>
      <c r="K1435" s="66"/>
      <c r="L1435" s="66"/>
      <c r="M1435" s="66"/>
      <c r="N1435" s="66">
        <f>SUM(Prog_236[[#This Row],[TARA]]+Prog_236[[#This Row],[PESO]])</f>
        <v>0</v>
      </c>
      <c r="O1435" s="44"/>
      <c r="P1435" s="66"/>
      <c r="Q1435" s="66"/>
      <c r="R1435" s="66"/>
      <c r="S1435" s="66"/>
      <c r="T1435" s="138" t="str">
        <f>IFERROR(LOOKUP($S1435,MOTORISTAS!$D$3:$D$1048576,MOTORISTAS!E$3:$E$1048576),"")</f>
        <v/>
      </c>
      <c r="U1435" s="138" t="str">
        <f>IFERROR(LOOKUP($S1435,MOTORISTAS!$D$3:$D$1048576,MOTORISTAS!F$3:$F$1048576),"")</f>
        <v/>
      </c>
      <c r="V1435" s="66"/>
      <c r="W1435" s="66"/>
      <c r="X1435" s="66"/>
      <c r="Y1435" s="66"/>
      <c r="Z1435" s="66"/>
      <c r="AA1435" s="66"/>
      <c r="AB1435" s="66"/>
      <c r="AC1435" s="66"/>
      <c r="AD1435" s="66"/>
      <c r="AE1435" s="66"/>
      <c r="AF1435" s="44"/>
      <c r="AG1435" s="254">
        <f>Prog_236[[#This Row],[SAÍDA DO CLIENTE]]-Prog_236[[#This Row],[PROGRAMAÇÃO CLIENTE]]</f>
        <v>0</v>
      </c>
      <c r="AH1435" s="44"/>
      <c r="AI1435" s="66"/>
      <c r="AJ1435" s="66"/>
      <c r="AK1435" s="66"/>
      <c r="AL1435" s="66"/>
      <c r="AM1435" s="66"/>
      <c r="AN1435" s="83"/>
      <c r="AO1435" s="66"/>
      <c r="AP1435" s="66"/>
      <c r="AQ1435" s="66"/>
      <c r="AR1435" s="81"/>
      <c r="AS1435" s="81"/>
      <c r="AT1435" s="81"/>
      <c r="AU1435" s="81"/>
      <c r="AV1435" s="83">
        <f>SUM(Prog_236[[#This Row],[ADIANTAMENTO]]+Prog_236[[#This Row],[SALDO]]+Prog_236[[#This Row],[MARGEM]]+Prog_236[[#This Row],[ESTADIA 1]])</f>
        <v>0</v>
      </c>
      <c r="AW14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5" s="81"/>
      <c r="AY1435" s="81"/>
      <c r="AZ1435" s="81">
        <f>Prog_236[[#This Row],[VLR NF]]*0.1%</f>
        <v>0</v>
      </c>
      <c r="BA1435" s="81">
        <f>Prog_236[[#This Row],[VLR NF]]*0.05%</f>
        <v>0</v>
      </c>
      <c r="BB1435" s="81"/>
      <c r="BC1435" s="81"/>
      <c r="BD1435" s="81"/>
      <c r="BE1435" s="81"/>
      <c r="BF1435" s="81"/>
      <c r="BG1435" s="81"/>
      <c r="BH1435" s="81"/>
      <c r="BI1435" s="81"/>
      <c r="BJ1435" s="81"/>
      <c r="BK1435" s="81"/>
      <c r="BL1435" s="66"/>
      <c r="BM1435" s="66"/>
      <c r="BN1435" s="66"/>
      <c r="BO1435" s="66" t="str">
        <f>PROPER(TEXT(Prog_236[[#This Row],[PROGRAMAÇÃO CLIENTE]],"mmm"))</f>
        <v>Jan</v>
      </c>
      <c r="BP1435" s="66">
        <f>YEAR(Prog_236[[#This Row],[PROGRAMAÇÃO CLIENTE]])</f>
        <v>1900</v>
      </c>
    </row>
    <row r="1436" spans="1:68" x14ac:dyDescent="0.25">
      <c r="A1436" s="201">
        <f>Prog_236[[#This Row],[CONTEINER]]</f>
        <v>0</v>
      </c>
      <c r="B1436" s="86"/>
      <c r="C14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6" s="44"/>
      <c r="E1436" s="66"/>
      <c r="F1436" s="66"/>
      <c r="G1436" s="66"/>
      <c r="H1436" s="44"/>
      <c r="I1436" s="44"/>
      <c r="J1436" s="66"/>
      <c r="K1436" s="66"/>
      <c r="L1436" s="66"/>
      <c r="M1436" s="66"/>
      <c r="N1436" s="66">
        <f>SUM(Prog_236[[#This Row],[TARA]]+Prog_236[[#This Row],[PESO]])</f>
        <v>0</v>
      </c>
      <c r="O1436" s="44"/>
      <c r="P1436" s="66"/>
      <c r="Q1436" s="66"/>
      <c r="R1436" s="66"/>
      <c r="S1436" s="66"/>
      <c r="T1436" s="138" t="str">
        <f>IFERROR(LOOKUP($S1436,MOTORISTAS!$D$3:$D$1048576,MOTORISTAS!E$3:$E$1048576),"")</f>
        <v/>
      </c>
      <c r="U1436" s="138" t="str">
        <f>IFERROR(LOOKUP($S1436,MOTORISTAS!$D$3:$D$1048576,MOTORISTAS!F$3:$F$1048576),"")</f>
        <v/>
      </c>
      <c r="V1436" s="66"/>
      <c r="W1436" s="66"/>
      <c r="X1436" s="66"/>
      <c r="Y1436" s="66"/>
      <c r="Z1436" s="66"/>
      <c r="AA1436" s="66"/>
      <c r="AB1436" s="66"/>
      <c r="AC1436" s="66"/>
      <c r="AD1436" s="66"/>
      <c r="AE1436" s="66"/>
      <c r="AF1436" s="44"/>
      <c r="AG1436" s="254">
        <f>Prog_236[[#This Row],[SAÍDA DO CLIENTE]]-Prog_236[[#This Row],[PROGRAMAÇÃO CLIENTE]]</f>
        <v>0</v>
      </c>
      <c r="AH1436" s="44"/>
      <c r="AI1436" s="66"/>
      <c r="AJ1436" s="66"/>
      <c r="AK1436" s="66"/>
      <c r="AL1436" s="66"/>
      <c r="AM1436" s="66"/>
      <c r="AN1436" s="83"/>
      <c r="AO1436" s="66"/>
      <c r="AP1436" s="66"/>
      <c r="AQ1436" s="66"/>
      <c r="AR1436" s="81"/>
      <c r="AS1436" s="81"/>
      <c r="AT1436" s="81"/>
      <c r="AU1436" s="81"/>
      <c r="AV1436" s="83">
        <f>SUM(Prog_236[[#This Row],[ADIANTAMENTO]]+Prog_236[[#This Row],[SALDO]]+Prog_236[[#This Row],[MARGEM]]+Prog_236[[#This Row],[ESTADIA 1]])</f>
        <v>0</v>
      </c>
      <c r="AW14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6" s="81"/>
      <c r="AY1436" s="81"/>
      <c r="AZ1436" s="81">
        <f>Prog_236[[#This Row],[VLR NF]]*0.1%</f>
        <v>0</v>
      </c>
      <c r="BA1436" s="81">
        <f>Prog_236[[#This Row],[VLR NF]]*0.05%</f>
        <v>0</v>
      </c>
      <c r="BB1436" s="81"/>
      <c r="BC1436" s="81"/>
      <c r="BD1436" s="81"/>
      <c r="BE1436" s="81"/>
      <c r="BF1436" s="81"/>
      <c r="BG1436" s="81"/>
      <c r="BH1436" s="81"/>
      <c r="BI1436" s="81"/>
      <c r="BJ1436" s="81"/>
      <c r="BK1436" s="81"/>
      <c r="BL1436" s="66"/>
      <c r="BM1436" s="66"/>
      <c r="BN1436" s="66"/>
      <c r="BO1436" s="66" t="str">
        <f>PROPER(TEXT(Prog_236[[#This Row],[PROGRAMAÇÃO CLIENTE]],"mmm"))</f>
        <v>Jan</v>
      </c>
      <c r="BP1436" s="66">
        <f>YEAR(Prog_236[[#This Row],[PROGRAMAÇÃO CLIENTE]])</f>
        <v>1900</v>
      </c>
    </row>
    <row r="1437" spans="1:68" x14ac:dyDescent="0.25">
      <c r="A1437" s="200">
        <f>Prog_236[[#This Row],[CONTEINER]]</f>
        <v>0</v>
      </c>
      <c r="B1437" s="86"/>
      <c r="C14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7" s="44"/>
      <c r="E1437" s="66"/>
      <c r="F1437" s="66"/>
      <c r="G1437" s="66"/>
      <c r="H1437" s="44"/>
      <c r="I1437" s="44"/>
      <c r="J1437" s="66"/>
      <c r="K1437" s="66"/>
      <c r="L1437" s="66"/>
      <c r="M1437" s="66"/>
      <c r="N1437" s="66">
        <f>SUM(Prog_236[[#This Row],[TARA]]+Prog_236[[#This Row],[PESO]])</f>
        <v>0</v>
      </c>
      <c r="O1437" s="44"/>
      <c r="P1437" s="66"/>
      <c r="Q1437" s="66"/>
      <c r="R1437" s="66"/>
      <c r="S1437" s="66"/>
      <c r="T1437" s="138" t="str">
        <f>IFERROR(LOOKUP($S1437,MOTORISTAS!$D$3:$D$1048576,MOTORISTAS!E$3:$E$1048576),"")</f>
        <v/>
      </c>
      <c r="U1437" s="138" t="str">
        <f>IFERROR(LOOKUP($S1437,MOTORISTAS!$D$3:$D$1048576,MOTORISTAS!F$3:$F$1048576),"")</f>
        <v/>
      </c>
      <c r="V1437" s="66"/>
      <c r="W1437" s="66"/>
      <c r="X1437" s="66"/>
      <c r="Y1437" s="66"/>
      <c r="Z1437" s="66"/>
      <c r="AA1437" s="66"/>
      <c r="AB1437" s="66"/>
      <c r="AC1437" s="66"/>
      <c r="AD1437" s="66"/>
      <c r="AE1437" s="66"/>
      <c r="AF1437" s="44"/>
      <c r="AG1437" s="254">
        <f>Prog_236[[#This Row],[SAÍDA DO CLIENTE]]-Prog_236[[#This Row],[PROGRAMAÇÃO CLIENTE]]</f>
        <v>0</v>
      </c>
      <c r="AH1437" s="44"/>
      <c r="AI1437" s="66"/>
      <c r="AJ1437" s="66"/>
      <c r="AK1437" s="66"/>
      <c r="AL1437" s="66"/>
      <c r="AM1437" s="66"/>
      <c r="AN1437" s="83"/>
      <c r="AO1437" s="66"/>
      <c r="AP1437" s="66"/>
      <c r="AQ1437" s="66"/>
      <c r="AR1437" s="81"/>
      <c r="AS1437" s="81"/>
      <c r="AT1437" s="81"/>
      <c r="AU1437" s="81"/>
      <c r="AV1437" s="83">
        <f>SUM(Prog_236[[#This Row],[ADIANTAMENTO]]+Prog_236[[#This Row],[SALDO]]+Prog_236[[#This Row],[MARGEM]]+Prog_236[[#This Row],[ESTADIA 1]])</f>
        <v>0</v>
      </c>
      <c r="AW14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7" s="81"/>
      <c r="AY1437" s="81"/>
      <c r="AZ1437" s="81">
        <f>Prog_236[[#This Row],[VLR NF]]*0.1%</f>
        <v>0</v>
      </c>
      <c r="BA1437" s="81">
        <f>Prog_236[[#This Row],[VLR NF]]*0.05%</f>
        <v>0</v>
      </c>
      <c r="BB1437" s="81"/>
      <c r="BC1437" s="81"/>
      <c r="BD1437" s="81"/>
      <c r="BE1437" s="81"/>
      <c r="BF1437" s="81"/>
      <c r="BG1437" s="81"/>
      <c r="BH1437" s="81"/>
      <c r="BI1437" s="81"/>
      <c r="BJ1437" s="81"/>
      <c r="BK1437" s="81"/>
      <c r="BL1437" s="66"/>
      <c r="BM1437" s="66"/>
      <c r="BN1437" s="66"/>
      <c r="BO1437" s="66" t="str">
        <f>PROPER(TEXT(Prog_236[[#This Row],[PROGRAMAÇÃO CLIENTE]],"mmm"))</f>
        <v>Jan</v>
      </c>
      <c r="BP1437" s="66">
        <f>YEAR(Prog_236[[#This Row],[PROGRAMAÇÃO CLIENTE]])</f>
        <v>1900</v>
      </c>
    </row>
    <row r="1438" spans="1:68" x14ac:dyDescent="0.25">
      <c r="A1438" s="201">
        <f>Prog_236[[#This Row],[CONTEINER]]</f>
        <v>0</v>
      </c>
      <c r="B1438" s="86"/>
      <c r="C14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8" s="44"/>
      <c r="E1438" s="66"/>
      <c r="F1438" s="66"/>
      <c r="G1438" s="66"/>
      <c r="H1438" s="44"/>
      <c r="I1438" s="44"/>
      <c r="J1438" s="66"/>
      <c r="K1438" s="66"/>
      <c r="L1438" s="66"/>
      <c r="M1438" s="66"/>
      <c r="N1438" s="66">
        <f>SUM(Prog_236[[#This Row],[TARA]]+Prog_236[[#This Row],[PESO]])</f>
        <v>0</v>
      </c>
      <c r="O1438" s="44"/>
      <c r="P1438" s="66"/>
      <c r="Q1438" s="66"/>
      <c r="R1438" s="66"/>
      <c r="S1438" s="66"/>
      <c r="T1438" s="138" t="str">
        <f>IFERROR(LOOKUP($S1438,MOTORISTAS!$D$3:$D$1048576,MOTORISTAS!E$3:$E$1048576),"")</f>
        <v/>
      </c>
      <c r="U1438" s="138" t="str">
        <f>IFERROR(LOOKUP($S1438,MOTORISTAS!$D$3:$D$1048576,MOTORISTAS!F$3:$F$1048576),"")</f>
        <v/>
      </c>
      <c r="V1438" s="66"/>
      <c r="W1438" s="66"/>
      <c r="X1438" s="66"/>
      <c r="Y1438" s="66"/>
      <c r="Z1438" s="66"/>
      <c r="AA1438" s="66"/>
      <c r="AB1438" s="66"/>
      <c r="AC1438" s="66"/>
      <c r="AD1438" s="66"/>
      <c r="AE1438" s="66"/>
      <c r="AF1438" s="44"/>
      <c r="AG1438" s="254">
        <f>Prog_236[[#This Row],[SAÍDA DO CLIENTE]]-Prog_236[[#This Row],[PROGRAMAÇÃO CLIENTE]]</f>
        <v>0</v>
      </c>
      <c r="AH1438" s="44"/>
      <c r="AI1438" s="66"/>
      <c r="AJ1438" s="66"/>
      <c r="AK1438" s="66"/>
      <c r="AL1438" s="66"/>
      <c r="AM1438" s="66"/>
      <c r="AN1438" s="83"/>
      <c r="AO1438" s="66"/>
      <c r="AP1438" s="66"/>
      <c r="AQ1438" s="66"/>
      <c r="AR1438" s="81"/>
      <c r="AS1438" s="81"/>
      <c r="AT1438" s="81"/>
      <c r="AU1438" s="81"/>
      <c r="AV1438" s="83">
        <f>SUM(Prog_236[[#This Row],[ADIANTAMENTO]]+Prog_236[[#This Row],[SALDO]]+Prog_236[[#This Row],[MARGEM]]+Prog_236[[#This Row],[ESTADIA 1]])</f>
        <v>0</v>
      </c>
      <c r="AW14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8" s="81"/>
      <c r="AY1438" s="81"/>
      <c r="AZ1438" s="81">
        <f>Prog_236[[#This Row],[VLR NF]]*0.1%</f>
        <v>0</v>
      </c>
      <c r="BA1438" s="81">
        <f>Prog_236[[#This Row],[VLR NF]]*0.05%</f>
        <v>0</v>
      </c>
      <c r="BB1438" s="81"/>
      <c r="BC1438" s="81"/>
      <c r="BD1438" s="81"/>
      <c r="BE1438" s="81"/>
      <c r="BF1438" s="81"/>
      <c r="BG1438" s="81"/>
      <c r="BH1438" s="81"/>
      <c r="BI1438" s="81"/>
      <c r="BJ1438" s="81"/>
      <c r="BK1438" s="81"/>
      <c r="BL1438" s="66"/>
      <c r="BM1438" s="66"/>
      <c r="BN1438" s="66"/>
      <c r="BO1438" s="66" t="str">
        <f>PROPER(TEXT(Prog_236[[#This Row],[PROGRAMAÇÃO CLIENTE]],"mmm"))</f>
        <v>Jan</v>
      </c>
      <c r="BP1438" s="66">
        <f>YEAR(Prog_236[[#This Row],[PROGRAMAÇÃO CLIENTE]])</f>
        <v>1900</v>
      </c>
    </row>
    <row r="1439" spans="1:68" x14ac:dyDescent="0.25">
      <c r="A1439" s="200">
        <f>Prog_236[[#This Row],[CONTEINER]]</f>
        <v>0</v>
      </c>
      <c r="B1439" s="86"/>
      <c r="C14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39" s="44"/>
      <c r="E1439" s="66"/>
      <c r="F1439" s="66"/>
      <c r="G1439" s="66"/>
      <c r="H1439" s="44"/>
      <c r="I1439" s="44"/>
      <c r="J1439" s="66"/>
      <c r="K1439" s="66"/>
      <c r="L1439" s="66"/>
      <c r="M1439" s="66"/>
      <c r="N1439" s="66">
        <f>SUM(Prog_236[[#This Row],[TARA]]+Prog_236[[#This Row],[PESO]])</f>
        <v>0</v>
      </c>
      <c r="O1439" s="44"/>
      <c r="P1439" s="66"/>
      <c r="Q1439" s="66"/>
      <c r="R1439" s="66"/>
      <c r="S1439" s="66"/>
      <c r="T1439" s="138" t="str">
        <f>IFERROR(LOOKUP($S1439,MOTORISTAS!$D$3:$D$1048576,MOTORISTAS!E$3:$E$1048576),"")</f>
        <v/>
      </c>
      <c r="U1439" s="138" t="str">
        <f>IFERROR(LOOKUP($S1439,MOTORISTAS!$D$3:$D$1048576,MOTORISTAS!F$3:$F$1048576),"")</f>
        <v/>
      </c>
      <c r="V1439" s="66"/>
      <c r="W1439" s="66"/>
      <c r="X1439" s="66"/>
      <c r="Y1439" s="66"/>
      <c r="Z1439" s="66"/>
      <c r="AA1439" s="66"/>
      <c r="AB1439" s="66"/>
      <c r="AC1439" s="66"/>
      <c r="AD1439" s="66"/>
      <c r="AE1439" s="66"/>
      <c r="AF1439" s="44"/>
      <c r="AG1439" s="254">
        <f>Prog_236[[#This Row],[SAÍDA DO CLIENTE]]-Prog_236[[#This Row],[PROGRAMAÇÃO CLIENTE]]</f>
        <v>0</v>
      </c>
      <c r="AH1439" s="44"/>
      <c r="AI1439" s="66"/>
      <c r="AJ1439" s="66"/>
      <c r="AK1439" s="66"/>
      <c r="AL1439" s="66"/>
      <c r="AM1439" s="66"/>
      <c r="AN1439" s="83"/>
      <c r="AO1439" s="66"/>
      <c r="AP1439" s="66"/>
      <c r="AQ1439" s="66"/>
      <c r="AR1439" s="81"/>
      <c r="AS1439" s="81"/>
      <c r="AT1439" s="81"/>
      <c r="AU1439" s="81"/>
      <c r="AV1439" s="83">
        <f>SUM(Prog_236[[#This Row],[ADIANTAMENTO]]+Prog_236[[#This Row],[SALDO]]+Prog_236[[#This Row],[MARGEM]]+Prog_236[[#This Row],[ESTADIA 1]])</f>
        <v>0</v>
      </c>
      <c r="AW14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39" s="81"/>
      <c r="AY1439" s="81"/>
      <c r="AZ1439" s="81">
        <f>Prog_236[[#This Row],[VLR NF]]*0.1%</f>
        <v>0</v>
      </c>
      <c r="BA1439" s="81">
        <f>Prog_236[[#This Row],[VLR NF]]*0.05%</f>
        <v>0</v>
      </c>
      <c r="BB1439" s="81"/>
      <c r="BC1439" s="81"/>
      <c r="BD1439" s="81"/>
      <c r="BE1439" s="81"/>
      <c r="BF1439" s="81"/>
      <c r="BG1439" s="81"/>
      <c r="BH1439" s="81"/>
      <c r="BI1439" s="81"/>
      <c r="BJ1439" s="81"/>
      <c r="BK1439" s="81"/>
      <c r="BL1439" s="66"/>
      <c r="BM1439" s="66"/>
      <c r="BN1439" s="66"/>
      <c r="BO1439" s="66" t="str">
        <f>PROPER(TEXT(Prog_236[[#This Row],[PROGRAMAÇÃO CLIENTE]],"mmm"))</f>
        <v>Jan</v>
      </c>
      <c r="BP1439" s="66">
        <f>YEAR(Prog_236[[#This Row],[PROGRAMAÇÃO CLIENTE]])</f>
        <v>1900</v>
      </c>
    </row>
    <row r="1440" spans="1:68" x14ac:dyDescent="0.25">
      <c r="A1440" s="201">
        <f>Prog_236[[#This Row],[CONTEINER]]</f>
        <v>0</v>
      </c>
      <c r="B1440" s="86"/>
      <c r="C14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0" s="44"/>
      <c r="E1440" s="66"/>
      <c r="F1440" s="66"/>
      <c r="G1440" s="66"/>
      <c r="H1440" s="44"/>
      <c r="I1440" s="44"/>
      <c r="J1440" s="66"/>
      <c r="K1440" s="66"/>
      <c r="L1440" s="66"/>
      <c r="M1440" s="66"/>
      <c r="N1440" s="66">
        <f>SUM(Prog_236[[#This Row],[TARA]]+Prog_236[[#This Row],[PESO]])</f>
        <v>0</v>
      </c>
      <c r="O1440" s="44"/>
      <c r="P1440" s="66"/>
      <c r="Q1440" s="66"/>
      <c r="R1440" s="66"/>
      <c r="S1440" s="66"/>
      <c r="T1440" s="138" t="str">
        <f>IFERROR(LOOKUP($S1440,MOTORISTAS!$D$3:$D$1048576,MOTORISTAS!E$3:$E$1048576),"")</f>
        <v/>
      </c>
      <c r="U1440" s="138" t="str">
        <f>IFERROR(LOOKUP($S1440,MOTORISTAS!$D$3:$D$1048576,MOTORISTAS!F$3:$F$1048576),"")</f>
        <v/>
      </c>
      <c r="V1440" s="66"/>
      <c r="W1440" s="66"/>
      <c r="X1440" s="66"/>
      <c r="Y1440" s="66"/>
      <c r="Z1440" s="66"/>
      <c r="AA1440" s="66"/>
      <c r="AB1440" s="66"/>
      <c r="AC1440" s="66"/>
      <c r="AD1440" s="66"/>
      <c r="AE1440" s="66"/>
      <c r="AF1440" s="44"/>
      <c r="AG1440" s="254">
        <f>Prog_236[[#This Row],[SAÍDA DO CLIENTE]]-Prog_236[[#This Row],[PROGRAMAÇÃO CLIENTE]]</f>
        <v>0</v>
      </c>
      <c r="AH1440" s="44"/>
      <c r="AI1440" s="66"/>
      <c r="AJ1440" s="66"/>
      <c r="AK1440" s="66"/>
      <c r="AL1440" s="66"/>
      <c r="AM1440" s="66"/>
      <c r="AN1440" s="83"/>
      <c r="AO1440" s="66"/>
      <c r="AP1440" s="66"/>
      <c r="AQ1440" s="66"/>
      <c r="AR1440" s="81"/>
      <c r="AS1440" s="81"/>
      <c r="AT1440" s="81"/>
      <c r="AU1440" s="81"/>
      <c r="AV1440" s="83">
        <f>SUM(Prog_236[[#This Row],[ADIANTAMENTO]]+Prog_236[[#This Row],[SALDO]]+Prog_236[[#This Row],[MARGEM]]+Prog_236[[#This Row],[ESTADIA 1]])</f>
        <v>0</v>
      </c>
      <c r="AW14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0" s="81"/>
      <c r="AY1440" s="81"/>
      <c r="AZ1440" s="81">
        <f>Prog_236[[#This Row],[VLR NF]]*0.1%</f>
        <v>0</v>
      </c>
      <c r="BA1440" s="81">
        <f>Prog_236[[#This Row],[VLR NF]]*0.05%</f>
        <v>0</v>
      </c>
      <c r="BB1440" s="81"/>
      <c r="BC1440" s="81"/>
      <c r="BD1440" s="81"/>
      <c r="BE1440" s="81"/>
      <c r="BF1440" s="81"/>
      <c r="BG1440" s="81"/>
      <c r="BH1440" s="81"/>
      <c r="BI1440" s="81"/>
      <c r="BJ1440" s="81"/>
      <c r="BK1440" s="81"/>
      <c r="BL1440" s="66"/>
      <c r="BM1440" s="66"/>
      <c r="BN1440" s="66"/>
      <c r="BO1440" s="66" t="str">
        <f>PROPER(TEXT(Prog_236[[#This Row],[PROGRAMAÇÃO CLIENTE]],"mmm"))</f>
        <v>Jan</v>
      </c>
      <c r="BP1440" s="66">
        <f>YEAR(Prog_236[[#This Row],[PROGRAMAÇÃO CLIENTE]])</f>
        <v>1900</v>
      </c>
    </row>
    <row r="1441" spans="1:68" x14ac:dyDescent="0.25">
      <c r="A1441" s="200">
        <f>Prog_236[[#This Row],[CONTEINER]]</f>
        <v>0</v>
      </c>
      <c r="B1441" s="86"/>
      <c r="C14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1" s="44"/>
      <c r="E1441" s="66"/>
      <c r="F1441" s="66"/>
      <c r="G1441" s="66"/>
      <c r="H1441" s="44"/>
      <c r="I1441" s="44"/>
      <c r="J1441" s="66"/>
      <c r="K1441" s="66"/>
      <c r="L1441" s="66"/>
      <c r="M1441" s="66"/>
      <c r="N1441" s="66">
        <f>SUM(Prog_236[[#This Row],[TARA]]+Prog_236[[#This Row],[PESO]])</f>
        <v>0</v>
      </c>
      <c r="O1441" s="44"/>
      <c r="P1441" s="66"/>
      <c r="Q1441" s="66"/>
      <c r="R1441" s="66"/>
      <c r="S1441" s="66"/>
      <c r="T1441" s="138" t="str">
        <f>IFERROR(LOOKUP($S1441,MOTORISTAS!$D$3:$D$1048576,MOTORISTAS!E$3:$E$1048576),"")</f>
        <v/>
      </c>
      <c r="U1441" s="138" t="str">
        <f>IFERROR(LOOKUP($S1441,MOTORISTAS!$D$3:$D$1048576,MOTORISTAS!F$3:$F$1048576),"")</f>
        <v/>
      </c>
      <c r="V1441" s="66"/>
      <c r="W1441" s="66"/>
      <c r="X1441" s="66"/>
      <c r="Y1441" s="66"/>
      <c r="Z1441" s="66"/>
      <c r="AA1441" s="66"/>
      <c r="AB1441" s="66"/>
      <c r="AC1441" s="66"/>
      <c r="AD1441" s="66"/>
      <c r="AE1441" s="66"/>
      <c r="AF1441" s="44"/>
      <c r="AG1441" s="254">
        <f>Prog_236[[#This Row],[SAÍDA DO CLIENTE]]-Prog_236[[#This Row],[PROGRAMAÇÃO CLIENTE]]</f>
        <v>0</v>
      </c>
      <c r="AH1441" s="44"/>
      <c r="AI1441" s="66"/>
      <c r="AJ1441" s="66"/>
      <c r="AK1441" s="66"/>
      <c r="AL1441" s="66"/>
      <c r="AM1441" s="66"/>
      <c r="AN1441" s="83"/>
      <c r="AO1441" s="66"/>
      <c r="AP1441" s="66"/>
      <c r="AQ1441" s="66"/>
      <c r="AR1441" s="81"/>
      <c r="AS1441" s="81"/>
      <c r="AT1441" s="81"/>
      <c r="AU1441" s="81"/>
      <c r="AV1441" s="83">
        <f>SUM(Prog_236[[#This Row],[ADIANTAMENTO]]+Prog_236[[#This Row],[SALDO]]+Prog_236[[#This Row],[MARGEM]]+Prog_236[[#This Row],[ESTADIA 1]])</f>
        <v>0</v>
      </c>
      <c r="AW14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1" s="81"/>
      <c r="AY1441" s="81"/>
      <c r="AZ1441" s="81">
        <f>Prog_236[[#This Row],[VLR NF]]*0.1%</f>
        <v>0</v>
      </c>
      <c r="BA1441" s="81">
        <f>Prog_236[[#This Row],[VLR NF]]*0.05%</f>
        <v>0</v>
      </c>
      <c r="BB1441" s="81"/>
      <c r="BC1441" s="81"/>
      <c r="BD1441" s="81"/>
      <c r="BE1441" s="81"/>
      <c r="BF1441" s="81"/>
      <c r="BG1441" s="81"/>
      <c r="BH1441" s="81"/>
      <c r="BI1441" s="81"/>
      <c r="BJ1441" s="81"/>
      <c r="BK1441" s="81"/>
      <c r="BL1441" s="66"/>
      <c r="BM1441" s="66"/>
      <c r="BN1441" s="66"/>
      <c r="BO1441" s="66" t="str">
        <f>PROPER(TEXT(Prog_236[[#This Row],[PROGRAMAÇÃO CLIENTE]],"mmm"))</f>
        <v>Jan</v>
      </c>
      <c r="BP1441" s="66">
        <f>YEAR(Prog_236[[#This Row],[PROGRAMAÇÃO CLIENTE]])</f>
        <v>1900</v>
      </c>
    </row>
    <row r="1442" spans="1:68" x14ac:dyDescent="0.25">
      <c r="A1442" s="201">
        <f>Prog_236[[#This Row],[CONTEINER]]</f>
        <v>0</v>
      </c>
      <c r="B1442" s="86"/>
      <c r="C14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2" s="44"/>
      <c r="E1442" s="66"/>
      <c r="F1442" s="66"/>
      <c r="G1442" s="66"/>
      <c r="H1442" s="44"/>
      <c r="I1442" s="44"/>
      <c r="J1442" s="66"/>
      <c r="K1442" s="66"/>
      <c r="L1442" s="66"/>
      <c r="M1442" s="66"/>
      <c r="N1442" s="66">
        <f>SUM(Prog_236[[#This Row],[TARA]]+Prog_236[[#This Row],[PESO]])</f>
        <v>0</v>
      </c>
      <c r="O1442" s="44"/>
      <c r="P1442" s="66"/>
      <c r="Q1442" s="66"/>
      <c r="R1442" s="66"/>
      <c r="S1442" s="66"/>
      <c r="T1442" s="138" t="str">
        <f>IFERROR(LOOKUP($S1442,MOTORISTAS!$D$3:$D$1048576,MOTORISTAS!E$3:$E$1048576),"")</f>
        <v/>
      </c>
      <c r="U1442" s="138" t="str">
        <f>IFERROR(LOOKUP($S1442,MOTORISTAS!$D$3:$D$1048576,MOTORISTAS!F$3:$F$1048576),"")</f>
        <v/>
      </c>
      <c r="V1442" s="66"/>
      <c r="W1442" s="66"/>
      <c r="X1442" s="66"/>
      <c r="Y1442" s="66"/>
      <c r="Z1442" s="66"/>
      <c r="AA1442" s="66"/>
      <c r="AB1442" s="66"/>
      <c r="AC1442" s="66"/>
      <c r="AD1442" s="66"/>
      <c r="AE1442" s="66"/>
      <c r="AF1442" s="44"/>
      <c r="AG1442" s="254">
        <f>Prog_236[[#This Row],[SAÍDA DO CLIENTE]]-Prog_236[[#This Row],[PROGRAMAÇÃO CLIENTE]]</f>
        <v>0</v>
      </c>
      <c r="AH1442" s="44"/>
      <c r="AI1442" s="66"/>
      <c r="AJ1442" s="66"/>
      <c r="AK1442" s="66"/>
      <c r="AL1442" s="66"/>
      <c r="AM1442" s="66"/>
      <c r="AN1442" s="83"/>
      <c r="AO1442" s="66"/>
      <c r="AP1442" s="66"/>
      <c r="AQ1442" s="66"/>
      <c r="AR1442" s="81"/>
      <c r="AS1442" s="81"/>
      <c r="AT1442" s="81"/>
      <c r="AU1442" s="81"/>
      <c r="AV1442" s="83">
        <f>SUM(Prog_236[[#This Row],[ADIANTAMENTO]]+Prog_236[[#This Row],[SALDO]]+Prog_236[[#This Row],[MARGEM]]+Prog_236[[#This Row],[ESTADIA 1]])</f>
        <v>0</v>
      </c>
      <c r="AW14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2" s="81"/>
      <c r="AY1442" s="81"/>
      <c r="AZ1442" s="81">
        <f>Prog_236[[#This Row],[VLR NF]]*0.1%</f>
        <v>0</v>
      </c>
      <c r="BA1442" s="81">
        <f>Prog_236[[#This Row],[VLR NF]]*0.05%</f>
        <v>0</v>
      </c>
      <c r="BB1442" s="81"/>
      <c r="BC1442" s="81"/>
      <c r="BD1442" s="81"/>
      <c r="BE1442" s="81"/>
      <c r="BF1442" s="81"/>
      <c r="BG1442" s="81"/>
      <c r="BH1442" s="81"/>
      <c r="BI1442" s="81"/>
      <c r="BJ1442" s="81"/>
      <c r="BK1442" s="81"/>
      <c r="BL1442" s="66"/>
      <c r="BM1442" s="66"/>
      <c r="BN1442" s="66"/>
      <c r="BO1442" s="66" t="str">
        <f>PROPER(TEXT(Prog_236[[#This Row],[PROGRAMAÇÃO CLIENTE]],"mmm"))</f>
        <v>Jan</v>
      </c>
      <c r="BP1442" s="66">
        <f>YEAR(Prog_236[[#This Row],[PROGRAMAÇÃO CLIENTE]])</f>
        <v>1900</v>
      </c>
    </row>
    <row r="1443" spans="1:68" x14ac:dyDescent="0.25">
      <c r="A1443" s="200">
        <f>Prog_236[[#This Row],[CONTEINER]]</f>
        <v>0</v>
      </c>
      <c r="B1443" s="86"/>
      <c r="C14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3" s="44"/>
      <c r="E1443" s="66"/>
      <c r="F1443" s="66"/>
      <c r="G1443" s="66"/>
      <c r="H1443" s="44"/>
      <c r="I1443" s="44"/>
      <c r="J1443" s="66"/>
      <c r="K1443" s="66"/>
      <c r="L1443" s="66"/>
      <c r="M1443" s="66"/>
      <c r="N1443" s="66">
        <f>SUM(Prog_236[[#This Row],[TARA]]+Prog_236[[#This Row],[PESO]])</f>
        <v>0</v>
      </c>
      <c r="O1443" s="44"/>
      <c r="P1443" s="66"/>
      <c r="Q1443" s="66"/>
      <c r="R1443" s="66"/>
      <c r="S1443" s="66"/>
      <c r="T1443" s="138" t="str">
        <f>IFERROR(LOOKUP($S1443,MOTORISTAS!$D$3:$D$1048576,MOTORISTAS!E$3:$E$1048576),"")</f>
        <v/>
      </c>
      <c r="U1443" s="138" t="str">
        <f>IFERROR(LOOKUP($S1443,MOTORISTAS!$D$3:$D$1048576,MOTORISTAS!F$3:$F$1048576),"")</f>
        <v/>
      </c>
      <c r="V1443" s="66"/>
      <c r="W1443" s="66"/>
      <c r="X1443" s="66"/>
      <c r="Y1443" s="66"/>
      <c r="Z1443" s="66"/>
      <c r="AA1443" s="66"/>
      <c r="AB1443" s="66"/>
      <c r="AC1443" s="66"/>
      <c r="AD1443" s="66"/>
      <c r="AE1443" s="66"/>
      <c r="AF1443" s="44"/>
      <c r="AG1443" s="254">
        <f>Prog_236[[#This Row],[SAÍDA DO CLIENTE]]-Prog_236[[#This Row],[PROGRAMAÇÃO CLIENTE]]</f>
        <v>0</v>
      </c>
      <c r="AH1443" s="44"/>
      <c r="AI1443" s="66"/>
      <c r="AJ1443" s="66"/>
      <c r="AK1443" s="66"/>
      <c r="AL1443" s="66"/>
      <c r="AM1443" s="66"/>
      <c r="AN1443" s="83"/>
      <c r="AO1443" s="66"/>
      <c r="AP1443" s="66"/>
      <c r="AQ1443" s="66"/>
      <c r="AR1443" s="81"/>
      <c r="AS1443" s="81"/>
      <c r="AT1443" s="81"/>
      <c r="AU1443" s="81"/>
      <c r="AV1443" s="83">
        <f>SUM(Prog_236[[#This Row],[ADIANTAMENTO]]+Prog_236[[#This Row],[SALDO]]+Prog_236[[#This Row],[MARGEM]]+Prog_236[[#This Row],[ESTADIA 1]])</f>
        <v>0</v>
      </c>
      <c r="AW14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3" s="81"/>
      <c r="AY1443" s="81"/>
      <c r="AZ1443" s="81">
        <f>Prog_236[[#This Row],[VLR NF]]*0.1%</f>
        <v>0</v>
      </c>
      <c r="BA1443" s="81">
        <f>Prog_236[[#This Row],[VLR NF]]*0.05%</f>
        <v>0</v>
      </c>
      <c r="BB1443" s="81"/>
      <c r="BC1443" s="81"/>
      <c r="BD1443" s="81"/>
      <c r="BE1443" s="81"/>
      <c r="BF1443" s="81"/>
      <c r="BG1443" s="81"/>
      <c r="BH1443" s="81"/>
      <c r="BI1443" s="81"/>
      <c r="BJ1443" s="81"/>
      <c r="BK1443" s="81"/>
      <c r="BL1443" s="66"/>
      <c r="BM1443" s="66"/>
      <c r="BN1443" s="66"/>
      <c r="BO1443" s="66" t="str">
        <f>PROPER(TEXT(Prog_236[[#This Row],[PROGRAMAÇÃO CLIENTE]],"mmm"))</f>
        <v>Jan</v>
      </c>
      <c r="BP1443" s="66">
        <f>YEAR(Prog_236[[#This Row],[PROGRAMAÇÃO CLIENTE]])</f>
        <v>1900</v>
      </c>
    </row>
    <row r="1444" spans="1:68" x14ac:dyDescent="0.25">
      <c r="A1444" s="201">
        <f>Prog_236[[#This Row],[CONTEINER]]</f>
        <v>0</v>
      </c>
      <c r="B1444" s="86"/>
      <c r="C14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4" s="44"/>
      <c r="E1444" s="66"/>
      <c r="F1444" s="66"/>
      <c r="G1444" s="66"/>
      <c r="H1444" s="44"/>
      <c r="I1444" s="44"/>
      <c r="J1444" s="66"/>
      <c r="K1444" s="66"/>
      <c r="L1444" s="66"/>
      <c r="M1444" s="66"/>
      <c r="N1444" s="66">
        <f>SUM(Prog_236[[#This Row],[TARA]]+Prog_236[[#This Row],[PESO]])</f>
        <v>0</v>
      </c>
      <c r="O1444" s="44"/>
      <c r="P1444" s="66"/>
      <c r="Q1444" s="66"/>
      <c r="R1444" s="66"/>
      <c r="S1444" s="66"/>
      <c r="T1444" s="138" t="str">
        <f>IFERROR(LOOKUP($S1444,MOTORISTAS!$D$3:$D$1048576,MOTORISTAS!E$3:$E$1048576),"")</f>
        <v/>
      </c>
      <c r="U1444" s="138" t="str">
        <f>IFERROR(LOOKUP($S1444,MOTORISTAS!$D$3:$D$1048576,MOTORISTAS!F$3:$F$1048576),"")</f>
        <v/>
      </c>
      <c r="V1444" s="66"/>
      <c r="W1444" s="66"/>
      <c r="X1444" s="66"/>
      <c r="Y1444" s="66"/>
      <c r="Z1444" s="66"/>
      <c r="AA1444" s="66"/>
      <c r="AB1444" s="66"/>
      <c r="AC1444" s="66"/>
      <c r="AD1444" s="66"/>
      <c r="AE1444" s="66"/>
      <c r="AF1444" s="44"/>
      <c r="AG1444" s="254">
        <f>Prog_236[[#This Row],[SAÍDA DO CLIENTE]]-Prog_236[[#This Row],[PROGRAMAÇÃO CLIENTE]]</f>
        <v>0</v>
      </c>
      <c r="AH1444" s="44"/>
      <c r="AI1444" s="66"/>
      <c r="AJ1444" s="66"/>
      <c r="AK1444" s="66"/>
      <c r="AL1444" s="66"/>
      <c r="AM1444" s="66"/>
      <c r="AN1444" s="83"/>
      <c r="AO1444" s="66"/>
      <c r="AP1444" s="66"/>
      <c r="AQ1444" s="66"/>
      <c r="AR1444" s="81"/>
      <c r="AS1444" s="81"/>
      <c r="AT1444" s="81"/>
      <c r="AU1444" s="81"/>
      <c r="AV1444" s="83">
        <f>SUM(Prog_236[[#This Row],[ADIANTAMENTO]]+Prog_236[[#This Row],[SALDO]]+Prog_236[[#This Row],[MARGEM]]+Prog_236[[#This Row],[ESTADIA 1]])</f>
        <v>0</v>
      </c>
      <c r="AW14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4" s="81"/>
      <c r="AY1444" s="81"/>
      <c r="AZ1444" s="81">
        <f>Prog_236[[#This Row],[VLR NF]]*0.1%</f>
        <v>0</v>
      </c>
      <c r="BA1444" s="81">
        <f>Prog_236[[#This Row],[VLR NF]]*0.05%</f>
        <v>0</v>
      </c>
      <c r="BB1444" s="81"/>
      <c r="BC1444" s="81"/>
      <c r="BD1444" s="81"/>
      <c r="BE1444" s="81"/>
      <c r="BF1444" s="81"/>
      <c r="BG1444" s="81"/>
      <c r="BH1444" s="81"/>
      <c r="BI1444" s="81"/>
      <c r="BJ1444" s="81"/>
      <c r="BK1444" s="81"/>
      <c r="BL1444" s="66"/>
      <c r="BM1444" s="66"/>
      <c r="BN1444" s="66"/>
      <c r="BO1444" s="66" t="str">
        <f>PROPER(TEXT(Prog_236[[#This Row],[PROGRAMAÇÃO CLIENTE]],"mmm"))</f>
        <v>Jan</v>
      </c>
      <c r="BP1444" s="66">
        <f>YEAR(Prog_236[[#This Row],[PROGRAMAÇÃO CLIENTE]])</f>
        <v>1900</v>
      </c>
    </row>
    <row r="1445" spans="1:68" x14ac:dyDescent="0.25">
      <c r="A1445" s="200">
        <f>Prog_236[[#This Row],[CONTEINER]]</f>
        <v>0</v>
      </c>
      <c r="B1445" s="86"/>
      <c r="C14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5" s="44"/>
      <c r="E1445" s="66"/>
      <c r="F1445" s="66"/>
      <c r="G1445" s="66"/>
      <c r="H1445" s="44"/>
      <c r="I1445" s="44"/>
      <c r="J1445" s="66"/>
      <c r="K1445" s="66"/>
      <c r="L1445" s="66"/>
      <c r="M1445" s="66"/>
      <c r="N1445" s="66">
        <f>SUM(Prog_236[[#This Row],[TARA]]+Prog_236[[#This Row],[PESO]])</f>
        <v>0</v>
      </c>
      <c r="O1445" s="44"/>
      <c r="P1445" s="66"/>
      <c r="Q1445" s="66"/>
      <c r="R1445" s="66"/>
      <c r="S1445" s="66"/>
      <c r="T1445" s="138" t="str">
        <f>IFERROR(LOOKUP($S1445,MOTORISTAS!$D$3:$D$1048576,MOTORISTAS!E$3:$E$1048576),"")</f>
        <v/>
      </c>
      <c r="U1445" s="138" t="str">
        <f>IFERROR(LOOKUP($S1445,MOTORISTAS!$D$3:$D$1048576,MOTORISTAS!F$3:$F$1048576),"")</f>
        <v/>
      </c>
      <c r="V1445" s="66"/>
      <c r="W1445" s="66"/>
      <c r="X1445" s="66"/>
      <c r="Y1445" s="66"/>
      <c r="Z1445" s="66"/>
      <c r="AA1445" s="66"/>
      <c r="AB1445" s="66"/>
      <c r="AC1445" s="66"/>
      <c r="AD1445" s="66"/>
      <c r="AE1445" s="66"/>
      <c r="AF1445" s="44"/>
      <c r="AG1445" s="254">
        <f>Prog_236[[#This Row],[SAÍDA DO CLIENTE]]-Prog_236[[#This Row],[PROGRAMAÇÃO CLIENTE]]</f>
        <v>0</v>
      </c>
      <c r="AH1445" s="44"/>
      <c r="AI1445" s="66"/>
      <c r="AJ1445" s="66"/>
      <c r="AK1445" s="66"/>
      <c r="AL1445" s="66"/>
      <c r="AM1445" s="66"/>
      <c r="AN1445" s="83"/>
      <c r="AO1445" s="66"/>
      <c r="AP1445" s="66"/>
      <c r="AQ1445" s="66"/>
      <c r="AR1445" s="81"/>
      <c r="AS1445" s="81"/>
      <c r="AT1445" s="81"/>
      <c r="AU1445" s="81"/>
      <c r="AV1445" s="83">
        <f>SUM(Prog_236[[#This Row],[ADIANTAMENTO]]+Prog_236[[#This Row],[SALDO]]+Prog_236[[#This Row],[MARGEM]]+Prog_236[[#This Row],[ESTADIA 1]])</f>
        <v>0</v>
      </c>
      <c r="AW14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5" s="81"/>
      <c r="AY1445" s="81"/>
      <c r="AZ1445" s="81">
        <f>Prog_236[[#This Row],[VLR NF]]*0.1%</f>
        <v>0</v>
      </c>
      <c r="BA1445" s="81">
        <f>Prog_236[[#This Row],[VLR NF]]*0.05%</f>
        <v>0</v>
      </c>
      <c r="BB1445" s="81"/>
      <c r="BC1445" s="81"/>
      <c r="BD1445" s="81"/>
      <c r="BE1445" s="81"/>
      <c r="BF1445" s="81"/>
      <c r="BG1445" s="81"/>
      <c r="BH1445" s="81"/>
      <c r="BI1445" s="81"/>
      <c r="BJ1445" s="81"/>
      <c r="BK1445" s="81"/>
      <c r="BL1445" s="66"/>
      <c r="BM1445" s="66"/>
      <c r="BN1445" s="66"/>
      <c r="BO1445" s="66" t="str">
        <f>PROPER(TEXT(Prog_236[[#This Row],[PROGRAMAÇÃO CLIENTE]],"mmm"))</f>
        <v>Jan</v>
      </c>
      <c r="BP1445" s="66">
        <f>YEAR(Prog_236[[#This Row],[PROGRAMAÇÃO CLIENTE]])</f>
        <v>1900</v>
      </c>
    </row>
    <row r="1446" spans="1:68" x14ac:dyDescent="0.25">
      <c r="A1446" s="201">
        <f>Prog_236[[#This Row],[CONTEINER]]</f>
        <v>0</v>
      </c>
      <c r="B1446" s="86"/>
      <c r="C14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6" s="44"/>
      <c r="E1446" s="66"/>
      <c r="F1446" s="66"/>
      <c r="G1446" s="66"/>
      <c r="H1446" s="44"/>
      <c r="I1446" s="44"/>
      <c r="J1446" s="66"/>
      <c r="K1446" s="66"/>
      <c r="L1446" s="66"/>
      <c r="M1446" s="66"/>
      <c r="N1446" s="66">
        <f>SUM(Prog_236[[#This Row],[TARA]]+Prog_236[[#This Row],[PESO]])</f>
        <v>0</v>
      </c>
      <c r="O1446" s="44"/>
      <c r="P1446" s="66"/>
      <c r="Q1446" s="66"/>
      <c r="R1446" s="66"/>
      <c r="S1446" s="66"/>
      <c r="T1446" s="138" t="str">
        <f>IFERROR(LOOKUP($S1446,MOTORISTAS!$D$3:$D$1048576,MOTORISTAS!E$3:$E$1048576),"")</f>
        <v/>
      </c>
      <c r="U1446" s="138" t="str">
        <f>IFERROR(LOOKUP($S1446,MOTORISTAS!$D$3:$D$1048576,MOTORISTAS!F$3:$F$1048576),"")</f>
        <v/>
      </c>
      <c r="V1446" s="66"/>
      <c r="W1446" s="66"/>
      <c r="X1446" s="66"/>
      <c r="Y1446" s="66"/>
      <c r="Z1446" s="66"/>
      <c r="AA1446" s="66"/>
      <c r="AB1446" s="66"/>
      <c r="AC1446" s="66"/>
      <c r="AD1446" s="66"/>
      <c r="AE1446" s="66"/>
      <c r="AF1446" s="44"/>
      <c r="AG1446" s="254">
        <f>Prog_236[[#This Row],[SAÍDA DO CLIENTE]]-Prog_236[[#This Row],[PROGRAMAÇÃO CLIENTE]]</f>
        <v>0</v>
      </c>
      <c r="AH1446" s="44"/>
      <c r="AI1446" s="66"/>
      <c r="AJ1446" s="66"/>
      <c r="AK1446" s="66"/>
      <c r="AL1446" s="66"/>
      <c r="AM1446" s="66"/>
      <c r="AN1446" s="83"/>
      <c r="AO1446" s="66"/>
      <c r="AP1446" s="66"/>
      <c r="AQ1446" s="66"/>
      <c r="AR1446" s="81"/>
      <c r="AS1446" s="81"/>
      <c r="AT1446" s="81"/>
      <c r="AU1446" s="81"/>
      <c r="AV1446" s="83">
        <f>SUM(Prog_236[[#This Row],[ADIANTAMENTO]]+Prog_236[[#This Row],[SALDO]]+Prog_236[[#This Row],[MARGEM]]+Prog_236[[#This Row],[ESTADIA 1]])</f>
        <v>0</v>
      </c>
      <c r="AW14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6" s="81"/>
      <c r="AY1446" s="81"/>
      <c r="AZ1446" s="81">
        <f>Prog_236[[#This Row],[VLR NF]]*0.1%</f>
        <v>0</v>
      </c>
      <c r="BA1446" s="81">
        <f>Prog_236[[#This Row],[VLR NF]]*0.05%</f>
        <v>0</v>
      </c>
      <c r="BB1446" s="81"/>
      <c r="BC1446" s="81"/>
      <c r="BD1446" s="81"/>
      <c r="BE1446" s="81"/>
      <c r="BF1446" s="81"/>
      <c r="BG1446" s="81"/>
      <c r="BH1446" s="81"/>
      <c r="BI1446" s="81"/>
      <c r="BJ1446" s="81"/>
      <c r="BK1446" s="81"/>
      <c r="BL1446" s="66"/>
      <c r="BM1446" s="66"/>
      <c r="BN1446" s="66"/>
      <c r="BO1446" s="66" t="str">
        <f>PROPER(TEXT(Prog_236[[#This Row],[PROGRAMAÇÃO CLIENTE]],"mmm"))</f>
        <v>Jan</v>
      </c>
      <c r="BP1446" s="66">
        <f>YEAR(Prog_236[[#This Row],[PROGRAMAÇÃO CLIENTE]])</f>
        <v>1900</v>
      </c>
    </row>
    <row r="1447" spans="1:68" x14ac:dyDescent="0.25">
      <c r="A1447" s="200">
        <f>Prog_236[[#This Row],[CONTEINER]]</f>
        <v>0</v>
      </c>
      <c r="B1447" s="86"/>
      <c r="C14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7" s="44"/>
      <c r="E1447" s="66"/>
      <c r="F1447" s="66"/>
      <c r="G1447" s="66"/>
      <c r="H1447" s="44"/>
      <c r="I1447" s="44"/>
      <c r="J1447" s="66"/>
      <c r="K1447" s="66"/>
      <c r="L1447" s="66"/>
      <c r="M1447" s="66"/>
      <c r="N1447" s="66">
        <f>SUM(Prog_236[[#This Row],[TARA]]+Prog_236[[#This Row],[PESO]])</f>
        <v>0</v>
      </c>
      <c r="O1447" s="44"/>
      <c r="P1447" s="66"/>
      <c r="Q1447" s="66"/>
      <c r="R1447" s="66"/>
      <c r="S1447" s="66"/>
      <c r="T1447" s="138" t="str">
        <f>IFERROR(LOOKUP($S1447,MOTORISTAS!$D$3:$D$1048576,MOTORISTAS!E$3:$E$1048576),"")</f>
        <v/>
      </c>
      <c r="U1447" s="138" t="str">
        <f>IFERROR(LOOKUP($S1447,MOTORISTAS!$D$3:$D$1048576,MOTORISTAS!F$3:$F$1048576),"")</f>
        <v/>
      </c>
      <c r="V1447" s="66"/>
      <c r="W1447" s="66"/>
      <c r="X1447" s="66"/>
      <c r="Y1447" s="66"/>
      <c r="Z1447" s="66"/>
      <c r="AA1447" s="66"/>
      <c r="AB1447" s="66"/>
      <c r="AC1447" s="66"/>
      <c r="AD1447" s="66"/>
      <c r="AE1447" s="66"/>
      <c r="AF1447" s="44"/>
      <c r="AG1447" s="254">
        <f>Prog_236[[#This Row],[SAÍDA DO CLIENTE]]-Prog_236[[#This Row],[PROGRAMAÇÃO CLIENTE]]</f>
        <v>0</v>
      </c>
      <c r="AH1447" s="44"/>
      <c r="AI1447" s="66"/>
      <c r="AJ1447" s="66"/>
      <c r="AK1447" s="66"/>
      <c r="AL1447" s="66"/>
      <c r="AM1447" s="66"/>
      <c r="AN1447" s="83"/>
      <c r="AO1447" s="66"/>
      <c r="AP1447" s="66"/>
      <c r="AQ1447" s="66"/>
      <c r="AR1447" s="81"/>
      <c r="AS1447" s="81"/>
      <c r="AT1447" s="81"/>
      <c r="AU1447" s="81"/>
      <c r="AV1447" s="83">
        <f>SUM(Prog_236[[#This Row],[ADIANTAMENTO]]+Prog_236[[#This Row],[SALDO]]+Prog_236[[#This Row],[MARGEM]]+Prog_236[[#This Row],[ESTADIA 1]])</f>
        <v>0</v>
      </c>
      <c r="AW14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7" s="81"/>
      <c r="AY1447" s="81"/>
      <c r="AZ1447" s="81">
        <f>Prog_236[[#This Row],[VLR NF]]*0.1%</f>
        <v>0</v>
      </c>
      <c r="BA1447" s="81">
        <f>Prog_236[[#This Row],[VLR NF]]*0.05%</f>
        <v>0</v>
      </c>
      <c r="BB1447" s="81"/>
      <c r="BC1447" s="81"/>
      <c r="BD1447" s="81"/>
      <c r="BE1447" s="81"/>
      <c r="BF1447" s="81"/>
      <c r="BG1447" s="81"/>
      <c r="BH1447" s="81"/>
      <c r="BI1447" s="81"/>
      <c r="BJ1447" s="81"/>
      <c r="BK1447" s="81"/>
      <c r="BL1447" s="66"/>
      <c r="BM1447" s="66"/>
      <c r="BN1447" s="66"/>
      <c r="BO1447" s="66" t="str">
        <f>PROPER(TEXT(Prog_236[[#This Row],[PROGRAMAÇÃO CLIENTE]],"mmm"))</f>
        <v>Jan</v>
      </c>
      <c r="BP1447" s="66">
        <f>YEAR(Prog_236[[#This Row],[PROGRAMAÇÃO CLIENTE]])</f>
        <v>1900</v>
      </c>
    </row>
    <row r="1448" spans="1:68" x14ac:dyDescent="0.25">
      <c r="A1448" s="201">
        <f>Prog_236[[#This Row],[CONTEINER]]</f>
        <v>0</v>
      </c>
      <c r="B1448" s="86"/>
      <c r="C14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8" s="44"/>
      <c r="E1448" s="66"/>
      <c r="F1448" s="66"/>
      <c r="G1448" s="66"/>
      <c r="H1448" s="44"/>
      <c r="I1448" s="44"/>
      <c r="J1448" s="66"/>
      <c r="K1448" s="66"/>
      <c r="L1448" s="66"/>
      <c r="M1448" s="66"/>
      <c r="N1448" s="66">
        <f>SUM(Prog_236[[#This Row],[TARA]]+Prog_236[[#This Row],[PESO]])</f>
        <v>0</v>
      </c>
      <c r="O1448" s="44"/>
      <c r="P1448" s="66"/>
      <c r="Q1448" s="66"/>
      <c r="R1448" s="66"/>
      <c r="S1448" s="66"/>
      <c r="T1448" s="138" t="str">
        <f>IFERROR(LOOKUP($S1448,MOTORISTAS!$D$3:$D$1048576,MOTORISTAS!E$3:$E$1048576),"")</f>
        <v/>
      </c>
      <c r="U1448" s="138" t="str">
        <f>IFERROR(LOOKUP($S1448,MOTORISTAS!$D$3:$D$1048576,MOTORISTAS!F$3:$F$1048576),"")</f>
        <v/>
      </c>
      <c r="V1448" s="66"/>
      <c r="W1448" s="66"/>
      <c r="X1448" s="66"/>
      <c r="Y1448" s="66"/>
      <c r="Z1448" s="66"/>
      <c r="AA1448" s="66"/>
      <c r="AB1448" s="66"/>
      <c r="AC1448" s="66"/>
      <c r="AD1448" s="66"/>
      <c r="AE1448" s="66"/>
      <c r="AF1448" s="44"/>
      <c r="AG1448" s="254">
        <f>Prog_236[[#This Row],[SAÍDA DO CLIENTE]]-Prog_236[[#This Row],[PROGRAMAÇÃO CLIENTE]]</f>
        <v>0</v>
      </c>
      <c r="AH1448" s="44"/>
      <c r="AI1448" s="66"/>
      <c r="AJ1448" s="66"/>
      <c r="AK1448" s="66"/>
      <c r="AL1448" s="66"/>
      <c r="AM1448" s="66"/>
      <c r="AN1448" s="83"/>
      <c r="AO1448" s="66"/>
      <c r="AP1448" s="66"/>
      <c r="AQ1448" s="66"/>
      <c r="AR1448" s="81"/>
      <c r="AS1448" s="81"/>
      <c r="AT1448" s="81"/>
      <c r="AU1448" s="81"/>
      <c r="AV1448" s="83">
        <f>SUM(Prog_236[[#This Row],[ADIANTAMENTO]]+Prog_236[[#This Row],[SALDO]]+Prog_236[[#This Row],[MARGEM]]+Prog_236[[#This Row],[ESTADIA 1]])</f>
        <v>0</v>
      </c>
      <c r="AW14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8" s="81"/>
      <c r="AY1448" s="81"/>
      <c r="AZ1448" s="81">
        <f>Prog_236[[#This Row],[VLR NF]]*0.1%</f>
        <v>0</v>
      </c>
      <c r="BA1448" s="81">
        <f>Prog_236[[#This Row],[VLR NF]]*0.05%</f>
        <v>0</v>
      </c>
      <c r="BB1448" s="81"/>
      <c r="BC1448" s="81"/>
      <c r="BD1448" s="81"/>
      <c r="BE1448" s="81"/>
      <c r="BF1448" s="81"/>
      <c r="BG1448" s="81"/>
      <c r="BH1448" s="81"/>
      <c r="BI1448" s="81"/>
      <c r="BJ1448" s="81"/>
      <c r="BK1448" s="81"/>
      <c r="BL1448" s="66"/>
      <c r="BM1448" s="66"/>
      <c r="BN1448" s="66"/>
      <c r="BO1448" s="66" t="str">
        <f>PROPER(TEXT(Prog_236[[#This Row],[PROGRAMAÇÃO CLIENTE]],"mmm"))</f>
        <v>Jan</v>
      </c>
      <c r="BP1448" s="66">
        <f>YEAR(Prog_236[[#This Row],[PROGRAMAÇÃO CLIENTE]])</f>
        <v>1900</v>
      </c>
    </row>
    <row r="1449" spans="1:68" x14ac:dyDescent="0.25">
      <c r="A1449" s="200">
        <f>Prog_236[[#This Row],[CONTEINER]]</f>
        <v>0</v>
      </c>
      <c r="B1449" s="86"/>
      <c r="C14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49" s="44"/>
      <c r="E1449" s="66"/>
      <c r="F1449" s="66"/>
      <c r="G1449" s="66"/>
      <c r="H1449" s="44"/>
      <c r="I1449" s="44"/>
      <c r="J1449" s="66"/>
      <c r="K1449" s="66"/>
      <c r="L1449" s="66"/>
      <c r="M1449" s="66"/>
      <c r="N1449" s="66">
        <f>SUM(Prog_236[[#This Row],[TARA]]+Prog_236[[#This Row],[PESO]])</f>
        <v>0</v>
      </c>
      <c r="O1449" s="44"/>
      <c r="P1449" s="66"/>
      <c r="Q1449" s="66"/>
      <c r="R1449" s="66"/>
      <c r="S1449" s="66"/>
      <c r="T1449" s="138" t="str">
        <f>IFERROR(LOOKUP($S1449,MOTORISTAS!$D$3:$D$1048576,MOTORISTAS!E$3:$E$1048576),"")</f>
        <v/>
      </c>
      <c r="U1449" s="138" t="str">
        <f>IFERROR(LOOKUP($S1449,MOTORISTAS!$D$3:$D$1048576,MOTORISTAS!F$3:$F$1048576),"")</f>
        <v/>
      </c>
      <c r="V1449" s="66"/>
      <c r="W1449" s="66"/>
      <c r="X1449" s="66"/>
      <c r="Y1449" s="66"/>
      <c r="Z1449" s="66"/>
      <c r="AA1449" s="66"/>
      <c r="AB1449" s="66"/>
      <c r="AC1449" s="66"/>
      <c r="AD1449" s="66"/>
      <c r="AE1449" s="66"/>
      <c r="AF1449" s="44"/>
      <c r="AG1449" s="254">
        <f>Prog_236[[#This Row],[SAÍDA DO CLIENTE]]-Prog_236[[#This Row],[PROGRAMAÇÃO CLIENTE]]</f>
        <v>0</v>
      </c>
      <c r="AH1449" s="44"/>
      <c r="AI1449" s="66"/>
      <c r="AJ1449" s="66"/>
      <c r="AK1449" s="66"/>
      <c r="AL1449" s="66"/>
      <c r="AM1449" s="66"/>
      <c r="AN1449" s="83"/>
      <c r="AO1449" s="66"/>
      <c r="AP1449" s="66"/>
      <c r="AQ1449" s="66"/>
      <c r="AR1449" s="81"/>
      <c r="AS1449" s="81"/>
      <c r="AT1449" s="81"/>
      <c r="AU1449" s="81"/>
      <c r="AV1449" s="83">
        <f>SUM(Prog_236[[#This Row],[ADIANTAMENTO]]+Prog_236[[#This Row],[SALDO]]+Prog_236[[#This Row],[MARGEM]]+Prog_236[[#This Row],[ESTADIA 1]])</f>
        <v>0</v>
      </c>
      <c r="AW14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49" s="81"/>
      <c r="AY1449" s="81"/>
      <c r="AZ1449" s="81">
        <f>Prog_236[[#This Row],[VLR NF]]*0.1%</f>
        <v>0</v>
      </c>
      <c r="BA1449" s="81">
        <f>Prog_236[[#This Row],[VLR NF]]*0.05%</f>
        <v>0</v>
      </c>
      <c r="BB1449" s="81"/>
      <c r="BC1449" s="81"/>
      <c r="BD1449" s="81"/>
      <c r="BE1449" s="81"/>
      <c r="BF1449" s="81"/>
      <c r="BG1449" s="81"/>
      <c r="BH1449" s="81"/>
      <c r="BI1449" s="81"/>
      <c r="BJ1449" s="81"/>
      <c r="BK1449" s="81"/>
      <c r="BL1449" s="66"/>
      <c r="BM1449" s="66"/>
      <c r="BN1449" s="66"/>
      <c r="BO1449" s="66" t="str">
        <f>PROPER(TEXT(Prog_236[[#This Row],[PROGRAMAÇÃO CLIENTE]],"mmm"))</f>
        <v>Jan</v>
      </c>
      <c r="BP1449" s="66">
        <f>YEAR(Prog_236[[#This Row],[PROGRAMAÇÃO CLIENTE]])</f>
        <v>1900</v>
      </c>
    </row>
    <row r="1450" spans="1:68" x14ac:dyDescent="0.25">
      <c r="A1450" s="201">
        <f>Prog_236[[#This Row],[CONTEINER]]</f>
        <v>0</v>
      </c>
      <c r="B1450" s="86"/>
      <c r="C14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0" s="44"/>
      <c r="E1450" s="66"/>
      <c r="F1450" s="66"/>
      <c r="G1450" s="66"/>
      <c r="H1450" s="44"/>
      <c r="I1450" s="44"/>
      <c r="J1450" s="66"/>
      <c r="K1450" s="66"/>
      <c r="L1450" s="66"/>
      <c r="M1450" s="66"/>
      <c r="N1450" s="66">
        <f>SUM(Prog_236[[#This Row],[TARA]]+Prog_236[[#This Row],[PESO]])</f>
        <v>0</v>
      </c>
      <c r="O1450" s="44"/>
      <c r="P1450" s="66"/>
      <c r="Q1450" s="66"/>
      <c r="R1450" s="66"/>
      <c r="S1450" s="66"/>
      <c r="T1450" s="138" t="str">
        <f>IFERROR(LOOKUP($S1450,MOTORISTAS!$D$3:$D$1048576,MOTORISTAS!E$3:$E$1048576),"")</f>
        <v/>
      </c>
      <c r="U1450" s="138" t="str">
        <f>IFERROR(LOOKUP($S1450,MOTORISTAS!$D$3:$D$1048576,MOTORISTAS!F$3:$F$1048576),"")</f>
        <v/>
      </c>
      <c r="V1450" s="66"/>
      <c r="W1450" s="66"/>
      <c r="X1450" s="66"/>
      <c r="Y1450" s="66"/>
      <c r="Z1450" s="66"/>
      <c r="AA1450" s="66"/>
      <c r="AB1450" s="66"/>
      <c r="AC1450" s="66"/>
      <c r="AD1450" s="66"/>
      <c r="AE1450" s="66"/>
      <c r="AF1450" s="44"/>
      <c r="AG1450" s="254">
        <f>Prog_236[[#This Row],[SAÍDA DO CLIENTE]]-Prog_236[[#This Row],[PROGRAMAÇÃO CLIENTE]]</f>
        <v>0</v>
      </c>
      <c r="AH1450" s="44"/>
      <c r="AI1450" s="66"/>
      <c r="AJ1450" s="66"/>
      <c r="AK1450" s="66"/>
      <c r="AL1450" s="66"/>
      <c r="AM1450" s="66"/>
      <c r="AN1450" s="83"/>
      <c r="AO1450" s="66"/>
      <c r="AP1450" s="66"/>
      <c r="AQ1450" s="66"/>
      <c r="AR1450" s="81"/>
      <c r="AS1450" s="81"/>
      <c r="AT1450" s="81"/>
      <c r="AU1450" s="81"/>
      <c r="AV1450" s="83">
        <f>SUM(Prog_236[[#This Row],[ADIANTAMENTO]]+Prog_236[[#This Row],[SALDO]]+Prog_236[[#This Row],[MARGEM]]+Prog_236[[#This Row],[ESTADIA 1]])</f>
        <v>0</v>
      </c>
      <c r="AW14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0" s="81"/>
      <c r="AY1450" s="81"/>
      <c r="AZ1450" s="81">
        <f>Prog_236[[#This Row],[VLR NF]]*0.1%</f>
        <v>0</v>
      </c>
      <c r="BA1450" s="81">
        <f>Prog_236[[#This Row],[VLR NF]]*0.05%</f>
        <v>0</v>
      </c>
      <c r="BB1450" s="81"/>
      <c r="BC1450" s="81"/>
      <c r="BD1450" s="81"/>
      <c r="BE1450" s="81"/>
      <c r="BF1450" s="81"/>
      <c r="BG1450" s="81"/>
      <c r="BH1450" s="81"/>
      <c r="BI1450" s="81"/>
      <c r="BJ1450" s="81"/>
      <c r="BK1450" s="81"/>
      <c r="BL1450" s="66"/>
      <c r="BM1450" s="66"/>
      <c r="BN1450" s="66"/>
      <c r="BO1450" s="66" t="str">
        <f>PROPER(TEXT(Prog_236[[#This Row],[PROGRAMAÇÃO CLIENTE]],"mmm"))</f>
        <v>Jan</v>
      </c>
      <c r="BP1450" s="66">
        <f>YEAR(Prog_236[[#This Row],[PROGRAMAÇÃO CLIENTE]])</f>
        <v>1900</v>
      </c>
    </row>
    <row r="1451" spans="1:68" x14ac:dyDescent="0.25">
      <c r="A1451" s="200">
        <f>Prog_236[[#This Row],[CONTEINER]]</f>
        <v>0</v>
      </c>
      <c r="B1451" s="86"/>
      <c r="C14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1" s="44"/>
      <c r="E1451" s="66"/>
      <c r="F1451" s="66"/>
      <c r="G1451" s="66"/>
      <c r="H1451" s="44"/>
      <c r="I1451" s="44"/>
      <c r="J1451" s="66"/>
      <c r="K1451" s="66"/>
      <c r="L1451" s="66"/>
      <c r="M1451" s="66"/>
      <c r="N1451" s="66">
        <f>SUM(Prog_236[[#This Row],[TARA]]+Prog_236[[#This Row],[PESO]])</f>
        <v>0</v>
      </c>
      <c r="O1451" s="44"/>
      <c r="P1451" s="66"/>
      <c r="Q1451" s="66"/>
      <c r="R1451" s="66"/>
      <c r="S1451" s="66"/>
      <c r="T1451" s="138" t="str">
        <f>IFERROR(LOOKUP($S1451,MOTORISTAS!$D$3:$D$1048576,MOTORISTAS!E$3:$E$1048576),"")</f>
        <v/>
      </c>
      <c r="U1451" s="138" t="str">
        <f>IFERROR(LOOKUP($S1451,MOTORISTAS!$D$3:$D$1048576,MOTORISTAS!F$3:$F$1048576),"")</f>
        <v/>
      </c>
      <c r="V1451" s="66"/>
      <c r="W1451" s="66"/>
      <c r="X1451" s="66"/>
      <c r="Y1451" s="66"/>
      <c r="Z1451" s="66"/>
      <c r="AA1451" s="66"/>
      <c r="AB1451" s="66"/>
      <c r="AC1451" s="66"/>
      <c r="AD1451" s="66"/>
      <c r="AE1451" s="66"/>
      <c r="AF1451" s="44"/>
      <c r="AG1451" s="254">
        <f>Prog_236[[#This Row],[SAÍDA DO CLIENTE]]-Prog_236[[#This Row],[PROGRAMAÇÃO CLIENTE]]</f>
        <v>0</v>
      </c>
      <c r="AH1451" s="44"/>
      <c r="AI1451" s="66"/>
      <c r="AJ1451" s="66"/>
      <c r="AK1451" s="66"/>
      <c r="AL1451" s="66"/>
      <c r="AM1451" s="66"/>
      <c r="AN1451" s="83"/>
      <c r="AO1451" s="66"/>
      <c r="AP1451" s="66"/>
      <c r="AQ1451" s="66"/>
      <c r="AR1451" s="81"/>
      <c r="AS1451" s="81"/>
      <c r="AT1451" s="81"/>
      <c r="AU1451" s="81"/>
      <c r="AV1451" s="83">
        <f>SUM(Prog_236[[#This Row],[ADIANTAMENTO]]+Prog_236[[#This Row],[SALDO]]+Prog_236[[#This Row],[MARGEM]]+Prog_236[[#This Row],[ESTADIA 1]])</f>
        <v>0</v>
      </c>
      <c r="AW14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1" s="81"/>
      <c r="AY1451" s="81"/>
      <c r="AZ1451" s="81">
        <f>Prog_236[[#This Row],[VLR NF]]*0.1%</f>
        <v>0</v>
      </c>
      <c r="BA1451" s="81">
        <f>Prog_236[[#This Row],[VLR NF]]*0.05%</f>
        <v>0</v>
      </c>
      <c r="BB1451" s="81"/>
      <c r="BC1451" s="81"/>
      <c r="BD1451" s="81"/>
      <c r="BE1451" s="81"/>
      <c r="BF1451" s="81"/>
      <c r="BG1451" s="81"/>
      <c r="BH1451" s="81"/>
      <c r="BI1451" s="81"/>
      <c r="BJ1451" s="81"/>
      <c r="BK1451" s="81"/>
      <c r="BL1451" s="66"/>
      <c r="BM1451" s="66"/>
      <c r="BN1451" s="66"/>
      <c r="BO1451" s="66" t="str">
        <f>PROPER(TEXT(Prog_236[[#This Row],[PROGRAMAÇÃO CLIENTE]],"mmm"))</f>
        <v>Jan</v>
      </c>
      <c r="BP1451" s="66">
        <f>YEAR(Prog_236[[#This Row],[PROGRAMAÇÃO CLIENTE]])</f>
        <v>1900</v>
      </c>
    </row>
    <row r="1452" spans="1:68" x14ac:dyDescent="0.25">
      <c r="A1452" s="201">
        <f>Prog_236[[#This Row],[CONTEINER]]</f>
        <v>0</v>
      </c>
      <c r="B1452" s="86"/>
      <c r="C14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2" s="44"/>
      <c r="E1452" s="66"/>
      <c r="F1452" s="66"/>
      <c r="G1452" s="66"/>
      <c r="H1452" s="44"/>
      <c r="I1452" s="44"/>
      <c r="J1452" s="66"/>
      <c r="K1452" s="66"/>
      <c r="L1452" s="66"/>
      <c r="M1452" s="66"/>
      <c r="N1452" s="66">
        <f>SUM(Prog_236[[#This Row],[TARA]]+Prog_236[[#This Row],[PESO]])</f>
        <v>0</v>
      </c>
      <c r="O1452" s="44"/>
      <c r="P1452" s="66"/>
      <c r="Q1452" s="66"/>
      <c r="R1452" s="66"/>
      <c r="S1452" s="66"/>
      <c r="T1452" s="138" t="str">
        <f>IFERROR(LOOKUP($S1452,MOTORISTAS!$D$3:$D$1048576,MOTORISTAS!E$3:$E$1048576),"")</f>
        <v/>
      </c>
      <c r="U1452" s="138" t="str">
        <f>IFERROR(LOOKUP($S1452,MOTORISTAS!$D$3:$D$1048576,MOTORISTAS!F$3:$F$1048576),"")</f>
        <v/>
      </c>
      <c r="V1452" s="66"/>
      <c r="W1452" s="66"/>
      <c r="X1452" s="66"/>
      <c r="Y1452" s="66"/>
      <c r="Z1452" s="66"/>
      <c r="AA1452" s="66"/>
      <c r="AB1452" s="66"/>
      <c r="AC1452" s="66"/>
      <c r="AD1452" s="66"/>
      <c r="AE1452" s="66"/>
      <c r="AF1452" s="44"/>
      <c r="AG1452" s="254">
        <f>Prog_236[[#This Row],[SAÍDA DO CLIENTE]]-Prog_236[[#This Row],[PROGRAMAÇÃO CLIENTE]]</f>
        <v>0</v>
      </c>
      <c r="AH1452" s="44"/>
      <c r="AI1452" s="66"/>
      <c r="AJ1452" s="66"/>
      <c r="AK1452" s="66"/>
      <c r="AL1452" s="66"/>
      <c r="AM1452" s="66"/>
      <c r="AN1452" s="83"/>
      <c r="AO1452" s="66"/>
      <c r="AP1452" s="66"/>
      <c r="AQ1452" s="66"/>
      <c r="AR1452" s="81"/>
      <c r="AS1452" s="81"/>
      <c r="AT1452" s="81"/>
      <c r="AU1452" s="81"/>
      <c r="AV1452" s="83">
        <f>SUM(Prog_236[[#This Row],[ADIANTAMENTO]]+Prog_236[[#This Row],[SALDO]]+Prog_236[[#This Row],[MARGEM]]+Prog_236[[#This Row],[ESTADIA 1]])</f>
        <v>0</v>
      </c>
      <c r="AW14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2" s="81"/>
      <c r="AY1452" s="81"/>
      <c r="AZ1452" s="81">
        <f>Prog_236[[#This Row],[VLR NF]]*0.1%</f>
        <v>0</v>
      </c>
      <c r="BA1452" s="81">
        <f>Prog_236[[#This Row],[VLR NF]]*0.05%</f>
        <v>0</v>
      </c>
      <c r="BB1452" s="81"/>
      <c r="BC1452" s="81"/>
      <c r="BD1452" s="81"/>
      <c r="BE1452" s="81"/>
      <c r="BF1452" s="81"/>
      <c r="BG1452" s="81"/>
      <c r="BH1452" s="81"/>
      <c r="BI1452" s="81"/>
      <c r="BJ1452" s="81"/>
      <c r="BK1452" s="81"/>
      <c r="BL1452" s="66"/>
      <c r="BM1452" s="66"/>
      <c r="BN1452" s="66"/>
      <c r="BO1452" s="66" t="str">
        <f>PROPER(TEXT(Prog_236[[#This Row],[PROGRAMAÇÃO CLIENTE]],"mmm"))</f>
        <v>Jan</v>
      </c>
      <c r="BP1452" s="66">
        <f>YEAR(Prog_236[[#This Row],[PROGRAMAÇÃO CLIENTE]])</f>
        <v>1900</v>
      </c>
    </row>
    <row r="1453" spans="1:68" x14ac:dyDescent="0.25">
      <c r="A1453" s="200">
        <f>Prog_236[[#This Row],[CONTEINER]]</f>
        <v>0</v>
      </c>
      <c r="B1453" s="86"/>
      <c r="C14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3" s="44"/>
      <c r="E1453" s="66"/>
      <c r="F1453" s="66"/>
      <c r="G1453" s="66"/>
      <c r="H1453" s="44"/>
      <c r="I1453" s="44"/>
      <c r="J1453" s="66"/>
      <c r="K1453" s="66"/>
      <c r="L1453" s="66"/>
      <c r="M1453" s="66"/>
      <c r="N1453" s="66">
        <f>SUM(Prog_236[[#This Row],[TARA]]+Prog_236[[#This Row],[PESO]])</f>
        <v>0</v>
      </c>
      <c r="O1453" s="44"/>
      <c r="P1453" s="66"/>
      <c r="Q1453" s="66"/>
      <c r="R1453" s="66"/>
      <c r="S1453" s="66"/>
      <c r="T1453" s="138" t="str">
        <f>IFERROR(LOOKUP($S1453,MOTORISTAS!$D$3:$D$1048576,MOTORISTAS!E$3:$E$1048576),"")</f>
        <v/>
      </c>
      <c r="U1453" s="138" t="str">
        <f>IFERROR(LOOKUP($S1453,MOTORISTAS!$D$3:$D$1048576,MOTORISTAS!F$3:$F$1048576),"")</f>
        <v/>
      </c>
      <c r="V1453" s="66"/>
      <c r="W1453" s="66"/>
      <c r="X1453" s="66"/>
      <c r="Y1453" s="66"/>
      <c r="Z1453" s="66"/>
      <c r="AA1453" s="66"/>
      <c r="AB1453" s="66"/>
      <c r="AC1453" s="66"/>
      <c r="AD1453" s="66"/>
      <c r="AE1453" s="66"/>
      <c r="AF1453" s="44"/>
      <c r="AG1453" s="254">
        <f>Prog_236[[#This Row],[SAÍDA DO CLIENTE]]-Prog_236[[#This Row],[PROGRAMAÇÃO CLIENTE]]</f>
        <v>0</v>
      </c>
      <c r="AH1453" s="44"/>
      <c r="AI1453" s="66"/>
      <c r="AJ1453" s="66"/>
      <c r="AK1453" s="66"/>
      <c r="AL1453" s="66"/>
      <c r="AM1453" s="66"/>
      <c r="AN1453" s="83"/>
      <c r="AO1453" s="66"/>
      <c r="AP1453" s="66"/>
      <c r="AQ1453" s="66"/>
      <c r="AR1453" s="81"/>
      <c r="AS1453" s="81"/>
      <c r="AT1453" s="81"/>
      <c r="AU1453" s="81"/>
      <c r="AV1453" s="83">
        <f>SUM(Prog_236[[#This Row],[ADIANTAMENTO]]+Prog_236[[#This Row],[SALDO]]+Prog_236[[#This Row],[MARGEM]]+Prog_236[[#This Row],[ESTADIA 1]])</f>
        <v>0</v>
      </c>
      <c r="AW14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3" s="81"/>
      <c r="AY1453" s="81"/>
      <c r="AZ1453" s="81">
        <f>Prog_236[[#This Row],[VLR NF]]*0.1%</f>
        <v>0</v>
      </c>
      <c r="BA1453" s="81">
        <f>Prog_236[[#This Row],[VLR NF]]*0.05%</f>
        <v>0</v>
      </c>
      <c r="BB1453" s="81"/>
      <c r="BC1453" s="81"/>
      <c r="BD1453" s="81"/>
      <c r="BE1453" s="81"/>
      <c r="BF1453" s="81"/>
      <c r="BG1453" s="81"/>
      <c r="BH1453" s="81"/>
      <c r="BI1453" s="81"/>
      <c r="BJ1453" s="81"/>
      <c r="BK1453" s="81"/>
      <c r="BL1453" s="66"/>
      <c r="BM1453" s="66"/>
      <c r="BN1453" s="66"/>
      <c r="BO1453" s="66" t="str">
        <f>PROPER(TEXT(Prog_236[[#This Row],[PROGRAMAÇÃO CLIENTE]],"mmm"))</f>
        <v>Jan</v>
      </c>
      <c r="BP1453" s="66">
        <f>YEAR(Prog_236[[#This Row],[PROGRAMAÇÃO CLIENTE]])</f>
        <v>1900</v>
      </c>
    </row>
    <row r="1454" spans="1:68" x14ac:dyDescent="0.25">
      <c r="A1454" s="201">
        <f>Prog_236[[#This Row],[CONTEINER]]</f>
        <v>0</v>
      </c>
      <c r="B1454" s="86"/>
      <c r="C14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4" s="44"/>
      <c r="E1454" s="66"/>
      <c r="F1454" s="66"/>
      <c r="G1454" s="66"/>
      <c r="H1454" s="44"/>
      <c r="I1454" s="44"/>
      <c r="J1454" s="66"/>
      <c r="K1454" s="66"/>
      <c r="L1454" s="66"/>
      <c r="M1454" s="66"/>
      <c r="N1454" s="66">
        <f>SUM(Prog_236[[#This Row],[TARA]]+Prog_236[[#This Row],[PESO]])</f>
        <v>0</v>
      </c>
      <c r="O1454" s="44"/>
      <c r="P1454" s="66"/>
      <c r="Q1454" s="66"/>
      <c r="R1454" s="66"/>
      <c r="S1454" s="66"/>
      <c r="T1454" s="138" t="str">
        <f>IFERROR(LOOKUP($S1454,MOTORISTAS!$D$3:$D$1048576,MOTORISTAS!E$3:$E$1048576),"")</f>
        <v/>
      </c>
      <c r="U1454" s="138" t="str">
        <f>IFERROR(LOOKUP($S1454,MOTORISTAS!$D$3:$D$1048576,MOTORISTAS!F$3:$F$1048576),"")</f>
        <v/>
      </c>
      <c r="V1454" s="66"/>
      <c r="W1454" s="66"/>
      <c r="X1454" s="66"/>
      <c r="Y1454" s="66"/>
      <c r="Z1454" s="66"/>
      <c r="AA1454" s="66"/>
      <c r="AB1454" s="66"/>
      <c r="AC1454" s="66"/>
      <c r="AD1454" s="66"/>
      <c r="AE1454" s="66"/>
      <c r="AF1454" s="44"/>
      <c r="AG1454" s="254">
        <f>Prog_236[[#This Row],[SAÍDA DO CLIENTE]]-Prog_236[[#This Row],[PROGRAMAÇÃO CLIENTE]]</f>
        <v>0</v>
      </c>
      <c r="AH1454" s="44"/>
      <c r="AI1454" s="66"/>
      <c r="AJ1454" s="66"/>
      <c r="AK1454" s="66"/>
      <c r="AL1454" s="66"/>
      <c r="AM1454" s="66"/>
      <c r="AN1454" s="83"/>
      <c r="AO1454" s="66"/>
      <c r="AP1454" s="66"/>
      <c r="AQ1454" s="66"/>
      <c r="AR1454" s="81"/>
      <c r="AS1454" s="81"/>
      <c r="AT1454" s="81"/>
      <c r="AU1454" s="81"/>
      <c r="AV1454" s="83">
        <f>SUM(Prog_236[[#This Row],[ADIANTAMENTO]]+Prog_236[[#This Row],[SALDO]]+Prog_236[[#This Row],[MARGEM]]+Prog_236[[#This Row],[ESTADIA 1]])</f>
        <v>0</v>
      </c>
      <c r="AW14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4" s="81"/>
      <c r="AY1454" s="81"/>
      <c r="AZ1454" s="81">
        <f>Prog_236[[#This Row],[VLR NF]]*0.1%</f>
        <v>0</v>
      </c>
      <c r="BA1454" s="81">
        <f>Prog_236[[#This Row],[VLR NF]]*0.05%</f>
        <v>0</v>
      </c>
      <c r="BB1454" s="81"/>
      <c r="BC1454" s="81"/>
      <c r="BD1454" s="81"/>
      <c r="BE1454" s="81"/>
      <c r="BF1454" s="81"/>
      <c r="BG1454" s="81"/>
      <c r="BH1454" s="81"/>
      <c r="BI1454" s="81"/>
      <c r="BJ1454" s="81"/>
      <c r="BK1454" s="81"/>
      <c r="BL1454" s="66"/>
      <c r="BM1454" s="66"/>
      <c r="BN1454" s="66"/>
      <c r="BO1454" s="66" t="str">
        <f>PROPER(TEXT(Prog_236[[#This Row],[PROGRAMAÇÃO CLIENTE]],"mmm"))</f>
        <v>Jan</v>
      </c>
      <c r="BP1454" s="66">
        <f>YEAR(Prog_236[[#This Row],[PROGRAMAÇÃO CLIENTE]])</f>
        <v>1900</v>
      </c>
    </row>
    <row r="1455" spans="1:68" x14ac:dyDescent="0.25">
      <c r="A1455" s="200">
        <f>Prog_236[[#This Row],[CONTEINER]]</f>
        <v>0</v>
      </c>
      <c r="B1455" s="86"/>
      <c r="C14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5" s="44"/>
      <c r="E1455" s="66"/>
      <c r="F1455" s="66"/>
      <c r="G1455" s="66"/>
      <c r="H1455" s="44"/>
      <c r="I1455" s="44"/>
      <c r="J1455" s="66"/>
      <c r="K1455" s="66"/>
      <c r="L1455" s="66"/>
      <c r="M1455" s="66"/>
      <c r="N1455" s="66">
        <f>SUM(Prog_236[[#This Row],[TARA]]+Prog_236[[#This Row],[PESO]])</f>
        <v>0</v>
      </c>
      <c r="O1455" s="44"/>
      <c r="P1455" s="66"/>
      <c r="Q1455" s="66"/>
      <c r="R1455" s="66"/>
      <c r="S1455" s="66"/>
      <c r="T1455" s="138" t="str">
        <f>IFERROR(LOOKUP($S1455,MOTORISTAS!$D$3:$D$1048576,MOTORISTAS!E$3:$E$1048576),"")</f>
        <v/>
      </c>
      <c r="U1455" s="138" t="str">
        <f>IFERROR(LOOKUP($S1455,MOTORISTAS!$D$3:$D$1048576,MOTORISTAS!F$3:$F$1048576),"")</f>
        <v/>
      </c>
      <c r="V1455" s="66"/>
      <c r="W1455" s="66"/>
      <c r="X1455" s="66"/>
      <c r="Y1455" s="66"/>
      <c r="Z1455" s="66"/>
      <c r="AA1455" s="66"/>
      <c r="AB1455" s="66"/>
      <c r="AC1455" s="66"/>
      <c r="AD1455" s="66"/>
      <c r="AE1455" s="66"/>
      <c r="AF1455" s="44"/>
      <c r="AG1455" s="254">
        <f>Prog_236[[#This Row],[SAÍDA DO CLIENTE]]-Prog_236[[#This Row],[PROGRAMAÇÃO CLIENTE]]</f>
        <v>0</v>
      </c>
      <c r="AH1455" s="44"/>
      <c r="AI1455" s="66"/>
      <c r="AJ1455" s="66"/>
      <c r="AK1455" s="66"/>
      <c r="AL1455" s="66"/>
      <c r="AM1455" s="66"/>
      <c r="AN1455" s="83"/>
      <c r="AO1455" s="66"/>
      <c r="AP1455" s="66"/>
      <c r="AQ1455" s="66"/>
      <c r="AR1455" s="81"/>
      <c r="AS1455" s="81"/>
      <c r="AT1455" s="81"/>
      <c r="AU1455" s="81"/>
      <c r="AV1455" s="83">
        <f>SUM(Prog_236[[#This Row],[ADIANTAMENTO]]+Prog_236[[#This Row],[SALDO]]+Prog_236[[#This Row],[MARGEM]]+Prog_236[[#This Row],[ESTADIA 1]])</f>
        <v>0</v>
      </c>
      <c r="AW14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5" s="81"/>
      <c r="AY1455" s="81"/>
      <c r="AZ1455" s="81">
        <f>Prog_236[[#This Row],[VLR NF]]*0.1%</f>
        <v>0</v>
      </c>
      <c r="BA1455" s="81">
        <f>Prog_236[[#This Row],[VLR NF]]*0.05%</f>
        <v>0</v>
      </c>
      <c r="BB1455" s="81"/>
      <c r="BC1455" s="81"/>
      <c r="BD1455" s="81"/>
      <c r="BE1455" s="81"/>
      <c r="BF1455" s="81"/>
      <c r="BG1455" s="81"/>
      <c r="BH1455" s="81"/>
      <c r="BI1455" s="81"/>
      <c r="BJ1455" s="81"/>
      <c r="BK1455" s="81"/>
      <c r="BL1455" s="66"/>
      <c r="BM1455" s="66"/>
      <c r="BN1455" s="66"/>
      <c r="BO1455" s="66" t="str">
        <f>PROPER(TEXT(Prog_236[[#This Row],[PROGRAMAÇÃO CLIENTE]],"mmm"))</f>
        <v>Jan</v>
      </c>
      <c r="BP1455" s="66">
        <f>YEAR(Prog_236[[#This Row],[PROGRAMAÇÃO CLIENTE]])</f>
        <v>1900</v>
      </c>
    </row>
    <row r="1456" spans="1:68" x14ac:dyDescent="0.25">
      <c r="A1456" s="201">
        <f>Prog_236[[#This Row],[CONTEINER]]</f>
        <v>0</v>
      </c>
      <c r="B1456" s="86"/>
      <c r="C14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6" s="44"/>
      <c r="E1456" s="66"/>
      <c r="F1456" s="66"/>
      <c r="G1456" s="66"/>
      <c r="H1456" s="44"/>
      <c r="I1456" s="44"/>
      <c r="J1456" s="66"/>
      <c r="K1456" s="66"/>
      <c r="L1456" s="66"/>
      <c r="M1456" s="66"/>
      <c r="N1456" s="66">
        <f>SUM(Prog_236[[#This Row],[TARA]]+Prog_236[[#This Row],[PESO]])</f>
        <v>0</v>
      </c>
      <c r="O1456" s="44"/>
      <c r="P1456" s="66"/>
      <c r="Q1456" s="66"/>
      <c r="R1456" s="66"/>
      <c r="S1456" s="66"/>
      <c r="T1456" s="138" t="str">
        <f>IFERROR(LOOKUP($S1456,MOTORISTAS!$D$3:$D$1048576,MOTORISTAS!E$3:$E$1048576),"")</f>
        <v/>
      </c>
      <c r="U1456" s="138" t="str">
        <f>IFERROR(LOOKUP($S1456,MOTORISTAS!$D$3:$D$1048576,MOTORISTAS!F$3:$F$1048576),"")</f>
        <v/>
      </c>
      <c r="V1456" s="66"/>
      <c r="W1456" s="66"/>
      <c r="X1456" s="66"/>
      <c r="Y1456" s="66"/>
      <c r="Z1456" s="66"/>
      <c r="AA1456" s="66"/>
      <c r="AB1456" s="66"/>
      <c r="AC1456" s="66"/>
      <c r="AD1456" s="66"/>
      <c r="AE1456" s="66"/>
      <c r="AF1456" s="44"/>
      <c r="AG1456" s="254">
        <f>Prog_236[[#This Row],[SAÍDA DO CLIENTE]]-Prog_236[[#This Row],[PROGRAMAÇÃO CLIENTE]]</f>
        <v>0</v>
      </c>
      <c r="AH1456" s="44"/>
      <c r="AI1456" s="66"/>
      <c r="AJ1456" s="66"/>
      <c r="AK1456" s="66"/>
      <c r="AL1456" s="66"/>
      <c r="AM1456" s="66"/>
      <c r="AN1456" s="83"/>
      <c r="AO1456" s="66"/>
      <c r="AP1456" s="66"/>
      <c r="AQ1456" s="66"/>
      <c r="AR1456" s="81"/>
      <c r="AS1456" s="81"/>
      <c r="AT1456" s="81"/>
      <c r="AU1456" s="81"/>
      <c r="AV1456" s="83">
        <f>SUM(Prog_236[[#This Row],[ADIANTAMENTO]]+Prog_236[[#This Row],[SALDO]]+Prog_236[[#This Row],[MARGEM]]+Prog_236[[#This Row],[ESTADIA 1]])</f>
        <v>0</v>
      </c>
      <c r="AW14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6" s="81"/>
      <c r="AY1456" s="81"/>
      <c r="AZ1456" s="81">
        <f>Prog_236[[#This Row],[VLR NF]]*0.1%</f>
        <v>0</v>
      </c>
      <c r="BA1456" s="81">
        <f>Prog_236[[#This Row],[VLR NF]]*0.05%</f>
        <v>0</v>
      </c>
      <c r="BB1456" s="81"/>
      <c r="BC1456" s="81"/>
      <c r="BD1456" s="81"/>
      <c r="BE1456" s="81"/>
      <c r="BF1456" s="81"/>
      <c r="BG1456" s="81"/>
      <c r="BH1456" s="81"/>
      <c r="BI1456" s="81"/>
      <c r="BJ1456" s="81"/>
      <c r="BK1456" s="81"/>
      <c r="BL1456" s="66"/>
      <c r="BM1456" s="66"/>
      <c r="BN1456" s="66"/>
      <c r="BO1456" s="66" t="str">
        <f>PROPER(TEXT(Prog_236[[#This Row],[PROGRAMAÇÃO CLIENTE]],"mmm"))</f>
        <v>Jan</v>
      </c>
      <c r="BP1456" s="66">
        <f>YEAR(Prog_236[[#This Row],[PROGRAMAÇÃO CLIENTE]])</f>
        <v>1900</v>
      </c>
    </row>
    <row r="1457" spans="1:68" x14ac:dyDescent="0.25">
      <c r="A1457" s="200">
        <f>Prog_236[[#This Row],[CONTEINER]]</f>
        <v>0</v>
      </c>
      <c r="B1457" s="86"/>
      <c r="C14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7" s="44"/>
      <c r="E1457" s="66"/>
      <c r="F1457" s="66"/>
      <c r="G1457" s="66"/>
      <c r="H1457" s="44"/>
      <c r="I1457" s="44"/>
      <c r="J1457" s="66"/>
      <c r="K1457" s="66"/>
      <c r="L1457" s="66"/>
      <c r="M1457" s="66"/>
      <c r="N1457" s="66">
        <f>SUM(Prog_236[[#This Row],[TARA]]+Prog_236[[#This Row],[PESO]])</f>
        <v>0</v>
      </c>
      <c r="O1457" s="44"/>
      <c r="P1457" s="66"/>
      <c r="Q1457" s="66"/>
      <c r="R1457" s="66"/>
      <c r="S1457" s="66"/>
      <c r="T1457" s="138" t="str">
        <f>IFERROR(LOOKUP($S1457,MOTORISTAS!$D$3:$D$1048576,MOTORISTAS!E$3:$E$1048576),"")</f>
        <v/>
      </c>
      <c r="U1457" s="138" t="str">
        <f>IFERROR(LOOKUP($S1457,MOTORISTAS!$D$3:$D$1048576,MOTORISTAS!F$3:$F$1048576),"")</f>
        <v/>
      </c>
      <c r="V1457" s="66"/>
      <c r="W1457" s="66"/>
      <c r="X1457" s="66"/>
      <c r="Y1457" s="66"/>
      <c r="Z1457" s="66"/>
      <c r="AA1457" s="66"/>
      <c r="AB1457" s="66"/>
      <c r="AC1457" s="66"/>
      <c r="AD1457" s="66"/>
      <c r="AE1457" s="66"/>
      <c r="AF1457" s="44"/>
      <c r="AG1457" s="254">
        <f>Prog_236[[#This Row],[SAÍDA DO CLIENTE]]-Prog_236[[#This Row],[PROGRAMAÇÃO CLIENTE]]</f>
        <v>0</v>
      </c>
      <c r="AH1457" s="44"/>
      <c r="AI1457" s="66"/>
      <c r="AJ1457" s="66"/>
      <c r="AK1457" s="66"/>
      <c r="AL1457" s="66"/>
      <c r="AM1457" s="66"/>
      <c r="AN1457" s="83"/>
      <c r="AO1457" s="66"/>
      <c r="AP1457" s="66"/>
      <c r="AQ1457" s="66"/>
      <c r="AR1457" s="81"/>
      <c r="AS1457" s="81"/>
      <c r="AT1457" s="81"/>
      <c r="AU1457" s="81"/>
      <c r="AV1457" s="83">
        <f>SUM(Prog_236[[#This Row],[ADIANTAMENTO]]+Prog_236[[#This Row],[SALDO]]+Prog_236[[#This Row],[MARGEM]]+Prog_236[[#This Row],[ESTADIA 1]])</f>
        <v>0</v>
      </c>
      <c r="AW14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7" s="81"/>
      <c r="AY1457" s="81"/>
      <c r="AZ1457" s="81">
        <f>Prog_236[[#This Row],[VLR NF]]*0.1%</f>
        <v>0</v>
      </c>
      <c r="BA1457" s="81">
        <f>Prog_236[[#This Row],[VLR NF]]*0.05%</f>
        <v>0</v>
      </c>
      <c r="BB1457" s="81"/>
      <c r="BC1457" s="81"/>
      <c r="BD1457" s="81"/>
      <c r="BE1457" s="81"/>
      <c r="BF1457" s="81"/>
      <c r="BG1457" s="81"/>
      <c r="BH1457" s="81"/>
      <c r="BI1457" s="81"/>
      <c r="BJ1457" s="81"/>
      <c r="BK1457" s="81"/>
      <c r="BL1457" s="66"/>
      <c r="BM1457" s="66"/>
      <c r="BN1457" s="66"/>
      <c r="BO1457" s="66" t="str">
        <f>PROPER(TEXT(Prog_236[[#This Row],[PROGRAMAÇÃO CLIENTE]],"mmm"))</f>
        <v>Jan</v>
      </c>
      <c r="BP1457" s="66">
        <f>YEAR(Prog_236[[#This Row],[PROGRAMAÇÃO CLIENTE]])</f>
        <v>1900</v>
      </c>
    </row>
    <row r="1458" spans="1:68" x14ac:dyDescent="0.25">
      <c r="A1458" s="201">
        <f>Prog_236[[#This Row],[CONTEINER]]</f>
        <v>0</v>
      </c>
      <c r="B1458" s="86"/>
      <c r="C14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8" s="44"/>
      <c r="E1458" s="66"/>
      <c r="F1458" s="66"/>
      <c r="G1458" s="66"/>
      <c r="H1458" s="44"/>
      <c r="I1458" s="44"/>
      <c r="J1458" s="66"/>
      <c r="K1458" s="66"/>
      <c r="L1458" s="66"/>
      <c r="M1458" s="66"/>
      <c r="N1458" s="66">
        <f>SUM(Prog_236[[#This Row],[TARA]]+Prog_236[[#This Row],[PESO]])</f>
        <v>0</v>
      </c>
      <c r="O1458" s="44"/>
      <c r="P1458" s="66"/>
      <c r="Q1458" s="66"/>
      <c r="R1458" s="66"/>
      <c r="S1458" s="66"/>
      <c r="T1458" s="138" t="str">
        <f>IFERROR(LOOKUP($S1458,MOTORISTAS!$D$3:$D$1048576,MOTORISTAS!E$3:$E$1048576),"")</f>
        <v/>
      </c>
      <c r="U1458" s="138" t="str">
        <f>IFERROR(LOOKUP($S1458,MOTORISTAS!$D$3:$D$1048576,MOTORISTAS!F$3:$F$1048576),"")</f>
        <v/>
      </c>
      <c r="V1458" s="66"/>
      <c r="W1458" s="66"/>
      <c r="X1458" s="66"/>
      <c r="Y1458" s="66"/>
      <c r="Z1458" s="66"/>
      <c r="AA1458" s="66"/>
      <c r="AB1458" s="66"/>
      <c r="AC1458" s="66"/>
      <c r="AD1458" s="66"/>
      <c r="AE1458" s="66"/>
      <c r="AF1458" s="44"/>
      <c r="AG1458" s="254">
        <f>Prog_236[[#This Row],[SAÍDA DO CLIENTE]]-Prog_236[[#This Row],[PROGRAMAÇÃO CLIENTE]]</f>
        <v>0</v>
      </c>
      <c r="AH1458" s="44"/>
      <c r="AI1458" s="66"/>
      <c r="AJ1458" s="66"/>
      <c r="AK1458" s="66"/>
      <c r="AL1458" s="66"/>
      <c r="AM1458" s="66"/>
      <c r="AN1458" s="83"/>
      <c r="AO1458" s="66"/>
      <c r="AP1458" s="66"/>
      <c r="AQ1458" s="66"/>
      <c r="AR1458" s="81"/>
      <c r="AS1458" s="81"/>
      <c r="AT1458" s="81"/>
      <c r="AU1458" s="81"/>
      <c r="AV1458" s="83">
        <f>SUM(Prog_236[[#This Row],[ADIANTAMENTO]]+Prog_236[[#This Row],[SALDO]]+Prog_236[[#This Row],[MARGEM]]+Prog_236[[#This Row],[ESTADIA 1]])</f>
        <v>0</v>
      </c>
      <c r="AW14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8" s="81"/>
      <c r="AY1458" s="81"/>
      <c r="AZ1458" s="81">
        <f>Prog_236[[#This Row],[VLR NF]]*0.1%</f>
        <v>0</v>
      </c>
      <c r="BA1458" s="81">
        <f>Prog_236[[#This Row],[VLR NF]]*0.05%</f>
        <v>0</v>
      </c>
      <c r="BB1458" s="81"/>
      <c r="BC1458" s="81"/>
      <c r="BD1458" s="81"/>
      <c r="BE1458" s="81"/>
      <c r="BF1458" s="81"/>
      <c r="BG1458" s="81"/>
      <c r="BH1458" s="81"/>
      <c r="BI1458" s="81"/>
      <c r="BJ1458" s="81"/>
      <c r="BK1458" s="81"/>
      <c r="BL1458" s="66"/>
      <c r="BM1458" s="66"/>
      <c r="BN1458" s="66"/>
      <c r="BO1458" s="66" t="str">
        <f>PROPER(TEXT(Prog_236[[#This Row],[PROGRAMAÇÃO CLIENTE]],"mmm"))</f>
        <v>Jan</v>
      </c>
      <c r="BP1458" s="66">
        <f>YEAR(Prog_236[[#This Row],[PROGRAMAÇÃO CLIENTE]])</f>
        <v>1900</v>
      </c>
    </row>
    <row r="1459" spans="1:68" x14ac:dyDescent="0.25">
      <c r="A1459" s="200">
        <f>Prog_236[[#This Row],[CONTEINER]]</f>
        <v>0</v>
      </c>
      <c r="B1459" s="86"/>
      <c r="C14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59" s="44"/>
      <c r="E1459" s="66"/>
      <c r="F1459" s="66"/>
      <c r="G1459" s="66"/>
      <c r="H1459" s="44"/>
      <c r="I1459" s="44"/>
      <c r="J1459" s="66"/>
      <c r="K1459" s="66"/>
      <c r="L1459" s="66"/>
      <c r="M1459" s="66"/>
      <c r="N1459" s="66">
        <f>SUM(Prog_236[[#This Row],[TARA]]+Prog_236[[#This Row],[PESO]])</f>
        <v>0</v>
      </c>
      <c r="O1459" s="44"/>
      <c r="P1459" s="66"/>
      <c r="Q1459" s="66"/>
      <c r="R1459" s="66"/>
      <c r="S1459" s="66"/>
      <c r="T1459" s="138" t="str">
        <f>IFERROR(LOOKUP($S1459,MOTORISTAS!$D$3:$D$1048576,MOTORISTAS!E$3:$E$1048576),"")</f>
        <v/>
      </c>
      <c r="U1459" s="138" t="str">
        <f>IFERROR(LOOKUP($S1459,MOTORISTAS!$D$3:$D$1048576,MOTORISTAS!F$3:$F$1048576),"")</f>
        <v/>
      </c>
      <c r="V1459" s="66"/>
      <c r="W1459" s="66"/>
      <c r="X1459" s="66"/>
      <c r="Y1459" s="66"/>
      <c r="Z1459" s="66"/>
      <c r="AA1459" s="66"/>
      <c r="AB1459" s="66"/>
      <c r="AC1459" s="66"/>
      <c r="AD1459" s="66"/>
      <c r="AE1459" s="66"/>
      <c r="AF1459" s="44"/>
      <c r="AG1459" s="254">
        <f>Prog_236[[#This Row],[SAÍDA DO CLIENTE]]-Prog_236[[#This Row],[PROGRAMAÇÃO CLIENTE]]</f>
        <v>0</v>
      </c>
      <c r="AH1459" s="44"/>
      <c r="AI1459" s="66"/>
      <c r="AJ1459" s="66"/>
      <c r="AK1459" s="66"/>
      <c r="AL1459" s="66"/>
      <c r="AM1459" s="66"/>
      <c r="AN1459" s="83"/>
      <c r="AO1459" s="66"/>
      <c r="AP1459" s="66"/>
      <c r="AQ1459" s="66"/>
      <c r="AR1459" s="81"/>
      <c r="AS1459" s="81"/>
      <c r="AT1459" s="81"/>
      <c r="AU1459" s="81"/>
      <c r="AV1459" s="83">
        <f>SUM(Prog_236[[#This Row],[ADIANTAMENTO]]+Prog_236[[#This Row],[SALDO]]+Prog_236[[#This Row],[MARGEM]]+Prog_236[[#This Row],[ESTADIA 1]])</f>
        <v>0</v>
      </c>
      <c r="AW14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59" s="81"/>
      <c r="AY1459" s="81"/>
      <c r="AZ1459" s="81">
        <f>Prog_236[[#This Row],[VLR NF]]*0.1%</f>
        <v>0</v>
      </c>
      <c r="BA1459" s="81">
        <f>Prog_236[[#This Row],[VLR NF]]*0.05%</f>
        <v>0</v>
      </c>
      <c r="BB1459" s="81"/>
      <c r="BC1459" s="81"/>
      <c r="BD1459" s="81"/>
      <c r="BE1459" s="81"/>
      <c r="BF1459" s="81"/>
      <c r="BG1459" s="81"/>
      <c r="BH1459" s="81"/>
      <c r="BI1459" s="81"/>
      <c r="BJ1459" s="81"/>
      <c r="BK1459" s="81"/>
      <c r="BL1459" s="66"/>
      <c r="BM1459" s="66"/>
      <c r="BN1459" s="66"/>
      <c r="BO1459" s="66" t="str">
        <f>PROPER(TEXT(Prog_236[[#This Row],[PROGRAMAÇÃO CLIENTE]],"mmm"))</f>
        <v>Jan</v>
      </c>
      <c r="BP1459" s="66">
        <f>YEAR(Prog_236[[#This Row],[PROGRAMAÇÃO CLIENTE]])</f>
        <v>1900</v>
      </c>
    </row>
    <row r="1460" spans="1:68" x14ac:dyDescent="0.25">
      <c r="A1460" s="201">
        <f>Prog_236[[#This Row],[CONTEINER]]</f>
        <v>0</v>
      </c>
      <c r="B1460" s="86"/>
      <c r="C14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0" s="44"/>
      <c r="E1460" s="66"/>
      <c r="F1460" s="66"/>
      <c r="G1460" s="66"/>
      <c r="H1460" s="44"/>
      <c r="I1460" s="44"/>
      <c r="J1460" s="66"/>
      <c r="K1460" s="66"/>
      <c r="L1460" s="66"/>
      <c r="M1460" s="66"/>
      <c r="N1460" s="66">
        <f>SUM(Prog_236[[#This Row],[TARA]]+Prog_236[[#This Row],[PESO]])</f>
        <v>0</v>
      </c>
      <c r="O1460" s="44"/>
      <c r="P1460" s="66"/>
      <c r="Q1460" s="66"/>
      <c r="R1460" s="66"/>
      <c r="S1460" s="66"/>
      <c r="T1460" s="138" t="str">
        <f>IFERROR(LOOKUP($S1460,MOTORISTAS!$D$3:$D$1048576,MOTORISTAS!E$3:$E$1048576),"")</f>
        <v/>
      </c>
      <c r="U1460" s="138" t="str">
        <f>IFERROR(LOOKUP($S1460,MOTORISTAS!$D$3:$D$1048576,MOTORISTAS!F$3:$F$1048576),"")</f>
        <v/>
      </c>
      <c r="V1460" s="66"/>
      <c r="W1460" s="66"/>
      <c r="X1460" s="66"/>
      <c r="Y1460" s="66"/>
      <c r="Z1460" s="66"/>
      <c r="AA1460" s="66"/>
      <c r="AB1460" s="66"/>
      <c r="AC1460" s="66"/>
      <c r="AD1460" s="66"/>
      <c r="AE1460" s="66"/>
      <c r="AF1460" s="44"/>
      <c r="AG1460" s="254">
        <f>Prog_236[[#This Row],[SAÍDA DO CLIENTE]]-Prog_236[[#This Row],[PROGRAMAÇÃO CLIENTE]]</f>
        <v>0</v>
      </c>
      <c r="AH1460" s="44"/>
      <c r="AI1460" s="66"/>
      <c r="AJ1460" s="66"/>
      <c r="AK1460" s="66"/>
      <c r="AL1460" s="66"/>
      <c r="AM1460" s="66"/>
      <c r="AN1460" s="83"/>
      <c r="AO1460" s="66"/>
      <c r="AP1460" s="66"/>
      <c r="AQ1460" s="66"/>
      <c r="AR1460" s="81"/>
      <c r="AS1460" s="81"/>
      <c r="AT1460" s="81"/>
      <c r="AU1460" s="81"/>
      <c r="AV1460" s="83">
        <f>SUM(Prog_236[[#This Row],[ADIANTAMENTO]]+Prog_236[[#This Row],[SALDO]]+Prog_236[[#This Row],[MARGEM]]+Prog_236[[#This Row],[ESTADIA 1]])</f>
        <v>0</v>
      </c>
      <c r="AW14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0" s="81"/>
      <c r="AY1460" s="81"/>
      <c r="AZ1460" s="81">
        <f>Prog_236[[#This Row],[VLR NF]]*0.1%</f>
        <v>0</v>
      </c>
      <c r="BA1460" s="81">
        <f>Prog_236[[#This Row],[VLR NF]]*0.05%</f>
        <v>0</v>
      </c>
      <c r="BB1460" s="81"/>
      <c r="BC1460" s="81"/>
      <c r="BD1460" s="81"/>
      <c r="BE1460" s="81"/>
      <c r="BF1460" s="81"/>
      <c r="BG1460" s="81"/>
      <c r="BH1460" s="81"/>
      <c r="BI1460" s="81"/>
      <c r="BJ1460" s="81"/>
      <c r="BK1460" s="81"/>
      <c r="BL1460" s="66"/>
      <c r="BM1460" s="66"/>
      <c r="BN1460" s="66"/>
      <c r="BO1460" s="66" t="str">
        <f>PROPER(TEXT(Prog_236[[#This Row],[PROGRAMAÇÃO CLIENTE]],"mmm"))</f>
        <v>Jan</v>
      </c>
      <c r="BP1460" s="66">
        <f>YEAR(Prog_236[[#This Row],[PROGRAMAÇÃO CLIENTE]])</f>
        <v>1900</v>
      </c>
    </row>
    <row r="1461" spans="1:68" x14ac:dyDescent="0.25">
      <c r="A1461" s="200">
        <f>Prog_236[[#This Row],[CONTEINER]]</f>
        <v>0</v>
      </c>
      <c r="B1461" s="86"/>
      <c r="C14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1" s="44"/>
      <c r="E1461" s="66"/>
      <c r="F1461" s="66"/>
      <c r="G1461" s="66"/>
      <c r="H1461" s="44"/>
      <c r="I1461" s="44"/>
      <c r="J1461" s="66"/>
      <c r="K1461" s="66"/>
      <c r="L1461" s="66"/>
      <c r="M1461" s="66"/>
      <c r="N1461" s="66">
        <f>SUM(Prog_236[[#This Row],[TARA]]+Prog_236[[#This Row],[PESO]])</f>
        <v>0</v>
      </c>
      <c r="O1461" s="44"/>
      <c r="P1461" s="66"/>
      <c r="Q1461" s="66"/>
      <c r="R1461" s="66"/>
      <c r="S1461" s="66"/>
      <c r="T1461" s="138" t="str">
        <f>IFERROR(LOOKUP($S1461,MOTORISTAS!$D$3:$D$1048576,MOTORISTAS!E$3:$E$1048576),"")</f>
        <v/>
      </c>
      <c r="U1461" s="138" t="str">
        <f>IFERROR(LOOKUP($S1461,MOTORISTAS!$D$3:$D$1048576,MOTORISTAS!F$3:$F$1048576),"")</f>
        <v/>
      </c>
      <c r="V1461" s="66"/>
      <c r="W1461" s="66"/>
      <c r="X1461" s="66"/>
      <c r="Y1461" s="66"/>
      <c r="Z1461" s="66"/>
      <c r="AA1461" s="66"/>
      <c r="AB1461" s="66"/>
      <c r="AC1461" s="66"/>
      <c r="AD1461" s="66"/>
      <c r="AE1461" s="66"/>
      <c r="AF1461" s="44"/>
      <c r="AG1461" s="254">
        <f>Prog_236[[#This Row],[SAÍDA DO CLIENTE]]-Prog_236[[#This Row],[PROGRAMAÇÃO CLIENTE]]</f>
        <v>0</v>
      </c>
      <c r="AH1461" s="44"/>
      <c r="AI1461" s="66"/>
      <c r="AJ1461" s="66"/>
      <c r="AK1461" s="66"/>
      <c r="AL1461" s="66"/>
      <c r="AM1461" s="66"/>
      <c r="AN1461" s="83"/>
      <c r="AO1461" s="66"/>
      <c r="AP1461" s="66"/>
      <c r="AQ1461" s="66"/>
      <c r="AR1461" s="81"/>
      <c r="AS1461" s="81"/>
      <c r="AT1461" s="81"/>
      <c r="AU1461" s="81"/>
      <c r="AV1461" s="83">
        <f>SUM(Prog_236[[#This Row],[ADIANTAMENTO]]+Prog_236[[#This Row],[SALDO]]+Prog_236[[#This Row],[MARGEM]]+Prog_236[[#This Row],[ESTADIA 1]])</f>
        <v>0</v>
      </c>
      <c r="AW14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1" s="81"/>
      <c r="AY1461" s="81"/>
      <c r="AZ1461" s="81">
        <f>Prog_236[[#This Row],[VLR NF]]*0.1%</f>
        <v>0</v>
      </c>
      <c r="BA1461" s="81">
        <f>Prog_236[[#This Row],[VLR NF]]*0.05%</f>
        <v>0</v>
      </c>
      <c r="BB1461" s="81"/>
      <c r="BC1461" s="81"/>
      <c r="BD1461" s="81"/>
      <c r="BE1461" s="81"/>
      <c r="BF1461" s="81"/>
      <c r="BG1461" s="81"/>
      <c r="BH1461" s="81"/>
      <c r="BI1461" s="81"/>
      <c r="BJ1461" s="81"/>
      <c r="BK1461" s="81"/>
      <c r="BL1461" s="66"/>
      <c r="BM1461" s="66"/>
      <c r="BN1461" s="66"/>
      <c r="BO1461" s="66" t="str">
        <f>PROPER(TEXT(Prog_236[[#This Row],[PROGRAMAÇÃO CLIENTE]],"mmm"))</f>
        <v>Jan</v>
      </c>
      <c r="BP1461" s="66">
        <f>YEAR(Prog_236[[#This Row],[PROGRAMAÇÃO CLIENTE]])</f>
        <v>1900</v>
      </c>
    </row>
    <row r="1462" spans="1:68" x14ac:dyDescent="0.25">
      <c r="A1462" s="201">
        <f>Prog_236[[#This Row],[CONTEINER]]</f>
        <v>0</v>
      </c>
      <c r="B1462" s="86"/>
      <c r="C14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2" s="44"/>
      <c r="E1462" s="66"/>
      <c r="F1462" s="66"/>
      <c r="G1462" s="66"/>
      <c r="H1462" s="44"/>
      <c r="I1462" s="44"/>
      <c r="J1462" s="66"/>
      <c r="K1462" s="66"/>
      <c r="L1462" s="66"/>
      <c r="M1462" s="66"/>
      <c r="N1462" s="66">
        <f>SUM(Prog_236[[#This Row],[TARA]]+Prog_236[[#This Row],[PESO]])</f>
        <v>0</v>
      </c>
      <c r="O1462" s="44"/>
      <c r="P1462" s="66"/>
      <c r="Q1462" s="66"/>
      <c r="R1462" s="66"/>
      <c r="S1462" s="66"/>
      <c r="T1462" s="138" t="str">
        <f>IFERROR(LOOKUP($S1462,MOTORISTAS!$D$3:$D$1048576,MOTORISTAS!E$3:$E$1048576),"")</f>
        <v/>
      </c>
      <c r="U1462" s="138" t="str">
        <f>IFERROR(LOOKUP($S1462,MOTORISTAS!$D$3:$D$1048576,MOTORISTAS!F$3:$F$1048576),"")</f>
        <v/>
      </c>
      <c r="V1462" s="66"/>
      <c r="W1462" s="66"/>
      <c r="X1462" s="66"/>
      <c r="Y1462" s="66"/>
      <c r="Z1462" s="66"/>
      <c r="AA1462" s="66"/>
      <c r="AB1462" s="66"/>
      <c r="AC1462" s="66"/>
      <c r="AD1462" s="66"/>
      <c r="AE1462" s="66"/>
      <c r="AF1462" s="44"/>
      <c r="AG1462" s="254">
        <f>Prog_236[[#This Row],[SAÍDA DO CLIENTE]]-Prog_236[[#This Row],[PROGRAMAÇÃO CLIENTE]]</f>
        <v>0</v>
      </c>
      <c r="AH1462" s="44"/>
      <c r="AI1462" s="66"/>
      <c r="AJ1462" s="66"/>
      <c r="AK1462" s="66"/>
      <c r="AL1462" s="66"/>
      <c r="AM1462" s="66"/>
      <c r="AN1462" s="83"/>
      <c r="AO1462" s="66"/>
      <c r="AP1462" s="66"/>
      <c r="AQ1462" s="66"/>
      <c r="AR1462" s="81"/>
      <c r="AS1462" s="81"/>
      <c r="AT1462" s="81"/>
      <c r="AU1462" s="81"/>
      <c r="AV1462" s="83">
        <f>SUM(Prog_236[[#This Row],[ADIANTAMENTO]]+Prog_236[[#This Row],[SALDO]]+Prog_236[[#This Row],[MARGEM]]+Prog_236[[#This Row],[ESTADIA 1]])</f>
        <v>0</v>
      </c>
      <c r="AW14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2" s="81"/>
      <c r="AY1462" s="81"/>
      <c r="AZ1462" s="81">
        <f>Prog_236[[#This Row],[VLR NF]]*0.1%</f>
        <v>0</v>
      </c>
      <c r="BA1462" s="81">
        <f>Prog_236[[#This Row],[VLR NF]]*0.05%</f>
        <v>0</v>
      </c>
      <c r="BB1462" s="81"/>
      <c r="BC1462" s="81"/>
      <c r="BD1462" s="81"/>
      <c r="BE1462" s="81"/>
      <c r="BF1462" s="81"/>
      <c r="BG1462" s="81"/>
      <c r="BH1462" s="81"/>
      <c r="BI1462" s="81"/>
      <c r="BJ1462" s="81"/>
      <c r="BK1462" s="81"/>
      <c r="BL1462" s="66"/>
      <c r="BM1462" s="66"/>
      <c r="BN1462" s="66"/>
      <c r="BO1462" s="66" t="str">
        <f>PROPER(TEXT(Prog_236[[#This Row],[PROGRAMAÇÃO CLIENTE]],"mmm"))</f>
        <v>Jan</v>
      </c>
      <c r="BP1462" s="66">
        <f>YEAR(Prog_236[[#This Row],[PROGRAMAÇÃO CLIENTE]])</f>
        <v>1900</v>
      </c>
    </row>
    <row r="1463" spans="1:68" x14ac:dyDescent="0.25">
      <c r="A1463" s="200">
        <f>Prog_236[[#This Row],[CONTEINER]]</f>
        <v>0</v>
      </c>
      <c r="B1463" s="86"/>
      <c r="C14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3" s="44"/>
      <c r="E1463" s="66"/>
      <c r="F1463" s="66"/>
      <c r="G1463" s="66"/>
      <c r="H1463" s="44"/>
      <c r="I1463" s="44"/>
      <c r="J1463" s="66"/>
      <c r="K1463" s="66"/>
      <c r="L1463" s="66"/>
      <c r="M1463" s="66"/>
      <c r="N1463" s="66">
        <f>SUM(Prog_236[[#This Row],[TARA]]+Prog_236[[#This Row],[PESO]])</f>
        <v>0</v>
      </c>
      <c r="O1463" s="44"/>
      <c r="P1463" s="66"/>
      <c r="Q1463" s="66"/>
      <c r="R1463" s="66"/>
      <c r="S1463" s="66"/>
      <c r="T1463" s="138" t="str">
        <f>IFERROR(LOOKUP($S1463,MOTORISTAS!$D$3:$D$1048576,MOTORISTAS!E$3:$E$1048576),"")</f>
        <v/>
      </c>
      <c r="U1463" s="138" t="str">
        <f>IFERROR(LOOKUP($S1463,MOTORISTAS!$D$3:$D$1048576,MOTORISTAS!F$3:$F$1048576),"")</f>
        <v/>
      </c>
      <c r="V1463" s="66"/>
      <c r="W1463" s="66"/>
      <c r="X1463" s="66"/>
      <c r="Y1463" s="66"/>
      <c r="Z1463" s="66"/>
      <c r="AA1463" s="66"/>
      <c r="AB1463" s="66"/>
      <c r="AC1463" s="66"/>
      <c r="AD1463" s="66"/>
      <c r="AE1463" s="66"/>
      <c r="AF1463" s="44"/>
      <c r="AG1463" s="254">
        <f>Prog_236[[#This Row],[SAÍDA DO CLIENTE]]-Prog_236[[#This Row],[PROGRAMAÇÃO CLIENTE]]</f>
        <v>0</v>
      </c>
      <c r="AH1463" s="44"/>
      <c r="AI1463" s="66"/>
      <c r="AJ1463" s="66"/>
      <c r="AK1463" s="66"/>
      <c r="AL1463" s="66"/>
      <c r="AM1463" s="66"/>
      <c r="AN1463" s="83"/>
      <c r="AO1463" s="66"/>
      <c r="AP1463" s="66"/>
      <c r="AQ1463" s="66"/>
      <c r="AR1463" s="81"/>
      <c r="AS1463" s="81"/>
      <c r="AT1463" s="81"/>
      <c r="AU1463" s="81"/>
      <c r="AV1463" s="83">
        <f>SUM(Prog_236[[#This Row],[ADIANTAMENTO]]+Prog_236[[#This Row],[SALDO]]+Prog_236[[#This Row],[MARGEM]]+Prog_236[[#This Row],[ESTADIA 1]])</f>
        <v>0</v>
      </c>
      <c r="AW14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3" s="81"/>
      <c r="AY1463" s="81"/>
      <c r="AZ1463" s="81">
        <f>Prog_236[[#This Row],[VLR NF]]*0.1%</f>
        <v>0</v>
      </c>
      <c r="BA1463" s="81">
        <f>Prog_236[[#This Row],[VLR NF]]*0.05%</f>
        <v>0</v>
      </c>
      <c r="BB1463" s="81"/>
      <c r="BC1463" s="81"/>
      <c r="BD1463" s="81"/>
      <c r="BE1463" s="81"/>
      <c r="BF1463" s="81"/>
      <c r="BG1463" s="81"/>
      <c r="BH1463" s="81"/>
      <c r="BI1463" s="81"/>
      <c r="BJ1463" s="81"/>
      <c r="BK1463" s="81"/>
      <c r="BL1463" s="66"/>
      <c r="BM1463" s="66"/>
      <c r="BN1463" s="66"/>
      <c r="BO1463" s="66" t="str">
        <f>PROPER(TEXT(Prog_236[[#This Row],[PROGRAMAÇÃO CLIENTE]],"mmm"))</f>
        <v>Jan</v>
      </c>
      <c r="BP1463" s="66">
        <f>YEAR(Prog_236[[#This Row],[PROGRAMAÇÃO CLIENTE]])</f>
        <v>1900</v>
      </c>
    </row>
    <row r="1464" spans="1:68" x14ac:dyDescent="0.25">
      <c r="A1464" s="201">
        <f>Prog_236[[#This Row],[CONTEINER]]</f>
        <v>0</v>
      </c>
      <c r="B1464" s="86"/>
      <c r="C14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4" s="44"/>
      <c r="E1464" s="66"/>
      <c r="F1464" s="66"/>
      <c r="G1464" s="66"/>
      <c r="H1464" s="44"/>
      <c r="I1464" s="44"/>
      <c r="J1464" s="66"/>
      <c r="K1464" s="66"/>
      <c r="L1464" s="66"/>
      <c r="M1464" s="66"/>
      <c r="N1464" s="66">
        <f>SUM(Prog_236[[#This Row],[TARA]]+Prog_236[[#This Row],[PESO]])</f>
        <v>0</v>
      </c>
      <c r="O1464" s="44"/>
      <c r="P1464" s="66"/>
      <c r="Q1464" s="66"/>
      <c r="R1464" s="66"/>
      <c r="S1464" s="66"/>
      <c r="T1464" s="138" t="str">
        <f>IFERROR(LOOKUP($S1464,MOTORISTAS!$D$3:$D$1048576,MOTORISTAS!E$3:$E$1048576),"")</f>
        <v/>
      </c>
      <c r="U1464" s="138" t="str">
        <f>IFERROR(LOOKUP($S1464,MOTORISTAS!$D$3:$D$1048576,MOTORISTAS!F$3:$F$1048576),"")</f>
        <v/>
      </c>
      <c r="V1464" s="66"/>
      <c r="W1464" s="66"/>
      <c r="X1464" s="66"/>
      <c r="Y1464" s="66"/>
      <c r="Z1464" s="66"/>
      <c r="AA1464" s="66"/>
      <c r="AB1464" s="66"/>
      <c r="AC1464" s="66"/>
      <c r="AD1464" s="66"/>
      <c r="AE1464" s="66"/>
      <c r="AF1464" s="44"/>
      <c r="AG1464" s="254">
        <f>Prog_236[[#This Row],[SAÍDA DO CLIENTE]]-Prog_236[[#This Row],[PROGRAMAÇÃO CLIENTE]]</f>
        <v>0</v>
      </c>
      <c r="AH1464" s="44"/>
      <c r="AI1464" s="66"/>
      <c r="AJ1464" s="66"/>
      <c r="AK1464" s="66"/>
      <c r="AL1464" s="66"/>
      <c r="AM1464" s="66"/>
      <c r="AN1464" s="83"/>
      <c r="AO1464" s="66"/>
      <c r="AP1464" s="66"/>
      <c r="AQ1464" s="66"/>
      <c r="AR1464" s="81"/>
      <c r="AS1464" s="81"/>
      <c r="AT1464" s="81"/>
      <c r="AU1464" s="81"/>
      <c r="AV1464" s="83">
        <f>SUM(Prog_236[[#This Row],[ADIANTAMENTO]]+Prog_236[[#This Row],[SALDO]]+Prog_236[[#This Row],[MARGEM]]+Prog_236[[#This Row],[ESTADIA 1]])</f>
        <v>0</v>
      </c>
      <c r="AW14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4" s="81"/>
      <c r="AY1464" s="81"/>
      <c r="AZ1464" s="81">
        <f>Prog_236[[#This Row],[VLR NF]]*0.1%</f>
        <v>0</v>
      </c>
      <c r="BA1464" s="81">
        <f>Prog_236[[#This Row],[VLR NF]]*0.05%</f>
        <v>0</v>
      </c>
      <c r="BB1464" s="81"/>
      <c r="BC1464" s="81"/>
      <c r="BD1464" s="81"/>
      <c r="BE1464" s="81"/>
      <c r="BF1464" s="81"/>
      <c r="BG1464" s="81"/>
      <c r="BH1464" s="81"/>
      <c r="BI1464" s="81"/>
      <c r="BJ1464" s="81"/>
      <c r="BK1464" s="81"/>
      <c r="BL1464" s="66"/>
      <c r="BM1464" s="66"/>
      <c r="BN1464" s="66"/>
      <c r="BO1464" s="66" t="str">
        <f>PROPER(TEXT(Prog_236[[#This Row],[PROGRAMAÇÃO CLIENTE]],"mmm"))</f>
        <v>Jan</v>
      </c>
      <c r="BP1464" s="66">
        <f>YEAR(Prog_236[[#This Row],[PROGRAMAÇÃO CLIENTE]])</f>
        <v>1900</v>
      </c>
    </row>
    <row r="1465" spans="1:68" x14ac:dyDescent="0.25">
      <c r="A1465" s="200">
        <f>Prog_236[[#This Row],[CONTEINER]]</f>
        <v>0</v>
      </c>
      <c r="B1465" s="86"/>
      <c r="C14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5" s="44"/>
      <c r="E1465" s="66"/>
      <c r="F1465" s="66"/>
      <c r="G1465" s="66"/>
      <c r="H1465" s="44"/>
      <c r="I1465" s="44"/>
      <c r="J1465" s="66"/>
      <c r="K1465" s="66"/>
      <c r="L1465" s="66"/>
      <c r="M1465" s="66"/>
      <c r="N1465" s="66">
        <f>SUM(Prog_236[[#This Row],[TARA]]+Prog_236[[#This Row],[PESO]])</f>
        <v>0</v>
      </c>
      <c r="O1465" s="44"/>
      <c r="P1465" s="66"/>
      <c r="Q1465" s="66"/>
      <c r="R1465" s="66"/>
      <c r="S1465" s="66"/>
      <c r="T1465" s="138" t="str">
        <f>IFERROR(LOOKUP($S1465,MOTORISTAS!$D$3:$D$1048576,MOTORISTAS!E$3:$E$1048576),"")</f>
        <v/>
      </c>
      <c r="U1465" s="138" t="str">
        <f>IFERROR(LOOKUP($S1465,MOTORISTAS!$D$3:$D$1048576,MOTORISTAS!F$3:$F$1048576),"")</f>
        <v/>
      </c>
      <c r="V1465" s="66"/>
      <c r="W1465" s="66"/>
      <c r="X1465" s="66"/>
      <c r="Y1465" s="66"/>
      <c r="Z1465" s="66"/>
      <c r="AA1465" s="66"/>
      <c r="AB1465" s="66"/>
      <c r="AC1465" s="66"/>
      <c r="AD1465" s="66"/>
      <c r="AE1465" s="66"/>
      <c r="AF1465" s="44"/>
      <c r="AG1465" s="254">
        <f>Prog_236[[#This Row],[SAÍDA DO CLIENTE]]-Prog_236[[#This Row],[PROGRAMAÇÃO CLIENTE]]</f>
        <v>0</v>
      </c>
      <c r="AH1465" s="44"/>
      <c r="AI1465" s="66"/>
      <c r="AJ1465" s="66"/>
      <c r="AK1465" s="66"/>
      <c r="AL1465" s="66"/>
      <c r="AM1465" s="66"/>
      <c r="AN1465" s="83"/>
      <c r="AO1465" s="66"/>
      <c r="AP1465" s="66"/>
      <c r="AQ1465" s="66"/>
      <c r="AR1465" s="81"/>
      <c r="AS1465" s="81"/>
      <c r="AT1465" s="81"/>
      <c r="AU1465" s="81"/>
      <c r="AV1465" s="83">
        <f>SUM(Prog_236[[#This Row],[ADIANTAMENTO]]+Prog_236[[#This Row],[SALDO]]+Prog_236[[#This Row],[MARGEM]]+Prog_236[[#This Row],[ESTADIA 1]])</f>
        <v>0</v>
      </c>
      <c r="AW14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5" s="81"/>
      <c r="AY1465" s="81"/>
      <c r="AZ1465" s="81">
        <f>Prog_236[[#This Row],[VLR NF]]*0.1%</f>
        <v>0</v>
      </c>
      <c r="BA1465" s="81">
        <f>Prog_236[[#This Row],[VLR NF]]*0.05%</f>
        <v>0</v>
      </c>
      <c r="BB1465" s="81"/>
      <c r="BC1465" s="81"/>
      <c r="BD1465" s="81"/>
      <c r="BE1465" s="81"/>
      <c r="BF1465" s="81"/>
      <c r="BG1465" s="81"/>
      <c r="BH1465" s="81"/>
      <c r="BI1465" s="81"/>
      <c r="BJ1465" s="81"/>
      <c r="BK1465" s="81"/>
      <c r="BL1465" s="66"/>
      <c r="BM1465" s="66"/>
      <c r="BN1465" s="66"/>
      <c r="BO1465" s="66" t="str">
        <f>PROPER(TEXT(Prog_236[[#This Row],[PROGRAMAÇÃO CLIENTE]],"mmm"))</f>
        <v>Jan</v>
      </c>
      <c r="BP1465" s="66">
        <f>YEAR(Prog_236[[#This Row],[PROGRAMAÇÃO CLIENTE]])</f>
        <v>1900</v>
      </c>
    </row>
    <row r="1466" spans="1:68" x14ac:dyDescent="0.25">
      <c r="A1466" s="201">
        <f>Prog_236[[#This Row],[CONTEINER]]</f>
        <v>0</v>
      </c>
      <c r="B1466" s="86"/>
      <c r="C14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6" s="44"/>
      <c r="E1466" s="66"/>
      <c r="F1466" s="66"/>
      <c r="G1466" s="66"/>
      <c r="H1466" s="44"/>
      <c r="I1466" s="44"/>
      <c r="J1466" s="66"/>
      <c r="K1466" s="66"/>
      <c r="L1466" s="66"/>
      <c r="M1466" s="66"/>
      <c r="N1466" s="66">
        <f>SUM(Prog_236[[#This Row],[TARA]]+Prog_236[[#This Row],[PESO]])</f>
        <v>0</v>
      </c>
      <c r="O1466" s="44"/>
      <c r="P1466" s="66"/>
      <c r="Q1466" s="66"/>
      <c r="R1466" s="66"/>
      <c r="S1466" s="66"/>
      <c r="T1466" s="138" t="str">
        <f>IFERROR(LOOKUP($S1466,MOTORISTAS!$D$3:$D$1048576,MOTORISTAS!E$3:$E$1048576),"")</f>
        <v/>
      </c>
      <c r="U1466" s="138" t="str">
        <f>IFERROR(LOOKUP($S1466,MOTORISTAS!$D$3:$D$1048576,MOTORISTAS!F$3:$F$1048576),"")</f>
        <v/>
      </c>
      <c r="V1466" s="66"/>
      <c r="W1466" s="66"/>
      <c r="X1466" s="66"/>
      <c r="Y1466" s="66"/>
      <c r="Z1466" s="66"/>
      <c r="AA1466" s="66"/>
      <c r="AB1466" s="66"/>
      <c r="AC1466" s="66"/>
      <c r="AD1466" s="66"/>
      <c r="AE1466" s="66"/>
      <c r="AF1466" s="44"/>
      <c r="AG1466" s="254">
        <f>Prog_236[[#This Row],[SAÍDA DO CLIENTE]]-Prog_236[[#This Row],[PROGRAMAÇÃO CLIENTE]]</f>
        <v>0</v>
      </c>
      <c r="AH1466" s="44"/>
      <c r="AI1466" s="66"/>
      <c r="AJ1466" s="66"/>
      <c r="AK1466" s="66"/>
      <c r="AL1466" s="66"/>
      <c r="AM1466" s="66"/>
      <c r="AN1466" s="83"/>
      <c r="AO1466" s="66"/>
      <c r="AP1466" s="66"/>
      <c r="AQ1466" s="66"/>
      <c r="AR1466" s="81"/>
      <c r="AS1466" s="81"/>
      <c r="AT1466" s="81"/>
      <c r="AU1466" s="81"/>
      <c r="AV1466" s="83">
        <f>SUM(Prog_236[[#This Row],[ADIANTAMENTO]]+Prog_236[[#This Row],[SALDO]]+Prog_236[[#This Row],[MARGEM]]+Prog_236[[#This Row],[ESTADIA 1]])</f>
        <v>0</v>
      </c>
      <c r="AW14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6" s="81"/>
      <c r="AY1466" s="81"/>
      <c r="AZ1466" s="81">
        <f>Prog_236[[#This Row],[VLR NF]]*0.1%</f>
        <v>0</v>
      </c>
      <c r="BA1466" s="81">
        <f>Prog_236[[#This Row],[VLR NF]]*0.05%</f>
        <v>0</v>
      </c>
      <c r="BB1466" s="81"/>
      <c r="BC1466" s="81"/>
      <c r="BD1466" s="81"/>
      <c r="BE1466" s="81"/>
      <c r="BF1466" s="81"/>
      <c r="BG1466" s="81"/>
      <c r="BH1466" s="81"/>
      <c r="BI1466" s="81"/>
      <c r="BJ1466" s="81"/>
      <c r="BK1466" s="81"/>
      <c r="BL1466" s="66"/>
      <c r="BM1466" s="66"/>
      <c r="BN1466" s="66"/>
      <c r="BO1466" s="66" t="str">
        <f>PROPER(TEXT(Prog_236[[#This Row],[PROGRAMAÇÃO CLIENTE]],"mmm"))</f>
        <v>Jan</v>
      </c>
      <c r="BP1466" s="66">
        <f>YEAR(Prog_236[[#This Row],[PROGRAMAÇÃO CLIENTE]])</f>
        <v>1900</v>
      </c>
    </row>
    <row r="1467" spans="1:68" x14ac:dyDescent="0.25">
      <c r="A1467" s="200">
        <f>Prog_236[[#This Row],[CONTEINER]]</f>
        <v>0</v>
      </c>
      <c r="B1467" s="86"/>
      <c r="C14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7" s="44"/>
      <c r="E1467" s="66"/>
      <c r="F1467" s="66"/>
      <c r="G1467" s="66"/>
      <c r="H1467" s="44"/>
      <c r="I1467" s="44"/>
      <c r="J1467" s="66"/>
      <c r="K1467" s="66"/>
      <c r="L1467" s="66"/>
      <c r="M1467" s="66"/>
      <c r="N1467" s="66">
        <f>SUM(Prog_236[[#This Row],[TARA]]+Prog_236[[#This Row],[PESO]])</f>
        <v>0</v>
      </c>
      <c r="O1467" s="44"/>
      <c r="P1467" s="66"/>
      <c r="Q1467" s="66"/>
      <c r="R1467" s="66"/>
      <c r="S1467" s="66"/>
      <c r="T1467" s="138" t="str">
        <f>IFERROR(LOOKUP($S1467,MOTORISTAS!$D$3:$D$1048576,MOTORISTAS!E$3:$E$1048576),"")</f>
        <v/>
      </c>
      <c r="U1467" s="138" t="str">
        <f>IFERROR(LOOKUP($S1467,MOTORISTAS!$D$3:$D$1048576,MOTORISTAS!F$3:$F$1048576),"")</f>
        <v/>
      </c>
      <c r="V1467" s="66"/>
      <c r="W1467" s="66"/>
      <c r="X1467" s="66"/>
      <c r="Y1467" s="66"/>
      <c r="Z1467" s="66"/>
      <c r="AA1467" s="66"/>
      <c r="AB1467" s="66"/>
      <c r="AC1467" s="66"/>
      <c r="AD1467" s="66"/>
      <c r="AE1467" s="66"/>
      <c r="AF1467" s="44"/>
      <c r="AG1467" s="254">
        <f>Prog_236[[#This Row],[SAÍDA DO CLIENTE]]-Prog_236[[#This Row],[PROGRAMAÇÃO CLIENTE]]</f>
        <v>0</v>
      </c>
      <c r="AH1467" s="44"/>
      <c r="AI1467" s="66"/>
      <c r="AJ1467" s="66"/>
      <c r="AK1467" s="66"/>
      <c r="AL1467" s="66"/>
      <c r="AM1467" s="66"/>
      <c r="AN1467" s="83"/>
      <c r="AO1467" s="66"/>
      <c r="AP1467" s="66"/>
      <c r="AQ1467" s="66"/>
      <c r="AR1467" s="81"/>
      <c r="AS1467" s="81"/>
      <c r="AT1467" s="81"/>
      <c r="AU1467" s="81"/>
      <c r="AV1467" s="83">
        <f>SUM(Prog_236[[#This Row],[ADIANTAMENTO]]+Prog_236[[#This Row],[SALDO]]+Prog_236[[#This Row],[MARGEM]]+Prog_236[[#This Row],[ESTADIA 1]])</f>
        <v>0</v>
      </c>
      <c r="AW14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7" s="81"/>
      <c r="AY1467" s="81"/>
      <c r="AZ1467" s="81">
        <f>Prog_236[[#This Row],[VLR NF]]*0.1%</f>
        <v>0</v>
      </c>
      <c r="BA1467" s="81">
        <f>Prog_236[[#This Row],[VLR NF]]*0.05%</f>
        <v>0</v>
      </c>
      <c r="BB1467" s="81"/>
      <c r="BC1467" s="81"/>
      <c r="BD1467" s="81"/>
      <c r="BE1467" s="81"/>
      <c r="BF1467" s="81"/>
      <c r="BG1467" s="81"/>
      <c r="BH1467" s="81"/>
      <c r="BI1467" s="81"/>
      <c r="BJ1467" s="81"/>
      <c r="BK1467" s="81"/>
      <c r="BL1467" s="66"/>
      <c r="BM1467" s="66"/>
      <c r="BN1467" s="66"/>
      <c r="BO1467" s="66" t="str">
        <f>PROPER(TEXT(Prog_236[[#This Row],[PROGRAMAÇÃO CLIENTE]],"mmm"))</f>
        <v>Jan</v>
      </c>
      <c r="BP1467" s="66">
        <f>YEAR(Prog_236[[#This Row],[PROGRAMAÇÃO CLIENTE]])</f>
        <v>1900</v>
      </c>
    </row>
    <row r="1468" spans="1:68" x14ac:dyDescent="0.25">
      <c r="A1468" s="201">
        <f>Prog_236[[#This Row],[CONTEINER]]</f>
        <v>0</v>
      </c>
      <c r="B1468" s="86"/>
      <c r="C14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8" s="44"/>
      <c r="E1468" s="66"/>
      <c r="F1468" s="66"/>
      <c r="G1468" s="66"/>
      <c r="H1468" s="44"/>
      <c r="I1468" s="44"/>
      <c r="J1468" s="66"/>
      <c r="K1468" s="66"/>
      <c r="L1468" s="66"/>
      <c r="M1468" s="66"/>
      <c r="N1468" s="66">
        <f>SUM(Prog_236[[#This Row],[TARA]]+Prog_236[[#This Row],[PESO]])</f>
        <v>0</v>
      </c>
      <c r="O1468" s="44"/>
      <c r="P1468" s="66"/>
      <c r="Q1468" s="66"/>
      <c r="R1468" s="66"/>
      <c r="S1468" s="66"/>
      <c r="T1468" s="138" t="str">
        <f>IFERROR(LOOKUP($S1468,MOTORISTAS!$D$3:$D$1048576,MOTORISTAS!E$3:$E$1048576),"")</f>
        <v/>
      </c>
      <c r="U1468" s="138" t="str">
        <f>IFERROR(LOOKUP($S1468,MOTORISTAS!$D$3:$D$1048576,MOTORISTAS!F$3:$F$1048576),"")</f>
        <v/>
      </c>
      <c r="V1468" s="66"/>
      <c r="W1468" s="66"/>
      <c r="X1468" s="66"/>
      <c r="Y1468" s="66"/>
      <c r="Z1468" s="66"/>
      <c r="AA1468" s="66"/>
      <c r="AB1468" s="66"/>
      <c r="AC1468" s="66"/>
      <c r="AD1468" s="66"/>
      <c r="AE1468" s="66"/>
      <c r="AF1468" s="44"/>
      <c r="AG1468" s="254">
        <f>Prog_236[[#This Row],[SAÍDA DO CLIENTE]]-Prog_236[[#This Row],[PROGRAMAÇÃO CLIENTE]]</f>
        <v>0</v>
      </c>
      <c r="AH1468" s="44"/>
      <c r="AI1468" s="66"/>
      <c r="AJ1468" s="66"/>
      <c r="AK1468" s="66"/>
      <c r="AL1468" s="66"/>
      <c r="AM1468" s="66"/>
      <c r="AN1468" s="83"/>
      <c r="AO1468" s="66"/>
      <c r="AP1468" s="66"/>
      <c r="AQ1468" s="66"/>
      <c r="AR1468" s="81"/>
      <c r="AS1468" s="81"/>
      <c r="AT1468" s="81"/>
      <c r="AU1468" s="81"/>
      <c r="AV1468" s="83">
        <f>SUM(Prog_236[[#This Row],[ADIANTAMENTO]]+Prog_236[[#This Row],[SALDO]]+Prog_236[[#This Row],[MARGEM]]+Prog_236[[#This Row],[ESTADIA 1]])</f>
        <v>0</v>
      </c>
      <c r="AW14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8" s="81"/>
      <c r="AY1468" s="81"/>
      <c r="AZ1468" s="81">
        <f>Prog_236[[#This Row],[VLR NF]]*0.1%</f>
        <v>0</v>
      </c>
      <c r="BA1468" s="81">
        <f>Prog_236[[#This Row],[VLR NF]]*0.05%</f>
        <v>0</v>
      </c>
      <c r="BB1468" s="81"/>
      <c r="BC1468" s="81"/>
      <c r="BD1468" s="81"/>
      <c r="BE1468" s="81"/>
      <c r="BF1468" s="81"/>
      <c r="BG1468" s="81"/>
      <c r="BH1468" s="81"/>
      <c r="BI1468" s="81"/>
      <c r="BJ1468" s="81"/>
      <c r="BK1468" s="81"/>
      <c r="BL1468" s="66"/>
      <c r="BM1468" s="66"/>
      <c r="BN1468" s="66"/>
      <c r="BO1468" s="66" t="str">
        <f>PROPER(TEXT(Prog_236[[#This Row],[PROGRAMAÇÃO CLIENTE]],"mmm"))</f>
        <v>Jan</v>
      </c>
      <c r="BP1468" s="66">
        <f>YEAR(Prog_236[[#This Row],[PROGRAMAÇÃO CLIENTE]])</f>
        <v>1900</v>
      </c>
    </row>
    <row r="1469" spans="1:68" x14ac:dyDescent="0.25">
      <c r="A1469" s="200">
        <f>Prog_236[[#This Row],[CONTEINER]]</f>
        <v>0</v>
      </c>
      <c r="B1469" s="86"/>
      <c r="C14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69" s="44"/>
      <c r="E1469" s="66"/>
      <c r="F1469" s="66"/>
      <c r="G1469" s="66"/>
      <c r="H1469" s="44"/>
      <c r="I1469" s="44"/>
      <c r="J1469" s="66"/>
      <c r="K1469" s="66"/>
      <c r="L1469" s="66"/>
      <c r="M1469" s="66"/>
      <c r="N1469" s="66">
        <f>SUM(Prog_236[[#This Row],[TARA]]+Prog_236[[#This Row],[PESO]])</f>
        <v>0</v>
      </c>
      <c r="O1469" s="44"/>
      <c r="P1469" s="66"/>
      <c r="Q1469" s="66"/>
      <c r="R1469" s="66"/>
      <c r="S1469" s="66"/>
      <c r="T1469" s="138" t="str">
        <f>IFERROR(LOOKUP($S1469,MOTORISTAS!$D$3:$D$1048576,MOTORISTAS!E$3:$E$1048576),"")</f>
        <v/>
      </c>
      <c r="U1469" s="138" t="str">
        <f>IFERROR(LOOKUP($S1469,MOTORISTAS!$D$3:$D$1048576,MOTORISTAS!F$3:$F$1048576),"")</f>
        <v/>
      </c>
      <c r="V1469" s="66"/>
      <c r="W1469" s="66"/>
      <c r="X1469" s="66"/>
      <c r="Y1469" s="66"/>
      <c r="Z1469" s="66"/>
      <c r="AA1469" s="66"/>
      <c r="AB1469" s="66"/>
      <c r="AC1469" s="66"/>
      <c r="AD1469" s="66"/>
      <c r="AE1469" s="66"/>
      <c r="AF1469" s="44"/>
      <c r="AG1469" s="254">
        <f>Prog_236[[#This Row],[SAÍDA DO CLIENTE]]-Prog_236[[#This Row],[PROGRAMAÇÃO CLIENTE]]</f>
        <v>0</v>
      </c>
      <c r="AH1469" s="44"/>
      <c r="AI1469" s="66"/>
      <c r="AJ1469" s="66"/>
      <c r="AK1469" s="66"/>
      <c r="AL1469" s="66"/>
      <c r="AM1469" s="66"/>
      <c r="AN1469" s="83"/>
      <c r="AO1469" s="66"/>
      <c r="AP1469" s="66"/>
      <c r="AQ1469" s="66"/>
      <c r="AR1469" s="81"/>
      <c r="AS1469" s="81"/>
      <c r="AT1469" s="81"/>
      <c r="AU1469" s="81"/>
      <c r="AV1469" s="83">
        <f>SUM(Prog_236[[#This Row],[ADIANTAMENTO]]+Prog_236[[#This Row],[SALDO]]+Prog_236[[#This Row],[MARGEM]]+Prog_236[[#This Row],[ESTADIA 1]])</f>
        <v>0</v>
      </c>
      <c r="AW14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69" s="81"/>
      <c r="AY1469" s="81"/>
      <c r="AZ1469" s="81">
        <f>Prog_236[[#This Row],[VLR NF]]*0.1%</f>
        <v>0</v>
      </c>
      <c r="BA1469" s="81">
        <f>Prog_236[[#This Row],[VLR NF]]*0.05%</f>
        <v>0</v>
      </c>
      <c r="BB1469" s="81"/>
      <c r="BC1469" s="81"/>
      <c r="BD1469" s="81"/>
      <c r="BE1469" s="81"/>
      <c r="BF1469" s="81"/>
      <c r="BG1469" s="81"/>
      <c r="BH1469" s="81"/>
      <c r="BI1469" s="81"/>
      <c r="BJ1469" s="81"/>
      <c r="BK1469" s="81"/>
      <c r="BL1469" s="66"/>
      <c r="BM1469" s="66"/>
      <c r="BN1469" s="66"/>
      <c r="BO1469" s="66" t="str">
        <f>PROPER(TEXT(Prog_236[[#This Row],[PROGRAMAÇÃO CLIENTE]],"mmm"))</f>
        <v>Jan</v>
      </c>
      <c r="BP1469" s="66">
        <f>YEAR(Prog_236[[#This Row],[PROGRAMAÇÃO CLIENTE]])</f>
        <v>1900</v>
      </c>
    </row>
    <row r="1470" spans="1:68" x14ac:dyDescent="0.25">
      <c r="A1470" s="201">
        <f>Prog_236[[#This Row],[CONTEINER]]</f>
        <v>0</v>
      </c>
      <c r="B1470" s="86"/>
      <c r="C14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0" s="44"/>
      <c r="E1470" s="66"/>
      <c r="F1470" s="66"/>
      <c r="G1470" s="66"/>
      <c r="H1470" s="44"/>
      <c r="I1470" s="44"/>
      <c r="J1470" s="66"/>
      <c r="K1470" s="66"/>
      <c r="L1470" s="66"/>
      <c r="M1470" s="66"/>
      <c r="N1470" s="66">
        <f>SUM(Prog_236[[#This Row],[TARA]]+Prog_236[[#This Row],[PESO]])</f>
        <v>0</v>
      </c>
      <c r="O1470" s="44"/>
      <c r="P1470" s="66"/>
      <c r="Q1470" s="66"/>
      <c r="R1470" s="66"/>
      <c r="S1470" s="66"/>
      <c r="T1470" s="138" t="str">
        <f>IFERROR(LOOKUP($S1470,MOTORISTAS!$D$3:$D$1048576,MOTORISTAS!E$3:$E$1048576),"")</f>
        <v/>
      </c>
      <c r="U1470" s="138" t="str">
        <f>IFERROR(LOOKUP($S1470,MOTORISTAS!$D$3:$D$1048576,MOTORISTAS!F$3:$F$1048576),"")</f>
        <v/>
      </c>
      <c r="V1470" s="66"/>
      <c r="W1470" s="66"/>
      <c r="X1470" s="66"/>
      <c r="Y1470" s="66"/>
      <c r="Z1470" s="66"/>
      <c r="AA1470" s="66"/>
      <c r="AB1470" s="66"/>
      <c r="AC1470" s="66"/>
      <c r="AD1470" s="66"/>
      <c r="AE1470" s="66"/>
      <c r="AF1470" s="44"/>
      <c r="AG1470" s="254">
        <f>Prog_236[[#This Row],[SAÍDA DO CLIENTE]]-Prog_236[[#This Row],[PROGRAMAÇÃO CLIENTE]]</f>
        <v>0</v>
      </c>
      <c r="AH1470" s="44"/>
      <c r="AI1470" s="66"/>
      <c r="AJ1470" s="66"/>
      <c r="AK1470" s="66"/>
      <c r="AL1470" s="66"/>
      <c r="AM1470" s="66"/>
      <c r="AN1470" s="83"/>
      <c r="AO1470" s="66"/>
      <c r="AP1470" s="66"/>
      <c r="AQ1470" s="66"/>
      <c r="AR1470" s="81"/>
      <c r="AS1470" s="81"/>
      <c r="AT1470" s="81"/>
      <c r="AU1470" s="81"/>
      <c r="AV1470" s="83">
        <f>SUM(Prog_236[[#This Row],[ADIANTAMENTO]]+Prog_236[[#This Row],[SALDO]]+Prog_236[[#This Row],[MARGEM]]+Prog_236[[#This Row],[ESTADIA 1]])</f>
        <v>0</v>
      </c>
      <c r="AW14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0" s="81"/>
      <c r="AY1470" s="81"/>
      <c r="AZ1470" s="81">
        <f>Prog_236[[#This Row],[VLR NF]]*0.1%</f>
        <v>0</v>
      </c>
      <c r="BA1470" s="81">
        <f>Prog_236[[#This Row],[VLR NF]]*0.05%</f>
        <v>0</v>
      </c>
      <c r="BB1470" s="81"/>
      <c r="BC1470" s="81"/>
      <c r="BD1470" s="81"/>
      <c r="BE1470" s="81"/>
      <c r="BF1470" s="81"/>
      <c r="BG1470" s="81"/>
      <c r="BH1470" s="81"/>
      <c r="BI1470" s="81"/>
      <c r="BJ1470" s="81"/>
      <c r="BK1470" s="81"/>
      <c r="BL1470" s="66"/>
      <c r="BM1470" s="66"/>
      <c r="BN1470" s="66"/>
      <c r="BO1470" s="66" t="str">
        <f>PROPER(TEXT(Prog_236[[#This Row],[PROGRAMAÇÃO CLIENTE]],"mmm"))</f>
        <v>Jan</v>
      </c>
      <c r="BP1470" s="66">
        <f>YEAR(Prog_236[[#This Row],[PROGRAMAÇÃO CLIENTE]])</f>
        <v>1900</v>
      </c>
    </row>
    <row r="1471" spans="1:68" x14ac:dyDescent="0.25">
      <c r="A1471" s="200">
        <f>Prog_236[[#This Row],[CONTEINER]]</f>
        <v>0</v>
      </c>
      <c r="B1471" s="86"/>
      <c r="C14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1" s="44"/>
      <c r="E1471" s="66"/>
      <c r="F1471" s="66"/>
      <c r="G1471" s="66"/>
      <c r="H1471" s="44"/>
      <c r="I1471" s="44"/>
      <c r="J1471" s="66"/>
      <c r="K1471" s="66"/>
      <c r="L1471" s="66"/>
      <c r="M1471" s="66"/>
      <c r="N1471" s="66">
        <f>SUM(Prog_236[[#This Row],[TARA]]+Prog_236[[#This Row],[PESO]])</f>
        <v>0</v>
      </c>
      <c r="O1471" s="44"/>
      <c r="P1471" s="66"/>
      <c r="Q1471" s="66"/>
      <c r="R1471" s="66"/>
      <c r="S1471" s="66"/>
      <c r="T1471" s="138" t="str">
        <f>IFERROR(LOOKUP($S1471,MOTORISTAS!$D$3:$D$1048576,MOTORISTAS!E$3:$E$1048576),"")</f>
        <v/>
      </c>
      <c r="U1471" s="138" t="str">
        <f>IFERROR(LOOKUP($S1471,MOTORISTAS!$D$3:$D$1048576,MOTORISTAS!F$3:$F$1048576),"")</f>
        <v/>
      </c>
      <c r="V1471" s="66"/>
      <c r="W1471" s="66"/>
      <c r="X1471" s="66"/>
      <c r="Y1471" s="66"/>
      <c r="Z1471" s="66"/>
      <c r="AA1471" s="66"/>
      <c r="AB1471" s="66"/>
      <c r="AC1471" s="66"/>
      <c r="AD1471" s="66"/>
      <c r="AE1471" s="66"/>
      <c r="AF1471" s="44"/>
      <c r="AG1471" s="254">
        <f>Prog_236[[#This Row],[SAÍDA DO CLIENTE]]-Prog_236[[#This Row],[PROGRAMAÇÃO CLIENTE]]</f>
        <v>0</v>
      </c>
      <c r="AH1471" s="44"/>
      <c r="AI1471" s="66"/>
      <c r="AJ1471" s="66"/>
      <c r="AK1471" s="66"/>
      <c r="AL1471" s="66"/>
      <c r="AM1471" s="66"/>
      <c r="AN1471" s="83"/>
      <c r="AO1471" s="66"/>
      <c r="AP1471" s="66"/>
      <c r="AQ1471" s="66"/>
      <c r="AR1471" s="81"/>
      <c r="AS1471" s="81"/>
      <c r="AT1471" s="81"/>
      <c r="AU1471" s="81"/>
      <c r="AV1471" s="83">
        <f>SUM(Prog_236[[#This Row],[ADIANTAMENTO]]+Prog_236[[#This Row],[SALDO]]+Prog_236[[#This Row],[MARGEM]]+Prog_236[[#This Row],[ESTADIA 1]])</f>
        <v>0</v>
      </c>
      <c r="AW14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1" s="81"/>
      <c r="AY1471" s="81"/>
      <c r="AZ1471" s="81">
        <f>Prog_236[[#This Row],[VLR NF]]*0.1%</f>
        <v>0</v>
      </c>
      <c r="BA1471" s="81">
        <f>Prog_236[[#This Row],[VLR NF]]*0.05%</f>
        <v>0</v>
      </c>
      <c r="BB1471" s="81"/>
      <c r="BC1471" s="81"/>
      <c r="BD1471" s="81"/>
      <c r="BE1471" s="81"/>
      <c r="BF1471" s="81"/>
      <c r="BG1471" s="81"/>
      <c r="BH1471" s="81"/>
      <c r="BI1471" s="81"/>
      <c r="BJ1471" s="81"/>
      <c r="BK1471" s="81"/>
      <c r="BL1471" s="66"/>
      <c r="BM1471" s="66"/>
      <c r="BN1471" s="66"/>
      <c r="BO1471" s="66" t="str">
        <f>PROPER(TEXT(Prog_236[[#This Row],[PROGRAMAÇÃO CLIENTE]],"mmm"))</f>
        <v>Jan</v>
      </c>
      <c r="BP1471" s="66">
        <f>YEAR(Prog_236[[#This Row],[PROGRAMAÇÃO CLIENTE]])</f>
        <v>1900</v>
      </c>
    </row>
    <row r="1472" spans="1:68" x14ac:dyDescent="0.25">
      <c r="A1472" s="201">
        <f>Prog_236[[#This Row],[CONTEINER]]</f>
        <v>0</v>
      </c>
      <c r="B1472" s="86"/>
      <c r="C14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2" s="44"/>
      <c r="E1472" s="66"/>
      <c r="F1472" s="66"/>
      <c r="G1472" s="66"/>
      <c r="H1472" s="44"/>
      <c r="I1472" s="44"/>
      <c r="J1472" s="66"/>
      <c r="K1472" s="66"/>
      <c r="L1472" s="66"/>
      <c r="M1472" s="66"/>
      <c r="N1472" s="66">
        <f>SUM(Prog_236[[#This Row],[TARA]]+Prog_236[[#This Row],[PESO]])</f>
        <v>0</v>
      </c>
      <c r="O1472" s="44"/>
      <c r="P1472" s="66"/>
      <c r="Q1472" s="66"/>
      <c r="R1472" s="66"/>
      <c r="S1472" s="66"/>
      <c r="T1472" s="138" t="str">
        <f>IFERROR(LOOKUP($S1472,MOTORISTAS!$D$3:$D$1048576,MOTORISTAS!E$3:$E$1048576),"")</f>
        <v/>
      </c>
      <c r="U1472" s="138" t="str">
        <f>IFERROR(LOOKUP($S1472,MOTORISTAS!$D$3:$D$1048576,MOTORISTAS!F$3:$F$1048576),"")</f>
        <v/>
      </c>
      <c r="V1472" s="66"/>
      <c r="W1472" s="66"/>
      <c r="X1472" s="66"/>
      <c r="Y1472" s="66"/>
      <c r="Z1472" s="66"/>
      <c r="AA1472" s="66"/>
      <c r="AB1472" s="66"/>
      <c r="AC1472" s="66"/>
      <c r="AD1472" s="66"/>
      <c r="AE1472" s="66"/>
      <c r="AF1472" s="44"/>
      <c r="AG1472" s="254">
        <f>Prog_236[[#This Row],[SAÍDA DO CLIENTE]]-Prog_236[[#This Row],[PROGRAMAÇÃO CLIENTE]]</f>
        <v>0</v>
      </c>
      <c r="AH1472" s="44"/>
      <c r="AI1472" s="66"/>
      <c r="AJ1472" s="66"/>
      <c r="AK1472" s="66"/>
      <c r="AL1472" s="66"/>
      <c r="AM1472" s="66"/>
      <c r="AN1472" s="83"/>
      <c r="AO1472" s="66"/>
      <c r="AP1472" s="66"/>
      <c r="AQ1472" s="66"/>
      <c r="AR1472" s="81"/>
      <c r="AS1472" s="81"/>
      <c r="AT1472" s="81"/>
      <c r="AU1472" s="81"/>
      <c r="AV1472" s="83">
        <f>SUM(Prog_236[[#This Row],[ADIANTAMENTO]]+Prog_236[[#This Row],[SALDO]]+Prog_236[[#This Row],[MARGEM]]+Prog_236[[#This Row],[ESTADIA 1]])</f>
        <v>0</v>
      </c>
      <c r="AW14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2" s="81"/>
      <c r="AY1472" s="81"/>
      <c r="AZ1472" s="81">
        <f>Prog_236[[#This Row],[VLR NF]]*0.1%</f>
        <v>0</v>
      </c>
      <c r="BA1472" s="81">
        <f>Prog_236[[#This Row],[VLR NF]]*0.05%</f>
        <v>0</v>
      </c>
      <c r="BB1472" s="81"/>
      <c r="BC1472" s="81"/>
      <c r="BD1472" s="81"/>
      <c r="BE1472" s="81"/>
      <c r="BF1472" s="81"/>
      <c r="BG1472" s="81"/>
      <c r="BH1472" s="81"/>
      <c r="BI1472" s="81"/>
      <c r="BJ1472" s="81"/>
      <c r="BK1472" s="81"/>
      <c r="BL1472" s="66"/>
      <c r="BM1472" s="66"/>
      <c r="BN1472" s="66"/>
      <c r="BO1472" s="66" t="str">
        <f>PROPER(TEXT(Prog_236[[#This Row],[PROGRAMAÇÃO CLIENTE]],"mmm"))</f>
        <v>Jan</v>
      </c>
      <c r="BP1472" s="66">
        <f>YEAR(Prog_236[[#This Row],[PROGRAMAÇÃO CLIENTE]])</f>
        <v>1900</v>
      </c>
    </row>
    <row r="1473" spans="1:68" x14ac:dyDescent="0.25">
      <c r="A1473" s="200">
        <f>Prog_236[[#This Row],[CONTEINER]]</f>
        <v>0</v>
      </c>
      <c r="B1473" s="86"/>
      <c r="C14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3" s="44"/>
      <c r="E1473" s="66"/>
      <c r="F1473" s="66"/>
      <c r="G1473" s="66"/>
      <c r="H1473" s="44"/>
      <c r="I1473" s="44"/>
      <c r="J1473" s="66"/>
      <c r="K1473" s="66"/>
      <c r="L1473" s="66"/>
      <c r="M1473" s="66"/>
      <c r="N1473" s="66">
        <f>SUM(Prog_236[[#This Row],[TARA]]+Prog_236[[#This Row],[PESO]])</f>
        <v>0</v>
      </c>
      <c r="O1473" s="44"/>
      <c r="P1473" s="66"/>
      <c r="Q1473" s="66"/>
      <c r="R1473" s="66"/>
      <c r="S1473" s="66"/>
      <c r="T1473" s="138" t="str">
        <f>IFERROR(LOOKUP($S1473,MOTORISTAS!$D$3:$D$1048576,MOTORISTAS!E$3:$E$1048576),"")</f>
        <v/>
      </c>
      <c r="U1473" s="138" t="str">
        <f>IFERROR(LOOKUP($S1473,MOTORISTAS!$D$3:$D$1048576,MOTORISTAS!F$3:$F$1048576),"")</f>
        <v/>
      </c>
      <c r="V1473" s="66"/>
      <c r="W1473" s="66"/>
      <c r="X1473" s="66"/>
      <c r="Y1473" s="66"/>
      <c r="Z1473" s="66"/>
      <c r="AA1473" s="66"/>
      <c r="AB1473" s="66"/>
      <c r="AC1473" s="66"/>
      <c r="AD1473" s="66"/>
      <c r="AE1473" s="66"/>
      <c r="AF1473" s="44"/>
      <c r="AG1473" s="254">
        <f>Prog_236[[#This Row],[SAÍDA DO CLIENTE]]-Prog_236[[#This Row],[PROGRAMAÇÃO CLIENTE]]</f>
        <v>0</v>
      </c>
      <c r="AH1473" s="44"/>
      <c r="AI1473" s="66"/>
      <c r="AJ1473" s="66"/>
      <c r="AK1473" s="66"/>
      <c r="AL1473" s="66"/>
      <c r="AM1473" s="66"/>
      <c r="AN1473" s="83"/>
      <c r="AO1473" s="66"/>
      <c r="AP1473" s="66"/>
      <c r="AQ1473" s="66"/>
      <c r="AR1473" s="81"/>
      <c r="AS1473" s="81"/>
      <c r="AT1473" s="81"/>
      <c r="AU1473" s="81"/>
      <c r="AV1473" s="83">
        <f>SUM(Prog_236[[#This Row],[ADIANTAMENTO]]+Prog_236[[#This Row],[SALDO]]+Prog_236[[#This Row],[MARGEM]]+Prog_236[[#This Row],[ESTADIA 1]])</f>
        <v>0</v>
      </c>
      <c r="AW14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3" s="81"/>
      <c r="AY1473" s="81"/>
      <c r="AZ1473" s="81">
        <f>Prog_236[[#This Row],[VLR NF]]*0.1%</f>
        <v>0</v>
      </c>
      <c r="BA1473" s="81">
        <f>Prog_236[[#This Row],[VLR NF]]*0.05%</f>
        <v>0</v>
      </c>
      <c r="BB1473" s="81"/>
      <c r="BC1473" s="81"/>
      <c r="BD1473" s="81"/>
      <c r="BE1473" s="81"/>
      <c r="BF1473" s="81"/>
      <c r="BG1473" s="81"/>
      <c r="BH1473" s="81"/>
      <c r="BI1473" s="81"/>
      <c r="BJ1473" s="81"/>
      <c r="BK1473" s="81"/>
      <c r="BL1473" s="66"/>
      <c r="BM1473" s="66"/>
      <c r="BN1473" s="66"/>
      <c r="BO1473" s="66" t="str">
        <f>PROPER(TEXT(Prog_236[[#This Row],[PROGRAMAÇÃO CLIENTE]],"mmm"))</f>
        <v>Jan</v>
      </c>
      <c r="BP1473" s="66">
        <f>YEAR(Prog_236[[#This Row],[PROGRAMAÇÃO CLIENTE]])</f>
        <v>1900</v>
      </c>
    </row>
    <row r="1474" spans="1:68" x14ac:dyDescent="0.25">
      <c r="A1474" s="201">
        <f>Prog_236[[#This Row],[CONTEINER]]</f>
        <v>0</v>
      </c>
      <c r="B1474" s="86"/>
      <c r="C14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4" s="44"/>
      <c r="E1474" s="66"/>
      <c r="F1474" s="66"/>
      <c r="G1474" s="66"/>
      <c r="H1474" s="44"/>
      <c r="I1474" s="44"/>
      <c r="J1474" s="66"/>
      <c r="K1474" s="66"/>
      <c r="L1474" s="66"/>
      <c r="M1474" s="66"/>
      <c r="N1474" s="66">
        <f>SUM(Prog_236[[#This Row],[TARA]]+Prog_236[[#This Row],[PESO]])</f>
        <v>0</v>
      </c>
      <c r="O1474" s="44"/>
      <c r="P1474" s="66"/>
      <c r="Q1474" s="66"/>
      <c r="R1474" s="66"/>
      <c r="S1474" s="66"/>
      <c r="T1474" s="138" t="str">
        <f>IFERROR(LOOKUP($S1474,MOTORISTAS!$D$3:$D$1048576,MOTORISTAS!E$3:$E$1048576),"")</f>
        <v/>
      </c>
      <c r="U1474" s="138" t="str">
        <f>IFERROR(LOOKUP($S1474,MOTORISTAS!$D$3:$D$1048576,MOTORISTAS!F$3:$F$1048576),"")</f>
        <v/>
      </c>
      <c r="V1474" s="66"/>
      <c r="W1474" s="66"/>
      <c r="X1474" s="66"/>
      <c r="Y1474" s="66"/>
      <c r="Z1474" s="66"/>
      <c r="AA1474" s="66"/>
      <c r="AB1474" s="66"/>
      <c r="AC1474" s="66"/>
      <c r="AD1474" s="66"/>
      <c r="AE1474" s="66"/>
      <c r="AF1474" s="44"/>
      <c r="AG1474" s="254">
        <f>Prog_236[[#This Row],[SAÍDA DO CLIENTE]]-Prog_236[[#This Row],[PROGRAMAÇÃO CLIENTE]]</f>
        <v>0</v>
      </c>
      <c r="AH1474" s="44"/>
      <c r="AI1474" s="66"/>
      <c r="AJ1474" s="66"/>
      <c r="AK1474" s="66"/>
      <c r="AL1474" s="66"/>
      <c r="AM1474" s="66"/>
      <c r="AN1474" s="83"/>
      <c r="AO1474" s="66"/>
      <c r="AP1474" s="66"/>
      <c r="AQ1474" s="66"/>
      <c r="AR1474" s="81"/>
      <c r="AS1474" s="81"/>
      <c r="AT1474" s="81"/>
      <c r="AU1474" s="81"/>
      <c r="AV1474" s="83">
        <f>SUM(Prog_236[[#This Row],[ADIANTAMENTO]]+Prog_236[[#This Row],[SALDO]]+Prog_236[[#This Row],[MARGEM]]+Prog_236[[#This Row],[ESTADIA 1]])</f>
        <v>0</v>
      </c>
      <c r="AW14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4" s="81"/>
      <c r="AY1474" s="81"/>
      <c r="AZ1474" s="81">
        <f>Prog_236[[#This Row],[VLR NF]]*0.1%</f>
        <v>0</v>
      </c>
      <c r="BA1474" s="81">
        <f>Prog_236[[#This Row],[VLR NF]]*0.05%</f>
        <v>0</v>
      </c>
      <c r="BB1474" s="81"/>
      <c r="BC1474" s="81"/>
      <c r="BD1474" s="81"/>
      <c r="BE1474" s="81"/>
      <c r="BF1474" s="81"/>
      <c r="BG1474" s="81"/>
      <c r="BH1474" s="81"/>
      <c r="BI1474" s="81"/>
      <c r="BJ1474" s="81"/>
      <c r="BK1474" s="81"/>
      <c r="BL1474" s="66"/>
      <c r="BM1474" s="66"/>
      <c r="BN1474" s="66"/>
      <c r="BO1474" s="66" t="str">
        <f>PROPER(TEXT(Prog_236[[#This Row],[PROGRAMAÇÃO CLIENTE]],"mmm"))</f>
        <v>Jan</v>
      </c>
      <c r="BP1474" s="66">
        <f>YEAR(Prog_236[[#This Row],[PROGRAMAÇÃO CLIENTE]])</f>
        <v>1900</v>
      </c>
    </row>
    <row r="1475" spans="1:68" x14ac:dyDescent="0.25">
      <c r="A1475" s="200">
        <f>Prog_236[[#This Row],[CONTEINER]]</f>
        <v>0</v>
      </c>
      <c r="B1475" s="86"/>
      <c r="C14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5" s="44"/>
      <c r="E1475" s="66"/>
      <c r="F1475" s="66"/>
      <c r="G1475" s="66"/>
      <c r="H1475" s="44"/>
      <c r="I1475" s="44"/>
      <c r="J1475" s="66"/>
      <c r="K1475" s="66"/>
      <c r="L1475" s="66"/>
      <c r="M1475" s="66"/>
      <c r="N1475" s="66">
        <f>SUM(Prog_236[[#This Row],[TARA]]+Prog_236[[#This Row],[PESO]])</f>
        <v>0</v>
      </c>
      <c r="O1475" s="44"/>
      <c r="P1475" s="66"/>
      <c r="Q1475" s="66"/>
      <c r="R1475" s="66"/>
      <c r="S1475" s="66"/>
      <c r="T1475" s="138" t="str">
        <f>IFERROR(LOOKUP($S1475,MOTORISTAS!$D$3:$D$1048576,MOTORISTAS!E$3:$E$1048576),"")</f>
        <v/>
      </c>
      <c r="U1475" s="138" t="str">
        <f>IFERROR(LOOKUP($S1475,MOTORISTAS!$D$3:$D$1048576,MOTORISTAS!F$3:$F$1048576),"")</f>
        <v/>
      </c>
      <c r="V1475" s="66"/>
      <c r="W1475" s="66"/>
      <c r="X1475" s="66"/>
      <c r="Y1475" s="66"/>
      <c r="Z1475" s="66"/>
      <c r="AA1475" s="66"/>
      <c r="AB1475" s="66"/>
      <c r="AC1475" s="66"/>
      <c r="AD1475" s="66"/>
      <c r="AE1475" s="66"/>
      <c r="AF1475" s="44"/>
      <c r="AG1475" s="254">
        <f>Prog_236[[#This Row],[SAÍDA DO CLIENTE]]-Prog_236[[#This Row],[PROGRAMAÇÃO CLIENTE]]</f>
        <v>0</v>
      </c>
      <c r="AH1475" s="44"/>
      <c r="AI1475" s="66"/>
      <c r="AJ1475" s="66"/>
      <c r="AK1475" s="66"/>
      <c r="AL1475" s="66"/>
      <c r="AM1475" s="66"/>
      <c r="AN1475" s="83"/>
      <c r="AO1475" s="66"/>
      <c r="AP1475" s="66"/>
      <c r="AQ1475" s="66"/>
      <c r="AR1475" s="81"/>
      <c r="AS1475" s="81"/>
      <c r="AT1475" s="81"/>
      <c r="AU1475" s="81"/>
      <c r="AV1475" s="83">
        <f>SUM(Prog_236[[#This Row],[ADIANTAMENTO]]+Prog_236[[#This Row],[SALDO]]+Prog_236[[#This Row],[MARGEM]]+Prog_236[[#This Row],[ESTADIA 1]])</f>
        <v>0</v>
      </c>
      <c r="AW14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5" s="81"/>
      <c r="AY1475" s="81"/>
      <c r="AZ1475" s="81">
        <f>Prog_236[[#This Row],[VLR NF]]*0.1%</f>
        <v>0</v>
      </c>
      <c r="BA1475" s="81">
        <f>Prog_236[[#This Row],[VLR NF]]*0.05%</f>
        <v>0</v>
      </c>
      <c r="BB1475" s="81"/>
      <c r="BC1475" s="81"/>
      <c r="BD1475" s="81"/>
      <c r="BE1475" s="81"/>
      <c r="BF1475" s="81"/>
      <c r="BG1475" s="81"/>
      <c r="BH1475" s="81"/>
      <c r="BI1475" s="81"/>
      <c r="BJ1475" s="81"/>
      <c r="BK1475" s="81"/>
      <c r="BL1475" s="66"/>
      <c r="BM1475" s="66"/>
      <c r="BN1475" s="66"/>
      <c r="BO1475" s="66" t="str">
        <f>PROPER(TEXT(Prog_236[[#This Row],[PROGRAMAÇÃO CLIENTE]],"mmm"))</f>
        <v>Jan</v>
      </c>
      <c r="BP1475" s="66">
        <f>YEAR(Prog_236[[#This Row],[PROGRAMAÇÃO CLIENTE]])</f>
        <v>1900</v>
      </c>
    </row>
    <row r="1476" spans="1:68" x14ac:dyDescent="0.25">
      <c r="A1476" s="201">
        <f>Prog_236[[#This Row],[CONTEINER]]</f>
        <v>0</v>
      </c>
      <c r="B1476" s="86"/>
      <c r="C14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6" s="44"/>
      <c r="E1476" s="66"/>
      <c r="F1476" s="66"/>
      <c r="G1476" s="66"/>
      <c r="H1476" s="44"/>
      <c r="I1476" s="44"/>
      <c r="J1476" s="66"/>
      <c r="K1476" s="66"/>
      <c r="L1476" s="66"/>
      <c r="M1476" s="66"/>
      <c r="N1476" s="66">
        <f>SUM(Prog_236[[#This Row],[TARA]]+Prog_236[[#This Row],[PESO]])</f>
        <v>0</v>
      </c>
      <c r="O1476" s="44"/>
      <c r="P1476" s="66"/>
      <c r="Q1476" s="66"/>
      <c r="R1476" s="66"/>
      <c r="S1476" s="66"/>
      <c r="T1476" s="138" t="str">
        <f>IFERROR(LOOKUP($S1476,MOTORISTAS!$D$3:$D$1048576,MOTORISTAS!E$3:$E$1048576),"")</f>
        <v/>
      </c>
      <c r="U1476" s="138" t="str">
        <f>IFERROR(LOOKUP($S1476,MOTORISTAS!$D$3:$D$1048576,MOTORISTAS!F$3:$F$1048576),"")</f>
        <v/>
      </c>
      <c r="V1476" s="66"/>
      <c r="W1476" s="66"/>
      <c r="X1476" s="66"/>
      <c r="Y1476" s="66"/>
      <c r="Z1476" s="66"/>
      <c r="AA1476" s="66"/>
      <c r="AB1476" s="66"/>
      <c r="AC1476" s="66"/>
      <c r="AD1476" s="66"/>
      <c r="AE1476" s="66"/>
      <c r="AF1476" s="44"/>
      <c r="AG1476" s="254">
        <f>Prog_236[[#This Row],[SAÍDA DO CLIENTE]]-Prog_236[[#This Row],[PROGRAMAÇÃO CLIENTE]]</f>
        <v>0</v>
      </c>
      <c r="AH1476" s="44"/>
      <c r="AI1476" s="66"/>
      <c r="AJ1476" s="66"/>
      <c r="AK1476" s="66"/>
      <c r="AL1476" s="66"/>
      <c r="AM1476" s="66"/>
      <c r="AN1476" s="83"/>
      <c r="AO1476" s="66"/>
      <c r="AP1476" s="66"/>
      <c r="AQ1476" s="66"/>
      <c r="AR1476" s="81"/>
      <c r="AS1476" s="81"/>
      <c r="AT1476" s="81"/>
      <c r="AU1476" s="81"/>
      <c r="AV1476" s="83">
        <f>SUM(Prog_236[[#This Row],[ADIANTAMENTO]]+Prog_236[[#This Row],[SALDO]]+Prog_236[[#This Row],[MARGEM]]+Prog_236[[#This Row],[ESTADIA 1]])</f>
        <v>0</v>
      </c>
      <c r="AW14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6" s="81"/>
      <c r="AY1476" s="81"/>
      <c r="AZ1476" s="81">
        <f>Prog_236[[#This Row],[VLR NF]]*0.1%</f>
        <v>0</v>
      </c>
      <c r="BA1476" s="81">
        <f>Prog_236[[#This Row],[VLR NF]]*0.05%</f>
        <v>0</v>
      </c>
      <c r="BB1476" s="81"/>
      <c r="BC1476" s="81"/>
      <c r="BD1476" s="81"/>
      <c r="BE1476" s="81"/>
      <c r="BF1476" s="81"/>
      <c r="BG1476" s="81"/>
      <c r="BH1476" s="81"/>
      <c r="BI1476" s="81"/>
      <c r="BJ1476" s="81"/>
      <c r="BK1476" s="81"/>
      <c r="BL1476" s="66"/>
      <c r="BM1476" s="66"/>
      <c r="BN1476" s="66"/>
      <c r="BO1476" s="66" t="str">
        <f>PROPER(TEXT(Prog_236[[#This Row],[PROGRAMAÇÃO CLIENTE]],"mmm"))</f>
        <v>Jan</v>
      </c>
      <c r="BP1476" s="66">
        <f>YEAR(Prog_236[[#This Row],[PROGRAMAÇÃO CLIENTE]])</f>
        <v>1900</v>
      </c>
    </row>
    <row r="1477" spans="1:68" x14ac:dyDescent="0.25">
      <c r="A1477" s="200">
        <f>Prog_236[[#This Row],[CONTEINER]]</f>
        <v>0</v>
      </c>
      <c r="B1477" s="86"/>
      <c r="C14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7" s="44"/>
      <c r="E1477" s="66"/>
      <c r="F1477" s="66"/>
      <c r="G1477" s="66"/>
      <c r="H1477" s="44"/>
      <c r="I1477" s="44"/>
      <c r="J1477" s="66"/>
      <c r="K1477" s="66"/>
      <c r="L1477" s="66"/>
      <c r="M1477" s="66"/>
      <c r="N1477" s="66">
        <f>SUM(Prog_236[[#This Row],[TARA]]+Prog_236[[#This Row],[PESO]])</f>
        <v>0</v>
      </c>
      <c r="O1477" s="44"/>
      <c r="P1477" s="66"/>
      <c r="Q1477" s="66"/>
      <c r="R1477" s="66"/>
      <c r="S1477" s="66"/>
      <c r="T1477" s="138" t="str">
        <f>IFERROR(LOOKUP($S1477,MOTORISTAS!$D$3:$D$1048576,MOTORISTAS!E$3:$E$1048576),"")</f>
        <v/>
      </c>
      <c r="U1477" s="138" t="str">
        <f>IFERROR(LOOKUP($S1477,MOTORISTAS!$D$3:$D$1048576,MOTORISTAS!F$3:$F$1048576),"")</f>
        <v/>
      </c>
      <c r="V1477" s="66"/>
      <c r="W1477" s="66"/>
      <c r="X1477" s="66"/>
      <c r="Y1477" s="66"/>
      <c r="Z1477" s="66"/>
      <c r="AA1477" s="66"/>
      <c r="AB1477" s="66"/>
      <c r="AC1477" s="66"/>
      <c r="AD1477" s="66"/>
      <c r="AE1477" s="66"/>
      <c r="AF1477" s="44"/>
      <c r="AG1477" s="254">
        <f>Prog_236[[#This Row],[SAÍDA DO CLIENTE]]-Prog_236[[#This Row],[PROGRAMAÇÃO CLIENTE]]</f>
        <v>0</v>
      </c>
      <c r="AH1477" s="44"/>
      <c r="AI1477" s="66"/>
      <c r="AJ1477" s="66"/>
      <c r="AK1477" s="66"/>
      <c r="AL1477" s="66"/>
      <c r="AM1477" s="66"/>
      <c r="AN1477" s="83"/>
      <c r="AO1477" s="66"/>
      <c r="AP1477" s="66"/>
      <c r="AQ1477" s="66"/>
      <c r="AR1477" s="81"/>
      <c r="AS1477" s="81"/>
      <c r="AT1477" s="81"/>
      <c r="AU1477" s="81"/>
      <c r="AV1477" s="83">
        <f>SUM(Prog_236[[#This Row],[ADIANTAMENTO]]+Prog_236[[#This Row],[SALDO]]+Prog_236[[#This Row],[MARGEM]]+Prog_236[[#This Row],[ESTADIA 1]])</f>
        <v>0</v>
      </c>
      <c r="AW14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7" s="81"/>
      <c r="AY1477" s="81"/>
      <c r="AZ1477" s="81">
        <f>Prog_236[[#This Row],[VLR NF]]*0.1%</f>
        <v>0</v>
      </c>
      <c r="BA1477" s="81">
        <f>Prog_236[[#This Row],[VLR NF]]*0.05%</f>
        <v>0</v>
      </c>
      <c r="BB1477" s="81"/>
      <c r="BC1477" s="81"/>
      <c r="BD1477" s="81"/>
      <c r="BE1477" s="81"/>
      <c r="BF1477" s="81"/>
      <c r="BG1477" s="81"/>
      <c r="BH1477" s="81"/>
      <c r="BI1477" s="81"/>
      <c r="BJ1477" s="81"/>
      <c r="BK1477" s="81"/>
      <c r="BL1477" s="66"/>
      <c r="BM1477" s="66"/>
      <c r="BN1477" s="66"/>
      <c r="BO1477" s="66" t="str">
        <f>PROPER(TEXT(Prog_236[[#This Row],[PROGRAMAÇÃO CLIENTE]],"mmm"))</f>
        <v>Jan</v>
      </c>
      <c r="BP1477" s="66">
        <f>YEAR(Prog_236[[#This Row],[PROGRAMAÇÃO CLIENTE]])</f>
        <v>1900</v>
      </c>
    </row>
    <row r="1478" spans="1:68" x14ac:dyDescent="0.25">
      <c r="A1478" s="201">
        <f>Prog_236[[#This Row],[CONTEINER]]</f>
        <v>0</v>
      </c>
      <c r="B1478" s="86"/>
      <c r="C14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8" s="44"/>
      <c r="E1478" s="66"/>
      <c r="F1478" s="66"/>
      <c r="G1478" s="66"/>
      <c r="H1478" s="44"/>
      <c r="I1478" s="44"/>
      <c r="J1478" s="66"/>
      <c r="K1478" s="66"/>
      <c r="L1478" s="66"/>
      <c r="M1478" s="66"/>
      <c r="N1478" s="66">
        <f>SUM(Prog_236[[#This Row],[TARA]]+Prog_236[[#This Row],[PESO]])</f>
        <v>0</v>
      </c>
      <c r="O1478" s="44"/>
      <c r="P1478" s="66"/>
      <c r="Q1478" s="66"/>
      <c r="R1478" s="66"/>
      <c r="S1478" s="66"/>
      <c r="T1478" s="138" t="str">
        <f>IFERROR(LOOKUP($S1478,MOTORISTAS!$D$3:$D$1048576,MOTORISTAS!E$3:$E$1048576),"")</f>
        <v/>
      </c>
      <c r="U1478" s="138" t="str">
        <f>IFERROR(LOOKUP($S1478,MOTORISTAS!$D$3:$D$1048576,MOTORISTAS!F$3:$F$1048576),"")</f>
        <v/>
      </c>
      <c r="V1478" s="66"/>
      <c r="W1478" s="66"/>
      <c r="X1478" s="66"/>
      <c r="Y1478" s="66"/>
      <c r="Z1478" s="66"/>
      <c r="AA1478" s="66"/>
      <c r="AB1478" s="66"/>
      <c r="AC1478" s="66"/>
      <c r="AD1478" s="66"/>
      <c r="AE1478" s="66"/>
      <c r="AF1478" s="44"/>
      <c r="AG1478" s="254">
        <f>Prog_236[[#This Row],[SAÍDA DO CLIENTE]]-Prog_236[[#This Row],[PROGRAMAÇÃO CLIENTE]]</f>
        <v>0</v>
      </c>
      <c r="AH1478" s="44"/>
      <c r="AI1478" s="66"/>
      <c r="AJ1478" s="66"/>
      <c r="AK1478" s="66"/>
      <c r="AL1478" s="66"/>
      <c r="AM1478" s="66"/>
      <c r="AN1478" s="83"/>
      <c r="AO1478" s="66"/>
      <c r="AP1478" s="66"/>
      <c r="AQ1478" s="66"/>
      <c r="AR1478" s="81"/>
      <c r="AS1478" s="81"/>
      <c r="AT1478" s="81"/>
      <c r="AU1478" s="81"/>
      <c r="AV1478" s="83">
        <f>SUM(Prog_236[[#This Row],[ADIANTAMENTO]]+Prog_236[[#This Row],[SALDO]]+Prog_236[[#This Row],[MARGEM]]+Prog_236[[#This Row],[ESTADIA 1]])</f>
        <v>0</v>
      </c>
      <c r="AW14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8" s="81"/>
      <c r="AY1478" s="81"/>
      <c r="AZ1478" s="81">
        <f>Prog_236[[#This Row],[VLR NF]]*0.1%</f>
        <v>0</v>
      </c>
      <c r="BA1478" s="81">
        <f>Prog_236[[#This Row],[VLR NF]]*0.05%</f>
        <v>0</v>
      </c>
      <c r="BB1478" s="81"/>
      <c r="BC1478" s="81"/>
      <c r="BD1478" s="81"/>
      <c r="BE1478" s="81"/>
      <c r="BF1478" s="81"/>
      <c r="BG1478" s="81"/>
      <c r="BH1478" s="81"/>
      <c r="BI1478" s="81"/>
      <c r="BJ1478" s="81"/>
      <c r="BK1478" s="81"/>
      <c r="BL1478" s="66"/>
      <c r="BM1478" s="66"/>
      <c r="BN1478" s="66"/>
      <c r="BO1478" s="66" t="str">
        <f>PROPER(TEXT(Prog_236[[#This Row],[PROGRAMAÇÃO CLIENTE]],"mmm"))</f>
        <v>Jan</v>
      </c>
      <c r="BP1478" s="66">
        <f>YEAR(Prog_236[[#This Row],[PROGRAMAÇÃO CLIENTE]])</f>
        <v>1900</v>
      </c>
    </row>
    <row r="1479" spans="1:68" x14ac:dyDescent="0.25">
      <c r="A1479" s="200">
        <f>Prog_236[[#This Row],[CONTEINER]]</f>
        <v>0</v>
      </c>
      <c r="B1479" s="86"/>
      <c r="C14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79" s="44"/>
      <c r="E1479" s="66"/>
      <c r="F1479" s="66"/>
      <c r="G1479" s="66"/>
      <c r="H1479" s="44"/>
      <c r="I1479" s="44"/>
      <c r="J1479" s="66"/>
      <c r="K1479" s="66"/>
      <c r="L1479" s="66"/>
      <c r="M1479" s="66"/>
      <c r="N1479" s="66">
        <f>SUM(Prog_236[[#This Row],[TARA]]+Prog_236[[#This Row],[PESO]])</f>
        <v>0</v>
      </c>
      <c r="O1479" s="44"/>
      <c r="P1479" s="66"/>
      <c r="Q1479" s="66"/>
      <c r="R1479" s="66"/>
      <c r="S1479" s="66"/>
      <c r="T1479" s="138" t="str">
        <f>IFERROR(LOOKUP($S1479,MOTORISTAS!$D$3:$D$1048576,MOTORISTAS!E$3:$E$1048576),"")</f>
        <v/>
      </c>
      <c r="U1479" s="138" t="str">
        <f>IFERROR(LOOKUP($S1479,MOTORISTAS!$D$3:$D$1048576,MOTORISTAS!F$3:$F$1048576),"")</f>
        <v/>
      </c>
      <c r="V1479" s="66"/>
      <c r="W1479" s="66"/>
      <c r="X1479" s="66"/>
      <c r="Y1479" s="66"/>
      <c r="Z1479" s="66"/>
      <c r="AA1479" s="66"/>
      <c r="AB1479" s="66"/>
      <c r="AC1479" s="66"/>
      <c r="AD1479" s="66"/>
      <c r="AE1479" s="66"/>
      <c r="AF1479" s="44"/>
      <c r="AG1479" s="254">
        <f>Prog_236[[#This Row],[SAÍDA DO CLIENTE]]-Prog_236[[#This Row],[PROGRAMAÇÃO CLIENTE]]</f>
        <v>0</v>
      </c>
      <c r="AH1479" s="44"/>
      <c r="AI1479" s="66"/>
      <c r="AJ1479" s="66"/>
      <c r="AK1479" s="66"/>
      <c r="AL1479" s="66"/>
      <c r="AM1479" s="66"/>
      <c r="AN1479" s="83"/>
      <c r="AO1479" s="66"/>
      <c r="AP1479" s="66"/>
      <c r="AQ1479" s="66"/>
      <c r="AR1479" s="81"/>
      <c r="AS1479" s="81"/>
      <c r="AT1479" s="81"/>
      <c r="AU1479" s="81"/>
      <c r="AV1479" s="83">
        <f>SUM(Prog_236[[#This Row],[ADIANTAMENTO]]+Prog_236[[#This Row],[SALDO]]+Prog_236[[#This Row],[MARGEM]]+Prog_236[[#This Row],[ESTADIA 1]])</f>
        <v>0</v>
      </c>
      <c r="AW14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79" s="81"/>
      <c r="AY1479" s="81"/>
      <c r="AZ1479" s="81">
        <f>Prog_236[[#This Row],[VLR NF]]*0.1%</f>
        <v>0</v>
      </c>
      <c r="BA1479" s="81">
        <f>Prog_236[[#This Row],[VLR NF]]*0.05%</f>
        <v>0</v>
      </c>
      <c r="BB1479" s="81"/>
      <c r="BC1479" s="81"/>
      <c r="BD1479" s="81"/>
      <c r="BE1479" s="81"/>
      <c r="BF1479" s="81"/>
      <c r="BG1479" s="81"/>
      <c r="BH1479" s="81"/>
      <c r="BI1479" s="81"/>
      <c r="BJ1479" s="81"/>
      <c r="BK1479" s="81"/>
      <c r="BL1479" s="66"/>
      <c r="BM1479" s="66"/>
      <c r="BN1479" s="66"/>
      <c r="BO1479" s="66" t="str">
        <f>PROPER(TEXT(Prog_236[[#This Row],[PROGRAMAÇÃO CLIENTE]],"mmm"))</f>
        <v>Jan</v>
      </c>
      <c r="BP1479" s="66">
        <f>YEAR(Prog_236[[#This Row],[PROGRAMAÇÃO CLIENTE]])</f>
        <v>1900</v>
      </c>
    </row>
    <row r="1480" spans="1:68" x14ac:dyDescent="0.25">
      <c r="A1480" s="201">
        <f>Prog_236[[#This Row],[CONTEINER]]</f>
        <v>0</v>
      </c>
      <c r="B1480" s="86"/>
      <c r="C14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0" s="44"/>
      <c r="E1480" s="66"/>
      <c r="F1480" s="66"/>
      <c r="G1480" s="66"/>
      <c r="H1480" s="44"/>
      <c r="I1480" s="44"/>
      <c r="J1480" s="66"/>
      <c r="K1480" s="66"/>
      <c r="L1480" s="66"/>
      <c r="M1480" s="66"/>
      <c r="N1480" s="66">
        <f>SUM(Prog_236[[#This Row],[TARA]]+Prog_236[[#This Row],[PESO]])</f>
        <v>0</v>
      </c>
      <c r="O1480" s="44"/>
      <c r="P1480" s="66"/>
      <c r="Q1480" s="66"/>
      <c r="R1480" s="66"/>
      <c r="S1480" s="66"/>
      <c r="T1480" s="138" t="str">
        <f>IFERROR(LOOKUP($S1480,MOTORISTAS!$D$3:$D$1048576,MOTORISTAS!E$3:$E$1048576),"")</f>
        <v/>
      </c>
      <c r="U1480" s="138" t="str">
        <f>IFERROR(LOOKUP($S1480,MOTORISTAS!$D$3:$D$1048576,MOTORISTAS!F$3:$F$1048576),"")</f>
        <v/>
      </c>
      <c r="V1480" s="66"/>
      <c r="W1480" s="66"/>
      <c r="X1480" s="66"/>
      <c r="Y1480" s="66"/>
      <c r="Z1480" s="66"/>
      <c r="AA1480" s="66"/>
      <c r="AB1480" s="66"/>
      <c r="AC1480" s="66"/>
      <c r="AD1480" s="66"/>
      <c r="AE1480" s="66"/>
      <c r="AF1480" s="44"/>
      <c r="AG1480" s="254">
        <f>Prog_236[[#This Row],[SAÍDA DO CLIENTE]]-Prog_236[[#This Row],[PROGRAMAÇÃO CLIENTE]]</f>
        <v>0</v>
      </c>
      <c r="AH1480" s="44"/>
      <c r="AI1480" s="66"/>
      <c r="AJ1480" s="66"/>
      <c r="AK1480" s="66"/>
      <c r="AL1480" s="66"/>
      <c r="AM1480" s="66"/>
      <c r="AN1480" s="83"/>
      <c r="AO1480" s="66"/>
      <c r="AP1480" s="66"/>
      <c r="AQ1480" s="66"/>
      <c r="AR1480" s="81"/>
      <c r="AS1480" s="81"/>
      <c r="AT1480" s="81"/>
      <c r="AU1480" s="81"/>
      <c r="AV1480" s="83">
        <f>SUM(Prog_236[[#This Row],[ADIANTAMENTO]]+Prog_236[[#This Row],[SALDO]]+Prog_236[[#This Row],[MARGEM]]+Prog_236[[#This Row],[ESTADIA 1]])</f>
        <v>0</v>
      </c>
      <c r="AW14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0" s="81"/>
      <c r="AY1480" s="81"/>
      <c r="AZ1480" s="81">
        <f>Prog_236[[#This Row],[VLR NF]]*0.1%</f>
        <v>0</v>
      </c>
      <c r="BA1480" s="81">
        <f>Prog_236[[#This Row],[VLR NF]]*0.05%</f>
        <v>0</v>
      </c>
      <c r="BB1480" s="81"/>
      <c r="BC1480" s="81"/>
      <c r="BD1480" s="81"/>
      <c r="BE1480" s="81"/>
      <c r="BF1480" s="81"/>
      <c r="BG1480" s="81"/>
      <c r="BH1480" s="81"/>
      <c r="BI1480" s="81"/>
      <c r="BJ1480" s="81"/>
      <c r="BK1480" s="81"/>
      <c r="BL1480" s="66"/>
      <c r="BM1480" s="66"/>
      <c r="BN1480" s="66"/>
      <c r="BO1480" s="66" t="str">
        <f>PROPER(TEXT(Prog_236[[#This Row],[PROGRAMAÇÃO CLIENTE]],"mmm"))</f>
        <v>Jan</v>
      </c>
      <c r="BP1480" s="66">
        <f>YEAR(Prog_236[[#This Row],[PROGRAMAÇÃO CLIENTE]])</f>
        <v>1900</v>
      </c>
    </row>
    <row r="1481" spans="1:68" x14ac:dyDescent="0.25">
      <c r="A1481" s="200">
        <f>Prog_236[[#This Row],[CONTEINER]]</f>
        <v>0</v>
      </c>
      <c r="B1481" s="86"/>
      <c r="C148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1" s="44"/>
      <c r="E1481" s="66"/>
      <c r="F1481" s="66"/>
      <c r="G1481" s="66"/>
      <c r="H1481" s="44"/>
      <c r="I1481" s="44"/>
      <c r="J1481" s="66"/>
      <c r="K1481" s="66"/>
      <c r="L1481" s="66"/>
      <c r="M1481" s="66"/>
      <c r="N1481" s="66">
        <f>SUM(Prog_236[[#This Row],[TARA]]+Prog_236[[#This Row],[PESO]])</f>
        <v>0</v>
      </c>
      <c r="O1481" s="44"/>
      <c r="P1481" s="66"/>
      <c r="Q1481" s="66"/>
      <c r="R1481" s="66"/>
      <c r="S1481" s="66"/>
      <c r="T1481" s="138" t="str">
        <f>IFERROR(LOOKUP($S1481,MOTORISTAS!$D$3:$D$1048576,MOTORISTAS!E$3:$E$1048576),"")</f>
        <v/>
      </c>
      <c r="U1481" s="138" t="str">
        <f>IFERROR(LOOKUP($S1481,MOTORISTAS!$D$3:$D$1048576,MOTORISTAS!F$3:$F$1048576),"")</f>
        <v/>
      </c>
      <c r="V1481" s="66"/>
      <c r="W1481" s="66"/>
      <c r="X1481" s="66"/>
      <c r="Y1481" s="66"/>
      <c r="Z1481" s="66"/>
      <c r="AA1481" s="66"/>
      <c r="AB1481" s="66"/>
      <c r="AC1481" s="66"/>
      <c r="AD1481" s="66"/>
      <c r="AE1481" s="66"/>
      <c r="AF1481" s="44"/>
      <c r="AG1481" s="254">
        <f>Prog_236[[#This Row],[SAÍDA DO CLIENTE]]-Prog_236[[#This Row],[PROGRAMAÇÃO CLIENTE]]</f>
        <v>0</v>
      </c>
      <c r="AH1481" s="44"/>
      <c r="AI1481" s="66"/>
      <c r="AJ1481" s="66"/>
      <c r="AK1481" s="66"/>
      <c r="AL1481" s="66"/>
      <c r="AM1481" s="66"/>
      <c r="AN1481" s="83"/>
      <c r="AO1481" s="66"/>
      <c r="AP1481" s="66"/>
      <c r="AQ1481" s="66"/>
      <c r="AR1481" s="81"/>
      <c r="AS1481" s="81"/>
      <c r="AT1481" s="81"/>
      <c r="AU1481" s="81"/>
      <c r="AV1481" s="83">
        <f>SUM(Prog_236[[#This Row],[ADIANTAMENTO]]+Prog_236[[#This Row],[SALDO]]+Prog_236[[#This Row],[MARGEM]]+Prog_236[[#This Row],[ESTADIA 1]])</f>
        <v>0</v>
      </c>
      <c r="AW148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1" s="81"/>
      <c r="AY1481" s="81"/>
      <c r="AZ1481" s="81">
        <f>Prog_236[[#This Row],[VLR NF]]*0.1%</f>
        <v>0</v>
      </c>
      <c r="BA1481" s="81">
        <f>Prog_236[[#This Row],[VLR NF]]*0.05%</f>
        <v>0</v>
      </c>
      <c r="BB1481" s="81"/>
      <c r="BC1481" s="81"/>
      <c r="BD1481" s="81"/>
      <c r="BE1481" s="81"/>
      <c r="BF1481" s="81"/>
      <c r="BG1481" s="81"/>
      <c r="BH1481" s="81"/>
      <c r="BI1481" s="81"/>
      <c r="BJ1481" s="81"/>
      <c r="BK1481" s="81"/>
      <c r="BL1481" s="66"/>
      <c r="BM1481" s="66"/>
      <c r="BN1481" s="66"/>
      <c r="BO1481" s="66" t="str">
        <f>PROPER(TEXT(Prog_236[[#This Row],[PROGRAMAÇÃO CLIENTE]],"mmm"))</f>
        <v>Jan</v>
      </c>
      <c r="BP1481" s="66">
        <f>YEAR(Prog_236[[#This Row],[PROGRAMAÇÃO CLIENTE]])</f>
        <v>1900</v>
      </c>
    </row>
    <row r="1482" spans="1:68" x14ac:dyDescent="0.25">
      <c r="A1482" s="201">
        <f>Prog_236[[#This Row],[CONTEINER]]</f>
        <v>0</v>
      </c>
      <c r="B1482" s="86"/>
      <c r="C148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2" s="44"/>
      <c r="E1482" s="66"/>
      <c r="F1482" s="66"/>
      <c r="G1482" s="66"/>
      <c r="H1482" s="44"/>
      <c r="I1482" s="44"/>
      <c r="J1482" s="66"/>
      <c r="K1482" s="66"/>
      <c r="L1482" s="66"/>
      <c r="M1482" s="66"/>
      <c r="N1482" s="66">
        <f>SUM(Prog_236[[#This Row],[TARA]]+Prog_236[[#This Row],[PESO]])</f>
        <v>0</v>
      </c>
      <c r="O1482" s="44"/>
      <c r="P1482" s="66"/>
      <c r="Q1482" s="66"/>
      <c r="R1482" s="66"/>
      <c r="S1482" s="66"/>
      <c r="T1482" s="138" t="str">
        <f>IFERROR(LOOKUP($S1482,MOTORISTAS!$D$3:$D$1048576,MOTORISTAS!E$3:$E$1048576),"")</f>
        <v/>
      </c>
      <c r="U1482" s="138" t="str">
        <f>IFERROR(LOOKUP($S1482,MOTORISTAS!$D$3:$D$1048576,MOTORISTAS!F$3:$F$1048576),"")</f>
        <v/>
      </c>
      <c r="V1482" s="66"/>
      <c r="W1482" s="66"/>
      <c r="X1482" s="66"/>
      <c r="Y1482" s="66"/>
      <c r="Z1482" s="66"/>
      <c r="AA1482" s="66"/>
      <c r="AB1482" s="66"/>
      <c r="AC1482" s="66"/>
      <c r="AD1482" s="66"/>
      <c r="AE1482" s="66"/>
      <c r="AF1482" s="44"/>
      <c r="AG1482" s="254">
        <f>Prog_236[[#This Row],[SAÍDA DO CLIENTE]]-Prog_236[[#This Row],[PROGRAMAÇÃO CLIENTE]]</f>
        <v>0</v>
      </c>
      <c r="AH1482" s="44"/>
      <c r="AI1482" s="66"/>
      <c r="AJ1482" s="66"/>
      <c r="AK1482" s="66"/>
      <c r="AL1482" s="66"/>
      <c r="AM1482" s="66"/>
      <c r="AN1482" s="83"/>
      <c r="AO1482" s="66"/>
      <c r="AP1482" s="66"/>
      <c r="AQ1482" s="66"/>
      <c r="AR1482" s="81"/>
      <c r="AS1482" s="81"/>
      <c r="AT1482" s="81"/>
      <c r="AU1482" s="81"/>
      <c r="AV1482" s="83">
        <f>SUM(Prog_236[[#This Row],[ADIANTAMENTO]]+Prog_236[[#This Row],[SALDO]]+Prog_236[[#This Row],[MARGEM]]+Prog_236[[#This Row],[ESTADIA 1]])</f>
        <v>0</v>
      </c>
      <c r="AW148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2" s="81"/>
      <c r="AY1482" s="81"/>
      <c r="AZ1482" s="81">
        <f>Prog_236[[#This Row],[VLR NF]]*0.1%</f>
        <v>0</v>
      </c>
      <c r="BA1482" s="81">
        <f>Prog_236[[#This Row],[VLR NF]]*0.05%</f>
        <v>0</v>
      </c>
      <c r="BB1482" s="81"/>
      <c r="BC1482" s="81"/>
      <c r="BD1482" s="81"/>
      <c r="BE1482" s="81"/>
      <c r="BF1482" s="81"/>
      <c r="BG1482" s="81"/>
      <c r="BH1482" s="81"/>
      <c r="BI1482" s="81"/>
      <c r="BJ1482" s="81"/>
      <c r="BK1482" s="81"/>
      <c r="BL1482" s="66"/>
      <c r="BM1482" s="66"/>
      <c r="BN1482" s="66"/>
      <c r="BO1482" s="66" t="str">
        <f>PROPER(TEXT(Prog_236[[#This Row],[PROGRAMAÇÃO CLIENTE]],"mmm"))</f>
        <v>Jan</v>
      </c>
      <c r="BP1482" s="66">
        <f>YEAR(Prog_236[[#This Row],[PROGRAMAÇÃO CLIENTE]])</f>
        <v>1900</v>
      </c>
    </row>
    <row r="1483" spans="1:68" x14ac:dyDescent="0.25">
      <c r="A1483" s="200">
        <f>Prog_236[[#This Row],[CONTEINER]]</f>
        <v>0</v>
      </c>
      <c r="B1483" s="86"/>
      <c r="C148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3" s="44"/>
      <c r="E1483" s="66"/>
      <c r="F1483" s="66"/>
      <c r="G1483" s="66"/>
      <c r="H1483" s="44"/>
      <c r="I1483" s="44"/>
      <c r="J1483" s="66"/>
      <c r="K1483" s="66"/>
      <c r="L1483" s="66"/>
      <c r="M1483" s="66"/>
      <c r="N1483" s="66">
        <f>SUM(Prog_236[[#This Row],[TARA]]+Prog_236[[#This Row],[PESO]])</f>
        <v>0</v>
      </c>
      <c r="O1483" s="44"/>
      <c r="P1483" s="66"/>
      <c r="Q1483" s="66"/>
      <c r="R1483" s="66"/>
      <c r="S1483" s="66"/>
      <c r="T1483" s="138" t="str">
        <f>IFERROR(LOOKUP($S1483,MOTORISTAS!$D$3:$D$1048576,MOTORISTAS!E$3:$E$1048576),"")</f>
        <v/>
      </c>
      <c r="U1483" s="138" t="str">
        <f>IFERROR(LOOKUP($S1483,MOTORISTAS!$D$3:$D$1048576,MOTORISTAS!F$3:$F$1048576),"")</f>
        <v/>
      </c>
      <c r="V1483" s="66"/>
      <c r="W1483" s="66"/>
      <c r="X1483" s="66"/>
      <c r="Y1483" s="66"/>
      <c r="Z1483" s="66"/>
      <c r="AA1483" s="66"/>
      <c r="AB1483" s="66"/>
      <c r="AC1483" s="66"/>
      <c r="AD1483" s="66"/>
      <c r="AE1483" s="66"/>
      <c r="AF1483" s="44"/>
      <c r="AG1483" s="254">
        <f>Prog_236[[#This Row],[SAÍDA DO CLIENTE]]-Prog_236[[#This Row],[PROGRAMAÇÃO CLIENTE]]</f>
        <v>0</v>
      </c>
      <c r="AH1483" s="44"/>
      <c r="AI1483" s="66"/>
      <c r="AJ1483" s="66"/>
      <c r="AK1483" s="66"/>
      <c r="AL1483" s="66"/>
      <c r="AM1483" s="66"/>
      <c r="AN1483" s="83"/>
      <c r="AO1483" s="66"/>
      <c r="AP1483" s="66"/>
      <c r="AQ1483" s="66"/>
      <c r="AR1483" s="81"/>
      <c r="AS1483" s="81"/>
      <c r="AT1483" s="81"/>
      <c r="AU1483" s="81"/>
      <c r="AV1483" s="83">
        <f>SUM(Prog_236[[#This Row],[ADIANTAMENTO]]+Prog_236[[#This Row],[SALDO]]+Prog_236[[#This Row],[MARGEM]]+Prog_236[[#This Row],[ESTADIA 1]])</f>
        <v>0</v>
      </c>
      <c r="AW148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3" s="81"/>
      <c r="AY1483" s="81"/>
      <c r="AZ1483" s="81">
        <f>Prog_236[[#This Row],[VLR NF]]*0.1%</f>
        <v>0</v>
      </c>
      <c r="BA1483" s="81">
        <f>Prog_236[[#This Row],[VLR NF]]*0.05%</f>
        <v>0</v>
      </c>
      <c r="BB1483" s="81"/>
      <c r="BC1483" s="81"/>
      <c r="BD1483" s="81"/>
      <c r="BE1483" s="81"/>
      <c r="BF1483" s="81"/>
      <c r="BG1483" s="81"/>
      <c r="BH1483" s="81"/>
      <c r="BI1483" s="81"/>
      <c r="BJ1483" s="81"/>
      <c r="BK1483" s="81"/>
      <c r="BL1483" s="66"/>
      <c r="BM1483" s="66"/>
      <c r="BN1483" s="66"/>
      <c r="BO1483" s="66" t="str">
        <f>PROPER(TEXT(Prog_236[[#This Row],[PROGRAMAÇÃO CLIENTE]],"mmm"))</f>
        <v>Jan</v>
      </c>
      <c r="BP1483" s="66">
        <f>YEAR(Prog_236[[#This Row],[PROGRAMAÇÃO CLIENTE]])</f>
        <v>1900</v>
      </c>
    </row>
    <row r="1484" spans="1:68" x14ac:dyDescent="0.25">
      <c r="A1484" s="201">
        <f>Prog_236[[#This Row],[CONTEINER]]</f>
        <v>0</v>
      </c>
      <c r="B1484" s="86"/>
      <c r="C148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4" s="44"/>
      <c r="E1484" s="66"/>
      <c r="F1484" s="66"/>
      <c r="G1484" s="66"/>
      <c r="H1484" s="44"/>
      <c r="I1484" s="44"/>
      <c r="J1484" s="66"/>
      <c r="K1484" s="66"/>
      <c r="L1484" s="66"/>
      <c r="M1484" s="66"/>
      <c r="N1484" s="66">
        <f>SUM(Prog_236[[#This Row],[TARA]]+Prog_236[[#This Row],[PESO]])</f>
        <v>0</v>
      </c>
      <c r="O1484" s="44"/>
      <c r="P1484" s="66"/>
      <c r="Q1484" s="66"/>
      <c r="R1484" s="66"/>
      <c r="S1484" s="66"/>
      <c r="T1484" s="138" t="str">
        <f>IFERROR(LOOKUP($S1484,MOTORISTAS!$D$3:$D$1048576,MOTORISTAS!E$3:$E$1048576),"")</f>
        <v/>
      </c>
      <c r="U1484" s="138" t="str">
        <f>IFERROR(LOOKUP($S1484,MOTORISTAS!$D$3:$D$1048576,MOTORISTAS!F$3:$F$1048576),"")</f>
        <v/>
      </c>
      <c r="V1484" s="66"/>
      <c r="W1484" s="66"/>
      <c r="X1484" s="66"/>
      <c r="Y1484" s="66"/>
      <c r="Z1484" s="66"/>
      <c r="AA1484" s="66"/>
      <c r="AB1484" s="66"/>
      <c r="AC1484" s="66"/>
      <c r="AD1484" s="66"/>
      <c r="AE1484" s="66"/>
      <c r="AF1484" s="44"/>
      <c r="AG1484" s="254">
        <f>Prog_236[[#This Row],[SAÍDA DO CLIENTE]]-Prog_236[[#This Row],[PROGRAMAÇÃO CLIENTE]]</f>
        <v>0</v>
      </c>
      <c r="AH1484" s="44"/>
      <c r="AI1484" s="66"/>
      <c r="AJ1484" s="66"/>
      <c r="AK1484" s="66"/>
      <c r="AL1484" s="66"/>
      <c r="AM1484" s="66"/>
      <c r="AN1484" s="83"/>
      <c r="AO1484" s="66"/>
      <c r="AP1484" s="66"/>
      <c r="AQ1484" s="66"/>
      <c r="AR1484" s="81"/>
      <c r="AS1484" s="81"/>
      <c r="AT1484" s="81"/>
      <c r="AU1484" s="81"/>
      <c r="AV1484" s="83">
        <f>SUM(Prog_236[[#This Row],[ADIANTAMENTO]]+Prog_236[[#This Row],[SALDO]]+Prog_236[[#This Row],[MARGEM]]+Prog_236[[#This Row],[ESTADIA 1]])</f>
        <v>0</v>
      </c>
      <c r="AW148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4" s="81"/>
      <c r="AY1484" s="81"/>
      <c r="AZ1484" s="81">
        <f>Prog_236[[#This Row],[VLR NF]]*0.1%</f>
        <v>0</v>
      </c>
      <c r="BA1484" s="81">
        <f>Prog_236[[#This Row],[VLR NF]]*0.05%</f>
        <v>0</v>
      </c>
      <c r="BB1484" s="81"/>
      <c r="BC1484" s="81"/>
      <c r="BD1484" s="81"/>
      <c r="BE1484" s="81"/>
      <c r="BF1484" s="81"/>
      <c r="BG1484" s="81"/>
      <c r="BH1484" s="81"/>
      <c r="BI1484" s="81"/>
      <c r="BJ1484" s="81"/>
      <c r="BK1484" s="81"/>
      <c r="BL1484" s="66"/>
      <c r="BM1484" s="66"/>
      <c r="BN1484" s="66"/>
      <c r="BO1484" s="66" t="str">
        <f>PROPER(TEXT(Prog_236[[#This Row],[PROGRAMAÇÃO CLIENTE]],"mmm"))</f>
        <v>Jan</v>
      </c>
      <c r="BP1484" s="66">
        <f>YEAR(Prog_236[[#This Row],[PROGRAMAÇÃO CLIENTE]])</f>
        <v>1900</v>
      </c>
    </row>
    <row r="1485" spans="1:68" x14ac:dyDescent="0.25">
      <c r="A1485" s="200">
        <f>Prog_236[[#This Row],[CONTEINER]]</f>
        <v>0</v>
      </c>
      <c r="B1485" s="86"/>
      <c r="C148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5" s="44"/>
      <c r="E1485" s="66"/>
      <c r="F1485" s="66"/>
      <c r="G1485" s="66"/>
      <c r="H1485" s="44"/>
      <c r="I1485" s="44"/>
      <c r="J1485" s="66"/>
      <c r="K1485" s="66"/>
      <c r="L1485" s="66"/>
      <c r="M1485" s="66"/>
      <c r="N1485" s="66">
        <f>SUM(Prog_236[[#This Row],[TARA]]+Prog_236[[#This Row],[PESO]])</f>
        <v>0</v>
      </c>
      <c r="O1485" s="44"/>
      <c r="P1485" s="66"/>
      <c r="Q1485" s="66"/>
      <c r="R1485" s="66"/>
      <c r="S1485" s="66"/>
      <c r="T1485" s="138" t="str">
        <f>IFERROR(LOOKUP($S1485,MOTORISTAS!$D$3:$D$1048576,MOTORISTAS!E$3:$E$1048576),"")</f>
        <v/>
      </c>
      <c r="U1485" s="138" t="str">
        <f>IFERROR(LOOKUP($S1485,MOTORISTAS!$D$3:$D$1048576,MOTORISTAS!F$3:$F$1048576),"")</f>
        <v/>
      </c>
      <c r="V1485" s="66"/>
      <c r="W1485" s="66"/>
      <c r="X1485" s="66"/>
      <c r="Y1485" s="66"/>
      <c r="Z1485" s="66"/>
      <c r="AA1485" s="66"/>
      <c r="AB1485" s="66"/>
      <c r="AC1485" s="66"/>
      <c r="AD1485" s="66"/>
      <c r="AE1485" s="66"/>
      <c r="AF1485" s="44"/>
      <c r="AG1485" s="254">
        <f>Prog_236[[#This Row],[SAÍDA DO CLIENTE]]-Prog_236[[#This Row],[PROGRAMAÇÃO CLIENTE]]</f>
        <v>0</v>
      </c>
      <c r="AH1485" s="44"/>
      <c r="AI1485" s="66"/>
      <c r="AJ1485" s="66"/>
      <c r="AK1485" s="66"/>
      <c r="AL1485" s="66"/>
      <c r="AM1485" s="66"/>
      <c r="AN1485" s="83"/>
      <c r="AO1485" s="66"/>
      <c r="AP1485" s="66"/>
      <c r="AQ1485" s="66"/>
      <c r="AR1485" s="81"/>
      <c r="AS1485" s="81"/>
      <c r="AT1485" s="81"/>
      <c r="AU1485" s="81"/>
      <c r="AV1485" s="83">
        <f>SUM(Prog_236[[#This Row],[ADIANTAMENTO]]+Prog_236[[#This Row],[SALDO]]+Prog_236[[#This Row],[MARGEM]]+Prog_236[[#This Row],[ESTADIA 1]])</f>
        <v>0</v>
      </c>
      <c r="AW148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5" s="81"/>
      <c r="AY1485" s="81"/>
      <c r="AZ1485" s="81">
        <f>Prog_236[[#This Row],[VLR NF]]*0.1%</f>
        <v>0</v>
      </c>
      <c r="BA1485" s="81">
        <f>Prog_236[[#This Row],[VLR NF]]*0.05%</f>
        <v>0</v>
      </c>
      <c r="BB1485" s="81"/>
      <c r="BC1485" s="81"/>
      <c r="BD1485" s="81"/>
      <c r="BE1485" s="81"/>
      <c r="BF1485" s="81"/>
      <c r="BG1485" s="81"/>
      <c r="BH1485" s="81"/>
      <c r="BI1485" s="81"/>
      <c r="BJ1485" s="81"/>
      <c r="BK1485" s="81"/>
      <c r="BL1485" s="66"/>
      <c r="BM1485" s="66"/>
      <c r="BN1485" s="66"/>
      <c r="BO1485" s="66" t="str">
        <f>PROPER(TEXT(Prog_236[[#This Row],[PROGRAMAÇÃO CLIENTE]],"mmm"))</f>
        <v>Jan</v>
      </c>
      <c r="BP1485" s="66">
        <f>YEAR(Prog_236[[#This Row],[PROGRAMAÇÃO CLIENTE]])</f>
        <v>1900</v>
      </c>
    </row>
    <row r="1486" spans="1:68" x14ac:dyDescent="0.25">
      <c r="A1486" s="201">
        <f>Prog_236[[#This Row],[CONTEINER]]</f>
        <v>0</v>
      </c>
      <c r="B1486" s="86"/>
      <c r="C148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6" s="44"/>
      <c r="E1486" s="66"/>
      <c r="F1486" s="66"/>
      <c r="G1486" s="66"/>
      <c r="H1486" s="44"/>
      <c r="I1486" s="44"/>
      <c r="J1486" s="66"/>
      <c r="K1486" s="66"/>
      <c r="L1486" s="66"/>
      <c r="M1486" s="66"/>
      <c r="N1486" s="66">
        <f>SUM(Prog_236[[#This Row],[TARA]]+Prog_236[[#This Row],[PESO]])</f>
        <v>0</v>
      </c>
      <c r="O1486" s="44"/>
      <c r="P1486" s="66"/>
      <c r="Q1486" s="66"/>
      <c r="R1486" s="66"/>
      <c r="S1486" s="66"/>
      <c r="T1486" s="138" t="str">
        <f>IFERROR(LOOKUP($S1486,MOTORISTAS!$D$3:$D$1048576,MOTORISTAS!E$3:$E$1048576),"")</f>
        <v/>
      </c>
      <c r="U1486" s="138" t="str">
        <f>IFERROR(LOOKUP($S1486,MOTORISTAS!$D$3:$D$1048576,MOTORISTAS!F$3:$F$1048576),"")</f>
        <v/>
      </c>
      <c r="V1486" s="66"/>
      <c r="W1486" s="66"/>
      <c r="X1486" s="66"/>
      <c r="Y1486" s="66"/>
      <c r="Z1486" s="66"/>
      <c r="AA1486" s="66"/>
      <c r="AB1486" s="66"/>
      <c r="AC1486" s="66"/>
      <c r="AD1486" s="66"/>
      <c r="AE1486" s="66"/>
      <c r="AF1486" s="44"/>
      <c r="AG1486" s="254">
        <f>Prog_236[[#This Row],[SAÍDA DO CLIENTE]]-Prog_236[[#This Row],[PROGRAMAÇÃO CLIENTE]]</f>
        <v>0</v>
      </c>
      <c r="AH1486" s="44"/>
      <c r="AI1486" s="66"/>
      <c r="AJ1486" s="66"/>
      <c r="AK1486" s="66"/>
      <c r="AL1486" s="66"/>
      <c r="AM1486" s="66"/>
      <c r="AN1486" s="83"/>
      <c r="AO1486" s="66"/>
      <c r="AP1486" s="66"/>
      <c r="AQ1486" s="66"/>
      <c r="AR1486" s="81"/>
      <c r="AS1486" s="81"/>
      <c r="AT1486" s="81"/>
      <c r="AU1486" s="81"/>
      <c r="AV1486" s="83">
        <f>SUM(Prog_236[[#This Row],[ADIANTAMENTO]]+Prog_236[[#This Row],[SALDO]]+Prog_236[[#This Row],[MARGEM]]+Prog_236[[#This Row],[ESTADIA 1]])</f>
        <v>0</v>
      </c>
      <c r="AW148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6" s="81"/>
      <c r="AY1486" s="81"/>
      <c r="AZ1486" s="81">
        <f>Prog_236[[#This Row],[VLR NF]]*0.1%</f>
        <v>0</v>
      </c>
      <c r="BA1486" s="81">
        <f>Prog_236[[#This Row],[VLR NF]]*0.05%</f>
        <v>0</v>
      </c>
      <c r="BB1486" s="81"/>
      <c r="BC1486" s="81"/>
      <c r="BD1486" s="81"/>
      <c r="BE1486" s="81"/>
      <c r="BF1486" s="81"/>
      <c r="BG1486" s="81"/>
      <c r="BH1486" s="81"/>
      <c r="BI1486" s="81"/>
      <c r="BJ1486" s="81"/>
      <c r="BK1486" s="81"/>
      <c r="BL1486" s="66"/>
      <c r="BM1486" s="66"/>
      <c r="BN1486" s="66"/>
      <c r="BO1486" s="66" t="str">
        <f>PROPER(TEXT(Prog_236[[#This Row],[PROGRAMAÇÃO CLIENTE]],"mmm"))</f>
        <v>Jan</v>
      </c>
      <c r="BP1486" s="66">
        <f>YEAR(Prog_236[[#This Row],[PROGRAMAÇÃO CLIENTE]])</f>
        <v>1900</v>
      </c>
    </row>
    <row r="1487" spans="1:68" x14ac:dyDescent="0.25">
      <c r="A1487" s="200">
        <f>Prog_236[[#This Row],[CONTEINER]]</f>
        <v>0</v>
      </c>
      <c r="B1487" s="86"/>
      <c r="C148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7" s="44"/>
      <c r="E1487" s="66"/>
      <c r="F1487" s="66"/>
      <c r="G1487" s="66"/>
      <c r="H1487" s="44"/>
      <c r="I1487" s="44"/>
      <c r="J1487" s="66"/>
      <c r="K1487" s="66"/>
      <c r="L1487" s="66"/>
      <c r="M1487" s="66"/>
      <c r="N1487" s="66">
        <f>SUM(Prog_236[[#This Row],[TARA]]+Prog_236[[#This Row],[PESO]])</f>
        <v>0</v>
      </c>
      <c r="O1487" s="44"/>
      <c r="P1487" s="66"/>
      <c r="Q1487" s="66"/>
      <c r="R1487" s="66"/>
      <c r="S1487" s="66"/>
      <c r="T1487" s="138" t="str">
        <f>IFERROR(LOOKUP($S1487,MOTORISTAS!$D$3:$D$1048576,MOTORISTAS!E$3:$E$1048576),"")</f>
        <v/>
      </c>
      <c r="U1487" s="138" t="str">
        <f>IFERROR(LOOKUP($S1487,MOTORISTAS!$D$3:$D$1048576,MOTORISTAS!F$3:$F$1048576),"")</f>
        <v/>
      </c>
      <c r="V1487" s="66"/>
      <c r="W1487" s="66"/>
      <c r="X1487" s="66"/>
      <c r="Y1487" s="66"/>
      <c r="Z1487" s="66"/>
      <c r="AA1487" s="66"/>
      <c r="AB1487" s="66"/>
      <c r="AC1487" s="66"/>
      <c r="AD1487" s="66"/>
      <c r="AE1487" s="66"/>
      <c r="AF1487" s="44"/>
      <c r="AG1487" s="254">
        <f>Prog_236[[#This Row],[SAÍDA DO CLIENTE]]-Prog_236[[#This Row],[PROGRAMAÇÃO CLIENTE]]</f>
        <v>0</v>
      </c>
      <c r="AH1487" s="44"/>
      <c r="AI1487" s="66"/>
      <c r="AJ1487" s="66"/>
      <c r="AK1487" s="66"/>
      <c r="AL1487" s="66"/>
      <c r="AM1487" s="66"/>
      <c r="AN1487" s="83"/>
      <c r="AO1487" s="66"/>
      <c r="AP1487" s="66"/>
      <c r="AQ1487" s="66"/>
      <c r="AR1487" s="81"/>
      <c r="AS1487" s="81"/>
      <c r="AT1487" s="81"/>
      <c r="AU1487" s="81"/>
      <c r="AV1487" s="83">
        <f>SUM(Prog_236[[#This Row],[ADIANTAMENTO]]+Prog_236[[#This Row],[SALDO]]+Prog_236[[#This Row],[MARGEM]]+Prog_236[[#This Row],[ESTADIA 1]])</f>
        <v>0</v>
      </c>
      <c r="AW148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7" s="81"/>
      <c r="AY1487" s="81"/>
      <c r="AZ1487" s="81">
        <f>Prog_236[[#This Row],[VLR NF]]*0.1%</f>
        <v>0</v>
      </c>
      <c r="BA1487" s="81">
        <f>Prog_236[[#This Row],[VLR NF]]*0.05%</f>
        <v>0</v>
      </c>
      <c r="BB1487" s="81"/>
      <c r="BC1487" s="81"/>
      <c r="BD1487" s="81"/>
      <c r="BE1487" s="81"/>
      <c r="BF1487" s="81"/>
      <c r="BG1487" s="81"/>
      <c r="BH1487" s="81"/>
      <c r="BI1487" s="81"/>
      <c r="BJ1487" s="81"/>
      <c r="BK1487" s="81"/>
      <c r="BL1487" s="66"/>
      <c r="BM1487" s="66"/>
      <c r="BN1487" s="66"/>
      <c r="BO1487" s="66" t="str">
        <f>PROPER(TEXT(Prog_236[[#This Row],[PROGRAMAÇÃO CLIENTE]],"mmm"))</f>
        <v>Jan</v>
      </c>
      <c r="BP1487" s="66">
        <f>YEAR(Prog_236[[#This Row],[PROGRAMAÇÃO CLIENTE]])</f>
        <v>1900</v>
      </c>
    </row>
    <row r="1488" spans="1:68" x14ac:dyDescent="0.25">
      <c r="A1488" s="201">
        <f>Prog_236[[#This Row],[CONTEINER]]</f>
        <v>0</v>
      </c>
      <c r="B1488" s="86"/>
      <c r="C148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8" s="44"/>
      <c r="E1488" s="66"/>
      <c r="F1488" s="66"/>
      <c r="G1488" s="66"/>
      <c r="H1488" s="44"/>
      <c r="I1488" s="44"/>
      <c r="J1488" s="66"/>
      <c r="K1488" s="66"/>
      <c r="L1488" s="66"/>
      <c r="M1488" s="66"/>
      <c r="N1488" s="66">
        <f>SUM(Prog_236[[#This Row],[TARA]]+Prog_236[[#This Row],[PESO]])</f>
        <v>0</v>
      </c>
      <c r="O1488" s="44"/>
      <c r="P1488" s="66"/>
      <c r="Q1488" s="66"/>
      <c r="R1488" s="66"/>
      <c r="S1488" s="66"/>
      <c r="T1488" s="138" t="str">
        <f>IFERROR(LOOKUP($S1488,MOTORISTAS!$D$3:$D$1048576,MOTORISTAS!E$3:$E$1048576),"")</f>
        <v/>
      </c>
      <c r="U1488" s="138" t="str">
        <f>IFERROR(LOOKUP($S1488,MOTORISTAS!$D$3:$D$1048576,MOTORISTAS!F$3:$F$1048576),"")</f>
        <v/>
      </c>
      <c r="V1488" s="66"/>
      <c r="W1488" s="66"/>
      <c r="X1488" s="66"/>
      <c r="Y1488" s="66"/>
      <c r="Z1488" s="66"/>
      <c r="AA1488" s="66"/>
      <c r="AB1488" s="66"/>
      <c r="AC1488" s="66"/>
      <c r="AD1488" s="66"/>
      <c r="AE1488" s="66"/>
      <c r="AF1488" s="44"/>
      <c r="AG1488" s="254">
        <f>Prog_236[[#This Row],[SAÍDA DO CLIENTE]]-Prog_236[[#This Row],[PROGRAMAÇÃO CLIENTE]]</f>
        <v>0</v>
      </c>
      <c r="AH1488" s="44"/>
      <c r="AI1488" s="66"/>
      <c r="AJ1488" s="66"/>
      <c r="AK1488" s="66"/>
      <c r="AL1488" s="66"/>
      <c r="AM1488" s="66"/>
      <c r="AN1488" s="83"/>
      <c r="AO1488" s="66"/>
      <c r="AP1488" s="66"/>
      <c r="AQ1488" s="66"/>
      <c r="AR1488" s="81"/>
      <c r="AS1488" s="81"/>
      <c r="AT1488" s="81"/>
      <c r="AU1488" s="81"/>
      <c r="AV1488" s="83">
        <f>SUM(Prog_236[[#This Row],[ADIANTAMENTO]]+Prog_236[[#This Row],[SALDO]]+Prog_236[[#This Row],[MARGEM]]+Prog_236[[#This Row],[ESTADIA 1]])</f>
        <v>0</v>
      </c>
      <c r="AW148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8" s="81"/>
      <c r="AY1488" s="81"/>
      <c r="AZ1488" s="81">
        <f>Prog_236[[#This Row],[VLR NF]]*0.1%</f>
        <v>0</v>
      </c>
      <c r="BA1488" s="81">
        <f>Prog_236[[#This Row],[VLR NF]]*0.05%</f>
        <v>0</v>
      </c>
      <c r="BB1488" s="81"/>
      <c r="BC1488" s="81"/>
      <c r="BD1488" s="81"/>
      <c r="BE1488" s="81"/>
      <c r="BF1488" s="81"/>
      <c r="BG1488" s="81"/>
      <c r="BH1488" s="81"/>
      <c r="BI1488" s="81"/>
      <c r="BJ1488" s="81"/>
      <c r="BK1488" s="81"/>
      <c r="BL1488" s="66"/>
      <c r="BM1488" s="66"/>
      <c r="BN1488" s="66"/>
      <c r="BO1488" s="66" t="str">
        <f>PROPER(TEXT(Prog_236[[#This Row],[PROGRAMAÇÃO CLIENTE]],"mmm"))</f>
        <v>Jan</v>
      </c>
      <c r="BP1488" s="66">
        <f>YEAR(Prog_236[[#This Row],[PROGRAMAÇÃO CLIENTE]])</f>
        <v>1900</v>
      </c>
    </row>
    <row r="1489" spans="1:68" x14ac:dyDescent="0.25">
      <c r="A1489" s="200">
        <f>Prog_236[[#This Row],[CONTEINER]]</f>
        <v>0</v>
      </c>
      <c r="B1489" s="86"/>
      <c r="C148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89" s="44"/>
      <c r="E1489" s="66"/>
      <c r="F1489" s="66"/>
      <c r="G1489" s="66"/>
      <c r="H1489" s="44"/>
      <c r="I1489" s="44"/>
      <c r="J1489" s="66"/>
      <c r="K1489" s="66"/>
      <c r="L1489" s="66"/>
      <c r="M1489" s="66"/>
      <c r="N1489" s="66">
        <f>SUM(Prog_236[[#This Row],[TARA]]+Prog_236[[#This Row],[PESO]])</f>
        <v>0</v>
      </c>
      <c r="O1489" s="44"/>
      <c r="P1489" s="66"/>
      <c r="Q1489" s="66"/>
      <c r="R1489" s="66"/>
      <c r="S1489" s="66"/>
      <c r="T1489" s="138" t="str">
        <f>IFERROR(LOOKUP($S1489,MOTORISTAS!$D$3:$D$1048576,MOTORISTAS!E$3:$E$1048576),"")</f>
        <v/>
      </c>
      <c r="U1489" s="138" t="str">
        <f>IFERROR(LOOKUP($S1489,MOTORISTAS!$D$3:$D$1048576,MOTORISTAS!F$3:$F$1048576),"")</f>
        <v/>
      </c>
      <c r="V1489" s="66"/>
      <c r="W1489" s="66"/>
      <c r="X1489" s="66"/>
      <c r="Y1489" s="66"/>
      <c r="Z1489" s="66"/>
      <c r="AA1489" s="66"/>
      <c r="AB1489" s="66"/>
      <c r="AC1489" s="66"/>
      <c r="AD1489" s="66"/>
      <c r="AE1489" s="66"/>
      <c r="AF1489" s="44"/>
      <c r="AG1489" s="254">
        <f>Prog_236[[#This Row],[SAÍDA DO CLIENTE]]-Prog_236[[#This Row],[PROGRAMAÇÃO CLIENTE]]</f>
        <v>0</v>
      </c>
      <c r="AH1489" s="44"/>
      <c r="AI1489" s="66"/>
      <c r="AJ1489" s="66"/>
      <c r="AK1489" s="66"/>
      <c r="AL1489" s="66"/>
      <c r="AM1489" s="66"/>
      <c r="AN1489" s="83"/>
      <c r="AO1489" s="66"/>
      <c r="AP1489" s="66"/>
      <c r="AQ1489" s="66"/>
      <c r="AR1489" s="81"/>
      <c r="AS1489" s="81"/>
      <c r="AT1489" s="81"/>
      <c r="AU1489" s="81"/>
      <c r="AV1489" s="83">
        <f>SUM(Prog_236[[#This Row],[ADIANTAMENTO]]+Prog_236[[#This Row],[SALDO]]+Prog_236[[#This Row],[MARGEM]]+Prog_236[[#This Row],[ESTADIA 1]])</f>
        <v>0</v>
      </c>
      <c r="AW148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89" s="81"/>
      <c r="AY1489" s="81"/>
      <c r="AZ1489" s="81">
        <f>Prog_236[[#This Row],[VLR NF]]*0.1%</f>
        <v>0</v>
      </c>
      <c r="BA1489" s="81">
        <f>Prog_236[[#This Row],[VLR NF]]*0.05%</f>
        <v>0</v>
      </c>
      <c r="BB1489" s="81"/>
      <c r="BC1489" s="81"/>
      <c r="BD1489" s="81"/>
      <c r="BE1489" s="81"/>
      <c r="BF1489" s="81"/>
      <c r="BG1489" s="81"/>
      <c r="BH1489" s="81"/>
      <c r="BI1489" s="81"/>
      <c r="BJ1489" s="81"/>
      <c r="BK1489" s="81"/>
      <c r="BL1489" s="66"/>
      <c r="BM1489" s="66"/>
      <c r="BN1489" s="66"/>
      <c r="BO1489" s="66" t="str">
        <f>PROPER(TEXT(Prog_236[[#This Row],[PROGRAMAÇÃO CLIENTE]],"mmm"))</f>
        <v>Jan</v>
      </c>
      <c r="BP1489" s="66">
        <f>YEAR(Prog_236[[#This Row],[PROGRAMAÇÃO CLIENTE]])</f>
        <v>1900</v>
      </c>
    </row>
    <row r="1490" spans="1:68" x14ac:dyDescent="0.25">
      <c r="A1490" s="201">
        <f>Prog_236[[#This Row],[CONTEINER]]</f>
        <v>0</v>
      </c>
      <c r="B1490" s="86"/>
      <c r="C149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0" s="44"/>
      <c r="E1490" s="66"/>
      <c r="F1490" s="66"/>
      <c r="G1490" s="66"/>
      <c r="H1490" s="44"/>
      <c r="I1490" s="44"/>
      <c r="J1490" s="66"/>
      <c r="K1490" s="66"/>
      <c r="L1490" s="66"/>
      <c r="M1490" s="66"/>
      <c r="N1490" s="66">
        <f>SUM(Prog_236[[#This Row],[TARA]]+Prog_236[[#This Row],[PESO]])</f>
        <v>0</v>
      </c>
      <c r="O1490" s="44"/>
      <c r="P1490" s="66"/>
      <c r="Q1490" s="66"/>
      <c r="R1490" s="66"/>
      <c r="S1490" s="66"/>
      <c r="T1490" s="138" t="str">
        <f>IFERROR(LOOKUP($S1490,MOTORISTAS!$D$3:$D$1048576,MOTORISTAS!E$3:$E$1048576),"")</f>
        <v/>
      </c>
      <c r="U1490" s="138" t="str">
        <f>IFERROR(LOOKUP($S1490,MOTORISTAS!$D$3:$D$1048576,MOTORISTAS!F$3:$F$1048576),"")</f>
        <v/>
      </c>
      <c r="V1490" s="66"/>
      <c r="W1490" s="66"/>
      <c r="X1490" s="66"/>
      <c r="Y1490" s="66"/>
      <c r="Z1490" s="66"/>
      <c r="AA1490" s="66"/>
      <c r="AB1490" s="66"/>
      <c r="AC1490" s="66"/>
      <c r="AD1490" s="66"/>
      <c r="AE1490" s="66"/>
      <c r="AF1490" s="44"/>
      <c r="AG1490" s="254">
        <f>Prog_236[[#This Row],[SAÍDA DO CLIENTE]]-Prog_236[[#This Row],[PROGRAMAÇÃO CLIENTE]]</f>
        <v>0</v>
      </c>
      <c r="AH1490" s="44"/>
      <c r="AI1490" s="66"/>
      <c r="AJ1490" s="66"/>
      <c r="AK1490" s="66"/>
      <c r="AL1490" s="66"/>
      <c r="AM1490" s="66"/>
      <c r="AN1490" s="83"/>
      <c r="AO1490" s="66"/>
      <c r="AP1490" s="66"/>
      <c r="AQ1490" s="66"/>
      <c r="AR1490" s="81"/>
      <c r="AS1490" s="81"/>
      <c r="AT1490" s="81"/>
      <c r="AU1490" s="81"/>
      <c r="AV1490" s="83">
        <f>SUM(Prog_236[[#This Row],[ADIANTAMENTO]]+Prog_236[[#This Row],[SALDO]]+Prog_236[[#This Row],[MARGEM]]+Prog_236[[#This Row],[ESTADIA 1]])</f>
        <v>0</v>
      </c>
      <c r="AW149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0" s="81"/>
      <c r="AY1490" s="81"/>
      <c r="AZ1490" s="81">
        <f>Prog_236[[#This Row],[VLR NF]]*0.1%</f>
        <v>0</v>
      </c>
      <c r="BA1490" s="81">
        <f>Prog_236[[#This Row],[VLR NF]]*0.05%</f>
        <v>0</v>
      </c>
      <c r="BB1490" s="81"/>
      <c r="BC1490" s="81"/>
      <c r="BD1490" s="81"/>
      <c r="BE1490" s="81"/>
      <c r="BF1490" s="81"/>
      <c r="BG1490" s="81"/>
      <c r="BH1490" s="81"/>
      <c r="BI1490" s="81"/>
      <c r="BJ1490" s="81"/>
      <c r="BK1490" s="81"/>
      <c r="BL1490" s="66"/>
      <c r="BM1490" s="66"/>
      <c r="BN1490" s="66"/>
      <c r="BO1490" s="66" t="str">
        <f>PROPER(TEXT(Prog_236[[#This Row],[PROGRAMAÇÃO CLIENTE]],"mmm"))</f>
        <v>Jan</v>
      </c>
      <c r="BP1490" s="66">
        <f>YEAR(Prog_236[[#This Row],[PROGRAMAÇÃO CLIENTE]])</f>
        <v>1900</v>
      </c>
    </row>
    <row r="1491" spans="1:68" x14ac:dyDescent="0.25">
      <c r="A1491" s="200">
        <f>Prog_236[[#This Row],[CONTEINER]]</f>
        <v>0</v>
      </c>
      <c r="B1491" s="86"/>
      <c r="C149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1" s="44"/>
      <c r="E1491" s="66"/>
      <c r="F1491" s="66"/>
      <c r="G1491" s="66"/>
      <c r="H1491" s="44"/>
      <c r="I1491" s="44"/>
      <c r="J1491" s="66"/>
      <c r="K1491" s="66"/>
      <c r="L1491" s="66"/>
      <c r="M1491" s="66"/>
      <c r="N1491" s="66">
        <f>SUM(Prog_236[[#This Row],[TARA]]+Prog_236[[#This Row],[PESO]])</f>
        <v>0</v>
      </c>
      <c r="O1491" s="44"/>
      <c r="P1491" s="66"/>
      <c r="Q1491" s="66"/>
      <c r="R1491" s="66"/>
      <c r="S1491" s="66"/>
      <c r="T1491" s="138" t="str">
        <f>IFERROR(LOOKUP($S1491,MOTORISTAS!$D$3:$D$1048576,MOTORISTAS!E$3:$E$1048576),"")</f>
        <v/>
      </c>
      <c r="U1491" s="138" t="str">
        <f>IFERROR(LOOKUP($S1491,MOTORISTAS!$D$3:$D$1048576,MOTORISTAS!F$3:$F$1048576),"")</f>
        <v/>
      </c>
      <c r="V1491" s="66"/>
      <c r="W1491" s="66"/>
      <c r="X1491" s="66"/>
      <c r="Y1491" s="66"/>
      <c r="Z1491" s="66"/>
      <c r="AA1491" s="66"/>
      <c r="AB1491" s="66"/>
      <c r="AC1491" s="66"/>
      <c r="AD1491" s="66"/>
      <c r="AE1491" s="66"/>
      <c r="AF1491" s="44"/>
      <c r="AG1491" s="254">
        <f>Prog_236[[#This Row],[SAÍDA DO CLIENTE]]-Prog_236[[#This Row],[PROGRAMAÇÃO CLIENTE]]</f>
        <v>0</v>
      </c>
      <c r="AH1491" s="44"/>
      <c r="AI1491" s="66"/>
      <c r="AJ1491" s="66"/>
      <c r="AK1491" s="66"/>
      <c r="AL1491" s="66"/>
      <c r="AM1491" s="66"/>
      <c r="AN1491" s="83"/>
      <c r="AO1491" s="66"/>
      <c r="AP1491" s="66"/>
      <c r="AQ1491" s="66"/>
      <c r="AR1491" s="81"/>
      <c r="AS1491" s="81"/>
      <c r="AT1491" s="81"/>
      <c r="AU1491" s="81"/>
      <c r="AV1491" s="83">
        <f>SUM(Prog_236[[#This Row],[ADIANTAMENTO]]+Prog_236[[#This Row],[SALDO]]+Prog_236[[#This Row],[MARGEM]]+Prog_236[[#This Row],[ESTADIA 1]])</f>
        <v>0</v>
      </c>
      <c r="AW149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1" s="81"/>
      <c r="AY1491" s="81"/>
      <c r="AZ1491" s="81">
        <f>Prog_236[[#This Row],[VLR NF]]*0.1%</f>
        <v>0</v>
      </c>
      <c r="BA1491" s="81">
        <f>Prog_236[[#This Row],[VLR NF]]*0.05%</f>
        <v>0</v>
      </c>
      <c r="BB1491" s="81"/>
      <c r="BC1491" s="81"/>
      <c r="BD1491" s="81"/>
      <c r="BE1491" s="81"/>
      <c r="BF1491" s="81"/>
      <c r="BG1491" s="81"/>
      <c r="BH1491" s="81"/>
      <c r="BI1491" s="81"/>
      <c r="BJ1491" s="81"/>
      <c r="BK1491" s="81"/>
      <c r="BL1491" s="66"/>
      <c r="BM1491" s="66"/>
      <c r="BN1491" s="66"/>
      <c r="BO1491" s="66" t="str">
        <f>PROPER(TEXT(Prog_236[[#This Row],[PROGRAMAÇÃO CLIENTE]],"mmm"))</f>
        <v>Jan</v>
      </c>
      <c r="BP1491" s="66">
        <f>YEAR(Prog_236[[#This Row],[PROGRAMAÇÃO CLIENTE]])</f>
        <v>1900</v>
      </c>
    </row>
    <row r="1492" spans="1:68" x14ac:dyDescent="0.25">
      <c r="A1492" s="201">
        <f>Prog_236[[#This Row],[CONTEINER]]</f>
        <v>0</v>
      </c>
      <c r="B1492" s="86"/>
      <c r="C149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2" s="44"/>
      <c r="E1492" s="66"/>
      <c r="F1492" s="66"/>
      <c r="G1492" s="66"/>
      <c r="H1492" s="44"/>
      <c r="I1492" s="44"/>
      <c r="J1492" s="66"/>
      <c r="K1492" s="66"/>
      <c r="L1492" s="66"/>
      <c r="M1492" s="66"/>
      <c r="N1492" s="66">
        <f>SUM(Prog_236[[#This Row],[TARA]]+Prog_236[[#This Row],[PESO]])</f>
        <v>0</v>
      </c>
      <c r="O1492" s="44"/>
      <c r="P1492" s="66"/>
      <c r="Q1492" s="66"/>
      <c r="R1492" s="66"/>
      <c r="S1492" s="66"/>
      <c r="T1492" s="138" t="str">
        <f>IFERROR(LOOKUP($S1492,MOTORISTAS!$D$3:$D$1048576,MOTORISTAS!E$3:$E$1048576),"")</f>
        <v/>
      </c>
      <c r="U1492" s="138" t="str">
        <f>IFERROR(LOOKUP($S1492,MOTORISTAS!$D$3:$D$1048576,MOTORISTAS!F$3:$F$1048576),"")</f>
        <v/>
      </c>
      <c r="V1492" s="66"/>
      <c r="W1492" s="66"/>
      <c r="X1492" s="66"/>
      <c r="Y1492" s="66"/>
      <c r="Z1492" s="66"/>
      <c r="AA1492" s="66"/>
      <c r="AB1492" s="66"/>
      <c r="AC1492" s="66"/>
      <c r="AD1492" s="66"/>
      <c r="AE1492" s="66"/>
      <c r="AF1492" s="44"/>
      <c r="AG1492" s="254">
        <f>Prog_236[[#This Row],[SAÍDA DO CLIENTE]]-Prog_236[[#This Row],[PROGRAMAÇÃO CLIENTE]]</f>
        <v>0</v>
      </c>
      <c r="AH1492" s="44"/>
      <c r="AI1492" s="66"/>
      <c r="AJ1492" s="66"/>
      <c r="AK1492" s="66"/>
      <c r="AL1492" s="66"/>
      <c r="AM1492" s="66"/>
      <c r="AN1492" s="83"/>
      <c r="AO1492" s="66"/>
      <c r="AP1492" s="66"/>
      <c r="AQ1492" s="66"/>
      <c r="AR1492" s="81"/>
      <c r="AS1492" s="81"/>
      <c r="AT1492" s="81"/>
      <c r="AU1492" s="81"/>
      <c r="AV1492" s="83">
        <f>SUM(Prog_236[[#This Row],[ADIANTAMENTO]]+Prog_236[[#This Row],[SALDO]]+Prog_236[[#This Row],[MARGEM]]+Prog_236[[#This Row],[ESTADIA 1]])</f>
        <v>0</v>
      </c>
      <c r="AW149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2" s="81"/>
      <c r="AY1492" s="81"/>
      <c r="AZ1492" s="81">
        <f>Prog_236[[#This Row],[VLR NF]]*0.1%</f>
        <v>0</v>
      </c>
      <c r="BA1492" s="81">
        <f>Prog_236[[#This Row],[VLR NF]]*0.05%</f>
        <v>0</v>
      </c>
      <c r="BB1492" s="81"/>
      <c r="BC1492" s="81"/>
      <c r="BD1492" s="81"/>
      <c r="BE1492" s="81"/>
      <c r="BF1492" s="81"/>
      <c r="BG1492" s="81"/>
      <c r="BH1492" s="81"/>
      <c r="BI1492" s="81"/>
      <c r="BJ1492" s="81"/>
      <c r="BK1492" s="81"/>
      <c r="BL1492" s="66"/>
      <c r="BM1492" s="66"/>
      <c r="BN1492" s="66"/>
      <c r="BO1492" s="66" t="str">
        <f>PROPER(TEXT(Prog_236[[#This Row],[PROGRAMAÇÃO CLIENTE]],"mmm"))</f>
        <v>Jan</v>
      </c>
      <c r="BP1492" s="66">
        <f>YEAR(Prog_236[[#This Row],[PROGRAMAÇÃO CLIENTE]])</f>
        <v>1900</v>
      </c>
    </row>
    <row r="1493" spans="1:68" x14ac:dyDescent="0.25">
      <c r="A1493" s="200">
        <f>Prog_236[[#This Row],[CONTEINER]]</f>
        <v>0</v>
      </c>
      <c r="B1493" s="86"/>
      <c r="C149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3" s="44"/>
      <c r="E1493" s="66"/>
      <c r="F1493" s="66"/>
      <c r="G1493" s="66"/>
      <c r="H1493" s="44"/>
      <c r="I1493" s="44"/>
      <c r="J1493" s="66"/>
      <c r="K1493" s="66"/>
      <c r="L1493" s="66"/>
      <c r="M1493" s="66"/>
      <c r="N1493" s="66">
        <f>SUM(Prog_236[[#This Row],[TARA]]+Prog_236[[#This Row],[PESO]])</f>
        <v>0</v>
      </c>
      <c r="O1493" s="44"/>
      <c r="P1493" s="66"/>
      <c r="Q1493" s="66"/>
      <c r="R1493" s="66"/>
      <c r="S1493" s="66"/>
      <c r="T1493" s="138" t="str">
        <f>IFERROR(LOOKUP($S1493,MOTORISTAS!$D$3:$D$1048576,MOTORISTAS!E$3:$E$1048576),"")</f>
        <v/>
      </c>
      <c r="U1493" s="138" t="str">
        <f>IFERROR(LOOKUP($S1493,MOTORISTAS!$D$3:$D$1048576,MOTORISTAS!F$3:$F$1048576),"")</f>
        <v/>
      </c>
      <c r="V1493" s="66"/>
      <c r="W1493" s="66"/>
      <c r="X1493" s="66"/>
      <c r="Y1493" s="66"/>
      <c r="Z1493" s="66"/>
      <c r="AA1493" s="66"/>
      <c r="AB1493" s="66"/>
      <c r="AC1493" s="66"/>
      <c r="AD1493" s="66"/>
      <c r="AE1493" s="66"/>
      <c r="AF1493" s="44"/>
      <c r="AG1493" s="254">
        <f>Prog_236[[#This Row],[SAÍDA DO CLIENTE]]-Prog_236[[#This Row],[PROGRAMAÇÃO CLIENTE]]</f>
        <v>0</v>
      </c>
      <c r="AH1493" s="44"/>
      <c r="AI1493" s="66"/>
      <c r="AJ1493" s="66"/>
      <c r="AK1493" s="66"/>
      <c r="AL1493" s="66"/>
      <c r="AM1493" s="66"/>
      <c r="AN1493" s="83"/>
      <c r="AO1493" s="66"/>
      <c r="AP1493" s="66"/>
      <c r="AQ1493" s="66"/>
      <c r="AR1493" s="81"/>
      <c r="AS1493" s="81"/>
      <c r="AT1493" s="81"/>
      <c r="AU1493" s="81"/>
      <c r="AV1493" s="83">
        <f>SUM(Prog_236[[#This Row],[ADIANTAMENTO]]+Prog_236[[#This Row],[SALDO]]+Prog_236[[#This Row],[MARGEM]]+Prog_236[[#This Row],[ESTADIA 1]])</f>
        <v>0</v>
      </c>
      <c r="AW149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3" s="81"/>
      <c r="AY1493" s="81"/>
      <c r="AZ1493" s="81">
        <f>Prog_236[[#This Row],[VLR NF]]*0.1%</f>
        <v>0</v>
      </c>
      <c r="BA1493" s="81">
        <f>Prog_236[[#This Row],[VLR NF]]*0.05%</f>
        <v>0</v>
      </c>
      <c r="BB1493" s="81"/>
      <c r="BC1493" s="81"/>
      <c r="BD1493" s="81"/>
      <c r="BE1493" s="81"/>
      <c r="BF1493" s="81"/>
      <c r="BG1493" s="81"/>
      <c r="BH1493" s="81"/>
      <c r="BI1493" s="81"/>
      <c r="BJ1493" s="81"/>
      <c r="BK1493" s="81"/>
      <c r="BL1493" s="66"/>
      <c r="BM1493" s="66"/>
      <c r="BN1493" s="66"/>
      <c r="BO1493" s="66" t="str">
        <f>PROPER(TEXT(Prog_236[[#This Row],[PROGRAMAÇÃO CLIENTE]],"mmm"))</f>
        <v>Jan</v>
      </c>
      <c r="BP1493" s="66">
        <f>YEAR(Prog_236[[#This Row],[PROGRAMAÇÃO CLIENTE]])</f>
        <v>1900</v>
      </c>
    </row>
    <row r="1494" spans="1:68" x14ac:dyDescent="0.25">
      <c r="A1494" s="201">
        <f>Prog_236[[#This Row],[CONTEINER]]</f>
        <v>0</v>
      </c>
      <c r="B1494" s="86"/>
      <c r="C149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4" s="44"/>
      <c r="E1494" s="66"/>
      <c r="F1494" s="66"/>
      <c r="G1494" s="66"/>
      <c r="H1494" s="44"/>
      <c r="I1494" s="44"/>
      <c r="J1494" s="66"/>
      <c r="K1494" s="66"/>
      <c r="L1494" s="66"/>
      <c r="M1494" s="66"/>
      <c r="N1494" s="66">
        <f>SUM(Prog_236[[#This Row],[TARA]]+Prog_236[[#This Row],[PESO]])</f>
        <v>0</v>
      </c>
      <c r="O1494" s="44"/>
      <c r="P1494" s="66"/>
      <c r="Q1494" s="66"/>
      <c r="R1494" s="66"/>
      <c r="S1494" s="66"/>
      <c r="T1494" s="138" t="str">
        <f>IFERROR(LOOKUP($S1494,MOTORISTAS!$D$3:$D$1048576,MOTORISTAS!E$3:$E$1048576),"")</f>
        <v/>
      </c>
      <c r="U1494" s="138" t="str">
        <f>IFERROR(LOOKUP($S1494,MOTORISTAS!$D$3:$D$1048576,MOTORISTAS!F$3:$F$1048576),"")</f>
        <v/>
      </c>
      <c r="V1494" s="66"/>
      <c r="W1494" s="66"/>
      <c r="X1494" s="66"/>
      <c r="Y1494" s="66"/>
      <c r="Z1494" s="66"/>
      <c r="AA1494" s="66"/>
      <c r="AB1494" s="66"/>
      <c r="AC1494" s="66"/>
      <c r="AD1494" s="66"/>
      <c r="AE1494" s="66"/>
      <c r="AF1494" s="44"/>
      <c r="AG1494" s="254">
        <f>Prog_236[[#This Row],[SAÍDA DO CLIENTE]]-Prog_236[[#This Row],[PROGRAMAÇÃO CLIENTE]]</f>
        <v>0</v>
      </c>
      <c r="AH1494" s="44"/>
      <c r="AI1494" s="66"/>
      <c r="AJ1494" s="66"/>
      <c r="AK1494" s="66"/>
      <c r="AL1494" s="66"/>
      <c r="AM1494" s="66"/>
      <c r="AN1494" s="83"/>
      <c r="AO1494" s="66"/>
      <c r="AP1494" s="66"/>
      <c r="AQ1494" s="66"/>
      <c r="AR1494" s="81"/>
      <c r="AS1494" s="81"/>
      <c r="AT1494" s="81"/>
      <c r="AU1494" s="81"/>
      <c r="AV1494" s="83">
        <f>SUM(Prog_236[[#This Row],[ADIANTAMENTO]]+Prog_236[[#This Row],[SALDO]]+Prog_236[[#This Row],[MARGEM]]+Prog_236[[#This Row],[ESTADIA 1]])</f>
        <v>0</v>
      </c>
      <c r="AW149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4" s="81"/>
      <c r="AY1494" s="81"/>
      <c r="AZ1494" s="81">
        <f>Prog_236[[#This Row],[VLR NF]]*0.1%</f>
        <v>0</v>
      </c>
      <c r="BA1494" s="81">
        <f>Prog_236[[#This Row],[VLR NF]]*0.05%</f>
        <v>0</v>
      </c>
      <c r="BB1494" s="81"/>
      <c r="BC1494" s="81"/>
      <c r="BD1494" s="81"/>
      <c r="BE1494" s="81"/>
      <c r="BF1494" s="81"/>
      <c r="BG1494" s="81"/>
      <c r="BH1494" s="81"/>
      <c r="BI1494" s="81"/>
      <c r="BJ1494" s="81"/>
      <c r="BK1494" s="81"/>
      <c r="BL1494" s="66"/>
      <c r="BM1494" s="66"/>
      <c r="BN1494" s="66"/>
      <c r="BO1494" s="66" t="str">
        <f>PROPER(TEXT(Prog_236[[#This Row],[PROGRAMAÇÃO CLIENTE]],"mmm"))</f>
        <v>Jan</v>
      </c>
      <c r="BP1494" s="66">
        <f>YEAR(Prog_236[[#This Row],[PROGRAMAÇÃO CLIENTE]])</f>
        <v>1900</v>
      </c>
    </row>
    <row r="1495" spans="1:68" x14ac:dyDescent="0.25">
      <c r="A1495" s="200">
        <f>Prog_236[[#This Row],[CONTEINER]]</f>
        <v>0</v>
      </c>
      <c r="B1495" s="86"/>
      <c r="C149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5" s="44"/>
      <c r="E1495" s="66"/>
      <c r="F1495" s="66"/>
      <c r="G1495" s="66"/>
      <c r="H1495" s="44"/>
      <c r="I1495" s="44"/>
      <c r="J1495" s="66"/>
      <c r="K1495" s="66"/>
      <c r="L1495" s="66"/>
      <c r="M1495" s="66"/>
      <c r="N1495" s="66">
        <f>SUM(Prog_236[[#This Row],[TARA]]+Prog_236[[#This Row],[PESO]])</f>
        <v>0</v>
      </c>
      <c r="O1495" s="44"/>
      <c r="P1495" s="66"/>
      <c r="Q1495" s="66"/>
      <c r="R1495" s="66"/>
      <c r="S1495" s="66"/>
      <c r="T1495" s="138" t="str">
        <f>IFERROR(LOOKUP($S1495,MOTORISTAS!$D$3:$D$1048576,MOTORISTAS!E$3:$E$1048576),"")</f>
        <v/>
      </c>
      <c r="U1495" s="138" t="str">
        <f>IFERROR(LOOKUP($S1495,MOTORISTAS!$D$3:$D$1048576,MOTORISTAS!F$3:$F$1048576),"")</f>
        <v/>
      </c>
      <c r="V1495" s="66"/>
      <c r="W1495" s="66"/>
      <c r="X1495" s="66"/>
      <c r="Y1495" s="66"/>
      <c r="Z1495" s="66"/>
      <c r="AA1495" s="66"/>
      <c r="AB1495" s="66"/>
      <c r="AC1495" s="66"/>
      <c r="AD1495" s="66"/>
      <c r="AE1495" s="66"/>
      <c r="AF1495" s="44"/>
      <c r="AG1495" s="254">
        <f>Prog_236[[#This Row],[SAÍDA DO CLIENTE]]-Prog_236[[#This Row],[PROGRAMAÇÃO CLIENTE]]</f>
        <v>0</v>
      </c>
      <c r="AH1495" s="44"/>
      <c r="AI1495" s="66"/>
      <c r="AJ1495" s="66"/>
      <c r="AK1495" s="66"/>
      <c r="AL1495" s="66"/>
      <c r="AM1495" s="66"/>
      <c r="AN1495" s="83"/>
      <c r="AO1495" s="66"/>
      <c r="AP1495" s="66"/>
      <c r="AQ1495" s="66"/>
      <c r="AR1495" s="81"/>
      <c r="AS1495" s="81"/>
      <c r="AT1495" s="81"/>
      <c r="AU1495" s="81"/>
      <c r="AV1495" s="83">
        <f>SUM(Prog_236[[#This Row],[ADIANTAMENTO]]+Prog_236[[#This Row],[SALDO]]+Prog_236[[#This Row],[MARGEM]]+Prog_236[[#This Row],[ESTADIA 1]])</f>
        <v>0</v>
      </c>
      <c r="AW149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5" s="81"/>
      <c r="AY1495" s="81"/>
      <c r="AZ1495" s="81">
        <f>Prog_236[[#This Row],[VLR NF]]*0.1%</f>
        <v>0</v>
      </c>
      <c r="BA1495" s="81">
        <f>Prog_236[[#This Row],[VLR NF]]*0.05%</f>
        <v>0</v>
      </c>
      <c r="BB1495" s="81"/>
      <c r="BC1495" s="81"/>
      <c r="BD1495" s="81"/>
      <c r="BE1495" s="81"/>
      <c r="BF1495" s="81"/>
      <c r="BG1495" s="81"/>
      <c r="BH1495" s="81"/>
      <c r="BI1495" s="81"/>
      <c r="BJ1495" s="81"/>
      <c r="BK1495" s="81"/>
      <c r="BL1495" s="66"/>
      <c r="BM1495" s="66"/>
      <c r="BN1495" s="66"/>
      <c r="BO1495" s="66" t="str">
        <f>PROPER(TEXT(Prog_236[[#This Row],[PROGRAMAÇÃO CLIENTE]],"mmm"))</f>
        <v>Jan</v>
      </c>
      <c r="BP1495" s="66">
        <f>YEAR(Prog_236[[#This Row],[PROGRAMAÇÃO CLIENTE]])</f>
        <v>1900</v>
      </c>
    </row>
    <row r="1496" spans="1:68" x14ac:dyDescent="0.25">
      <c r="A1496" s="201">
        <f>Prog_236[[#This Row],[CONTEINER]]</f>
        <v>0</v>
      </c>
      <c r="B1496" s="86"/>
      <c r="C149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6" s="44"/>
      <c r="E1496" s="66"/>
      <c r="F1496" s="66"/>
      <c r="G1496" s="66"/>
      <c r="H1496" s="44"/>
      <c r="I1496" s="44"/>
      <c r="J1496" s="66"/>
      <c r="K1496" s="66"/>
      <c r="L1496" s="66"/>
      <c r="M1496" s="66"/>
      <c r="N1496" s="66">
        <f>SUM(Prog_236[[#This Row],[TARA]]+Prog_236[[#This Row],[PESO]])</f>
        <v>0</v>
      </c>
      <c r="O1496" s="44"/>
      <c r="P1496" s="66"/>
      <c r="Q1496" s="66"/>
      <c r="R1496" s="66"/>
      <c r="S1496" s="66"/>
      <c r="T1496" s="138" t="str">
        <f>IFERROR(LOOKUP($S1496,MOTORISTAS!$D$3:$D$1048576,MOTORISTAS!E$3:$E$1048576),"")</f>
        <v/>
      </c>
      <c r="U1496" s="138" t="str">
        <f>IFERROR(LOOKUP($S1496,MOTORISTAS!$D$3:$D$1048576,MOTORISTAS!F$3:$F$1048576),"")</f>
        <v/>
      </c>
      <c r="V1496" s="66"/>
      <c r="W1496" s="66"/>
      <c r="X1496" s="66"/>
      <c r="Y1496" s="66"/>
      <c r="Z1496" s="66"/>
      <c r="AA1496" s="66"/>
      <c r="AB1496" s="66"/>
      <c r="AC1496" s="66"/>
      <c r="AD1496" s="66"/>
      <c r="AE1496" s="66"/>
      <c r="AF1496" s="44"/>
      <c r="AG1496" s="254">
        <f>Prog_236[[#This Row],[SAÍDA DO CLIENTE]]-Prog_236[[#This Row],[PROGRAMAÇÃO CLIENTE]]</f>
        <v>0</v>
      </c>
      <c r="AH1496" s="44"/>
      <c r="AI1496" s="66"/>
      <c r="AJ1496" s="66"/>
      <c r="AK1496" s="66"/>
      <c r="AL1496" s="66"/>
      <c r="AM1496" s="66"/>
      <c r="AN1496" s="83"/>
      <c r="AO1496" s="66"/>
      <c r="AP1496" s="66"/>
      <c r="AQ1496" s="66"/>
      <c r="AR1496" s="81"/>
      <c r="AS1496" s="81"/>
      <c r="AT1496" s="81"/>
      <c r="AU1496" s="81"/>
      <c r="AV1496" s="83">
        <f>SUM(Prog_236[[#This Row],[ADIANTAMENTO]]+Prog_236[[#This Row],[SALDO]]+Prog_236[[#This Row],[MARGEM]]+Prog_236[[#This Row],[ESTADIA 1]])</f>
        <v>0</v>
      </c>
      <c r="AW149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6" s="81"/>
      <c r="AY1496" s="81"/>
      <c r="AZ1496" s="81">
        <f>Prog_236[[#This Row],[VLR NF]]*0.1%</f>
        <v>0</v>
      </c>
      <c r="BA1496" s="81">
        <f>Prog_236[[#This Row],[VLR NF]]*0.05%</f>
        <v>0</v>
      </c>
      <c r="BB1496" s="81"/>
      <c r="BC1496" s="81"/>
      <c r="BD1496" s="81"/>
      <c r="BE1496" s="81"/>
      <c r="BF1496" s="81"/>
      <c r="BG1496" s="81"/>
      <c r="BH1496" s="81"/>
      <c r="BI1496" s="81"/>
      <c r="BJ1496" s="81"/>
      <c r="BK1496" s="81"/>
      <c r="BL1496" s="66"/>
      <c r="BM1496" s="66"/>
      <c r="BN1496" s="66"/>
      <c r="BO1496" s="66" t="str">
        <f>PROPER(TEXT(Prog_236[[#This Row],[PROGRAMAÇÃO CLIENTE]],"mmm"))</f>
        <v>Jan</v>
      </c>
      <c r="BP1496" s="66">
        <f>YEAR(Prog_236[[#This Row],[PROGRAMAÇÃO CLIENTE]])</f>
        <v>1900</v>
      </c>
    </row>
    <row r="1497" spans="1:68" x14ac:dyDescent="0.25">
      <c r="A1497" s="200">
        <f>Prog_236[[#This Row],[CONTEINER]]</f>
        <v>0</v>
      </c>
      <c r="B1497" s="86"/>
      <c r="C149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7" s="44"/>
      <c r="E1497" s="66"/>
      <c r="F1497" s="66"/>
      <c r="G1497" s="66"/>
      <c r="H1497" s="44"/>
      <c r="I1497" s="44"/>
      <c r="J1497" s="66"/>
      <c r="K1497" s="66"/>
      <c r="L1497" s="66"/>
      <c r="M1497" s="66"/>
      <c r="N1497" s="66">
        <f>SUM(Prog_236[[#This Row],[TARA]]+Prog_236[[#This Row],[PESO]])</f>
        <v>0</v>
      </c>
      <c r="O1497" s="44"/>
      <c r="P1497" s="66"/>
      <c r="Q1497" s="66"/>
      <c r="R1497" s="66"/>
      <c r="S1497" s="66"/>
      <c r="T1497" s="138" t="str">
        <f>IFERROR(LOOKUP($S1497,MOTORISTAS!$D$3:$D$1048576,MOTORISTAS!E$3:$E$1048576),"")</f>
        <v/>
      </c>
      <c r="U1497" s="138" t="str">
        <f>IFERROR(LOOKUP($S1497,MOTORISTAS!$D$3:$D$1048576,MOTORISTAS!F$3:$F$1048576),"")</f>
        <v/>
      </c>
      <c r="V1497" s="66"/>
      <c r="W1497" s="66"/>
      <c r="X1497" s="66"/>
      <c r="Y1497" s="66"/>
      <c r="Z1497" s="66"/>
      <c r="AA1497" s="66"/>
      <c r="AB1497" s="66"/>
      <c r="AC1497" s="66"/>
      <c r="AD1497" s="66"/>
      <c r="AE1497" s="66"/>
      <c r="AF1497" s="44"/>
      <c r="AG1497" s="254">
        <f>Prog_236[[#This Row],[SAÍDA DO CLIENTE]]-Prog_236[[#This Row],[PROGRAMAÇÃO CLIENTE]]</f>
        <v>0</v>
      </c>
      <c r="AH1497" s="44"/>
      <c r="AI1497" s="66"/>
      <c r="AJ1497" s="66"/>
      <c r="AK1497" s="66"/>
      <c r="AL1497" s="66"/>
      <c r="AM1497" s="66"/>
      <c r="AN1497" s="83"/>
      <c r="AO1497" s="66"/>
      <c r="AP1497" s="66"/>
      <c r="AQ1497" s="66"/>
      <c r="AR1497" s="81"/>
      <c r="AS1497" s="81"/>
      <c r="AT1497" s="81"/>
      <c r="AU1497" s="81"/>
      <c r="AV1497" s="83">
        <f>SUM(Prog_236[[#This Row],[ADIANTAMENTO]]+Prog_236[[#This Row],[SALDO]]+Prog_236[[#This Row],[MARGEM]]+Prog_236[[#This Row],[ESTADIA 1]])</f>
        <v>0</v>
      </c>
      <c r="AW149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7" s="81"/>
      <c r="AY1497" s="81"/>
      <c r="AZ1497" s="81">
        <f>Prog_236[[#This Row],[VLR NF]]*0.1%</f>
        <v>0</v>
      </c>
      <c r="BA1497" s="81">
        <f>Prog_236[[#This Row],[VLR NF]]*0.05%</f>
        <v>0</v>
      </c>
      <c r="BB1497" s="81"/>
      <c r="BC1497" s="81"/>
      <c r="BD1497" s="81"/>
      <c r="BE1497" s="81"/>
      <c r="BF1497" s="81"/>
      <c r="BG1497" s="81"/>
      <c r="BH1497" s="81"/>
      <c r="BI1497" s="81"/>
      <c r="BJ1497" s="81"/>
      <c r="BK1497" s="81"/>
      <c r="BL1497" s="66"/>
      <c r="BM1497" s="66"/>
      <c r="BN1497" s="66"/>
      <c r="BO1497" s="66" t="str">
        <f>PROPER(TEXT(Prog_236[[#This Row],[PROGRAMAÇÃO CLIENTE]],"mmm"))</f>
        <v>Jan</v>
      </c>
      <c r="BP1497" s="66">
        <f>YEAR(Prog_236[[#This Row],[PROGRAMAÇÃO CLIENTE]])</f>
        <v>1900</v>
      </c>
    </row>
    <row r="1498" spans="1:68" x14ac:dyDescent="0.25">
      <c r="A1498" s="201">
        <f>Prog_236[[#This Row],[CONTEINER]]</f>
        <v>0</v>
      </c>
      <c r="B1498" s="86"/>
      <c r="C149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8" s="44"/>
      <c r="E1498" s="66"/>
      <c r="F1498" s="66"/>
      <c r="G1498" s="66"/>
      <c r="H1498" s="44"/>
      <c r="I1498" s="44"/>
      <c r="J1498" s="66"/>
      <c r="K1498" s="66"/>
      <c r="L1498" s="66"/>
      <c r="M1498" s="66"/>
      <c r="N1498" s="66">
        <f>SUM(Prog_236[[#This Row],[TARA]]+Prog_236[[#This Row],[PESO]])</f>
        <v>0</v>
      </c>
      <c r="O1498" s="44"/>
      <c r="P1498" s="66"/>
      <c r="Q1498" s="66"/>
      <c r="R1498" s="66"/>
      <c r="S1498" s="66"/>
      <c r="T1498" s="138" t="str">
        <f>IFERROR(LOOKUP($S1498,MOTORISTAS!$D$3:$D$1048576,MOTORISTAS!E$3:$E$1048576),"")</f>
        <v/>
      </c>
      <c r="U1498" s="138" t="str">
        <f>IFERROR(LOOKUP($S1498,MOTORISTAS!$D$3:$D$1048576,MOTORISTAS!F$3:$F$1048576),"")</f>
        <v/>
      </c>
      <c r="V1498" s="66"/>
      <c r="W1498" s="66"/>
      <c r="X1498" s="66"/>
      <c r="Y1498" s="66"/>
      <c r="Z1498" s="66"/>
      <c r="AA1498" s="66"/>
      <c r="AB1498" s="66"/>
      <c r="AC1498" s="66"/>
      <c r="AD1498" s="66"/>
      <c r="AE1498" s="66"/>
      <c r="AF1498" s="44"/>
      <c r="AG1498" s="254">
        <f>Prog_236[[#This Row],[SAÍDA DO CLIENTE]]-Prog_236[[#This Row],[PROGRAMAÇÃO CLIENTE]]</f>
        <v>0</v>
      </c>
      <c r="AH1498" s="44"/>
      <c r="AI1498" s="66"/>
      <c r="AJ1498" s="66"/>
      <c r="AK1498" s="66"/>
      <c r="AL1498" s="66"/>
      <c r="AM1498" s="66"/>
      <c r="AN1498" s="83"/>
      <c r="AO1498" s="66"/>
      <c r="AP1498" s="66"/>
      <c r="AQ1498" s="66"/>
      <c r="AR1498" s="81"/>
      <c r="AS1498" s="81"/>
      <c r="AT1498" s="81"/>
      <c r="AU1498" s="81"/>
      <c r="AV1498" s="83">
        <f>SUM(Prog_236[[#This Row],[ADIANTAMENTO]]+Prog_236[[#This Row],[SALDO]]+Prog_236[[#This Row],[MARGEM]]+Prog_236[[#This Row],[ESTADIA 1]])</f>
        <v>0</v>
      </c>
      <c r="AW149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8" s="81"/>
      <c r="AY1498" s="81"/>
      <c r="AZ1498" s="81">
        <f>Prog_236[[#This Row],[VLR NF]]*0.1%</f>
        <v>0</v>
      </c>
      <c r="BA1498" s="81">
        <f>Prog_236[[#This Row],[VLR NF]]*0.05%</f>
        <v>0</v>
      </c>
      <c r="BB1498" s="81"/>
      <c r="BC1498" s="81"/>
      <c r="BD1498" s="81"/>
      <c r="BE1498" s="81"/>
      <c r="BF1498" s="81"/>
      <c r="BG1498" s="81"/>
      <c r="BH1498" s="81"/>
      <c r="BI1498" s="81"/>
      <c r="BJ1498" s="81"/>
      <c r="BK1498" s="81"/>
      <c r="BL1498" s="66"/>
      <c r="BM1498" s="66"/>
      <c r="BN1498" s="66"/>
      <c r="BO1498" s="66" t="str">
        <f>PROPER(TEXT(Prog_236[[#This Row],[PROGRAMAÇÃO CLIENTE]],"mmm"))</f>
        <v>Jan</v>
      </c>
      <c r="BP1498" s="66">
        <f>YEAR(Prog_236[[#This Row],[PROGRAMAÇÃO CLIENTE]])</f>
        <v>1900</v>
      </c>
    </row>
    <row r="1499" spans="1:68" x14ac:dyDescent="0.25">
      <c r="A1499" s="200">
        <f>Prog_236[[#This Row],[CONTEINER]]</f>
        <v>0</v>
      </c>
      <c r="B1499" s="86"/>
      <c r="C149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499" s="44"/>
      <c r="E1499" s="66"/>
      <c r="F1499" s="66"/>
      <c r="G1499" s="66"/>
      <c r="H1499" s="44"/>
      <c r="I1499" s="44"/>
      <c r="J1499" s="66"/>
      <c r="K1499" s="66"/>
      <c r="L1499" s="66"/>
      <c r="M1499" s="66"/>
      <c r="N1499" s="66">
        <f>SUM(Prog_236[[#This Row],[TARA]]+Prog_236[[#This Row],[PESO]])</f>
        <v>0</v>
      </c>
      <c r="O1499" s="44"/>
      <c r="P1499" s="66"/>
      <c r="Q1499" s="66"/>
      <c r="R1499" s="66"/>
      <c r="S1499" s="66"/>
      <c r="T1499" s="138" t="str">
        <f>IFERROR(LOOKUP($S1499,MOTORISTAS!$D$3:$D$1048576,MOTORISTAS!E$3:$E$1048576),"")</f>
        <v/>
      </c>
      <c r="U1499" s="138" t="str">
        <f>IFERROR(LOOKUP($S1499,MOTORISTAS!$D$3:$D$1048576,MOTORISTAS!F$3:$F$1048576),"")</f>
        <v/>
      </c>
      <c r="V1499" s="66"/>
      <c r="W1499" s="66"/>
      <c r="X1499" s="66"/>
      <c r="Y1499" s="66"/>
      <c r="Z1499" s="66"/>
      <c r="AA1499" s="66"/>
      <c r="AB1499" s="66"/>
      <c r="AC1499" s="66"/>
      <c r="AD1499" s="66"/>
      <c r="AE1499" s="66"/>
      <c r="AF1499" s="44"/>
      <c r="AG1499" s="254">
        <f>Prog_236[[#This Row],[SAÍDA DO CLIENTE]]-Prog_236[[#This Row],[PROGRAMAÇÃO CLIENTE]]</f>
        <v>0</v>
      </c>
      <c r="AH1499" s="44"/>
      <c r="AI1499" s="66"/>
      <c r="AJ1499" s="66"/>
      <c r="AK1499" s="66"/>
      <c r="AL1499" s="66"/>
      <c r="AM1499" s="66"/>
      <c r="AN1499" s="83"/>
      <c r="AO1499" s="66"/>
      <c r="AP1499" s="66"/>
      <c r="AQ1499" s="66"/>
      <c r="AR1499" s="81"/>
      <c r="AS1499" s="81"/>
      <c r="AT1499" s="81"/>
      <c r="AU1499" s="81"/>
      <c r="AV1499" s="83">
        <f>SUM(Prog_236[[#This Row],[ADIANTAMENTO]]+Prog_236[[#This Row],[SALDO]]+Prog_236[[#This Row],[MARGEM]]+Prog_236[[#This Row],[ESTADIA 1]])</f>
        <v>0</v>
      </c>
      <c r="AW149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499" s="81"/>
      <c r="AY1499" s="81"/>
      <c r="AZ1499" s="81">
        <f>Prog_236[[#This Row],[VLR NF]]*0.1%</f>
        <v>0</v>
      </c>
      <c r="BA1499" s="81">
        <f>Prog_236[[#This Row],[VLR NF]]*0.05%</f>
        <v>0</v>
      </c>
      <c r="BB1499" s="81"/>
      <c r="BC1499" s="81"/>
      <c r="BD1499" s="81"/>
      <c r="BE1499" s="81"/>
      <c r="BF1499" s="81"/>
      <c r="BG1499" s="81"/>
      <c r="BH1499" s="81"/>
      <c r="BI1499" s="81"/>
      <c r="BJ1499" s="81"/>
      <c r="BK1499" s="81"/>
      <c r="BL1499" s="66"/>
      <c r="BM1499" s="66"/>
      <c r="BN1499" s="66"/>
      <c r="BO1499" s="66" t="str">
        <f>PROPER(TEXT(Prog_236[[#This Row],[PROGRAMAÇÃO CLIENTE]],"mmm"))</f>
        <v>Jan</v>
      </c>
      <c r="BP1499" s="66">
        <f>YEAR(Prog_236[[#This Row],[PROGRAMAÇÃO CLIENTE]])</f>
        <v>1900</v>
      </c>
    </row>
    <row r="1500" spans="1:68" x14ac:dyDescent="0.25">
      <c r="A1500" s="201">
        <f>Prog_236[[#This Row],[CONTEINER]]</f>
        <v>0</v>
      </c>
      <c r="B1500" s="86"/>
      <c r="C150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0" s="44"/>
      <c r="E1500" s="66"/>
      <c r="F1500" s="66"/>
      <c r="G1500" s="66"/>
      <c r="H1500" s="44"/>
      <c r="I1500" s="44"/>
      <c r="J1500" s="66"/>
      <c r="K1500" s="66"/>
      <c r="L1500" s="66"/>
      <c r="M1500" s="66"/>
      <c r="N1500" s="66">
        <f>SUM(Prog_236[[#This Row],[TARA]]+Prog_236[[#This Row],[PESO]])</f>
        <v>0</v>
      </c>
      <c r="O1500" s="44"/>
      <c r="P1500" s="66"/>
      <c r="Q1500" s="66"/>
      <c r="R1500" s="66"/>
      <c r="S1500" s="66"/>
      <c r="T1500" s="138" t="str">
        <f>IFERROR(LOOKUP($S1500,MOTORISTAS!$D$3:$D$1048576,MOTORISTAS!E$3:$E$1048576),"")</f>
        <v/>
      </c>
      <c r="U1500" s="138" t="str">
        <f>IFERROR(LOOKUP($S1500,MOTORISTAS!$D$3:$D$1048576,MOTORISTAS!F$3:$F$1048576),"")</f>
        <v/>
      </c>
      <c r="V1500" s="66"/>
      <c r="W1500" s="66"/>
      <c r="X1500" s="66"/>
      <c r="Y1500" s="66"/>
      <c r="Z1500" s="66"/>
      <c r="AA1500" s="66"/>
      <c r="AB1500" s="66"/>
      <c r="AC1500" s="66"/>
      <c r="AD1500" s="66"/>
      <c r="AE1500" s="66"/>
      <c r="AF1500" s="44"/>
      <c r="AG1500" s="254">
        <f>Prog_236[[#This Row],[SAÍDA DO CLIENTE]]-Prog_236[[#This Row],[PROGRAMAÇÃO CLIENTE]]</f>
        <v>0</v>
      </c>
      <c r="AH1500" s="44"/>
      <c r="AI1500" s="66"/>
      <c r="AJ1500" s="66"/>
      <c r="AK1500" s="66"/>
      <c r="AL1500" s="66"/>
      <c r="AM1500" s="66"/>
      <c r="AN1500" s="83"/>
      <c r="AO1500" s="66"/>
      <c r="AP1500" s="66"/>
      <c r="AQ1500" s="66"/>
      <c r="AR1500" s="81"/>
      <c r="AS1500" s="81"/>
      <c r="AT1500" s="81"/>
      <c r="AU1500" s="81"/>
      <c r="AV1500" s="83">
        <f>SUM(Prog_236[[#This Row],[ADIANTAMENTO]]+Prog_236[[#This Row],[SALDO]]+Prog_236[[#This Row],[MARGEM]]+Prog_236[[#This Row],[ESTADIA 1]])</f>
        <v>0</v>
      </c>
      <c r="AW150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0" s="81"/>
      <c r="AY1500" s="81"/>
      <c r="AZ1500" s="81">
        <f>Prog_236[[#This Row],[VLR NF]]*0.1%</f>
        <v>0</v>
      </c>
      <c r="BA1500" s="81">
        <f>Prog_236[[#This Row],[VLR NF]]*0.05%</f>
        <v>0</v>
      </c>
      <c r="BB1500" s="81"/>
      <c r="BC1500" s="81"/>
      <c r="BD1500" s="81"/>
      <c r="BE1500" s="81"/>
      <c r="BF1500" s="81"/>
      <c r="BG1500" s="81"/>
      <c r="BH1500" s="81"/>
      <c r="BI1500" s="81"/>
      <c r="BJ1500" s="81"/>
      <c r="BK1500" s="81"/>
      <c r="BL1500" s="66"/>
      <c r="BM1500" s="66"/>
      <c r="BN1500" s="66"/>
      <c r="BO1500" s="66" t="str">
        <f>PROPER(TEXT(Prog_236[[#This Row],[PROGRAMAÇÃO CLIENTE]],"mmm"))</f>
        <v>Jan</v>
      </c>
      <c r="BP1500" s="66">
        <f>YEAR(Prog_236[[#This Row],[PROGRAMAÇÃO CLIENTE]])</f>
        <v>1900</v>
      </c>
    </row>
    <row r="1501" spans="1:68" x14ac:dyDescent="0.25">
      <c r="A1501" s="200">
        <f>Prog_236[[#This Row],[CONTEINER]]</f>
        <v>0</v>
      </c>
      <c r="B1501" s="86"/>
      <c r="C150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1" s="44"/>
      <c r="E1501" s="66"/>
      <c r="F1501" s="66"/>
      <c r="G1501" s="66"/>
      <c r="H1501" s="44"/>
      <c r="I1501" s="44"/>
      <c r="J1501" s="66"/>
      <c r="K1501" s="66"/>
      <c r="L1501" s="66"/>
      <c r="M1501" s="66"/>
      <c r="N1501" s="66">
        <f>SUM(Prog_236[[#This Row],[TARA]]+Prog_236[[#This Row],[PESO]])</f>
        <v>0</v>
      </c>
      <c r="O1501" s="44"/>
      <c r="P1501" s="66"/>
      <c r="Q1501" s="66"/>
      <c r="R1501" s="66"/>
      <c r="S1501" s="66"/>
      <c r="T1501" s="138" t="str">
        <f>IFERROR(LOOKUP($S1501,MOTORISTAS!$D$3:$D$1048576,MOTORISTAS!E$3:$E$1048576),"")</f>
        <v/>
      </c>
      <c r="U1501" s="138" t="str">
        <f>IFERROR(LOOKUP($S1501,MOTORISTAS!$D$3:$D$1048576,MOTORISTAS!F$3:$F$1048576),"")</f>
        <v/>
      </c>
      <c r="V1501" s="66"/>
      <c r="W1501" s="66"/>
      <c r="X1501" s="66"/>
      <c r="Y1501" s="66"/>
      <c r="Z1501" s="66"/>
      <c r="AA1501" s="66"/>
      <c r="AB1501" s="66"/>
      <c r="AC1501" s="66"/>
      <c r="AD1501" s="66"/>
      <c r="AE1501" s="66"/>
      <c r="AF1501" s="44"/>
      <c r="AG1501" s="254">
        <f>Prog_236[[#This Row],[SAÍDA DO CLIENTE]]-Prog_236[[#This Row],[PROGRAMAÇÃO CLIENTE]]</f>
        <v>0</v>
      </c>
      <c r="AH1501" s="44"/>
      <c r="AI1501" s="66"/>
      <c r="AJ1501" s="66"/>
      <c r="AK1501" s="66"/>
      <c r="AL1501" s="66"/>
      <c r="AM1501" s="66"/>
      <c r="AN1501" s="83"/>
      <c r="AO1501" s="66"/>
      <c r="AP1501" s="66"/>
      <c r="AQ1501" s="66"/>
      <c r="AR1501" s="81"/>
      <c r="AS1501" s="81"/>
      <c r="AT1501" s="81"/>
      <c r="AU1501" s="81"/>
      <c r="AV1501" s="83">
        <f>SUM(Prog_236[[#This Row],[ADIANTAMENTO]]+Prog_236[[#This Row],[SALDO]]+Prog_236[[#This Row],[MARGEM]]+Prog_236[[#This Row],[ESTADIA 1]])</f>
        <v>0</v>
      </c>
      <c r="AW150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1" s="81"/>
      <c r="AY1501" s="81"/>
      <c r="AZ1501" s="81">
        <f>Prog_236[[#This Row],[VLR NF]]*0.1%</f>
        <v>0</v>
      </c>
      <c r="BA1501" s="81">
        <f>Prog_236[[#This Row],[VLR NF]]*0.05%</f>
        <v>0</v>
      </c>
      <c r="BB1501" s="81"/>
      <c r="BC1501" s="81"/>
      <c r="BD1501" s="81"/>
      <c r="BE1501" s="81"/>
      <c r="BF1501" s="81"/>
      <c r="BG1501" s="81"/>
      <c r="BH1501" s="81"/>
      <c r="BI1501" s="81"/>
      <c r="BJ1501" s="81"/>
      <c r="BK1501" s="81"/>
      <c r="BL1501" s="66"/>
      <c r="BM1501" s="66"/>
      <c r="BN1501" s="66"/>
      <c r="BO1501" s="66" t="str">
        <f>PROPER(TEXT(Prog_236[[#This Row],[PROGRAMAÇÃO CLIENTE]],"mmm"))</f>
        <v>Jan</v>
      </c>
      <c r="BP1501" s="66">
        <f>YEAR(Prog_236[[#This Row],[PROGRAMAÇÃO CLIENTE]])</f>
        <v>1900</v>
      </c>
    </row>
    <row r="1502" spans="1:68" x14ac:dyDescent="0.25">
      <c r="A1502" s="201">
        <f>Prog_236[[#This Row],[CONTEINER]]</f>
        <v>0</v>
      </c>
      <c r="B1502" s="86"/>
      <c r="C150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2" s="44"/>
      <c r="E1502" s="66"/>
      <c r="F1502" s="66"/>
      <c r="G1502" s="66"/>
      <c r="H1502" s="44"/>
      <c r="I1502" s="44"/>
      <c r="J1502" s="66"/>
      <c r="K1502" s="66"/>
      <c r="L1502" s="66"/>
      <c r="M1502" s="66"/>
      <c r="N1502" s="66">
        <f>SUM(Prog_236[[#This Row],[TARA]]+Prog_236[[#This Row],[PESO]])</f>
        <v>0</v>
      </c>
      <c r="O1502" s="44"/>
      <c r="P1502" s="66"/>
      <c r="Q1502" s="66"/>
      <c r="R1502" s="66"/>
      <c r="S1502" s="66"/>
      <c r="T1502" s="138" t="str">
        <f>IFERROR(LOOKUP($S1502,MOTORISTAS!$D$3:$D$1048576,MOTORISTAS!E$3:$E$1048576),"")</f>
        <v/>
      </c>
      <c r="U1502" s="138" t="str">
        <f>IFERROR(LOOKUP($S1502,MOTORISTAS!$D$3:$D$1048576,MOTORISTAS!F$3:$F$1048576),"")</f>
        <v/>
      </c>
      <c r="V1502" s="66"/>
      <c r="W1502" s="66"/>
      <c r="X1502" s="66"/>
      <c r="Y1502" s="66"/>
      <c r="Z1502" s="66"/>
      <c r="AA1502" s="66"/>
      <c r="AB1502" s="66"/>
      <c r="AC1502" s="66"/>
      <c r="AD1502" s="66"/>
      <c r="AE1502" s="66"/>
      <c r="AF1502" s="44"/>
      <c r="AG1502" s="254">
        <f>Prog_236[[#This Row],[SAÍDA DO CLIENTE]]-Prog_236[[#This Row],[PROGRAMAÇÃO CLIENTE]]</f>
        <v>0</v>
      </c>
      <c r="AH1502" s="44"/>
      <c r="AI1502" s="66"/>
      <c r="AJ1502" s="66"/>
      <c r="AK1502" s="66"/>
      <c r="AL1502" s="66"/>
      <c r="AM1502" s="66"/>
      <c r="AN1502" s="83"/>
      <c r="AO1502" s="66"/>
      <c r="AP1502" s="66"/>
      <c r="AQ1502" s="66"/>
      <c r="AR1502" s="81"/>
      <c r="AS1502" s="81"/>
      <c r="AT1502" s="81"/>
      <c r="AU1502" s="81"/>
      <c r="AV1502" s="83">
        <f>SUM(Prog_236[[#This Row],[ADIANTAMENTO]]+Prog_236[[#This Row],[SALDO]]+Prog_236[[#This Row],[MARGEM]]+Prog_236[[#This Row],[ESTADIA 1]])</f>
        <v>0</v>
      </c>
      <c r="AW150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2" s="81"/>
      <c r="AY1502" s="81"/>
      <c r="AZ1502" s="81">
        <f>Prog_236[[#This Row],[VLR NF]]*0.1%</f>
        <v>0</v>
      </c>
      <c r="BA1502" s="81">
        <f>Prog_236[[#This Row],[VLR NF]]*0.05%</f>
        <v>0</v>
      </c>
      <c r="BB1502" s="81"/>
      <c r="BC1502" s="81"/>
      <c r="BD1502" s="81"/>
      <c r="BE1502" s="81"/>
      <c r="BF1502" s="81"/>
      <c r="BG1502" s="81"/>
      <c r="BH1502" s="81"/>
      <c r="BI1502" s="81"/>
      <c r="BJ1502" s="81"/>
      <c r="BK1502" s="81"/>
      <c r="BL1502" s="66"/>
      <c r="BM1502" s="66"/>
      <c r="BN1502" s="66"/>
      <c r="BO1502" s="66" t="str">
        <f>PROPER(TEXT(Prog_236[[#This Row],[PROGRAMAÇÃO CLIENTE]],"mmm"))</f>
        <v>Jan</v>
      </c>
      <c r="BP1502" s="66">
        <f>YEAR(Prog_236[[#This Row],[PROGRAMAÇÃO CLIENTE]])</f>
        <v>1900</v>
      </c>
    </row>
    <row r="1503" spans="1:68" x14ac:dyDescent="0.25">
      <c r="A1503" s="200">
        <f>Prog_236[[#This Row],[CONTEINER]]</f>
        <v>0</v>
      </c>
      <c r="B1503" s="86"/>
      <c r="C150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3" s="44"/>
      <c r="E1503" s="66"/>
      <c r="F1503" s="66"/>
      <c r="G1503" s="66"/>
      <c r="H1503" s="44"/>
      <c r="I1503" s="44"/>
      <c r="J1503" s="66"/>
      <c r="K1503" s="66"/>
      <c r="L1503" s="66"/>
      <c r="M1503" s="66"/>
      <c r="N1503" s="66">
        <f>SUM(Prog_236[[#This Row],[TARA]]+Prog_236[[#This Row],[PESO]])</f>
        <v>0</v>
      </c>
      <c r="O1503" s="44"/>
      <c r="P1503" s="66"/>
      <c r="Q1503" s="66"/>
      <c r="R1503" s="66"/>
      <c r="S1503" s="66"/>
      <c r="T1503" s="138" t="str">
        <f>IFERROR(LOOKUP($S1503,MOTORISTAS!$D$3:$D$1048576,MOTORISTAS!E$3:$E$1048576),"")</f>
        <v/>
      </c>
      <c r="U1503" s="138" t="str">
        <f>IFERROR(LOOKUP($S1503,MOTORISTAS!$D$3:$D$1048576,MOTORISTAS!F$3:$F$1048576),"")</f>
        <v/>
      </c>
      <c r="V1503" s="66"/>
      <c r="W1503" s="66"/>
      <c r="X1503" s="66"/>
      <c r="Y1503" s="66"/>
      <c r="Z1503" s="66"/>
      <c r="AA1503" s="66"/>
      <c r="AB1503" s="66"/>
      <c r="AC1503" s="66"/>
      <c r="AD1503" s="66"/>
      <c r="AE1503" s="66"/>
      <c r="AF1503" s="44"/>
      <c r="AG1503" s="254">
        <f>Prog_236[[#This Row],[SAÍDA DO CLIENTE]]-Prog_236[[#This Row],[PROGRAMAÇÃO CLIENTE]]</f>
        <v>0</v>
      </c>
      <c r="AH1503" s="44"/>
      <c r="AI1503" s="66"/>
      <c r="AJ1503" s="66"/>
      <c r="AK1503" s="66"/>
      <c r="AL1503" s="66"/>
      <c r="AM1503" s="66"/>
      <c r="AN1503" s="83"/>
      <c r="AO1503" s="66"/>
      <c r="AP1503" s="66"/>
      <c r="AQ1503" s="66"/>
      <c r="AR1503" s="81"/>
      <c r="AS1503" s="81"/>
      <c r="AT1503" s="81"/>
      <c r="AU1503" s="81"/>
      <c r="AV1503" s="83">
        <f>SUM(Prog_236[[#This Row],[ADIANTAMENTO]]+Prog_236[[#This Row],[SALDO]]+Prog_236[[#This Row],[MARGEM]]+Prog_236[[#This Row],[ESTADIA 1]])</f>
        <v>0</v>
      </c>
      <c r="AW150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3" s="81"/>
      <c r="AY1503" s="81"/>
      <c r="AZ1503" s="81">
        <f>Prog_236[[#This Row],[VLR NF]]*0.1%</f>
        <v>0</v>
      </c>
      <c r="BA1503" s="81">
        <f>Prog_236[[#This Row],[VLR NF]]*0.05%</f>
        <v>0</v>
      </c>
      <c r="BB1503" s="81"/>
      <c r="BC1503" s="81"/>
      <c r="BD1503" s="81"/>
      <c r="BE1503" s="81"/>
      <c r="BF1503" s="81"/>
      <c r="BG1503" s="81"/>
      <c r="BH1503" s="81"/>
      <c r="BI1503" s="81"/>
      <c r="BJ1503" s="81"/>
      <c r="BK1503" s="81"/>
      <c r="BL1503" s="66"/>
      <c r="BM1503" s="66"/>
      <c r="BN1503" s="66"/>
      <c r="BO1503" s="66" t="str">
        <f>PROPER(TEXT(Prog_236[[#This Row],[PROGRAMAÇÃO CLIENTE]],"mmm"))</f>
        <v>Jan</v>
      </c>
      <c r="BP1503" s="66">
        <f>YEAR(Prog_236[[#This Row],[PROGRAMAÇÃO CLIENTE]])</f>
        <v>1900</v>
      </c>
    </row>
    <row r="1504" spans="1:68" x14ac:dyDescent="0.25">
      <c r="A1504" s="201">
        <f>Prog_236[[#This Row],[CONTEINER]]</f>
        <v>0</v>
      </c>
      <c r="B1504" s="86"/>
      <c r="C150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4" s="44"/>
      <c r="E1504" s="66"/>
      <c r="F1504" s="66"/>
      <c r="G1504" s="66"/>
      <c r="H1504" s="44"/>
      <c r="I1504" s="44"/>
      <c r="J1504" s="66"/>
      <c r="K1504" s="66"/>
      <c r="L1504" s="66"/>
      <c r="M1504" s="66"/>
      <c r="N1504" s="66">
        <f>SUM(Prog_236[[#This Row],[TARA]]+Prog_236[[#This Row],[PESO]])</f>
        <v>0</v>
      </c>
      <c r="O1504" s="44"/>
      <c r="P1504" s="66"/>
      <c r="Q1504" s="66"/>
      <c r="R1504" s="66"/>
      <c r="S1504" s="66"/>
      <c r="T1504" s="138" t="str">
        <f>IFERROR(LOOKUP($S1504,MOTORISTAS!$D$3:$D$1048576,MOTORISTAS!E$3:$E$1048576),"")</f>
        <v/>
      </c>
      <c r="U1504" s="138" t="str">
        <f>IFERROR(LOOKUP($S1504,MOTORISTAS!$D$3:$D$1048576,MOTORISTAS!F$3:$F$1048576),"")</f>
        <v/>
      </c>
      <c r="V1504" s="66"/>
      <c r="W1504" s="66"/>
      <c r="X1504" s="66"/>
      <c r="Y1504" s="66"/>
      <c r="Z1504" s="66"/>
      <c r="AA1504" s="66"/>
      <c r="AB1504" s="66"/>
      <c r="AC1504" s="66"/>
      <c r="AD1504" s="66"/>
      <c r="AE1504" s="66"/>
      <c r="AF1504" s="44"/>
      <c r="AG1504" s="254">
        <f>Prog_236[[#This Row],[SAÍDA DO CLIENTE]]-Prog_236[[#This Row],[PROGRAMAÇÃO CLIENTE]]</f>
        <v>0</v>
      </c>
      <c r="AH1504" s="44"/>
      <c r="AI1504" s="66"/>
      <c r="AJ1504" s="66"/>
      <c r="AK1504" s="66"/>
      <c r="AL1504" s="66"/>
      <c r="AM1504" s="66"/>
      <c r="AN1504" s="83"/>
      <c r="AO1504" s="66"/>
      <c r="AP1504" s="66"/>
      <c r="AQ1504" s="66"/>
      <c r="AR1504" s="81"/>
      <c r="AS1504" s="81"/>
      <c r="AT1504" s="81"/>
      <c r="AU1504" s="81"/>
      <c r="AV1504" s="83">
        <f>SUM(Prog_236[[#This Row],[ADIANTAMENTO]]+Prog_236[[#This Row],[SALDO]]+Prog_236[[#This Row],[MARGEM]]+Prog_236[[#This Row],[ESTADIA 1]])</f>
        <v>0</v>
      </c>
      <c r="AW150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4" s="81"/>
      <c r="AY1504" s="81"/>
      <c r="AZ1504" s="81">
        <f>Prog_236[[#This Row],[VLR NF]]*0.1%</f>
        <v>0</v>
      </c>
      <c r="BA1504" s="81">
        <f>Prog_236[[#This Row],[VLR NF]]*0.05%</f>
        <v>0</v>
      </c>
      <c r="BB1504" s="81"/>
      <c r="BC1504" s="81"/>
      <c r="BD1504" s="81"/>
      <c r="BE1504" s="81"/>
      <c r="BF1504" s="81"/>
      <c r="BG1504" s="81"/>
      <c r="BH1504" s="81"/>
      <c r="BI1504" s="81"/>
      <c r="BJ1504" s="81"/>
      <c r="BK1504" s="81"/>
      <c r="BL1504" s="66"/>
      <c r="BM1504" s="66"/>
      <c r="BN1504" s="66"/>
      <c r="BO1504" s="66" t="str">
        <f>PROPER(TEXT(Prog_236[[#This Row],[PROGRAMAÇÃO CLIENTE]],"mmm"))</f>
        <v>Jan</v>
      </c>
      <c r="BP1504" s="66">
        <f>YEAR(Prog_236[[#This Row],[PROGRAMAÇÃO CLIENTE]])</f>
        <v>1900</v>
      </c>
    </row>
    <row r="1505" spans="1:68" x14ac:dyDescent="0.25">
      <c r="A1505" s="200">
        <f>Prog_236[[#This Row],[CONTEINER]]</f>
        <v>0</v>
      </c>
      <c r="B1505" s="86"/>
      <c r="C150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5" s="44"/>
      <c r="E1505" s="66"/>
      <c r="F1505" s="66"/>
      <c r="G1505" s="66"/>
      <c r="H1505" s="44"/>
      <c r="I1505" s="44"/>
      <c r="J1505" s="66"/>
      <c r="K1505" s="66"/>
      <c r="L1505" s="66"/>
      <c r="M1505" s="66"/>
      <c r="N1505" s="66">
        <f>SUM(Prog_236[[#This Row],[TARA]]+Prog_236[[#This Row],[PESO]])</f>
        <v>0</v>
      </c>
      <c r="O1505" s="44"/>
      <c r="P1505" s="66"/>
      <c r="Q1505" s="66"/>
      <c r="R1505" s="66"/>
      <c r="S1505" s="66"/>
      <c r="T1505" s="138" t="str">
        <f>IFERROR(LOOKUP($S1505,MOTORISTAS!$D$3:$D$1048576,MOTORISTAS!E$3:$E$1048576),"")</f>
        <v/>
      </c>
      <c r="U1505" s="138" t="str">
        <f>IFERROR(LOOKUP($S1505,MOTORISTAS!$D$3:$D$1048576,MOTORISTAS!F$3:$F$1048576),"")</f>
        <v/>
      </c>
      <c r="V1505" s="66"/>
      <c r="W1505" s="66"/>
      <c r="X1505" s="66"/>
      <c r="Y1505" s="66"/>
      <c r="Z1505" s="66"/>
      <c r="AA1505" s="66"/>
      <c r="AB1505" s="66"/>
      <c r="AC1505" s="66"/>
      <c r="AD1505" s="66"/>
      <c r="AE1505" s="66"/>
      <c r="AF1505" s="44"/>
      <c r="AG1505" s="254">
        <f>Prog_236[[#This Row],[SAÍDA DO CLIENTE]]-Prog_236[[#This Row],[PROGRAMAÇÃO CLIENTE]]</f>
        <v>0</v>
      </c>
      <c r="AH1505" s="44"/>
      <c r="AI1505" s="66"/>
      <c r="AJ1505" s="66"/>
      <c r="AK1505" s="66"/>
      <c r="AL1505" s="66"/>
      <c r="AM1505" s="66"/>
      <c r="AN1505" s="83"/>
      <c r="AO1505" s="66"/>
      <c r="AP1505" s="66"/>
      <c r="AQ1505" s="66"/>
      <c r="AR1505" s="81"/>
      <c r="AS1505" s="81"/>
      <c r="AT1505" s="81"/>
      <c r="AU1505" s="81"/>
      <c r="AV1505" s="83">
        <f>SUM(Prog_236[[#This Row],[ADIANTAMENTO]]+Prog_236[[#This Row],[SALDO]]+Prog_236[[#This Row],[MARGEM]]+Prog_236[[#This Row],[ESTADIA 1]])</f>
        <v>0</v>
      </c>
      <c r="AW150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5" s="81"/>
      <c r="AY1505" s="81"/>
      <c r="AZ1505" s="81">
        <f>Prog_236[[#This Row],[VLR NF]]*0.1%</f>
        <v>0</v>
      </c>
      <c r="BA1505" s="81">
        <f>Prog_236[[#This Row],[VLR NF]]*0.05%</f>
        <v>0</v>
      </c>
      <c r="BB1505" s="81"/>
      <c r="BC1505" s="81"/>
      <c r="BD1505" s="81"/>
      <c r="BE1505" s="81"/>
      <c r="BF1505" s="81"/>
      <c r="BG1505" s="81"/>
      <c r="BH1505" s="81"/>
      <c r="BI1505" s="81"/>
      <c r="BJ1505" s="81"/>
      <c r="BK1505" s="81"/>
      <c r="BL1505" s="66"/>
      <c r="BM1505" s="66"/>
      <c r="BN1505" s="66"/>
      <c r="BO1505" s="66" t="str">
        <f>PROPER(TEXT(Prog_236[[#This Row],[PROGRAMAÇÃO CLIENTE]],"mmm"))</f>
        <v>Jan</v>
      </c>
      <c r="BP1505" s="66">
        <f>YEAR(Prog_236[[#This Row],[PROGRAMAÇÃO CLIENTE]])</f>
        <v>1900</v>
      </c>
    </row>
    <row r="1506" spans="1:68" x14ac:dyDescent="0.25">
      <c r="A1506" s="201">
        <f>Prog_236[[#This Row],[CONTEINER]]</f>
        <v>0</v>
      </c>
      <c r="B1506" s="86"/>
      <c r="C150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6" s="44"/>
      <c r="E1506" s="66"/>
      <c r="F1506" s="66"/>
      <c r="G1506" s="66"/>
      <c r="H1506" s="44"/>
      <c r="I1506" s="44"/>
      <c r="J1506" s="66"/>
      <c r="K1506" s="66"/>
      <c r="L1506" s="66"/>
      <c r="M1506" s="66"/>
      <c r="N1506" s="66">
        <f>SUM(Prog_236[[#This Row],[TARA]]+Prog_236[[#This Row],[PESO]])</f>
        <v>0</v>
      </c>
      <c r="O1506" s="44"/>
      <c r="P1506" s="66"/>
      <c r="Q1506" s="66"/>
      <c r="R1506" s="66"/>
      <c r="S1506" s="66"/>
      <c r="T1506" s="138" t="str">
        <f>IFERROR(LOOKUP($S1506,MOTORISTAS!$D$3:$D$1048576,MOTORISTAS!E$3:$E$1048576),"")</f>
        <v/>
      </c>
      <c r="U1506" s="138" t="str">
        <f>IFERROR(LOOKUP($S1506,MOTORISTAS!$D$3:$D$1048576,MOTORISTAS!F$3:$F$1048576),"")</f>
        <v/>
      </c>
      <c r="V1506" s="66"/>
      <c r="W1506" s="66"/>
      <c r="X1506" s="66"/>
      <c r="Y1506" s="66"/>
      <c r="Z1506" s="66"/>
      <c r="AA1506" s="66"/>
      <c r="AB1506" s="66"/>
      <c r="AC1506" s="66"/>
      <c r="AD1506" s="66"/>
      <c r="AE1506" s="66"/>
      <c r="AF1506" s="44"/>
      <c r="AG1506" s="254">
        <f>Prog_236[[#This Row],[SAÍDA DO CLIENTE]]-Prog_236[[#This Row],[PROGRAMAÇÃO CLIENTE]]</f>
        <v>0</v>
      </c>
      <c r="AH1506" s="44"/>
      <c r="AI1506" s="66"/>
      <c r="AJ1506" s="66"/>
      <c r="AK1506" s="66"/>
      <c r="AL1506" s="66"/>
      <c r="AM1506" s="66"/>
      <c r="AN1506" s="83"/>
      <c r="AO1506" s="66"/>
      <c r="AP1506" s="66"/>
      <c r="AQ1506" s="66"/>
      <c r="AR1506" s="81"/>
      <c r="AS1506" s="81"/>
      <c r="AT1506" s="81"/>
      <c r="AU1506" s="81"/>
      <c r="AV1506" s="83">
        <f>SUM(Prog_236[[#This Row],[ADIANTAMENTO]]+Prog_236[[#This Row],[SALDO]]+Prog_236[[#This Row],[MARGEM]]+Prog_236[[#This Row],[ESTADIA 1]])</f>
        <v>0</v>
      </c>
      <c r="AW150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6" s="81"/>
      <c r="AY1506" s="81"/>
      <c r="AZ1506" s="81">
        <f>Prog_236[[#This Row],[VLR NF]]*0.1%</f>
        <v>0</v>
      </c>
      <c r="BA1506" s="81">
        <f>Prog_236[[#This Row],[VLR NF]]*0.05%</f>
        <v>0</v>
      </c>
      <c r="BB1506" s="81"/>
      <c r="BC1506" s="81"/>
      <c r="BD1506" s="81"/>
      <c r="BE1506" s="81"/>
      <c r="BF1506" s="81"/>
      <c r="BG1506" s="81"/>
      <c r="BH1506" s="81"/>
      <c r="BI1506" s="81"/>
      <c r="BJ1506" s="81"/>
      <c r="BK1506" s="81"/>
      <c r="BL1506" s="66"/>
      <c r="BM1506" s="66"/>
      <c r="BN1506" s="66"/>
      <c r="BO1506" s="66" t="str">
        <f>PROPER(TEXT(Prog_236[[#This Row],[PROGRAMAÇÃO CLIENTE]],"mmm"))</f>
        <v>Jan</v>
      </c>
      <c r="BP1506" s="66">
        <f>YEAR(Prog_236[[#This Row],[PROGRAMAÇÃO CLIENTE]])</f>
        <v>1900</v>
      </c>
    </row>
    <row r="1507" spans="1:68" x14ac:dyDescent="0.25">
      <c r="A1507" s="200">
        <f>Prog_236[[#This Row],[CONTEINER]]</f>
        <v>0</v>
      </c>
      <c r="B1507" s="86"/>
      <c r="C150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7" s="44"/>
      <c r="E1507" s="66"/>
      <c r="F1507" s="66"/>
      <c r="G1507" s="66"/>
      <c r="H1507" s="44"/>
      <c r="I1507" s="44"/>
      <c r="J1507" s="66"/>
      <c r="K1507" s="66"/>
      <c r="L1507" s="66"/>
      <c r="M1507" s="66"/>
      <c r="N1507" s="66">
        <f>SUM(Prog_236[[#This Row],[TARA]]+Prog_236[[#This Row],[PESO]])</f>
        <v>0</v>
      </c>
      <c r="O1507" s="44"/>
      <c r="P1507" s="66"/>
      <c r="Q1507" s="66"/>
      <c r="R1507" s="66"/>
      <c r="S1507" s="66"/>
      <c r="T1507" s="138" t="str">
        <f>IFERROR(LOOKUP($S1507,MOTORISTAS!$D$3:$D$1048576,MOTORISTAS!E$3:$E$1048576),"")</f>
        <v/>
      </c>
      <c r="U1507" s="138" t="str">
        <f>IFERROR(LOOKUP($S1507,MOTORISTAS!$D$3:$D$1048576,MOTORISTAS!F$3:$F$1048576),"")</f>
        <v/>
      </c>
      <c r="V1507" s="66"/>
      <c r="W1507" s="66"/>
      <c r="X1507" s="66"/>
      <c r="Y1507" s="66"/>
      <c r="Z1507" s="66"/>
      <c r="AA1507" s="66"/>
      <c r="AB1507" s="66"/>
      <c r="AC1507" s="66"/>
      <c r="AD1507" s="66"/>
      <c r="AE1507" s="66"/>
      <c r="AF1507" s="44"/>
      <c r="AG1507" s="254">
        <f>Prog_236[[#This Row],[SAÍDA DO CLIENTE]]-Prog_236[[#This Row],[PROGRAMAÇÃO CLIENTE]]</f>
        <v>0</v>
      </c>
      <c r="AH1507" s="44"/>
      <c r="AI1507" s="66"/>
      <c r="AJ1507" s="66"/>
      <c r="AK1507" s="66"/>
      <c r="AL1507" s="66"/>
      <c r="AM1507" s="66"/>
      <c r="AN1507" s="83"/>
      <c r="AO1507" s="66"/>
      <c r="AP1507" s="66"/>
      <c r="AQ1507" s="66"/>
      <c r="AR1507" s="81"/>
      <c r="AS1507" s="81"/>
      <c r="AT1507" s="81"/>
      <c r="AU1507" s="81"/>
      <c r="AV1507" s="83">
        <f>SUM(Prog_236[[#This Row],[ADIANTAMENTO]]+Prog_236[[#This Row],[SALDO]]+Prog_236[[#This Row],[MARGEM]]+Prog_236[[#This Row],[ESTADIA 1]])</f>
        <v>0</v>
      </c>
      <c r="AW150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7" s="81"/>
      <c r="AY1507" s="81"/>
      <c r="AZ1507" s="81">
        <f>Prog_236[[#This Row],[VLR NF]]*0.1%</f>
        <v>0</v>
      </c>
      <c r="BA1507" s="81">
        <f>Prog_236[[#This Row],[VLR NF]]*0.05%</f>
        <v>0</v>
      </c>
      <c r="BB1507" s="81"/>
      <c r="BC1507" s="81"/>
      <c r="BD1507" s="81"/>
      <c r="BE1507" s="81"/>
      <c r="BF1507" s="81"/>
      <c r="BG1507" s="81"/>
      <c r="BH1507" s="81"/>
      <c r="BI1507" s="81"/>
      <c r="BJ1507" s="81"/>
      <c r="BK1507" s="81"/>
      <c r="BL1507" s="66"/>
      <c r="BM1507" s="66"/>
      <c r="BN1507" s="66"/>
      <c r="BO1507" s="66" t="str">
        <f>PROPER(TEXT(Prog_236[[#This Row],[PROGRAMAÇÃO CLIENTE]],"mmm"))</f>
        <v>Jan</v>
      </c>
      <c r="BP1507" s="66">
        <f>YEAR(Prog_236[[#This Row],[PROGRAMAÇÃO CLIENTE]])</f>
        <v>1900</v>
      </c>
    </row>
    <row r="1508" spans="1:68" x14ac:dyDescent="0.25">
      <c r="A1508" s="201">
        <f>Prog_236[[#This Row],[CONTEINER]]</f>
        <v>0</v>
      </c>
      <c r="B1508" s="86"/>
      <c r="C150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8" s="44"/>
      <c r="E1508" s="66"/>
      <c r="F1508" s="66"/>
      <c r="G1508" s="66"/>
      <c r="H1508" s="44"/>
      <c r="I1508" s="44"/>
      <c r="J1508" s="66"/>
      <c r="K1508" s="66"/>
      <c r="L1508" s="66"/>
      <c r="M1508" s="66"/>
      <c r="N1508" s="66">
        <f>SUM(Prog_236[[#This Row],[TARA]]+Prog_236[[#This Row],[PESO]])</f>
        <v>0</v>
      </c>
      <c r="O1508" s="44"/>
      <c r="P1508" s="66"/>
      <c r="Q1508" s="66"/>
      <c r="R1508" s="66"/>
      <c r="S1508" s="66"/>
      <c r="T1508" s="138" t="str">
        <f>IFERROR(LOOKUP($S1508,MOTORISTAS!$D$3:$D$1048576,MOTORISTAS!E$3:$E$1048576),"")</f>
        <v/>
      </c>
      <c r="U1508" s="138" t="str">
        <f>IFERROR(LOOKUP($S1508,MOTORISTAS!$D$3:$D$1048576,MOTORISTAS!F$3:$F$1048576),"")</f>
        <v/>
      </c>
      <c r="V1508" s="66"/>
      <c r="W1508" s="66"/>
      <c r="X1508" s="66"/>
      <c r="Y1508" s="66"/>
      <c r="Z1508" s="66"/>
      <c r="AA1508" s="66"/>
      <c r="AB1508" s="66"/>
      <c r="AC1508" s="66"/>
      <c r="AD1508" s="66"/>
      <c r="AE1508" s="66"/>
      <c r="AF1508" s="44"/>
      <c r="AG1508" s="254">
        <f>Prog_236[[#This Row],[SAÍDA DO CLIENTE]]-Prog_236[[#This Row],[PROGRAMAÇÃO CLIENTE]]</f>
        <v>0</v>
      </c>
      <c r="AH1508" s="44"/>
      <c r="AI1508" s="66"/>
      <c r="AJ1508" s="66"/>
      <c r="AK1508" s="66"/>
      <c r="AL1508" s="66"/>
      <c r="AM1508" s="66"/>
      <c r="AN1508" s="83"/>
      <c r="AO1508" s="66"/>
      <c r="AP1508" s="66"/>
      <c r="AQ1508" s="66"/>
      <c r="AR1508" s="81"/>
      <c r="AS1508" s="81"/>
      <c r="AT1508" s="81"/>
      <c r="AU1508" s="81"/>
      <c r="AV1508" s="83">
        <f>SUM(Prog_236[[#This Row],[ADIANTAMENTO]]+Prog_236[[#This Row],[SALDO]]+Prog_236[[#This Row],[MARGEM]]+Prog_236[[#This Row],[ESTADIA 1]])</f>
        <v>0</v>
      </c>
      <c r="AW150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8" s="81"/>
      <c r="AY1508" s="81"/>
      <c r="AZ1508" s="81">
        <f>Prog_236[[#This Row],[VLR NF]]*0.1%</f>
        <v>0</v>
      </c>
      <c r="BA1508" s="81">
        <f>Prog_236[[#This Row],[VLR NF]]*0.05%</f>
        <v>0</v>
      </c>
      <c r="BB1508" s="81"/>
      <c r="BC1508" s="81"/>
      <c r="BD1508" s="81"/>
      <c r="BE1508" s="81"/>
      <c r="BF1508" s="81"/>
      <c r="BG1508" s="81"/>
      <c r="BH1508" s="81"/>
      <c r="BI1508" s="81"/>
      <c r="BJ1508" s="81"/>
      <c r="BK1508" s="81"/>
      <c r="BL1508" s="66"/>
      <c r="BM1508" s="66"/>
      <c r="BN1508" s="66"/>
      <c r="BO1508" s="66" t="str">
        <f>PROPER(TEXT(Prog_236[[#This Row],[PROGRAMAÇÃO CLIENTE]],"mmm"))</f>
        <v>Jan</v>
      </c>
      <c r="BP1508" s="66">
        <f>YEAR(Prog_236[[#This Row],[PROGRAMAÇÃO CLIENTE]])</f>
        <v>1900</v>
      </c>
    </row>
    <row r="1509" spans="1:68" x14ac:dyDescent="0.25">
      <c r="A1509" s="200">
        <f>Prog_236[[#This Row],[CONTEINER]]</f>
        <v>0</v>
      </c>
      <c r="B1509" s="86"/>
      <c r="C150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09" s="44"/>
      <c r="E1509" s="66"/>
      <c r="F1509" s="66"/>
      <c r="G1509" s="66"/>
      <c r="H1509" s="44"/>
      <c r="I1509" s="44"/>
      <c r="J1509" s="66"/>
      <c r="K1509" s="66"/>
      <c r="L1509" s="66"/>
      <c r="M1509" s="66"/>
      <c r="N1509" s="66">
        <f>SUM(Prog_236[[#This Row],[TARA]]+Prog_236[[#This Row],[PESO]])</f>
        <v>0</v>
      </c>
      <c r="O1509" s="44"/>
      <c r="P1509" s="66"/>
      <c r="Q1509" s="66"/>
      <c r="R1509" s="66"/>
      <c r="S1509" s="66"/>
      <c r="T1509" s="138" t="str">
        <f>IFERROR(LOOKUP($S1509,MOTORISTAS!$D$3:$D$1048576,MOTORISTAS!E$3:$E$1048576),"")</f>
        <v/>
      </c>
      <c r="U1509" s="138" t="str">
        <f>IFERROR(LOOKUP($S1509,MOTORISTAS!$D$3:$D$1048576,MOTORISTAS!F$3:$F$1048576),"")</f>
        <v/>
      </c>
      <c r="V1509" s="66"/>
      <c r="W1509" s="66"/>
      <c r="X1509" s="66"/>
      <c r="Y1509" s="66"/>
      <c r="Z1509" s="66"/>
      <c r="AA1509" s="66"/>
      <c r="AB1509" s="66"/>
      <c r="AC1509" s="66"/>
      <c r="AD1509" s="66"/>
      <c r="AE1509" s="66"/>
      <c r="AF1509" s="44"/>
      <c r="AG1509" s="254">
        <f>Prog_236[[#This Row],[SAÍDA DO CLIENTE]]-Prog_236[[#This Row],[PROGRAMAÇÃO CLIENTE]]</f>
        <v>0</v>
      </c>
      <c r="AH1509" s="44"/>
      <c r="AI1509" s="66"/>
      <c r="AJ1509" s="66"/>
      <c r="AK1509" s="66"/>
      <c r="AL1509" s="66"/>
      <c r="AM1509" s="66"/>
      <c r="AN1509" s="83"/>
      <c r="AO1509" s="66"/>
      <c r="AP1509" s="66"/>
      <c r="AQ1509" s="66"/>
      <c r="AR1509" s="81"/>
      <c r="AS1509" s="81"/>
      <c r="AT1509" s="81"/>
      <c r="AU1509" s="81"/>
      <c r="AV1509" s="83">
        <f>SUM(Prog_236[[#This Row],[ADIANTAMENTO]]+Prog_236[[#This Row],[SALDO]]+Prog_236[[#This Row],[MARGEM]]+Prog_236[[#This Row],[ESTADIA 1]])</f>
        <v>0</v>
      </c>
      <c r="AW150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09" s="81"/>
      <c r="AY1509" s="81"/>
      <c r="AZ1509" s="81">
        <f>Prog_236[[#This Row],[VLR NF]]*0.1%</f>
        <v>0</v>
      </c>
      <c r="BA1509" s="81">
        <f>Prog_236[[#This Row],[VLR NF]]*0.05%</f>
        <v>0</v>
      </c>
      <c r="BB1509" s="81"/>
      <c r="BC1509" s="81"/>
      <c r="BD1509" s="81"/>
      <c r="BE1509" s="81"/>
      <c r="BF1509" s="81"/>
      <c r="BG1509" s="81"/>
      <c r="BH1509" s="81"/>
      <c r="BI1509" s="81"/>
      <c r="BJ1509" s="81"/>
      <c r="BK1509" s="81"/>
      <c r="BL1509" s="66"/>
      <c r="BM1509" s="66"/>
      <c r="BN1509" s="66"/>
      <c r="BO1509" s="66" t="str">
        <f>PROPER(TEXT(Prog_236[[#This Row],[PROGRAMAÇÃO CLIENTE]],"mmm"))</f>
        <v>Jan</v>
      </c>
      <c r="BP1509" s="66">
        <f>YEAR(Prog_236[[#This Row],[PROGRAMAÇÃO CLIENTE]])</f>
        <v>1900</v>
      </c>
    </row>
    <row r="1510" spans="1:68" x14ac:dyDescent="0.25">
      <c r="A1510" s="201">
        <f>Prog_236[[#This Row],[CONTEINER]]</f>
        <v>0</v>
      </c>
      <c r="B1510" s="86"/>
      <c r="C151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0" s="44"/>
      <c r="E1510" s="66"/>
      <c r="F1510" s="66"/>
      <c r="G1510" s="66"/>
      <c r="H1510" s="44"/>
      <c r="I1510" s="44"/>
      <c r="J1510" s="66"/>
      <c r="K1510" s="66"/>
      <c r="L1510" s="66"/>
      <c r="M1510" s="66"/>
      <c r="N1510" s="66">
        <f>SUM(Prog_236[[#This Row],[TARA]]+Prog_236[[#This Row],[PESO]])</f>
        <v>0</v>
      </c>
      <c r="O1510" s="44"/>
      <c r="P1510" s="66"/>
      <c r="Q1510" s="66"/>
      <c r="R1510" s="66"/>
      <c r="S1510" s="66"/>
      <c r="T1510" s="138" t="str">
        <f>IFERROR(LOOKUP($S1510,MOTORISTAS!$D$3:$D$1048576,MOTORISTAS!E$3:$E$1048576),"")</f>
        <v/>
      </c>
      <c r="U1510" s="138" t="str">
        <f>IFERROR(LOOKUP($S1510,MOTORISTAS!$D$3:$D$1048576,MOTORISTAS!F$3:$F$1048576),"")</f>
        <v/>
      </c>
      <c r="V1510" s="66"/>
      <c r="W1510" s="66"/>
      <c r="X1510" s="66"/>
      <c r="Y1510" s="66"/>
      <c r="Z1510" s="66"/>
      <c r="AA1510" s="66"/>
      <c r="AB1510" s="66"/>
      <c r="AC1510" s="66"/>
      <c r="AD1510" s="66"/>
      <c r="AE1510" s="66"/>
      <c r="AF1510" s="44"/>
      <c r="AG1510" s="254">
        <f>Prog_236[[#This Row],[SAÍDA DO CLIENTE]]-Prog_236[[#This Row],[PROGRAMAÇÃO CLIENTE]]</f>
        <v>0</v>
      </c>
      <c r="AH1510" s="44"/>
      <c r="AI1510" s="66"/>
      <c r="AJ1510" s="66"/>
      <c r="AK1510" s="66"/>
      <c r="AL1510" s="66"/>
      <c r="AM1510" s="66"/>
      <c r="AN1510" s="83"/>
      <c r="AO1510" s="66"/>
      <c r="AP1510" s="66"/>
      <c r="AQ1510" s="66"/>
      <c r="AR1510" s="81"/>
      <c r="AS1510" s="81"/>
      <c r="AT1510" s="81"/>
      <c r="AU1510" s="81"/>
      <c r="AV1510" s="83">
        <f>SUM(Prog_236[[#This Row],[ADIANTAMENTO]]+Prog_236[[#This Row],[SALDO]]+Prog_236[[#This Row],[MARGEM]]+Prog_236[[#This Row],[ESTADIA 1]])</f>
        <v>0</v>
      </c>
      <c r="AW151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0" s="81"/>
      <c r="AY1510" s="81"/>
      <c r="AZ1510" s="81">
        <f>Prog_236[[#This Row],[VLR NF]]*0.1%</f>
        <v>0</v>
      </c>
      <c r="BA1510" s="81">
        <f>Prog_236[[#This Row],[VLR NF]]*0.05%</f>
        <v>0</v>
      </c>
      <c r="BB1510" s="81"/>
      <c r="BC1510" s="81"/>
      <c r="BD1510" s="81"/>
      <c r="BE1510" s="81"/>
      <c r="BF1510" s="81"/>
      <c r="BG1510" s="81"/>
      <c r="BH1510" s="81"/>
      <c r="BI1510" s="81"/>
      <c r="BJ1510" s="81"/>
      <c r="BK1510" s="81"/>
      <c r="BL1510" s="66"/>
      <c r="BM1510" s="66"/>
      <c r="BN1510" s="66"/>
      <c r="BO1510" s="66" t="str">
        <f>PROPER(TEXT(Prog_236[[#This Row],[PROGRAMAÇÃO CLIENTE]],"mmm"))</f>
        <v>Jan</v>
      </c>
      <c r="BP1510" s="66">
        <f>YEAR(Prog_236[[#This Row],[PROGRAMAÇÃO CLIENTE]])</f>
        <v>1900</v>
      </c>
    </row>
    <row r="1511" spans="1:68" x14ac:dyDescent="0.25">
      <c r="A1511" s="200">
        <f>Prog_236[[#This Row],[CONTEINER]]</f>
        <v>0</v>
      </c>
      <c r="B1511" s="86"/>
      <c r="C151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1" s="44"/>
      <c r="E1511" s="66"/>
      <c r="F1511" s="66"/>
      <c r="G1511" s="66"/>
      <c r="H1511" s="44"/>
      <c r="I1511" s="44"/>
      <c r="J1511" s="66"/>
      <c r="K1511" s="66"/>
      <c r="L1511" s="66"/>
      <c r="M1511" s="66"/>
      <c r="N1511" s="66">
        <f>SUM(Prog_236[[#This Row],[TARA]]+Prog_236[[#This Row],[PESO]])</f>
        <v>0</v>
      </c>
      <c r="O1511" s="44"/>
      <c r="P1511" s="66"/>
      <c r="Q1511" s="66"/>
      <c r="R1511" s="66"/>
      <c r="S1511" s="66"/>
      <c r="T1511" s="138" t="str">
        <f>IFERROR(LOOKUP($S1511,MOTORISTAS!$D$3:$D$1048576,MOTORISTAS!E$3:$E$1048576),"")</f>
        <v/>
      </c>
      <c r="U1511" s="138" t="str">
        <f>IFERROR(LOOKUP($S1511,MOTORISTAS!$D$3:$D$1048576,MOTORISTAS!F$3:$F$1048576),"")</f>
        <v/>
      </c>
      <c r="V1511" s="66"/>
      <c r="W1511" s="66"/>
      <c r="X1511" s="66"/>
      <c r="Y1511" s="66"/>
      <c r="Z1511" s="66"/>
      <c r="AA1511" s="66"/>
      <c r="AB1511" s="66"/>
      <c r="AC1511" s="66"/>
      <c r="AD1511" s="66"/>
      <c r="AE1511" s="66"/>
      <c r="AF1511" s="44"/>
      <c r="AG1511" s="254">
        <f>Prog_236[[#This Row],[SAÍDA DO CLIENTE]]-Prog_236[[#This Row],[PROGRAMAÇÃO CLIENTE]]</f>
        <v>0</v>
      </c>
      <c r="AH1511" s="44"/>
      <c r="AI1511" s="66"/>
      <c r="AJ1511" s="66"/>
      <c r="AK1511" s="66"/>
      <c r="AL1511" s="66"/>
      <c r="AM1511" s="66"/>
      <c r="AN1511" s="83"/>
      <c r="AO1511" s="66"/>
      <c r="AP1511" s="66"/>
      <c r="AQ1511" s="66"/>
      <c r="AR1511" s="81"/>
      <c r="AS1511" s="81"/>
      <c r="AT1511" s="81"/>
      <c r="AU1511" s="81"/>
      <c r="AV1511" s="83">
        <f>SUM(Prog_236[[#This Row],[ADIANTAMENTO]]+Prog_236[[#This Row],[SALDO]]+Prog_236[[#This Row],[MARGEM]]+Prog_236[[#This Row],[ESTADIA 1]])</f>
        <v>0</v>
      </c>
      <c r="AW151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1" s="81"/>
      <c r="AY1511" s="81"/>
      <c r="AZ1511" s="81">
        <f>Prog_236[[#This Row],[VLR NF]]*0.1%</f>
        <v>0</v>
      </c>
      <c r="BA1511" s="81">
        <f>Prog_236[[#This Row],[VLR NF]]*0.05%</f>
        <v>0</v>
      </c>
      <c r="BB1511" s="81"/>
      <c r="BC1511" s="81"/>
      <c r="BD1511" s="81"/>
      <c r="BE1511" s="81"/>
      <c r="BF1511" s="81"/>
      <c r="BG1511" s="81"/>
      <c r="BH1511" s="81"/>
      <c r="BI1511" s="81"/>
      <c r="BJ1511" s="81"/>
      <c r="BK1511" s="81"/>
      <c r="BL1511" s="66"/>
      <c r="BM1511" s="66"/>
      <c r="BN1511" s="66"/>
      <c r="BO1511" s="66" t="str">
        <f>PROPER(TEXT(Prog_236[[#This Row],[PROGRAMAÇÃO CLIENTE]],"mmm"))</f>
        <v>Jan</v>
      </c>
      <c r="BP1511" s="66">
        <f>YEAR(Prog_236[[#This Row],[PROGRAMAÇÃO CLIENTE]])</f>
        <v>1900</v>
      </c>
    </row>
    <row r="1512" spans="1:68" x14ac:dyDescent="0.25">
      <c r="A1512" s="201">
        <f>Prog_236[[#This Row],[CONTEINER]]</f>
        <v>0</v>
      </c>
      <c r="B1512" s="86"/>
      <c r="C151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2" s="44"/>
      <c r="E1512" s="66"/>
      <c r="F1512" s="66"/>
      <c r="G1512" s="66"/>
      <c r="H1512" s="44"/>
      <c r="I1512" s="44"/>
      <c r="J1512" s="66"/>
      <c r="K1512" s="66"/>
      <c r="L1512" s="66"/>
      <c r="M1512" s="66"/>
      <c r="N1512" s="66">
        <f>SUM(Prog_236[[#This Row],[TARA]]+Prog_236[[#This Row],[PESO]])</f>
        <v>0</v>
      </c>
      <c r="O1512" s="44"/>
      <c r="P1512" s="66"/>
      <c r="Q1512" s="66"/>
      <c r="R1512" s="66"/>
      <c r="S1512" s="66"/>
      <c r="T1512" s="138" t="str">
        <f>IFERROR(LOOKUP($S1512,MOTORISTAS!$D$3:$D$1048576,MOTORISTAS!E$3:$E$1048576),"")</f>
        <v/>
      </c>
      <c r="U1512" s="138" t="str">
        <f>IFERROR(LOOKUP($S1512,MOTORISTAS!$D$3:$D$1048576,MOTORISTAS!F$3:$F$1048576),"")</f>
        <v/>
      </c>
      <c r="V1512" s="66"/>
      <c r="W1512" s="66"/>
      <c r="X1512" s="66"/>
      <c r="Y1512" s="66"/>
      <c r="Z1512" s="66"/>
      <c r="AA1512" s="66"/>
      <c r="AB1512" s="66"/>
      <c r="AC1512" s="66"/>
      <c r="AD1512" s="66"/>
      <c r="AE1512" s="66"/>
      <c r="AF1512" s="44"/>
      <c r="AG1512" s="254">
        <f>Prog_236[[#This Row],[SAÍDA DO CLIENTE]]-Prog_236[[#This Row],[PROGRAMAÇÃO CLIENTE]]</f>
        <v>0</v>
      </c>
      <c r="AH1512" s="44"/>
      <c r="AI1512" s="66"/>
      <c r="AJ1512" s="66"/>
      <c r="AK1512" s="66"/>
      <c r="AL1512" s="66"/>
      <c r="AM1512" s="66"/>
      <c r="AN1512" s="83"/>
      <c r="AO1512" s="66"/>
      <c r="AP1512" s="66"/>
      <c r="AQ1512" s="66"/>
      <c r="AR1512" s="81"/>
      <c r="AS1512" s="81"/>
      <c r="AT1512" s="81"/>
      <c r="AU1512" s="81"/>
      <c r="AV1512" s="83">
        <f>SUM(Prog_236[[#This Row],[ADIANTAMENTO]]+Prog_236[[#This Row],[SALDO]]+Prog_236[[#This Row],[MARGEM]]+Prog_236[[#This Row],[ESTADIA 1]])</f>
        <v>0</v>
      </c>
      <c r="AW151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2" s="81"/>
      <c r="AY1512" s="81"/>
      <c r="AZ1512" s="81">
        <f>Prog_236[[#This Row],[VLR NF]]*0.1%</f>
        <v>0</v>
      </c>
      <c r="BA1512" s="81">
        <f>Prog_236[[#This Row],[VLR NF]]*0.05%</f>
        <v>0</v>
      </c>
      <c r="BB1512" s="81"/>
      <c r="BC1512" s="81"/>
      <c r="BD1512" s="81"/>
      <c r="BE1512" s="81"/>
      <c r="BF1512" s="81"/>
      <c r="BG1512" s="81"/>
      <c r="BH1512" s="81"/>
      <c r="BI1512" s="81"/>
      <c r="BJ1512" s="81"/>
      <c r="BK1512" s="81"/>
      <c r="BL1512" s="66"/>
      <c r="BM1512" s="66"/>
      <c r="BN1512" s="66"/>
      <c r="BO1512" s="66" t="str">
        <f>PROPER(TEXT(Prog_236[[#This Row],[PROGRAMAÇÃO CLIENTE]],"mmm"))</f>
        <v>Jan</v>
      </c>
      <c r="BP1512" s="66">
        <f>YEAR(Prog_236[[#This Row],[PROGRAMAÇÃO CLIENTE]])</f>
        <v>1900</v>
      </c>
    </row>
    <row r="1513" spans="1:68" x14ac:dyDescent="0.25">
      <c r="A1513" s="200">
        <f>Prog_236[[#This Row],[CONTEINER]]</f>
        <v>0</v>
      </c>
      <c r="B1513" s="86"/>
      <c r="C151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3" s="44"/>
      <c r="E1513" s="66"/>
      <c r="F1513" s="66"/>
      <c r="G1513" s="66"/>
      <c r="H1513" s="44"/>
      <c r="I1513" s="44"/>
      <c r="J1513" s="66"/>
      <c r="K1513" s="66"/>
      <c r="L1513" s="66"/>
      <c r="M1513" s="66"/>
      <c r="N1513" s="66">
        <f>SUM(Prog_236[[#This Row],[TARA]]+Prog_236[[#This Row],[PESO]])</f>
        <v>0</v>
      </c>
      <c r="O1513" s="44"/>
      <c r="P1513" s="66"/>
      <c r="Q1513" s="66"/>
      <c r="R1513" s="66"/>
      <c r="S1513" s="66"/>
      <c r="T1513" s="138" t="str">
        <f>IFERROR(LOOKUP($S1513,MOTORISTAS!$D$3:$D$1048576,MOTORISTAS!E$3:$E$1048576),"")</f>
        <v/>
      </c>
      <c r="U1513" s="138" t="str">
        <f>IFERROR(LOOKUP($S1513,MOTORISTAS!$D$3:$D$1048576,MOTORISTAS!F$3:$F$1048576),"")</f>
        <v/>
      </c>
      <c r="V1513" s="66"/>
      <c r="W1513" s="66"/>
      <c r="X1513" s="66"/>
      <c r="Y1513" s="66"/>
      <c r="Z1513" s="66"/>
      <c r="AA1513" s="66"/>
      <c r="AB1513" s="66"/>
      <c r="AC1513" s="66"/>
      <c r="AD1513" s="66"/>
      <c r="AE1513" s="66"/>
      <c r="AF1513" s="44"/>
      <c r="AG1513" s="254">
        <f>Prog_236[[#This Row],[SAÍDA DO CLIENTE]]-Prog_236[[#This Row],[PROGRAMAÇÃO CLIENTE]]</f>
        <v>0</v>
      </c>
      <c r="AH1513" s="44"/>
      <c r="AI1513" s="66"/>
      <c r="AJ1513" s="66"/>
      <c r="AK1513" s="66"/>
      <c r="AL1513" s="66"/>
      <c r="AM1513" s="66"/>
      <c r="AN1513" s="83"/>
      <c r="AO1513" s="66"/>
      <c r="AP1513" s="66"/>
      <c r="AQ1513" s="66"/>
      <c r="AR1513" s="81"/>
      <c r="AS1513" s="81"/>
      <c r="AT1513" s="81"/>
      <c r="AU1513" s="81"/>
      <c r="AV1513" s="83">
        <f>SUM(Prog_236[[#This Row],[ADIANTAMENTO]]+Prog_236[[#This Row],[SALDO]]+Prog_236[[#This Row],[MARGEM]]+Prog_236[[#This Row],[ESTADIA 1]])</f>
        <v>0</v>
      </c>
      <c r="AW151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3" s="81"/>
      <c r="AY1513" s="81"/>
      <c r="AZ1513" s="81">
        <f>Prog_236[[#This Row],[VLR NF]]*0.1%</f>
        <v>0</v>
      </c>
      <c r="BA1513" s="81">
        <f>Prog_236[[#This Row],[VLR NF]]*0.05%</f>
        <v>0</v>
      </c>
      <c r="BB1513" s="81"/>
      <c r="BC1513" s="81"/>
      <c r="BD1513" s="81"/>
      <c r="BE1513" s="81"/>
      <c r="BF1513" s="81"/>
      <c r="BG1513" s="81"/>
      <c r="BH1513" s="81"/>
      <c r="BI1513" s="81"/>
      <c r="BJ1513" s="81"/>
      <c r="BK1513" s="81"/>
      <c r="BL1513" s="66"/>
      <c r="BM1513" s="66"/>
      <c r="BN1513" s="66"/>
      <c r="BO1513" s="66" t="str">
        <f>PROPER(TEXT(Prog_236[[#This Row],[PROGRAMAÇÃO CLIENTE]],"mmm"))</f>
        <v>Jan</v>
      </c>
      <c r="BP1513" s="66">
        <f>YEAR(Prog_236[[#This Row],[PROGRAMAÇÃO CLIENTE]])</f>
        <v>1900</v>
      </c>
    </row>
    <row r="1514" spans="1:68" x14ac:dyDescent="0.25">
      <c r="A1514" s="201">
        <f>Prog_236[[#This Row],[CONTEINER]]</f>
        <v>0</v>
      </c>
      <c r="B1514" s="86"/>
      <c r="C151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4" s="44"/>
      <c r="E1514" s="66"/>
      <c r="F1514" s="66"/>
      <c r="G1514" s="66"/>
      <c r="H1514" s="44"/>
      <c r="I1514" s="44"/>
      <c r="J1514" s="66"/>
      <c r="K1514" s="66"/>
      <c r="L1514" s="66"/>
      <c r="M1514" s="66"/>
      <c r="N1514" s="66">
        <f>SUM(Prog_236[[#This Row],[TARA]]+Prog_236[[#This Row],[PESO]])</f>
        <v>0</v>
      </c>
      <c r="O1514" s="44"/>
      <c r="P1514" s="66"/>
      <c r="Q1514" s="66"/>
      <c r="R1514" s="66"/>
      <c r="S1514" s="66"/>
      <c r="T1514" s="138" t="str">
        <f>IFERROR(LOOKUP($S1514,MOTORISTAS!$D$3:$D$1048576,MOTORISTAS!E$3:$E$1048576),"")</f>
        <v/>
      </c>
      <c r="U1514" s="138" t="str">
        <f>IFERROR(LOOKUP($S1514,MOTORISTAS!$D$3:$D$1048576,MOTORISTAS!F$3:$F$1048576),"")</f>
        <v/>
      </c>
      <c r="V1514" s="66"/>
      <c r="W1514" s="66"/>
      <c r="X1514" s="66"/>
      <c r="Y1514" s="66"/>
      <c r="Z1514" s="66"/>
      <c r="AA1514" s="66"/>
      <c r="AB1514" s="66"/>
      <c r="AC1514" s="66"/>
      <c r="AD1514" s="66"/>
      <c r="AE1514" s="66"/>
      <c r="AF1514" s="44"/>
      <c r="AG1514" s="254">
        <f>Prog_236[[#This Row],[SAÍDA DO CLIENTE]]-Prog_236[[#This Row],[PROGRAMAÇÃO CLIENTE]]</f>
        <v>0</v>
      </c>
      <c r="AH1514" s="44"/>
      <c r="AI1514" s="66"/>
      <c r="AJ1514" s="66"/>
      <c r="AK1514" s="66"/>
      <c r="AL1514" s="66"/>
      <c r="AM1514" s="66"/>
      <c r="AN1514" s="83"/>
      <c r="AO1514" s="66"/>
      <c r="AP1514" s="66"/>
      <c r="AQ1514" s="66"/>
      <c r="AR1514" s="81"/>
      <c r="AS1514" s="81"/>
      <c r="AT1514" s="81"/>
      <c r="AU1514" s="81"/>
      <c r="AV1514" s="83">
        <f>SUM(Prog_236[[#This Row],[ADIANTAMENTO]]+Prog_236[[#This Row],[SALDO]]+Prog_236[[#This Row],[MARGEM]]+Prog_236[[#This Row],[ESTADIA 1]])</f>
        <v>0</v>
      </c>
      <c r="AW151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4" s="81"/>
      <c r="AY1514" s="81"/>
      <c r="AZ1514" s="81">
        <f>Prog_236[[#This Row],[VLR NF]]*0.1%</f>
        <v>0</v>
      </c>
      <c r="BA1514" s="81">
        <f>Prog_236[[#This Row],[VLR NF]]*0.05%</f>
        <v>0</v>
      </c>
      <c r="BB1514" s="81"/>
      <c r="BC1514" s="81"/>
      <c r="BD1514" s="81"/>
      <c r="BE1514" s="81"/>
      <c r="BF1514" s="81"/>
      <c r="BG1514" s="81"/>
      <c r="BH1514" s="81"/>
      <c r="BI1514" s="81"/>
      <c r="BJ1514" s="81"/>
      <c r="BK1514" s="81"/>
      <c r="BL1514" s="66"/>
      <c r="BM1514" s="66"/>
      <c r="BN1514" s="66"/>
      <c r="BO1514" s="66" t="str">
        <f>PROPER(TEXT(Prog_236[[#This Row],[PROGRAMAÇÃO CLIENTE]],"mmm"))</f>
        <v>Jan</v>
      </c>
      <c r="BP1514" s="66">
        <f>YEAR(Prog_236[[#This Row],[PROGRAMAÇÃO CLIENTE]])</f>
        <v>1900</v>
      </c>
    </row>
    <row r="1515" spans="1:68" x14ac:dyDescent="0.25">
      <c r="A1515" s="200">
        <f>Prog_236[[#This Row],[CONTEINER]]</f>
        <v>0</v>
      </c>
      <c r="B1515" s="86"/>
      <c r="C151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5" s="44"/>
      <c r="E1515" s="66"/>
      <c r="F1515" s="66"/>
      <c r="G1515" s="66"/>
      <c r="H1515" s="44"/>
      <c r="I1515" s="44"/>
      <c r="J1515" s="66"/>
      <c r="K1515" s="66"/>
      <c r="L1515" s="66"/>
      <c r="M1515" s="66"/>
      <c r="N1515" s="66">
        <f>SUM(Prog_236[[#This Row],[TARA]]+Prog_236[[#This Row],[PESO]])</f>
        <v>0</v>
      </c>
      <c r="O1515" s="44"/>
      <c r="P1515" s="66"/>
      <c r="Q1515" s="66"/>
      <c r="R1515" s="66"/>
      <c r="S1515" s="66"/>
      <c r="T1515" s="138" t="str">
        <f>IFERROR(LOOKUP($S1515,MOTORISTAS!$D$3:$D$1048576,MOTORISTAS!E$3:$E$1048576),"")</f>
        <v/>
      </c>
      <c r="U1515" s="138" t="str">
        <f>IFERROR(LOOKUP($S1515,MOTORISTAS!$D$3:$D$1048576,MOTORISTAS!F$3:$F$1048576),"")</f>
        <v/>
      </c>
      <c r="V1515" s="66"/>
      <c r="W1515" s="66"/>
      <c r="X1515" s="66"/>
      <c r="Y1515" s="66"/>
      <c r="Z1515" s="66"/>
      <c r="AA1515" s="66"/>
      <c r="AB1515" s="66"/>
      <c r="AC1515" s="66"/>
      <c r="AD1515" s="66"/>
      <c r="AE1515" s="66"/>
      <c r="AF1515" s="44"/>
      <c r="AG1515" s="254">
        <f>Prog_236[[#This Row],[SAÍDA DO CLIENTE]]-Prog_236[[#This Row],[PROGRAMAÇÃO CLIENTE]]</f>
        <v>0</v>
      </c>
      <c r="AH1515" s="44"/>
      <c r="AI1515" s="66"/>
      <c r="AJ1515" s="66"/>
      <c r="AK1515" s="66"/>
      <c r="AL1515" s="66"/>
      <c r="AM1515" s="66"/>
      <c r="AN1515" s="83"/>
      <c r="AO1515" s="66"/>
      <c r="AP1515" s="66"/>
      <c r="AQ1515" s="66"/>
      <c r="AR1515" s="81"/>
      <c r="AS1515" s="81"/>
      <c r="AT1515" s="81"/>
      <c r="AU1515" s="81"/>
      <c r="AV1515" s="83">
        <f>SUM(Prog_236[[#This Row],[ADIANTAMENTO]]+Prog_236[[#This Row],[SALDO]]+Prog_236[[#This Row],[MARGEM]]+Prog_236[[#This Row],[ESTADIA 1]])</f>
        <v>0</v>
      </c>
      <c r="AW151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5" s="81"/>
      <c r="AY1515" s="81"/>
      <c r="AZ1515" s="81">
        <f>Prog_236[[#This Row],[VLR NF]]*0.1%</f>
        <v>0</v>
      </c>
      <c r="BA1515" s="81">
        <f>Prog_236[[#This Row],[VLR NF]]*0.05%</f>
        <v>0</v>
      </c>
      <c r="BB1515" s="81"/>
      <c r="BC1515" s="81"/>
      <c r="BD1515" s="81"/>
      <c r="BE1515" s="81"/>
      <c r="BF1515" s="81"/>
      <c r="BG1515" s="81"/>
      <c r="BH1515" s="81"/>
      <c r="BI1515" s="81"/>
      <c r="BJ1515" s="81"/>
      <c r="BK1515" s="81"/>
      <c r="BL1515" s="66"/>
      <c r="BM1515" s="66"/>
      <c r="BN1515" s="66"/>
      <c r="BO1515" s="66" t="str">
        <f>PROPER(TEXT(Prog_236[[#This Row],[PROGRAMAÇÃO CLIENTE]],"mmm"))</f>
        <v>Jan</v>
      </c>
      <c r="BP1515" s="66">
        <f>YEAR(Prog_236[[#This Row],[PROGRAMAÇÃO CLIENTE]])</f>
        <v>1900</v>
      </c>
    </row>
    <row r="1516" spans="1:68" x14ac:dyDescent="0.25">
      <c r="A1516" s="201">
        <f>Prog_236[[#This Row],[CONTEINER]]</f>
        <v>0</v>
      </c>
      <c r="B1516" s="86"/>
      <c r="C151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6" s="44"/>
      <c r="E1516" s="66"/>
      <c r="F1516" s="66"/>
      <c r="G1516" s="66"/>
      <c r="H1516" s="44"/>
      <c r="I1516" s="44"/>
      <c r="J1516" s="66"/>
      <c r="K1516" s="66"/>
      <c r="L1516" s="66"/>
      <c r="M1516" s="66"/>
      <c r="N1516" s="66">
        <f>SUM(Prog_236[[#This Row],[TARA]]+Prog_236[[#This Row],[PESO]])</f>
        <v>0</v>
      </c>
      <c r="O1516" s="44"/>
      <c r="P1516" s="66"/>
      <c r="Q1516" s="66"/>
      <c r="R1516" s="66"/>
      <c r="S1516" s="66"/>
      <c r="T1516" s="138" t="str">
        <f>IFERROR(LOOKUP($S1516,MOTORISTAS!$D$3:$D$1048576,MOTORISTAS!E$3:$E$1048576),"")</f>
        <v/>
      </c>
      <c r="U1516" s="138" t="str">
        <f>IFERROR(LOOKUP($S1516,MOTORISTAS!$D$3:$D$1048576,MOTORISTAS!F$3:$F$1048576),"")</f>
        <v/>
      </c>
      <c r="V1516" s="66"/>
      <c r="W1516" s="66"/>
      <c r="X1516" s="66"/>
      <c r="Y1516" s="66"/>
      <c r="Z1516" s="66"/>
      <c r="AA1516" s="66"/>
      <c r="AB1516" s="66"/>
      <c r="AC1516" s="66"/>
      <c r="AD1516" s="66"/>
      <c r="AE1516" s="66"/>
      <c r="AF1516" s="44"/>
      <c r="AG1516" s="254">
        <f>Prog_236[[#This Row],[SAÍDA DO CLIENTE]]-Prog_236[[#This Row],[PROGRAMAÇÃO CLIENTE]]</f>
        <v>0</v>
      </c>
      <c r="AH1516" s="44"/>
      <c r="AI1516" s="66"/>
      <c r="AJ1516" s="66"/>
      <c r="AK1516" s="66"/>
      <c r="AL1516" s="66"/>
      <c r="AM1516" s="66"/>
      <c r="AN1516" s="83"/>
      <c r="AO1516" s="66"/>
      <c r="AP1516" s="66"/>
      <c r="AQ1516" s="66"/>
      <c r="AR1516" s="81"/>
      <c r="AS1516" s="81"/>
      <c r="AT1516" s="81"/>
      <c r="AU1516" s="81"/>
      <c r="AV1516" s="83">
        <f>SUM(Prog_236[[#This Row],[ADIANTAMENTO]]+Prog_236[[#This Row],[SALDO]]+Prog_236[[#This Row],[MARGEM]]+Prog_236[[#This Row],[ESTADIA 1]])</f>
        <v>0</v>
      </c>
      <c r="AW151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6" s="81"/>
      <c r="AY1516" s="81"/>
      <c r="AZ1516" s="81">
        <f>Prog_236[[#This Row],[VLR NF]]*0.1%</f>
        <v>0</v>
      </c>
      <c r="BA1516" s="81">
        <f>Prog_236[[#This Row],[VLR NF]]*0.05%</f>
        <v>0</v>
      </c>
      <c r="BB1516" s="81"/>
      <c r="BC1516" s="81"/>
      <c r="BD1516" s="81"/>
      <c r="BE1516" s="81"/>
      <c r="BF1516" s="81"/>
      <c r="BG1516" s="81"/>
      <c r="BH1516" s="81"/>
      <c r="BI1516" s="81"/>
      <c r="BJ1516" s="81"/>
      <c r="BK1516" s="81"/>
      <c r="BL1516" s="66"/>
      <c r="BM1516" s="66"/>
      <c r="BN1516" s="66"/>
      <c r="BO1516" s="66" t="str">
        <f>PROPER(TEXT(Prog_236[[#This Row],[PROGRAMAÇÃO CLIENTE]],"mmm"))</f>
        <v>Jan</v>
      </c>
      <c r="BP1516" s="66">
        <f>YEAR(Prog_236[[#This Row],[PROGRAMAÇÃO CLIENTE]])</f>
        <v>1900</v>
      </c>
    </row>
    <row r="1517" spans="1:68" x14ac:dyDescent="0.25">
      <c r="A1517" s="200">
        <f>Prog_236[[#This Row],[CONTEINER]]</f>
        <v>0</v>
      </c>
      <c r="B1517" s="86"/>
      <c r="C151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7" s="44"/>
      <c r="E1517" s="66"/>
      <c r="F1517" s="66"/>
      <c r="G1517" s="66"/>
      <c r="H1517" s="44"/>
      <c r="I1517" s="44"/>
      <c r="J1517" s="66"/>
      <c r="K1517" s="66"/>
      <c r="L1517" s="66"/>
      <c r="M1517" s="66"/>
      <c r="N1517" s="66">
        <f>SUM(Prog_236[[#This Row],[TARA]]+Prog_236[[#This Row],[PESO]])</f>
        <v>0</v>
      </c>
      <c r="O1517" s="44"/>
      <c r="P1517" s="66"/>
      <c r="Q1517" s="66"/>
      <c r="R1517" s="66"/>
      <c r="S1517" s="66"/>
      <c r="T1517" s="138" t="str">
        <f>IFERROR(LOOKUP($S1517,MOTORISTAS!$D$3:$D$1048576,MOTORISTAS!E$3:$E$1048576),"")</f>
        <v/>
      </c>
      <c r="U1517" s="138" t="str">
        <f>IFERROR(LOOKUP($S1517,MOTORISTAS!$D$3:$D$1048576,MOTORISTAS!F$3:$F$1048576),"")</f>
        <v/>
      </c>
      <c r="V1517" s="66"/>
      <c r="W1517" s="66"/>
      <c r="X1517" s="66"/>
      <c r="Y1517" s="66"/>
      <c r="Z1517" s="66"/>
      <c r="AA1517" s="66"/>
      <c r="AB1517" s="66"/>
      <c r="AC1517" s="66"/>
      <c r="AD1517" s="66"/>
      <c r="AE1517" s="66"/>
      <c r="AF1517" s="44"/>
      <c r="AG1517" s="254">
        <f>Prog_236[[#This Row],[SAÍDA DO CLIENTE]]-Prog_236[[#This Row],[PROGRAMAÇÃO CLIENTE]]</f>
        <v>0</v>
      </c>
      <c r="AH1517" s="44"/>
      <c r="AI1517" s="66"/>
      <c r="AJ1517" s="66"/>
      <c r="AK1517" s="66"/>
      <c r="AL1517" s="66"/>
      <c r="AM1517" s="66"/>
      <c r="AN1517" s="83"/>
      <c r="AO1517" s="66"/>
      <c r="AP1517" s="66"/>
      <c r="AQ1517" s="66"/>
      <c r="AR1517" s="81"/>
      <c r="AS1517" s="81"/>
      <c r="AT1517" s="81"/>
      <c r="AU1517" s="81"/>
      <c r="AV1517" s="83">
        <f>SUM(Prog_236[[#This Row],[ADIANTAMENTO]]+Prog_236[[#This Row],[SALDO]]+Prog_236[[#This Row],[MARGEM]]+Prog_236[[#This Row],[ESTADIA 1]])</f>
        <v>0</v>
      </c>
      <c r="AW151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7" s="81"/>
      <c r="AY1517" s="81"/>
      <c r="AZ1517" s="81">
        <f>Prog_236[[#This Row],[VLR NF]]*0.1%</f>
        <v>0</v>
      </c>
      <c r="BA1517" s="81">
        <f>Prog_236[[#This Row],[VLR NF]]*0.05%</f>
        <v>0</v>
      </c>
      <c r="BB1517" s="81"/>
      <c r="BC1517" s="81"/>
      <c r="BD1517" s="81"/>
      <c r="BE1517" s="81"/>
      <c r="BF1517" s="81"/>
      <c r="BG1517" s="81"/>
      <c r="BH1517" s="81"/>
      <c r="BI1517" s="81"/>
      <c r="BJ1517" s="81"/>
      <c r="BK1517" s="81"/>
      <c r="BL1517" s="66"/>
      <c r="BM1517" s="66"/>
      <c r="BN1517" s="66"/>
      <c r="BO1517" s="66" t="str">
        <f>PROPER(TEXT(Prog_236[[#This Row],[PROGRAMAÇÃO CLIENTE]],"mmm"))</f>
        <v>Jan</v>
      </c>
      <c r="BP1517" s="66">
        <f>YEAR(Prog_236[[#This Row],[PROGRAMAÇÃO CLIENTE]])</f>
        <v>1900</v>
      </c>
    </row>
    <row r="1518" spans="1:68" x14ac:dyDescent="0.25">
      <c r="A1518" s="201">
        <f>Prog_236[[#This Row],[CONTEINER]]</f>
        <v>0</v>
      </c>
      <c r="B1518" s="86"/>
      <c r="C151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8" s="44"/>
      <c r="E1518" s="66"/>
      <c r="F1518" s="66"/>
      <c r="G1518" s="66"/>
      <c r="H1518" s="44"/>
      <c r="I1518" s="44"/>
      <c r="J1518" s="66"/>
      <c r="K1518" s="66"/>
      <c r="L1518" s="66"/>
      <c r="M1518" s="66"/>
      <c r="N1518" s="66">
        <f>SUM(Prog_236[[#This Row],[TARA]]+Prog_236[[#This Row],[PESO]])</f>
        <v>0</v>
      </c>
      <c r="O1518" s="44"/>
      <c r="P1518" s="66"/>
      <c r="Q1518" s="66"/>
      <c r="R1518" s="66"/>
      <c r="S1518" s="66"/>
      <c r="T1518" s="138" t="str">
        <f>IFERROR(LOOKUP($S1518,MOTORISTAS!$D$3:$D$1048576,MOTORISTAS!E$3:$E$1048576),"")</f>
        <v/>
      </c>
      <c r="U1518" s="138" t="str">
        <f>IFERROR(LOOKUP($S1518,MOTORISTAS!$D$3:$D$1048576,MOTORISTAS!F$3:$F$1048576),"")</f>
        <v/>
      </c>
      <c r="V1518" s="66"/>
      <c r="W1518" s="66"/>
      <c r="X1518" s="66"/>
      <c r="Y1518" s="66"/>
      <c r="Z1518" s="66"/>
      <c r="AA1518" s="66"/>
      <c r="AB1518" s="66"/>
      <c r="AC1518" s="66"/>
      <c r="AD1518" s="66"/>
      <c r="AE1518" s="66"/>
      <c r="AF1518" s="44"/>
      <c r="AG1518" s="254">
        <f>Prog_236[[#This Row],[SAÍDA DO CLIENTE]]-Prog_236[[#This Row],[PROGRAMAÇÃO CLIENTE]]</f>
        <v>0</v>
      </c>
      <c r="AH1518" s="44"/>
      <c r="AI1518" s="66"/>
      <c r="AJ1518" s="66"/>
      <c r="AK1518" s="66"/>
      <c r="AL1518" s="66"/>
      <c r="AM1518" s="66"/>
      <c r="AN1518" s="83"/>
      <c r="AO1518" s="66"/>
      <c r="AP1518" s="66"/>
      <c r="AQ1518" s="66"/>
      <c r="AR1518" s="81"/>
      <c r="AS1518" s="81"/>
      <c r="AT1518" s="81"/>
      <c r="AU1518" s="81"/>
      <c r="AV1518" s="83">
        <f>SUM(Prog_236[[#This Row],[ADIANTAMENTO]]+Prog_236[[#This Row],[SALDO]]+Prog_236[[#This Row],[MARGEM]]+Prog_236[[#This Row],[ESTADIA 1]])</f>
        <v>0</v>
      </c>
      <c r="AW151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8" s="81"/>
      <c r="AY1518" s="81"/>
      <c r="AZ1518" s="81">
        <f>Prog_236[[#This Row],[VLR NF]]*0.1%</f>
        <v>0</v>
      </c>
      <c r="BA1518" s="81">
        <f>Prog_236[[#This Row],[VLR NF]]*0.05%</f>
        <v>0</v>
      </c>
      <c r="BB1518" s="81"/>
      <c r="BC1518" s="81"/>
      <c r="BD1518" s="81"/>
      <c r="BE1518" s="81"/>
      <c r="BF1518" s="81"/>
      <c r="BG1518" s="81"/>
      <c r="BH1518" s="81"/>
      <c r="BI1518" s="81"/>
      <c r="BJ1518" s="81"/>
      <c r="BK1518" s="81"/>
      <c r="BL1518" s="66"/>
      <c r="BM1518" s="66"/>
      <c r="BN1518" s="66"/>
      <c r="BO1518" s="66" t="str">
        <f>PROPER(TEXT(Prog_236[[#This Row],[PROGRAMAÇÃO CLIENTE]],"mmm"))</f>
        <v>Jan</v>
      </c>
      <c r="BP1518" s="66">
        <f>YEAR(Prog_236[[#This Row],[PROGRAMAÇÃO CLIENTE]])</f>
        <v>1900</v>
      </c>
    </row>
    <row r="1519" spans="1:68" x14ac:dyDescent="0.25">
      <c r="A1519" s="200">
        <f>Prog_236[[#This Row],[CONTEINER]]</f>
        <v>0</v>
      </c>
      <c r="B1519" s="86"/>
      <c r="C151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19" s="44"/>
      <c r="E1519" s="66"/>
      <c r="F1519" s="66"/>
      <c r="G1519" s="66"/>
      <c r="H1519" s="44"/>
      <c r="I1519" s="44"/>
      <c r="J1519" s="66"/>
      <c r="K1519" s="66"/>
      <c r="L1519" s="66"/>
      <c r="M1519" s="66"/>
      <c r="N1519" s="66">
        <f>SUM(Prog_236[[#This Row],[TARA]]+Prog_236[[#This Row],[PESO]])</f>
        <v>0</v>
      </c>
      <c r="O1519" s="44"/>
      <c r="P1519" s="66"/>
      <c r="Q1519" s="66"/>
      <c r="R1519" s="66"/>
      <c r="S1519" s="66"/>
      <c r="T1519" s="138" t="str">
        <f>IFERROR(LOOKUP($S1519,MOTORISTAS!$D$3:$D$1048576,MOTORISTAS!E$3:$E$1048576),"")</f>
        <v/>
      </c>
      <c r="U1519" s="138" t="str">
        <f>IFERROR(LOOKUP($S1519,MOTORISTAS!$D$3:$D$1048576,MOTORISTAS!F$3:$F$1048576),"")</f>
        <v/>
      </c>
      <c r="V1519" s="66"/>
      <c r="W1519" s="66"/>
      <c r="X1519" s="66"/>
      <c r="Y1519" s="66"/>
      <c r="Z1519" s="66"/>
      <c r="AA1519" s="66"/>
      <c r="AB1519" s="66"/>
      <c r="AC1519" s="66"/>
      <c r="AD1519" s="66"/>
      <c r="AE1519" s="66"/>
      <c r="AF1519" s="44"/>
      <c r="AG1519" s="254">
        <f>Prog_236[[#This Row],[SAÍDA DO CLIENTE]]-Prog_236[[#This Row],[PROGRAMAÇÃO CLIENTE]]</f>
        <v>0</v>
      </c>
      <c r="AH1519" s="44"/>
      <c r="AI1519" s="66"/>
      <c r="AJ1519" s="66"/>
      <c r="AK1519" s="66"/>
      <c r="AL1519" s="66"/>
      <c r="AM1519" s="66"/>
      <c r="AN1519" s="83"/>
      <c r="AO1519" s="66"/>
      <c r="AP1519" s="66"/>
      <c r="AQ1519" s="66"/>
      <c r="AR1519" s="81"/>
      <c r="AS1519" s="81"/>
      <c r="AT1519" s="81"/>
      <c r="AU1519" s="81"/>
      <c r="AV1519" s="83">
        <f>SUM(Prog_236[[#This Row],[ADIANTAMENTO]]+Prog_236[[#This Row],[SALDO]]+Prog_236[[#This Row],[MARGEM]]+Prog_236[[#This Row],[ESTADIA 1]])</f>
        <v>0</v>
      </c>
      <c r="AW151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19" s="81"/>
      <c r="AY1519" s="81"/>
      <c r="AZ1519" s="81">
        <f>Prog_236[[#This Row],[VLR NF]]*0.1%</f>
        <v>0</v>
      </c>
      <c r="BA1519" s="81">
        <f>Prog_236[[#This Row],[VLR NF]]*0.05%</f>
        <v>0</v>
      </c>
      <c r="BB1519" s="81"/>
      <c r="BC1519" s="81"/>
      <c r="BD1519" s="81"/>
      <c r="BE1519" s="81"/>
      <c r="BF1519" s="81"/>
      <c r="BG1519" s="81"/>
      <c r="BH1519" s="81"/>
      <c r="BI1519" s="81"/>
      <c r="BJ1519" s="81"/>
      <c r="BK1519" s="81"/>
      <c r="BL1519" s="66"/>
      <c r="BM1519" s="66"/>
      <c r="BN1519" s="66"/>
      <c r="BO1519" s="66" t="str">
        <f>PROPER(TEXT(Prog_236[[#This Row],[PROGRAMAÇÃO CLIENTE]],"mmm"))</f>
        <v>Jan</v>
      </c>
      <c r="BP1519" s="66">
        <f>YEAR(Prog_236[[#This Row],[PROGRAMAÇÃO CLIENTE]])</f>
        <v>1900</v>
      </c>
    </row>
    <row r="1520" spans="1:68" x14ac:dyDescent="0.25">
      <c r="A1520" s="201">
        <f>Prog_236[[#This Row],[CONTEINER]]</f>
        <v>0</v>
      </c>
      <c r="B1520" s="86"/>
      <c r="C152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0" s="44"/>
      <c r="E1520" s="66"/>
      <c r="F1520" s="66"/>
      <c r="G1520" s="66"/>
      <c r="H1520" s="44"/>
      <c r="I1520" s="44"/>
      <c r="J1520" s="66"/>
      <c r="K1520" s="66"/>
      <c r="L1520" s="66"/>
      <c r="M1520" s="66"/>
      <c r="N1520" s="66">
        <f>SUM(Prog_236[[#This Row],[TARA]]+Prog_236[[#This Row],[PESO]])</f>
        <v>0</v>
      </c>
      <c r="O1520" s="44"/>
      <c r="P1520" s="66"/>
      <c r="Q1520" s="66"/>
      <c r="R1520" s="66"/>
      <c r="S1520" s="66"/>
      <c r="T1520" s="138" t="str">
        <f>IFERROR(LOOKUP($S1520,MOTORISTAS!$D$3:$D$1048576,MOTORISTAS!E$3:$E$1048576),"")</f>
        <v/>
      </c>
      <c r="U1520" s="138" t="str">
        <f>IFERROR(LOOKUP($S1520,MOTORISTAS!$D$3:$D$1048576,MOTORISTAS!F$3:$F$1048576),"")</f>
        <v/>
      </c>
      <c r="V1520" s="66"/>
      <c r="W1520" s="66"/>
      <c r="X1520" s="66"/>
      <c r="Y1520" s="66"/>
      <c r="Z1520" s="66"/>
      <c r="AA1520" s="66"/>
      <c r="AB1520" s="66"/>
      <c r="AC1520" s="66"/>
      <c r="AD1520" s="66"/>
      <c r="AE1520" s="66"/>
      <c r="AF1520" s="44"/>
      <c r="AG1520" s="254">
        <f>Prog_236[[#This Row],[SAÍDA DO CLIENTE]]-Prog_236[[#This Row],[PROGRAMAÇÃO CLIENTE]]</f>
        <v>0</v>
      </c>
      <c r="AH1520" s="44"/>
      <c r="AI1520" s="66"/>
      <c r="AJ1520" s="66"/>
      <c r="AK1520" s="66"/>
      <c r="AL1520" s="66"/>
      <c r="AM1520" s="66"/>
      <c r="AN1520" s="83"/>
      <c r="AO1520" s="66"/>
      <c r="AP1520" s="66"/>
      <c r="AQ1520" s="66"/>
      <c r="AR1520" s="81"/>
      <c r="AS1520" s="81"/>
      <c r="AT1520" s="81"/>
      <c r="AU1520" s="81"/>
      <c r="AV1520" s="83">
        <f>SUM(Prog_236[[#This Row],[ADIANTAMENTO]]+Prog_236[[#This Row],[SALDO]]+Prog_236[[#This Row],[MARGEM]]+Prog_236[[#This Row],[ESTADIA 1]])</f>
        <v>0</v>
      </c>
      <c r="AW152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0" s="81"/>
      <c r="AY1520" s="81"/>
      <c r="AZ1520" s="81">
        <f>Prog_236[[#This Row],[VLR NF]]*0.1%</f>
        <v>0</v>
      </c>
      <c r="BA1520" s="81">
        <f>Prog_236[[#This Row],[VLR NF]]*0.05%</f>
        <v>0</v>
      </c>
      <c r="BB1520" s="81"/>
      <c r="BC1520" s="81"/>
      <c r="BD1520" s="81"/>
      <c r="BE1520" s="81"/>
      <c r="BF1520" s="81"/>
      <c r="BG1520" s="81"/>
      <c r="BH1520" s="81"/>
      <c r="BI1520" s="81"/>
      <c r="BJ1520" s="81"/>
      <c r="BK1520" s="81"/>
      <c r="BL1520" s="66"/>
      <c r="BM1520" s="66"/>
      <c r="BN1520" s="66"/>
      <c r="BO1520" s="66" t="str">
        <f>PROPER(TEXT(Prog_236[[#This Row],[PROGRAMAÇÃO CLIENTE]],"mmm"))</f>
        <v>Jan</v>
      </c>
      <c r="BP1520" s="66">
        <f>YEAR(Prog_236[[#This Row],[PROGRAMAÇÃO CLIENTE]])</f>
        <v>1900</v>
      </c>
    </row>
    <row r="1521" spans="1:68" x14ac:dyDescent="0.25">
      <c r="A1521" s="200">
        <f>Prog_236[[#This Row],[CONTEINER]]</f>
        <v>0</v>
      </c>
      <c r="B1521" s="86"/>
      <c r="C152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1" s="44"/>
      <c r="E1521" s="66"/>
      <c r="F1521" s="66"/>
      <c r="G1521" s="66"/>
      <c r="H1521" s="44"/>
      <c r="I1521" s="44"/>
      <c r="J1521" s="66"/>
      <c r="K1521" s="66"/>
      <c r="L1521" s="66"/>
      <c r="M1521" s="66"/>
      <c r="N1521" s="66">
        <f>SUM(Prog_236[[#This Row],[TARA]]+Prog_236[[#This Row],[PESO]])</f>
        <v>0</v>
      </c>
      <c r="O1521" s="44"/>
      <c r="P1521" s="66"/>
      <c r="Q1521" s="66"/>
      <c r="R1521" s="66"/>
      <c r="S1521" s="66"/>
      <c r="T1521" s="138" t="str">
        <f>IFERROR(LOOKUP($S1521,MOTORISTAS!$D$3:$D$1048576,MOTORISTAS!E$3:$E$1048576),"")</f>
        <v/>
      </c>
      <c r="U1521" s="138" t="str">
        <f>IFERROR(LOOKUP($S1521,MOTORISTAS!$D$3:$D$1048576,MOTORISTAS!F$3:$F$1048576),"")</f>
        <v/>
      </c>
      <c r="V1521" s="66"/>
      <c r="W1521" s="66"/>
      <c r="X1521" s="66"/>
      <c r="Y1521" s="66"/>
      <c r="Z1521" s="66"/>
      <c r="AA1521" s="66"/>
      <c r="AB1521" s="66"/>
      <c r="AC1521" s="66"/>
      <c r="AD1521" s="66"/>
      <c r="AE1521" s="66"/>
      <c r="AF1521" s="44"/>
      <c r="AG1521" s="254">
        <f>Prog_236[[#This Row],[SAÍDA DO CLIENTE]]-Prog_236[[#This Row],[PROGRAMAÇÃO CLIENTE]]</f>
        <v>0</v>
      </c>
      <c r="AH1521" s="44"/>
      <c r="AI1521" s="66"/>
      <c r="AJ1521" s="66"/>
      <c r="AK1521" s="66"/>
      <c r="AL1521" s="66"/>
      <c r="AM1521" s="66"/>
      <c r="AN1521" s="83"/>
      <c r="AO1521" s="66"/>
      <c r="AP1521" s="66"/>
      <c r="AQ1521" s="66"/>
      <c r="AR1521" s="81"/>
      <c r="AS1521" s="81"/>
      <c r="AT1521" s="81"/>
      <c r="AU1521" s="81"/>
      <c r="AV1521" s="83">
        <f>SUM(Prog_236[[#This Row],[ADIANTAMENTO]]+Prog_236[[#This Row],[SALDO]]+Prog_236[[#This Row],[MARGEM]]+Prog_236[[#This Row],[ESTADIA 1]])</f>
        <v>0</v>
      </c>
      <c r="AW152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1" s="81"/>
      <c r="AY1521" s="81"/>
      <c r="AZ1521" s="81">
        <f>Prog_236[[#This Row],[VLR NF]]*0.1%</f>
        <v>0</v>
      </c>
      <c r="BA1521" s="81">
        <f>Prog_236[[#This Row],[VLR NF]]*0.05%</f>
        <v>0</v>
      </c>
      <c r="BB1521" s="81"/>
      <c r="BC1521" s="81"/>
      <c r="BD1521" s="81"/>
      <c r="BE1521" s="81"/>
      <c r="BF1521" s="81"/>
      <c r="BG1521" s="81"/>
      <c r="BH1521" s="81"/>
      <c r="BI1521" s="81"/>
      <c r="BJ1521" s="81"/>
      <c r="BK1521" s="81"/>
      <c r="BL1521" s="66"/>
      <c r="BM1521" s="66"/>
      <c r="BN1521" s="66"/>
      <c r="BO1521" s="66" t="str">
        <f>PROPER(TEXT(Prog_236[[#This Row],[PROGRAMAÇÃO CLIENTE]],"mmm"))</f>
        <v>Jan</v>
      </c>
      <c r="BP1521" s="66">
        <f>YEAR(Prog_236[[#This Row],[PROGRAMAÇÃO CLIENTE]])</f>
        <v>1900</v>
      </c>
    </row>
    <row r="1522" spans="1:68" x14ac:dyDescent="0.25">
      <c r="A1522" s="201">
        <f>Prog_236[[#This Row],[CONTEINER]]</f>
        <v>0</v>
      </c>
      <c r="B1522" s="86"/>
      <c r="C152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2" s="44"/>
      <c r="E1522" s="66"/>
      <c r="F1522" s="66"/>
      <c r="G1522" s="66"/>
      <c r="H1522" s="44"/>
      <c r="I1522" s="44"/>
      <c r="J1522" s="66"/>
      <c r="K1522" s="66"/>
      <c r="L1522" s="66"/>
      <c r="M1522" s="66"/>
      <c r="N1522" s="66">
        <f>SUM(Prog_236[[#This Row],[TARA]]+Prog_236[[#This Row],[PESO]])</f>
        <v>0</v>
      </c>
      <c r="O1522" s="44"/>
      <c r="P1522" s="66"/>
      <c r="Q1522" s="66"/>
      <c r="R1522" s="66"/>
      <c r="S1522" s="66"/>
      <c r="T1522" s="138" t="str">
        <f>IFERROR(LOOKUP($S1522,MOTORISTAS!$D$3:$D$1048576,MOTORISTAS!E$3:$E$1048576),"")</f>
        <v/>
      </c>
      <c r="U1522" s="138" t="str">
        <f>IFERROR(LOOKUP($S1522,MOTORISTAS!$D$3:$D$1048576,MOTORISTAS!F$3:$F$1048576),"")</f>
        <v/>
      </c>
      <c r="V1522" s="66"/>
      <c r="W1522" s="66"/>
      <c r="X1522" s="66"/>
      <c r="Y1522" s="66"/>
      <c r="Z1522" s="66"/>
      <c r="AA1522" s="66"/>
      <c r="AB1522" s="66"/>
      <c r="AC1522" s="66"/>
      <c r="AD1522" s="66"/>
      <c r="AE1522" s="66"/>
      <c r="AF1522" s="44"/>
      <c r="AG1522" s="254">
        <f>Prog_236[[#This Row],[SAÍDA DO CLIENTE]]-Prog_236[[#This Row],[PROGRAMAÇÃO CLIENTE]]</f>
        <v>0</v>
      </c>
      <c r="AH1522" s="44"/>
      <c r="AI1522" s="66"/>
      <c r="AJ1522" s="66"/>
      <c r="AK1522" s="66"/>
      <c r="AL1522" s="66"/>
      <c r="AM1522" s="66"/>
      <c r="AN1522" s="83"/>
      <c r="AO1522" s="66"/>
      <c r="AP1522" s="66"/>
      <c r="AQ1522" s="66"/>
      <c r="AR1522" s="81"/>
      <c r="AS1522" s="81"/>
      <c r="AT1522" s="81"/>
      <c r="AU1522" s="81"/>
      <c r="AV1522" s="83">
        <f>SUM(Prog_236[[#This Row],[ADIANTAMENTO]]+Prog_236[[#This Row],[SALDO]]+Prog_236[[#This Row],[MARGEM]]+Prog_236[[#This Row],[ESTADIA 1]])</f>
        <v>0</v>
      </c>
      <c r="AW152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2" s="81"/>
      <c r="AY1522" s="81"/>
      <c r="AZ1522" s="81">
        <f>Prog_236[[#This Row],[VLR NF]]*0.1%</f>
        <v>0</v>
      </c>
      <c r="BA1522" s="81">
        <f>Prog_236[[#This Row],[VLR NF]]*0.05%</f>
        <v>0</v>
      </c>
      <c r="BB1522" s="81"/>
      <c r="BC1522" s="81"/>
      <c r="BD1522" s="81"/>
      <c r="BE1522" s="81"/>
      <c r="BF1522" s="81"/>
      <c r="BG1522" s="81"/>
      <c r="BH1522" s="81"/>
      <c r="BI1522" s="81"/>
      <c r="BJ1522" s="81"/>
      <c r="BK1522" s="81"/>
      <c r="BL1522" s="66"/>
      <c r="BM1522" s="66"/>
      <c r="BN1522" s="66"/>
      <c r="BO1522" s="66" t="str">
        <f>PROPER(TEXT(Prog_236[[#This Row],[PROGRAMAÇÃO CLIENTE]],"mmm"))</f>
        <v>Jan</v>
      </c>
      <c r="BP1522" s="66">
        <f>YEAR(Prog_236[[#This Row],[PROGRAMAÇÃO CLIENTE]])</f>
        <v>1900</v>
      </c>
    </row>
    <row r="1523" spans="1:68" x14ac:dyDescent="0.25">
      <c r="A1523" s="200">
        <f>Prog_236[[#This Row],[CONTEINER]]</f>
        <v>0</v>
      </c>
      <c r="B1523" s="86"/>
      <c r="C152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3" s="44"/>
      <c r="E1523" s="66"/>
      <c r="F1523" s="66"/>
      <c r="G1523" s="66"/>
      <c r="H1523" s="44"/>
      <c r="I1523" s="44"/>
      <c r="J1523" s="66"/>
      <c r="K1523" s="66"/>
      <c r="L1523" s="66"/>
      <c r="M1523" s="66"/>
      <c r="N1523" s="66">
        <f>SUM(Prog_236[[#This Row],[TARA]]+Prog_236[[#This Row],[PESO]])</f>
        <v>0</v>
      </c>
      <c r="O1523" s="44"/>
      <c r="P1523" s="66"/>
      <c r="Q1523" s="66"/>
      <c r="R1523" s="66"/>
      <c r="S1523" s="66"/>
      <c r="T1523" s="138" t="str">
        <f>IFERROR(LOOKUP($S1523,MOTORISTAS!$D$3:$D$1048576,MOTORISTAS!E$3:$E$1048576),"")</f>
        <v/>
      </c>
      <c r="U1523" s="138" t="str">
        <f>IFERROR(LOOKUP($S1523,MOTORISTAS!$D$3:$D$1048576,MOTORISTAS!F$3:$F$1048576),"")</f>
        <v/>
      </c>
      <c r="V1523" s="66"/>
      <c r="W1523" s="66"/>
      <c r="X1523" s="66"/>
      <c r="Y1523" s="66"/>
      <c r="Z1523" s="66"/>
      <c r="AA1523" s="66"/>
      <c r="AB1523" s="66"/>
      <c r="AC1523" s="66"/>
      <c r="AD1523" s="66"/>
      <c r="AE1523" s="66"/>
      <c r="AF1523" s="44"/>
      <c r="AG1523" s="254">
        <f>Prog_236[[#This Row],[SAÍDA DO CLIENTE]]-Prog_236[[#This Row],[PROGRAMAÇÃO CLIENTE]]</f>
        <v>0</v>
      </c>
      <c r="AH1523" s="44"/>
      <c r="AI1523" s="66"/>
      <c r="AJ1523" s="66"/>
      <c r="AK1523" s="66"/>
      <c r="AL1523" s="66"/>
      <c r="AM1523" s="66"/>
      <c r="AN1523" s="83"/>
      <c r="AO1523" s="66"/>
      <c r="AP1523" s="66"/>
      <c r="AQ1523" s="66"/>
      <c r="AR1523" s="81"/>
      <c r="AS1523" s="81"/>
      <c r="AT1523" s="81"/>
      <c r="AU1523" s="81"/>
      <c r="AV1523" s="83">
        <f>SUM(Prog_236[[#This Row],[ADIANTAMENTO]]+Prog_236[[#This Row],[SALDO]]+Prog_236[[#This Row],[MARGEM]]+Prog_236[[#This Row],[ESTADIA 1]])</f>
        <v>0</v>
      </c>
      <c r="AW152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3" s="81"/>
      <c r="AY1523" s="81"/>
      <c r="AZ1523" s="81">
        <f>Prog_236[[#This Row],[VLR NF]]*0.1%</f>
        <v>0</v>
      </c>
      <c r="BA1523" s="81">
        <f>Prog_236[[#This Row],[VLR NF]]*0.05%</f>
        <v>0</v>
      </c>
      <c r="BB1523" s="81"/>
      <c r="BC1523" s="81"/>
      <c r="BD1523" s="81"/>
      <c r="BE1523" s="81"/>
      <c r="BF1523" s="81"/>
      <c r="BG1523" s="81"/>
      <c r="BH1523" s="81"/>
      <c r="BI1523" s="81"/>
      <c r="BJ1523" s="81"/>
      <c r="BK1523" s="81"/>
      <c r="BL1523" s="66"/>
      <c r="BM1523" s="66"/>
      <c r="BN1523" s="66"/>
      <c r="BO1523" s="66" t="str">
        <f>PROPER(TEXT(Prog_236[[#This Row],[PROGRAMAÇÃO CLIENTE]],"mmm"))</f>
        <v>Jan</v>
      </c>
      <c r="BP1523" s="66">
        <f>YEAR(Prog_236[[#This Row],[PROGRAMAÇÃO CLIENTE]])</f>
        <v>1900</v>
      </c>
    </row>
    <row r="1524" spans="1:68" x14ac:dyDescent="0.25">
      <c r="A1524" s="201">
        <f>Prog_236[[#This Row],[CONTEINER]]</f>
        <v>0</v>
      </c>
      <c r="B1524" s="86"/>
      <c r="C152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4" s="44"/>
      <c r="E1524" s="66"/>
      <c r="F1524" s="66"/>
      <c r="G1524" s="66"/>
      <c r="H1524" s="44"/>
      <c r="I1524" s="44"/>
      <c r="J1524" s="66"/>
      <c r="K1524" s="66"/>
      <c r="L1524" s="66"/>
      <c r="M1524" s="66"/>
      <c r="N1524" s="66">
        <f>SUM(Prog_236[[#This Row],[TARA]]+Prog_236[[#This Row],[PESO]])</f>
        <v>0</v>
      </c>
      <c r="O1524" s="44"/>
      <c r="P1524" s="66"/>
      <c r="Q1524" s="66"/>
      <c r="R1524" s="66"/>
      <c r="S1524" s="66"/>
      <c r="T1524" s="138" t="str">
        <f>IFERROR(LOOKUP($S1524,MOTORISTAS!$D$3:$D$1048576,MOTORISTAS!E$3:$E$1048576),"")</f>
        <v/>
      </c>
      <c r="U1524" s="138" t="str">
        <f>IFERROR(LOOKUP($S1524,MOTORISTAS!$D$3:$D$1048576,MOTORISTAS!F$3:$F$1048576),"")</f>
        <v/>
      </c>
      <c r="V1524" s="66"/>
      <c r="W1524" s="66"/>
      <c r="X1524" s="66"/>
      <c r="Y1524" s="66"/>
      <c r="Z1524" s="66"/>
      <c r="AA1524" s="66"/>
      <c r="AB1524" s="66"/>
      <c r="AC1524" s="66"/>
      <c r="AD1524" s="66"/>
      <c r="AE1524" s="66"/>
      <c r="AF1524" s="44"/>
      <c r="AG1524" s="254">
        <f>Prog_236[[#This Row],[SAÍDA DO CLIENTE]]-Prog_236[[#This Row],[PROGRAMAÇÃO CLIENTE]]</f>
        <v>0</v>
      </c>
      <c r="AH1524" s="44"/>
      <c r="AI1524" s="66"/>
      <c r="AJ1524" s="66"/>
      <c r="AK1524" s="66"/>
      <c r="AL1524" s="66"/>
      <c r="AM1524" s="66"/>
      <c r="AN1524" s="83"/>
      <c r="AO1524" s="66"/>
      <c r="AP1524" s="66"/>
      <c r="AQ1524" s="66"/>
      <c r="AR1524" s="81"/>
      <c r="AS1524" s="81"/>
      <c r="AT1524" s="81"/>
      <c r="AU1524" s="81"/>
      <c r="AV1524" s="83">
        <f>SUM(Prog_236[[#This Row],[ADIANTAMENTO]]+Prog_236[[#This Row],[SALDO]]+Prog_236[[#This Row],[MARGEM]]+Prog_236[[#This Row],[ESTADIA 1]])</f>
        <v>0</v>
      </c>
      <c r="AW152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4" s="81"/>
      <c r="AY1524" s="81"/>
      <c r="AZ1524" s="81">
        <f>Prog_236[[#This Row],[VLR NF]]*0.1%</f>
        <v>0</v>
      </c>
      <c r="BA1524" s="81">
        <f>Prog_236[[#This Row],[VLR NF]]*0.05%</f>
        <v>0</v>
      </c>
      <c r="BB1524" s="81"/>
      <c r="BC1524" s="81"/>
      <c r="BD1524" s="81"/>
      <c r="BE1524" s="81"/>
      <c r="BF1524" s="81"/>
      <c r="BG1524" s="81"/>
      <c r="BH1524" s="81"/>
      <c r="BI1524" s="81"/>
      <c r="BJ1524" s="81"/>
      <c r="BK1524" s="81"/>
      <c r="BL1524" s="66"/>
      <c r="BM1524" s="66"/>
      <c r="BN1524" s="66"/>
      <c r="BO1524" s="66" t="str">
        <f>PROPER(TEXT(Prog_236[[#This Row],[PROGRAMAÇÃO CLIENTE]],"mmm"))</f>
        <v>Jan</v>
      </c>
      <c r="BP1524" s="66">
        <f>YEAR(Prog_236[[#This Row],[PROGRAMAÇÃO CLIENTE]])</f>
        <v>1900</v>
      </c>
    </row>
    <row r="1525" spans="1:68" x14ac:dyDescent="0.25">
      <c r="A1525" s="200">
        <f>Prog_236[[#This Row],[CONTEINER]]</f>
        <v>0</v>
      </c>
      <c r="B1525" s="86"/>
      <c r="C152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5" s="44"/>
      <c r="E1525" s="66"/>
      <c r="F1525" s="66"/>
      <c r="G1525" s="66"/>
      <c r="H1525" s="44"/>
      <c r="I1525" s="44"/>
      <c r="J1525" s="66"/>
      <c r="K1525" s="66"/>
      <c r="L1525" s="66"/>
      <c r="M1525" s="66"/>
      <c r="N1525" s="66">
        <f>SUM(Prog_236[[#This Row],[TARA]]+Prog_236[[#This Row],[PESO]])</f>
        <v>0</v>
      </c>
      <c r="O1525" s="44"/>
      <c r="P1525" s="66"/>
      <c r="Q1525" s="66"/>
      <c r="R1525" s="66"/>
      <c r="S1525" s="66"/>
      <c r="T1525" s="138" t="str">
        <f>IFERROR(LOOKUP($S1525,MOTORISTAS!$D$3:$D$1048576,MOTORISTAS!E$3:$E$1048576),"")</f>
        <v/>
      </c>
      <c r="U1525" s="138" t="str">
        <f>IFERROR(LOOKUP($S1525,MOTORISTAS!$D$3:$D$1048576,MOTORISTAS!F$3:$F$1048576),"")</f>
        <v/>
      </c>
      <c r="V1525" s="66"/>
      <c r="W1525" s="66"/>
      <c r="X1525" s="66"/>
      <c r="Y1525" s="66"/>
      <c r="Z1525" s="66"/>
      <c r="AA1525" s="66"/>
      <c r="AB1525" s="66"/>
      <c r="AC1525" s="66"/>
      <c r="AD1525" s="66"/>
      <c r="AE1525" s="66"/>
      <c r="AF1525" s="44"/>
      <c r="AG1525" s="254">
        <f>Prog_236[[#This Row],[SAÍDA DO CLIENTE]]-Prog_236[[#This Row],[PROGRAMAÇÃO CLIENTE]]</f>
        <v>0</v>
      </c>
      <c r="AH1525" s="44"/>
      <c r="AI1525" s="66"/>
      <c r="AJ1525" s="66"/>
      <c r="AK1525" s="66"/>
      <c r="AL1525" s="66"/>
      <c r="AM1525" s="66"/>
      <c r="AN1525" s="83"/>
      <c r="AO1525" s="66"/>
      <c r="AP1525" s="66"/>
      <c r="AQ1525" s="66"/>
      <c r="AR1525" s="81"/>
      <c r="AS1525" s="81"/>
      <c r="AT1525" s="81"/>
      <c r="AU1525" s="81"/>
      <c r="AV1525" s="83">
        <f>SUM(Prog_236[[#This Row],[ADIANTAMENTO]]+Prog_236[[#This Row],[SALDO]]+Prog_236[[#This Row],[MARGEM]]+Prog_236[[#This Row],[ESTADIA 1]])</f>
        <v>0</v>
      </c>
      <c r="AW152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5" s="81"/>
      <c r="AY1525" s="81"/>
      <c r="AZ1525" s="81">
        <f>Prog_236[[#This Row],[VLR NF]]*0.1%</f>
        <v>0</v>
      </c>
      <c r="BA1525" s="81">
        <f>Prog_236[[#This Row],[VLR NF]]*0.05%</f>
        <v>0</v>
      </c>
      <c r="BB1525" s="81"/>
      <c r="BC1525" s="81"/>
      <c r="BD1525" s="81"/>
      <c r="BE1525" s="81"/>
      <c r="BF1525" s="81"/>
      <c r="BG1525" s="81"/>
      <c r="BH1525" s="81"/>
      <c r="BI1525" s="81"/>
      <c r="BJ1525" s="81"/>
      <c r="BK1525" s="81"/>
      <c r="BL1525" s="66"/>
      <c r="BM1525" s="66"/>
      <c r="BN1525" s="66"/>
      <c r="BO1525" s="66" t="str">
        <f>PROPER(TEXT(Prog_236[[#This Row],[PROGRAMAÇÃO CLIENTE]],"mmm"))</f>
        <v>Jan</v>
      </c>
      <c r="BP1525" s="66">
        <f>YEAR(Prog_236[[#This Row],[PROGRAMAÇÃO CLIENTE]])</f>
        <v>1900</v>
      </c>
    </row>
    <row r="1526" spans="1:68" x14ac:dyDescent="0.25">
      <c r="A1526" s="201">
        <f>Prog_236[[#This Row],[CONTEINER]]</f>
        <v>0</v>
      </c>
      <c r="B1526" s="86"/>
      <c r="C152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6" s="44"/>
      <c r="E1526" s="66"/>
      <c r="F1526" s="66"/>
      <c r="G1526" s="66"/>
      <c r="H1526" s="44"/>
      <c r="I1526" s="44"/>
      <c r="J1526" s="66"/>
      <c r="K1526" s="66"/>
      <c r="L1526" s="66"/>
      <c r="M1526" s="66"/>
      <c r="N1526" s="66">
        <f>SUM(Prog_236[[#This Row],[TARA]]+Prog_236[[#This Row],[PESO]])</f>
        <v>0</v>
      </c>
      <c r="O1526" s="44"/>
      <c r="P1526" s="66"/>
      <c r="Q1526" s="66"/>
      <c r="R1526" s="66"/>
      <c r="S1526" s="66"/>
      <c r="T1526" s="138" t="str">
        <f>IFERROR(LOOKUP($S1526,MOTORISTAS!$D$3:$D$1048576,MOTORISTAS!E$3:$E$1048576),"")</f>
        <v/>
      </c>
      <c r="U1526" s="138" t="str">
        <f>IFERROR(LOOKUP($S1526,MOTORISTAS!$D$3:$D$1048576,MOTORISTAS!F$3:$F$1048576),"")</f>
        <v/>
      </c>
      <c r="V1526" s="66"/>
      <c r="W1526" s="66"/>
      <c r="X1526" s="66"/>
      <c r="Y1526" s="66"/>
      <c r="Z1526" s="66"/>
      <c r="AA1526" s="66"/>
      <c r="AB1526" s="66"/>
      <c r="AC1526" s="66"/>
      <c r="AD1526" s="66"/>
      <c r="AE1526" s="66"/>
      <c r="AF1526" s="44"/>
      <c r="AG1526" s="254">
        <f>Prog_236[[#This Row],[SAÍDA DO CLIENTE]]-Prog_236[[#This Row],[PROGRAMAÇÃO CLIENTE]]</f>
        <v>0</v>
      </c>
      <c r="AH1526" s="44"/>
      <c r="AI1526" s="66"/>
      <c r="AJ1526" s="66"/>
      <c r="AK1526" s="66"/>
      <c r="AL1526" s="66"/>
      <c r="AM1526" s="66"/>
      <c r="AN1526" s="83"/>
      <c r="AO1526" s="66"/>
      <c r="AP1526" s="66"/>
      <c r="AQ1526" s="66"/>
      <c r="AR1526" s="81"/>
      <c r="AS1526" s="81"/>
      <c r="AT1526" s="81"/>
      <c r="AU1526" s="81"/>
      <c r="AV1526" s="83">
        <f>SUM(Prog_236[[#This Row],[ADIANTAMENTO]]+Prog_236[[#This Row],[SALDO]]+Prog_236[[#This Row],[MARGEM]]+Prog_236[[#This Row],[ESTADIA 1]])</f>
        <v>0</v>
      </c>
      <c r="AW152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6" s="81"/>
      <c r="AY1526" s="81"/>
      <c r="AZ1526" s="81">
        <f>Prog_236[[#This Row],[VLR NF]]*0.1%</f>
        <v>0</v>
      </c>
      <c r="BA1526" s="81">
        <f>Prog_236[[#This Row],[VLR NF]]*0.05%</f>
        <v>0</v>
      </c>
      <c r="BB1526" s="81"/>
      <c r="BC1526" s="81"/>
      <c r="BD1526" s="81"/>
      <c r="BE1526" s="81"/>
      <c r="BF1526" s="81"/>
      <c r="BG1526" s="81"/>
      <c r="BH1526" s="81"/>
      <c r="BI1526" s="81"/>
      <c r="BJ1526" s="81"/>
      <c r="BK1526" s="81"/>
      <c r="BL1526" s="66"/>
      <c r="BM1526" s="66"/>
      <c r="BN1526" s="66"/>
      <c r="BO1526" s="66" t="str">
        <f>PROPER(TEXT(Prog_236[[#This Row],[PROGRAMAÇÃO CLIENTE]],"mmm"))</f>
        <v>Jan</v>
      </c>
      <c r="BP1526" s="66">
        <f>YEAR(Prog_236[[#This Row],[PROGRAMAÇÃO CLIENTE]])</f>
        <v>1900</v>
      </c>
    </row>
    <row r="1527" spans="1:68" x14ac:dyDescent="0.25">
      <c r="A1527" s="200">
        <f>Prog_236[[#This Row],[CONTEINER]]</f>
        <v>0</v>
      </c>
      <c r="B1527" s="86"/>
      <c r="C152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7" s="44"/>
      <c r="E1527" s="66"/>
      <c r="F1527" s="66"/>
      <c r="G1527" s="66"/>
      <c r="H1527" s="44"/>
      <c r="I1527" s="44"/>
      <c r="J1527" s="66"/>
      <c r="K1527" s="66"/>
      <c r="L1527" s="66"/>
      <c r="M1527" s="66"/>
      <c r="N1527" s="66">
        <f>SUM(Prog_236[[#This Row],[TARA]]+Prog_236[[#This Row],[PESO]])</f>
        <v>0</v>
      </c>
      <c r="O1527" s="44"/>
      <c r="P1527" s="66"/>
      <c r="Q1527" s="66"/>
      <c r="R1527" s="66"/>
      <c r="S1527" s="66"/>
      <c r="T1527" s="138" t="str">
        <f>IFERROR(LOOKUP($S1527,MOTORISTAS!$D$3:$D$1048576,MOTORISTAS!E$3:$E$1048576),"")</f>
        <v/>
      </c>
      <c r="U1527" s="138" t="str">
        <f>IFERROR(LOOKUP($S1527,MOTORISTAS!$D$3:$D$1048576,MOTORISTAS!F$3:$F$1048576),"")</f>
        <v/>
      </c>
      <c r="V1527" s="66"/>
      <c r="W1527" s="66"/>
      <c r="X1527" s="66"/>
      <c r="Y1527" s="66"/>
      <c r="Z1527" s="66"/>
      <c r="AA1527" s="66"/>
      <c r="AB1527" s="66"/>
      <c r="AC1527" s="66"/>
      <c r="AD1527" s="66"/>
      <c r="AE1527" s="66"/>
      <c r="AF1527" s="44"/>
      <c r="AG1527" s="254">
        <f>Prog_236[[#This Row],[SAÍDA DO CLIENTE]]-Prog_236[[#This Row],[PROGRAMAÇÃO CLIENTE]]</f>
        <v>0</v>
      </c>
      <c r="AH1527" s="44"/>
      <c r="AI1527" s="66"/>
      <c r="AJ1527" s="66"/>
      <c r="AK1527" s="66"/>
      <c r="AL1527" s="66"/>
      <c r="AM1527" s="66"/>
      <c r="AN1527" s="83"/>
      <c r="AO1527" s="66"/>
      <c r="AP1527" s="66"/>
      <c r="AQ1527" s="66"/>
      <c r="AR1527" s="81"/>
      <c r="AS1527" s="81"/>
      <c r="AT1527" s="81"/>
      <c r="AU1527" s="81"/>
      <c r="AV1527" s="83">
        <f>SUM(Prog_236[[#This Row],[ADIANTAMENTO]]+Prog_236[[#This Row],[SALDO]]+Prog_236[[#This Row],[MARGEM]]+Prog_236[[#This Row],[ESTADIA 1]])</f>
        <v>0</v>
      </c>
      <c r="AW152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7" s="81"/>
      <c r="AY1527" s="81"/>
      <c r="AZ1527" s="81">
        <f>Prog_236[[#This Row],[VLR NF]]*0.1%</f>
        <v>0</v>
      </c>
      <c r="BA1527" s="81">
        <f>Prog_236[[#This Row],[VLR NF]]*0.05%</f>
        <v>0</v>
      </c>
      <c r="BB1527" s="81"/>
      <c r="BC1527" s="81"/>
      <c r="BD1527" s="81"/>
      <c r="BE1527" s="81"/>
      <c r="BF1527" s="81"/>
      <c r="BG1527" s="81"/>
      <c r="BH1527" s="81"/>
      <c r="BI1527" s="81"/>
      <c r="BJ1527" s="81"/>
      <c r="BK1527" s="81"/>
      <c r="BL1527" s="66"/>
      <c r="BM1527" s="66"/>
      <c r="BN1527" s="66"/>
      <c r="BO1527" s="66" t="str">
        <f>PROPER(TEXT(Prog_236[[#This Row],[PROGRAMAÇÃO CLIENTE]],"mmm"))</f>
        <v>Jan</v>
      </c>
      <c r="BP1527" s="66">
        <f>YEAR(Prog_236[[#This Row],[PROGRAMAÇÃO CLIENTE]])</f>
        <v>1900</v>
      </c>
    </row>
    <row r="1528" spans="1:68" x14ac:dyDescent="0.25">
      <c r="A1528" s="201">
        <f>Prog_236[[#This Row],[CONTEINER]]</f>
        <v>0</v>
      </c>
      <c r="B1528" s="86"/>
      <c r="C152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8" s="44"/>
      <c r="E1528" s="66"/>
      <c r="F1528" s="66"/>
      <c r="G1528" s="66"/>
      <c r="H1528" s="44"/>
      <c r="I1528" s="44"/>
      <c r="J1528" s="66"/>
      <c r="K1528" s="66"/>
      <c r="L1528" s="66"/>
      <c r="M1528" s="66"/>
      <c r="N1528" s="66">
        <f>SUM(Prog_236[[#This Row],[TARA]]+Prog_236[[#This Row],[PESO]])</f>
        <v>0</v>
      </c>
      <c r="O1528" s="44"/>
      <c r="P1528" s="66"/>
      <c r="Q1528" s="66"/>
      <c r="R1528" s="66"/>
      <c r="S1528" s="66"/>
      <c r="T1528" s="138" t="str">
        <f>IFERROR(LOOKUP($S1528,MOTORISTAS!$D$3:$D$1048576,MOTORISTAS!E$3:$E$1048576),"")</f>
        <v/>
      </c>
      <c r="U1528" s="138" t="str">
        <f>IFERROR(LOOKUP($S1528,MOTORISTAS!$D$3:$D$1048576,MOTORISTAS!F$3:$F$1048576),"")</f>
        <v/>
      </c>
      <c r="V1528" s="66"/>
      <c r="W1528" s="66"/>
      <c r="X1528" s="66"/>
      <c r="Y1528" s="66"/>
      <c r="Z1528" s="66"/>
      <c r="AA1528" s="66"/>
      <c r="AB1528" s="66"/>
      <c r="AC1528" s="66"/>
      <c r="AD1528" s="66"/>
      <c r="AE1528" s="66"/>
      <c r="AF1528" s="44"/>
      <c r="AG1528" s="254">
        <f>Prog_236[[#This Row],[SAÍDA DO CLIENTE]]-Prog_236[[#This Row],[PROGRAMAÇÃO CLIENTE]]</f>
        <v>0</v>
      </c>
      <c r="AH1528" s="44"/>
      <c r="AI1528" s="66"/>
      <c r="AJ1528" s="66"/>
      <c r="AK1528" s="66"/>
      <c r="AL1528" s="66"/>
      <c r="AM1528" s="66"/>
      <c r="AN1528" s="83"/>
      <c r="AO1528" s="66"/>
      <c r="AP1528" s="66"/>
      <c r="AQ1528" s="66"/>
      <c r="AR1528" s="81"/>
      <c r="AS1528" s="81"/>
      <c r="AT1528" s="81"/>
      <c r="AU1528" s="81"/>
      <c r="AV1528" s="83">
        <f>SUM(Prog_236[[#This Row],[ADIANTAMENTO]]+Prog_236[[#This Row],[SALDO]]+Prog_236[[#This Row],[MARGEM]]+Prog_236[[#This Row],[ESTADIA 1]])</f>
        <v>0</v>
      </c>
      <c r="AW152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8" s="81"/>
      <c r="AY1528" s="81"/>
      <c r="AZ1528" s="81">
        <f>Prog_236[[#This Row],[VLR NF]]*0.1%</f>
        <v>0</v>
      </c>
      <c r="BA1528" s="81">
        <f>Prog_236[[#This Row],[VLR NF]]*0.05%</f>
        <v>0</v>
      </c>
      <c r="BB1528" s="81"/>
      <c r="BC1528" s="81"/>
      <c r="BD1528" s="81"/>
      <c r="BE1528" s="81"/>
      <c r="BF1528" s="81"/>
      <c r="BG1528" s="81"/>
      <c r="BH1528" s="81"/>
      <c r="BI1528" s="81"/>
      <c r="BJ1528" s="81"/>
      <c r="BK1528" s="81"/>
      <c r="BL1528" s="66"/>
      <c r="BM1528" s="66"/>
      <c r="BN1528" s="66"/>
      <c r="BO1528" s="66" t="str">
        <f>PROPER(TEXT(Prog_236[[#This Row],[PROGRAMAÇÃO CLIENTE]],"mmm"))</f>
        <v>Jan</v>
      </c>
      <c r="BP1528" s="66">
        <f>YEAR(Prog_236[[#This Row],[PROGRAMAÇÃO CLIENTE]])</f>
        <v>1900</v>
      </c>
    </row>
    <row r="1529" spans="1:68" x14ac:dyDescent="0.25">
      <c r="A1529" s="200">
        <f>Prog_236[[#This Row],[CONTEINER]]</f>
        <v>0</v>
      </c>
      <c r="B1529" s="86"/>
      <c r="C152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29" s="44"/>
      <c r="E1529" s="66"/>
      <c r="F1529" s="66"/>
      <c r="G1529" s="66"/>
      <c r="H1529" s="44"/>
      <c r="I1529" s="44"/>
      <c r="J1529" s="66"/>
      <c r="K1529" s="66"/>
      <c r="L1529" s="66"/>
      <c r="M1529" s="66"/>
      <c r="N1529" s="66">
        <f>SUM(Prog_236[[#This Row],[TARA]]+Prog_236[[#This Row],[PESO]])</f>
        <v>0</v>
      </c>
      <c r="O1529" s="44"/>
      <c r="P1529" s="66"/>
      <c r="Q1529" s="66"/>
      <c r="R1529" s="66"/>
      <c r="S1529" s="66"/>
      <c r="T1529" s="138" t="str">
        <f>IFERROR(LOOKUP($S1529,MOTORISTAS!$D$3:$D$1048576,MOTORISTAS!E$3:$E$1048576),"")</f>
        <v/>
      </c>
      <c r="U1529" s="138" t="str">
        <f>IFERROR(LOOKUP($S1529,MOTORISTAS!$D$3:$D$1048576,MOTORISTAS!F$3:$F$1048576),"")</f>
        <v/>
      </c>
      <c r="V1529" s="66"/>
      <c r="W1529" s="66"/>
      <c r="X1529" s="66"/>
      <c r="Y1529" s="66"/>
      <c r="Z1529" s="66"/>
      <c r="AA1529" s="66"/>
      <c r="AB1529" s="66"/>
      <c r="AC1529" s="66"/>
      <c r="AD1529" s="66"/>
      <c r="AE1529" s="66"/>
      <c r="AF1529" s="44"/>
      <c r="AG1529" s="254">
        <f>Prog_236[[#This Row],[SAÍDA DO CLIENTE]]-Prog_236[[#This Row],[PROGRAMAÇÃO CLIENTE]]</f>
        <v>0</v>
      </c>
      <c r="AH1529" s="44"/>
      <c r="AI1529" s="66"/>
      <c r="AJ1529" s="66"/>
      <c r="AK1529" s="66"/>
      <c r="AL1529" s="66"/>
      <c r="AM1529" s="66"/>
      <c r="AN1529" s="83"/>
      <c r="AO1529" s="66"/>
      <c r="AP1529" s="66"/>
      <c r="AQ1529" s="66"/>
      <c r="AR1529" s="81"/>
      <c r="AS1529" s="81"/>
      <c r="AT1529" s="81"/>
      <c r="AU1529" s="81"/>
      <c r="AV1529" s="83">
        <f>SUM(Prog_236[[#This Row],[ADIANTAMENTO]]+Prog_236[[#This Row],[SALDO]]+Prog_236[[#This Row],[MARGEM]]+Prog_236[[#This Row],[ESTADIA 1]])</f>
        <v>0</v>
      </c>
      <c r="AW152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29" s="81"/>
      <c r="AY1529" s="81"/>
      <c r="AZ1529" s="81">
        <f>Prog_236[[#This Row],[VLR NF]]*0.1%</f>
        <v>0</v>
      </c>
      <c r="BA1529" s="81">
        <f>Prog_236[[#This Row],[VLR NF]]*0.05%</f>
        <v>0</v>
      </c>
      <c r="BB1529" s="81"/>
      <c r="BC1529" s="81"/>
      <c r="BD1529" s="81"/>
      <c r="BE1529" s="81"/>
      <c r="BF1529" s="81"/>
      <c r="BG1529" s="81"/>
      <c r="BH1529" s="81"/>
      <c r="BI1529" s="81"/>
      <c r="BJ1529" s="81"/>
      <c r="BK1529" s="81"/>
      <c r="BL1529" s="66"/>
      <c r="BM1529" s="66"/>
      <c r="BN1529" s="66"/>
      <c r="BO1529" s="66" t="str">
        <f>PROPER(TEXT(Prog_236[[#This Row],[PROGRAMAÇÃO CLIENTE]],"mmm"))</f>
        <v>Jan</v>
      </c>
      <c r="BP1529" s="66">
        <f>YEAR(Prog_236[[#This Row],[PROGRAMAÇÃO CLIENTE]])</f>
        <v>1900</v>
      </c>
    </row>
    <row r="1530" spans="1:68" x14ac:dyDescent="0.25">
      <c r="A1530" s="201">
        <f>Prog_236[[#This Row],[CONTEINER]]</f>
        <v>0</v>
      </c>
      <c r="B1530" s="86"/>
      <c r="C153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0" s="44"/>
      <c r="E1530" s="66"/>
      <c r="F1530" s="66"/>
      <c r="G1530" s="66"/>
      <c r="H1530" s="44"/>
      <c r="I1530" s="44"/>
      <c r="J1530" s="66"/>
      <c r="K1530" s="66"/>
      <c r="L1530" s="66"/>
      <c r="M1530" s="66"/>
      <c r="N1530" s="66">
        <f>SUM(Prog_236[[#This Row],[TARA]]+Prog_236[[#This Row],[PESO]])</f>
        <v>0</v>
      </c>
      <c r="O1530" s="44"/>
      <c r="P1530" s="66"/>
      <c r="Q1530" s="66"/>
      <c r="R1530" s="66"/>
      <c r="S1530" s="66"/>
      <c r="T1530" s="138" t="str">
        <f>IFERROR(LOOKUP($S1530,MOTORISTAS!$D$3:$D$1048576,MOTORISTAS!E$3:$E$1048576),"")</f>
        <v/>
      </c>
      <c r="U1530" s="138" t="str">
        <f>IFERROR(LOOKUP($S1530,MOTORISTAS!$D$3:$D$1048576,MOTORISTAS!F$3:$F$1048576),"")</f>
        <v/>
      </c>
      <c r="V1530" s="66"/>
      <c r="W1530" s="66"/>
      <c r="X1530" s="66"/>
      <c r="Y1530" s="66"/>
      <c r="Z1530" s="66"/>
      <c r="AA1530" s="66"/>
      <c r="AB1530" s="66"/>
      <c r="AC1530" s="66"/>
      <c r="AD1530" s="66"/>
      <c r="AE1530" s="66"/>
      <c r="AF1530" s="44"/>
      <c r="AG1530" s="254">
        <f>Prog_236[[#This Row],[SAÍDA DO CLIENTE]]-Prog_236[[#This Row],[PROGRAMAÇÃO CLIENTE]]</f>
        <v>0</v>
      </c>
      <c r="AH1530" s="44"/>
      <c r="AI1530" s="66"/>
      <c r="AJ1530" s="66"/>
      <c r="AK1530" s="66"/>
      <c r="AL1530" s="66"/>
      <c r="AM1530" s="66"/>
      <c r="AN1530" s="83"/>
      <c r="AO1530" s="66"/>
      <c r="AP1530" s="66"/>
      <c r="AQ1530" s="66"/>
      <c r="AR1530" s="81"/>
      <c r="AS1530" s="81"/>
      <c r="AT1530" s="81"/>
      <c r="AU1530" s="81"/>
      <c r="AV1530" s="83">
        <f>SUM(Prog_236[[#This Row],[ADIANTAMENTO]]+Prog_236[[#This Row],[SALDO]]+Prog_236[[#This Row],[MARGEM]]+Prog_236[[#This Row],[ESTADIA 1]])</f>
        <v>0</v>
      </c>
      <c r="AW153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0" s="81"/>
      <c r="AY1530" s="81"/>
      <c r="AZ1530" s="81">
        <f>Prog_236[[#This Row],[VLR NF]]*0.1%</f>
        <v>0</v>
      </c>
      <c r="BA1530" s="81">
        <f>Prog_236[[#This Row],[VLR NF]]*0.05%</f>
        <v>0</v>
      </c>
      <c r="BB1530" s="81"/>
      <c r="BC1530" s="81"/>
      <c r="BD1530" s="81"/>
      <c r="BE1530" s="81"/>
      <c r="BF1530" s="81"/>
      <c r="BG1530" s="81"/>
      <c r="BH1530" s="81"/>
      <c r="BI1530" s="81"/>
      <c r="BJ1530" s="81"/>
      <c r="BK1530" s="81"/>
      <c r="BL1530" s="66"/>
      <c r="BM1530" s="66"/>
      <c r="BN1530" s="66"/>
      <c r="BO1530" s="66" t="str">
        <f>PROPER(TEXT(Prog_236[[#This Row],[PROGRAMAÇÃO CLIENTE]],"mmm"))</f>
        <v>Jan</v>
      </c>
      <c r="BP1530" s="66">
        <f>YEAR(Prog_236[[#This Row],[PROGRAMAÇÃO CLIENTE]])</f>
        <v>1900</v>
      </c>
    </row>
    <row r="1531" spans="1:68" x14ac:dyDescent="0.25">
      <c r="A1531" s="200">
        <f>Prog_236[[#This Row],[CONTEINER]]</f>
        <v>0</v>
      </c>
      <c r="B1531" s="86"/>
      <c r="C153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1" s="44"/>
      <c r="E1531" s="66"/>
      <c r="F1531" s="66"/>
      <c r="G1531" s="66"/>
      <c r="H1531" s="44"/>
      <c r="I1531" s="44"/>
      <c r="J1531" s="66"/>
      <c r="K1531" s="66"/>
      <c r="L1531" s="66"/>
      <c r="M1531" s="66"/>
      <c r="N1531" s="66">
        <f>SUM(Prog_236[[#This Row],[TARA]]+Prog_236[[#This Row],[PESO]])</f>
        <v>0</v>
      </c>
      <c r="O1531" s="44"/>
      <c r="P1531" s="66"/>
      <c r="Q1531" s="66"/>
      <c r="R1531" s="66"/>
      <c r="S1531" s="66"/>
      <c r="T1531" s="138" t="str">
        <f>IFERROR(LOOKUP($S1531,MOTORISTAS!$D$3:$D$1048576,MOTORISTAS!E$3:$E$1048576),"")</f>
        <v/>
      </c>
      <c r="U1531" s="138" t="str">
        <f>IFERROR(LOOKUP($S1531,MOTORISTAS!$D$3:$D$1048576,MOTORISTAS!F$3:$F$1048576),"")</f>
        <v/>
      </c>
      <c r="V1531" s="66"/>
      <c r="W1531" s="66"/>
      <c r="X1531" s="66"/>
      <c r="Y1531" s="66"/>
      <c r="Z1531" s="66"/>
      <c r="AA1531" s="66"/>
      <c r="AB1531" s="66"/>
      <c r="AC1531" s="66"/>
      <c r="AD1531" s="66"/>
      <c r="AE1531" s="66"/>
      <c r="AF1531" s="44"/>
      <c r="AG1531" s="254">
        <f>Prog_236[[#This Row],[SAÍDA DO CLIENTE]]-Prog_236[[#This Row],[PROGRAMAÇÃO CLIENTE]]</f>
        <v>0</v>
      </c>
      <c r="AH1531" s="44"/>
      <c r="AI1531" s="66"/>
      <c r="AJ1531" s="66"/>
      <c r="AK1531" s="66"/>
      <c r="AL1531" s="66"/>
      <c r="AM1531" s="66"/>
      <c r="AN1531" s="83"/>
      <c r="AO1531" s="66"/>
      <c r="AP1531" s="66"/>
      <c r="AQ1531" s="66"/>
      <c r="AR1531" s="81"/>
      <c r="AS1531" s="81"/>
      <c r="AT1531" s="81"/>
      <c r="AU1531" s="81"/>
      <c r="AV1531" s="83">
        <f>SUM(Prog_236[[#This Row],[ADIANTAMENTO]]+Prog_236[[#This Row],[SALDO]]+Prog_236[[#This Row],[MARGEM]]+Prog_236[[#This Row],[ESTADIA 1]])</f>
        <v>0</v>
      </c>
      <c r="AW153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1" s="81"/>
      <c r="AY1531" s="81"/>
      <c r="AZ1531" s="81">
        <f>Prog_236[[#This Row],[VLR NF]]*0.1%</f>
        <v>0</v>
      </c>
      <c r="BA1531" s="81">
        <f>Prog_236[[#This Row],[VLR NF]]*0.05%</f>
        <v>0</v>
      </c>
      <c r="BB1531" s="81"/>
      <c r="BC1531" s="81"/>
      <c r="BD1531" s="81"/>
      <c r="BE1531" s="81"/>
      <c r="BF1531" s="81"/>
      <c r="BG1531" s="81"/>
      <c r="BH1531" s="81"/>
      <c r="BI1531" s="81"/>
      <c r="BJ1531" s="81"/>
      <c r="BK1531" s="81"/>
      <c r="BL1531" s="66"/>
      <c r="BM1531" s="66"/>
      <c r="BN1531" s="66"/>
      <c r="BO1531" s="66" t="str">
        <f>PROPER(TEXT(Prog_236[[#This Row],[PROGRAMAÇÃO CLIENTE]],"mmm"))</f>
        <v>Jan</v>
      </c>
      <c r="BP1531" s="66">
        <f>YEAR(Prog_236[[#This Row],[PROGRAMAÇÃO CLIENTE]])</f>
        <v>1900</v>
      </c>
    </row>
    <row r="1532" spans="1:68" x14ac:dyDescent="0.25">
      <c r="A1532" s="201">
        <f>Prog_236[[#This Row],[CONTEINER]]</f>
        <v>0</v>
      </c>
      <c r="B1532" s="86"/>
      <c r="C153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2" s="44"/>
      <c r="E1532" s="66"/>
      <c r="F1532" s="66"/>
      <c r="G1532" s="66"/>
      <c r="H1532" s="44"/>
      <c r="I1532" s="44"/>
      <c r="J1532" s="66"/>
      <c r="K1532" s="66"/>
      <c r="L1532" s="66"/>
      <c r="M1532" s="66"/>
      <c r="N1532" s="66">
        <f>SUM(Prog_236[[#This Row],[TARA]]+Prog_236[[#This Row],[PESO]])</f>
        <v>0</v>
      </c>
      <c r="O1532" s="44"/>
      <c r="P1532" s="66"/>
      <c r="Q1532" s="66"/>
      <c r="R1532" s="66"/>
      <c r="S1532" s="66"/>
      <c r="T1532" s="138" t="str">
        <f>IFERROR(LOOKUP($S1532,MOTORISTAS!$D$3:$D$1048576,MOTORISTAS!E$3:$E$1048576),"")</f>
        <v/>
      </c>
      <c r="U1532" s="138" t="str">
        <f>IFERROR(LOOKUP($S1532,MOTORISTAS!$D$3:$D$1048576,MOTORISTAS!F$3:$F$1048576),"")</f>
        <v/>
      </c>
      <c r="V1532" s="66"/>
      <c r="W1532" s="66"/>
      <c r="X1532" s="66"/>
      <c r="Y1532" s="66"/>
      <c r="Z1532" s="66"/>
      <c r="AA1532" s="66"/>
      <c r="AB1532" s="66"/>
      <c r="AC1532" s="66"/>
      <c r="AD1532" s="66"/>
      <c r="AE1532" s="66"/>
      <c r="AF1532" s="44"/>
      <c r="AG1532" s="254">
        <f>Prog_236[[#This Row],[SAÍDA DO CLIENTE]]-Prog_236[[#This Row],[PROGRAMAÇÃO CLIENTE]]</f>
        <v>0</v>
      </c>
      <c r="AH1532" s="44"/>
      <c r="AI1532" s="66"/>
      <c r="AJ1532" s="66"/>
      <c r="AK1532" s="66"/>
      <c r="AL1532" s="66"/>
      <c r="AM1532" s="66"/>
      <c r="AN1532" s="83"/>
      <c r="AO1532" s="66"/>
      <c r="AP1532" s="66"/>
      <c r="AQ1532" s="66"/>
      <c r="AR1532" s="81"/>
      <c r="AS1532" s="81"/>
      <c r="AT1532" s="81"/>
      <c r="AU1532" s="81"/>
      <c r="AV1532" s="83">
        <f>SUM(Prog_236[[#This Row],[ADIANTAMENTO]]+Prog_236[[#This Row],[SALDO]]+Prog_236[[#This Row],[MARGEM]]+Prog_236[[#This Row],[ESTADIA 1]])</f>
        <v>0</v>
      </c>
      <c r="AW153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2" s="81"/>
      <c r="AY1532" s="81"/>
      <c r="AZ1532" s="81">
        <f>Prog_236[[#This Row],[VLR NF]]*0.1%</f>
        <v>0</v>
      </c>
      <c r="BA1532" s="81">
        <f>Prog_236[[#This Row],[VLR NF]]*0.05%</f>
        <v>0</v>
      </c>
      <c r="BB1532" s="81"/>
      <c r="BC1532" s="81"/>
      <c r="BD1532" s="81"/>
      <c r="BE1532" s="81"/>
      <c r="BF1532" s="81"/>
      <c r="BG1532" s="81"/>
      <c r="BH1532" s="81"/>
      <c r="BI1532" s="81"/>
      <c r="BJ1532" s="81"/>
      <c r="BK1532" s="81"/>
      <c r="BL1532" s="66"/>
      <c r="BM1532" s="66"/>
      <c r="BN1532" s="66"/>
      <c r="BO1532" s="66" t="str">
        <f>PROPER(TEXT(Prog_236[[#This Row],[PROGRAMAÇÃO CLIENTE]],"mmm"))</f>
        <v>Jan</v>
      </c>
      <c r="BP1532" s="66">
        <f>YEAR(Prog_236[[#This Row],[PROGRAMAÇÃO CLIENTE]])</f>
        <v>1900</v>
      </c>
    </row>
    <row r="1533" spans="1:68" x14ac:dyDescent="0.25">
      <c r="A1533" s="200">
        <f>Prog_236[[#This Row],[CONTEINER]]</f>
        <v>0</v>
      </c>
      <c r="B1533" s="86"/>
      <c r="C153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3" s="44"/>
      <c r="E1533" s="66"/>
      <c r="F1533" s="66"/>
      <c r="G1533" s="66"/>
      <c r="H1533" s="44"/>
      <c r="I1533" s="44"/>
      <c r="J1533" s="66"/>
      <c r="K1533" s="66"/>
      <c r="L1533" s="66"/>
      <c r="M1533" s="66"/>
      <c r="N1533" s="66">
        <f>SUM(Prog_236[[#This Row],[TARA]]+Prog_236[[#This Row],[PESO]])</f>
        <v>0</v>
      </c>
      <c r="O1533" s="44"/>
      <c r="P1533" s="66"/>
      <c r="Q1533" s="66"/>
      <c r="R1533" s="66"/>
      <c r="S1533" s="66"/>
      <c r="T1533" s="138" t="str">
        <f>IFERROR(LOOKUP($S1533,MOTORISTAS!$D$3:$D$1048576,MOTORISTAS!E$3:$E$1048576),"")</f>
        <v/>
      </c>
      <c r="U1533" s="138" t="str">
        <f>IFERROR(LOOKUP($S1533,MOTORISTAS!$D$3:$D$1048576,MOTORISTAS!F$3:$F$1048576),"")</f>
        <v/>
      </c>
      <c r="V1533" s="66"/>
      <c r="W1533" s="66"/>
      <c r="X1533" s="66"/>
      <c r="Y1533" s="66"/>
      <c r="Z1533" s="66"/>
      <c r="AA1533" s="66"/>
      <c r="AB1533" s="66"/>
      <c r="AC1533" s="66"/>
      <c r="AD1533" s="66"/>
      <c r="AE1533" s="66"/>
      <c r="AF1533" s="44"/>
      <c r="AG1533" s="254">
        <f>Prog_236[[#This Row],[SAÍDA DO CLIENTE]]-Prog_236[[#This Row],[PROGRAMAÇÃO CLIENTE]]</f>
        <v>0</v>
      </c>
      <c r="AH1533" s="44"/>
      <c r="AI1533" s="66"/>
      <c r="AJ1533" s="66"/>
      <c r="AK1533" s="66"/>
      <c r="AL1533" s="66"/>
      <c r="AM1533" s="66"/>
      <c r="AN1533" s="83"/>
      <c r="AO1533" s="66"/>
      <c r="AP1533" s="66"/>
      <c r="AQ1533" s="66"/>
      <c r="AR1533" s="81"/>
      <c r="AS1533" s="81"/>
      <c r="AT1533" s="81"/>
      <c r="AU1533" s="81"/>
      <c r="AV1533" s="83">
        <f>SUM(Prog_236[[#This Row],[ADIANTAMENTO]]+Prog_236[[#This Row],[SALDO]]+Prog_236[[#This Row],[MARGEM]]+Prog_236[[#This Row],[ESTADIA 1]])</f>
        <v>0</v>
      </c>
      <c r="AW153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3" s="81"/>
      <c r="AY1533" s="81"/>
      <c r="AZ1533" s="81">
        <f>Prog_236[[#This Row],[VLR NF]]*0.1%</f>
        <v>0</v>
      </c>
      <c r="BA1533" s="81">
        <f>Prog_236[[#This Row],[VLR NF]]*0.05%</f>
        <v>0</v>
      </c>
      <c r="BB1533" s="81"/>
      <c r="BC1533" s="81"/>
      <c r="BD1533" s="81"/>
      <c r="BE1533" s="81"/>
      <c r="BF1533" s="81"/>
      <c r="BG1533" s="81"/>
      <c r="BH1533" s="81"/>
      <c r="BI1533" s="81"/>
      <c r="BJ1533" s="81"/>
      <c r="BK1533" s="81"/>
      <c r="BL1533" s="66"/>
      <c r="BM1533" s="66"/>
      <c r="BN1533" s="66"/>
      <c r="BO1533" s="66" t="str">
        <f>PROPER(TEXT(Prog_236[[#This Row],[PROGRAMAÇÃO CLIENTE]],"mmm"))</f>
        <v>Jan</v>
      </c>
      <c r="BP1533" s="66">
        <f>YEAR(Prog_236[[#This Row],[PROGRAMAÇÃO CLIENTE]])</f>
        <v>1900</v>
      </c>
    </row>
    <row r="1534" spans="1:68" x14ac:dyDescent="0.25">
      <c r="A1534" s="201">
        <f>Prog_236[[#This Row],[CONTEINER]]</f>
        <v>0</v>
      </c>
      <c r="B1534" s="86"/>
      <c r="C153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4" s="44"/>
      <c r="E1534" s="66"/>
      <c r="F1534" s="66"/>
      <c r="G1534" s="66"/>
      <c r="H1534" s="44"/>
      <c r="I1534" s="44"/>
      <c r="J1534" s="66"/>
      <c r="K1534" s="66"/>
      <c r="L1534" s="66"/>
      <c r="M1534" s="66"/>
      <c r="N1534" s="66">
        <f>SUM(Prog_236[[#This Row],[TARA]]+Prog_236[[#This Row],[PESO]])</f>
        <v>0</v>
      </c>
      <c r="O1534" s="44"/>
      <c r="P1534" s="66"/>
      <c r="Q1534" s="66"/>
      <c r="R1534" s="66"/>
      <c r="S1534" s="66"/>
      <c r="T1534" s="138" t="str">
        <f>IFERROR(LOOKUP($S1534,MOTORISTAS!$D$3:$D$1048576,MOTORISTAS!E$3:$E$1048576),"")</f>
        <v/>
      </c>
      <c r="U1534" s="138" t="str">
        <f>IFERROR(LOOKUP($S1534,MOTORISTAS!$D$3:$D$1048576,MOTORISTAS!F$3:$F$1048576),"")</f>
        <v/>
      </c>
      <c r="V1534" s="66"/>
      <c r="W1534" s="66"/>
      <c r="X1534" s="66"/>
      <c r="Y1534" s="66"/>
      <c r="Z1534" s="66"/>
      <c r="AA1534" s="66"/>
      <c r="AB1534" s="66"/>
      <c r="AC1534" s="66"/>
      <c r="AD1534" s="66"/>
      <c r="AE1534" s="66"/>
      <c r="AF1534" s="44"/>
      <c r="AG1534" s="254">
        <f>Prog_236[[#This Row],[SAÍDA DO CLIENTE]]-Prog_236[[#This Row],[PROGRAMAÇÃO CLIENTE]]</f>
        <v>0</v>
      </c>
      <c r="AH1534" s="44"/>
      <c r="AI1534" s="66"/>
      <c r="AJ1534" s="66"/>
      <c r="AK1534" s="66"/>
      <c r="AL1534" s="66"/>
      <c r="AM1534" s="66"/>
      <c r="AN1534" s="83"/>
      <c r="AO1534" s="66"/>
      <c r="AP1534" s="66"/>
      <c r="AQ1534" s="66"/>
      <c r="AR1534" s="81"/>
      <c r="AS1534" s="81"/>
      <c r="AT1534" s="81"/>
      <c r="AU1534" s="81"/>
      <c r="AV1534" s="83">
        <f>SUM(Prog_236[[#This Row],[ADIANTAMENTO]]+Prog_236[[#This Row],[SALDO]]+Prog_236[[#This Row],[MARGEM]]+Prog_236[[#This Row],[ESTADIA 1]])</f>
        <v>0</v>
      </c>
      <c r="AW153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4" s="81"/>
      <c r="AY1534" s="81"/>
      <c r="AZ1534" s="81">
        <f>Prog_236[[#This Row],[VLR NF]]*0.1%</f>
        <v>0</v>
      </c>
      <c r="BA1534" s="81">
        <f>Prog_236[[#This Row],[VLR NF]]*0.05%</f>
        <v>0</v>
      </c>
      <c r="BB1534" s="81"/>
      <c r="BC1534" s="81"/>
      <c r="BD1534" s="81"/>
      <c r="BE1534" s="81"/>
      <c r="BF1534" s="81"/>
      <c r="BG1534" s="81"/>
      <c r="BH1534" s="81"/>
      <c r="BI1534" s="81"/>
      <c r="BJ1534" s="81"/>
      <c r="BK1534" s="81"/>
      <c r="BL1534" s="66"/>
      <c r="BM1534" s="66"/>
      <c r="BN1534" s="66"/>
      <c r="BO1534" s="66" t="str">
        <f>PROPER(TEXT(Prog_236[[#This Row],[PROGRAMAÇÃO CLIENTE]],"mmm"))</f>
        <v>Jan</v>
      </c>
      <c r="BP1534" s="66">
        <f>YEAR(Prog_236[[#This Row],[PROGRAMAÇÃO CLIENTE]])</f>
        <v>1900</v>
      </c>
    </row>
    <row r="1535" spans="1:68" x14ac:dyDescent="0.25">
      <c r="A1535" s="200">
        <f>Prog_236[[#This Row],[CONTEINER]]</f>
        <v>0</v>
      </c>
      <c r="B1535" s="86"/>
      <c r="C153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5" s="44"/>
      <c r="E1535" s="66"/>
      <c r="F1535" s="66"/>
      <c r="G1535" s="66"/>
      <c r="H1535" s="44"/>
      <c r="I1535" s="44"/>
      <c r="J1535" s="66"/>
      <c r="K1535" s="66"/>
      <c r="L1535" s="66"/>
      <c r="M1535" s="66"/>
      <c r="N1535" s="66">
        <f>SUM(Prog_236[[#This Row],[TARA]]+Prog_236[[#This Row],[PESO]])</f>
        <v>0</v>
      </c>
      <c r="O1535" s="44"/>
      <c r="P1535" s="66"/>
      <c r="Q1535" s="66"/>
      <c r="R1535" s="66"/>
      <c r="S1535" s="66"/>
      <c r="T1535" s="138" t="str">
        <f>IFERROR(LOOKUP($S1535,MOTORISTAS!$D$3:$D$1048576,MOTORISTAS!E$3:$E$1048576),"")</f>
        <v/>
      </c>
      <c r="U1535" s="138" t="str">
        <f>IFERROR(LOOKUP($S1535,MOTORISTAS!$D$3:$D$1048576,MOTORISTAS!F$3:$F$1048576),"")</f>
        <v/>
      </c>
      <c r="V1535" s="66"/>
      <c r="W1535" s="66"/>
      <c r="X1535" s="66"/>
      <c r="Y1535" s="66"/>
      <c r="Z1535" s="66"/>
      <c r="AA1535" s="66"/>
      <c r="AB1535" s="66"/>
      <c r="AC1535" s="66"/>
      <c r="AD1535" s="66"/>
      <c r="AE1535" s="66"/>
      <c r="AF1535" s="44"/>
      <c r="AG1535" s="254">
        <f>Prog_236[[#This Row],[SAÍDA DO CLIENTE]]-Prog_236[[#This Row],[PROGRAMAÇÃO CLIENTE]]</f>
        <v>0</v>
      </c>
      <c r="AH1535" s="44"/>
      <c r="AI1535" s="66"/>
      <c r="AJ1535" s="66"/>
      <c r="AK1535" s="66"/>
      <c r="AL1535" s="66"/>
      <c r="AM1535" s="66"/>
      <c r="AN1535" s="83"/>
      <c r="AO1535" s="66"/>
      <c r="AP1535" s="66"/>
      <c r="AQ1535" s="66"/>
      <c r="AR1535" s="81"/>
      <c r="AS1535" s="81"/>
      <c r="AT1535" s="81"/>
      <c r="AU1535" s="81"/>
      <c r="AV1535" s="83">
        <f>SUM(Prog_236[[#This Row],[ADIANTAMENTO]]+Prog_236[[#This Row],[SALDO]]+Prog_236[[#This Row],[MARGEM]]+Prog_236[[#This Row],[ESTADIA 1]])</f>
        <v>0</v>
      </c>
      <c r="AW153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5" s="81"/>
      <c r="AY1535" s="81"/>
      <c r="AZ1535" s="81">
        <f>Prog_236[[#This Row],[VLR NF]]*0.1%</f>
        <v>0</v>
      </c>
      <c r="BA1535" s="81">
        <f>Prog_236[[#This Row],[VLR NF]]*0.05%</f>
        <v>0</v>
      </c>
      <c r="BB1535" s="81"/>
      <c r="BC1535" s="81"/>
      <c r="BD1535" s="81"/>
      <c r="BE1535" s="81"/>
      <c r="BF1535" s="81"/>
      <c r="BG1535" s="81"/>
      <c r="BH1535" s="81"/>
      <c r="BI1535" s="81"/>
      <c r="BJ1535" s="81"/>
      <c r="BK1535" s="81"/>
      <c r="BL1535" s="66"/>
      <c r="BM1535" s="66"/>
      <c r="BN1535" s="66"/>
      <c r="BO1535" s="66" t="str">
        <f>PROPER(TEXT(Prog_236[[#This Row],[PROGRAMAÇÃO CLIENTE]],"mmm"))</f>
        <v>Jan</v>
      </c>
      <c r="BP1535" s="66">
        <f>YEAR(Prog_236[[#This Row],[PROGRAMAÇÃO CLIENTE]])</f>
        <v>1900</v>
      </c>
    </row>
    <row r="1536" spans="1:68" x14ac:dyDescent="0.25">
      <c r="A1536" s="201">
        <f>Prog_236[[#This Row],[CONTEINER]]</f>
        <v>0</v>
      </c>
      <c r="B1536" s="86"/>
      <c r="C153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6" s="44"/>
      <c r="E1536" s="66"/>
      <c r="F1536" s="66"/>
      <c r="G1536" s="66"/>
      <c r="H1536" s="44"/>
      <c r="I1536" s="44"/>
      <c r="J1536" s="66"/>
      <c r="K1536" s="66"/>
      <c r="L1536" s="66"/>
      <c r="M1536" s="66"/>
      <c r="N1536" s="66">
        <f>SUM(Prog_236[[#This Row],[TARA]]+Prog_236[[#This Row],[PESO]])</f>
        <v>0</v>
      </c>
      <c r="O1536" s="44"/>
      <c r="P1536" s="66"/>
      <c r="Q1536" s="66"/>
      <c r="R1536" s="66"/>
      <c r="S1536" s="66"/>
      <c r="T1536" s="138" t="str">
        <f>IFERROR(LOOKUP($S1536,MOTORISTAS!$D$3:$D$1048576,MOTORISTAS!E$3:$E$1048576),"")</f>
        <v/>
      </c>
      <c r="U1536" s="138" t="str">
        <f>IFERROR(LOOKUP($S1536,MOTORISTAS!$D$3:$D$1048576,MOTORISTAS!F$3:$F$1048576),"")</f>
        <v/>
      </c>
      <c r="V1536" s="66"/>
      <c r="W1536" s="66"/>
      <c r="X1536" s="66"/>
      <c r="Y1536" s="66"/>
      <c r="Z1536" s="66"/>
      <c r="AA1536" s="66"/>
      <c r="AB1536" s="66"/>
      <c r="AC1536" s="66"/>
      <c r="AD1536" s="66"/>
      <c r="AE1536" s="66"/>
      <c r="AF1536" s="44"/>
      <c r="AG1536" s="254">
        <f>Prog_236[[#This Row],[SAÍDA DO CLIENTE]]-Prog_236[[#This Row],[PROGRAMAÇÃO CLIENTE]]</f>
        <v>0</v>
      </c>
      <c r="AH1536" s="44"/>
      <c r="AI1536" s="66"/>
      <c r="AJ1536" s="66"/>
      <c r="AK1536" s="66"/>
      <c r="AL1536" s="66"/>
      <c r="AM1536" s="66"/>
      <c r="AN1536" s="83"/>
      <c r="AO1536" s="66"/>
      <c r="AP1536" s="66"/>
      <c r="AQ1536" s="66"/>
      <c r="AR1536" s="81"/>
      <c r="AS1536" s="81"/>
      <c r="AT1536" s="81"/>
      <c r="AU1536" s="81"/>
      <c r="AV1536" s="83">
        <f>SUM(Prog_236[[#This Row],[ADIANTAMENTO]]+Prog_236[[#This Row],[SALDO]]+Prog_236[[#This Row],[MARGEM]]+Prog_236[[#This Row],[ESTADIA 1]])</f>
        <v>0</v>
      </c>
      <c r="AW153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6" s="81"/>
      <c r="AY1536" s="81"/>
      <c r="AZ1536" s="81">
        <f>Prog_236[[#This Row],[VLR NF]]*0.1%</f>
        <v>0</v>
      </c>
      <c r="BA1536" s="81">
        <f>Prog_236[[#This Row],[VLR NF]]*0.05%</f>
        <v>0</v>
      </c>
      <c r="BB1536" s="81"/>
      <c r="BC1536" s="81"/>
      <c r="BD1536" s="81"/>
      <c r="BE1536" s="81"/>
      <c r="BF1536" s="81"/>
      <c r="BG1536" s="81"/>
      <c r="BH1536" s="81"/>
      <c r="BI1536" s="81"/>
      <c r="BJ1536" s="81"/>
      <c r="BK1536" s="81"/>
      <c r="BL1536" s="66"/>
      <c r="BM1536" s="66"/>
      <c r="BN1536" s="66"/>
      <c r="BO1536" s="66" t="str">
        <f>PROPER(TEXT(Prog_236[[#This Row],[PROGRAMAÇÃO CLIENTE]],"mmm"))</f>
        <v>Jan</v>
      </c>
      <c r="BP1536" s="66">
        <f>YEAR(Prog_236[[#This Row],[PROGRAMAÇÃO CLIENTE]])</f>
        <v>1900</v>
      </c>
    </row>
    <row r="1537" spans="1:68" x14ac:dyDescent="0.25">
      <c r="A1537" s="200">
        <f>Prog_236[[#This Row],[CONTEINER]]</f>
        <v>0</v>
      </c>
      <c r="B1537" s="86"/>
      <c r="C153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7" s="44"/>
      <c r="E1537" s="66"/>
      <c r="F1537" s="66"/>
      <c r="G1537" s="66"/>
      <c r="H1537" s="44"/>
      <c r="I1537" s="44"/>
      <c r="J1537" s="66"/>
      <c r="K1537" s="66"/>
      <c r="L1537" s="66"/>
      <c r="M1537" s="66"/>
      <c r="N1537" s="66">
        <f>SUM(Prog_236[[#This Row],[TARA]]+Prog_236[[#This Row],[PESO]])</f>
        <v>0</v>
      </c>
      <c r="O1537" s="44"/>
      <c r="P1537" s="66"/>
      <c r="Q1537" s="66"/>
      <c r="R1537" s="66"/>
      <c r="S1537" s="66"/>
      <c r="T1537" s="138" t="str">
        <f>IFERROR(LOOKUP($S1537,MOTORISTAS!$D$3:$D$1048576,MOTORISTAS!E$3:$E$1048576),"")</f>
        <v/>
      </c>
      <c r="U1537" s="138" t="str">
        <f>IFERROR(LOOKUP($S1537,MOTORISTAS!$D$3:$D$1048576,MOTORISTAS!F$3:$F$1048576),"")</f>
        <v/>
      </c>
      <c r="V1537" s="66"/>
      <c r="W1537" s="66"/>
      <c r="X1537" s="66"/>
      <c r="Y1537" s="66"/>
      <c r="Z1537" s="66"/>
      <c r="AA1537" s="66"/>
      <c r="AB1537" s="66"/>
      <c r="AC1537" s="66"/>
      <c r="AD1537" s="66"/>
      <c r="AE1537" s="66"/>
      <c r="AF1537" s="44"/>
      <c r="AG1537" s="254">
        <f>Prog_236[[#This Row],[SAÍDA DO CLIENTE]]-Prog_236[[#This Row],[PROGRAMAÇÃO CLIENTE]]</f>
        <v>0</v>
      </c>
      <c r="AH1537" s="44"/>
      <c r="AI1537" s="66"/>
      <c r="AJ1537" s="66"/>
      <c r="AK1537" s="66"/>
      <c r="AL1537" s="66"/>
      <c r="AM1537" s="66"/>
      <c r="AN1537" s="83"/>
      <c r="AO1537" s="66"/>
      <c r="AP1537" s="66"/>
      <c r="AQ1537" s="66"/>
      <c r="AR1537" s="81"/>
      <c r="AS1537" s="81"/>
      <c r="AT1537" s="81"/>
      <c r="AU1537" s="81"/>
      <c r="AV1537" s="83">
        <f>SUM(Prog_236[[#This Row],[ADIANTAMENTO]]+Prog_236[[#This Row],[SALDO]]+Prog_236[[#This Row],[MARGEM]]+Prog_236[[#This Row],[ESTADIA 1]])</f>
        <v>0</v>
      </c>
      <c r="AW153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7" s="81"/>
      <c r="AY1537" s="81"/>
      <c r="AZ1537" s="81">
        <f>Prog_236[[#This Row],[VLR NF]]*0.1%</f>
        <v>0</v>
      </c>
      <c r="BA1537" s="81">
        <f>Prog_236[[#This Row],[VLR NF]]*0.05%</f>
        <v>0</v>
      </c>
      <c r="BB1537" s="81"/>
      <c r="BC1537" s="81"/>
      <c r="BD1537" s="81"/>
      <c r="BE1537" s="81"/>
      <c r="BF1537" s="81"/>
      <c r="BG1537" s="81"/>
      <c r="BH1537" s="81"/>
      <c r="BI1537" s="81"/>
      <c r="BJ1537" s="81"/>
      <c r="BK1537" s="81"/>
      <c r="BL1537" s="66"/>
      <c r="BM1537" s="66"/>
      <c r="BN1537" s="66"/>
      <c r="BO1537" s="66" t="str">
        <f>PROPER(TEXT(Prog_236[[#This Row],[PROGRAMAÇÃO CLIENTE]],"mmm"))</f>
        <v>Jan</v>
      </c>
      <c r="BP1537" s="66">
        <f>YEAR(Prog_236[[#This Row],[PROGRAMAÇÃO CLIENTE]])</f>
        <v>1900</v>
      </c>
    </row>
    <row r="1538" spans="1:68" x14ac:dyDescent="0.25">
      <c r="A1538" s="201">
        <f>Prog_236[[#This Row],[CONTEINER]]</f>
        <v>0</v>
      </c>
      <c r="B1538" s="86"/>
      <c r="C153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8" s="44"/>
      <c r="E1538" s="66"/>
      <c r="F1538" s="66"/>
      <c r="G1538" s="66"/>
      <c r="H1538" s="44"/>
      <c r="I1538" s="44"/>
      <c r="J1538" s="66"/>
      <c r="K1538" s="66"/>
      <c r="L1538" s="66"/>
      <c r="M1538" s="66"/>
      <c r="N1538" s="66">
        <f>SUM(Prog_236[[#This Row],[TARA]]+Prog_236[[#This Row],[PESO]])</f>
        <v>0</v>
      </c>
      <c r="O1538" s="44"/>
      <c r="P1538" s="66"/>
      <c r="Q1538" s="66"/>
      <c r="R1538" s="66"/>
      <c r="S1538" s="66"/>
      <c r="T1538" s="138" t="str">
        <f>IFERROR(LOOKUP($S1538,MOTORISTAS!$D$3:$D$1048576,MOTORISTAS!E$3:$E$1048576),"")</f>
        <v/>
      </c>
      <c r="U1538" s="138" t="str">
        <f>IFERROR(LOOKUP($S1538,MOTORISTAS!$D$3:$D$1048576,MOTORISTAS!F$3:$F$1048576),"")</f>
        <v/>
      </c>
      <c r="V1538" s="66"/>
      <c r="W1538" s="66"/>
      <c r="X1538" s="66"/>
      <c r="Y1538" s="66"/>
      <c r="Z1538" s="66"/>
      <c r="AA1538" s="66"/>
      <c r="AB1538" s="66"/>
      <c r="AC1538" s="66"/>
      <c r="AD1538" s="66"/>
      <c r="AE1538" s="66"/>
      <c r="AF1538" s="44"/>
      <c r="AG1538" s="254">
        <f>Prog_236[[#This Row],[SAÍDA DO CLIENTE]]-Prog_236[[#This Row],[PROGRAMAÇÃO CLIENTE]]</f>
        <v>0</v>
      </c>
      <c r="AH1538" s="44"/>
      <c r="AI1538" s="66"/>
      <c r="AJ1538" s="66"/>
      <c r="AK1538" s="66"/>
      <c r="AL1538" s="66"/>
      <c r="AM1538" s="66"/>
      <c r="AN1538" s="83"/>
      <c r="AO1538" s="66"/>
      <c r="AP1538" s="66"/>
      <c r="AQ1538" s="66"/>
      <c r="AR1538" s="81"/>
      <c r="AS1538" s="81"/>
      <c r="AT1538" s="81"/>
      <c r="AU1538" s="81"/>
      <c r="AV1538" s="83">
        <f>SUM(Prog_236[[#This Row],[ADIANTAMENTO]]+Prog_236[[#This Row],[SALDO]]+Prog_236[[#This Row],[MARGEM]]+Prog_236[[#This Row],[ESTADIA 1]])</f>
        <v>0</v>
      </c>
      <c r="AW153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8" s="81"/>
      <c r="AY1538" s="81"/>
      <c r="AZ1538" s="81">
        <f>Prog_236[[#This Row],[VLR NF]]*0.1%</f>
        <v>0</v>
      </c>
      <c r="BA1538" s="81">
        <f>Prog_236[[#This Row],[VLR NF]]*0.05%</f>
        <v>0</v>
      </c>
      <c r="BB1538" s="81"/>
      <c r="BC1538" s="81"/>
      <c r="BD1538" s="81"/>
      <c r="BE1538" s="81"/>
      <c r="BF1538" s="81"/>
      <c r="BG1538" s="81"/>
      <c r="BH1538" s="81"/>
      <c r="BI1538" s="81"/>
      <c r="BJ1538" s="81"/>
      <c r="BK1538" s="81"/>
      <c r="BL1538" s="66"/>
      <c r="BM1538" s="66"/>
      <c r="BN1538" s="66"/>
      <c r="BO1538" s="66" t="str">
        <f>PROPER(TEXT(Prog_236[[#This Row],[PROGRAMAÇÃO CLIENTE]],"mmm"))</f>
        <v>Jan</v>
      </c>
      <c r="BP1538" s="66">
        <f>YEAR(Prog_236[[#This Row],[PROGRAMAÇÃO CLIENTE]])</f>
        <v>1900</v>
      </c>
    </row>
    <row r="1539" spans="1:68" x14ac:dyDescent="0.25">
      <c r="A1539" s="200">
        <f>Prog_236[[#This Row],[CONTEINER]]</f>
        <v>0</v>
      </c>
      <c r="B1539" s="86"/>
      <c r="C153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39" s="44"/>
      <c r="E1539" s="66"/>
      <c r="F1539" s="66"/>
      <c r="G1539" s="66"/>
      <c r="H1539" s="44"/>
      <c r="I1539" s="44"/>
      <c r="J1539" s="66"/>
      <c r="K1539" s="66"/>
      <c r="L1539" s="66"/>
      <c r="M1539" s="66"/>
      <c r="N1539" s="66">
        <f>SUM(Prog_236[[#This Row],[TARA]]+Prog_236[[#This Row],[PESO]])</f>
        <v>0</v>
      </c>
      <c r="O1539" s="44"/>
      <c r="P1539" s="66"/>
      <c r="Q1539" s="66"/>
      <c r="R1539" s="66"/>
      <c r="S1539" s="66"/>
      <c r="T1539" s="138" t="str">
        <f>IFERROR(LOOKUP($S1539,MOTORISTAS!$D$3:$D$1048576,MOTORISTAS!E$3:$E$1048576),"")</f>
        <v/>
      </c>
      <c r="U1539" s="138" t="str">
        <f>IFERROR(LOOKUP($S1539,MOTORISTAS!$D$3:$D$1048576,MOTORISTAS!F$3:$F$1048576),"")</f>
        <v/>
      </c>
      <c r="V1539" s="66"/>
      <c r="W1539" s="66"/>
      <c r="X1539" s="66"/>
      <c r="Y1539" s="66"/>
      <c r="Z1539" s="66"/>
      <c r="AA1539" s="66"/>
      <c r="AB1539" s="66"/>
      <c r="AC1539" s="66"/>
      <c r="AD1539" s="66"/>
      <c r="AE1539" s="66"/>
      <c r="AF1539" s="44"/>
      <c r="AG1539" s="254">
        <f>Prog_236[[#This Row],[SAÍDA DO CLIENTE]]-Prog_236[[#This Row],[PROGRAMAÇÃO CLIENTE]]</f>
        <v>0</v>
      </c>
      <c r="AH1539" s="44"/>
      <c r="AI1539" s="66"/>
      <c r="AJ1539" s="66"/>
      <c r="AK1539" s="66"/>
      <c r="AL1539" s="66"/>
      <c r="AM1539" s="66"/>
      <c r="AN1539" s="83"/>
      <c r="AO1539" s="66"/>
      <c r="AP1539" s="66"/>
      <c r="AQ1539" s="66"/>
      <c r="AR1539" s="81"/>
      <c r="AS1539" s="81"/>
      <c r="AT1539" s="81"/>
      <c r="AU1539" s="81"/>
      <c r="AV1539" s="83">
        <f>SUM(Prog_236[[#This Row],[ADIANTAMENTO]]+Prog_236[[#This Row],[SALDO]]+Prog_236[[#This Row],[MARGEM]]+Prog_236[[#This Row],[ESTADIA 1]])</f>
        <v>0</v>
      </c>
      <c r="AW153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39" s="81"/>
      <c r="AY1539" s="81"/>
      <c r="AZ1539" s="81">
        <f>Prog_236[[#This Row],[VLR NF]]*0.1%</f>
        <v>0</v>
      </c>
      <c r="BA1539" s="81">
        <f>Prog_236[[#This Row],[VLR NF]]*0.05%</f>
        <v>0</v>
      </c>
      <c r="BB1539" s="81"/>
      <c r="BC1539" s="81"/>
      <c r="BD1539" s="81"/>
      <c r="BE1539" s="81"/>
      <c r="BF1539" s="81"/>
      <c r="BG1539" s="81"/>
      <c r="BH1539" s="81"/>
      <c r="BI1539" s="81"/>
      <c r="BJ1539" s="81"/>
      <c r="BK1539" s="81"/>
      <c r="BL1539" s="66"/>
      <c r="BM1539" s="66"/>
      <c r="BN1539" s="66"/>
      <c r="BO1539" s="66" t="str">
        <f>PROPER(TEXT(Prog_236[[#This Row],[PROGRAMAÇÃO CLIENTE]],"mmm"))</f>
        <v>Jan</v>
      </c>
      <c r="BP1539" s="66">
        <f>YEAR(Prog_236[[#This Row],[PROGRAMAÇÃO CLIENTE]])</f>
        <v>1900</v>
      </c>
    </row>
    <row r="1540" spans="1:68" x14ac:dyDescent="0.25">
      <c r="A1540" s="201">
        <f>Prog_236[[#This Row],[CONTEINER]]</f>
        <v>0</v>
      </c>
      <c r="B1540" s="86"/>
      <c r="C154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0" s="44"/>
      <c r="E1540" s="66"/>
      <c r="F1540" s="66"/>
      <c r="G1540" s="66"/>
      <c r="H1540" s="44"/>
      <c r="I1540" s="44"/>
      <c r="J1540" s="66"/>
      <c r="K1540" s="66"/>
      <c r="L1540" s="66"/>
      <c r="M1540" s="66"/>
      <c r="N1540" s="66">
        <f>SUM(Prog_236[[#This Row],[TARA]]+Prog_236[[#This Row],[PESO]])</f>
        <v>0</v>
      </c>
      <c r="O1540" s="44"/>
      <c r="P1540" s="66"/>
      <c r="Q1540" s="66"/>
      <c r="R1540" s="66"/>
      <c r="S1540" s="66"/>
      <c r="T1540" s="138" t="str">
        <f>IFERROR(LOOKUP($S1540,MOTORISTAS!$D$3:$D$1048576,MOTORISTAS!E$3:$E$1048576),"")</f>
        <v/>
      </c>
      <c r="U1540" s="138" t="str">
        <f>IFERROR(LOOKUP($S1540,MOTORISTAS!$D$3:$D$1048576,MOTORISTAS!F$3:$F$1048576),"")</f>
        <v/>
      </c>
      <c r="V1540" s="66"/>
      <c r="W1540" s="66"/>
      <c r="X1540" s="66"/>
      <c r="Y1540" s="66"/>
      <c r="Z1540" s="66"/>
      <c r="AA1540" s="66"/>
      <c r="AB1540" s="66"/>
      <c r="AC1540" s="66"/>
      <c r="AD1540" s="66"/>
      <c r="AE1540" s="66"/>
      <c r="AF1540" s="44"/>
      <c r="AG1540" s="254">
        <f>Prog_236[[#This Row],[SAÍDA DO CLIENTE]]-Prog_236[[#This Row],[PROGRAMAÇÃO CLIENTE]]</f>
        <v>0</v>
      </c>
      <c r="AH1540" s="44"/>
      <c r="AI1540" s="66"/>
      <c r="AJ1540" s="66"/>
      <c r="AK1540" s="66"/>
      <c r="AL1540" s="66"/>
      <c r="AM1540" s="66"/>
      <c r="AN1540" s="83"/>
      <c r="AO1540" s="66"/>
      <c r="AP1540" s="66"/>
      <c r="AQ1540" s="66"/>
      <c r="AR1540" s="81"/>
      <c r="AS1540" s="81"/>
      <c r="AT1540" s="81"/>
      <c r="AU1540" s="81"/>
      <c r="AV1540" s="83">
        <f>SUM(Prog_236[[#This Row],[ADIANTAMENTO]]+Prog_236[[#This Row],[SALDO]]+Prog_236[[#This Row],[MARGEM]]+Prog_236[[#This Row],[ESTADIA 1]])</f>
        <v>0</v>
      </c>
      <c r="AW154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0" s="81"/>
      <c r="AY1540" s="81"/>
      <c r="AZ1540" s="81">
        <f>Prog_236[[#This Row],[VLR NF]]*0.1%</f>
        <v>0</v>
      </c>
      <c r="BA1540" s="81">
        <f>Prog_236[[#This Row],[VLR NF]]*0.05%</f>
        <v>0</v>
      </c>
      <c r="BB1540" s="81"/>
      <c r="BC1540" s="81"/>
      <c r="BD1540" s="81"/>
      <c r="BE1540" s="81"/>
      <c r="BF1540" s="81"/>
      <c r="BG1540" s="81"/>
      <c r="BH1540" s="81"/>
      <c r="BI1540" s="81"/>
      <c r="BJ1540" s="81"/>
      <c r="BK1540" s="81"/>
      <c r="BL1540" s="66"/>
      <c r="BM1540" s="66"/>
      <c r="BN1540" s="66"/>
      <c r="BO1540" s="66" t="str">
        <f>PROPER(TEXT(Prog_236[[#This Row],[PROGRAMAÇÃO CLIENTE]],"mmm"))</f>
        <v>Jan</v>
      </c>
      <c r="BP1540" s="66">
        <f>YEAR(Prog_236[[#This Row],[PROGRAMAÇÃO CLIENTE]])</f>
        <v>1900</v>
      </c>
    </row>
    <row r="1541" spans="1:68" x14ac:dyDescent="0.25">
      <c r="A1541" s="200">
        <f>Prog_236[[#This Row],[CONTEINER]]</f>
        <v>0</v>
      </c>
      <c r="B1541" s="86"/>
      <c r="C154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1" s="44"/>
      <c r="E1541" s="66"/>
      <c r="F1541" s="66"/>
      <c r="G1541" s="66"/>
      <c r="H1541" s="44"/>
      <c r="I1541" s="44"/>
      <c r="J1541" s="66"/>
      <c r="K1541" s="66"/>
      <c r="L1541" s="66"/>
      <c r="M1541" s="66"/>
      <c r="N1541" s="66">
        <f>SUM(Prog_236[[#This Row],[TARA]]+Prog_236[[#This Row],[PESO]])</f>
        <v>0</v>
      </c>
      <c r="O1541" s="44"/>
      <c r="P1541" s="66"/>
      <c r="Q1541" s="66"/>
      <c r="R1541" s="66"/>
      <c r="S1541" s="66"/>
      <c r="T1541" s="138" t="str">
        <f>IFERROR(LOOKUP($S1541,MOTORISTAS!$D$3:$D$1048576,MOTORISTAS!E$3:$E$1048576),"")</f>
        <v/>
      </c>
      <c r="U1541" s="138" t="str">
        <f>IFERROR(LOOKUP($S1541,MOTORISTAS!$D$3:$D$1048576,MOTORISTAS!F$3:$F$1048576),"")</f>
        <v/>
      </c>
      <c r="V1541" s="66"/>
      <c r="W1541" s="66"/>
      <c r="X1541" s="66"/>
      <c r="Y1541" s="66"/>
      <c r="Z1541" s="66"/>
      <c r="AA1541" s="66"/>
      <c r="AB1541" s="66"/>
      <c r="AC1541" s="66"/>
      <c r="AD1541" s="66"/>
      <c r="AE1541" s="66"/>
      <c r="AF1541" s="44"/>
      <c r="AG1541" s="254">
        <f>Prog_236[[#This Row],[SAÍDA DO CLIENTE]]-Prog_236[[#This Row],[PROGRAMAÇÃO CLIENTE]]</f>
        <v>0</v>
      </c>
      <c r="AH1541" s="44"/>
      <c r="AI1541" s="66"/>
      <c r="AJ1541" s="66"/>
      <c r="AK1541" s="66"/>
      <c r="AL1541" s="66"/>
      <c r="AM1541" s="66"/>
      <c r="AN1541" s="83"/>
      <c r="AO1541" s="66"/>
      <c r="AP1541" s="66"/>
      <c r="AQ1541" s="66"/>
      <c r="AR1541" s="81"/>
      <c r="AS1541" s="81"/>
      <c r="AT1541" s="81"/>
      <c r="AU1541" s="81"/>
      <c r="AV1541" s="83">
        <f>SUM(Prog_236[[#This Row],[ADIANTAMENTO]]+Prog_236[[#This Row],[SALDO]]+Prog_236[[#This Row],[MARGEM]]+Prog_236[[#This Row],[ESTADIA 1]])</f>
        <v>0</v>
      </c>
      <c r="AW154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1" s="81"/>
      <c r="AY1541" s="81"/>
      <c r="AZ1541" s="81">
        <f>Prog_236[[#This Row],[VLR NF]]*0.1%</f>
        <v>0</v>
      </c>
      <c r="BA1541" s="81">
        <f>Prog_236[[#This Row],[VLR NF]]*0.05%</f>
        <v>0</v>
      </c>
      <c r="BB1541" s="81"/>
      <c r="BC1541" s="81"/>
      <c r="BD1541" s="81"/>
      <c r="BE1541" s="81"/>
      <c r="BF1541" s="81"/>
      <c r="BG1541" s="81"/>
      <c r="BH1541" s="81"/>
      <c r="BI1541" s="81"/>
      <c r="BJ1541" s="81"/>
      <c r="BK1541" s="81"/>
      <c r="BL1541" s="66"/>
      <c r="BM1541" s="66"/>
      <c r="BN1541" s="66"/>
      <c r="BO1541" s="66" t="str">
        <f>PROPER(TEXT(Prog_236[[#This Row],[PROGRAMAÇÃO CLIENTE]],"mmm"))</f>
        <v>Jan</v>
      </c>
      <c r="BP1541" s="66">
        <f>YEAR(Prog_236[[#This Row],[PROGRAMAÇÃO CLIENTE]])</f>
        <v>1900</v>
      </c>
    </row>
    <row r="1542" spans="1:68" x14ac:dyDescent="0.25">
      <c r="A1542" s="201">
        <f>Prog_236[[#This Row],[CONTEINER]]</f>
        <v>0</v>
      </c>
      <c r="B1542" s="86"/>
      <c r="C154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2" s="44"/>
      <c r="E1542" s="66"/>
      <c r="F1542" s="66"/>
      <c r="G1542" s="66"/>
      <c r="H1542" s="44"/>
      <c r="I1542" s="44"/>
      <c r="J1542" s="66"/>
      <c r="K1542" s="66"/>
      <c r="L1542" s="66"/>
      <c r="M1542" s="66"/>
      <c r="N1542" s="66">
        <f>SUM(Prog_236[[#This Row],[TARA]]+Prog_236[[#This Row],[PESO]])</f>
        <v>0</v>
      </c>
      <c r="O1542" s="44"/>
      <c r="P1542" s="66"/>
      <c r="Q1542" s="66"/>
      <c r="R1542" s="66"/>
      <c r="S1542" s="66"/>
      <c r="T1542" s="138" t="str">
        <f>IFERROR(LOOKUP($S1542,MOTORISTAS!$D$3:$D$1048576,MOTORISTAS!E$3:$E$1048576),"")</f>
        <v/>
      </c>
      <c r="U1542" s="138" t="str">
        <f>IFERROR(LOOKUP($S1542,MOTORISTAS!$D$3:$D$1048576,MOTORISTAS!F$3:$F$1048576),"")</f>
        <v/>
      </c>
      <c r="V1542" s="66"/>
      <c r="W1542" s="66"/>
      <c r="X1542" s="66"/>
      <c r="Y1542" s="66"/>
      <c r="Z1542" s="66"/>
      <c r="AA1542" s="66"/>
      <c r="AB1542" s="66"/>
      <c r="AC1542" s="66"/>
      <c r="AD1542" s="66"/>
      <c r="AE1542" s="66"/>
      <c r="AF1542" s="44"/>
      <c r="AG1542" s="254">
        <f>Prog_236[[#This Row],[SAÍDA DO CLIENTE]]-Prog_236[[#This Row],[PROGRAMAÇÃO CLIENTE]]</f>
        <v>0</v>
      </c>
      <c r="AH1542" s="44"/>
      <c r="AI1542" s="66"/>
      <c r="AJ1542" s="66"/>
      <c r="AK1542" s="66"/>
      <c r="AL1542" s="66"/>
      <c r="AM1542" s="66"/>
      <c r="AN1542" s="83"/>
      <c r="AO1542" s="66"/>
      <c r="AP1542" s="66"/>
      <c r="AQ1542" s="66"/>
      <c r="AR1542" s="81"/>
      <c r="AS1542" s="81"/>
      <c r="AT1542" s="81"/>
      <c r="AU1542" s="81"/>
      <c r="AV1542" s="83">
        <f>SUM(Prog_236[[#This Row],[ADIANTAMENTO]]+Prog_236[[#This Row],[SALDO]]+Prog_236[[#This Row],[MARGEM]]+Prog_236[[#This Row],[ESTADIA 1]])</f>
        <v>0</v>
      </c>
      <c r="AW154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2" s="81"/>
      <c r="AY1542" s="81"/>
      <c r="AZ1542" s="81">
        <f>Prog_236[[#This Row],[VLR NF]]*0.1%</f>
        <v>0</v>
      </c>
      <c r="BA1542" s="81">
        <f>Prog_236[[#This Row],[VLR NF]]*0.05%</f>
        <v>0</v>
      </c>
      <c r="BB1542" s="81"/>
      <c r="BC1542" s="81"/>
      <c r="BD1542" s="81"/>
      <c r="BE1542" s="81"/>
      <c r="BF1542" s="81"/>
      <c r="BG1542" s="81"/>
      <c r="BH1542" s="81"/>
      <c r="BI1542" s="81"/>
      <c r="BJ1542" s="81"/>
      <c r="BK1542" s="81"/>
      <c r="BL1542" s="66"/>
      <c r="BM1542" s="66"/>
      <c r="BN1542" s="66"/>
      <c r="BO1542" s="66" t="str">
        <f>PROPER(TEXT(Prog_236[[#This Row],[PROGRAMAÇÃO CLIENTE]],"mmm"))</f>
        <v>Jan</v>
      </c>
      <c r="BP1542" s="66">
        <f>YEAR(Prog_236[[#This Row],[PROGRAMAÇÃO CLIENTE]])</f>
        <v>1900</v>
      </c>
    </row>
    <row r="1543" spans="1:68" x14ac:dyDescent="0.25">
      <c r="A1543" s="200">
        <f>Prog_236[[#This Row],[CONTEINER]]</f>
        <v>0</v>
      </c>
      <c r="B1543" s="86"/>
      <c r="C154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3" s="44"/>
      <c r="E1543" s="66"/>
      <c r="F1543" s="66"/>
      <c r="G1543" s="66"/>
      <c r="H1543" s="44"/>
      <c r="I1543" s="44"/>
      <c r="J1543" s="66"/>
      <c r="K1543" s="66"/>
      <c r="L1543" s="66"/>
      <c r="M1543" s="66"/>
      <c r="N1543" s="66">
        <f>SUM(Prog_236[[#This Row],[TARA]]+Prog_236[[#This Row],[PESO]])</f>
        <v>0</v>
      </c>
      <c r="O1543" s="44"/>
      <c r="P1543" s="66"/>
      <c r="Q1543" s="66"/>
      <c r="R1543" s="66"/>
      <c r="S1543" s="66"/>
      <c r="T1543" s="138" t="str">
        <f>IFERROR(LOOKUP($S1543,MOTORISTAS!$D$3:$D$1048576,MOTORISTAS!E$3:$E$1048576),"")</f>
        <v/>
      </c>
      <c r="U1543" s="138" t="str">
        <f>IFERROR(LOOKUP($S1543,MOTORISTAS!$D$3:$D$1048576,MOTORISTAS!F$3:$F$1048576),"")</f>
        <v/>
      </c>
      <c r="V1543" s="66"/>
      <c r="W1543" s="66"/>
      <c r="X1543" s="66"/>
      <c r="Y1543" s="66"/>
      <c r="Z1543" s="66"/>
      <c r="AA1543" s="66"/>
      <c r="AB1543" s="66"/>
      <c r="AC1543" s="66"/>
      <c r="AD1543" s="66"/>
      <c r="AE1543" s="66"/>
      <c r="AF1543" s="44"/>
      <c r="AG1543" s="254">
        <f>Prog_236[[#This Row],[SAÍDA DO CLIENTE]]-Prog_236[[#This Row],[PROGRAMAÇÃO CLIENTE]]</f>
        <v>0</v>
      </c>
      <c r="AH1543" s="44"/>
      <c r="AI1543" s="66"/>
      <c r="AJ1543" s="66"/>
      <c r="AK1543" s="66"/>
      <c r="AL1543" s="66"/>
      <c r="AM1543" s="66"/>
      <c r="AN1543" s="83"/>
      <c r="AO1543" s="66"/>
      <c r="AP1543" s="66"/>
      <c r="AQ1543" s="66"/>
      <c r="AR1543" s="81"/>
      <c r="AS1543" s="81"/>
      <c r="AT1543" s="81"/>
      <c r="AU1543" s="81"/>
      <c r="AV1543" s="83">
        <f>SUM(Prog_236[[#This Row],[ADIANTAMENTO]]+Prog_236[[#This Row],[SALDO]]+Prog_236[[#This Row],[MARGEM]]+Prog_236[[#This Row],[ESTADIA 1]])</f>
        <v>0</v>
      </c>
      <c r="AW154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3" s="81"/>
      <c r="AY1543" s="81"/>
      <c r="AZ1543" s="81">
        <f>Prog_236[[#This Row],[VLR NF]]*0.1%</f>
        <v>0</v>
      </c>
      <c r="BA1543" s="81">
        <f>Prog_236[[#This Row],[VLR NF]]*0.05%</f>
        <v>0</v>
      </c>
      <c r="BB1543" s="81"/>
      <c r="BC1543" s="81"/>
      <c r="BD1543" s="81"/>
      <c r="BE1543" s="81"/>
      <c r="BF1543" s="81"/>
      <c r="BG1543" s="81"/>
      <c r="BH1543" s="81"/>
      <c r="BI1543" s="81"/>
      <c r="BJ1543" s="81"/>
      <c r="BK1543" s="81"/>
      <c r="BL1543" s="66"/>
      <c r="BM1543" s="66"/>
      <c r="BN1543" s="66"/>
      <c r="BO1543" s="66" t="str">
        <f>PROPER(TEXT(Prog_236[[#This Row],[PROGRAMAÇÃO CLIENTE]],"mmm"))</f>
        <v>Jan</v>
      </c>
      <c r="BP1543" s="66">
        <f>YEAR(Prog_236[[#This Row],[PROGRAMAÇÃO CLIENTE]])</f>
        <v>1900</v>
      </c>
    </row>
    <row r="1544" spans="1:68" x14ac:dyDescent="0.25">
      <c r="A1544" s="201">
        <f>Prog_236[[#This Row],[CONTEINER]]</f>
        <v>0</v>
      </c>
      <c r="B1544" s="86"/>
      <c r="C154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4" s="44"/>
      <c r="E1544" s="66"/>
      <c r="F1544" s="66"/>
      <c r="G1544" s="66"/>
      <c r="H1544" s="44"/>
      <c r="I1544" s="44"/>
      <c r="J1544" s="66"/>
      <c r="K1544" s="66"/>
      <c r="L1544" s="66"/>
      <c r="M1544" s="66"/>
      <c r="N1544" s="66">
        <f>SUM(Prog_236[[#This Row],[TARA]]+Prog_236[[#This Row],[PESO]])</f>
        <v>0</v>
      </c>
      <c r="O1544" s="44"/>
      <c r="P1544" s="66"/>
      <c r="Q1544" s="66"/>
      <c r="R1544" s="66"/>
      <c r="S1544" s="66"/>
      <c r="T1544" s="138" t="str">
        <f>IFERROR(LOOKUP($S1544,MOTORISTAS!$D$3:$D$1048576,MOTORISTAS!E$3:$E$1048576),"")</f>
        <v/>
      </c>
      <c r="U1544" s="138" t="str">
        <f>IFERROR(LOOKUP($S1544,MOTORISTAS!$D$3:$D$1048576,MOTORISTAS!F$3:$F$1048576),"")</f>
        <v/>
      </c>
      <c r="V1544" s="66"/>
      <c r="W1544" s="66"/>
      <c r="X1544" s="66"/>
      <c r="Y1544" s="66"/>
      <c r="Z1544" s="66"/>
      <c r="AA1544" s="66"/>
      <c r="AB1544" s="66"/>
      <c r="AC1544" s="66"/>
      <c r="AD1544" s="66"/>
      <c r="AE1544" s="66"/>
      <c r="AF1544" s="44"/>
      <c r="AG1544" s="254">
        <f>Prog_236[[#This Row],[SAÍDA DO CLIENTE]]-Prog_236[[#This Row],[PROGRAMAÇÃO CLIENTE]]</f>
        <v>0</v>
      </c>
      <c r="AH1544" s="44"/>
      <c r="AI1544" s="66"/>
      <c r="AJ1544" s="66"/>
      <c r="AK1544" s="66"/>
      <c r="AL1544" s="66"/>
      <c r="AM1544" s="66"/>
      <c r="AN1544" s="83"/>
      <c r="AO1544" s="66"/>
      <c r="AP1544" s="66"/>
      <c r="AQ1544" s="66"/>
      <c r="AR1544" s="81"/>
      <c r="AS1544" s="81"/>
      <c r="AT1544" s="81"/>
      <c r="AU1544" s="81"/>
      <c r="AV1544" s="83">
        <f>SUM(Prog_236[[#This Row],[ADIANTAMENTO]]+Prog_236[[#This Row],[SALDO]]+Prog_236[[#This Row],[MARGEM]]+Prog_236[[#This Row],[ESTADIA 1]])</f>
        <v>0</v>
      </c>
      <c r="AW154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4" s="81"/>
      <c r="AY1544" s="81"/>
      <c r="AZ1544" s="81">
        <f>Prog_236[[#This Row],[VLR NF]]*0.1%</f>
        <v>0</v>
      </c>
      <c r="BA1544" s="81">
        <f>Prog_236[[#This Row],[VLR NF]]*0.05%</f>
        <v>0</v>
      </c>
      <c r="BB1544" s="81"/>
      <c r="BC1544" s="81"/>
      <c r="BD1544" s="81"/>
      <c r="BE1544" s="81"/>
      <c r="BF1544" s="81"/>
      <c r="BG1544" s="81"/>
      <c r="BH1544" s="81"/>
      <c r="BI1544" s="81"/>
      <c r="BJ1544" s="81"/>
      <c r="BK1544" s="81"/>
      <c r="BL1544" s="66"/>
      <c r="BM1544" s="66"/>
      <c r="BN1544" s="66"/>
      <c r="BO1544" s="66" t="str">
        <f>PROPER(TEXT(Prog_236[[#This Row],[PROGRAMAÇÃO CLIENTE]],"mmm"))</f>
        <v>Jan</v>
      </c>
      <c r="BP1544" s="66">
        <f>YEAR(Prog_236[[#This Row],[PROGRAMAÇÃO CLIENTE]])</f>
        <v>1900</v>
      </c>
    </row>
    <row r="1545" spans="1:68" x14ac:dyDescent="0.25">
      <c r="A1545" s="200">
        <f>Prog_236[[#This Row],[CONTEINER]]</f>
        <v>0</v>
      </c>
      <c r="B1545" s="86"/>
      <c r="C154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5" s="44"/>
      <c r="E1545" s="66"/>
      <c r="F1545" s="66"/>
      <c r="G1545" s="66"/>
      <c r="H1545" s="44"/>
      <c r="I1545" s="44"/>
      <c r="J1545" s="66"/>
      <c r="K1545" s="66"/>
      <c r="L1545" s="66"/>
      <c r="M1545" s="66"/>
      <c r="N1545" s="66">
        <f>SUM(Prog_236[[#This Row],[TARA]]+Prog_236[[#This Row],[PESO]])</f>
        <v>0</v>
      </c>
      <c r="O1545" s="44"/>
      <c r="P1545" s="66"/>
      <c r="Q1545" s="66"/>
      <c r="R1545" s="66"/>
      <c r="S1545" s="66"/>
      <c r="T1545" s="138" t="str">
        <f>IFERROR(LOOKUP($S1545,MOTORISTAS!$D$3:$D$1048576,MOTORISTAS!E$3:$E$1048576),"")</f>
        <v/>
      </c>
      <c r="U1545" s="138" t="str">
        <f>IFERROR(LOOKUP($S1545,MOTORISTAS!$D$3:$D$1048576,MOTORISTAS!F$3:$F$1048576),"")</f>
        <v/>
      </c>
      <c r="V1545" s="66"/>
      <c r="W1545" s="66"/>
      <c r="X1545" s="66"/>
      <c r="Y1545" s="66"/>
      <c r="Z1545" s="66"/>
      <c r="AA1545" s="66"/>
      <c r="AB1545" s="66"/>
      <c r="AC1545" s="66"/>
      <c r="AD1545" s="66"/>
      <c r="AE1545" s="66"/>
      <c r="AF1545" s="44"/>
      <c r="AG1545" s="254">
        <f>Prog_236[[#This Row],[SAÍDA DO CLIENTE]]-Prog_236[[#This Row],[PROGRAMAÇÃO CLIENTE]]</f>
        <v>0</v>
      </c>
      <c r="AH1545" s="44"/>
      <c r="AI1545" s="66"/>
      <c r="AJ1545" s="66"/>
      <c r="AK1545" s="66"/>
      <c r="AL1545" s="66"/>
      <c r="AM1545" s="66"/>
      <c r="AN1545" s="83"/>
      <c r="AO1545" s="66"/>
      <c r="AP1545" s="66"/>
      <c r="AQ1545" s="66"/>
      <c r="AR1545" s="81"/>
      <c r="AS1545" s="81"/>
      <c r="AT1545" s="81"/>
      <c r="AU1545" s="81"/>
      <c r="AV1545" s="83">
        <f>SUM(Prog_236[[#This Row],[ADIANTAMENTO]]+Prog_236[[#This Row],[SALDO]]+Prog_236[[#This Row],[MARGEM]]+Prog_236[[#This Row],[ESTADIA 1]])</f>
        <v>0</v>
      </c>
      <c r="AW154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5" s="81"/>
      <c r="AY1545" s="81"/>
      <c r="AZ1545" s="81">
        <f>Prog_236[[#This Row],[VLR NF]]*0.1%</f>
        <v>0</v>
      </c>
      <c r="BA1545" s="81">
        <f>Prog_236[[#This Row],[VLR NF]]*0.05%</f>
        <v>0</v>
      </c>
      <c r="BB1545" s="81"/>
      <c r="BC1545" s="81"/>
      <c r="BD1545" s="81"/>
      <c r="BE1545" s="81"/>
      <c r="BF1545" s="81"/>
      <c r="BG1545" s="81"/>
      <c r="BH1545" s="81"/>
      <c r="BI1545" s="81"/>
      <c r="BJ1545" s="81"/>
      <c r="BK1545" s="81"/>
      <c r="BL1545" s="66"/>
      <c r="BM1545" s="66"/>
      <c r="BN1545" s="66"/>
      <c r="BO1545" s="66" t="str">
        <f>PROPER(TEXT(Prog_236[[#This Row],[PROGRAMAÇÃO CLIENTE]],"mmm"))</f>
        <v>Jan</v>
      </c>
      <c r="BP1545" s="66">
        <f>YEAR(Prog_236[[#This Row],[PROGRAMAÇÃO CLIENTE]])</f>
        <v>1900</v>
      </c>
    </row>
    <row r="1546" spans="1:68" x14ac:dyDescent="0.25">
      <c r="A1546" s="201">
        <f>Prog_236[[#This Row],[CONTEINER]]</f>
        <v>0</v>
      </c>
      <c r="B1546" s="86"/>
      <c r="C154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6" s="44"/>
      <c r="E1546" s="66"/>
      <c r="F1546" s="66"/>
      <c r="G1546" s="66"/>
      <c r="H1546" s="44"/>
      <c r="I1546" s="44"/>
      <c r="J1546" s="66"/>
      <c r="K1546" s="66"/>
      <c r="L1546" s="66"/>
      <c r="M1546" s="66"/>
      <c r="N1546" s="66">
        <f>SUM(Prog_236[[#This Row],[TARA]]+Prog_236[[#This Row],[PESO]])</f>
        <v>0</v>
      </c>
      <c r="O1546" s="44"/>
      <c r="P1546" s="66"/>
      <c r="Q1546" s="66"/>
      <c r="R1546" s="66"/>
      <c r="S1546" s="66"/>
      <c r="T1546" s="138" t="str">
        <f>IFERROR(LOOKUP($S1546,MOTORISTAS!$D$3:$D$1048576,MOTORISTAS!E$3:$E$1048576),"")</f>
        <v/>
      </c>
      <c r="U1546" s="138" t="str">
        <f>IFERROR(LOOKUP($S1546,MOTORISTAS!$D$3:$D$1048576,MOTORISTAS!F$3:$F$1048576),"")</f>
        <v/>
      </c>
      <c r="V1546" s="66"/>
      <c r="W1546" s="66"/>
      <c r="X1546" s="66"/>
      <c r="Y1546" s="66"/>
      <c r="Z1546" s="66"/>
      <c r="AA1546" s="66"/>
      <c r="AB1546" s="66"/>
      <c r="AC1546" s="66"/>
      <c r="AD1546" s="66"/>
      <c r="AE1546" s="66"/>
      <c r="AF1546" s="44"/>
      <c r="AG1546" s="254">
        <f>Prog_236[[#This Row],[SAÍDA DO CLIENTE]]-Prog_236[[#This Row],[PROGRAMAÇÃO CLIENTE]]</f>
        <v>0</v>
      </c>
      <c r="AH1546" s="44"/>
      <c r="AI1546" s="66"/>
      <c r="AJ1546" s="66"/>
      <c r="AK1546" s="66"/>
      <c r="AL1546" s="66"/>
      <c r="AM1546" s="66"/>
      <c r="AN1546" s="83"/>
      <c r="AO1546" s="66"/>
      <c r="AP1546" s="66"/>
      <c r="AQ1546" s="66"/>
      <c r="AR1546" s="81"/>
      <c r="AS1546" s="81"/>
      <c r="AT1546" s="81"/>
      <c r="AU1546" s="81"/>
      <c r="AV1546" s="83">
        <f>SUM(Prog_236[[#This Row],[ADIANTAMENTO]]+Prog_236[[#This Row],[SALDO]]+Prog_236[[#This Row],[MARGEM]]+Prog_236[[#This Row],[ESTADIA 1]])</f>
        <v>0</v>
      </c>
      <c r="AW154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6" s="81"/>
      <c r="AY1546" s="81"/>
      <c r="AZ1546" s="81">
        <f>Prog_236[[#This Row],[VLR NF]]*0.1%</f>
        <v>0</v>
      </c>
      <c r="BA1546" s="81">
        <f>Prog_236[[#This Row],[VLR NF]]*0.05%</f>
        <v>0</v>
      </c>
      <c r="BB1546" s="81"/>
      <c r="BC1546" s="81"/>
      <c r="BD1546" s="81"/>
      <c r="BE1546" s="81"/>
      <c r="BF1546" s="81"/>
      <c r="BG1546" s="81"/>
      <c r="BH1546" s="81"/>
      <c r="BI1546" s="81"/>
      <c r="BJ1546" s="81"/>
      <c r="BK1546" s="81"/>
      <c r="BL1546" s="66"/>
      <c r="BM1546" s="66"/>
      <c r="BN1546" s="66"/>
      <c r="BO1546" s="66" t="str">
        <f>PROPER(TEXT(Prog_236[[#This Row],[PROGRAMAÇÃO CLIENTE]],"mmm"))</f>
        <v>Jan</v>
      </c>
      <c r="BP1546" s="66">
        <f>YEAR(Prog_236[[#This Row],[PROGRAMAÇÃO CLIENTE]])</f>
        <v>1900</v>
      </c>
    </row>
    <row r="1547" spans="1:68" x14ac:dyDescent="0.25">
      <c r="A1547" s="200">
        <f>Prog_236[[#This Row],[CONTEINER]]</f>
        <v>0</v>
      </c>
      <c r="B1547" s="86"/>
      <c r="C154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7" s="44"/>
      <c r="E1547" s="66"/>
      <c r="F1547" s="66"/>
      <c r="G1547" s="66"/>
      <c r="H1547" s="44"/>
      <c r="I1547" s="44"/>
      <c r="J1547" s="66"/>
      <c r="K1547" s="66"/>
      <c r="L1547" s="66"/>
      <c r="M1547" s="66"/>
      <c r="N1547" s="66">
        <f>SUM(Prog_236[[#This Row],[TARA]]+Prog_236[[#This Row],[PESO]])</f>
        <v>0</v>
      </c>
      <c r="O1547" s="44"/>
      <c r="P1547" s="66"/>
      <c r="Q1547" s="66"/>
      <c r="R1547" s="66"/>
      <c r="S1547" s="66"/>
      <c r="T1547" s="138" t="str">
        <f>IFERROR(LOOKUP($S1547,MOTORISTAS!$D$3:$D$1048576,MOTORISTAS!E$3:$E$1048576),"")</f>
        <v/>
      </c>
      <c r="U1547" s="138" t="str">
        <f>IFERROR(LOOKUP($S1547,MOTORISTAS!$D$3:$D$1048576,MOTORISTAS!F$3:$F$1048576),"")</f>
        <v/>
      </c>
      <c r="V1547" s="66"/>
      <c r="W1547" s="66"/>
      <c r="X1547" s="66"/>
      <c r="Y1547" s="66"/>
      <c r="Z1547" s="66"/>
      <c r="AA1547" s="66"/>
      <c r="AB1547" s="66"/>
      <c r="AC1547" s="66"/>
      <c r="AD1547" s="66"/>
      <c r="AE1547" s="66"/>
      <c r="AF1547" s="44"/>
      <c r="AG1547" s="254">
        <f>Prog_236[[#This Row],[SAÍDA DO CLIENTE]]-Prog_236[[#This Row],[PROGRAMAÇÃO CLIENTE]]</f>
        <v>0</v>
      </c>
      <c r="AH1547" s="44"/>
      <c r="AI1547" s="66"/>
      <c r="AJ1547" s="66"/>
      <c r="AK1547" s="66"/>
      <c r="AL1547" s="66"/>
      <c r="AM1547" s="66"/>
      <c r="AN1547" s="83"/>
      <c r="AO1547" s="66"/>
      <c r="AP1547" s="66"/>
      <c r="AQ1547" s="66"/>
      <c r="AR1547" s="81"/>
      <c r="AS1547" s="81"/>
      <c r="AT1547" s="81"/>
      <c r="AU1547" s="81"/>
      <c r="AV1547" s="83">
        <f>SUM(Prog_236[[#This Row],[ADIANTAMENTO]]+Prog_236[[#This Row],[SALDO]]+Prog_236[[#This Row],[MARGEM]]+Prog_236[[#This Row],[ESTADIA 1]])</f>
        <v>0</v>
      </c>
      <c r="AW154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7" s="81"/>
      <c r="AY1547" s="81"/>
      <c r="AZ1547" s="81">
        <f>Prog_236[[#This Row],[VLR NF]]*0.1%</f>
        <v>0</v>
      </c>
      <c r="BA1547" s="81">
        <f>Prog_236[[#This Row],[VLR NF]]*0.05%</f>
        <v>0</v>
      </c>
      <c r="BB1547" s="81"/>
      <c r="BC1547" s="81"/>
      <c r="BD1547" s="81"/>
      <c r="BE1547" s="81"/>
      <c r="BF1547" s="81"/>
      <c r="BG1547" s="81"/>
      <c r="BH1547" s="81"/>
      <c r="BI1547" s="81"/>
      <c r="BJ1547" s="81"/>
      <c r="BK1547" s="81"/>
      <c r="BL1547" s="66"/>
      <c r="BM1547" s="66"/>
      <c r="BN1547" s="66"/>
      <c r="BO1547" s="66" t="str">
        <f>PROPER(TEXT(Prog_236[[#This Row],[PROGRAMAÇÃO CLIENTE]],"mmm"))</f>
        <v>Jan</v>
      </c>
      <c r="BP1547" s="66">
        <f>YEAR(Prog_236[[#This Row],[PROGRAMAÇÃO CLIENTE]])</f>
        <v>1900</v>
      </c>
    </row>
    <row r="1548" spans="1:68" x14ac:dyDescent="0.25">
      <c r="A1548" s="201">
        <f>Prog_236[[#This Row],[CONTEINER]]</f>
        <v>0</v>
      </c>
      <c r="B1548" s="86"/>
      <c r="C154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8" s="44"/>
      <c r="E1548" s="66"/>
      <c r="F1548" s="66"/>
      <c r="G1548" s="66"/>
      <c r="H1548" s="44"/>
      <c r="I1548" s="44"/>
      <c r="J1548" s="66"/>
      <c r="K1548" s="66"/>
      <c r="L1548" s="66"/>
      <c r="M1548" s="66"/>
      <c r="N1548" s="66">
        <f>SUM(Prog_236[[#This Row],[TARA]]+Prog_236[[#This Row],[PESO]])</f>
        <v>0</v>
      </c>
      <c r="O1548" s="44"/>
      <c r="P1548" s="66"/>
      <c r="Q1548" s="66"/>
      <c r="R1548" s="66"/>
      <c r="S1548" s="66"/>
      <c r="T1548" s="138" t="str">
        <f>IFERROR(LOOKUP($S1548,MOTORISTAS!$D$3:$D$1048576,MOTORISTAS!E$3:$E$1048576),"")</f>
        <v/>
      </c>
      <c r="U1548" s="138" t="str">
        <f>IFERROR(LOOKUP($S1548,MOTORISTAS!$D$3:$D$1048576,MOTORISTAS!F$3:$F$1048576),"")</f>
        <v/>
      </c>
      <c r="V1548" s="66"/>
      <c r="W1548" s="66"/>
      <c r="X1548" s="66"/>
      <c r="Y1548" s="66"/>
      <c r="Z1548" s="66"/>
      <c r="AA1548" s="66"/>
      <c r="AB1548" s="66"/>
      <c r="AC1548" s="66"/>
      <c r="AD1548" s="66"/>
      <c r="AE1548" s="66"/>
      <c r="AF1548" s="44"/>
      <c r="AG1548" s="254">
        <f>Prog_236[[#This Row],[SAÍDA DO CLIENTE]]-Prog_236[[#This Row],[PROGRAMAÇÃO CLIENTE]]</f>
        <v>0</v>
      </c>
      <c r="AH1548" s="44"/>
      <c r="AI1548" s="66"/>
      <c r="AJ1548" s="66"/>
      <c r="AK1548" s="66"/>
      <c r="AL1548" s="66"/>
      <c r="AM1548" s="66"/>
      <c r="AN1548" s="83"/>
      <c r="AO1548" s="66"/>
      <c r="AP1548" s="66"/>
      <c r="AQ1548" s="66"/>
      <c r="AR1548" s="81"/>
      <c r="AS1548" s="81"/>
      <c r="AT1548" s="81"/>
      <c r="AU1548" s="81"/>
      <c r="AV1548" s="83">
        <f>SUM(Prog_236[[#This Row],[ADIANTAMENTO]]+Prog_236[[#This Row],[SALDO]]+Prog_236[[#This Row],[MARGEM]]+Prog_236[[#This Row],[ESTADIA 1]])</f>
        <v>0</v>
      </c>
      <c r="AW154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8" s="81"/>
      <c r="AY1548" s="81"/>
      <c r="AZ1548" s="81">
        <f>Prog_236[[#This Row],[VLR NF]]*0.1%</f>
        <v>0</v>
      </c>
      <c r="BA1548" s="81">
        <f>Prog_236[[#This Row],[VLR NF]]*0.05%</f>
        <v>0</v>
      </c>
      <c r="BB1548" s="81"/>
      <c r="BC1548" s="81"/>
      <c r="BD1548" s="81"/>
      <c r="BE1548" s="81"/>
      <c r="BF1548" s="81"/>
      <c r="BG1548" s="81"/>
      <c r="BH1548" s="81"/>
      <c r="BI1548" s="81"/>
      <c r="BJ1548" s="81"/>
      <c r="BK1548" s="81"/>
      <c r="BL1548" s="66"/>
      <c r="BM1548" s="66"/>
      <c r="BN1548" s="66"/>
      <c r="BO1548" s="66" t="str">
        <f>PROPER(TEXT(Prog_236[[#This Row],[PROGRAMAÇÃO CLIENTE]],"mmm"))</f>
        <v>Jan</v>
      </c>
      <c r="BP1548" s="66">
        <f>YEAR(Prog_236[[#This Row],[PROGRAMAÇÃO CLIENTE]])</f>
        <v>1900</v>
      </c>
    </row>
    <row r="1549" spans="1:68" x14ac:dyDescent="0.25">
      <c r="A1549" s="200">
        <f>Prog_236[[#This Row],[CONTEINER]]</f>
        <v>0</v>
      </c>
      <c r="B1549" s="86"/>
      <c r="C154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49" s="44"/>
      <c r="E1549" s="66"/>
      <c r="F1549" s="66"/>
      <c r="G1549" s="66"/>
      <c r="H1549" s="44"/>
      <c r="I1549" s="44"/>
      <c r="J1549" s="66"/>
      <c r="K1549" s="66"/>
      <c r="L1549" s="66"/>
      <c r="M1549" s="66"/>
      <c r="N1549" s="66">
        <f>SUM(Prog_236[[#This Row],[TARA]]+Prog_236[[#This Row],[PESO]])</f>
        <v>0</v>
      </c>
      <c r="O1549" s="44"/>
      <c r="P1549" s="66"/>
      <c r="Q1549" s="66"/>
      <c r="R1549" s="66"/>
      <c r="S1549" s="66"/>
      <c r="T1549" s="138" t="str">
        <f>IFERROR(LOOKUP($S1549,MOTORISTAS!$D$3:$D$1048576,MOTORISTAS!E$3:$E$1048576),"")</f>
        <v/>
      </c>
      <c r="U1549" s="138" t="str">
        <f>IFERROR(LOOKUP($S1549,MOTORISTAS!$D$3:$D$1048576,MOTORISTAS!F$3:$F$1048576),"")</f>
        <v/>
      </c>
      <c r="V1549" s="66"/>
      <c r="W1549" s="66"/>
      <c r="X1549" s="66"/>
      <c r="Y1549" s="66"/>
      <c r="Z1549" s="66"/>
      <c r="AA1549" s="66"/>
      <c r="AB1549" s="66"/>
      <c r="AC1549" s="66"/>
      <c r="AD1549" s="66"/>
      <c r="AE1549" s="66"/>
      <c r="AF1549" s="44"/>
      <c r="AG1549" s="254">
        <f>Prog_236[[#This Row],[SAÍDA DO CLIENTE]]-Prog_236[[#This Row],[PROGRAMAÇÃO CLIENTE]]</f>
        <v>0</v>
      </c>
      <c r="AH1549" s="44"/>
      <c r="AI1549" s="66"/>
      <c r="AJ1549" s="66"/>
      <c r="AK1549" s="66"/>
      <c r="AL1549" s="66"/>
      <c r="AM1549" s="66"/>
      <c r="AN1549" s="83"/>
      <c r="AO1549" s="66"/>
      <c r="AP1549" s="66"/>
      <c r="AQ1549" s="66"/>
      <c r="AR1549" s="81"/>
      <c r="AS1549" s="81"/>
      <c r="AT1549" s="81"/>
      <c r="AU1549" s="81"/>
      <c r="AV1549" s="83">
        <f>SUM(Prog_236[[#This Row],[ADIANTAMENTO]]+Prog_236[[#This Row],[SALDO]]+Prog_236[[#This Row],[MARGEM]]+Prog_236[[#This Row],[ESTADIA 1]])</f>
        <v>0</v>
      </c>
      <c r="AW154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49" s="81"/>
      <c r="AY1549" s="81"/>
      <c r="AZ1549" s="81">
        <f>Prog_236[[#This Row],[VLR NF]]*0.1%</f>
        <v>0</v>
      </c>
      <c r="BA1549" s="81">
        <f>Prog_236[[#This Row],[VLR NF]]*0.05%</f>
        <v>0</v>
      </c>
      <c r="BB1549" s="81"/>
      <c r="BC1549" s="81"/>
      <c r="BD1549" s="81"/>
      <c r="BE1549" s="81"/>
      <c r="BF1549" s="81"/>
      <c r="BG1549" s="81"/>
      <c r="BH1549" s="81"/>
      <c r="BI1549" s="81"/>
      <c r="BJ1549" s="81"/>
      <c r="BK1549" s="81"/>
      <c r="BL1549" s="66"/>
      <c r="BM1549" s="66"/>
      <c r="BN1549" s="66"/>
      <c r="BO1549" s="66" t="str">
        <f>PROPER(TEXT(Prog_236[[#This Row],[PROGRAMAÇÃO CLIENTE]],"mmm"))</f>
        <v>Jan</v>
      </c>
      <c r="BP1549" s="66">
        <f>YEAR(Prog_236[[#This Row],[PROGRAMAÇÃO CLIENTE]])</f>
        <v>1900</v>
      </c>
    </row>
    <row r="1550" spans="1:68" x14ac:dyDescent="0.25">
      <c r="A1550" s="201">
        <f>Prog_236[[#This Row],[CONTEINER]]</f>
        <v>0</v>
      </c>
      <c r="B1550" s="86"/>
      <c r="C155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0" s="44"/>
      <c r="E1550" s="66"/>
      <c r="F1550" s="66"/>
      <c r="G1550" s="66"/>
      <c r="H1550" s="44"/>
      <c r="I1550" s="44"/>
      <c r="J1550" s="66"/>
      <c r="K1550" s="66"/>
      <c r="L1550" s="66"/>
      <c r="M1550" s="66"/>
      <c r="N1550" s="66">
        <f>SUM(Prog_236[[#This Row],[TARA]]+Prog_236[[#This Row],[PESO]])</f>
        <v>0</v>
      </c>
      <c r="O1550" s="44"/>
      <c r="P1550" s="66"/>
      <c r="Q1550" s="66"/>
      <c r="R1550" s="66"/>
      <c r="S1550" s="66"/>
      <c r="T1550" s="138" t="str">
        <f>IFERROR(LOOKUP($S1550,MOTORISTAS!$D$3:$D$1048576,MOTORISTAS!E$3:$E$1048576),"")</f>
        <v/>
      </c>
      <c r="U1550" s="138" t="str">
        <f>IFERROR(LOOKUP($S1550,MOTORISTAS!$D$3:$D$1048576,MOTORISTAS!F$3:$F$1048576),"")</f>
        <v/>
      </c>
      <c r="V1550" s="66"/>
      <c r="W1550" s="66"/>
      <c r="X1550" s="66"/>
      <c r="Y1550" s="66"/>
      <c r="Z1550" s="66"/>
      <c r="AA1550" s="66"/>
      <c r="AB1550" s="66"/>
      <c r="AC1550" s="66"/>
      <c r="AD1550" s="66"/>
      <c r="AE1550" s="66"/>
      <c r="AF1550" s="44"/>
      <c r="AG1550" s="254">
        <f>Prog_236[[#This Row],[SAÍDA DO CLIENTE]]-Prog_236[[#This Row],[PROGRAMAÇÃO CLIENTE]]</f>
        <v>0</v>
      </c>
      <c r="AH1550" s="44"/>
      <c r="AI1550" s="66"/>
      <c r="AJ1550" s="66"/>
      <c r="AK1550" s="66"/>
      <c r="AL1550" s="66"/>
      <c r="AM1550" s="66"/>
      <c r="AN1550" s="83"/>
      <c r="AO1550" s="66"/>
      <c r="AP1550" s="66"/>
      <c r="AQ1550" s="66"/>
      <c r="AR1550" s="81"/>
      <c r="AS1550" s="81"/>
      <c r="AT1550" s="81"/>
      <c r="AU1550" s="81"/>
      <c r="AV1550" s="83">
        <f>SUM(Prog_236[[#This Row],[ADIANTAMENTO]]+Prog_236[[#This Row],[SALDO]]+Prog_236[[#This Row],[MARGEM]]+Prog_236[[#This Row],[ESTADIA 1]])</f>
        <v>0</v>
      </c>
      <c r="AW155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0" s="81"/>
      <c r="AY1550" s="81"/>
      <c r="AZ1550" s="81">
        <f>Prog_236[[#This Row],[VLR NF]]*0.1%</f>
        <v>0</v>
      </c>
      <c r="BA1550" s="81">
        <f>Prog_236[[#This Row],[VLR NF]]*0.05%</f>
        <v>0</v>
      </c>
      <c r="BB1550" s="81"/>
      <c r="BC1550" s="81"/>
      <c r="BD1550" s="81"/>
      <c r="BE1550" s="81"/>
      <c r="BF1550" s="81"/>
      <c r="BG1550" s="81"/>
      <c r="BH1550" s="81"/>
      <c r="BI1550" s="81"/>
      <c r="BJ1550" s="81"/>
      <c r="BK1550" s="81"/>
      <c r="BL1550" s="66"/>
      <c r="BM1550" s="66"/>
      <c r="BN1550" s="66"/>
      <c r="BO1550" s="66" t="str">
        <f>PROPER(TEXT(Prog_236[[#This Row],[PROGRAMAÇÃO CLIENTE]],"mmm"))</f>
        <v>Jan</v>
      </c>
      <c r="BP1550" s="66">
        <f>YEAR(Prog_236[[#This Row],[PROGRAMAÇÃO CLIENTE]])</f>
        <v>1900</v>
      </c>
    </row>
    <row r="1551" spans="1:68" x14ac:dyDescent="0.25">
      <c r="A1551" s="200">
        <f>Prog_236[[#This Row],[CONTEINER]]</f>
        <v>0</v>
      </c>
      <c r="B1551" s="86"/>
      <c r="C155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1" s="44"/>
      <c r="E1551" s="66"/>
      <c r="F1551" s="66"/>
      <c r="G1551" s="66"/>
      <c r="H1551" s="44"/>
      <c r="I1551" s="44"/>
      <c r="J1551" s="66"/>
      <c r="K1551" s="66"/>
      <c r="L1551" s="66"/>
      <c r="M1551" s="66"/>
      <c r="N1551" s="66">
        <f>SUM(Prog_236[[#This Row],[TARA]]+Prog_236[[#This Row],[PESO]])</f>
        <v>0</v>
      </c>
      <c r="O1551" s="44"/>
      <c r="P1551" s="66"/>
      <c r="Q1551" s="66"/>
      <c r="R1551" s="66"/>
      <c r="S1551" s="66"/>
      <c r="T1551" s="138" t="str">
        <f>IFERROR(LOOKUP($S1551,MOTORISTAS!$D$3:$D$1048576,MOTORISTAS!E$3:$E$1048576),"")</f>
        <v/>
      </c>
      <c r="U1551" s="138" t="str">
        <f>IFERROR(LOOKUP($S1551,MOTORISTAS!$D$3:$D$1048576,MOTORISTAS!F$3:$F$1048576),"")</f>
        <v/>
      </c>
      <c r="V1551" s="66"/>
      <c r="W1551" s="66"/>
      <c r="X1551" s="66"/>
      <c r="Y1551" s="66"/>
      <c r="Z1551" s="66"/>
      <c r="AA1551" s="66"/>
      <c r="AB1551" s="66"/>
      <c r="AC1551" s="66"/>
      <c r="AD1551" s="66"/>
      <c r="AE1551" s="66"/>
      <c r="AF1551" s="44"/>
      <c r="AG1551" s="254">
        <f>Prog_236[[#This Row],[SAÍDA DO CLIENTE]]-Prog_236[[#This Row],[PROGRAMAÇÃO CLIENTE]]</f>
        <v>0</v>
      </c>
      <c r="AH1551" s="44"/>
      <c r="AI1551" s="66"/>
      <c r="AJ1551" s="66"/>
      <c r="AK1551" s="66"/>
      <c r="AL1551" s="66"/>
      <c r="AM1551" s="66"/>
      <c r="AN1551" s="83"/>
      <c r="AO1551" s="66"/>
      <c r="AP1551" s="66"/>
      <c r="AQ1551" s="66"/>
      <c r="AR1551" s="81"/>
      <c r="AS1551" s="81"/>
      <c r="AT1551" s="81"/>
      <c r="AU1551" s="81"/>
      <c r="AV1551" s="83">
        <f>SUM(Prog_236[[#This Row],[ADIANTAMENTO]]+Prog_236[[#This Row],[SALDO]]+Prog_236[[#This Row],[MARGEM]]+Prog_236[[#This Row],[ESTADIA 1]])</f>
        <v>0</v>
      </c>
      <c r="AW155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1" s="81"/>
      <c r="AY1551" s="81"/>
      <c r="AZ1551" s="81">
        <f>Prog_236[[#This Row],[VLR NF]]*0.1%</f>
        <v>0</v>
      </c>
      <c r="BA1551" s="81">
        <f>Prog_236[[#This Row],[VLR NF]]*0.05%</f>
        <v>0</v>
      </c>
      <c r="BB1551" s="81"/>
      <c r="BC1551" s="81"/>
      <c r="BD1551" s="81"/>
      <c r="BE1551" s="81"/>
      <c r="BF1551" s="81"/>
      <c r="BG1551" s="81"/>
      <c r="BH1551" s="81"/>
      <c r="BI1551" s="81"/>
      <c r="BJ1551" s="81"/>
      <c r="BK1551" s="81"/>
      <c r="BL1551" s="66"/>
      <c r="BM1551" s="66"/>
      <c r="BN1551" s="66"/>
      <c r="BO1551" s="66" t="str">
        <f>PROPER(TEXT(Prog_236[[#This Row],[PROGRAMAÇÃO CLIENTE]],"mmm"))</f>
        <v>Jan</v>
      </c>
      <c r="BP1551" s="66">
        <f>YEAR(Prog_236[[#This Row],[PROGRAMAÇÃO CLIENTE]])</f>
        <v>1900</v>
      </c>
    </row>
    <row r="1552" spans="1:68" x14ac:dyDescent="0.25">
      <c r="A1552" s="201">
        <f>Prog_236[[#This Row],[CONTEINER]]</f>
        <v>0</v>
      </c>
      <c r="B1552" s="86"/>
      <c r="C155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2" s="44"/>
      <c r="E1552" s="66"/>
      <c r="F1552" s="66"/>
      <c r="G1552" s="66"/>
      <c r="H1552" s="44"/>
      <c r="I1552" s="44"/>
      <c r="J1552" s="66"/>
      <c r="K1552" s="66"/>
      <c r="L1552" s="66"/>
      <c r="M1552" s="66"/>
      <c r="N1552" s="66">
        <f>SUM(Prog_236[[#This Row],[TARA]]+Prog_236[[#This Row],[PESO]])</f>
        <v>0</v>
      </c>
      <c r="O1552" s="44"/>
      <c r="P1552" s="66"/>
      <c r="Q1552" s="66"/>
      <c r="R1552" s="66"/>
      <c r="S1552" s="66"/>
      <c r="T1552" s="138" t="str">
        <f>IFERROR(LOOKUP($S1552,MOTORISTAS!$D$3:$D$1048576,MOTORISTAS!E$3:$E$1048576),"")</f>
        <v/>
      </c>
      <c r="U1552" s="138" t="str">
        <f>IFERROR(LOOKUP($S1552,MOTORISTAS!$D$3:$D$1048576,MOTORISTAS!F$3:$F$1048576),"")</f>
        <v/>
      </c>
      <c r="V1552" s="66"/>
      <c r="W1552" s="66"/>
      <c r="X1552" s="66"/>
      <c r="Y1552" s="66"/>
      <c r="Z1552" s="66"/>
      <c r="AA1552" s="66"/>
      <c r="AB1552" s="66"/>
      <c r="AC1552" s="66"/>
      <c r="AD1552" s="66"/>
      <c r="AE1552" s="66"/>
      <c r="AF1552" s="44"/>
      <c r="AG1552" s="254">
        <f>Prog_236[[#This Row],[SAÍDA DO CLIENTE]]-Prog_236[[#This Row],[PROGRAMAÇÃO CLIENTE]]</f>
        <v>0</v>
      </c>
      <c r="AH1552" s="44"/>
      <c r="AI1552" s="66"/>
      <c r="AJ1552" s="66"/>
      <c r="AK1552" s="66"/>
      <c r="AL1552" s="66"/>
      <c r="AM1552" s="66"/>
      <c r="AN1552" s="83"/>
      <c r="AO1552" s="66"/>
      <c r="AP1552" s="66"/>
      <c r="AQ1552" s="66"/>
      <c r="AR1552" s="81"/>
      <c r="AS1552" s="81"/>
      <c r="AT1552" s="81"/>
      <c r="AU1552" s="81"/>
      <c r="AV1552" s="83">
        <f>SUM(Prog_236[[#This Row],[ADIANTAMENTO]]+Prog_236[[#This Row],[SALDO]]+Prog_236[[#This Row],[MARGEM]]+Prog_236[[#This Row],[ESTADIA 1]])</f>
        <v>0</v>
      </c>
      <c r="AW155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2" s="81"/>
      <c r="AY1552" s="81"/>
      <c r="AZ1552" s="81">
        <f>Prog_236[[#This Row],[VLR NF]]*0.1%</f>
        <v>0</v>
      </c>
      <c r="BA1552" s="81">
        <f>Prog_236[[#This Row],[VLR NF]]*0.05%</f>
        <v>0</v>
      </c>
      <c r="BB1552" s="81"/>
      <c r="BC1552" s="81"/>
      <c r="BD1552" s="81"/>
      <c r="BE1552" s="81"/>
      <c r="BF1552" s="81"/>
      <c r="BG1552" s="81"/>
      <c r="BH1552" s="81"/>
      <c r="BI1552" s="81"/>
      <c r="BJ1552" s="81"/>
      <c r="BK1552" s="81"/>
      <c r="BL1552" s="66"/>
      <c r="BM1552" s="66"/>
      <c r="BN1552" s="66"/>
      <c r="BO1552" s="66" t="str">
        <f>PROPER(TEXT(Prog_236[[#This Row],[PROGRAMAÇÃO CLIENTE]],"mmm"))</f>
        <v>Jan</v>
      </c>
      <c r="BP1552" s="66">
        <f>YEAR(Prog_236[[#This Row],[PROGRAMAÇÃO CLIENTE]])</f>
        <v>1900</v>
      </c>
    </row>
    <row r="1553" spans="1:68" x14ac:dyDescent="0.25">
      <c r="A1553" s="200">
        <f>Prog_236[[#This Row],[CONTEINER]]</f>
        <v>0</v>
      </c>
      <c r="B1553" s="86"/>
      <c r="C155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3" s="44"/>
      <c r="E1553" s="66"/>
      <c r="F1553" s="66"/>
      <c r="G1553" s="66"/>
      <c r="H1553" s="44"/>
      <c r="I1553" s="44"/>
      <c r="J1553" s="66"/>
      <c r="K1553" s="66"/>
      <c r="L1553" s="66"/>
      <c r="M1553" s="66"/>
      <c r="N1553" s="66">
        <f>SUM(Prog_236[[#This Row],[TARA]]+Prog_236[[#This Row],[PESO]])</f>
        <v>0</v>
      </c>
      <c r="O1553" s="44"/>
      <c r="P1553" s="66"/>
      <c r="Q1553" s="66"/>
      <c r="R1553" s="66"/>
      <c r="S1553" s="66"/>
      <c r="T1553" s="138" t="str">
        <f>IFERROR(LOOKUP($S1553,MOTORISTAS!$D$3:$D$1048576,MOTORISTAS!E$3:$E$1048576),"")</f>
        <v/>
      </c>
      <c r="U1553" s="138" t="str">
        <f>IFERROR(LOOKUP($S1553,MOTORISTAS!$D$3:$D$1048576,MOTORISTAS!F$3:$F$1048576),"")</f>
        <v/>
      </c>
      <c r="V1553" s="66"/>
      <c r="W1553" s="66"/>
      <c r="X1553" s="66"/>
      <c r="Y1553" s="66"/>
      <c r="Z1553" s="66"/>
      <c r="AA1553" s="66"/>
      <c r="AB1553" s="66"/>
      <c r="AC1553" s="66"/>
      <c r="AD1553" s="66"/>
      <c r="AE1553" s="66"/>
      <c r="AF1553" s="44"/>
      <c r="AG1553" s="254">
        <f>Prog_236[[#This Row],[SAÍDA DO CLIENTE]]-Prog_236[[#This Row],[PROGRAMAÇÃO CLIENTE]]</f>
        <v>0</v>
      </c>
      <c r="AH1553" s="44"/>
      <c r="AI1553" s="66"/>
      <c r="AJ1553" s="66"/>
      <c r="AK1553" s="66"/>
      <c r="AL1553" s="66"/>
      <c r="AM1553" s="66"/>
      <c r="AN1553" s="83"/>
      <c r="AO1553" s="66"/>
      <c r="AP1553" s="66"/>
      <c r="AQ1553" s="66"/>
      <c r="AR1553" s="81"/>
      <c r="AS1553" s="81"/>
      <c r="AT1553" s="81"/>
      <c r="AU1553" s="81"/>
      <c r="AV1553" s="83">
        <f>SUM(Prog_236[[#This Row],[ADIANTAMENTO]]+Prog_236[[#This Row],[SALDO]]+Prog_236[[#This Row],[MARGEM]]+Prog_236[[#This Row],[ESTADIA 1]])</f>
        <v>0</v>
      </c>
      <c r="AW155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3" s="81"/>
      <c r="AY1553" s="81"/>
      <c r="AZ1553" s="81">
        <f>Prog_236[[#This Row],[VLR NF]]*0.1%</f>
        <v>0</v>
      </c>
      <c r="BA1553" s="81">
        <f>Prog_236[[#This Row],[VLR NF]]*0.05%</f>
        <v>0</v>
      </c>
      <c r="BB1553" s="81"/>
      <c r="BC1553" s="81"/>
      <c r="BD1553" s="81"/>
      <c r="BE1553" s="81"/>
      <c r="BF1553" s="81"/>
      <c r="BG1553" s="81"/>
      <c r="BH1553" s="81"/>
      <c r="BI1553" s="81"/>
      <c r="BJ1553" s="81"/>
      <c r="BK1553" s="81"/>
      <c r="BL1553" s="66"/>
      <c r="BM1553" s="66"/>
      <c r="BN1553" s="66"/>
      <c r="BO1553" s="66" t="str">
        <f>PROPER(TEXT(Prog_236[[#This Row],[PROGRAMAÇÃO CLIENTE]],"mmm"))</f>
        <v>Jan</v>
      </c>
      <c r="BP1553" s="66">
        <f>YEAR(Prog_236[[#This Row],[PROGRAMAÇÃO CLIENTE]])</f>
        <v>1900</v>
      </c>
    </row>
    <row r="1554" spans="1:68" x14ac:dyDescent="0.25">
      <c r="A1554" s="201">
        <f>Prog_236[[#This Row],[CONTEINER]]</f>
        <v>0</v>
      </c>
      <c r="B1554" s="86"/>
      <c r="C155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4" s="44"/>
      <c r="E1554" s="66"/>
      <c r="F1554" s="66"/>
      <c r="G1554" s="66"/>
      <c r="H1554" s="44"/>
      <c r="I1554" s="44"/>
      <c r="J1554" s="66"/>
      <c r="K1554" s="66"/>
      <c r="L1554" s="66"/>
      <c r="M1554" s="66"/>
      <c r="N1554" s="66">
        <f>SUM(Prog_236[[#This Row],[TARA]]+Prog_236[[#This Row],[PESO]])</f>
        <v>0</v>
      </c>
      <c r="O1554" s="44"/>
      <c r="P1554" s="66"/>
      <c r="Q1554" s="66"/>
      <c r="R1554" s="66"/>
      <c r="S1554" s="66"/>
      <c r="T1554" s="138" t="str">
        <f>IFERROR(LOOKUP($S1554,MOTORISTAS!$D$3:$D$1048576,MOTORISTAS!E$3:$E$1048576),"")</f>
        <v/>
      </c>
      <c r="U1554" s="138" t="str">
        <f>IFERROR(LOOKUP($S1554,MOTORISTAS!$D$3:$D$1048576,MOTORISTAS!F$3:$F$1048576),"")</f>
        <v/>
      </c>
      <c r="V1554" s="66"/>
      <c r="W1554" s="66"/>
      <c r="X1554" s="66"/>
      <c r="Y1554" s="66"/>
      <c r="Z1554" s="66"/>
      <c r="AA1554" s="66"/>
      <c r="AB1554" s="66"/>
      <c r="AC1554" s="66"/>
      <c r="AD1554" s="66"/>
      <c r="AE1554" s="66"/>
      <c r="AF1554" s="44"/>
      <c r="AG1554" s="254">
        <f>Prog_236[[#This Row],[SAÍDA DO CLIENTE]]-Prog_236[[#This Row],[PROGRAMAÇÃO CLIENTE]]</f>
        <v>0</v>
      </c>
      <c r="AH1554" s="44"/>
      <c r="AI1554" s="66"/>
      <c r="AJ1554" s="66"/>
      <c r="AK1554" s="66"/>
      <c r="AL1554" s="66"/>
      <c r="AM1554" s="66"/>
      <c r="AN1554" s="83"/>
      <c r="AO1554" s="66"/>
      <c r="AP1554" s="66"/>
      <c r="AQ1554" s="66"/>
      <c r="AR1554" s="81"/>
      <c r="AS1554" s="81"/>
      <c r="AT1554" s="81"/>
      <c r="AU1554" s="81"/>
      <c r="AV1554" s="83">
        <f>SUM(Prog_236[[#This Row],[ADIANTAMENTO]]+Prog_236[[#This Row],[SALDO]]+Prog_236[[#This Row],[MARGEM]]+Prog_236[[#This Row],[ESTADIA 1]])</f>
        <v>0</v>
      </c>
      <c r="AW155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4" s="81"/>
      <c r="AY1554" s="81"/>
      <c r="AZ1554" s="81">
        <f>Prog_236[[#This Row],[VLR NF]]*0.1%</f>
        <v>0</v>
      </c>
      <c r="BA1554" s="81">
        <f>Prog_236[[#This Row],[VLR NF]]*0.05%</f>
        <v>0</v>
      </c>
      <c r="BB1554" s="81"/>
      <c r="BC1554" s="81"/>
      <c r="BD1554" s="81"/>
      <c r="BE1554" s="81"/>
      <c r="BF1554" s="81"/>
      <c r="BG1554" s="81"/>
      <c r="BH1554" s="81"/>
      <c r="BI1554" s="81"/>
      <c r="BJ1554" s="81"/>
      <c r="BK1554" s="81"/>
      <c r="BL1554" s="66"/>
      <c r="BM1554" s="66"/>
      <c r="BN1554" s="66"/>
      <c r="BO1554" s="66" t="str">
        <f>PROPER(TEXT(Prog_236[[#This Row],[PROGRAMAÇÃO CLIENTE]],"mmm"))</f>
        <v>Jan</v>
      </c>
      <c r="BP1554" s="66">
        <f>YEAR(Prog_236[[#This Row],[PROGRAMAÇÃO CLIENTE]])</f>
        <v>1900</v>
      </c>
    </row>
    <row r="1555" spans="1:68" x14ac:dyDescent="0.25">
      <c r="A1555" s="200">
        <f>Prog_236[[#This Row],[CONTEINER]]</f>
        <v>0</v>
      </c>
      <c r="B1555" s="86"/>
      <c r="C155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5" s="44"/>
      <c r="E1555" s="66"/>
      <c r="F1555" s="66"/>
      <c r="G1555" s="66"/>
      <c r="H1555" s="44"/>
      <c r="I1555" s="44"/>
      <c r="J1555" s="66"/>
      <c r="K1555" s="66"/>
      <c r="L1555" s="66"/>
      <c r="M1555" s="66"/>
      <c r="N1555" s="66">
        <f>SUM(Prog_236[[#This Row],[TARA]]+Prog_236[[#This Row],[PESO]])</f>
        <v>0</v>
      </c>
      <c r="O1555" s="44"/>
      <c r="P1555" s="66"/>
      <c r="Q1555" s="66"/>
      <c r="R1555" s="66"/>
      <c r="S1555" s="66"/>
      <c r="T1555" s="138" t="str">
        <f>IFERROR(LOOKUP($S1555,MOTORISTAS!$D$3:$D$1048576,MOTORISTAS!E$3:$E$1048576),"")</f>
        <v/>
      </c>
      <c r="U1555" s="138" t="str">
        <f>IFERROR(LOOKUP($S1555,MOTORISTAS!$D$3:$D$1048576,MOTORISTAS!F$3:$F$1048576),"")</f>
        <v/>
      </c>
      <c r="V1555" s="66"/>
      <c r="W1555" s="66"/>
      <c r="X1555" s="66"/>
      <c r="Y1555" s="66"/>
      <c r="Z1555" s="66"/>
      <c r="AA1555" s="66"/>
      <c r="AB1555" s="66"/>
      <c r="AC1555" s="66"/>
      <c r="AD1555" s="66"/>
      <c r="AE1555" s="66"/>
      <c r="AF1555" s="44"/>
      <c r="AG1555" s="254">
        <f>Prog_236[[#This Row],[SAÍDA DO CLIENTE]]-Prog_236[[#This Row],[PROGRAMAÇÃO CLIENTE]]</f>
        <v>0</v>
      </c>
      <c r="AH1555" s="44"/>
      <c r="AI1555" s="66"/>
      <c r="AJ1555" s="66"/>
      <c r="AK1555" s="66"/>
      <c r="AL1555" s="66"/>
      <c r="AM1555" s="66"/>
      <c r="AN1555" s="83"/>
      <c r="AO1555" s="66"/>
      <c r="AP1555" s="66"/>
      <c r="AQ1555" s="66"/>
      <c r="AR1555" s="81"/>
      <c r="AS1555" s="81"/>
      <c r="AT1555" s="81"/>
      <c r="AU1555" s="81"/>
      <c r="AV1555" s="83">
        <f>SUM(Prog_236[[#This Row],[ADIANTAMENTO]]+Prog_236[[#This Row],[SALDO]]+Prog_236[[#This Row],[MARGEM]]+Prog_236[[#This Row],[ESTADIA 1]])</f>
        <v>0</v>
      </c>
      <c r="AW155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5" s="81"/>
      <c r="AY1555" s="81"/>
      <c r="AZ1555" s="81">
        <f>Prog_236[[#This Row],[VLR NF]]*0.1%</f>
        <v>0</v>
      </c>
      <c r="BA1555" s="81">
        <f>Prog_236[[#This Row],[VLR NF]]*0.05%</f>
        <v>0</v>
      </c>
      <c r="BB1555" s="81"/>
      <c r="BC1555" s="81"/>
      <c r="BD1555" s="81"/>
      <c r="BE1555" s="81"/>
      <c r="BF1555" s="81"/>
      <c r="BG1555" s="81"/>
      <c r="BH1555" s="81"/>
      <c r="BI1555" s="81"/>
      <c r="BJ1555" s="81"/>
      <c r="BK1555" s="81"/>
      <c r="BL1555" s="66"/>
      <c r="BM1555" s="66"/>
      <c r="BN1555" s="66"/>
      <c r="BO1555" s="66" t="str">
        <f>PROPER(TEXT(Prog_236[[#This Row],[PROGRAMAÇÃO CLIENTE]],"mmm"))</f>
        <v>Jan</v>
      </c>
      <c r="BP1555" s="66">
        <f>YEAR(Prog_236[[#This Row],[PROGRAMAÇÃO CLIENTE]])</f>
        <v>1900</v>
      </c>
    </row>
    <row r="1556" spans="1:68" x14ac:dyDescent="0.25">
      <c r="A1556" s="201">
        <f>Prog_236[[#This Row],[CONTEINER]]</f>
        <v>0</v>
      </c>
      <c r="B1556" s="86"/>
      <c r="C155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6" s="44"/>
      <c r="E1556" s="66"/>
      <c r="F1556" s="66"/>
      <c r="G1556" s="66"/>
      <c r="H1556" s="44"/>
      <c r="I1556" s="44"/>
      <c r="J1556" s="66"/>
      <c r="K1556" s="66"/>
      <c r="L1556" s="66"/>
      <c r="M1556" s="66"/>
      <c r="N1556" s="66">
        <f>SUM(Prog_236[[#This Row],[TARA]]+Prog_236[[#This Row],[PESO]])</f>
        <v>0</v>
      </c>
      <c r="O1556" s="44"/>
      <c r="P1556" s="66"/>
      <c r="Q1556" s="66"/>
      <c r="R1556" s="66"/>
      <c r="S1556" s="66"/>
      <c r="T1556" s="138" t="str">
        <f>IFERROR(LOOKUP($S1556,MOTORISTAS!$D$3:$D$1048576,MOTORISTAS!E$3:$E$1048576),"")</f>
        <v/>
      </c>
      <c r="U1556" s="138" t="str">
        <f>IFERROR(LOOKUP($S1556,MOTORISTAS!$D$3:$D$1048576,MOTORISTAS!F$3:$F$1048576),"")</f>
        <v/>
      </c>
      <c r="V1556" s="66"/>
      <c r="W1556" s="66"/>
      <c r="X1556" s="66"/>
      <c r="Y1556" s="66"/>
      <c r="Z1556" s="66"/>
      <c r="AA1556" s="66"/>
      <c r="AB1556" s="66"/>
      <c r="AC1556" s="66"/>
      <c r="AD1556" s="66"/>
      <c r="AE1556" s="66"/>
      <c r="AF1556" s="44"/>
      <c r="AG1556" s="254">
        <f>Prog_236[[#This Row],[SAÍDA DO CLIENTE]]-Prog_236[[#This Row],[PROGRAMAÇÃO CLIENTE]]</f>
        <v>0</v>
      </c>
      <c r="AH1556" s="44"/>
      <c r="AI1556" s="66"/>
      <c r="AJ1556" s="66"/>
      <c r="AK1556" s="66"/>
      <c r="AL1556" s="66"/>
      <c r="AM1556" s="66"/>
      <c r="AN1556" s="83"/>
      <c r="AO1556" s="66"/>
      <c r="AP1556" s="66"/>
      <c r="AQ1556" s="66"/>
      <c r="AR1556" s="81"/>
      <c r="AS1556" s="81"/>
      <c r="AT1556" s="81"/>
      <c r="AU1556" s="81"/>
      <c r="AV1556" s="83">
        <f>SUM(Prog_236[[#This Row],[ADIANTAMENTO]]+Prog_236[[#This Row],[SALDO]]+Prog_236[[#This Row],[MARGEM]]+Prog_236[[#This Row],[ESTADIA 1]])</f>
        <v>0</v>
      </c>
      <c r="AW155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6" s="81"/>
      <c r="AY1556" s="81"/>
      <c r="AZ1556" s="81">
        <f>Prog_236[[#This Row],[VLR NF]]*0.1%</f>
        <v>0</v>
      </c>
      <c r="BA1556" s="81">
        <f>Prog_236[[#This Row],[VLR NF]]*0.05%</f>
        <v>0</v>
      </c>
      <c r="BB1556" s="81"/>
      <c r="BC1556" s="81"/>
      <c r="BD1556" s="81"/>
      <c r="BE1556" s="81"/>
      <c r="BF1556" s="81"/>
      <c r="BG1556" s="81"/>
      <c r="BH1556" s="81"/>
      <c r="BI1556" s="81"/>
      <c r="BJ1556" s="81"/>
      <c r="BK1556" s="81"/>
      <c r="BL1556" s="66"/>
      <c r="BM1556" s="66"/>
      <c r="BN1556" s="66"/>
      <c r="BO1556" s="66" t="str">
        <f>PROPER(TEXT(Prog_236[[#This Row],[PROGRAMAÇÃO CLIENTE]],"mmm"))</f>
        <v>Jan</v>
      </c>
      <c r="BP1556" s="66">
        <f>YEAR(Prog_236[[#This Row],[PROGRAMAÇÃO CLIENTE]])</f>
        <v>1900</v>
      </c>
    </row>
    <row r="1557" spans="1:68" x14ac:dyDescent="0.25">
      <c r="A1557" s="200">
        <f>Prog_236[[#This Row],[CONTEINER]]</f>
        <v>0</v>
      </c>
      <c r="B1557" s="86"/>
      <c r="C155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7" s="44"/>
      <c r="E1557" s="66"/>
      <c r="F1557" s="66"/>
      <c r="G1557" s="66"/>
      <c r="H1557" s="44"/>
      <c r="I1557" s="44"/>
      <c r="J1557" s="66"/>
      <c r="K1557" s="66"/>
      <c r="L1557" s="66"/>
      <c r="M1557" s="66"/>
      <c r="N1557" s="66">
        <f>SUM(Prog_236[[#This Row],[TARA]]+Prog_236[[#This Row],[PESO]])</f>
        <v>0</v>
      </c>
      <c r="O1557" s="44"/>
      <c r="P1557" s="66"/>
      <c r="Q1557" s="66"/>
      <c r="R1557" s="66"/>
      <c r="S1557" s="66"/>
      <c r="T1557" s="138" t="str">
        <f>IFERROR(LOOKUP($S1557,MOTORISTAS!$D$3:$D$1048576,MOTORISTAS!E$3:$E$1048576),"")</f>
        <v/>
      </c>
      <c r="U1557" s="138" t="str">
        <f>IFERROR(LOOKUP($S1557,MOTORISTAS!$D$3:$D$1048576,MOTORISTAS!F$3:$F$1048576),"")</f>
        <v/>
      </c>
      <c r="V1557" s="66"/>
      <c r="W1557" s="66"/>
      <c r="X1557" s="66"/>
      <c r="Y1557" s="66"/>
      <c r="Z1557" s="66"/>
      <c r="AA1557" s="66"/>
      <c r="AB1557" s="66"/>
      <c r="AC1557" s="66"/>
      <c r="AD1557" s="66"/>
      <c r="AE1557" s="66"/>
      <c r="AF1557" s="44"/>
      <c r="AG1557" s="254">
        <f>Prog_236[[#This Row],[SAÍDA DO CLIENTE]]-Prog_236[[#This Row],[PROGRAMAÇÃO CLIENTE]]</f>
        <v>0</v>
      </c>
      <c r="AH1557" s="44"/>
      <c r="AI1557" s="66"/>
      <c r="AJ1557" s="66"/>
      <c r="AK1557" s="66"/>
      <c r="AL1557" s="66"/>
      <c r="AM1557" s="66"/>
      <c r="AN1557" s="83"/>
      <c r="AO1557" s="66"/>
      <c r="AP1557" s="66"/>
      <c r="AQ1557" s="66"/>
      <c r="AR1557" s="81"/>
      <c r="AS1557" s="81"/>
      <c r="AT1557" s="81"/>
      <c r="AU1557" s="81"/>
      <c r="AV1557" s="83">
        <f>SUM(Prog_236[[#This Row],[ADIANTAMENTO]]+Prog_236[[#This Row],[SALDO]]+Prog_236[[#This Row],[MARGEM]]+Prog_236[[#This Row],[ESTADIA 1]])</f>
        <v>0</v>
      </c>
      <c r="AW155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7" s="81"/>
      <c r="AY1557" s="81"/>
      <c r="AZ1557" s="81">
        <f>Prog_236[[#This Row],[VLR NF]]*0.1%</f>
        <v>0</v>
      </c>
      <c r="BA1557" s="81">
        <f>Prog_236[[#This Row],[VLR NF]]*0.05%</f>
        <v>0</v>
      </c>
      <c r="BB1557" s="81"/>
      <c r="BC1557" s="81"/>
      <c r="BD1557" s="81"/>
      <c r="BE1557" s="81"/>
      <c r="BF1557" s="81"/>
      <c r="BG1557" s="81"/>
      <c r="BH1557" s="81"/>
      <c r="BI1557" s="81"/>
      <c r="BJ1557" s="81"/>
      <c r="BK1557" s="81"/>
      <c r="BL1557" s="66"/>
      <c r="BM1557" s="66"/>
      <c r="BN1557" s="66"/>
      <c r="BO1557" s="66" t="str">
        <f>PROPER(TEXT(Prog_236[[#This Row],[PROGRAMAÇÃO CLIENTE]],"mmm"))</f>
        <v>Jan</v>
      </c>
      <c r="BP1557" s="66">
        <f>YEAR(Prog_236[[#This Row],[PROGRAMAÇÃO CLIENTE]])</f>
        <v>1900</v>
      </c>
    </row>
    <row r="1558" spans="1:68" x14ac:dyDescent="0.25">
      <c r="A1558" s="201">
        <f>Prog_236[[#This Row],[CONTEINER]]</f>
        <v>0</v>
      </c>
      <c r="B1558" s="86"/>
      <c r="C155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8" s="44"/>
      <c r="E1558" s="66"/>
      <c r="F1558" s="66"/>
      <c r="G1558" s="66"/>
      <c r="H1558" s="44"/>
      <c r="I1558" s="44"/>
      <c r="J1558" s="66"/>
      <c r="K1558" s="66"/>
      <c r="L1558" s="66"/>
      <c r="M1558" s="66"/>
      <c r="N1558" s="66">
        <f>SUM(Prog_236[[#This Row],[TARA]]+Prog_236[[#This Row],[PESO]])</f>
        <v>0</v>
      </c>
      <c r="O1558" s="44"/>
      <c r="P1558" s="66"/>
      <c r="Q1558" s="66"/>
      <c r="R1558" s="66"/>
      <c r="S1558" s="66"/>
      <c r="T1558" s="138" t="str">
        <f>IFERROR(LOOKUP($S1558,MOTORISTAS!$D$3:$D$1048576,MOTORISTAS!E$3:$E$1048576),"")</f>
        <v/>
      </c>
      <c r="U1558" s="138" t="str">
        <f>IFERROR(LOOKUP($S1558,MOTORISTAS!$D$3:$D$1048576,MOTORISTAS!F$3:$F$1048576),"")</f>
        <v/>
      </c>
      <c r="V1558" s="66"/>
      <c r="W1558" s="66"/>
      <c r="X1558" s="66"/>
      <c r="Y1558" s="66"/>
      <c r="Z1558" s="66"/>
      <c r="AA1558" s="66"/>
      <c r="AB1558" s="66"/>
      <c r="AC1558" s="66"/>
      <c r="AD1558" s="66"/>
      <c r="AE1558" s="66"/>
      <c r="AF1558" s="44"/>
      <c r="AG1558" s="254">
        <f>Prog_236[[#This Row],[SAÍDA DO CLIENTE]]-Prog_236[[#This Row],[PROGRAMAÇÃO CLIENTE]]</f>
        <v>0</v>
      </c>
      <c r="AH1558" s="44"/>
      <c r="AI1558" s="66"/>
      <c r="AJ1558" s="66"/>
      <c r="AK1558" s="66"/>
      <c r="AL1558" s="66"/>
      <c r="AM1558" s="66"/>
      <c r="AN1558" s="83"/>
      <c r="AO1558" s="66"/>
      <c r="AP1558" s="66"/>
      <c r="AQ1558" s="66"/>
      <c r="AR1558" s="81"/>
      <c r="AS1558" s="81"/>
      <c r="AT1558" s="81"/>
      <c r="AU1558" s="81"/>
      <c r="AV1558" s="83">
        <f>SUM(Prog_236[[#This Row],[ADIANTAMENTO]]+Prog_236[[#This Row],[SALDO]]+Prog_236[[#This Row],[MARGEM]]+Prog_236[[#This Row],[ESTADIA 1]])</f>
        <v>0</v>
      </c>
      <c r="AW155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8" s="81"/>
      <c r="AY1558" s="81"/>
      <c r="AZ1558" s="81">
        <f>Prog_236[[#This Row],[VLR NF]]*0.1%</f>
        <v>0</v>
      </c>
      <c r="BA1558" s="81">
        <f>Prog_236[[#This Row],[VLR NF]]*0.05%</f>
        <v>0</v>
      </c>
      <c r="BB1558" s="81"/>
      <c r="BC1558" s="81"/>
      <c r="BD1558" s="81"/>
      <c r="BE1558" s="81"/>
      <c r="BF1558" s="81"/>
      <c r="BG1558" s="81"/>
      <c r="BH1558" s="81"/>
      <c r="BI1558" s="81"/>
      <c r="BJ1558" s="81"/>
      <c r="BK1558" s="81"/>
      <c r="BL1558" s="66"/>
      <c r="BM1558" s="66"/>
      <c r="BN1558" s="66"/>
      <c r="BO1558" s="66" t="str">
        <f>PROPER(TEXT(Prog_236[[#This Row],[PROGRAMAÇÃO CLIENTE]],"mmm"))</f>
        <v>Jan</v>
      </c>
      <c r="BP1558" s="66">
        <f>YEAR(Prog_236[[#This Row],[PROGRAMAÇÃO CLIENTE]])</f>
        <v>1900</v>
      </c>
    </row>
    <row r="1559" spans="1:68" x14ac:dyDescent="0.25">
      <c r="A1559" s="200">
        <f>Prog_236[[#This Row],[CONTEINER]]</f>
        <v>0</v>
      </c>
      <c r="B1559" s="86"/>
      <c r="C155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59" s="44"/>
      <c r="E1559" s="66"/>
      <c r="F1559" s="66"/>
      <c r="G1559" s="66"/>
      <c r="H1559" s="44"/>
      <c r="I1559" s="44"/>
      <c r="J1559" s="66"/>
      <c r="K1559" s="66"/>
      <c r="L1559" s="66"/>
      <c r="M1559" s="66"/>
      <c r="N1559" s="66">
        <f>SUM(Prog_236[[#This Row],[TARA]]+Prog_236[[#This Row],[PESO]])</f>
        <v>0</v>
      </c>
      <c r="O1559" s="44"/>
      <c r="P1559" s="66"/>
      <c r="Q1559" s="66"/>
      <c r="R1559" s="66"/>
      <c r="S1559" s="66"/>
      <c r="T1559" s="138" t="str">
        <f>IFERROR(LOOKUP($S1559,MOTORISTAS!$D$3:$D$1048576,MOTORISTAS!E$3:$E$1048576),"")</f>
        <v/>
      </c>
      <c r="U1559" s="138" t="str">
        <f>IFERROR(LOOKUP($S1559,MOTORISTAS!$D$3:$D$1048576,MOTORISTAS!F$3:$F$1048576),"")</f>
        <v/>
      </c>
      <c r="V1559" s="66"/>
      <c r="W1559" s="66"/>
      <c r="X1559" s="66"/>
      <c r="Y1559" s="66"/>
      <c r="Z1559" s="66"/>
      <c r="AA1559" s="66"/>
      <c r="AB1559" s="66"/>
      <c r="AC1559" s="66"/>
      <c r="AD1559" s="66"/>
      <c r="AE1559" s="66"/>
      <c r="AF1559" s="44"/>
      <c r="AG1559" s="254">
        <f>Prog_236[[#This Row],[SAÍDA DO CLIENTE]]-Prog_236[[#This Row],[PROGRAMAÇÃO CLIENTE]]</f>
        <v>0</v>
      </c>
      <c r="AH1559" s="44"/>
      <c r="AI1559" s="66"/>
      <c r="AJ1559" s="66"/>
      <c r="AK1559" s="66"/>
      <c r="AL1559" s="66"/>
      <c r="AM1559" s="66"/>
      <c r="AN1559" s="83"/>
      <c r="AO1559" s="66"/>
      <c r="AP1559" s="66"/>
      <c r="AQ1559" s="66"/>
      <c r="AR1559" s="81"/>
      <c r="AS1559" s="81"/>
      <c r="AT1559" s="81"/>
      <c r="AU1559" s="81"/>
      <c r="AV1559" s="83">
        <f>SUM(Prog_236[[#This Row],[ADIANTAMENTO]]+Prog_236[[#This Row],[SALDO]]+Prog_236[[#This Row],[MARGEM]]+Prog_236[[#This Row],[ESTADIA 1]])</f>
        <v>0</v>
      </c>
      <c r="AW155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59" s="81"/>
      <c r="AY1559" s="81"/>
      <c r="AZ1559" s="81">
        <f>Prog_236[[#This Row],[VLR NF]]*0.1%</f>
        <v>0</v>
      </c>
      <c r="BA1559" s="81">
        <f>Prog_236[[#This Row],[VLR NF]]*0.05%</f>
        <v>0</v>
      </c>
      <c r="BB1559" s="81"/>
      <c r="BC1559" s="81"/>
      <c r="BD1559" s="81"/>
      <c r="BE1559" s="81"/>
      <c r="BF1559" s="81"/>
      <c r="BG1559" s="81"/>
      <c r="BH1559" s="81"/>
      <c r="BI1559" s="81"/>
      <c r="BJ1559" s="81"/>
      <c r="BK1559" s="81"/>
      <c r="BL1559" s="66"/>
      <c r="BM1559" s="66"/>
      <c r="BN1559" s="66"/>
      <c r="BO1559" s="66" t="str">
        <f>PROPER(TEXT(Prog_236[[#This Row],[PROGRAMAÇÃO CLIENTE]],"mmm"))</f>
        <v>Jan</v>
      </c>
      <c r="BP1559" s="66">
        <f>YEAR(Prog_236[[#This Row],[PROGRAMAÇÃO CLIENTE]])</f>
        <v>1900</v>
      </c>
    </row>
    <row r="1560" spans="1:68" x14ac:dyDescent="0.25">
      <c r="A1560" s="201">
        <f>Prog_236[[#This Row],[CONTEINER]]</f>
        <v>0</v>
      </c>
      <c r="B1560" s="86"/>
      <c r="C156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0" s="44"/>
      <c r="E1560" s="66"/>
      <c r="F1560" s="66"/>
      <c r="G1560" s="66"/>
      <c r="H1560" s="44"/>
      <c r="I1560" s="44"/>
      <c r="J1560" s="66"/>
      <c r="K1560" s="66"/>
      <c r="L1560" s="66"/>
      <c r="M1560" s="66"/>
      <c r="N1560" s="66">
        <f>SUM(Prog_236[[#This Row],[TARA]]+Prog_236[[#This Row],[PESO]])</f>
        <v>0</v>
      </c>
      <c r="O1560" s="44"/>
      <c r="P1560" s="66"/>
      <c r="Q1560" s="66"/>
      <c r="R1560" s="66"/>
      <c r="S1560" s="66"/>
      <c r="T1560" s="138" t="str">
        <f>IFERROR(LOOKUP($S1560,MOTORISTAS!$D$3:$D$1048576,MOTORISTAS!E$3:$E$1048576),"")</f>
        <v/>
      </c>
      <c r="U1560" s="138" t="str">
        <f>IFERROR(LOOKUP($S1560,MOTORISTAS!$D$3:$D$1048576,MOTORISTAS!F$3:$F$1048576),"")</f>
        <v/>
      </c>
      <c r="V1560" s="66"/>
      <c r="W1560" s="66"/>
      <c r="X1560" s="66"/>
      <c r="Y1560" s="66"/>
      <c r="Z1560" s="66"/>
      <c r="AA1560" s="66"/>
      <c r="AB1560" s="66"/>
      <c r="AC1560" s="66"/>
      <c r="AD1560" s="66"/>
      <c r="AE1560" s="66"/>
      <c r="AF1560" s="44"/>
      <c r="AG1560" s="254">
        <f>Prog_236[[#This Row],[SAÍDA DO CLIENTE]]-Prog_236[[#This Row],[PROGRAMAÇÃO CLIENTE]]</f>
        <v>0</v>
      </c>
      <c r="AH1560" s="44"/>
      <c r="AI1560" s="66"/>
      <c r="AJ1560" s="66"/>
      <c r="AK1560" s="66"/>
      <c r="AL1560" s="66"/>
      <c r="AM1560" s="66"/>
      <c r="AN1560" s="83"/>
      <c r="AO1560" s="66"/>
      <c r="AP1560" s="66"/>
      <c r="AQ1560" s="66"/>
      <c r="AR1560" s="81"/>
      <c r="AS1560" s="81"/>
      <c r="AT1560" s="81"/>
      <c r="AU1560" s="81"/>
      <c r="AV1560" s="83">
        <f>SUM(Prog_236[[#This Row],[ADIANTAMENTO]]+Prog_236[[#This Row],[SALDO]]+Prog_236[[#This Row],[MARGEM]]+Prog_236[[#This Row],[ESTADIA 1]])</f>
        <v>0</v>
      </c>
      <c r="AW156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0" s="81"/>
      <c r="AY1560" s="81"/>
      <c r="AZ1560" s="81">
        <f>Prog_236[[#This Row],[VLR NF]]*0.1%</f>
        <v>0</v>
      </c>
      <c r="BA1560" s="81">
        <f>Prog_236[[#This Row],[VLR NF]]*0.05%</f>
        <v>0</v>
      </c>
      <c r="BB1560" s="81"/>
      <c r="BC1560" s="81"/>
      <c r="BD1560" s="81"/>
      <c r="BE1560" s="81"/>
      <c r="BF1560" s="81"/>
      <c r="BG1560" s="81"/>
      <c r="BH1560" s="81"/>
      <c r="BI1560" s="81"/>
      <c r="BJ1560" s="81"/>
      <c r="BK1560" s="81"/>
      <c r="BL1560" s="66"/>
      <c r="BM1560" s="66"/>
      <c r="BN1560" s="66"/>
      <c r="BO1560" s="66" t="str">
        <f>PROPER(TEXT(Prog_236[[#This Row],[PROGRAMAÇÃO CLIENTE]],"mmm"))</f>
        <v>Jan</v>
      </c>
      <c r="BP1560" s="66">
        <f>YEAR(Prog_236[[#This Row],[PROGRAMAÇÃO CLIENTE]])</f>
        <v>1900</v>
      </c>
    </row>
    <row r="1561" spans="1:68" x14ac:dyDescent="0.25">
      <c r="A1561" s="200">
        <f>Prog_236[[#This Row],[CONTEINER]]</f>
        <v>0</v>
      </c>
      <c r="B1561" s="86"/>
      <c r="C156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1" s="44"/>
      <c r="E1561" s="66"/>
      <c r="F1561" s="66"/>
      <c r="G1561" s="66"/>
      <c r="H1561" s="44"/>
      <c r="I1561" s="44"/>
      <c r="J1561" s="66"/>
      <c r="K1561" s="66"/>
      <c r="L1561" s="66"/>
      <c r="M1561" s="66"/>
      <c r="N1561" s="66">
        <f>SUM(Prog_236[[#This Row],[TARA]]+Prog_236[[#This Row],[PESO]])</f>
        <v>0</v>
      </c>
      <c r="O1561" s="44"/>
      <c r="P1561" s="66"/>
      <c r="Q1561" s="66"/>
      <c r="R1561" s="66"/>
      <c r="S1561" s="66"/>
      <c r="T1561" s="138" t="str">
        <f>IFERROR(LOOKUP($S1561,MOTORISTAS!$D$3:$D$1048576,MOTORISTAS!E$3:$E$1048576),"")</f>
        <v/>
      </c>
      <c r="U1561" s="138" t="str">
        <f>IFERROR(LOOKUP($S1561,MOTORISTAS!$D$3:$D$1048576,MOTORISTAS!F$3:$F$1048576),"")</f>
        <v/>
      </c>
      <c r="V1561" s="66"/>
      <c r="W1561" s="66"/>
      <c r="X1561" s="66"/>
      <c r="Y1561" s="66"/>
      <c r="Z1561" s="66"/>
      <c r="AA1561" s="66"/>
      <c r="AB1561" s="66"/>
      <c r="AC1561" s="66"/>
      <c r="AD1561" s="66"/>
      <c r="AE1561" s="66"/>
      <c r="AF1561" s="44"/>
      <c r="AG1561" s="254">
        <f>Prog_236[[#This Row],[SAÍDA DO CLIENTE]]-Prog_236[[#This Row],[PROGRAMAÇÃO CLIENTE]]</f>
        <v>0</v>
      </c>
      <c r="AH1561" s="44"/>
      <c r="AI1561" s="66"/>
      <c r="AJ1561" s="66"/>
      <c r="AK1561" s="66"/>
      <c r="AL1561" s="66"/>
      <c r="AM1561" s="66"/>
      <c r="AN1561" s="83"/>
      <c r="AO1561" s="66"/>
      <c r="AP1561" s="66"/>
      <c r="AQ1561" s="66"/>
      <c r="AR1561" s="81"/>
      <c r="AS1561" s="81"/>
      <c r="AT1561" s="81"/>
      <c r="AU1561" s="81"/>
      <c r="AV1561" s="83">
        <f>SUM(Prog_236[[#This Row],[ADIANTAMENTO]]+Prog_236[[#This Row],[SALDO]]+Prog_236[[#This Row],[MARGEM]]+Prog_236[[#This Row],[ESTADIA 1]])</f>
        <v>0</v>
      </c>
      <c r="AW156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1" s="81"/>
      <c r="AY1561" s="81"/>
      <c r="AZ1561" s="81">
        <f>Prog_236[[#This Row],[VLR NF]]*0.1%</f>
        <v>0</v>
      </c>
      <c r="BA1561" s="81">
        <f>Prog_236[[#This Row],[VLR NF]]*0.05%</f>
        <v>0</v>
      </c>
      <c r="BB1561" s="81"/>
      <c r="BC1561" s="81"/>
      <c r="BD1561" s="81"/>
      <c r="BE1561" s="81"/>
      <c r="BF1561" s="81"/>
      <c r="BG1561" s="81"/>
      <c r="BH1561" s="81"/>
      <c r="BI1561" s="81"/>
      <c r="BJ1561" s="81"/>
      <c r="BK1561" s="81"/>
      <c r="BL1561" s="66"/>
      <c r="BM1561" s="66"/>
      <c r="BN1561" s="66"/>
      <c r="BO1561" s="66" t="str">
        <f>PROPER(TEXT(Prog_236[[#This Row],[PROGRAMAÇÃO CLIENTE]],"mmm"))</f>
        <v>Jan</v>
      </c>
      <c r="BP1561" s="66">
        <f>YEAR(Prog_236[[#This Row],[PROGRAMAÇÃO CLIENTE]])</f>
        <v>1900</v>
      </c>
    </row>
    <row r="1562" spans="1:68" x14ac:dyDescent="0.25">
      <c r="A1562" s="201">
        <f>Prog_236[[#This Row],[CONTEINER]]</f>
        <v>0</v>
      </c>
      <c r="B1562" s="86"/>
      <c r="C156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2" s="44"/>
      <c r="E1562" s="66"/>
      <c r="F1562" s="66"/>
      <c r="G1562" s="66"/>
      <c r="H1562" s="44"/>
      <c r="I1562" s="44"/>
      <c r="J1562" s="66"/>
      <c r="K1562" s="66"/>
      <c r="L1562" s="66"/>
      <c r="M1562" s="66"/>
      <c r="N1562" s="66">
        <f>SUM(Prog_236[[#This Row],[TARA]]+Prog_236[[#This Row],[PESO]])</f>
        <v>0</v>
      </c>
      <c r="O1562" s="44"/>
      <c r="P1562" s="66"/>
      <c r="Q1562" s="66"/>
      <c r="R1562" s="66"/>
      <c r="S1562" s="66"/>
      <c r="T1562" s="138" t="str">
        <f>IFERROR(LOOKUP($S1562,MOTORISTAS!$D$3:$D$1048576,MOTORISTAS!E$3:$E$1048576),"")</f>
        <v/>
      </c>
      <c r="U1562" s="138" t="str">
        <f>IFERROR(LOOKUP($S1562,MOTORISTAS!$D$3:$D$1048576,MOTORISTAS!F$3:$F$1048576),"")</f>
        <v/>
      </c>
      <c r="V1562" s="66"/>
      <c r="W1562" s="66"/>
      <c r="X1562" s="66"/>
      <c r="Y1562" s="66"/>
      <c r="Z1562" s="66"/>
      <c r="AA1562" s="66"/>
      <c r="AB1562" s="66"/>
      <c r="AC1562" s="66"/>
      <c r="AD1562" s="66"/>
      <c r="AE1562" s="66"/>
      <c r="AF1562" s="44"/>
      <c r="AG1562" s="254">
        <f>Prog_236[[#This Row],[SAÍDA DO CLIENTE]]-Prog_236[[#This Row],[PROGRAMAÇÃO CLIENTE]]</f>
        <v>0</v>
      </c>
      <c r="AH1562" s="44"/>
      <c r="AI1562" s="66"/>
      <c r="AJ1562" s="66"/>
      <c r="AK1562" s="66"/>
      <c r="AL1562" s="66"/>
      <c r="AM1562" s="66"/>
      <c r="AN1562" s="83"/>
      <c r="AO1562" s="66"/>
      <c r="AP1562" s="66"/>
      <c r="AQ1562" s="66"/>
      <c r="AR1562" s="81"/>
      <c r="AS1562" s="81"/>
      <c r="AT1562" s="81"/>
      <c r="AU1562" s="81"/>
      <c r="AV1562" s="83">
        <f>SUM(Prog_236[[#This Row],[ADIANTAMENTO]]+Prog_236[[#This Row],[SALDO]]+Prog_236[[#This Row],[MARGEM]]+Prog_236[[#This Row],[ESTADIA 1]])</f>
        <v>0</v>
      </c>
      <c r="AW156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2" s="81"/>
      <c r="AY1562" s="81"/>
      <c r="AZ1562" s="81">
        <f>Prog_236[[#This Row],[VLR NF]]*0.1%</f>
        <v>0</v>
      </c>
      <c r="BA1562" s="81">
        <f>Prog_236[[#This Row],[VLR NF]]*0.05%</f>
        <v>0</v>
      </c>
      <c r="BB1562" s="81"/>
      <c r="BC1562" s="81"/>
      <c r="BD1562" s="81"/>
      <c r="BE1562" s="81"/>
      <c r="BF1562" s="81"/>
      <c r="BG1562" s="81"/>
      <c r="BH1562" s="81"/>
      <c r="BI1562" s="81"/>
      <c r="BJ1562" s="81"/>
      <c r="BK1562" s="81"/>
      <c r="BL1562" s="66"/>
      <c r="BM1562" s="66"/>
      <c r="BN1562" s="66"/>
      <c r="BO1562" s="66" t="str">
        <f>PROPER(TEXT(Prog_236[[#This Row],[PROGRAMAÇÃO CLIENTE]],"mmm"))</f>
        <v>Jan</v>
      </c>
      <c r="BP1562" s="66">
        <f>YEAR(Prog_236[[#This Row],[PROGRAMAÇÃO CLIENTE]])</f>
        <v>1900</v>
      </c>
    </row>
    <row r="1563" spans="1:68" x14ac:dyDescent="0.25">
      <c r="A1563" s="200">
        <f>Prog_236[[#This Row],[CONTEINER]]</f>
        <v>0</v>
      </c>
      <c r="B1563" s="86"/>
      <c r="C156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3" s="44"/>
      <c r="E1563" s="66"/>
      <c r="F1563" s="66"/>
      <c r="G1563" s="66"/>
      <c r="H1563" s="44"/>
      <c r="I1563" s="44"/>
      <c r="J1563" s="66"/>
      <c r="K1563" s="66"/>
      <c r="L1563" s="66"/>
      <c r="M1563" s="66"/>
      <c r="N1563" s="66">
        <f>SUM(Prog_236[[#This Row],[TARA]]+Prog_236[[#This Row],[PESO]])</f>
        <v>0</v>
      </c>
      <c r="O1563" s="44"/>
      <c r="P1563" s="66"/>
      <c r="Q1563" s="66"/>
      <c r="R1563" s="66"/>
      <c r="S1563" s="66"/>
      <c r="T1563" s="138" t="str">
        <f>IFERROR(LOOKUP($S1563,MOTORISTAS!$D$3:$D$1048576,MOTORISTAS!E$3:$E$1048576),"")</f>
        <v/>
      </c>
      <c r="U1563" s="138" t="str">
        <f>IFERROR(LOOKUP($S1563,MOTORISTAS!$D$3:$D$1048576,MOTORISTAS!F$3:$F$1048576),"")</f>
        <v/>
      </c>
      <c r="V1563" s="66"/>
      <c r="W1563" s="66"/>
      <c r="X1563" s="66"/>
      <c r="Y1563" s="66"/>
      <c r="Z1563" s="66"/>
      <c r="AA1563" s="66"/>
      <c r="AB1563" s="66"/>
      <c r="AC1563" s="66"/>
      <c r="AD1563" s="66"/>
      <c r="AE1563" s="66"/>
      <c r="AF1563" s="44"/>
      <c r="AG1563" s="254">
        <f>Prog_236[[#This Row],[SAÍDA DO CLIENTE]]-Prog_236[[#This Row],[PROGRAMAÇÃO CLIENTE]]</f>
        <v>0</v>
      </c>
      <c r="AH1563" s="44"/>
      <c r="AI1563" s="66"/>
      <c r="AJ1563" s="66"/>
      <c r="AK1563" s="66"/>
      <c r="AL1563" s="66"/>
      <c r="AM1563" s="66"/>
      <c r="AN1563" s="83"/>
      <c r="AO1563" s="66"/>
      <c r="AP1563" s="66"/>
      <c r="AQ1563" s="66"/>
      <c r="AR1563" s="81"/>
      <c r="AS1563" s="81"/>
      <c r="AT1563" s="81"/>
      <c r="AU1563" s="81"/>
      <c r="AV1563" s="83">
        <f>SUM(Prog_236[[#This Row],[ADIANTAMENTO]]+Prog_236[[#This Row],[SALDO]]+Prog_236[[#This Row],[MARGEM]]+Prog_236[[#This Row],[ESTADIA 1]])</f>
        <v>0</v>
      </c>
      <c r="AW156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3" s="81"/>
      <c r="AY1563" s="81"/>
      <c r="AZ1563" s="81">
        <f>Prog_236[[#This Row],[VLR NF]]*0.1%</f>
        <v>0</v>
      </c>
      <c r="BA1563" s="81">
        <f>Prog_236[[#This Row],[VLR NF]]*0.05%</f>
        <v>0</v>
      </c>
      <c r="BB1563" s="81"/>
      <c r="BC1563" s="81"/>
      <c r="BD1563" s="81"/>
      <c r="BE1563" s="81"/>
      <c r="BF1563" s="81"/>
      <c r="BG1563" s="81"/>
      <c r="BH1563" s="81"/>
      <c r="BI1563" s="81"/>
      <c r="BJ1563" s="81"/>
      <c r="BK1563" s="81"/>
      <c r="BL1563" s="66"/>
      <c r="BM1563" s="66"/>
      <c r="BN1563" s="66"/>
      <c r="BO1563" s="66" t="str">
        <f>PROPER(TEXT(Prog_236[[#This Row],[PROGRAMAÇÃO CLIENTE]],"mmm"))</f>
        <v>Jan</v>
      </c>
      <c r="BP1563" s="66">
        <f>YEAR(Prog_236[[#This Row],[PROGRAMAÇÃO CLIENTE]])</f>
        <v>1900</v>
      </c>
    </row>
    <row r="1564" spans="1:68" x14ac:dyDescent="0.25">
      <c r="A1564" s="201">
        <f>Prog_236[[#This Row],[CONTEINER]]</f>
        <v>0</v>
      </c>
      <c r="B1564" s="86"/>
      <c r="C156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4" s="44"/>
      <c r="E1564" s="66"/>
      <c r="F1564" s="66"/>
      <c r="G1564" s="66"/>
      <c r="H1564" s="44"/>
      <c r="I1564" s="44"/>
      <c r="J1564" s="66"/>
      <c r="K1564" s="66"/>
      <c r="L1564" s="66"/>
      <c r="M1564" s="66"/>
      <c r="N1564" s="66">
        <f>SUM(Prog_236[[#This Row],[TARA]]+Prog_236[[#This Row],[PESO]])</f>
        <v>0</v>
      </c>
      <c r="O1564" s="44"/>
      <c r="P1564" s="66"/>
      <c r="Q1564" s="66"/>
      <c r="R1564" s="66"/>
      <c r="S1564" s="66"/>
      <c r="T1564" s="138" t="str">
        <f>IFERROR(LOOKUP($S1564,MOTORISTAS!$D$3:$D$1048576,MOTORISTAS!E$3:$E$1048576),"")</f>
        <v/>
      </c>
      <c r="U1564" s="138" t="str">
        <f>IFERROR(LOOKUP($S1564,MOTORISTAS!$D$3:$D$1048576,MOTORISTAS!F$3:$F$1048576),"")</f>
        <v/>
      </c>
      <c r="V1564" s="66"/>
      <c r="W1564" s="66"/>
      <c r="X1564" s="66"/>
      <c r="Y1564" s="66"/>
      <c r="Z1564" s="66"/>
      <c r="AA1564" s="66"/>
      <c r="AB1564" s="66"/>
      <c r="AC1564" s="66"/>
      <c r="AD1564" s="66"/>
      <c r="AE1564" s="66"/>
      <c r="AF1564" s="44"/>
      <c r="AG1564" s="254">
        <f>Prog_236[[#This Row],[SAÍDA DO CLIENTE]]-Prog_236[[#This Row],[PROGRAMAÇÃO CLIENTE]]</f>
        <v>0</v>
      </c>
      <c r="AH1564" s="44"/>
      <c r="AI1564" s="66"/>
      <c r="AJ1564" s="66"/>
      <c r="AK1564" s="66"/>
      <c r="AL1564" s="66"/>
      <c r="AM1564" s="66"/>
      <c r="AN1564" s="83"/>
      <c r="AO1564" s="66"/>
      <c r="AP1564" s="66"/>
      <c r="AQ1564" s="66"/>
      <c r="AR1564" s="81"/>
      <c r="AS1564" s="81"/>
      <c r="AT1564" s="81"/>
      <c r="AU1564" s="81"/>
      <c r="AV1564" s="83">
        <f>SUM(Prog_236[[#This Row],[ADIANTAMENTO]]+Prog_236[[#This Row],[SALDO]]+Prog_236[[#This Row],[MARGEM]]+Prog_236[[#This Row],[ESTADIA 1]])</f>
        <v>0</v>
      </c>
      <c r="AW156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4" s="81"/>
      <c r="AY1564" s="81"/>
      <c r="AZ1564" s="81">
        <f>Prog_236[[#This Row],[VLR NF]]*0.1%</f>
        <v>0</v>
      </c>
      <c r="BA1564" s="81">
        <f>Prog_236[[#This Row],[VLR NF]]*0.05%</f>
        <v>0</v>
      </c>
      <c r="BB1564" s="81"/>
      <c r="BC1564" s="81"/>
      <c r="BD1564" s="81"/>
      <c r="BE1564" s="81"/>
      <c r="BF1564" s="81"/>
      <c r="BG1564" s="81"/>
      <c r="BH1564" s="81"/>
      <c r="BI1564" s="81"/>
      <c r="BJ1564" s="81"/>
      <c r="BK1564" s="81"/>
      <c r="BL1564" s="66"/>
      <c r="BM1564" s="66"/>
      <c r="BN1564" s="66"/>
      <c r="BO1564" s="66" t="str">
        <f>PROPER(TEXT(Prog_236[[#This Row],[PROGRAMAÇÃO CLIENTE]],"mmm"))</f>
        <v>Jan</v>
      </c>
      <c r="BP1564" s="66">
        <f>YEAR(Prog_236[[#This Row],[PROGRAMAÇÃO CLIENTE]])</f>
        <v>1900</v>
      </c>
    </row>
    <row r="1565" spans="1:68" x14ac:dyDescent="0.25">
      <c r="A1565" s="200">
        <f>Prog_236[[#This Row],[CONTEINER]]</f>
        <v>0</v>
      </c>
      <c r="B1565" s="86"/>
      <c r="C156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5" s="44"/>
      <c r="E1565" s="66"/>
      <c r="F1565" s="66"/>
      <c r="G1565" s="66"/>
      <c r="H1565" s="44"/>
      <c r="I1565" s="44"/>
      <c r="J1565" s="66"/>
      <c r="K1565" s="66"/>
      <c r="L1565" s="66"/>
      <c r="M1565" s="66"/>
      <c r="N1565" s="66">
        <f>SUM(Prog_236[[#This Row],[TARA]]+Prog_236[[#This Row],[PESO]])</f>
        <v>0</v>
      </c>
      <c r="O1565" s="44"/>
      <c r="P1565" s="66"/>
      <c r="Q1565" s="66"/>
      <c r="R1565" s="66"/>
      <c r="S1565" s="66"/>
      <c r="T1565" s="138" t="str">
        <f>IFERROR(LOOKUP($S1565,MOTORISTAS!$D$3:$D$1048576,MOTORISTAS!E$3:$E$1048576),"")</f>
        <v/>
      </c>
      <c r="U1565" s="138" t="str">
        <f>IFERROR(LOOKUP($S1565,MOTORISTAS!$D$3:$D$1048576,MOTORISTAS!F$3:$F$1048576),"")</f>
        <v/>
      </c>
      <c r="V1565" s="66"/>
      <c r="W1565" s="66"/>
      <c r="X1565" s="66"/>
      <c r="Y1565" s="66"/>
      <c r="Z1565" s="66"/>
      <c r="AA1565" s="66"/>
      <c r="AB1565" s="66"/>
      <c r="AC1565" s="66"/>
      <c r="AD1565" s="66"/>
      <c r="AE1565" s="66"/>
      <c r="AF1565" s="44"/>
      <c r="AG1565" s="254">
        <f>Prog_236[[#This Row],[SAÍDA DO CLIENTE]]-Prog_236[[#This Row],[PROGRAMAÇÃO CLIENTE]]</f>
        <v>0</v>
      </c>
      <c r="AH1565" s="44"/>
      <c r="AI1565" s="66"/>
      <c r="AJ1565" s="66"/>
      <c r="AK1565" s="66"/>
      <c r="AL1565" s="66"/>
      <c r="AM1565" s="66"/>
      <c r="AN1565" s="83"/>
      <c r="AO1565" s="66"/>
      <c r="AP1565" s="66"/>
      <c r="AQ1565" s="66"/>
      <c r="AR1565" s="81"/>
      <c r="AS1565" s="81"/>
      <c r="AT1565" s="81"/>
      <c r="AU1565" s="81"/>
      <c r="AV1565" s="83">
        <f>SUM(Prog_236[[#This Row],[ADIANTAMENTO]]+Prog_236[[#This Row],[SALDO]]+Prog_236[[#This Row],[MARGEM]]+Prog_236[[#This Row],[ESTADIA 1]])</f>
        <v>0</v>
      </c>
      <c r="AW156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5" s="81"/>
      <c r="AY1565" s="81"/>
      <c r="AZ1565" s="81">
        <f>Prog_236[[#This Row],[VLR NF]]*0.1%</f>
        <v>0</v>
      </c>
      <c r="BA1565" s="81">
        <f>Prog_236[[#This Row],[VLR NF]]*0.05%</f>
        <v>0</v>
      </c>
      <c r="BB1565" s="81"/>
      <c r="BC1565" s="81"/>
      <c r="BD1565" s="81"/>
      <c r="BE1565" s="81"/>
      <c r="BF1565" s="81"/>
      <c r="BG1565" s="81"/>
      <c r="BH1565" s="81"/>
      <c r="BI1565" s="81"/>
      <c r="BJ1565" s="81"/>
      <c r="BK1565" s="81"/>
      <c r="BL1565" s="66"/>
      <c r="BM1565" s="66"/>
      <c r="BN1565" s="66"/>
      <c r="BO1565" s="66" t="str">
        <f>PROPER(TEXT(Prog_236[[#This Row],[PROGRAMAÇÃO CLIENTE]],"mmm"))</f>
        <v>Jan</v>
      </c>
      <c r="BP1565" s="66">
        <f>YEAR(Prog_236[[#This Row],[PROGRAMAÇÃO CLIENTE]])</f>
        <v>1900</v>
      </c>
    </row>
    <row r="1566" spans="1:68" x14ac:dyDescent="0.25">
      <c r="A1566" s="202">
        <f>Prog_236[[#This Row],[CONTEINER]]</f>
        <v>0</v>
      </c>
      <c r="B1566" s="86"/>
      <c r="C156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6" s="44"/>
      <c r="E1566" s="66"/>
      <c r="F1566" s="66"/>
      <c r="G1566" s="66"/>
      <c r="H1566" s="44"/>
      <c r="I1566" s="44"/>
      <c r="J1566" s="66"/>
      <c r="K1566" s="66"/>
      <c r="L1566" s="66"/>
      <c r="M1566" s="66"/>
      <c r="N1566" s="66">
        <f>SUM(Prog_236[[#This Row],[TARA]]+Prog_236[[#This Row],[PESO]])</f>
        <v>0</v>
      </c>
      <c r="O1566" s="44"/>
      <c r="P1566" s="66"/>
      <c r="Q1566" s="66"/>
      <c r="R1566" s="66"/>
      <c r="S1566" s="66"/>
      <c r="T1566" s="138" t="str">
        <f>IFERROR(LOOKUP($S1566,MOTORISTAS!$D$3:$D$1048576,MOTORISTAS!E$3:$E$1048576),"")</f>
        <v/>
      </c>
      <c r="U1566" s="138" t="str">
        <f>IFERROR(LOOKUP($S1566,MOTORISTAS!$D$3:$D$1048576,MOTORISTAS!F$3:$F$1048576),"")</f>
        <v/>
      </c>
      <c r="V1566" s="66"/>
      <c r="W1566" s="66"/>
      <c r="X1566" s="66"/>
      <c r="Y1566" s="66"/>
      <c r="Z1566" s="66"/>
      <c r="AA1566" s="66"/>
      <c r="AB1566" s="66"/>
      <c r="AC1566" s="66"/>
      <c r="AD1566" s="66"/>
      <c r="AE1566" s="66"/>
      <c r="AF1566" s="44"/>
      <c r="AG1566" s="254">
        <f>Prog_236[[#This Row],[SAÍDA DO CLIENTE]]-Prog_236[[#This Row],[PROGRAMAÇÃO CLIENTE]]</f>
        <v>0</v>
      </c>
      <c r="AH1566" s="44"/>
      <c r="AI1566" s="66"/>
      <c r="AJ1566" s="66"/>
      <c r="AK1566" s="66"/>
      <c r="AL1566" s="66"/>
      <c r="AM1566" s="66"/>
      <c r="AN1566" s="83"/>
      <c r="AO1566" s="66"/>
      <c r="AP1566" s="66"/>
      <c r="AQ1566" s="66"/>
      <c r="AR1566" s="81"/>
      <c r="AS1566" s="81"/>
      <c r="AT1566" s="81"/>
      <c r="AU1566" s="81"/>
      <c r="AV1566" s="83">
        <f>SUM(Prog_236[[#This Row],[ADIANTAMENTO]]+Prog_236[[#This Row],[SALDO]]+Prog_236[[#This Row],[MARGEM]]+Prog_236[[#This Row],[ESTADIA 1]])</f>
        <v>0</v>
      </c>
      <c r="AW156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6" s="81"/>
      <c r="AY1566" s="81"/>
      <c r="AZ1566" s="81">
        <f>Prog_236[[#This Row],[VLR NF]]*0.1%</f>
        <v>0</v>
      </c>
      <c r="BA1566" s="81">
        <f>Prog_236[[#This Row],[VLR NF]]*0.05%</f>
        <v>0</v>
      </c>
      <c r="BB1566" s="81"/>
      <c r="BC1566" s="81"/>
      <c r="BD1566" s="81"/>
      <c r="BE1566" s="81"/>
      <c r="BF1566" s="81"/>
      <c r="BG1566" s="81"/>
      <c r="BH1566" s="81"/>
      <c r="BI1566" s="81"/>
      <c r="BJ1566" s="81"/>
      <c r="BK1566" s="81"/>
      <c r="BL1566" s="66"/>
      <c r="BM1566" s="66"/>
      <c r="BN1566" s="66"/>
      <c r="BO1566" s="66" t="str">
        <f>PROPER(TEXT(Prog_236[[#This Row],[PROGRAMAÇÃO CLIENTE]],"mmm"))</f>
        <v>Jan</v>
      </c>
      <c r="BP1566" s="66">
        <f>YEAR(Prog_236[[#This Row],[PROGRAMAÇÃO CLIENTE]])</f>
        <v>1900</v>
      </c>
    </row>
    <row r="1567" spans="1:68" x14ac:dyDescent="0.25">
      <c r="A1567" s="200">
        <f>Prog_236[[#This Row],[CONTEINER]]</f>
        <v>0</v>
      </c>
      <c r="B1567" s="86"/>
      <c r="C156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7" s="44"/>
      <c r="E1567" s="66"/>
      <c r="F1567" s="66"/>
      <c r="G1567" s="66"/>
      <c r="H1567" s="44"/>
      <c r="I1567" s="44"/>
      <c r="J1567" s="66"/>
      <c r="K1567" s="66"/>
      <c r="L1567" s="66"/>
      <c r="M1567" s="66"/>
      <c r="N1567" s="66">
        <f>SUM(Prog_236[[#This Row],[TARA]]+Prog_236[[#This Row],[PESO]])</f>
        <v>0</v>
      </c>
      <c r="O1567" s="44"/>
      <c r="P1567" s="66"/>
      <c r="Q1567" s="66"/>
      <c r="R1567" s="66"/>
      <c r="S1567" s="66"/>
      <c r="T1567" s="138" t="str">
        <f>IFERROR(LOOKUP($S1567,MOTORISTAS!$D$3:$D$1048576,MOTORISTAS!E$3:$E$1048576),"")</f>
        <v/>
      </c>
      <c r="U1567" s="138" t="str">
        <f>IFERROR(LOOKUP($S1567,MOTORISTAS!$D$3:$D$1048576,MOTORISTAS!F$3:$F$1048576),"")</f>
        <v/>
      </c>
      <c r="V1567" s="66"/>
      <c r="W1567" s="66"/>
      <c r="X1567" s="66"/>
      <c r="Y1567" s="66"/>
      <c r="Z1567" s="66"/>
      <c r="AA1567" s="66"/>
      <c r="AB1567" s="66"/>
      <c r="AC1567" s="66"/>
      <c r="AD1567" s="66"/>
      <c r="AE1567" s="66"/>
      <c r="AF1567" s="44"/>
      <c r="AG1567" s="254">
        <f>Prog_236[[#This Row],[SAÍDA DO CLIENTE]]-Prog_236[[#This Row],[PROGRAMAÇÃO CLIENTE]]</f>
        <v>0</v>
      </c>
      <c r="AH1567" s="44"/>
      <c r="AI1567" s="66"/>
      <c r="AJ1567" s="66"/>
      <c r="AK1567" s="66"/>
      <c r="AL1567" s="66"/>
      <c r="AM1567" s="66"/>
      <c r="AN1567" s="83"/>
      <c r="AO1567" s="66"/>
      <c r="AP1567" s="66"/>
      <c r="AQ1567" s="66"/>
      <c r="AR1567" s="81"/>
      <c r="AS1567" s="81"/>
      <c r="AT1567" s="81"/>
      <c r="AU1567" s="81"/>
      <c r="AV1567" s="83">
        <f>SUM(Prog_236[[#This Row],[ADIANTAMENTO]]+Prog_236[[#This Row],[SALDO]]+Prog_236[[#This Row],[MARGEM]]+Prog_236[[#This Row],[ESTADIA 1]])</f>
        <v>0</v>
      </c>
      <c r="AW156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7" s="81"/>
      <c r="AY1567" s="81"/>
      <c r="AZ1567" s="81">
        <f>Prog_236[[#This Row],[VLR NF]]*0.1%</f>
        <v>0</v>
      </c>
      <c r="BA1567" s="81">
        <f>Prog_236[[#This Row],[VLR NF]]*0.05%</f>
        <v>0</v>
      </c>
      <c r="BB1567" s="81"/>
      <c r="BC1567" s="81"/>
      <c r="BD1567" s="81"/>
      <c r="BE1567" s="81"/>
      <c r="BF1567" s="81"/>
      <c r="BG1567" s="81"/>
      <c r="BH1567" s="81"/>
      <c r="BI1567" s="81"/>
      <c r="BJ1567" s="81"/>
      <c r="BK1567" s="81"/>
      <c r="BL1567" s="66"/>
      <c r="BM1567" s="66"/>
      <c r="BN1567" s="66"/>
      <c r="BO1567" s="66" t="str">
        <f>PROPER(TEXT(Prog_236[[#This Row],[PROGRAMAÇÃO CLIENTE]],"mmm"))</f>
        <v>Jan</v>
      </c>
      <c r="BP1567" s="66">
        <f>YEAR(Prog_236[[#This Row],[PROGRAMAÇÃO CLIENTE]])</f>
        <v>1900</v>
      </c>
    </row>
    <row r="1568" spans="1:68" x14ac:dyDescent="0.25">
      <c r="A1568" s="202">
        <f>Prog_236[[#This Row],[CONTEINER]]</f>
        <v>0</v>
      </c>
      <c r="B1568" s="86"/>
      <c r="C156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8" s="44"/>
      <c r="E1568" s="66"/>
      <c r="F1568" s="66"/>
      <c r="G1568" s="66"/>
      <c r="H1568" s="44"/>
      <c r="I1568" s="44"/>
      <c r="J1568" s="66"/>
      <c r="K1568" s="66"/>
      <c r="L1568" s="66"/>
      <c r="M1568" s="66"/>
      <c r="N1568" s="66">
        <f>SUM(Prog_236[[#This Row],[TARA]]+Prog_236[[#This Row],[PESO]])</f>
        <v>0</v>
      </c>
      <c r="O1568" s="44"/>
      <c r="P1568" s="66"/>
      <c r="Q1568" s="66"/>
      <c r="R1568" s="66"/>
      <c r="S1568" s="66"/>
      <c r="T1568" s="138" t="str">
        <f>IFERROR(LOOKUP($S1568,MOTORISTAS!$D$3:$D$1048576,MOTORISTAS!E$3:$E$1048576),"")</f>
        <v/>
      </c>
      <c r="U1568" s="138" t="str">
        <f>IFERROR(LOOKUP($S1568,MOTORISTAS!$D$3:$D$1048576,MOTORISTAS!F$3:$F$1048576),"")</f>
        <v/>
      </c>
      <c r="V1568" s="66"/>
      <c r="W1568" s="66"/>
      <c r="X1568" s="66"/>
      <c r="Y1568" s="66"/>
      <c r="Z1568" s="66"/>
      <c r="AA1568" s="66"/>
      <c r="AB1568" s="66"/>
      <c r="AC1568" s="66"/>
      <c r="AD1568" s="66"/>
      <c r="AE1568" s="66"/>
      <c r="AF1568" s="44"/>
      <c r="AG1568" s="254">
        <f>Prog_236[[#This Row],[SAÍDA DO CLIENTE]]-Prog_236[[#This Row],[PROGRAMAÇÃO CLIENTE]]</f>
        <v>0</v>
      </c>
      <c r="AH1568" s="44"/>
      <c r="AI1568" s="66"/>
      <c r="AJ1568" s="66"/>
      <c r="AK1568" s="66"/>
      <c r="AL1568" s="66"/>
      <c r="AM1568" s="66"/>
      <c r="AN1568" s="83"/>
      <c r="AO1568" s="66"/>
      <c r="AP1568" s="66"/>
      <c r="AQ1568" s="66"/>
      <c r="AR1568" s="81"/>
      <c r="AS1568" s="81"/>
      <c r="AT1568" s="81"/>
      <c r="AU1568" s="81"/>
      <c r="AV1568" s="83">
        <f>SUM(Prog_236[[#This Row],[ADIANTAMENTO]]+Prog_236[[#This Row],[SALDO]]+Prog_236[[#This Row],[MARGEM]]+Prog_236[[#This Row],[ESTADIA 1]])</f>
        <v>0</v>
      </c>
      <c r="AW156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8" s="81"/>
      <c r="AY1568" s="81"/>
      <c r="AZ1568" s="81">
        <f>Prog_236[[#This Row],[VLR NF]]*0.1%</f>
        <v>0</v>
      </c>
      <c r="BA1568" s="81">
        <f>Prog_236[[#This Row],[VLR NF]]*0.05%</f>
        <v>0</v>
      </c>
      <c r="BB1568" s="81"/>
      <c r="BC1568" s="81"/>
      <c r="BD1568" s="81"/>
      <c r="BE1568" s="81"/>
      <c r="BF1568" s="81"/>
      <c r="BG1568" s="81"/>
      <c r="BH1568" s="81"/>
      <c r="BI1568" s="81"/>
      <c r="BJ1568" s="81"/>
      <c r="BK1568" s="81"/>
      <c r="BL1568" s="66"/>
      <c r="BM1568" s="66"/>
      <c r="BN1568" s="66"/>
      <c r="BO1568" s="66" t="str">
        <f>PROPER(TEXT(Prog_236[[#This Row],[PROGRAMAÇÃO CLIENTE]],"mmm"))</f>
        <v>Jan</v>
      </c>
      <c r="BP1568" s="66">
        <f>YEAR(Prog_236[[#This Row],[PROGRAMAÇÃO CLIENTE]])</f>
        <v>1900</v>
      </c>
    </row>
    <row r="1569" spans="1:68" x14ac:dyDescent="0.25">
      <c r="A1569" s="200">
        <f>Prog_236[[#This Row],[CONTEINER]]</f>
        <v>0</v>
      </c>
      <c r="B1569" s="86"/>
      <c r="C156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69" s="44"/>
      <c r="E1569" s="66"/>
      <c r="F1569" s="66"/>
      <c r="G1569" s="66"/>
      <c r="H1569" s="44"/>
      <c r="I1569" s="44"/>
      <c r="J1569" s="66"/>
      <c r="K1569" s="66"/>
      <c r="L1569" s="66"/>
      <c r="M1569" s="66"/>
      <c r="N1569" s="66">
        <f>SUM(Prog_236[[#This Row],[TARA]]+Prog_236[[#This Row],[PESO]])</f>
        <v>0</v>
      </c>
      <c r="O1569" s="44"/>
      <c r="P1569" s="66"/>
      <c r="Q1569" s="66"/>
      <c r="R1569" s="66"/>
      <c r="S1569" s="66"/>
      <c r="T1569" s="138" t="str">
        <f>IFERROR(LOOKUP($S1569,MOTORISTAS!$D$3:$D$1048576,MOTORISTAS!E$3:$E$1048576),"")</f>
        <v/>
      </c>
      <c r="U1569" s="138" t="str">
        <f>IFERROR(LOOKUP($S1569,MOTORISTAS!$D$3:$D$1048576,MOTORISTAS!F$3:$F$1048576),"")</f>
        <v/>
      </c>
      <c r="V1569" s="66"/>
      <c r="W1569" s="66"/>
      <c r="X1569" s="66"/>
      <c r="Y1569" s="66"/>
      <c r="Z1569" s="66"/>
      <c r="AA1569" s="66"/>
      <c r="AB1569" s="66"/>
      <c r="AC1569" s="66"/>
      <c r="AD1569" s="66"/>
      <c r="AE1569" s="66"/>
      <c r="AF1569" s="44"/>
      <c r="AG1569" s="254">
        <f>Prog_236[[#This Row],[SAÍDA DO CLIENTE]]-Prog_236[[#This Row],[PROGRAMAÇÃO CLIENTE]]</f>
        <v>0</v>
      </c>
      <c r="AH1569" s="44"/>
      <c r="AI1569" s="66"/>
      <c r="AJ1569" s="66"/>
      <c r="AK1569" s="66"/>
      <c r="AL1569" s="66"/>
      <c r="AM1569" s="66"/>
      <c r="AN1569" s="83"/>
      <c r="AO1569" s="66"/>
      <c r="AP1569" s="66"/>
      <c r="AQ1569" s="66"/>
      <c r="AR1569" s="81"/>
      <c r="AS1569" s="81"/>
      <c r="AT1569" s="81"/>
      <c r="AU1569" s="81"/>
      <c r="AV1569" s="83">
        <f>SUM(Prog_236[[#This Row],[ADIANTAMENTO]]+Prog_236[[#This Row],[SALDO]]+Prog_236[[#This Row],[MARGEM]]+Prog_236[[#This Row],[ESTADIA 1]])</f>
        <v>0</v>
      </c>
      <c r="AW156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69" s="81"/>
      <c r="AY1569" s="81"/>
      <c r="AZ1569" s="81">
        <f>Prog_236[[#This Row],[VLR NF]]*0.1%</f>
        <v>0</v>
      </c>
      <c r="BA1569" s="81">
        <f>Prog_236[[#This Row],[VLR NF]]*0.05%</f>
        <v>0</v>
      </c>
      <c r="BB1569" s="81"/>
      <c r="BC1569" s="81"/>
      <c r="BD1569" s="81"/>
      <c r="BE1569" s="81"/>
      <c r="BF1569" s="81"/>
      <c r="BG1569" s="81"/>
      <c r="BH1569" s="81"/>
      <c r="BI1569" s="81"/>
      <c r="BJ1569" s="81"/>
      <c r="BK1569" s="81"/>
      <c r="BL1569" s="66"/>
      <c r="BM1569" s="66"/>
      <c r="BN1569" s="66"/>
      <c r="BO1569" s="66" t="str">
        <f>PROPER(TEXT(Prog_236[[#This Row],[PROGRAMAÇÃO CLIENTE]],"mmm"))</f>
        <v>Jan</v>
      </c>
      <c r="BP1569" s="66">
        <f>YEAR(Prog_236[[#This Row],[PROGRAMAÇÃO CLIENTE]])</f>
        <v>1900</v>
      </c>
    </row>
    <row r="1570" spans="1:68" x14ac:dyDescent="0.25">
      <c r="A1570" s="202">
        <f>Prog_236[[#This Row],[CONTEINER]]</f>
        <v>0</v>
      </c>
      <c r="B1570" s="86"/>
      <c r="C157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0" s="44"/>
      <c r="E1570" s="66"/>
      <c r="F1570" s="66"/>
      <c r="G1570" s="66"/>
      <c r="H1570" s="44"/>
      <c r="I1570" s="44"/>
      <c r="J1570" s="66"/>
      <c r="K1570" s="66"/>
      <c r="L1570" s="66"/>
      <c r="M1570" s="66"/>
      <c r="N1570" s="66">
        <f>SUM(Prog_236[[#This Row],[TARA]]+Prog_236[[#This Row],[PESO]])</f>
        <v>0</v>
      </c>
      <c r="O1570" s="44"/>
      <c r="P1570" s="66"/>
      <c r="Q1570" s="66"/>
      <c r="R1570" s="66"/>
      <c r="S1570" s="66"/>
      <c r="T1570" s="138" t="str">
        <f>IFERROR(LOOKUP($S1570,MOTORISTAS!$D$3:$D$1048576,MOTORISTAS!E$3:$E$1048576),"")</f>
        <v/>
      </c>
      <c r="U1570" s="138" t="str">
        <f>IFERROR(LOOKUP($S1570,MOTORISTAS!$D$3:$D$1048576,MOTORISTAS!F$3:$F$1048576),"")</f>
        <v/>
      </c>
      <c r="V1570" s="66"/>
      <c r="W1570" s="66"/>
      <c r="X1570" s="66"/>
      <c r="Y1570" s="66"/>
      <c r="Z1570" s="66"/>
      <c r="AA1570" s="66"/>
      <c r="AB1570" s="66"/>
      <c r="AC1570" s="66"/>
      <c r="AD1570" s="66"/>
      <c r="AE1570" s="66"/>
      <c r="AF1570" s="44"/>
      <c r="AG1570" s="254">
        <f>Prog_236[[#This Row],[SAÍDA DO CLIENTE]]-Prog_236[[#This Row],[PROGRAMAÇÃO CLIENTE]]</f>
        <v>0</v>
      </c>
      <c r="AH1570" s="44"/>
      <c r="AI1570" s="66"/>
      <c r="AJ1570" s="66"/>
      <c r="AK1570" s="66"/>
      <c r="AL1570" s="66"/>
      <c r="AM1570" s="66"/>
      <c r="AN1570" s="83"/>
      <c r="AO1570" s="66"/>
      <c r="AP1570" s="66"/>
      <c r="AQ1570" s="66"/>
      <c r="AR1570" s="81"/>
      <c r="AS1570" s="81"/>
      <c r="AT1570" s="81"/>
      <c r="AU1570" s="81"/>
      <c r="AV1570" s="83">
        <f>SUM(Prog_236[[#This Row],[ADIANTAMENTO]]+Prog_236[[#This Row],[SALDO]]+Prog_236[[#This Row],[MARGEM]]+Prog_236[[#This Row],[ESTADIA 1]])</f>
        <v>0</v>
      </c>
      <c r="AW157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0" s="81"/>
      <c r="AY1570" s="81"/>
      <c r="AZ1570" s="81">
        <f>Prog_236[[#This Row],[VLR NF]]*0.1%</f>
        <v>0</v>
      </c>
      <c r="BA1570" s="81">
        <f>Prog_236[[#This Row],[VLR NF]]*0.05%</f>
        <v>0</v>
      </c>
      <c r="BB1570" s="81"/>
      <c r="BC1570" s="81"/>
      <c r="BD1570" s="81"/>
      <c r="BE1570" s="81"/>
      <c r="BF1570" s="81"/>
      <c r="BG1570" s="81"/>
      <c r="BH1570" s="81"/>
      <c r="BI1570" s="81"/>
      <c r="BJ1570" s="81"/>
      <c r="BK1570" s="81"/>
      <c r="BL1570" s="66"/>
      <c r="BM1570" s="66"/>
      <c r="BN1570" s="66"/>
      <c r="BO1570" s="66" t="str">
        <f>PROPER(TEXT(Prog_236[[#This Row],[PROGRAMAÇÃO CLIENTE]],"mmm"))</f>
        <v>Jan</v>
      </c>
      <c r="BP1570" s="66">
        <f>YEAR(Prog_236[[#This Row],[PROGRAMAÇÃO CLIENTE]])</f>
        <v>1900</v>
      </c>
    </row>
    <row r="1571" spans="1:68" x14ac:dyDescent="0.25">
      <c r="A1571" s="200">
        <f>Prog_236[[#This Row],[CONTEINER]]</f>
        <v>0</v>
      </c>
      <c r="B1571" s="86"/>
      <c r="C1571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1" s="44"/>
      <c r="E1571" s="66"/>
      <c r="F1571" s="66"/>
      <c r="G1571" s="66"/>
      <c r="H1571" s="44"/>
      <c r="I1571" s="44"/>
      <c r="J1571" s="66"/>
      <c r="K1571" s="66"/>
      <c r="L1571" s="66"/>
      <c r="M1571" s="66"/>
      <c r="N1571" s="66">
        <f>SUM(Prog_236[[#This Row],[TARA]]+Prog_236[[#This Row],[PESO]])</f>
        <v>0</v>
      </c>
      <c r="O1571" s="44"/>
      <c r="P1571" s="66"/>
      <c r="Q1571" s="66"/>
      <c r="R1571" s="66"/>
      <c r="S1571" s="66"/>
      <c r="T1571" s="138" t="str">
        <f>IFERROR(LOOKUP($S1571,MOTORISTAS!$D$3:$D$1048576,MOTORISTAS!E$3:$E$1048576),"")</f>
        <v/>
      </c>
      <c r="U1571" s="138" t="str">
        <f>IFERROR(LOOKUP($S1571,MOTORISTAS!$D$3:$D$1048576,MOTORISTAS!F$3:$F$1048576),"")</f>
        <v/>
      </c>
      <c r="V1571" s="66"/>
      <c r="W1571" s="66"/>
      <c r="X1571" s="66"/>
      <c r="Y1571" s="66"/>
      <c r="Z1571" s="66"/>
      <c r="AA1571" s="66"/>
      <c r="AB1571" s="66"/>
      <c r="AC1571" s="66"/>
      <c r="AD1571" s="66"/>
      <c r="AE1571" s="66"/>
      <c r="AF1571" s="44"/>
      <c r="AG1571" s="254">
        <f>Prog_236[[#This Row],[SAÍDA DO CLIENTE]]-Prog_236[[#This Row],[PROGRAMAÇÃO CLIENTE]]</f>
        <v>0</v>
      </c>
      <c r="AH1571" s="44"/>
      <c r="AI1571" s="66"/>
      <c r="AJ1571" s="66"/>
      <c r="AK1571" s="66"/>
      <c r="AL1571" s="66"/>
      <c r="AM1571" s="66"/>
      <c r="AN1571" s="83"/>
      <c r="AO1571" s="66"/>
      <c r="AP1571" s="66"/>
      <c r="AQ1571" s="66"/>
      <c r="AR1571" s="81"/>
      <c r="AS1571" s="81"/>
      <c r="AT1571" s="81"/>
      <c r="AU1571" s="81"/>
      <c r="AV1571" s="83">
        <f>SUM(Prog_236[[#This Row],[ADIANTAMENTO]]+Prog_236[[#This Row],[SALDO]]+Prog_236[[#This Row],[MARGEM]]+Prog_236[[#This Row],[ESTADIA 1]])</f>
        <v>0</v>
      </c>
      <c r="AW1571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1" s="81"/>
      <c r="AY1571" s="81"/>
      <c r="AZ1571" s="81">
        <f>Prog_236[[#This Row],[VLR NF]]*0.1%</f>
        <v>0</v>
      </c>
      <c r="BA1571" s="81">
        <f>Prog_236[[#This Row],[VLR NF]]*0.05%</f>
        <v>0</v>
      </c>
      <c r="BB1571" s="81"/>
      <c r="BC1571" s="81"/>
      <c r="BD1571" s="81"/>
      <c r="BE1571" s="81"/>
      <c r="BF1571" s="81"/>
      <c r="BG1571" s="81"/>
      <c r="BH1571" s="81"/>
      <c r="BI1571" s="81"/>
      <c r="BJ1571" s="81"/>
      <c r="BK1571" s="81"/>
      <c r="BL1571" s="66"/>
      <c r="BM1571" s="66"/>
      <c r="BN1571" s="66"/>
      <c r="BO1571" s="66" t="str">
        <f>PROPER(TEXT(Prog_236[[#This Row],[PROGRAMAÇÃO CLIENTE]],"mmm"))</f>
        <v>Jan</v>
      </c>
      <c r="BP1571" s="66">
        <f>YEAR(Prog_236[[#This Row],[PROGRAMAÇÃO CLIENTE]])</f>
        <v>1900</v>
      </c>
    </row>
    <row r="1572" spans="1:68" x14ac:dyDescent="0.25">
      <c r="A1572" s="202">
        <f>Prog_236[[#This Row],[CONTEINER]]</f>
        <v>0</v>
      </c>
      <c r="B1572" s="86"/>
      <c r="C1572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2" s="44"/>
      <c r="E1572" s="66"/>
      <c r="F1572" s="66"/>
      <c r="G1572" s="66"/>
      <c r="H1572" s="44"/>
      <c r="I1572" s="44"/>
      <c r="J1572" s="66"/>
      <c r="K1572" s="66"/>
      <c r="L1572" s="66"/>
      <c r="M1572" s="66"/>
      <c r="N1572" s="66">
        <f>SUM(Prog_236[[#This Row],[TARA]]+Prog_236[[#This Row],[PESO]])</f>
        <v>0</v>
      </c>
      <c r="O1572" s="44"/>
      <c r="P1572" s="66"/>
      <c r="Q1572" s="66"/>
      <c r="R1572" s="66"/>
      <c r="S1572" s="66"/>
      <c r="T1572" s="138" t="str">
        <f>IFERROR(LOOKUP($S1572,MOTORISTAS!$D$3:$D$1048576,MOTORISTAS!E$3:$E$1048576),"")</f>
        <v/>
      </c>
      <c r="U1572" s="138" t="str">
        <f>IFERROR(LOOKUP($S1572,MOTORISTAS!$D$3:$D$1048576,MOTORISTAS!F$3:$F$1048576),"")</f>
        <v/>
      </c>
      <c r="V1572" s="66"/>
      <c r="W1572" s="66"/>
      <c r="X1572" s="66"/>
      <c r="Y1572" s="66"/>
      <c r="Z1572" s="66"/>
      <c r="AA1572" s="66"/>
      <c r="AB1572" s="66"/>
      <c r="AC1572" s="66"/>
      <c r="AD1572" s="66"/>
      <c r="AE1572" s="66"/>
      <c r="AF1572" s="44"/>
      <c r="AG1572" s="254">
        <f>Prog_236[[#This Row],[SAÍDA DO CLIENTE]]-Prog_236[[#This Row],[PROGRAMAÇÃO CLIENTE]]</f>
        <v>0</v>
      </c>
      <c r="AH1572" s="44"/>
      <c r="AI1572" s="66"/>
      <c r="AJ1572" s="66"/>
      <c r="AK1572" s="66"/>
      <c r="AL1572" s="66"/>
      <c r="AM1572" s="66"/>
      <c r="AN1572" s="83"/>
      <c r="AO1572" s="66"/>
      <c r="AP1572" s="66"/>
      <c r="AQ1572" s="66"/>
      <c r="AR1572" s="81"/>
      <c r="AS1572" s="81"/>
      <c r="AT1572" s="81"/>
      <c r="AU1572" s="81"/>
      <c r="AV1572" s="83">
        <f>SUM(Prog_236[[#This Row],[ADIANTAMENTO]]+Prog_236[[#This Row],[SALDO]]+Prog_236[[#This Row],[MARGEM]]+Prog_236[[#This Row],[ESTADIA 1]])</f>
        <v>0</v>
      </c>
      <c r="AW1572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2" s="81"/>
      <c r="AY1572" s="81"/>
      <c r="AZ1572" s="81">
        <f>Prog_236[[#This Row],[VLR NF]]*0.1%</f>
        <v>0</v>
      </c>
      <c r="BA1572" s="81">
        <f>Prog_236[[#This Row],[VLR NF]]*0.05%</f>
        <v>0</v>
      </c>
      <c r="BB1572" s="81"/>
      <c r="BC1572" s="81"/>
      <c r="BD1572" s="81"/>
      <c r="BE1572" s="81"/>
      <c r="BF1572" s="81"/>
      <c r="BG1572" s="81"/>
      <c r="BH1572" s="81"/>
      <c r="BI1572" s="81"/>
      <c r="BJ1572" s="81"/>
      <c r="BK1572" s="81"/>
      <c r="BL1572" s="66"/>
      <c r="BM1572" s="66"/>
      <c r="BN1572" s="66"/>
      <c r="BO1572" s="66" t="str">
        <f>PROPER(TEXT(Prog_236[[#This Row],[PROGRAMAÇÃO CLIENTE]],"mmm"))</f>
        <v>Jan</v>
      </c>
      <c r="BP1572" s="66">
        <f>YEAR(Prog_236[[#This Row],[PROGRAMAÇÃO CLIENTE]])</f>
        <v>1900</v>
      </c>
    </row>
    <row r="1573" spans="1:68" x14ac:dyDescent="0.25">
      <c r="A1573" s="200">
        <f>Prog_236[[#This Row],[CONTEINER]]</f>
        <v>0</v>
      </c>
      <c r="B1573" s="86"/>
      <c r="C1573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3" s="44"/>
      <c r="E1573" s="66"/>
      <c r="F1573" s="66"/>
      <c r="G1573" s="66"/>
      <c r="H1573" s="44"/>
      <c r="I1573" s="44"/>
      <c r="J1573" s="66"/>
      <c r="K1573" s="66"/>
      <c r="L1573" s="66"/>
      <c r="M1573" s="66"/>
      <c r="N1573" s="66">
        <f>SUM(Prog_236[[#This Row],[TARA]]+Prog_236[[#This Row],[PESO]])</f>
        <v>0</v>
      </c>
      <c r="O1573" s="44"/>
      <c r="P1573" s="66"/>
      <c r="Q1573" s="66"/>
      <c r="R1573" s="66"/>
      <c r="S1573" s="66"/>
      <c r="T1573" s="138" t="str">
        <f>IFERROR(LOOKUP($S1573,MOTORISTAS!$D$3:$D$1048576,MOTORISTAS!E$3:$E$1048576),"")</f>
        <v/>
      </c>
      <c r="U1573" s="138" t="str">
        <f>IFERROR(LOOKUP($S1573,MOTORISTAS!$D$3:$D$1048576,MOTORISTAS!F$3:$F$1048576),"")</f>
        <v/>
      </c>
      <c r="V1573" s="66"/>
      <c r="W1573" s="66"/>
      <c r="X1573" s="66"/>
      <c r="Y1573" s="66"/>
      <c r="Z1573" s="66"/>
      <c r="AA1573" s="66"/>
      <c r="AB1573" s="66"/>
      <c r="AC1573" s="66"/>
      <c r="AD1573" s="66"/>
      <c r="AE1573" s="66"/>
      <c r="AF1573" s="44"/>
      <c r="AG1573" s="254">
        <f>Prog_236[[#This Row],[SAÍDA DO CLIENTE]]-Prog_236[[#This Row],[PROGRAMAÇÃO CLIENTE]]</f>
        <v>0</v>
      </c>
      <c r="AH1573" s="44"/>
      <c r="AI1573" s="66"/>
      <c r="AJ1573" s="66"/>
      <c r="AK1573" s="66"/>
      <c r="AL1573" s="66"/>
      <c r="AM1573" s="66"/>
      <c r="AN1573" s="83"/>
      <c r="AO1573" s="66"/>
      <c r="AP1573" s="66"/>
      <c r="AQ1573" s="66"/>
      <c r="AR1573" s="81"/>
      <c r="AS1573" s="81"/>
      <c r="AT1573" s="81"/>
      <c r="AU1573" s="81"/>
      <c r="AV1573" s="83">
        <f>SUM(Prog_236[[#This Row],[ADIANTAMENTO]]+Prog_236[[#This Row],[SALDO]]+Prog_236[[#This Row],[MARGEM]]+Prog_236[[#This Row],[ESTADIA 1]])</f>
        <v>0</v>
      </c>
      <c r="AW1573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3" s="81"/>
      <c r="AY1573" s="81"/>
      <c r="AZ1573" s="81">
        <f>Prog_236[[#This Row],[VLR NF]]*0.1%</f>
        <v>0</v>
      </c>
      <c r="BA1573" s="81">
        <f>Prog_236[[#This Row],[VLR NF]]*0.05%</f>
        <v>0</v>
      </c>
      <c r="BB1573" s="81"/>
      <c r="BC1573" s="81"/>
      <c r="BD1573" s="81"/>
      <c r="BE1573" s="81"/>
      <c r="BF1573" s="81"/>
      <c r="BG1573" s="81"/>
      <c r="BH1573" s="81"/>
      <c r="BI1573" s="81"/>
      <c r="BJ1573" s="81"/>
      <c r="BK1573" s="81"/>
      <c r="BL1573" s="66"/>
      <c r="BM1573" s="66"/>
      <c r="BN1573" s="66"/>
      <c r="BO1573" s="66" t="str">
        <f>PROPER(TEXT(Prog_236[[#This Row],[PROGRAMAÇÃO CLIENTE]],"mmm"))</f>
        <v>Jan</v>
      </c>
      <c r="BP1573" s="66">
        <f>YEAR(Prog_236[[#This Row],[PROGRAMAÇÃO CLIENTE]])</f>
        <v>1900</v>
      </c>
    </row>
    <row r="1574" spans="1:68" x14ac:dyDescent="0.25">
      <c r="A1574" s="202">
        <f>Prog_236[[#This Row],[CONTEINER]]</f>
        <v>0</v>
      </c>
      <c r="B1574" s="86"/>
      <c r="C1574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4" s="44"/>
      <c r="E1574" s="66"/>
      <c r="F1574" s="66"/>
      <c r="G1574" s="66"/>
      <c r="H1574" s="44"/>
      <c r="I1574" s="44"/>
      <c r="J1574" s="66"/>
      <c r="K1574" s="66"/>
      <c r="L1574" s="66"/>
      <c r="M1574" s="66"/>
      <c r="N1574" s="66">
        <f>SUM(Prog_236[[#This Row],[TARA]]+Prog_236[[#This Row],[PESO]])</f>
        <v>0</v>
      </c>
      <c r="O1574" s="44"/>
      <c r="P1574" s="66"/>
      <c r="Q1574" s="66"/>
      <c r="R1574" s="66"/>
      <c r="S1574" s="66"/>
      <c r="T1574" s="138" t="str">
        <f>IFERROR(LOOKUP($S1574,MOTORISTAS!$D$3:$D$1048576,MOTORISTAS!E$3:$E$1048576),"")</f>
        <v/>
      </c>
      <c r="U1574" s="138" t="str">
        <f>IFERROR(LOOKUP($S1574,MOTORISTAS!$D$3:$D$1048576,MOTORISTAS!F$3:$F$1048576),"")</f>
        <v/>
      </c>
      <c r="V1574" s="66"/>
      <c r="W1574" s="66"/>
      <c r="X1574" s="66"/>
      <c r="Y1574" s="66"/>
      <c r="Z1574" s="66"/>
      <c r="AA1574" s="66"/>
      <c r="AB1574" s="66"/>
      <c r="AC1574" s="66"/>
      <c r="AD1574" s="66"/>
      <c r="AE1574" s="66"/>
      <c r="AF1574" s="44"/>
      <c r="AG1574" s="254">
        <f>Prog_236[[#This Row],[SAÍDA DO CLIENTE]]-Prog_236[[#This Row],[PROGRAMAÇÃO CLIENTE]]</f>
        <v>0</v>
      </c>
      <c r="AH1574" s="44"/>
      <c r="AI1574" s="66"/>
      <c r="AJ1574" s="66"/>
      <c r="AK1574" s="66"/>
      <c r="AL1574" s="66"/>
      <c r="AM1574" s="66"/>
      <c r="AN1574" s="83"/>
      <c r="AO1574" s="66"/>
      <c r="AP1574" s="66"/>
      <c r="AQ1574" s="66"/>
      <c r="AR1574" s="81"/>
      <c r="AS1574" s="81"/>
      <c r="AT1574" s="81"/>
      <c r="AU1574" s="81"/>
      <c r="AV1574" s="83">
        <f>SUM(Prog_236[[#This Row],[ADIANTAMENTO]]+Prog_236[[#This Row],[SALDO]]+Prog_236[[#This Row],[MARGEM]]+Prog_236[[#This Row],[ESTADIA 1]])</f>
        <v>0</v>
      </c>
      <c r="AW1574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4" s="81"/>
      <c r="AY1574" s="81"/>
      <c r="AZ1574" s="81">
        <f>Prog_236[[#This Row],[VLR NF]]*0.1%</f>
        <v>0</v>
      </c>
      <c r="BA1574" s="81">
        <f>Prog_236[[#This Row],[VLR NF]]*0.05%</f>
        <v>0</v>
      </c>
      <c r="BB1574" s="81"/>
      <c r="BC1574" s="81"/>
      <c r="BD1574" s="81"/>
      <c r="BE1574" s="81"/>
      <c r="BF1574" s="81"/>
      <c r="BG1574" s="81"/>
      <c r="BH1574" s="81"/>
      <c r="BI1574" s="81"/>
      <c r="BJ1574" s="81"/>
      <c r="BK1574" s="81"/>
      <c r="BL1574" s="66"/>
      <c r="BM1574" s="66"/>
      <c r="BN1574" s="66"/>
      <c r="BO1574" s="66" t="str">
        <f>PROPER(TEXT(Prog_236[[#This Row],[PROGRAMAÇÃO CLIENTE]],"mmm"))</f>
        <v>Jan</v>
      </c>
      <c r="BP1574" s="66">
        <f>YEAR(Prog_236[[#This Row],[PROGRAMAÇÃO CLIENTE]])</f>
        <v>1900</v>
      </c>
    </row>
    <row r="1575" spans="1:68" x14ac:dyDescent="0.25">
      <c r="A1575" s="200">
        <f>Prog_236[[#This Row],[CONTEINER]]</f>
        <v>0</v>
      </c>
      <c r="B1575" s="86"/>
      <c r="C1575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5" s="44"/>
      <c r="E1575" s="66"/>
      <c r="F1575" s="66"/>
      <c r="G1575" s="66"/>
      <c r="H1575" s="44"/>
      <c r="I1575" s="44"/>
      <c r="J1575" s="66"/>
      <c r="K1575" s="66"/>
      <c r="L1575" s="66"/>
      <c r="M1575" s="66"/>
      <c r="N1575" s="66">
        <f>SUM(Prog_236[[#This Row],[TARA]]+Prog_236[[#This Row],[PESO]])</f>
        <v>0</v>
      </c>
      <c r="O1575" s="44"/>
      <c r="P1575" s="66"/>
      <c r="Q1575" s="66"/>
      <c r="R1575" s="66"/>
      <c r="S1575" s="66"/>
      <c r="T1575" s="138" t="str">
        <f>IFERROR(LOOKUP($S1575,MOTORISTAS!$D$3:$D$1048576,MOTORISTAS!E$3:$E$1048576),"")</f>
        <v/>
      </c>
      <c r="U1575" s="138" t="str">
        <f>IFERROR(LOOKUP($S1575,MOTORISTAS!$D$3:$D$1048576,MOTORISTAS!F$3:$F$1048576),"")</f>
        <v/>
      </c>
      <c r="V1575" s="66"/>
      <c r="W1575" s="66"/>
      <c r="X1575" s="66"/>
      <c r="Y1575" s="66"/>
      <c r="Z1575" s="66"/>
      <c r="AA1575" s="66"/>
      <c r="AB1575" s="66"/>
      <c r="AC1575" s="66"/>
      <c r="AD1575" s="66"/>
      <c r="AE1575" s="66"/>
      <c r="AF1575" s="44"/>
      <c r="AG1575" s="254">
        <f>Prog_236[[#This Row],[SAÍDA DO CLIENTE]]-Prog_236[[#This Row],[PROGRAMAÇÃO CLIENTE]]</f>
        <v>0</v>
      </c>
      <c r="AH1575" s="44"/>
      <c r="AI1575" s="66"/>
      <c r="AJ1575" s="66"/>
      <c r="AK1575" s="66"/>
      <c r="AL1575" s="66"/>
      <c r="AM1575" s="66"/>
      <c r="AN1575" s="83"/>
      <c r="AO1575" s="66"/>
      <c r="AP1575" s="66"/>
      <c r="AQ1575" s="66"/>
      <c r="AR1575" s="81"/>
      <c r="AS1575" s="81"/>
      <c r="AT1575" s="81"/>
      <c r="AU1575" s="81"/>
      <c r="AV1575" s="83">
        <f>SUM(Prog_236[[#This Row],[ADIANTAMENTO]]+Prog_236[[#This Row],[SALDO]]+Prog_236[[#This Row],[MARGEM]]+Prog_236[[#This Row],[ESTADIA 1]])</f>
        <v>0</v>
      </c>
      <c r="AW1575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5" s="81"/>
      <c r="AY1575" s="81"/>
      <c r="AZ1575" s="81">
        <f>Prog_236[[#This Row],[VLR NF]]*0.1%</f>
        <v>0</v>
      </c>
      <c r="BA1575" s="81">
        <f>Prog_236[[#This Row],[VLR NF]]*0.05%</f>
        <v>0</v>
      </c>
      <c r="BB1575" s="81"/>
      <c r="BC1575" s="81"/>
      <c r="BD1575" s="81"/>
      <c r="BE1575" s="81"/>
      <c r="BF1575" s="81"/>
      <c r="BG1575" s="81"/>
      <c r="BH1575" s="81"/>
      <c r="BI1575" s="81"/>
      <c r="BJ1575" s="81"/>
      <c r="BK1575" s="81"/>
      <c r="BL1575" s="66"/>
      <c r="BM1575" s="66"/>
      <c r="BN1575" s="66"/>
      <c r="BO1575" s="66" t="str">
        <f>PROPER(TEXT(Prog_236[[#This Row],[PROGRAMAÇÃO CLIENTE]],"mmm"))</f>
        <v>Jan</v>
      </c>
      <c r="BP1575" s="66">
        <f>YEAR(Prog_236[[#This Row],[PROGRAMAÇÃO CLIENTE]])</f>
        <v>1900</v>
      </c>
    </row>
    <row r="1576" spans="1:68" x14ac:dyDescent="0.25">
      <c r="A1576" s="202">
        <f>Prog_236[[#This Row],[CONTEINER]]</f>
        <v>0</v>
      </c>
      <c r="B1576" s="86"/>
      <c r="C1576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6" s="44"/>
      <c r="E1576" s="66"/>
      <c r="F1576" s="66"/>
      <c r="G1576" s="66"/>
      <c r="H1576" s="44"/>
      <c r="I1576" s="44"/>
      <c r="J1576" s="66"/>
      <c r="K1576" s="66"/>
      <c r="L1576" s="66"/>
      <c r="M1576" s="66"/>
      <c r="N1576" s="66">
        <f>SUM(Prog_236[[#This Row],[TARA]]+Prog_236[[#This Row],[PESO]])</f>
        <v>0</v>
      </c>
      <c r="O1576" s="44"/>
      <c r="P1576" s="66"/>
      <c r="Q1576" s="66"/>
      <c r="R1576" s="66"/>
      <c r="S1576" s="66"/>
      <c r="T1576" s="138" t="str">
        <f>IFERROR(LOOKUP($S1576,MOTORISTAS!$D$3:$D$1048576,MOTORISTAS!E$3:$E$1048576),"")</f>
        <v/>
      </c>
      <c r="U1576" s="138" t="str">
        <f>IFERROR(LOOKUP($S1576,MOTORISTAS!$D$3:$D$1048576,MOTORISTAS!F$3:$F$1048576),"")</f>
        <v/>
      </c>
      <c r="V1576" s="66"/>
      <c r="W1576" s="66"/>
      <c r="X1576" s="66"/>
      <c r="Y1576" s="66"/>
      <c r="Z1576" s="66"/>
      <c r="AA1576" s="66"/>
      <c r="AB1576" s="66"/>
      <c r="AC1576" s="66"/>
      <c r="AD1576" s="66"/>
      <c r="AE1576" s="66"/>
      <c r="AF1576" s="44"/>
      <c r="AG1576" s="254">
        <f>Prog_236[[#This Row],[SAÍDA DO CLIENTE]]-Prog_236[[#This Row],[PROGRAMAÇÃO CLIENTE]]</f>
        <v>0</v>
      </c>
      <c r="AH1576" s="44"/>
      <c r="AI1576" s="66"/>
      <c r="AJ1576" s="66"/>
      <c r="AK1576" s="66"/>
      <c r="AL1576" s="66"/>
      <c r="AM1576" s="66"/>
      <c r="AN1576" s="83"/>
      <c r="AO1576" s="66"/>
      <c r="AP1576" s="66"/>
      <c r="AQ1576" s="66"/>
      <c r="AR1576" s="81"/>
      <c r="AS1576" s="81"/>
      <c r="AT1576" s="81"/>
      <c r="AU1576" s="81"/>
      <c r="AV1576" s="83">
        <f>SUM(Prog_236[[#This Row],[ADIANTAMENTO]]+Prog_236[[#This Row],[SALDO]]+Prog_236[[#This Row],[MARGEM]]+Prog_236[[#This Row],[ESTADIA 1]])</f>
        <v>0</v>
      </c>
      <c r="AW1576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6" s="81"/>
      <c r="AY1576" s="81"/>
      <c r="AZ1576" s="81">
        <f>Prog_236[[#This Row],[VLR NF]]*0.1%</f>
        <v>0</v>
      </c>
      <c r="BA1576" s="81">
        <f>Prog_236[[#This Row],[VLR NF]]*0.05%</f>
        <v>0</v>
      </c>
      <c r="BB1576" s="81"/>
      <c r="BC1576" s="81"/>
      <c r="BD1576" s="81"/>
      <c r="BE1576" s="81"/>
      <c r="BF1576" s="81"/>
      <c r="BG1576" s="81"/>
      <c r="BH1576" s="81"/>
      <c r="BI1576" s="81"/>
      <c r="BJ1576" s="81"/>
      <c r="BK1576" s="81"/>
      <c r="BL1576" s="66"/>
      <c r="BM1576" s="66"/>
      <c r="BN1576" s="66"/>
      <c r="BO1576" s="66" t="str">
        <f>PROPER(TEXT(Prog_236[[#This Row],[PROGRAMAÇÃO CLIENTE]],"mmm"))</f>
        <v>Jan</v>
      </c>
      <c r="BP1576" s="66">
        <f>YEAR(Prog_236[[#This Row],[PROGRAMAÇÃO CLIENTE]])</f>
        <v>1900</v>
      </c>
    </row>
    <row r="1577" spans="1:68" x14ac:dyDescent="0.25">
      <c r="A1577" s="200">
        <f>Prog_236[[#This Row],[CONTEINER]]</f>
        <v>0</v>
      </c>
      <c r="B1577" s="86"/>
      <c r="C1577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7" s="44"/>
      <c r="E1577" s="66"/>
      <c r="F1577" s="66"/>
      <c r="G1577" s="66"/>
      <c r="H1577" s="44"/>
      <c r="I1577" s="44"/>
      <c r="J1577" s="66"/>
      <c r="K1577" s="66"/>
      <c r="L1577" s="66"/>
      <c r="M1577" s="66"/>
      <c r="N1577" s="66">
        <f>SUM(Prog_236[[#This Row],[TARA]]+Prog_236[[#This Row],[PESO]])</f>
        <v>0</v>
      </c>
      <c r="O1577" s="44"/>
      <c r="P1577" s="66"/>
      <c r="Q1577" s="66"/>
      <c r="R1577" s="66"/>
      <c r="S1577" s="66"/>
      <c r="T1577" s="138" t="str">
        <f>IFERROR(LOOKUP($S1577,MOTORISTAS!$D$3:$D$1048576,MOTORISTAS!E$3:$E$1048576),"")</f>
        <v/>
      </c>
      <c r="U1577" s="138" t="str">
        <f>IFERROR(LOOKUP($S1577,MOTORISTAS!$D$3:$D$1048576,MOTORISTAS!F$3:$F$1048576),"")</f>
        <v/>
      </c>
      <c r="V1577" s="66"/>
      <c r="W1577" s="66"/>
      <c r="X1577" s="66"/>
      <c r="Y1577" s="66"/>
      <c r="Z1577" s="66"/>
      <c r="AA1577" s="66"/>
      <c r="AB1577" s="66"/>
      <c r="AC1577" s="66"/>
      <c r="AD1577" s="66"/>
      <c r="AE1577" s="66"/>
      <c r="AF1577" s="44"/>
      <c r="AG1577" s="254">
        <f>Prog_236[[#This Row],[SAÍDA DO CLIENTE]]-Prog_236[[#This Row],[PROGRAMAÇÃO CLIENTE]]</f>
        <v>0</v>
      </c>
      <c r="AH1577" s="44"/>
      <c r="AI1577" s="66"/>
      <c r="AJ1577" s="66"/>
      <c r="AK1577" s="66"/>
      <c r="AL1577" s="66"/>
      <c r="AM1577" s="66"/>
      <c r="AN1577" s="83"/>
      <c r="AO1577" s="66"/>
      <c r="AP1577" s="66"/>
      <c r="AQ1577" s="66"/>
      <c r="AR1577" s="81"/>
      <c r="AS1577" s="81"/>
      <c r="AT1577" s="81"/>
      <c r="AU1577" s="81"/>
      <c r="AV1577" s="83">
        <f>SUM(Prog_236[[#This Row],[ADIANTAMENTO]]+Prog_236[[#This Row],[SALDO]]+Prog_236[[#This Row],[MARGEM]]+Prog_236[[#This Row],[ESTADIA 1]])</f>
        <v>0</v>
      </c>
      <c r="AW1577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7" s="81"/>
      <c r="AY1577" s="81"/>
      <c r="AZ1577" s="81">
        <f>Prog_236[[#This Row],[VLR NF]]*0.1%</f>
        <v>0</v>
      </c>
      <c r="BA1577" s="81">
        <f>Prog_236[[#This Row],[VLR NF]]*0.05%</f>
        <v>0</v>
      </c>
      <c r="BB1577" s="81"/>
      <c r="BC1577" s="81"/>
      <c r="BD1577" s="81"/>
      <c r="BE1577" s="81"/>
      <c r="BF1577" s="81"/>
      <c r="BG1577" s="81"/>
      <c r="BH1577" s="81"/>
      <c r="BI1577" s="81"/>
      <c r="BJ1577" s="81"/>
      <c r="BK1577" s="81"/>
      <c r="BL1577" s="66"/>
      <c r="BM1577" s="66"/>
      <c r="BN1577" s="66"/>
      <c r="BO1577" s="66" t="str">
        <f>PROPER(TEXT(Prog_236[[#This Row],[PROGRAMAÇÃO CLIENTE]],"mmm"))</f>
        <v>Jan</v>
      </c>
      <c r="BP1577" s="66">
        <f>YEAR(Prog_236[[#This Row],[PROGRAMAÇÃO CLIENTE]])</f>
        <v>1900</v>
      </c>
    </row>
    <row r="1578" spans="1:68" x14ac:dyDescent="0.25">
      <c r="A1578" s="202">
        <f>Prog_236[[#This Row],[CONTEINER]]</f>
        <v>0</v>
      </c>
      <c r="B1578" s="86"/>
      <c r="C1578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8" s="44"/>
      <c r="E1578" s="66"/>
      <c r="F1578" s="66"/>
      <c r="G1578" s="66"/>
      <c r="H1578" s="44"/>
      <c r="I1578" s="44"/>
      <c r="J1578" s="66"/>
      <c r="K1578" s="66"/>
      <c r="L1578" s="66"/>
      <c r="M1578" s="66"/>
      <c r="N1578" s="66">
        <f>SUM(Prog_236[[#This Row],[TARA]]+Prog_236[[#This Row],[PESO]])</f>
        <v>0</v>
      </c>
      <c r="O1578" s="44"/>
      <c r="P1578" s="66"/>
      <c r="Q1578" s="66"/>
      <c r="R1578" s="66"/>
      <c r="S1578" s="66"/>
      <c r="T1578" s="138" t="str">
        <f>IFERROR(LOOKUP($S1578,MOTORISTAS!$D$3:$D$1048576,MOTORISTAS!E$3:$E$1048576),"")</f>
        <v/>
      </c>
      <c r="U1578" s="138" t="str">
        <f>IFERROR(LOOKUP($S1578,MOTORISTAS!$D$3:$D$1048576,MOTORISTAS!F$3:$F$1048576),"")</f>
        <v/>
      </c>
      <c r="V1578" s="66"/>
      <c r="W1578" s="66"/>
      <c r="X1578" s="66"/>
      <c r="Y1578" s="66"/>
      <c r="Z1578" s="66"/>
      <c r="AA1578" s="66"/>
      <c r="AB1578" s="66"/>
      <c r="AC1578" s="66"/>
      <c r="AD1578" s="66"/>
      <c r="AE1578" s="66"/>
      <c r="AF1578" s="44"/>
      <c r="AG1578" s="254">
        <f>Prog_236[[#This Row],[SAÍDA DO CLIENTE]]-Prog_236[[#This Row],[PROGRAMAÇÃO CLIENTE]]</f>
        <v>0</v>
      </c>
      <c r="AH1578" s="44"/>
      <c r="AI1578" s="66"/>
      <c r="AJ1578" s="66"/>
      <c r="AK1578" s="66"/>
      <c r="AL1578" s="66"/>
      <c r="AM1578" s="66"/>
      <c r="AN1578" s="83"/>
      <c r="AO1578" s="66"/>
      <c r="AP1578" s="66"/>
      <c r="AQ1578" s="66"/>
      <c r="AR1578" s="81"/>
      <c r="AS1578" s="81"/>
      <c r="AT1578" s="81"/>
      <c r="AU1578" s="81"/>
      <c r="AV1578" s="83">
        <f>SUM(Prog_236[[#This Row],[ADIANTAMENTO]]+Prog_236[[#This Row],[SALDO]]+Prog_236[[#This Row],[MARGEM]]+Prog_236[[#This Row],[ESTADIA 1]])</f>
        <v>0</v>
      </c>
      <c r="AW1578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8" s="81"/>
      <c r="AY1578" s="81"/>
      <c r="AZ1578" s="81">
        <f>Prog_236[[#This Row],[VLR NF]]*0.1%</f>
        <v>0</v>
      </c>
      <c r="BA1578" s="81">
        <f>Prog_236[[#This Row],[VLR NF]]*0.05%</f>
        <v>0</v>
      </c>
      <c r="BB1578" s="81"/>
      <c r="BC1578" s="81"/>
      <c r="BD1578" s="81"/>
      <c r="BE1578" s="81"/>
      <c r="BF1578" s="81"/>
      <c r="BG1578" s="81"/>
      <c r="BH1578" s="81"/>
      <c r="BI1578" s="81"/>
      <c r="BJ1578" s="81"/>
      <c r="BK1578" s="81"/>
      <c r="BL1578" s="66"/>
      <c r="BM1578" s="66"/>
      <c r="BN1578" s="66"/>
      <c r="BO1578" s="66" t="str">
        <f>PROPER(TEXT(Prog_236[[#This Row],[PROGRAMAÇÃO CLIENTE]],"mmm"))</f>
        <v>Jan</v>
      </c>
      <c r="BP1578" s="66">
        <f>YEAR(Prog_236[[#This Row],[PROGRAMAÇÃO CLIENTE]])</f>
        <v>1900</v>
      </c>
    </row>
    <row r="1579" spans="1:68" x14ac:dyDescent="0.25">
      <c r="A1579" s="200">
        <f>Prog_236[[#This Row],[CONTEINER]]</f>
        <v>0</v>
      </c>
      <c r="B1579" s="86"/>
      <c r="C1579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79" s="44"/>
      <c r="E1579" s="66"/>
      <c r="F1579" s="66"/>
      <c r="G1579" s="66"/>
      <c r="H1579" s="44"/>
      <c r="I1579" s="44"/>
      <c r="J1579" s="66"/>
      <c r="K1579" s="66"/>
      <c r="L1579" s="66"/>
      <c r="M1579" s="66"/>
      <c r="N1579" s="66">
        <f>SUM(Prog_236[[#This Row],[TARA]]+Prog_236[[#This Row],[PESO]])</f>
        <v>0</v>
      </c>
      <c r="O1579" s="44"/>
      <c r="P1579" s="66"/>
      <c r="Q1579" s="66"/>
      <c r="R1579" s="66"/>
      <c r="S1579" s="66"/>
      <c r="T1579" s="138" t="str">
        <f>IFERROR(LOOKUP($S1579,MOTORISTAS!$D$3:$D$1048576,MOTORISTAS!E$3:$E$1048576),"")</f>
        <v/>
      </c>
      <c r="U1579" s="138" t="str">
        <f>IFERROR(LOOKUP($S1579,MOTORISTAS!$D$3:$D$1048576,MOTORISTAS!F$3:$F$1048576),"")</f>
        <v/>
      </c>
      <c r="V1579" s="66"/>
      <c r="W1579" s="66"/>
      <c r="X1579" s="66"/>
      <c r="Y1579" s="66"/>
      <c r="Z1579" s="66"/>
      <c r="AA1579" s="66"/>
      <c r="AB1579" s="66"/>
      <c r="AC1579" s="66"/>
      <c r="AD1579" s="66"/>
      <c r="AE1579" s="66"/>
      <c r="AF1579" s="44"/>
      <c r="AG1579" s="254">
        <f>Prog_236[[#This Row],[SAÍDA DO CLIENTE]]-Prog_236[[#This Row],[PROGRAMAÇÃO CLIENTE]]</f>
        <v>0</v>
      </c>
      <c r="AH1579" s="44"/>
      <c r="AI1579" s="66"/>
      <c r="AJ1579" s="66"/>
      <c r="AK1579" s="66"/>
      <c r="AL1579" s="66"/>
      <c r="AM1579" s="66"/>
      <c r="AN1579" s="83"/>
      <c r="AO1579" s="66"/>
      <c r="AP1579" s="66"/>
      <c r="AQ1579" s="66"/>
      <c r="AR1579" s="81"/>
      <c r="AS1579" s="81"/>
      <c r="AT1579" s="81"/>
      <c r="AU1579" s="81"/>
      <c r="AV1579" s="83">
        <f>SUM(Prog_236[[#This Row],[ADIANTAMENTO]]+Prog_236[[#This Row],[SALDO]]+Prog_236[[#This Row],[MARGEM]]+Prog_236[[#This Row],[ESTADIA 1]])</f>
        <v>0</v>
      </c>
      <c r="AW1579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79" s="81"/>
      <c r="AY1579" s="81"/>
      <c r="AZ1579" s="81">
        <f>Prog_236[[#This Row],[VLR NF]]*0.1%</f>
        <v>0</v>
      </c>
      <c r="BA1579" s="81">
        <f>Prog_236[[#This Row],[VLR NF]]*0.05%</f>
        <v>0</v>
      </c>
      <c r="BB1579" s="81"/>
      <c r="BC1579" s="81"/>
      <c r="BD1579" s="81"/>
      <c r="BE1579" s="81"/>
      <c r="BF1579" s="81"/>
      <c r="BG1579" s="81"/>
      <c r="BH1579" s="81"/>
      <c r="BI1579" s="81"/>
      <c r="BJ1579" s="81"/>
      <c r="BK1579" s="81"/>
      <c r="BL1579" s="66"/>
      <c r="BM1579" s="66"/>
      <c r="BN1579" s="66"/>
      <c r="BO1579" s="66" t="str">
        <f>PROPER(TEXT(Prog_236[[#This Row],[PROGRAMAÇÃO CLIENTE]],"mmm"))</f>
        <v>Jan</v>
      </c>
      <c r="BP1579" s="66">
        <f>YEAR(Prog_236[[#This Row],[PROGRAMAÇÃO CLIENTE]])</f>
        <v>1900</v>
      </c>
    </row>
    <row r="1580" spans="1:68" x14ac:dyDescent="0.25">
      <c r="A1580" s="202">
        <f>Prog_236[[#This Row],[CONTEINER]]</f>
        <v>0</v>
      </c>
      <c r="B1580" s="86"/>
      <c r="C1580" s="86" t="str">
        <f ca="1">IF(AND(Prog_236[[#This Row],[CHEGADA NO CLIENTE]]="",
TODAY()&gt;Prog_236[[#This Row],[PROGRAMAÇÃO CLIENTE]]),
"Em trânsito - Atrasado",
IF(AND(Prog_236[[#This Row],[CHEGADA NO CLIENTE]]="",
TODAY()&lt;=Prog_236[[#This Row],[PROGRAMAÇÃO CLIENTE]]),
"Em trânsito - No prazo",
IF(Prog_236[[#This Row],[CHEGADA NO CLIENTE]]&gt;Prog_236[[#This Row],[PROGRAMAÇÃO CLIENTE]],
"ATRASADO","NO PRAZO")))</f>
        <v>Em trânsito - Atrasado</v>
      </c>
      <c r="D1580" s="44"/>
      <c r="E1580" s="66"/>
      <c r="F1580" s="66"/>
      <c r="G1580" s="66"/>
      <c r="H1580" s="44"/>
      <c r="I1580" s="44"/>
      <c r="J1580" s="66"/>
      <c r="K1580" s="66"/>
      <c r="L1580" s="66"/>
      <c r="M1580" s="66"/>
      <c r="N1580" s="66">
        <f>SUM(Prog_236[[#This Row],[TARA]]+Prog_236[[#This Row],[PESO]])</f>
        <v>0</v>
      </c>
      <c r="O1580" s="44"/>
      <c r="P1580" s="66"/>
      <c r="Q1580" s="66"/>
      <c r="R1580" s="66"/>
      <c r="S1580" s="66"/>
      <c r="T1580" s="138" t="str">
        <f>IFERROR(LOOKUP($S1580,MOTORISTAS!$D$3:$D$1048576,MOTORISTAS!E$3:$E$1048576),"")</f>
        <v/>
      </c>
      <c r="U1580" s="138" t="str">
        <f>IFERROR(LOOKUP($S1580,MOTORISTAS!$D$3:$D$1048576,MOTORISTAS!F$3:$F$1048576),"")</f>
        <v/>
      </c>
      <c r="V1580" s="66"/>
      <c r="W1580" s="66"/>
      <c r="X1580" s="66"/>
      <c r="Y1580" s="66"/>
      <c r="Z1580" s="66"/>
      <c r="AA1580" s="66"/>
      <c r="AB1580" s="66"/>
      <c r="AC1580" s="66"/>
      <c r="AD1580" s="66"/>
      <c r="AE1580" s="66"/>
      <c r="AF1580" s="44"/>
      <c r="AG1580" s="254">
        <f>Prog_236[[#This Row],[SAÍDA DO CLIENTE]]-Prog_236[[#This Row],[PROGRAMAÇÃO CLIENTE]]</f>
        <v>0</v>
      </c>
      <c r="AH1580" s="44"/>
      <c r="AI1580" s="66"/>
      <c r="AJ1580" s="66"/>
      <c r="AK1580" s="66"/>
      <c r="AL1580" s="66"/>
      <c r="AM1580" s="66"/>
      <c r="AN1580" s="83"/>
      <c r="AO1580" s="66"/>
      <c r="AP1580" s="66"/>
      <c r="AQ1580" s="66"/>
      <c r="AR1580" s="81"/>
      <c r="AS1580" s="81"/>
      <c r="AT1580" s="81"/>
      <c r="AU1580" s="81"/>
      <c r="AV1580" s="83">
        <f>SUM(Prog_236[[#This Row],[ADIANTAMENTO]]+Prog_236[[#This Row],[SALDO]]+Prog_236[[#This Row],[MARGEM]]+Prog_236[[#This Row],[ESTADIA 1]])</f>
        <v>0</v>
      </c>
      <c r="AW1580" s="83">
        <f>Prog_236[[#This Row],[FRETE PESO]]+Prog_236[[#This Row],[Pedágio]]+Prog_236[[#This Row],[Ad-valorem]]+Prog_236[[#This Row],[Entrega]]+Prog_236[[#This Row],[Gris]]+Prog_236[[#This Row],[Seguro]]+Prog_236[[#This Row],[Outros]]+Prog_236[[#This Row],[Taxa DTA]]+Prog_236[[#This Row],[Taxa LS]]+Prog_236[[#This Row],[Taxa IMO]]+Prog_236[[#This Row],[ICMS]]+Prog_236[[#This Row],[Retirada]]+Prog_236[[#This Row],[Estadia]]</f>
        <v>0</v>
      </c>
      <c r="AX1580" s="81"/>
      <c r="AY1580" s="81"/>
      <c r="AZ1580" s="81">
        <f>Prog_236[[#This Row],[VLR NF]]*0.1%</f>
        <v>0</v>
      </c>
      <c r="BA1580" s="81">
        <f>Prog_236[[#This Row],[VLR NF]]*0.05%</f>
        <v>0</v>
      </c>
      <c r="BB1580" s="81"/>
      <c r="BC1580" s="81"/>
      <c r="BD1580" s="81"/>
      <c r="BE1580" s="81"/>
      <c r="BF1580" s="81"/>
      <c r="BG1580" s="81"/>
      <c r="BH1580" s="81"/>
      <c r="BI1580" s="81"/>
      <c r="BJ1580" s="81"/>
      <c r="BK1580" s="81"/>
      <c r="BL1580" s="66"/>
      <c r="BM1580" s="66"/>
      <c r="BN1580" s="66"/>
      <c r="BO1580" s="66" t="str">
        <f>PROPER(TEXT(Prog_236[[#This Row],[PROGRAMAÇÃO CLIENTE]],"mmm"))</f>
        <v>Jan</v>
      </c>
      <c r="BP1580" s="66">
        <f>YEAR(Prog_236[[#This Row],[PROGRAMAÇÃO CLIENTE]])</f>
        <v>1900</v>
      </c>
    </row>
  </sheetData>
  <sheetProtection selectLockedCells="1" selectUnlockedCells="1"/>
  <conditionalFormatting sqref="A1:A2">
    <cfRule type="duplicateValues" dxfId="2542" priority="11"/>
  </conditionalFormatting>
  <conditionalFormatting sqref="A3:BP1580">
    <cfRule type="expression" dxfId="2541" priority="1">
      <formula>$B3="NO CLIENTE"</formula>
    </cfRule>
    <cfRule type="expression" dxfId="2540" priority="2">
      <formula>$B3="SEM PROGRAMAÇÃO"</formula>
    </cfRule>
    <cfRule type="expression" dxfId="2539" priority="3">
      <formula>$B3="PROGRAMADO"</formula>
    </cfRule>
    <cfRule type="expression" dxfId="2538" priority="4">
      <formula>$B3="PRÉ-STACKING"</formula>
    </cfRule>
    <cfRule type="expression" dxfId="2537" priority="5">
      <formula>$B3="FINALIZADO"</formula>
    </cfRule>
    <cfRule type="expression" dxfId="2536" priority="6">
      <formula>$B3="ENTREGUE"</formula>
    </cfRule>
    <cfRule type="expression" dxfId="2535" priority="7">
      <formula>$B3="EM TRÂNSITO TERMINAL"</formula>
    </cfRule>
    <cfRule type="expression" dxfId="2534" priority="8">
      <formula>$B3="EM TRÂNSITO CLIENTE"</formula>
    </cfRule>
    <cfRule type="expression" dxfId="2533" priority="9">
      <formula>$B3="CANCELADO"</formula>
    </cfRule>
    <cfRule type="expression" dxfId="2532" priority="10">
      <formula>$B3="AGUARDANDO VEÍCULO"</formula>
    </cfRule>
  </conditionalFormatting>
  <conditionalFormatting sqref="I1:I2">
    <cfRule type="duplicateValues" dxfId="2531" priority="12"/>
  </conditionalFormatting>
  <dataValidations count="2">
    <dataValidation type="list" allowBlank="1" showInputMessage="1" showErrorMessage="1" sqref="AJ72:AJ1580 AJ3:AJ71" xr:uid="{A8E6632B-21B1-4129-939C-9D57CF814760}">
      <formula1>"Trânsito,Operacional,Atraso Motorista,Reprogramado,Pane elétrica ou mecânica,Documental"</formula1>
    </dataValidation>
    <dataValidation type="list" allowBlank="1" showInputMessage="1" showErrorMessage="1" sqref="B72:B1580 B3:B71" xr:uid="{D44779E2-E225-46A5-B182-5B74F5A87012}">
      <formula1>"AGUARDANDO VEÍCULO,CANCELADO,EM TRÂNSITO CLIENTE,EM TRÂNSITO TERMINAL,ENTREGUE,FINALIZADO,NO CLIENTE,PROGRAMADO,SEM PROGRAMAÇÃO,PRÉ-STACKING"</formula1>
    </dataValidation>
  </dataValidations>
  <printOptions gridLines="1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InputMessage="1" showErrorMessage="1" errorTitle="ERRO" error="Nome do Motorista Errado" promptTitle="Nome do Motorista" prompt="Insira o Nome do Motorista" xr:uid="{CA47C8F8-CF8A-41B3-98D6-CB8DE0C2164E}">
          <x14:formula1>
            <xm:f>MOTORISTAS!$D$3:$D$82</xm:f>
          </x14:formula1>
          <xm:sqref>S72:S1580 S3:S71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B4B6-4271-4F86-B5A6-7FAA7016FE5B}">
  <sheetPr codeName="Planilha3">
    <tabColor rgb="FFFFC000"/>
  </sheetPr>
  <dimension ref="A1:AR1553"/>
  <sheetViews>
    <sheetView showGridLines="0" topLeftCell="B1" workbookViewId="0">
      <pane xSplit="9" ySplit="2" topLeftCell="P894" activePane="bottomRight" state="frozen"/>
      <selection activeCell="B1" sqref="B1"/>
      <selection pane="topRight" activeCell="K1" sqref="K1"/>
      <selection pane="bottomLeft" activeCell="B3" sqref="B3"/>
      <selection pane="bottomRight" activeCell="Q900" sqref="Q900"/>
    </sheetView>
  </sheetViews>
  <sheetFormatPr defaultRowHeight="15" x14ac:dyDescent="0.25"/>
  <cols>
    <col min="1" max="1" width="13.28515625" style="82" bestFit="1" customWidth="1"/>
    <col min="2" max="2" width="10.7109375" style="128" customWidth="1"/>
    <col min="3" max="3" width="15.28515625" style="32" customWidth="1"/>
    <col min="4" max="4" width="16.42578125" style="32" bestFit="1" customWidth="1"/>
    <col min="5" max="5" width="13.28515625" style="82" bestFit="1" customWidth="1"/>
    <col min="6" max="6" width="6.140625" style="32" customWidth="1"/>
    <col min="7" max="7" width="8" style="32" customWidth="1"/>
    <col min="8" max="8" width="16.42578125" style="82" customWidth="1"/>
    <col min="9" max="9" width="11.140625" style="299" customWidth="1"/>
    <col min="10" max="10" width="11.5703125" style="32" customWidth="1"/>
    <col min="11" max="11" width="24.5703125" style="32" customWidth="1"/>
    <col min="12" max="13" width="9.7109375" style="32" customWidth="1"/>
    <col min="14" max="14" width="9.85546875" style="32" bestFit="1" customWidth="1"/>
    <col min="15" max="15" width="10.42578125" style="32" bestFit="1" customWidth="1"/>
    <col min="16" max="16" width="34" style="32" customWidth="1"/>
    <col min="17" max="18" width="12" style="32" customWidth="1"/>
    <col min="19" max="19" width="9.140625" style="32" customWidth="1"/>
    <col min="20" max="20" width="14.28515625" style="32" customWidth="1"/>
    <col min="21" max="25" width="16.140625" style="32" customWidth="1"/>
    <col min="26" max="26" width="15.140625" style="32" customWidth="1"/>
    <col min="27" max="28" width="11.42578125" style="32" customWidth="1"/>
    <col min="29" max="33" width="11.7109375" style="32" customWidth="1"/>
    <col min="34" max="34" width="11.5703125" style="82" customWidth="1"/>
    <col min="35" max="35" width="8.42578125" style="32" customWidth="1"/>
    <col min="36" max="36" width="8.5703125" style="32" customWidth="1"/>
    <col min="37" max="37" width="15.7109375" style="32" customWidth="1"/>
    <col min="38" max="38" width="17.140625" customWidth="1"/>
    <col min="39" max="39" width="8.28515625" style="32" customWidth="1"/>
    <col min="40" max="40" width="8.28515625" customWidth="1"/>
    <col min="41" max="41" width="8.28515625" style="32" customWidth="1"/>
    <col min="45" max="46" width="12.85546875" style="32" bestFit="1" customWidth="1"/>
    <col min="47" max="47" width="9.140625" style="32"/>
    <col min="48" max="48" width="24.140625" style="32" bestFit="1" customWidth="1"/>
    <col min="49" max="16384" width="9.140625" style="32"/>
  </cols>
  <sheetData>
    <row r="1" spans="1:44" x14ac:dyDescent="0.25">
      <c r="A1" s="68"/>
      <c r="B1" s="127"/>
      <c r="C1" s="45"/>
      <c r="D1" s="82"/>
      <c r="E1" s="68"/>
      <c r="F1" s="47"/>
      <c r="G1" s="44"/>
      <c r="H1" s="68"/>
      <c r="I1" s="298"/>
      <c r="J1" s="49"/>
      <c r="K1" s="68"/>
      <c r="L1" s="69"/>
      <c r="M1" s="68"/>
      <c r="N1" s="68"/>
      <c r="O1" s="68"/>
      <c r="P1" s="70"/>
      <c r="Q1" s="44"/>
      <c r="R1" s="44"/>
      <c r="S1" s="44"/>
      <c r="T1" s="52"/>
      <c r="U1" s="47"/>
      <c r="V1" s="28"/>
      <c r="W1" s="44"/>
      <c r="X1" s="44"/>
      <c r="Y1" s="33"/>
      <c r="Z1" s="140"/>
      <c r="AA1" s="140"/>
      <c r="AB1" s="140"/>
      <c r="AC1" s="140"/>
      <c r="AD1" s="140"/>
      <c r="AE1" s="140"/>
      <c r="AF1" s="140"/>
      <c r="AG1" s="140"/>
      <c r="AH1" s="140"/>
      <c r="AI1" s="78"/>
      <c r="AJ1" s="78"/>
      <c r="AK1" s="71"/>
      <c r="AL1" s="71"/>
      <c r="AM1" s="71" t="s">
        <v>275</v>
      </c>
      <c r="AN1" s="71"/>
      <c r="AO1" s="71"/>
      <c r="AP1" s="32"/>
      <c r="AQ1" s="32"/>
      <c r="AR1" s="32"/>
    </row>
    <row r="2" spans="1:44" ht="22.5" x14ac:dyDescent="0.25">
      <c r="A2" s="147" t="s">
        <v>2775</v>
      </c>
      <c r="B2" s="166" t="s">
        <v>2773</v>
      </c>
      <c r="C2" s="167" t="s">
        <v>2800</v>
      </c>
      <c r="D2" s="150" t="s">
        <v>2801</v>
      </c>
      <c r="E2" s="147" t="s">
        <v>2775</v>
      </c>
      <c r="F2" s="147" t="s">
        <v>2776</v>
      </c>
      <c r="G2" s="147" t="s">
        <v>2777</v>
      </c>
      <c r="H2" s="147" t="s">
        <v>2778</v>
      </c>
      <c r="I2" s="148" t="s">
        <v>2779</v>
      </c>
      <c r="J2" s="151" t="s">
        <v>2780</v>
      </c>
      <c r="K2" s="150" t="s">
        <v>229</v>
      </c>
      <c r="L2" s="150" t="s">
        <v>2781</v>
      </c>
      <c r="M2" s="152" t="s">
        <v>2782</v>
      </c>
      <c r="N2" s="153" t="s">
        <v>2783</v>
      </c>
      <c r="O2" s="153" t="s">
        <v>2784</v>
      </c>
      <c r="P2" s="150" t="s">
        <v>2785</v>
      </c>
      <c r="Q2" s="152" t="s">
        <v>4</v>
      </c>
      <c r="R2" s="152" t="s">
        <v>5</v>
      </c>
      <c r="S2" s="150" t="s">
        <v>2786</v>
      </c>
      <c r="T2" s="158" t="s">
        <v>2787</v>
      </c>
      <c r="U2" s="158" t="s">
        <v>2788</v>
      </c>
      <c r="V2" s="159" t="s">
        <v>2789</v>
      </c>
      <c r="W2" s="160" t="s">
        <v>2790</v>
      </c>
      <c r="X2" s="149" t="s">
        <v>232</v>
      </c>
      <c r="Y2" s="149" t="s">
        <v>233</v>
      </c>
      <c r="Z2" s="141" t="s">
        <v>2791</v>
      </c>
      <c r="AA2" s="141" t="s">
        <v>2792</v>
      </c>
      <c r="AB2" s="141" t="s">
        <v>253</v>
      </c>
      <c r="AC2" s="141" t="s">
        <v>2793</v>
      </c>
      <c r="AD2" s="273" t="s">
        <v>256</v>
      </c>
      <c r="AE2" s="273" t="s">
        <v>5770</v>
      </c>
      <c r="AF2" s="273" t="s">
        <v>5599</v>
      </c>
      <c r="AG2" s="273" t="s">
        <v>262</v>
      </c>
      <c r="AH2" s="273" t="s">
        <v>2794</v>
      </c>
      <c r="AI2" s="161" t="s">
        <v>281</v>
      </c>
      <c r="AJ2" s="161" t="s">
        <v>282</v>
      </c>
      <c r="AK2" s="168" t="s">
        <v>3540</v>
      </c>
      <c r="AL2" s="168" t="s">
        <v>243</v>
      </c>
      <c r="AM2" s="65" t="s">
        <v>2795</v>
      </c>
      <c r="AN2" s="65" t="s">
        <v>2796</v>
      </c>
      <c r="AO2" s="65" t="s">
        <v>266</v>
      </c>
      <c r="AP2" s="32"/>
      <c r="AQ2" s="32"/>
      <c r="AR2" s="32"/>
    </row>
    <row r="3" spans="1:44" s="66" customFormat="1" ht="12.75" x14ac:dyDescent="0.2">
      <c r="A3" s="120" t="str">
        <f>Sal_23[[#This Row],[CONTAINER]]</f>
        <v>AMFU8877052</v>
      </c>
      <c r="B3" s="128" t="s">
        <v>2771</v>
      </c>
      <c r="C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" s="79">
        <v>44929.333333333336</v>
      </c>
      <c r="E3" s="44" t="s">
        <v>3018</v>
      </c>
      <c r="F3" s="66">
        <v>20</v>
      </c>
      <c r="G3" s="66" t="s">
        <v>2826</v>
      </c>
      <c r="H3" s="44" t="s">
        <v>3195</v>
      </c>
      <c r="I3" s="299" t="s">
        <v>2830</v>
      </c>
      <c r="J3" s="66">
        <v>59214</v>
      </c>
      <c r="K3" s="66" t="s">
        <v>3019</v>
      </c>
      <c r="L3" s="66">
        <v>102544</v>
      </c>
      <c r="N3" s="66" t="s">
        <v>92</v>
      </c>
      <c r="O3" s="66" t="s">
        <v>93</v>
      </c>
      <c r="P3" s="66" t="s">
        <v>94</v>
      </c>
      <c r="Q3" s="138" t="str">
        <f ca="1">IFERROR(LOOKUP($P3,MOTORISTAS!$D$3:$D$1048576,MOTORISTAS!E$3:E$916),"")</f>
        <v>26283419801</v>
      </c>
      <c r="R3" s="138" t="str">
        <f ca="1">IFERROR(LOOKUP($P3,MOTORISTAS!$D$3:$D$1048576,MOTORISTAS!F$3:F$916),"")</f>
        <v>02002046946</v>
      </c>
      <c r="S3" s="66">
        <v>3193</v>
      </c>
      <c r="T3" s="66" t="s">
        <v>293</v>
      </c>
      <c r="U3" s="79">
        <v>44929.020833333336</v>
      </c>
      <c r="V3" s="79" t="s">
        <v>469</v>
      </c>
      <c r="W3" s="79">
        <v>44929.685416666667</v>
      </c>
      <c r="X3" s="79">
        <v>44929.25</v>
      </c>
      <c r="Y3" s="88">
        <v>44929.416666666664</v>
      </c>
      <c r="Z3" s="81">
        <v>2300</v>
      </c>
      <c r="AA3" s="81">
        <v>0</v>
      </c>
      <c r="AB3" s="81">
        <f>SUM(Sal_23[[#This Row],[Saldo]]+Sal_23[[#This Row],[Adiantamento]])</f>
        <v>2300</v>
      </c>
      <c r="AC3" s="81">
        <v>0</v>
      </c>
      <c r="AD3" s="81"/>
      <c r="AE3" s="81"/>
      <c r="AF3" s="81"/>
      <c r="AG3" s="81">
        <f>Sal_23[[#This Row],[COMPRA]]*12%</f>
        <v>392.15039999999999</v>
      </c>
      <c r="AH3" s="83">
        <v>3267.92</v>
      </c>
      <c r="AI3" s="66" t="str">
        <f>PROPER(TEXT(Sal_23[[#This Row],[PROGRAMAÇÃO]],"mmm"))</f>
        <v>Jan</v>
      </c>
      <c r="AJ3" s="66">
        <f>YEAR(Sal_23[[#This Row],[PROGRAMAÇÃO]])</f>
        <v>2023</v>
      </c>
      <c r="AM3" s="66" t="s">
        <v>2768</v>
      </c>
      <c r="AN3" s="66" t="s">
        <v>2768</v>
      </c>
      <c r="AO3" s="66" t="s">
        <v>2768</v>
      </c>
    </row>
    <row r="4" spans="1:44" s="66" customFormat="1" ht="12.75" x14ac:dyDescent="0.2">
      <c r="A4" s="120" t="str">
        <f>Sal_23[[#This Row],[CONTAINER]]</f>
        <v>CAIU3309783</v>
      </c>
      <c r="B4" s="128" t="s">
        <v>2771</v>
      </c>
      <c r="C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" s="79">
        <v>44930.333333333336</v>
      </c>
      <c r="E4" s="44" t="s">
        <v>3020</v>
      </c>
      <c r="F4" s="66">
        <v>20</v>
      </c>
      <c r="G4" s="44" t="s">
        <v>2837</v>
      </c>
      <c r="H4" s="44" t="s">
        <v>2837</v>
      </c>
      <c r="I4" s="299" t="s">
        <v>2821</v>
      </c>
      <c r="J4" s="66">
        <v>59213</v>
      </c>
      <c r="K4" s="66" t="s">
        <v>3019</v>
      </c>
      <c r="L4" s="66">
        <v>102590</v>
      </c>
      <c r="N4" s="66" t="s">
        <v>2124</v>
      </c>
      <c r="O4" s="66" t="s">
        <v>2125</v>
      </c>
      <c r="P4" s="66" t="s">
        <v>39</v>
      </c>
      <c r="Q4" s="138" t="str">
        <f ca="1">IFERROR(LOOKUP($P4,MOTORISTAS!$D$3:$D$1048576,MOTORISTAS!E$3:E$916),"")</f>
        <v>12126370895</v>
      </c>
      <c r="R4" s="138" t="str">
        <f ca="1">IFERROR(LOOKUP($P4,MOTORISTAS!$D$3:$D$1048576,MOTORISTAS!F$3:F$916),"")</f>
        <v>02988821539</v>
      </c>
      <c r="S4" s="66">
        <v>3196</v>
      </c>
      <c r="T4" s="66" t="s">
        <v>293</v>
      </c>
      <c r="U4" s="79">
        <v>44929.931250000001</v>
      </c>
      <c r="V4" s="79" t="s">
        <v>469</v>
      </c>
      <c r="W4" s="79">
        <v>44930.664583333331</v>
      </c>
      <c r="X4" s="79">
        <v>44930.208333333336</v>
      </c>
      <c r="Y4" s="88">
        <v>44930.416666666664</v>
      </c>
      <c r="Z4" s="81">
        <v>1600</v>
      </c>
      <c r="AA4" s="81">
        <v>0</v>
      </c>
      <c r="AB4" s="81">
        <f>SUM(Sal_23[[#This Row],[Saldo]]+Sal_23[[#This Row],[Adiantamento]])</f>
        <v>1600</v>
      </c>
      <c r="AC4" s="81">
        <v>0</v>
      </c>
      <c r="AD4" s="81"/>
      <c r="AE4" s="81"/>
      <c r="AF4" s="81"/>
      <c r="AG4" s="81">
        <f>Sal_23[[#This Row],[COMPRA]]*12%</f>
        <v>311.55959999999999</v>
      </c>
      <c r="AH4" s="83">
        <v>2596.33</v>
      </c>
      <c r="AI4" s="66" t="str">
        <f>PROPER(TEXT(Sal_23[[#This Row],[PROGRAMAÇÃO]],"mmm"))</f>
        <v>Jan</v>
      </c>
      <c r="AJ4" s="66">
        <f>YEAR(Sal_23[[#This Row],[PROGRAMAÇÃO]])</f>
        <v>2023</v>
      </c>
      <c r="AM4" s="66" t="s">
        <v>2768</v>
      </c>
      <c r="AN4" s="66" t="s">
        <v>2768</v>
      </c>
      <c r="AO4" s="66" t="s">
        <v>2768</v>
      </c>
    </row>
    <row r="5" spans="1:44" s="66" customFormat="1" ht="12.75" x14ac:dyDescent="0.2">
      <c r="A5" s="120" t="str">
        <f>Sal_23[[#This Row],[CONTAINER]]</f>
        <v>CAIU2845225</v>
      </c>
      <c r="B5" s="128" t="s">
        <v>2771</v>
      </c>
      <c r="C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" s="79">
        <v>44930.333333333336</v>
      </c>
      <c r="E5" s="44" t="s">
        <v>3021</v>
      </c>
      <c r="F5" s="66">
        <v>20</v>
      </c>
      <c r="G5" s="44" t="s">
        <v>2837</v>
      </c>
      <c r="H5" s="44" t="s">
        <v>2837</v>
      </c>
      <c r="I5" s="299" t="s">
        <v>2821</v>
      </c>
      <c r="J5" s="66">
        <v>59210</v>
      </c>
      <c r="K5" s="66" t="s">
        <v>3019</v>
      </c>
      <c r="L5" s="66">
        <v>111379</v>
      </c>
      <c r="M5" s="66">
        <v>102586</v>
      </c>
      <c r="N5" s="66" t="s">
        <v>2584</v>
      </c>
      <c r="O5" s="66" t="s">
        <v>2585</v>
      </c>
      <c r="P5" s="66" t="s">
        <v>2586</v>
      </c>
      <c r="Q5" s="138" t="str">
        <f ca="1">IFERROR(LOOKUP($P5,MOTORISTAS!$D$3:$D$1048576,MOTORISTAS!E$3:E$916),"")</f>
        <v>08312935860</v>
      </c>
      <c r="R5" s="138" t="str">
        <f ca="1">IFERROR(LOOKUP($P5,MOTORISTAS!$D$3:$D$1048576,MOTORISTAS!F$3:F$916),"")</f>
        <v>03106516083</v>
      </c>
      <c r="S5" s="66" t="s">
        <v>3022</v>
      </c>
      <c r="T5" s="66" t="s">
        <v>293</v>
      </c>
      <c r="U5" s="79">
        <v>44929.878472222219</v>
      </c>
      <c r="V5" s="79" t="s">
        <v>469</v>
      </c>
      <c r="W5" s="79">
        <v>44930.568749999999</v>
      </c>
      <c r="X5" s="79">
        <v>44930.208333333336</v>
      </c>
      <c r="Y5" s="88">
        <v>44930.416666666664</v>
      </c>
      <c r="Z5" s="81">
        <v>1600</v>
      </c>
      <c r="AA5" s="81">
        <v>0</v>
      </c>
      <c r="AB5" s="81">
        <f>SUM(Sal_23[[#This Row],[Saldo]]+Sal_23[[#This Row],[Adiantamento]])</f>
        <v>1600</v>
      </c>
      <c r="AC5" s="81">
        <v>0</v>
      </c>
      <c r="AD5" s="81"/>
      <c r="AE5" s="81"/>
      <c r="AF5" s="81"/>
      <c r="AG5" s="81">
        <f>Sal_23[[#This Row],[COMPRA]]*12%</f>
        <v>311.55959999999999</v>
      </c>
      <c r="AH5" s="83">
        <v>2596.33</v>
      </c>
      <c r="AI5" s="66" t="str">
        <f>PROPER(TEXT(Sal_23[[#This Row],[PROGRAMAÇÃO]],"mmm"))</f>
        <v>Jan</v>
      </c>
      <c r="AJ5" s="66">
        <f>YEAR(Sal_23[[#This Row],[PROGRAMAÇÃO]])</f>
        <v>2023</v>
      </c>
      <c r="AM5" s="66" t="s">
        <v>2768</v>
      </c>
      <c r="AN5" s="66" t="s">
        <v>2768</v>
      </c>
      <c r="AO5" s="66" t="s">
        <v>2768</v>
      </c>
    </row>
    <row r="6" spans="1:44" s="66" customFormat="1" ht="12.75" x14ac:dyDescent="0.2">
      <c r="A6" s="120" t="str">
        <f>Sal_23[[#This Row],[CONTAINER]]</f>
        <v>MRKU8880020</v>
      </c>
      <c r="B6" s="128" t="s">
        <v>2771</v>
      </c>
      <c r="C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" s="79">
        <v>44930.375</v>
      </c>
      <c r="E6" s="44" t="s">
        <v>3023</v>
      </c>
      <c r="F6" s="66">
        <v>20</v>
      </c>
      <c r="G6" s="66" t="s">
        <v>2820</v>
      </c>
      <c r="H6" s="44" t="s">
        <v>2820</v>
      </c>
      <c r="I6" s="299" t="s">
        <v>2821</v>
      </c>
      <c r="J6" s="66" t="s">
        <v>3024</v>
      </c>
      <c r="K6" s="66" t="s">
        <v>3025</v>
      </c>
      <c r="L6" s="66">
        <v>111429</v>
      </c>
      <c r="N6" s="66" t="s">
        <v>2498</v>
      </c>
      <c r="O6" s="66" t="s">
        <v>2499</v>
      </c>
      <c r="P6" s="66" t="s">
        <v>2500</v>
      </c>
      <c r="Q6" s="138" t="str">
        <f ca="1">IFERROR(LOOKUP($P6,MOTORISTAS!$D$3:$D$1048576,MOTORISTAS!E$3:E$916),"")</f>
        <v>10838670830</v>
      </c>
      <c r="R6" s="138" t="str">
        <f ca="1">IFERROR(LOOKUP($P6,MOTORISTAS!$D$3:$D$1048576,MOTORISTAS!F$3:F$916),"")</f>
        <v>01808675938</v>
      </c>
      <c r="S6" s="66">
        <v>3199</v>
      </c>
      <c r="T6" s="66" t="s">
        <v>306</v>
      </c>
      <c r="U6" s="79">
        <v>44929.981249999997</v>
      </c>
      <c r="V6" s="79" t="s">
        <v>409</v>
      </c>
      <c r="W6" s="79">
        <v>44930.648611111108</v>
      </c>
      <c r="X6" s="79">
        <v>44930.208333333336</v>
      </c>
      <c r="Y6" s="88">
        <v>44930.5</v>
      </c>
      <c r="Z6" s="81">
        <v>1600</v>
      </c>
      <c r="AA6" s="81">
        <v>0</v>
      </c>
      <c r="AB6" s="81">
        <f>SUM(Sal_23[[#This Row],[Saldo]]+Sal_23[[#This Row],[Adiantamento]])</f>
        <v>1600</v>
      </c>
      <c r="AC6" s="81">
        <v>0</v>
      </c>
      <c r="AD6" s="81"/>
      <c r="AE6" s="81"/>
      <c r="AF6" s="81"/>
      <c r="AG6" s="81">
        <f>Sal_23[[#This Row],[COMPRA]]*12%</f>
        <v>288</v>
      </c>
      <c r="AH6" s="83">
        <v>2400</v>
      </c>
      <c r="AI6" s="66" t="str">
        <f>PROPER(TEXT(Sal_23[[#This Row],[PROGRAMAÇÃO]],"mmm"))</f>
        <v>Jan</v>
      </c>
      <c r="AJ6" s="66">
        <f>YEAR(Sal_23[[#This Row],[PROGRAMAÇÃO]])</f>
        <v>2023</v>
      </c>
      <c r="AM6" s="66" t="s">
        <v>2768</v>
      </c>
      <c r="AN6" s="66" t="s">
        <v>2768</v>
      </c>
      <c r="AO6" s="66" t="s">
        <v>2768</v>
      </c>
    </row>
    <row r="7" spans="1:44" s="66" customFormat="1" ht="12.75" x14ac:dyDescent="0.2">
      <c r="A7" s="120" t="str">
        <f>Sal_23[[#This Row],[CONTAINER]]</f>
        <v>MSKU5214269</v>
      </c>
      <c r="B7" s="128" t="s">
        <v>2771</v>
      </c>
      <c r="C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" s="79">
        <v>44930.375</v>
      </c>
      <c r="E7" s="44" t="s">
        <v>3026</v>
      </c>
      <c r="F7" s="66">
        <v>20</v>
      </c>
      <c r="G7" s="66" t="s">
        <v>2820</v>
      </c>
      <c r="H7" s="44" t="s">
        <v>2820</v>
      </c>
      <c r="I7" s="299" t="s">
        <v>2821</v>
      </c>
      <c r="J7" s="66" t="s">
        <v>3027</v>
      </c>
      <c r="K7" s="66" t="s">
        <v>3025</v>
      </c>
      <c r="L7" s="66">
        <v>111430</v>
      </c>
      <c r="M7" s="66">
        <v>102619</v>
      </c>
      <c r="N7" s="66" t="s">
        <v>3028</v>
      </c>
      <c r="O7" s="66" t="s">
        <v>2864</v>
      </c>
      <c r="P7" s="66" t="s">
        <v>3029</v>
      </c>
      <c r="Q7" s="138" t="str">
        <f ca="1">IFERROR(LOOKUP($P7,MOTORISTAS!$D$3:$D$1048576,MOTORISTAS!E$3:E$916),"")</f>
        <v>15284965825</v>
      </c>
      <c r="R7" s="138" t="str">
        <f ca="1">IFERROR(LOOKUP($P7,MOTORISTAS!$D$3:$D$1048576,MOTORISTAS!F$3:F$916),"")</f>
        <v>01681109819</v>
      </c>
      <c r="S7" s="66" t="s">
        <v>3032</v>
      </c>
      <c r="T7" s="66" t="s">
        <v>306</v>
      </c>
      <c r="U7" s="79">
        <v>44930.105555555558</v>
      </c>
      <c r="V7" s="79" t="s">
        <v>409</v>
      </c>
      <c r="W7" s="79">
        <v>44930.647222222222</v>
      </c>
      <c r="X7" s="79">
        <v>44930.291666666664</v>
      </c>
      <c r="Y7" s="88">
        <v>44930.5</v>
      </c>
      <c r="Z7" s="81">
        <v>1600</v>
      </c>
      <c r="AA7" s="81">
        <v>0</v>
      </c>
      <c r="AB7" s="81">
        <f>SUM(Sal_23[[#This Row],[Saldo]]+Sal_23[[#This Row],[Adiantamento]])</f>
        <v>1600</v>
      </c>
      <c r="AC7" s="81">
        <v>0</v>
      </c>
      <c r="AD7" s="81"/>
      <c r="AE7" s="81"/>
      <c r="AF7" s="81"/>
      <c r="AG7" s="81">
        <f>Sal_23[[#This Row],[COMPRA]]*12%</f>
        <v>288</v>
      </c>
      <c r="AH7" s="83">
        <v>2400</v>
      </c>
      <c r="AI7" s="66" t="str">
        <f>PROPER(TEXT(Sal_23[[#This Row],[PROGRAMAÇÃO]],"mmm"))</f>
        <v>Jan</v>
      </c>
      <c r="AJ7" s="66">
        <f>YEAR(Sal_23[[#This Row],[PROGRAMAÇÃO]])</f>
        <v>2023</v>
      </c>
      <c r="AM7" s="66" t="s">
        <v>2768</v>
      </c>
      <c r="AN7" s="66" t="s">
        <v>2768</v>
      </c>
      <c r="AO7" s="66" t="s">
        <v>2768</v>
      </c>
    </row>
    <row r="8" spans="1:44" s="66" customFormat="1" ht="12.75" x14ac:dyDescent="0.2">
      <c r="A8" s="120" t="str">
        <f>Sal_23[[#This Row],[CONTAINER]]</f>
        <v>CIPU5296021</v>
      </c>
      <c r="B8" s="128" t="s">
        <v>2771</v>
      </c>
      <c r="C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" s="79">
        <v>44928.291666666664</v>
      </c>
      <c r="E8" s="44" t="s">
        <v>3033</v>
      </c>
      <c r="F8" s="66">
        <v>40</v>
      </c>
      <c r="G8" s="66" t="s">
        <v>2808</v>
      </c>
      <c r="H8" s="44" t="s">
        <v>2887</v>
      </c>
      <c r="I8" s="299" t="s">
        <v>2831</v>
      </c>
      <c r="J8" s="66" t="s">
        <v>3034</v>
      </c>
      <c r="K8" s="66" t="s">
        <v>3019</v>
      </c>
      <c r="L8" s="66">
        <v>7109</v>
      </c>
      <c r="N8" s="66" t="s">
        <v>111</v>
      </c>
      <c r="O8" s="66" t="s">
        <v>891</v>
      </c>
      <c r="P8" s="66" t="s">
        <v>113</v>
      </c>
      <c r="Q8" s="138" t="str">
        <f ca="1">IFERROR(LOOKUP($P8,MOTORISTAS!$D$3:$D$1048576,MOTORISTAS!E$3:E$916),"")</f>
        <v>88265951434</v>
      </c>
      <c r="R8" s="138" t="str">
        <f ca="1">IFERROR(LOOKUP($P8,MOTORISTAS!$D$3:$D$1048576,MOTORISTAS!F$3:F$916),"")</f>
        <v>00920373596</v>
      </c>
      <c r="S8" s="66">
        <v>3190</v>
      </c>
      <c r="T8" s="66" t="s">
        <v>293</v>
      </c>
      <c r="U8" s="79">
        <v>44928.0625</v>
      </c>
      <c r="V8" s="79" t="s">
        <v>537</v>
      </c>
      <c r="W8" s="79">
        <v>44928.79791666667</v>
      </c>
      <c r="X8" s="79">
        <v>44928.166666666664</v>
      </c>
      <c r="Y8" s="88">
        <v>44928.666666666664</v>
      </c>
      <c r="Z8" s="81">
        <v>3200</v>
      </c>
      <c r="AA8" s="81">
        <v>0</v>
      </c>
      <c r="AB8" s="81">
        <f>SUM(Sal_23[[#This Row],[Saldo]]+Sal_23[[#This Row],[Adiantamento]])</f>
        <v>3200</v>
      </c>
      <c r="AC8" s="81">
        <v>0</v>
      </c>
      <c r="AD8" s="81"/>
      <c r="AE8" s="81"/>
      <c r="AF8" s="81"/>
      <c r="AG8" s="81">
        <f>Sal_23[[#This Row],[COMPRA]]*12%</f>
        <v>0</v>
      </c>
      <c r="AH8" s="83"/>
      <c r="AI8" s="66" t="str">
        <f>PROPER(TEXT(Sal_23[[#This Row],[PROGRAMAÇÃO]],"mmm"))</f>
        <v>Jan</v>
      </c>
      <c r="AJ8" s="66">
        <f>YEAR(Sal_23[[#This Row],[PROGRAMAÇÃO]])</f>
        <v>2023</v>
      </c>
      <c r="AM8" s="66" t="s">
        <v>2768</v>
      </c>
      <c r="AN8" s="66" t="s">
        <v>2768</v>
      </c>
      <c r="AO8" s="66" t="s">
        <v>2768</v>
      </c>
    </row>
    <row r="9" spans="1:44" s="66" customFormat="1" ht="12.75" x14ac:dyDescent="0.2">
      <c r="A9" s="120" t="str">
        <f>Sal_23[[#This Row],[CONTAINER]]</f>
        <v>GLDU9336511</v>
      </c>
      <c r="B9" s="128" t="s">
        <v>2771</v>
      </c>
      <c r="C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" s="79">
        <v>44928.291666666664</v>
      </c>
      <c r="E9" s="44" t="s">
        <v>3035</v>
      </c>
      <c r="F9" s="66">
        <v>20</v>
      </c>
      <c r="G9" s="66" t="s">
        <v>2808</v>
      </c>
      <c r="H9" s="44" t="s">
        <v>2808</v>
      </c>
      <c r="I9" s="299" t="s">
        <v>3036</v>
      </c>
      <c r="J9" s="66" t="s">
        <v>3037</v>
      </c>
      <c r="K9" s="66" t="s">
        <v>3019</v>
      </c>
      <c r="L9" s="66">
        <v>7180</v>
      </c>
      <c r="N9" s="66" t="s">
        <v>2584</v>
      </c>
      <c r="O9" s="66" t="s">
        <v>2585</v>
      </c>
      <c r="P9" s="66" t="s">
        <v>2586</v>
      </c>
      <c r="Q9" s="138" t="str">
        <f ca="1">IFERROR(LOOKUP($P9,MOTORISTAS!$D$3:$D$1048576,MOTORISTAS!E$3:E$916),"")</f>
        <v>08312935860</v>
      </c>
      <c r="R9" s="138" t="str">
        <f ca="1">IFERROR(LOOKUP($P9,MOTORISTAS!$D$3:$D$1048576,MOTORISTAS!F$3:F$916),"")</f>
        <v>03106516083</v>
      </c>
      <c r="S9" s="66">
        <v>3191</v>
      </c>
      <c r="T9" s="66" t="s">
        <v>293</v>
      </c>
      <c r="U9" s="79">
        <v>44927.902083333334</v>
      </c>
      <c r="V9" s="79" t="s">
        <v>537</v>
      </c>
      <c r="W9" s="79">
        <v>44928.773611111108</v>
      </c>
      <c r="X9" s="79">
        <v>44928.125</v>
      </c>
      <c r="Y9" s="88">
        <v>44928.541666666664</v>
      </c>
      <c r="Z9" s="81">
        <v>2400</v>
      </c>
      <c r="AA9" s="81">
        <v>0</v>
      </c>
      <c r="AB9" s="81">
        <f>SUM(Sal_23[[#This Row],[Saldo]]+Sal_23[[#This Row],[Adiantamento]])</f>
        <v>2400</v>
      </c>
      <c r="AC9" s="81">
        <v>0</v>
      </c>
      <c r="AD9" s="81"/>
      <c r="AE9" s="81"/>
      <c r="AF9" s="81"/>
      <c r="AG9" s="81">
        <f>Sal_23[[#This Row],[COMPRA]]*12%</f>
        <v>414</v>
      </c>
      <c r="AH9" s="83">
        <v>3450</v>
      </c>
      <c r="AI9" s="66" t="str">
        <f>PROPER(TEXT(Sal_23[[#This Row],[PROGRAMAÇÃO]],"mmm"))</f>
        <v>Jan</v>
      </c>
      <c r="AJ9" s="66">
        <f>YEAR(Sal_23[[#This Row],[PROGRAMAÇÃO]])</f>
        <v>2023</v>
      </c>
      <c r="AM9" s="66" t="s">
        <v>2768</v>
      </c>
      <c r="AN9" s="66" t="s">
        <v>2768</v>
      </c>
      <c r="AO9" s="66" t="s">
        <v>2768</v>
      </c>
    </row>
    <row r="10" spans="1:44" s="66" customFormat="1" ht="12.75" x14ac:dyDescent="0.2">
      <c r="A10" s="120" t="str">
        <f>Sal_23[[#This Row],[CONTAINER]]</f>
        <v>TEMU2916451</v>
      </c>
      <c r="B10" s="128" t="s">
        <v>2771</v>
      </c>
      <c r="C1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0" s="79">
        <v>44928.291666666664</v>
      </c>
      <c r="E10" s="44" t="s">
        <v>3038</v>
      </c>
      <c r="F10" s="66">
        <v>20</v>
      </c>
      <c r="G10" s="66" t="s">
        <v>2808</v>
      </c>
      <c r="H10" s="44" t="s">
        <v>2808</v>
      </c>
      <c r="I10" s="299" t="s">
        <v>3036</v>
      </c>
      <c r="J10" s="66" t="s">
        <v>3039</v>
      </c>
      <c r="K10" s="66" t="s">
        <v>3019</v>
      </c>
      <c r="L10" s="66">
        <v>7181</v>
      </c>
      <c r="N10" s="66" t="s">
        <v>3040</v>
      </c>
      <c r="O10" s="66" t="s">
        <v>3041</v>
      </c>
      <c r="P10" s="66" t="s">
        <v>3042</v>
      </c>
      <c r="Q10" s="138" t="str">
        <f ca="1">IFERROR(LOOKUP($P10,MOTORISTAS!$D$3:$D$1048576,MOTORISTAS!E$3:E$916),"")</f>
        <v>19279658883</v>
      </c>
      <c r="R10" s="138" t="str">
        <f ca="1">IFERROR(LOOKUP($P10,MOTORISTAS!$D$3:$D$1048576,MOTORISTAS!F$3:F$916),"")</f>
        <v>01301319672</v>
      </c>
      <c r="S10" s="66">
        <v>3192</v>
      </c>
      <c r="T10" s="66" t="s">
        <v>293</v>
      </c>
      <c r="U10" s="79">
        <v>44927.952777777777</v>
      </c>
      <c r="V10" s="79" t="s">
        <v>537</v>
      </c>
      <c r="W10" s="79">
        <v>44929.390972222223</v>
      </c>
      <c r="X10" s="79">
        <v>44928.125</v>
      </c>
      <c r="Y10" s="88">
        <v>44928.888888888891</v>
      </c>
      <c r="Z10" s="81">
        <v>2400</v>
      </c>
      <c r="AA10" s="81">
        <v>0</v>
      </c>
      <c r="AB10" s="81">
        <f>SUM(Sal_23[[#This Row],[Saldo]]+Sal_23[[#This Row],[Adiantamento]])</f>
        <v>2400</v>
      </c>
      <c r="AC10" s="81">
        <v>0</v>
      </c>
      <c r="AD10" s="81"/>
      <c r="AE10" s="81"/>
      <c r="AF10" s="81"/>
      <c r="AG10" s="81">
        <f>Sal_23[[#This Row],[COMPRA]]*12%</f>
        <v>414</v>
      </c>
      <c r="AH10" s="83">
        <v>3450</v>
      </c>
      <c r="AI10" s="66" t="str">
        <f>PROPER(TEXT(Sal_23[[#This Row],[PROGRAMAÇÃO]],"mmm"))</f>
        <v>Jan</v>
      </c>
      <c r="AJ10" s="66">
        <f>YEAR(Sal_23[[#This Row],[PROGRAMAÇÃO]])</f>
        <v>2023</v>
      </c>
      <c r="AM10" s="66" t="s">
        <v>2768</v>
      </c>
      <c r="AN10" s="66" t="s">
        <v>2768</v>
      </c>
      <c r="AO10" s="66" t="s">
        <v>2768</v>
      </c>
    </row>
    <row r="11" spans="1:44" s="66" customFormat="1" ht="12.75" x14ac:dyDescent="0.2">
      <c r="A11" s="120" t="str">
        <f>Sal_23[[#This Row],[CONTAINER]]</f>
        <v>TCNU4030267</v>
      </c>
      <c r="B11" s="128" t="s">
        <v>2771</v>
      </c>
      <c r="C1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1" s="79">
        <v>44929.291666666664</v>
      </c>
      <c r="E11" s="44" t="s">
        <v>3044</v>
      </c>
      <c r="F11" s="66">
        <v>40</v>
      </c>
      <c r="G11" s="66" t="s">
        <v>2808</v>
      </c>
      <c r="H11" s="44" t="s">
        <v>2887</v>
      </c>
      <c r="I11" s="299" t="s">
        <v>2831</v>
      </c>
      <c r="J11" s="66" t="s">
        <v>3045</v>
      </c>
      <c r="K11" s="66" t="s">
        <v>3019</v>
      </c>
      <c r="L11" s="66">
        <v>7139</v>
      </c>
      <c r="N11" s="66" t="s">
        <v>111</v>
      </c>
      <c r="O11" s="66" t="s">
        <v>891</v>
      </c>
      <c r="P11" s="66" t="s">
        <v>113</v>
      </c>
      <c r="Q11" s="138" t="str">
        <f ca="1">IFERROR(LOOKUP($P11,MOTORISTAS!$D$3:$D$1048576,MOTORISTAS!E$3:E$916),"")</f>
        <v>88265951434</v>
      </c>
      <c r="R11" s="138" t="str">
        <f ca="1">IFERROR(LOOKUP($P11,MOTORISTAS!$D$3:$D$1048576,MOTORISTAS!F$3:F$916),"")</f>
        <v>00920373596</v>
      </c>
      <c r="S11" s="66">
        <v>3194</v>
      </c>
      <c r="T11" s="66" t="s">
        <v>293</v>
      </c>
      <c r="U11" s="79">
        <v>44929.272222222222</v>
      </c>
      <c r="V11" s="79" t="s">
        <v>537</v>
      </c>
      <c r="W11" s="79">
        <v>44929.90347222222</v>
      </c>
      <c r="X11" s="79">
        <v>44929.361111111109</v>
      </c>
      <c r="Y11" s="88">
        <v>44929.666666666664</v>
      </c>
      <c r="Z11" s="81">
        <v>3200</v>
      </c>
      <c r="AA11" s="81">
        <v>0</v>
      </c>
      <c r="AB11" s="81">
        <f>SUM(Sal_23[[#This Row],[Saldo]]+Sal_23[[#This Row],[Adiantamento]])</f>
        <v>3200</v>
      </c>
      <c r="AC11" s="81">
        <v>0</v>
      </c>
      <c r="AD11" s="81"/>
      <c r="AE11" s="81"/>
      <c r="AF11" s="81"/>
      <c r="AG11" s="81">
        <f>Sal_23[[#This Row],[COMPRA]]*12%</f>
        <v>0</v>
      </c>
      <c r="AH11" s="83"/>
      <c r="AI11" s="66" t="str">
        <f>PROPER(TEXT(Sal_23[[#This Row],[PROGRAMAÇÃO]],"mmm"))</f>
        <v>Jan</v>
      </c>
      <c r="AJ11" s="66">
        <f>YEAR(Sal_23[[#This Row],[PROGRAMAÇÃO]])</f>
        <v>2023</v>
      </c>
      <c r="AL11" s="44" t="s">
        <v>2785</v>
      </c>
      <c r="AM11" s="66" t="s">
        <v>2768</v>
      </c>
      <c r="AN11" s="66" t="s">
        <v>2768</v>
      </c>
      <c r="AO11" s="66" t="s">
        <v>2768</v>
      </c>
    </row>
    <row r="12" spans="1:44" s="66" customFormat="1" ht="12.75" x14ac:dyDescent="0.2">
      <c r="A12" s="120" t="str">
        <f>Sal_23[[#This Row],[CONTAINER]]</f>
        <v>MAGU5343917</v>
      </c>
      <c r="B12" s="128" t="s">
        <v>2771</v>
      </c>
      <c r="C1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2" s="79">
        <v>44929.291666666664</v>
      </c>
      <c r="E12" s="44" t="s">
        <v>3046</v>
      </c>
      <c r="F12" s="66">
        <v>40</v>
      </c>
      <c r="G12" s="66" t="s">
        <v>2808</v>
      </c>
      <c r="H12" s="44" t="s">
        <v>2887</v>
      </c>
      <c r="I12" s="299" t="s">
        <v>2831</v>
      </c>
      <c r="J12" s="66" t="s">
        <v>3047</v>
      </c>
      <c r="K12" s="66" t="s">
        <v>3019</v>
      </c>
      <c r="L12" s="66">
        <v>7146</v>
      </c>
      <c r="N12" s="66" t="s">
        <v>2912</v>
      </c>
      <c r="O12" s="66" t="s">
        <v>2913</v>
      </c>
      <c r="P12" s="66" t="s">
        <v>2914</v>
      </c>
      <c r="Q12" s="138" t="str">
        <f ca="1">IFERROR(LOOKUP($P12,MOTORISTAS!$D$3:$D$1048576,MOTORISTAS!E$3:E$916),"")</f>
        <v>36305564850</v>
      </c>
      <c r="R12" s="138" t="str">
        <f ca="1">IFERROR(LOOKUP($P12,MOTORISTAS!$D$3:$D$1048576,MOTORISTAS!F$3:F$916),"")</f>
        <v>06043477724</v>
      </c>
      <c r="S12" s="66">
        <v>3195</v>
      </c>
      <c r="T12" s="66" t="s">
        <v>293</v>
      </c>
      <c r="U12" s="79">
        <v>44928.953472222223</v>
      </c>
      <c r="V12" s="79" t="s">
        <v>537</v>
      </c>
      <c r="W12" s="79">
        <v>44930.329861111109</v>
      </c>
      <c r="X12" s="79">
        <v>44929.270833333336</v>
      </c>
      <c r="Y12" s="88">
        <v>44929.583333333336</v>
      </c>
      <c r="Z12" s="81">
        <v>3200</v>
      </c>
      <c r="AA12" s="81">
        <v>0</v>
      </c>
      <c r="AB12" s="81">
        <f>SUM(Sal_23[[#This Row],[Saldo]]+Sal_23[[#This Row],[Adiantamento]])</f>
        <v>3200</v>
      </c>
      <c r="AC12" s="81">
        <v>0</v>
      </c>
      <c r="AD12" s="81"/>
      <c r="AE12" s="81"/>
      <c r="AF12" s="81"/>
      <c r="AG12" s="81">
        <f>Sal_23[[#This Row],[COMPRA]]*12%</f>
        <v>0</v>
      </c>
      <c r="AH12" s="83"/>
      <c r="AI12" s="66" t="str">
        <f>PROPER(TEXT(Sal_23[[#This Row],[PROGRAMAÇÃO]],"mmm"))</f>
        <v>Jan</v>
      </c>
      <c r="AJ12" s="66">
        <f>YEAR(Sal_23[[#This Row],[PROGRAMAÇÃO]])</f>
        <v>2023</v>
      </c>
      <c r="AM12" s="66" t="s">
        <v>2768</v>
      </c>
      <c r="AN12" s="66" t="s">
        <v>2768</v>
      </c>
      <c r="AO12" s="66" t="s">
        <v>2768</v>
      </c>
    </row>
    <row r="13" spans="1:44" s="66" customFormat="1" ht="12.75" x14ac:dyDescent="0.2">
      <c r="A13" s="120" t="str">
        <f>Sal_23[[#This Row],[CONTAINER]]</f>
        <v>SEGU5372695</v>
      </c>
      <c r="B13" s="128" t="s">
        <v>2771</v>
      </c>
      <c r="C1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3" s="79">
        <v>44930.291666666664</v>
      </c>
      <c r="E13" s="44" t="s">
        <v>3048</v>
      </c>
      <c r="F13" s="66">
        <v>40</v>
      </c>
      <c r="G13" s="66" t="s">
        <v>2808</v>
      </c>
      <c r="H13" s="44" t="s">
        <v>2887</v>
      </c>
      <c r="I13" s="299" t="s">
        <v>2831</v>
      </c>
      <c r="J13" s="66" t="s">
        <v>3049</v>
      </c>
      <c r="K13" s="66" t="s">
        <v>3019</v>
      </c>
      <c r="L13" s="66">
        <v>7157</v>
      </c>
      <c r="N13" s="66" t="s">
        <v>92</v>
      </c>
      <c r="O13" s="66" t="s">
        <v>93</v>
      </c>
      <c r="P13" s="66" t="s">
        <v>94</v>
      </c>
      <c r="Q13" s="138" t="str">
        <f ca="1">IFERROR(LOOKUP($P13,MOTORISTAS!$D$3:$D$1048576,MOTORISTAS!E$3:E$916),"")</f>
        <v>26283419801</v>
      </c>
      <c r="R13" s="138" t="str">
        <f ca="1">IFERROR(LOOKUP($P13,MOTORISTAS!$D$3:$D$1048576,MOTORISTAS!F$3:F$916),"")</f>
        <v>02002046946</v>
      </c>
      <c r="S13" s="66">
        <v>3202</v>
      </c>
      <c r="T13" s="66" t="s">
        <v>293</v>
      </c>
      <c r="U13" s="79">
        <v>44929.884722222225</v>
      </c>
      <c r="V13" s="79" t="s">
        <v>306</v>
      </c>
      <c r="W13" s="79">
        <v>44931.288194444445</v>
      </c>
      <c r="X13" s="79">
        <v>44930.25</v>
      </c>
      <c r="Y13" s="88">
        <v>44930.708333333336</v>
      </c>
      <c r="Z13" s="81">
        <v>3200</v>
      </c>
      <c r="AA13" s="81">
        <v>0</v>
      </c>
      <c r="AB13" s="81">
        <f>SUM(Sal_23[[#This Row],[Saldo]]+Sal_23[[#This Row],[Adiantamento]])</f>
        <v>3200</v>
      </c>
      <c r="AC13" s="81">
        <v>0</v>
      </c>
      <c r="AD13" s="81"/>
      <c r="AE13" s="81"/>
      <c r="AF13" s="81"/>
      <c r="AG13" s="81">
        <f>Sal_23[[#This Row],[COMPRA]]*12%</f>
        <v>0</v>
      </c>
      <c r="AH13" s="83"/>
      <c r="AI13" s="66" t="str">
        <f>PROPER(TEXT(Sal_23[[#This Row],[PROGRAMAÇÃO]],"mmm"))</f>
        <v>Jan</v>
      </c>
      <c r="AJ13" s="66">
        <f>YEAR(Sal_23[[#This Row],[PROGRAMAÇÃO]])</f>
        <v>2023</v>
      </c>
      <c r="AM13" s="66" t="s">
        <v>2768</v>
      </c>
      <c r="AN13" s="66" t="s">
        <v>2768</v>
      </c>
      <c r="AO13" s="66" t="s">
        <v>2768</v>
      </c>
    </row>
    <row r="14" spans="1:44" s="66" customFormat="1" ht="12.75" x14ac:dyDescent="0.2">
      <c r="A14" s="120" t="str">
        <f>Sal_23[[#This Row],[CONTAINER]]</f>
        <v>SEGU5213380</v>
      </c>
      <c r="B14" s="128" t="s">
        <v>2771</v>
      </c>
      <c r="C1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4" s="79">
        <v>44931.291666666664</v>
      </c>
      <c r="E14" s="44" t="s">
        <v>3050</v>
      </c>
      <c r="F14" s="66">
        <v>40</v>
      </c>
      <c r="G14" s="66" t="s">
        <v>2808</v>
      </c>
      <c r="H14" s="44" t="s">
        <v>2887</v>
      </c>
      <c r="I14" s="299" t="s">
        <v>2831</v>
      </c>
      <c r="J14" s="66" t="s">
        <v>3051</v>
      </c>
      <c r="K14" s="66" t="s">
        <v>3019</v>
      </c>
      <c r="L14" s="66">
        <v>7173</v>
      </c>
      <c r="N14" s="66" t="s">
        <v>2912</v>
      </c>
      <c r="O14" s="66" t="s">
        <v>2913</v>
      </c>
      <c r="P14" s="66" t="s">
        <v>2914</v>
      </c>
      <c r="Q14" s="138" t="str">
        <f ca="1">IFERROR(LOOKUP($P14,MOTORISTAS!$D$3:$D$1048576,MOTORISTAS!E$3:E$916),"")</f>
        <v>36305564850</v>
      </c>
      <c r="R14" s="138" t="str">
        <f ca="1">IFERROR(LOOKUP($P14,MOTORISTAS!$D$3:$D$1048576,MOTORISTAS!F$3:F$916),"")</f>
        <v>06043477724</v>
      </c>
      <c r="S14" s="66">
        <v>3203</v>
      </c>
      <c r="T14" s="66" t="s">
        <v>293</v>
      </c>
      <c r="U14" s="79">
        <v>44930.918055555558</v>
      </c>
      <c r="V14" s="79" t="s">
        <v>306</v>
      </c>
      <c r="W14" s="79">
        <v>44931.875694444447</v>
      </c>
      <c r="X14" s="79">
        <v>44931.25</v>
      </c>
      <c r="Y14" s="88">
        <v>44931.541666666664</v>
      </c>
      <c r="Z14" s="81">
        <v>3200</v>
      </c>
      <c r="AA14" s="81">
        <v>0</v>
      </c>
      <c r="AB14" s="81">
        <f>SUM(Sal_23[[#This Row],[Saldo]]+Sal_23[[#This Row],[Adiantamento]])</f>
        <v>3200</v>
      </c>
      <c r="AC14" s="81">
        <v>0</v>
      </c>
      <c r="AD14" s="81"/>
      <c r="AE14" s="81"/>
      <c r="AF14" s="81"/>
      <c r="AG14" s="81">
        <f>Sal_23[[#This Row],[COMPRA]]*12%</f>
        <v>0</v>
      </c>
      <c r="AH14" s="83"/>
      <c r="AI14" s="66" t="str">
        <f>PROPER(TEXT(Sal_23[[#This Row],[PROGRAMAÇÃO]],"mmm"))</f>
        <v>Jan</v>
      </c>
      <c r="AJ14" s="66">
        <f>YEAR(Sal_23[[#This Row],[PROGRAMAÇÃO]])</f>
        <v>2023</v>
      </c>
      <c r="AM14" s="66" t="s">
        <v>2768</v>
      </c>
      <c r="AN14" s="66" t="s">
        <v>2768</v>
      </c>
      <c r="AO14" s="66" t="s">
        <v>2768</v>
      </c>
    </row>
    <row r="15" spans="1:44" s="66" customFormat="1" ht="12.75" x14ac:dyDescent="0.2">
      <c r="A15" s="120" t="str">
        <f>Sal_23[[#This Row],[CONTAINER]]</f>
        <v>MSKU7685735</v>
      </c>
      <c r="B15" s="128" t="s">
        <v>2771</v>
      </c>
      <c r="C1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" s="79">
        <v>44937.375</v>
      </c>
      <c r="E15" s="44" t="s">
        <v>3052</v>
      </c>
      <c r="F15" s="66">
        <v>20</v>
      </c>
      <c r="G15" s="66" t="s">
        <v>2820</v>
      </c>
      <c r="H15" s="44" t="s">
        <v>2820</v>
      </c>
      <c r="I15" s="299" t="s">
        <v>2821</v>
      </c>
      <c r="J15" s="66" t="s">
        <v>3053</v>
      </c>
      <c r="K15" s="66" t="s">
        <v>3054</v>
      </c>
      <c r="L15" s="66">
        <v>102862</v>
      </c>
      <c r="N15" s="66" t="s">
        <v>2859</v>
      </c>
      <c r="O15" s="66" t="s">
        <v>2860</v>
      </c>
      <c r="P15" s="66" t="s">
        <v>2861</v>
      </c>
      <c r="Q15" s="138" t="str">
        <f ca="1">IFERROR(LOOKUP($P15,MOTORISTAS!$D$3:$D$1048576,MOTORISTAS!E$3:E$916),"")</f>
        <v>01817591878</v>
      </c>
      <c r="R15" s="138" t="str">
        <f ca="1">IFERROR(LOOKUP($P15,MOTORISTAS!$D$3:$D$1048576,MOTORISTAS!F$3:F$916),"")</f>
        <v>00821760640</v>
      </c>
      <c r="S15" s="66">
        <v>3205</v>
      </c>
      <c r="T15" s="66" t="s">
        <v>306</v>
      </c>
      <c r="U15" s="79">
        <v>44936.98333333333</v>
      </c>
      <c r="V15" s="66" t="s">
        <v>292</v>
      </c>
      <c r="W15" s="79">
        <v>44937.495138888888</v>
      </c>
      <c r="X15" s="79">
        <v>44937.208333333336</v>
      </c>
      <c r="Y15" s="88">
        <v>44937.395833333336</v>
      </c>
      <c r="Z15" s="81">
        <v>1600</v>
      </c>
      <c r="AA15" s="81">
        <v>0</v>
      </c>
      <c r="AB15" s="81">
        <f>SUM(Sal_23[[#This Row],[Saldo]]+Sal_23[[#This Row],[Adiantamento]])</f>
        <v>1600</v>
      </c>
      <c r="AC15" s="81">
        <v>0</v>
      </c>
      <c r="AD15" s="81"/>
      <c r="AE15" s="81"/>
      <c r="AF15" s="81"/>
      <c r="AG15" s="81">
        <f>Sal_23[[#This Row],[COMPRA]]*12%</f>
        <v>288</v>
      </c>
      <c r="AH15" s="83">
        <v>2400</v>
      </c>
      <c r="AI15" s="66" t="str">
        <f>PROPER(TEXT(Sal_23[[#This Row],[PROGRAMAÇÃO]],"mmm"))</f>
        <v>Jan</v>
      </c>
      <c r="AJ15" s="66">
        <f>YEAR(Sal_23[[#This Row],[PROGRAMAÇÃO]])</f>
        <v>2023</v>
      </c>
      <c r="AM15" s="66" t="s">
        <v>2768</v>
      </c>
      <c r="AN15" s="66" t="s">
        <v>2768</v>
      </c>
      <c r="AO15" s="66" t="s">
        <v>2768</v>
      </c>
    </row>
    <row r="16" spans="1:44" s="66" customFormat="1" ht="12.75" x14ac:dyDescent="0.2">
      <c r="A16" s="120" t="str">
        <f>Sal_23[[#This Row],[CONTAINER]]</f>
        <v>TGHU1497218</v>
      </c>
      <c r="B16" s="128" t="s">
        <v>2771</v>
      </c>
      <c r="C1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6" s="79">
        <v>44937.375</v>
      </c>
      <c r="E16" s="44" t="s">
        <v>3055</v>
      </c>
      <c r="F16" s="66">
        <v>20</v>
      </c>
      <c r="G16" s="66" t="s">
        <v>2820</v>
      </c>
      <c r="H16" s="44" t="s">
        <v>2820</v>
      </c>
      <c r="I16" s="299" t="s">
        <v>2821</v>
      </c>
      <c r="J16" s="66" t="s">
        <v>3056</v>
      </c>
      <c r="K16" s="66" t="s">
        <v>3054</v>
      </c>
      <c r="L16" s="66">
        <v>102895</v>
      </c>
      <c r="N16" s="66" t="s">
        <v>3028</v>
      </c>
      <c r="O16" s="66" t="s">
        <v>2864</v>
      </c>
      <c r="P16" s="66" t="s">
        <v>3029</v>
      </c>
      <c r="Q16" s="138" t="str">
        <f ca="1">IFERROR(LOOKUP($P16,MOTORISTAS!$D$3:$D$1048576,MOTORISTAS!E$3:E$916),"")</f>
        <v>15284965825</v>
      </c>
      <c r="R16" s="138" t="str">
        <f ca="1">IFERROR(LOOKUP($P16,MOTORISTAS!$D$3:$D$1048576,MOTORISTAS!F$3:F$916),"")</f>
        <v>01681109819</v>
      </c>
      <c r="S16" s="66" t="s">
        <v>3057</v>
      </c>
      <c r="T16" s="66" t="s">
        <v>306</v>
      </c>
      <c r="U16" s="79">
        <v>44936.980555555558</v>
      </c>
      <c r="V16" s="66" t="s">
        <v>292</v>
      </c>
      <c r="W16" s="79">
        <v>44937.590277777781</v>
      </c>
      <c r="X16" s="79">
        <v>44937.208333333336</v>
      </c>
      <c r="Y16" s="88">
        <v>44937.625</v>
      </c>
      <c r="Z16" s="81">
        <v>1600</v>
      </c>
      <c r="AA16" s="81">
        <v>0</v>
      </c>
      <c r="AB16" s="81">
        <f>SUM(Sal_23[[#This Row],[Saldo]]+Sal_23[[#This Row],[Adiantamento]])</f>
        <v>1600</v>
      </c>
      <c r="AC16" s="81">
        <v>0</v>
      </c>
      <c r="AD16" s="81"/>
      <c r="AE16" s="81"/>
      <c r="AF16" s="81"/>
      <c r="AG16" s="81">
        <f>Sal_23[[#This Row],[COMPRA]]*12%</f>
        <v>288</v>
      </c>
      <c r="AH16" s="83">
        <v>2400</v>
      </c>
      <c r="AI16" s="66" t="str">
        <f>PROPER(TEXT(Sal_23[[#This Row],[PROGRAMAÇÃO]],"mmm"))</f>
        <v>Jan</v>
      </c>
      <c r="AJ16" s="66">
        <f>YEAR(Sal_23[[#This Row],[PROGRAMAÇÃO]])</f>
        <v>2023</v>
      </c>
      <c r="AM16" s="66" t="s">
        <v>2768</v>
      </c>
      <c r="AN16" s="66" t="s">
        <v>2768</v>
      </c>
      <c r="AO16" s="66" t="s">
        <v>2768</v>
      </c>
    </row>
    <row r="17" spans="1:41" s="66" customFormat="1" ht="12.75" x14ac:dyDescent="0.2">
      <c r="A17" s="120" t="str">
        <f>Sal_23[[#This Row],[CONTAINER]]</f>
        <v>MRKU9362051</v>
      </c>
      <c r="B17" s="128" t="s">
        <v>2771</v>
      </c>
      <c r="C1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7" s="79">
        <v>44937.458333333336</v>
      </c>
      <c r="E17" s="44" t="s">
        <v>3058</v>
      </c>
      <c r="F17" s="66">
        <v>20</v>
      </c>
      <c r="G17" s="66" t="s">
        <v>2820</v>
      </c>
      <c r="H17" s="44" t="s">
        <v>2820</v>
      </c>
      <c r="I17" s="299" t="s">
        <v>2821</v>
      </c>
      <c r="J17" s="66" t="s">
        <v>3059</v>
      </c>
      <c r="K17" s="66" t="s">
        <v>3054</v>
      </c>
      <c r="L17" s="66">
        <v>102861</v>
      </c>
      <c r="N17" s="66" t="s">
        <v>2949</v>
      </c>
      <c r="O17" s="66" t="s">
        <v>2950</v>
      </c>
      <c r="P17" s="66" t="s">
        <v>2948</v>
      </c>
      <c r="Q17" s="138" t="str">
        <f ca="1">IFERROR(LOOKUP($P17,MOTORISTAS!$D$3:$D$1048576,MOTORISTAS!E$3:E$916),"")</f>
        <v>16239341843</v>
      </c>
      <c r="R17" s="138" t="str">
        <f ca="1">IFERROR(LOOKUP($P17,MOTORISTAS!$D$3:$D$1048576,MOTORISTAS!F$3:F$916),"")</f>
        <v>01877235038</v>
      </c>
      <c r="S17" s="66">
        <v>3207</v>
      </c>
      <c r="T17" s="66" t="s">
        <v>306</v>
      </c>
      <c r="U17" s="79">
        <v>44936.959027777775</v>
      </c>
      <c r="V17" s="66" t="s">
        <v>292</v>
      </c>
      <c r="W17" s="79">
        <v>44937.536805555559</v>
      </c>
      <c r="X17" s="79">
        <v>44937.208333333336</v>
      </c>
      <c r="Y17" s="88">
        <v>44937.416666666664</v>
      </c>
      <c r="Z17" s="81">
        <v>1600</v>
      </c>
      <c r="AA17" s="81">
        <v>0</v>
      </c>
      <c r="AB17" s="81">
        <f>SUM(Sal_23[[#This Row],[Saldo]]+Sal_23[[#This Row],[Adiantamento]])</f>
        <v>1600</v>
      </c>
      <c r="AC17" s="81">
        <v>0</v>
      </c>
      <c r="AD17" s="81"/>
      <c r="AE17" s="81"/>
      <c r="AF17" s="81"/>
      <c r="AG17" s="81">
        <f>Sal_23[[#This Row],[COMPRA]]*12%</f>
        <v>288</v>
      </c>
      <c r="AH17" s="83">
        <v>2400</v>
      </c>
      <c r="AI17" s="66" t="str">
        <f>PROPER(TEXT(Sal_23[[#This Row],[PROGRAMAÇÃO]],"mmm"))</f>
        <v>Jan</v>
      </c>
      <c r="AJ17" s="66">
        <f>YEAR(Sal_23[[#This Row],[PROGRAMAÇÃO]])</f>
        <v>2023</v>
      </c>
      <c r="AM17" s="66" t="s">
        <v>2768</v>
      </c>
      <c r="AN17" s="66" t="s">
        <v>2768</v>
      </c>
      <c r="AO17" s="66" t="s">
        <v>2768</v>
      </c>
    </row>
    <row r="18" spans="1:41" s="66" customFormat="1" ht="12.75" x14ac:dyDescent="0.2">
      <c r="A18" s="120" t="str">
        <f>Sal_23[[#This Row],[CONTAINER]]</f>
        <v>SUDU7465082</v>
      </c>
      <c r="B18" s="128" t="s">
        <v>2771</v>
      </c>
      <c r="C1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8" s="79">
        <v>44937.458333333336</v>
      </c>
      <c r="E18" s="44" t="s">
        <v>3060</v>
      </c>
      <c r="F18" s="66">
        <v>20</v>
      </c>
      <c r="G18" s="66" t="s">
        <v>2820</v>
      </c>
      <c r="H18" s="44" t="s">
        <v>2820</v>
      </c>
      <c r="I18" s="299" t="s">
        <v>2821</v>
      </c>
      <c r="J18" s="66" t="s">
        <v>3061</v>
      </c>
      <c r="K18" s="66" t="s">
        <v>3054</v>
      </c>
      <c r="L18" s="66">
        <v>102896</v>
      </c>
      <c r="N18" s="66" t="s">
        <v>2584</v>
      </c>
      <c r="O18" s="66" t="s">
        <v>2585</v>
      </c>
      <c r="P18" s="66" t="s">
        <v>2586</v>
      </c>
      <c r="Q18" s="138" t="str">
        <f ca="1">IFERROR(LOOKUP($P18,MOTORISTAS!$D$3:$D$1048576,MOTORISTAS!E$3:E$916),"")</f>
        <v>08312935860</v>
      </c>
      <c r="R18" s="138" t="str">
        <f ca="1">IFERROR(LOOKUP($P18,MOTORISTAS!$D$3:$D$1048576,MOTORISTAS!F$3:F$916),"")</f>
        <v>03106516083</v>
      </c>
      <c r="S18" s="66">
        <v>3208</v>
      </c>
      <c r="T18" s="66" t="s">
        <v>306</v>
      </c>
      <c r="U18" s="79">
        <v>44936.888888888891</v>
      </c>
      <c r="V18" s="66" t="s">
        <v>292</v>
      </c>
      <c r="W18" s="79">
        <v>44937.504861111112</v>
      </c>
      <c r="X18" s="79">
        <v>44937.208333333336</v>
      </c>
      <c r="Y18" s="88">
        <v>44937.395833333336</v>
      </c>
      <c r="Z18" s="81">
        <v>1600</v>
      </c>
      <c r="AA18" s="81">
        <v>0</v>
      </c>
      <c r="AB18" s="81">
        <f>SUM(Sal_23[[#This Row],[Saldo]]+Sal_23[[#This Row],[Adiantamento]])</f>
        <v>1600</v>
      </c>
      <c r="AC18" s="81">
        <v>0</v>
      </c>
      <c r="AD18" s="81"/>
      <c r="AE18" s="81"/>
      <c r="AF18" s="81"/>
      <c r="AG18" s="81">
        <f>Sal_23[[#This Row],[COMPRA]]*12%</f>
        <v>288</v>
      </c>
      <c r="AH18" s="83">
        <v>2400</v>
      </c>
      <c r="AI18" s="66" t="str">
        <f>PROPER(TEXT(Sal_23[[#This Row],[PROGRAMAÇÃO]],"mmm"))</f>
        <v>Jan</v>
      </c>
      <c r="AJ18" s="66">
        <f>YEAR(Sal_23[[#This Row],[PROGRAMAÇÃO]])</f>
        <v>2023</v>
      </c>
      <c r="AM18" s="66" t="s">
        <v>2768</v>
      </c>
      <c r="AN18" s="66" t="s">
        <v>2768</v>
      </c>
      <c r="AO18" s="66" t="s">
        <v>2768</v>
      </c>
    </row>
    <row r="19" spans="1:41" s="66" customFormat="1" ht="12.75" x14ac:dyDescent="0.2">
      <c r="A19" s="120" t="str">
        <f>Sal_23[[#This Row],[CONTAINER]]</f>
        <v>TCLU8287488</v>
      </c>
      <c r="B19" s="128" t="s">
        <v>2771</v>
      </c>
      <c r="C1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9" s="79">
        <v>44938.333333333336</v>
      </c>
      <c r="E19" s="44" t="s">
        <v>3062</v>
      </c>
      <c r="F19" s="66">
        <v>40</v>
      </c>
      <c r="G19" s="66" t="s">
        <v>2826</v>
      </c>
      <c r="H19" s="44" t="s">
        <v>1674</v>
      </c>
      <c r="I19" s="299" t="s">
        <v>2829</v>
      </c>
      <c r="J19" s="66">
        <v>59477</v>
      </c>
      <c r="K19" s="66" t="s">
        <v>3063</v>
      </c>
      <c r="L19" s="66">
        <v>102681</v>
      </c>
      <c r="M19" s="66">
        <v>102682</v>
      </c>
      <c r="N19" s="66" t="s">
        <v>111</v>
      </c>
      <c r="O19" s="66" t="s">
        <v>891</v>
      </c>
      <c r="P19" s="66" t="s">
        <v>113</v>
      </c>
      <c r="Q19" s="138" t="str">
        <f ca="1">IFERROR(LOOKUP($P19,MOTORISTAS!$D$3:$D$1048576,MOTORISTAS!E$3:E$916),"")</f>
        <v>88265951434</v>
      </c>
      <c r="R19" s="138" t="str">
        <f ca="1">IFERROR(LOOKUP($P19,MOTORISTAS!$D$3:$D$1048576,MOTORISTAS!F$3:F$916),"")</f>
        <v>00920373596</v>
      </c>
      <c r="S19" s="66">
        <v>3223</v>
      </c>
      <c r="T19" s="66" t="s">
        <v>293</v>
      </c>
      <c r="U19" s="79">
        <v>44938.065972222219</v>
      </c>
      <c r="V19" s="66" t="s">
        <v>469</v>
      </c>
      <c r="W19" s="79">
        <v>44938.993750000001</v>
      </c>
      <c r="X19" s="79">
        <v>44938.291666666664</v>
      </c>
      <c r="Y19" s="88">
        <v>44938.472222222219</v>
      </c>
      <c r="Z19" s="81">
        <v>3400</v>
      </c>
      <c r="AA19" s="81">
        <v>0</v>
      </c>
      <c r="AB19" s="81">
        <f>SUM(Sal_23[[#This Row],[Saldo]]+Sal_23[[#This Row],[Adiantamento]])</f>
        <v>3400</v>
      </c>
      <c r="AC19" s="81">
        <v>0</v>
      </c>
      <c r="AD19" s="81"/>
      <c r="AE19" s="81"/>
      <c r="AF19" s="81"/>
      <c r="AG19" s="81">
        <f>Sal_23[[#This Row],[COMPRA]]*12%</f>
        <v>558.28440000000001</v>
      </c>
      <c r="AH19" s="83">
        <v>4652.37</v>
      </c>
      <c r="AI19" s="66" t="str">
        <f>PROPER(TEXT(Sal_23[[#This Row],[PROGRAMAÇÃO]],"mmm"))</f>
        <v>Jan</v>
      </c>
      <c r="AJ19" s="66">
        <f>YEAR(Sal_23[[#This Row],[PROGRAMAÇÃO]])</f>
        <v>2023</v>
      </c>
      <c r="AM19" s="66" t="s">
        <v>2768</v>
      </c>
      <c r="AN19" s="66" t="s">
        <v>2768</v>
      </c>
      <c r="AO19" s="66" t="s">
        <v>2768</v>
      </c>
    </row>
    <row r="20" spans="1:41" s="66" customFormat="1" ht="12.75" x14ac:dyDescent="0.2">
      <c r="A20" s="120" t="str">
        <f>Sal_23[[#This Row],[CONTAINER]]</f>
        <v>FCIU9216372</v>
      </c>
      <c r="B20" s="128" t="s">
        <v>2771</v>
      </c>
      <c r="C2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0" s="79">
        <v>44938.333333333336</v>
      </c>
      <c r="E20" s="44" t="s">
        <v>3064</v>
      </c>
      <c r="F20" s="66">
        <v>40</v>
      </c>
      <c r="G20" s="66" t="s">
        <v>2826</v>
      </c>
      <c r="H20" s="44" t="s">
        <v>1674</v>
      </c>
      <c r="I20" s="299" t="s">
        <v>2829</v>
      </c>
      <c r="J20" s="66">
        <v>59473</v>
      </c>
      <c r="K20" s="66" t="s">
        <v>3063</v>
      </c>
      <c r="L20" s="66">
        <v>102679</v>
      </c>
      <c r="M20" s="66">
        <v>102680</v>
      </c>
      <c r="N20" s="66" t="s">
        <v>2389</v>
      </c>
      <c r="O20" s="66" t="s">
        <v>2390</v>
      </c>
      <c r="P20" s="66" t="s">
        <v>2678</v>
      </c>
      <c r="Q20" s="138" t="str">
        <f ca="1">IFERROR(LOOKUP($P20,MOTORISTAS!$D$3:$D$1048576,MOTORISTAS!E$3:E$916),"")</f>
        <v>28386357860</v>
      </c>
      <c r="R20" s="138" t="str">
        <f ca="1">IFERROR(LOOKUP($P20,MOTORISTAS!$D$3:$D$1048576,MOTORISTAS!F$3:F$916),"")</f>
        <v>01042201192</v>
      </c>
      <c r="S20" s="66">
        <v>3224</v>
      </c>
      <c r="T20" s="66" t="s">
        <v>293</v>
      </c>
      <c r="U20" s="79">
        <v>44938.075694444444</v>
      </c>
      <c r="V20" s="66" t="s">
        <v>469</v>
      </c>
      <c r="W20" s="79">
        <v>44938.662499999999</v>
      </c>
      <c r="X20" s="79">
        <v>44938.291666666664</v>
      </c>
      <c r="Y20" s="88">
        <v>44938.458333333336</v>
      </c>
      <c r="Z20" s="81">
        <v>3400</v>
      </c>
      <c r="AA20" s="81">
        <v>0</v>
      </c>
      <c r="AB20" s="81">
        <f>SUM(Sal_23[[#This Row],[Saldo]]+Sal_23[[#This Row],[Adiantamento]])</f>
        <v>3400</v>
      </c>
      <c r="AC20" s="81">
        <v>0</v>
      </c>
      <c r="AD20" s="81"/>
      <c r="AE20" s="81"/>
      <c r="AF20" s="81"/>
      <c r="AG20" s="81">
        <f>Sal_23[[#This Row],[COMPRA]]*12%</f>
        <v>558.28440000000001</v>
      </c>
      <c r="AH20" s="83">
        <v>4652.37</v>
      </c>
      <c r="AI20" s="66" t="str">
        <f>PROPER(TEXT(Sal_23[[#This Row],[PROGRAMAÇÃO]],"mmm"))</f>
        <v>Jan</v>
      </c>
      <c r="AJ20" s="66">
        <f>YEAR(Sal_23[[#This Row],[PROGRAMAÇÃO]])</f>
        <v>2023</v>
      </c>
      <c r="AM20" s="66" t="s">
        <v>2768</v>
      </c>
      <c r="AN20" s="66" t="s">
        <v>2768</v>
      </c>
      <c r="AO20" s="66" t="s">
        <v>2768</v>
      </c>
    </row>
    <row r="21" spans="1:41" s="66" customFormat="1" ht="12.75" x14ac:dyDescent="0.2">
      <c r="A21" s="120" t="str">
        <f>Sal_23[[#This Row],[CONTAINER]]</f>
        <v>AMFU8942179</v>
      </c>
      <c r="B21" s="128" t="s">
        <v>2771</v>
      </c>
      <c r="C2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" s="79">
        <v>44938.333333333336</v>
      </c>
      <c r="E21" s="44" t="s">
        <v>3065</v>
      </c>
      <c r="F21" s="66">
        <v>40</v>
      </c>
      <c r="G21" s="66" t="s">
        <v>2826</v>
      </c>
      <c r="H21" s="44" t="s">
        <v>3195</v>
      </c>
      <c r="I21" s="299" t="s">
        <v>2830</v>
      </c>
      <c r="J21" s="66">
        <v>59672</v>
      </c>
      <c r="K21" s="66" t="s">
        <v>3063</v>
      </c>
      <c r="L21" s="66">
        <v>102888</v>
      </c>
      <c r="N21" s="66" t="s">
        <v>140</v>
      </c>
      <c r="O21" s="66" t="s">
        <v>3066</v>
      </c>
      <c r="P21" s="66" t="s">
        <v>2051</v>
      </c>
      <c r="Q21" s="138" t="str">
        <f ca="1">IFERROR(LOOKUP($P21,MOTORISTAS!$D$3:$D$1048576,MOTORISTAS!E$3:E$916),"")</f>
        <v>33913917829</v>
      </c>
      <c r="R21" s="138" t="str">
        <f ca="1">IFERROR(LOOKUP($P21,MOTORISTAS!$D$3:$D$1048576,MOTORISTAS!F$3:F$916),"")</f>
        <v>03312585500</v>
      </c>
      <c r="S21" s="66">
        <v>3225</v>
      </c>
      <c r="T21" s="66" t="s">
        <v>293</v>
      </c>
      <c r="U21" s="79">
        <v>44938.020833333336</v>
      </c>
      <c r="V21" s="66" t="s">
        <v>469</v>
      </c>
      <c r="W21" s="79">
        <v>44938.581250000003</v>
      </c>
      <c r="X21" s="79">
        <v>44938.3125</v>
      </c>
      <c r="Y21" s="88">
        <v>44938.416666666664</v>
      </c>
      <c r="Z21" s="81">
        <v>2300</v>
      </c>
      <c r="AA21" s="81">
        <v>0</v>
      </c>
      <c r="AB21" s="81">
        <f>SUM(Sal_23[[#This Row],[Saldo]]+Sal_23[[#This Row],[Adiantamento]])</f>
        <v>2300</v>
      </c>
      <c r="AC21" s="81">
        <v>0</v>
      </c>
      <c r="AD21" s="81"/>
      <c r="AE21" s="81"/>
      <c r="AF21" s="81"/>
      <c r="AG21" s="81">
        <f>Sal_23[[#This Row],[COMPRA]]*12%</f>
        <v>392.15039999999999</v>
      </c>
      <c r="AH21" s="83">
        <v>3267.92</v>
      </c>
      <c r="AI21" s="66" t="str">
        <f>PROPER(TEXT(Sal_23[[#This Row],[PROGRAMAÇÃO]],"mmm"))</f>
        <v>Jan</v>
      </c>
      <c r="AJ21" s="66">
        <f>YEAR(Sal_23[[#This Row],[PROGRAMAÇÃO]])</f>
        <v>2023</v>
      </c>
      <c r="AM21" s="66" t="s">
        <v>2768</v>
      </c>
      <c r="AN21" s="66" t="s">
        <v>2768</v>
      </c>
      <c r="AO21" s="66" t="s">
        <v>2768</v>
      </c>
    </row>
    <row r="22" spans="1:41" s="66" customFormat="1" ht="12.75" x14ac:dyDescent="0.2">
      <c r="A22" s="120" t="str">
        <f>Sal_23[[#This Row],[CONTAINER]]</f>
        <v>TCLU8806984</v>
      </c>
      <c r="B22" s="128" t="s">
        <v>2771</v>
      </c>
      <c r="C2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2" s="79">
        <v>44938.333333333336</v>
      </c>
      <c r="E22" s="44" t="s">
        <v>3067</v>
      </c>
      <c r="F22" s="66">
        <v>40</v>
      </c>
      <c r="G22" s="66" t="s">
        <v>2826</v>
      </c>
      <c r="H22" s="44" t="s">
        <v>2835</v>
      </c>
      <c r="I22" s="299" t="s">
        <v>2822</v>
      </c>
      <c r="J22" s="66">
        <v>17</v>
      </c>
      <c r="K22" s="66" t="s">
        <v>3063</v>
      </c>
      <c r="L22" s="66">
        <v>102791</v>
      </c>
      <c r="N22" s="66" t="s">
        <v>150</v>
      </c>
      <c r="O22" s="66" t="s">
        <v>151</v>
      </c>
      <c r="P22" s="66" t="s">
        <v>152</v>
      </c>
      <c r="Q22" s="138" t="str">
        <f ca="1">IFERROR(LOOKUP($P22,MOTORISTAS!$D$3:$D$1048576,MOTORISTAS!E$3:E$916),"")</f>
        <v>05753633803</v>
      </c>
      <c r="R22" s="138" t="str">
        <f ca="1">IFERROR(LOOKUP($P22,MOTORISTAS!$D$3:$D$1048576,MOTORISTAS!F$3:F$916),"")</f>
        <v>01922497849</v>
      </c>
      <c r="S22" s="66">
        <v>3212</v>
      </c>
      <c r="T22" s="66" t="s">
        <v>293</v>
      </c>
      <c r="U22" s="79">
        <v>44938.269444444442</v>
      </c>
      <c r="V22" s="66" t="s">
        <v>469</v>
      </c>
      <c r="W22" s="79">
        <v>44938.649305555555</v>
      </c>
      <c r="X22" s="79">
        <v>44938.375</v>
      </c>
      <c r="Y22" s="88">
        <v>44938.520833333336</v>
      </c>
      <c r="Z22" s="81">
        <v>2100</v>
      </c>
      <c r="AA22" s="81">
        <v>0</v>
      </c>
      <c r="AB22" s="81">
        <f>SUM(Sal_23[[#This Row],[Saldo]]+Sal_23[[#This Row],[Adiantamento]])</f>
        <v>2100</v>
      </c>
      <c r="AC22" s="81">
        <v>0</v>
      </c>
      <c r="AD22" s="81"/>
      <c r="AE22" s="81"/>
      <c r="AF22" s="81"/>
      <c r="AG22" s="81">
        <f>Sal_23[[#This Row],[COMPRA]]*12%</f>
        <v>370.37759999999997</v>
      </c>
      <c r="AH22" s="83">
        <v>3086.48</v>
      </c>
      <c r="AI22" s="66" t="str">
        <f>PROPER(TEXT(Sal_23[[#This Row],[PROGRAMAÇÃO]],"mmm"))</f>
        <v>Jan</v>
      </c>
      <c r="AJ22" s="66">
        <f>YEAR(Sal_23[[#This Row],[PROGRAMAÇÃO]])</f>
        <v>2023</v>
      </c>
      <c r="AL22" s="44" t="s">
        <v>3346</v>
      </c>
      <c r="AM22" s="66" t="s">
        <v>2768</v>
      </c>
      <c r="AN22" s="66" t="s">
        <v>2768</v>
      </c>
      <c r="AO22" s="66" t="s">
        <v>2768</v>
      </c>
    </row>
    <row r="23" spans="1:41" s="66" customFormat="1" ht="12.75" x14ac:dyDescent="0.2">
      <c r="A23" s="120" t="str">
        <f>Sal_23[[#This Row],[CONTAINER]]</f>
        <v>CAIU3288166</v>
      </c>
      <c r="B23" s="128" t="s">
        <v>2771</v>
      </c>
      <c r="C2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3" s="79">
        <v>44938.333333333336</v>
      </c>
      <c r="E23" s="44" t="s">
        <v>3070</v>
      </c>
      <c r="F23" s="66">
        <v>20</v>
      </c>
      <c r="G23" s="66" t="s">
        <v>2826</v>
      </c>
      <c r="H23" s="44" t="s">
        <v>3071</v>
      </c>
      <c r="I23" s="299" t="s">
        <v>3072</v>
      </c>
      <c r="J23" s="66">
        <v>59483</v>
      </c>
      <c r="K23" s="66" t="s">
        <v>3063</v>
      </c>
      <c r="L23" s="66">
        <v>102678</v>
      </c>
      <c r="N23" s="66" t="s">
        <v>2498</v>
      </c>
      <c r="O23" s="66" t="s">
        <v>2499</v>
      </c>
      <c r="P23" s="66" t="s">
        <v>2500</v>
      </c>
      <c r="Q23" s="138" t="str">
        <f ca="1">IFERROR(LOOKUP($P23,MOTORISTAS!$D$3:$D$1048576,MOTORISTAS!E$3:E$916),"")</f>
        <v>10838670830</v>
      </c>
      <c r="R23" s="138" t="str">
        <f ca="1">IFERROR(LOOKUP($P23,MOTORISTAS!$D$3:$D$1048576,MOTORISTAS!F$3:F$916),"")</f>
        <v>01808675938</v>
      </c>
      <c r="S23" s="66">
        <v>3222</v>
      </c>
      <c r="T23" s="66" t="s">
        <v>293</v>
      </c>
      <c r="U23" s="79">
        <v>44938.091666666667</v>
      </c>
      <c r="V23" s="66" t="s">
        <v>469</v>
      </c>
      <c r="W23" s="79">
        <v>44939.013888888891</v>
      </c>
      <c r="X23" s="79">
        <v>44938.270833333336</v>
      </c>
      <c r="Y23" s="88">
        <v>44938.666666666664</v>
      </c>
      <c r="Z23" s="81">
        <v>2200</v>
      </c>
      <c r="AA23" s="81">
        <v>0</v>
      </c>
      <c r="AB23" s="81">
        <f>SUM(Sal_23[[#This Row],[Saldo]]+Sal_23[[#This Row],[Adiantamento]])</f>
        <v>2200</v>
      </c>
      <c r="AC23" s="81">
        <v>600</v>
      </c>
      <c r="AD23" s="81"/>
      <c r="AE23" s="81"/>
      <c r="AF23" s="81"/>
      <c r="AG23" s="81">
        <f>Sal_23[[#This Row],[COMPRA]]*12%</f>
        <v>473.5104</v>
      </c>
      <c r="AH23" s="83">
        <v>3945.92</v>
      </c>
      <c r="AI23" s="66" t="str">
        <f>PROPER(TEXT(Sal_23[[#This Row],[PROGRAMAÇÃO]],"mmm"))</f>
        <v>Jan</v>
      </c>
      <c r="AJ23" s="66">
        <f>YEAR(Sal_23[[#This Row],[PROGRAMAÇÃO]])</f>
        <v>2023</v>
      </c>
      <c r="AM23" s="66" t="s">
        <v>2768</v>
      </c>
      <c r="AN23" s="66" t="s">
        <v>2768</v>
      </c>
      <c r="AO23" s="66" t="s">
        <v>2768</v>
      </c>
    </row>
    <row r="24" spans="1:41" s="66" customFormat="1" ht="12.75" x14ac:dyDescent="0.2">
      <c r="A24" s="120" t="str">
        <f>Sal_23[[#This Row],[CONTAINER]]</f>
        <v>CAIU3027244</v>
      </c>
      <c r="B24" s="128" t="s">
        <v>2771</v>
      </c>
      <c r="C2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" s="79">
        <v>44938.333333333336</v>
      </c>
      <c r="E24" s="44" t="s">
        <v>3073</v>
      </c>
      <c r="F24" s="66">
        <v>20</v>
      </c>
      <c r="G24" s="66" t="s">
        <v>2826</v>
      </c>
      <c r="H24" s="44" t="s">
        <v>3074</v>
      </c>
      <c r="I24" s="299" t="s">
        <v>3439</v>
      </c>
      <c r="J24" s="66">
        <v>59487</v>
      </c>
      <c r="K24" s="66" t="s">
        <v>3063</v>
      </c>
      <c r="L24" s="66">
        <v>102797</v>
      </c>
      <c r="N24" s="66" t="s">
        <v>2584</v>
      </c>
      <c r="O24" s="66" t="s">
        <v>2585</v>
      </c>
      <c r="P24" s="66" t="s">
        <v>2586</v>
      </c>
      <c r="Q24" s="138" t="str">
        <f ca="1">IFERROR(LOOKUP($P24,MOTORISTAS!$D$3:$D$1048576,MOTORISTAS!E$3:E$916),"")</f>
        <v>08312935860</v>
      </c>
      <c r="R24" s="138" t="str">
        <f ca="1">IFERROR(LOOKUP($P24,MOTORISTAS!$D$3:$D$1048576,MOTORISTAS!F$3:F$916),"")</f>
        <v>03106516083</v>
      </c>
      <c r="S24" s="66">
        <v>3226</v>
      </c>
      <c r="T24" s="66" t="s">
        <v>293</v>
      </c>
      <c r="U24" s="79">
        <v>44937.896527777775</v>
      </c>
      <c r="V24" s="66" t="s">
        <v>469</v>
      </c>
      <c r="W24" s="79">
        <v>44938.647916666669</v>
      </c>
      <c r="X24" s="79">
        <v>44938.25</v>
      </c>
      <c r="Y24" s="88">
        <v>44938.472222222219</v>
      </c>
      <c r="Z24" s="81">
        <v>2000</v>
      </c>
      <c r="AA24" s="81">
        <v>0</v>
      </c>
      <c r="AB24" s="81">
        <f>SUM(Sal_23[[#This Row],[Saldo]]+Sal_23[[#This Row],[Adiantamento]])</f>
        <v>2000</v>
      </c>
      <c r="AC24" s="81">
        <v>0</v>
      </c>
      <c r="AD24" s="81"/>
      <c r="AE24" s="81"/>
      <c r="AF24" s="81"/>
      <c r="AG24" s="81">
        <f>Sal_23[[#This Row],[COMPRA]]*12%</f>
        <v>501.59999999999997</v>
      </c>
      <c r="AH24" s="83">
        <v>4180</v>
      </c>
      <c r="AI24" s="66" t="str">
        <f>PROPER(TEXT(Sal_23[[#This Row],[PROGRAMAÇÃO]],"mmm"))</f>
        <v>Jan</v>
      </c>
      <c r="AJ24" s="66">
        <f>YEAR(Sal_23[[#This Row],[PROGRAMAÇÃO]])</f>
        <v>2023</v>
      </c>
      <c r="AM24" s="66" t="s">
        <v>2768</v>
      </c>
      <c r="AN24" s="66" t="s">
        <v>2768</v>
      </c>
      <c r="AO24" s="66" t="s">
        <v>2768</v>
      </c>
    </row>
    <row r="25" spans="1:41" s="66" customFormat="1" ht="12.75" x14ac:dyDescent="0.2">
      <c r="A25" s="120" t="str">
        <f>Sal_23[[#This Row],[CONTAINER]]</f>
        <v>TCLU3042224</v>
      </c>
      <c r="B25" s="128" t="s">
        <v>2771</v>
      </c>
      <c r="C2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5" s="79">
        <v>44938.333333333336</v>
      </c>
      <c r="E25" s="44" t="s">
        <v>3075</v>
      </c>
      <c r="F25" s="66">
        <v>20</v>
      </c>
      <c r="G25" s="44" t="s">
        <v>2837</v>
      </c>
      <c r="H25" s="44" t="s">
        <v>2837</v>
      </c>
      <c r="I25" s="299" t="s">
        <v>2821</v>
      </c>
      <c r="J25" s="66">
        <v>59485</v>
      </c>
      <c r="K25" s="66" t="s">
        <v>3063</v>
      </c>
      <c r="L25" s="66">
        <v>111639</v>
      </c>
      <c r="N25" s="66" t="s">
        <v>3076</v>
      </c>
      <c r="O25" s="66" t="s">
        <v>3077</v>
      </c>
      <c r="P25" s="66" t="s">
        <v>3078</v>
      </c>
      <c r="Q25" s="138" t="str">
        <f ca="1">IFERROR(LOOKUP($P25,MOTORISTAS!$D$3:$D$1048576,MOTORISTAS!E$3:E$916),"")</f>
        <v>15284965825</v>
      </c>
      <c r="R25" s="138" t="str">
        <f ca="1">IFERROR(LOOKUP($P25,MOTORISTAS!$D$3:$D$1048576,MOTORISTAS!F$3:F$916),"")</f>
        <v>01681109819</v>
      </c>
      <c r="S25" s="66">
        <v>3229</v>
      </c>
      <c r="T25" s="66" t="s">
        <v>293</v>
      </c>
      <c r="U25" s="79">
        <v>44938.295138888891</v>
      </c>
      <c r="V25" s="66" t="s">
        <v>469</v>
      </c>
      <c r="W25" s="79">
        <v>44938.633333333331</v>
      </c>
      <c r="X25" s="79">
        <v>44938.375</v>
      </c>
      <c r="Y25" s="88">
        <v>44938.4375</v>
      </c>
      <c r="Z25" s="81">
        <v>1600</v>
      </c>
      <c r="AA25" s="81">
        <v>0</v>
      </c>
      <c r="AB25" s="81">
        <f>SUM(Sal_23[[#This Row],[Saldo]]+Sal_23[[#This Row],[Adiantamento]])</f>
        <v>1600</v>
      </c>
      <c r="AC25" s="81">
        <v>0</v>
      </c>
      <c r="AD25" s="81"/>
      <c r="AE25" s="81"/>
      <c r="AF25" s="81"/>
      <c r="AG25" s="81">
        <f>Sal_23[[#This Row],[COMPRA]]*12%</f>
        <v>311.55959999999999</v>
      </c>
      <c r="AH25" s="83">
        <v>2596.33</v>
      </c>
      <c r="AI25" s="66" t="str">
        <f>PROPER(TEXT(Sal_23[[#This Row],[PROGRAMAÇÃO]],"mmm"))</f>
        <v>Jan</v>
      </c>
      <c r="AJ25" s="66">
        <f>YEAR(Sal_23[[#This Row],[PROGRAMAÇÃO]])</f>
        <v>2023</v>
      </c>
      <c r="AL25" s="44" t="s">
        <v>3346</v>
      </c>
      <c r="AM25" s="66" t="s">
        <v>2768</v>
      </c>
      <c r="AN25" s="66" t="s">
        <v>2768</v>
      </c>
      <c r="AO25" s="66" t="s">
        <v>2768</v>
      </c>
    </row>
    <row r="26" spans="1:41" s="66" customFormat="1" ht="12.75" x14ac:dyDescent="0.2">
      <c r="A26" s="120" t="str">
        <f>Sal_23[[#This Row],[CONTAINER]]</f>
        <v>CAIU3417221</v>
      </c>
      <c r="B26" s="128" t="s">
        <v>2771</v>
      </c>
      <c r="C2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6" s="79">
        <v>44938.333333333336</v>
      </c>
      <c r="E26" s="44" t="s">
        <v>3081</v>
      </c>
      <c r="F26" s="66">
        <v>20</v>
      </c>
      <c r="G26" s="66" t="s">
        <v>2826</v>
      </c>
      <c r="H26" s="44" t="s">
        <v>3082</v>
      </c>
      <c r="I26" s="299" t="s">
        <v>3083</v>
      </c>
      <c r="J26" s="66">
        <v>59486</v>
      </c>
      <c r="K26" s="66" t="s">
        <v>3063</v>
      </c>
      <c r="L26" s="66">
        <v>102753</v>
      </c>
      <c r="N26" s="66" t="s">
        <v>2156</v>
      </c>
      <c r="O26" s="66" t="s">
        <v>2464</v>
      </c>
      <c r="P26" s="66" t="s">
        <v>2158</v>
      </c>
      <c r="Q26" s="138" t="str">
        <f ca="1">IFERROR(LOOKUP($P26,MOTORISTAS!$D$3:$D$1048576,MOTORISTAS!E$3:E$916),"")</f>
        <v>10485530864</v>
      </c>
      <c r="R26" s="138" t="str">
        <f ca="1">IFERROR(LOOKUP($P26,MOTORISTAS!$D$3:$D$1048576,MOTORISTAS!F$3:F$916),"")</f>
        <v>02033192841</v>
      </c>
      <c r="S26" s="66">
        <v>3230</v>
      </c>
      <c r="T26" s="66" t="s">
        <v>293</v>
      </c>
      <c r="U26" s="79">
        <v>44938.227083333331</v>
      </c>
      <c r="V26" s="66" t="s">
        <v>469</v>
      </c>
      <c r="W26" s="79">
        <v>44939.011111111111</v>
      </c>
      <c r="X26" s="79">
        <v>44938.263888888891</v>
      </c>
      <c r="Y26" s="88">
        <v>44938.666666666664</v>
      </c>
      <c r="Z26" s="81">
        <v>2000</v>
      </c>
      <c r="AA26" s="81">
        <v>0</v>
      </c>
      <c r="AB26" s="81">
        <f>SUM(Sal_23[[#This Row],[Saldo]]+Sal_23[[#This Row],[Adiantamento]])</f>
        <v>2000</v>
      </c>
      <c r="AC26" s="81">
        <v>0</v>
      </c>
      <c r="AD26" s="81"/>
      <c r="AE26" s="81"/>
      <c r="AF26" s="81"/>
      <c r="AG26" s="81">
        <f>Sal_23[[#This Row],[COMPRA]]*12%</f>
        <v>355.75439999999998</v>
      </c>
      <c r="AH26" s="83">
        <v>2964.62</v>
      </c>
      <c r="AI26" s="66" t="str">
        <f>PROPER(TEXT(Sal_23[[#This Row],[PROGRAMAÇÃO]],"mmm"))</f>
        <v>Jan</v>
      </c>
      <c r="AJ26" s="66">
        <f>YEAR(Sal_23[[#This Row],[PROGRAMAÇÃO]])</f>
        <v>2023</v>
      </c>
      <c r="AM26" s="66" t="s">
        <v>2768</v>
      </c>
      <c r="AN26" s="66" t="s">
        <v>2768</v>
      </c>
      <c r="AO26" s="66" t="s">
        <v>2768</v>
      </c>
    </row>
    <row r="27" spans="1:41" s="66" customFormat="1" ht="12.75" x14ac:dyDescent="0.2">
      <c r="A27" s="120" t="str">
        <f>Sal_23[[#This Row],[CONTAINER]]</f>
        <v>CAIU3154871</v>
      </c>
      <c r="B27" s="128" t="s">
        <v>2771</v>
      </c>
      <c r="C2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7" s="79">
        <v>44938.333333333336</v>
      </c>
      <c r="E27" s="44" t="s">
        <v>3084</v>
      </c>
      <c r="F27" s="66">
        <v>20</v>
      </c>
      <c r="G27" s="66" t="s">
        <v>2826</v>
      </c>
      <c r="H27" s="44" t="s">
        <v>2827</v>
      </c>
      <c r="I27" s="299" t="s">
        <v>2823</v>
      </c>
      <c r="J27" s="66">
        <v>59491</v>
      </c>
      <c r="K27" s="66" t="s">
        <v>3063</v>
      </c>
      <c r="L27" s="66">
        <v>102800</v>
      </c>
      <c r="N27" s="66" t="s">
        <v>2940</v>
      </c>
      <c r="O27" s="66" t="s">
        <v>3085</v>
      </c>
      <c r="P27" s="66" t="s">
        <v>3086</v>
      </c>
      <c r="Q27" s="138" t="str">
        <f ca="1">IFERROR(LOOKUP($P27,MOTORISTAS!$D$3:$D$1048576,MOTORISTAS!E$3:E$916),"")</f>
        <v>16955497839</v>
      </c>
      <c r="R27" s="138" t="str">
        <f ca="1">IFERROR(LOOKUP($P27,MOTORISTAS!$D$3:$D$1048576,MOTORISTAS!F$3:F$916),"")</f>
        <v>03177639496</v>
      </c>
      <c r="S27" s="66">
        <v>3220</v>
      </c>
      <c r="T27" s="66" t="s">
        <v>293</v>
      </c>
      <c r="U27" s="79">
        <v>44938.050694444442</v>
      </c>
      <c r="V27" s="66" t="s">
        <v>469</v>
      </c>
      <c r="W27" s="79">
        <v>44938.636111111111</v>
      </c>
      <c r="X27" s="79">
        <v>44938.25</v>
      </c>
      <c r="Y27" s="88">
        <v>44938.402777777781</v>
      </c>
      <c r="Z27" s="81">
        <v>3200</v>
      </c>
      <c r="AA27" s="81">
        <v>0</v>
      </c>
      <c r="AB27" s="81">
        <f>SUM(Sal_23[[#This Row],[Saldo]]+Sal_23[[#This Row],[Adiantamento]])</f>
        <v>3200</v>
      </c>
      <c r="AC27" s="81">
        <v>0</v>
      </c>
      <c r="AD27" s="81"/>
      <c r="AE27" s="81"/>
      <c r="AF27" s="81"/>
      <c r="AG27" s="81">
        <f>Sal_23[[#This Row],[COMPRA]]*12%</f>
        <v>571.48680000000002</v>
      </c>
      <c r="AH27" s="83">
        <v>4762.3900000000003</v>
      </c>
      <c r="AI27" s="66" t="str">
        <f>PROPER(TEXT(Sal_23[[#This Row],[PROGRAMAÇÃO]],"mmm"))</f>
        <v>Jan</v>
      </c>
      <c r="AJ27" s="66">
        <f>YEAR(Sal_23[[#This Row],[PROGRAMAÇÃO]])</f>
        <v>2023</v>
      </c>
      <c r="AM27" s="66" t="s">
        <v>2768</v>
      </c>
      <c r="AN27" s="66" t="s">
        <v>2768</v>
      </c>
      <c r="AO27" s="66" t="s">
        <v>2768</v>
      </c>
    </row>
    <row r="28" spans="1:41" s="66" customFormat="1" ht="12.75" x14ac:dyDescent="0.2">
      <c r="A28" s="120" t="str">
        <f>Sal_23[[#This Row],[CONTAINER]]</f>
        <v>CAIU3159657</v>
      </c>
      <c r="B28" s="128" t="s">
        <v>2771</v>
      </c>
      <c r="C2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" s="79">
        <v>44938.333333333336</v>
      </c>
      <c r="E28" s="44" t="s">
        <v>3088</v>
      </c>
      <c r="F28" s="66">
        <v>20</v>
      </c>
      <c r="G28" s="66" t="s">
        <v>2826</v>
      </c>
      <c r="H28" s="44" t="s">
        <v>2827</v>
      </c>
      <c r="I28" s="299" t="s">
        <v>2823</v>
      </c>
      <c r="J28" s="66">
        <v>59490</v>
      </c>
      <c r="K28" s="66" t="s">
        <v>3063</v>
      </c>
      <c r="L28" s="66">
        <v>102835</v>
      </c>
      <c r="N28" s="66" t="s">
        <v>2124</v>
      </c>
      <c r="O28" s="66" t="s">
        <v>2125</v>
      </c>
      <c r="P28" s="66" t="s">
        <v>39</v>
      </c>
      <c r="Q28" s="138" t="str">
        <f ca="1">IFERROR(LOOKUP($P28,MOTORISTAS!$D$3:$D$1048576,MOTORISTAS!E$3:E$916),"")</f>
        <v>12126370895</v>
      </c>
      <c r="R28" s="138" t="str">
        <f ca="1">IFERROR(LOOKUP($P28,MOTORISTAS!$D$3:$D$1048576,MOTORISTAS!F$3:F$916),"")</f>
        <v>02988821539</v>
      </c>
      <c r="S28" s="66">
        <v>3221</v>
      </c>
      <c r="T28" s="66" t="s">
        <v>293</v>
      </c>
      <c r="U28" s="79">
        <v>44938.02847222222</v>
      </c>
      <c r="V28" s="66" t="s">
        <v>469</v>
      </c>
      <c r="W28" s="79">
        <v>44938.638194444444</v>
      </c>
      <c r="X28" s="79">
        <v>44938.25</v>
      </c>
      <c r="Y28" s="88">
        <v>44938.395833333336</v>
      </c>
      <c r="Z28" s="81">
        <v>3200</v>
      </c>
      <c r="AA28" s="81">
        <v>0</v>
      </c>
      <c r="AB28" s="81">
        <f>SUM(Sal_23[[#This Row],[Saldo]]+Sal_23[[#This Row],[Adiantamento]])</f>
        <v>3200</v>
      </c>
      <c r="AC28" s="81">
        <v>0</v>
      </c>
      <c r="AD28" s="81"/>
      <c r="AE28" s="81"/>
      <c r="AF28" s="81"/>
      <c r="AG28" s="81">
        <f>Sal_23[[#This Row],[COMPRA]]*12%</f>
        <v>571.48680000000002</v>
      </c>
      <c r="AH28" s="83">
        <v>4762.3900000000003</v>
      </c>
      <c r="AI28" s="66" t="str">
        <f>PROPER(TEXT(Sal_23[[#This Row],[PROGRAMAÇÃO]],"mmm"))</f>
        <v>Jan</v>
      </c>
      <c r="AJ28" s="66">
        <f>YEAR(Sal_23[[#This Row],[PROGRAMAÇÃO]])</f>
        <v>2023</v>
      </c>
      <c r="AM28" s="66" t="s">
        <v>2768</v>
      </c>
      <c r="AN28" s="66" t="s">
        <v>2768</v>
      </c>
      <c r="AO28" s="66" t="s">
        <v>2768</v>
      </c>
    </row>
    <row r="29" spans="1:41" s="66" customFormat="1" ht="12.75" x14ac:dyDescent="0.2">
      <c r="A29" s="120" t="str">
        <f>Sal_23[[#This Row],[CONTAINER]]</f>
        <v>CAIU3073086</v>
      </c>
      <c r="B29" s="128" t="s">
        <v>2771</v>
      </c>
      <c r="C2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9" s="79">
        <v>44938.333333333336</v>
      </c>
      <c r="E29" s="44" t="s">
        <v>3089</v>
      </c>
      <c r="F29" s="66">
        <v>20</v>
      </c>
      <c r="G29" s="66" t="s">
        <v>2826</v>
      </c>
      <c r="H29" s="44" t="s">
        <v>2825</v>
      </c>
      <c r="I29" s="299" t="s">
        <v>2824</v>
      </c>
      <c r="J29" s="66">
        <v>59482</v>
      </c>
      <c r="K29" s="66" t="s">
        <v>3063</v>
      </c>
      <c r="L29" s="66">
        <v>102677</v>
      </c>
      <c r="N29" s="66" t="s">
        <v>3040</v>
      </c>
      <c r="O29" s="66" t="s">
        <v>3041</v>
      </c>
      <c r="P29" s="66" t="s">
        <v>3042</v>
      </c>
      <c r="Q29" s="138" t="str">
        <f ca="1">IFERROR(LOOKUP($P29,MOTORISTAS!$D$3:$D$1048576,MOTORISTAS!E$3:E$916),"")</f>
        <v>19279658883</v>
      </c>
      <c r="R29" s="138" t="str">
        <f ca="1">IFERROR(LOOKUP($P29,MOTORISTAS!$D$3:$D$1048576,MOTORISTAS!F$3:F$916),"")</f>
        <v>01301319672</v>
      </c>
      <c r="S29" s="66">
        <v>3216</v>
      </c>
      <c r="T29" s="66" t="s">
        <v>293</v>
      </c>
      <c r="U29" s="79">
        <v>44937.99722222222</v>
      </c>
      <c r="V29" s="66" t="s">
        <v>469</v>
      </c>
      <c r="W29" s="79">
        <v>44938.634027777778</v>
      </c>
      <c r="X29" s="79">
        <v>44938.270833333336</v>
      </c>
      <c r="Y29" s="88">
        <v>44938.541666666664</v>
      </c>
      <c r="Z29" s="81">
        <v>1900</v>
      </c>
      <c r="AA29" s="81">
        <v>0</v>
      </c>
      <c r="AB29" s="81">
        <f>SUM(Sal_23[[#This Row],[Saldo]]+Sal_23[[#This Row],[Adiantamento]])</f>
        <v>1900</v>
      </c>
      <c r="AC29" s="81">
        <v>700</v>
      </c>
      <c r="AD29" s="81"/>
      <c r="AE29" s="81"/>
      <c r="AF29" s="81"/>
      <c r="AG29" s="81">
        <f>Sal_23[[#This Row],[COMPRA]]*12%</f>
        <v>447.91919999999999</v>
      </c>
      <c r="AH29" s="83">
        <v>3732.66</v>
      </c>
      <c r="AI29" s="66" t="str">
        <f>PROPER(TEXT(Sal_23[[#This Row],[PROGRAMAÇÃO]],"mmm"))</f>
        <v>Jan</v>
      </c>
      <c r="AJ29" s="66">
        <f>YEAR(Sal_23[[#This Row],[PROGRAMAÇÃO]])</f>
        <v>2023</v>
      </c>
      <c r="AM29" s="66" t="s">
        <v>2768</v>
      </c>
      <c r="AN29" s="66" t="s">
        <v>2768</v>
      </c>
      <c r="AO29" s="66" t="s">
        <v>2768</v>
      </c>
    </row>
    <row r="30" spans="1:41" s="66" customFormat="1" ht="12.75" x14ac:dyDescent="0.2">
      <c r="A30" s="120" t="str">
        <f>Sal_23[[#This Row],[CONTAINER]]</f>
        <v>TCLU3042055</v>
      </c>
      <c r="B30" s="128" t="s">
        <v>2771</v>
      </c>
      <c r="C3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0" s="79">
        <v>44938.333333333336</v>
      </c>
      <c r="E30" s="44" t="s">
        <v>3090</v>
      </c>
      <c r="F30" s="66">
        <v>20</v>
      </c>
      <c r="G30" s="66" t="s">
        <v>2826</v>
      </c>
      <c r="H30" s="44" t="s">
        <v>3091</v>
      </c>
      <c r="I30" s="299" t="s">
        <v>3092</v>
      </c>
      <c r="J30" s="66">
        <v>59746</v>
      </c>
      <c r="K30" s="66" t="s">
        <v>3063</v>
      </c>
      <c r="L30" s="66">
        <v>102966</v>
      </c>
      <c r="N30" s="66" t="s">
        <v>31</v>
      </c>
      <c r="O30" s="66" t="s">
        <v>211</v>
      </c>
      <c r="P30" s="66" t="s">
        <v>33</v>
      </c>
      <c r="Q30" s="138" t="str">
        <f ca="1">IFERROR(LOOKUP($P30,MOTORISTAS!$D$3:$D$1048576,MOTORISTAS!E$3:E$916),"")</f>
        <v>09776430856</v>
      </c>
      <c r="R30" s="138" t="str">
        <f ca="1">IFERROR(LOOKUP($P30,MOTORISTAS!$D$3:$D$1048576,MOTORISTAS!F$3:F$916),"")</f>
        <v>01258979905</v>
      </c>
      <c r="S30" s="66">
        <v>3217</v>
      </c>
      <c r="T30" s="66" t="s">
        <v>293</v>
      </c>
      <c r="U30" s="79">
        <v>44937.942361111112</v>
      </c>
      <c r="V30" s="66" t="s">
        <v>469</v>
      </c>
      <c r="W30" s="79">
        <v>44938.607638888891</v>
      </c>
      <c r="X30" s="79">
        <v>44938.263888888891</v>
      </c>
      <c r="Y30" s="88">
        <v>44938.451388888891</v>
      </c>
      <c r="Z30" s="81">
        <v>2000</v>
      </c>
      <c r="AA30" s="81">
        <v>0</v>
      </c>
      <c r="AB30" s="81">
        <f>SUM(Sal_23[[#This Row],[Saldo]]+Sal_23[[#This Row],[Adiantamento]])</f>
        <v>2000</v>
      </c>
      <c r="AC30" s="81">
        <v>0</v>
      </c>
      <c r="AD30" s="81"/>
      <c r="AE30" s="81"/>
      <c r="AF30" s="81"/>
      <c r="AG30" s="81">
        <f>Sal_23[[#This Row],[COMPRA]]*12%</f>
        <v>355.79039999999998</v>
      </c>
      <c r="AH30" s="83">
        <v>2964.92</v>
      </c>
      <c r="AI30" s="66" t="str">
        <f>PROPER(TEXT(Sal_23[[#This Row],[PROGRAMAÇÃO]],"mmm"))</f>
        <v>Jan</v>
      </c>
      <c r="AJ30" s="66">
        <f>YEAR(Sal_23[[#This Row],[PROGRAMAÇÃO]])</f>
        <v>2023</v>
      </c>
      <c r="AM30" s="66" t="s">
        <v>2768</v>
      </c>
      <c r="AN30" s="66" t="s">
        <v>2768</v>
      </c>
      <c r="AO30" s="66" t="s">
        <v>2768</v>
      </c>
    </row>
    <row r="31" spans="1:41" s="66" customFormat="1" ht="12.75" x14ac:dyDescent="0.2">
      <c r="A31" s="120" t="str">
        <f>Sal_23[[#This Row],[CONTAINER]]</f>
        <v>TCLU3462736</v>
      </c>
      <c r="B31" s="128" t="s">
        <v>2771</v>
      </c>
      <c r="C3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1" s="79">
        <v>44938.375</v>
      </c>
      <c r="E31" s="44" t="s">
        <v>3093</v>
      </c>
      <c r="F31" s="66">
        <v>20</v>
      </c>
      <c r="G31" s="66" t="s">
        <v>2820</v>
      </c>
      <c r="H31" s="44" t="s">
        <v>2820</v>
      </c>
      <c r="I31" s="299" t="s">
        <v>2821</v>
      </c>
      <c r="J31" s="66">
        <v>59695</v>
      </c>
      <c r="K31" s="66" t="s">
        <v>3063</v>
      </c>
      <c r="L31" s="66">
        <v>68024</v>
      </c>
      <c r="M31" s="66">
        <v>68025</v>
      </c>
      <c r="N31" s="66" t="s">
        <v>3028</v>
      </c>
      <c r="O31" s="66" t="s">
        <v>2864</v>
      </c>
      <c r="P31" s="66" t="s">
        <v>3029</v>
      </c>
      <c r="Q31" s="138" t="str">
        <f ca="1">IFERROR(LOOKUP($P31,MOTORISTAS!$D$3:$D$1048576,MOTORISTAS!E$3:E$916),"")</f>
        <v>15284965825</v>
      </c>
      <c r="R31" s="138" t="str">
        <f ca="1">IFERROR(LOOKUP($P31,MOTORISTAS!$D$3:$D$1048576,MOTORISTAS!F$3:F$916),"")</f>
        <v>01681109819</v>
      </c>
      <c r="S31" s="66">
        <v>3214</v>
      </c>
      <c r="T31" s="66" t="s">
        <v>293</v>
      </c>
      <c r="U31" s="79">
        <v>44937.986805555556</v>
      </c>
      <c r="V31" s="66" t="s">
        <v>292</v>
      </c>
      <c r="W31" s="79">
        <v>44938.456944444442</v>
      </c>
      <c r="X31" s="79">
        <v>44938.25</v>
      </c>
      <c r="Y31" s="88">
        <v>44938.375</v>
      </c>
      <c r="Z31" s="81">
        <v>1600</v>
      </c>
      <c r="AA31" s="81">
        <v>0</v>
      </c>
      <c r="AB31" s="81">
        <f>SUM(Sal_23[[#This Row],[Saldo]]+Sal_23[[#This Row],[Adiantamento]])</f>
        <v>1600</v>
      </c>
      <c r="AC31" s="81">
        <v>0</v>
      </c>
      <c r="AD31" s="81"/>
      <c r="AE31" s="81"/>
      <c r="AF31" s="81"/>
      <c r="AG31" s="81">
        <f>Sal_23[[#This Row],[COMPRA]]*12%</f>
        <v>288</v>
      </c>
      <c r="AH31" s="83">
        <v>2400</v>
      </c>
      <c r="AI31" s="66" t="str">
        <f>PROPER(TEXT(Sal_23[[#This Row],[PROGRAMAÇÃO]],"mmm"))</f>
        <v>Jan</v>
      </c>
      <c r="AJ31" s="66">
        <f>YEAR(Sal_23[[#This Row],[PROGRAMAÇÃO]])</f>
        <v>2023</v>
      </c>
      <c r="AM31" s="66" t="s">
        <v>2768</v>
      </c>
      <c r="AN31" s="66" t="s">
        <v>2768</v>
      </c>
      <c r="AO31" s="66" t="s">
        <v>2768</v>
      </c>
    </row>
    <row r="32" spans="1:41" s="66" customFormat="1" ht="12.75" x14ac:dyDescent="0.2">
      <c r="A32" s="120" t="str">
        <f>Sal_23[[#This Row],[CONTAINER]]</f>
        <v>CAIU2913910</v>
      </c>
      <c r="B32" s="128" t="s">
        <v>2771</v>
      </c>
      <c r="C3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" s="79">
        <v>44938.375</v>
      </c>
      <c r="E32" s="44" t="s">
        <v>3094</v>
      </c>
      <c r="F32" s="66">
        <v>20</v>
      </c>
      <c r="G32" s="66" t="s">
        <v>2820</v>
      </c>
      <c r="H32" s="44" t="s">
        <v>2820</v>
      </c>
      <c r="I32" s="299" t="s">
        <v>2821</v>
      </c>
      <c r="J32" s="66" t="s">
        <v>3095</v>
      </c>
      <c r="K32" s="66" t="s">
        <v>3063</v>
      </c>
      <c r="L32" s="66">
        <v>111774</v>
      </c>
      <c r="M32" s="66">
        <v>102830</v>
      </c>
      <c r="N32" s="66" t="s">
        <v>3096</v>
      </c>
      <c r="O32" s="66" t="s">
        <v>3097</v>
      </c>
      <c r="P32" s="66" t="s">
        <v>3098</v>
      </c>
      <c r="Q32" s="138" t="str">
        <f ca="1">IFERROR(LOOKUP($P32,MOTORISTAS!$D$3:$D$1048576,MOTORISTAS!E$3:E$916),"")</f>
        <v>29714736862</v>
      </c>
      <c r="R32" s="138" t="str">
        <f ca="1">IFERROR(LOOKUP($P32,MOTORISTAS!$D$3:$D$1048576,MOTORISTAS!F$3:F$916),"")</f>
        <v>03001275806</v>
      </c>
      <c r="S32" s="66" t="s">
        <v>3100</v>
      </c>
      <c r="T32" s="66" t="s">
        <v>293</v>
      </c>
      <c r="U32" s="79">
        <v>44937.556944444441</v>
      </c>
      <c r="V32" s="66" t="s">
        <v>292</v>
      </c>
      <c r="W32" s="79">
        <v>44938.526388888888</v>
      </c>
      <c r="X32" s="79">
        <v>44938.375</v>
      </c>
      <c r="Y32" s="88">
        <v>44938.416666666664</v>
      </c>
      <c r="Z32" s="81">
        <v>1600</v>
      </c>
      <c r="AA32" s="81">
        <v>0</v>
      </c>
      <c r="AB32" s="81">
        <f>SUM(Sal_23[[#This Row],[Saldo]]+Sal_23[[#This Row],[Adiantamento]])</f>
        <v>1600</v>
      </c>
      <c r="AC32" s="81">
        <v>0</v>
      </c>
      <c r="AD32" s="81"/>
      <c r="AE32" s="81"/>
      <c r="AF32" s="81"/>
      <c r="AG32" s="81">
        <f>Sal_23[[#This Row],[COMPRA]]*12%</f>
        <v>288</v>
      </c>
      <c r="AH32" s="83">
        <v>2400</v>
      </c>
      <c r="AI32" s="66" t="str">
        <f>PROPER(TEXT(Sal_23[[#This Row],[PROGRAMAÇÃO]],"mmm"))</f>
        <v>Jan</v>
      </c>
      <c r="AJ32" s="66">
        <f>YEAR(Sal_23[[#This Row],[PROGRAMAÇÃO]])</f>
        <v>2023</v>
      </c>
      <c r="AM32" s="66" t="s">
        <v>295</v>
      </c>
      <c r="AN32" s="66" t="s">
        <v>2768</v>
      </c>
      <c r="AO32" s="66" t="s">
        <v>2768</v>
      </c>
    </row>
    <row r="33" spans="1:41" s="66" customFormat="1" ht="12.75" x14ac:dyDescent="0.2">
      <c r="A33" s="120" t="str">
        <f>Sal_23[[#This Row],[CONTAINER]]</f>
        <v>CAIU3309762</v>
      </c>
      <c r="B33" s="128" t="s">
        <v>2771</v>
      </c>
      <c r="C3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3" s="79">
        <v>44938.458333333336</v>
      </c>
      <c r="E33" s="44" t="s">
        <v>3101</v>
      </c>
      <c r="F33" s="66">
        <v>20</v>
      </c>
      <c r="G33" s="66" t="s">
        <v>2820</v>
      </c>
      <c r="H33" s="44" t="s">
        <v>2820</v>
      </c>
      <c r="I33" s="299" t="s">
        <v>2821</v>
      </c>
      <c r="J33" s="66">
        <v>59451</v>
      </c>
      <c r="K33" s="66" t="s">
        <v>3063</v>
      </c>
      <c r="L33" s="66">
        <v>67874</v>
      </c>
      <c r="N33" s="66" t="s">
        <v>2949</v>
      </c>
      <c r="O33" s="66" t="s">
        <v>2950</v>
      </c>
      <c r="P33" s="66" t="s">
        <v>2948</v>
      </c>
      <c r="Q33" s="138" t="str">
        <f ca="1">IFERROR(LOOKUP($P33,MOTORISTAS!$D$3:$D$1048576,MOTORISTAS!E$3:E$916),"")</f>
        <v>16239341843</v>
      </c>
      <c r="R33" s="138" t="str">
        <f ca="1">IFERROR(LOOKUP($P33,MOTORISTAS!$D$3:$D$1048576,MOTORISTAS!F$3:F$916),"")</f>
        <v>01877235038</v>
      </c>
      <c r="S33" s="66">
        <v>3231</v>
      </c>
      <c r="T33" s="66" t="s">
        <v>293</v>
      </c>
      <c r="U33" s="79">
        <v>44937.995138888888</v>
      </c>
      <c r="V33" s="66" t="s">
        <v>292</v>
      </c>
      <c r="W33" s="79">
        <v>44938.556944444441</v>
      </c>
      <c r="X33" s="79">
        <v>44938.25</v>
      </c>
      <c r="Y33" s="88">
        <v>44938.375</v>
      </c>
      <c r="Z33" s="81">
        <v>1600</v>
      </c>
      <c r="AA33" s="81">
        <v>0</v>
      </c>
      <c r="AB33" s="81">
        <f>SUM(Sal_23[[#This Row],[Saldo]]+Sal_23[[#This Row],[Adiantamento]])</f>
        <v>1600</v>
      </c>
      <c r="AC33" s="81">
        <v>0</v>
      </c>
      <c r="AD33" s="81"/>
      <c r="AE33" s="81"/>
      <c r="AF33" s="81"/>
      <c r="AG33" s="81">
        <f>Sal_23[[#This Row],[COMPRA]]*12%</f>
        <v>288</v>
      </c>
      <c r="AH33" s="83">
        <v>2400</v>
      </c>
      <c r="AI33" s="66" t="str">
        <f>PROPER(TEXT(Sal_23[[#This Row],[PROGRAMAÇÃO]],"mmm"))</f>
        <v>Jan</v>
      </c>
      <c r="AJ33" s="66">
        <f>YEAR(Sal_23[[#This Row],[PROGRAMAÇÃO]])</f>
        <v>2023</v>
      </c>
      <c r="AM33" s="66" t="s">
        <v>2768</v>
      </c>
      <c r="AN33" s="66" t="s">
        <v>2768</v>
      </c>
      <c r="AO33" s="66" t="s">
        <v>2768</v>
      </c>
    </row>
    <row r="34" spans="1:41" s="66" customFormat="1" ht="12.75" x14ac:dyDescent="0.2">
      <c r="A34" s="120" t="str">
        <f>Sal_23[[#This Row],[CONTAINER]]</f>
        <v>SEGU1124010</v>
      </c>
      <c r="B34" s="128" t="s">
        <v>2771</v>
      </c>
      <c r="C3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4" s="79">
        <v>44938.458333333336</v>
      </c>
      <c r="E34" s="44" t="s">
        <v>3102</v>
      </c>
      <c r="F34" s="66">
        <v>20</v>
      </c>
      <c r="G34" s="66" t="s">
        <v>2820</v>
      </c>
      <c r="H34" s="44" t="s">
        <v>2820</v>
      </c>
      <c r="I34" s="299" t="s">
        <v>2821</v>
      </c>
      <c r="J34" s="66">
        <v>59496</v>
      </c>
      <c r="K34" s="66" t="s">
        <v>3063</v>
      </c>
      <c r="L34" s="66">
        <v>102831</v>
      </c>
      <c r="N34" s="66" t="s">
        <v>2859</v>
      </c>
      <c r="O34" s="66" t="s">
        <v>2860</v>
      </c>
      <c r="P34" s="66" t="s">
        <v>2861</v>
      </c>
      <c r="Q34" s="138" t="str">
        <f ca="1">IFERROR(LOOKUP($P34,MOTORISTAS!$D$3:$D$1048576,MOTORISTAS!E$3:E$916),"")</f>
        <v>01817591878</v>
      </c>
      <c r="R34" s="138" t="str">
        <f ca="1">IFERROR(LOOKUP($P34,MOTORISTAS!$D$3:$D$1048576,MOTORISTAS!F$3:F$916),"")</f>
        <v>00821760640</v>
      </c>
      <c r="S34" s="66">
        <v>3232</v>
      </c>
      <c r="T34" s="66" t="s">
        <v>293</v>
      </c>
      <c r="U34" s="79">
        <v>44937.999305555553</v>
      </c>
      <c r="V34" s="66" t="s">
        <v>292</v>
      </c>
      <c r="W34" s="79">
        <v>44938.629166666666</v>
      </c>
      <c r="X34" s="79">
        <v>44938.25</v>
      </c>
      <c r="Y34" s="88">
        <v>44938.375</v>
      </c>
      <c r="Z34" s="81">
        <v>1600</v>
      </c>
      <c r="AA34" s="81">
        <v>0</v>
      </c>
      <c r="AB34" s="81">
        <f>SUM(Sal_23[[#This Row],[Saldo]]+Sal_23[[#This Row],[Adiantamento]])</f>
        <v>1600</v>
      </c>
      <c r="AC34" s="81">
        <v>0</v>
      </c>
      <c r="AD34" s="81"/>
      <c r="AE34" s="81"/>
      <c r="AF34" s="81"/>
      <c r="AG34" s="81">
        <f>Sal_23[[#This Row],[COMPRA]]*12%</f>
        <v>288</v>
      </c>
      <c r="AH34" s="83">
        <v>2400</v>
      </c>
      <c r="AI34" s="66" t="str">
        <f>PROPER(TEXT(Sal_23[[#This Row],[PROGRAMAÇÃO]],"mmm"))</f>
        <v>Jan</v>
      </c>
      <c r="AJ34" s="66">
        <f>YEAR(Sal_23[[#This Row],[PROGRAMAÇÃO]])</f>
        <v>2023</v>
      </c>
      <c r="AM34" s="66" t="s">
        <v>2768</v>
      </c>
      <c r="AN34" s="66" t="s">
        <v>2768</v>
      </c>
      <c r="AO34" s="66" t="s">
        <v>2768</v>
      </c>
    </row>
    <row r="35" spans="1:41" s="66" customFormat="1" ht="12.75" x14ac:dyDescent="0.2">
      <c r="A35" s="120" t="str">
        <f>Sal_23[[#This Row],[CONTAINER]]</f>
        <v>GESU6802991</v>
      </c>
      <c r="B35" s="128" t="s">
        <v>2771</v>
      </c>
      <c r="C3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5" s="79">
        <v>44938.541666666664</v>
      </c>
      <c r="E35" s="44" t="s">
        <v>3103</v>
      </c>
      <c r="F35" s="66">
        <v>40</v>
      </c>
      <c r="G35" s="66" t="s">
        <v>2820</v>
      </c>
      <c r="H35" s="44" t="s">
        <v>2820</v>
      </c>
      <c r="I35" s="299" t="s">
        <v>2821</v>
      </c>
      <c r="J35" s="66">
        <v>59492</v>
      </c>
      <c r="K35" s="66" t="s">
        <v>3063</v>
      </c>
      <c r="L35" s="66">
        <v>102685</v>
      </c>
      <c r="N35" s="66" t="s">
        <v>68</v>
      </c>
      <c r="O35" s="66" t="s">
        <v>36</v>
      </c>
      <c r="P35" s="66" t="s">
        <v>69</v>
      </c>
      <c r="Q35" s="138" t="str">
        <f ca="1">IFERROR(LOOKUP($P35,MOTORISTAS!$D$3:$D$1048576,MOTORISTAS!E$3:E$916),"")</f>
        <v>07968457866</v>
      </c>
      <c r="R35" s="138" t="str">
        <f ca="1">IFERROR(LOOKUP($P35,MOTORISTAS!$D$3:$D$1048576,MOTORISTAS!F$3:F$916),"")</f>
        <v>03264365790</v>
      </c>
      <c r="S35" s="66">
        <v>3213</v>
      </c>
      <c r="T35" s="66" t="s">
        <v>293</v>
      </c>
      <c r="U35" s="79">
        <v>44938.19027777778</v>
      </c>
      <c r="V35" s="66" t="s">
        <v>857</v>
      </c>
      <c r="W35" s="79">
        <v>44939.618055555555</v>
      </c>
      <c r="X35" s="79">
        <v>44938.25</v>
      </c>
      <c r="Y35" s="88">
        <v>44938.375</v>
      </c>
      <c r="Z35" s="81">
        <v>1600</v>
      </c>
      <c r="AA35" s="81">
        <v>0</v>
      </c>
      <c r="AB35" s="81">
        <f>SUM(Sal_23[[#This Row],[Saldo]]+Sal_23[[#This Row],[Adiantamento]])</f>
        <v>1600</v>
      </c>
      <c r="AC35" s="81">
        <v>0</v>
      </c>
      <c r="AD35" s="81"/>
      <c r="AE35" s="81"/>
      <c r="AF35" s="81"/>
      <c r="AG35" s="81">
        <f>Sal_23[[#This Row],[COMPRA]]*12%</f>
        <v>288</v>
      </c>
      <c r="AH35" s="83">
        <v>2400</v>
      </c>
      <c r="AI35" s="66" t="str">
        <f>PROPER(TEXT(Sal_23[[#This Row],[PROGRAMAÇÃO]],"mmm"))</f>
        <v>Jan</v>
      </c>
      <c r="AJ35" s="66">
        <f>YEAR(Sal_23[[#This Row],[PROGRAMAÇÃO]])</f>
        <v>2023</v>
      </c>
      <c r="AM35" s="66" t="s">
        <v>2768</v>
      </c>
      <c r="AN35" s="66" t="s">
        <v>2768</v>
      </c>
      <c r="AO35" s="66" t="s">
        <v>2768</v>
      </c>
    </row>
    <row r="36" spans="1:41" s="66" customFormat="1" ht="12.75" x14ac:dyDescent="0.2">
      <c r="A36" s="120" t="str">
        <f>Sal_23[[#This Row],[CONTAINER]]</f>
        <v>SEGU4052444</v>
      </c>
      <c r="B36" s="128" t="s">
        <v>2771</v>
      </c>
      <c r="C3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6" s="79">
        <v>44939.333333333336</v>
      </c>
      <c r="E36" s="44" t="s">
        <v>3068</v>
      </c>
      <c r="F36" s="66">
        <v>40</v>
      </c>
      <c r="G36" s="66" t="s">
        <v>2826</v>
      </c>
      <c r="H36" s="44" t="s">
        <v>2835</v>
      </c>
      <c r="I36" s="299" t="s">
        <v>2822</v>
      </c>
      <c r="J36" s="66">
        <v>6</v>
      </c>
      <c r="K36" s="66" t="s">
        <v>3063</v>
      </c>
      <c r="L36" s="66">
        <v>102992</v>
      </c>
      <c r="N36" s="66" t="s">
        <v>72</v>
      </c>
      <c r="O36" s="66" t="s">
        <v>3069</v>
      </c>
      <c r="P36" s="66" t="s">
        <v>203</v>
      </c>
      <c r="Q36" s="138" t="str">
        <f ca="1">IFERROR(LOOKUP($P36,MOTORISTAS!$D$3:$D$1048576,MOTORISTAS!E$3:E$916),"")</f>
        <v>10395859816</v>
      </c>
      <c r="R36" s="138" t="str">
        <f ca="1">IFERROR(LOOKUP($P36,MOTORISTAS!$D$3:$D$1048576,MOTORISTAS!F$3:F$916),"")</f>
        <v>01965794851</v>
      </c>
      <c r="S36" s="66">
        <v>3215</v>
      </c>
      <c r="T36" s="66" t="s">
        <v>293</v>
      </c>
      <c r="U36" s="79">
        <v>44939.085416666669</v>
      </c>
      <c r="V36" s="66" t="s">
        <v>469</v>
      </c>
      <c r="W36" s="79">
        <v>44939.686805555553</v>
      </c>
      <c r="X36" s="79">
        <v>44939.291666666664</v>
      </c>
      <c r="Y36" s="88">
        <v>44939.5</v>
      </c>
      <c r="Z36" s="81">
        <v>2100</v>
      </c>
      <c r="AA36" s="81">
        <v>0</v>
      </c>
      <c r="AB36" s="81">
        <f>SUM(Sal_23[[#This Row],[Saldo]]+Sal_23[[#This Row],[Adiantamento]])</f>
        <v>2100</v>
      </c>
      <c r="AC36" s="81">
        <v>0</v>
      </c>
      <c r="AD36" s="81"/>
      <c r="AE36" s="81"/>
      <c r="AF36" s="81"/>
      <c r="AG36" s="81">
        <f>Sal_23[[#This Row],[COMPRA]]*12%</f>
        <v>370.37759999999997</v>
      </c>
      <c r="AH36" s="83">
        <v>3086.48</v>
      </c>
      <c r="AI36" s="66" t="str">
        <f>PROPER(TEXT(Sal_23[[#This Row],[PROGRAMAÇÃO]],"mmm"))</f>
        <v>Jan</v>
      </c>
      <c r="AJ36" s="66">
        <f>YEAR(Sal_23[[#This Row],[PROGRAMAÇÃO]])</f>
        <v>2023</v>
      </c>
      <c r="AM36" s="66" t="s">
        <v>2768</v>
      </c>
      <c r="AN36" s="66" t="s">
        <v>2768</v>
      </c>
      <c r="AO36" s="66" t="s">
        <v>2768</v>
      </c>
    </row>
    <row r="37" spans="1:41" s="66" customFormat="1" ht="12.75" x14ac:dyDescent="0.2">
      <c r="A37" s="120" t="str">
        <f>Sal_23[[#This Row],[CONTAINER]]</f>
        <v>TCLU3459882</v>
      </c>
      <c r="B37" s="128" t="s">
        <v>2771</v>
      </c>
      <c r="C3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" s="79">
        <v>44939.333333333336</v>
      </c>
      <c r="E37" s="44" t="s">
        <v>3104</v>
      </c>
      <c r="F37" s="66">
        <v>20</v>
      </c>
      <c r="G37" s="66" t="s">
        <v>2826</v>
      </c>
      <c r="H37" s="44" t="s">
        <v>3105</v>
      </c>
      <c r="I37" s="299" t="s">
        <v>3185</v>
      </c>
      <c r="J37" s="66">
        <v>59488</v>
      </c>
      <c r="K37" s="66" t="s">
        <v>3063</v>
      </c>
      <c r="L37" s="66">
        <v>102798</v>
      </c>
      <c r="N37" s="66" t="s">
        <v>3214</v>
      </c>
      <c r="O37" s="66" t="s">
        <v>2509</v>
      </c>
      <c r="P37" s="66" t="s">
        <v>2510</v>
      </c>
      <c r="Q37" s="138" t="str">
        <f ca="1">IFERROR(LOOKUP($P37,MOTORISTAS!$D$3:$D$1048576,MOTORISTAS!E$3:E$916),"")</f>
        <v>15818591808</v>
      </c>
      <c r="R37" s="138" t="str">
        <f ca="1">IFERROR(LOOKUP($P37,MOTORISTAS!$D$3:$D$1048576,MOTORISTAS!F$3:F$916),"")</f>
        <v>02670671608</v>
      </c>
      <c r="S37" s="66">
        <v>3238</v>
      </c>
      <c r="T37" s="66" t="s">
        <v>293</v>
      </c>
      <c r="U37" s="79">
        <v>44939.125</v>
      </c>
      <c r="V37" s="66" t="s">
        <v>469</v>
      </c>
      <c r="W37" s="79">
        <v>44939.731944444444</v>
      </c>
      <c r="X37" s="79">
        <v>44939.284722222219</v>
      </c>
      <c r="Y37" s="88">
        <v>44939.541666666664</v>
      </c>
      <c r="Z37" s="81">
        <v>1600</v>
      </c>
      <c r="AA37" s="81">
        <v>0</v>
      </c>
      <c r="AB37" s="81">
        <f>SUM(Sal_23[[#This Row],[Saldo]]+Sal_23[[#This Row],[Adiantamento]])</f>
        <v>1600</v>
      </c>
      <c r="AC37" s="81">
        <v>0</v>
      </c>
      <c r="AD37" s="81"/>
      <c r="AE37" s="81"/>
      <c r="AF37" s="81"/>
      <c r="AG37" s="81">
        <f>Sal_23[[#This Row],[COMPRA]]*12%</f>
        <v>415.74719999999996</v>
      </c>
      <c r="AH37" s="83">
        <v>3464.56</v>
      </c>
      <c r="AI37" s="66" t="str">
        <f>PROPER(TEXT(Sal_23[[#This Row],[PROGRAMAÇÃO]],"mmm"))</f>
        <v>Jan</v>
      </c>
      <c r="AJ37" s="66">
        <f>YEAR(Sal_23[[#This Row],[PROGRAMAÇÃO]])</f>
        <v>2023</v>
      </c>
      <c r="AM37" s="66" t="s">
        <v>2768</v>
      </c>
      <c r="AN37" s="66" t="s">
        <v>2768</v>
      </c>
      <c r="AO37" s="66" t="s">
        <v>2768</v>
      </c>
    </row>
    <row r="38" spans="1:41" s="66" customFormat="1" ht="12.75" x14ac:dyDescent="0.2">
      <c r="A38" s="120" t="str">
        <f>Sal_23[[#This Row],[CONTAINER]]</f>
        <v>SEGU4123872</v>
      </c>
      <c r="B38" s="128" t="s">
        <v>2771</v>
      </c>
      <c r="C3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8" s="79">
        <v>44939.333333333336</v>
      </c>
      <c r="E38" s="44" t="s">
        <v>3106</v>
      </c>
      <c r="F38" s="66">
        <v>40</v>
      </c>
      <c r="G38" s="66" t="s">
        <v>2826</v>
      </c>
      <c r="H38" s="44" t="s">
        <v>1674</v>
      </c>
      <c r="I38" s="299" t="s">
        <v>2829</v>
      </c>
      <c r="J38" s="66">
        <v>59476</v>
      </c>
      <c r="K38" s="66" t="s">
        <v>3063</v>
      </c>
      <c r="L38" s="66">
        <v>102709</v>
      </c>
      <c r="M38" s="66">
        <v>102710</v>
      </c>
      <c r="N38" s="66" t="s">
        <v>140</v>
      </c>
      <c r="O38" s="66" t="s">
        <v>141</v>
      </c>
      <c r="P38" s="66" t="s">
        <v>2051</v>
      </c>
      <c r="Q38" s="138" t="str">
        <f ca="1">IFERROR(LOOKUP($P38,MOTORISTAS!$D$3:$D$1048576,MOTORISTAS!E$3:E$916),"")</f>
        <v>33913917829</v>
      </c>
      <c r="R38" s="138" t="str">
        <f ca="1">IFERROR(LOOKUP($P38,MOTORISTAS!$D$3:$D$1048576,MOTORISTAS!F$3:F$916),"")</f>
        <v>03312585500</v>
      </c>
      <c r="S38" s="66">
        <v>3245</v>
      </c>
      <c r="T38" s="66" t="s">
        <v>293</v>
      </c>
      <c r="U38" s="79">
        <v>44939.03125</v>
      </c>
      <c r="V38" s="66" t="s">
        <v>469</v>
      </c>
      <c r="W38" s="79">
        <v>44939.865277777775</v>
      </c>
      <c r="X38" s="79">
        <v>44939.3125</v>
      </c>
      <c r="Y38" s="88">
        <v>44939.541666666664</v>
      </c>
      <c r="Z38" s="81">
        <v>3400</v>
      </c>
      <c r="AA38" s="81">
        <v>0</v>
      </c>
      <c r="AB38" s="81">
        <f>SUM(Sal_23[[#This Row],[Saldo]]+Sal_23[[#This Row],[Adiantamento]])</f>
        <v>3400</v>
      </c>
      <c r="AC38" s="81">
        <v>0</v>
      </c>
      <c r="AD38" s="81"/>
      <c r="AE38" s="81"/>
      <c r="AF38" s="81"/>
      <c r="AG38" s="81">
        <f>Sal_23[[#This Row],[COMPRA]]*12%</f>
        <v>558.28440000000001</v>
      </c>
      <c r="AH38" s="83">
        <v>4652.37</v>
      </c>
      <c r="AI38" s="66" t="str">
        <f>PROPER(TEXT(Sal_23[[#This Row],[PROGRAMAÇÃO]],"mmm"))</f>
        <v>Jan</v>
      </c>
      <c r="AJ38" s="66">
        <f>YEAR(Sal_23[[#This Row],[PROGRAMAÇÃO]])</f>
        <v>2023</v>
      </c>
      <c r="AM38" s="66" t="s">
        <v>2768</v>
      </c>
      <c r="AN38" s="66" t="s">
        <v>2768</v>
      </c>
      <c r="AO38" s="66" t="s">
        <v>2768</v>
      </c>
    </row>
    <row r="39" spans="1:41" s="66" customFormat="1" ht="12.75" x14ac:dyDescent="0.2">
      <c r="A39" s="120" t="str">
        <f>Sal_23[[#This Row],[CONTAINER]]</f>
        <v>TCLU8697841</v>
      </c>
      <c r="B39" s="128" t="s">
        <v>2771</v>
      </c>
      <c r="C3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9" s="79">
        <v>44939.541666666664</v>
      </c>
      <c r="E39" s="44" t="s">
        <v>3107</v>
      </c>
      <c r="F39" s="66">
        <v>40</v>
      </c>
      <c r="G39" s="66" t="s">
        <v>2826</v>
      </c>
      <c r="H39" s="44" t="s">
        <v>1674</v>
      </c>
      <c r="I39" s="299" t="s">
        <v>2829</v>
      </c>
      <c r="J39" s="66">
        <v>59474</v>
      </c>
      <c r="K39" s="66" t="s">
        <v>3063</v>
      </c>
      <c r="L39" s="66">
        <v>102751</v>
      </c>
      <c r="M39" s="66">
        <v>102752</v>
      </c>
      <c r="N39" s="66" t="s">
        <v>2912</v>
      </c>
      <c r="O39" s="66" t="s">
        <v>2913</v>
      </c>
      <c r="P39" s="66" t="s">
        <v>2914</v>
      </c>
      <c r="Q39" s="138" t="str">
        <f ca="1">IFERROR(LOOKUP($P39,MOTORISTAS!$D$3:$D$1048576,MOTORISTAS!E$3:E$916),"")</f>
        <v>36305564850</v>
      </c>
      <c r="R39" s="138" t="str">
        <f ca="1">IFERROR(LOOKUP($P39,MOTORISTAS!$D$3:$D$1048576,MOTORISTAS!F$3:F$916),"")</f>
        <v>06043477724</v>
      </c>
      <c r="S39" s="66">
        <v>3246</v>
      </c>
      <c r="T39" s="66" t="s">
        <v>293</v>
      </c>
      <c r="U39" s="79">
        <v>44939.042361111111</v>
      </c>
      <c r="V39" s="66" t="s">
        <v>469</v>
      </c>
      <c r="W39" s="79">
        <v>44942.817361111112</v>
      </c>
      <c r="X39" s="79">
        <v>44939.541666666664</v>
      </c>
      <c r="Y39" s="88">
        <v>44939.75</v>
      </c>
      <c r="Z39" s="81">
        <v>3400</v>
      </c>
      <c r="AA39" s="81">
        <v>0</v>
      </c>
      <c r="AB39" s="81">
        <f>SUM(Sal_23[[#This Row],[Saldo]]+Sal_23[[#This Row],[Adiantamento]])</f>
        <v>3400</v>
      </c>
      <c r="AC39" s="81">
        <v>0</v>
      </c>
      <c r="AD39" s="81"/>
      <c r="AE39" s="81"/>
      <c r="AF39" s="81"/>
      <c r="AG39" s="81">
        <f>Sal_23[[#This Row],[COMPRA]]*12%</f>
        <v>558.28440000000001</v>
      </c>
      <c r="AH39" s="83">
        <v>4652.37</v>
      </c>
      <c r="AI39" s="66" t="str">
        <f>PROPER(TEXT(Sal_23[[#This Row],[PROGRAMAÇÃO]],"mmm"))</f>
        <v>Jan</v>
      </c>
      <c r="AJ39" s="66">
        <f>YEAR(Sal_23[[#This Row],[PROGRAMAÇÃO]])</f>
        <v>2023</v>
      </c>
      <c r="AM39" s="66" t="s">
        <v>2768</v>
      </c>
      <c r="AN39" s="66" t="s">
        <v>2768</v>
      </c>
      <c r="AO39" s="66" t="s">
        <v>2768</v>
      </c>
    </row>
    <row r="40" spans="1:41" s="66" customFormat="1" ht="12.75" x14ac:dyDescent="0.2">
      <c r="A40" s="120" t="str">
        <f>Sal_23[[#This Row],[CONTAINER]]</f>
        <v>CAIU3072942</v>
      </c>
      <c r="B40" s="128" t="s">
        <v>2771</v>
      </c>
      <c r="C4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0" s="79">
        <v>44939.333333333336</v>
      </c>
      <c r="E40" s="44" t="s">
        <v>3108</v>
      </c>
      <c r="F40" s="66">
        <v>20</v>
      </c>
      <c r="G40" s="66" t="s">
        <v>2826</v>
      </c>
      <c r="H40" s="44" t="s">
        <v>3440</v>
      </c>
      <c r="I40" s="299" t="s">
        <v>3253</v>
      </c>
      <c r="J40" s="66">
        <v>59484</v>
      </c>
      <c r="K40" s="66" t="s">
        <v>3063</v>
      </c>
      <c r="L40" s="66">
        <v>111640</v>
      </c>
      <c r="N40" s="66" t="s">
        <v>2584</v>
      </c>
      <c r="O40" s="66" t="s">
        <v>2585</v>
      </c>
      <c r="P40" s="66" t="s">
        <v>2586</v>
      </c>
      <c r="Q40" s="138" t="str">
        <f ca="1">IFERROR(LOOKUP($P40,MOTORISTAS!$D$3:$D$1048576,MOTORISTAS!E$3:E$916),"")</f>
        <v>08312935860</v>
      </c>
      <c r="R40" s="138" t="str">
        <f ca="1">IFERROR(LOOKUP($P40,MOTORISTAS!$D$3:$D$1048576,MOTORISTAS!F$3:F$916),"")</f>
        <v>03106516083</v>
      </c>
      <c r="S40" s="66">
        <v>3241</v>
      </c>
      <c r="T40" s="66" t="s">
        <v>293</v>
      </c>
      <c r="U40" s="79">
        <v>44938.948611111111</v>
      </c>
      <c r="V40" s="66" t="s">
        <v>469</v>
      </c>
      <c r="W40" s="79">
        <v>44939.643750000003</v>
      </c>
      <c r="X40" s="79">
        <v>44939.284722222219</v>
      </c>
      <c r="Y40" s="88">
        <v>44939.5</v>
      </c>
      <c r="Z40" s="81">
        <v>2200</v>
      </c>
      <c r="AA40" s="81">
        <v>0</v>
      </c>
      <c r="AB40" s="81">
        <f>SUM(Sal_23[[#This Row],[Saldo]]+Sal_23[[#This Row],[Adiantamento]])</f>
        <v>2200</v>
      </c>
      <c r="AC40" s="81">
        <v>0</v>
      </c>
      <c r="AD40" s="81"/>
      <c r="AE40" s="81"/>
      <c r="AF40" s="81"/>
      <c r="AG40" s="81">
        <f>Sal_23[[#This Row],[COMPRA]]*12%</f>
        <v>399.62399999999997</v>
      </c>
      <c r="AH40" s="83">
        <v>3330.2</v>
      </c>
      <c r="AI40" s="66" t="str">
        <f>PROPER(TEXT(Sal_23[[#This Row],[PROGRAMAÇÃO]],"mmm"))</f>
        <v>Jan</v>
      </c>
      <c r="AJ40" s="66">
        <f>YEAR(Sal_23[[#This Row],[PROGRAMAÇÃO]])</f>
        <v>2023</v>
      </c>
      <c r="AM40" s="66" t="s">
        <v>2768</v>
      </c>
      <c r="AN40" s="66" t="s">
        <v>2768</v>
      </c>
      <c r="AO40" s="66" t="s">
        <v>2768</v>
      </c>
    </row>
    <row r="41" spans="1:41" s="66" customFormat="1" ht="12.75" x14ac:dyDescent="0.2">
      <c r="A41" s="120" t="str">
        <f>Sal_23[[#This Row],[CONTAINER]]</f>
        <v>TCLU3039220</v>
      </c>
      <c r="B41" s="128" t="s">
        <v>2771</v>
      </c>
      <c r="C4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1" s="79">
        <v>44939.333333333336</v>
      </c>
      <c r="E41" s="44" t="s">
        <v>3109</v>
      </c>
      <c r="F41" s="66">
        <v>20</v>
      </c>
      <c r="G41" s="44" t="s">
        <v>2837</v>
      </c>
      <c r="H41" s="44" t="s">
        <v>2837</v>
      </c>
      <c r="I41" s="299" t="s">
        <v>2821</v>
      </c>
      <c r="J41" s="66">
        <v>59689</v>
      </c>
      <c r="K41" s="66" t="s">
        <v>3063</v>
      </c>
      <c r="L41" s="66">
        <v>111846</v>
      </c>
      <c r="N41" s="66" t="s">
        <v>2949</v>
      </c>
      <c r="O41" s="66" t="s">
        <v>2950</v>
      </c>
      <c r="P41" s="66" t="s">
        <v>2948</v>
      </c>
      <c r="Q41" s="138" t="str">
        <f ca="1">IFERROR(LOOKUP($P41,MOTORISTAS!$D$3:$D$1048576,MOTORISTAS!E$3:E$916),"")</f>
        <v>16239341843</v>
      </c>
      <c r="R41" s="138" t="str">
        <f ca="1">IFERROR(LOOKUP($P41,MOTORISTAS!$D$3:$D$1048576,MOTORISTAS!F$3:F$916),"")</f>
        <v>01877235038</v>
      </c>
      <c r="S41" s="66">
        <v>3237</v>
      </c>
      <c r="T41" s="66" t="s">
        <v>293</v>
      </c>
      <c r="U41" s="79">
        <v>44939.004861111112</v>
      </c>
      <c r="V41" s="66" t="s">
        <v>469</v>
      </c>
      <c r="W41" s="79">
        <v>44939.572222222225</v>
      </c>
      <c r="X41" s="79">
        <v>44939.166666666664</v>
      </c>
      <c r="Y41" s="88">
        <v>44939.375</v>
      </c>
      <c r="Z41" s="81">
        <v>1600</v>
      </c>
      <c r="AA41" s="81">
        <v>0</v>
      </c>
      <c r="AB41" s="81">
        <f>SUM(Sal_23[[#This Row],[Saldo]]+Sal_23[[#This Row],[Adiantamento]])</f>
        <v>1600</v>
      </c>
      <c r="AC41" s="81">
        <v>0</v>
      </c>
      <c r="AD41" s="81"/>
      <c r="AE41" s="81"/>
      <c r="AF41" s="81"/>
      <c r="AG41" s="81">
        <f>Sal_23[[#This Row],[COMPRA]]*12%</f>
        <v>311.55959999999999</v>
      </c>
      <c r="AH41" s="83">
        <v>2596.33</v>
      </c>
      <c r="AI41" s="66" t="str">
        <f>PROPER(TEXT(Sal_23[[#This Row],[PROGRAMAÇÃO]],"mmm"))</f>
        <v>Jan</v>
      </c>
      <c r="AJ41" s="66">
        <f>YEAR(Sal_23[[#This Row],[PROGRAMAÇÃO]])</f>
        <v>2023</v>
      </c>
      <c r="AM41" s="66" t="s">
        <v>2768</v>
      </c>
      <c r="AN41" s="66" t="s">
        <v>2768</v>
      </c>
      <c r="AO41" s="66" t="s">
        <v>2768</v>
      </c>
    </row>
    <row r="42" spans="1:41" s="66" customFormat="1" ht="12.75" x14ac:dyDescent="0.2">
      <c r="A42" s="120" t="str">
        <f>Sal_23[[#This Row],[CONTAINER]]</f>
        <v>CAIU3108644</v>
      </c>
      <c r="B42" s="128" t="s">
        <v>2771</v>
      </c>
      <c r="C4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2" s="79">
        <v>44939.333333333336</v>
      </c>
      <c r="E42" s="44" t="s">
        <v>3110</v>
      </c>
      <c r="F42" s="66">
        <v>20</v>
      </c>
      <c r="G42" s="66" t="s">
        <v>2826</v>
      </c>
      <c r="H42" s="44" t="s">
        <v>2827</v>
      </c>
      <c r="I42" s="299" t="s">
        <v>2823</v>
      </c>
      <c r="J42" s="66">
        <v>59687</v>
      </c>
      <c r="K42" s="66" t="s">
        <v>3063</v>
      </c>
      <c r="L42" s="66">
        <v>102865</v>
      </c>
      <c r="N42" s="66" t="s">
        <v>2156</v>
      </c>
      <c r="O42" s="66" t="s">
        <v>2464</v>
      </c>
      <c r="P42" s="66" t="s">
        <v>2158</v>
      </c>
      <c r="Q42" s="138" t="str">
        <f ca="1">IFERROR(LOOKUP($P42,MOTORISTAS!$D$3:$D$1048576,MOTORISTAS!E$3:E$916),"")</f>
        <v>10485530864</v>
      </c>
      <c r="R42" s="138" t="str">
        <f ca="1">IFERROR(LOOKUP($P42,MOTORISTAS!$D$3:$D$1048576,MOTORISTAS!F$3:F$916),"")</f>
        <v>02033192841</v>
      </c>
      <c r="S42" s="66">
        <v>3240</v>
      </c>
      <c r="T42" s="66" t="s">
        <v>293</v>
      </c>
      <c r="U42" s="79">
        <v>44939.095138888886</v>
      </c>
      <c r="V42" s="66" t="s">
        <v>469</v>
      </c>
      <c r="W42" s="79">
        <v>44939.624305555553</v>
      </c>
      <c r="X42" s="79">
        <v>44939.28125</v>
      </c>
      <c r="Y42" s="88">
        <v>44939.368055555555</v>
      </c>
      <c r="Z42" s="81">
        <v>3200</v>
      </c>
      <c r="AA42" s="81">
        <v>0</v>
      </c>
      <c r="AB42" s="81">
        <f>SUM(Sal_23[[#This Row],[Saldo]]+Sal_23[[#This Row],[Adiantamento]])</f>
        <v>3200</v>
      </c>
      <c r="AC42" s="81">
        <v>0</v>
      </c>
      <c r="AD42" s="81"/>
      <c r="AE42" s="81"/>
      <c r="AF42" s="81"/>
      <c r="AG42" s="81">
        <f>Sal_23[[#This Row],[COMPRA]]*12%</f>
        <v>571.48680000000002</v>
      </c>
      <c r="AH42" s="83">
        <v>4762.3900000000003</v>
      </c>
      <c r="AI42" s="66" t="str">
        <f>PROPER(TEXT(Sal_23[[#This Row],[PROGRAMAÇÃO]],"mmm"))</f>
        <v>Jan</v>
      </c>
      <c r="AJ42" s="66">
        <f>YEAR(Sal_23[[#This Row],[PROGRAMAÇÃO]])</f>
        <v>2023</v>
      </c>
      <c r="AM42" s="66" t="s">
        <v>2768</v>
      </c>
      <c r="AN42" s="66" t="s">
        <v>2768</v>
      </c>
      <c r="AO42" s="66" t="s">
        <v>2768</v>
      </c>
    </row>
    <row r="43" spans="1:41" s="66" customFormat="1" ht="12.75" x14ac:dyDescent="0.2">
      <c r="A43" s="120" t="str">
        <f>Sal_23[[#This Row],[CONTAINER]]</f>
        <v>CAIU2950719</v>
      </c>
      <c r="B43" s="128" t="s">
        <v>2771</v>
      </c>
      <c r="C4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3" s="79">
        <v>44939.333333333336</v>
      </c>
      <c r="E43" s="44" t="s">
        <v>3111</v>
      </c>
      <c r="F43" s="66">
        <v>20</v>
      </c>
      <c r="G43" s="66" t="s">
        <v>2826</v>
      </c>
      <c r="H43" s="44" t="s">
        <v>2827</v>
      </c>
      <c r="I43" s="299" t="s">
        <v>2823</v>
      </c>
      <c r="J43" s="66">
        <v>59686</v>
      </c>
      <c r="K43" s="66" t="s">
        <v>3063</v>
      </c>
      <c r="L43" s="66">
        <v>102864</v>
      </c>
      <c r="N43" s="66" t="s">
        <v>2940</v>
      </c>
      <c r="O43" s="66" t="s">
        <v>3085</v>
      </c>
      <c r="P43" s="66" t="s">
        <v>3086</v>
      </c>
      <c r="Q43" s="138" t="str">
        <f ca="1">IFERROR(LOOKUP($P43,MOTORISTAS!$D$3:$D$1048576,MOTORISTAS!E$3:E$916),"")</f>
        <v>16955497839</v>
      </c>
      <c r="R43" s="138" t="str">
        <f ca="1">IFERROR(LOOKUP($P43,MOTORISTAS!$D$3:$D$1048576,MOTORISTAS!F$3:F$916),"")</f>
        <v>03177639496</v>
      </c>
      <c r="S43" s="66">
        <v>3244</v>
      </c>
      <c r="T43" s="66" t="s">
        <v>293</v>
      </c>
      <c r="U43" s="79">
        <v>44939.04583333333</v>
      </c>
      <c r="V43" s="66" t="s">
        <v>469</v>
      </c>
      <c r="W43" s="79">
        <v>44939.625694444447</v>
      </c>
      <c r="X43" s="79">
        <v>44939.291666666664</v>
      </c>
      <c r="Y43" s="88">
        <v>44939.416666666664</v>
      </c>
      <c r="Z43" s="81">
        <v>3200</v>
      </c>
      <c r="AA43" s="81">
        <v>0</v>
      </c>
      <c r="AB43" s="81">
        <f>SUM(Sal_23[[#This Row],[Saldo]]+Sal_23[[#This Row],[Adiantamento]])</f>
        <v>3200</v>
      </c>
      <c r="AC43" s="81">
        <v>0</v>
      </c>
      <c r="AD43" s="81"/>
      <c r="AE43" s="81"/>
      <c r="AF43" s="81"/>
      <c r="AG43" s="81">
        <f>Sal_23[[#This Row],[COMPRA]]*12%</f>
        <v>571.48680000000002</v>
      </c>
      <c r="AH43" s="83">
        <v>4762.3900000000003</v>
      </c>
      <c r="AI43" s="66" t="str">
        <f>PROPER(TEXT(Sal_23[[#This Row],[PROGRAMAÇÃO]],"mmm"))</f>
        <v>Jan</v>
      </c>
      <c r="AJ43" s="66">
        <f>YEAR(Sal_23[[#This Row],[PROGRAMAÇÃO]])</f>
        <v>2023</v>
      </c>
      <c r="AM43" s="66" t="s">
        <v>2768</v>
      </c>
      <c r="AN43" s="66" t="s">
        <v>2768</v>
      </c>
      <c r="AO43" s="66" t="s">
        <v>2768</v>
      </c>
    </row>
    <row r="44" spans="1:41" s="66" customFormat="1" ht="12.75" x14ac:dyDescent="0.2">
      <c r="A44" s="120" t="str">
        <f>Sal_23[[#This Row],[CONTAINER]]</f>
        <v>CAIU2938420</v>
      </c>
      <c r="B44" s="128" t="s">
        <v>2771</v>
      </c>
      <c r="C4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4" s="79">
        <v>44939.333333333336</v>
      </c>
      <c r="E44" s="44" t="s">
        <v>3112</v>
      </c>
      <c r="F44" s="66">
        <v>20</v>
      </c>
      <c r="G44" s="66" t="s">
        <v>2826</v>
      </c>
      <c r="H44" s="44" t="s">
        <v>3113</v>
      </c>
      <c r="I44" s="299" t="s">
        <v>3114</v>
      </c>
      <c r="J44" s="66">
        <v>59481</v>
      </c>
      <c r="K44" s="66" t="s">
        <v>3063</v>
      </c>
      <c r="L44" s="66">
        <v>111568</v>
      </c>
      <c r="N44" s="66" t="s">
        <v>31</v>
      </c>
      <c r="O44" s="66" t="s">
        <v>211</v>
      </c>
      <c r="P44" s="66" t="s">
        <v>33</v>
      </c>
      <c r="Q44" s="138" t="str">
        <f ca="1">IFERROR(LOOKUP($P44,MOTORISTAS!$D$3:$D$1048576,MOTORISTAS!E$3:E$916),"")</f>
        <v>09776430856</v>
      </c>
      <c r="R44" s="138" t="str">
        <f ca="1">IFERROR(LOOKUP($P44,MOTORISTAS!$D$3:$D$1048576,MOTORISTAS!F$3:F$916),"")</f>
        <v>01258979905</v>
      </c>
      <c r="S44" s="66">
        <v>3234</v>
      </c>
      <c r="T44" s="66" t="s">
        <v>293</v>
      </c>
      <c r="U44" s="79">
        <v>44939.288888888892</v>
      </c>
      <c r="V44" s="66" t="s">
        <v>469</v>
      </c>
      <c r="W44" s="79">
        <v>44939.76666666667</v>
      </c>
      <c r="X44" s="79">
        <v>44939.395833333336</v>
      </c>
      <c r="Y44" s="88">
        <v>44939.583333333336</v>
      </c>
      <c r="Z44" s="81">
        <v>2350</v>
      </c>
      <c r="AA44" s="81">
        <v>0</v>
      </c>
      <c r="AB44" s="81">
        <f>SUM(Sal_23[[#This Row],[Saldo]]+Sal_23[[#This Row],[Adiantamento]])</f>
        <v>2350</v>
      </c>
      <c r="AC44" s="81">
        <v>600</v>
      </c>
      <c r="AD44" s="81"/>
      <c r="AE44" s="81"/>
      <c r="AF44" s="81"/>
      <c r="AG44" s="81">
        <f>Sal_23[[#This Row],[COMPRA]]*12%</f>
        <v>529.16279999999995</v>
      </c>
      <c r="AH44" s="83">
        <v>4409.6899999999996</v>
      </c>
      <c r="AI44" s="66" t="str">
        <f>PROPER(TEXT(Sal_23[[#This Row],[PROGRAMAÇÃO]],"mmm"))</f>
        <v>Jan</v>
      </c>
      <c r="AJ44" s="66">
        <f>YEAR(Sal_23[[#This Row],[PROGRAMAÇÃO]])</f>
        <v>2023</v>
      </c>
      <c r="AL44" s="44" t="s">
        <v>3346</v>
      </c>
      <c r="AM44" s="66" t="s">
        <v>2768</v>
      </c>
      <c r="AN44" s="66" t="s">
        <v>2768</v>
      </c>
      <c r="AO44" s="66" t="s">
        <v>2768</v>
      </c>
    </row>
    <row r="45" spans="1:41" s="66" customFormat="1" ht="12.75" x14ac:dyDescent="0.2">
      <c r="A45" s="120" t="str">
        <f>Sal_23[[#This Row],[CONTAINER]]</f>
        <v>TCLU3055319</v>
      </c>
      <c r="B45" s="128" t="s">
        <v>2771</v>
      </c>
      <c r="C4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" s="79">
        <v>44939.333333333336</v>
      </c>
      <c r="E45" s="44" t="s">
        <v>3115</v>
      </c>
      <c r="F45" s="66">
        <v>20</v>
      </c>
      <c r="G45" s="66" t="s">
        <v>2826</v>
      </c>
      <c r="H45" s="44" t="s">
        <v>3116</v>
      </c>
      <c r="I45" s="299" t="s">
        <v>3117</v>
      </c>
      <c r="J45" s="66">
        <v>59480</v>
      </c>
      <c r="K45" s="66" t="s">
        <v>3063</v>
      </c>
      <c r="L45" s="66">
        <v>111567</v>
      </c>
      <c r="N45" s="66" t="s">
        <v>3196</v>
      </c>
      <c r="O45" s="66" t="s">
        <v>3297</v>
      </c>
      <c r="P45" s="66" t="s">
        <v>3444</v>
      </c>
      <c r="Q45" s="138" t="str">
        <f ca="1">IFERROR(LOOKUP($P45,MOTORISTAS!$D$3:$D$1048576,MOTORISTAS!E$3:E$916),"")</f>
        <v>03044141400</v>
      </c>
      <c r="R45" s="138" t="str">
        <f ca="1">IFERROR(LOOKUP($P45,MOTORISTAS!$D$3:$D$1048576,MOTORISTAS!F$3:F$916),"")</f>
        <v>00916251144</v>
      </c>
      <c r="S45" s="66">
        <v>3286</v>
      </c>
      <c r="T45" s="66" t="s">
        <v>293</v>
      </c>
      <c r="U45" s="79">
        <v>44939.324999999997</v>
      </c>
      <c r="V45" s="66" t="s">
        <v>469</v>
      </c>
      <c r="W45" s="79">
        <v>44939.793055555558</v>
      </c>
      <c r="X45" s="79">
        <v>44939.291666666664</v>
      </c>
      <c r="Y45" s="88">
        <v>44939.625</v>
      </c>
      <c r="Z45" s="81">
        <v>2300</v>
      </c>
      <c r="AA45" s="81">
        <v>0</v>
      </c>
      <c r="AB45" s="81">
        <f>SUM(Sal_23[[#This Row],[Saldo]]+Sal_23[[#This Row],[Adiantamento]])</f>
        <v>2300</v>
      </c>
      <c r="AC45" s="81">
        <v>0</v>
      </c>
      <c r="AD45" s="81"/>
      <c r="AE45" s="81"/>
      <c r="AF45" s="81"/>
      <c r="AG45" s="81">
        <f>Sal_23[[#This Row],[COMPRA]]*12%</f>
        <v>510.26519999999999</v>
      </c>
      <c r="AH45" s="83">
        <v>4252.21</v>
      </c>
      <c r="AI45" s="66" t="str">
        <f>PROPER(TEXT(Sal_23[[#This Row],[PROGRAMAÇÃO]],"mmm"))</f>
        <v>Jan</v>
      </c>
      <c r="AJ45" s="66">
        <f>YEAR(Sal_23[[#This Row],[PROGRAMAÇÃO]])</f>
        <v>2023</v>
      </c>
      <c r="AM45" s="66" t="s">
        <v>2768</v>
      </c>
      <c r="AN45" s="66" t="s">
        <v>2768</v>
      </c>
      <c r="AO45" s="66" t="s">
        <v>2768</v>
      </c>
    </row>
    <row r="46" spans="1:41" s="66" customFormat="1" ht="12.75" x14ac:dyDescent="0.2">
      <c r="A46" s="120" t="str">
        <f>Sal_23[[#This Row],[CONTAINER]]</f>
        <v>CAIU3410090</v>
      </c>
      <c r="B46" s="128" t="s">
        <v>2771</v>
      </c>
      <c r="C4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" s="79">
        <v>44939.333333333336</v>
      </c>
      <c r="E46" s="44" t="s">
        <v>3118</v>
      </c>
      <c r="F46" s="66">
        <v>20</v>
      </c>
      <c r="G46" s="66" t="s">
        <v>2826</v>
      </c>
      <c r="H46" s="44" t="s">
        <v>3116</v>
      </c>
      <c r="I46" s="299" t="s">
        <v>3117</v>
      </c>
      <c r="J46" s="66">
        <v>8</v>
      </c>
      <c r="K46" s="66" t="s">
        <v>3063</v>
      </c>
      <c r="L46" s="66">
        <v>112003</v>
      </c>
      <c r="N46" s="66" t="s">
        <v>2498</v>
      </c>
      <c r="O46" s="66" t="s">
        <v>2499</v>
      </c>
      <c r="P46" s="66" t="s">
        <v>2500</v>
      </c>
      <c r="Q46" s="138" t="str">
        <f ca="1">IFERROR(LOOKUP($P46,MOTORISTAS!$D$3:$D$1048576,MOTORISTAS!E$3:E$916),"")</f>
        <v>10838670830</v>
      </c>
      <c r="R46" s="138" t="str">
        <f ca="1">IFERROR(LOOKUP($P46,MOTORISTAS!$D$3:$D$1048576,MOTORISTAS!F$3:F$916),"")</f>
        <v>01808675938</v>
      </c>
      <c r="S46" s="66">
        <v>3285</v>
      </c>
      <c r="T46" s="66" t="s">
        <v>293</v>
      </c>
      <c r="U46" s="79">
        <v>44939.09375</v>
      </c>
      <c r="V46" s="66" t="s">
        <v>469</v>
      </c>
      <c r="W46" s="79">
        <v>44939.625</v>
      </c>
      <c r="X46" s="79">
        <v>44939.333333333336</v>
      </c>
      <c r="Y46" s="88">
        <v>44939.472222222219</v>
      </c>
      <c r="Z46" s="81">
        <v>2200</v>
      </c>
      <c r="AA46" s="81">
        <v>0</v>
      </c>
      <c r="AB46" s="81">
        <f>SUM(Sal_23[[#This Row],[Saldo]]+Sal_23[[#This Row],[Adiantamento]])</f>
        <v>2200</v>
      </c>
      <c r="AC46" s="81">
        <v>0</v>
      </c>
      <c r="AD46" s="81"/>
      <c r="AE46" s="81"/>
      <c r="AF46" s="81"/>
      <c r="AG46" s="81">
        <f>Sal_23[[#This Row],[COMPRA]]*12%</f>
        <v>510.26519999999999</v>
      </c>
      <c r="AH46" s="83">
        <v>4252.21</v>
      </c>
      <c r="AI46" s="66" t="str">
        <f>PROPER(TEXT(Sal_23[[#This Row],[PROGRAMAÇÃO]],"mmm"))</f>
        <v>Jan</v>
      </c>
      <c r="AJ46" s="66">
        <f>YEAR(Sal_23[[#This Row],[PROGRAMAÇÃO]])</f>
        <v>2023</v>
      </c>
      <c r="AM46" s="66" t="s">
        <v>2768</v>
      </c>
      <c r="AN46" s="66" t="s">
        <v>2768</v>
      </c>
      <c r="AO46" s="66" t="s">
        <v>2768</v>
      </c>
    </row>
    <row r="47" spans="1:41" s="66" customFormat="1" ht="12.75" x14ac:dyDescent="0.2">
      <c r="A47" s="120" t="str">
        <f>Sal_23[[#This Row],[CONTAINER]]</f>
        <v>TCLU8704220</v>
      </c>
      <c r="B47" s="128" t="s">
        <v>2771</v>
      </c>
      <c r="C4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7" s="79">
        <v>44939.375</v>
      </c>
      <c r="E47" s="44" t="s">
        <v>3119</v>
      </c>
      <c r="F47" s="66">
        <v>40</v>
      </c>
      <c r="G47" s="66" t="s">
        <v>2820</v>
      </c>
      <c r="H47" s="44" t="s">
        <v>2820</v>
      </c>
      <c r="I47" s="299" t="s">
        <v>2821</v>
      </c>
      <c r="J47" s="66">
        <v>59493</v>
      </c>
      <c r="K47" s="66" t="s">
        <v>3063</v>
      </c>
      <c r="L47" s="66">
        <v>102791</v>
      </c>
      <c r="N47" s="66" t="s">
        <v>102</v>
      </c>
      <c r="O47" s="66" t="s">
        <v>27</v>
      </c>
      <c r="P47" s="66" t="s">
        <v>206</v>
      </c>
      <c r="Q47" s="138" t="str">
        <f ca="1">IFERROR(LOOKUP($P47,MOTORISTAS!$D$3:$D$1048576,MOTORISTAS!E$3:E$916),"")</f>
        <v>09085263425</v>
      </c>
      <c r="R47" s="138" t="str">
        <f ca="1">IFERROR(LOOKUP($P47,MOTORISTAS!$D$3:$D$1048576,MOTORISTAS!F$3:F$916),"")</f>
        <v>04557705505</v>
      </c>
      <c r="S47" s="66">
        <v>3242</v>
      </c>
      <c r="T47" s="66" t="s">
        <v>293</v>
      </c>
      <c r="U47" s="79">
        <v>44939.224305555559</v>
      </c>
      <c r="V47" s="66" t="s">
        <v>292</v>
      </c>
      <c r="W47" s="79">
        <v>44939.570138888892</v>
      </c>
      <c r="X47" s="79">
        <v>44939.375</v>
      </c>
      <c r="Y47" s="88">
        <v>44939.458333333336</v>
      </c>
      <c r="Z47" s="81">
        <v>1600</v>
      </c>
      <c r="AA47" s="81">
        <v>0</v>
      </c>
      <c r="AB47" s="81">
        <f>SUM(Sal_23[[#This Row],[Saldo]]+Sal_23[[#This Row],[Adiantamento]])</f>
        <v>1600</v>
      </c>
      <c r="AC47" s="81">
        <v>0</v>
      </c>
      <c r="AD47" s="81"/>
      <c r="AE47" s="81"/>
      <c r="AF47" s="81"/>
      <c r="AG47" s="81">
        <f>Sal_23[[#This Row],[COMPRA]]*12%</f>
        <v>288</v>
      </c>
      <c r="AH47" s="83">
        <v>2400</v>
      </c>
      <c r="AI47" s="66" t="str">
        <f>PROPER(TEXT(Sal_23[[#This Row],[PROGRAMAÇÃO]],"mmm"))</f>
        <v>Jan</v>
      </c>
      <c r="AJ47" s="66">
        <f>YEAR(Sal_23[[#This Row],[PROGRAMAÇÃO]])</f>
        <v>2023</v>
      </c>
      <c r="AM47" s="66" t="s">
        <v>2768</v>
      </c>
      <c r="AN47" s="66" t="s">
        <v>2768</v>
      </c>
      <c r="AO47" s="66" t="s">
        <v>2768</v>
      </c>
    </row>
    <row r="48" spans="1:41" s="66" customFormat="1" ht="12.75" x14ac:dyDescent="0.2">
      <c r="A48" s="120" t="str">
        <f>Sal_23[[#This Row],[CONTAINER]]</f>
        <v>TCLU5992186</v>
      </c>
      <c r="B48" s="128" t="s">
        <v>2771</v>
      </c>
      <c r="C4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" s="79">
        <v>44939.375</v>
      </c>
      <c r="E48" s="44" t="s">
        <v>3120</v>
      </c>
      <c r="F48" s="66">
        <v>40</v>
      </c>
      <c r="G48" s="66" t="s">
        <v>2820</v>
      </c>
      <c r="H48" s="44" t="s">
        <v>2820</v>
      </c>
      <c r="I48" s="299" t="s">
        <v>2821</v>
      </c>
      <c r="J48" s="66">
        <v>59696</v>
      </c>
      <c r="K48" s="66" t="s">
        <v>3063</v>
      </c>
      <c r="L48" s="66">
        <v>102887</v>
      </c>
      <c r="N48" s="66" t="s">
        <v>155</v>
      </c>
      <c r="O48" s="66" t="s">
        <v>209</v>
      </c>
      <c r="P48" s="66" t="s">
        <v>156</v>
      </c>
      <c r="Q48" s="138" t="str">
        <f ca="1">IFERROR(LOOKUP($P48,MOTORISTAS!$D$3:$D$1048576,MOTORISTAS!E$3:E$916),"")</f>
        <v>09803034863</v>
      </c>
      <c r="R48" s="138" t="str">
        <f ca="1">IFERROR(LOOKUP($P48,MOTORISTAS!$D$3:$D$1048576,MOTORISTAS!F$3:F$916),"")</f>
        <v>01484565209</v>
      </c>
      <c r="S48" s="66">
        <v>3235</v>
      </c>
      <c r="T48" s="66" t="s">
        <v>293</v>
      </c>
      <c r="U48" s="79">
        <v>44939.280555555553</v>
      </c>
      <c r="V48" s="66" t="s">
        <v>292</v>
      </c>
      <c r="W48" s="79">
        <v>44939.640277777777</v>
      </c>
      <c r="X48" s="79">
        <v>44939.333333333336</v>
      </c>
      <c r="Y48" s="88">
        <v>44939.541666666664</v>
      </c>
      <c r="Z48" s="81">
        <v>1600</v>
      </c>
      <c r="AA48" s="81">
        <v>0</v>
      </c>
      <c r="AB48" s="81">
        <f>SUM(Sal_23[[#This Row],[Saldo]]+Sal_23[[#This Row],[Adiantamento]])</f>
        <v>1600</v>
      </c>
      <c r="AC48" s="81">
        <v>0</v>
      </c>
      <c r="AD48" s="81"/>
      <c r="AE48" s="81"/>
      <c r="AF48" s="81"/>
      <c r="AG48" s="81">
        <f>Sal_23[[#This Row],[COMPRA]]*12%</f>
        <v>288</v>
      </c>
      <c r="AH48" s="83">
        <v>2400</v>
      </c>
      <c r="AI48" s="66" t="str">
        <f>PROPER(TEXT(Sal_23[[#This Row],[PROGRAMAÇÃO]],"mmm"))</f>
        <v>Jan</v>
      </c>
      <c r="AJ48" s="66">
        <f>YEAR(Sal_23[[#This Row],[PROGRAMAÇÃO]])</f>
        <v>2023</v>
      </c>
      <c r="AM48" s="66" t="s">
        <v>2768</v>
      </c>
      <c r="AN48" s="66" t="s">
        <v>2768</v>
      </c>
      <c r="AO48" s="66" t="s">
        <v>2768</v>
      </c>
    </row>
    <row r="49" spans="1:41" s="66" customFormat="1" ht="12.75" x14ac:dyDescent="0.2">
      <c r="A49" s="120" t="str">
        <f>Sal_23[[#This Row],[CONTAINER]]</f>
        <v>SEGU1063086</v>
      </c>
      <c r="B49" s="128" t="s">
        <v>2771</v>
      </c>
      <c r="C4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9" s="79">
        <v>44939.458333333336</v>
      </c>
      <c r="E49" s="44" t="s">
        <v>3121</v>
      </c>
      <c r="F49" s="66">
        <v>20</v>
      </c>
      <c r="G49" s="66" t="s">
        <v>2820</v>
      </c>
      <c r="H49" s="44" t="s">
        <v>2820</v>
      </c>
      <c r="I49" s="299" t="s">
        <v>2821</v>
      </c>
      <c r="J49" s="66">
        <v>59497</v>
      </c>
      <c r="K49" s="66" t="s">
        <v>3063</v>
      </c>
      <c r="L49" s="66">
        <v>102717</v>
      </c>
      <c r="N49" s="66" t="s">
        <v>2859</v>
      </c>
      <c r="O49" s="66" t="s">
        <v>2860</v>
      </c>
      <c r="P49" s="66" t="s">
        <v>2861</v>
      </c>
      <c r="Q49" s="138" t="str">
        <f ca="1">IFERROR(LOOKUP($P49,MOTORISTAS!$D$3:$D$1048576,MOTORISTAS!E$3:E$916),"")</f>
        <v>01817591878</v>
      </c>
      <c r="R49" s="138" t="str">
        <f ca="1">IFERROR(LOOKUP($P49,MOTORISTAS!$D$3:$D$1048576,MOTORISTAS!F$3:F$916),"")</f>
        <v>00821760640</v>
      </c>
      <c r="S49" s="66">
        <v>3236</v>
      </c>
      <c r="T49" s="66" t="s">
        <v>293</v>
      </c>
      <c r="U49" s="79">
        <v>44939.004861111112</v>
      </c>
      <c r="V49" s="66" t="s">
        <v>292</v>
      </c>
      <c r="W49" s="79">
        <v>44939.523611111108</v>
      </c>
      <c r="X49" s="79">
        <v>44939.208333333336</v>
      </c>
      <c r="Y49" s="88">
        <v>44939.402777777781</v>
      </c>
      <c r="Z49" s="81">
        <v>1600</v>
      </c>
      <c r="AA49" s="81">
        <v>0</v>
      </c>
      <c r="AB49" s="81">
        <f>SUM(Sal_23[[#This Row],[Saldo]]+Sal_23[[#This Row],[Adiantamento]])</f>
        <v>1600</v>
      </c>
      <c r="AC49" s="81">
        <v>0</v>
      </c>
      <c r="AD49" s="81"/>
      <c r="AE49" s="81"/>
      <c r="AF49" s="81"/>
      <c r="AG49" s="81">
        <f>Sal_23[[#This Row],[COMPRA]]*12%</f>
        <v>288</v>
      </c>
      <c r="AH49" s="83">
        <v>2400</v>
      </c>
      <c r="AI49" s="66" t="str">
        <f>PROPER(TEXT(Sal_23[[#This Row],[PROGRAMAÇÃO]],"mmm"))</f>
        <v>Jan</v>
      </c>
      <c r="AJ49" s="66">
        <f>YEAR(Sal_23[[#This Row],[PROGRAMAÇÃO]])</f>
        <v>2023</v>
      </c>
      <c r="AM49" s="66" t="s">
        <v>2768</v>
      </c>
      <c r="AN49" s="66" t="s">
        <v>2768</v>
      </c>
      <c r="AO49" s="66" t="s">
        <v>2768</v>
      </c>
    </row>
    <row r="50" spans="1:41" s="66" customFormat="1" ht="12.75" x14ac:dyDescent="0.2">
      <c r="A50" s="120" t="str">
        <f>Sal_23[[#This Row],[CONTAINER]]</f>
        <v>SEGU1118105</v>
      </c>
      <c r="B50" s="128" t="s">
        <v>2771</v>
      </c>
      <c r="C5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0" s="79">
        <v>44939.458333333336</v>
      </c>
      <c r="E50" s="44" t="s">
        <v>3122</v>
      </c>
      <c r="F50" s="66">
        <v>20</v>
      </c>
      <c r="G50" s="66" t="s">
        <v>2820</v>
      </c>
      <c r="H50" s="44" t="s">
        <v>2820</v>
      </c>
      <c r="I50" s="299" t="s">
        <v>2821</v>
      </c>
      <c r="J50" s="66">
        <v>59452</v>
      </c>
      <c r="K50" s="66" t="s">
        <v>3063</v>
      </c>
      <c r="L50" s="66">
        <v>67871</v>
      </c>
      <c r="N50" s="66" t="s">
        <v>3028</v>
      </c>
      <c r="O50" s="66" t="s">
        <v>2864</v>
      </c>
      <c r="P50" s="66" t="s">
        <v>3029</v>
      </c>
      <c r="Q50" s="138" t="str">
        <f ca="1">IFERROR(LOOKUP($P50,MOTORISTAS!$D$3:$D$1048576,MOTORISTAS!E$3:E$916),"")</f>
        <v>15284965825</v>
      </c>
      <c r="R50" s="138" t="str">
        <f ca="1">IFERROR(LOOKUP($P50,MOTORISTAS!$D$3:$D$1048576,MOTORISTAS!F$3:F$916),"")</f>
        <v>01681109819</v>
      </c>
      <c r="S50" s="66">
        <v>3243</v>
      </c>
      <c r="T50" s="66" t="s">
        <v>293</v>
      </c>
      <c r="U50" s="79">
        <v>44938.990277777775</v>
      </c>
      <c r="V50" s="66" t="s">
        <v>292</v>
      </c>
      <c r="W50" s="79">
        <v>44939.620138888888</v>
      </c>
      <c r="X50" s="79">
        <v>44939.208333333336</v>
      </c>
      <c r="Y50" s="88">
        <v>44939.5</v>
      </c>
      <c r="Z50" s="81">
        <v>1600</v>
      </c>
      <c r="AA50" s="81">
        <v>0</v>
      </c>
      <c r="AB50" s="81">
        <f>SUM(Sal_23[[#This Row],[Saldo]]+Sal_23[[#This Row],[Adiantamento]])</f>
        <v>1600</v>
      </c>
      <c r="AC50" s="81">
        <v>0</v>
      </c>
      <c r="AD50" s="81"/>
      <c r="AE50" s="81"/>
      <c r="AF50" s="81"/>
      <c r="AG50" s="81">
        <f>Sal_23[[#This Row],[COMPRA]]*12%</f>
        <v>288</v>
      </c>
      <c r="AH50" s="83">
        <v>2400</v>
      </c>
      <c r="AI50" s="66" t="str">
        <f>PROPER(TEXT(Sal_23[[#This Row],[PROGRAMAÇÃO]],"mmm"))</f>
        <v>Jan</v>
      </c>
      <c r="AJ50" s="66">
        <f>YEAR(Sal_23[[#This Row],[PROGRAMAÇÃO]])</f>
        <v>2023</v>
      </c>
      <c r="AM50" s="66" t="s">
        <v>2768</v>
      </c>
      <c r="AN50" s="66" t="s">
        <v>2768</v>
      </c>
      <c r="AO50" s="66" t="s">
        <v>2768</v>
      </c>
    </row>
    <row r="51" spans="1:41" s="66" customFormat="1" ht="12.75" x14ac:dyDescent="0.2">
      <c r="A51" s="120" t="str">
        <f>Sal_23[[#This Row],[CONTAINER]]</f>
        <v>TCLU3466095</v>
      </c>
      <c r="B51" s="128" t="s">
        <v>2771</v>
      </c>
      <c r="C5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1" s="79">
        <v>44939.541666666664</v>
      </c>
      <c r="E51" s="44" t="s">
        <v>3123</v>
      </c>
      <c r="F51" s="66">
        <v>20</v>
      </c>
      <c r="G51" s="66" t="s">
        <v>2820</v>
      </c>
      <c r="H51" s="44" t="s">
        <v>2820</v>
      </c>
      <c r="I51" s="299" t="s">
        <v>2821</v>
      </c>
      <c r="J51" s="66">
        <v>9</v>
      </c>
      <c r="K51" s="66" t="s">
        <v>3063</v>
      </c>
      <c r="L51" s="66">
        <v>102994</v>
      </c>
      <c r="N51" s="66" t="s">
        <v>3096</v>
      </c>
      <c r="O51" s="66" t="s">
        <v>3097</v>
      </c>
      <c r="P51" s="66" t="s">
        <v>3098</v>
      </c>
      <c r="Q51" s="138" t="str">
        <f ca="1">IFERROR(LOOKUP($P51,MOTORISTAS!$D$3:$D$1048576,MOTORISTAS!E$3:E$916),"")</f>
        <v>29714736862</v>
      </c>
      <c r="R51" s="138" t="str">
        <f ca="1">IFERROR(LOOKUP($P51,MOTORISTAS!$D$3:$D$1048576,MOTORISTAS!F$3:F$916),"")</f>
        <v>03001275806</v>
      </c>
      <c r="S51" s="66">
        <v>3239</v>
      </c>
      <c r="T51" s="66" t="s">
        <v>293</v>
      </c>
      <c r="U51" s="79">
        <v>44938.881944444445</v>
      </c>
      <c r="V51" s="66" t="s">
        <v>292</v>
      </c>
      <c r="W51" s="79">
        <v>44942.309027777781</v>
      </c>
      <c r="X51" s="79">
        <v>44939.208333333336</v>
      </c>
      <c r="Y51" s="88">
        <v>44939.416666666664</v>
      </c>
      <c r="Z51" s="81">
        <v>1600</v>
      </c>
      <c r="AA51" s="81">
        <v>0</v>
      </c>
      <c r="AB51" s="81">
        <f>SUM(Sal_23[[#This Row],[Saldo]]+Sal_23[[#This Row],[Adiantamento]])</f>
        <v>1600</v>
      </c>
      <c r="AC51" s="81">
        <v>0</v>
      </c>
      <c r="AD51" s="81"/>
      <c r="AE51" s="81"/>
      <c r="AF51" s="81"/>
      <c r="AG51" s="81">
        <f>Sal_23[[#This Row],[COMPRA]]*12%</f>
        <v>288</v>
      </c>
      <c r="AH51" s="83">
        <v>2400</v>
      </c>
      <c r="AI51" s="66" t="str">
        <f>PROPER(TEXT(Sal_23[[#This Row],[PROGRAMAÇÃO]],"mmm"))</f>
        <v>Jan</v>
      </c>
      <c r="AJ51" s="66">
        <f>YEAR(Sal_23[[#This Row],[PROGRAMAÇÃO]])</f>
        <v>2023</v>
      </c>
      <c r="AM51" s="66" t="s">
        <v>2768</v>
      </c>
      <c r="AN51" s="66" t="s">
        <v>2768</v>
      </c>
      <c r="AO51" s="66" t="s">
        <v>2768</v>
      </c>
    </row>
    <row r="52" spans="1:41" s="66" customFormat="1" ht="12.75" x14ac:dyDescent="0.2">
      <c r="A52" s="120" t="str">
        <f>Sal_23[[#This Row],[CONTAINER]]</f>
        <v>SEGU4662220</v>
      </c>
      <c r="B52" s="128" t="s">
        <v>2771</v>
      </c>
      <c r="C5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2" s="79">
        <v>44940.333333333336</v>
      </c>
      <c r="E52" s="44" t="s">
        <v>3124</v>
      </c>
      <c r="F52" s="66">
        <v>40</v>
      </c>
      <c r="G52" s="66" t="s">
        <v>2826</v>
      </c>
      <c r="H52" s="44" t="s">
        <v>1674</v>
      </c>
      <c r="I52" s="299" t="s">
        <v>2829</v>
      </c>
      <c r="J52" s="66">
        <v>59475</v>
      </c>
      <c r="K52" s="66" t="s">
        <v>3063</v>
      </c>
      <c r="L52" s="66">
        <v>102745</v>
      </c>
      <c r="M52" s="66">
        <v>102746</v>
      </c>
      <c r="N52" s="66" t="s">
        <v>3289</v>
      </c>
      <c r="O52" s="66" t="s">
        <v>2517</v>
      </c>
      <c r="P52" s="66" t="s">
        <v>1731</v>
      </c>
      <c r="Q52" s="138" t="str">
        <f ca="1">IFERROR(LOOKUP($P52,MOTORISTAS!$D$3:$D$1048576,MOTORISTAS!E$3:E$916),"")</f>
        <v>03965340824</v>
      </c>
      <c r="R52" s="138" t="str">
        <f ca="1">IFERROR(LOOKUP($P52,MOTORISTAS!$D$3:$D$1048576,MOTORISTAS!F$3:F$916),"")</f>
        <v>01420704735</v>
      </c>
      <c r="S52" s="66">
        <v>3251</v>
      </c>
      <c r="T52" s="66" t="s">
        <v>293</v>
      </c>
      <c r="U52" s="79">
        <v>44939.944444444445</v>
      </c>
      <c r="V52" s="66" t="s">
        <v>469</v>
      </c>
      <c r="W52" s="79">
        <v>44940.496527777781</v>
      </c>
      <c r="X52" s="79">
        <v>44940.208333333336</v>
      </c>
      <c r="Y52" s="88">
        <v>44940.416666666664</v>
      </c>
      <c r="Z52" s="81">
        <v>3400</v>
      </c>
      <c r="AA52" s="81">
        <v>0</v>
      </c>
      <c r="AB52" s="81">
        <f>SUM(Sal_23[[#This Row],[Saldo]]+Sal_23[[#This Row],[Adiantamento]])</f>
        <v>3400</v>
      </c>
      <c r="AC52" s="81">
        <v>0</v>
      </c>
      <c r="AD52" s="81"/>
      <c r="AE52" s="81"/>
      <c r="AF52" s="81"/>
      <c r="AG52" s="81">
        <f>Sal_23[[#This Row],[COMPRA]]*12%</f>
        <v>558.28440000000001</v>
      </c>
      <c r="AH52" s="83">
        <v>4652.37</v>
      </c>
      <c r="AI52" s="66" t="str">
        <f>PROPER(TEXT(Sal_23[[#This Row],[PROGRAMAÇÃO]],"mmm"))</f>
        <v>Jan</v>
      </c>
      <c r="AJ52" s="66">
        <f>YEAR(Sal_23[[#This Row],[PROGRAMAÇÃO]])</f>
        <v>2023</v>
      </c>
      <c r="AM52" s="66" t="s">
        <v>2768</v>
      </c>
      <c r="AN52" s="66" t="s">
        <v>2768</v>
      </c>
      <c r="AO52" s="66" t="s">
        <v>2768</v>
      </c>
    </row>
    <row r="53" spans="1:41" s="66" customFormat="1" ht="12.75" x14ac:dyDescent="0.2">
      <c r="A53" s="120" t="str">
        <f>Sal_23[[#This Row],[CONTAINER]]</f>
        <v>TCNU8696040</v>
      </c>
      <c r="B53" s="128" t="s">
        <v>2771</v>
      </c>
      <c r="C5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3" s="79">
        <v>44940.333333333336</v>
      </c>
      <c r="E53" s="44" t="s">
        <v>3125</v>
      </c>
      <c r="F53" s="66">
        <v>40</v>
      </c>
      <c r="G53" s="66" t="s">
        <v>2826</v>
      </c>
      <c r="H53" s="44" t="s">
        <v>1674</v>
      </c>
      <c r="I53" s="299" t="s">
        <v>2829</v>
      </c>
      <c r="J53" s="66">
        <v>59478</v>
      </c>
      <c r="K53" s="66" t="s">
        <v>3063</v>
      </c>
      <c r="L53" s="66">
        <v>102795</v>
      </c>
      <c r="M53" s="66">
        <v>102796</v>
      </c>
      <c r="N53" s="66" t="s">
        <v>111</v>
      </c>
      <c r="O53" s="66" t="s">
        <v>891</v>
      </c>
      <c r="P53" s="66" t="s">
        <v>113</v>
      </c>
      <c r="Q53" s="138" t="str">
        <f ca="1">IFERROR(LOOKUP($P53,MOTORISTAS!$D$3:$D$1048576,MOTORISTAS!E$3:E$916),"")</f>
        <v>88265951434</v>
      </c>
      <c r="R53" s="138" t="str">
        <f ca="1">IFERROR(LOOKUP($P53,MOTORISTAS!$D$3:$D$1048576,MOTORISTAS!F$3:F$916),"")</f>
        <v>00920373596</v>
      </c>
      <c r="S53" s="66">
        <v>3259</v>
      </c>
      <c r="T53" s="66" t="s">
        <v>293</v>
      </c>
      <c r="U53" s="79">
        <v>44940.090416666666</v>
      </c>
      <c r="V53" s="66" t="s">
        <v>469</v>
      </c>
      <c r="W53" s="79">
        <v>44940.602083333331</v>
      </c>
      <c r="X53" s="79">
        <v>44940.333333333336</v>
      </c>
      <c r="Y53" s="88">
        <v>44940.458333333336</v>
      </c>
      <c r="Z53" s="81">
        <v>3400</v>
      </c>
      <c r="AA53" s="81">
        <v>0</v>
      </c>
      <c r="AB53" s="81">
        <f>SUM(Sal_23[[#This Row],[Saldo]]+Sal_23[[#This Row],[Adiantamento]])</f>
        <v>3400</v>
      </c>
      <c r="AC53" s="81">
        <v>0</v>
      </c>
      <c r="AD53" s="81"/>
      <c r="AE53" s="81"/>
      <c r="AF53" s="81"/>
      <c r="AG53" s="81">
        <f>Sal_23[[#This Row],[COMPRA]]*12%</f>
        <v>558.28440000000001</v>
      </c>
      <c r="AH53" s="83">
        <v>4652.37</v>
      </c>
      <c r="AI53" s="66" t="str">
        <f>PROPER(TEXT(Sal_23[[#This Row],[PROGRAMAÇÃO]],"mmm"))</f>
        <v>Jan</v>
      </c>
      <c r="AJ53" s="66">
        <f>YEAR(Sal_23[[#This Row],[PROGRAMAÇÃO]])</f>
        <v>2023</v>
      </c>
      <c r="AM53" s="66" t="s">
        <v>2768</v>
      </c>
      <c r="AN53" s="66" t="s">
        <v>2768</v>
      </c>
      <c r="AO53" s="66" t="s">
        <v>2768</v>
      </c>
    </row>
    <row r="54" spans="1:41" s="66" customFormat="1" ht="12.75" x14ac:dyDescent="0.2">
      <c r="A54" s="120" t="str">
        <f>Sal_23[[#This Row],[CONTAINER]]</f>
        <v>SEGU5029515</v>
      </c>
      <c r="B54" s="128" t="s">
        <v>2771</v>
      </c>
      <c r="C5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4" s="79">
        <v>44942.333333333336</v>
      </c>
      <c r="E54" s="44" t="s">
        <v>3126</v>
      </c>
      <c r="F54" s="66">
        <v>40</v>
      </c>
      <c r="G54" s="66" t="s">
        <v>2826</v>
      </c>
      <c r="H54" s="44" t="s">
        <v>3441</v>
      </c>
      <c r="I54" s="299" t="s">
        <v>3438</v>
      </c>
      <c r="J54" s="66">
        <v>59479</v>
      </c>
      <c r="K54" s="66" t="s">
        <v>3063</v>
      </c>
      <c r="L54" s="66">
        <v>102828</v>
      </c>
      <c r="M54" s="66">
        <v>102829</v>
      </c>
      <c r="N54" s="66" t="s">
        <v>140</v>
      </c>
      <c r="O54" s="66" t="s">
        <v>3066</v>
      </c>
      <c r="P54" s="66" t="s">
        <v>2051</v>
      </c>
      <c r="Q54" s="138" t="str">
        <f ca="1">IFERROR(LOOKUP($P54,MOTORISTAS!$D$3:$D$1048576,MOTORISTAS!E$3:E$916),"")</f>
        <v>33913917829</v>
      </c>
      <c r="R54" s="138" t="str">
        <f ca="1">IFERROR(LOOKUP($P54,MOTORISTAS!$D$3:$D$1048576,MOTORISTAS!F$3:F$916),"")</f>
        <v>03312585500</v>
      </c>
      <c r="S54" s="66" t="s">
        <v>3356</v>
      </c>
      <c r="T54" s="66" t="s">
        <v>293</v>
      </c>
      <c r="U54" s="79">
        <v>44942.090277777781</v>
      </c>
      <c r="V54" s="66" t="s">
        <v>469</v>
      </c>
      <c r="W54" s="79">
        <v>44942.61041666667</v>
      </c>
      <c r="X54" s="79">
        <v>44942.291666666664</v>
      </c>
      <c r="Y54" s="88">
        <v>44942.416666666664</v>
      </c>
      <c r="Z54" s="81">
        <v>2300</v>
      </c>
      <c r="AA54" s="81">
        <v>0</v>
      </c>
      <c r="AB54" s="81">
        <f>SUM(Sal_23[[#This Row],[Saldo]]+Sal_23[[#This Row],[Adiantamento]])</f>
        <v>2300</v>
      </c>
      <c r="AC54" s="81">
        <v>500</v>
      </c>
      <c r="AD54" s="81"/>
      <c r="AE54" s="81"/>
      <c r="AF54" s="81"/>
      <c r="AG54" s="81">
        <f>Sal_23[[#This Row],[COMPRA]]*12%</f>
        <v>449.87520000000001</v>
      </c>
      <c r="AH54" s="83">
        <v>3748.96</v>
      </c>
      <c r="AI54" s="66" t="str">
        <f>PROPER(TEXT(Sal_23[[#This Row],[PROGRAMAÇÃO]],"mmm"))</f>
        <v>Jan</v>
      </c>
      <c r="AJ54" s="66">
        <f>YEAR(Sal_23[[#This Row],[PROGRAMAÇÃO]])</f>
        <v>2023</v>
      </c>
      <c r="AM54" s="66" t="s">
        <v>2768</v>
      </c>
      <c r="AN54" s="66" t="s">
        <v>2768</v>
      </c>
      <c r="AO54" s="66" t="s">
        <v>2768</v>
      </c>
    </row>
    <row r="55" spans="1:41" s="66" customFormat="1" ht="12.75" x14ac:dyDescent="0.2">
      <c r="A55" s="120" t="str">
        <f>Sal_23[[#This Row],[CONTAINER]]</f>
        <v>CAIU3022448</v>
      </c>
      <c r="B55" s="128" t="s">
        <v>2771</v>
      </c>
      <c r="C5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5" s="79">
        <v>44942.333333333336</v>
      </c>
      <c r="E55" s="44" t="s">
        <v>3127</v>
      </c>
      <c r="F55" s="66">
        <v>20</v>
      </c>
      <c r="G55" s="66" t="s">
        <v>2826</v>
      </c>
      <c r="H55" s="44" t="s">
        <v>3105</v>
      </c>
      <c r="I55" s="299" t="s">
        <v>3185</v>
      </c>
      <c r="J55" s="66">
        <v>59688</v>
      </c>
      <c r="K55" s="66" t="s">
        <v>3063</v>
      </c>
      <c r="L55" s="66">
        <v>102897</v>
      </c>
      <c r="N55" s="66" t="s">
        <v>2859</v>
      </c>
      <c r="O55" s="66" t="s">
        <v>2860</v>
      </c>
      <c r="P55" s="66" t="s">
        <v>2861</v>
      </c>
      <c r="Q55" s="138" t="str">
        <f ca="1">IFERROR(LOOKUP($P55,MOTORISTAS!$D$3:$D$1048576,MOTORISTAS!E$3:E$916),"")</f>
        <v>01817591878</v>
      </c>
      <c r="R55" s="138" t="str">
        <f ca="1">IFERROR(LOOKUP($P55,MOTORISTAS!$D$3:$D$1048576,MOTORISTAS!F$3:F$916),"")</f>
        <v>00821760640</v>
      </c>
      <c r="S55" s="66">
        <v>3256</v>
      </c>
      <c r="T55" s="66" t="s">
        <v>293</v>
      </c>
      <c r="U55" s="79">
        <v>44941.986805555556</v>
      </c>
      <c r="V55" s="66" t="s">
        <v>469</v>
      </c>
      <c r="W55" s="79">
        <v>44942.63958333333</v>
      </c>
      <c r="X55" s="79">
        <v>44942.208333333336</v>
      </c>
      <c r="Y55" s="88">
        <v>44942.416666666664</v>
      </c>
      <c r="Z55" s="81">
        <v>1600</v>
      </c>
      <c r="AA55" s="81">
        <v>0</v>
      </c>
      <c r="AB55" s="81">
        <f>SUM(Sal_23[[#This Row],[Saldo]]+Sal_23[[#This Row],[Adiantamento]])</f>
        <v>1600</v>
      </c>
      <c r="AC55" s="81">
        <v>0</v>
      </c>
      <c r="AD55" s="81"/>
      <c r="AE55" s="81"/>
      <c r="AF55" s="81"/>
      <c r="AG55" s="81">
        <f>Sal_23[[#This Row],[COMPRA]]*12%</f>
        <v>415.74719999999996</v>
      </c>
      <c r="AH55" s="83">
        <v>3464.56</v>
      </c>
      <c r="AI55" s="66" t="str">
        <f>PROPER(TEXT(Sal_23[[#This Row],[PROGRAMAÇÃO]],"mmm"))</f>
        <v>Jan</v>
      </c>
      <c r="AJ55" s="66">
        <f>YEAR(Sal_23[[#This Row],[PROGRAMAÇÃO]])</f>
        <v>2023</v>
      </c>
      <c r="AM55" s="66" t="s">
        <v>2768</v>
      </c>
      <c r="AN55" s="66" t="s">
        <v>2768</v>
      </c>
      <c r="AO55" s="66" t="s">
        <v>2768</v>
      </c>
    </row>
    <row r="56" spans="1:41" s="66" customFormat="1" ht="12.75" x14ac:dyDescent="0.2">
      <c r="A56" s="120" t="str">
        <f>Sal_23[[#This Row],[CONTAINER]]</f>
        <v>TCLU8336978</v>
      </c>
      <c r="B56" s="128" t="s">
        <v>2771</v>
      </c>
      <c r="C5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6" s="79">
        <v>44942.375</v>
      </c>
      <c r="E56" s="44" t="s">
        <v>3128</v>
      </c>
      <c r="F56" s="66">
        <v>40</v>
      </c>
      <c r="G56" s="66" t="s">
        <v>2826</v>
      </c>
      <c r="H56" s="44" t="s">
        <v>1674</v>
      </c>
      <c r="I56" s="299" t="s">
        <v>2829</v>
      </c>
      <c r="J56" s="66">
        <v>59673</v>
      </c>
      <c r="K56" s="66" t="s">
        <v>3063</v>
      </c>
      <c r="L56" s="66">
        <v>102900</v>
      </c>
      <c r="M56" s="66">
        <v>102991</v>
      </c>
      <c r="N56" s="66" t="s">
        <v>178</v>
      </c>
      <c r="O56" s="66" t="s">
        <v>179</v>
      </c>
      <c r="P56" s="66" t="s">
        <v>180</v>
      </c>
      <c r="Q56" s="138" t="str">
        <f ca="1">IFERROR(LOOKUP($P56,MOTORISTAS!$D$3:$D$1048576,MOTORISTAS!E$3:E$916),"")</f>
        <v>18990500869</v>
      </c>
      <c r="R56" s="138" t="str">
        <f ca="1">IFERROR(LOOKUP($P56,MOTORISTAS!$D$3:$D$1048576,MOTORISTAS!F$3:F$916),"")</f>
        <v>04640435232</v>
      </c>
      <c r="S56" s="66">
        <v>3268</v>
      </c>
      <c r="T56" s="66" t="s">
        <v>293</v>
      </c>
      <c r="U56" s="79">
        <v>44942.228472222225</v>
      </c>
      <c r="V56" s="66" t="s">
        <v>469</v>
      </c>
      <c r="W56" s="79">
        <v>44942.696527777778</v>
      </c>
      <c r="X56" s="79">
        <v>44942.375</v>
      </c>
      <c r="Y56" s="88">
        <v>44942.541666666664</v>
      </c>
      <c r="Z56" s="81">
        <v>3400</v>
      </c>
      <c r="AA56" s="81">
        <v>0</v>
      </c>
      <c r="AB56" s="81">
        <f>SUM(Sal_23[[#This Row],[Saldo]]+Sal_23[[#This Row],[Adiantamento]])</f>
        <v>3400</v>
      </c>
      <c r="AC56" s="81">
        <v>0</v>
      </c>
      <c r="AD56" s="81"/>
      <c r="AE56" s="81"/>
      <c r="AF56" s="81"/>
      <c r="AG56" s="81">
        <f>Sal_23[[#This Row],[COMPRA]]*12%</f>
        <v>558.28440000000001</v>
      </c>
      <c r="AH56" s="83">
        <v>4652.37</v>
      </c>
      <c r="AI56" s="66" t="str">
        <f>PROPER(TEXT(Sal_23[[#This Row],[PROGRAMAÇÃO]],"mmm"))</f>
        <v>Jan</v>
      </c>
      <c r="AJ56" s="66">
        <f>YEAR(Sal_23[[#This Row],[PROGRAMAÇÃO]])</f>
        <v>2023</v>
      </c>
      <c r="AM56" s="66" t="s">
        <v>2768</v>
      </c>
      <c r="AN56" s="66" t="s">
        <v>2768</v>
      </c>
      <c r="AO56" s="66" t="s">
        <v>2768</v>
      </c>
    </row>
    <row r="57" spans="1:41" s="66" customFormat="1" ht="12.75" x14ac:dyDescent="0.2">
      <c r="A57" s="120" t="str">
        <f>Sal_23[[#This Row],[CONTAINER]]</f>
        <v>TCLU8697590</v>
      </c>
      <c r="B57" s="128" t="s">
        <v>2771</v>
      </c>
      <c r="C5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7" s="79">
        <v>44942.541666666664</v>
      </c>
      <c r="E57" s="44" t="s">
        <v>3129</v>
      </c>
      <c r="F57" s="66">
        <v>40</v>
      </c>
      <c r="G57" s="66" t="s">
        <v>2826</v>
      </c>
      <c r="H57" s="44" t="s">
        <v>1674</v>
      </c>
      <c r="I57" s="299" t="s">
        <v>2829</v>
      </c>
      <c r="J57" s="66">
        <v>59674</v>
      </c>
      <c r="K57" s="66" t="s">
        <v>3063</v>
      </c>
      <c r="L57" s="66">
        <v>102955</v>
      </c>
      <c r="M57" s="66">
        <v>102956</v>
      </c>
      <c r="N57" s="66" t="s">
        <v>111</v>
      </c>
      <c r="O57" s="66" t="s">
        <v>891</v>
      </c>
      <c r="P57" s="66" t="s">
        <v>113</v>
      </c>
      <c r="Q57" s="138" t="str">
        <f ca="1">IFERROR(LOOKUP($P57,MOTORISTAS!$D$3:$D$1048576,MOTORISTAS!E$3:E$916),"")</f>
        <v>88265951434</v>
      </c>
      <c r="R57" s="138" t="str">
        <f ca="1">IFERROR(LOOKUP($P57,MOTORISTAS!$D$3:$D$1048576,MOTORISTAS!F$3:F$916),"")</f>
        <v>00920373596</v>
      </c>
      <c r="S57" s="66">
        <v>3269</v>
      </c>
      <c r="T57" s="66" t="s">
        <v>293</v>
      </c>
      <c r="U57" s="79">
        <v>44942.363888888889</v>
      </c>
      <c r="V57" s="66" t="s">
        <v>469</v>
      </c>
      <c r="W57" s="79">
        <v>44943.776388888888</v>
      </c>
      <c r="X57" s="79">
        <v>44942.541666666664</v>
      </c>
      <c r="Y57" s="88">
        <v>44942.791666666664</v>
      </c>
      <c r="Z57" s="81">
        <v>3400</v>
      </c>
      <c r="AA57" s="81">
        <v>0</v>
      </c>
      <c r="AB57" s="81">
        <f>SUM(Sal_23[[#This Row],[Saldo]]+Sal_23[[#This Row],[Adiantamento]])</f>
        <v>3400</v>
      </c>
      <c r="AC57" s="81">
        <v>0</v>
      </c>
      <c r="AD57" s="81"/>
      <c r="AE57" s="81"/>
      <c r="AF57" s="81"/>
      <c r="AG57" s="81">
        <f>Sal_23[[#This Row],[COMPRA]]*12%</f>
        <v>558.28440000000001</v>
      </c>
      <c r="AH57" s="83">
        <v>4652.37</v>
      </c>
      <c r="AI57" s="66" t="str">
        <f>PROPER(TEXT(Sal_23[[#This Row],[PROGRAMAÇÃO]],"mmm"))</f>
        <v>Jan</v>
      </c>
      <c r="AJ57" s="66">
        <f>YEAR(Sal_23[[#This Row],[PROGRAMAÇÃO]])</f>
        <v>2023</v>
      </c>
      <c r="AM57" s="66" t="s">
        <v>2768</v>
      </c>
      <c r="AN57" s="66" t="s">
        <v>2768</v>
      </c>
      <c r="AO57" s="66" t="s">
        <v>2768</v>
      </c>
    </row>
    <row r="58" spans="1:41" s="66" customFormat="1" ht="12.75" x14ac:dyDescent="0.2">
      <c r="A58" s="120" t="str">
        <f>Sal_23[[#This Row],[CONTAINER]]</f>
        <v>TCLU3465925</v>
      </c>
      <c r="B58" s="128" t="s">
        <v>2771</v>
      </c>
      <c r="C5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8" s="79">
        <v>44942.333333333336</v>
      </c>
      <c r="E58" s="44" t="s">
        <v>3130</v>
      </c>
      <c r="F58" s="66">
        <v>20</v>
      </c>
      <c r="G58" s="66" t="s">
        <v>2826</v>
      </c>
      <c r="H58" s="44" t="s">
        <v>3440</v>
      </c>
      <c r="I58" s="299" t="s">
        <v>3253</v>
      </c>
      <c r="J58" s="66">
        <v>7</v>
      </c>
      <c r="K58" s="66" t="s">
        <v>3063</v>
      </c>
      <c r="L58" s="66">
        <v>112002</v>
      </c>
      <c r="N58" s="66" t="s">
        <v>3040</v>
      </c>
      <c r="O58" s="66" t="s">
        <v>3041</v>
      </c>
      <c r="P58" s="66" t="s">
        <v>3042</v>
      </c>
      <c r="Q58" s="138" t="str">
        <f ca="1">IFERROR(LOOKUP($P58,MOTORISTAS!$D$3:$D$1048576,MOTORISTAS!E$3:E$916),"")</f>
        <v>19279658883</v>
      </c>
      <c r="R58" s="138" t="str">
        <f ca="1">IFERROR(LOOKUP($P58,MOTORISTAS!$D$3:$D$1048576,MOTORISTAS!F$3:F$916),"")</f>
        <v>01301319672</v>
      </c>
      <c r="S58" s="66">
        <v>3263</v>
      </c>
      <c r="T58" s="66" t="s">
        <v>293</v>
      </c>
      <c r="U58" s="79">
        <v>44942.045138888891</v>
      </c>
      <c r="V58" s="66" t="s">
        <v>469</v>
      </c>
      <c r="W58" s="79">
        <v>44942.679166666669</v>
      </c>
      <c r="X58" s="79">
        <v>44942.291666666664</v>
      </c>
      <c r="Y58" s="88">
        <v>44942.458333333336</v>
      </c>
      <c r="Z58" s="81">
        <v>2300</v>
      </c>
      <c r="AA58" s="81">
        <v>0</v>
      </c>
      <c r="AB58" s="81">
        <f>SUM(Sal_23[[#This Row],[Saldo]]+Sal_23[[#This Row],[Adiantamento]])</f>
        <v>2300</v>
      </c>
      <c r="AC58" s="81">
        <v>0</v>
      </c>
      <c r="AD58" s="81"/>
      <c r="AE58" s="81"/>
      <c r="AF58" s="81"/>
      <c r="AG58" s="81">
        <f>Sal_23[[#This Row],[COMPRA]]*12%</f>
        <v>399.62399999999997</v>
      </c>
      <c r="AH58" s="83">
        <v>3330.2</v>
      </c>
      <c r="AI58" s="66" t="str">
        <f>PROPER(TEXT(Sal_23[[#This Row],[PROGRAMAÇÃO]],"mmm"))</f>
        <v>Jan</v>
      </c>
      <c r="AJ58" s="66">
        <f>YEAR(Sal_23[[#This Row],[PROGRAMAÇÃO]])</f>
        <v>2023</v>
      </c>
      <c r="AM58" s="66" t="s">
        <v>2768</v>
      </c>
      <c r="AN58" s="66" t="s">
        <v>2768</v>
      </c>
      <c r="AO58" s="66" t="s">
        <v>2768</v>
      </c>
    </row>
    <row r="59" spans="1:41" s="66" customFormat="1" ht="12.75" x14ac:dyDescent="0.2">
      <c r="A59" s="120" t="str">
        <f>Sal_23[[#This Row],[CONTAINER]]</f>
        <v>CAIU3022480</v>
      </c>
      <c r="B59" s="128" t="s">
        <v>2771</v>
      </c>
      <c r="C5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" s="79">
        <v>44943.333333333336</v>
      </c>
      <c r="E59" s="44" t="s">
        <v>3131</v>
      </c>
      <c r="F59" s="66">
        <v>20</v>
      </c>
      <c r="G59" s="66" t="s">
        <v>2826</v>
      </c>
      <c r="H59" s="44" t="s">
        <v>3074</v>
      </c>
      <c r="I59" s="299" t="s">
        <v>3439</v>
      </c>
      <c r="J59" s="66">
        <v>59692</v>
      </c>
      <c r="K59" s="66" t="s">
        <v>3063</v>
      </c>
      <c r="L59" s="66">
        <v>102936</v>
      </c>
      <c r="N59" s="66" t="s">
        <v>2584</v>
      </c>
      <c r="O59" s="66" t="s">
        <v>2585</v>
      </c>
      <c r="P59" s="66" t="s">
        <v>2586</v>
      </c>
      <c r="Q59" s="138" t="str">
        <f ca="1">IFERROR(LOOKUP($P59,MOTORISTAS!$D$3:$D$1048576,MOTORISTAS!E$3:E$916),"")</f>
        <v>08312935860</v>
      </c>
      <c r="R59" s="138" t="str">
        <f ca="1">IFERROR(LOOKUP($P59,MOTORISTAS!$D$3:$D$1048576,MOTORISTAS!F$3:F$916),"")</f>
        <v>03106516083</v>
      </c>
      <c r="S59" s="66">
        <v>3266</v>
      </c>
      <c r="T59" s="66" t="s">
        <v>293</v>
      </c>
      <c r="U59" s="79">
        <v>44942.863888888889</v>
      </c>
      <c r="V59" s="66" t="s">
        <v>469</v>
      </c>
      <c r="W59" s="79">
        <v>44943.732638888891</v>
      </c>
      <c r="X59" s="79">
        <v>44943.291666666664</v>
      </c>
      <c r="Y59" s="88">
        <v>44943.416666666664</v>
      </c>
      <c r="Z59" s="81">
        <v>2000</v>
      </c>
      <c r="AA59" s="81">
        <v>0</v>
      </c>
      <c r="AB59" s="81">
        <f>SUM(Sal_23[[#This Row],[Saldo]]+Sal_23[[#This Row],[Adiantamento]])</f>
        <v>2000</v>
      </c>
      <c r="AC59" s="81">
        <v>0</v>
      </c>
      <c r="AD59" s="81"/>
      <c r="AE59" s="81"/>
      <c r="AF59" s="81"/>
      <c r="AG59" s="81">
        <f>Sal_23[[#This Row],[COMPRA]]*12%</f>
        <v>501.59999999999997</v>
      </c>
      <c r="AH59" s="83">
        <v>4180</v>
      </c>
      <c r="AI59" s="66" t="str">
        <f>PROPER(TEXT(Sal_23[[#This Row],[PROGRAMAÇÃO]],"mmm"))</f>
        <v>Jan</v>
      </c>
      <c r="AJ59" s="66">
        <f>YEAR(Sal_23[[#This Row],[PROGRAMAÇÃO]])</f>
        <v>2023</v>
      </c>
      <c r="AM59" s="66" t="s">
        <v>2768</v>
      </c>
      <c r="AN59" s="66" t="s">
        <v>2768</v>
      </c>
      <c r="AO59" s="66" t="s">
        <v>2768</v>
      </c>
    </row>
    <row r="60" spans="1:41" s="66" customFormat="1" ht="12.75" x14ac:dyDescent="0.2">
      <c r="A60" s="120" t="str">
        <f>Sal_23[[#This Row],[CONTAINER]]</f>
        <v>CAIU3014376</v>
      </c>
      <c r="B60" s="128" t="s">
        <v>2771</v>
      </c>
      <c r="C6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0" s="79">
        <v>44942.333333333336</v>
      </c>
      <c r="E60" s="44" t="s">
        <v>3132</v>
      </c>
      <c r="F60" s="66">
        <v>20</v>
      </c>
      <c r="G60" s="66" t="s">
        <v>2826</v>
      </c>
      <c r="H60" s="44" t="s">
        <v>3113</v>
      </c>
      <c r="I60" s="299" t="s">
        <v>3114</v>
      </c>
      <c r="J60" s="66">
        <v>59684</v>
      </c>
      <c r="K60" s="66" t="s">
        <v>3063</v>
      </c>
      <c r="L60" s="66">
        <v>111830</v>
      </c>
      <c r="N60" s="66" t="s">
        <v>72</v>
      </c>
      <c r="O60" s="66" t="s">
        <v>3069</v>
      </c>
      <c r="P60" s="66" t="s">
        <v>203</v>
      </c>
      <c r="Q60" s="138" t="str">
        <f ca="1">IFERROR(LOOKUP($P60,MOTORISTAS!$D$3:$D$1048576,MOTORISTAS!E$3:E$916),"")</f>
        <v>10395859816</v>
      </c>
      <c r="R60" s="138" t="str">
        <f ca="1">IFERROR(LOOKUP($P60,MOTORISTAS!$D$3:$D$1048576,MOTORISTAS!F$3:F$916),"")</f>
        <v>01965794851</v>
      </c>
      <c r="S60" s="66">
        <v>3289</v>
      </c>
      <c r="T60" s="66" t="s">
        <v>293</v>
      </c>
      <c r="U60" s="79">
        <v>44942.308333333334</v>
      </c>
      <c r="V60" s="66" t="s">
        <v>469</v>
      </c>
      <c r="W60" s="79">
        <v>44942.777777777781</v>
      </c>
      <c r="X60" s="79">
        <v>44942.375</v>
      </c>
      <c r="Y60" s="88">
        <v>44942.416666666664</v>
      </c>
      <c r="Z60" s="81">
        <v>2350</v>
      </c>
      <c r="AA60" s="81">
        <v>0</v>
      </c>
      <c r="AB60" s="81">
        <f>SUM(Sal_23[[#This Row],[Saldo]]+Sal_23[[#This Row],[Adiantamento]])</f>
        <v>2350</v>
      </c>
      <c r="AC60" s="81">
        <v>600</v>
      </c>
      <c r="AD60" s="81"/>
      <c r="AE60" s="81"/>
      <c r="AF60" s="81"/>
      <c r="AG60" s="81">
        <f>Sal_23[[#This Row],[COMPRA]]*12%</f>
        <v>529.16279999999995</v>
      </c>
      <c r="AH60" s="83">
        <v>4409.6899999999996</v>
      </c>
      <c r="AI60" s="66" t="str">
        <f>PROPER(TEXT(Sal_23[[#This Row],[PROGRAMAÇÃO]],"mmm"))</f>
        <v>Jan</v>
      </c>
      <c r="AJ60" s="66">
        <f>YEAR(Sal_23[[#This Row],[PROGRAMAÇÃO]])</f>
        <v>2023</v>
      </c>
      <c r="AL60" s="44" t="s">
        <v>3346</v>
      </c>
      <c r="AM60" s="66" t="s">
        <v>2768</v>
      </c>
      <c r="AN60" s="66" t="s">
        <v>2768</v>
      </c>
      <c r="AO60" s="66" t="s">
        <v>2768</v>
      </c>
    </row>
    <row r="61" spans="1:41" s="66" customFormat="1" ht="12.75" x14ac:dyDescent="0.2">
      <c r="A61" s="120" t="str">
        <f>Sal_23[[#This Row],[CONTAINER]]</f>
        <v>TCLU3467580</v>
      </c>
      <c r="B61" s="128" t="s">
        <v>2771</v>
      </c>
      <c r="C6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1" s="79">
        <v>44942.333333333336</v>
      </c>
      <c r="E61" s="44" t="s">
        <v>3133</v>
      </c>
      <c r="F61" s="66">
        <v>20</v>
      </c>
      <c r="G61" s="66" t="s">
        <v>2826</v>
      </c>
      <c r="H61" s="44" t="s">
        <v>3113</v>
      </c>
      <c r="I61" s="299" t="s">
        <v>3114</v>
      </c>
      <c r="J61" s="66">
        <v>59685</v>
      </c>
      <c r="K61" s="66" t="s">
        <v>3063</v>
      </c>
      <c r="L61" s="66">
        <v>111829</v>
      </c>
      <c r="N61" s="66" t="s">
        <v>3196</v>
      </c>
      <c r="O61" s="66" t="s">
        <v>3297</v>
      </c>
      <c r="P61" s="66" t="s">
        <v>3444</v>
      </c>
      <c r="Q61" s="138" t="str">
        <f ca="1">IFERROR(LOOKUP($P61,MOTORISTAS!$D$3:$D$1048576,MOTORISTAS!E$3:E$916),"")</f>
        <v>03044141400</v>
      </c>
      <c r="R61" s="138" t="str">
        <f ca="1">IFERROR(LOOKUP($P61,MOTORISTAS!$D$3:$D$1048576,MOTORISTAS!F$3:F$916),"")</f>
        <v>00916251144</v>
      </c>
      <c r="S61" s="66">
        <v>3287</v>
      </c>
      <c r="T61" s="66" t="s">
        <v>293</v>
      </c>
      <c r="U61" s="79">
        <v>44942.257638888892</v>
      </c>
      <c r="V61" s="66" t="s">
        <v>469</v>
      </c>
      <c r="W61" s="79">
        <v>44942.675000000003</v>
      </c>
      <c r="X61" s="79">
        <v>44942.354166666664</v>
      </c>
      <c r="Y61" s="88">
        <v>44942.416666666664</v>
      </c>
      <c r="Z61" s="81">
        <v>2350</v>
      </c>
      <c r="AA61" s="81">
        <v>0</v>
      </c>
      <c r="AB61" s="81">
        <f>SUM(Sal_23[[#This Row],[Saldo]]+Sal_23[[#This Row],[Adiantamento]])</f>
        <v>2350</v>
      </c>
      <c r="AC61" s="81">
        <v>600</v>
      </c>
      <c r="AD61" s="81"/>
      <c r="AE61" s="81"/>
      <c r="AF61" s="81"/>
      <c r="AG61" s="81">
        <f>Sal_23[[#This Row],[COMPRA]]*12%</f>
        <v>529.16279999999995</v>
      </c>
      <c r="AH61" s="83">
        <v>4409.6899999999996</v>
      </c>
      <c r="AI61" s="66" t="str">
        <f>PROPER(TEXT(Sal_23[[#This Row],[PROGRAMAÇÃO]],"mmm"))</f>
        <v>Jan</v>
      </c>
      <c r="AJ61" s="66">
        <f>YEAR(Sal_23[[#This Row],[PROGRAMAÇÃO]])</f>
        <v>2023</v>
      </c>
      <c r="AL61" s="44" t="s">
        <v>3346</v>
      </c>
      <c r="AM61" s="66" t="s">
        <v>2768</v>
      </c>
      <c r="AN61" s="66" t="s">
        <v>2768</v>
      </c>
      <c r="AO61" s="66" t="s">
        <v>2768</v>
      </c>
    </row>
    <row r="62" spans="1:41" s="66" customFormat="1" ht="12.75" x14ac:dyDescent="0.2">
      <c r="A62" s="120" t="str">
        <f>Sal_23[[#This Row],[CONTAINER]]</f>
        <v>CAIU3016070</v>
      </c>
      <c r="B62" s="128" t="s">
        <v>2771</v>
      </c>
      <c r="C6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2" s="79">
        <v>44942.333333333336</v>
      </c>
      <c r="E62" s="44" t="s">
        <v>3134</v>
      </c>
      <c r="F62" s="66">
        <v>20</v>
      </c>
      <c r="G62" s="66" t="s">
        <v>2826</v>
      </c>
      <c r="H62" s="44" t="s">
        <v>3116</v>
      </c>
      <c r="I62" s="299" t="s">
        <v>3117</v>
      </c>
      <c r="J62" s="66">
        <v>59690</v>
      </c>
      <c r="K62" s="66" t="s">
        <v>3063</v>
      </c>
      <c r="L62" s="66">
        <v>111847</v>
      </c>
      <c r="N62" s="66" t="s">
        <v>2940</v>
      </c>
      <c r="O62" s="66" t="s">
        <v>3085</v>
      </c>
      <c r="P62" s="66" t="s">
        <v>3086</v>
      </c>
      <c r="Q62" s="138" t="str">
        <f ca="1">IFERROR(LOOKUP($P62,MOTORISTAS!$D$3:$D$1048576,MOTORISTAS!E$3:E$916),"")</f>
        <v>16955497839</v>
      </c>
      <c r="R62" s="138" t="str">
        <f ca="1">IFERROR(LOOKUP($P62,MOTORISTAS!$D$3:$D$1048576,MOTORISTAS!F$3:F$916),"")</f>
        <v>03177639496</v>
      </c>
      <c r="S62" s="66">
        <v>3288</v>
      </c>
      <c r="T62" s="66" t="s">
        <v>293</v>
      </c>
      <c r="U62" s="79">
        <v>44942.87222222222</v>
      </c>
      <c r="V62" s="66" t="s">
        <v>469</v>
      </c>
      <c r="W62" s="79">
        <v>44943.62222222222</v>
      </c>
      <c r="X62" s="79">
        <v>44943.25</v>
      </c>
      <c r="Y62" s="88">
        <v>44943.416666666664</v>
      </c>
      <c r="Z62" s="81">
        <v>2200</v>
      </c>
      <c r="AA62" s="81">
        <v>0</v>
      </c>
      <c r="AB62" s="81">
        <f>SUM(Sal_23[[#This Row],[Saldo]]+Sal_23[[#This Row],[Adiantamento]])</f>
        <v>2200</v>
      </c>
      <c r="AC62" s="81">
        <v>0</v>
      </c>
      <c r="AD62" s="81"/>
      <c r="AE62" s="81"/>
      <c r="AF62" s="81"/>
      <c r="AG62" s="81">
        <f>Sal_23[[#This Row],[COMPRA]]*12%</f>
        <v>510.26519999999999</v>
      </c>
      <c r="AH62" s="83">
        <v>4252.21</v>
      </c>
      <c r="AI62" s="66" t="str">
        <f>PROPER(TEXT(Sal_23[[#This Row],[PROGRAMAÇÃO]],"mmm"))</f>
        <v>Jan</v>
      </c>
      <c r="AJ62" s="66">
        <f>YEAR(Sal_23[[#This Row],[PROGRAMAÇÃO]])</f>
        <v>2023</v>
      </c>
      <c r="AL62" s="66" t="s">
        <v>3643</v>
      </c>
      <c r="AM62" s="66" t="s">
        <v>2768</v>
      </c>
      <c r="AN62" s="66" t="s">
        <v>2768</v>
      </c>
      <c r="AO62" s="66" t="s">
        <v>2768</v>
      </c>
    </row>
    <row r="63" spans="1:41" s="66" customFormat="1" ht="12.75" x14ac:dyDescent="0.2">
      <c r="A63" s="120" t="str">
        <f>Sal_23[[#This Row],[CONTAINER]]</f>
        <v>CAIU3153216</v>
      </c>
      <c r="B63" s="128" t="s">
        <v>2771</v>
      </c>
      <c r="C6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3" s="79">
        <v>44942.333333333336</v>
      </c>
      <c r="E63" s="44" t="s">
        <v>3135</v>
      </c>
      <c r="F63" s="66">
        <v>20</v>
      </c>
      <c r="G63" s="66" t="s">
        <v>2837</v>
      </c>
      <c r="H63" s="44" t="s">
        <v>2837</v>
      </c>
      <c r="I63" s="299" t="s">
        <v>2821</v>
      </c>
      <c r="J63" s="66">
        <v>50198</v>
      </c>
      <c r="K63" s="66" t="s">
        <v>3063</v>
      </c>
      <c r="L63" s="66">
        <v>71357</v>
      </c>
      <c r="N63" s="66" t="s">
        <v>2156</v>
      </c>
      <c r="O63" s="66" t="s">
        <v>2464</v>
      </c>
      <c r="P63" s="66" t="s">
        <v>2158</v>
      </c>
      <c r="Q63" s="138" t="str">
        <f ca="1">IFERROR(LOOKUP($P63,MOTORISTAS!$D$3:$D$1048576,MOTORISTAS!E$3:E$916),"")</f>
        <v>10485530864</v>
      </c>
      <c r="R63" s="138" t="str">
        <f ca="1">IFERROR(LOOKUP($P63,MOTORISTAS!$D$3:$D$1048576,MOTORISTAS!F$3:F$916),"")</f>
        <v>02033192841</v>
      </c>
      <c r="S63" s="66">
        <v>3262</v>
      </c>
      <c r="T63" s="66" t="s">
        <v>293</v>
      </c>
      <c r="U63" s="79">
        <v>44942.273611111108</v>
      </c>
      <c r="V63" s="66" t="s">
        <v>292</v>
      </c>
      <c r="W63" s="79">
        <v>44942.531944444447</v>
      </c>
      <c r="X63" s="79">
        <v>44942.333333333336</v>
      </c>
      <c r="Y63" s="88">
        <v>44942.416666666664</v>
      </c>
      <c r="Z63" s="81">
        <v>1600</v>
      </c>
      <c r="AA63" s="81">
        <v>0</v>
      </c>
      <c r="AB63" s="81">
        <f>SUM(Sal_23[[#This Row],[Saldo]]+Sal_23[[#This Row],[Adiantamento]])</f>
        <v>1600</v>
      </c>
      <c r="AC63" s="81">
        <v>0</v>
      </c>
      <c r="AD63" s="81"/>
      <c r="AE63" s="81"/>
      <c r="AF63" s="81"/>
      <c r="AG63" s="81">
        <f>Sal_23[[#This Row],[COMPRA]]*12%</f>
        <v>288</v>
      </c>
      <c r="AH63" s="83">
        <v>2400</v>
      </c>
      <c r="AI63" s="66" t="str">
        <f>PROPER(TEXT(Sal_23[[#This Row],[PROGRAMAÇÃO]],"mmm"))</f>
        <v>Jan</v>
      </c>
      <c r="AJ63" s="66">
        <f>YEAR(Sal_23[[#This Row],[PROGRAMAÇÃO]])</f>
        <v>2023</v>
      </c>
      <c r="AM63" s="66" t="s">
        <v>2768</v>
      </c>
      <c r="AN63" s="66" t="s">
        <v>2768</v>
      </c>
      <c r="AO63" s="66" t="s">
        <v>2768</v>
      </c>
    </row>
    <row r="64" spans="1:41" s="66" customFormat="1" ht="12.75" x14ac:dyDescent="0.2">
      <c r="A64" s="120" t="str">
        <f>Sal_23[[#This Row],[CONTAINER]]</f>
        <v>CAIU2929054</v>
      </c>
      <c r="B64" s="128" t="s">
        <v>2771</v>
      </c>
      <c r="C6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4" s="79">
        <v>44942.375</v>
      </c>
      <c r="E64" s="44" t="s">
        <v>3136</v>
      </c>
      <c r="F64" s="66">
        <v>20</v>
      </c>
      <c r="G64" s="66" t="s">
        <v>2820</v>
      </c>
      <c r="H64" s="44" t="s">
        <v>2820</v>
      </c>
      <c r="I64" s="299" t="s">
        <v>2821</v>
      </c>
      <c r="J64" s="66">
        <v>10</v>
      </c>
      <c r="K64" s="66" t="s">
        <v>3063</v>
      </c>
      <c r="L64" s="66">
        <v>102995</v>
      </c>
      <c r="N64" s="66" t="s">
        <v>3028</v>
      </c>
      <c r="O64" s="66" t="s">
        <v>2864</v>
      </c>
      <c r="P64" s="66" t="s">
        <v>3029</v>
      </c>
      <c r="Q64" s="138" t="str">
        <f ca="1">IFERROR(LOOKUP($P64,MOTORISTAS!$D$3:$D$1048576,MOTORISTAS!E$3:E$916),"")</f>
        <v>15284965825</v>
      </c>
      <c r="R64" s="138" t="str">
        <f ca="1">IFERROR(LOOKUP($P64,MOTORISTAS!$D$3:$D$1048576,MOTORISTAS!F$3:F$916),"")</f>
        <v>01681109819</v>
      </c>
      <c r="S64" s="66">
        <v>3253</v>
      </c>
      <c r="T64" s="66" t="s">
        <v>293</v>
      </c>
      <c r="U64" s="79">
        <v>44941.957638888889</v>
      </c>
      <c r="V64" s="66" t="s">
        <v>292</v>
      </c>
      <c r="W64" s="79">
        <v>44942.519444444442</v>
      </c>
      <c r="X64" s="79">
        <v>44942.125</v>
      </c>
      <c r="Y64" s="88">
        <v>44942.409722222219</v>
      </c>
      <c r="Z64" s="81">
        <v>1600</v>
      </c>
      <c r="AA64" s="81">
        <v>0</v>
      </c>
      <c r="AB64" s="81">
        <f>SUM(Sal_23[[#This Row],[Saldo]]+Sal_23[[#This Row],[Adiantamento]])</f>
        <v>1600</v>
      </c>
      <c r="AC64" s="81">
        <v>0</v>
      </c>
      <c r="AD64" s="81"/>
      <c r="AE64" s="81"/>
      <c r="AF64" s="81"/>
      <c r="AG64" s="81">
        <f>Sal_23[[#This Row],[COMPRA]]*12%</f>
        <v>288</v>
      </c>
      <c r="AH64" s="83">
        <v>2400</v>
      </c>
      <c r="AI64" s="66" t="str">
        <f>PROPER(TEXT(Sal_23[[#This Row],[PROGRAMAÇÃO]],"mmm"))</f>
        <v>Jan</v>
      </c>
      <c r="AJ64" s="66">
        <f>YEAR(Sal_23[[#This Row],[PROGRAMAÇÃO]])</f>
        <v>2023</v>
      </c>
      <c r="AM64" s="66" t="s">
        <v>2768</v>
      </c>
      <c r="AN64" s="66" t="s">
        <v>2768</v>
      </c>
      <c r="AO64" s="66" t="s">
        <v>2768</v>
      </c>
    </row>
    <row r="65" spans="1:41" s="66" customFormat="1" ht="12.75" x14ac:dyDescent="0.2">
      <c r="A65" s="120" t="str">
        <f>Sal_23[[#This Row],[CONTAINER]]</f>
        <v>CAIU3310207</v>
      </c>
      <c r="B65" s="128" t="s">
        <v>2771</v>
      </c>
      <c r="C6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5" s="79">
        <v>44943.375</v>
      </c>
      <c r="E65" s="44" t="s">
        <v>3137</v>
      </c>
      <c r="F65" s="66">
        <v>20</v>
      </c>
      <c r="G65" s="66" t="s">
        <v>2820</v>
      </c>
      <c r="H65" s="44" t="s">
        <v>2820</v>
      </c>
      <c r="I65" s="299" t="s">
        <v>2821</v>
      </c>
      <c r="J65" s="66">
        <v>59498</v>
      </c>
      <c r="K65" s="66" t="s">
        <v>3063</v>
      </c>
      <c r="L65" s="66">
        <v>102716</v>
      </c>
      <c r="N65" s="66" t="s">
        <v>3028</v>
      </c>
      <c r="O65" s="66" t="s">
        <v>2864</v>
      </c>
      <c r="P65" s="66" t="s">
        <v>3182</v>
      </c>
      <c r="Q65" s="138" t="str">
        <f ca="1">IFERROR(LOOKUP($P65,MOTORISTAS!$D$3:$D$1048576,MOTORISTAS!E$3:E$916),"")</f>
        <v>03605652476</v>
      </c>
      <c r="R65" s="138" t="str">
        <f ca="1">IFERROR(LOOKUP($P65,MOTORISTAS!$D$3:$D$1048576,MOTORISTAS!F$3:F$916),"")</f>
        <v>0091837259</v>
      </c>
      <c r="S65" s="66">
        <v>3273</v>
      </c>
      <c r="T65" s="66" t="s">
        <v>293</v>
      </c>
      <c r="U65" s="79">
        <v>44942.955555555556</v>
      </c>
      <c r="V65" s="66" t="s">
        <v>292</v>
      </c>
      <c r="W65" s="79">
        <v>44943.529861111114</v>
      </c>
      <c r="X65" s="79">
        <v>44943.208333333336</v>
      </c>
      <c r="Y65" s="88">
        <v>44943.416666666664</v>
      </c>
      <c r="Z65" s="81">
        <v>1600</v>
      </c>
      <c r="AA65" s="81">
        <v>0</v>
      </c>
      <c r="AB65" s="81">
        <f>SUM(Sal_23[[#This Row],[Saldo]]+Sal_23[[#This Row],[Adiantamento]])</f>
        <v>1600</v>
      </c>
      <c r="AC65" s="81">
        <v>0</v>
      </c>
      <c r="AD65" s="81"/>
      <c r="AE65" s="81"/>
      <c r="AF65" s="81"/>
      <c r="AG65" s="81">
        <f>Sal_23[[#This Row],[COMPRA]]*12%</f>
        <v>288</v>
      </c>
      <c r="AH65" s="83">
        <v>2400</v>
      </c>
      <c r="AI65" s="66" t="str">
        <f>PROPER(TEXT(Sal_23[[#This Row],[PROGRAMAÇÃO]],"mmm"))</f>
        <v>Jan</v>
      </c>
      <c r="AJ65" s="66">
        <f>YEAR(Sal_23[[#This Row],[PROGRAMAÇÃO]])</f>
        <v>2023</v>
      </c>
      <c r="AM65" s="66" t="s">
        <v>2768</v>
      </c>
      <c r="AN65" s="66" t="s">
        <v>2768</v>
      </c>
      <c r="AO65" s="66" t="s">
        <v>2768</v>
      </c>
    </row>
    <row r="66" spans="1:41" s="66" customFormat="1" ht="12.75" x14ac:dyDescent="0.2">
      <c r="A66" s="120" t="str">
        <f>Sal_23[[#This Row],[CONTAINER]]</f>
        <v>SEGU1122949</v>
      </c>
      <c r="B66" s="128" t="s">
        <v>2771</v>
      </c>
      <c r="C6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6" s="79">
        <v>44943.458333333336</v>
      </c>
      <c r="E66" s="44" t="s">
        <v>3138</v>
      </c>
      <c r="F66" s="66">
        <v>20</v>
      </c>
      <c r="G66" s="66" t="s">
        <v>2820</v>
      </c>
      <c r="H66" s="44" t="s">
        <v>2820</v>
      </c>
      <c r="I66" s="299" t="s">
        <v>2821</v>
      </c>
      <c r="J66" s="66">
        <v>59694</v>
      </c>
      <c r="K66" s="66" t="s">
        <v>3063</v>
      </c>
      <c r="L66" s="66">
        <v>68023</v>
      </c>
      <c r="N66" s="66" t="s">
        <v>2156</v>
      </c>
      <c r="O66" s="66" t="s">
        <v>2464</v>
      </c>
      <c r="P66" s="66" t="s">
        <v>2158</v>
      </c>
      <c r="Q66" s="138" t="str">
        <f ca="1">IFERROR(LOOKUP($P66,MOTORISTAS!$D$3:$D$1048576,MOTORISTAS!E$3:E$916),"")</f>
        <v>10485530864</v>
      </c>
      <c r="R66" s="138" t="str">
        <f ca="1">IFERROR(LOOKUP($P66,MOTORISTAS!$D$3:$D$1048576,MOTORISTAS!F$3:F$916),"")</f>
        <v>02033192841</v>
      </c>
      <c r="S66" s="66">
        <v>3252</v>
      </c>
      <c r="T66" s="66" t="s">
        <v>293</v>
      </c>
      <c r="U66" s="79">
        <v>44942.609722222223</v>
      </c>
      <c r="V66" s="66" t="s">
        <v>292</v>
      </c>
      <c r="W66" s="79">
        <v>44943.681250000001</v>
      </c>
      <c r="X66" s="79">
        <v>44943.319444444445</v>
      </c>
      <c r="Y66" s="88">
        <v>44943.458333333336</v>
      </c>
      <c r="Z66" s="81">
        <v>1600</v>
      </c>
      <c r="AA66" s="81">
        <v>0</v>
      </c>
      <c r="AB66" s="81">
        <f>SUM(Sal_23[[#This Row],[Saldo]]+Sal_23[[#This Row],[Adiantamento]])</f>
        <v>1600</v>
      </c>
      <c r="AC66" s="81">
        <v>0</v>
      </c>
      <c r="AD66" s="81"/>
      <c r="AE66" s="81"/>
      <c r="AF66" s="81"/>
      <c r="AG66" s="81">
        <f>Sal_23[[#This Row],[COMPRA]]*12%</f>
        <v>288</v>
      </c>
      <c r="AH66" s="83">
        <v>2400</v>
      </c>
      <c r="AI66" s="66" t="str">
        <f>PROPER(TEXT(Sal_23[[#This Row],[PROGRAMAÇÃO]],"mmm"))</f>
        <v>Jan</v>
      </c>
      <c r="AJ66" s="66">
        <f>YEAR(Sal_23[[#This Row],[PROGRAMAÇÃO]])</f>
        <v>2023</v>
      </c>
      <c r="AM66" s="66" t="s">
        <v>2768</v>
      </c>
      <c r="AN66" s="66" t="s">
        <v>2768</v>
      </c>
      <c r="AO66" s="66" t="s">
        <v>2768</v>
      </c>
    </row>
    <row r="67" spans="1:41" s="66" customFormat="1" ht="12.75" x14ac:dyDescent="0.2">
      <c r="A67" s="120" t="str">
        <f>Sal_23[[#This Row],[CONTAINER]]</f>
        <v>TCLU3041207</v>
      </c>
      <c r="B67" s="128" t="s">
        <v>2771</v>
      </c>
      <c r="C6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7" s="79">
        <v>44942.458333333336</v>
      </c>
      <c r="E67" s="44" t="s">
        <v>3139</v>
      </c>
      <c r="F67" s="66">
        <v>20</v>
      </c>
      <c r="G67" s="66" t="s">
        <v>2820</v>
      </c>
      <c r="H67" s="44" t="s">
        <v>2820</v>
      </c>
      <c r="I67" s="299" t="s">
        <v>2821</v>
      </c>
      <c r="J67" s="66">
        <v>18</v>
      </c>
      <c r="K67" s="66" t="s">
        <v>3063</v>
      </c>
      <c r="L67" s="66">
        <v>102970</v>
      </c>
      <c r="N67" s="66" t="s">
        <v>3096</v>
      </c>
      <c r="O67" s="66" t="s">
        <v>3097</v>
      </c>
      <c r="P67" s="66" t="s">
        <v>3098</v>
      </c>
      <c r="Q67" s="138" t="str">
        <f ca="1">IFERROR(LOOKUP($P67,MOTORISTAS!$D$3:$D$1048576,MOTORISTAS!E$3:E$916),"")</f>
        <v>29714736862</v>
      </c>
      <c r="R67" s="138" t="str">
        <f ca="1">IFERROR(LOOKUP($P67,MOTORISTAS!$D$3:$D$1048576,MOTORISTAS!F$3:F$916),"")</f>
        <v>03001275806</v>
      </c>
      <c r="S67" s="66">
        <v>3258</v>
      </c>
      <c r="T67" s="66" t="s">
        <v>293</v>
      </c>
      <c r="U67" s="79">
        <v>44942.388888888891</v>
      </c>
      <c r="V67" s="66" t="s">
        <v>292</v>
      </c>
      <c r="W67" s="79">
        <v>44943.635416666664</v>
      </c>
      <c r="X67" s="79">
        <v>44942.458333333336</v>
      </c>
      <c r="Y67" s="88">
        <v>44942.458333333336</v>
      </c>
      <c r="Z67" s="81">
        <v>1600</v>
      </c>
      <c r="AA67" s="81">
        <v>0</v>
      </c>
      <c r="AB67" s="81">
        <f>SUM(Sal_23[[#This Row],[Saldo]]+Sal_23[[#This Row],[Adiantamento]])</f>
        <v>1600</v>
      </c>
      <c r="AC67" s="81">
        <v>0</v>
      </c>
      <c r="AD67" s="81"/>
      <c r="AE67" s="81"/>
      <c r="AF67" s="81"/>
      <c r="AG67" s="81">
        <f>Sal_23[[#This Row],[COMPRA]]*12%</f>
        <v>288</v>
      </c>
      <c r="AH67" s="83">
        <v>2400</v>
      </c>
      <c r="AI67" s="66" t="str">
        <f>PROPER(TEXT(Sal_23[[#This Row],[PROGRAMAÇÃO]],"mmm"))</f>
        <v>Jan</v>
      </c>
      <c r="AJ67" s="66">
        <f>YEAR(Sal_23[[#This Row],[PROGRAMAÇÃO]])</f>
        <v>2023</v>
      </c>
      <c r="AM67" s="66" t="s">
        <v>2768</v>
      </c>
      <c r="AN67" s="66" t="s">
        <v>2768</v>
      </c>
      <c r="AO67" s="66" t="s">
        <v>2768</v>
      </c>
    </row>
    <row r="68" spans="1:41" s="66" customFormat="1" ht="12.75" x14ac:dyDescent="0.2">
      <c r="A68" s="120" t="str">
        <f>Sal_23[[#This Row],[CONTAINER]]</f>
        <v>TCNU6206566</v>
      </c>
      <c r="B68" s="128" t="s">
        <v>2771</v>
      </c>
      <c r="C6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" s="79">
        <v>44942.541666666664</v>
      </c>
      <c r="E68" s="44" t="s">
        <v>3140</v>
      </c>
      <c r="F68" s="66">
        <v>40</v>
      </c>
      <c r="G68" s="66" t="s">
        <v>2820</v>
      </c>
      <c r="H68" s="44" t="s">
        <v>2820</v>
      </c>
      <c r="I68" s="299" t="s">
        <v>2821</v>
      </c>
      <c r="J68" s="66" t="s">
        <v>3141</v>
      </c>
      <c r="K68" s="66" t="s">
        <v>3063</v>
      </c>
      <c r="L68" s="66">
        <v>102890</v>
      </c>
      <c r="M68" s="66">
        <v>102891</v>
      </c>
      <c r="N68" s="66" t="s">
        <v>92</v>
      </c>
      <c r="O68" s="66" t="s">
        <v>93</v>
      </c>
      <c r="P68" s="66" t="s">
        <v>94</v>
      </c>
      <c r="Q68" s="138" t="str">
        <f ca="1">IFERROR(LOOKUP($P68,MOTORISTAS!$D$3:$D$1048576,MOTORISTAS!E$3:E$916),"")</f>
        <v>26283419801</v>
      </c>
      <c r="R68" s="138" t="str">
        <f ca="1">IFERROR(LOOKUP($P68,MOTORISTAS!$D$3:$D$1048576,MOTORISTAS!F$3:F$916),"")</f>
        <v>02002046946</v>
      </c>
      <c r="S68" s="66">
        <v>3264</v>
      </c>
      <c r="T68" s="66" t="s">
        <v>293</v>
      </c>
      <c r="U68" s="79">
        <v>44942.396527777775</v>
      </c>
      <c r="V68" s="66" t="s">
        <v>292</v>
      </c>
      <c r="W68" s="79">
        <v>44942.616666666669</v>
      </c>
      <c r="X68" s="79">
        <v>44942.416666666664</v>
      </c>
      <c r="Y68" s="88">
        <v>44942.46875</v>
      </c>
      <c r="Z68" s="81">
        <v>1600</v>
      </c>
      <c r="AA68" s="81">
        <v>0</v>
      </c>
      <c r="AB68" s="81">
        <f>SUM(Sal_23[[#This Row],[Saldo]]+Sal_23[[#This Row],[Adiantamento]])</f>
        <v>1600</v>
      </c>
      <c r="AC68" s="81">
        <v>0</v>
      </c>
      <c r="AD68" s="81"/>
      <c r="AE68" s="81"/>
      <c r="AF68" s="81"/>
      <c r="AG68" s="81">
        <f>Sal_23[[#This Row],[COMPRA]]*12%</f>
        <v>288</v>
      </c>
      <c r="AH68" s="83">
        <v>2400</v>
      </c>
      <c r="AI68" s="66" t="str">
        <f>PROPER(TEXT(Sal_23[[#This Row],[PROGRAMAÇÃO]],"mmm"))</f>
        <v>Jan</v>
      </c>
      <c r="AJ68" s="66">
        <f>YEAR(Sal_23[[#This Row],[PROGRAMAÇÃO]])</f>
        <v>2023</v>
      </c>
      <c r="AM68" s="66" t="s">
        <v>2768</v>
      </c>
      <c r="AN68" s="66" t="s">
        <v>2768</v>
      </c>
      <c r="AO68" s="66" t="s">
        <v>2768</v>
      </c>
    </row>
    <row r="69" spans="1:41" s="66" customFormat="1" ht="12.75" x14ac:dyDescent="0.2">
      <c r="A69" s="120" t="str">
        <f>Sal_23[[#This Row],[CONTAINER]]</f>
        <v>CAIU3104016</v>
      </c>
      <c r="B69" s="128" t="s">
        <v>2771</v>
      </c>
      <c r="C6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9" s="79">
        <v>44943.333333333336</v>
      </c>
      <c r="E69" s="44" t="s">
        <v>3142</v>
      </c>
      <c r="F69" s="66">
        <v>20</v>
      </c>
      <c r="G69" s="44" t="s">
        <v>2837</v>
      </c>
      <c r="H69" s="44" t="s">
        <v>2837</v>
      </c>
      <c r="I69" s="299" t="s">
        <v>2821</v>
      </c>
      <c r="J69" s="66">
        <v>59489</v>
      </c>
      <c r="K69" s="66" t="s">
        <v>3063</v>
      </c>
      <c r="L69" s="66">
        <v>102799</v>
      </c>
      <c r="N69" s="66" t="s">
        <v>2584</v>
      </c>
      <c r="O69" s="66" t="s">
        <v>2585</v>
      </c>
      <c r="P69" s="66" t="s">
        <v>2586</v>
      </c>
      <c r="Q69" s="138" t="str">
        <f ca="1">IFERROR(LOOKUP($P69,MOTORISTAS!$D$3:$D$1048576,MOTORISTAS!E$3:E$916),"")</f>
        <v>08312935860</v>
      </c>
      <c r="R69" s="138" t="str">
        <f ca="1">IFERROR(LOOKUP($P69,MOTORISTAS!$D$3:$D$1048576,MOTORISTAS!F$3:F$916),"")</f>
        <v>03106516083</v>
      </c>
      <c r="S69" s="66">
        <v>3270</v>
      </c>
      <c r="T69" s="66" t="s">
        <v>293</v>
      </c>
      <c r="U69" s="79">
        <v>44941.900694444441</v>
      </c>
      <c r="V69" s="66" t="s">
        <v>469</v>
      </c>
      <c r="W69" s="79">
        <v>44942.737500000003</v>
      </c>
      <c r="X69" s="79">
        <v>44943.291666666664</v>
      </c>
      <c r="Y69" s="88">
        <v>44943.458333333336</v>
      </c>
      <c r="Z69" s="81">
        <v>1600</v>
      </c>
      <c r="AA69" s="81">
        <v>0</v>
      </c>
      <c r="AB69" s="81">
        <f>SUM(Sal_23[[#This Row],[Saldo]]+Sal_23[[#This Row],[Adiantamento]])</f>
        <v>1600</v>
      </c>
      <c r="AC69" s="81">
        <v>0</v>
      </c>
      <c r="AD69" s="81"/>
      <c r="AE69" s="81"/>
      <c r="AF69" s="81"/>
      <c r="AG69" s="81">
        <f>Sal_23[[#This Row],[COMPRA]]*12%</f>
        <v>311.55959999999999</v>
      </c>
      <c r="AH69" s="83">
        <v>2596.33</v>
      </c>
      <c r="AI69" s="66" t="str">
        <f>PROPER(TEXT(Sal_23[[#This Row],[PROGRAMAÇÃO]],"mmm"))</f>
        <v>Jan</v>
      </c>
      <c r="AJ69" s="66">
        <f>YEAR(Sal_23[[#This Row],[PROGRAMAÇÃO]])</f>
        <v>2023</v>
      </c>
      <c r="AM69" s="66" t="s">
        <v>2768</v>
      </c>
      <c r="AN69" s="66" t="s">
        <v>2768</v>
      </c>
      <c r="AO69" s="66" t="s">
        <v>2768</v>
      </c>
    </row>
    <row r="70" spans="1:41" s="66" customFormat="1" ht="12.75" x14ac:dyDescent="0.2">
      <c r="A70" s="120" t="str">
        <f>Sal_23[[#This Row],[CONTAINER]]</f>
        <v>SEGU1029986</v>
      </c>
      <c r="B70" s="128" t="s">
        <v>2771</v>
      </c>
      <c r="C7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0" s="79">
        <v>44943.333333333336</v>
      </c>
      <c r="E70" s="44" t="s">
        <v>3143</v>
      </c>
      <c r="F70" s="66">
        <v>20</v>
      </c>
      <c r="G70" s="66" t="s">
        <v>2826</v>
      </c>
      <c r="H70" s="44" t="s">
        <v>2827</v>
      </c>
      <c r="I70" s="299" t="s">
        <v>2823</v>
      </c>
      <c r="J70" s="66">
        <v>59691</v>
      </c>
      <c r="K70" s="66" t="s">
        <v>3063</v>
      </c>
      <c r="L70" s="66">
        <v>102935</v>
      </c>
      <c r="N70" s="66" t="s">
        <v>3040</v>
      </c>
      <c r="O70" s="66" t="s">
        <v>3041</v>
      </c>
      <c r="P70" s="66" t="s">
        <v>3042</v>
      </c>
      <c r="Q70" s="138" t="str">
        <f ca="1">IFERROR(LOOKUP($P70,MOTORISTAS!$D$3:$D$1048576,MOTORISTAS!E$3:E$916),"")</f>
        <v>19279658883</v>
      </c>
      <c r="R70" s="138" t="str">
        <f ca="1">IFERROR(LOOKUP($P70,MOTORISTAS!$D$3:$D$1048576,MOTORISTAS!F$3:F$916),"")</f>
        <v>01301319672</v>
      </c>
      <c r="S70" s="66">
        <v>3271</v>
      </c>
      <c r="T70" s="66" t="s">
        <v>293</v>
      </c>
      <c r="U70" s="79">
        <v>44942.943055555559</v>
      </c>
      <c r="V70" s="66" t="s">
        <v>469</v>
      </c>
      <c r="W70" s="79">
        <v>44943.720833333333</v>
      </c>
      <c r="X70" s="79">
        <v>44943.291666666664</v>
      </c>
      <c r="Y70" s="88">
        <v>44943.5</v>
      </c>
      <c r="Z70" s="81">
        <v>3200</v>
      </c>
      <c r="AA70" s="81">
        <v>0</v>
      </c>
      <c r="AB70" s="81">
        <f>SUM(Sal_23[[#This Row],[Saldo]]+Sal_23[[#This Row],[Adiantamento]])</f>
        <v>3200</v>
      </c>
      <c r="AC70" s="81">
        <v>0</v>
      </c>
      <c r="AD70" s="81"/>
      <c r="AE70" s="81"/>
      <c r="AF70" s="81"/>
      <c r="AG70" s="81">
        <f>Sal_23[[#This Row],[COMPRA]]*12%</f>
        <v>571.48680000000002</v>
      </c>
      <c r="AH70" s="83">
        <v>4762.3900000000003</v>
      </c>
      <c r="AI70" s="66" t="str">
        <f>PROPER(TEXT(Sal_23[[#This Row],[PROGRAMAÇÃO]],"mmm"))</f>
        <v>Jan</v>
      </c>
      <c r="AJ70" s="66">
        <f>YEAR(Sal_23[[#This Row],[PROGRAMAÇÃO]])</f>
        <v>2023</v>
      </c>
      <c r="AM70" s="66" t="s">
        <v>2768</v>
      </c>
      <c r="AN70" s="66" t="s">
        <v>2768</v>
      </c>
      <c r="AO70" s="66" t="s">
        <v>2768</v>
      </c>
    </row>
    <row r="71" spans="1:41" s="66" customFormat="1" ht="12.75" x14ac:dyDescent="0.2">
      <c r="A71" s="120" t="str">
        <f>Sal_23[[#This Row],[CONTAINER]]</f>
        <v>CAIU3022197</v>
      </c>
      <c r="B71" s="128" t="s">
        <v>2771</v>
      </c>
      <c r="C7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1" s="79">
        <v>44943.375</v>
      </c>
      <c r="E71" s="44" t="s">
        <v>3144</v>
      </c>
      <c r="F71" s="66">
        <v>20</v>
      </c>
      <c r="G71" s="66" t="s">
        <v>2820</v>
      </c>
      <c r="H71" s="44" t="s">
        <v>2820</v>
      </c>
      <c r="I71" s="299" t="s">
        <v>2821</v>
      </c>
      <c r="J71" s="66">
        <v>19</v>
      </c>
      <c r="K71" s="66" t="s">
        <v>3063</v>
      </c>
      <c r="L71" s="66">
        <v>102969</v>
      </c>
      <c r="N71" s="66" t="s">
        <v>2859</v>
      </c>
      <c r="O71" s="66" t="s">
        <v>2860</v>
      </c>
      <c r="P71" s="66" t="s">
        <v>2861</v>
      </c>
      <c r="Q71" s="138" t="str">
        <f ca="1">IFERROR(LOOKUP($P71,MOTORISTAS!$D$3:$D$1048576,MOTORISTAS!E$3:E$916),"")</f>
        <v>01817591878</v>
      </c>
      <c r="R71" s="138" t="str">
        <f ca="1">IFERROR(LOOKUP($P71,MOTORISTAS!$D$3:$D$1048576,MOTORISTAS!F$3:F$916),"")</f>
        <v>00821760640</v>
      </c>
      <c r="S71" s="66">
        <v>3272</v>
      </c>
      <c r="T71" s="66" t="s">
        <v>293</v>
      </c>
      <c r="U71" s="79">
        <v>44942.923611111109</v>
      </c>
      <c r="V71" s="66" t="s">
        <v>292</v>
      </c>
      <c r="W71" s="79">
        <v>44943.526388888888</v>
      </c>
      <c r="X71" s="79">
        <v>44943.208333333336</v>
      </c>
      <c r="Y71" s="88">
        <v>44943.409722222219</v>
      </c>
      <c r="Z71" s="81">
        <v>1600</v>
      </c>
      <c r="AA71" s="81">
        <v>0</v>
      </c>
      <c r="AB71" s="81">
        <f>SUM(Sal_23[[#This Row],[Saldo]]+Sal_23[[#This Row],[Adiantamento]])</f>
        <v>1600</v>
      </c>
      <c r="AC71" s="81">
        <v>0</v>
      </c>
      <c r="AD71" s="81"/>
      <c r="AE71" s="81"/>
      <c r="AF71" s="81"/>
      <c r="AG71" s="81">
        <f>Sal_23[[#This Row],[COMPRA]]*12%</f>
        <v>288</v>
      </c>
      <c r="AH71" s="83">
        <v>2400</v>
      </c>
      <c r="AI71" s="66" t="str">
        <f>PROPER(TEXT(Sal_23[[#This Row],[PROGRAMAÇÃO]],"mmm"))</f>
        <v>Jan</v>
      </c>
      <c r="AJ71" s="66">
        <f>YEAR(Sal_23[[#This Row],[PROGRAMAÇÃO]])</f>
        <v>2023</v>
      </c>
      <c r="AM71" s="66" t="s">
        <v>2768</v>
      </c>
      <c r="AN71" s="66" t="s">
        <v>2768</v>
      </c>
      <c r="AO71" s="66" t="s">
        <v>2768</v>
      </c>
    </row>
    <row r="72" spans="1:41" s="66" customFormat="1" ht="12.75" x14ac:dyDescent="0.2">
      <c r="A72" s="120" t="str">
        <f>Sal_23[[#This Row],[CONTAINER]]</f>
        <v>TRHU7430661</v>
      </c>
      <c r="B72" s="128" t="s">
        <v>2771</v>
      </c>
      <c r="C7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2" s="79">
        <v>44938.291666666664</v>
      </c>
      <c r="E72" s="44" t="s">
        <v>3145</v>
      </c>
      <c r="F72" s="66">
        <v>40</v>
      </c>
      <c r="G72" s="66" t="s">
        <v>2808</v>
      </c>
      <c r="H72" s="44" t="s">
        <v>2887</v>
      </c>
      <c r="I72" s="299" t="s">
        <v>2831</v>
      </c>
      <c r="J72" s="66" t="s">
        <v>3146</v>
      </c>
      <c r="K72" s="66" t="s">
        <v>3063</v>
      </c>
      <c r="L72" s="66">
        <v>7187</v>
      </c>
      <c r="N72" s="66" t="s">
        <v>178</v>
      </c>
      <c r="O72" s="66" t="s">
        <v>112</v>
      </c>
      <c r="P72" s="66" t="s">
        <v>180</v>
      </c>
      <c r="Q72" s="138" t="str">
        <f ca="1">IFERROR(LOOKUP($P72,MOTORISTAS!$D$3:$D$1048576,MOTORISTAS!E$3:E$916),"")</f>
        <v>18990500869</v>
      </c>
      <c r="R72" s="138" t="str">
        <f ca="1">IFERROR(LOOKUP($P72,MOTORISTAS!$D$3:$D$1048576,MOTORISTAS!F$3:F$916),"")</f>
        <v>04640435232</v>
      </c>
      <c r="S72" s="66">
        <v>3227</v>
      </c>
      <c r="T72" s="66" t="s">
        <v>293</v>
      </c>
      <c r="U72" s="79">
        <v>44937.999305555553</v>
      </c>
      <c r="V72" s="66" t="s">
        <v>537</v>
      </c>
      <c r="W72" s="79">
        <v>44938.929166666669</v>
      </c>
      <c r="X72" s="79">
        <v>44938.208333333336</v>
      </c>
      <c r="Y72" s="88">
        <v>44938.416666666664</v>
      </c>
      <c r="Z72" s="81">
        <v>3200</v>
      </c>
      <c r="AA72" s="81">
        <v>0</v>
      </c>
      <c r="AB72" s="81">
        <f>SUM(Sal_23[[#This Row],[Saldo]]+Sal_23[[#This Row],[Adiantamento]])</f>
        <v>3200</v>
      </c>
      <c r="AC72" s="81">
        <v>0</v>
      </c>
      <c r="AD72" s="81"/>
      <c r="AE72" s="81"/>
      <c r="AF72" s="81"/>
      <c r="AG72" s="81">
        <f>Sal_23[[#This Row],[COMPRA]]*12%</f>
        <v>558</v>
      </c>
      <c r="AH72" s="83">
        <v>4650</v>
      </c>
      <c r="AI72" s="66" t="str">
        <f>PROPER(TEXT(Sal_23[[#This Row],[PROGRAMAÇÃO]],"mmm"))</f>
        <v>Jan</v>
      </c>
      <c r="AJ72" s="66">
        <f>YEAR(Sal_23[[#This Row],[PROGRAMAÇÃO]])</f>
        <v>2023</v>
      </c>
      <c r="AM72" s="66" t="s">
        <v>2768</v>
      </c>
      <c r="AN72" s="66" t="s">
        <v>2768</v>
      </c>
      <c r="AO72" s="66" t="s">
        <v>2768</v>
      </c>
    </row>
    <row r="73" spans="1:41" s="66" customFormat="1" ht="12.75" x14ac:dyDescent="0.2">
      <c r="A73" s="120" t="str">
        <f>Sal_23[[#This Row],[CONTAINER]]</f>
        <v>SEKU4346150</v>
      </c>
      <c r="B73" s="128" t="s">
        <v>2771</v>
      </c>
      <c r="C7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" s="79">
        <v>44938.291666666664</v>
      </c>
      <c r="E73" s="44" t="s">
        <v>3147</v>
      </c>
      <c r="F73" s="66">
        <v>40</v>
      </c>
      <c r="G73" s="66" t="s">
        <v>2808</v>
      </c>
      <c r="H73" s="44" t="s">
        <v>2887</v>
      </c>
      <c r="I73" s="299" t="s">
        <v>2831</v>
      </c>
      <c r="J73" s="66" t="s">
        <v>3148</v>
      </c>
      <c r="K73" s="66" t="s">
        <v>3063</v>
      </c>
      <c r="L73" s="66">
        <v>7199</v>
      </c>
      <c r="N73" s="66" t="s">
        <v>2912</v>
      </c>
      <c r="O73" s="66" t="s">
        <v>2913</v>
      </c>
      <c r="P73" s="66" t="s">
        <v>2914</v>
      </c>
      <c r="Q73" s="138" t="str">
        <f ca="1">IFERROR(LOOKUP($P73,MOTORISTAS!$D$3:$D$1048576,MOTORISTAS!E$3:E$916),"")</f>
        <v>36305564850</v>
      </c>
      <c r="R73" s="138" t="str">
        <f ca="1">IFERROR(LOOKUP($P73,MOTORISTAS!$D$3:$D$1048576,MOTORISTAS!F$3:F$916),"")</f>
        <v>06043477724</v>
      </c>
      <c r="S73" s="66">
        <v>3228</v>
      </c>
      <c r="T73" s="66" t="s">
        <v>293</v>
      </c>
      <c r="U73" s="79">
        <v>44938.01666666667</v>
      </c>
      <c r="V73" s="66" t="s">
        <v>537</v>
      </c>
      <c r="W73" s="79">
        <v>44938.730555555558</v>
      </c>
      <c r="X73" s="79">
        <v>44938.291666666664</v>
      </c>
      <c r="Y73" s="88">
        <v>44938.416666666664</v>
      </c>
      <c r="Z73" s="81">
        <v>3200</v>
      </c>
      <c r="AA73" s="81">
        <v>0</v>
      </c>
      <c r="AB73" s="81">
        <f>SUM(Sal_23[[#This Row],[Saldo]]+Sal_23[[#This Row],[Adiantamento]])</f>
        <v>3200</v>
      </c>
      <c r="AC73" s="81">
        <v>0</v>
      </c>
      <c r="AD73" s="81"/>
      <c r="AE73" s="81"/>
      <c r="AF73" s="81"/>
      <c r="AG73" s="81">
        <f>Sal_23[[#This Row],[COMPRA]]*12%</f>
        <v>558</v>
      </c>
      <c r="AH73" s="83">
        <v>4650</v>
      </c>
      <c r="AI73" s="66" t="str">
        <f>PROPER(TEXT(Sal_23[[#This Row],[PROGRAMAÇÃO]],"mmm"))</f>
        <v>Jan</v>
      </c>
      <c r="AJ73" s="66">
        <f>YEAR(Sal_23[[#This Row],[PROGRAMAÇÃO]])</f>
        <v>2023</v>
      </c>
      <c r="AM73" s="66" t="s">
        <v>2768</v>
      </c>
      <c r="AN73" s="66" t="s">
        <v>2768</v>
      </c>
      <c r="AO73" s="66" t="s">
        <v>2768</v>
      </c>
    </row>
    <row r="74" spans="1:41" s="66" customFormat="1" ht="12.75" x14ac:dyDescent="0.2">
      <c r="A74" s="120" t="str">
        <f>Sal_23[[#This Row],[CONTAINER]]</f>
        <v>TCKU7063655</v>
      </c>
      <c r="B74" s="128" t="s">
        <v>2771</v>
      </c>
      <c r="C7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4" s="79">
        <v>44939.291666666664</v>
      </c>
      <c r="E74" s="44" t="s">
        <v>3149</v>
      </c>
      <c r="F74" s="66">
        <v>40</v>
      </c>
      <c r="G74" s="66" t="s">
        <v>2808</v>
      </c>
      <c r="H74" s="44" t="s">
        <v>2887</v>
      </c>
      <c r="I74" s="299" t="s">
        <v>2831</v>
      </c>
      <c r="J74" s="66" t="s">
        <v>3150</v>
      </c>
      <c r="K74" s="66" t="s">
        <v>3063</v>
      </c>
      <c r="L74" s="66">
        <v>7216</v>
      </c>
      <c r="N74" s="66" t="s">
        <v>92</v>
      </c>
      <c r="O74" s="66" t="s">
        <v>93</v>
      </c>
      <c r="P74" s="66" t="s">
        <v>94</v>
      </c>
      <c r="Q74" s="138" t="str">
        <f ca="1">IFERROR(LOOKUP($P74,MOTORISTAS!$D$3:$D$1048576,MOTORISTAS!E$3:E$916),"")</f>
        <v>26283419801</v>
      </c>
      <c r="R74" s="138" t="str">
        <f ca="1">IFERROR(LOOKUP($P74,MOTORISTAS!$D$3:$D$1048576,MOTORISTAS!F$3:F$916),"")</f>
        <v>02002046946</v>
      </c>
      <c r="S74" s="66">
        <v>3249</v>
      </c>
      <c r="T74" s="66" t="s">
        <v>293</v>
      </c>
      <c r="U74" s="79">
        <v>44938.931944444441</v>
      </c>
      <c r="V74" s="66" t="s">
        <v>537</v>
      </c>
      <c r="W74" s="79">
        <v>44940.486805555556</v>
      </c>
      <c r="X74" s="79">
        <v>44939.25</v>
      </c>
      <c r="Y74" s="88">
        <v>44939.458333333336</v>
      </c>
      <c r="Z74" s="81">
        <v>3200</v>
      </c>
      <c r="AA74" s="81">
        <v>0</v>
      </c>
      <c r="AB74" s="81">
        <f>SUM(Sal_23[[#This Row],[Saldo]]+Sal_23[[#This Row],[Adiantamento]])</f>
        <v>3200</v>
      </c>
      <c r="AC74" s="81">
        <v>0</v>
      </c>
      <c r="AD74" s="81"/>
      <c r="AE74" s="81"/>
      <c r="AF74" s="81"/>
      <c r="AG74" s="81">
        <f>Sal_23[[#This Row],[COMPRA]]*12%</f>
        <v>558</v>
      </c>
      <c r="AH74" s="83">
        <v>4650</v>
      </c>
      <c r="AI74" s="66" t="str">
        <f>PROPER(TEXT(Sal_23[[#This Row],[PROGRAMAÇÃO]],"mmm"))</f>
        <v>Jan</v>
      </c>
      <c r="AJ74" s="66">
        <f>YEAR(Sal_23[[#This Row],[PROGRAMAÇÃO]])</f>
        <v>2023</v>
      </c>
      <c r="AM74" s="66" t="s">
        <v>2768</v>
      </c>
      <c r="AN74" s="66" t="s">
        <v>2768</v>
      </c>
      <c r="AO74" s="66" t="s">
        <v>2768</v>
      </c>
    </row>
    <row r="75" spans="1:41" s="66" customFormat="1" ht="12.75" x14ac:dyDescent="0.2">
      <c r="A75" s="120" t="str">
        <f>Sal_23[[#This Row],[CONTAINER]]</f>
        <v>TCNU1175225</v>
      </c>
      <c r="B75" s="128" t="s">
        <v>2771</v>
      </c>
      <c r="C7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5" s="79">
        <v>44939.291666666664</v>
      </c>
      <c r="E75" s="44" t="s">
        <v>3151</v>
      </c>
      <c r="F75" s="66">
        <v>40</v>
      </c>
      <c r="G75" s="66" t="s">
        <v>2808</v>
      </c>
      <c r="H75" s="44" t="s">
        <v>2887</v>
      </c>
      <c r="I75" s="299" t="s">
        <v>2831</v>
      </c>
      <c r="J75" s="66" t="s">
        <v>3152</v>
      </c>
      <c r="K75" s="66" t="s">
        <v>3063</v>
      </c>
      <c r="L75" s="66">
        <v>7342</v>
      </c>
      <c r="N75" s="66" t="s">
        <v>106</v>
      </c>
      <c r="O75" s="66" t="s">
        <v>107</v>
      </c>
      <c r="P75" s="66" t="s">
        <v>108</v>
      </c>
      <c r="Q75" s="138" t="str">
        <f ca="1">IFERROR(LOOKUP($P75,MOTORISTAS!$D$3:$D$1048576,MOTORISTAS!E$3:E$916),"")</f>
        <v>34927982840</v>
      </c>
      <c r="R75" s="138" t="str">
        <f ca="1">IFERROR(LOOKUP($P75,MOTORISTAS!$D$3:$D$1048576,MOTORISTAS!F$3:F$916),"")</f>
        <v>03500129879</v>
      </c>
      <c r="S75" s="66">
        <v>3248</v>
      </c>
      <c r="T75" s="66" t="s">
        <v>293</v>
      </c>
      <c r="U75" s="79">
        <v>44938.90625</v>
      </c>
      <c r="V75" s="66" t="s">
        <v>537</v>
      </c>
      <c r="W75" s="79">
        <v>44939.786805555559</v>
      </c>
      <c r="X75" s="79">
        <v>44939.208333333336</v>
      </c>
      <c r="Y75" s="88">
        <v>44939.416666666664</v>
      </c>
      <c r="Z75" s="81">
        <v>3200</v>
      </c>
      <c r="AA75" s="81">
        <v>0</v>
      </c>
      <c r="AB75" s="81">
        <f>SUM(Sal_23[[#This Row],[Saldo]]+Sal_23[[#This Row],[Adiantamento]])</f>
        <v>3200</v>
      </c>
      <c r="AC75" s="81">
        <v>0</v>
      </c>
      <c r="AD75" s="81"/>
      <c r="AE75" s="81"/>
      <c r="AF75" s="81"/>
      <c r="AG75" s="81">
        <f>Sal_23[[#This Row],[COMPRA]]*12%</f>
        <v>558</v>
      </c>
      <c r="AH75" s="83">
        <v>4650</v>
      </c>
      <c r="AI75" s="66" t="str">
        <f>PROPER(TEXT(Sal_23[[#This Row],[PROGRAMAÇÃO]],"mmm"))</f>
        <v>Jan</v>
      </c>
      <c r="AJ75" s="66">
        <f>YEAR(Sal_23[[#This Row],[PROGRAMAÇÃO]])</f>
        <v>2023</v>
      </c>
      <c r="AM75" s="66" t="s">
        <v>2768</v>
      </c>
      <c r="AN75" s="66" t="s">
        <v>2768</v>
      </c>
      <c r="AO75" s="66" t="s">
        <v>2768</v>
      </c>
    </row>
    <row r="76" spans="1:41" s="66" customFormat="1" ht="12.75" x14ac:dyDescent="0.2">
      <c r="A76" s="120" t="str">
        <f>Sal_23[[#This Row],[CONTAINER]]</f>
        <v>GESU6620739</v>
      </c>
      <c r="B76" s="128" t="s">
        <v>2771</v>
      </c>
      <c r="C7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6" s="79">
        <v>44938.291666666664</v>
      </c>
      <c r="E76" s="44" t="s">
        <v>3153</v>
      </c>
      <c r="F76" s="66">
        <v>40</v>
      </c>
      <c r="G76" s="66" t="s">
        <v>2808</v>
      </c>
      <c r="H76" s="44" t="s">
        <v>3154</v>
      </c>
      <c r="I76" s="299" t="s">
        <v>3155</v>
      </c>
      <c r="J76" s="66" t="s">
        <v>3156</v>
      </c>
      <c r="K76" s="66" t="s">
        <v>3063</v>
      </c>
      <c r="L76" s="66">
        <v>7346</v>
      </c>
      <c r="N76" s="66" t="s">
        <v>92</v>
      </c>
      <c r="O76" s="66" t="s">
        <v>93</v>
      </c>
      <c r="P76" s="66" t="s">
        <v>94</v>
      </c>
      <c r="Q76" s="138" t="str">
        <f ca="1">IFERROR(LOOKUP($P76,MOTORISTAS!$D$3:$D$1048576,MOTORISTAS!E$3:E$916),"")</f>
        <v>26283419801</v>
      </c>
      <c r="R76" s="138" t="str">
        <f ca="1">IFERROR(LOOKUP($P76,MOTORISTAS!$D$3:$D$1048576,MOTORISTAS!F$3:F$916),"")</f>
        <v>02002046946</v>
      </c>
      <c r="S76" s="66">
        <v>3219</v>
      </c>
      <c r="T76" s="66" t="s">
        <v>293</v>
      </c>
      <c r="U76" s="79">
        <v>44938.252083333333</v>
      </c>
      <c r="V76" s="66" t="s">
        <v>537</v>
      </c>
      <c r="W76" s="79">
        <v>44938.859027777777</v>
      </c>
      <c r="X76" s="79">
        <v>44938.5</v>
      </c>
      <c r="Y76" s="88">
        <v>44938.666666666664</v>
      </c>
      <c r="Z76" s="81">
        <v>3500</v>
      </c>
      <c r="AA76" s="81">
        <v>0</v>
      </c>
      <c r="AB76" s="81">
        <f>SUM(Sal_23[[#This Row],[Saldo]]+Sal_23[[#This Row],[Adiantamento]])</f>
        <v>3500</v>
      </c>
      <c r="AC76" s="81">
        <v>0</v>
      </c>
      <c r="AD76" s="81"/>
      <c r="AE76" s="81"/>
      <c r="AF76" s="81"/>
      <c r="AG76" s="81">
        <f>Sal_23[[#This Row],[COMPRA]]*12%</f>
        <v>594</v>
      </c>
      <c r="AH76" s="83">
        <v>4950</v>
      </c>
      <c r="AI76" s="66" t="str">
        <f>PROPER(TEXT(Sal_23[[#This Row],[PROGRAMAÇÃO]],"mmm"))</f>
        <v>Jan</v>
      </c>
      <c r="AJ76" s="66">
        <f>YEAR(Sal_23[[#This Row],[PROGRAMAÇÃO]])</f>
        <v>2023</v>
      </c>
      <c r="AL76" s="44" t="s">
        <v>3346</v>
      </c>
      <c r="AM76" s="66" t="s">
        <v>2768</v>
      </c>
      <c r="AN76" s="66" t="s">
        <v>2768</v>
      </c>
      <c r="AO76" s="66" t="s">
        <v>2768</v>
      </c>
    </row>
    <row r="77" spans="1:41" s="66" customFormat="1" ht="12.75" x14ac:dyDescent="0.2">
      <c r="A77" s="120" t="str">
        <f>Sal_23[[#This Row],[CONTAINER]]</f>
        <v>GESU6808794</v>
      </c>
      <c r="B77" s="128" t="s">
        <v>2771</v>
      </c>
      <c r="C7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7" s="79">
        <v>44938.291666666664</v>
      </c>
      <c r="E77" s="44" t="s">
        <v>3157</v>
      </c>
      <c r="F77" s="66">
        <v>40</v>
      </c>
      <c r="G77" s="66" t="s">
        <v>2808</v>
      </c>
      <c r="H77" s="44" t="s">
        <v>3154</v>
      </c>
      <c r="I77" s="299" t="s">
        <v>3155</v>
      </c>
      <c r="J77" s="66" t="s">
        <v>3158</v>
      </c>
      <c r="K77" s="66" t="s">
        <v>3063</v>
      </c>
      <c r="L77" s="66">
        <v>7392</v>
      </c>
      <c r="N77" s="66" t="s">
        <v>106</v>
      </c>
      <c r="O77" s="66" t="s">
        <v>107</v>
      </c>
      <c r="P77" s="66" t="s">
        <v>108</v>
      </c>
      <c r="Q77" s="138" t="str">
        <f ca="1">IFERROR(LOOKUP($P77,MOTORISTAS!$D$3:$D$1048576,MOTORISTAS!E$3:E$916),"")</f>
        <v>34927982840</v>
      </c>
      <c r="R77" s="138" t="str">
        <f ca="1">IFERROR(LOOKUP($P77,MOTORISTAS!$D$3:$D$1048576,MOTORISTAS!F$3:F$916),"")</f>
        <v>03500129879</v>
      </c>
      <c r="S77" s="66">
        <v>3218</v>
      </c>
      <c r="T77" s="66" t="s">
        <v>293</v>
      </c>
      <c r="U77" s="79">
        <v>44937.956250000003</v>
      </c>
      <c r="V77" s="66" t="s">
        <v>537</v>
      </c>
      <c r="W77" s="79">
        <v>44938.779861111114</v>
      </c>
      <c r="X77" s="79">
        <v>44938.25</v>
      </c>
      <c r="Y77" s="88">
        <v>44938.5</v>
      </c>
      <c r="Z77" s="81">
        <v>3500</v>
      </c>
      <c r="AA77" s="81">
        <v>0</v>
      </c>
      <c r="AB77" s="81">
        <f>SUM(Sal_23[[#This Row],[Saldo]]+Sal_23[[#This Row],[Adiantamento]])</f>
        <v>3500</v>
      </c>
      <c r="AC77" s="81">
        <v>0</v>
      </c>
      <c r="AD77" s="81"/>
      <c r="AE77" s="81"/>
      <c r="AF77" s="81"/>
      <c r="AG77" s="81">
        <f>Sal_23[[#This Row],[COMPRA]]*12%</f>
        <v>594</v>
      </c>
      <c r="AH77" s="83">
        <v>4950</v>
      </c>
      <c r="AI77" s="66" t="str">
        <f>PROPER(TEXT(Sal_23[[#This Row],[PROGRAMAÇÃO]],"mmm"))</f>
        <v>Jan</v>
      </c>
      <c r="AJ77" s="66">
        <f>YEAR(Sal_23[[#This Row],[PROGRAMAÇÃO]])</f>
        <v>2023</v>
      </c>
      <c r="AM77" s="66" t="s">
        <v>2768</v>
      </c>
      <c r="AN77" s="66" t="s">
        <v>2768</v>
      </c>
      <c r="AO77" s="66" t="s">
        <v>2768</v>
      </c>
    </row>
    <row r="78" spans="1:41" s="66" customFormat="1" ht="12.75" x14ac:dyDescent="0.2">
      <c r="A78" s="120" t="str">
        <f>Sal_23[[#This Row],[CONTAINER]]</f>
        <v>CMAU5770760</v>
      </c>
      <c r="B78" s="128" t="s">
        <v>2771</v>
      </c>
      <c r="C7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8" s="79">
        <v>44939.291666666664</v>
      </c>
      <c r="E78" s="44" t="s">
        <v>3159</v>
      </c>
      <c r="F78" s="66">
        <v>40</v>
      </c>
      <c r="G78" s="66" t="s">
        <v>2808</v>
      </c>
      <c r="H78" s="44" t="s">
        <v>3154</v>
      </c>
      <c r="I78" s="299" t="s">
        <v>3155</v>
      </c>
      <c r="J78" s="66" t="s">
        <v>3160</v>
      </c>
      <c r="K78" s="66" t="s">
        <v>3063</v>
      </c>
      <c r="L78" s="66">
        <v>7398</v>
      </c>
      <c r="N78" s="66" t="s">
        <v>210</v>
      </c>
      <c r="O78" s="66" t="s">
        <v>1968</v>
      </c>
      <c r="P78" s="66" t="s">
        <v>212</v>
      </c>
      <c r="Q78" s="138" t="str">
        <f ca="1">IFERROR(LOOKUP($P78,MOTORISTAS!$D$3:$D$1048576,MOTORISTAS!E$3:E$916),"")</f>
        <v>38029906846</v>
      </c>
      <c r="R78" s="138" t="str">
        <f ca="1">IFERROR(LOOKUP($P78,MOTORISTAS!$D$3:$D$1048576,MOTORISTAS!F$3:F$916),"")</f>
        <v>04946846842</v>
      </c>
      <c r="S78" s="66">
        <v>3250</v>
      </c>
      <c r="T78" s="66" t="s">
        <v>293</v>
      </c>
      <c r="U78" s="79">
        <v>44939.352083333331</v>
      </c>
      <c r="V78" s="66" t="s">
        <v>537</v>
      </c>
      <c r="W78" s="79">
        <v>44940.343055555553</v>
      </c>
      <c r="X78" s="79">
        <v>44939.541666666664</v>
      </c>
      <c r="Y78" s="88">
        <v>44939.708333333336</v>
      </c>
      <c r="Z78" s="81">
        <v>3500</v>
      </c>
      <c r="AA78" s="81">
        <v>0</v>
      </c>
      <c r="AB78" s="81">
        <f>SUM(Sal_23[[#This Row],[Saldo]]+Sal_23[[#This Row],[Adiantamento]])</f>
        <v>3500</v>
      </c>
      <c r="AC78" s="81">
        <v>0</v>
      </c>
      <c r="AD78" s="81"/>
      <c r="AE78" s="81"/>
      <c r="AF78" s="81"/>
      <c r="AG78" s="81">
        <f>Sal_23[[#This Row],[COMPRA]]*12%</f>
        <v>594</v>
      </c>
      <c r="AH78" s="83">
        <v>4950</v>
      </c>
      <c r="AI78" s="66" t="str">
        <f>PROPER(TEXT(Sal_23[[#This Row],[PROGRAMAÇÃO]],"mmm"))</f>
        <v>Jan</v>
      </c>
      <c r="AJ78" s="66">
        <f>YEAR(Sal_23[[#This Row],[PROGRAMAÇÃO]])</f>
        <v>2023</v>
      </c>
      <c r="AL78" s="44" t="s">
        <v>3347</v>
      </c>
      <c r="AM78" s="66" t="s">
        <v>2768</v>
      </c>
      <c r="AN78" s="66" t="s">
        <v>2768</v>
      </c>
      <c r="AO78" s="66" t="s">
        <v>2768</v>
      </c>
    </row>
    <row r="79" spans="1:41" s="66" customFormat="1" ht="12.75" x14ac:dyDescent="0.2">
      <c r="A79" s="120" t="str">
        <f>Sal_23[[#This Row],[CONTAINER]]</f>
        <v>GLDU7700413</v>
      </c>
      <c r="B79" s="128" t="s">
        <v>2771</v>
      </c>
      <c r="C7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9" s="79">
        <v>44945.333333333336</v>
      </c>
      <c r="E79" s="44" t="s">
        <v>3299</v>
      </c>
      <c r="F79" s="66">
        <v>40</v>
      </c>
      <c r="G79" s="66" t="s">
        <v>2826</v>
      </c>
      <c r="H79" s="44" t="s">
        <v>2835</v>
      </c>
      <c r="I79" s="299" t="s">
        <v>2822</v>
      </c>
      <c r="J79" s="66">
        <v>122</v>
      </c>
      <c r="K79" s="66" t="s">
        <v>3174</v>
      </c>
      <c r="L79" s="66">
        <v>103075</v>
      </c>
      <c r="N79" s="66" t="s">
        <v>106</v>
      </c>
      <c r="O79" s="66" t="s">
        <v>107</v>
      </c>
      <c r="P79" s="66" t="s">
        <v>108</v>
      </c>
      <c r="Q79" s="138" t="str">
        <f ca="1">IFERROR(LOOKUP($P79,MOTORISTAS!$D$3:$D$1048576,MOTORISTAS!E$3:E$916),"")</f>
        <v>34927982840</v>
      </c>
      <c r="R79" s="138" t="str">
        <f ca="1">IFERROR(LOOKUP($P79,MOTORISTAS!$D$3:$D$1048576,MOTORISTAS!F$3:F$916),"")</f>
        <v>03500129879</v>
      </c>
      <c r="S79" s="66">
        <v>3283</v>
      </c>
      <c r="T79" s="66" t="s">
        <v>293</v>
      </c>
      <c r="U79" s="79">
        <v>44945.208333333336</v>
      </c>
      <c r="V79" s="66" t="s">
        <v>469</v>
      </c>
      <c r="W79" s="79">
        <v>44945.620833333334</v>
      </c>
      <c r="X79" s="79">
        <v>44945.333333333336</v>
      </c>
      <c r="Y79" s="88">
        <v>44945.458333333336</v>
      </c>
      <c r="Z79" s="81">
        <v>2100</v>
      </c>
      <c r="AA79" s="81">
        <v>0</v>
      </c>
      <c r="AB79" s="81">
        <f>SUM(Sal_23[[#This Row],[Saldo]]+Sal_23[[#This Row],[Adiantamento]])</f>
        <v>2100</v>
      </c>
      <c r="AC79" s="81">
        <v>0</v>
      </c>
      <c r="AD79" s="81"/>
      <c r="AE79" s="81"/>
      <c r="AF79" s="81"/>
      <c r="AG79" s="81">
        <f>Sal_23[[#This Row],[COMPRA]]*12%</f>
        <v>370.37759999999997</v>
      </c>
      <c r="AH79" s="83">
        <v>3086.48</v>
      </c>
      <c r="AI79" s="66" t="str">
        <f>PROPER(TEXT(Sal_23[[#This Row],[PROGRAMAÇÃO]],"mmm"))</f>
        <v>Jan</v>
      </c>
      <c r="AJ79" s="66">
        <f>YEAR(Sal_23[[#This Row],[PROGRAMAÇÃO]])</f>
        <v>2023</v>
      </c>
      <c r="AM79" s="66" t="s">
        <v>2768</v>
      </c>
      <c r="AN79" s="66" t="s">
        <v>2768</v>
      </c>
      <c r="AO79" s="66" t="s">
        <v>2768</v>
      </c>
    </row>
    <row r="80" spans="1:41" s="66" customFormat="1" ht="12.75" x14ac:dyDescent="0.2">
      <c r="A80" s="120" t="str">
        <f>Sal_23[[#This Row],[CONTAINER]]</f>
        <v>GESU5985476</v>
      </c>
      <c r="B80" s="128" t="s">
        <v>2771</v>
      </c>
      <c r="C8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0" s="79">
        <v>44945.333333333336</v>
      </c>
      <c r="E80" s="44" t="s">
        <v>3173</v>
      </c>
      <c r="F80" s="66">
        <v>40</v>
      </c>
      <c r="G80" s="66" t="s">
        <v>2826</v>
      </c>
      <c r="H80" s="44" t="s">
        <v>2835</v>
      </c>
      <c r="I80" s="299" t="s">
        <v>2822</v>
      </c>
      <c r="J80" s="66">
        <v>120</v>
      </c>
      <c r="K80" s="66" t="s">
        <v>3174</v>
      </c>
      <c r="L80" s="66">
        <v>103111</v>
      </c>
      <c r="N80" s="66" t="s">
        <v>3168</v>
      </c>
      <c r="O80" s="66" t="s">
        <v>27</v>
      </c>
      <c r="P80" s="66" t="s">
        <v>206</v>
      </c>
      <c r="Q80" s="138" t="str">
        <f ca="1">IFERROR(LOOKUP($P80,MOTORISTAS!$D$3:$D$1048576,MOTORISTAS!E$3:E$916),"")</f>
        <v>09085263425</v>
      </c>
      <c r="R80" s="138" t="str">
        <f ca="1">IFERROR(LOOKUP($P80,MOTORISTAS!$D$3:$D$1048576,MOTORISTAS!F$3:F$916),"")</f>
        <v>04557705505</v>
      </c>
      <c r="S80" s="66">
        <v>3282</v>
      </c>
      <c r="T80" s="66" t="s">
        <v>293</v>
      </c>
      <c r="U80" s="79">
        <v>44945.208333333336</v>
      </c>
      <c r="V80" s="66" t="s">
        <v>469</v>
      </c>
      <c r="W80" s="79">
        <v>44945.603472222225</v>
      </c>
      <c r="X80" s="79">
        <v>44945.375</v>
      </c>
      <c r="Y80" s="88">
        <v>44945.458333333336</v>
      </c>
      <c r="Z80" s="81">
        <v>2100</v>
      </c>
      <c r="AA80" s="81">
        <v>0</v>
      </c>
      <c r="AB80" s="81">
        <f>SUM(Sal_23[[#This Row],[Saldo]]+Sal_23[[#This Row],[Adiantamento]])</f>
        <v>2100</v>
      </c>
      <c r="AC80" s="81">
        <v>0</v>
      </c>
      <c r="AD80" s="81"/>
      <c r="AE80" s="81"/>
      <c r="AF80" s="81"/>
      <c r="AG80" s="81">
        <f>Sal_23[[#This Row],[COMPRA]]*12%</f>
        <v>370.37759999999997</v>
      </c>
      <c r="AH80" s="83">
        <v>3086.48</v>
      </c>
      <c r="AI80" s="66" t="str">
        <f>PROPER(TEXT(Sal_23[[#This Row],[PROGRAMAÇÃO]],"mmm"))</f>
        <v>Jan</v>
      </c>
      <c r="AJ80" s="66">
        <f>YEAR(Sal_23[[#This Row],[PROGRAMAÇÃO]])</f>
        <v>2023</v>
      </c>
      <c r="AL80" s="44" t="s">
        <v>3346</v>
      </c>
      <c r="AM80" s="66" t="s">
        <v>2768</v>
      </c>
      <c r="AN80" s="66" t="s">
        <v>2768</v>
      </c>
      <c r="AO80" s="66" t="s">
        <v>2768</v>
      </c>
    </row>
    <row r="81" spans="1:41" s="66" customFormat="1" ht="12.75" x14ac:dyDescent="0.2">
      <c r="A81" s="120" t="str">
        <f>Sal_23[[#This Row],[CONTAINER]]</f>
        <v>CAIU8811808</v>
      </c>
      <c r="B81" s="128" t="s">
        <v>2771</v>
      </c>
      <c r="C8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1" s="79">
        <v>44945.333333333336</v>
      </c>
      <c r="E81" s="44" t="s">
        <v>3175</v>
      </c>
      <c r="F81" s="66">
        <v>40</v>
      </c>
      <c r="G81" s="66" t="s">
        <v>2826</v>
      </c>
      <c r="H81" s="44" t="s">
        <v>2835</v>
      </c>
      <c r="I81" s="299" t="s">
        <v>2822</v>
      </c>
      <c r="J81" s="66">
        <v>121</v>
      </c>
      <c r="K81" s="66" t="s">
        <v>3174</v>
      </c>
      <c r="L81" s="66">
        <v>103120</v>
      </c>
      <c r="N81" s="66" t="s">
        <v>31</v>
      </c>
      <c r="O81" s="66" t="s">
        <v>32</v>
      </c>
      <c r="P81" s="66" t="s">
        <v>3176</v>
      </c>
      <c r="Q81" s="138" t="str">
        <f ca="1">IFERROR(LOOKUP($P81,MOTORISTAS!$D$3:$D$1048576,MOTORISTAS!E$3:E$916),"")</f>
        <v>09776430856</v>
      </c>
      <c r="R81" s="138" t="str">
        <f ca="1">IFERROR(LOOKUP($P81,MOTORISTAS!$D$3:$D$1048576,MOTORISTAS!F$3:F$916),"")</f>
        <v>01258979905</v>
      </c>
      <c r="S81" s="66">
        <v>3281</v>
      </c>
      <c r="T81" s="66" t="s">
        <v>293</v>
      </c>
      <c r="U81" s="79">
        <v>44945.208333333336</v>
      </c>
      <c r="V81" s="66" t="s">
        <v>469</v>
      </c>
      <c r="W81" s="79">
        <v>44945.631249999999</v>
      </c>
      <c r="X81" s="79">
        <v>44945.375</v>
      </c>
      <c r="Y81" s="88">
        <v>44945.458333333336</v>
      </c>
      <c r="Z81" s="81">
        <v>2100</v>
      </c>
      <c r="AA81" s="81">
        <v>0</v>
      </c>
      <c r="AB81" s="81">
        <f>SUM(Sal_23[[#This Row],[Saldo]]+Sal_23[[#This Row],[Adiantamento]])</f>
        <v>2100</v>
      </c>
      <c r="AC81" s="81">
        <v>0</v>
      </c>
      <c r="AD81" s="81"/>
      <c r="AE81" s="81"/>
      <c r="AF81" s="81"/>
      <c r="AG81" s="81">
        <f>Sal_23[[#This Row],[COMPRA]]*12%</f>
        <v>370.37759999999997</v>
      </c>
      <c r="AH81" s="83">
        <v>3086.48</v>
      </c>
      <c r="AI81" s="66" t="str">
        <f>PROPER(TEXT(Sal_23[[#This Row],[PROGRAMAÇÃO]],"mmm"))</f>
        <v>Jan</v>
      </c>
      <c r="AJ81" s="66">
        <f>YEAR(Sal_23[[#This Row],[PROGRAMAÇÃO]])</f>
        <v>2023</v>
      </c>
      <c r="AL81" s="44" t="s">
        <v>3346</v>
      </c>
      <c r="AM81" s="66" t="s">
        <v>2768</v>
      </c>
      <c r="AN81" s="66" t="s">
        <v>2768</v>
      </c>
      <c r="AO81" s="66" t="s">
        <v>2768</v>
      </c>
    </row>
    <row r="82" spans="1:41" s="66" customFormat="1" ht="12.75" x14ac:dyDescent="0.2">
      <c r="A82" s="120" t="str">
        <f>Sal_23[[#This Row],[CONTAINER]]</f>
        <v>TCNU7723542</v>
      </c>
      <c r="B82" s="128" t="s">
        <v>2771</v>
      </c>
      <c r="C8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2" s="79">
        <v>44945.291666666664</v>
      </c>
      <c r="E82" s="44" t="s">
        <v>3177</v>
      </c>
      <c r="F82" s="66">
        <v>40</v>
      </c>
      <c r="G82" s="66" t="s">
        <v>2826</v>
      </c>
      <c r="H82" s="44" t="s">
        <v>2836</v>
      </c>
      <c r="I82" s="299" t="s">
        <v>708</v>
      </c>
      <c r="J82" s="66">
        <v>124</v>
      </c>
      <c r="K82" s="66" t="s">
        <v>3174</v>
      </c>
      <c r="L82" s="66">
        <v>103162</v>
      </c>
      <c r="N82" s="66" t="s">
        <v>3178</v>
      </c>
      <c r="O82" s="66" t="s">
        <v>93</v>
      </c>
      <c r="P82" s="66" t="s">
        <v>3300</v>
      </c>
      <c r="Q82" s="138" t="str">
        <f ca="1">IFERROR(LOOKUP($P82,MOTORISTAS!$D$3:$D$1048576,MOTORISTAS!E$3:E$916),"")</f>
        <v>26283419801</v>
      </c>
      <c r="R82" s="138" t="str">
        <f ca="1">IFERROR(LOOKUP($P82,MOTORISTAS!$D$3:$D$1048576,MOTORISTAS!F$3:F$916),"")</f>
        <v>02002046946</v>
      </c>
      <c r="S82" s="66">
        <v>3279</v>
      </c>
      <c r="T82" s="66" t="s">
        <v>293</v>
      </c>
      <c r="U82" s="79">
        <v>44945.25</v>
      </c>
      <c r="V82" s="66" t="s">
        <v>469</v>
      </c>
      <c r="W82" s="79">
        <v>44945.627083333333</v>
      </c>
      <c r="X82" s="79">
        <v>44945.333333333336</v>
      </c>
      <c r="Y82" s="88">
        <v>44945.458333333336</v>
      </c>
      <c r="Z82" s="81">
        <v>0</v>
      </c>
      <c r="AA82" s="81">
        <v>0</v>
      </c>
      <c r="AB82" s="81">
        <f>SUM(Sal_23[[#This Row],[Saldo]]+Sal_23[[#This Row],[Adiantamento]])</f>
        <v>0</v>
      </c>
      <c r="AC82" s="81">
        <v>0</v>
      </c>
      <c r="AD82" s="81"/>
      <c r="AE82" s="81"/>
      <c r="AF82" s="81"/>
      <c r="AG82" s="81">
        <f>Sal_23[[#This Row],[COMPRA]]*12%</f>
        <v>234</v>
      </c>
      <c r="AH82" s="83">
        <v>1950</v>
      </c>
      <c r="AI82" s="66" t="str">
        <f>PROPER(TEXT(Sal_23[[#This Row],[PROGRAMAÇÃO]],"mmm"))</f>
        <v>Jan</v>
      </c>
      <c r="AJ82" s="66">
        <f>YEAR(Sal_23[[#This Row],[PROGRAMAÇÃO]])</f>
        <v>2023</v>
      </c>
      <c r="AL82" s="44" t="s">
        <v>3346</v>
      </c>
      <c r="AM82" s="66" t="s">
        <v>2768</v>
      </c>
      <c r="AN82" s="66" t="s">
        <v>2768</v>
      </c>
      <c r="AO82" s="66" t="s">
        <v>2768</v>
      </c>
    </row>
    <row r="83" spans="1:41" s="66" customFormat="1" ht="12.75" x14ac:dyDescent="0.2">
      <c r="A83" s="120" t="str">
        <f>Sal_23[[#This Row],[CONTAINER]]</f>
        <v>CAIU3309865</v>
      </c>
      <c r="B83" s="128" t="s">
        <v>2771</v>
      </c>
      <c r="C8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3" s="79">
        <v>44945.458333333336</v>
      </c>
      <c r="E83" s="44" t="s">
        <v>3179</v>
      </c>
      <c r="F83" s="66">
        <v>20</v>
      </c>
      <c r="G83" s="66" t="s">
        <v>2820</v>
      </c>
      <c r="H83" s="44" t="s">
        <v>2820</v>
      </c>
      <c r="I83" s="299" t="s">
        <v>2821</v>
      </c>
      <c r="J83" s="66">
        <v>158</v>
      </c>
      <c r="K83" s="66" t="s">
        <v>3174</v>
      </c>
      <c r="L83" s="66">
        <v>103045</v>
      </c>
      <c r="N83" s="66" t="s">
        <v>2933</v>
      </c>
      <c r="O83" s="66" t="s">
        <v>2950</v>
      </c>
      <c r="P83" s="66" t="s">
        <v>2932</v>
      </c>
      <c r="Q83" s="138" t="str">
        <f ca="1">IFERROR(LOOKUP($P83,MOTORISTAS!$D$3:$D$1048576,MOTORISTAS!E$3:E$916),"")</f>
        <v>87607395849</v>
      </c>
      <c r="R83" s="138" t="str">
        <f ca="1">IFERROR(LOOKUP($P83,MOTORISTAS!$D$3:$D$1048576,MOTORISTAS!F$3:F$916),"")</f>
        <v>01842622116</v>
      </c>
      <c r="S83" s="66">
        <v>3275</v>
      </c>
      <c r="T83" s="66" t="s">
        <v>293</v>
      </c>
      <c r="U83" s="79">
        <v>44944.958333333336</v>
      </c>
      <c r="V83" s="66" t="s">
        <v>292</v>
      </c>
      <c r="W83" s="79">
        <v>44945.574999999997</v>
      </c>
      <c r="X83" s="79">
        <v>44945.25</v>
      </c>
      <c r="Y83" s="88">
        <v>44945.416666666664</v>
      </c>
      <c r="Z83" s="81">
        <v>1600</v>
      </c>
      <c r="AA83" s="81">
        <v>0</v>
      </c>
      <c r="AB83" s="81">
        <f>SUM(Sal_23[[#This Row],[Saldo]]+Sal_23[[#This Row],[Adiantamento]])</f>
        <v>1600</v>
      </c>
      <c r="AC83" s="81">
        <v>0</v>
      </c>
      <c r="AD83" s="81"/>
      <c r="AE83" s="81"/>
      <c r="AF83" s="81"/>
      <c r="AG83" s="81">
        <f>Sal_23[[#This Row],[COMPRA]]*12%</f>
        <v>288</v>
      </c>
      <c r="AH83" s="83">
        <v>2400</v>
      </c>
      <c r="AI83" s="66" t="str">
        <f>PROPER(TEXT(Sal_23[[#This Row],[PROGRAMAÇÃO]],"mmm"))</f>
        <v>Jan</v>
      </c>
      <c r="AJ83" s="66">
        <f>YEAR(Sal_23[[#This Row],[PROGRAMAÇÃO]])</f>
        <v>2023</v>
      </c>
      <c r="AM83" s="66" t="s">
        <v>2768</v>
      </c>
      <c r="AN83" s="66" t="s">
        <v>2768</v>
      </c>
      <c r="AO83" s="66" t="s">
        <v>2768</v>
      </c>
    </row>
    <row r="84" spans="1:41" s="66" customFormat="1" ht="12.75" x14ac:dyDescent="0.2">
      <c r="A84" s="120" t="str">
        <f>Sal_23[[#This Row],[CONTAINER]]</f>
        <v>CAIU3159913</v>
      </c>
      <c r="B84" s="128" t="s">
        <v>2771</v>
      </c>
      <c r="C8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4" s="79">
        <v>44945.375</v>
      </c>
      <c r="E84" s="44" t="s">
        <v>3180</v>
      </c>
      <c r="F84" s="66">
        <v>20</v>
      </c>
      <c r="G84" s="66" t="s">
        <v>2820</v>
      </c>
      <c r="H84" s="44" t="s">
        <v>2820</v>
      </c>
      <c r="I84" s="299" t="s">
        <v>2821</v>
      </c>
      <c r="J84" s="66">
        <v>161</v>
      </c>
      <c r="K84" s="66" t="s">
        <v>3174</v>
      </c>
      <c r="L84" s="66">
        <v>112224</v>
      </c>
      <c r="N84" s="66" t="s">
        <v>2859</v>
      </c>
      <c r="O84" s="66" t="s">
        <v>2860</v>
      </c>
      <c r="P84" s="66" t="s">
        <v>2861</v>
      </c>
      <c r="Q84" s="138" t="str">
        <f ca="1">IFERROR(LOOKUP($P84,MOTORISTAS!$D$3:$D$1048576,MOTORISTAS!E$3:E$916),"")</f>
        <v>01817591878</v>
      </c>
      <c r="R84" s="138" t="str">
        <f ca="1">IFERROR(LOOKUP($P84,MOTORISTAS!$D$3:$D$1048576,MOTORISTAS!F$3:F$916),"")</f>
        <v>00821760640</v>
      </c>
      <c r="S84" s="66">
        <v>3276</v>
      </c>
      <c r="T84" s="66" t="s">
        <v>293</v>
      </c>
      <c r="U84" s="79">
        <v>44944.958333333336</v>
      </c>
      <c r="V84" s="66" t="s">
        <v>292</v>
      </c>
      <c r="W84" s="79">
        <v>44945.498611111114</v>
      </c>
      <c r="X84" s="79">
        <v>44945.25</v>
      </c>
      <c r="Y84" s="88">
        <v>44945.458333333336</v>
      </c>
      <c r="Z84" s="81">
        <v>1600</v>
      </c>
      <c r="AA84" s="81">
        <v>0</v>
      </c>
      <c r="AB84" s="81">
        <f>SUM(Sal_23[[#This Row],[Saldo]]+Sal_23[[#This Row],[Adiantamento]])</f>
        <v>1600</v>
      </c>
      <c r="AC84" s="81">
        <v>0</v>
      </c>
      <c r="AD84" s="81"/>
      <c r="AE84" s="81"/>
      <c r="AF84" s="81"/>
      <c r="AG84" s="81">
        <f>Sal_23[[#This Row],[COMPRA]]*12%</f>
        <v>288</v>
      </c>
      <c r="AH84" s="83">
        <v>2400</v>
      </c>
      <c r="AI84" s="66" t="str">
        <f>PROPER(TEXT(Sal_23[[#This Row],[PROGRAMAÇÃO]],"mmm"))</f>
        <v>Jan</v>
      </c>
      <c r="AJ84" s="66">
        <f>YEAR(Sal_23[[#This Row],[PROGRAMAÇÃO]])</f>
        <v>2023</v>
      </c>
      <c r="AM84" s="66" t="s">
        <v>2768</v>
      </c>
      <c r="AN84" s="66" t="s">
        <v>2768</v>
      </c>
      <c r="AO84" s="66" t="s">
        <v>2768</v>
      </c>
    </row>
    <row r="85" spans="1:41" s="66" customFormat="1" ht="12.75" x14ac:dyDescent="0.2">
      <c r="A85" s="120" t="str">
        <f>Sal_23[[#This Row],[CONTAINER]]</f>
        <v>SEGU1179841</v>
      </c>
      <c r="B85" s="128" t="s">
        <v>2771</v>
      </c>
      <c r="C8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5" s="79">
        <v>44945.375</v>
      </c>
      <c r="E85" s="44" t="s">
        <v>3181</v>
      </c>
      <c r="F85" s="66">
        <v>20</v>
      </c>
      <c r="G85" s="66" t="s">
        <v>2820</v>
      </c>
      <c r="H85" s="44" t="s">
        <v>2820</v>
      </c>
      <c r="I85" s="299" t="s">
        <v>2821</v>
      </c>
      <c r="J85" s="66">
        <v>159</v>
      </c>
      <c r="K85" s="66" t="s">
        <v>3174</v>
      </c>
      <c r="L85" s="66">
        <v>68090</v>
      </c>
      <c r="N85" s="66" t="s">
        <v>3028</v>
      </c>
      <c r="O85" s="66" t="s">
        <v>2864</v>
      </c>
      <c r="P85" s="66" t="s">
        <v>3182</v>
      </c>
      <c r="Q85" s="138" t="str">
        <f ca="1">IFERROR(LOOKUP($P85,MOTORISTAS!$D$3:$D$1048576,MOTORISTAS!E$3:E$916),"")</f>
        <v>03605652476</v>
      </c>
      <c r="R85" s="138" t="str">
        <f ca="1">IFERROR(LOOKUP($P85,MOTORISTAS!$D$3:$D$1048576,MOTORISTAS!F$3:F$916),"")</f>
        <v>0091837259</v>
      </c>
      <c r="S85" s="66">
        <v>3280</v>
      </c>
      <c r="T85" s="66" t="s">
        <v>293</v>
      </c>
      <c r="U85" s="79">
        <v>44944.958333333336</v>
      </c>
      <c r="V85" s="66" t="s">
        <v>292</v>
      </c>
      <c r="W85" s="79">
        <v>44945.567361111112</v>
      </c>
      <c r="X85" s="79">
        <v>44945.25</v>
      </c>
      <c r="Y85" s="88">
        <v>44945.416666666664</v>
      </c>
      <c r="Z85" s="81">
        <v>1600</v>
      </c>
      <c r="AA85" s="81">
        <v>0</v>
      </c>
      <c r="AB85" s="81">
        <f>SUM(Sal_23[[#This Row],[Saldo]]+Sal_23[[#This Row],[Adiantamento]])</f>
        <v>1600</v>
      </c>
      <c r="AC85" s="81">
        <v>0</v>
      </c>
      <c r="AD85" s="81"/>
      <c r="AE85" s="81"/>
      <c r="AF85" s="81"/>
      <c r="AG85" s="81">
        <f>Sal_23[[#This Row],[COMPRA]]*12%</f>
        <v>288</v>
      </c>
      <c r="AH85" s="83">
        <v>2400</v>
      </c>
      <c r="AI85" s="66" t="str">
        <f>PROPER(TEXT(Sal_23[[#This Row],[PROGRAMAÇÃO]],"mmm"))</f>
        <v>Jan</v>
      </c>
      <c r="AJ85" s="66">
        <f>YEAR(Sal_23[[#This Row],[PROGRAMAÇÃO]])</f>
        <v>2023</v>
      </c>
      <c r="AM85" s="66" t="s">
        <v>2768</v>
      </c>
      <c r="AN85" s="66" t="s">
        <v>2768</v>
      </c>
      <c r="AO85" s="66" t="s">
        <v>2768</v>
      </c>
    </row>
    <row r="86" spans="1:41" s="66" customFormat="1" ht="12.75" x14ac:dyDescent="0.2">
      <c r="A86" s="120" t="str">
        <f>Sal_23[[#This Row],[CONTAINER]]</f>
        <v>TCLU3463959</v>
      </c>
      <c r="B86" s="128" t="s">
        <v>2771</v>
      </c>
      <c r="C8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6" s="79">
        <v>44945.333333333336</v>
      </c>
      <c r="E86" s="44" t="s">
        <v>3184</v>
      </c>
      <c r="F86" s="66">
        <v>20</v>
      </c>
      <c r="G86" s="66" t="s">
        <v>2826</v>
      </c>
      <c r="H86" s="44" t="s">
        <v>3105</v>
      </c>
      <c r="I86" s="299" t="s">
        <v>3185</v>
      </c>
      <c r="J86" s="66">
        <v>135</v>
      </c>
      <c r="K86" s="66" t="s">
        <v>3174</v>
      </c>
      <c r="L86" s="66">
        <v>103161</v>
      </c>
      <c r="N86" s="66" t="s">
        <v>2584</v>
      </c>
      <c r="O86" s="66" t="s">
        <v>2585</v>
      </c>
      <c r="P86" s="66" t="s">
        <v>2586</v>
      </c>
      <c r="Q86" s="138" t="str">
        <f ca="1">IFERROR(LOOKUP($P86,MOTORISTAS!$D$3:$D$1048576,MOTORISTAS!E$3:E$916),"")</f>
        <v>08312935860</v>
      </c>
      <c r="R86" s="138" t="str">
        <f ca="1">IFERROR(LOOKUP($P86,MOTORISTAS!$D$3:$D$1048576,MOTORISTAS!F$3:F$916),"")</f>
        <v>03106516083</v>
      </c>
      <c r="S86" s="66">
        <v>3274</v>
      </c>
      <c r="T86" s="66" t="s">
        <v>293</v>
      </c>
      <c r="U86" s="79">
        <v>44944.958333333336</v>
      </c>
      <c r="V86" s="66" t="s">
        <v>526</v>
      </c>
      <c r="W86" s="79">
        <v>44945.567361111112</v>
      </c>
      <c r="X86" s="79">
        <v>44945.291666666664</v>
      </c>
      <c r="Y86" s="88">
        <v>44945.458333333336</v>
      </c>
      <c r="Z86" s="81">
        <v>1600</v>
      </c>
      <c r="AA86" s="81">
        <v>0</v>
      </c>
      <c r="AB86" s="81">
        <f>SUM(Sal_23[[#This Row],[Saldo]]+Sal_23[[#This Row],[Adiantamento]])</f>
        <v>1600</v>
      </c>
      <c r="AC86" s="81">
        <v>0</v>
      </c>
      <c r="AD86" s="81"/>
      <c r="AE86" s="81"/>
      <c r="AF86" s="81"/>
      <c r="AG86" s="81">
        <f>Sal_23[[#This Row],[COMPRA]]*12%</f>
        <v>415.74719999999996</v>
      </c>
      <c r="AH86" s="83">
        <v>3464.56</v>
      </c>
      <c r="AI86" s="66" t="str">
        <f>PROPER(TEXT(Sal_23[[#This Row],[PROGRAMAÇÃO]],"mmm"))</f>
        <v>Jan</v>
      </c>
      <c r="AJ86" s="66">
        <f>YEAR(Sal_23[[#This Row],[PROGRAMAÇÃO]])</f>
        <v>2023</v>
      </c>
      <c r="AM86" s="66" t="s">
        <v>2768</v>
      </c>
      <c r="AN86" s="66" t="s">
        <v>2768</v>
      </c>
      <c r="AO86" s="66" t="s">
        <v>2768</v>
      </c>
    </row>
    <row r="87" spans="1:41" s="66" customFormat="1" ht="12.75" x14ac:dyDescent="0.2">
      <c r="A87" s="120" t="str">
        <f>Sal_23[[#This Row],[CONTAINER]]</f>
        <v>SEGU1076571</v>
      </c>
      <c r="B87" s="128" t="s">
        <v>2771</v>
      </c>
      <c r="C8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7" s="79">
        <v>44946.333333333336</v>
      </c>
      <c r="E87" s="44" t="s">
        <v>3186</v>
      </c>
      <c r="F87" s="66">
        <v>20</v>
      </c>
      <c r="G87" s="66" t="s">
        <v>2826</v>
      </c>
      <c r="H87" s="44" t="s">
        <v>2825</v>
      </c>
      <c r="I87" s="299" t="s">
        <v>2824</v>
      </c>
      <c r="J87" s="66">
        <v>133</v>
      </c>
      <c r="K87" s="66" t="s">
        <v>3174</v>
      </c>
      <c r="L87" s="66">
        <v>103073</v>
      </c>
      <c r="N87" s="66" t="s">
        <v>2156</v>
      </c>
      <c r="O87" s="66" t="s">
        <v>2464</v>
      </c>
      <c r="P87" s="66" t="s">
        <v>2158</v>
      </c>
      <c r="Q87" s="138" t="str">
        <f ca="1">IFERROR(LOOKUP($P87,MOTORISTAS!$D$3:$D$1048576,MOTORISTAS!E$3:E$916),"")</f>
        <v>10485530864</v>
      </c>
      <c r="R87" s="138" t="str">
        <f ca="1">IFERROR(LOOKUP($P87,MOTORISTAS!$D$3:$D$1048576,MOTORISTAS!F$3:F$916),"")</f>
        <v>02033192841</v>
      </c>
      <c r="S87" s="66">
        <v>3290</v>
      </c>
      <c r="T87" s="66" t="s">
        <v>293</v>
      </c>
      <c r="U87" s="79">
        <v>44946.208333333336</v>
      </c>
      <c r="V87" s="66" t="s">
        <v>469</v>
      </c>
      <c r="W87" s="79">
        <v>44946.620138888888</v>
      </c>
      <c r="X87" s="79">
        <v>44946.333333333336</v>
      </c>
      <c r="Y87" s="88">
        <v>44946.458333333336</v>
      </c>
      <c r="Z87" s="81">
        <v>1900</v>
      </c>
      <c r="AA87" s="81">
        <v>0</v>
      </c>
      <c r="AB87" s="81">
        <f>SUM(Sal_23[[#This Row],[Saldo]]+Sal_23[[#This Row],[Adiantamento]])</f>
        <v>1900</v>
      </c>
      <c r="AC87" s="81">
        <v>700</v>
      </c>
      <c r="AD87" s="81"/>
      <c r="AE87" s="81"/>
      <c r="AF87" s="81"/>
      <c r="AG87" s="81">
        <f>Sal_23[[#This Row],[COMPRA]]*12%</f>
        <v>447.91919999999999</v>
      </c>
      <c r="AH87" s="83">
        <v>3732.66</v>
      </c>
      <c r="AI87" s="66" t="str">
        <f>PROPER(TEXT(Sal_23[[#This Row],[PROGRAMAÇÃO]],"mmm"))</f>
        <v>Jan</v>
      </c>
      <c r="AJ87" s="66">
        <f>YEAR(Sal_23[[#This Row],[PROGRAMAÇÃO]])</f>
        <v>2023</v>
      </c>
      <c r="AM87" s="66" t="s">
        <v>2768</v>
      </c>
      <c r="AN87" s="66" t="s">
        <v>2768</v>
      </c>
      <c r="AO87" s="66" t="s">
        <v>2768</v>
      </c>
    </row>
    <row r="88" spans="1:41" s="66" customFormat="1" ht="12.75" x14ac:dyDescent="0.2">
      <c r="A88" s="120" t="str">
        <f>Sal_23[[#This Row],[CONTAINER]]</f>
        <v>TCLU3042184</v>
      </c>
      <c r="B88" s="128" t="s">
        <v>2771</v>
      </c>
      <c r="C8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8" s="79">
        <v>44946.333333333336</v>
      </c>
      <c r="E88" s="44" t="s">
        <v>3187</v>
      </c>
      <c r="F88" s="66">
        <v>20</v>
      </c>
      <c r="G88" s="66" t="s">
        <v>2826</v>
      </c>
      <c r="H88" s="44" t="s">
        <v>3440</v>
      </c>
      <c r="I88" s="299" t="s">
        <v>3253</v>
      </c>
      <c r="J88" s="66">
        <v>134</v>
      </c>
      <c r="K88" s="66" t="s">
        <v>3174</v>
      </c>
      <c r="L88" s="66">
        <v>112225</v>
      </c>
      <c r="N88" s="66" t="s">
        <v>3040</v>
      </c>
      <c r="O88" s="66" t="s">
        <v>3041</v>
      </c>
      <c r="P88" s="66" t="s">
        <v>3042</v>
      </c>
      <c r="Q88" s="138" t="str">
        <f ca="1">IFERROR(LOOKUP($P88,MOTORISTAS!$D$3:$D$1048576,MOTORISTAS!E$3:E$916),"")</f>
        <v>19279658883</v>
      </c>
      <c r="R88" s="138" t="str">
        <f ca="1">IFERROR(LOOKUP($P88,MOTORISTAS!$D$3:$D$1048576,MOTORISTAS!F$3:F$916),"")</f>
        <v>01301319672</v>
      </c>
      <c r="S88" s="66">
        <v>3291</v>
      </c>
      <c r="T88" s="66" t="s">
        <v>293</v>
      </c>
      <c r="U88" s="79">
        <v>44945.958333333336</v>
      </c>
      <c r="V88" s="66" t="s">
        <v>469</v>
      </c>
      <c r="W88" s="79">
        <v>44946.620138888888</v>
      </c>
      <c r="X88" s="79">
        <v>44946.291666666664</v>
      </c>
      <c r="Y88" s="88">
        <v>44946.395833333336</v>
      </c>
      <c r="Z88" s="81">
        <v>2200</v>
      </c>
      <c r="AA88" s="81">
        <v>0</v>
      </c>
      <c r="AB88" s="81">
        <f>SUM(Sal_23[[#This Row],[Saldo]]+Sal_23[[#This Row],[Adiantamento]])</f>
        <v>2200</v>
      </c>
      <c r="AC88" s="81">
        <v>0</v>
      </c>
      <c r="AD88" s="81"/>
      <c r="AE88" s="81"/>
      <c r="AF88" s="81"/>
      <c r="AG88" s="81">
        <f>Sal_23[[#This Row],[COMPRA]]*12%</f>
        <v>399.62399999999997</v>
      </c>
      <c r="AH88" s="83">
        <v>3330.2</v>
      </c>
      <c r="AI88" s="66" t="str">
        <f>PROPER(TEXT(Sal_23[[#This Row],[PROGRAMAÇÃO]],"mmm"))</f>
        <v>Jan</v>
      </c>
      <c r="AJ88" s="66">
        <f>YEAR(Sal_23[[#This Row],[PROGRAMAÇÃO]])</f>
        <v>2023</v>
      </c>
      <c r="AM88" s="66" t="s">
        <v>2768</v>
      </c>
      <c r="AN88" s="66" t="s">
        <v>2768</v>
      </c>
      <c r="AO88" s="66" t="s">
        <v>2768</v>
      </c>
    </row>
    <row r="89" spans="1:41" s="66" customFormat="1" ht="12.75" x14ac:dyDescent="0.2">
      <c r="A89" s="120" t="str">
        <f>Sal_23[[#This Row],[CONTAINER]]</f>
        <v>TCLU3059269</v>
      </c>
      <c r="B89" s="128" t="s">
        <v>2771</v>
      </c>
      <c r="C8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9" s="79">
        <v>44946.375</v>
      </c>
      <c r="E89" s="44" t="s">
        <v>3188</v>
      </c>
      <c r="F89" s="66">
        <v>20</v>
      </c>
      <c r="G89" s="66" t="s">
        <v>2820</v>
      </c>
      <c r="H89" s="44" t="s">
        <v>2820</v>
      </c>
      <c r="I89" s="299" t="s">
        <v>2821</v>
      </c>
      <c r="J89" s="66">
        <v>157</v>
      </c>
      <c r="K89" s="66" t="s">
        <v>3174</v>
      </c>
      <c r="L89" s="66">
        <v>103044</v>
      </c>
      <c r="N89" s="66" t="s">
        <v>2859</v>
      </c>
      <c r="O89" s="66" t="s">
        <v>2860</v>
      </c>
      <c r="P89" s="66" t="s">
        <v>2861</v>
      </c>
      <c r="Q89" s="138" t="str">
        <f ca="1">IFERROR(LOOKUP($P89,MOTORISTAS!$D$3:$D$1048576,MOTORISTAS!E$3:E$916),"")</f>
        <v>01817591878</v>
      </c>
      <c r="R89" s="138" t="str">
        <f ca="1">IFERROR(LOOKUP($P89,MOTORISTAS!$D$3:$D$1048576,MOTORISTAS!F$3:F$916),"")</f>
        <v>00821760640</v>
      </c>
      <c r="S89" s="66">
        <v>3319</v>
      </c>
      <c r="T89" s="66" t="s">
        <v>293</v>
      </c>
      <c r="U89" s="79">
        <v>44945.958333333336</v>
      </c>
      <c r="V89" s="66" t="s">
        <v>292</v>
      </c>
      <c r="W89" s="79">
        <v>44946.593055555553</v>
      </c>
      <c r="X89" s="79">
        <v>44946.291666666664</v>
      </c>
      <c r="Y89" s="88">
        <v>44946.416666666664</v>
      </c>
      <c r="Z89" s="81">
        <v>1600</v>
      </c>
      <c r="AA89" s="81">
        <v>0</v>
      </c>
      <c r="AB89" s="81">
        <f>SUM(Sal_23[[#This Row],[Saldo]]+Sal_23[[#This Row],[Adiantamento]])</f>
        <v>1600</v>
      </c>
      <c r="AC89" s="81">
        <v>0</v>
      </c>
      <c r="AD89" s="81"/>
      <c r="AE89" s="81"/>
      <c r="AF89" s="81"/>
      <c r="AG89" s="81">
        <f>Sal_23[[#This Row],[COMPRA]]*12%</f>
        <v>288</v>
      </c>
      <c r="AH89" s="83">
        <v>2400</v>
      </c>
      <c r="AI89" s="66" t="str">
        <f>PROPER(TEXT(Sal_23[[#This Row],[PROGRAMAÇÃO]],"mmm"))</f>
        <v>Jan</v>
      </c>
      <c r="AJ89" s="66">
        <f>YEAR(Sal_23[[#This Row],[PROGRAMAÇÃO]])</f>
        <v>2023</v>
      </c>
      <c r="AM89" s="66" t="s">
        <v>2768</v>
      </c>
      <c r="AN89" s="66" t="s">
        <v>2768</v>
      </c>
      <c r="AO89" s="66" t="s">
        <v>2768</v>
      </c>
    </row>
    <row r="90" spans="1:41" s="66" customFormat="1" ht="12.75" x14ac:dyDescent="0.2">
      <c r="A90" s="120" t="str">
        <f>Sal_23[[#This Row],[CONTAINER]]</f>
        <v>TCLU3465170</v>
      </c>
      <c r="B90" s="128" t="s">
        <v>2771</v>
      </c>
      <c r="C9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0" s="79">
        <v>44946.375</v>
      </c>
      <c r="E90" s="44" t="s">
        <v>3189</v>
      </c>
      <c r="F90" s="66">
        <v>20</v>
      </c>
      <c r="G90" s="66" t="s">
        <v>2820</v>
      </c>
      <c r="H90" s="44" t="s">
        <v>2820</v>
      </c>
      <c r="I90" s="299" t="s">
        <v>2821</v>
      </c>
      <c r="J90" s="66">
        <v>160</v>
      </c>
      <c r="K90" s="66" t="s">
        <v>3174</v>
      </c>
      <c r="L90" s="66">
        <v>68091</v>
      </c>
      <c r="N90" s="66" t="s">
        <v>3028</v>
      </c>
      <c r="O90" s="66" t="s">
        <v>2864</v>
      </c>
      <c r="P90" s="66" t="s">
        <v>3182</v>
      </c>
      <c r="Q90" s="138" t="str">
        <f ca="1">IFERROR(LOOKUP($P90,MOTORISTAS!$D$3:$D$1048576,MOTORISTAS!E$3:E$916),"")</f>
        <v>03605652476</v>
      </c>
      <c r="R90" s="138" t="str">
        <f ca="1">IFERROR(LOOKUP($P90,MOTORISTAS!$D$3:$D$1048576,MOTORISTAS!F$3:F$916),"")</f>
        <v>0091837259</v>
      </c>
      <c r="S90" s="66">
        <v>3293</v>
      </c>
      <c r="T90" s="66" t="s">
        <v>293</v>
      </c>
      <c r="U90" s="79">
        <v>44945.958333333336</v>
      </c>
      <c r="V90" s="66" t="s">
        <v>526</v>
      </c>
      <c r="W90" s="79">
        <v>44947.593055497688</v>
      </c>
      <c r="X90" s="79">
        <v>44946.291666666664</v>
      </c>
      <c r="Y90" s="88">
        <v>44946.416666666664</v>
      </c>
      <c r="Z90" s="81">
        <v>1600</v>
      </c>
      <c r="AA90" s="81">
        <v>0</v>
      </c>
      <c r="AB90" s="81">
        <f>SUM(Sal_23[[#This Row],[Saldo]]+Sal_23[[#This Row],[Adiantamento]])</f>
        <v>1600</v>
      </c>
      <c r="AC90" s="81">
        <v>0</v>
      </c>
      <c r="AD90" s="81"/>
      <c r="AE90" s="81"/>
      <c r="AF90" s="81"/>
      <c r="AG90" s="81">
        <f>Sal_23[[#This Row],[COMPRA]]*12%</f>
        <v>288</v>
      </c>
      <c r="AH90" s="83">
        <v>2400</v>
      </c>
      <c r="AI90" s="66" t="str">
        <f>PROPER(TEXT(Sal_23[[#This Row],[PROGRAMAÇÃO]],"mmm"))</f>
        <v>Jan</v>
      </c>
      <c r="AJ90" s="66">
        <f>YEAR(Sal_23[[#This Row],[PROGRAMAÇÃO]])</f>
        <v>2023</v>
      </c>
      <c r="AM90" s="66" t="s">
        <v>2768</v>
      </c>
      <c r="AN90" s="66" t="s">
        <v>2768</v>
      </c>
      <c r="AO90" s="66" t="s">
        <v>2768</v>
      </c>
    </row>
    <row r="91" spans="1:41" s="66" customFormat="1" ht="12.75" x14ac:dyDescent="0.2">
      <c r="A91" s="120" t="str">
        <f>Sal_23[[#This Row],[CONTAINER]]</f>
        <v>SEGU4053461</v>
      </c>
      <c r="B91" s="128" t="s">
        <v>2771</v>
      </c>
      <c r="C9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1" s="79">
        <v>44946.333333333336</v>
      </c>
      <c r="E91" s="44" t="s">
        <v>3190</v>
      </c>
      <c r="F91" s="66">
        <v>40</v>
      </c>
      <c r="G91" s="66" t="s">
        <v>2826</v>
      </c>
      <c r="H91" s="44" t="s">
        <v>2835</v>
      </c>
      <c r="I91" s="299" t="s">
        <v>2822</v>
      </c>
      <c r="J91" s="66">
        <v>123</v>
      </c>
      <c r="K91" s="66" t="s">
        <v>3174</v>
      </c>
      <c r="L91" s="66">
        <v>103121</v>
      </c>
      <c r="N91" s="66" t="s">
        <v>3191</v>
      </c>
      <c r="O91" s="66" t="s">
        <v>3192</v>
      </c>
      <c r="P91" s="66" t="s">
        <v>3193</v>
      </c>
      <c r="Q91" s="138" t="str">
        <f ca="1">IFERROR(LOOKUP($P91,MOTORISTAS!$D$3:$D$1048576,MOTORISTAS!E$3:E$916),"")</f>
        <v>07022698830</v>
      </c>
      <c r="R91" s="138" t="str">
        <f ca="1">IFERROR(LOOKUP($P91,MOTORISTAS!$D$3:$D$1048576,MOTORISTAS!F$3:F$916),"")</f>
        <v>02551117859</v>
      </c>
      <c r="S91" s="66">
        <v>3294</v>
      </c>
      <c r="T91" s="66" t="s">
        <v>293</v>
      </c>
      <c r="U91" s="79">
        <v>44946.208333333336</v>
      </c>
      <c r="V91" s="66" t="s">
        <v>469</v>
      </c>
      <c r="W91" s="79">
        <v>44946.85833333333</v>
      </c>
      <c r="X91" s="79">
        <v>44946.333333333336</v>
      </c>
      <c r="Y91" s="88">
        <v>44946.416666666664</v>
      </c>
      <c r="Z91" s="81">
        <v>2000</v>
      </c>
      <c r="AA91" s="81">
        <v>0</v>
      </c>
      <c r="AB91" s="81">
        <f>SUM(Sal_23[[#This Row],[Saldo]]+Sal_23[[#This Row],[Adiantamento]])</f>
        <v>2000</v>
      </c>
      <c r="AC91" s="81">
        <v>0</v>
      </c>
      <c r="AD91" s="81"/>
      <c r="AE91" s="81"/>
      <c r="AF91" s="81"/>
      <c r="AG91" s="81">
        <f>Sal_23[[#This Row],[COMPRA]]*12%</f>
        <v>370.37759999999997</v>
      </c>
      <c r="AH91" s="83">
        <v>3086.48</v>
      </c>
      <c r="AI91" s="66" t="str">
        <f>PROPER(TEXT(Sal_23[[#This Row],[PROGRAMAÇÃO]],"mmm"))</f>
        <v>Jan</v>
      </c>
      <c r="AJ91" s="66">
        <f>YEAR(Sal_23[[#This Row],[PROGRAMAÇÃO]])</f>
        <v>2023</v>
      </c>
      <c r="AM91" s="66" t="s">
        <v>2768</v>
      </c>
      <c r="AN91" s="66" t="s">
        <v>2768</v>
      </c>
      <c r="AO91" s="66" t="s">
        <v>2768</v>
      </c>
    </row>
    <row r="92" spans="1:41" s="66" customFormat="1" ht="12.75" x14ac:dyDescent="0.2">
      <c r="A92" s="120" t="str">
        <f>Sal_23[[#This Row],[CONTAINER]]</f>
        <v>AMFU8942327</v>
      </c>
      <c r="B92" s="128" t="s">
        <v>2771</v>
      </c>
      <c r="C9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2" s="79">
        <v>44946.333333333336</v>
      </c>
      <c r="E92" s="44" t="s">
        <v>3194</v>
      </c>
      <c r="F92" s="66">
        <v>40</v>
      </c>
      <c r="G92" s="66" t="s">
        <v>2826</v>
      </c>
      <c r="H92" s="44" t="s">
        <v>3195</v>
      </c>
      <c r="I92" s="299" t="s">
        <v>2830</v>
      </c>
      <c r="J92" s="66">
        <v>117</v>
      </c>
      <c r="K92" s="66" t="s">
        <v>3174</v>
      </c>
      <c r="L92" s="66">
        <v>103043</v>
      </c>
      <c r="N92" s="66" t="s">
        <v>3196</v>
      </c>
      <c r="O92" s="66" t="s">
        <v>3197</v>
      </c>
      <c r="P92" s="66" t="s">
        <v>3444</v>
      </c>
      <c r="Q92" s="138" t="str">
        <f ca="1">IFERROR(LOOKUP($P92,MOTORISTAS!$D$3:$D$1048576,MOTORISTAS!E$3:E$916),"")</f>
        <v>03044141400</v>
      </c>
      <c r="R92" s="138" t="str">
        <f ca="1">IFERROR(LOOKUP($P92,MOTORISTAS!$D$3:$D$1048576,MOTORISTAS!F$3:F$916),"")</f>
        <v>00916251144</v>
      </c>
      <c r="S92" s="66">
        <v>3295</v>
      </c>
      <c r="T92" s="66" t="s">
        <v>293</v>
      </c>
      <c r="U92" s="79">
        <v>44946.208333333336</v>
      </c>
      <c r="V92" s="66" t="s">
        <v>469</v>
      </c>
      <c r="W92" s="79">
        <v>44946.576388888891</v>
      </c>
      <c r="X92" s="79">
        <v>44946.333333333336</v>
      </c>
      <c r="Y92" s="88">
        <v>44946.458333333336</v>
      </c>
      <c r="Z92" s="81">
        <v>1400</v>
      </c>
      <c r="AA92" s="81">
        <v>900</v>
      </c>
      <c r="AB92" s="81">
        <f>SUM(Sal_23[[#This Row],[Saldo]]+Sal_23[[#This Row],[Adiantamento]])</f>
        <v>2300</v>
      </c>
      <c r="AC92" s="81">
        <v>0</v>
      </c>
      <c r="AD92" s="81"/>
      <c r="AE92" s="81"/>
      <c r="AF92" s="81"/>
      <c r="AG92" s="81">
        <f>Sal_23[[#This Row],[COMPRA]]*12%</f>
        <v>392.15039999999999</v>
      </c>
      <c r="AH92" s="83">
        <v>3267.92</v>
      </c>
      <c r="AI92" s="66" t="str">
        <f>PROPER(TEXT(Sal_23[[#This Row],[PROGRAMAÇÃO]],"mmm"))</f>
        <v>Jan</v>
      </c>
      <c r="AJ92" s="66">
        <f>YEAR(Sal_23[[#This Row],[PROGRAMAÇÃO]])</f>
        <v>2023</v>
      </c>
      <c r="AM92" s="66" t="s">
        <v>2768</v>
      </c>
      <c r="AN92" s="66" t="s">
        <v>2768</v>
      </c>
      <c r="AO92" s="66" t="s">
        <v>2768</v>
      </c>
    </row>
    <row r="93" spans="1:41" s="66" customFormat="1" ht="12.75" x14ac:dyDescent="0.2">
      <c r="A93" s="120" t="str">
        <f>Sal_23[[#This Row],[CONTAINER]]</f>
        <v>TRHU2074280</v>
      </c>
      <c r="B93" s="128" t="s">
        <v>2771</v>
      </c>
      <c r="C9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3" s="79">
        <v>44949.333333333336</v>
      </c>
      <c r="E93" s="44" t="s">
        <v>3198</v>
      </c>
      <c r="F93" s="66">
        <v>20</v>
      </c>
      <c r="G93" s="44" t="s">
        <v>2837</v>
      </c>
      <c r="H93" s="44" t="s">
        <v>2837</v>
      </c>
      <c r="I93" s="299" t="s">
        <v>2821</v>
      </c>
      <c r="J93" s="66">
        <v>136</v>
      </c>
      <c r="K93" s="66" t="s">
        <v>3174</v>
      </c>
      <c r="L93" s="66">
        <v>103160</v>
      </c>
      <c r="N93" s="66" t="s">
        <v>2584</v>
      </c>
      <c r="O93" s="66" t="s">
        <v>2585</v>
      </c>
      <c r="P93" s="66" t="s">
        <v>2586</v>
      </c>
      <c r="Q93" s="138" t="str">
        <f ca="1">IFERROR(LOOKUP($P93,MOTORISTAS!$D$3:$D$1048576,MOTORISTAS!E$3:E$916),"")</f>
        <v>08312935860</v>
      </c>
      <c r="R93" s="138" t="str">
        <f ca="1">IFERROR(LOOKUP($P93,MOTORISTAS!$D$3:$D$1048576,MOTORISTAS!F$3:F$916),"")</f>
        <v>03106516083</v>
      </c>
      <c r="S93" s="66">
        <v>3299</v>
      </c>
      <c r="T93" s="66" t="s">
        <v>293</v>
      </c>
      <c r="U93" s="79">
        <v>44948.958333333336</v>
      </c>
      <c r="V93" s="66" t="s">
        <v>526</v>
      </c>
      <c r="W93" s="79">
        <v>44949.730555555558</v>
      </c>
      <c r="X93" s="79">
        <v>44949.25</v>
      </c>
      <c r="Y93" s="88">
        <v>44949.458333333336</v>
      </c>
      <c r="Z93" s="81">
        <v>1600</v>
      </c>
      <c r="AA93" s="81">
        <v>0</v>
      </c>
      <c r="AB93" s="81">
        <f>SUM(Sal_23[[#This Row],[Saldo]]+Sal_23[[#This Row],[Adiantamento]])</f>
        <v>1600</v>
      </c>
      <c r="AC93" s="81">
        <v>0</v>
      </c>
      <c r="AD93" s="81"/>
      <c r="AE93" s="81"/>
      <c r="AF93" s="81"/>
      <c r="AG93" s="81">
        <f>Sal_23[[#This Row],[COMPRA]]*12%</f>
        <v>311.55959999999999</v>
      </c>
      <c r="AH93" s="83">
        <v>2596.33</v>
      </c>
      <c r="AI93" s="66" t="str">
        <f>PROPER(TEXT(Sal_23[[#This Row],[PROGRAMAÇÃO]],"mmm"))</f>
        <v>Jan</v>
      </c>
      <c r="AJ93" s="66">
        <f>YEAR(Sal_23[[#This Row],[PROGRAMAÇÃO]])</f>
        <v>2023</v>
      </c>
      <c r="AM93" s="66" t="s">
        <v>295</v>
      </c>
      <c r="AN93" s="66" t="s">
        <v>2768</v>
      </c>
      <c r="AO93" s="66" t="s">
        <v>2768</v>
      </c>
    </row>
    <row r="94" spans="1:41" s="66" customFormat="1" ht="12.75" x14ac:dyDescent="0.2">
      <c r="A94" s="120" t="str">
        <f>Sal_23[[#This Row],[CONTAINER]]</f>
        <v>CAIU3403110</v>
      </c>
      <c r="B94" s="128" t="s">
        <v>2771</v>
      </c>
      <c r="C9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4" s="79">
        <v>44949.333333333336</v>
      </c>
      <c r="E94" s="44" t="s">
        <v>3199</v>
      </c>
      <c r="F94" s="66">
        <v>20</v>
      </c>
      <c r="G94" s="66" t="s">
        <v>2826</v>
      </c>
      <c r="H94" s="44" t="s">
        <v>3082</v>
      </c>
      <c r="I94" s="299" t="s">
        <v>3083</v>
      </c>
      <c r="J94" s="66">
        <v>132</v>
      </c>
      <c r="K94" s="66" t="s">
        <v>3174</v>
      </c>
      <c r="L94" s="66">
        <v>103074</v>
      </c>
      <c r="N94" s="66" t="s">
        <v>2156</v>
      </c>
      <c r="O94" s="66" t="s">
        <v>2464</v>
      </c>
      <c r="P94" s="66" t="s">
        <v>2158</v>
      </c>
      <c r="Q94" s="138" t="str">
        <f ca="1">IFERROR(LOOKUP($P94,MOTORISTAS!$D$3:$D$1048576,MOTORISTAS!E$3:E$916),"")</f>
        <v>10485530864</v>
      </c>
      <c r="R94" s="138" t="str">
        <f ca="1">IFERROR(LOOKUP($P94,MOTORISTAS!$D$3:$D$1048576,MOTORISTAS!F$3:F$916),"")</f>
        <v>02033192841</v>
      </c>
      <c r="S94" s="66">
        <v>3300</v>
      </c>
      <c r="T94" s="66" t="s">
        <v>293</v>
      </c>
      <c r="U94" s="79">
        <v>44948.958333333336</v>
      </c>
      <c r="V94" s="66" t="s">
        <v>469</v>
      </c>
      <c r="W94" s="79">
        <v>44949.730555555558</v>
      </c>
      <c r="X94" s="79">
        <v>44949.333333333336</v>
      </c>
      <c r="Y94" s="88">
        <v>44949.458333333336</v>
      </c>
      <c r="Z94" s="81">
        <v>2000</v>
      </c>
      <c r="AA94" s="81">
        <v>0</v>
      </c>
      <c r="AB94" s="81">
        <f>SUM(Sal_23[[#This Row],[Saldo]]+Sal_23[[#This Row],[Adiantamento]])</f>
        <v>2000</v>
      </c>
      <c r="AC94" s="81">
        <v>0</v>
      </c>
      <c r="AD94" s="81"/>
      <c r="AE94" s="81"/>
      <c r="AF94" s="81"/>
      <c r="AG94" s="81">
        <f>Sal_23[[#This Row],[COMPRA]]*12%</f>
        <v>355.75439999999998</v>
      </c>
      <c r="AH94" s="83">
        <v>2964.62</v>
      </c>
      <c r="AI94" s="66" t="str">
        <f>PROPER(TEXT(Sal_23[[#This Row],[PROGRAMAÇÃO]],"mmm"))</f>
        <v>Jan</v>
      </c>
      <c r="AJ94" s="66">
        <f>YEAR(Sal_23[[#This Row],[PROGRAMAÇÃO]])</f>
        <v>2023</v>
      </c>
      <c r="AM94" s="66" t="s">
        <v>2768</v>
      </c>
      <c r="AN94" s="66" t="s">
        <v>2768</v>
      </c>
      <c r="AO94" s="66" t="s">
        <v>2768</v>
      </c>
    </row>
    <row r="95" spans="1:41" s="66" customFormat="1" ht="12.75" x14ac:dyDescent="0.2">
      <c r="A95" s="120" t="str">
        <f>Sal_23[[#This Row],[CONTAINER]]</f>
        <v>FCIU4501211</v>
      </c>
      <c r="B95" s="128" t="s">
        <v>2771</v>
      </c>
      <c r="C9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5" s="79">
        <v>44949.375</v>
      </c>
      <c r="E95" s="44" t="s">
        <v>3200</v>
      </c>
      <c r="F95" s="66">
        <v>20</v>
      </c>
      <c r="G95" s="66" t="s">
        <v>2820</v>
      </c>
      <c r="H95" s="44" t="s">
        <v>2820</v>
      </c>
      <c r="I95" s="299" t="s">
        <v>2821</v>
      </c>
      <c r="J95" s="66">
        <v>221</v>
      </c>
      <c r="K95" s="66" t="s">
        <v>3174</v>
      </c>
      <c r="L95" s="66">
        <v>103158</v>
      </c>
      <c r="N95" s="66" t="s">
        <v>2859</v>
      </c>
      <c r="O95" s="66" t="s">
        <v>2860</v>
      </c>
      <c r="P95" s="66" t="s">
        <v>2861</v>
      </c>
      <c r="Q95" s="138" t="str">
        <f ca="1">IFERROR(LOOKUP($P95,MOTORISTAS!$D$3:$D$1048576,MOTORISTAS!E$3:E$916),"")</f>
        <v>01817591878</v>
      </c>
      <c r="R95" s="138" t="str">
        <f ca="1">IFERROR(LOOKUP($P95,MOTORISTAS!$D$3:$D$1048576,MOTORISTAS!F$3:F$916),"")</f>
        <v>00821760640</v>
      </c>
      <c r="S95" s="66">
        <v>3301</v>
      </c>
      <c r="T95" s="66" t="s">
        <v>293</v>
      </c>
      <c r="U95" s="79">
        <v>44948.958333333336</v>
      </c>
      <c r="V95" s="66" t="s">
        <v>3201</v>
      </c>
      <c r="W95" s="79">
        <v>44949.511805555558</v>
      </c>
      <c r="X95" s="79">
        <v>44949.354166666664</v>
      </c>
      <c r="Y95" s="88">
        <v>44949.458333333336</v>
      </c>
      <c r="Z95" s="81">
        <v>1600</v>
      </c>
      <c r="AA95" s="81">
        <v>0</v>
      </c>
      <c r="AB95" s="81">
        <f>SUM(Sal_23[[#This Row],[Saldo]]+Sal_23[[#This Row],[Adiantamento]])</f>
        <v>1600</v>
      </c>
      <c r="AC95" s="81">
        <v>0</v>
      </c>
      <c r="AD95" s="81"/>
      <c r="AE95" s="81"/>
      <c r="AF95" s="81"/>
      <c r="AG95" s="81">
        <f>Sal_23[[#This Row],[COMPRA]]*12%</f>
        <v>288</v>
      </c>
      <c r="AH95" s="83">
        <v>2400</v>
      </c>
      <c r="AI95" s="66" t="str">
        <f>PROPER(TEXT(Sal_23[[#This Row],[PROGRAMAÇÃO]],"mmm"))</f>
        <v>Jan</v>
      </c>
      <c r="AJ95" s="66">
        <f>YEAR(Sal_23[[#This Row],[PROGRAMAÇÃO]])</f>
        <v>2023</v>
      </c>
      <c r="AM95" s="66" t="s">
        <v>295</v>
      </c>
      <c r="AN95" s="66" t="s">
        <v>2768</v>
      </c>
      <c r="AO95" s="66" t="s">
        <v>2768</v>
      </c>
    </row>
    <row r="96" spans="1:41" s="66" customFormat="1" ht="12.75" x14ac:dyDescent="0.2">
      <c r="A96" s="120" t="str">
        <f>Sal_23[[#This Row],[CONTAINER]]</f>
        <v>TCNU6240468</v>
      </c>
      <c r="B96" s="128" t="s">
        <v>2771</v>
      </c>
      <c r="C9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6" s="79">
        <v>44949.375</v>
      </c>
      <c r="E96" s="44" t="s">
        <v>3202</v>
      </c>
      <c r="F96" s="66">
        <v>40</v>
      </c>
      <c r="G96" s="66" t="s">
        <v>2820</v>
      </c>
      <c r="H96" s="44" t="s">
        <v>2820</v>
      </c>
      <c r="I96" s="299" t="s">
        <v>2821</v>
      </c>
      <c r="J96" s="66" t="s">
        <v>3203</v>
      </c>
      <c r="K96" s="66" t="s">
        <v>3174</v>
      </c>
      <c r="L96" s="66">
        <v>103159</v>
      </c>
      <c r="M96" s="66">
        <v>103167</v>
      </c>
      <c r="N96" s="66" t="s">
        <v>3028</v>
      </c>
      <c r="O96" s="66" t="s">
        <v>2864</v>
      </c>
      <c r="P96" s="66" t="s">
        <v>3182</v>
      </c>
      <c r="Q96" s="138" t="str">
        <f ca="1">IFERROR(LOOKUP($P96,MOTORISTAS!$D$3:$D$1048576,MOTORISTAS!E$3:E$916),"")</f>
        <v>03605652476</v>
      </c>
      <c r="R96" s="138" t="str">
        <f ca="1">IFERROR(LOOKUP($P96,MOTORISTAS!$D$3:$D$1048576,MOTORISTAS!F$3:F$916),"")</f>
        <v>0091837259</v>
      </c>
      <c r="S96" s="66" t="s">
        <v>3204</v>
      </c>
      <c r="T96" s="66" t="s">
        <v>293</v>
      </c>
      <c r="U96" s="79">
        <v>44948.958333333336</v>
      </c>
      <c r="V96" s="66" t="s">
        <v>292</v>
      </c>
      <c r="W96" s="79">
        <v>44949.631944444445</v>
      </c>
      <c r="X96" s="79">
        <v>44949.25</v>
      </c>
      <c r="Y96" s="88">
        <v>44949.375</v>
      </c>
      <c r="Z96" s="81">
        <v>1600</v>
      </c>
      <c r="AA96" s="81">
        <v>0</v>
      </c>
      <c r="AB96" s="81">
        <f>SUM(Sal_23[[#This Row],[Saldo]]+Sal_23[[#This Row],[Adiantamento]])</f>
        <v>1600</v>
      </c>
      <c r="AC96" s="81">
        <v>0</v>
      </c>
      <c r="AD96" s="81"/>
      <c r="AE96" s="81"/>
      <c r="AF96" s="81"/>
      <c r="AG96" s="81">
        <f>Sal_23[[#This Row],[COMPRA]]*12%</f>
        <v>288</v>
      </c>
      <c r="AH96" s="83">
        <v>2400</v>
      </c>
      <c r="AI96" s="66" t="str">
        <f>PROPER(TEXT(Sal_23[[#This Row],[PROGRAMAÇÃO]],"mmm"))</f>
        <v>Jan</v>
      </c>
      <c r="AJ96" s="66">
        <f>YEAR(Sal_23[[#This Row],[PROGRAMAÇÃO]])</f>
        <v>2023</v>
      </c>
      <c r="AM96" s="66" t="s">
        <v>295</v>
      </c>
      <c r="AN96" s="66" t="s">
        <v>2768</v>
      </c>
      <c r="AO96" s="66" t="s">
        <v>2768</v>
      </c>
    </row>
    <row r="97" spans="1:41" s="66" customFormat="1" ht="12.75" x14ac:dyDescent="0.2">
      <c r="A97" s="120" t="str">
        <f>Sal_23[[#This Row],[CONTAINER]]</f>
        <v>CAIU8783347</v>
      </c>
      <c r="B97" s="128" t="s">
        <v>2771</v>
      </c>
      <c r="C9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7" s="79">
        <v>44949.333333333336</v>
      </c>
      <c r="E97" s="44" t="s">
        <v>3205</v>
      </c>
      <c r="F97" s="66">
        <v>40</v>
      </c>
      <c r="G97" s="66" t="s">
        <v>2826</v>
      </c>
      <c r="H97" s="44" t="s">
        <v>1674</v>
      </c>
      <c r="I97" s="299" t="s">
        <v>2829</v>
      </c>
      <c r="J97" s="66">
        <v>119</v>
      </c>
      <c r="K97" s="66" t="s">
        <v>3174</v>
      </c>
      <c r="L97" s="66">
        <v>103068</v>
      </c>
      <c r="M97" s="66">
        <v>103069</v>
      </c>
      <c r="N97" s="66" t="s">
        <v>1729</v>
      </c>
      <c r="O97" s="66" t="s">
        <v>2517</v>
      </c>
      <c r="P97" s="66" t="s">
        <v>3206</v>
      </c>
      <c r="Q97" s="138" t="str">
        <f ca="1">IFERROR(LOOKUP($P97,MOTORISTAS!$D$3:$D$1048576,MOTORISTAS!E$3:E$916),"")</f>
        <v>03965340824</v>
      </c>
      <c r="R97" s="138" t="str">
        <f ca="1">IFERROR(LOOKUP($P97,MOTORISTAS!$D$3:$D$1048576,MOTORISTAS!F$3:F$916),"")</f>
        <v>01420704735</v>
      </c>
      <c r="S97" s="66">
        <v>3302</v>
      </c>
      <c r="T97" s="66" t="s">
        <v>293</v>
      </c>
      <c r="U97" s="79">
        <v>44948.958333333336</v>
      </c>
      <c r="V97" s="66" t="s">
        <v>469</v>
      </c>
      <c r="W97" s="79">
        <v>44949.631944444445</v>
      </c>
      <c r="X97" s="79">
        <v>44949.291666666664</v>
      </c>
      <c r="Y97" s="88">
        <v>44949.458333333336</v>
      </c>
      <c r="Z97" s="81">
        <v>2500</v>
      </c>
      <c r="AA97" s="81">
        <v>900</v>
      </c>
      <c r="AB97" s="81">
        <f>SUM(Sal_23[[#This Row],[Saldo]]+Sal_23[[#This Row],[Adiantamento]])</f>
        <v>3400</v>
      </c>
      <c r="AC97" s="81">
        <v>0</v>
      </c>
      <c r="AD97" s="81"/>
      <c r="AE97" s="81"/>
      <c r="AF97" s="81"/>
      <c r="AG97" s="81">
        <f>Sal_23[[#This Row],[COMPRA]]*12%</f>
        <v>558.28440000000001</v>
      </c>
      <c r="AH97" s="83">
        <v>4652.37</v>
      </c>
      <c r="AI97" s="66" t="str">
        <f>PROPER(TEXT(Sal_23[[#This Row],[PROGRAMAÇÃO]],"mmm"))</f>
        <v>Jan</v>
      </c>
      <c r="AJ97" s="66">
        <f>YEAR(Sal_23[[#This Row],[PROGRAMAÇÃO]])</f>
        <v>2023</v>
      </c>
      <c r="AM97" s="66" t="s">
        <v>295</v>
      </c>
      <c r="AN97" s="66" t="s">
        <v>2768</v>
      </c>
      <c r="AO97" s="66" t="s">
        <v>2768</v>
      </c>
    </row>
    <row r="98" spans="1:41" s="66" customFormat="1" ht="12.75" x14ac:dyDescent="0.2">
      <c r="A98" s="120" t="str">
        <f>Sal_23[[#This Row],[CONTAINER]]</f>
        <v>TCLU8207348</v>
      </c>
      <c r="B98" s="128" t="s">
        <v>2771</v>
      </c>
      <c r="C9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8" s="79">
        <v>44950.333333333336</v>
      </c>
      <c r="E98" s="44" t="s">
        <v>3207</v>
      </c>
      <c r="F98" s="66">
        <v>40</v>
      </c>
      <c r="G98" s="66" t="s">
        <v>2826</v>
      </c>
      <c r="H98" s="44" t="s">
        <v>3318</v>
      </c>
      <c r="I98" s="299" t="s">
        <v>2831</v>
      </c>
      <c r="J98" s="66">
        <v>118</v>
      </c>
      <c r="K98" s="66" t="s">
        <v>3174</v>
      </c>
      <c r="L98" s="66">
        <v>103034</v>
      </c>
      <c r="N98" s="66" t="s">
        <v>210</v>
      </c>
      <c r="O98" s="66" t="s">
        <v>211</v>
      </c>
      <c r="P98" s="66" t="s">
        <v>212</v>
      </c>
      <c r="Q98" s="138" t="str">
        <f ca="1">IFERROR(LOOKUP($P98,MOTORISTAS!$D$3:$D$1048576,MOTORISTAS!E$3:E$916),"")</f>
        <v>38029906846</v>
      </c>
      <c r="R98" s="138" t="str">
        <f ca="1">IFERROR(LOOKUP($P98,MOTORISTAS!$D$3:$D$1048576,MOTORISTAS!F$3:F$916),"")</f>
        <v>04946846842</v>
      </c>
      <c r="S98" s="66">
        <v>3314</v>
      </c>
      <c r="T98" s="66" t="s">
        <v>293</v>
      </c>
      <c r="U98" s="79">
        <v>44949.625</v>
      </c>
      <c r="V98" s="66" t="s">
        <v>469</v>
      </c>
      <c r="W98" s="79">
        <v>44950.586111111108</v>
      </c>
      <c r="X98" s="79">
        <v>44950.291666666664</v>
      </c>
      <c r="Y98" s="88">
        <v>44950.458333333336</v>
      </c>
      <c r="Z98" s="81">
        <v>476.6</v>
      </c>
      <c r="AA98" s="81">
        <v>0</v>
      </c>
      <c r="AB98" s="81">
        <f>SUM(Sal_23[[#This Row],[Saldo]]+Sal_23[[#This Row],[Adiantamento]])</f>
        <v>476.6</v>
      </c>
      <c r="AC98" s="81">
        <v>0</v>
      </c>
      <c r="AD98" s="81">
        <v>3245.68</v>
      </c>
      <c r="AE98" s="81"/>
      <c r="AF98" s="81">
        <v>596.4</v>
      </c>
      <c r="AG98" s="81">
        <f>Sal_23[[#This Row],[COMPRA]]*12%</f>
        <v>523.91999999999996</v>
      </c>
      <c r="AH98" s="83">
        <v>4366</v>
      </c>
      <c r="AI98" s="66" t="str">
        <f>PROPER(TEXT(Sal_23[[#This Row],[PROGRAMAÇÃO]],"mmm"))</f>
        <v>Jan</v>
      </c>
      <c r="AJ98" s="66">
        <f>YEAR(Sal_23[[#This Row],[PROGRAMAÇÃO]])</f>
        <v>2023</v>
      </c>
      <c r="AM98" s="66" t="s">
        <v>2768</v>
      </c>
      <c r="AN98" s="66" t="s">
        <v>2768</v>
      </c>
      <c r="AO98" s="66" t="s">
        <v>2768</v>
      </c>
    </row>
    <row r="99" spans="1:41" s="66" customFormat="1" ht="12.75" x14ac:dyDescent="0.2">
      <c r="A99" s="120" t="str">
        <f>Sal_23[[#This Row],[CONTAINER]]</f>
        <v>SEGU1063105</v>
      </c>
      <c r="B99" s="128" t="s">
        <v>2771</v>
      </c>
      <c r="C9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99" s="79">
        <v>44950.333333333336</v>
      </c>
      <c r="E99" s="44" t="s">
        <v>3208</v>
      </c>
      <c r="F99" s="66">
        <v>20</v>
      </c>
      <c r="G99" s="66" t="s">
        <v>2826</v>
      </c>
      <c r="H99" s="44" t="s">
        <v>2827</v>
      </c>
      <c r="I99" s="299" t="s">
        <v>2823</v>
      </c>
      <c r="J99" s="66">
        <v>129</v>
      </c>
      <c r="K99" s="66" t="s">
        <v>3174</v>
      </c>
      <c r="L99" s="66">
        <v>103076</v>
      </c>
      <c r="N99" s="66" t="s">
        <v>2156</v>
      </c>
      <c r="O99" s="66" t="s">
        <v>2464</v>
      </c>
      <c r="P99" s="66" t="s">
        <v>2158</v>
      </c>
      <c r="Q99" s="138" t="str">
        <f ca="1">IFERROR(LOOKUP($P99,MOTORISTAS!$D$3:$D$1048576,MOTORISTAS!E$3:E$916),"")</f>
        <v>10485530864</v>
      </c>
      <c r="R99" s="138" t="str">
        <f ca="1">IFERROR(LOOKUP($P99,MOTORISTAS!$D$3:$D$1048576,MOTORISTAS!F$3:F$916),"")</f>
        <v>02033192841</v>
      </c>
      <c r="S99" s="66">
        <v>3306</v>
      </c>
      <c r="T99" s="66" t="s">
        <v>293</v>
      </c>
      <c r="U99" s="79">
        <v>44949.875</v>
      </c>
      <c r="V99" s="66" t="s">
        <v>469</v>
      </c>
      <c r="W99" s="79">
        <v>44950.586805555555</v>
      </c>
      <c r="X99" s="79">
        <v>44950.25</v>
      </c>
      <c r="Y99" s="88">
        <v>44950.458333333336</v>
      </c>
      <c r="Z99" s="81">
        <v>3200</v>
      </c>
      <c r="AA99" s="81">
        <v>0</v>
      </c>
      <c r="AB99" s="81">
        <f>SUM(Sal_23[[#This Row],[Saldo]]+Sal_23[[#This Row],[Adiantamento]])</f>
        <v>3200</v>
      </c>
      <c r="AC99" s="81">
        <v>0</v>
      </c>
      <c r="AD99" s="81"/>
      <c r="AE99" s="81"/>
      <c r="AF99" s="81"/>
      <c r="AG99" s="81">
        <f>Sal_23[[#This Row],[COMPRA]]*12%</f>
        <v>571.48680000000002</v>
      </c>
      <c r="AH99" s="83">
        <v>4762.3900000000003</v>
      </c>
      <c r="AI99" s="66" t="str">
        <f>PROPER(TEXT(Sal_23[[#This Row],[PROGRAMAÇÃO]],"mmm"))</f>
        <v>Jan</v>
      </c>
      <c r="AJ99" s="66">
        <f>YEAR(Sal_23[[#This Row],[PROGRAMAÇÃO]])</f>
        <v>2023</v>
      </c>
      <c r="AM99" s="66" t="s">
        <v>2768</v>
      </c>
      <c r="AN99" s="66" t="s">
        <v>2768</v>
      </c>
      <c r="AO99" s="66" t="s">
        <v>2768</v>
      </c>
    </row>
    <row r="100" spans="1:41" s="66" customFormat="1" ht="12.75" x14ac:dyDescent="0.2">
      <c r="A100" s="120" t="str">
        <f>Sal_23[[#This Row],[CONTAINER]]</f>
        <v>TCLU2965593</v>
      </c>
      <c r="B100" s="128" t="s">
        <v>2771</v>
      </c>
      <c r="C10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00" s="79">
        <v>44950.333333333336</v>
      </c>
      <c r="E100" s="44" t="s">
        <v>3209</v>
      </c>
      <c r="F100" s="66">
        <v>20</v>
      </c>
      <c r="G100" s="66" t="s">
        <v>2826</v>
      </c>
      <c r="H100" s="44" t="s">
        <v>2827</v>
      </c>
      <c r="I100" s="299" t="s">
        <v>2823</v>
      </c>
      <c r="J100" s="66">
        <v>128</v>
      </c>
      <c r="K100" s="66" t="s">
        <v>3174</v>
      </c>
      <c r="L100" s="66">
        <v>103077</v>
      </c>
      <c r="N100" s="66" t="s">
        <v>3040</v>
      </c>
      <c r="O100" s="66" t="s">
        <v>3041</v>
      </c>
      <c r="P100" s="66" t="s">
        <v>3042</v>
      </c>
      <c r="Q100" s="138" t="str">
        <f ca="1">IFERROR(LOOKUP($P100,MOTORISTAS!$D$3:$D$1048576,MOTORISTAS!E$3:E$916),"")</f>
        <v>19279658883</v>
      </c>
      <c r="R100" s="138" t="str">
        <f ca="1">IFERROR(LOOKUP($P100,MOTORISTAS!$D$3:$D$1048576,MOTORISTAS!F$3:F$916),"")</f>
        <v>01301319672</v>
      </c>
      <c r="S100" s="66">
        <v>3307</v>
      </c>
      <c r="T100" s="66" t="s">
        <v>293</v>
      </c>
      <c r="U100" s="79">
        <v>44949.875</v>
      </c>
      <c r="V100" s="66" t="s">
        <v>469</v>
      </c>
      <c r="W100" s="79">
        <v>44950.59097222222</v>
      </c>
      <c r="X100" s="79">
        <v>44950.25</v>
      </c>
      <c r="Y100" s="88">
        <v>44950.458333333336</v>
      </c>
      <c r="Z100" s="81">
        <v>3200</v>
      </c>
      <c r="AA100" s="81">
        <v>0</v>
      </c>
      <c r="AB100" s="81">
        <f>SUM(Sal_23[[#This Row],[Saldo]]+Sal_23[[#This Row],[Adiantamento]])</f>
        <v>3200</v>
      </c>
      <c r="AC100" s="81">
        <v>0</v>
      </c>
      <c r="AD100" s="81"/>
      <c r="AE100" s="81"/>
      <c r="AF100" s="81"/>
      <c r="AG100" s="81">
        <f>Sal_23[[#This Row],[COMPRA]]*12%</f>
        <v>571.48680000000002</v>
      </c>
      <c r="AH100" s="83">
        <v>4762.3900000000003</v>
      </c>
      <c r="AI100" s="66" t="str">
        <f>PROPER(TEXT(Sal_23[[#This Row],[PROGRAMAÇÃO]],"mmm"))</f>
        <v>Jan</v>
      </c>
      <c r="AJ100" s="66">
        <f>YEAR(Sal_23[[#This Row],[PROGRAMAÇÃO]])</f>
        <v>2023</v>
      </c>
      <c r="AM100" s="66" t="s">
        <v>2768</v>
      </c>
      <c r="AN100" s="66" t="s">
        <v>2768</v>
      </c>
      <c r="AO100" s="66" t="s">
        <v>2768</v>
      </c>
    </row>
    <row r="101" spans="1:41" s="66" customFormat="1" ht="12.75" x14ac:dyDescent="0.2">
      <c r="A101" s="120" t="str">
        <f>Sal_23[[#This Row],[CONTAINER]]</f>
        <v>TCLU3461848</v>
      </c>
      <c r="B101" s="128" t="s">
        <v>2771</v>
      </c>
      <c r="C10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01" s="79">
        <v>44950.333333333336</v>
      </c>
      <c r="E101" s="44" t="s">
        <v>3210</v>
      </c>
      <c r="F101" s="66">
        <v>20</v>
      </c>
      <c r="G101" s="44" t="s">
        <v>2837</v>
      </c>
      <c r="H101" s="44" t="s">
        <v>2837</v>
      </c>
      <c r="I101" s="299" t="s">
        <v>2821</v>
      </c>
      <c r="J101" s="66">
        <v>127</v>
      </c>
      <c r="K101" s="66" t="s">
        <v>3174</v>
      </c>
      <c r="L101" s="66">
        <v>112039</v>
      </c>
      <c r="N101" s="66" t="s">
        <v>2949</v>
      </c>
      <c r="O101" s="66" t="s">
        <v>2950</v>
      </c>
      <c r="P101" s="66" t="s">
        <v>2948</v>
      </c>
      <c r="Q101" s="138" t="str">
        <f ca="1">IFERROR(LOOKUP($P101,MOTORISTAS!$D$3:$D$1048576,MOTORISTAS!E$3:E$916),"")</f>
        <v>16239341843</v>
      </c>
      <c r="R101" s="138" t="str">
        <f ca="1">IFERROR(LOOKUP($P101,MOTORISTAS!$D$3:$D$1048576,MOTORISTAS!F$3:F$916),"")</f>
        <v>01877235038</v>
      </c>
      <c r="S101" s="66">
        <v>3308</v>
      </c>
      <c r="T101" s="66" t="s">
        <v>293</v>
      </c>
      <c r="U101" s="79">
        <v>44949.875</v>
      </c>
      <c r="V101" s="66" t="s">
        <v>526</v>
      </c>
      <c r="W101" s="79">
        <v>44950.496527777781</v>
      </c>
      <c r="X101" s="79">
        <v>44950.208333333336</v>
      </c>
      <c r="Y101" s="88">
        <v>44950.375</v>
      </c>
      <c r="Z101" s="81">
        <v>1600</v>
      </c>
      <c r="AA101" s="81">
        <v>0</v>
      </c>
      <c r="AB101" s="81">
        <f>SUM(Sal_23[[#This Row],[Saldo]]+Sal_23[[#This Row],[Adiantamento]])</f>
        <v>1600</v>
      </c>
      <c r="AC101" s="81">
        <v>0</v>
      </c>
      <c r="AD101" s="81"/>
      <c r="AE101" s="81"/>
      <c r="AF101" s="81"/>
      <c r="AG101" s="81">
        <f>Sal_23[[#This Row],[COMPRA]]*12%</f>
        <v>311.55959999999999</v>
      </c>
      <c r="AH101" s="83">
        <v>2596.33</v>
      </c>
      <c r="AI101" s="66" t="str">
        <f>PROPER(TEXT(Sal_23[[#This Row],[PROGRAMAÇÃO]],"mmm"))</f>
        <v>Jan</v>
      </c>
      <c r="AJ101" s="66">
        <f>YEAR(Sal_23[[#This Row],[PROGRAMAÇÃO]])</f>
        <v>2023</v>
      </c>
      <c r="AM101" s="66" t="s">
        <v>2768</v>
      </c>
      <c r="AN101" s="66" t="s">
        <v>2768</v>
      </c>
      <c r="AO101" s="66" t="s">
        <v>2768</v>
      </c>
    </row>
    <row r="102" spans="1:41" s="66" customFormat="1" ht="12.75" x14ac:dyDescent="0.2">
      <c r="A102" s="120" t="str">
        <f>Sal_23[[#This Row],[CONTAINER]]</f>
        <v>CAIU3159220</v>
      </c>
      <c r="B102" s="128" t="s">
        <v>2771</v>
      </c>
      <c r="C10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02" s="79">
        <v>44950.333333333336</v>
      </c>
      <c r="E102" s="44" t="s">
        <v>3211</v>
      </c>
      <c r="F102" s="66">
        <v>20</v>
      </c>
      <c r="G102" s="44" t="s">
        <v>2837</v>
      </c>
      <c r="H102" s="44" t="s">
        <v>2837</v>
      </c>
      <c r="I102" s="299" t="s">
        <v>2821</v>
      </c>
      <c r="J102" s="66">
        <v>126</v>
      </c>
      <c r="K102" s="66" t="s">
        <v>3174</v>
      </c>
      <c r="L102" s="66">
        <v>112038</v>
      </c>
      <c r="M102" s="66">
        <v>103017</v>
      </c>
      <c r="N102" s="66" t="s">
        <v>2584</v>
      </c>
      <c r="O102" s="66" t="s">
        <v>2585</v>
      </c>
      <c r="P102" s="66" t="s">
        <v>2586</v>
      </c>
      <c r="Q102" s="138" t="str">
        <f ca="1">IFERROR(LOOKUP($P102,MOTORISTAS!$D$3:$D$1048576,MOTORISTAS!E$3:E$916),"")</f>
        <v>08312935860</v>
      </c>
      <c r="R102" s="138" t="str">
        <f ca="1">IFERROR(LOOKUP($P102,MOTORISTAS!$D$3:$D$1048576,MOTORISTAS!F$3:F$916),"")</f>
        <v>03106516083</v>
      </c>
      <c r="S102" s="66" t="s">
        <v>3212</v>
      </c>
      <c r="T102" s="66" t="s">
        <v>293</v>
      </c>
      <c r="U102" s="79">
        <v>44949.875</v>
      </c>
      <c r="V102" s="66" t="s">
        <v>292</v>
      </c>
      <c r="W102" s="79">
        <v>44950.598611111112</v>
      </c>
      <c r="X102" s="79">
        <v>44950.208333333336</v>
      </c>
      <c r="Y102" s="88">
        <v>44950.416666666664</v>
      </c>
      <c r="Z102" s="81">
        <v>1600</v>
      </c>
      <c r="AA102" s="81">
        <v>0</v>
      </c>
      <c r="AB102" s="81">
        <f>SUM(Sal_23[[#This Row],[Saldo]]+Sal_23[[#This Row],[Adiantamento]])</f>
        <v>1600</v>
      </c>
      <c r="AC102" s="81">
        <v>0</v>
      </c>
      <c r="AD102" s="81"/>
      <c r="AE102" s="81"/>
      <c r="AF102" s="81"/>
      <c r="AG102" s="81">
        <f>Sal_23[[#This Row],[COMPRA]]*12%</f>
        <v>311.55959999999999</v>
      </c>
      <c r="AH102" s="83">
        <v>2596.33</v>
      </c>
      <c r="AI102" s="66" t="str">
        <f>PROPER(TEXT(Sal_23[[#This Row],[PROGRAMAÇÃO]],"mmm"))</f>
        <v>Jan</v>
      </c>
      <c r="AJ102" s="66">
        <f>YEAR(Sal_23[[#This Row],[PROGRAMAÇÃO]])</f>
        <v>2023</v>
      </c>
      <c r="AM102" s="66" t="s">
        <v>2768</v>
      </c>
      <c r="AN102" s="66" t="s">
        <v>2768</v>
      </c>
      <c r="AO102" s="66" t="s">
        <v>2768</v>
      </c>
    </row>
    <row r="103" spans="1:41" s="66" customFormat="1" ht="12.75" x14ac:dyDescent="0.2">
      <c r="A103" s="120" t="str">
        <f>Sal_23[[#This Row],[CONTAINER]]</f>
        <v>CAIU3410525</v>
      </c>
      <c r="B103" s="128" t="s">
        <v>2771</v>
      </c>
      <c r="C10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03" s="79">
        <v>44950.333333333336</v>
      </c>
      <c r="E103" s="44" t="s">
        <v>3213</v>
      </c>
      <c r="F103" s="66">
        <v>20</v>
      </c>
      <c r="G103" s="66" t="s">
        <v>2826</v>
      </c>
      <c r="H103" s="44" t="s">
        <v>3116</v>
      </c>
      <c r="I103" s="299" t="s">
        <v>3117</v>
      </c>
      <c r="J103" s="66">
        <v>131</v>
      </c>
      <c r="K103" s="66" t="s">
        <v>3174</v>
      </c>
      <c r="L103" s="66">
        <v>112155</v>
      </c>
      <c r="N103" s="66" t="s">
        <v>3214</v>
      </c>
      <c r="O103" s="66" t="s">
        <v>2509</v>
      </c>
      <c r="P103" s="66" t="s">
        <v>2510</v>
      </c>
      <c r="Q103" s="138" t="str">
        <f ca="1">IFERROR(LOOKUP($P103,MOTORISTAS!$D$3:$D$1048576,MOTORISTAS!E$3:E$916),"")</f>
        <v>15818591808</v>
      </c>
      <c r="R103" s="138" t="str">
        <f ca="1">IFERROR(LOOKUP($P103,MOTORISTAS!$D$3:$D$1048576,MOTORISTAS!F$3:F$916),"")</f>
        <v>02670671608</v>
      </c>
      <c r="S103" s="66">
        <v>3311</v>
      </c>
      <c r="T103" s="66" t="s">
        <v>293</v>
      </c>
      <c r="U103" s="79">
        <v>44949.875</v>
      </c>
      <c r="V103" s="66" t="s">
        <v>469</v>
      </c>
      <c r="W103" s="79">
        <v>44950.656944444447</v>
      </c>
      <c r="X103" s="79">
        <v>44950.25</v>
      </c>
      <c r="Y103" s="88">
        <v>44950.458333333336</v>
      </c>
      <c r="Z103" s="81">
        <v>2200</v>
      </c>
      <c r="AA103" s="81">
        <v>0</v>
      </c>
      <c r="AB103" s="81">
        <f>SUM(Sal_23[[#This Row],[Saldo]]+Sal_23[[#This Row],[Adiantamento]])</f>
        <v>2200</v>
      </c>
      <c r="AC103" s="81">
        <v>0</v>
      </c>
      <c r="AD103" s="81"/>
      <c r="AE103" s="81"/>
      <c r="AF103" s="81"/>
      <c r="AG103" s="81">
        <f>Sal_23[[#This Row],[COMPRA]]*12%</f>
        <v>510.26519999999999</v>
      </c>
      <c r="AH103" s="83">
        <v>4252.21</v>
      </c>
      <c r="AI103" s="66" t="str">
        <f>PROPER(TEXT(Sal_23[[#This Row],[PROGRAMAÇÃO]],"mmm"))</f>
        <v>Jan</v>
      </c>
      <c r="AJ103" s="66">
        <f>YEAR(Sal_23[[#This Row],[PROGRAMAÇÃO]])</f>
        <v>2023</v>
      </c>
      <c r="AM103" s="66" t="s">
        <v>2768</v>
      </c>
      <c r="AN103" s="66" t="s">
        <v>2768</v>
      </c>
      <c r="AO103" s="66" t="s">
        <v>2768</v>
      </c>
    </row>
    <row r="104" spans="1:41" s="66" customFormat="1" ht="12.75" x14ac:dyDescent="0.2">
      <c r="A104" s="120" t="str">
        <f>Sal_23[[#This Row],[CONTAINER]]</f>
        <v>TCLU3040690</v>
      </c>
      <c r="B104" s="128" t="s">
        <v>2771</v>
      </c>
      <c r="C10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04" s="79">
        <v>44950.333333333336</v>
      </c>
      <c r="E104" s="44" t="s">
        <v>3215</v>
      </c>
      <c r="F104" s="66">
        <v>20</v>
      </c>
      <c r="G104" s="66" t="s">
        <v>2826</v>
      </c>
      <c r="H104" s="44" t="s">
        <v>3116</v>
      </c>
      <c r="I104" s="299" t="s">
        <v>3117</v>
      </c>
      <c r="J104" s="66">
        <v>130</v>
      </c>
      <c r="K104" s="66" t="s">
        <v>3174</v>
      </c>
      <c r="L104" s="66">
        <v>112156</v>
      </c>
      <c r="N104" s="66" t="s">
        <v>2498</v>
      </c>
      <c r="O104" s="66" t="s">
        <v>2499</v>
      </c>
      <c r="P104" s="66" t="s">
        <v>2500</v>
      </c>
      <c r="Q104" s="138" t="str">
        <f ca="1">IFERROR(LOOKUP($P104,MOTORISTAS!$D$3:$D$1048576,MOTORISTAS!E$3:E$916),"")</f>
        <v>10838670830</v>
      </c>
      <c r="R104" s="138" t="str">
        <f ca="1">IFERROR(LOOKUP($P104,MOTORISTAS!$D$3:$D$1048576,MOTORISTAS!F$3:F$916),"")</f>
        <v>01808675938</v>
      </c>
      <c r="S104" s="66">
        <v>3317</v>
      </c>
      <c r="T104" s="66" t="s">
        <v>293</v>
      </c>
      <c r="U104" s="79">
        <v>44949.875</v>
      </c>
      <c r="V104" s="66" t="s">
        <v>469</v>
      </c>
      <c r="W104" s="79">
        <v>44946.291666666664</v>
      </c>
      <c r="X104" s="79">
        <v>44950.25</v>
      </c>
      <c r="Y104" s="88">
        <v>44950.458333333336</v>
      </c>
      <c r="Z104" s="81">
        <v>2200</v>
      </c>
      <c r="AA104" s="81">
        <v>0</v>
      </c>
      <c r="AB104" s="81">
        <f>SUM(Sal_23[[#This Row],[Saldo]]+Sal_23[[#This Row],[Adiantamento]])</f>
        <v>2200</v>
      </c>
      <c r="AC104" s="81">
        <v>0</v>
      </c>
      <c r="AD104" s="81"/>
      <c r="AE104" s="81"/>
      <c r="AF104" s="81"/>
      <c r="AG104" s="81">
        <f>Sal_23[[#This Row],[COMPRA]]*12%</f>
        <v>510.26519999999999</v>
      </c>
      <c r="AH104" s="83">
        <v>4252.21</v>
      </c>
      <c r="AI104" s="66" t="str">
        <f>PROPER(TEXT(Sal_23[[#This Row],[PROGRAMAÇÃO]],"mmm"))</f>
        <v>Jan</v>
      </c>
      <c r="AJ104" s="66">
        <f>YEAR(Sal_23[[#This Row],[PROGRAMAÇÃO]])</f>
        <v>2023</v>
      </c>
      <c r="AM104" s="66" t="s">
        <v>2768</v>
      </c>
      <c r="AN104" s="66" t="s">
        <v>2768</v>
      </c>
      <c r="AO104" s="66" t="s">
        <v>2768</v>
      </c>
    </row>
    <row r="105" spans="1:41" s="66" customFormat="1" ht="12.75" x14ac:dyDescent="0.2">
      <c r="A105" s="120" t="str">
        <f>Sal_23[[#This Row],[CONTAINER]]</f>
        <v>GESU1307212</v>
      </c>
      <c r="B105" s="128" t="s">
        <v>2771</v>
      </c>
      <c r="C10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05" s="79">
        <v>44945.291666666664</v>
      </c>
      <c r="E105" s="44" t="s">
        <v>3216</v>
      </c>
      <c r="F105" s="66">
        <v>20</v>
      </c>
      <c r="G105" s="66" t="s">
        <v>2808</v>
      </c>
      <c r="H105" s="44" t="s">
        <v>2808</v>
      </c>
      <c r="I105" s="299" t="s">
        <v>3036</v>
      </c>
      <c r="J105" s="66" t="s">
        <v>3217</v>
      </c>
      <c r="K105" s="66" t="s">
        <v>3174</v>
      </c>
      <c r="L105" s="66">
        <v>7212</v>
      </c>
      <c r="N105" s="66" t="s">
        <v>2498</v>
      </c>
      <c r="O105" s="66" t="s">
        <v>2499</v>
      </c>
      <c r="P105" s="66" t="s">
        <v>2500</v>
      </c>
      <c r="Q105" s="138" t="str">
        <f ca="1">IFERROR(LOOKUP($P105,MOTORISTAS!$D$3:$D$1048576,MOTORISTAS!E$3:E$916),"")</f>
        <v>10838670830</v>
      </c>
      <c r="R105" s="138" t="str">
        <f ca="1">IFERROR(LOOKUP($P105,MOTORISTAS!$D$3:$D$1048576,MOTORISTAS!F$3:F$916),"")</f>
        <v>01808675938</v>
      </c>
      <c r="S105" s="66">
        <v>3284</v>
      </c>
      <c r="T105" s="66" t="s">
        <v>293</v>
      </c>
      <c r="U105" s="79">
        <v>44945.208333333336</v>
      </c>
      <c r="V105" s="66" t="s">
        <v>537</v>
      </c>
      <c r="W105" s="79">
        <v>44947.293749999997</v>
      </c>
      <c r="X105" s="79">
        <v>44945.333333333336</v>
      </c>
      <c r="Y105" s="88">
        <v>44945.458333333336</v>
      </c>
      <c r="Z105" s="81">
        <v>2200</v>
      </c>
      <c r="AA105" s="81">
        <v>200</v>
      </c>
      <c r="AB105" s="81">
        <f>SUM(Sal_23[[#This Row],[Saldo]]+Sal_23[[#This Row],[Adiantamento]])</f>
        <v>2400</v>
      </c>
      <c r="AC105" s="81">
        <v>0</v>
      </c>
      <c r="AD105" s="81"/>
      <c r="AE105" s="81"/>
      <c r="AF105" s="81"/>
      <c r="AG105" s="81">
        <f>Sal_23[[#This Row],[COMPRA]]*12%</f>
        <v>414</v>
      </c>
      <c r="AH105" s="83">
        <v>3450</v>
      </c>
      <c r="AI105" s="66" t="str">
        <f>PROPER(TEXT(Sal_23[[#This Row],[PROGRAMAÇÃO]],"mmm"))</f>
        <v>Jan</v>
      </c>
      <c r="AJ105" s="66">
        <f>YEAR(Sal_23[[#This Row],[PROGRAMAÇÃO]])</f>
        <v>2023</v>
      </c>
      <c r="AL105" s="44" t="s">
        <v>3346</v>
      </c>
      <c r="AM105" s="66" t="s">
        <v>2768</v>
      </c>
      <c r="AN105" s="66" t="s">
        <v>2768</v>
      </c>
      <c r="AO105" s="66" t="s">
        <v>2768</v>
      </c>
    </row>
    <row r="106" spans="1:41" s="66" customFormat="1" ht="12.75" x14ac:dyDescent="0.2">
      <c r="A106" s="120" t="str">
        <f>Sal_23[[#This Row],[CONTAINER]]</f>
        <v>ECMU1730823</v>
      </c>
      <c r="B106" s="128" t="s">
        <v>2771</v>
      </c>
      <c r="C10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06" s="79">
        <v>44946.291666666664</v>
      </c>
      <c r="E106" s="44" t="s">
        <v>3218</v>
      </c>
      <c r="F106" s="66">
        <v>20</v>
      </c>
      <c r="G106" s="66" t="s">
        <v>2808</v>
      </c>
      <c r="H106" s="44" t="s">
        <v>2808</v>
      </c>
      <c r="I106" s="299" t="s">
        <v>3036</v>
      </c>
      <c r="J106" s="66" t="s">
        <v>3219</v>
      </c>
      <c r="K106" s="66" t="s">
        <v>3174</v>
      </c>
      <c r="L106" s="66">
        <v>7213</v>
      </c>
      <c r="N106" s="66" t="s">
        <v>2498</v>
      </c>
      <c r="O106" s="66" t="s">
        <v>2499</v>
      </c>
      <c r="P106" s="66" t="s">
        <v>2500</v>
      </c>
      <c r="Q106" s="138" t="str">
        <f ca="1">IFERROR(LOOKUP($P106,MOTORISTAS!$D$3:$D$1048576,MOTORISTAS!E$3:E$916),"")</f>
        <v>10838670830</v>
      </c>
      <c r="R106" s="138" t="str">
        <f ca="1">IFERROR(LOOKUP($P106,MOTORISTAS!$D$3:$D$1048576,MOTORISTAS!F$3:F$916),"")</f>
        <v>01808675938</v>
      </c>
      <c r="S106" s="66">
        <v>3296</v>
      </c>
      <c r="T106" s="66" t="s">
        <v>293</v>
      </c>
      <c r="U106" s="79">
        <v>44946.375</v>
      </c>
      <c r="V106" s="66" t="s">
        <v>537</v>
      </c>
      <c r="W106" s="79">
        <v>44947.30972222222</v>
      </c>
      <c r="X106" s="79">
        <v>44946.458333333336</v>
      </c>
      <c r="Y106" s="88">
        <v>44946.625</v>
      </c>
      <c r="Z106" s="81">
        <v>2400</v>
      </c>
      <c r="AA106" s="81">
        <v>0</v>
      </c>
      <c r="AB106" s="81">
        <f>SUM(Sal_23[[#This Row],[Saldo]]+Sal_23[[#This Row],[Adiantamento]])</f>
        <v>2400</v>
      </c>
      <c r="AC106" s="81">
        <v>0</v>
      </c>
      <c r="AD106" s="81"/>
      <c r="AE106" s="81"/>
      <c r="AF106" s="81"/>
      <c r="AG106" s="81">
        <f>Sal_23[[#This Row],[COMPRA]]*12%</f>
        <v>414</v>
      </c>
      <c r="AH106" s="83">
        <v>3450</v>
      </c>
      <c r="AI106" s="66" t="str">
        <f>PROPER(TEXT(Sal_23[[#This Row],[PROGRAMAÇÃO]],"mmm"))</f>
        <v>Jan</v>
      </c>
      <c r="AJ106" s="66">
        <f>YEAR(Sal_23[[#This Row],[PROGRAMAÇÃO]])</f>
        <v>2023</v>
      </c>
      <c r="AL106" s="44" t="s">
        <v>3346</v>
      </c>
      <c r="AM106" s="66" t="s">
        <v>2768</v>
      </c>
      <c r="AN106" s="66" t="s">
        <v>2768</v>
      </c>
      <c r="AO106" s="66" t="s">
        <v>2768</v>
      </c>
    </row>
    <row r="107" spans="1:41" s="66" customFormat="1" ht="12.75" x14ac:dyDescent="0.2">
      <c r="A107" s="120" t="str">
        <f>Sal_23[[#This Row],[CONTAINER]]</f>
        <v>CMAU5196014</v>
      </c>
      <c r="B107" s="128" t="s">
        <v>2771</v>
      </c>
      <c r="C10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07" s="79">
        <v>44946.291666666664</v>
      </c>
      <c r="E107" s="44" t="s">
        <v>3220</v>
      </c>
      <c r="F107" s="66">
        <v>40</v>
      </c>
      <c r="G107" s="66" t="s">
        <v>2808</v>
      </c>
      <c r="H107" s="44" t="s">
        <v>2887</v>
      </c>
      <c r="I107" s="299" t="s">
        <v>2831</v>
      </c>
      <c r="J107" s="66" t="s">
        <v>3221</v>
      </c>
      <c r="K107" s="66" t="s">
        <v>3174</v>
      </c>
      <c r="L107" s="66">
        <v>7531</v>
      </c>
      <c r="N107" s="66" t="s">
        <v>210</v>
      </c>
      <c r="O107" s="66" t="s">
        <v>1968</v>
      </c>
      <c r="P107" s="66" t="s">
        <v>212</v>
      </c>
      <c r="Q107" s="138" t="str">
        <f ca="1">IFERROR(LOOKUP($P107,MOTORISTAS!$D$3:$D$1048576,MOTORISTAS!E$3:E$916),"")</f>
        <v>38029906846</v>
      </c>
      <c r="R107" s="138" t="str">
        <f ca="1">IFERROR(LOOKUP($P107,MOTORISTAS!$D$3:$D$1048576,MOTORISTAS!F$3:F$916),"")</f>
        <v>04946846842</v>
      </c>
      <c r="S107" s="66" t="s">
        <v>3222</v>
      </c>
      <c r="T107" s="66" t="s">
        <v>293</v>
      </c>
      <c r="U107" s="79">
        <v>44946</v>
      </c>
      <c r="V107" s="66" t="s">
        <v>293</v>
      </c>
      <c r="W107" s="79">
        <v>44949.559027777781</v>
      </c>
      <c r="X107" s="79">
        <v>44946.25</v>
      </c>
      <c r="Y107" s="88">
        <v>44946.458333333336</v>
      </c>
      <c r="Z107" s="81">
        <v>518.6</v>
      </c>
      <c r="AA107" s="81">
        <v>0</v>
      </c>
      <c r="AB107" s="81">
        <f>SUM(Sal_23[[#This Row],[Saldo]]+Sal_23[[#This Row],[Adiantamento]])</f>
        <v>518.6</v>
      </c>
      <c r="AC107" s="81">
        <v>0</v>
      </c>
      <c r="AD107" s="81"/>
      <c r="AE107" s="81"/>
      <c r="AF107" s="81"/>
      <c r="AG107" s="81">
        <f>Sal_23[[#This Row],[COMPRA]]*12%</f>
        <v>0</v>
      </c>
      <c r="AH107" s="83"/>
      <c r="AI107" s="66" t="str">
        <f>PROPER(TEXT(Sal_23[[#This Row],[PROGRAMAÇÃO]],"mmm"))</f>
        <v>Jan</v>
      </c>
      <c r="AJ107" s="66">
        <f>YEAR(Sal_23[[#This Row],[PROGRAMAÇÃO]])</f>
        <v>2023</v>
      </c>
      <c r="AM107" s="66" t="s">
        <v>2768</v>
      </c>
      <c r="AN107" s="66" t="s">
        <v>2768</v>
      </c>
      <c r="AO107" s="66" t="s">
        <v>2768</v>
      </c>
    </row>
    <row r="108" spans="1:41" s="66" customFormat="1" ht="12.75" x14ac:dyDescent="0.2">
      <c r="A108" s="120" t="str">
        <f>Sal_23[[#This Row],[CONTAINER]]</f>
        <v>TGHU8860665</v>
      </c>
      <c r="B108" s="128" t="s">
        <v>2771</v>
      </c>
      <c r="C10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08" s="79">
        <v>44949.291666666664</v>
      </c>
      <c r="E108" s="44" t="s">
        <v>3223</v>
      </c>
      <c r="F108" s="66">
        <v>40</v>
      </c>
      <c r="G108" s="66" t="s">
        <v>2808</v>
      </c>
      <c r="H108" s="44" t="s">
        <v>3154</v>
      </c>
      <c r="I108" s="299" t="s">
        <v>3155</v>
      </c>
      <c r="J108" s="66" t="s">
        <v>3224</v>
      </c>
      <c r="K108" s="66" t="s">
        <v>3174</v>
      </c>
      <c r="L108" s="66">
        <v>7522</v>
      </c>
      <c r="N108" s="66" t="s">
        <v>92</v>
      </c>
      <c r="O108" s="66" t="s">
        <v>93</v>
      </c>
      <c r="P108" s="66" t="s">
        <v>94</v>
      </c>
      <c r="Q108" s="138" t="str">
        <f ca="1">IFERROR(LOOKUP($P108,MOTORISTAS!$D$3:$D$1048576,MOTORISTAS!E$3:E$916),"")</f>
        <v>26283419801</v>
      </c>
      <c r="R108" s="138" t="str">
        <f ca="1">IFERROR(LOOKUP($P108,MOTORISTAS!$D$3:$D$1048576,MOTORISTAS!F$3:F$916),"")</f>
        <v>02002046946</v>
      </c>
      <c r="S108" s="66">
        <v>3305</v>
      </c>
      <c r="T108" s="66" t="s">
        <v>293</v>
      </c>
      <c r="U108" s="79">
        <v>44949</v>
      </c>
      <c r="V108" s="66" t="s">
        <v>3201</v>
      </c>
      <c r="W108" s="79">
        <v>44950.35833333333</v>
      </c>
      <c r="X108" s="79">
        <v>44949.25</v>
      </c>
      <c r="Y108" s="88">
        <v>44949.416666666664</v>
      </c>
      <c r="Z108" s="81">
        <v>3500</v>
      </c>
      <c r="AA108" s="81">
        <v>0</v>
      </c>
      <c r="AB108" s="81">
        <f>SUM(Sal_23[[#This Row],[Saldo]]+Sal_23[[#This Row],[Adiantamento]])</f>
        <v>3500</v>
      </c>
      <c r="AC108" s="81">
        <v>0</v>
      </c>
      <c r="AD108" s="81"/>
      <c r="AE108" s="81"/>
      <c r="AF108" s="81"/>
      <c r="AG108" s="81">
        <f>Sal_23[[#This Row],[COMPRA]]*12%</f>
        <v>0</v>
      </c>
      <c r="AH108" s="83"/>
      <c r="AI108" s="66" t="str">
        <f>PROPER(TEXT(Sal_23[[#This Row],[PROGRAMAÇÃO]],"mmm"))</f>
        <v>Jan</v>
      </c>
      <c r="AJ108" s="66">
        <f>YEAR(Sal_23[[#This Row],[PROGRAMAÇÃO]])</f>
        <v>2023</v>
      </c>
      <c r="AM108" s="66" t="s">
        <v>2768</v>
      </c>
      <c r="AN108" s="66" t="s">
        <v>2768</v>
      </c>
      <c r="AO108" s="66" t="s">
        <v>2768</v>
      </c>
    </row>
    <row r="109" spans="1:41" s="66" customFormat="1" ht="12.75" x14ac:dyDescent="0.2">
      <c r="A109" s="120" t="str">
        <f>Sal_23[[#This Row],[CONTAINER]]</f>
        <v>TCNU8651679</v>
      </c>
      <c r="B109" s="128" t="s">
        <v>2771</v>
      </c>
      <c r="C10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09" s="79">
        <v>44946.291666666664</v>
      </c>
      <c r="E109" s="44" t="s">
        <v>3225</v>
      </c>
      <c r="F109" s="66">
        <v>40</v>
      </c>
      <c r="G109" s="66" t="s">
        <v>2808</v>
      </c>
      <c r="H109" s="44" t="s">
        <v>2887</v>
      </c>
      <c r="I109" s="299" t="s">
        <v>2831</v>
      </c>
      <c r="J109" s="66" t="s">
        <v>3226</v>
      </c>
      <c r="K109" s="66" t="s">
        <v>3174</v>
      </c>
      <c r="L109" s="66">
        <v>7525</v>
      </c>
      <c r="N109" s="66" t="s">
        <v>2912</v>
      </c>
      <c r="O109" s="66" t="s">
        <v>2913</v>
      </c>
      <c r="P109" s="66" t="s">
        <v>3182</v>
      </c>
      <c r="Q109" s="138" t="str">
        <f ca="1">IFERROR(LOOKUP($P109,MOTORISTAS!$D$3:$D$1048576,MOTORISTAS!E$3:E$916),"")</f>
        <v>03605652476</v>
      </c>
      <c r="R109" s="138" t="str">
        <f ca="1">IFERROR(LOOKUP($P109,MOTORISTAS!$D$3:$D$1048576,MOTORISTAS!F$3:F$916),"")</f>
        <v>0091837259</v>
      </c>
      <c r="S109" s="66" t="s">
        <v>3227</v>
      </c>
      <c r="T109" s="66" t="s">
        <v>293</v>
      </c>
      <c r="U109" s="79">
        <v>44945.958333333336</v>
      </c>
      <c r="V109" s="66" t="s">
        <v>537</v>
      </c>
      <c r="W109" s="79">
        <v>44951.719444444447</v>
      </c>
      <c r="X109" s="79">
        <v>44946.25</v>
      </c>
      <c r="Y109" s="88">
        <v>44946.416666666664</v>
      </c>
      <c r="Z109" s="81">
        <v>0</v>
      </c>
      <c r="AA109" s="81">
        <v>3200</v>
      </c>
      <c r="AB109" s="81">
        <f>SUM(Sal_23[[#This Row],[Saldo]]+Sal_23[[#This Row],[Adiantamento]])</f>
        <v>3200</v>
      </c>
      <c r="AC109" s="81">
        <v>0</v>
      </c>
      <c r="AD109" s="81"/>
      <c r="AE109" s="81"/>
      <c r="AF109" s="81"/>
      <c r="AG109" s="81">
        <f>Sal_23[[#This Row],[COMPRA]]*12%</f>
        <v>0</v>
      </c>
      <c r="AH109" s="83"/>
      <c r="AI109" s="66" t="str">
        <f>PROPER(TEXT(Sal_23[[#This Row],[PROGRAMAÇÃO]],"mmm"))</f>
        <v>Jan</v>
      </c>
      <c r="AJ109" s="66">
        <f>YEAR(Sal_23[[#This Row],[PROGRAMAÇÃO]])</f>
        <v>2023</v>
      </c>
      <c r="AM109" s="66" t="s">
        <v>2768</v>
      </c>
      <c r="AN109" s="66" t="s">
        <v>2768</v>
      </c>
      <c r="AO109" s="66" t="s">
        <v>2768</v>
      </c>
    </row>
    <row r="110" spans="1:41" s="66" customFormat="1" ht="12.75" x14ac:dyDescent="0.2">
      <c r="A110" s="120" t="str">
        <f>Sal_23[[#This Row],[CONTAINER]]</f>
        <v>MSKU7876372</v>
      </c>
      <c r="B110" s="128" t="s">
        <v>2771</v>
      </c>
      <c r="C11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10" s="79">
        <v>44950.333333333336</v>
      </c>
      <c r="E110" s="44" t="s">
        <v>3228</v>
      </c>
      <c r="F110" s="66">
        <v>20</v>
      </c>
      <c r="G110" s="66" t="s">
        <v>2820</v>
      </c>
      <c r="H110" s="44" t="s">
        <v>2820</v>
      </c>
      <c r="I110" s="299" t="s">
        <v>2821</v>
      </c>
      <c r="J110" s="66" t="s">
        <v>3229</v>
      </c>
      <c r="K110" s="66" t="s">
        <v>3301</v>
      </c>
      <c r="L110" s="66">
        <v>103223</v>
      </c>
      <c r="N110" s="66" t="s">
        <v>2859</v>
      </c>
      <c r="O110" s="66" t="s">
        <v>2860</v>
      </c>
      <c r="P110" s="66" t="s">
        <v>2861</v>
      </c>
      <c r="Q110" s="138" t="str">
        <f ca="1">IFERROR(LOOKUP($P110,MOTORISTAS!$D$3:$D$1048576,MOTORISTAS!E$3:E$916),"")</f>
        <v>01817591878</v>
      </c>
      <c r="R110" s="138" t="str">
        <f ca="1">IFERROR(LOOKUP($P110,MOTORISTAS!$D$3:$D$1048576,MOTORISTAS!F$3:F$916),"")</f>
        <v>00821760640</v>
      </c>
      <c r="S110" s="66">
        <v>3312</v>
      </c>
      <c r="T110" s="66" t="s">
        <v>306</v>
      </c>
      <c r="U110" s="79">
        <v>44949.958333333336</v>
      </c>
      <c r="V110" s="66" t="s">
        <v>292</v>
      </c>
      <c r="W110" s="79">
        <v>44950.51458333333</v>
      </c>
      <c r="X110" s="79">
        <v>44950.208333333336</v>
      </c>
      <c r="Y110" s="88">
        <v>44950.395833333336</v>
      </c>
      <c r="Z110" s="81">
        <v>1600</v>
      </c>
      <c r="AA110" s="81">
        <v>0</v>
      </c>
      <c r="AB110" s="81">
        <f>SUM(Sal_23[[#This Row],[Saldo]]+Sal_23[[#This Row],[Adiantamento]])</f>
        <v>1600</v>
      </c>
      <c r="AC110" s="81">
        <v>0</v>
      </c>
      <c r="AD110" s="81"/>
      <c r="AE110" s="81"/>
      <c r="AF110" s="81"/>
      <c r="AG110" s="81">
        <f>Sal_23[[#This Row],[COMPRA]]*12%</f>
        <v>288</v>
      </c>
      <c r="AH110" s="83">
        <v>2400</v>
      </c>
      <c r="AI110" s="66" t="str">
        <f>PROPER(TEXT(Sal_23[[#This Row],[PROGRAMAÇÃO]],"mmm"))</f>
        <v>Jan</v>
      </c>
      <c r="AJ110" s="66">
        <f>YEAR(Sal_23[[#This Row],[PROGRAMAÇÃO]])</f>
        <v>2023</v>
      </c>
      <c r="AM110" s="66" t="s">
        <v>2768</v>
      </c>
      <c r="AN110" s="66" t="s">
        <v>2768</v>
      </c>
      <c r="AO110" s="66" t="s">
        <v>2768</v>
      </c>
    </row>
    <row r="111" spans="1:41" s="66" customFormat="1" ht="12.75" x14ac:dyDescent="0.2">
      <c r="A111" s="120" t="str">
        <f>Sal_23[[#This Row],[CONTAINER]]</f>
        <v>MRKU8982150</v>
      </c>
      <c r="B111" s="128" t="s">
        <v>2771</v>
      </c>
      <c r="C11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11" s="79">
        <v>44950.333333333336</v>
      </c>
      <c r="E111" s="44" t="s">
        <v>3230</v>
      </c>
      <c r="F111" s="66">
        <v>20</v>
      </c>
      <c r="G111" s="66" t="s">
        <v>2820</v>
      </c>
      <c r="H111" s="44" t="s">
        <v>2820</v>
      </c>
      <c r="I111" s="299" t="s">
        <v>2821</v>
      </c>
      <c r="J111" s="66" t="s">
        <v>3229</v>
      </c>
      <c r="K111" s="66" t="s">
        <v>3301</v>
      </c>
      <c r="L111" s="66">
        <v>103224</v>
      </c>
      <c r="N111" s="66" t="s">
        <v>3231</v>
      </c>
      <c r="O111" s="66" t="s">
        <v>2864</v>
      </c>
      <c r="P111" s="66" t="s">
        <v>2932</v>
      </c>
      <c r="Q111" s="138" t="str">
        <f ca="1">IFERROR(LOOKUP($P111,MOTORISTAS!$D$3:$D$1048576,MOTORISTAS!E$3:E$916),"")</f>
        <v>87607395849</v>
      </c>
      <c r="R111" s="138" t="str">
        <f ca="1">IFERROR(LOOKUP($P111,MOTORISTAS!$D$3:$D$1048576,MOTORISTAS!F$3:F$916),"")</f>
        <v>01842622116</v>
      </c>
      <c r="S111" s="66">
        <v>3313</v>
      </c>
      <c r="T111" s="66" t="s">
        <v>306</v>
      </c>
      <c r="U111" s="79">
        <v>44949.708333333336</v>
      </c>
      <c r="V111" s="66" t="s">
        <v>292</v>
      </c>
      <c r="W111" s="79">
        <v>44951.636111111111</v>
      </c>
      <c r="X111" s="79">
        <v>44950.208333333336</v>
      </c>
      <c r="Y111" s="88">
        <v>44950.5</v>
      </c>
      <c r="Z111" s="81">
        <v>1600</v>
      </c>
      <c r="AA111" s="81">
        <v>0</v>
      </c>
      <c r="AB111" s="81">
        <f>SUM(Sal_23[[#This Row],[Saldo]]+Sal_23[[#This Row],[Adiantamento]])</f>
        <v>1600</v>
      </c>
      <c r="AC111" s="81">
        <v>0</v>
      </c>
      <c r="AD111" s="81"/>
      <c r="AE111" s="81"/>
      <c r="AF111" s="81"/>
      <c r="AG111" s="81">
        <f>Sal_23[[#This Row],[COMPRA]]*12%</f>
        <v>288</v>
      </c>
      <c r="AH111" s="83">
        <v>2400</v>
      </c>
      <c r="AI111" s="66" t="str">
        <f>PROPER(TEXT(Sal_23[[#This Row],[PROGRAMAÇÃO]],"mmm"))</f>
        <v>Jan</v>
      </c>
      <c r="AJ111" s="66">
        <f>YEAR(Sal_23[[#This Row],[PROGRAMAÇÃO]])</f>
        <v>2023</v>
      </c>
      <c r="AM111" s="66" t="s">
        <v>2768</v>
      </c>
      <c r="AN111" s="66" t="s">
        <v>2768</v>
      </c>
      <c r="AO111" s="66" t="s">
        <v>2768</v>
      </c>
    </row>
    <row r="112" spans="1:41" s="66" customFormat="1" ht="12.75" x14ac:dyDescent="0.2">
      <c r="A112" s="120" t="str">
        <f>Sal_23[[#This Row],[CONTAINER]]</f>
        <v>CAIU8811120</v>
      </c>
      <c r="B112" s="128" t="s">
        <v>2771</v>
      </c>
      <c r="C11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12" s="79">
        <v>44952.333333333336</v>
      </c>
      <c r="E112" s="44" t="s">
        <v>3232</v>
      </c>
      <c r="F112" s="66">
        <v>40</v>
      </c>
      <c r="G112" s="66" t="s">
        <v>2826</v>
      </c>
      <c r="H112" s="44" t="s">
        <v>2835</v>
      </c>
      <c r="I112" s="299" t="s">
        <v>2822</v>
      </c>
      <c r="J112" s="66">
        <v>451</v>
      </c>
      <c r="K112" s="66" t="s">
        <v>3303</v>
      </c>
      <c r="L112" s="66">
        <v>103278</v>
      </c>
      <c r="N112" s="66" t="s">
        <v>106</v>
      </c>
      <c r="O112" s="66" t="s">
        <v>107</v>
      </c>
      <c r="P112" s="66" t="s">
        <v>108</v>
      </c>
      <c r="Q112" s="138" t="str">
        <f ca="1">IFERROR(LOOKUP($P112,MOTORISTAS!$D$3:$D$1048576,MOTORISTAS!E$3:E$916),"")</f>
        <v>34927982840</v>
      </c>
      <c r="R112" s="138" t="str">
        <f ca="1">IFERROR(LOOKUP($P112,MOTORISTAS!$D$3:$D$1048576,MOTORISTAS!F$3:F$916),"")</f>
        <v>03500129879</v>
      </c>
      <c r="S112" s="66">
        <v>3320</v>
      </c>
      <c r="T112" s="66" t="s">
        <v>293</v>
      </c>
      <c r="U112" s="79">
        <v>44952.208333333336</v>
      </c>
      <c r="V112" s="66" t="s">
        <v>469</v>
      </c>
      <c r="W112" s="79">
        <v>44953.354166666664</v>
      </c>
      <c r="X112" s="79">
        <v>44952.354166666664</v>
      </c>
      <c r="Y112" s="88">
        <v>44952.583333333336</v>
      </c>
      <c r="Z112" s="81">
        <v>2100</v>
      </c>
      <c r="AA112" s="81">
        <v>0</v>
      </c>
      <c r="AB112" s="81">
        <f>SUM(Sal_23[[#This Row],[Saldo]]+Sal_23[[#This Row],[Adiantamento]])</f>
        <v>2100</v>
      </c>
      <c r="AC112" s="81">
        <v>0</v>
      </c>
      <c r="AD112" s="81"/>
      <c r="AE112" s="81"/>
      <c r="AF112" s="81"/>
      <c r="AG112" s="81">
        <f>Sal_23[[#This Row],[COMPRA]]*12%</f>
        <v>370.37759999999997</v>
      </c>
      <c r="AH112" s="83">
        <v>3086.48</v>
      </c>
      <c r="AI112" s="66" t="str">
        <f>PROPER(TEXT(Sal_23[[#This Row],[PROGRAMAÇÃO]],"mmm"))</f>
        <v>Jan</v>
      </c>
      <c r="AJ112" s="66">
        <f>YEAR(Sal_23[[#This Row],[PROGRAMAÇÃO]])</f>
        <v>2023</v>
      </c>
      <c r="AL112" s="44" t="s">
        <v>3346</v>
      </c>
      <c r="AM112" s="66" t="s">
        <v>2768</v>
      </c>
      <c r="AN112" s="66" t="s">
        <v>2768</v>
      </c>
      <c r="AO112" s="66" t="s">
        <v>2768</v>
      </c>
    </row>
    <row r="113" spans="1:41" s="66" customFormat="1" ht="12.75" x14ac:dyDescent="0.2">
      <c r="A113" s="120" t="str">
        <f>Sal_23[[#This Row],[CONTAINER]]</f>
        <v>TCLU5011942</v>
      </c>
      <c r="B113" s="128" t="s">
        <v>2771</v>
      </c>
      <c r="C113" s="44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13" s="79">
        <v>44952.333333333336</v>
      </c>
      <c r="E113" s="44" t="s">
        <v>3233</v>
      </c>
      <c r="F113" s="66">
        <v>40</v>
      </c>
      <c r="G113" s="66" t="s">
        <v>2826</v>
      </c>
      <c r="H113" s="44" t="s">
        <v>2835</v>
      </c>
      <c r="I113" s="299" t="s">
        <v>2822</v>
      </c>
      <c r="J113" s="66">
        <v>453</v>
      </c>
      <c r="K113" s="66" t="s">
        <v>3303</v>
      </c>
      <c r="L113" s="66">
        <v>103279</v>
      </c>
      <c r="N113" s="66" t="s">
        <v>140</v>
      </c>
      <c r="O113" s="66" t="s">
        <v>141</v>
      </c>
      <c r="P113" s="66" t="s">
        <v>2051</v>
      </c>
      <c r="Q113" s="138" t="str">
        <f ca="1">IFERROR(LOOKUP($P113,MOTORISTAS!$D$3:$D$1048576,MOTORISTAS!E$3:E$916),"")</f>
        <v>33913917829</v>
      </c>
      <c r="R113" s="138" t="str">
        <f ca="1">IFERROR(LOOKUP($P113,MOTORISTAS!$D$3:$D$1048576,MOTORISTAS!F$3:F$916),"")</f>
        <v>03312585500</v>
      </c>
      <c r="S113" s="66">
        <v>3328</v>
      </c>
      <c r="T113" s="66" t="s">
        <v>293</v>
      </c>
      <c r="U113" s="79">
        <v>44952.208333333336</v>
      </c>
      <c r="V113" s="66" t="s">
        <v>469</v>
      </c>
      <c r="W113" s="79">
        <v>44953.347222222219</v>
      </c>
      <c r="X113" s="79">
        <v>44952.354166666664</v>
      </c>
      <c r="Y113" s="88">
        <v>44952.583333333336</v>
      </c>
      <c r="Z113" s="81">
        <v>2100</v>
      </c>
      <c r="AA113" s="81">
        <v>0</v>
      </c>
      <c r="AB113" s="81">
        <f>SUM(Sal_23[[#This Row],[Saldo]]+Sal_23[[#This Row],[Adiantamento]])</f>
        <v>2100</v>
      </c>
      <c r="AC113" s="81">
        <v>0</v>
      </c>
      <c r="AD113" s="81"/>
      <c r="AE113" s="81"/>
      <c r="AF113" s="81"/>
      <c r="AG113" s="81">
        <f>Sal_23[[#This Row],[COMPRA]]*12%</f>
        <v>370.37759999999997</v>
      </c>
      <c r="AH113" s="83">
        <v>3086.48</v>
      </c>
      <c r="AI113" s="66" t="str">
        <f>PROPER(TEXT(Sal_23[[#This Row],[PROGRAMAÇÃO]],"mmm"))</f>
        <v>Jan</v>
      </c>
      <c r="AJ113" s="66">
        <f>YEAR(Sal_23[[#This Row],[PROGRAMAÇÃO]])</f>
        <v>2023</v>
      </c>
      <c r="AL113" s="44" t="s">
        <v>3346</v>
      </c>
      <c r="AM113" s="66" t="s">
        <v>2768</v>
      </c>
      <c r="AN113" s="66" t="s">
        <v>2768</v>
      </c>
      <c r="AO113" s="66" t="s">
        <v>2768</v>
      </c>
    </row>
    <row r="114" spans="1:41" s="66" customFormat="1" ht="12.75" x14ac:dyDescent="0.2">
      <c r="A114" s="120" t="str">
        <f>Sal_23[[#This Row],[CONTAINER]]</f>
        <v>GLDU7694630</v>
      </c>
      <c r="B114" s="128" t="s">
        <v>2771</v>
      </c>
      <c r="C11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14" s="79">
        <v>44952.375</v>
      </c>
      <c r="E114" s="44" t="s">
        <v>3234</v>
      </c>
      <c r="F114" s="66">
        <v>40</v>
      </c>
      <c r="G114" s="66" t="s">
        <v>2820</v>
      </c>
      <c r="H114" s="44" t="s">
        <v>2820</v>
      </c>
      <c r="I114" s="299" t="s">
        <v>2821</v>
      </c>
      <c r="J114" s="66">
        <v>460</v>
      </c>
      <c r="K114" s="66" t="s">
        <v>3303</v>
      </c>
      <c r="L114" s="66">
        <v>103280</v>
      </c>
      <c r="N114" s="66" t="s">
        <v>2933</v>
      </c>
      <c r="O114" s="66" t="s">
        <v>3235</v>
      </c>
      <c r="P114" s="66" t="s">
        <v>2932</v>
      </c>
      <c r="Q114" s="138" t="str">
        <f ca="1">IFERROR(LOOKUP($P114,MOTORISTAS!$D$3:$D$1048576,MOTORISTAS!E$3:E$916),"")</f>
        <v>87607395849</v>
      </c>
      <c r="R114" s="138" t="str">
        <f ca="1">IFERROR(LOOKUP($P114,MOTORISTAS!$D$3:$D$1048576,MOTORISTAS!F$3:F$916),"")</f>
        <v>01842622116</v>
      </c>
      <c r="S114" s="66">
        <v>3321</v>
      </c>
      <c r="T114" s="66" t="s">
        <v>293</v>
      </c>
      <c r="U114" s="79">
        <v>44952.208333333336</v>
      </c>
      <c r="V114" s="66" t="s">
        <v>292</v>
      </c>
      <c r="W114" s="79">
        <v>44953.347916666666</v>
      </c>
      <c r="X114" s="79">
        <v>44952.375</v>
      </c>
      <c r="Y114" s="88">
        <v>44952.541666666664</v>
      </c>
      <c r="Z114" s="81">
        <v>1600</v>
      </c>
      <c r="AA114" s="81">
        <v>0</v>
      </c>
      <c r="AB114" s="81">
        <f>SUM(Sal_23[[#This Row],[Saldo]]+Sal_23[[#This Row],[Adiantamento]])</f>
        <v>1600</v>
      </c>
      <c r="AC114" s="81">
        <v>0</v>
      </c>
      <c r="AD114" s="81"/>
      <c r="AE114" s="81"/>
      <c r="AF114" s="81"/>
      <c r="AG114" s="81">
        <f>Sal_23[[#This Row],[COMPRA]]*12%</f>
        <v>288</v>
      </c>
      <c r="AH114" s="83">
        <v>2400</v>
      </c>
      <c r="AI114" s="66" t="str">
        <f>PROPER(TEXT(Sal_23[[#This Row],[PROGRAMAÇÃO]],"mmm"))</f>
        <v>Jan</v>
      </c>
      <c r="AJ114" s="66">
        <f>YEAR(Sal_23[[#This Row],[PROGRAMAÇÃO]])</f>
        <v>2023</v>
      </c>
      <c r="AM114" s="66" t="s">
        <v>2768</v>
      </c>
      <c r="AN114" s="66" t="s">
        <v>2768</v>
      </c>
      <c r="AO114" s="66" t="s">
        <v>2768</v>
      </c>
    </row>
    <row r="115" spans="1:41" s="66" customFormat="1" ht="12.75" x14ac:dyDescent="0.2">
      <c r="A115" s="120" t="str">
        <f>Sal_23[[#This Row],[CONTAINER]]</f>
        <v>TCLU8805988</v>
      </c>
      <c r="B115" s="128" t="s">
        <v>2771</v>
      </c>
      <c r="C11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15" s="79">
        <v>44952.375</v>
      </c>
      <c r="E115" s="44" t="s">
        <v>3236</v>
      </c>
      <c r="F115" s="66">
        <v>40</v>
      </c>
      <c r="G115" s="66" t="s">
        <v>2820</v>
      </c>
      <c r="H115" s="44" t="s">
        <v>2820</v>
      </c>
      <c r="I115" s="299" t="s">
        <v>2821</v>
      </c>
      <c r="J115" s="66" t="s">
        <v>3237</v>
      </c>
      <c r="K115" s="66" t="s">
        <v>3303</v>
      </c>
      <c r="L115" s="66">
        <v>103319</v>
      </c>
      <c r="M115" s="66">
        <v>103320</v>
      </c>
      <c r="N115" s="66" t="s">
        <v>3168</v>
      </c>
      <c r="O115" s="66" t="s">
        <v>27</v>
      </c>
      <c r="P115" s="66" t="s">
        <v>206</v>
      </c>
      <c r="Q115" s="138" t="str">
        <f ca="1">IFERROR(LOOKUP($P115,MOTORISTAS!$D$3:$D$1048576,MOTORISTAS!E$3:E$916),"")</f>
        <v>09085263425</v>
      </c>
      <c r="R115" s="138" t="str">
        <f ca="1">IFERROR(LOOKUP($P115,MOTORISTAS!$D$3:$D$1048576,MOTORISTAS!F$3:F$916),"")</f>
        <v>04557705505</v>
      </c>
      <c r="S115" s="66" t="s">
        <v>3238</v>
      </c>
      <c r="T115" s="66" t="s">
        <v>293</v>
      </c>
      <c r="U115" s="79">
        <v>44952.25</v>
      </c>
      <c r="V115" s="66" t="s">
        <v>526</v>
      </c>
      <c r="W115" s="79">
        <v>44952.579861111109</v>
      </c>
      <c r="X115" s="79">
        <v>44952.375</v>
      </c>
      <c r="Y115" s="88">
        <v>44952.493055555555</v>
      </c>
      <c r="Z115" s="81">
        <v>1600</v>
      </c>
      <c r="AA115" s="81">
        <v>0</v>
      </c>
      <c r="AB115" s="81">
        <f>SUM(Sal_23[[#This Row],[Saldo]]+Sal_23[[#This Row],[Adiantamento]])</f>
        <v>1600</v>
      </c>
      <c r="AC115" s="81">
        <v>0</v>
      </c>
      <c r="AD115" s="81"/>
      <c r="AE115" s="81"/>
      <c r="AF115" s="81"/>
      <c r="AG115" s="81">
        <f>Sal_23[[#This Row],[COMPRA]]*12%</f>
        <v>288</v>
      </c>
      <c r="AH115" s="83">
        <v>2400</v>
      </c>
      <c r="AI115" s="66" t="str">
        <f>PROPER(TEXT(Sal_23[[#This Row],[PROGRAMAÇÃO]],"mmm"))</f>
        <v>Jan</v>
      </c>
      <c r="AJ115" s="66">
        <f>YEAR(Sal_23[[#This Row],[PROGRAMAÇÃO]])</f>
        <v>2023</v>
      </c>
      <c r="AM115" s="66" t="s">
        <v>2768</v>
      </c>
      <c r="AN115" s="66" t="s">
        <v>2768</v>
      </c>
      <c r="AO115" s="66" t="s">
        <v>2768</v>
      </c>
    </row>
    <row r="116" spans="1:41" s="66" customFormat="1" ht="12.75" x14ac:dyDescent="0.2">
      <c r="A116" s="120" t="str">
        <f>Sal_23[[#This Row],[CONTAINER]]</f>
        <v>TCLU3461262</v>
      </c>
      <c r="B116" s="128" t="s">
        <v>2771</v>
      </c>
      <c r="C11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16" s="79">
        <v>44952.375</v>
      </c>
      <c r="E116" s="44" t="s">
        <v>3239</v>
      </c>
      <c r="F116" s="66">
        <v>20</v>
      </c>
      <c r="G116" s="66" t="s">
        <v>2820</v>
      </c>
      <c r="H116" s="44" t="s">
        <v>2820</v>
      </c>
      <c r="I116" s="299" t="s">
        <v>2821</v>
      </c>
      <c r="J116" s="66">
        <v>463</v>
      </c>
      <c r="K116" s="66" t="s">
        <v>3303</v>
      </c>
      <c r="L116" s="66">
        <v>112442</v>
      </c>
      <c r="N116" s="66" t="s">
        <v>2859</v>
      </c>
      <c r="O116" s="66" t="s">
        <v>2860</v>
      </c>
      <c r="P116" s="66" t="s">
        <v>2861</v>
      </c>
      <c r="Q116" s="138" t="str">
        <f ca="1">IFERROR(LOOKUP($P116,MOTORISTAS!$D$3:$D$1048576,MOTORISTAS!E$3:E$916),"")</f>
        <v>01817591878</v>
      </c>
      <c r="R116" s="138" t="str">
        <f ca="1">IFERROR(LOOKUP($P116,MOTORISTAS!$D$3:$D$1048576,MOTORISTAS!F$3:F$916),"")</f>
        <v>00821760640</v>
      </c>
      <c r="S116" s="66">
        <v>3324</v>
      </c>
      <c r="T116" s="66" t="s">
        <v>293</v>
      </c>
      <c r="U116" s="79">
        <v>44952.25</v>
      </c>
      <c r="V116" s="66" t="s">
        <v>526</v>
      </c>
      <c r="W116" s="79">
        <v>44952.665972222225</v>
      </c>
      <c r="X116" s="79">
        <v>44952.375</v>
      </c>
      <c r="Y116" s="88">
        <v>44952.541666666664</v>
      </c>
      <c r="Z116" s="81">
        <v>1600</v>
      </c>
      <c r="AA116" s="81">
        <v>0</v>
      </c>
      <c r="AB116" s="81">
        <f>SUM(Sal_23[[#This Row],[Saldo]]+Sal_23[[#This Row],[Adiantamento]])</f>
        <v>1600</v>
      </c>
      <c r="AC116" s="81">
        <v>0</v>
      </c>
      <c r="AD116" s="81"/>
      <c r="AE116" s="81"/>
      <c r="AF116" s="81"/>
      <c r="AG116" s="81">
        <f>Sal_23[[#This Row],[COMPRA]]*12%</f>
        <v>288</v>
      </c>
      <c r="AH116" s="83">
        <v>2400</v>
      </c>
      <c r="AI116" s="66" t="str">
        <f>PROPER(TEXT(Sal_23[[#This Row],[PROGRAMAÇÃO]],"mmm"))</f>
        <v>Jan</v>
      </c>
      <c r="AJ116" s="66">
        <f>YEAR(Sal_23[[#This Row],[PROGRAMAÇÃO]])</f>
        <v>2023</v>
      </c>
      <c r="AM116" s="66" t="s">
        <v>2768</v>
      </c>
      <c r="AN116" s="66" t="s">
        <v>2768</v>
      </c>
      <c r="AO116" s="66" t="s">
        <v>2768</v>
      </c>
    </row>
    <row r="117" spans="1:41" s="66" customFormat="1" ht="12.75" x14ac:dyDescent="0.2">
      <c r="A117" s="120" t="str">
        <f>Sal_23[[#This Row],[CONTAINER]]</f>
        <v>CAIU3288119</v>
      </c>
      <c r="B117" s="128" t="s">
        <v>2771</v>
      </c>
      <c r="C11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17" s="79">
        <v>44952.375</v>
      </c>
      <c r="E117" s="44" t="s">
        <v>3240</v>
      </c>
      <c r="F117" s="66">
        <v>20</v>
      </c>
      <c r="G117" s="66" t="s">
        <v>2820</v>
      </c>
      <c r="H117" s="44" t="s">
        <v>2820</v>
      </c>
      <c r="I117" s="299" t="s">
        <v>2821</v>
      </c>
      <c r="J117" s="66">
        <v>436</v>
      </c>
      <c r="K117" s="66" t="s">
        <v>3303</v>
      </c>
      <c r="L117" s="66">
        <v>68246</v>
      </c>
      <c r="N117" s="66" t="s">
        <v>2949</v>
      </c>
      <c r="O117" s="66" t="s">
        <v>2950</v>
      </c>
      <c r="P117" s="66" t="s">
        <v>2948</v>
      </c>
      <c r="Q117" s="138" t="str">
        <f ca="1">IFERROR(LOOKUP($P117,MOTORISTAS!$D$3:$D$1048576,MOTORISTAS!E$3:E$916),"")</f>
        <v>16239341843</v>
      </c>
      <c r="R117" s="138" t="str">
        <f ca="1">IFERROR(LOOKUP($P117,MOTORISTAS!$D$3:$D$1048576,MOTORISTAS!F$3:F$916),"")</f>
        <v>01877235038</v>
      </c>
      <c r="S117" s="66">
        <v>3325</v>
      </c>
      <c r="T117" s="66" t="s">
        <v>293</v>
      </c>
      <c r="U117" s="79">
        <v>44952.291666666664</v>
      </c>
      <c r="V117" s="66" t="s">
        <v>292</v>
      </c>
      <c r="W117" s="79">
        <v>44952.53125</v>
      </c>
      <c r="X117" s="79">
        <v>44952.375</v>
      </c>
      <c r="Y117" s="88">
        <v>44952.458333333336</v>
      </c>
      <c r="Z117" s="81">
        <v>1600</v>
      </c>
      <c r="AA117" s="81">
        <v>0</v>
      </c>
      <c r="AB117" s="81">
        <f>SUM(Sal_23[[#This Row],[Saldo]]+Sal_23[[#This Row],[Adiantamento]])</f>
        <v>1600</v>
      </c>
      <c r="AC117" s="81">
        <v>0</v>
      </c>
      <c r="AD117" s="81"/>
      <c r="AE117" s="81"/>
      <c r="AF117" s="81"/>
      <c r="AG117" s="81">
        <f>Sal_23[[#This Row],[COMPRA]]*12%</f>
        <v>288</v>
      </c>
      <c r="AH117" s="83">
        <v>2400</v>
      </c>
      <c r="AI117" s="66" t="str">
        <f>PROPER(TEXT(Sal_23[[#This Row],[PROGRAMAÇÃO]],"mmm"))</f>
        <v>Jan</v>
      </c>
      <c r="AJ117" s="66">
        <f>YEAR(Sal_23[[#This Row],[PROGRAMAÇÃO]])</f>
        <v>2023</v>
      </c>
      <c r="AM117" s="66" t="s">
        <v>2768</v>
      </c>
      <c r="AN117" s="66" t="s">
        <v>2768</v>
      </c>
      <c r="AO117" s="66" t="s">
        <v>2768</v>
      </c>
    </row>
    <row r="118" spans="1:41" s="66" customFormat="1" ht="12.75" x14ac:dyDescent="0.2">
      <c r="A118" s="120" t="str">
        <f>Sal_23[[#This Row],[CONTAINER]]</f>
        <v>TCLU3461555</v>
      </c>
      <c r="B118" s="128" t="s">
        <v>2771</v>
      </c>
      <c r="C11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18" s="79">
        <v>44952.375</v>
      </c>
      <c r="E118" s="44" t="s">
        <v>3241</v>
      </c>
      <c r="F118" s="66">
        <v>20</v>
      </c>
      <c r="G118" s="66" t="s">
        <v>2820</v>
      </c>
      <c r="H118" s="44" t="s">
        <v>2820</v>
      </c>
      <c r="I118" s="299" t="s">
        <v>2821</v>
      </c>
      <c r="J118" s="66">
        <v>437</v>
      </c>
      <c r="K118" s="66" t="s">
        <v>3303</v>
      </c>
      <c r="L118" s="66">
        <v>68245</v>
      </c>
      <c r="N118" s="66" t="s">
        <v>2584</v>
      </c>
      <c r="O118" s="66" t="s">
        <v>2585</v>
      </c>
      <c r="P118" s="66" t="s">
        <v>2586</v>
      </c>
      <c r="Q118" s="138" t="str">
        <f ca="1">IFERROR(LOOKUP($P118,MOTORISTAS!$D$3:$D$1048576,MOTORISTAS!E$3:E$916),"")</f>
        <v>08312935860</v>
      </c>
      <c r="R118" s="138" t="str">
        <f ca="1">IFERROR(LOOKUP($P118,MOTORISTAS!$D$3:$D$1048576,MOTORISTAS!F$3:F$916),"")</f>
        <v>03106516083</v>
      </c>
      <c r="S118" s="66">
        <v>3326</v>
      </c>
      <c r="T118" s="66" t="s">
        <v>293</v>
      </c>
      <c r="U118" s="79">
        <v>44952.291666666664</v>
      </c>
      <c r="V118" s="66" t="s">
        <v>526</v>
      </c>
      <c r="W118" s="79">
        <v>44952.631944444445</v>
      </c>
      <c r="X118" s="79">
        <v>44952.375</v>
      </c>
      <c r="Y118" s="88">
        <v>44952.5</v>
      </c>
      <c r="Z118" s="81">
        <v>1600</v>
      </c>
      <c r="AA118" s="81">
        <v>0</v>
      </c>
      <c r="AB118" s="81">
        <f>SUM(Sal_23[[#This Row],[Saldo]]+Sal_23[[#This Row],[Adiantamento]])</f>
        <v>1600</v>
      </c>
      <c r="AC118" s="81">
        <v>0</v>
      </c>
      <c r="AD118" s="81"/>
      <c r="AE118" s="81"/>
      <c r="AF118" s="81"/>
      <c r="AG118" s="81">
        <f>Sal_23[[#This Row],[COMPRA]]*12%</f>
        <v>288</v>
      </c>
      <c r="AH118" s="83">
        <v>2400</v>
      </c>
      <c r="AI118" s="66" t="str">
        <f>PROPER(TEXT(Sal_23[[#This Row],[PROGRAMAÇÃO]],"mmm"))</f>
        <v>Jan</v>
      </c>
      <c r="AJ118" s="66">
        <f>YEAR(Sal_23[[#This Row],[PROGRAMAÇÃO]])</f>
        <v>2023</v>
      </c>
      <c r="AM118" s="66" t="s">
        <v>2768</v>
      </c>
      <c r="AN118" s="66" t="s">
        <v>2768</v>
      </c>
      <c r="AO118" s="66" t="s">
        <v>2768</v>
      </c>
    </row>
    <row r="119" spans="1:41" s="66" customFormat="1" ht="12.75" x14ac:dyDescent="0.2">
      <c r="A119" s="120" t="str">
        <f>Sal_23[[#This Row],[CONTAINER]]</f>
        <v>TCNU7707449</v>
      </c>
      <c r="B119" s="128" t="s">
        <v>2771</v>
      </c>
      <c r="C11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19" s="79">
        <v>44952.333333333336</v>
      </c>
      <c r="E119" s="44" t="s">
        <v>3242</v>
      </c>
      <c r="F119" s="66">
        <v>40</v>
      </c>
      <c r="G119" s="66" t="s">
        <v>2826</v>
      </c>
      <c r="H119" s="44" t="s">
        <v>3195</v>
      </c>
      <c r="I119" s="299" t="s">
        <v>2830</v>
      </c>
      <c r="J119" s="66">
        <v>452</v>
      </c>
      <c r="K119" s="66" t="s">
        <v>3303</v>
      </c>
      <c r="L119" s="66">
        <v>103200</v>
      </c>
      <c r="N119" s="66" t="s">
        <v>210</v>
      </c>
      <c r="O119" s="66" t="s">
        <v>211</v>
      </c>
      <c r="P119" s="66" t="s">
        <v>212</v>
      </c>
      <c r="Q119" s="138" t="str">
        <f ca="1">IFERROR(LOOKUP($P119,MOTORISTAS!$D$3:$D$1048576,MOTORISTAS!E$3:E$916),"")</f>
        <v>38029906846</v>
      </c>
      <c r="R119" s="138" t="str">
        <f ca="1">IFERROR(LOOKUP($P119,MOTORISTAS!$D$3:$D$1048576,MOTORISTAS!F$3:F$916),"")</f>
        <v>04946846842</v>
      </c>
      <c r="S119" s="66">
        <v>3327</v>
      </c>
      <c r="T119" s="66" t="s">
        <v>293</v>
      </c>
      <c r="U119" s="79">
        <v>44952.291666666664</v>
      </c>
      <c r="V119" s="66" t="s">
        <v>3243</v>
      </c>
      <c r="W119" s="79">
        <v>44952.890972222223</v>
      </c>
      <c r="X119" s="79">
        <v>44952.416666666664</v>
      </c>
      <c r="Y119" s="88">
        <v>44952.541666666664</v>
      </c>
      <c r="Z119" s="81">
        <v>2300</v>
      </c>
      <c r="AA119" s="81">
        <v>0</v>
      </c>
      <c r="AB119" s="81">
        <f>SUM(Sal_23[[#This Row],[Saldo]]+Sal_23[[#This Row],[Adiantamento]])</f>
        <v>2300</v>
      </c>
      <c r="AC119" s="81">
        <v>0</v>
      </c>
      <c r="AD119" s="81"/>
      <c r="AE119" s="81"/>
      <c r="AF119" s="81"/>
      <c r="AG119" s="81">
        <f>Sal_23[[#This Row],[COMPRA]]*12%</f>
        <v>392.15039999999999</v>
      </c>
      <c r="AH119" s="83">
        <v>3267.92</v>
      </c>
      <c r="AI119" s="66" t="str">
        <f>PROPER(TEXT(Sal_23[[#This Row],[PROGRAMAÇÃO]],"mmm"))</f>
        <v>Jan</v>
      </c>
      <c r="AJ119" s="66">
        <f>YEAR(Sal_23[[#This Row],[PROGRAMAÇÃO]])</f>
        <v>2023</v>
      </c>
      <c r="AL119" s="44" t="s">
        <v>3346</v>
      </c>
      <c r="AM119" s="66" t="s">
        <v>2768</v>
      </c>
      <c r="AN119" s="66" t="s">
        <v>2768</v>
      </c>
      <c r="AO119" s="66" t="s">
        <v>2768</v>
      </c>
    </row>
    <row r="120" spans="1:41" s="66" customFormat="1" ht="12.75" x14ac:dyDescent="0.2">
      <c r="A120" s="120" t="str">
        <f>Sal_23[[#This Row],[CONTAINER]]</f>
        <v>SEGU4116132</v>
      </c>
      <c r="B120" s="128" t="s">
        <v>2771</v>
      </c>
      <c r="C12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20" s="79">
        <v>44953.333333333336</v>
      </c>
      <c r="E120" s="44" t="s">
        <v>3244</v>
      </c>
      <c r="F120" s="66">
        <v>40</v>
      </c>
      <c r="G120" s="66" t="s">
        <v>2826</v>
      </c>
      <c r="H120" s="44" t="s">
        <v>2835</v>
      </c>
      <c r="I120" s="299" t="s">
        <v>2822</v>
      </c>
      <c r="J120" s="66">
        <v>454</v>
      </c>
      <c r="K120" s="66" t="s">
        <v>3303</v>
      </c>
      <c r="L120" s="66">
        <v>103323</v>
      </c>
      <c r="N120" s="66" t="s">
        <v>72</v>
      </c>
      <c r="O120" s="66" t="s">
        <v>73</v>
      </c>
      <c r="P120" s="66" t="s">
        <v>203</v>
      </c>
      <c r="Q120" s="138" t="str">
        <f ca="1">IFERROR(LOOKUP($P120,MOTORISTAS!$D$3:$D$1048576,MOTORISTAS!E$3:E$916),"")</f>
        <v>10395859816</v>
      </c>
      <c r="R120" s="138" t="str">
        <f ca="1">IFERROR(LOOKUP($P120,MOTORISTAS!$D$3:$D$1048576,MOTORISTAS!F$3:F$916),"")</f>
        <v>01965794851</v>
      </c>
      <c r="S120" s="66">
        <v>3331</v>
      </c>
      <c r="T120" s="66" t="s">
        <v>293</v>
      </c>
      <c r="U120" s="79">
        <v>44953.208333333336</v>
      </c>
      <c r="V120" s="66" t="s">
        <v>469</v>
      </c>
      <c r="W120" s="79">
        <v>44953.598611111112</v>
      </c>
      <c r="X120" s="79">
        <v>44953.375</v>
      </c>
      <c r="Y120" s="88">
        <v>44953.5</v>
      </c>
      <c r="Z120" s="81">
        <v>2100</v>
      </c>
      <c r="AA120" s="81">
        <v>0</v>
      </c>
      <c r="AB120" s="81">
        <f>SUM(Sal_23[[#This Row],[Saldo]]+Sal_23[[#This Row],[Adiantamento]])</f>
        <v>2100</v>
      </c>
      <c r="AC120" s="81">
        <v>0</v>
      </c>
      <c r="AD120" s="81"/>
      <c r="AE120" s="81"/>
      <c r="AF120" s="81"/>
      <c r="AG120" s="81">
        <f>Sal_23[[#This Row],[COMPRA]]*12%</f>
        <v>370.37759999999997</v>
      </c>
      <c r="AH120" s="83">
        <v>3086.48</v>
      </c>
      <c r="AI120" s="66" t="str">
        <f>PROPER(TEXT(Sal_23[[#This Row],[PROGRAMAÇÃO]],"mmm"))</f>
        <v>Jan</v>
      </c>
      <c r="AJ120" s="66">
        <f>YEAR(Sal_23[[#This Row],[PROGRAMAÇÃO]])</f>
        <v>2023</v>
      </c>
      <c r="AL120" s="44" t="s">
        <v>3346</v>
      </c>
      <c r="AM120" s="66" t="s">
        <v>2768</v>
      </c>
      <c r="AN120" s="66" t="s">
        <v>2768</v>
      </c>
      <c r="AO120" s="66" t="s">
        <v>2768</v>
      </c>
    </row>
    <row r="121" spans="1:41" s="66" customFormat="1" ht="12.75" x14ac:dyDescent="0.2">
      <c r="A121" s="120" t="str">
        <f>Sal_23[[#This Row],[CONTAINER]]</f>
        <v>TCLU8468022</v>
      </c>
      <c r="B121" s="128" t="s">
        <v>2771</v>
      </c>
      <c r="C12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21" s="79">
        <v>44953.333333333336</v>
      </c>
      <c r="E121" s="44" t="s">
        <v>3245</v>
      </c>
      <c r="F121" s="66">
        <v>40</v>
      </c>
      <c r="G121" s="66" t="s">
        <v>2826</v>
      </c>
      <c r="H121" s="44" t="s">
        <v>2835</v>
      </c>
      <c r="I121" s="299" t="s">
        <v>2822</v>
      </c>
      <c r="J121" s="66">
        <v>455</v>
      </c>
      <c r="K121" s="66" t="s">
        <v>3303</v>
      </c>
      <c r="L121" s="66">
        <v>103324</v>
      </c>
      <c r="N121" s="66" t="s">
        <v>155</v>
      </c>
      <c r="O121" s="66" t="s">
        <v>3246</v>
      </c>
      <c r="P121" s="66" t="s">
        <v>156</v>
      </c>
      <c r="Q121" s="138" t="str">
        <f ca="1">IFERROR(LOOKUP($P121,MOTORISTAS!$D$3:$D$1048576,MOTORISTAS!E$3:E$916),"")</f>
        <v>09803034863</v>
      </c>
      <c r="R121" s="138" t="str">
        <f ca="1">IFERROR(LOOKUP($P121,MOTORISTAS!$D$3:$D$1048576,MOTORISTAS!F$3:F$916),"")</f>
        <v>01484565209</v>
      </c>
      <c r="S121" s="66">
        <v>3332</v>
      </c>
      <c r="T121" s="66" t="s">
        <v>293</v>
      </c>
      <c r="U121" s="79">
        <v>44953.208333333336</v>
      </c>
      <c r="V121" s="66" t="s">
        <v>469</v>
      </c>
      <c r="W121" s="79">
        <v>44953.599999999999</v>
      </c>
      <c r="X121" s="79">
        <v>44953.375</v>
      </c>
      <c r="Y121" s="88">
        <v>44953.5</v>
      </c>
      <c r="Z121" s="81">
        <v>2100</v>
      </c>
      <c r="AA121" s="81">
        <v>0</v>
      </c>
      <c r="AB121" s="81">
        <f>SUM(Sal_23[[#This Row],[Saldo]]+Sal_23[[#This Row],[Adiantamento]])</f>
        <v>2100</v>
      </c>
      <c r="AC121" s="81">
        <v>0</v>
      </c>
      <c r="AD121" s="81"/>
      <c r="AE121" s="81"/>
      <c r="AF121" s="81"/>
      <c r="AG121" s="81">
        <f>Sal_23[[#This Row],[COMPRA]]*12%</f>
        <v>370.37759999999997</v>
      </c>
      <c r="AH121" s="83">
        <v>3086.48</v>
      </c>
      <c r="AI121" s="66" t="str">
        <f>PROPER(TEXT(Sal_23[[#This Row],[PROGRAMAÇÃO]],"mmm"))</f>
        <v>Jan</v>
      </c>
      <c r="AJ121" s="66">
        <f>YEAR(Sal_23[[#This Row],[PROGRAMAÇÃO]])</f>
        <v>2023</v>
      </c>
      <c r="AL121" s="44" t="s">
        <v>3346</v>
      </c>
      <c r="AM121" s="66" t="s">
        <v>2768</v>
      </c>
      <c r="AN121" s="66" t="s">
        <v>2768</v>
      </c>
      <c r="AO121" s="66" t="s">
        <v>2768</v>
      </c>
    </row>
    <row r="122" spans="1:41" s="66" customFormat="1" ht="12.75" x14ac:dyDescent="0.2">
      <c r="A122" s="120" t="str">
        <f>Sal_23[[#This Row],[CONTAINER]]</f>
        <v>CAIU3018129</v>
      </c>
      <c r="B122" s="128" t="s">
        <v>2771</v>
      </c>
      <c r="C12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22" s="79">
        <v>44953.333333333336</v>
      </c>
      <c r="E122" s="44" t="s">
        <v>3247</v>
      </c>
      <c r="F122" s="66">
        <v>20</v>
      </c>
      <c r="G122" s="66" t="s">
        <v>2826</v>
      </c>
      <c r="H122" s="44" t="s">
        <v>3071</v>
      </c>
      <c r="I122" s="299" t="s">
        <v>3072</v>
      </c>
      <c r="J122" s="66">
        <v>488</v>
      </c>
      <c r="K122" s="66" t="s">
        <v>3303</v>
      </c>
      <c r="L122" s="66">
        <v>103215</v>
      </c>
      <c r="M122" s="66">
        <v>103216</v>
      </c>
      <c r="N122" s="66" t="s">
        <v>3040</v>
      </c>
      <c r="O122" s="66" t="s">
        <v>3041</v>
      </c>
      <c r="P122" s="66" t="s">
        <v>3042</v>
      </c>
      <c r="Q122" s="138" t="str">
        <f ca="1">IFERROR(LOOKUP($P122,MOTORISTAS!$D$3:$D$1048576,MOTORISTAS!E$3:E$916),"")</f>
        <v>19279658883</v>
      </c>
      <c r="R122" s="138" t="str">
        <f ca="1">IFERROR(LOOKUP($P122,MOTORISTAS!$D$3:$D$1048576,MOTORISTAS!F$3:F$916),"")</f>
        <v>01301319672</v>
      </c>
      <c r="S122" s="66">
        <v>3333</v>
      </c>
      <c r="T122" s="66" t="s">
        <v>293</v>
      </c>
      <c r="U122" s="79">
        <v>44953.041666666664</v>
      </c>
      <c r="V122" s="66" t="s">
        <v>469</v>
      </c>
      <c r="W122" s="79">
        <v>44953.626388888886</v>
      </c>
      <c r="X122" s="79">
        <v>44953.333333333336</v>
      </c>
      <c r="Y122" s="88">
        <v>44953.5</v>
      </c>
      <c r="Z122" s="81">
        <v>2200</v>
      </c>
      <c r="AA122" s="81">
        <v>0</v>
      </c>
      <c r="AB122" s="81">
        <f>SUM(Sal_23[[#This Row],[Saldo]]+Sal_23[[#This Row],[Adiantamento]])</f>
        <v>2200</v>
      </c>
      <c r="AC122" s="81">
        <v>600</v>
      </c>
      <c r="AD122" s="81"/>
      <c r="AE122" s="81"/>
      <c r="AF122" s="81"/>
      <c r="AG122" s="81">
        <f>Sal_23[[#This Row],[COMPRA]]*12%</f>
        <v>473.5104</v>
      </c>
      <c r="AH122" s="83">
        <v>3945.92</v>
      </c>
      <c r="AI122" s="66" t="str">
        <f>PROPER(TEXT(Sal_23[[#This Row],[PROGRAMAÇÃO]],"mmm"))</f>
        <v>Jan</v>
      </c>
      <c r="AJ122" s="66">
        <f>YEAR(Sal_23[[#This Row],[PROGRAMAÇÃO]])</f>
        <v>2023</v>
      </c>
      <c r="AM122" s="66" t="s">
        <v>2768</v>
      </c>
      <c r="AN122" s="66" t="s">
        <v>2768</v>
      </c>
      <c r="AO122" s="66" t="s">
        <v>2768</v>
      </c>
    </row>
    <row r="123" spans="1:41" s="66" customFormat="1" ht="12.75" x14ac:dyDescent="0.2">
      <c r="A123" s="120" t="str">
        <f>Sal_23[[#This Row],[CONTAINER]]</f>
        <v>SEGU1119713</v>
      </c>
      <c r="B123" s="128" t="s">
        <v>2771</v>
      </c>
      <c r="C12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23" s="79">
        <v>44953.375</v>
      </c>
      <c r="E123" s="44" t="s">
        <v>3248</v>
      </c>
      <c r="F123" s="66">
        <v>20</v>
      </c>
      <c r="G123" s="66" t="s">
        <v>2820</v>
      </c>
      <c r="H123" s="44" t="s">
        <v>2820</v>
      </c>
      <c r="I123" s="299" t="s">
        <v>2821</v>
      </c>
      <c r="J123" s="66">
        <v>462</v>
      </c>
      <c r="K123" s="66" t="s">
        <v>3303</v>
      </c>
      <c r="L123" s="66">
        <v>103318</v>
      </c>
      <c r="N123" s="66" t="s">
        <v>2859</v>
      </c>
      <c r="O123" s="66" t="s">
        <v>2860</v>
      </c>
      <c r="P123" s="66" t="s">
        <v>2861</v>
      </c>
      <c r="Q123" s="138" t="str">
        <f ca="1">IFERROR(LOOKUP($P123,MOTORISTAS!$D$3:$D$1048576,MOTORISTAS!E$3:E$916),"")</f>
        <v>01817591878</v>
      </c>
      <c r="R123" s="138" t="str">
        <f ca="1">IFERROR(LOOKUP($P123,MOTORISTAS!$D$3:$D$1048576,MOTORISTAS!F$3:F$916),"")</f>
        <v>00821760640</v>
      </c>
      <c r="S123" s="66">
        <v>3334</v>
      </c>
      <c r="T123" s="66" t="s">
        <v>293</v>
      </c>
      <c r="U123" s="79">
        <v>44952.958333333336</v>
      </c>
      <c r="V123" s="66" t="s">
        <v>292</v>
      </c>
      <c r="W123" s="79">
        <v>44953.602777777778</v>
      </c>
      <c r="X123" s="79">
        <v>44953.291666666664</v>
      </c>
      <c r="Y123" s="88">
        <v>44953.5</v>
      </c>
      <c r="Z123" s="81">
        <v>1600</v>
      </c>
      <c r="AA123" s="81">
        <v>0</v>
      </c>
      <c r="AB123" s="81">
        <f>SUM(Sal_23[[#This Row],[Saldo]]+Sal_23[[#This Row],[Adiantamento]])</f>
        <v>1600</v>
      </c>
      <c r="AC123" s="81">
        <v>0</v>
      </c>
      <c r="AD123" s="81"/>
      <c r="AE123" s="81"/>
      <c r="AF123" s="81"/>
      <c r="AG123" s="81">
        <f>Sal_23[[#This Row],[COMPRA]]*12%</f>
        <v>288</v>
      </c>
      <c r="AH123" s="83">
        <v>2400</v>
      </c>
      <c r="AI123" s="66" t="str">
        <f>PROPER(TEXT(Sal_23[[#This Row],[PROGRAMAÇÃO]],"mmm"))</f>
        <v>Jan</v>
      </c>
      <c r="AJ123" s="66">
        <f>YEAR(Sal_23[[#This Row],[PROGRAMAÇÃO]])</f>
        <v>2023</v>
      </c>
      <c r="AM123" s="66" t="s">
        <v>2768</v>
      </c>
      <c r="AN123" s="66" t="s">
        <v>2768</v>
      </c>
      <c r="AO123" s="66" t="s">
        <v>2768</v>
      </c>
    </row>
    <row r="124" spans="1:41" s="66" customFormat="1" ht="12.75" x14ac:dyDescent="0.2">
      <c r="A124" s="120" t="str">
        <f>Sal_23[[#This Row],[CONTAINER]]</f>
        <v>CXDU1105882</v>
      </c>
      <c r="B124" s="128" t="s">
        <v>2771</v>
      </c>
      <c r="C12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24" s="79">
        <v>44953.458333333336</v>
      </c>
      <c r="E124" s="44" t="s">
        <v>3249</v>
      </c>
      <c r="F124" s="66">
        <v>40</v>
      </c>
      <c r="G124" s="66" t="s">
        <v>2820</v>
      </c>
      <c r="H124" s="44" t="s">
        <v>2820</v>
      </c>
      <c r="I124" s="299" t="s">
        <v>2821</v>
      </c>
      <c r="J124" s="66">
        <v>459</v>
      </c>
      <c r="K124" s="66" t="s">
        <v>3303</v>
      </c>
      <c r="L124" s="66">
        <v>103222</v>
      </c>
      <c r="N124" s="66" t="s">
        <v>31</v>
      </c>
      <c r="O124" s="66" t="s">
        <v>32</v>
      </c>
      <c r="P124" s="66" t="s">
        <v>3176</v>
      </c>
      <c r="Q124" s="138" t="str">
        <f ca="1">IFERROR(LOOKUP($P124,MOTORISTAS!$D$3:$D$1048576,MOTORISTAS!E$3:E$916),"")</f>
        <v>09776430856</v>
      </c>
      <c r="R124" s="138" t="str">
        <f ca="1">IFERROR(LOOKUP($P124,MOTORISTAS!$D$3:$D$1048576,MOTORISTAS!F$3:F$916),"")</f>
        <v>01258979905</v>
      </c>
      <c r="S124" s="66">
        <v>3335</v>
      </c>
      <c r="T124" s="66" t="s">
        <v>293</v>
      </c>
      <c r="U124" s="79">
        <v>44953.208333333336</v>
      </c>
      <c r="V124" s="66" t="s">
        <v>292</v>
      </c>
      <c r="W124" s="79">
        <v>44953.585416666669</v>
      </c>
      <c r="X124" s="79">
        <v>44953.354166666664</v>
      </c>
      <c r="Y124" s="88">
        <v>44953.5</v>
      </c>
      <c r="Z124" s="81">
        <v>1600</v>
      </c>
      <c r="AA124" s="81">
        <v>0</v>
      </c>
      <c r="AB124" s="81">
        <f>SUM(Sal_23[[#This Row],[Saldo]]+Sal_23[[#This Row],[Adiantamento]])</f>
        <v>1600</v>
      </c>
      <c r="AC124" s="81">
        <v>0</v>
      </c>
      <c r="AD124" s="81"/>
      <c r="AE124" s="81"/>
      <c r="AF124" s="81"/>
      <c r="AG124" s="81">
        <f>Sal_23[[#This Row],[COMPRA]]*12%</f>
        <v>288</v>
      </c>
      <c r="AH124" s="83">
        <v>2400</v>
      </c>
      <c r="AI124" s="66" t="str">
        <f>PROPER(TEXT(Sal_23[[#This Row],[PROGRAMAÇÃO]],"mmm"))</f>
        <v>Jan</v>
      </c>
      <c r="AJ124" s="66">
        <f>YEAR(Sal_23[[#This Row],[PROGRAMAÇÃO]])</f>
        <v>2023</v>
      </c>
      <c r="AM124" s="66" t="s">
        <v>2768</v>
      </c>
      <c r="AN124" s="66" t="s">
        <v>2768</v>
      </c>
      <c r="AO124" s="66" t="s">
        <v>2768</v>
      </c>
    </row>
    <row r="125" spans="1:41" s="66" customFormat="1" ht="12.75" x14ac:dyDescent="0.2">
      <c r="A125" s="120" t="str">
        <f>Sal_23[[#This Row],[CONTAINER]]</f>
        <v>TCLU8188253</v>
      </c>
      <c r="B125" s="128" t="s">
        <v>2771</v>
      </c>
      <c r="C12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25" s="79">
        <v>44953.375</v>
      </c>
      <c r="E125" s="44" t="s">
        <v>3250</v>
      </c>
      <c r="F125" s="66">
        <v>40</v>
      </c>
      <c r="G125" s="66" t="s">
        <v>2820</v>
      </c>
      <c r="H125" s="44" t="s">
        <v>2820</v>
      </c>
      <c r="I125" s="299" t="s">
        <v>2821</v>
      </c>
      <c r="J125" s="66">
        <v>461</v>
      </c>
      <c r="K125" s="66" t="s">
        <v>3303</v>
      </c>
      <c r="L125" s="66">
        <v>103221</v>
      </c>
      <c r="N125" s="66" t="s">
        <v>3251</v>
      </c>
      <c r="O125" s="66" t="s">
        <v>209</v>
      </c>
      <c r="P125" s="66" t="s">
        <v>152</v>
      </c>
      <c r="Q125" s="138" t="str">
        <f ca="1">IFERROR(LOOKUP($P125,MOTORISTAS!$D$3:$D$1048576,MOTORISTAS!E$3:E$916),"")</f>
        <v>05753633803</v>
      </c>
      <c r="R125" s="138" t="str">
        <f ca="1">IFERROR(LOOKUP($P125,MOTORISTAS!$D$3:$D$1048576,MOTORISTAS!F$3:F$916),"")</f>
        <v>01922497849</v>
      </c>
      <c r="S125" s="66">
        <v>3337</v>
      </c>
      <c r="T125" s="66" t="s">
        <v>293</v>
      </c>
      <c r="U125" s="79">
        <v>44953.041666666664</v>
      </c>
      <c r="V125" s="66" t="s">
        <v>292</v>
      </c>
      <c r="W125" s="79">
        <v>44953.545138888891</v>
      </c>
      <c r="X125" s="79">
        <v>44953.291666666664</v>
      </c>
      <c r="Y125" s="88">
        <v>44953.458333333336</v>
      </c>
      <c r="Z125" s="81">
        <v>1600</v>
      </c>
      <c r="AA125" s="81">
        <v>0</v>
      </c>
      <c r="AB125" s="81">
        <f>SUM(Sal_23[[#This Row],[Saldo]]+Sal_23[[#This Row],[Adiantamento]])</f>
        <v>1600</v>
      </c>
      <c r="AC125" s="81">
        <v>0</v>
      </c>
      <c r="AD125" s="81"/>
      <c r="AE125" s="81"/>
      <c r="AF125" s="81"/>
      <c r="AG125" s="81">
        <f>Sal_23[[#This Row],[COMPRA]]*12%</f>
        <v>288</v>
      </c>
      <c r="AH125" s="83">
        <v>2400</v>
      </c>
      <c r="AI125" s="66" t="str">
        <f>PROPER(TEXT(Sal_23[[#This Row],[PROGRAMAÇÃO]],"mmm"))</f>
        <v>Jan</v>
      </c>
      <c r="AJ125" s="66">
        <f>YEAR(Sal_23[[#This Row],[PROGRAMAÇÃO]])</f>
        <v>2023</v>
      </c>
      <c r="AM125" s="66" t="s">
        <v>2768</v>
      </c>
      <c r="AN125" s="66" t="s">
        <v>2768</v>
      </c>
      <c r="AO125" s="66" t="s">
        <v>2768</v>
      </c>
    </row>
    <row r="126" spans="1:41" s="66" customFormat="1" ht="12.75" x14ac:dyDescent="0.2">
      <c r="A126" s="120" t="str">
        <f>Sal_23[[#This Row],[CONTAINER]]</f>
        <v>CAIU3154845</v>
      </c>
      <c r="B126" s="128" t="s">
        <v>2771</v>
      </c>
      <c r="C12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26" s="79">
        <v>44953.333333333336</v>
      </c>
      <c r="E126" s="44" t="s">
        <v>3252</v>
      </c>
      <c r="F126" s="66">
        <v>20</v>
      </c>
      <c r="G126" s="66" t="s">
        <v>2826</v>
      </c>
      <c r="H126" s="44" t="s">
        <v>3440</v>
      </c>
      <c r="I126" s="299" t="s">
        <v>3253</v>
      </c>
      <c r="J126" s="66">
        <v>445</v>
      </c>
      <c r="K126" s="66" t="s">
        <v>3303</v>
      </c>
      <c r="L126" s="66">
        <v>112338</v>
      </c>
      <c r="N126" s="66" t="s">
        <v>2156</v>
      </c>
      <c r="O126" s="66" t="s">
        <v>2464</v>
      </c>
      <c r="P126" s="66" t="s">
        <v>2158</v>
      </c>
      <c r="Q126" s="138" t="str">
        <f ca="1">IFERROR(LOOKUP($P126,MOTORISTAS!$D$3:$D$1048576,MOTORISTAS!E$3:E$916),"")</f>
        <v>10485530864</v>
      </c>
      <c r="R126" s="138" t="str">
        <f ca="1">IFERROR(LOOKUP($P126,MOTORISTAS!$D$3:$D$1048576,MOTORISTAS!F$3:F$916),"")</f>
        <v>02033192841</v>
      </c>
      <c r="S126" s="66">
        <v>3336</v>
      </c>
      <c r="T126" s="66" t="s">
        <v>293</v>
      </c>
      <c r="U126" s="79">
        <v>44953.208333333336</v>
      </c>
      <c r="V126" s="66" t="s">
        <v>469</v>
      </c>
      <c r="W126" s="79">
        <v>44953.612500000003</v>
      </c>
      <c r="X126" s="79">
        <v>44953.333333333336</v>
      </c>
      <c r="Y126" s="88">
        <v>44953.5</v>
      </c>
      <c r="Z126" s="81">
        <v>2300</v>
      </c>
      <c r="AA126" s="81">
        <v>0</v>
      </c>
      <c r="AB126" s="81">
        <f>SUM(Sal_23[[#This Row],[Saldo]]+Sal_23[[#This Row],[Adiantamento]])</f>
        <v>2300</v>
      </c>
      <c r="AC126" s="81">
        <v>0</v>
      </c>
      <c r="AD126" s="81"/>
      <c r="AE126" s="81"/>
      <c r="AF126" s="81"/>
      <c r="AG126" s="81">
        <f>Sal_23[[#This Row],[COMPRA]]*12%</f>
        <v>399.62399999999997</v>
      </c>
      <c r="AH126" s="83">
        <v>3330.2</v>
      </c>
      <c r="AI126" s="66" t="str">
        <f>PROPER(TEXT(Sal_23[[#This Row],[PROGRAMAÇÃO]],"mmm"))</f>
        <v>Jan</v>
      </c>
      <c r="AJ126" s="66">
        <f>YEAR(Sal_23[[#This Row],[PROGRAMAÇÃO]])</f>
        <v>2023</v>
      </c>
      <c r="AM126" s="66" t="s">
        <v>2768</v>
      </c>
      <c r="AN126" s="66" t="s">
        <v>2768</v>
      </c>
      <c r="AO126" s="66" t="s">
        <v>2768</v>
      </c>
    </row>
    <row r="127" spans="1:41" s="66" customFormat="1" ht="12.75" x14ac:dyDescent="0.2">
      <c r="A127" s="120" t="str">
        <f>Sal_23[[#This Row],[CONTAINER]]</f>
        <v>TCLU3461426</v>
      </c>
      <c r="B127" s="128" t="s">
        <v>2771</v>
      </c>
      <c r="C12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27" s="79">
        <v>44956.333333333336</v>
      </c>
      <c r="E127" s="44" t="s">
        <v>3254</v>
      </c>
      <c r="F127" s="66">
        <v>20</v>
      </c>
      <c r="G127" s="44" t="s">
        <v>2837</v>
      </c>
      <c r="H127" s="44" t="s">
        <v>2837</v>
      </c>
      <c r="I127" s="299" t="s">
        <v>2821</v>
      </c>
      <c r="J127" s="66">
        <v>446</v>
      </c>
      <c r="K127" s="66" t="s">
        <v>3303</v>
      </c>
      <c r="L127" s="66">
        <v>112337</v>
      </c>
      <c r="N127" s="66" t="s">
        <v>2949</v>
      </c>
      <c r="O127" s="66" t="s">
        <v>2950</v>
      </c>
      <c r="P127" s="66" t="s">
        <v>2948</v>
      </c>
      <c r="Q127" s="138" t="str">
        <f ca="1">IFERROR(LOOKUP($P127,MOTORISTAS!$D$3:$D$1048576,MOTORISTAS!E$3:E$916),"")</f>
        <v>16239341843</v>
      </c>
      <c r="R127" s="138" t="str">
        <f ca="1">IFERROR(LOOKUP($P127,MOTORISTAS!$D$3:$D$1048576,MOTORISTAS!F$3:F$916),"")</f>
        <v>01877235038</v>
      </c>
      <c r="S127" s="66">
        <v>3341</v>
      </c>
      <c r="T127" s="66" t="s">
        <v>293</v>
      </c>
      <c r="U127" s="79">
        <v>44956.208333333336</v>
      </c>
      <c r="V127" s="66" t="s">
        <v>526</v>
      </c>
      <c r="W127" s="79">
        <v>44956.527083333334</v>
      </c>
      <c r="X127" s="79">
        <v>44956.291666666664</v>
      </c>
      <c r="Y127" s="88">
        <v>44956.354166666664</v>
      </c>
      <c r="Z127" s="81">
        <v>1600</v>
      </c>
      <c r="AA127" s="81">
        <v>0</v>
      </c>
      <c r="AB127" s="81">
        <f>SUM(Sal_23[[#This Row],[Saldo]]+Sal_23[[#This Row],[Adiantamento]])</f>
        <v>1600</v>
      </c>
      <c r="AC127" s="81">
        <v>0</v>
      </c>
      <c r="AD127" s="81"/>
      <c r="AE127" s="81"/>
      <c r="AF127" s="81"/>
      <c r="AG127" s="81">
        <f>Sal_23[[#This Row],[COMPRA]]*12%</f>
        <v>311.55959999999999</v>
      </c>
      <c r="AH127" s="83">
        <v>2596.33</v>
      </c>
      <c r="AI127" s="66" t="str">
        <f>PROPER(TEXT(Sal_23[[#This Row],[PROGRAMAÇÃO]],"mmm"))</f>
        <v>Jan</v>
      </c>
      <c r="AJ127" s="66">
        <f>YEAR(Sal_23[[#This Row],[PROGRAMAÇÃO]])</f>
        <v>2023</v>
      </c>
      <c r="AM127" s="66" t="s">
        <v>2768</v>
      </c>
      <c r="AN127" s="66" t="s">
        <v>2768</v>
      </c>
      <c r="AO127" s="66" t="s">
        <v>2768</v>
      </c>
    </row>
    <row r="128" spans="1:41" s="66" customFormat="1" ht="12.75" x14ac:dyDescent="0.2">
      <c r="A128" s="120" t="str">
        <f>Sal_23[[#This Row],[CONTAINER]]</f>
        <v>TCLU3467424</v>
      </c>
      <c r="B128" s="128" t="s">
        <v>2771</v>
      </c>
      <c r="C12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28" s="79">
        <v>44956.333333333336</v>
      </c>
      <c r="E128" s="44" t="s">
        <v>3255</v>
      </c>
      <c r="F128" s="66">
        <v>20</v>
      </c>
      <c r="G128" s="66" t="s">
        <v>2826</v>
      </c>
      <c r="H128" s="44" t="s">
        <v>2827</v>
      </c>
      <c r="I128" s="299" t="s">
        <v>2823</v>
      </c>
      <c r="J128" s="66">
        <v>450</v>
      </c>
      <c r="K128" s="66" t="s">
        <v>3303</v>
      </c>
      <c r="L128" s="66">
        <v>103316</v>
      </c>
      <c r="N128" s="66" t="s">
        <v>2156</v>
      </c>
      <c r="O128" s="66" t="s">
        <v>2464</v>
      </c>
      <c r="P128" s="66" t="s">
        <v>2158</v>
      </c>
      <c r="Q128" s="138" t="str">
        <f ca="1">IFERROR(LOOKUP($P128,MOTORISTAS!$D$3:$D$1048576,MOTORISTAS!E$3:E$916),"")</f>
        <v>10485530864</v>
      </c>
      <c r="R128" s="138" t="str">
        <f ca="1">IFERROR(LOOKUP($P128,MOTORISTAS!$D$3:$D$1048576,MOTORISTAS!F$3:F$916),"")</f>
        <v>02033192841</v>
      </c>
      <c r="S128" s="66">
        <v>3338</v>
      </c>
      <c r="T128" s="66" t="s">
        <v>293</v>
      </c>
      <c r="U128" s="79">
        <v>44956.041666666664</v>
      </c>
      <c r="V128" s="66" t="s">
        <v>537</v>
      </c>
      <c r="W128" s="79">
        <v>44956.695138888892</v>
      </c>
      <c r="X128" s="79">
        <v>44956.291666666664</v>
      </c>
      <c r="Y128" s="88">
        <v>44956.458333333336</v>
      </c>
      <c r="Z128" s="81">
        <v>3200</v>
      </c>
      <c r="AA128" s="81">
        <v>0</v>
      </c>
      <c r="AB128" s="81">
        <f>SUM(Sal_23[[#This Row],[Saldo]]+Sal_23[[#This Row],[Adiantamento]])</f>
        <v>3200</v>
      </c>
      <c r="AC128" s="81">
        <v>0</v>
      </c>
      <c r="AD128" s="81"/>
      <c r="AE128" s="81"/>
      <c r="AF128" s="81"/>
      <c r="AG128" s="81">
        <f>Sal_23[[#This Row],[COMPRA]]*12%</f>
        <v>571.48680000000002</v>
      </c>
      <c r="AH128" s="83">
        <v>4762.3900000000003</v>
      </c>
      <c r="AI128" s="66" t="str">
        <f>PROPER(TEXT(Sal_23[[#This Row],[PROGRAMAÇÃO]],"mmm"))</f>
        <v>Jan</v>
      </c>
      <c r="AJ128" s="66">
        <f>YEAR(Sal_23[[#This Row],[PROGRAMAÇÃO]])</f>
        <v>2023</v>
      </c>
      <c r="AM128" s="66" t="s">
        <v>2768</v>
      </c>
      <c r="AN128" s="66" t="s">
        <v>2768</v>
      </c>
      <c r="AO128" s="66" t="s">
        <v>2768</v>
      </c>
    </row>
    <row r="129" spans="1:41" s="66" customFormat="1" ht="12.75" x14ac:dyDescent="0.2">
      <c r="A129" s="120" t="str">
        <f>Sal_23[[#This Row],[CONTAINER]]</f>
        <v>CAIU3105223</v>
      </c>
      <c r="B129" s="128" t="s">
        <v>2771</v>
      </c>
      <c r="C12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29" s="79">
        <v>44956.333333333336</v>
      </c>
      <c r="E129" s="44" t="s">
        <v>3256</v>
      </c>
      <c r="F129" s="66">
        <v>20</v>
      </c>
      <c r="G129" s="66" t="s">
        <v>2826</v>
      </c>
      <c r="H129" s="44" t="s">
        <v>2827</v>
      </c>
      <c r="I129" s="299" t="s">
        <v>2823</v>
      </c>
      <c r="J129" s="66">
        <v>444</v>
      </c>
      <c r="K129" s="66" t="s">
        <v>3303</v>
      </c>
      <c r="L129" s="66">
        <v>103217</v>
      </c>
      <c r="N129" s="66" t="s">
        <v>3040</v>
      </c>
      <c r="O129" s="66" t="s">
        <v>3041</v>
      </c>
      <c r="P129" s="66" t="s">
        <v>3042</v>
      </c>
      <c r="Q129" s="138" t="str">
        <f ca="1">IFERROR(LOOKUP($P129,MOTORISTAS!$D$3:$D$1048576,MOTORISTAS!E$3:E$916),"")</f>
        <v>19279658883</v>
      </c>
      <c r="R129" s="138" t="str">
        <f ca="1">IFERROR(LOOKUP($P129,MOTORISTAS!$D$3:$D$1048576,MOTORISTAS!F$3:F$916),"")</f>
        <v>01301319672</v>
      </c>
      <c r="S129" s="66">
        <v>3339</v>
      </c>
      <c r="T129" s="66" t="s">
        <v>293</v>
      </c>
      <c r="U129" s="79">
        <v>44956.041666666664</v>
      </c>
      <c r="V129" s="66" t="s">
        <v>469</v>
      </c>
      <c r="W129" s="79">
        <v>44956.690972222219</v>
      </c>
      <c r="X129" s="79">
        <v>44956.291666666664</v>
      </c>
      <c r="Y129" s="88">
        <v>44956.5</v>
      </c>
      <c r="Z129" s="81">
        <v>3200</v>
      </c>
      <c r="AA129" s="81">
        <v>0</v>
      </c>
      <c r="AB129" s="81">
        <f>SUM(Sal_23[[#This Row],[Saldo]]+Sal_23[[#This Row],[Adiantamento]])</f>
        <v>3200</v>
      </c>
      <c r="AC129" s="81">
        <v>0</v>
      </c>
      <c r="AD129" s="81"/>
      <c r="AE129" s="81"/>
      <c r="AF129" s="81"/>
      <c r="AG129" s="81">
        <f>Sal_23[[#This Row],[COMPRA]]*12%</f>
        <v>571.48680000000002</v>
      </c>
      <c r="AH129" s="83">
        <v>4762.3900000000003</v>
      </c>
      <c r="AI129" s="66" t="str">
        <f>PROPER(TEXT(Sal_23[[#This Row],[PROGRAMAÇÃO]],"mmm"))</f>
        <v>Jan</v>
      </c>
      <c r="AJ129" s="66">
        <f>YEAR(Sal_23[[#This Row],[PROGRAMAÇÃO]])</f>
        <v>2023</v>
      </c>
      <c r="AM129" s="66" t="s">
        <v>2768</v>
      </c>
      <c r="AN129" s="66" t="s">
        <v>2768</v>
      </c>
      <c r="AO129" s="66" t="s">
        <v>2768</v>
      </c>
    </row>
    <row r="130" spans="1:41" s="66" customFormat="1" ht="12.75" x14ac:dyDescent="0.2">
      <c r="A130" s="120" t="str">
        <f>Sal_23[[#This Row],[CONTAINER]]</f>
        <v>CAIU3310315</v>
      </c>
      <c r="B130" s="128" t="s">
        <v>2771</v>
      </c>
      <c r="C13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30" s="79">
        <v>44956.333333333336</v>
      </c>
      <c r="E130" s="44" t="s">
        <v>3257</v>
      </c>
      <c r="F130" s="66">
        <v>20</v>
      </c>
      <c r="G130" s="66" t="s">
        <v>2826</v>
      </c>
      <c r="H130" s="44" t="s">
        <v>3082</v>
      </c>
      <c r="I130" s="299" t="s">
        <v>3083</v>
      </c>
      <c r="J130" s="66">
        <v>487</v>
      </c>
      <c r="K130" s="66" t="s">
        <v>3303</v>
      </c>
      <c r="L130" s="66">
        <v>103231</v>
      </c>
      <c r="N130" s="66" t="s">
        <v>2584</v>
      </c>
      <c r="O130" s="66" t="s">
        <v>2585</v>
      </c>
      <c r="P130" s="66" t="s">
        <v>2586</v>
      </c>
      <c r="Q130" s="138" t="str">
        <f ca="1">IFERROR(LOOKUP($P130,MOTORISTAS!$D$3:$D$1048576,MOTORISTAS!E$3:E$916),"")</f>
        <v>08312935860</v>
      </c>
      <c r="R130" s="138" t="str">
        <f ca="1">IFERROR(LOOKUP($P130,MOTORISTAS!$D$3:$D$1048576,MOTORISTAS!F$3:F$916),"")</f>
        <v>03106516083</v>
      </c>
      <c r="S130" s="66">
        <v>3340</v>
      </c>
      <c r="T130" s="66" t="s">
        <v>293</v>
      </c>
      <c r="U130" s="79">
        <v>44955.958333333336</v>
      </c>
      <c r="V130" s="66" t="s">
        <v>292</v>
      </c>
      <c r="W130" s="79">
        <v>44956.734722222223</v>
      </c>
      <c r="X130" s="79">
        <v>44956.291666666664</v>
      </c>
      <c r="Y130" s="88">
        <v>44956.5</v>
      </c>
      <c r="Z130" s="81">
        <v>2000</v>
      </c>
      <c r="AA130" s="81">
        <v>0</v>
      </c>
      <c r="AB130" s="81">
        <f>SUM(Sal_23[[#This Row],[Saldo]]+Sal_23[[#This Row],[Adiantamento]])</f>
        <v>2000</v>
      </c>
      <c r="AC130" s="81">
        <v>0</v>
      </c>
      <c r="AD130" s="81"/>
      <c r="AE130" s="81"/>
      <c r="AF130" s="81"/>
      <c r="AG130" s="81">
        <f>Sal_23[[#This Row],[COMPRA]]*12%</f>
        <v>355.75439999999998</v>
      </c>
      <c r="AH130" s="83">
        <v>2964.62</v>
      </c>
      <c r="AI130" s="66" t="str">
        <f>PROPER(TEXT(Sal_23[[#This Row],[PROGRAMAÇÃO]],"mmm"))</f>
        <v>Jan</v>
      </c>
      <c r="AJ130" s="66">
        <f>YEAR(Sal_23[[#This Row],[PROGRAMAÇÃO]])</f>
        <v>2023</v>
      </c>
      <c r="AM130" s="66" t="s">
        <v>2768</v>
      </c>
      <c r="AN130" s="66" t="s">
        <v>2768</v>
      </c>
      <c r="AO130" s="66" t="s">
        <v>2768</v>
      </c>
    </row>
    <row r="131" spans="1:41" s="66" customFormat="1" ht="12.75" x14ac:dyDescent="0.2">
      <c r="A131" s="120" t="str">
        <f>Sal_23[[#This Row],[CONTAINER]]</f>
        <v>TCLU3459753</v>
      </c>
      <c r="B131" s="128" t="s">
        <v>2771</v>
      </c>
      <c r="C13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31" s="79">
        <v>44957.333333333336</v>
      </c>
      <c r="E131" s="44" t="s">
        <v>3258</v>
      </c>
      <c r="F131" s="66">
        <v>20</v>
      </c>
      <c r="G131" s="44" t="s">
        <v>2837</v>
      </c>
      <c r="H131" s="44" t="s">
        <v>2837</v>
      </c>
      <c r="I131" s="299" t="s">
        <v>2821</v>
      </c>
      <c r="J131" s="66">
        <v>447</v>
      </c>
      <c r="K131" s="66" t="s">
        <v>3303</v>
      </c>
      <c r="L131" s="66">
        <v>103232</v>
      </c>
      <c r="N131" s="66" t="s">
        <v>2584</v>
      </c>
      <c r="O131" s="66" t="s">
        <v>2585</v>
      </c>
      <c r="P131" s="66" t="s">
        <v>2586</v>
      </c>
      <c r="Q131" s="138" t="str">
        <f ca="1">IFERROR(LOOKUP($P131,MOTORISTAS!$D$3:$D$1048576,MOTORISTAS!E$3:E$916),"")</f>
        <v>08312935860</v>
      </c>
      <c r="R131" s="138" t="str">
        <f ca="1">IFERROR(LOOKUP($P131,MOTORISTAS!$D$3:$D$1048576,MOTORISTAS!F$3:F$916),"")</f>
        <v>03106516083</v>
      </c>
      <c r="S131" s="66">
        <v>3346</v>
      </c>
      <c r="T131" s="66" t="s">
        <v>293</v>
      </c>
      <c r="U131" s="79">
        <v>44956.958333333336</v>
      </c>
      <c r="V131" s="66" t="s">
        <v>526</v>
      </c>
      <c r="W131" s="79">
        <v>44957.5</v>
      </c>
      <c r="X131" s="79">
        <v>44957.291666666664</v>
      </c>
      <c r="Y131" s="88">
        <v>44957.354166666664</v>
      </c>
      <c r="Z131" s="81">
        <v>1600</v>
      </c>
      <c r="AA131" s="81">
        <v>0</v>
      </c>
      <c r="AB131" s="81">
        <f>SUM(Sal_23[[#This Row],[Saldo]]+Sal_23[[#This Row],[Adiantamento]])</f>
        <v>1600</v>
      </c>
      <c r="AC131" s="81">
        <v>0</v>
      </c>
      <c r="AD131" s="81"/>
      <c r="AE131" s="81"/>
      <c r="AF131" s="81"/>
      <c r="AG131" s="81">
        <f>Sal_23[[#This Row],[COMPRA]]*12%</f>
        <v>311.55959999999999</v>
      </c>
      <c r="AH131" s="83">
        <v>2596.33</v>
      </c>
      <c r="AI131" s="66" t="str">
        <f>PROPER(TEXT(Sal_23[[#This Row],[PROGRAMAÇÃO]],"mmm"))</f>
        <v>Jan</v>
      </c>
      <c r="AJ131" s="66">
        <f>YEAR(Sal_23[[#This Row],[PROGRAMAÇÃO]])</f>
        <v>2023</v>
      </c>
      <c r="AM131" s="66" t="s">
        <v>2768</v>
      </c>
      <c r="AN131" s="66" t="s">
        <v>2768</v>
      </c>
      <c r="AO131" s="66" t="s">
        <v>2768</v>
      </c>
    </row>
    <row r="132" spans="1:41" s="66" customFormat="1" ht="12.75" x14ac:dyDescent="0.2">
      <c r="A132" s="120" t="str">
        <f>Sal_23[[#This Row],[CONTAINER]]</f>
        <v>CAIU3018690</v>
      </c>
      <c r="B132" s="128" t="s">
        <v>2771</v>
      </c>
      <c r="C13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32" s="79">
        <v>44957.333333333336</v>
      </c>
      <c r="E132" s="44" t="s">
        <v>3259</v>
      </c>
      <c r="F132" s="66">
        <v>20</v>
      </c>
      <c r="G132" s="66" t="s">
        <v>2826</v>
      </c>
      <c r="H132" s="44" t="s">
        <v>2827</v>
      </c>
      <c r="I132" s="299" t="s">
        <v>2823</v>
      </c>
      <c r="J132" s="66">
        <v>449</v>
      </c>
      <c r="K132" s="66" t="s">
        <v>3303</v>
      </c>
      <c r="L132" s="66">
        <v>103315</v>
      </c>
      <c r="N132" s="66" t="s">
        <v>3040</v>
      </c>
      <c r="O132" s="66" t="s">
        <v>3041</v>
      </c>
      <c r="P132" s="66" t="s">
        <v>3042</v>
      </c>
      <c r="Q132" s="138" t="str">
        <f ca="1">IFERROR(LOOKUP($P132,MOTORISTAS!$D$3:$D$1048576,MOTORISTAS!E$3:E$916),"")</f>
        <v>19279658883</v>
      </c>
      <c r="R132" s="138" t="str">
        <f ca="1">IFERROR(LOOKUP($P132,MOTORISTAS!$D$3:$D$1048576,MOTORISTAS!F$3:F$916),"")</f>
        <v>01301319672</v>
      </c>
      <c r="S132" s="66">
        <v>3344</v>
      </c>
      <c r="T132" s="66" t="s">
        <v>293</v>
      </c>
      <c r="U132" s="79">
        <v>44956.958333333336</v>
      </c>
      <c r="V132" s="66" t="s">
        <v>469</v>
      </c>
      <c r="W132" s="79">
        <v>44957.611805555556</v>
      </c>
      <c r="X132" s="79">
        <v>44957.291666666664</v>
      </c>
      <c r="Y132" s="88">
        <v>44957.5</v>
      </c>
      <c r="Z132" s="81">
        <v>3200</v>
      </c>
      <c r="AA132" s="81">
        <v>0</v>
      </c>
      <c r="AB132" s="81">
        <f>SUM(Sal_23[[#This Row],[Saldo]]+Sal_23[[#This Row],[Adiantamento]])</f>
        <v>3200</v>
      </c>
      <c r="AC132" s="81">
        <v>0</v>
      </c>
      <c r="AD132" s="81"/>
      <c r="AE132" s="81"/>
      <c r="AF132" s="81"/>
      <c r="AG132" s="81">
        <f>Sal_23[[#This Row],[COMPRA]]*12%</f>
        <v>571.48680000000002</v>
      </c>
      <c r="AH132" s="83">
        <v>4762.3900000000003</v>
      </c>
      <c r="AI132" s="66" t="str">
        <f>PROPER(TEXT(Sal_23[[#This Row],[PROGRAMAÇÃO]],"mmm"))</f>
        <v>Jan</v>
      </c>
      <c r="AJ132" s="66">
        <f>YEAR(Sal_23[[#This Row],[PROGRAMAÇÃO]])</f>
        <v>2023</v>
      </c>
      <c r="AM132" s="66" t="s">
        <v>2768</v>
      </c>
      <c r="AN132" s="66" t="s">
        <v>2768</v>
      </c>
      <c r="AO132" s="66" t="s">
        <v>2768</v>
      </c>
    </row>
    <row r="133" spans="1:41" s="66" customFormat="1" ht="12.75" x14ac:dyDescent="0.2">
      <c r="A133" s="120" t="str">
        <f>Sal_23[[#This Row],[CONTAINER]]</f>
        <v>TCLU3460630</v>
      </c>
      <c r="B133" s="128" t="s">
        <v>2771</v>
      </c>
      <c r="C13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33" s="79">
        <v>44957.333333333336</v>
      </c>
      <c r="E133" s="44" t="s">
        <v>3260</v>
      </c>
      <c r="F133" s="66">
        <v>20</v>
      </c>
      <c r="G133" s="66" t="s">
        <v>2826</v>
      </c>
      <c r="H133" s="44" t="s">
        <v>2827</v>
      </c>
      <c r="I133" s="299" t="s">
        <v>2823</v>
      </c>
      <c r="J133" s="66">
        <v>448</v>
      </c>
      <c r="K133" s="66" t="s">
        <v>3303</v>
      </c>
      <c r="L133" s="66">
        <v>103349</v>
      </c>
      <c r="N133" s="66" t="s">
        <v>2156</v>
      </c>
      <c r="O133" s="66" t="s">
        <v>2464</v>
      </c>
      <c r="P133" s="66" t="s">
        <v>2158</v>
      </c>
      <c r="Q133" s="138" t="str">
        <f ca="1">IFERROR(LOOKUP($P133,MOTORISTAS!$D$3:$D$1048576,MOTORISTAS!E$3:E$916),"")</f>
        <v>10485530864</v>
      </c>
      <c r="R133" s="138" t="str">
        <f ca="1">IFERROR(LOOKUP($P133,MOTORISTAS!$D$3:$D$1048576,MOTORISTAS!F$3:F$916),"")</f>
        <v>02033192841</v>
      </c>
      <c r="S133" s="66">
        <v>3345</v>
      </c>
      <c r="T133" s="66" t="s">
        <v>293</v>
      </c>
      <c r="U133" s="79">
        <v>44957.208333333336</v>
      </c>
      <c r="V133" s="66" t="s">
        <v>526</v>
      </c>
      <c r="W133" s="79">
        <v>44957.822916666664</v>
      </c>
      <c r="X133" s="79">
        <v>44957.375</v>
      </c>
      <c r="Y133" s="88">
        <v>44957.416666666664</v>
      </c>
      <c r="Z133" s="81">
        <v>3200</v>
      </c>
      <c r="AA133" s="81">
        <v>0</v>
      </c>
      <c r="AB133" s="81">
        <f>SUM(Sal_23[[#This Row],[Saldo]]+Sal_23[[#This Row],[Adiantamento]])</f>
        <v>3200</v>
      </c>
      <c r="AC133" s="81">
        <v>0</v>
      </c>
      <c r="AD133" s="81"/>
      <c r="AE133" s="81"/>
      <c r="AF133" s="81"/>
      <c r="AG133" s="81">
        <f>Sal_23[[#This Row],[COMPRA]]*12%</f>
        <v>571.48680000000002</v>
      </c>
      <c r="AH133" s="83">
        <v>4762.3900000000003</v>
      </c>
      <c r="AI133" s="66" t="str">
        <f>PROPER(TEXT(Sal_23[[#This Row],[PROGRAMAÇÃO]],"mmm"))</f>
        <v>Jan</v>
      </c>
      <c r="AJ133" s="66">
        <f>YEAR(Sal_23[[#This Row],[PROGRAMAÇÃO]])</f>
        <v>2023</v>
      </c>
      <c r="AL133" s="44" t="s">
        <v>3346</v>
      </c>
      <c r="AM133" s="66" t="s">
        <v>2768</v>
      </c>
      <c r="AN133" s="66" t="s">
        <v>2768</v>
      </c>
      <c r="AO133" s="66" t="s">
        <v>2768</v>
      </c>
    </row>
    <row r="134" spans="1:41" s="66" customFormat="1" ht="12.75" x14ac:dyDescent="0.2">
      <c r="A134" s="120" t="str">
        <f>Sal_23[[#This Row],[CONTAINER]]</f>
        <v>CMAU5983724</v>
      </c>
      <c r="B134" s="128" t="s">
        <v>2771</v>
      </c>
      <c r="C134" s="44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34" s="79">
        <v>44956.291666666664</v>
      </c>
      <c r="E134" s="44" t="s">
        <v>3261</v>
      </c>
      <c r="F134" s="66" t="s">
        <v>301</v>
      </c>
      <c r="G134" s="66" t="s">
        <v>2808</v>
      </c>
      <c r="H134" s="44" t="s">
        <v>2887</v>
      </c>
      <c r="I134" s="299" t="s">
        <v>2831</v>
      </c>
      <c r="J134" s="66" t="s">
        <v>3262</v>
      </c>
      <c r="K134" s="66" t="s">
        <v>3303</v>
      </c>
      <c r="L134" s="66">
        <v>7543</v>
      </c>
      <c r="N134" s="66" t="s">
        <v>1961</v>
      </c>
      <c r="O134" s="66" t="s">
        <v>1962</v>
      </c>
      <c r="P134" s="66" t="s">
        <v>1482</v>
      </c>
      <c r="Q134" s="138" t="str">
        <f ca="1">IFERROR(LOOKUP($P134,MOTORISTAS!$D$3:$D$1048576,MOTORISTAS!E$3:E$916),"")</f>
        <v>38329597857</v>
      </c>
      <c r="R134" s="138" t="str">
        <f ca="1">IFERROR(LOOKUP($P134,MOTORISTAS!$D$3:$D$1048576,MOTORISTAS!F$3:F$916),"")</f>
        <v>04956762510</v>
      </c>
      <c r="S134" s="66">
        <v>3342</v>
      </c>
      <c r="T134" s="66" t="s">
        <v>293</v>
      </c>
      <c r="U134" s="79">
        <v>44956.208333333336</v>
      </c>
      <c r="V134" s="66" t="s">
        <v>537</v>
      </c>
      <c r="W134" s="79">
        <v>44956.788888888892</v>
      </c>
      <c r="X134" s="79">
        <v>44956.395937499998</v>
      </c>
      <c r="Y134" s="88">
        <v>44956.541666666664</v>
      </c>
      <c r="Z134" s="81">
        <v>3200</v>
      </c>
      <c r="AA134" s="81">
        <v>0</v>
      </c>
      <c r="AB134" s="81">
        <f>SUM(Sal_23[[#This Row],[Saldo]]+Sal_23[[#This Row],[Adiantamento]])</f>
        <v>3200</v>
      </c>
      <c r="AC134" s="81">
        <v>0</v>
      </c>
      <c r="AD134" s="81"/>
      <c r="AE134" s="81"/>
      <c r="AF134" s="81"/>
      <c r="AG134" s="81">
        <f>Sal_23[[#This Row],[COMPRA]]*12%</f>
        <v>0</v>
      </c>
      <c r="AH134" s="83"/>
      <c r="AI134" s="66" t="str">
        <f>PROPER(TEXT(Sal_23[[#This Row],[PROGRAMAÇÃO]],"mmm"))</f>
        <v>Jan</v>
      </c>
      <c r="AJ134" s="66">
        <f>YEAR(Sal_23[[#This Row],[PROGRAMAÇÃO]])</f>
        <v>2023</v>
      </c>
      <c r="AL134" s="44" t="s">
        <v>2785</v>
      </c>
      <c r="AM134" s="66" t="s">
        <v>2768</v>
      </c>
      <c r="AN134" s="66" t="s">
        <v>2768</v>
      </c>
      <c r="AO134" s="66" t="s">
        <v>2768</v>
      </c>
    </row>
    <row r="135" spans="1:41" s="66" customFormat="1" ht="12.75" x14ac:dyDescent="0.2">
      <c r="A135" s="120" t="str">
        <f>Sal_23[[#This Row],[CONTAINER]]</f>
        <v>TRHU5714988</v>
      </c>
      <c r="B135" s="128" t="s">
        <v>2771</v>
      </c>
      <c r="C13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35" s="79">
        <v>44957.291666666664</v>
      </c>
      <c r="E135" s="44" t="s">
        <v>3263</v>
      </c>
      <c r="F135" s="66" t="s">
        <v>301</v>
      </c>
      <c r="G135" s="66" t="s">
        <v>2808</v>
      </c>
      <c r="H135" s="44" t="s">
        <v>2887</v>
      </c>
      <c r="I135" s="299" t="s">
        <v>2831</v>
      </c>
      <c r="J135" s="66" t="s">
        <v>3264</v>
      </c>
      <c r="K135" s="66" t="s">
        <v>3303</v>
      </c>
      <c r="L135" s="66">
        <v>7586</v>
      </c>
      <c r="N135" s="66" t="s">
        <v>2658</v>
      </c>
      <c r="O135" s="66" t="s">
        <v>2659</v>
      </c>
      <c r="P135" s="66" t="s">
        <v>3265</v>
      </c>
      <c r="Q135" s="138" t="str">
        <f ca="1">IFERROR(LOOKUP($P135,MOTORISTAS!$D$3:$D$1048576,MOTORISTAS!E$3:E$916),"")</f>
        <v>27386770880</v>
      </c>
      <c r="R135" s="138" t="str">
        <f ca="1">IFERROR(LOOKUP($P135,MOTORISTAS!$D$3:$D$1048576,MOTORISTAS!F$3:F$916),"")</f>
        <v>00878878531</v>
      </c>
      <c r="S135" s="66">
        <v>3351</v>
      </c>
      <c r="T135" s="66" t="s">
        <v>293</v>
      </c>
      <c r="U135" s="79">
        <v>44957.041666666664</v>
      </c>
      <c r="V135" s="66" t="s">
        <v>537</v>
      </c>
      <c r="W135" s="79">
        <v>44958.620138888888</v>
      </c>
      <c r="X135" s="79">
        <v>44957.208333333336</v>
      </c>
      <c r="Y135" s="88">
        <v>44957.5</v>
      </c>
      <c r="Z135" s="81">
        <v>3200</v>
      </c>
      <c r="AA135" s="81">
        <v>0</v>
      </c>
      <c r="AB135" s="81">
        <f>SUM(Sal_23[[#This Row],[Saldo]]+Sal_23[[#This Row],[Adiantamento]])</f>
        <v>3200</v>
      </c>
      <c r="AC135" s="81">
        <v>0</v>
      </c>
      <c r="AD135" s="81"/>
      <c r="AE135" s="81"/>
      <c r="AF135" s="81"/>
      <c r="AG135" s="81">
        <f>Sal_23[[#This Row],[COMPRA]]*12%</f>
        <v>0</v>
      </c>
      <c r="AH135" s="83"/>
      <c r="AI135" s="66" t="str">
        <f>PROPER(TEXT(Sal_23[[#This Row],[PROGRAMAÇÃO]],"mmm"))</f>
        <v>Jan</v>
      </c>
      <c r="AJ135" s="66">
        <f>YEAR(Sal_23[[#This Row],[PROGRAMAÇÃO]])</f>
        <v>2023</v>
      </c>
      <c r="AM135" s="66" t="s">
        <v>2768</v>
      </c>
      <c r="AN135" s="66" t="s">
        <v>2768</v>
      </c>
      <c r="AO135" s="66" t="s">
        <v>2768</v>
      </c>
    </row>
    <row r="136" spans="1:41" s="66" customFormat="1" ht="12.75" x14ac:dyDescent="0.2">
      <c r="A136" s="120" t="str">
        <f>Sal_23[[#This Row],[CONTAINER]]</f>
        <v>TCNU1769757</v>
      </c>
      <c r="B136" s="128" t="s">
        <v>2771</v>
      </c>
      <c r="C13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36" s="79">
        <v>44956.291666666664</v>
      </c>
      <c r="E136" s="44" t="s">
        <v>3266</v>
      </c>
      <c r="F136" s="66" t="s">
        <v>301</v>
      </c>
      <c r="G136" s="66" t="s">
        <v>2808</v>
      </c>
      <c r="H136" s="44" t="s">
        <v>2887</v>
      </c>
      <c r="I136" s="299" t="s">
        <v>2831</v>
      </c>
      <c r="J136" s="66" t="s">
        <v>3267</v>
      </c>
      <c r="K136" s="66" t="s">
        <v>3303</v>
      </c>
      <c r="L136" s="66">
        <v>7321</v>
      </c>
      <c r="N136" s="66" t="s">
        <v>2389</v>
      </c>
      <c r="O136" s="66" t="s">
        <v>2390</v>
      </c>
      <c r="P136" s="66" t="s">
        <v>892</v>
      </c>
      <c r="Q136" s="138" t="str">
        <f ca="1">IFERROR(LOOKUP($P136,MOTORISTAS!$D$3:$D$1048576,MOTORISTAS!E$3:E$916),"")</f>
        <v>55283063968</v>
      </c>
      <c r="R136" s="138" t="str">
        <f ca="1">IFERROR(LOOKUP($P136,MOTORISTAS!$D$3:$D$1048576,MOTORISTAS!F$3:F$916),"")</f>
        <v>02537032407</v>
      </c>
      <c r="S136" s="66">
        <v>3343</v>
      </c>
      <c r="T136" s="66" t="s">
        <v>293</v>
      </c>
      <c r="U136" s="79">
        <v>44955.958333333336</v>
      </c>
      <c r="V136" s="66" t="s">
        <v>537</v>
      </c>
      <c r="W136" s="79">
        <v>44957.504861111112</v>
      </c>
      <c r="X136" s="79">
        <v>44956.208333333336</v>
      </c>
      <c r="Y136" s="88">
        <v>44956.416666666664</v>
      </c>
      <c r="Z136" s="81">
        <v>3200</v>
      </c>
      <c r="AA136" s="81">
        <v>0</v>
      </c>
      <c r="AB136" s="81">
        <f>SUM(Sal_23[[#This Row],[Saldo]]+Sal_23[[#This Row],[Adiantamento]])</f>
        <v>3200</v>
      </c>
      <c r="AC136" s="81">
        <v>0</v>
      </c>
      <c r="AD136" s="81"/>
      <c r="AE136" s="81"/>
      <c r="AF136" s="81"/>
      <c r="AG136" s="81">
        <f>Sal_23[[#This Row],[COMPRA]]*12%</f>
        <v>0</v>
      </c>
      <c r="AH136" s="83"/>
      <c r="AI136" s="66" t="str">
        <f>PROPER(TEXT(Sal_23[[#This Row],[PROGRAMAÇÃO]],"mmm"))</f>
        <v>Jan</v>
      </c>
      <c r="AJ136" s="66">
        <f>YEAR(Sal_23[[#This Row],[PROGRAMAÇÃO]])</f>
        <v>2023</v>
      </c>
      <c r="AM136" s="66" t="s">
        <v>2768</v>
      </c>
      <c r="AN136" s="66" t="s">
        <v>2768</v>
      </c>
      <c r="AO136" s="66" t="s">
        <v>2768</v>
      </c>
    </row>
    <row r="137" spans="1:41" s="66" customFormat="1" ht="12.75" x14ac:dyDescent="0.2">
      <c r="A137" s="120" t="str">
        <f>Sal_23[[#This Row],[CONTAINER]]</f>
        <v>TCKU1998764</v>
      </c>
      <c r="B137" s="128" t="s">
        <v>2771</v>
      </c>
      <c r="C13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37" s="79">
        <v>44957.458333333336</v>
      </c>
      <c r="E137" s="44" t="s">
        <v>3268</v>
      </c>
      <c r="F137" s="66">
        <v>20</v>
      </c>
      <c r="G137" s="66" t="s">
        <v>2820</v>
      </c>
      <c r="H137" s="44" t="s">
        <v>2820</v>
      </c>
      <c r="I137" s="299" t="s">
        <v>2821</v>
      </c>
      <c r="J137" s="66" t="s">
        <v>3269</v>
      </c>
      <c r="K137" s="66" t="s">
        <v>3302</v>
      </c>
      <c r="L137" s="66">
        <v>68407</v>
      </c>
      <c r="N137" s="66" t="s">
        <v>2949</v>
      </c>
      <c r="O137" s="66" t="s">
        <v>2950</v>
      </c>
      <c r="P137" s="66" t="s">
        <v>2948</v>
      </c>
      <c r="Q137" s="138" t="str">
        <f ca="1">IFERROR(LOOKUP($P137,MOTORISTAS!$D$3:$D$1048576,MOTORISTAS!E$3:E$916),"")</f>
        <v>16239341843</v>
      </c>
      <c r="R137" s="138" t="str">
        <f ca="1">IFERROR(LOOKUP($P137,MOTORISTAS!$D$3:$D$1048576,MOTORISTAS!F$3:F$916),"")</f>
        <v>01877235038</v>
      </c>
      <c r="S137" s="66">
        <v>3347</v>
      </c>
      <c r="T137" s="66" t="s">
        <v>306</v>
      </c>
      <c r="U137" s="79">
        <v>44956.916666666664</v>
      </c>
      <c r="V137" s="66" t="s">
        <v>292</v>
      </c>
      <c r="W137" s="79">
        <v>44957.567361111112</v>
      </c>
      <c r="X137" s="79">
        <v>44957.208333333336</v>
      </c>
      <c r="Y137" s="88">
        <v>44957.5</v>
      </c>
      <c r="Z137" s="81">
        <v>1600</v>
      </c>
      <c r="AA137" s="81">
        <v>0</v>
      </c>
      <c r="AB137" s="81">
        <f>SUM(Sal_23[[#This Row],[Saldo]]+Sal_23[[#This Row],[Adiantamento]])</f>
        <v>1600</v>
      </c>
      <c r="AC137" s="81">
        <v>0</v>
      </c>
      <c r="AD137" s="81"/>
      <c r="AE137" s="81"/>
      <c r="AF137" s="81"/>
      <c r="AG137" s="81">
        <f>Sal_23[[#This Row],[COMPRA]]*12%</f>
        <v>288</v>
      </c>
      <c r="AH137" s="83">
        <v>2400</v>
      </c>
      <c r="AI137" s="66" t="str">
        <f>PROPER(TEXT(Sal_23[[#This Row],[PROGRAMAÇÃO]],"mmm"))</f>
        <v>Jan</v>
      </c>
      <c r="AJ137" s="66">
        <f>YEAR(Sal_23[[#This Row],[PROGRAMAÇÃO]])</f>
        <v>2023</v>
      </c>
      <c r="AM137" s="66" t="s">
        <v>2768</v>
      </c>
      <c r="AN137" s="66" t="s">
        <v>2768</v>
      </c>
      <c r="AO137" s="66" t="s">
        <v>2768</v>
      </c>
    </row>
    <row r="138" spans="1:41" s="66" customFormat="1" ht="12.75" x14ac:dyDescent="0.2">
      <c r="A138" s="120" t="str">
        <f>Sal_23[[#This Row],[CONTAINER]]</f>
        <v>MRKU7889552</v>
      </c>
      <c r="B138" s="128" t="s">
        <v>2771</v>
      </c>
      <c r="C13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38" s="79">
        <v>44957.458333333336</v>
      </c>
      <c r="E138" s="44" t="s">
        <v>3270</v>
      </c>
      <c r="F138" s="66">
        <v>20</v>
      </c>
      <c r="G138" s="66" t="s">
        <v>2820</v>
      </c>
      <c r="H138" s="44" t="s">
        <v>2820</v>
      </c>
      <c r="I138" s="299" t="s">
        <v>2821</v>
      </c>
      <c r="J138" s="66" t="s">
        <v>3271</v>
      </c>
      <c r="K138" s="66" t="s">
        <v>3302</v>
      </c>
      <c r="L138" s="66">
        <v>68409</v>
      </c>
      <c r="N138" s="66" t="s">
        <v>2859</v>
      </c>
      <c r="O138" s="66" t="s">
        <v>2860</v>
      </c>
      <c r="P138" s="66" t="s">
        <v>2861</v>
      </c>
      <c r="Q138" s="138" t="str">
        <f ca="1">IFERROR(LOOKUP($P138,MOTORISTAS!$D$3:$D$1048576,MOTORISTAS!E$3:E$916),"")</f>
        <v>01817591878</v>
      </c>
      <c r="R138" s="138" t="str">
        <f ca="1">IFERROR(LOOKUP($P138,MOTORISTAS!$D$3:$D$1048576,MOTORISTAS!F$3:F$916),"")</f>
        <v>00821760640</v>
      </c>
      <c r="S138" s="66">
        <v>3348</v>
      </c>
      <c r="T138" s="66" t="s">
        <v>306</v>
      </c>
      <c r="U138" s="79">
        <v>44956.916666666664</v>
      </c>
      <c r="V138" s="66" t="s">
        <v>292</v>
      </c>
      <c r="W138" s="79">
        <v>44957.606249999997</v>
      </c>
      <c r="X138" s="79">
        <v>44957.208333333336</v>
      </c>
      <c r="Y138" s="88">
        <v>44957.5</v>
      </c>
      <c r="Z138" s="81">
        <v>1600</v>
      </c>
      <c r="AA138" s="81">
        <v>0</v>
      </c>
      <c r="AB138" s="81">
        <f>SUM(Sal_23[[#This Row],[Saldo]]+Sal_23[[#This Row],[Adiantamento]])</f>
        <v>1600</v>
      </c>
      <c r="AC138" s="81">
        <v>0</v>
      </c>
      <c r="AD138" s="81"/>
      <c r="AE138" s="81"/>
      <c r="AF138" s="81"/>
      <c r="AG138" s="81">
        <f>Sal_23[[#This Row],[COMPRA]]*12%</f>
        <v>288</v>
      </c>
      <c r="AH138" s="83">
        <v>2400</v>
      </c>
      <c r="AI138" s="66" t="str">
        <f>PROPER(TEXT(Sal_23[[#This Row],[PROGRAMAÇÃO]],"mmm"))</f>
        <v>Jan</v>
      </c>
      <c r="AJ138" s="66">
        <f>YEAR(Sal_23[[#This Row],[PROGRAMAÇÃO]])</f>
        <v>2023</v>
      </c>
      <c r="AM138" s="66" t="s">
        <v>2768</v>
      </c>
      <c r="AN138" s="66" t="s">
        <v>2768</v>
      </c>
      <c r="AO138" s="66" t="s">
        <v>2768</v>
      </c>
    </row>
    <row r="139" spans="1:41" s="66" customFormat="1" ht="12.75" x14ac:dyDescent="0.2">
      <c r="A139" s="120" t="str">
        <f>Sal_23[[#This Row],[CONTAINER]]</f>
        <v>PONU0365848</v>
      </c>
      <c r="B139" s="128" t="s">
        <v>2771</v>
      </c>
      <c r="C13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39" s="79">
        <v>44957.458333333336</v>
      </c>
      <c r="E139" s="44" t="s">
        <v>3272</v>
      </c>
      <c r="F139" s="66">
        <v>20</v>
      </c>
      <c r="G139" s="66" t="s">
        <v>2820</v>
      </c>
      <c r="H139" s="44" t="s">
        <v>2820</v>
      </c>
      <c r="I139" s="299" t="s">
        <v>2821</v>
      </c>
      <c r="J139" s="66" t="s">
        <v>3269</v>
      </c>
      <c r="K139" s="66" t="s">
        <v>3302</v>
      </c>
      <c r="L139" s="66">
        <v>68450</v>
      </c>
      <c r="N139" s="66" t="s">
        <v>3028</v>
      </c>
      <c r="O139" s="66" t="s">
        <v>2864</v>
      </c>
      <c r="P139" s="66" t="s">
        <v>3182</v>
      </c>
      <c r="Q139" s="138" t="str">
        <f ca="1">IFERROR(LOOKUP($P139,MOTORISTAS!$D$3:$D$1048576,MOTORISTAS!E$3:E$916),"")</f>
        <v>03605652476</v>
      </c>
      <c r="R139" s="138" t="str">
        <f ca="1">IFERROR(LOOKUP($P139,MOTORISTAS!$D$3:$D$1048576,MOTORISTAS!F$3:F$916),"")</f>
        <v>0091837259</v>
      </c>
      <c r="S139" s="66">
        <v>3349</v>
      </c>
      <c r="T139" s="66" t="s">
        <v>306</v>
      </c>
      <c r="U139" s="79">
        <v>44956.916666666664</v>
      </c>
      <c r="V139" s="66" t="s">
        <v>292</v>
      </c>
      <c r="W139" s="79">
        <v>44958.277777777781</v>
      </c>
      <c r="X139" s="79">
        <v>44957.208333333336</v>
      </c>
      <c r="Y139" s="88">
        <v>44957.583333333336</v>
      </c>
      <c r="Z139" s="81">
        <v>1600</v>
      </c>
      <c r="AA139" s="81">
        <v>0</v>
      </c>
      <c r="AB139" s="81">
        <f>SUM(Sal_23[[#This Row],[Saldo]]+Sal_23[[#This Row],[Adiantamento]])</f>
        <v>1600</v>
      </c>
      <c r="AC139" s="81">
        <v>0</v>
      </c>
      <c r="AD139" s="81"/>
      <c r="AE139" s="81"/>
      <c r="AF139" s="81"/>
      <c r="AG139" s="81">
        <f>Sal_23[[#This Row],[COMPRA]]*12%</f>
        <v>288</v>
      </c>
      <c r="AH139" s="83">
        <v>2400</v>
      </c>
      <c r="AI139" s="66" t="str">
        <f>PROPER(TEXT(Sal_23[[#This Row],[PROGRAMAÇÃO]],"mmm"))</f>
        <v>Jan</v>
      </c>
      <c r="AJ139" s="66">
        <f>YEAR(Sal_23[[#This Row],[PROGRAMAÇÃO]])</f>
        <v>2023</v>
      </c>
      <c r="AM139" s="66" t="s">
        <v>2768</v>
      </c>
      <c r="AN139" s="66" t="s">
        <v>2768</v>
      </c>
      <c r="AO139" s="66" t="s">
        <v>2768</v>
      </c>
    </row>
    <row r="140" spans="1:41" s="66" customFormat="1" ht="12.75" x14ac:dyDescent="0.2">
      <c r="A140" s="120" t="str">
        <f>Sal_23[[#This Row],[CONTAINER]]</f>
        <v>MRKU7669706</v>
      </c>
      <c r="B140" s="128" t="s">
        <v>2771</v>
      </c>
      <c r="C14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40" s="79">
        <v>44957.458333333336</v>
      </c>
      <c r="E140" s="44" t="s">
        <v>3273</v>
      </c>
      <c r="F140" s="66">
        <v>20</v>
      </c>
      <c r="G140" s="66" t="s">
        <v>2820</v>
      </c>
      <c r="H140" s="44" t="s">
        <v>2820</v>
      </c>
      <c r="I140" s="299" t="s">
        <v>2821</v>
      </c>
      <c r="J140" s="66" t="s">
        <v>3269</v>
      </c>
      <c r="K140" s="66" t="s">
        <v>3302</v>
      </c>
      <c r="L140" s="66">
        <v>68448</v>
      </c>
      <c r="N140" s="66" t="s">
        <v>2498</v>
      </c>
      <c r="O140" s="66" t="s">
        <v>3274</v>
      </c>
      <c r="P140" s="66" t="s">
        <v>2500</v>
      </c>
      <c r="Q140" s="138" t="str">
        <f ca="1">IFERROR(LOOKUP($P140,MOTORISTAS!$D$3:$D$1048576,MOTORISTAS!E$3:E$916),"")</f>
        <v>10838670830</v>
      </c>
      <c r="R140" s="138" t="str">
        <f ca="1">IFERROR(LOOKUP($P140,MOTORISTAS!$D$3:$D$1048576,MOTORISTAS!F$3:F$916),"")</f>
        <v>01808675938</v>
      </c>
      <c r="S140" s="66">
        <v>3350</v>
      </c>
      <c r="T140" s="66" t="s">
        <v>306</v>
      </c>
      <c r="U140" s="79">
        <v>44956.708333333336</v>
      </c>
      <c r="V140" s="66" t="s">
        <v>292</v>
      </c>
      <c r="W140" s="79">
        <v>44957.482638888891</v>
      </c>
      <c r="X140" s="79">
        <v>44957.208333333336</v>
      </c>
      <c r="Y140" s="88">
        <v>44957.395833333336</v>
      </c>
      <c r="Z140" s="81">
        <v>1600</v>
      </c>
      <c r="AA140" s="81">
        <v>0</v>
      </c>
      <c r="AB140" s="81">
        <f>SUM(Sal_23[[#This Row],[Saldo]]+Sal_23[[#This Row],[Adiantamento]])</f>
        <v>1600</v>
      </c>
      <c r="AC140" s="81">
        <v>0</v>
      </c>
      <c r="AD140" s="81"/>
      <c r="AE140" s="81"/>
      <c r="AF140" s="81"/>
      <c r="AG140" s="81">
        <f>Sal_23[[#This Row],[COMPRA]]*12%</f>
        <v>288</v>
      </c>
      <c r="AH140" s="83">
        <v>2400</v>
      </c>
      <c r="AI140" s="66" t="str">
        <f>PROPER(TEXT(Sal_23[[#This Row],[PROGRAMAÇÃO]],"mmm"))</f>
        <v>Jan</v>
      </c>
      <c r="AJ140" s="66">
        <f>YEAR(Sal_23[[#This Row],[PROGRAMAÇÃO]])</f>
        <v>2023</v>
      </c>
      <c r="AM140" s="66" t="s">
        <v>2768</v>
      </c>
      <c r="AN140" s="66" t="s">
        <v>2768</v>
      </c>
      <c r="AO140" s="66" t="s">
        <v>2768</v>
      </c>
    </row>
    <row r="141" spans="1:41" s="66" customFormat="1" ht="12.75" x14ac:dyDescent="0.2">
      <c r="A141" s="120" t="str">
        <f>Sal_23[[#This Row],[CONTAINER]]</f>
        <v>TCLU3467527</v>
      </c>
      <c r="B141" s="128" t="s">
        <v>2771</v>
      </c>
      <c r="C14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41" s="79">
        <v>44959.375</v>
      </c>
      <c r="E141" s="44" t="s">
        <v>2814</v>
      </c>
      <c r="F141" s="66">
        <v>20</v>
      </c>
      <c r="G141" s="66" t="s">
        <v>2820</v>
      </c>
      <c r="H141" s="44" t="s">
        <v>2820</v>
      </c>
      <c r="I141" s="299" t="s">
        <v>2821</v>
      </c>
      <c r="J141" s="66">
        <v>636</v>
      </c>
      <c r="K141" s="66" t="s">
        <v>2888</v>
      </c>
      <c r="L141" s="66">
        <v>112679</v>
      </c>
      <c r="N141" s="66" t="s">
        <v>2859</v>
      </c>
      <c r="O141" s="66" t="s">
        <v>2860</v>
      </c>
      <c r="P141" s="66" t="s">
        <v>2861</v>
      </c>
      <c r="Q141" s="138" t="str">
        <f ca="1">IFERROR(LOOKUP($P141,MOTORISTAS!$D$3:$D$1048576,MOTORISTAS!E$3:E$916),"")</f>
        <v>01817591878</v>
      </c>
      <c r="R141" s="138" t="str">
        <f ca="1">IFERROR(LOOKUP($P141,MOTORISTAS!$D$3:$D$1048576,MOTORISTAS!F$3:F$916),"")</f>
        <v>00821760640</v>
      </c>
      <c r="S141" s="66">
        <v>3352</v>
      </c>
      <c r="T141" s="66" t="s">
        <v>293</v>
      </c>
      <c r="U141" s="79">
        <v>44959.049305555556</v>
      </c>
      <c r="V141" s="66" t="s">
        <v>526</v>
      </c>
      <c r="W141" s="79">
        <v>44959.561111111114</v>
      </c>
      <c r="X141" s="79">
        <v>44959.291666666664</v>
      </c>
      <c r="Y141" s="88">
        <v>44959.416666666664</v>
      </c>
      <c r="Z141" s="81">
        <v>1600</v>
      </c>
      <c r="AA141" s="81">
        <v>0</v>
      </c>
      <c r="AB141" s="81">
        <f>SUM(Sal_23[[#This Row],[Saldo]]+Sal_23[[#This Row],[Adiantamento]])</f>
        <v>1600</v>
      </c>
      <c r="AC141" s="81">
        <v>0</v>
      </c>
      <c r="AD141" s="81"/>
      <c r="AE141" s="81"/>
      <c r="AF141" s="81"/>
      <c r="AG141" s="81">
        <f>Sal_23[[#This Row],[COMPRA]]*12%</f>
        <v>288</v>
      </c>
      <c r="AH141" s="83">
        <v>2400</v>
      </c>
      <c r="AI141" s="66" t="str">
        <f>PROPER(TEXT(Sal_23[[#This Row],[PROGRAMAÇÃO]],"mmm"))</f>
        <v>Fev</v>
      </c>
      <c r="AJ141" s="66">
        <f>YEAR(Sal_23[[#This Row],[PROGRAMAÇÃO]])</f>
        <v>2023</v>
      </c>
      <c r="AM141" s="66" t="s">
        <v>2768</v>
      </c>
      <c r="AN141" s="66" t="s">
        <v>2768</v>
      </c>
      <c r="AO141" s="66" t="s">
        <v>2768</v>
      </c>
    </row>
    <row r="142" spans="1:41" s="66" customFormat="1" ht="12.75" x14ac:dyDescent="0.2">
      <c r="A142" s="120" t="str">
        <f>Sal_23[[#This Row],[CONTAINER]]</f>
        <v>SEGU1084411</v>
      </c>
      <c r="B142" s="128" t="s">
        <v>2771</v>
      </c>
      <c r="C14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42" s="79">
        <v>44959.375</v>
      </c>
      <c r="E142" s="44" t="s">
        <v>2819</v>
      </c>
      <c r="F142" s="66">
        <v>20</v>
      </c>
      <c r="G142" s="66" t="s">
        <v>2820</v>
      </c>
      <c r="H142" s="44" t="s">
        <v>2820</v>
      </c>
      <c r="I142" s="299" t="s">
        <v>2821</v>
      </c>
      <c r="J142" s="66">
        <v>739</v>
      </c>
      <c r="K142" s="66" t="s">
        <v>2888</v>
      </c>
      <c r="L142" s="66">
        <v>103562</v>
      </c>
      <c r="N142" s="66" t="s">
        <v>2933</v>
      </c>
      <c r="O142" s="66" t="s">
        <v>2864</v>
      </c>
      <c r="P142" s="66" t="s">
        <v>2932</v>
      </c>
      <c r="Q142" s="138" t="str">
        <f ca="1">IFERROR(LOOKUP($P142,MOTORISTAS!$D$3:$D$1048576,MOTORISTAS!E$3:E$916),"")</f>
        <v>87607395849</v>
      </c>
      <c r="R142" s="138" t="str">
        <f ca="1">IFERROR(LOOKUP($P142,MOTORISTAS!$D$3:$D$1048576,MOTORISTAS!F$3:F$916),"")</f>
        <v>01842622116</v>
      </c>
      <c r="S142" s="66">
        <v>3353</v>
      </c>
      <c r="T142" s="66" t="s">
        <v>293</v>
      </c>
      <c r="U142" s="79">
        <v>44959.05</v>
      </c>
      <c r="V142" s="66" t="s">
        <v>292</v>
      </c>
      <c r="W142" s="79">
        <v>44959.56527777778</v>
      </c>
      <c r="X142" s="79">
        <v>44959.291666666664</v>
      </c>
      <c r="Y142" s="88">
        <v>44959.416666666664</v>
      </c>
      <c r="Z142" s="81">
        <v>1600</v>
      </c>
      <c r="AA142" s="81">
        <v>0</v>
      </c>
      <c r="AB142" s="81">
        <f>SUM(Sal_23[[#This Row],[Saldo]]+Sal_23[[#This Row],[Adiantamento]])</f>
        <v>1600</v>
      </c>
      <c r="AC142" s="81">
        <v>0</v>
      </c>
      <c r="AD142" s="81"/>
      <c r="AE142" s="81"/>
      <c r="AF142" s="81"/>
      <c r="AG142" s="81">
        <f>Sal_23[[#This Row],[COMPRA]]*12%</f>
        <v>288</v>
      </c>
      <c r="AH142" s="83">
        <v>2400</v>
      </c>
      <c r="AI142" s="66" t="str">
        <f>PROPER(TEXT(Sal_23[[#This Row],[PROGRAMAÇÃO]],"mmm"))</f>
        <v>Fev</v>
      </c>
      <c r="AJ142" s="66">
        <f>YEAR(Sal_23[[#This Row],[PROGRAMAÇÃO]])</f>
        <v>2023</v>
      </c>
      <c r="AM142" s="66" t="s">
        <v>2768</v>
      </c>
      <c r="AN142" s="66" t="s">
        <v>2768</v>
      </c>
      <c r="AO142" s="66" t="s">
        <v>2768</v>
      </c>
    </row>
    <row r="143" spans="1:41" s="66" customFormat="1" ht="12.75" x14ac:dyDescent="0.2">
      <c r="A143" s="120" t="str">
        <f>Sal_23[[#This Row],[CONTAINER]]</f>
        <v>TCLU8204349</v>
      </c>
      <c r="B143" s="128" t="s">
        <v>2771</v>
      </c>
      <c r="C14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43" s="79">
        <v>44959.333333333336</v>
      </c>
      <c r="E143" s="44" t="s">
        <v>2847</v>
      </c>
      <c r="F143" s="66">
        <v>40</v>
      </c>
      <c r="G143" s="66" t="s">
        <v>2826</v>
      </c>
      <c r="H143" s="44" t="s">
        <v>1674</v>
      </c>
      <c r="I143" s="299" t="s">
        <v>2829</v>
      </c>
      <c r="J143" s="66">
        <v>686</v>
      </c>
      <c r="K143" s="66" t="s">
        <v>2888</v>
      </c>
      <c r="L143" s="66">
        <v>103482</v>
      </c>
      <c r="M143" s="66">
        <v>103483</v>
      </c>
      <c r="N143" s="66" t="s">
        <v>140</v>
      </c>
      <c r="O143" s="66" t="s">
        <v>141</v>
      </c>
      <c r="P143" s="66" t="s">
        <v>2051</v>
      </c>
      <c r="Q143" s="138" t="str">
        <f ca="1">IFERROR(LOOKUP($P143,MOTORISTAS!$D$3:$D$1048576,MOTORISTAS!E$3:E$916),"")</f>
        <v>33913917829</v>
      </c>
      <c r="R143" s="138" t="str">
        <f ca="1">IFERROR(LOOKUP($P143,MOTORISTAS!$D$3:$D$1048576,MOTORISTAS!F$3:F$916),"")</f>
        <v>03312585500</v>
      </c>
      <c r="S143" s="66">
        <v>3358</v>
      </c>
      <c r="T143" s="66" t="s">
        <v>293</v>
      </c>
      <c r="U143" s="79">
        <v>44959.044444444444</v>
      </c>
      <c r="V143" s="66" t="s">
        <v>469</v>
      </c>
      <c r="W143" s="79">
        <v>44959.847222222219</v>
      </c>
      <c r="X143" s="79">
        <v>44959.291666666664</v>
      </c>
      <c r="Y143" s="88">
        <v>44959.493055555555</v>
      </c>
      <c r="Z143" s="81">
        <v>3400</v>
      </c>
      <c r="AA143" s="81">
        <v>0</v>
      </c>
      <c r="AB143" s="81">
        <f>SUM(Sal_23[[#This Row],[Saldo]]+Sal_23[[#This Row],[Adiantamento]])</f>
        <v>3400</v>
      </c>
      <c r="AC143" s="81">
        <v>0</v>
      </c>
      <c r="AD143" s="81"/>
      <c r="AE143" s="81"/>
      <c r="AF143" s="81"/>
      <c r="AG143" s="81">
        <f>Sal_23[[#This Row],[COMPRA]]*12%</f>
        <v>558.28440000000001</v>
      </c>
      <c r="AH143" s="83">
        <v>4652.37</v>
      </c>
      <c r="AI143" s="66" t="str">
        <f>PROPER(TEXT(Sal_23[[#This Row],[PROGRAMAÇÃO]],"mmm"))</f>
        <v>Fev</v>
      </c>
      <c r="AJ143" s="66">
        <f>YEAR(Sal_23[[#This Row],[PROGRAMAÇÃO]])</f>
        <v>2023</v>
      </c>
      <c r="AM143" s="66" t="s">
        <v>295</v>
      </c>
      <c r="AN143" s="66" t="s">
        <v>2768</v>
      </c>
      <c r="AO143" s="66" t="s">
        <v>2768</v>
      </c>
    </row>
    <row r="144" spans="1:41" s="66" customFormat="1" ht="12.75" x14ac:dyDescent="0.2">
      <c r="A144" s="120" t="str">
        <f>Sal_23[[#This Row],[CONTAINER]]</f>
        <v>TCNU7707217</v>
      </c>
      <c r="B144" s="128" t="s">
        <v>2771</v>
      </c>
      <c r="C14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44" s="79">
        <v>44959.333333333336</v>
      </c>
      <c r="E144" s="44" t="s">
        <v>2848</v>
      </c>
      <c r="F144" s="66">
        <v>40</v>
      </c>
      <c r="G144" s="66" t="s">
        <v>2826</v>
      </c>
      <c r="H144" s="44" t="s">
        <v>1674</v>
      </c>
      <c r="I144" s="299" t="s">
        <v>2829</v>
      </c>
      <c r="J144" s="66">
        <v>745</v>
      </c>
      <c r="K144" s="66" t="s">
        <v>2888</v>
      </c>
      <c r="L144" s="66">
        <v>103484</v>
      </c>
      <c r="M144" s="66">
        <v>103485</v>
      </c>
      <c r="N144" s="66" t="s">
        <v>2389</v>
      </c>
      <c r="O144" s="66" t="s">
        <v>2390</v>
      </c>
      <c r="P144" s="66" t="s">
        <v>892</v>
      </c>
      <c r="Q144" s="138" t="str">
        <f ca="1">IFERROR(LOOKUP($P144,MOTORISTAS!$D$3:$D$1048576,MOTORISTAS!E$3:E$916),"")</f>
        <v>55283063968</v>
      </c>
      <c r="R144" s="138" t="str">
        <f ca="1">IFERROR(LOOKUP($P144,MOTORISTAS!$D$3:$D$1048576,MOTORISTAS!F$3:F$916),"")</f>
        <v>02537032407</v>
      </c>
      <c r="S144" s="66" t="s">
        <v>2911</v>
      </c>
      <c r="T144" s="66" t="s">
        <v>293</v>
      </c>
      <c r="U144" s="79">
        <v>44958.976388888892</v>
      </c>
      <c r="V144" s="66" t="s">
        <v>526</v>
      </c>
      <c r="W144" s="79">
        <v>44959.658333333333</v>
      </c>
      <c r="X144" s="79">
        <v>44959.291666666664</v>
      </c>
      <c r="Y144" s="88">
        <v>44959.375</v>
      </c>
      <c r="Z144" s="81">
        <v>3400</v>
      </c>
      <c r="AA144" s="81">
        <v>0</v>
      </c>
      <c r="AB144" s="81">
        <f>SUM(Sal_23[[#This Row],[Saldo]]+Sal_23[[#This Row],[Adiantamento]])</f>
        <v>3400</v>
      </c>
      <c r="AC144" s="81">
        <v>0</v>
      </c>
      <c r="AD144" s="81"/>
      <c r="AE144" s="81"/>
      <c r="AF144" s="81"/>
      <c r="AG144" s="81">
        <f>Sal_23[[#This Row],[COMPRA]]*12%</f>
        <v>558.28440000000001</v>
      </c>
      <c r="AH144" s="83">
        <v>4652.37</v>
      </c>
      <c r="AI144" s="66" t="str">
        <f>PROPER(TEXT(Sal_23[[#This Row],[PROGRAMAÇÃO]],"mmm"))</f>
        <v>Fev</v>
      </c>
      <c r="AJ144" s="66">
        <f>YEAR(Sal_23[[#This Row],[PROGRAMAÇÃO]])</f>
        <v>2023</v>
      </c>
      <c r="AM144" s="66" t="s">
        <v>2768</v>
      </c>
      <c r="AN144" s="66" t="s">
        <v>2768</v>
      </c>
      <c r="AO144" s="66" t="s">
        <v>2768</v>
      </c>
    </row>
    <row r="145" spans="1:41" s="66" customFormat="1" ht="12.75" x14ac:dyDescent="0.2">
      <c r="A145" s="120" t="str">
        <f>Sal_23[[#This Row],[CONTAINER]]</f>
        <v>FCIU9210116</v>
      </c>
      <c r="B145" s="128" t="s">
        <v>2771</v>
      </c>
      <c r="C14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45" s="79">
        <v>44959.333333333336</v>
      </c>
      <c r="E145" s="44" t="s">
        <v>2853</v>
      </c>
      <c r="F145" s="66">
        <v>40</v>
      </c>
      <c r="G145" s="66" t="s">
        <v>2826</v>
      </c>
      <c r="H145" s="44" t="s">
        <v>3195</v>
      </c>
      <c r="I145" s="299" t="s">
        <v>2830</v>
      </c>
      <c r="J145" s="66">
        <v>720</v>
      </c>
      <c r="K145" s="66" t="s">
        <v>2888</v>
      </c>
      <c r="L145" s="66">
        <v>103413</v>
      </c>
      <c r="N145" s="66" t="s">
        <v>2912</v>
      </c>
      <c r="O145" s="66" t="s">
        <v>2913</v>
      </c>
      <c r="P145" s="66" t="s">
        <v>2914</v>
      </c>
      <c r="Q145" s="138" t="str">
        <f ca="1">IFERROR(LOOKUP($P145,MOTORISTAS!$D$3:$D$1048576,MOTORISTAS!E$3:E$916),"")</f>
        <v>36305564850</v>
      </c>
      <c r="R145" s="138" t="str">
        <f ca="1">IFERROR(LOOKUP($P145,MOTORISTAS!$D$3:$D$1048576,MOTORISTAS!F$3:F$916),"")</f>
        <v>06043477724</v>
      </c>
      <c r="S145" s="66">
        <v>3359</v>
      </c>
      <c r="T145" s="66" t="s">
        <v>293</v>
      </c>
      <c r="U145" s="79">
        <v>44959.023611111108</v>
      </c>
      <c r="V145" s="66" t="s">
        <v>469</v>
      </c>
      <c r="W145" s="79">
        <v>44959.808333333334</v>
      </c>
      <c r="X145" s="79">
        <v>44959.333333333336</v>
      </c>
      <c r="Y145" s="88">
        <v>44959.416666666664</v>
      </c>
      <c r="Z145" s="81">
        <v>2300</v>
      </c>
      <c r="AA145" s="81">
        <v>0</v>
      </c>
      <c r="AB145" s="81">
        <f>SUM(Sal_23[[#This Row],[Saldo]]+Sal_23[[#This Row],[Adiantamento]])</f>
        <v>2300</v>
      </c>
      <c r="AC145" s="81">
        <v>0</v>
      </c>
      <c r="AD145" s="81"/>
      <c r="AE145" s="81"/>
      <c r="AF145" s="81"/>
      <c r="AG145" s="81">
        <f>Sal_23[[#This Row],[COMPRA]]*12%</f>
        <v>392.15039999999999</v>
      </c>
      <c r="AH145" s="83">
        <v>3267.92</v>
      </c>
      <c r="AI145" s="66" t="str">
        <f>PROPER(TEXT(Sal_23[[#This Row],[PROGRAMAÇÃO]],"mmm"))</f>
        <v>Fev</v>
      </c>
      <c r="AJ145" s="66">
        <f>YEAR(Sal_23[[#This Row],[PROGRAMAÇÃO]])</f>
        <v>2023</v>
      </c>
      <c r="AM145" s="66" t="s">
        <v>2768</v>
      </c>
      <c r="AN145" s="66" t="s">
        <v>2768</v>
      </c>
      <c r="AO145" s="66" t="s">
        <v>2768</v>
      </c>
    </row>
    <row r="146" spans="1:41" s="66" customFormat="1" ht="12.75" x14ac:dyDescent="0.2">
      <c r="A146" s="120" t="str">
        <f>Sal_23[[#This Row],[CONTAINER]]</f>
        <v>TCLU8701540</v>
      </c>
      <c r="B146" s="128" t="s">
        <v>2771</v>
      </c>
      <c r="C14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46" s="79">
        <v>44959.333333333336</v>
      </c>
      <c r="E146" s="44" t="s">
        <v>2854</v>
      </c>
      <c r="F146" s="66">
        <v>40</v>
      </c>
      <c r="G146" s="66" t="s">
        <v>2826</v>
      </c>
      <c r="H146" s="44" t="s">
        <v>2836</v>
      </c>
      <c r="I146" s="299" t="s">
        <v>708</v>
      </c>
      <c r="J146" s="66">
        <v>721</v>
      </c>
      <c r="K146" s="66" t="s">
        <v>2888</v>
      </c>
      <c r="L146" s="66">
        <v>103439</v>
      </c>
      <c r="N146" s="66" t="s">
        <v>150</v>
      </c>
      <c r="O146" s="66" t="s">
        <v>209</v>
      </c>
      <c r="P146" s="66" t="s">
        <v>152</v>
      </c>
      <c r="Q146" s="138" t="str">
        <f ca="1">IFERROR(LOOKUP($P146,MOTORISTAS!$D$3:$D$1048576,MOTORISTAS!E$3:E$916),"")</f>
        <v>05753633803</v>
      </c>
      <c r="R146" s="138" t="str">
        <f ca="1">IFERROR(LOOKUP($P146,MOTORISTAS!$D$3:$D$1048576,MOTORISTAS!F$3:F$916),"")</f>
        <v>01922497849</v>
      </c>
      <c r="S146" s="66">
        <v>3354</v>
      </c>
      <c r="T146" s="66" t="s">
        <v>293</v>
      </c>
      <c r="U146" s="79">
        <v>44959.280555555553</v>
      </c>
      <c r="V146" s="66" t="s">
        <v>469</v>
      </c>
      <c r="W146" s="79">
        <v>44959.589583333334</v>
      </c>
      <c r="X146" s="79">
        <v>44959.333333333336</v>
      </c>
      <c r="Y146" s="88">
        <v>44959.5</v>
      </c>
      <c r="Z146" s="81">
        <v>200</v>
      </c>
      <c r="AA146" s="81">
        <v>0</v>
      </c>
      <c r="AB146" s="81">
        <f>SUM(Sal_23[[#This Row],[Saldo]]+Sal_23[[#This Row],[Adiantamento]])</f>
        <v>200</v>
      </c>
      <c r="AC146" s="81">
        <v>0</v>
      </c>
      <c r="AD146" s="81"/>
      <c r="AE146" s="81"/>
      <c r="AF146" s="81"/>
      <c r="AG146" s="81">
        <f>Sal_23[[#This Row],[COMPRA]]*12%</f>
        <v>234</v>
      </c>
      <c r="AH146" s="83">
        <v>1950</v>
      </c>
      <c r="AI146" s="66" t="str">
        <f>PROPER(TEXT(Sal_23[[#This Row],[PROGRAMAÇÃO]],"mmm"))</f>
        <v>Fev</v>
      </c>
      <c r="AJ146" s="66">
        <f>YEAR(Sal_23[[#This Row],[PROGRAMAÇÃO]])</f>
        <v>2023</v>
      </c>
      <c r="AM146" s="66" t="s">
        <v>2768</v>
      </c>
      <c r="AN146" s="66" t="s">
        <v>2768</v>
      </c>
      <c r="AO146" s="66" t="s">
        <v>2768</v>
      </c>
    </row>
    <row r="147" spans="1:41" s="66" customFormat="1" ht="12.75" x14ac:dyDescent="0.2">
      <c r="A147" s="120" t="str">
        <f>Sal_23[[#This Row],[CONTAINER]]</f>
        <v>TCLU8187350</v>
      </c>
      <c r="B147" s="128" t="s">
        <v>2771</v>
      </c>
      <c r="C14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47" s="79">
        <v>44959.333333333336</v>
      </c>
      <c r="E147" s="44" t="s">
        <v>2858</v>
      </c>
      <c r="F147" s="66">
        <v>40</v>
      </c>
      <c r="G147" s="66" t="s">
        <v>2826</v>
      </c>
      <c r="H147" s="44" t="s">
        <v>2833</v>
      </c>
      <c r="I147" s="299" t="s">
        <v>2832</v>
      </c>
      <c r="J147" s="66">
        <v>718</v>
      </c>
      <c r="K147" s="66" t="s">
        <v>2888</v>
      </c>
      <c r="L147" s="66">
        <v>103436</v>
      </c>
      <c r="N147" s="66" t="s">
        <v>92</v>
      </c>
      <c r="O147" s="66" t="s">
        <v>93</v>
      </c>
      <c r="P147" s="66" t="s">
        <v>94</v>
      </c>
      <c r="Q147" s="138" t="str">
        <f ca="1">IFERROR(LOOKUP($P147,MOTORISTAS!$D$3:$D$1048576,MOTORISTAS!E$3:E$916),"")</f>
        <v>26283419801</v>
      </c>
      <c r="R147" s="138" t="str">
        <f ca="1">IFERROR(LOOKUP($P147,MOTORISTAS!$D$3:$D$1048576,MOTORISTAS!F$3:F$916),"")</f>
        <v>02002046946</v>
      </c>
      <c r="S147" s="66">
        <v>3355</v>
      </c>
      <c r="T147" s="66" t="s">
        <v>293</v>
      </c>
      <c r="U147" s="79">
        <v>44959.239583333336</v>
      </c>
      <c r="V147" s="66" t="s">
        <v>469</v>
      </c>
      <c r="W147" s="79">
        <v>44959.84652777778</v>
      </c>
      <c r="X147" s="79">
        <v>44959.430555555555</v>
      </c>
      <c r="Y147" s="88">
        <v>44959.625</v>
      </c>
      <c r="Z147" s="81">
        <v>3700</v>
      </c>
      <c r="AA147" s="81">
        <v>0</v>
      </c>
      <c r="AB147" s="81">
        <f>SUM(Sal_23[[#This Row],[Saldo]]+Sal_23[[#This Row],[Adiantamento]])</f>
        <v>3700</v>
      </c>
      <c r="AC147" s="81">
        <v>0</v>
      </c>
      <c r="AD147" s="81"/>
      <c r="AE147" s="81"/>
      <c r="AF147" s="81"/>
      <c r="AG147" s="81">
        <f>Sal_23[[#This Row],[COMPRA]]*12%</f>
        <v>641.71680000000003</v>
      </c>
      <c r="AH147" s="83">
        <v>5347.64</v>
      </c>
      <c r="AI147" s="66" t="str">
        <f>PROPER(TEXT(Sal_23[[#This Row],[PROGRAMAÇÃO]],"mmm"))</f>
        <v>Fev</v>
      </c>
      <c r="AJ147" s="66">
        <f>YEAR(Sal_23[[#This Row],[PROGRAMAÇÃO]])</f>
        <v>2023</v>
      </c>
      <c r="AL147" s="44" t="s">
        <v>3346</v>
      </c>
      <c r="AM147" s="66" t="s">
        <v>2768</v>
      </c>
      <c r="AN147" s="66" t="s">
        <v>2768</v>
      </c>
      <c r="AO147" s="66" t="s">
        <v>2768</v>
      </c>
    </row>
    <row r="148" spans="1:41" s="66" customFormat="1" ht="12.75" x14ac:dyDescent="0.2">
      <c r="A148" s="120" t="str">
        <f>Sal_23[[#This Row],[CONTAINER]]</f>
        <v>CAIU3314645</v>
      </c>
      <c r="B148" s="128" t="s">
        <v>2771</v>
      </c>
      <c r="C14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48" s="79">
        <v>44960.375</v>
      </c>
      <c r="E148" s="44" t="s">
        <v>2815</v>
      </c>
      <c r="F148" s="66">
        <v>20</v>
      </c>
      <c r="G148" s="66" t="s">
        <v>2820</v>
      </c>
      <c r="H148" s="44" t="s">
        <v>2820</v>
      </c>
      <c r="I148" s="299" t="s">
        <v>2821</v>
      </c>
      <c r="J148" s="66">
        <v>738</v>
      </c>
      <c r="K148" s="66" t="s">
        <v>2888</v>
      </c>
      <c r="L148" s="66">
        <v>103563</v>
      </c>
      <c r="N148" s="66" t="s">
        <v>2859</v>
      </c>
      <c r="O148" s="66" t="s">
        <v>2860</v>
      </c>
      <c r="P148" s="66" t="s">
        <v>2861</v>
      </c>
      <c r="Q148" s="138" t="str">
        <f ca="1">IFERROR(LOOKUP($P148,MOTORISTAS!$D$3:$D$1048576,MOTORISTAS!E$3:E$916),"")</f>
        <v>01817591878</v>
      </c>
      <c r="R148" s="138" t="str">
        <f ca="1">IFERROR(LOOKUP($P148,MOTORISTAS!$D$3:$D$1048576,MOTORISTAS!F$3:F$916),"")</f>
        <v>00821760640</v>
      </c>
      <c r="S148" s="66">
        <v>3361</v>
      </c>
      <c r="T148" s="66" t="s">
        <v>293</v>
      </c>
      <c r="U148" s="79">
        <v>44960.000694444447</v>
      </c>
      <c r="V148" s="66" t="s">
        <v>292</v>
      </c>
      <c r="W148" s="79">
        <v>44960.544444444444</v>
      </c>
      <c r="X148" s="79">
        <v>44960.159722222219</v>
      </c>
      <c r="Y148" s="88">
        <v>44960.4375</v>
      </c>
      <c r="Z148" s="81">
        <v>1600</v>
      </c>
      <c r="AA148" s="81">
        <v>0</v>
      </c>
      <c r="AB148" s="81">
        <f>SUM(Sal_23[[#This Row],[Saldo]]+Sal_23[[#This Row],[Adiantamento]])</f>
        <v>1600</v>
      </c>
      <c r="AC148" s="81">
        <v>0</v>
      </c>
      <c r="AD148" s="81"/>
      <c r="AE148" s="81"/>
      <c r="AF148" s="81"/>
      <c r="AG148" s="81">
        <f>Sal_23[[#This Row],[COMPRA]]*12%</f>
        <v>288</v>
      </c>
      <c r="AH148" s="83">
        <v>2400</v>
      </c>
      <c r="AI148" s="66" t="str">
        <f>PROPER(TEXT(Sal_23[[#This Row],[PROGRAMAÇÃO]],"mmm"))</f>
        <v>Fev</v>
      </c>
      <c r="AJ148" s="66">
        <f>YEAR(Sal_23[[#This Row],[PROGRAMAÇÃO]])</f>
        <v>2023</v>
      </c>
      <c r="AM148" s="66" t="s">
        <v>2768</v>
      </c>
      <c r="AN148" s="66" t="s">
        <v>2768</v>
      </c>
      <c r="AO148" s="66" t="s">
        <v>2768</v>
      </c>
    </row>
    <row r="149" spans="1:41" s="66" customFormat="1" ht="12.75" x14ac:dyDescent="0.2">
      <c r="A149" s="120" t="str">
        <f>Sal_23[[#This Row],[CONTAINER]]</f>
        <v>CAIU3014186</v>
      </c>
      <c r="B149" s="128" t="s">
        <v>2771</v>
      </c>
      <c r="C14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49" s="79">
        <v>44960.375</v>
      </c>
      <c r="E149" s="44" t="s">
        <v>2817</v>
      </c>
      <c r="F149" s="66">
        <v>20</v>
      </c>
      <c r="G149" s="66" t="s">
        <v>2820</v>
      </c>
      <c r="H149" s="44" t="s">
        <v>2820</v>
      </c>
      <c r="I149" s="299" t="s">
        <v>2821</v>
      </c>
      <c r="J149" s="66">
        <v>741</v>
      </c>
      <c r="K149" s="66" t="s">
        <v>2888</v>
      </c>
      <c r="L149" s="66">
        <v>103565</v>
      </c>
      <c r="N149" s="66" t="s">
        <v>2933</v>
      </c>
      <c r="O149" s="66" t="s">
        <v>2864</v>
      </c>
      <c r="P149" s="66" t="s">
        <v>2932</v>
      </c>
      <c r="Q149" s="138" t="str">
        <f ca="1">IFERROR(LOOKUP($P149,MOTORISTAS!$D$3:$D$1048576,MOTORISTAS!E$3:E$916),"")</f>
        <v>87607395849</v>
      </c>
      <c r="R149" s="138" t="str">
        <f ca="1">IFERROR(LOOKUP($P149,MOTORISTAS!$D$3:$D$1048576,MOTORISTAS!F$3:F$916),"")</f>
        <v>01842622116</v>
      </c>
      <c r="S149" s="66">
        <v>3362</v>
      </c>
      <c r="T149" s="66" t="s">
        <v>293</v>
      </c>
      <c r="U149" s="79">
        <v>44959.878472222219</v>
      </c>
      <c r="V149" s="66" t="s">
        <v>292</v>
      </c>
      <c r="W149" s="79">
        <v>44960.542361111111</v>
      </c>
      <c r="X149" s="79">
        <v>44960.166666666664</v>
      </c>
      <c r="Y149" s="88">
        <v>44960.4375</v>
      </c>
      <c r="Z149" s="81">
        <v>1600</v>
      </c>
      <c r="AA149" s="81">
        <v>0</v>
      </c>
      <c r="AB149" s="81">
        <f>SUM(Sal_23[[#This Row],[Saldo]]+Sal_23[[#This Row],[Adiantamento]])</f>
        <v>1600</v>
      </c>
      <c r="AC149" s="81">
        <v>0</v>
      </c>
      <c r="AD149" s="81"/>
      <c r="AE149" s="81"/>
      <c r="AF149" s="81"/>
      <c r="AG149" s="81">
        <f>Sal_23[[#This Row],[COMPRA]]*12%</f>
        <v>288</v>
      </c>
      <c r="AH149" s="83">
        <v>2400</v>
      </c>
      <c r="AI149" s="66" t="str">
        <f>PROPER(TEXT(Sal_23[[#This Row],[PROGRAMAÇÃO]],"mmm"))</f>
        <v>Fev</v>
      </c>
      <c r="AJ149" s="66">
        <f>YEAR(Sal_23[[#This Row],[PROGRAMAÇÃO]])</f>
        <v>2023</v>
      </c>
      <c r="AM149" s="66" t="s">
        <v>295</v>
      </c>
      <c r="AN149" s="66" t="s">
        <v>2768</v>
      </c>
      <c r="AO149" s="66" t="s">
        <v>2768</v>
      </c>
    </row>
    <row r="150" spans="1:41" s="66" customFormat="1" ht="12.75" x14ac:dyDescent="0.2">
      <c r="A150" s="120" t="str">
        <f>Sal_23[[#This Row],[CONTAINER]]</f>
        <v>TCLU3461175</v>
      </c>
      <c r="B150" s="128" t="s">
        <v>2771</v>
      </c>
      <c r="C15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0" s="79">
        <v>44960.333333333336</v>
      </c>
      <c r="E150" s="44" t="s">
        <v>2839</v>
      </c>
      <c r="F150" s="66">
        <v>20</v>
      </c>
      <c r="G150" s="66" t="s">
        <v>2826</v>
      </c>
      <c r="H150" s="44" t="s">
        <v>3442</v>
      </c>
      <c r="I150" s="299" t="s">
        <v>2822</v>
      </c>
      <c r="J150" s="66">
        <v>731</v>
      </c>
      <c r="K150" s="66" t="s">
        <v>2888</v>
      </c>
      <c r="L150" s="66">
        <v>103445</v>
      </c>
      <c r="N150" s="66" t="s">
        <v>3028</v>
      </c>
      <c r="O150" s="66" t="s">
        <v>2950</v>
      </c>
      <c r="P150" s="66" t="s">
        <v>2861</v>
      </c>
      <c r="Q150" s="138" t="str">
        <f ca="1">IFERROR(LOOKUP($P150,MOTORISTAS!$D$3:$D$1048576,MOTORISTAS!E$3:E$916),"")</f>
        <v>01817591878</v>
      </c>
      <c r="R150" s="138" t="str">
        <f ca="1">IFERROR(LOOKUP($P150,MOTORISTAS!$D$3:$D$1048576,MOTORISTAS!F$3:F$916),"")</f>
        <v>00821760640</v>
      </c>
      <c r="S150" s="66">
        <v>3363</v>
      </c>
      <c r="T150" s="66" t="s">
        <v>293</v>
      </c>
      <c r="U150" s="79">
        <v>44959.953472222223</v>
      </c>
      <c r="V150" s="66" t="s">
        <v>526</v>
      </c>
      <c r="X150" s="79">
        <v>44960.291666666664</v>
      </c>
      <c r="Y150" s="88">
        <v>44960.4375</v>
      </c>
      <c r="Z150" s="81">
        <v>2200</v>
      </c>
      <c r="AA150" s="81">
        <v>0</v>
      </c>
      <c r="AB150" s="81">
        <f>SUM(Sal_23[[#This Row],[Saldo]]+Sal_23[[#This Row],[Adiantamento]])</f>
        <v>2200</v>
      </c>
      <c r="AC150" s="81">
        <v>0</v>
      </c>
      <c r="AD150" s="81"/>
      <c r="AE150" s="81"/>
      <c r="AF150" s="81"/>
      <c r="AG150" s="81">
        <f>Sal_23[[#This Row],[COMPRA]]*12%</f>
        <v>370.37759999999997</v>
      </c>
      <c r="AH150" s="83">
        <v>3086.48</v>
      </c>
      <c r="AI150" s="66" t="str">
        <f>PROPER(TEXT(Sal_23[[#This Row],[PROGRAMAÇÃO]],"mmm"))</f>
        <v>Fev</v>
      </c>
      <c r="AJ150" s="66">
        <f>YEAR(Sal_23[[#This Row],[PROGRAMAÇÃO]])</f>
        <v>2023</v>
      </c>
      <c r="AM150" s="66" t="s">
        <v>2768</v>
      </c>
      <c r="AN150" s="66" t="s">
        <v>2768</v>
      </c>
      <c r="AO150" s="66" t="s">
        <v>2768</v>
      </c>
    </row>
    <row r="151" spans="1:41" s="66" customFormat="1" ht="12.75" x14ac:dyDescent="0.2">
      <c r="A151" s="120" t="str">
        <f>Sal_23[[#This Row],[CONTAINER]]</f>
        <v>SEGU1086271</v>
      </c>
      <c r="B151" s="128" t="s">
        <v>2771</v>
      </c>
      <c r="C15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1" s="79">
        <v>44960.333333333336</v>
      </c>
      <c r="E151" s="44" t="s">
        <v>2846</v>
      </c>
      <c r="F151" s="66">
        <v>20</v>
      </c>
      <c r="G151" s="66" t="s">
        <v>2826</v>
      </c>
      <c r="H151" s="44" t="s">
        <v>3440</v>
      </c>
      <c r="I151" s="299" t="s">
        <v>3253</v>
      </c>
      <c r="J151" s="66">
        <v>735</v>
      </c>
      <c r="K151" s="66" t="s">
        <v>2888</v>
      </c>
      <c r="L151" s="66">
        <v>112717</v>
      </c>
      <c r="N151" s="66" t="s">
        <v>2584</v>
      </c>
      <c r="O151" s="66" t="s">
        <v>2585</v>
      </c>
      <c r="P151" s="66" t="s">
        <v>2586</v>
      </c>
      <c r="Q151" s="138" t="str">
        <f ca="1">IFERROR(LOOKUP($P151,MOTORISTAS!$D$3:$D$1048576,MOTORISTAS!E$3:E$916),"")</f>
        <v>08312935860</v>
      </c>
      <c r="R151" s="138" t="str">
        <f ca="1">IFERROR(LOOKUP($P151,MOTORISTAS!$D$3:$D$1048576,MOTORISTAS!F$3:F$916),"")</f>
        <v>03106516083</v>
      </c>
      <c r="S151" s="66">
        <v>3364</v>
      </c>
      <c r="T151" s="66" t="s">
        <v>293</v>
      </c>
      <c r="U151" s="79">
        <v>44959.94027777778</v>
      </c>
      <c r="V151" s="66" t="s">
        <v>469</v>
      </c>
      <c r="W151" s="79">
        <v>44960.606944444444</v>
      </c>
      <c r="X151" s="79">
        <v>44960.291666666664</v>
      </c>
      <c r="Y151" s="88">
        <v>44960.458333333336</v>
      </c>
      <c r="Z151" s="81">
        <v>2300</v>
      </c>
      <c r="AA151" s="81">
        <v>0</v>
      </c>
      <c r="AB151" s="81">
        <f>SUM(Sal_23[[#This Row],[Saldo]]+Sal_23[[#This Row],[Adiantamento]])</f>
        <v>2300</v>
      </c>
      <c r="AC151" s="81">
        <v>0</v>
      </c>
      <c r="AD151" s="81"/>
      <c r="AE151" s="81"/>
      <c r="AF151" s="81"/>
      <c r="AG151" s="81">
        <f>Sal_23[[#This Row],[COMPRA]]*12%</f>
        <v>399.62399999999997</v>
      </c>
      <c r="AH151" s="83">
        <v>3330.2</v>
      </c>
      <c r="AI151" s="66" t="str">
        <f>PROPER(TEXT(Sal_23[[#This Row],[PROGRAMAÇÃO]],"mmm"))</f>
        <v>Fev</v>
      </c>
      <c r="AJ151" s="66">
        <f>YEAR(Sal_23[[#This Row],[PROGRAMAÇÃO]])</f>
        <v>2023</v>
      </c>
      <c r="AM151" s="66" t="s">
        <v>2768</v>
      </c>
      <c r="AN151" s="66" t="s">
        <v>2768</v>
      </c>
      <c r="AO151" s="66" t="s">
        <v>2768</v>
      </c>
    </row>
    <row r="152" spans="1:41" s="66" customFormat="1" ht="12.75" x14ac:dyDescent="0.2">
      <c r="A152" s="120" t="str">
        <f>Sal_23[[#This Row],[CONTAINER]]</f>
        <v>SEGU4064785</v>
      </c>
      <c r="B152" s="128" t="s">
        <v>2771</v>
      </c>
      <c r="C15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2" s="79">
        <v>44960.375</v>
      </c>
      <c r="E152" s="44" t="s">
        <v>2849</v>
      </c>
      <c r="F152" s="66">
        <v>40</v>
      </c>
      <c r="G152" s="66" t="s">
        <v>2826</v>
      </c>
      <c r="H152" s="44" t="s">
        <v>1674</v>
      </c>
      <c r="I152" s="299" t="s">
        <v>2829</v>
      </c>
      <c r="J152" s="66">
        <v>688</v>
      </c>
      <c r="K152" s="66" t="s">
        <v>2888</v>
      </c>
      <c r="L152" s="66">
        <v>103480</v>
      </c>
      <c r="M152" s="66">
        <v>103481</v>
      </c>
      <c r="N152" s="66" t="s">
        <v>102</v>
      </c>
      <c r="O152" s="66" t="s">
        <v>27</v>
      </c>
      <c r="P152" s="66" t="s">
        <v>206</v>
      </c>
      <c r="Q152" s="138" t="str">
        <f ca="1">IFERROR(LOOKUP($P152,MOTORISTAS!$D$3:$D$1048576,MOTORISTAS!E$3:E$916),"")</f>
        <v>09085263425</v>
      </c>
      <c r="R152" s="138" t="str">
        <f ca="1">IFERROR(LOOKUP($P152,MOTORISTAS!$D$3:$D$1048576,MOTORISTAS!F$3:F$916),"")</f>
        <v>04557705505</v>
      </c>
      <c r="S152" s="66">
        <v>3368</v>
      </c>
      <c r="T152" s="66" t="s">
        <v>293</v>
      </c>
      <c r="U152" s="79">
        <v>44960.21597222222</v>
      </c>
      <c r="V152" s="66" t="s">
        <v>469</v>
      </c>
      <c r="W152" s="79">
        <v>44960.650694444441</v>
      </c>
      <c r="X152" s="79">
        <v>44960.372916666667</v>
      </c>
      <c r="Y152" s="88">
        <v>44960.474305555559</v>
      </c>
      <c r="Z152" s="81">
        <v>3400</v>
      </c>
      <c r="AA152" s="81">
        <v>0</v>
      </c>
      <c r="AB152" s="81">
        <f>SUM(Sal_23[[#This Row],[Saldo]]+Sal_23[[#This Row],[Adiantamento]])</f>
        <v>3400</v>
      </c>
      <c r="AC152" s="81">
        <v>0</v>
      </c>
      <c r="AD152" s="81"/>
      <c r="AE152" s="81"/>
      <c r="AF152" s="81"/>
      <c r="AG152" s="81">
        <f>Sal_23[[#This Row],[COMPRA]]*12%</f>
        <v>558.28440000000001</v>
      </c>
      <c r="AH152" s="83">
        <v>4652.37</v>
      </c>
      <c r="AI152" s="66" t="str">
        <f>PROPER(TEXT(Sal_23[[#This Row],[PROGRAMAÇÃO]],"mmm"))</f>
        <v>Fev</v>
      </c>
      <c r="AJ152" s="66">
        <f>YEAR(Sal_23[[#This Row],[PROGRAMAÇÃO]])</f>
        <v>2023</v>
      </c>
      <c r="AM152" s="66" t="s">
        <v>2768</v>
      </c>
      <c r="AN152" s="66" t="s">
        <v>2768</v>
      </c>
      <c r="AO152" s="66" t="s">
        <v>2768</v>
      </c>
    </row>
    <row r="153" spans="1:41" s="66" customFormat="1" ht="12.75" x14ac:dyDescent="0.2">
      <c r="A153" s="120" t="str">
        <f>Sal_23[[#This Row],[CONTAINER]]</f>
        <v>TCLU8328400</v>
      </c>
      <c r="B153" s="128" t="s">
        <v>2771</v>
      </c>
      <c r="C15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3" s="79">
        <v>44960.375</v>
      </c>
      <c r="E153" s="44" t="s">
        <v>2850</v>
      </c>
      <c r="F153" s="66">
        <v>40</v>
      </c>
      <c r="G153" s="66" t="s">
        <v>2826</v>
      </c>
      <c r="H153" s="44" t="s">
        <v>1674</v>
      </c>
      <c r="I153" s="299" t="s">
        <v>2829</v>
      </c>
      <c r="J153" s="66">
        <v>633</v>
      </c>
      <c r="K153" s="66" t="s">
        <v>2888</v>
      </c>
      <c r="L153" s="66">
        <v>103555</v>
      </c>
      <c r="M153" s="66">
        <v>103556</v>
      </c>
      <c r="N153" s="66" t="s">
        <v>150</v>
      </c>
      <c r="O153" s="66" t="s">
        <v>209</v>
      </c>
      <c r="P153" s="66" t="s">
        <v>152</v>
      </c>
      <c r="Q153" s="138" t="str">
        <f ca="1">IFERROR(LOOKUP($P153,MOTORISTAS!$D$3:$D$1048576,MOTORISTAS!E$3:E$916),"")</f>
        <v>05753633803</v>
      </c>
      <c r="R153" s="138" t="str">
        <f ca="1">IFERROR(LOOKUP($P153,MOTORISTAS!$D$3:$D$1048576,MOTORISTAS!F$3:F$916),"")</f>
        <v>01922497849</v>
      </c>
      <c r="S153" s="66">
        <v>3365</v>
      </c>
      <c r="T153" s="66" t="s">
        <v>293</v>
      </c>
      <c r="U153" s="79">
        <v>44960.193749999999</v>
      </c>
      <c r="V153" s="66" t="s">
        <v>469</v>
      </c>
      <c r="W153" s="79">
        <v>44960.629166666666</v>
      </c>
      <c r="X153" s="79">
        <v>44960.354166666664</v>
      </c>
      <c r="Y153" s="88">
        <v>44960.416666666664</v>
      </c>
      <c r="Z153" s="81">
        <v>3400</v>
      </c>
      <c r="AA153" s="81">
        <v>0</v>
      </c>
      <c r="AB153" s="81">
        <f>SUM(Sal_23[[#This Row],[Saldo]]+Sal_23[[#This Row],[Adiantamento]])</f>
        <v>3400</v>
      </c>
      <c r="AC153" s="81">
        <v>0</v>
      </c>
      <c r="AD153" s="81"/>
      <c r="AE153" s="81"/>
      <c r="AF153" s="81"/>
      <c r="AG153" s="81">
        <f>Sal_23[[#This Row],[COMPRA]]*12%</f>
        <v>558.28440000000001</v>
      </c>
      <c r="AH153" s="83">
        <v>4652.37</v>
      </c>
      <c r="AI153" s="66" t="str">
        <f>PROPER(TEXT(Sal_23[[#This Row],[PROGRAMAÇÃO]],"mmm"))</f>
        <v>Fev</v>
      </c>
      <c r="AJ153" s="66">
        <f>YEAR(Sal_23[[#This Row],[PROGRAMAÇÃO]])</f>
        <v>2023</v>
      </c>
      <c r="AM153" s="66" t="s">
        <v>2768</v>
      </c>
      <c r="AN153" s="66" t="s">
        <v>2768</v>
      </c>
      <c r="AO153" s="66" t="s">
        <v>2768</v>
      </c>
    </row>
    <row r="154" spans="1:41" s="66" customFormat="1" ht="12.75" x14ac:dyDescent="0.2">
      <c r="A154" s="120" t="str">
        <f>Sal_23[[#This Row],[CONTAINER]]</f>
        <v>CAIU3406248</v>
      </c>
      <c r="B154" s="128" t="s">
        <v>2771</v>
      </c>
      <c r="C15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4" s="79">
        <v>44963.375</v>
      </c>
      <c r="E154" s="44" t="s">
        <v>2816</v>
      </c>
      <c r="F154" s="66">
        <v>20</v>
      </c>
      <c r="G154" s="66" t="s">
        <v>2820</v>
      </c>
      <c r="H154" s="44" t="s">
        <v>2820</v>
      </c>
      <c r="I154" s="299" t="s">
        <v>2821</v>
      </c>
      <c r="J154" s="66">
        <v>740</v>
      </c>
      <c r="K154" s="66" t="s">
        <v>2888</v>
      </c>
      <c r="L154" s="66">
        <v>103564</v>
      </c>
      <c r="N154" s="66" t="s">
        <v>3028</v>
      </c>
      <c r="O154" s="66" t="s">
        <v>2950</v>
      </c>
      <c r="P154" s="66" t="s">
        <v>3182</v>
      </c>
      <c r="Q154" s="138" t="str">
        <f ca="1">IFERROR(LOOKUP($P154,MOTORISTAS!$D$3:$D$1048576,MOTORISTAS!E$3:E$916),"")</f>
        <v>03605652476</v>
      </c>
      <c r="R154" s="138" t="str">
        <f ca="1">IFERROR(LOOKUP($P154,MOTORISTAS!$D$3:$D$1048576,MOTORISTAS!F$3:F$916),"")</f>
        <v>0091837259</v>
      </c>
      <c r="S154" s="66">
        <v>3371</v>
      </c>
      <c r="T154" s="66" t="s">
        <v>293</v>
      </c>
      <c r="U154" s="79">
        <v>44963.231944444444</v>
      </c>
      <c r="V154" s="66" t="s">
        <v>292</v>
      </c>
      <c r="W154" s="79">
        <v>44963.611805555556</v>
      </c>
      <c r="X154" s="79">
        <v>44963.333333333336</v>
      </c>
      <c r="Y154" s="88">
        <v>44963.5</v>
      </c>
      <c r="Z154" s="81">
        <v>1600</v>
      </c>
      <c r="AA154" s="81">
        <v>0</v>
      </c>
      <c r="AB154" s="81">
        <f>SUM(Sal_23[[#This Row],[Saldo]]+Sal_23[[#This Row],[Adiantamento]])</f>
        <v>1600</v>
      </c>
      <c r="AC154" s="81">
        <v>0</v>
      </c>
      <c r="AD154" s="81"/>
      <c r="AE154" s="81"/>
      <c r="AF154" s="81"/>
      <c r="AG154" s="81">
        <f>Sal_23[[#This Row],[COMPRA]]*12%</f>
        <v>288</v>
      </c>
      <c r="AH154" s="83">
        <v>2400</v>
      </c>
      <c r="AI154" s="66" t="str">
        <f>PROPER(TEXT(Sal_23[[#This Row],[PROGRAMAÇÃO]],"mmm"))</f>
        <v>Fev</v>
      </c>
      <c r="AJ154" s="66">
        <f>YEAR(Sal_23[[#This Row],[PROGRAMAÇÃO]])</f>
        <v>2023</v>
      </c>
      <c r="AM154" s="66" t="s">
        <v>2768</v>
      </c>
      <c r="AN154" s="66" t="s">
        <v>2768</v>
      </c>
      <c r="AO154" s="66" t="s">
        <v>2768</v>
      </c>
    </row>
    <row r="155" spans="1:41" s="66" customFormat="1" ht="12.75" x14ac:dyDescent="0.2">
      <c r="A155" s="120" t="str">
        <f>Sal_23[[#This Row],[CONTAINER]]</f>
        <v>CAIU2914563</v>
      </c>
      <c r="B155" s="128" t="s">
        <v>2771</v>
      </c>
      <c r="C15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5" s="79">
        <v>44963.375</v>
      </c>
      <c r="E155" s="44" t="s">
        <v>2818</v>
      </c>
      <c r="F155" s="66">
        <v>20</v>
      </c>
      <c r="G155" s="66" t="s">
        <v>2820</v>
      </c>
      <c r="H155" s="44" t="s">
        <v>2820</v>
      </c>
      <c r="I155" s="299" t="s">
        <v>2821</v>
      </c>
      <c r="J155" s="66">
        <v>635</v>
      </c>
      <c r="K155" s="66" t="s">
        <v>2888</v>
      </c>
      <c r="L155" s="66">
        <v>112680</v>
      </c>
      <c r="N155" s="66" t="s">
        <v>2859</v>
      </c>
      <c r="O155" s="66" t="s">
        <v>2860</v>
      </c>
      <c r="P155" s="66" t="s">
        <v>2861</v>
      </c>
      <c r="Q155" s="138" t="str">
        <f ca="1">IFERROR(LOOKUP($P155,MOTORISTAS!$D$3:$D$1048576,MOTORISTAS!E$3:E$916),"")</f>
        <v>01817591878</v>
      </c>
      <c r="R155" s="138" t="str">
        <f ca="1">IFERROR(LOOKUP($P155,MOTORISTAS!$D$3:$D$1048576,MOTORISTAS!F$3:F$916),"")</f>
        <v>00821760640</v>
      </c>
      <c r="S155" s="66">
        <v>3370</v>
      </c>
      <c r="T155" s="66" t="s">
        <v>293</v>
      </c>
      <c r="U155" s="79">
        <v>44963.225694444445</v>
      </c>
      <c r="V155" s="66" t="s">
        <v>292</v>
      </c>
      <c r="W155" s="79">
        <v>44963.599305555559</v>
      </c>
      <c r="X155" s="79">
        <v>44963.333333333336</v>
      </c>
      <c r="Y155" s="88">
        <v>44963.5</v>
      </c>
      <c r="Z155" s="81">
        <v>1600</v>
      </c>
      <c r="AA155" s="81">
        <v>0</v>
      </c>
      <c r="AB155" s="81">
        <f>SUM(Sal_23[[#This Row],[Saldo]]+Sal_23[[#This Row],[Adiantamento]])</f>
        <v>1600</v>
      </c>
      <c r="AC155" s="81">
        <v>0</v>
      </c>
      <c r="AD155" s="81"/>
      <c r="AE155" s="81"/>
      <c r="AF155" s="81"/>
      <c r="AG155" s="81">
        <f>Sal_23[[#This Row],[COMPRA]]*12%</f>
        <v>288</v>
      </c>
      <c r="AH155" s="83">
        <v>2400</v>
      </c>
      <c r="AI155" s="66" t="str">
        <f>PROPER(TEXT(Sal_23[[#This Row],[PROGRAMAÇÃO]],"mmm"))</f>
        <v>Fev</v>
      </c>
      <c r="AJ155" s="66">
        <f>YEAR(Sal_23[[#This Row],[PROGRAMAÇÃO]])</f>
        <v>2023</v>
      </c>
      <c r="AM155" s="66" t="s">
        <v>2768</v>
      </c>
      <c r="AN155" s="66" t="s">
        <v>2768</v>
      </c>
      <c r="AO155" s="66" t="s">
        <v>2768</v>
      </c>
    </row>
    <row r="156" spans="1:41" s="66" customFormat="1" ht="12.75" x14ac:dyDescent="0.2">
      <c r="A156" s="120" t="str">
        <f>Sal_23[[#This Row],[CONTAINER]]</f>
        <v>TCLU3467050</v>
      </c>
      <c r="B156" s="128" t="s">
        <v>2771</v>
      </c>
      <c r="C15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6" s="79">
        <v>44963.333333333336</v>
      </c>
      <c r="E156" s="44" t="s">
        <v>2843</v>
      </c>
      <c r="F156" s="66">
        <v>20</v>
      </c>
      <c r="G156" s="66" t="s">
        <v>2826</v>
      </c>
      <c r="H156" s="44" t="s">
        <v>2838</v>
      </c>
      <c r="I156" s="299" t="s">
        <v>2828</v>
      </c>
      <c r="J156" s="66">
        <v>737</v>
      </c>
      <c r="K156" s="66" t="s">
        <v>2888</v>
      </c>
      <c r="L156" s="66">
        <v>103520</v>
      </c>
      <c r="N156" s="66" t="s">
        <v>3040</v>
      </c>
      <c r="O156" s="66" t="s">
        <v>3041</v>
      </c>
      <c r="P156" s="66" t="s">
        <v>3042</v>
      </c>
      <c r="Q156" s="138" t="str">
        <f ca="1">IFERROR(LOOKUP($P156,MOTORISTAS!$D$3:$D$1048576,MOTORISTAS!E$3:E$916),"")</f>
        <v>19279658883</v>
      </c>
      <c r="R156" s="138" t="str">
        <f ca="1">IFERROR(LOOKUP($P156,MOTORISTAS!$D$3:$D$1048576,MOTORISTAS!F$3:F$916),"")</f>
        <v>01301319672</v>
      </c>
      <c r="S156" s="66">
        <v>3369</v>
      </c>
      <c r="T156" s="66" t="s">
        <v>293</v>
      </c>
      <c r="U156" s="79">
        <v>44962.929166666669</v>
      </c>
      <c r="V156" s="66" t="s">
        <v>526</v>
      </c>
      <c r="W156" s="79">
        <v>44963.683333333334</v>
      </c>
      <c r="X156" s="79">
        <v>44963.291666666664</v>
      </c>
      <c r="Y156" s="88">
        <v>44963.541666666664</v>
      </c>
      <c r="Z156" s="81">
        <v>2200</v>
      </c>
      <c r="AA156" s="81">
        <v>500</v>
      </c>
      <c r="AB156" s="81">
        <f>SUM(Sal_23[[#This Row],[Saldo]]+Sal_23[[#This Row],[Adiantamento]])</f>
        <v>2700</v>
      </c>
      <c r="AC156" s="81">
        <v>0</v>
      </c>
      <c r="AD156" s="81"/>
      <c r="AE156" s="81"/>
      <c r="AF156" s="81"/>
      <c r="AG156" s="81">
        <f>Sal_23[[#This Row],[COMPRA]]*12%</f>
        <v>601.46159999999998</v>
      </c>
      <c r="AH156" s="83">
        <v>5012.18</v>
      </c>
      <c r="AI156" s="66" t="str">
        <f>PROPER(TEXT(Sal_23[[#This Row],[PROGRAMAÇÃO]],"mmm"))</f>
        <v>Fev</v>
      </c>
      <c r="AJ156" s="66">
        <f>YEAR(Sal_23[[#This Row],[PROGRAMAÇÃO]])</f>
        <v>2023</v>
      </c>
      <c r="AM156" s="66" t="s">
        <v>2768</v>
      </c>
      <c r="AN156" s="66" t="s">
        <v>2768</v>
      </c>
      <c r="AO156" s="66" t="s">
        <v>2768</v>
      </c>
    </row>
    <row r="157" spans="1:41" s="66" customFormat="1" ht="12.75" x14ac:dyDescent="0.2">
      <c r="A157" s="120" t="str">
        <f>Sal_23[[#This Row],[CONTAINER]]</f>
        <v>GLDU7608729</v>
      </c>
      <c r="B157" s="128" t="s">
        <v>2771</v>
      </c>
      <c r="C15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7" s="79">
        <v>44963.333333333336</v>
      </c>
      <c r="E157" s="44" t="s">
        <v>2851</v>
      </c>
      <c r="F157" s="66">
        <v>40</v>
      </c>
      <c r="G157" s="66" t="s">
        <v>2826</v>
      </c>
      <c r="H157" s="44" t="s">
        <v>1674</v>
      </c>
      <c r="I157" s="299" t="s">
        <v>2829</v>
      </c>
      <c r="J157" s="66">
        <v>634</v>
      </c>
      <c r="K157" s="66" t="s">
        <v>2888</v>
      </c>
      <c r="L157" s="66">
        <v>103557</v>
      </c>
      <c r="N157" s="66" t="s">
        <v>210</v>
      </c>
      <c r="O157" s="66" t="s">
        <v>211</v>
      </c>
      <c r="P157" s="66" t="s">
        <v>212</v>
      </c>
      <c r="Q157" s="138" t="str">
        <f ca="1">IFERROR(LOOKUP($P157,MOTORISTAS!$D$3:$D$1048576,MOTORISTAS!E$3:E$916),"")</f>
        <v>38029906846</v>
      </c>
      <c r="R157" s="138" t="str">
        <f ca="1">IFERROR(LOOKUP($P157,MOTORISTAS!$D$3:$D$1048576,MOTORISTAS!F$3:F$916),"")</f>
        <v>04946846842</v>
      </c>
      <c r="S157" s="66">
        <v>3372</v>
      </c>
      <c r="T157" s="66" t="s">
        <v>293</v>
      </c>
      <c r="U157" s="79">
        <v>44963.046527777777</v>
      </c>
      <c r="V157" s="66" t="s">
        <v>469</v>
      </c>
      <c r="W157" s="79">
        <v>44963.746527777781</v>
      </c>
      <c r="X157" s="79">
        <v>44963.291666666664</v>
      </c>
      <c r="Y157" s="88">
        <v>44963.541666666664</v>
      </c>
      <c r="Z157" s="81">
        <v>564.4</v>
      </c>
      <c r="AA157" s="81">
        <v>0</v>
      </c>
      <c r="AB157" s="81">
        <f>SUM(Sal_23[[#This Row],[Saldo]]+Sal_23[[#This Row],[Adiantamento]])</f>
        <v>564.4</v>
      </c>
      <c r="AC157" s="81">
        <v>0</v>
      </c>
      <c r="AD157" s="81"/>
      <c r="AE157" s="81"/>
      <c r="AF157" s="81"/>
      <c r="AG157" s="81">
        <f>Sal_23[[#This Row],[COMPRA]]*12%</f>
        <v>558.28440000000001</v>
      </c>
      <c r="AH157" s="83">
        <v>4652.37</v>
      </c>
      <c r="AI157" s="66" t="str">
        <f>PROPER(TEXT(Sal_23[[#This Row],[PROGRAMAÇÃO]],"mmm"))</f>
        <v>Fev</v>
      </c>
      <c r="AJ157" s="66">
        <f>YEAR(Sal_23[[#This Row],[PROGRAMAÇÃO]])</f>
        <v>2023</v>
      </c>
      <c r="AM157" s="66" t="s">
        <v>2768</v>
      </c>
      <c r="AN157" s="66" t="s">
        <v>2768</v>
      </c>
      <c r="AO157" s="66" t="s">
        <v>2768</v>
      </c>
    </row>
    <row r="158" spans="1:41" s="66" customFormat="1" ht="12.75" x14ac:dyDescent="0.2">
      <c r="A158" s="120" t="str">
        <f>Sal_23[[#This Row],[CONTAINER]]</f>
        <v>TEMU7721940</v>
      </c>
      <c r="B158" s="128" t="s">
        <v>2771</v>
      </c>
      <c r="C15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8" s="79">
        <v>44963.375</v>
      </c>
      <c r="E158" s="44" t="s">
        <v>2852</v>
      </c>
      <c r="F158" s="66">
        <v>40</v>
      </c>
      <c r="G158" s="66" t="s">
        <v>2826</v>
      </c>
      <c r="H158" s="44" t="s">
        <v>1674</v>
      </c>
      <c r="I158" s="299" t="s">
        <v>2829</v>
      </c>
      <c r="J158" s="66">
        <v>722</v>
      </c>
      <c r="K158" s="66" t="s">
        <v>2888</v>
      </c>
      <c r="L158" s="66">
        <v>103442</v>
      </c>
      <c r="M158" s="66">
        <v>103443</v>
      </c>
      <c r="N158" s="66" t="s">
        <v>68</v>
      </c>
      <c r="O158" s="66" t="s">
        <v>36</v>
      </c>
      <c r="P158" s="66" t="s">
        <v>69</v>
      </c>
      <c r="Q158" s="138" t="str">
        <f ca="1">IFERROR(LOOKUP($P158,MOTORISTAS!$D$3:$D$1048576,MOTORISTAS!E$3:E$916),"")</f>
        <v>07968457866</v>
      </c>
      <c r="R158" s="138" t="str">
        <f ca="1">IFERROR(LOOKUP($P158,MOTORISTAS!$D$3:$D$1048576,MOTORISTAS!F$3:F$916),"")</f>
        <v>03264365790</v>
      </c>
      <c r="S158" s="66">
        <v>3373</v>
      </c>
      <c r="T158" s="66" t="s">
        <v>293</v>
      </c>
      <c r="U158" s="79">
        <v>44963.22152777778</v>
      </c>
      <c r="V158" s="66" t="s">
        <v>469</v>
      </c>
      <c r="W158" s="79">
        <v>44963.838194444441</v>
      </c>
      <c r="X158" s="79">
        <v>44963.375</v>
      </c>
      <c r="Y158" s="88">
        <v>44963.666666666664</v>
      </c>
      <c r="Z158" s="81">
        <v>3400</v>
      </c>
      <c r="AA158" s="81">
        <v>0</v>
      </c>
      <c r="AB158" s="81">
        <f>SUM(Sal_23[[#This Row],[Saldo]]+Sal_23[[#This Row],[Adiantamento]])</f>
        <v>3400</v>
      </c>
      <c r="AC158" s="81">
        <v>0</v>
      </c>
      <c r="AD158" s="81"/>
      <c r="AE158" s="81"/>
      <c r="AF158" s="81"/>
      <c r="AG158" s="81">
        <f>Sal_23[[#This Row],[COMPRA]]*12%</f>
        <v>558.28440000000001</v>
      </c>
      <c r="AH158" s="83">
        <v>4652.37</v>
      </c>
      <c r="AI158" s="66" t="str">
        <f>PROPER(TEXT(Sal_23[[#This Row],[PROGRAMAÇÃO]],"mmm"))</f>
        <v>Fev</v>
      </c>
      <c r="AJ158" s="66">
        <f>YEAR(Sal_23[[#This Row],[PROGRAMAÇÃO]])</f>
        <v>2023</v>
      </c>
      <c r="AM158" s="66" t="s">
        <v>2768</v>
      </c>
      <c r="AN158" s="66" t="s">
        <v>2768</v>
      </c>
      <c r="AO158" s="66" t="s">
        <v>2768</v>
      </c>
    </row>
    <row r="159" spans="1:41" s="66" customFormat="1" ht="12.75" x14ac:dyDescent="0.2">
      <c r="A159" s="120" t="str">
        <f>Sal_23[[#This Row],[CONTAINER]]</f>
        <v>CAIU3027780</v>
      </c>
      <c r="B159" s="128" t="s">
        <v>2771</v>
      </c>
      <c r="C15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59" s="79">
        <v>44964.333333333336</v>
      </c>
      <c r="E159" s="44" t="s">
        <v>2840</v>
      </c>
      <c r="F159" s="66">
        <v>20</v>
      </c>
      <c r="G159" s="66" t="s">
        <v>2826</v>
      </c>
      <c r="H159" s="44" t="s">
        <v>2827</v>
      </c>
      <c r="I159" s="299" t="s">
        <v>2823</v>
      </c>
      <c r="J159" s="66">
        <v>730</v>
      </c>
      <c r="K159" s="66" t="s">
        <v>2888</v>
      </c>
      <c r="L159" s="66">
        <v>103444</v>
      </c>
      <c r="N159" s="66" t="s">
        <v>2156</v>
      </c>
      <c r="O159" s="66" t="s">
        <v>2464</v>
      </c>
      <c r="P159" s="66" t="s">
        <v>2158</v>
      </c>
      <c r="Q159" s="138" t="str">
        <f ca="1">IFERROR(LOOKUP($P159,MOTORISTAS!$D$3:$D$1048576,MOTORISTAS!E$3:E$916),"")</f>
        <v>10485530864</v>
      </c>
      <c r="R159" s="138" t="str">
        <f ca="1">IFERROR(LOOKUP($P159,MOTORISTAS!$D$3:$D$1048576,MOTORISTAS!F$3:F$916),"")</f>
        <v>02033192841</v>
      </c>
      <c r="S159" s="66">
        <v>3377</v>
      </c>
      <c r="T159" s="66" t="s">
        <v>293</v>
      </c>
      <c r="U159" s="79">
        <v>44963.897916666669</v>
      </c>
      <c r="V159" s="66" t="s">
        <v>469</v>
      </c>
      <c r="W159" s="79">
        <v>44964.642361111109</v>
      </c>
      <c r="X159" s="79">
        <v>44964.208333333336</v>
      </c>
      <c r="Y159" s="88">
        <v>44964.333333333336</v>
      </c>
      <c r="Z159" s="81">
        <v>3200</v>
      </c>
      <c r="AA159" s="81">
        <v>0</v>
      </c>
      <c r="AB159" s="81">
        <f>SUM(Sal_23[[#This Row],[Saldo]]+Sal_23[[#This Row],[Adiantamento]])</f>
        <v>3200</v>
      </c>
      <c r="AC159" s="81">
        <v>0</v>
      </c>
      <c r="AD159" s="81"/>
      <c r="AE159" s="81"/>
      <c r="AF159" s="81"/>
      <c r="AG159" s="81">
        <f>Sal_23[[#This Row],[COMPRA]]*12%</f>
        <v>571.48680000000002</v>
      </c>
      <c r="AH159" s="83">
        <v>4762.3900000000003</v>
      </c>
      <c r="AI159" s="66" t="str">
        <f>PROPER(TEXT(Sal_23[[#This Row],[PROGRAMAÇÃO]],"mmm"))</f>
        <v>Fev</v>
      </c>
      <c r="AJ159" s="66">
        <f>YEAR(Sal_23[[#This Row],[PROGRAMAÇÃO]])</f>
        <v>2023</v>
      </c>
      <c r="AM159" s="66" t="s">
        <v>2768</v>
      </c>
      <c r="AN159" s="66" t="s">
        <v>2768</v>
      </c>
      <c r="AO159" s="66" t="s">
        <v>2768</v>
      </c>
    </row>
    <row r="160" spans="1:41" s="66" customFormat="1" ht="12.75" x14ac:dyDescent="0.2">
      <c r="A160" s="120" t="str">
        <f>Sal_23[[#This Row],[CONTAINER]]</f>
        <v>SEGU1153847</v>
      </c>
      <c r="B160" s="128" t="s">
        <v>2771</v>
      </c>
      <c r="C16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60" s="79">
        <v>44964.333333333336</v>
      </c>
      <c r="E160" s="44" t="s">
        <v>2841</v>
      </c>
      <c r="F160" s="66">
        <v>20</v>
      </c>
      <c r="G160" s="66" t="s">
        <v>2826</v>
      </c>
      <c r="H160" s="44" t="s">
        <v>2827</v>
      </c>
      <c r="I160" s="299" t="s">
        <v>2823</v>
      </c>
      <c r="J160" s="66">
        <v>732</v>
      </c>
      <c r="K160" s="66" t="s">
        <v>2888</v>
      </c>
      <c r="L160" s="66">
        <v>103441</v>
      </c>
      <c r="N160" s="66" t="s">
        <v>3040</v>
      </c>
      <c r="O160" s="66" t="s">
        <v>3041</v>
      </c>
      <c r="P160" s="66" t="s">
        <v>3042</v>
      </c>
      <c r="Q160" s="138" t="str">
        <f ca="1">IFERROR(LOOKUP($P160,MOTORISTAS!$D$3:$D$1048576,MOTORISTAS!E$3:E$916),"")</f>
        <v>19279658883</v>
      </c>
      <c r="R160" s="138" t="str">
        <f ca="1">IFERROR(LOOKUP($P160,MOTORISTAS!$D$3:$D$1048576,MOTORISTAS!F$3:F$916),"")</f>
        <v>01301319672</v>
      </c>
      <c r="S160" s="66" t="s">
        <v>3355</v>
      </c>
      <c r="T160" s="66" t="s">
        <v>293</v>
      </c>
      <c r="U160" s="79">
        <v>44963.886111111111</v>
      </c>
      <c r="V160" s="66" t="s">
        <v>469</v>
      </c>
      <c r="W160" s="79">
        <v>44964.603472222225</v>
      </c>
      <c r="X160" s="79">
        <v>44964.208333333336</v>
      </c>
      <c r="Y160" s="88">
        <v>44964.333333333336</v>
      </c>
      <c r="Z160" s="81">
        <v>3200</v>
      </c>
      <c r="AA160" s="81">
        <v>0</v>
      </c>
      <c r="AB160" s="81">
        <f>SUM(Sal_23[[#This Row],[Saldo]]+Sal_23[[#This Row],[Adiantamento]])</f>
        <v>3200</v>
      </c>
      <c r="AC160" s="81">
        <v>0</v>
      </c>
      <c r="AD160" s="81"/>
      <c r="AE160" s="81"/>
      <c r="AF160" s="81"/>
      <c r="AG160" s="81">
        <f>Sal_23[[#This Row],[COMPRA]]*12%</f>
        <v>571.48680000000002</v>
      </c>
      <c r="AH160" s="83">
        <v>4762.3900000000003</v>
      </c>
      <c r="AI160" s="66" t="str">
        <f>PROPER(TEXT(Sal_23[[#This Row],[PROGRAMAÇÃO]],"mmm"))</f>
        <v>Fev</v>
      </c>
      <c r="AJ160" s="66">
        <f>YEAR(Sal_23[[#This Row],[PROGRAMAÇÃO]])</f>
        <v>2023</v>
      </c>
      <c r="AM160" s="66" t="s">
        <v>2768</v>
      </c>
      <c r="AN160" s="66" t="s">
        <v>2768</v>
      </c>
      <c r="AO160" s="66" t="s">
        <v>2768</v>
      </c>
    </row>
    <row r="161" spans="1:41" s="66" customFormat="1" ht="12.75" x14ac:dyDescent="0.2">
      <c r="A161" s="120" t="str">
        <f>Sal_23[[#This Row],[CONTAINER]]</f>
        <v>CAIU3410084</v>
      </c>
      <c r="B161" s="128" t="s">
        <v>2771</v>
      </c>
      <c r="C16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61" s="79">
        <v>44964.333333333336</v>
      </c>
      <c r="E161" s="44" t="s">
        <v>2842</v>
      </c>
      <c r="F161" s="66">
        <v>20</v>
      </c>
      <c r="G161" s="66" t="s">
        <v>2826</v>
      </c>
      <c r="H161" s="44" t="s">
        <v>2825</v>
      </c>
      <c r="I161" s="299" t="s">
        <v>2824</v>
      </c>
      <c r="J161" s="66">
        <v>733</v>
      </c>
      <c r="K161" s="66" t="s">
        <v>2888</v>
      </c>
      <c r="L161" s="66">
        <v>103440</v>
      </c>
      <c r="N161" s="66" t="s">
        <v>2584</v>
      </c>
      <c r="O161" s="66" t="s">
        <v>2585</v>
      </c>
      <c r="P161" s="66" t="s">
        <v>2586</v>
      </c>
      <c r="Q161" s="138" t="str">
        <f ca="1">IFERROR(LOOKUP($P161,MOTORISTAS!$D$3:$D$1048576,MOTORISTAS!E$3:E$916),"")</f>
        <v>08312935860</v>
      </c>
      <c r="R161" s="138" t="str">
        <f ca="1">IFERROR(LOOKUP($P161,MOTORISTAS!$D$3:$D$1048576,MOTORISTAS!F$3:F$916),"")</f>
        <v>03106516083</v>
      </c>
      <c r="S161" s="66">
        <v>3379</v>
      </c>
      <c r="T161" s="66" t="s">
        <v>293</v>
      </c>
      <c r="U161" s="79">
        <v>44963.845138888886</v>
      </c>
      <c r="V161" s="66" t="s">
        <v>469</v>
      </c>
      <c r="W161" s="79">
        <v>44964.590277777781</v>
      </c>
      <c r="X161" s="79">
        <v>44964.208333333336</v>
      </c>
      <c r="Y161" s="88">
        <v>44964.4375</v>
      </c>
      <c r="Z161" s="81">
        <v>1900</v>
      </c>
      <c r="AA161" s="81">
        <v>0</v>
      </c>
      <c r="AB161" s="81">
        <f>SUM(Sal_23[[#This Row],[Saldo]]+Sal_23[[#This Row],[Adiantamento]])</f>
        <v>1900</v>
      </c>
      <c r="AC161" s="81">
        <v>700</v>
      </c>
      <c r="AD161" s="81"/>
      <c r="AE161" s="81"/>
      <c r="AF161" s="81"/>
      <c r="AG161" s="81">
        <f>Sal_23[[#This Row],[COMPRA]]*12%</f>
        <v>447.91919999999999</v>
      </c>
      <c r="AH161" s="83">
        <v>3732.66</v>
      </c>
      <c r="AI161" s="66" t="str">
        <f>PROPER(TEXT(Sal_23[[#This Row],[PROGRAMAÇÃO]],"mmm"))</f>
        <v>Fev</v>
      </c>
      <c r="AJ161" s="66">
        <f>YEAR(Sal_23[[#This Row],[PROGRAMAÇÃO]])</f>
        <v>2023</v>
      </c>
      <c r="AM161" s="66" t="s">
        <v>2768</v>
      </c>
      <c r="AN161" s="66" t="s">
        <v>2768</v>
      </c>
      <c r="AO161" s="66" t="s">
        <v>2768</v>
      </c>
    </row>
    <row r="162" spans="1:41" s="66" customFormat="1" ht="12.75" x14ac:dyDescent="0.2">
      <c r="A162" s="120" t="str">
        <f>Sal_23[[#This Row],[CONTAINER]]</f>
        <v>CAIU3310486</v>
      </c>
      <c r="B162" s="128" t="s">
        <v>2771</v>
      </c>
      <c r="C16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62" s="79">
        <v>44964.333333333336</v>
      </c>
      <c r="E162" s="44" t="s">
        <v>2844</v>
      </c>
      <c r="F162" s="66">
        <v>20</v>
      </c>
      <c r="G162" s="44" t="s">
        <v>2837</v>
      </c>
      <c r="H162" s="44" t="s">
        <v>2837</v>
      </c>
      <c r="I162" s="299" t="s">
        <v>2821</v>
      </c>
      <c r="J162" s="66">
        <v>736</v>
      </c>
      <c r="K162" s="66" t="s">
        <v>2888</v>
      </c>
      <c r="L162" s="66">
        <v>103519</v>
      </c>
      <c r="N162" s="66" t="s">
        <v>3028</v>
      </c>
      <c r="O162" s="66" t="s">
        <v>2950</v>
      </c>
      <c r="P162" s="66" t="s">
        <v>3443</v>
      </c>
      <c r="Q162" s="138" t="str">
        <f ca="1">IFERROR(LOOKUP($P162,MOTORISTAS!$D$3:$D$1048576,MOTORISTAS!E$3:E$916),"")</f>
        <v>13990937898</v>
      </c>
      <c r="R162" s="138" t="str">
        <f ca="1">IFERROR(LOOKUP($P162,MOTORISTAS!$D$3:$D$1048576,MOTORISTAS!F$3:F$916),"")</f>
        <v>01825123407</v>
      </c>
      <c r="S162" s="66">
        <v>3380</v>
      </c>
      <c r="T162" s="66" t="s">
        <v>293</v>
      </c>
      <c r="U162" s="79">
        <v>44963.986805555556</v>
      </c>
      <c r="V162" s="66" t="s">
        <v>469</v>
      </c>
      <c r="W162" s="79">
        <v>44964.67083333333</v>
      </c>
      <c r="X162" s="79">
        <v>44964.208333333336</v>
      </c>
      <c r="Y162" s="88">
        <v>44964.416666666664</v>
      </c>
      <c r="Z162" s="81">
        <v>1600</v>
      </c>
      <c r="AA162" s="81">
        <v>0</v>
      </c>
      <c r="AB162" s="81">
        <f>SUM(Sal_23[[#This Row],[Saldo]]+Sal_23[[#This Row],[Adiantamento]])</f>
        <v>1600</v>
      </c>
      <c r="AC162" s="81">
        <v>0</v>
      </c>
      <c r="AD162" s="81"/>
      <c r="AE162" s="81"/>
      <c r="AF162" s="81"/>
      <c r="AG162" s="81">
        <f>Sal_23[[#This Row],[COMPRA]]*12%</f>
        <v>311.55959999999999</v>
      </c>
      <c r="AH162" s="83">
        <v>2596.33</v>
      </c>
      <c r="AI162" s="66" t="str">
        <f>PROPER(TEXT(Sal_23[[#This Row],[PROGRAMAÇÃO]],"mmm"))</f>
        <v>Fev</v>
      </c>
      <c r="AJ162" s="66">
        <f>YEAR(Sal_23[[#This Row],[PROGRAMAÇÃO]])</f>
        <v>2023</v>
      </c>
      <c r="AM162" s="66" t="s">
        <v>2768</v>
      </c>
      <c r="AN162" s="66" t="s">
        <v>2768</v>
      </c>
      <c r="AO162" s="66" t="s">
        <v>2768</v>
      </c>
    </row>
    <row r="163" spans="1:41" s="66" customFormat="1" ht="12.75" x14ac:dyDescent="0.2">
      <c r="A163" s="120" t="str">
        <f>Sal_23[[#This Row],[CONTAINER]]</f>
        <v>TCLU2967153</v>
      </c>
      <c r="B163" s="128" t="s">
        <v>2771</v>
      </c>
      <c r="C16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63" s="79">
        <v>44964.333333333336</v>
      </c>
      <c r="E163" s="44" t="s">
        <v>2845</v>
      </c>
      <c r="F163" s="66">
        <v>20</v>
      </c>
      <c r="G163" s="44" t="s">
        <v>2837</v>
      </c>
      <c r="H163" s="44" t="s">
        <v>2837</v>
      </c>
      <c r="I163" s="299" t="s">
        <v>2821</v>
      </c>
      <c r="J163" s="66">
        <v>734</v>
      </c>
      <c r="K163" s="66" t="s">
        <v>2888</v>
      </c>
      <c r="L163" s="66">
        <v>112716</v>
      </c>
      <c r="N163" s="66" t="s">
        <v>2859</v>
      </c>
      <c r="O163" s="66" t="s">
        <v>2860</v>
      </c>
      <c r="P163" s="66" t="s">
        <v>2861</v>
      </c>
      <c r="Q163" s="138" t="str">
        <f ca="1">IFERROR(LOOKUP($P163,MOTORISTAS!$D$3:$D$1048576,MOTORISTAS!E$3:E$916),"")</f>
        <v>01817591878</v>
      </c>
      <c r="R163" s="138" t="str">
        <f ca="1">IFERROR(LOOKUP($P163,MOTORISTAS!$D$3:$D$1048576,MOTORISTAS!F$3:F$916),"")</f>
        <v>00821760640</v>
      </c>
      <c r="S163" s="66" t="s">
        <v>3772</v>
      </c>
      <c r="T163" s="66" t="s">
        <v>293</v>
      </c>
      <c r="U163" s="79">
        <v>44964.009722222225</v>
      </c>
      <c r="V163" s="66" t="s">
        <v>469</v>
      </c>
      <c r="W163" s="79">
        <v>44964.635416666664</v>
      </c>
      <c r="X163" s="79">
        <v>44964.208333333336</v>
      </c>
      <c r="Y163" s="88">
        <v>44964.416666666664</v>
      </c>
      <c r="Z163" s="81">
        <v>1600</v>
      </c>
      <c r="AA163" s="81">
        <v>0</v>
      </c>
      <c r="AB163" s="81">
        <f>SUM(Sal_23[[#This Row],[Saldo]]+Sal_23[[#This Row],[Adiantamento]])</f>
        <v>1600</v>
      </c>
      <c r="AC163" s="81">
        <v>0</v>
      </c>
      <c r="AD163" s="81"/>
      <c r="AE163" s="81"/>
      <c r="AF163" s="81"/>
      <c r="AG163" s="81">
        <f>Sal_23[[#This Row],[COMPRA]]*12%</f>
        <v>311.55959999999999</v>
      </c>
      <c r="AH163" s="83">
        <v>2596.33</v>
      </c>
      <c r="AI163" s="66" t="str">
        <f>PROPER(TEXT(Sal_23[[#This Row],[PROGRAMAÇÃO]],"mmm"))</f>
        <v>Fev</v>
      </c>
      <c r="AJ163" s="66">
        <f>YEAR(Sal_23[[#This Row],[PROGRAMAÇÃO]])</f>
        <v>2023</v>
      </c>
      <c r="AM163" s="66" t="s">
        <v>2768</v>
      </c>
      <c r="AN163" s="66" t="s">
        <v>2768</v>
      </c>
      <c r="AO163" s="66" t="s">
        <v>2768</v>
      </c>
    </row>
    <row r="164" spans="1:41" s="66" customFormat="1" ht="12.75" x14ac:dyDescent="0.2">
      <c r="A164" s="120" t="str">
        <f>Sal_23[[#This Row],[CONTAINER]]</f>
        <v>AMFU8788361</v>
      </c>
      <c r="B164" s="128" t="s">
        <v>2771</v>
      </c>
      <c r="C16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64" s="79">
        <v>44964.333333333336</v>
      </c>
      <c r="E164" s="44" t="s">
        <v>2855</v>
      </c>
      <c r="F164" s="66">
        <v>40</v>
      </c>
      <c r="G164" s="66" t="s">
        <v>2826</v>
      </c>
      <c r="H164" s="44" t="s">
        <v>2835</v>
      </c>
      <c r="I164" s="299" t="s">
        <v>2822</v>
      </c>
      <c r="J164" s="66">
        <v>685</v>
      </c>
      <c r="K164" s="66" t="s">
        <v>2888</v>
      </c>
      <c r="L164" s="66">
        <v>103415</v>
      </c>
      <c r="N164" s="66" t="s">
        <v>106</v>
      </c>
      <c r="O164" s="66" t="s">
        <v>107</v>
      </c>
      <c r="P164" s="66" t="s">
        <v>108</v>
      </c>
      <c r="Q164" s="138" t="str">
        <f ca="1">IFERROR(LOOKUP($P164,MOTORISTAS!$D$3:$D$1048576,MOTORISTAS!E$3:E$916),"")</f>
        <v>34927982840</v>
      </c>
      <c r="R164" s="138" t="str">
        <f ca="1">IFERROR(LOOKUP($P164,MOTORISTAS!$D$3:$D$1048576,MOTORISTAS!F$3:F$916),"")</f>
        <v>03500129879</v>
      </c>
      <c r="S164" s="66">
        <v>3382</v>
      </c>
      <c r="T164" s="66" t="s">
        <v>293</v>
      </c>
      <c r="U164" s="79">
        <v>44963.772222222222</v>
      </c>
      <c r="V164" s="66" t="s">
        <v>3201</v>
      </c>
      <c r="W164" s="79">
        <v>44964.635416666664</v>
      </c>
      <c r="X164" s="79">
        <v>44964.375</v>
      </c>
      <c r="Y164" s="88">
        <v>44964.541666666664</v>
      </c>
      <c r="Z164" s="81">
        <v>2100</v>
      </c>
      <c r="AA164" s="81">
        <v>0</v>
      </c>
      <c r="AB164" s="81">
        <f>SUM(Sal_23[[#This Row],[Saldo]]+Sal_23[[#This Row],[Adiantamento]])</f>
        <v>2100</v>
      </c>
      <c r="AC164" s="81">
        <v>0</v>
      </c>
      <c r="AD164" s="81"/>
      <c r="AE164" s="81"/>
      <c r="AF164" s="81"/>
      <c r="AG164" s="81">
        <f>Sal_23[[#This Row],[COMPRA]]*12%</f>
        <v>370.37759999999997</v>
      </c>
      <c r="AH164" s="83">
        <v>3086.48</v>
      </c>
      <c r="AI164" s="66" t="str">
        <f>PROPER(TEXT(Sal_23[[#This Row],[PROGRAMAÇÃO]],"mmm"))</f>
        <v>Fev</v>
      </c>
      <c r="AJ164" s="66">
        <f>YEAR(Sal_23[[#This Row],[PROGRAMAÇÃO]])</f>
        <v>2023</v>
      </c>
      <c r="AL164" s="44" t="s">
        <v>2785</v>
      </c>
      <c r="AM164" s="66" t="s">
        <v>2768</v>
      </c>
      <c r="AN164" s="66" t="s">
        <v>2768</v>
      </c>
      <c r="AO164" s="66" t="s">
        <v>2768</v>
      </c>
    </row>
    <row r="165" spans="1:41" s="66" customFormat="1" ht="12.75" x14ac:dyDescent="0.2">
      <c r="A165" s="120" t="str">
        <f>Sal_23[[#This Row],[CONTAINER]]</f>
        <v>TCLU5012403</v>
      </c>
      <c r="B165" s="128" t="s">
        <v>2771</v>
      </c>
      <c r="C16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65" s="79">
        <v>44964.333333333336</v>
      </c>
      <c r="E165" s="44" t="s">
        <v>2856</v>
      </c>
      <c r="F165" s="66">
        <v>40</v>
      </c>
      <c r="G165" s="66" t="s">
        <v>2826</v>
      </c>
      <c r="H165" s="44" t="s">
        <v>2835</v>
      </c>
      <c r="I165" s="299" t="s">
        <v>2822</v>
      </c>
      <c r="J165" s="66">
        <v>723</v>
      </c>
      <c r="K165" s="66" t="s">
        <v>2888</v>
      </c>
      <c r="L165" s="66">
        <v>103521</v>
      </c>
      <c r="N165" s="66" t="s">
        <v>72</v>
      </c>
      <c r="O165" s="66" t="s">
        <v>73</v>
      </c>
      <c r="P165" s="66" t="s">
        <v>203</v>
      </c>
      <c r="Q165" s="138" t="str">
        <f ca="1">IFERROR(LOOKUP($P165,MOTORISTAS!$D$3:$D$1048576,MOTORISTAS!E$3:E$916),"")</f>
        <v>10395859816</v>
      </c>
      <c r="R165" s="138" t="str">
        <f ca="1">IFERROR(LOOKUP($P165,MOTORISTAS!$D$3:$D$1048576,MOTORISTAS!F$3:F$916),"")</f>
        <v>01965794851</v>
      </c>
      <c r="S165" s="66">
        <v>3383</v>
      </c>
      <c r="T165" s="66" t="s">
        <v>293</v>
      </c>
      <c r="U165" s="79">
        <v>44963.844444444447</v>
      </c>
      <c r="V165" s="66" t="s">
        <v>469</v>
      </c>
      <c r="W165" s="79">
        <v>44964.663194444445</v>
      </c>
      <c r="X165" s="79">
        <v>44964.375</v>
      </c>
      <c r="Y165" s="88">
        <v>44964.541666666664</v>
      </c>
      <c r="Z165" s="81">
        <v>2100</v>
      </c>
      <c r="AA165" s="81">
        <v>0</v>
      </c>
      <c r="AB165" s="81">
        <f>SUM(Sal_23[[#This Row],[Saldo]]+Sal_23[[#This Row],[Adiantamento]])</f>
        <v>2100</v>
      </c>
      <c r="AC165" s="81">
        <v>0</v>
      </c>
      <c r="AD165" s="81"/>
      <c r="AE165" s="81"/>
      <c r="AF165" s="81"/>
      <c r="AG165" s="81">
        <f>Sal_23[[#This Row],[COMPRA]]*12%</f>
        <v>370.37759999999997</v>
      </c>
      <c r="AH165" s="83">
        <v>3086.48</v>
      </c>
      <c r="AI165" s="66" t="str">
        <f>PROPER(TEXT(Sal_23[[#This Row],[PROGRAMAÇÃO]],"mmm"))</f>
        <v>Fev</v>
      </c>
      <c r="AJ165" s="66">
        <f>YEAR(Sal_23[[#This Row],[PROGRAMAÇÃO]])</f>
        <v>2023</v>
      </c>
      <c r="AL165" s="44" t="s">
        <v>2785</v>
      </c>
      <c r="AM165" s="66" t="s">
        <v>2768</v>
      </c>
      <c r="AN165" s="66" t="s">
        <v>2768</v>
      </c>
      <c r="AO165" s="66" t="s">
        <v>2768</v>
      </c>
    </row>
    <row r="166" spans="1:41" s="66" customFormat="1" ht="12.75" x14ac:dyDescent="0.2">
      <c r="A166" s="120" t="str">
        <f>Sal_23[[#This Row],[CONTAINER]]</f>
        <v>TCLU8697250</v>
      </c>
      <c r="B166" s="128" t="s">
        <v>2771</v>
      </c>
      <c r="C16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66" s="79">
        <v>44964.333333333336</v>
      </c>
      <c r="E166" s="44" t="s">
        <v>2857</v>
      </c>
      <c r="F166" s="66">
        <v>40</v>
      </c>
      <c r="G166" s="66" t="s">
        <v>2826</v>
      </c>
      <c r="H166" s="44" t="s">
        <v>2834</v>
      </c>
      <c r="I166" s="299" t="s">
        <v>2831</v>
      </c>
      <c r="J166" s="66">
        <v>719</v>
      </c>
      <c r="K166" s="66" t="s">
        <v>2888</v>
      </c>
      <c r="L166" s="66">
        <v>103414</v>
      </c>
      <c r="N166" s="66" t="s">
        <v>210</v>
      </c>
      <c r="O166" s="66" t="s">
        <v>211</v>
      </c>
      <c r="P166" s="66" t="s">
        <v>212</v>
      </c>
      <c r="Q166" s="138" t="str">
        <f ca="1">IFERROR(LOOKUP($P166,MOTORISTAS!$D$3:$D$1048576,MOTORISTAS!E$3:E$916),"")</f>
        <v>38029906846</v>
      </c>
      <c r="R166" s="138" t="str">
        <f ca="1">IFERROR(LOOKUP($P166,MOTORISTAS!$D$3:$D$1048576,MOTORISTAS!F$3:F$916),"")</f>
        <v>04946846842</v>
      </c>
      <c r="S166" s="66">
        <v>3384</v>
      </c>
      <c r="T166" s="66" t="s">
        <v>293</v>
      </c>
      <c r="U166" s="79">
        <v>44963.95416666667</v>
      </c>
      <c r="V166" s="66" t="s">
        <v>469</v>
      </c>
      <c r="W166" s="79">
        <v>44964.579861111109</v>
      </c>
      <c r="X166" s="79">
        <v>44964.208333333336</v>
      </c>
      <c r="Y166" s="88">
        <v>44964.451388888891</v>
      </c>
      <c r="Z166" s="81">
        <v>471.6</v>
      </c>
      <c r="AA166" s="81">
        <v>0</v>
      </c>
      <c r="AB166" s="81">
        <f>SUM(Sal_23[[#This Row],[Saldo]]+Sal_23[[#This Row],[Adiantamento]])</f>
        <v>471.6</v>
      </c>
      <c r="AC166" s="81">
        <v>0</v>
      </c>
      <c r="AD166" s="81">
        <v>3245.68</v>
      </c>
      <c r="AE166" s="81"/>
      <c r="AF166" s="81">
        <v>596.4</v>
      </c>
      <c r="AG166" s="81">
        <f>Sal_23[[#This Row],[COMPRA]]*12%</f>
        <v>523.91999999999996</v>
      </c>
      <c r="AH166" s="83">
        <v>4366</v>
      </c>
      <c r="AI166" s="66" t="str">
        <f>PROPER(TEXT(Sal_23[[#This Row],[PROGRAMAÇÃO]],"mmm"))</f>
        <v>Fev</v>
      </c>
      <c r="AJ166" s="66">
        <f>YEAR(Sal_23[[#This Row],[PROGRAMAÇÃO]])</f>
        <v>2023</v>
      </c>
      <c r="AM166" s="66" t="s">
        <v>2768</v>
      </c>
      <c r="AN166" s="66" t="s">
        <v>2768</v>
      </c>
      <c r="AO166" s="66" t="s">
        <v>2768</v>
      </c>
    </row>
    <row r="167" spans="1:41" s="66" customFormat="1" ht="12.75" x14ac:dyDescent="0.2">
      <c r="A167" s="120" t="str">
        <f>Sal_23[[#This Row],[CONTAINER]]</f>
        <v>CAIU7627376</v>
      </c>
      <c r="B167" s="128" t="s">
        <v>2771</v>
      </c>
      <c r="C16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67" s="79">
        <v>44960.291666666664</v>
      </c>
      <c r="E167" s="44" t="s">
        <v>2803</v>
      </c>
      <c r="F167" s="66">
        <v>40</v>
      </c>
      <c r="G167" s="66" t="s">
        <v>2808</v>
      </c>
      <c r="H167" s="44" t="s">
        <v>2887</v>
      </c>
      <c r="I167" s="299" t="s">
        <v>2831</v>
      </c>
      <c r="J167" s="66" t="s">
        <v>2809</v>
      </c>
      <c r="K167" s="66" t="s">
        <v>2888</v>
      </c>
      <c r="L167" s="66">
        <v>7591</v>
      </c>
      <c r="N167" s="66" t="s">
        <v>92</v>
      </c>
      <c r="O167" s="66" t="s">
        <v>93</v>
      </c>
      <c r="P167" s="66" t="s">
        <v>94</v>
      </c>
      <c r="Q167" s="138" t="str">
        <f ca="1">IFERROR(LOOKUP($P167,MOTORISTAS!$D$3:$D$1048576,MOTORISTAS!E$3:E$916),"")</f>
        <v>26283419801</v>
      </c>
      <c r="R167" s="138" t="str">
        <f ca="1">IFERROR(LOOKUP($P167,MOTORISTAS!$D$3:$D$1048576,MOTORISTAS!F$3:F$916),"")</f>
        <v>02002046946</v>
      </c>
      <c r="S167" s="66">
        <v>3367</v>
      </c>
      <c r="T167" s="66" t="s">
        <v>293</v>
      </c>
      <c r="U167" s="79">
        <v>44960.000694444447</v>
      </c>
      <c r="V167" s="66" t="s">
        <v>526</v>
      </c>
      <c r="W167" s="79">
        <v>44960.701388888891</v>
      </c>
      <c r="X167" s="79">
        <v>44960.368055555555</v>
      </c>
      <c r="Y167" s="88">
        <v>44960.486111111109</v>
      </c>
      <c r="Z167" s="81">
        <v>3200</v>
      </c>
      <c r="AA167" s="81">
        <v>0</v>
      </c>
      <c r="AB167" s="81">
        <f>SUM(Sal_23[[#This Row],[Saldo]]+Sal_23[[#This Row],[Adiantamento]])</f>
        <v>3200</v>
      </c>
      <c r="AC167" s="81">
        <v>0</v>
      </c>
      <c r="AD167" s="81"/>
      <c r="AE167" s="81"/>
      <c r="AF167" s="81"/>
      <c r="AG167" s="81">
        <f>Sal_23[[#This Row],[COMPRA]]*12%</f>
        <v>531</v>
      </c>
      <c r="AH167" s="83">
        <v>4425</v>
      </c>
      <c r="AI167" s="66" t="str">
        <f>PROPER(TEXT(Sal_23[[#This Row],[PROGRAMAÇÃO]],"mmm"))</f>
        <v>Fev</v>
      </c>
      <c r="AJ167" s="66">
        <f>YEAR(Sal_23[[#This Row],[PROGRAMAÇÃO]])</f>
        <v>2023</v>
      </c>
      <c r="AL167" s="44" t="s">
        <v>3346</v>
      </c>
      <c r="AM167" s="66" t="s">
        <v>2768</v>
      </c>
      <c r="AN167" s="66" t="s">
        <v>2768</v>
      </c>
      <c r="AO167" s="66" t="s">
        <v>2768</v>
      </c>
    </row>
    <row r="168" spans="1:41" s="66" customFormat="1" ht="12.75" x14ac:dyDescent="0.2">
      <c r="A168" s="120" t="str">
        <f>Sal_23[[#This Row],[CONTAINER]]</f>
        <v>BMOU6991017</v>
      </c>
      <c r="B168" s="128" t="s">
        <v>2771</v>
      </c>
      <c r="C16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68" s="79">
        <v>44960.291666666664</v>
      </c>
      <c r="E168" s="44" t="s">
        <v>2804</v>
      </c>
      <c r="F168" s="66">
        <v>40</v>
      </c>
      <c r="G168" s="66" t="s">
        <v>2808</v>
      </c>
      <c r="H168" s="44" t="s">
        <v>2887</v>
      </c>
      <c r="I168" s="299" t="s">
        <v>2831</v>
      </c>
      <c r="J168" s="66" t="s">
        <v>2810</v>
      </c>
      <c r="K168" s="66" t="s">
        <v>2888</v>
      </c>
      <c r="L168" s="66">
        <v>7593</v>
      </c>
      <c r="N168" s="66" t="s">
        <v>31</v>
      </c>
      <c r="O168" s="66" t="s">
        <v>32</v>
      </c>
      <c r="P168" s="66" t="s">
        <v>33</v>
      </c>
      <c r="Q168" s="138" t="str">
        <f ca="1">IFERROR(LOOKUP($P168,MOTORISTAS!$D$3:$D$1048576,MOTORISTAS!E$3:E$916),"")</f>
        <v>09776430856</v>
      </c>
      <c r="R168" s="138" t="str">
        <f ca="1">IFERROR(LOOKUP($P168,MOTORISTAS!$D$3:$D$1048576,MOTORISTAS!F$3:F$916),"")</f>
        <v>01258979905</v>
      </c>
      <c r="S168" s="66">
        <v>3366</v>
      </c>
      <c r="T168" s="66" t="s">
        <v>293</v>
      </c>
      <c r="U168" s="79">
        <v>44960.000694444447</v>
      </c>
      <c r="V168" s="66" t="s">
        <v>526</v>
      </c>
      <c r="W168" s="79">
        <v>44960.555555555555</v>
      </c>
      <c r="X168" s="79">
        <v>44960.270833333336</v>
      </c>
      <c r="Y168" s="88">
        <v>44960.402777777781</v>
      </c>
      <c r="Z168" s="81">
        <v>3200</v>
      </c>
      <c r="AA168" s="81">
        <v>0</v>
      </c>
      <c r="AB168" s="81">
        <f>SUM(Sal_23[[#This Row],[Saldo]]+Sal_23[[#This Row],[Adiantamento]])</f>
        <v>3200</v>
      </c>
      <c r="AC168" s="81">
        <v>0</v>
      </c>
      <c r="AD168" s="81"/>
      <c r="AE168" s="81"/>
      <c r="AF168" s="81"/>
      <c r="AG168" s="81">
        <f>Sal_23[[#This Row],[COMPRA]]*12%</f>
        <v>531</v>
      </c>
      <c r="AH168" s="83">
        <v>4425</v>
      </c>
      <c r="AI168" s="66" t="str">
        <f>PROPER(TEXT(Sal_23[[#This Row],[PROGRAMAÇÃO]],"mmm"))</f>
        <v>Fev</v>
      </c>
      <c r="AJ168" s="66">
        <f>YEAR(Sal_23[[#This Row],[PROGRAMAÇÃO]])</f>
        <v>2023</v>
      </c>
      <c r="AM168" s="66" t="s">
        <v>2768</v>
      </c>
      <c r="AN168" s="66" t="s">
        <v>2768</v>
      </c>
      <c r="AO168" s="66" t="s">
        <v>2768</v>
      </c>
    </row>
    <row r="169" spans="1:41" s="66" customFormat="1" ht="12.75" x14ac:dyDescent="0.2">
      <c r="A169" s="120" t="str">
        <f>Sal_23[[#This Row],[CONTAINER]]</f>
        <v>TCLU6533453</v>
      </c>
      <c r="B169" s="128" t="s">
        <v>2771</v>
      </c>
      <c r="C16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69" s="79">
        <v>44963.291666666664</v>
      </c>
      <c r="E169" s="44" t="s">
        <v>2805</v>
      </c>
      <c r="F169" s="66">
        <v>40</v>
      </c>
      <c r="G169" s="66" t="s">
        <v>2808</v>
      </c>
      <c r="H169" s="44" t="s">
        <v>2887</v>
      </c>
      <c r="I169" s="299" t="s">
        <v>2831</v>
      </c>
      <c r="J169" s="66" t="s">
        <v>2811</v>
      </c>
      <c r="K169" s="66" t="s">
        <v>2888</v>
      </c>
      <c r="L169" s="66">
        <v>7604</v>
      </c>
      <c r="N169" s="66" t="s">
        <v>2389</v>
      </c>
      <c r="O169" s="66" t="s">
        <v>2390</v>
      </c>
      <c r="P169" s="66" t="s">
        <v>892</v>
      </c>
      <c r="Q169" s="138" t="str">
        <f ca="1">IFERROR(LOOKUP($P169,MOTORISTAS!$D$3:$D$1048576,MOTORISTAS!E$3:E$916),"")</f>
        <v>55283063968</v>
      </c>
      <c r="R169" s="138" t="str">
        <f ca="1">IFERROR(LOOKUP($P169,MOTORISTAS!$D$3:$D$1048576,MOTORISTAS!F$3:F$916),"")</f>
        <v>02537032407</v>
      </c>
      <c r="S169" s="66">
        <v>3375</v>
      </c>
      <c r="T169" s="66" t="s">
        <v>293</v>
      </c>
      <c r="U169" s="79">
        <v>44962.291666666664</v>
      </c>
      <c r="V169" s="66" t="s">
        <v>526</v>
      </c>
      <c r="W169" s="79">
        <v>44963.498611111114</v>
      </c>
      <c r="X169" s="79">
        <v>44963.041666666664</v>
      </c>
      <c r="Y169" s="88">
        <v>44963.361111111109</v>
      </c>
      <c r="Z169" s="81">
        <v>3000</v>
      </c>
      <c r="AA169" s="81">
        <v>0</v>
      </c>
      <c r="AB169" s="81">
        <f>SUM(Sal_23[[#This Row],[Saldo]]+Sal_23[[#This Row],[Adiantamento]])</f>
        <v>3000</v>
      </c>
      <c r="AC169" s="81">
        <v>0</v>
      </c>
      <c r="AD169" s="81"/>
      <c r="AE169" s="81"/>
      <c r="AF169" s="81"/>
      <c r="AG169" s="81">
        <f>Sal_23[[#This Row],[COMPRA]]*12%</f>
        <v>531</v>
      </c>
      <c r="AH169" s="83">
        <v>4425</v>
      </c>
      <c r="AI169" s="66" t="str">
        <f>PROPER(TEXT(Sal_23[[#This Row],[PROGRAMAÇÃO]],"mmm"))</f>
        <v>Fev</v>
      </c>
      <c r="AJ169" s="66">
        <f>YEAR(Sal_23[[#This Row],[PROGRAMAÇÃO]])</f>
        <v>2023</v>
      </c>
      <c r="AM169" s="66" t="s">
        <v>2768</v>
      </c>
      <c r="AN169" s="66" t="s">
        <v>2768</v>
      </c>
      <c r="AO169" s="66" t="s">
        <v>2768</v>
      </c>
    </row>
    <row r="170" spans="1:41" s="66" customFormat="1" ht="12.75" x14ac:dyDescent="0.2">
      <c r="A170" s="120" t="str">
        <f>Sal_23[[#This Row],[CONTAINER]]</f>
        <v>APHU7342470</v>
      </c>
      <c r="B170" s="128" t="s">
        <v>2771</v>
      </c>
      <c r="C17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70" s="79">
        <v>44963.291666666664</v>
      </c>
      <c r="E170" s="44" t="s">
        <v>2806</v>
      </c>
      <c r="F170" s="66">
        <v>40</v>
      </c>
      <c r="G170" s="66" t="s">
        <v>2808</v>
      </c>
      <c r="H170" s="44" t="s">
        <v>2887</v>
      </c>
      <c r="I170" s="299" t="s">
        <v>2831</v>
      </c>
      <c r="J170" s="66" t="s">
        <v>2812</v>
      </c>
      <c r="K170" s="66" t="s">
        <v>2888</v>
      </c>
      <c r="L170" s="66">
        <v>7620</v>
      </c>
      <c r="N170" s="66" t="s">
        <v>890</v>
      </c>
      <c r="O170" s="66" t="s">
        <v>141</v>
      </c>
      <c r="P170" s="66" t="s">
        <v>2678</v>
      </c>
      <c r="Q170" s="138" t="str">
        <f ca="1">IFERROR(LOOKUP($P170,MOTORISTAS!$D$3:$D$1048576,MOTORISTAS!E$3:E$916),"")</f>
        <v>28386357860</v>
      </c>
      <c r="R170" s="138" t="str">
        <f ca="1">IFERROR(LOOKUP($P170,MOTORISTAS!$D$3:$D$1048576,MOTORISTAS!F$3:F$916),"")</f>
        <v>01042201192</v>
      </c>
      <c r="S170" s="66">
        <v>3376</v>
      </c>
      <c r="T170" s="66" t="s">
        <v>293</v>
      </c>
      <c r="U170" s="79">
        <v>44963.041666666664</v>
      </c>
      <c r="V170" s="66" t="s">
        <v>526</v>
      </c>
      <c r="W170" s="79">
        <v>44963.785416666666</v>
      </c>
      <c r="X170" s="79">
        <v>44963.125</v>
      </c>
      <c r="Y170" s="88">
        <v>44963.5</v>
      </c>
      <c r="Z170" s="81">
        <v>3000</v>
      </c>
      <c r="AA170" s="81">
        <v>0</v>
      </c>
      <c r="AB170" s="81">
        <f>SUM(Sal_23[[#This Row],[Saldo]]+Sal_23[[#This Row],[Adiantamento]])</f>
        <v>3000</v>
      </c>
      <c r="AC170" s="81">
        <v>0</v>
      </c>
      <c r="AD170" s="81"/>
      <c r="AE170" s="81"/>
      <c r="AF170" s="81"/>
      <c r="AG170" s="81">
        <f>Sal_23[[#This Row],[COMPRA]]*12%</f>
        <v>531</v>
      </c>
      <c r="AH170" s="83">
        <v>4425</v>
      </c>
      <c r="AI170" s="66" t="str">
        <f>PROPER(TEXT(Sal_23[[#This Row],[PROGRAMAÇÃO]],"mmm"))</f>
        <v>Fev</v>
      </c>
      <c r="AJ170" s="66">
        <f>YEAR(Sal_23[[#This Row],[PROGRAMAÇÃO]])</f>
        <v>2023</v>
      </c>
      <c r="AM170" s="66" t="s">
        <v>2768</v>
      </c>
      <c r="AN170" s="66" t="s">
        <v>2768</v>
      </c>
      <c r="AO170" s="66" t="s">
        <v>2768</v>
      </c>
    </row>
    <row r="171" spans="1:41" s="66" customFormat="1" ht="12.75" x14ac:dyDescent="0.2">
      <c r="A171" s="120" t="str">
        <f>Sal_23[[#This Row],[CONTAINER]]</f>
        <v>SEKU6045500</v>
      </c>
      <c r="B171" s="128" t="s">
        <v>2771</v>
      </c>
      <c r="C17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71" s="79">
        <v>44963.291666666664</v>
      </c>
      <c r="E171" s="44" t="s">
        <v>2807</v>
      </c>
      <c r="F171" s="66">
        <v>40</v>
      </c>
      <c r="G171" s="66" t="s">
        <v>2808</v>
      </c>
      <c r="H171" s="44" t="s">
        <v>2887</v>
      </c>
      <c r="I171" s="299" t="s">
        <v>2831</v>
      </c>
      <c r="J171" s="66" t="s">
        <v>2813</v>
      </c>
      <c r="K171" s="66" t="s">
        <v>2888</v>
      </c>
      <c r="L171" s="66">
        <v>7635</v>
      </c>
      <c r="N171" s="66" t="s">
        <v>72</v>
      </c>
      <c r="O171" s="66" t="s">
        <v>73</v>
      </c>
      <c r="P171" s="66" t="s">
        <v>203</v>
      </c>
      <c r="Q171" s="138" t="str">
        <f ca="1">IFERROR(LOOKUP($P171,MOTORISTAS!$D$3:$D$1048576,MOTORISTAS!E$3:E$916),"")</f>
        <v>10395859816</v>
      </c>
      <c r="R171" s="138" t="str">
        <f ca="1">IFERROR(LOOKUP($P171,MOTORISTAS!$D$3:$D$1048576,MOTORISTAS!F$3:F$916),"")</f>
        <v>01965794851</v>
      </c>
      <c r="S171" s="66">
        <v>3374</v>
      </c>
      <c r="T171" s="66" t="s">
        <v>293</v>
      </c>
      <c r="U171" s="79">
        <v>44962.958333333336</v>
      </c>
      <c r="V171" s="66" t="s">
        <v>526</v>
      </c>
      <c r="W171" s="79">
        <v>44963.694444444445</v>
      </c>
      <c r="X171" s="79">
        <v>44963.083333333336</v>
      </c>
      <c r="Y171" s="88">
        <v>44963.388888888891</v>
      </c>
      <c r="Z171" s="81">
        <v>3200</v>
      </c>
      <c r="AA171" s="81">
        <v>0</v>
      </c>
      <c r="AB171" s="81">
        <f>SUM(Sal_23[[#This Row],[Saldo]]+Sal_23[[#This Row],[Adiantamento]])</f>
        <v>3200</v>
      </c>
      <c r="AC171" s="81">
        <v>0</v>
      </c>
      <c r="AD171" s="81"/>
      <c r="AE171" s="81"/>
      <c r="AF171" s="81"/>
      <c r="AG171" s="81">
        <f>Sal_23[[#This Row],[COMPRA]]*12%</f>
        <v>531</v>
      </c>
      <c r="AH171" s="83">
        <v>4425</v>
      </c>
      <c r="AI171" s="66" t="str">
        <f>PROPER(TEXT(Sal_23[[#This Row],[PROGRAMAÇÃO]],"mmm"))</f>
        <v>Fev</v>
      </c>
      <c r="AJ171" s="66">
        <f>YEAR(Sal_23[[#This Row],[PROGRAMAÇÃO]])</f>
        <v>2023</v>
      </c>
      <c r="AM171" s="66" t="s">
        <v>2768</v>
      </c>
      <c r="AN171" s="66" t="s">
        <v>2768</v>
      </c>
      <c r="AO171" s="66" t="s">
        <v>2768</v>
      </c>
    </row>
    <row r="172" spans="1:41" s="66" customFormat="1" ht="12.75" x14ac:dyDescent="0.2">
      <c r="A172" s="120" t="str">
        <f>Sal_23[[#This Row],[CONTAINER]]</f>
        <v>BSIU8084710</v>
      </c>
      <c r="B172" s="128" t="s">
        <v>2771</v>
      </c>
      <c r="C17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72" s="79">
        <v>44964.333333333336</v>
      </c>
      <c r="E172" s="44" t="s">
        <v>3280</v>
      </c>
      <c r="F172" s="66">
        <v>40</v>
      </c>
      <c r="G172" s="66" t="s">
        <v>2826</v>
      </c>
      <c r="H172" s="44" t="s">
        <v>3195</v>
      </c>
      <c r="I172" s="299" t="s">
        <v>2830</v>
      </c>
      <c r="J172" s="66" t="s">
        <v>3283</v>
      </c>
      <c r="K172" s="66" t="s">
        <v>3281</v>
      </c>
      <c r="L172" s="66">
        <v>103683</v>
      </c>
      <c r="N172" s="66" t="s">
        <v>140</v>
      </c>
      <c r="O172" s="66" t="s">
        <v>141</v>
      </c>
      <c r="P172" s="66" t="s">
        <v>2051</v>
      </c>
      <c r="Q172" s="138" t="str">
        <f ca="1">IFERROR(LOOKUP($P172,MOTORISTAS!$D$3:$D$1048576,MOTORISTAS!E$3:E$916),"")</f>
        <v>33913917829</v>
      </c>
      <c r="R172" s="138" t="str">
        <f ca="1">IFERROR(LOOKUP($P172,MOTORISTAS!$D$3:$D$1048576,MOTORISTAS!F$3:F$916),"")</f>
        <v>03312585500</v>
      </c>
      <c r="S172" s="66">
        <v>3385</v>
      </c>
      <c r="T172" s="66" t="s">
        <v>306</v>
      </c>
      <c r="U172" s="79">
        <v>44963.989583333336</v>
      </c>
      <c r="V172" s="66" t="s">
        <v>409</v>
      </c>
      <c r="W172" s="79">
        <v>44964.686805555553</v>
      </c>
      <c r="X172" s="79">
        <v>44964.229166666664</v>
      </c>
      <c r="Y172" s="88">
        <v>44964.451388888891</v>
      </c>
      <c r="Z172" s="81">
        <v>2300</v>
      </c>
      <c r="AA172" s="81">
        <v>0</v>
      </c>
      <c r="AB172" s="81">
        <f>SUM(Sal_23[[#This Row],[Saldo]]+Sal_23[[#This Row],[Adiantamento]])</f>
        <v>2300</v>
      </c>
      <c r="AC172" s="81">
        <v>0</v>
      </c>
      <c r="AD172" s="81"/>
      <c r="AE172" s="81"/>
      <c r="AF172" s="81"/>
      <c r="AG172" s="81">
        <f>Sal_23[[#This Row],[COMPRA]]*12%</f>
        <v>392.15039999999999</v>
      </c>
      <c r="AH172" s="83">
        <v>3267.92</v>
      </c>
      <c r="AI172" s="66" t="str">
        <f>PROPER(TEXT(Sal_23[[#This Row],[PROGRAMAÇÃO]],"mmm"))</f>
        <v>Fev</v>
      </c>
      <c r="AJ172" s="66">
        <f>YEAR(Sal_23[[#This Row],[PROGRAMAÇÃO]])</f>
        <v>2023</v>
      </c>
      <c r="AM172" s="66" t="s">
        <v>2768</v>
      </c>
      <c r="AN172" s="66" t="s">
        <v>2768</v>
      </c>
      <c r="AO172" s="66" t="s">
        <v>2768</v>
      </c>
    </row>
    <row r="173" spans="1:41" s="66" customFormat="1" ht="12.75" x14ac:dyDescent="0.2">
      <c r="A173" s="120" t="str">
        <f>Sal_23[[#This Row],[CONTAINER]]</f>
        <v>MSKU5937020</v>
      </c>
      <c r="B173" s="128" t="s">
        <v>2771</v>
      </c>
      <c r="C17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73" s="79">
        <v>44965.333333333336</v>
      </c>
      <c r="E173" s="44" t="s">
        <v>3279</v>
      </c>
      <c r="F173" s="66">
        <v>20</v>
      </c>
      <c r="G173" s="66" t="s">
        <v>2826</v>
      </c>
      <c r="H173" s="44" t="s">
        <v>3105</v>
      </c>
      <c r="I173" s="299" t="s">
        <v>3185</v>
      </c>
      <c r="J173" s="66" t="s">
        <v>3282</v>
      </c>
      <c r="K173" s="66" t="s">
        <v>3281</v>
      </c>
      <c r="L173" s="66">
        <v>103634</v>
      </c>
      <c r="N173" s="66" t="s">
        <v>2584</v>
      </c>
      <c r="O173" s="66" t="s">
        <v>2585</v>
      </c>
      <c r="P173" s="66" t="s">
        <v>2586</v>
      </c>
      <c r="Q173" s="138" t="str">
        <f ca="1">IFERROR(LOOKUP($P173,MOTORISTAS!$D$3:$D$1048576,MOTORISTAS!E$3:E$916),"")</f>
        <v>08312935860</v>
      </c>
      <c r="R173" s="138" t="str">
        <f ca="1">IFERROR(LOOKUP($P173,MOTORISTAS!$D$3:$D$1048576,MOTORISTAS!F$3:F$916),"")</f>
        <v>03106516083</v>
      </c>
      <c r="S173" s="66">
        <v>3386</v>
      </c>
      <c r="T173" s="66" t="s">
        <v>306</v>
      </c>
      <c r="U173" s="79">
        <v>44964.875</v>
      </c>
      <c r="V173" s="66" t="s">
        <v>292</v>
      </c>
      <c r="W173" s="79">
        <v>44966.509722222225</v>
      </c>
      <c r="X173" s="79">
        <v>44965.125</v>
      </c>
      <c r="Y173" s="88">
        <v>44965.541666666664</v>
      </c>
      <c r="Z173" s="81">
        <v>1600</v>
      </c>
      <c r="AA173" s="81">
        <v>0</v>
      </c>
      <c r="AB173" s="81">
        <f>SUM(Sal_23[[#This Row],[Saldo]]+Sal_23[[#This Row],[Adiantamento]])</f>
        <v>1600</v>
      </c>
      <c r="AC173" s="81">
        <v>600</v>
      </c>
      <c r="AD173" s="81"/>
      <c r="AE173" s="81"/>
      <c r="AF173" s="81"/>
      <c r="AG173" s="81">
        <f>Sal_23[[#This Row],[COMPRA]]*12%</f>
        <v>415.74719999999996</v>
      </c>
      <c r="AH173" s="83">
        <v>3464.56</v>
      </c>
      <c r="AI173" s="66" t="str">
        <f>PROPER(TEXT(Sal_23[[#This Row],[PROGRAMAÇÃO]],"mmm"))</f>
        <v>Fev</v>
      </c>
      <c r="AJ173" s="66">
        <f>YEAR(Sal_23[[#This Row],[PROGRAMAÇÃO]])</f>
        <v>2023</v>
      </c>
      <c r="AM173" s="66" t="s">
        <v>2768</v>
      </c>
      <c r="AN173" s="66" t="s">
        <v>2768</v>
      </c>
      <c r="AO173" s="66" t="s">
        <v>2768</v>
      </c>
    </row>
    <row r="174" spans="1:41" s="66" customFormat="1" ht="12.75" x14ac:dyDescent="0.2">
      <c r="A174" s="120" t="str">
        <f>Sal_23[[#This Row],[CONTAINER]]</f>
        <v>GESU1442188</v>
      </c>
      <c r="B174" s="128" t="s">
        <v>2771</v>
      </c>
      <c r="C17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74" s="79">
        <v>44966.375</v>
      </c>
      <c r="E174" s="44" t="s">
        <v>3320</v>
      </c>
      <c r="F174" s="66">
        <v>20</v>
      </c>
      <c r="G174" s="66" t="s">
        <v>2820</v>
      </c>
      <c r="H174" s="44" t="s">
        <v>2820</v>
      </c>
      <c r="I174" s="299" t="s">
        <v>2821</v>
      </c>
      <c r="J174" s="66">
        <v>935</v>
      </c>
      <c r="K174" s="66" t="s">
        <v>3319</v>
      </c>
      <c r="L174" s="66">
        <v>112987</v>
      </c>
      <c r="N174" s="66" t="s">
        <v>2859</v>
      </c>
      <c r="O174" s="66" t="s">
        <v>2860</v>
      </c>
      <c r="P174" s="66" t="s">
        <v>2861</v>
      </c>
      <c r="Q174" s="138" t="str">
        <f ca="1">IFERROR(LOOKUP($P174,MOTORISTAS!$D$3:$D$1048576,MOTORISTAS!E$3:E$916),"")</f>
        <v>01817591878</v>
      </c>
      <c r="R174" s="138" t="str">
        <f ca="1">IFERROR(LOOKUP($P174,MOTORISTAS!$D$3:$D$1048576,MOTORISTAS!F$3:F$916),"")</f>
        <v>00821760640</v>
      </c>
      <c r="S174" s="66">
        <v>15041</v>
      </c>
      <c r="T174" s="66" t="s">
        <v>293</v>
      </c>
      <c r="U174" s="79">
        <v>44966.020833333336</v>
      </c>
      <c r="V174" s="66" t="s">
        <v>292</v>
      </c>
      <c r="W174" s="79">
        <v>44966.556944444441</v>
      </c>
      <c r="X174" s="79">
        <v>44966.25</v>
      </c>
      <c r="Y174" s="88">
        <v>44966.458333333336</v>
      </c>
      <c r="Z174" s="81">
        <v>1600</v>
      </c>
      <c r="AA174" s="81">
        <v>0</v>
      </c>
      <c r="AB174" s="81">
        <f>SUM(Sal_23[[#This Row],[Saldo]]+Sal_23[[#This Row],[Adiantamento]])</f>
        <v>1600</v>
      </c>
      <c r="AC174" s="81">
        <v>0</v>
      </c>
      <c r="AD174" s="81"/>
      <c r="AE174" s="81"/>
      <c r="AF174" s="81"/>
      <c r="AG174" s="81">
        <f>Sal_23[[#This Row],[COMPRA]]*12%</f>
        <v>288</v>
      </c>
      <c r="AH174" s="83">
        <v>2400</v>
      </c>
      <c r="AI174" s="66" t="str">
        <f>PROPER(TEXT(Sal_23[[#This Row],[PROGRAMAÇÃO]],"mmm"))</f>
        <v>Fev</v>
      </c>
      <c r="AJ174" s="66">
        <f>YEAR(Sal_23[[#This Row],[PROGRAMAÇÃO]])</f>
        <v>2023</v>
      </c>
      <c r="AM174" s="66" t="s">
        <v>2768</v>
      </c>
      <c r="AN174" s="66" t="s">
        <v>2768</v>
      </c>
      <c r="AO174" s="66" t="s">
        <v>2768</v>
      </c>
    </row>
    <row r="175" spans="1:41" s="66" customFormat="1" ht="12.75" x14ac:dyDescent="0.2">
      <c r="A175" s="120" t="str">
        <f>Sal_23[[#This Row],[CONTAINER]]</f>
        <v>SEGU1124319</v>
      </c>
      <c r="B175" s="128" t="s">
        <v>2771</v>
      </c>
      <c r="C17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75" s="79">
        <v>44966.375</v>
      </c>
      <c r="E175" s="44" t="s">
        <v>3322</v>
      </c>
      <c r="F175" s="66">
        <v>20</v>
      </c>
      <c r="G175" s="66" t="s">
        <v>2820</v>
      </c>
      <c r="H175" s="44" t="s">
        <v>2820</v>
      </c>
      <c r="I175" s="299" t="s">
        <v>2821</v>
      </c>
      <c r="J175" s="66">
        <v>975</v>
      </c>
      <c r="K175" s="66" t="s">
        <v>3319</v>
      </c>
      <c r="L175" s="66">
        <v>103802</v>
      </c>
      <c r="N175" s="66" t="s">
        <v>3028</v>
      </c>
      <c r="O175" s="66" t="s">
        <v>2864</v>
      </c>
      <c r="P175" s="66" t="s">
        <v>3443</v>
      </c>
      <c r="Q175" s="138" t="str">
        <f ca="1">IFERROR(LOOKUP($P175,MOTORISTAS!$D$3:$D$1048576,MOTORISTAS!E$3:E$916),"")</f>
        <v>13990937898</v>
      </c>
      <c r="R175" s="138" t="str">
        <f ca="1">IFERROR(LOOKUP($P175,MOTORISTAS!$D$3:$D$1048576,MOTORISTAS!F$3:F$916),"")</f>
        <v>01825123407</v>
      </c>
      <c r="S175" s="66">
        <v>15043</v>
      </c>
      <c r="T175" s="66" t="s">
        <v>293</v>
      </c>
      <c r="U175" s="79">
        <v>44965.914583333331</v>
      </c>
      <c r="V175" s="66" t="s">
        <v>292</v>
      </c>
      <c r="W175" s="79">
        <v>44966.548611111109</v>
      </c>
      <c r="X175" s="79">
        <v>44966.25</v>
      </c>
      <c r="Y175" s="88">
        <v>44966.458333333336</v>
      </c>
      <c r="Z175" s="81">
        <v>1600</v>
      </c>
      <c r="AA175" s="81">
        <v>0</v>
      </c>
      <c r="AB175" s="81">
        <f>SUM(Sal_23[[#This Row],[Saldo]]+Sal_23[[#This Row],[Adiantamento]])</f>
        <v>1600</v>
      </c>
      <c r="AC175" s="81">
        <v>0</v>
      </c>
      <c r="AD175" s="81"/>
      <c r="AE175" s="81"/>
      <c r="AF175" s="81"/>
      <c r="AG175" s="81">
        <f>Sal_23[[#This Row],[COMPRA]]*12%</f>
        <v>288</v>
      </c>
      <c r="AH175" s="83">
        <v>2400</v>
      </c>
      <c r="AI175" s="66" t="str">
        <f>PROPER(TEXT(Sal_23[[#This Row],[PROGRAMAÇÃO]],"mmm"))</f>
        <v>Fev</v>
      </c>
      <c r="AJ175" s="66">
        <f>YEAR(Sal_23[[#This Row],[PROGRAMAÇÃO]])</f>
        <v>2023</v>
      </c>
      <c r="AM175" s="66" t="s">
        <v>2768</v>
      </c>
      <c r="AN175" s="66" t="s">
        <v>2768</v>
      </c>
      <c r="AO175" s="66" t="s">
        <v>2768</v>
      </c>
    </row>
    <row r="176" spans="1:41" s="66" customFormat="1" ht="12.75" x14ac:dyDescent="0.2">
      <c r="A176" s="120" t="str">
        <f>Sal_23[[#This Row],[CONTAINER]]</f>
        <v>TCLU8168534</v>
      </c>
      <c r="B176" s="128" t="s">
        <v>2771</v>
      </c>
      <c r="C17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76" s="79">
        <v>44966.333333333336</v>
      </c>
      <c r="E176" s="44" t="s">
        <v>3328</v>
      </c>
      <c r="F176" s="66">
        <v>40</v>
      </c>
      <c r="G176" s="66" t="s">
        <v>2826</v>
      </c>
      <c r="H176" s="44" t="s">
        <v>2833</v>
      </c>
      <c r="I176" s="299" t="s">
        <v>2832</v>
      </c>
      <c r="J176" s="66">
        <v>916</v>
      </c>
      <c r="K176" s="66" t="s">
        <v>3319</v>
      </c>
      <c r="L176" s="66">
        <v>103799</v>
      </c>
      <c r="N176" s="66" t="s">
        <v>210</v>
      </c>
      <c r="O176" s="66" t="s">
        <v>211</v>
      </c>
      <c r="P176" s="66" t="s">
        <v>212</v>
      </c>
      <c r="Q176" s="138" t="str">
        <f ca="1">IFERROR(LOOKUP($P176,MOTORISTAS!$D$3:$D$1048576,MOTORISTAS!E$3:E$916),"")</f>
        <v>38029906846</v>
      </c>
      <c r="R176" s="138" t="str">
        <f ca="1">IFERROR(LOOKUP($P176,MOTORISTAS!$D$3:$D$1048576,MOTORISTAS!F$3:F$916),"")</f>
        <v>04946846842</v>
      </c>
      <c r="S176" s="66">
        <v>3390</v>
      </c>
      <c r="T176" s="66" t="s">
        <v>293</v>
      </c>
      <c r="U176" s="79">
        <v>44965.977777777778</v>
      </c>
      <c r="V176" s="66" t="s">
        <v>469</v>
      </c>
      <c r="W176" s="79">
        <v>44966.691666666666</v>
      </c>
      <c r="X176" s="79">
        <v>44966.25</v>
      </c>
      <c r="Y176" s="88">
        <v>44966.458333333336</v>
      </c>
      <c r="Z176" s="81">
        <v>635.4</v>
      </c>
      <c r="AA176" s="81">
        <v>0</v>
      </c>
      <c r="AB176" s="81">
        <f>SUM(Sal_23[[#This Row],[Saldo]]+Sal_23[[#This Row],[Adiantamento]])</f>
        <v>635.4</v>
      </c>
      <c r="AC176" s="81">
        <v>0</v>
      </c>
      <c r="AD176" s="81"/>
      <c r="AE176" s="81"/>
      <c r="AF176" s="81"/>
      <c r="AG176" s="81">
        <f>Sal_23[[#This Row],[COMPRA]]*12%</f>
        <v>641.71680000000003</v>
      </c>
      <c r="AH176" s="83">
        <v>5347.64</v>
      </c>
      <c r="AI176" s="66" t="str">
        <f>PROPER(TEXT(Sal_23[[#This Row],[PROGRAMAÇÃO]],"mmm"))</f>
        <v>Fev</v>
      </c>
      <c r="AJ176" s="66">
        <f>YEAR(Sal_23[[#This Row],[PROGRAMAÇÃO]])</f>
        <v>2023</v>
      </c>
      <c r="AM176" s="66" t="s">
        <v>2768</v>
      </c>
      <c r="AN176" s="66" t="s">
        <v>2768</v>
      </c>
      <c r="AO176" s="66" t="s">
        <v>2768</v>
      </c>
    </row>
    <row r="177" spans="1:41" s="66" customFormat="1" ht="12.75" x14ac:dyDescent="0.2">
      <c r="A177" s="120" t="str">
        <f>Sal_23[[#This Row],[CONTAINER]]</f>
        <v>DFSU7532354</v>
      </c>
      <c r="B177" s="128" t="s">
        <v>2771</v>
      </c>
      <c r="C17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77" s="79">
        <v>44966.5</v>
      </c>
      <c r="E177" s="44" t="s">
        <v>3332</v>
      </c>
      <c r="F177" s="66">
        <v>40</v>
      </c>
      <c r="G177" s="66" t="s">
        <v>2826</v>
      </c>
      <c r="H177" s="44" t="s">
        <v>1674</v>
      </c>
      <c r="I177" s="299" t="s">
        <v>2829</v>
      </c>
      <c r="J177" s="66">
        <v>918</v>
      </c>
      <c r="K177" s="66" t="s">
        <v>3319</v>
      </c>
      <c r="L177" s="66">
        <v>103803</v>
      </c>
      <c r="M177" s="66">
        <v>103804</v>
      </c>
      <c r="N177" s="66" t="s">
        <v>106</v>
      </c>
      <c r="O177" s="66" t="s">
        <v>107</v>
      </c>
      <c r="P177" s="66" t="s">
        <v>108</v>
      </c>
      <c r="Q177" s="138" t="str">
        <f ca="1">IFERROR(LOOKUP($P177,MOTORISTAS!$D$3:$D$1048576,MOTORISTAS!E$3:E$916),"")</f>
        <v>34927982840</v>
      </c>
      <c r="R177" s="138" t="str">
        <f ca="1">IFERROR(LOOKUP($P177,MOTORISTAS!$D$3:$D$1048576,MOTORISTAS!F$3:F$916),"")</f>
        <v>03500129879</v>
      </c>
      <c r="S177" s="66">
        <v>3388</v>
      </c>
      <c r="T177" s="66" t="s">
        <v>293</v>
      </c>
      <c r="U177" s="79">
        <v>44966.305555555555</v>
      </c>
      <c r="V177" s="66" t="s">
        <v>469</v>
      </c>
      <c r="W177" s="79">
        <v>44966.959722222222</v>
      </c>
      <c r="X177" s="79">
        <v>44966.493055555555</v>
      </c>
      <c r="Y177" s="88">
        <v>44966.694444444445</v>
      </c>
      <c r="Z177" s="81">
        <v>3400</v>
      </c>
      <c r="AA177" s="81">
        <v>0</v>
      </c>
      <c r="AB177" s="81">
        <f>SUM(Sal_23[[#This Row],[Saldo]]+Sal_23[[#This Row],[Adiantamento]])</f>
        <v>3400</v>
      </c>
      <c r="AC177" s="81">
        <v>0</v>
      </c>
      <c r="AD177" s="81"/>
      <c r="AE177" s="81"/>
      <c r="AF177" s="81"/>
      <c r="AG177" s="81">
        <f>Sal_23[[#This Row],[COMPRA]]*12%</f>
        <v>558.28440000000001</v>
      </c>
      <c r="AH177" s="83">
        <v>4652.37</v>
      </c>
      <c r="AI177" s="66" t="str">
        <f>PROPER(TEXT(Sal_23[[#This Row],[PROGRAMAÇÃO]],"mmm"))</f>
        <v>Fev</v>
      </c>
      <c r="AJ177" s="66">
        <f>YEAR(Sal_23[[#This Row],[PROGRAMAÇÃO]])</f>
        <v>2023</v>
      </c>
      <c r="AM177" s="66" t="s">
        <v>2768</v>
      </c>
      <c r="AN177" s="66" t="s">
        <v>2768</v>
      </c>
      <c r="AO177" s="66" t="s">
        <v>2768</v>
      </c>
    </row>
    <row r="178" spans="1:41" s="66" customFormat="1" ht="12.75" x14ac:dyDescent="0.2">
      <c r="A178" s="120" t="str">
        <f>Sal_23[[#This Row],[CONTAINER]]</f>
        <v>FJKU6013828</v>
      </c>
      <c r="B178" s="128" t="s">
        <v>2771</v>
      </c>
      <c r="C17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78" s="79">
        <v>44966.416666666664</v>
      </c>
      <c r="E178" s="44" t="s">
        <v>3333</v>
      </c>
      <c r="F178" s="66">
        <v>40</v>
      </c>
      <c r="G178" s="66" t="s">
        <v>2826</v>
      </c>
      <c r="H178" s="44" t="s">
        <v>1674</v>
      </c>
      <c r="I178" s="299" t="s">
        <v>2829</v>
      </c>
      <c r="J178" s="66">
        <v>1043</v>
      </c>
      <c r="K178" s="66" t="s">
        <v>3319</v>
      </c>
      <c r="L178" s="66">
        <v>103805</v>
      </c>
      <c r="M178" s="66">
        <v>103806</v>
      </c>
      <c r="N178" s="66" t="s">
        <v>155</v>
      </c>
      <c r="O178" s="66" t="s">
        <v>209</v>
      </c>
      <c r="P178" s="66" t="s">
        <v>156</v>
      </c>
      <c r="Q178" s="138" t="str">
        <f ca="1">IFERROR(LOOKUP($P178,MOTORISTAS!$D$3:$D$1048576,MOTORISTAS!E$3:E$916),"")</f>
        <v>09803034863</v>
      </c>
      <c r="R178" s="138" t="str">
        <f ca="1">IFERROR(LOOKUP($P178,MOTORISTAS!$D$3:$D$1048576,MOTORISTAS!F$3:F$916),"")</f>
        <v>01484565209</v>
      </c>
      <c r="S178" s="66">
        <v>3389</v>
      </c>
      <c r="T178" s="66" t="s">
        <v>293</v>
      </c>
      <c r="U178" s="79">
        <v>44966.245833333334</v>
      </c>
      <c r="V178" s="66" t="s">
        <v>469</v>
      </c>
      <c r="W178" s="79">
        <v>44966.818055555559</v>
      </c>
      <c r="X178" s="79">
        <v>44966.409722222219</v>
      </c>
      <c r="Y178" s="88">
        <v>44966.625</v>
      </c>
      <c r="Z178" s="81">
        <v>3400</v>
      </c>
      <c r="AA178" s="81">
        <v>0</v>
      </c>
      <c r="AB178" s="81">
        <f>SUM(Sal_23[[#This Row],[Saldo]]+Sal_23[[#This Row],[Adiantamento]])</f>
        <v>3400</v>
      </c>
      <c r="AC178" s="81">
        <v>0</v>
      </c>
      <c r="AD178" s="81"/>
      <c r="AE178" s="81"/>
      <c r="AF178" s="81"/>
      <c r="AG178" s="81">
        <f>Sal_23[[#This Row],[COMPRA]]*12%</f>
        <v>558.28440000000001</v>
      </c>
      <c r="AH178" s="83">
        <v>4652.37</v>
      </c>
      <c r="AI178" s="66" t="str">
        <f>PROPER(TEXT(Sal_23[[#This Row],[PROGRAMAÇÃO]],"mmm"))</f>
        <v>Fev</v>
      </c>
      <c r="AJ178" s="66">
        <f>YEAR(Sal_23[[#This Row],[PROGRAMAÇÃO]])</f>
        <v>2023</v>
      </c>
      <c r="AM178" s="66" t="s">
        <v>2768</v>
      </c>
      <c r="AN178" s="66" t="s">
        <v>2768</v>
      </c>
      <c r="AO178" s="66" t="s">
        <v>2768</v>
      </c>
    </row>
    <row r="179" spans="1:41" s="66" customFormat="1" ht="12.75" x14ac:dyDescent="0.2">
      <c r="A179" s="120" t="str">
        <f>Sal_23[[#This Row],[CONTAINER]]</f>
        <v>TCNU8698700</v>
      </c>
      <c r="B179" s="128" t="s">
        <v>2771</v>
      </c>
      <c r="C17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79" s="79">
        <v>44966.333333333336</v>
      </c>
      <c r="E179" s="44" t="s">
        <v>3336</v>
      </c>
      <c r="F179" s="66">
        <v>40</v>
      </c>
      <c r="G179" s="66" t="s">
        <v>2826</v>
      </c>
      <c r="H179" s="44" t="s">
        <v>2835</v>
      </c>
      <c r="I179" s="299" t="s">
        <v>2822</v>
      </c>
      <c r="J179" s="66">
        <v>908</v>
      </c>
      <c r="K179" s="66" t="s">
        <v>3319</v>
      </c>
      <c r="L179" s="66">
        <v>103631</v>
      </c>
      <c r="N179" s="66" t="s">
        <v>68</v>
      </c>
      <c r="O179" s="66" t="s">
        <v>36</v>
      </c>
      <c r="P179" s="66" t="s">
        <v>69</v>
      </c>
      <c r="Q179" s="138" t="str">
        <f ca="1">IFERROR(LOOKUP($P179,MOTORISTAS!$D$3:$D$1048576,MOTORISTAS!E$3:E$916),"")</f>
        <v>07968457866</v>
      </c>
      <c r="R179" s="138" t="str">
        <f ca="1">IFERROR(LOOKUP($P179,MOTORISTAS!$D$3:$D$1048576,MOTORISTAS!F$3:F$916),"")</f>
        <v>03264365790</v>
      </c>
      <c r="S179" s="66">
        <v>3391</v>
      </c>
      <c r="T179" s="66" t="s">
        <v>293</v>
      </c>
      <c r="U179" s="79">
        <v>44966.229166666664</v>
      </c>
      <c r="V179" s="66" t="s">
        <v>526</v>
      </c>
      <c r="W179" s="79">
        <v>44966.679166666669</v>
      </c>
      <c r="X179" s="79">
        <v>44966.375</v>
      </c>
      <c r="Y179" s="88">
        <v>44966.458333333336</v>
      </c>
      <c r="Z179" s="81">
        <v>2100</v>
      </c>
      <c r="AA179" s="81">
        <v>0</v>
      </c>
      <c r="AB179" s="81">
        <f>SUM(Sal_23[[#This Row],[Saldo]]+Sal_23[[#This Row],[Adiantamento]])</f>
        <v>2100</v>
      </c>
      <c r="AC179" s="81">
        <v>0</v>
      </c>
      <c r="AD179" s="81"/>
      <c r="AE179" s="81"/>
      <c r="AF179" s="81"/>
      <c r="AG179" s="81">
        <f>Sal_23[[#This Row],[COMPRA]]*12%</f>
        <v>370.37759999999997</v>
      </c>
      <c r="AH179" s="83">
        <v>3086.48</v>
      </c>
      <c r="AI179" s="66" t="str">
        <f>PROPER(TEXT(Sal_23[[#This Row],[PROGRAMAÇÃO]],"mmm"))</f>
        <v>Fev</v>
      </c>
      <c r="AJ179" s="66">
        <f>YEAR(Sal_23[[#This Row],[PROGRAMAÇÃO]])</f>
        <v>2023</v>
      </c>
      <c r="AL179" s="44" t="s">
        <v>3346</v>
      </c>
      <c r="AM179" s="66" t="s">
        <v>2768</v>
      </c>
      <c r="AN179" s="66" t="s">
        <v>2768</v>
      </c>
      <c r="AO179" s="66" t="s">
        <v>2768</v>
      </c>
    </row>
    <row r="180" spans="1:41" s="66" customFormat="1" ht="12.75" x14ac:dyDescent="0.2">
      <c r="A180" s="120" t="str">
        <f>Sal_23[[#This Row],[CONTAINER]]</f>
        <v>TEMU7716395</v>
      </c>
      <c r="B180" s="128" t="s">
        <v>2771</v>
      </c>
      <c r="C18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80" s="79">
        <v>44966.333333333336</v>
      </c>
      <c r="E180" s="44" t="s">
        <v>3342</v>
      </c>
      <c r="F180" s="66">
        <v>40</v>
      </c>
      <c r="G180" s="66" t="s">
        <v>2826</v>
      </c>
      <c r="H180" s="44" t="s">
        <v>3345</v>
      </c>
      <c r="I180" s="299" t="s">
        <v>3344</v>
      </c>
      <c r="J180" s="66">
        <v>906</v>
      </c>
      <c r="K180" s="66" t="s">
        <v>3319</v>
      </c>
      <c r="L180" s="66">
        <v>103629</v>
      </c>
      <c r="M180" s="66">
        <v>103630</v>
      </c>
      <c r="N180" s="66" t="s">
        <v>31</v>
      </c>
      <c r="O180" s="66" t="s">
        <v>32</v>
      </c>
      <c r="P180" s="66" t="s">
        <v>33</v>
      </c>
      <c r="Q180" s="138" t="str">
        <f ca="1">IFERROR(LOOKUP($P180,MOTORISTAS!$D$3:$D$1048576,MOTORISTAS!E$3:E$916),"")</f>
        <v>09776430856</v>
      </c>
      <c r="R180" s="138" t="str">
        <f ca="1">IFERROR(LOOKUP($P180,MOTORISTAS!$D$3:$D$1048576,MOTORISTAS!F$3:F$916),"")</f>
        <v>01258979905</v>
      </c>
      <c r="S180" s="66">
        <v>3392</v>
      </c>
      <c r="T180" s="66" t="s">
        <v>293</v>
      </c>
      <c r="U180" s="79">
        <v>44966.000694444447</v>
      </c>
      <c r="V180" s="66" t="s">
        <v>469</v>
      </c>
      <c r="W180" s="79">
        <v>44966.667361111111</v>
      </c>
      <c r="X180" s="79">
        <v>44966.25</v>
      </c>
      <c r="Y180" s="88">
        <v>44966.4375</v>
      </c>
      <c r="Z180" s="81">
        <v>0</v>
      </c>
      <c r="AA180" s="81">
        <v>0</v>
      </c>
      <c r="AB180" s="81">
        <f>SUM(Sal_23[[#This Row],[Saldo]]+Sal_23[[#This Row],[Adiantamento]])</f>
        <v>0</v>
      </c>
      <c r="AC180" s="81">
        <v>640</v>
      </c>
      <c r="AD180" s="81"/>
      <c r="AE180" s="81"/>
      <c r="AF180" s="81"/>
      <c r="AG180" s="81">
        <f>Sal_23[[#This Row],[COMPRA]]*12%</f>
        <v>451.75439999999998</v>
      </c>
      <c r="AH180" s="83">
        <v>3764.62</v>
      </c>
      <c r="AI180" s="66" t="str">
        <f>PROPER(TEXT(Sal_23[[#This Row],[PROGRAMAÇÃO]],"mmm"))</f>
        <v>Fev</v>
      </c>
      <c r="AJ180" s="66">
        <f>YEAR(Sal_23[[#This Row],[PROGRAMAÇÃO]])</f>
        <v>2023</v>
      </c>
      <c r="AM180" s="66" t="s">
        <v>2768</v>
      </c>
      <c r="AN180" s="66" t="s">
        <v>2768</v>
      </c>
      <c r="AO180" s="66" t="s">
        <v>2768</v>
      </c>
    </row>
    <row r="181" spans="1:41" s="66" customFormat="1" ht="12.75" x14ac:dyDescent="0.2">
      <c r="A181" s="120" t="str">
        <f>Sal_23[[#This Row],[CONTAINER]]</f>
        <v>CAIU3419190</v>
      </c>
      <c r="B181" s="128" t="s">
        <v>2771</v>
      </c>
      <c r="C18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81" s="79">
        <v>44967.375</v>
      </c>
      <c r="E181" s="44" t="s">
        <v>3321</v>
      </c>
      <c r="F181" s="66">
        <v>20</v>
      </c>
      <c r="G181" s="66" t="s">
        <v>2820</v>
      </c>
      <c r="H181" s="44" t="s">
        <v>2820</v>
      </c>
      <c r="I181" s="299" t="s">
        <v>2821</v>
      </c>
      <c r="J181" s="66">
        <v>936</v>
      </c>
      <c r="K181" s="66" t="s">
        <v>3319</v>
      </c>
      <c r="L181" s="66">
        <v>103768</v>
      </c>
      <c r="N181" s="66" t="s">
        <v>3028</v>
      </c>
      <c r="O181" s="66" t="s">
        <v>2864</v>
      </c>
      <c r="P181" s="66" t="s">
        <v>3443</v>
      </c>
      <c r="Q181" s="138" t="str">
        <f ca="1">IFERROR(LOOKUP($P181,MOTORISTAS!$D$3:$D$1048576,MOTORISTAS!E$3:E$916),"")</f>
        <v>13990937898</v>
      </c>
      <c r="R181" s="138" t="str">
        <f ca="1">IFERROR(LOOKUP($P181,MOTORISTAS!$D$3:$D$1048576,MOTORISTAS!F$3:F$916),"")</f>
        <v>01825123407</v>
      </c>
      <c r="S181" s="66">
        <v>15054</v>
      </c>
      <c r="T181" s="66" t="s">
        <v>293</v>
      </c>
      <c r="U181" s="79">
        <v>44966.927777777775</v>
      </c>
      <c r="V181" s="66" t="s">
        <v>292</v>
      </c>
      <c r="W181" s="79">
        <v>44967.675694444442</v>
      </c>
      <c r="X181" s="79">
        <v>44967.208333333336</v>
      </c>
      <c r="Y181" s="88">
        <v>44967.4375</v>
      </c>
      <c r="Z181" s="81">
        <v>1600</v>
      </c>
      <c r="AA181" s="81">
        <v>0</v>
      </c>
      <c r="AB181" s="81">
        <f>SUM(Sal_23[[#This Row],[Saldo]]+Sal_23[[#This Row],[Adiantamento]])</f>
        <v>1600</v>
      </c>
      <c r="AC181" s="81">
        <v>0</v>
      </c>
      <c r="AD181" s="81"/>
      <c r="AE181" s="81"/>
      <c r="AF181" s="81"/>
      <c r="AG181" s="81">
        <f>Sal_23[[#This Row],[COMPRA]]*12%</f>
        <v>288</v>
      </c>
      <c r="AH181" s="83">
        <v>2400</v>
      </c>
      <c r="AI181" s="66" t="str">
        <f>PROPER(TEXT(Sal_23[[#This Row],[PROGRAMAÇÃO]],"mmm"))</f>
        <v>Fev</v>
      </c>
      <c r="AJ181" s="66">
        <f>YEAR(Sal_23[[#This Row],[PROGRAMAÇÃO]])</f>
        <v>2023</v>
      </c>
      <c r="AM181" s="66" t="s">
        <v>2768</v>
      </c>
      <c r="AN181" s="66" t="s">
        <v>2768</v>
      </c>
      <c r="AO181" s="66" t="s">
        <v>2768</v>
      </c>
    </row>
    <row r="182" spans="1:41" s="66" customFormat="1" ht="12.75" x14ac:dyDescent="0.2">
      <c r="A182" s="120" t="str">
        <f>Sal_23[[#This Row],[CONTAINER]]</f>
        <v>CAIU3108705</v>
      </c>
      <c r="B182" s="128" t="s">
        <v>2771</v>
      </c>
      <c r="C18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82" s="79">
        <v>44967.375</v>
      </c>
      <c r="E182" s="44" t="s">
        <v>3323</v>
      </c>
      <c r="F182" s="66">
        <v>20</v>
      </c>
      <c r="G182" s="66" t="s">
        <v>2820</v>
      </c>
      <c r="H182" s="44" t="s">
        <v>2820</v>
      </c>
      <c r="I182" s="299" t="s">
        <v>2821</v>
      </c>
      <c r="J182" s="66">
        <v>937</v>
      </c>
      <c r="K182" s="66" t="s">
        <v>3319</v>
      </c>
      <c r="L182" s="66">
        <v>103767</v>
      </c>
      <c r="N182" s="66" t="s">
        <v>2859</v>
      </c>
      <c r="O182" s="66" t="s">
        <v>2860</v>
      </c>
      <c r="P182" s="66" t="s">
        <v>2861</v>
      </c>
      <c r="Q182" s="138" t="str">
        <f ca="1">IFERROR(LOOKUP($P182,MOTORISTAS!$D$3:$D$1048576,MOTORISTAS!E$3:E$916),"")</f>
        <v>01817591878</v>
      </c>
      <c r="R182" s="138" t="str">
        <f ca="1">IFERROR(LOOKUP($P182,MOTORISTAS!$D$3:$D$1048576,MOTORISTAS!F$3:F$916),"")</f>
        <v>00821760640</v>
      </c>
      <c r="S182" s="66">
        <v>15053</v>
      </c>
      <c r="T182" s="66" t="s">
        <v>293</v>
      </c>
      <c r="U182" s="79">
        <v>44966.96597222222</v>
      </c>
      <c r="V182" s="66" t="s">
        <v>292</v>
      </c>
      <c r="W182" s="79">
        <v>44967.669444444444</v>
      </c>
      <c r="X182" s="79">
        <v>44967.208333333336</v>
      </c>
      <c r="Y182" s="88">
        <v>44967.479166666664</v>
      </c>
      <c r="Z182" s="81">
        <v>1600</v>
      </c>
      <c r="AA182" s="81">
        <v>0</v>
      </c>
      <c r="AB182" s="81">
        <f>SUM(Sal_23[[#This Row],[Saldo]]+Sal_23[[#This Row],[Adiantamento]])</f>
        <v>1600</v>
      </c>
      <c r="AC182" s="81">
        <v>0</v>
      </c>
      <c r="AD182" s="81"/>
      <c r="AE182" s="81"/>
      <c r="AF182" s="81"/>
      <c r="AG182" s="81">
        <f>Sal_23[[#This Row],[COMPRA]]*12%</f>
        <v>288</v>
      </c>
      <c r="AH182" s="83">
        <v>2400</v>
      </c>
      <c r="AI182" s="66" t="str">
        <f>PROPER(TEXT(Sal_23[[#This Row],[PROGRAMAÇÃO]],"mmm"))</f>
        <v>Fev</v>
      </c>
      <c r="AJ182" s="66">
        <f>YEAR(Sal_23[[#This Row],[PROGRAMAÇÃO]])</f>
        <v>2023</v>
      </c>
      <c r="AM182" s="66" t="s">
        <v>2768</v>
      </c>
      <c r="AN182" s="66" t="s">
        <v>2768</v>
      </c>
      <c r="AO182" s="66" t="s">
        <v>2768</v>
      </c>
    </row>
    <row r="183" spans="1:41" s="66" customFormat="1" ht="12.75" x14ac:dyDescent="0.2">
      <c r="A183" s="120" t="str">
        <f>Sal_23[[#This Row],[CONTAINER]]</f>
        <v>SEGU1061020</v>
      </c>
      <c r="B183" s="128" t="s">
        <v>2771</v>
      </c>
      <c r="C18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83" s="79">
        <v>44967.333333333336</v>
      </c>
      <c r="E183" s="44" t="s">
        <v>3326</v>
      </c>
      <c r="F183" s="66">
        <v>20</v>
      </c>
      <c r="G183" s="66" t="s">
        <v>2826</v>
      </c>
      <c r="H183" s="44" t="s">
        <v>3440</v>
      </c>
      <c r="I183" s="299" t="s">
        <v>3253</v>
      </c>
      <c r="J183" s="66">
        <v>965</v>
      </c>
      <c r="K183" s="66" t="s">
        <v>3319</v>
      </c>
      <c r="L183" s="66">
        <v>113036</v>
      </c>
      <c r="N183" s="66" t="s">
        <v>2156</v>
      </c>
      <c r="O183" s="66" t="s">
        <v>2464</v>
      </c>
      <c r="P183" s="66" t="s">
        <v>2158</v>
      </c>
      <c r="Q183" s="138" t="str">
        <f ca="1">IFERROR(LOOKUP($P183,MOTORISTAS!$D$3:$D$1048576,MOTORISTAS!E$3:E$916),"")</f>
        <v>10485530864</v>
      </c>
      <c r="R183" s="138" t="str">
        <f ca="1">IFERROR(LOOKUP($P183,MOTORISTAS!$D$3:$D$1048576,MOTORISTAS!F$3:F$916),"")</f>
        <v>02033192841</v>
      </c>
      <c r="S183" s="66">
        <v>3394</v>
      </c>
      <c r="T183" s="66" t="s">
        <v>293</v>
      </c>
      <c r="U183" s="79">
        <v>44967.199999999997</v>
      </c>
      <c r="V183" s="66" t="s">
        <v>469</v>
      </c>
      <c r="W183" s="79">
        <v>44967.59097222222</v>
      </c>
      <c r="X183" s="79">
        <v>44967.333333333336</v>
      </c>
      <c r="Y183" s="88">
        <v>44967.458333333336</v>
      </c>
      <c r="Z183" s="81">
        <v>2300</v>
      </c>
      <c r="AA183" s="81">
        <v>0</v>
      </c>
      <c r="AB183" s="81">
        <f>SUM(Sal_23[[#This Row],[Saldo]]+Sal_23[[#This Row],[Adiantamento]])</f>
        <v>2300</v>
      </c>
      <c r="AC183" s="81">
        <v>0</v>
      </c>
      <c r="AD183" s="81"/>
      <c r="AE183" s="81"/>
      <c r="AF183" s="81"/>
      <c r="AG183" s="81">
        <f>Sal_23[[#This Row],[COMPRA]]*12%</f>
        <v>399.62399999999997</v>
      </c>
      <c r="AH183" s="83">
        <v>3330.2</v>
      </c>
      <c r="AI183" s="66" t="str">
        <f>PROPER(TEXT(Sal_23[[#This Row],[PROGRAMAÇÃO]],"mmm"))</f>
        <v>Fev</v>
      </c>
      <c r="AJ183" s="66">
        <f>YEAR(Sal_23[[#This Row],[PROGRAMAÇÃO]])</f>
        <v>2023</v>
      </c>
      <c r="AM183" s="66" t="s">
        <v>2768</v>
      </c>
      <c r="AN183" s="66" t="s">
        <v>2768</v>
      </c>
      <c r="AO183" s="66" t="s">
        <v>2768</v>
      </c>
    </row>
    <row r="184" spans="1:41" s="66" customFormat="1" ht="12.75" x14ac:dyDescent="0.2">
      <c r="A184" s="120" t="str">
        <f>Sal_23[[#This Row],[CONTAINER]]</f>
        <v>TCLU3055200</v>
      </c>
      <c r="B184" s="128" t="s">
        <v>2771</v>
      </c>
      <c r="C18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84" s="79">
        <v>44967.333333333336</v>
      </c>
      <c r="E184" s="44" t="s">
        <v>3327</v>
      </c>
      <c r="F184" s="66">
        <v>20</v>
      </c>
      <c r="G184" s="66" t="s">
        <v>2826</v>
      </c>
      <c r="H184" s="44" t="s">
        <v>3071</v>
      </c>
      <c r="I184" s="299" t="s">
        <v>3072</v>
      </c>
      <c r="J184" s="66">
        <v>964</v>
      </c>
      <c r="K184" s="66" t="s">
        <v>3319</v>
      </c>
      <c r="L184" s="66">
        <v>103635</v>
      </c>
      <c r="N184" s="66" t="s">
        <v>2584</v>
      </c>
      <c r="O184" s="66" t="s">
        <v>2585</v>
      </c>
      <c r="P184" s="66" t="s">
        <v>2586</v>
      </c>
      <c r="Q184" s="138" t="str">
        <f ca="1">IFERROR(LOOKUP($P184,MOTORISTAS!$D$3:$D$1048576,MOTORISTAS!E$3:E$916),"")</f>
        <v>08312935860</v>
      </c>
      <c r="R184" s="138" t="str">
        <f ca="1">IFERROR(LOOKUP($P184,MOTORISTAS!$D$3:$D$1048576,MOTORISTAS!F$3:F$916),"")</f>
        <v>03106516083</v>
      </c>
      <c r="S184" s="66">
        <v>3397</v>
      </c>
      <c r="T184" s="66" t="s">
        <v>293</v>
      </c>
      <c r="U184" s="79">
        <v>44966.929166666669</v>
      </c>
      <c r="V184" s="66" t="s">
        <v>469</v>
      </c>
      <c r="W184" s="79">
        <v>44967.624305555553</v>
      </c>
      <c r="X184" s="79">
        <v>44967.25</v>
      </c>
      <c r="Y184" s="88">
        <v>44967.388888888891</v>
      </c>
      <c r="Z184" s="81">
        <v>2200</v>
      </c>
      <c r="AA184" s="81">
        <v>0</v>
      </c>
      <c r="AB184" s="81">
        <f>SUM(Sal_23[[#This Row],[Saldo]]+Sal_23[[#This Row],[Adiantamento]])</f>
        <v>2200</v>
      </c>
      <c r="AC184" s="81">
        <v>600</v>
      </c>
      <c r="AD184" s="81"/>
      <c r="AE184" s="81"/>
      <c r="AF184" s="81"/>
      <c r="AG184" s="81">
        <f>Sal_23[[#This Row],[COMPRA]]*12%</f>
        <v>473.5104</v>
      </c>
      <c r="AH184" s="83">
        <v>3945.92</v>
      </c>
      <c r="AI184" s="66" t="str">
        <f>PROPER(TEXT(Sal_23[[#This Row],[PROGRAMAÇÃO]],"mmm"))</f>
        <v>Fev</v>
      </c>
      <c r="AJ184" s="66">
        <f>YEAR(Sal_23[[#This Row],[PROGRAMAÇÃO]])</f>
        <v>2023</v>
      </c>
      <c r="AM184" s="66" t="s">
        <v>2768</v>
      </c>
      <c r="AN184" s="66" t="s">
        <v>2768</v>
      </c>
      <c r="AO184" s="66" t="s">
        <v>2768</v>
      </c>
    </row>
    <row r="185" spans="1:41" s="66" customFormat="1" ht="12.75" x14ac:dyDescent="0.2">
      <c r="A185" s="120" t="str">
        <f>Sal_23[[#This Row],[CONTAINER]]</f>
        <v>TCNU6247884</v>
      </c>
      <c r="B185" s="128" t="s">
        <v>2771</v>
      </c>
      <c r="C18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85" s="79">
        <v>44967.333333333336</v>
      </c>
      <c r="E185" s="44" t="s">
        <v>3330</v>
      </c>
      <c r="F185" s="66">
        <v>40</v>
      </c>
      <c r="G185" s="66" t="s">
        <v>2826</v>
      </c>
      <c r="H185" s="44" t="s">
        <v>3343</v>
      </c>
      <c r="I185" s="299" t="s">
        <v>2832</v>
      </c>
      <c r="J185" s="66">
        <v>912</v>
      </c>
      <c r="K185" s="66" t="s">
        <v>3319</v>
      </c>
      <c r="L185" s="66">
        <v>103771</v>
      </c>
      <c r="N185" s="66" t="s">
        <v>210</v>
      </c>
      <c r="O185" s="66" t="s">
        <v>211</v>
      </c>
      <c r="P185" s="66" t="s">
        <v>212</v>
      </c>
      <c r="Q185" s="138" t="str">
        <f ca="1">IFERROR(LOOKUP($P185,MOTORISTAS!$D$3:$D$1048576,MOTORISTAS!E$3:E$916),"")</f>
        <v>38029906846</v>
      </c>
      <c r="R185" s="138" t="str">
        <f ca="1">IFERROR(LOOKUP($P185,MOTORISTAS!$D$3:$D$1048576,MOTORISTAS!F$3:F$916),"")</f>
        <v>04946846842</v>
      </c>
      <c r="S185" s="66">
        <v>3396</v>
      </c>
      <c r="T185" s="66" t="s">
        <v>293</v>
      </c>
      <c r="U185" s="79">
        <v>44967.117361111108</v>
      </c>
      <c r="V185" s="66" t="s">
        <v>526</v>
      </c>
      <c r="W185" s="79">
        <v>44967.728472222225</v>
      </c>
      <c r="X185" s="79">
        <v>44967.284722222219</v>
      </c>
      <c r="Y185" s="88">
        <v>44967.427777777775</v>
      </c>
      <c r="Z185" s="81">
        <v>635.4</v>
      </c>
      <c r="AA185" s="81">
        <v>0</v>
      </c>
      <c r="AB185" s="81">
        <f>SUM(Sal_23[[#This Row],[Saldo]]+Sal_23[[#This Row],[Adiantamento]])</f>
        <v>635.4</v>
      </c>
      <c r="AC185" s="81">
        <v>0</v>
      </c>
      <c r="AD185" s="81"/>
      <c r="AE185" s="81"/>
      <c r="AF185" s="81"/>
      <c r="AG185" s="81">
        <f>Sal_23[[#This Row],[COMPRA]]*12%</f>
        <v>641.71680000000003</v>
      </c>
      <c r="AH185" s="83">
        <v>5347.64</v>
      </c>
      <c r="AI185" s="66" t="str">
        <f>PROPER(TEXT(Sal_23[[#This Row],[PROGRAMAÇÃO]],"mmm"))</f>
        <v>Fev</v>
      </c>
      <c r="AJ185" s="66">
        <f>YEAR(Sal_23[[#This Row],[PROGRAMAÇÃO]])</f>
        <v>2023</v>
      </c>
      <c r="AM185" s="66" t="s">
        <v>2768</v>
      </c>
      <c r="AN185" s="66" t="s">
        <v>2768</v>
      </c>
      <c r="AO185" s="66" t="s">
        <v>2768</v>
      </c>
    </row>
    <row r="186" spans="1:41" s="66" customFormat="1" ht="12.75" x14ac:dyDescent="0.2">
      <c r="A186" s="120" t="str">
        <f>Sal_23[[#This Row],[CONTAINER]]</f>
        <v>TEMU8499273</v>
      </c>
      <c r="B186" s="128" t="s">
        <v>2771</v>
      </c>
      <c r="C186" s="44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86" s="79">
        <v>44967.333333333336</v>
      </c>
      <c r="E186" s="44" t="s">
        <v>3334</v>
      </c>
      <c r="F186" s="66">
        <v>40</v>
      </c>
      <c r="G186" s="66" t="s">
        <v>2826</v>
      </c>
      <c r="H186" s="44" t="s">
        <v>1674</v>
      </c>
      <c r="I186" s="299" t="s">
        <v>2829</v>
      </c>
      <c r="J186" s="66">
        <v>910</v>
      </c>
      <c r="K186" s="66" t="s">
        <v>3319</v>
      </c>
      <c r="L186" s="66">
        <v>103730</v>
      </c>
      <c r="M186" s="66">
        <v>103731</v>
      </c>
      <c r="N186" s="66" t="s">
        <v>1961</v>
      </c>
      <c r="O186" s="66" t="s">
        <v>1962</v>
      </c>
      <c r="P186" s="66" t="s">
        <v>1482</v>
      </c>
      <c r="Q186" s="138" t="str">
        <f ca="1">IFERROR(LOOKUP($P186,MOTORISTAS!$D$3:$D$1048576,MOTORISTAS!E$3:E$916),"")</f>
        <v>38329597857</v>
      </c>
      <c r="R186" s="138" t="str">
        <f ca="1">IFERROR(LOOKUP($P186,MOTORISTAS!$D$3:$D$1048576,MOTORISTAS!F$3:F$916),"")</f>
        <v>04956762510</v>
      </c>
      <c r="S186" s="66">
        <v>3399</v>
      </c>
      <c r="T186" s="66" t="s">
        <v>293</v>
      </c>
      <c r="U186" s="79">
        <v>44967.28402777778</v>
      </c>
      <c r="V186" s="66" t="s">
        <v>469</v>
      </c>
      <c r="W186" s="79">
        <v>44967.82916666667</v>
      </c>
      <c r="X186" s="79">
        <v>44967.458333333336</v>
      </c>
      <c r="Y186" s="88">
        <v>44967.625</v>
      </c>
      <c r="Z186" s="81">
        <v>3400</v>
      </c>
      <c r="AA186" s="81">
        <v>0</v>
      </c>
      <c r="AB186" s="81">
        <f>SUM(Sal_23[[#This Row],[Saldo]]+Sal_23[[#This Row],[Adiantamento]])</f>
        <v>3400</v>
      </c>
      <c r="AC186" s="81">
        <v>0</v>
      </c>
      <c r="AD186" s="81"/>
      <c r="AE186" s="81"/>
      <c r="AF186" s="81"/>
      <c r="AG186" s="81">
        <f>Sal_23[[#This Row],[COMPRA]]*12%</f>
        <v>558.28440000000001</v>
      </c>
      <c r="AH186" s="83">
        <v>4652.37</v>
      </c>
      <c r="AI186" s="66" t="str">
        <f>PROPER(TEXT(Sal_23[[#This Row],[PROGRAMAÇÃO]],"mmm"))</f>
        <v>Fev</v>
      </c>
      <c r="AJ186" s="66">
        <f>YEAR(Sal_23[[#This Row],[PROGRAMAÇÃO]])</f>
        <v>2023</v>
      </c>
      <c r="AL186" s="44" t="s">
        <v>3346</v>
      </c>
      <c r="AM186" s="66" t="s">
        <v>2768</v>
      </c>
      <c r="AN186" s="66" t="s">
        <v>2768</v>
      </c>
      <c r="AO186" s="66" t="s">
        <v>2768</v>
      </c>
    </row>
    <row r="187" spans="1:41" s="66" customFormat="1" ht="12.75" x14ac:dyDescent="0.2">
      <c r="A187" s="120" t="str">
        <f>Sal_23[[#This Row],[CONTAINER]]</f>
        <v>TCLU8161479</v>
      </c>
      <c r="B187" s="128" t="s">
        <v>2771</v>
      </c>
      <c r="C18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87" s="79">
        <v>44970.291666666664</v>
      </c>
      <c r="E187" s="44" t="s">
        <v>3335</v>
      </c>
      <c r="F187" s="66">
        <v>40</v>
      </c>
      <c r="G187" s="66" t="s">
        <v>2826</v>
      </c>
      <c r="H187" s="44" t="s">
        <v>1674</v>
      </c>
      <c r="I187" s="299" t="s">
        <v>2829</v>
      </c>
      <c r="J187" s="66">
        <v>909</v>
      </c>
      <c r="K187" s="66" t="s">
        <v>3319</v>
      </c>
      <c r="L187" s="66">
        <v>103676</v>
      </c>
      <c r="M187" s="66">
        <v>103677</v>
      </c>
      <c r="N187" s="66" t="s">
        <v>92</v>
      </c>
      <c r="O187" s="66" t="s">
        <v>93</v>
      </c>
      <c r="P187" s="66" t="s">
        <v>94</v>
      </c>
      <c r="Q187" s="138" t="str">
        <f ca="1">IFERROR(LOOKUP($P187,MOTORISTAS!$D$3:$D$1048576,MOTORISTAS!E$3:E$916),"")</f>
        <v>26283419801</v>
      </c>
      <c r="R187" s="138" t="str">
        <f ca="1">IFERROR(LOOKUP($P187,MOTORISTAS!$D$3:$D$1048576,MOTORISTAS!F$3:F$916),"")</f>
        <v>02002046946</v>
      </c>
      <c r="S187" s="66">
        <v>3400</v>
      </c>
      <c r="T187" s="66" t="s">
        <v>293</v>
      </c>
      <c r="U187" s="79">
        <v>44970.106249999997</v>
      </c>
      <c r="V187" s="66" t="s">
        <v>469</v>
      </c>
      <c r="W187" s="79">
        <v>44970.946527777778</v>
      </c>
      <c r="X187" s="79">
        <v>44970.305555555555</v>
      </c>
      <c r="Y187" s="88">
        <v>44970.729166666664</v>
      </c>
      <c r="Z187" s="81">
        <v>3400</v>
      </c>
      <c r="AA187" s="81">
        <v>0</v>
      </c>
      <c r="AB187" s="81">
        <f>SUM(Sal_23[[#This Row],[Saldo]]+Sal_23[[#This Row],[Adiantamento]])</f>
        <v>3400</v>
      </c>
      <c r="AC187" s="81">
        <v>0</v>
      </c>
      <c r="AD187" s="81"/>
      <c r="AE187" s="81"/>
      <c r="AF187" s="81"/>
      <c r="AG187" s="81">
        <f>Sal_23[[#This Row],[COMPRA]]*12%</f>
        <v>558.28440000000001</v>
      </c>
      <c r="AH187" s="83">
        <v>4652.37</v>
      </c>
      <c r="AI187" s="66" t="str">
        <f>PROPER(TEXT(Sal_23[[#This Row],[PROGRAMAÇÃO]],"mmm"))</f>
        <v>Fev</v>
      </c>
      <c r="AJ187" s="66">
        <f>YEAR(Sal_23[[#This Row],[PROGRAMAÇÃO]])</f>
        <v>2023</v>
      </c>
      <c r="AL187" s="44" t="s">
        <v>3347</v>
      </c>
      <c r="AM187" s="66" t="s">
        <v>2768</v>
      </c>
      <c r="AN187" s="66" t="s">
        <v>2768</v>
      </c>
      <c r="AO187" s="66" t="s">
        <v>2768</v>
      </c>
    </row>
    <row r="188" spans="1:41" s="66" customFormat="1" ht="12.75" x14ac:dyDescent="0.2">
      <c r="A188" s="120" t="str">
        <f>Sal_23[[#This Row],[CONTAINER]]</f>
        <v>TCLU8701710</v>
      </c>
      <c r="B188" s="128" t="s">
        <v>2771</v>
      </c>
      <c r="C18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88" s="79">
        <v>44967.333333333336</v>
      </c>
      <c r="E188" s="44" t="s">
        <v>3339</v>
      </c>
      <c r="F188" s="66">
        <v>40</v>
      </c>
      <c r="G188" s="66" t="s">
        <v>2826</v>
      </c>
      <c r="H188" s="44" t="s">
        <v>3074</v>
      </c>
      <c r="I188" s="299" t="s">
        <v>3439</v>
      </c>
      <c r="J188" s="66">
        <v>919</v>
      </c>
      <c r="K188" s="66" t="s">
        <v>3319</v>
      </c>
      <c r="L188" s="66">
        <v>103808</v>
      </c>
      <c r="N188" s="66" t="s">
        <v>155</v>
      </c>
      <c r="O188" s="66" t="s">
        <v>209</v>
      </c>
      <c r="P188" s="66" t="s">
        <v>156</v>
      </c>
      <c r="Q188" s="138" t="str">
        <f ca="1">IFERROR(LOOKUP($P188,MOTORISTAS!$D$3:$D$1048576,MOTORISTAS!E$3:E$916),"")</f>
        <v>09803034863</v>
      </c>
      <c r="R188" s="138" t="str">
        <f ca="1">IFERROR(LOOKUP($P188,MOTORISTAS!$D$3:$D$1048576,MOTORISTAS!F$3:F$916),"")</f>
        <v>01484565209</v>
      </c>
      <c r="S188" s="66">
        <v>3398</v>
      </c>
      <c r="T188" s="66" t="s">
        <v>293</v>
      </c>
      <c r="U188" s="79">
        <v>44967.260416666664</v>
      </c>
      <c r="V188" s="66" t="s">
        <v>469</v>
      </c>
      <c r="W188" s="79">
        <v>44967.84097222222</v>
      </c>
      <c r="X188" s="79">
        <v>44967.465277777781</v>
      </c>
      <c r="Y188" s="88">
        <v>44967.6875</v>
      </c>
      <c r="Z188" s="81">
        <v>2000</v>
      </c>
      <c r="AA188" s="81">
        <v>0</v>
      </c>
      <c r="AB188" s="81">
        <f>SUM(Sal_23[[#This Row],[Saldo]]+Sal_23[[#This Row],[Adiantamento]])</f>
        <v>2000</v>
      </c>
      <c r="AC188" s="81">
        <v>0</v>
      </c>
      <c r="AD188" s="81"/>
      <c r="AE188" s="81"/>
      <c r="AF188" s="81"/>
      <c r="AG188" s="81">
        <f>Sal_23[[#This Row],[COMPRA]]*12%</f>
        <v>501.59999999999997</v>
      </c>
      <c r="AH188" s="83">
        <v>4180</v>
      </c>
      <c r="AI188" s="66" t="str">
        <f>PROPER(TEXT(Sal_23[[#This Row],[PROGRAMAÇÃO]],"mmm"))</f>
        <v>Fev</v>
      </c>
      <c r="AJ188" s="66">
        <f>YEAR(Sal_23[[#This Row],[PROGRAMAÇÃO]])</f>
        <v>2023</v>
      </c>
      <c r="AL188" s="44" t="s">
        <v>3346</v>
      </c>
      <c r="AM188" s="66" t="s">
        <v>2768</v>
      </c>
      <c r="AN188" s="66" t="s">
        <v>2768</v>
      </c>
      <c r="AO188" s="66" t="s">
        <v>2768</v>
      </c>
    </row>
    <row r="189" spans="1:41" s="66" customFormat="1" ht="12.75" x14ac:dyDescent="0.2">
      <c r="A189" s="120" t="str">
        <f>Sal_23[[#This Row],[CONTAINER]]</f>
        <v>TEMU8501513</v>
      </c>
      <c r="B189" s="128" t="s">
        <v>2771</v>
      </c>
      <c r="C18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89" s="79">
        <v>44970.333333333336</v>
      </c>
      <c r="E189" s="44" t="s">
        <v>3340</v>
      </c>
      <c r="F189" s="66">
        <v>40</v>
      </c>
      <c r="G189" s="66" t="s">
        <v>2826</v>
      </c>
      <c r="H189" s="44" t="s">
        <v>3441</v>
      </c>
      <c r="I189" s="299" t="s">
        <v>3438</v>
      </c>
      <c r="J189" s="66">
        <v>911</v>
      </c>
      <c r="K189" s="66" t="s">
        <v>3319</v>
      </c>
      <c r="L189" s="66">
        <v>103727</v>
      </c>
      <c r="M189" s="66">
        <v>103728</v>
      </c>
      <c r="N189" s="66" t="s">
        <v>155</v>
      </c>
      <c r="O189" s="66" t="s">
        <v>209</v>
      </c>
      <c r="P189" s="66" t="s">
        <v>156</v>
      </c>
      <c r="Q189" s="138" t="str">
        <f ca="1">IFERROR(LOOKUP($P189,MOTORISTAS!$D$3:$D$1048576,MOTORISTAS!E$3:E$916),"")</f>
        <v>09803034863</v>
      </c>
      <c r="R189" s="138" t="str">
        <f ca="1">IFERROR(LOOKUP($P189,MOTORISTAS!$D$3:$D$1048576,MOTORISTAS!F$3:F$916),"")</f>
        <v>01484565209</v>
      </c>
      <c r="S189" s="66">
        <v>3401</v>
      </c>
      <c r="T189" s="66" t="s">
        <v>293</v>
      </c>
      <c r="U189" s="79">
        <v>44970.320833333331</v>
      </c>
      <c r="V189" s="66" t="s">
        <v>469</v>
      </c>
      <c r="W189" s="79">
        <v>44970.818055555559</v>
      </c>
      <c r="X189" s="79">
        <v>44970.454861111109</v>
      </c>
      <c r="Y189" s="88">
        <v>44970.686111111114</v>
      </c>
      <c r="Z189" s="81">
        <v>2300</v>
      </c>
      <c r="AA189" s="81">
        <v>0</v>
      </c>
      <c r="AB189" s="81">
        <f>SUM(Sal_23[[#This Row],[Saldo]]+Sal_23[[#This Row],[Adiantamento]])</f>
        <v>2300</v>
      </c>
      <c r="AC189" s="81">
        <v>500</v>
      </c>
      <c r="AD189" s="81"/>
      <c r="AE189" s="81"/>
      <c r="AF189" s="81"/>
      <c r="AG189" s="81">
        <f>Sal_23[[#This Row],[COMPRA]]*12%</f>
        <v>449.87520000000001</v>
      </c>
      <c r="AH189" s="83">
        <v>3748.96</v>
      </c>
      <c r="AI189" s="66" t="str">
        <f>PROPER(TEXT(Sal_23[[#This Row],[PROGRAMAÇÃO]],"mmm"))</f>
        <v>Fev</v>
      </c>
      <c r="AJ189" s="66">
        <f>YEAR(Sal_23[[#This Row],[PROGRAMAÇÃO]])</f>
        <v>2023</v>
      </c>
      <c r="AK189" s="66" t="s">
        <v>3863</v>
      </c>
      <c r="AL189" s="44" t="s">
        <v>2785</v>
      </c>
      <c r="AM189" s="66" t="s">
        <v>2768</v>
      </c>
      <c r="AN189" s="66" t="s">
        <v>2768</v>
      </c>
      <c r="AO189" s="66" t="s">
        <v>2768</v>
      </c>
    </row>
    <row r="190" spans="1:41" s="66" customFormat="1" ht="12.75" x14ac:dyDescent="0.2">
      <c r="A190" s="120" t="str">
        <f>Sal_23[[#This Row],[CONTAINER]]</f>
        <v>CAIU3402509</v>
      </c>
      <c r="B190" s="128" t="s">
        <v>2771</v>
      </c>
      <c r="C19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90" s="79">
        <v>44970.458333333336</v>
      </c>
      <c r="E190" s="44" t="s">
        <v>3324</v>
      </c>
      <c r="F190" s="66">
        <v>20</v>
      </c>
      <c r="G190" s="66" t="s">
        <v>2820</v>
      </c>
      <c r="H190" s="44" t="s">
        <v>2820</v>
      </c>
      <c r="I190" s="299" t="s">
        <v>2821</v>
      </c>
      <c r="J190" s="66">
        <v>974</v>
      </c>
      <c r="K190" s="66" t="s">
        <v>3319</v>
      </c>
      <c r="L190" s="66">
        <v>103801</v>
      </c>
      <c r="N190" s="66" t="s">
        <v>3028</v>
      </c>
      <c r="O190" s="66" t="s">
        <v>2864</v>
      </c>
      <c r="P190" s="66" t="s">
        <v>3443</v>
      </c>
      <c r="Q190" s="138" t="str">
        <f ca="1">IFERROR(LOOKUP($P190,MOTORISTAS!$D$3:$D$1048576,MOTORISTAS!E$3:E$916),"")</f>
        <v>13990937898</v>
      </c>
      <c r="R190" s="138" t="str">
        <f ca="1">IFERROR(LOOKUP($P190,MOTORISTAS!$D$3:$D$1048576,MOTORISTAS!F$3:F$916),"")</f>
        <v>01825123407</v>
      </c>
      <c r="S190" s="66">
        <v>15059</v>
      </c>
      <c r="T190" s="66" t="s">
        <v>293</v>
      </c>
      <c r="U190" s="79">
        <v>44970.186805555553</v>
      </c>
      <c r="V190" s="66" t="s">
        <v>292</v>
      </c>
      <c r="W190" s="79">
        <v>44970.630555555559</v>
      </c>
      <c r="X190" s="79">
        <v>44970.25</v>
      </c>
      <c r="Y190" s="88">
        <v>44970.5</v>
      </c>
      <c r="Z190" s="81">
        <v>1600</v>
      </c>
      <c r="AA190" s="81">
        <v>0</v>
      </c>
      <c r="AB190" s="81">
        <f>SUM(Sal_23[[#This Row],[Saldo]]+Sal_23[[#This Row],[Adiantamento]])</f>
        <v>1600</v>
      </c>
      <c r="AC190" s="81">
        <v>0</v>
      </c>
      <c r="AD190" s="81"/>
      <c r="AE190" s="81"/>
      <c r="AF190" s="81"/>
      <c r="AG190" s="81">
        <f>Sal_23[[#This Row],[COMPRA]]*12%</f>
        <v>288</v>
      </c>
      <c r="AH190" s="83">
        <v>2400</v>
      </c>
      <c r="AI190" s="66" t="str">
        <f>PROPER(TEXT(Sal_23[[#This Row],[PROGRAMAÇÃO]],"mmm"))</f>
        <v>Fev</v>
      </c>
      <c r="AJ190" s="66">
        <f>YEAR(Sal_23[[#This Row],[PROGRAMAÇÃO]])</f>
        <v>2023</v>
      </c>
      <c r="AM190" s="66" t="s">
        <v>2768</v>
      </c>
      <c r="AN190" s="66" t="s">
        <v>2768</v>
      </c>
      <c r="AO190" s="66" t="s">
        <v>2768</v>
      </c>
    </row>
    <row r="191" spans="1:41" s="66" customFormat="1" ht="12.75" x14ac:dyDescent="0.2">
      <c r="A191" s="120" t="str">
        <f>Sal_23[[#This Row],[CONTAINER]]</f>
        <v>CAIU3159019</v>
      </c>
      <c r="B191" s="128" t="s">
        <v>2771</v>
      </c>
      <c r="C19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91" s="79">
        <v>44970.375</v>
      </c>
      <c r="E191" s="44" t="s">
        <v>3365</v>
      </c>
      <c r="F191" s="66">
        <v>20</v>
      </c>
      <c r="G191" s="66" t="s">
        <v>2820</v>
      </c>
      <c r="H191" s="44" t="s">
        <v>2820</v>
      </c>
      <c r="I191" s="299" t="s">
        <v>2821</v>
      </c>
      <c r="J191" s="66">
        <v>934</v>
      </c>
      <c r="K191" s="66" t="s">
        <v>3319</v>
      </c>
      <c r="L191" s="66">
        <v>103769</v>
      </c>
      <c r="N191" s="66" t="s">
        <v>2859</v>
      </c>
      <c r="O191" s="66" t="s">
        <v>2860</v>
      </c>
      <c r="P191" s="66" t="s">
        <v>2861</v>
      </c>
      <c r="Q191" s="138" t="str">
        <f ca="1">IFERROR(LOOKUP($P191,MOTORISTAS!$D$3:$D$1048576,MOTORISTAS!E$3:E$916),"")</f>
        <v>01817591878</v>
      </c>
      <c r="R191" s="138" t="str">
        <f ca="1">IFERROR(LOOKUP($P191,MOTORISTAS!$D$3:$D$1048576,MOTORISTAS!F$3:F$916),"")</f>
        <v>00821760640</v>
      </c>
      <c r="S191" s="66">
        <v>15061</v>
      </c>
      <c r="T191" s="66" t="s">
        <v>293</v>
      </c>
      <c r="U191" s="79">
        <v>44970.198611111111</v>
      </c>
      <c r="V191" s="66" t="s">
        <v>292</v>
      </c>
      <c r="W191" s="79">
        <v>44970.604166666664</v>
      </c>
      <c r="X191" s="79">
        <v>44970.25</v>
      </c>
      <c r="Y191" s="88">
        <v>44970.5</v>
      </c>
      <c r="Z191" s="81">
        <v>1600</v>
      </c>
      <c r="AA191" s="81">
        <v>0</v>
      </c>
      <c r="AB191" s="81">
        <f>SUM(Sal_23[[#This Row],[Saldo]]+Sal_23[[#This Row],[Adiantamento]])</f>
        <v>1600</v>
      </c>
      <c r="AC191" s="81">
        <v>0</v>
      </c>
      <c r="AD191" s="81"/>
      <c r="AE191" s="81"/>
      <c r="AF191" s="81"/>
      <c r="AG191" s="81">
        <f>Sal_23[[#This Row],[COMPRA]]*12%</f>
        <v>288</v>
      </c>
      <c r="AH191" s="83">
        <v>2400</v>
      </c>
      <c r="AI191" s="66" t="str">
        <f>PROPER(TEXT(Sal_23[[#This Row],[PROGRAMAÇÃO]],"mmm"))</f>
        <v>Fev</v>
      </c>
      <c r="AJ191" s="66">
        <f>YEAR(Sal_23[[#This Row],[PROGRAMAÇÃO]])</f>
        <v>2023</v>
      </c>
      <c r="AM191" s="66" t="s">
        <v>2768</v>
      </c>
      <c r="AN191" s="66" t="s">
        <v>2768</v>
      </c>
      <c r="AO191" s="66" t="s">
        <v>2768</v>
      </c>
    </row>
    <row r="192" spans="1:41" s="66" customFormat="1" ht="12.75" x14ac:dyDescent="0.2">
      <c r="A192" s="120" t="str">
        <f>Sal_23[[#This Row],[CONTAINER]]</f>
        <v>TCLU8167610</v>
      </c>
      <c r="B192" s="128" t="s">
        <v>2771</v>
      </c>
      <c r="C19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92" s="79">
        <v>44970.333333333336</v>
      </c>
      <c r="E192" s="44" t="s">
        <v>3329</v>
      </c>
      <c r="F192" s="66">
        <v>40</v>
      </c>
      <c r="G192" s="66" t="s">
        <v>2826</v>
      </c>
      <c r="H192" s="44" t="s">
        <v>2833</v>
      </c>
      <c r="I192" s="299" t="s">
        <v>2832</v>
      </c>
      <c r="J192" s="66">
        <v>915</v>
      </c>
      <c r="K192" s="66" t="s">
        <v>3319</v>
      </c>
      <c r="L192" s="66">
        <v>103800</v>
      </c>
      <c r="N192" s="66" t="s">
        <v>210</v>
      </c>
      <c r="O192" s="66" t="s">
        <v>211</v>
      </c>
      <c r="P192" s="66" t="s">
        <v>212</v>
      </c>
      <c r="Q192" s="138" t="str">
        <f ca="1">IFERROR(LOOKUP($P192,MOTORISTAS!$D$3:$D$1048576,MOTORISTAS!E$3:E$916),"")</f>
        <v>38029906846</v>
      </c>
      <c r="R192" s="138" t="str">
        <f ca="1">IFERROR(LOOKUP($P192,MOTORISTAS!$D$3:$D$1048576,MOTORISTAS!F$3:F$916),"")</f>
        <v>04946846842</v>
      </c>
      <c r="S192" s="66">
        <v>3402</v>
      </c>
      <c r="T192" s="66" t="s">
        <v>293</v>
      </c>
      <c r="U192" s="79">
        <v>44970.07708333333</v>
      </c>
      <c r="V192" s="66" t="s">
        <v>469</v>
      </c>
      <c r="W192" s="79">
        <v>44970.644444444442</v>
      </c>
      <c r="X192" s="79">
        <v>44970.270833333336</v>
      </c>
      <c r="Y192" s="88">
        <v>44970.458333333336</v>
      </c>
      <c r="Z192" s="81">
        <v>635.4</v>
      </c>
      <c r="AA192" s="81">
        <v>0</v>
      </c>
      <c r="AB192" s="81">
        <f>SUM(Sal_23[[#This Row],[Saldo]]+Sal_23[[#This Row],[Adiantamento]])</f>
        <v>635.4</v>
      </c>
      <c r="AC192" s="81">
        <v>0</v>
      </c>
      <c r="AD192" s="81"/>
      <c r="AE192" s="81"/>
      <c r="AF192" s="81"/>
      <c r="AG192" s="81">
        <f>Sal_23[[#This Row],[COMPRA]]*12%</f>
        <v>641.71680000000003</v>
      </c>
      <c r="AH192" s="83">
        <v>5347.64</v>
      </c>
      <c r="AI192" s="66" t="str">
        <f>PROPER(TEXT(Sal_23[[#This Row],[PROGRAMAÇÃO]],"mmm"))</f>
        <v>Fev</v>
      </c>
      <c r="AJ192" s="66">
        <f>YEAR(Sal_23[[#This Row],[PROGRAMAÇÃO]])</f>
        <v>2023</v>
      </c>
      <c r="AM192" s="66" t="s">
        <v>2768</v>
      </c>
      <c r="AN192" s="66" t="s">
        <v>2768</v>
      </c>
      <c r="AO192" s="66" t="s">
        <v>2768</v>
      </c>
    </row>
    <row r="193" spans="1:44" s="66" customFormat="1" ht="12.75" x14ac:dyDescent="0.2">
      <c r="A193" s="120" t="str">
        <f>Sal_23[[#This Row],[CONTAINER]]</f>
        <v>SEGU1119586</v>
      </c>
      <c r="B193" s="128" t="s">
        <v>2771</v>
      </c>
      <c r="C19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93" s="79">
        <v>44971.333333333336</v>
      </c>
      <c r="E193" s="44" t="s">
        <v>3325</v>
      </c>
      <c r="F193" s="66">
        <v>20</v>
      </c>
      <c r="G193" s="66" t="s">
        <v>2826</v>
      </c>
      <c r="H193" s="44" t="s">
        <v>3105</v>
      </c>
      <c r="I193" s="299" t="s">
        <v>3185</v>
      </c>
      <c r="J193" s="66">
        <v>966</v>
      </c>
      <c r="K193" s="66" t="s">
        <v>3319</v>
      </c>
      <c r="L193" s="66">
        <v>103798</v>
      </c>
      <c r="N193" s="66" t="s">
        <v>2584</v>
      </c>
      <c r="O193" s="66" t="s">
        <v>2585</v>
      </c>
      <c r="P193" s="66" t="s">
        <v>2586</v>
      </c>
      <c r="Q193" s="138" t="str">
        <f ca="1">IFERROR(LOOKUP($P193,MOTORISTAS!$D$3:$D$1048576,MOTORISTAS!E$3:E$916),"")</f>
        <v>08312935860</v>
      </c>
      <c r="R193" s="138" t="str">
        <f ca="1">IFERROR(LOOKUP($P193,MOTORISTAS!$D$3:$D$1048576,MOTORISTAS!F$3:F$916),"")</f>
        <v>03106516083</v>
      </c>
      <c r="S193" s="66">
        <v>3405</v>
      </c>
      <c r="T193" s="66" t="s">
        <v>293</v>
      </c>
      <c r="U193" s="79">
        <v>44970.888194444444</v>
      </c>
      <c r="V193" s="66" t="s">
        <v>469</v>
      </c>
      <c r="W193" s="79">
        <v>44971.643750000003</v>
      </c>
      <c r="X193" s="79">
        <v>44971.284722222219</v>
      </c>
      <c r="Y193" s="88">
        <v>44971.493055555555</v>
      </c>
      <c r="Z193" s="81">
        <v>1600</v>
      </c>
      <c r="AA193" s="81">
        <v>0</v>
      </c>
      <c r="AB193" s="81">
        <f>SUM(Sal_23[[#This Row],[Saldo]]+Sal_23[[#This Row],[Adiantamento]])</f>
        <v>1600</v>
      </c>
      <c r="AC193" s="81">
        <v>600</v>
      </c>
      <c r="AD193" s="81"/>
      <c r="AE193" s="81"/>
      <c r="AF193" s="81"/>
      <c r="AG193" s="81">
        <f>Sal_23[[#This Row],[COMPRA]]*12%</f>
        <v>415.74719999999996</v>
      </c>
      <c r="AH193" s="83">
        <v>3464.56</v>
      </c>
      <c r="AI193" s="66" t="str">
        <f>PROPER(TEXT(Sal_23[[#This Row],[PROGRAMAÇÃO]],"mmm"))</f>
        <v>Fev</v>
      </c>
      <c r="AJ193" s="66">
        <f>YEAR(Sal_23[[#This Row],[PROGRAMAÇÃO]])</f>
        <v>2023</v>
      </c>
      <c r="AM193" s="66" t="s">
        <v>2768</v>
      </c>
      <c r="AN193" s="66" t="s">
        <v>2768</v>
      </c>
      <c r="AO193" s="66" t="s">
        <v>2768</v>
      </c>
    </row>
    <row r="194" spans="1:44" s="66" customFormat="1" ht="12.75" x14ac:dyDescent="0.2">
      <c r="A194" s="120" t="str">
        <f>Sal_23[[#This Row],[CONTAINER]]</f>
        <v>TCNU6247816</v>
      </c>
      <c r="B194" s="128" t="s">
        <v>2771</v>
      </c>
      <c r="C19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94" s="79">
        <v>44971.333333333336</v>
      </c>
      <c r="E194" s="44" t="s">
        <v>3331</v>
      </c>
      <c r="F194" s="66">
        <v>40</v>
      </c>
      <c r="G194" s="66" t="s">
        <v>2826</v>
      </c>
      <c r="H194" s="44" t="s">
        <v>3343</v>
      </c>
      <c r="I194" s="299" t="s">
        <v>2832</v>
      </c>
      <c r="J194" s="66">
        <v>913</v>
      </c>
      <c r="K194" s="66" t="s">
        <v>3319</v>
      </c>
      <c r="L194" s="66">
        <v>103770</v>
      </c>
      <c r="N194" s="66" t="s">
        <v>210</v>
      </c>
      <c r="O194" s="66" t="s">
        <v>211</v>
      </c>
      <c r="P194" s="66" t="s">
        <v>212</v>
      </c>
      <c r="Q194" s="138" t="str">
        <f ca="1">IFERROR(LOOKUP($P194,MOTORISTAS!$D$3:$D$1048576,MOTORISTAS!E$3:E$916),"")</f>
        <v>38029906846</v>
      </c>
      <c r="R194" s="138" t="str">
        <f ca="1">IFERROR(LOOKUP($P194,MOTORISTAS!$D$3:$D$1048576,MOTORISTAS!F$3:F$916),"")</f>
        <v>04946846842</v>
      </c>
      <c r="S194" s="66">
        <v>3406</v>
      </c>
      <c r="T194" s="66" t="s">
        <v>293</v>
      </c>
      <c r="U194" s="79">
        <v>44970.885416666664</v>
      </c>
      <c r="V194" s="66" t="s">
        <v>526</v>
      </c>
      <c r="W194" s="79">
        <v>44971.728472222225</v>
      </c>
      <c r="X194" s="79">
        <v>44971.284722222219</v>
      </c>
      <c r="Y194" s="88">
        <v>44971.388888888891</v>
      </c>
      <c r="Z194" s="81">
        <v>635.4</v>
      </c>
      <c r="AA194" s="81">
        <v>0</v>
      </c>
      <c r="AB194" s="81">
        <f>SUM(Sal_23[[#This Row],[Saldo]]+Sal_23[[#This Row],[Adiantamento]])</f>
        <v>635.4</v>
      </c>
      <c r="AC194" s="81">
        <v>0</v>
      </c>
      <c r="AD194" s="81"/>
      <c r="AE194" s="81"/>
      <c r="AF194" s="81"/>
      <c r="AG194" s="81">
        <f>Sal_23[[#This Row],[COMPRA]]*12%</f>
        <v>641.71680000000003</v>
      </c>
      <c r="AH194" s="83">
        <v>5347.64</v>
      </c>
      <c r="AI194" s="66" t="str">
        <f>PROPER(TEXT(Sal_23[[#This Row],[PROGRAMAÇÃO]],"mmm"))</f>
        <v>Fev</v>
      </c>
      <c r="AJ194" s="66">
        <f>YEAR(Sal_23[[#This Row],[PROGRAMAÇÃO]])</f>
        <v>2023</v>
      </c>
      <c r="AM194" s="66" t="s">
        <v>2768</v>
      </c>
      <c r="AN194" s="66" t="s">
        <v>2768</v>
      </c>
      <c r="AO194" s="66" t="s">
        <v>2768</v>
      </c>
    </row>
    <row r="195" spans="1:44" s="66" customFormat="1" ht="12.75" x14ac:dyDescent="0.2">
      <c r="A195" s="120" t="str">
        <f>Sal_23[[#This Row],[CONTAINER]]</f>
        <v>GLDU7711737</v>
      </c>
      <c r="B195" s="128" t="s">
        <v>2771</v>
      </c>
      <c r="C19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95" s="79">
        <v>44971.333333333336</v>
      </c>
      <c r="E195" s="44" t="s">
        <v>3337</v>
      </c>
      <c r="F195" s="66">
        <v>40</v>
      </c>
      <c r="G195" s="66" t="s">
        <v>2826</v>
      </c>
      <c r="H195" s="44" t="s">
        <v>2835</v>
      </c>
      <c r="I195" s="299" t="s">
        <v>2822</v>
      </c>
      <c r="J195" s="66">
        <v>907</v>
      </c>
      <c r="K195" s="66" t="s">
        <v>3319</v>
      </c>
      <c r="L195" s="66">
        <v>103684</v>
      </c>
      <c r="N195" s="66" t="s">
        <v>150</v>
      </c>
      <c r="O195" s="66" t="s">
        <v>209</v>
      </c>
      <c r="P195" s="66" t="s">
        <v>152</v>
      </c>
      <c r="Q195" s="138" t="str">
        <f ca="1">IFERROR(LOOKUP($P195,MOTORISTAS!$D$3:$D$1048576,MOTORISTAS!E$3:E$916),"")</f>
        <v>05753633803</v>
      </c>
      <c r="R195" s="138" t="str">
        <f ca="1">IFERROR(LOOKUP($P195,MOTORISTAS!$D$3:$D$1048576,MOTORISTAS!F$3:F$916),"")</f>
        <v>01922497849</v>
      </c>
      <c r="S195" s="66">
        <v>3407</v>
      </c>
      <c r="T195" s="66" t="s">
        <v>293</v>
      </c>
      <c r="U195" s="79">
        <v>44970.868750000001</v>
      </c>
      <c r="V195" s="66" t="s">
        <v>526</v>
      </c>
      <c r="W195" s="79">
        <v>44971.697916666664</v>
      </c>
      <c r="X195" s="79">
        <v>44971.375</v>
      </c>
      <c r="Y195" s="88">
        <v>44971.458333333336</v>
      </c>
      <c r="Z195" s="81">
        <v>2100</v>
      </c>
      <c r="AA195" s="81">
        <v>0</v>
      </c>
      <c r="AB195" s="81">
        <f>SUM(Sal_23[[#This Row],[Saldo]]+Sal_23[[#This Row],[Adiantamento]])</f>
        <v>2100</v>
      </c>
      <c r="AC195" s="81">
        <v>0</v>
      </c>
      <c r="AD195" s="81"/>
      <c r="AE195" s="81"/>
      <c r="AF195" s="81"/>
      <c r="AG195" s="81">
        <f>Sal_23[[#This Row],[COMPRA]]*12%</f>
        <v>370.37759999999997</v>
      </c>
      <c r="AH195" s="83">
        <v>3086.48</v>
      </c>
      <c r="AI195" s="66" t="str">
        <f>PROPER(TEXT(Sal_23[[#This Row],[PROGRAMAÇÃO]],"mmm"))</f>
        <v>Fev</v>
      </c>
      <c r="AJ195" s="66">
        <f>YEAR(Sal_23[[#This Row],[PROGRAMAÇÃO]])</f>
        <v>2023</v>
      </c>
      <c r="AL195" s="44" t="s">
        <v>3346</v>
      </c>
      <c r="AM195" s="66" t="s">
        <v>2768</v>
      </c>
      <c r="AN195" s="66" t="s">
        <v>2768</v>
      </c>
      <c r="AO195" s="66" t="s">
        <v>2768</v>
      </c>
    </row>
    <row r="196" spans="1:44" s="66" customFormat="1" ht="12.75" x14ac:dyDescent="0.2">
      <c r="A196" s="120" t="str">
        <f>Sal_23[[#This Row],[CONTAINER]]</f>
        <v>TCNU7990826</v>
      </c>
      <c r="B196" s="128" t="s">
        <v>2771</v>
      </c>
      <c r="C19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96" s="79">
        <v>44971.333333333336</v>
      </c>
      <c r="E196" s="44" t="s">
        <v>3338</v>
      </c>
      <c r="F196" s="66">
        <v>40</v>
      </c>
      <c r="G196" s="66" t="s">
        <v>2826</v>
      </c>
      <c r="H196" s="44" t="s">
        <v>2835</v>
      </c>
      <c r="I196" s="299" t="s">
        <v>2822</v>
      </c>
      <c r="J196" s="66">
        <v>905</v>
      </c>
      <c r="K196" s="66" t="s">
        <v>3319</v>
      </c>
      <c r="L196" s="66">
        <v>103680</v>
      </c>
      <c r="N196" s="66" t="s">
        <v>106</v>
      </c>
      <c r="O196" s="66" t="s">
        <v>107</v>
      </c>
      <c r="P196" s="66" t="s">
        <v>108</v>
      </c>
      <c r="Q196" s="138" t="str">
        <f ca="1">IFERROR(LOOKUP($P196,MOTORISTAS!$D$3:$D$1048576,MOTORISTAS!E$3:E$916),"")</f>
        <v>34927982840</v>
      </c>
      <c r="R196" s="138" t="str">
        <f ca="1">IFERROR(LOOKUP($P196,MOTORISTAS!$D$3:$D$1048576,MOTORISTAS!F$3:F$916),"")</f>
        <v>03500129879</v>
      </c>
      <c r="S196" s="66">
        <v>3408</v>
      </c>
      <c r="T196" s="66" t="s">
        <v>293</v>
      </c>
      <c r="U196" s="79">
        <v>44970.90347222222</v>
      </c>
      <c r="V196" s="66" t="s">
        <v>526</v>
      </c>
      <c r="W196" s="79">
        <v>44971.706250000003</v>
      </c>
      <c r="X196" s="79">
        <v>44971.384027777778</v>
      </c>
      <c r="Y196" s="88">
        <v>44971.492361111108</v>
      </c>
      <c r="Z196" s="81">
        <v>2100</v>
      </c>
      <c r="AA196" s="81">
        <v>0</v>
      </c>
      <c r="AB196" s="81">
        <f>SUM(Sal_23[[#This Row],[Saldo]]+Sal_23[[#This Row],[Adiantamento]])</f>
        <v>2100</v>
      </c>
      <c r="AC196" s="81">
        <v>0</v>
      </c>
      <c r="AD196" s="81"/>
      <c r="AE196" s="81"/>
      <c r="AF196" s="81"/>
      <c r="AG196" s="81">
        <f>Sal_23[[#This Row],[COMPRA]]*12%</f>
        <v>370.37759999999997</v>
      </c>
      <c r="AH196" s="83">
        <v>3086.48</v>
      </c>
      <c r="AI196" s="66" t="str">
        <f>PROPER(TEXT(Sal_23[[#This Row],[PROGRAMAÇÃO]],"mmm"))</f>
        <v>Fev</v>
      </c>
      <c r="AJ196" s="66">
        <f>YEAR(Sal_23[[#This Row],[PROGRAMAÇÃO]])</f>
        <v>2023</v>
      </c>
      <c r="AK196" s="66" t="s">
        <v>3542</v>
      </c>
      <c r="AL196" s="44" t="s">
        <v>2785</v>
      </c>
      <c r="AM196" s="66" t="s">
        <v>2768</v>
      </c>
      <c r="AN196" s="66" t="s">
        <v>2768</v>
      </c>
      <c r="AO196" s="66" t="s">
        <v>2768</v>
      </c>
    </row>
    <row r="197" spans="1:44" s="66" customFormat="1" ht="12.75" x14ac:dyDescent="0.2">
      <c r="A197" s="120" t="str">
        <f>Sal_23[[#This Row],[CONTAINER]]</f>
        <v>TEMU8497938</v>
      </c>
      <c r="B197" s="128" t="s">
        <v>2771</v>
      </c>
      <c r="C19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197" s="79">
        <v>44971.333333333336</v>
      </c>
      <c r="E197" s="44" t="s">
        <v>3341</v>
      </c>
      <c r="F197" s="66">
        <v>40</v>
      </c>
      <c r="G197" s="66" t="s">
        <v>2826</v>
      </c>
      <c r="H197" s="44" t="s">
        <v>3195</v>
      </c>
      <c r="I197" s="299" t="s">
        <v>2830</v>
      </c>
      <c r="J197" s="66">
        <v>914</v>
      </c>
      <c r="K197" s="66" t="s">
        <v>3319</v>
      </c>
      <c r="L197" s="66">
        <v>103763</v>
      </c>
      <c r="N197" s="66" t="s">
        <v>155</v>
      </c>
      <c r="O197" s="66" t="s">
        <v>209</v>
      </c>
      <c r="P197" s="66" t="s">
        <v>156</v>
      </c>
      <c r="Q197" s="138" t="str">
        <f ca="1">IFERROR(LOOKUP($P197,MOTORISTAS!$D$3:$D$1048576,MOTORISTAS!E$3:E$916),"")</f>
        <v>09803034863</v>
      </c>
      <c r="R197" s="138" t="str">
        <f ca="1">IFERROR(LOOKUP($P197,MOTORISTAS!$D$3:$D$1048576,MOTORISTAS!F$3:F$916),"")</f>
        <v>01484565209</v>
      </c>
      <c r="S197" s="66">
        <v>3409</v>
      </c>
      <c r="T197" s="66" t="s">
        <v>293</v>
      </c>
      <c r="U197" s="79">
        <v>44970.896527777775</v>
      </c>
      <c r="V197" s="66" t="s">
        <v>469</v>
      </c>
      <c r="W197" s="79">
        <v>44971.692361111112</v>
      </c>
      <c r="X197" s="79">
        <v>44971.35</v>
      </c>
      <c r="Y197" s="88">
        <v>44971.428472222222</v>
      </c>
      <c r="Z197" s="81">
        <v>2300</v>
      </c>
      <c r="AA197" s="81">
        <v>0</v>
      </c>
      <c r="AB197" s="81">
        <f>SUM(Sal_23[[#This Row],[Saldo]]+Sal_23[[#This Row],[Adiantamento]])</f>
        <v>2300</v>
      </c>
      <c r="AC197" s="81">
        <v>0</v>
      </c>
      <c r="AD197" s="81"/>
      <c r="AE197" s="81"/>
      <c r="AF197" s="81"/>
      <c r="AG197" s="81">
        <f>Sal_23[[#This Row],[COMPRA]]*12%</f>
        <v>392.15039999999999</v>
      </c>
      <c r="AH197" s="83">
        <v>3267.92</v>
      </c>
      <c r="AI197" s="66" t="str">
        <f>PROPER(TEXT(Sal_23[[#This Row],[PROGRAMAÇÃO]],"mmm"))</f>
        <v>Fev</v>
      </c>
      <c r="AJ197" s="66">
        <f>YEAR(Sal_23[[#This Row],[PROGRAMAÇÃO]])</f>
        <v>2023</v>
      </c>
      <c r="AL197" s="44" t="s">
        <v>3346</v>
      </c>
      <c r="AM197" s="66" t="s">
        <v>2768</v>
      </c>
      <c r="AN197" s="66" t="s">
        <v>2768</v>
      </c>
      <c r="AO197" s="66" t="s">
        <v>2768</v>
      </c>
    </row>
    <row r="198" spans="1:44" s="66" customFormat="1" ht="12.75" x14ac:dyDescent="0.2">
      <c r="A198" s="120" t="str">
        <f>Sal_23[[#This Row],[CONTAINER]]</f>
        <v>BEAU4075140</v>
      </c>
      <c r="B198" s="128" t="s">
        <v>2771</v>
      </c>
      <c r="C19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98" s="79">
        <v>44966.291666666664</v>
      </c>
      <c r="E198" s="44" t="s">
        <v>3357</v>
      </c>
      <c r="F198" s="66">
        <v>40</v>
      </c>
      <c r="G198" s="66" t="s">
        <v>2808</v>
      </c>
      <c r="H198" s="44" t="s">
        <v>2887</v>
      </c>
      <c r="I198" s="299" t="s">
        <v>2831</v>
      </c>
      <c r="J198" s="66" t="s">
        <v>3361</v>
      </c>
      <c r="K198" s="66" t="s">
        <v>3319</v>
      </c>
      <c r="L198" s="66">
        <v>7646</v>
      </c>
      <c r="N198" s="66" t="s">
        <v>92</v>
      </c>
      <c r="O198" s="66" t="s">
        <v>93</v>
      </c>
      <c r="P198" s="66" t="s">
        <v>206</v>
      </c>
      <c r="Q198" s="138" t="str">
        <f ca="1">IFERROR(LOOKUP($P198,MOTORISTAS!$D$3:$D$1048576,MOTORISTAS!E$3:E$916),"")</f>
        <v>09085263425</v>
      </c>
      <c r="R198" s="138" t="str">
        <f ca="1">IFERROR(LOOKUP($P198,MOTORISTAS!$D$3:$D$1048576,MOTORISTAS!F$3:F$916),"")</f>
        <v>04557705505</v>
      </c>
      <c r="S198" s="66">
        <v>3393</v>
      </c>
      <c r="T198" s="66" t="s">
        <v>293</v>
      </c>
      <c r="U198" s="79">
        <v>44966.041666666664</v>
      </c>
      <c r="V198" s="66" t="s">
        <v>537</v>
      </c>
      <c r="W198" s="79">
        <v>44966.574999999997</v>
      </c>
      <c r="X198" s="79">
        <v>44966.25</v>
      </c>
      <c r="Y198" s="88">
        <v>44966.444444444445</v>
      </c>
      <c r="Z198" s="81">
        <v>3200</v>
      </c>
      <c r="AA198" s="81">
        <v>0</v>
      </c>
      <c r="AB198" s="81">
        <f>SUM(Sal_23[[#This Row],[Saldo]]+Sal_23[[#This Row],[Adiantamento]])</f>
        <v>3200</v>
      </c>
      <c r="AC198" s="81">
        <v>0</v>
      </c>
      <c r="AD198" s="81"/>
      <c r="AE198" s="81"/>
      <c r="AF198" s="81"/>
      <c r="AG198" s="81">
        <f>Sal_23[[#This Row],[COMPRA]]*12%</f>
        <v>531</v>
      </c>
      <c r="AH198" s="83">
        <v>4425</v>
      </c>
      <c r="AI198" s="66" t="str">
        <f>PROPER(TEXT(Sal_23[[#This Row],[PROGRAMAÇÃO]],"mmm"))</f>
        <v>Fev</v>
      </c>
      <c r="AJ198" s="66">
        <f>YEAR(Sal_23[[#This Row],[PROGRAMAÇÃO]])</f>
        <v>2023</v>
      </c>
      <c r="AM198" s="66" t="s">
        <v>2768</v>
      </c>
      <c r="AN198" s="66" t="s">
        <v>2768</v>
      </c>
      <c r="AO198" s="66" t="s">
        <v>2768</v>
      </c>
    </row>
    <row r="199" spans="1:44" s="66" customFormat="1" ht="12.75" x14ac:dyDescent="0.2">
      <c r="A199" s="120" t="str">
        <f>Sal_23[[#This Row],[CONTAINER]]</f>
        <v>TRHU6376191</v>
      </c>
      <c r="B199" s="128" t="s">
        <v>2771</v>
      </c>
      <c r="C19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199" s="79">
        <v>44967.291666666664</v>
      </c>
      <c r="E199" s="44" t="s">
        <v>3360</v>
      </c>
      <c r="F199" s="66">
        <v>40</v>
      </c>
      <c r="G199" s="66" t="s">
        <v>2808</v>
      </c>
      <c r="H199" s="44" t="s">
        <v>2887</v>
      </c>
      <c r="I199" s="299" t="s">
        <v>2831</v>
      </c>
      <c r="J199" s="66" t="s">
        <v>3364</v>
      </c>
      <c r="K199" s="66" t="s">
        <v>3319</v>
      </c>
      <c r="L199" s="66">
        <v>7647</v>
      </c>
      <c r="N199" s="66" t="s">
        <v>106</v>
      </c>
      <c r="O199" s="66" t="s">
        <v>107</v>
      </c>
      <c r="P199" s="66" t="s">
        <v>108</v>
      </c>
      <c r="Q199" s="138" t="str">
        <f ca="1">IFERROR(LOOKUP($P199,MOTORISTAS!$D$3:$D$1048576,MOTORISTAS!E$3:E$916),"")</f>
        <v>34927982840</v>
      </c>
      <c r="R199" s="138" t="str">
        <f ca="1">IFERROR(LOOKUP($P199,MOTORISTAS!$D$3:$D$1048576,MOTORISTAS!F$3:F$916),"")</f>
        <v>03500129879</v>
      </c>
      <c r="S199" s="66">
        <v>3395</v>
      </c>
      <c r="T199" s="66" t="s">
        <v>293</v>
      </c>
      <c r="U199" s="79">
        <v>44936.041666666664</v>
      </c>
      <c r="V199" s="66" t="s">
        <v>537</v>
      </c>
      <c r="W199" s="79">
        <v>44967.697222222225</v>
      </c>
      <c r="X199" s="79">
        <v>44967.270833333336</v>
      </c>
      <c r="Y199" s="88">
        <v>44967.44027777778</v>
      </c>
      <c r="Z199" s="81">
        <v>3200</v>
      </c>
      <c r="AA199" s="81">
        <v>0</v>
      </c>
      <c r="AB199" s="81">
        <f>SUM(Sal_23[[#This Row],[Saldo]]+Sal_23[[#This Row],[Adiantamento]])</f>
        <v>3200</v>
      </c>
      <c r="AC199" s="81">
        <v>0</v>
      </c>
      <c r="AD199" s="81"/>
      <c r="AE199" s="81"/>
      <c r="AF199" s="81"/>
      <c r="AG199" s="81">
        <f>Sal_23[[#This Row],[COMPRA]]*12%</f>
        <v>531</v>
      </c>
      <c r="AH199" s="83">
        <v>4425</v>
      </c>
      <c r="AI199" s="66" t="str">
        <f>PROPER(TEXT(Sal_23[[#This Row],[PROGRAMAÇÃO]],"mmm"))</f>
        <v>Fev</v>
      </c>
      <c r="AJ199" s="66">
        <f>YEAR(Sal_23[[#This Row],[PROGRAMAÇÃO]])</f>
        <v>2023</v>
      </c>
      <c r="AM199" s="66" t="s">
        <v>2768</v>
      </c>
      <c r="AN199" s="66" t="s">
        <v>2768</v>
      </c>
      <c r="AO199" s="66" t="s">
        <v>2768</v>
      </c>
    </row>
    <row r="200" spans="1:44" s="66" customFormat="1" ht="12.75" x14ac:dyDescent="0.2">
      <c r="A200" s="120" t="str">
        <f>Sal_23[[#This Row],[CONTAINER]]</f>
        <v>TCNU2830255</v>
      </c>
      <c r="B200" s="128" t="s">
        <v>2771</v>
      </c>
      <c r="C20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00" s="79">
        <v>44970.291666666664</v>
      </c>
      <c r="E200" s="44" t="s">
        <v>3358</v>
      </c>
      <c r="F200" s="66">
        <v>40</v>
      </c>
      <c r="G200" s="66" t="s">
        <v>2808</v>
      </c>
      <c r="H200" s="44" t="s">
        <v>2887</v>
      </c>
      <c r="I200" s="299" t="s">
        <v>2831</v>
      </c>
      <c r="J200" s="66" t="s">
        <v>3362</v>
      </c>
      <c r="K200" s="66" t="s">
        <v>3319</v>
      </c>
      <c r="L200" s="66">
        <v>7659</v>
      </c>
      <c r="N200" s="66" t="s">
        <v>68</v>
      </c>
      <c r="O200" s="66" t="s">
        <v>36</v>
      </c>
      <c r="P200" s="66" t="s">
        <v>69</v>
      </c>
      <c r="Q200" s="138" t="str">
        <f ca="1">IFERROR(LOOKUP($P200,MOTORISTAS!$D$3:$D$1048576,MOTORISTAS!E$3:E$916),"")</f>
        <v>07968457866</v>
      </c>
      <c r="R200" s="138" t="str">
        <f ca="1">IFERROR(LOOKUP($P200,MOTORISTAS!$D$3:$D$1048576,MOTORISTAS!F$3:F$916),"")</f>
        <v>03264365790</v>
      </c>
      <c r="S200" s="66">
        <v>3403</v>
      </c>
      <c r="T200" s="66" t="s">
        <v>293</v>
      </c>
      <c r="U200" s="79">
        <v>44970.208333333336</v>
      </c>
      <c r="V200" s="66" t="s">
        <v>537</v>
      </c>
      <c r="W200" s="79">
        <v>44970.736111111109</v>
      </c>
      <c r="X200" s="79">
        <v>44970.375</v>
      </c>
      <c r="Y200" s="88">
        <v>44970.486111111109</v>
      </c>
      <c r="Z200" s="81">
        <v>3200</v>
      </c>
      <c r="AA200" s="81">
        <v>0</v>
      </c>
      <c r="AB200" s="81">
        <f>SUM(Sal_23[[#This Row],[Saldo]]+Sal_23[[#This Row],[Adiantamento]])</f>
        <v>3200</v>
      </c>
      <c r="AC200" s="81">
        <v>0</v>
      </c>
      <c r="AD200" s="81"/>
      <c r="AE200" s="81"/>
      <c r="AF200" s="81"/>
      <c r="AG200" s="81">
        <f>Sal_23[[#This Row],[COMPRA]]*12%</f>
        <v>558</v>
      </c>
      <c r="AH200" s="83">
        <v>4650</v>
      </c>
      <c r="AI200" s="66" t="str">
        <f>PROPER(TEXT(Sal_23[[#This Row],[PROGRAMAÇÃO]],"mmm"))</f>
        <v>Fev</v>
      </c>
      <c r="AJ200" s="66">
        <f>YEAR(Sal_23[[#This Row],[PROGRAMAÇÃO]])</f>
        <v>2023</v>
      </c>
      <c r="AL200" s="44" t="s">
        <v>3346</v>
      </c>
      <c r="AM200" s="66" t="s">
        <v>2768</v>
      </c>
      <c r="AN200" s="66" t="s">
        <v>2768</v>
      </c>
      <c r="AO200" s="66" t="s">
        <v>2768</v>
      </c>
    </row>
    <row r="201" spans="1:44" s="66" customFormat="1" ht="12.75" x14ac:dyDescent="0.2">
      <c r="A201" s="120" t="str">
        <f>Sal_23[[#This Row],[CONTAINER]]</f>
        <v>TGHU6731503</v>
      </c>
      <c r="B201" s="128" t="s">
        <v>2771</v>
      </c>
      <c r="C20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01" s="79">
        <v>44970.291666666664</v>
      </c>
      <c r="E201" s="44" t="s">
        <v>3359</v>
      </c>
      <c r="F201" s="66">
        <v>40</v>
      </c>
      <c r="G201" s="66" t="s">
        <v>2808</v>
      </c>
      <c r="H201" s="44" t="s">
        <v>2887</v>
      </c>
      <c r="I201" s="299" t="s">
        <v>2831</v>
      </c>
      <c r="J201" s="66" t="s">
        <v>3363</v>
      </c>
      <c r="K201" s="66" t="s">
        <v>3319</v>
      </c>
      <c r="L201" s="66">
        <v>7663</v>
      </c>
      <c r="N201" s="66" t="s">
        <v>150</v>
      </c>
      <c r="O201" s="66" t="s">
        <v>209</v>
      </c>
      <c r="P201" s="66" t="s">
        <v>152</v>
      </c>
      <c r="Q201" s="138" t="str">
        <f ca="1">IFERROR(LOOKUP($P201,MOTORISTAS!$D$3:$D$1048576,MOTORISTAS!E$3:E$916),"")</f>
        <v>05753633803</v>
      </c>
      <c r="R201" s="138" t="str">
        <f ca="1">IFERROR(LOOKUP($P201,MOTORISTAS!$D$3:$D$1048576,MOTORISTAS!F$3:F$916),"")</f>
        <v>01922497849</v>
      </c>
      <c r="S201" s="66">
        <v>3404</v>
      </c>
      <c r="T201" s="66" t="s">
        <v>293</v>
      </c>
      <c r="U201" s="79">
        <v>44970.208333333336</v>
      </c>
      <c r="V201" s="66" t="s">
        <v>537</v>
      </c>
      <c r="W201" s="79">
        <v>44972.660416666666</v>
      </c>
      <c r="X201" s="79">
        <v>44970.375</v>
      </c>
      <c r="Y201" s="88">
        <v>44970.416666666664</v>
      </c>
      <c r="Z201" s="81">
        <v>3200</v>
      </c>
      <c r="AA201" s="81">
        <v>0</v>
      </c>
      <c r="AB201" s="81">
        <f>SUM(Sal_23[[#This Row],[Saldo]]+Sal_23[[#This Row],[Adiantamento]])</f>
        <v>3200</v>
      </c>
      <c r="AC201" s="81">
        <v>0</v>
      </c>
      <c r="AD201" s="81"/>
      <c r="AE201" s="81"/>
      <c r="AF201" s="81"/>
      <c r="AG201" s="81">
        <f>Sal_23[[#This Row],[COMPRA]]*12%</f>
        <v>558</v>
      </c>
      <c r="AH201" s="83">
        <v>4650</v>
      </c>
      <c r="AI201" s="66" t="str">
        <f>PROPER(TEXT(Sal_23[[#This Row],[PROGRAMAÇÃO]],"mmm"))</f>
        <v>Fev</v>
      </c>
      <c r="AJ201" s="66">
        <f>YEAR(Sal_23[[#This Row],[PROGRAMAÇÃO]])</f>
        <v>2023</v>
      </c>
      <c r="AL201" s="44" t="s">
        <v>3346</v>
      </c>
      <c r="AM201" s="66" t="s">
        <v>2768</v>
      </c>
      <c r="AN201" s="66" t="s">
        <v>2768</v>
      </c>
      <c r="AO201" s="66" t="s">
        <v>2768</v>
      </c>
    </row>
    <row r="202" spans="1:44" x14ac:dyDescent="0.25">
      <c r="A202" s="120" t="str">
        <f>Sal_23[[#This Row],[CONTAINER]]</f>
        <v>TRHU2067260</v>
      </c>
      <c r="B202" s="128" t="s">
        <v>2771</v>
      </c>
      <c r="C20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02" s="79">
        <v>44974.333333333336</v>
      </c>
      <c r="E202" s="44" t="s">
        <v>3510</v>
      </c>
      <c r="F202" s="66">
        <v>20</v>
      </c>
      <c r="G202" s="44" t="s">
        <v>2837</v>
      </c>
      <c r="H202" s="44" t="s">
        <v>2837</v>
      </c>
      <c r="I202" s="299" t="s">
        <v>2821</v>
      </c>
      <c r="J202" s="66" t="s">
        <v>3552</v>
      </c>
      <c r="K202" s="66" t="s">
        <v>3533</v>
      </c>
      <c r="L202" s="66">
        <v>103885</v>
      </c>
      <c r="M202" s="66">
        <v>113185</v>
      </c>
      <c r="N202" s="66" t="s">
        <v>31</v>
      </c>
      <c r="O202" s="66" t="s">
        <v>3571</v>
      </c>
      <c r="P202" s="66" t="s">
        <v>33</v>
      </c>
      <c r="Q202" s="138" t="str">
        <f ca="1">IFERROR(LOOKUP($P202,MOTORISTAS!$D$3:$D$1048576,MOTORISTAS!E$3:E$916),"")</f>
        <v>09776430856</v>
      </c>
      <c r="R202" s="138" t="str">
        <f ca="1">IFERROR(LOOKUP($P202,MOTORISTAS!$D$3:$D$1048576,MOTORISTAS!F$3:F$916),"")</f>
        <v>01258979905</v>
      </c>
      <c r="S202" s="66">
        <v>3410</v>
      </c>
      <c r="T202" s="66" t="s">
        <v>293</v>
      </c>
      <c r="U202" s="79">
        <v>44974.293749999997</v>
      </c>
      <c r="V202" s="66" t="s">
        <v>526</v>
      </c>
      <c r="W202" s="79">
        <v>44974.660416666666</v>
      </c>
      <c r="X202" s="79">
        <v>44974.375</v>
      </c>
      <c r="Y202" s="88">
        <v>44974.520833333336</v>
      </c>
      <c r="Z202" s="81">
        <v>1600</v>
      </c>
      <c r="AA202" s="81">
        <v>0</v>
      </c>
      <c r="AB202" s="81">
        <f>SUM(Sal_23[[#This Row],[Saldo]]+Sal_23[[#This Row],[Adiantamento]])</f>
        <v>1600</v>
      </c>
      <c r="AC202" s="81">
        <v>0</v>
      </c>
      <c r="AD202" s="81"/>
      <c r="AE202" s="81"/>
      <c r="AF202" s="81"/>
      <c r="AG202" s="81">
        <f>Sal_23[[#This Row],[COMPRA]]*12%</f>
        <v>311.55959999999999</v>
      </c>
      <c r="AH202" s="83">
        <v>2596.33</v>
      </c>
      <c r="AI202" s="66" t="str">
        <f>PROPER(TEXT(Sal_23[[#This Row],[PROGRAMAÇÃO]],"mmm"))</f>
        <v>Fev</v>
      </c>
      <c r="AJ202" s="66">
        <f>YEAR(Sal_23[[#This Row],[PROGRAMAÇÃO]])</f>
        <v>2023</v>
      </c>
      <c r="AK202" s="66"/>
      <c r="AL202" s="44" t="s">
        <v>3347</v>
      </c>
      <c r="AM202" s="66" t="s">
        <v>2768</v>
      </c>
      <c r="AN202" s="66" t="s">
        <v>2768</v>
      </c>
      <c r="AO202" s="66"/>
      <c r="AP202" s="32"/>
      <c r="AQ202" s="32"/>
      <c r="AR202" s="32"/>
    </row>
    <row r="203" spans="1:44" x14ac:dyDescent="0.25">
      <c r="A203" s="120" t="str">
        <f>Sal_23[[#This Row],[CONTAINER]]</f>
        <v>TCLU3464493</v>
      </c>
      <c r="B203" s="128" t="s">
        <v>2771</v>
      </c>
      <c r="C20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03" s="79">
        <v>44974.333333333336</v>
      </c>
      <c r="E203" s="44" t="s">
        <v>3511</v>
      </c>
      <c r="F203" s="66">
        <v>20</v>
      </c>
      <c r="G203" s="66" t="s">
        <v>2826</v>
      </c>
      <c r="H203" s="44" t="s">
        <v>3074</v>
      </c>
      <c r="I203" s="299" t="s">
        <v>3532</v>
      </c>
      <c r="J203" s="66">
        <v>1375</v>
      </c>
      <c r="K203" s="66" t="s">
        <v>3533</v>
      </c>
      <c r="L203" s="66">
        <v>103891</v>
      </c>
      <c r="M203" s="66"/>
      <c r="N203" s="66" t="s">
        <v>2584</v>
      </c>
      <c r="O203" s="66" t="s">
        <v>2585</v>
      </c>
      <c r="P203" s="66" t="s">
        <v>2586</v>
      </c>
      <c r="Q203" s="138" t="str">
        <f ca="1">IFERROR(LOOKUP($P203,MOTORISTAS!$D$3:$D$1048576,MOTORISTAS!E$3:E$916),"")</f>
        <v>08312935860</v>
      </c>
      <c r="R203" s="138" t="str">
        <f ca="1">IFERROR(LOOKUP($P203,MOTORISTAS!$D$3:$D$1048576,MOTORISTAS!F$3:F$916),"")</f>
        <v>03106516083</v>
      </c>
      <c r="S203" s="66">
        <v>3411</v>
      </c>
      <c r="T203" s="66" t="s">
        <v>293</v>
      </c>
      <c r="U203" s="79">
        <v>44973.709722222222</v>
      </c>
      <c r="V203" s="66" t="s">
        <v>526</v>
      </c>
      <c r="W203" s="79">
        <v>44974.67083333333</v>
      </c>
      <c r="X203" s="79">
        <v>44974.291666666664</v>
      </c>
      <c r="Y203" s="88">
        <v>44974.444444444445</v>
      </c>
      <c r="Z203" s="81">
        <v>2000</v>
      </c>
      <c r="AA203" s="81"/>
      <c r="AB203" s="81"/>
      <c r="AC203" s="81"/>
      <c r="AD203" s="81"/>
      <c r="AE203" s="81"/>
      <c r="AF203" s="81"/>
      <c r="AG203" s="81">
        <f>Sal_23[[#This Row],[COMPRA]]*12%</f>
        <v>501.59999999999997</v>
      </c>
      <c r="AH203" s="83">
        <v>4180</v>
      </c>
      <c r="AI203" s="66" t="str">
        <f>PROPER(TEXT(Sal_23[[#This Row],[PROGRAMAÇÃO]],"mmm"))</f>
        <v>Fev</v>
      </c>
      <c r="AJ203" s="66">
        <f>YEAR(Sal_23[[#This Row],[PROGRAMAÇÃO]])</f>
        <v>2023</v>
      </c>
      <c r="AK203" s="66"/>
      <c r="AL203" s="66"/>
      <c r="AM203" s="66" t="s">
        <v>2768</v>
      </c>
      <c r="AN203" s="66" t="s">
        <v>2768</v>
      </c>
      <c r="AO203" s="66"/>
      <c r="AP203" s="32"/>
      <c r="AQ203" s="32"/>
      <c r="AR203" s="32"/>
    </row>
    <row r="204" spans="1:44" x14ac:dyDescent="0.25">
      <c r="A204" s="120" t="str">
        <f>Sal_23[[#This Row],[CONTAINER]]</f>
        <v>FFAU1702529</v>
      </c>
      <c r="B204" s="128" t="s">
        <v>2771</v>
      </c>
      <c r="C20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04" s="79">
        <v>44974.333333333336</v>
      </c>
      <c r="E204" s="44" t="s">
        <v>3512</v>
      </c>
      <c r="F204" s="66">
        <v>40</v>
      </c>
      <c r="G204" s="66" t="s">
        <v>2826</v>
      </c>
      <c r="H204" s="44" t="s">
        <v>2833</v>
      </c>
      <c r="I204" s="299" t="s">
        <v>2832</v>
      </c>
      <c r="J204" s="66">
        <v>1376</v>
      </c>
      <c r="K204" s="66" t="s">
        <v>3533</v>
      </c>
      <c r="L204" s="66">
        <v>103995</v>
      </c>
      <c r="M204" s="66"/>
      <c r="N204" s="66" t="s">
        <v>210</v>
      </c>
      <c r="O204" s="66" t="s">
        <v>211</v>
      </c>
      <c r="P204" s="66" t="s">
        <v>212</v>
      </c>
      <c r="Q204" s="138" t="str">
        <f ca="1">IFERROR(LOOKUP($P204,MOTORISTAS!$D$3:$D$1048576,MOTORISTAS!E$3:E$916),"")</f>
        <v>38029906846</v>
      </c>
      <c r="R204" s="138" t="str">
        <f ca="1">IFERROR(LOOKUP($P204,MOTORISTAS!$D$3:$D$1048576,MOTORISTAS!F$3:F$916),"")</f>
        <v>04946846842</v>
      </c>
      <c r="S204" s="66">
        <v>3412</v>
      </c>
      <c r="T204" s="66" t="s">
        <v>293</v>
      </c>
      <c r="U204" s="79">
        <v>44974.046527777777</v>
      </c>
      <c r="V204" s="66" t="s">
        <v>469</v>
      </c>
      <c r="W204" s="79">
        <v>44974.87777777778</v>
      </c>
      <c r="X204" s="79">
        <v>44974.3125</v>
      </c>
      <c r="Y204" s="88">
        <v>44974.458333333336</v>
      </c>
      <c r="Z204" s="81">
        <v>635.4</v>
      </c>
      <c r="AA204" s="81"/>
      <c r="AB204" s="81"/>
      <c r="AC204" s="81"/>
      <c r="AD204" s="81"/>
      <c r="AE204" s="81"/>
      <c r="AF204" s="81"/>
      <c r="AG204" s="81">
        <f>Sal_23[[#This Row],[COMPRA]]*12%</f>
        <v>641.71680000000003</v>
      </c>
      <c r="AH204" s="83">
        <v>5347.64</v>
      </c>
      <c r="AI204" s="66" t="str">
        <f>PROPER(TEXT(Sal_23[[#This Row],[PROGRAMAÇÃO]],"mmm"))</f>
        <v>Fev</v>
      </c>
      <c r="AJ204" s="66">
        <f>YEAR(Sal_23[[#This Row],[PROGRAMAÇÃO]])</f>
        <v>2023</v>
      </c>
      <c r="AK204" s="66"/>
      <c r="AL204" s="66"/>
      <c r="AM204" s="66" t="s">
        <v>2768</v>
      </c>
      <c r="AN204" s="66" t="s">
        <v>2768</v>
      </c>
      <c r="AO204" s="66"/>
      <c r="AP204" s="32"/>
      <c r="AQ204" s="32"/>
      <c r="AR204" s="32"/>
    </row>
    <row r="205" spans="1:44" x14ac:dyDescent="0.25">
      <c r="A205" s="120" t="str">
        <f>Sal_23[[#This Row],[CONTAINER]]</f>
        <v>TCLU8227684</v>
      </c>
      <c r="B205" s="128" t="s">
        <v>2771</v>
      </c>
      <c r="C20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05" s="79">
        <v>44974.333333333336</v>
      </c>
      <c r="E205" s="44" t="s">
        <v>3513</v>
      </c>
      <c r="F205" s="66">
        <v>40</v>
      </c>
      <c r="G205" s="66" t="s">
        <v>2826</v>
      </c>
      <c r="H205" s="44" t="s">
        <v>2835</v>
      </c>
      <c r="I205" s="299" t="s">
        <v>2822</v>
      </c>
      <c r="J205" s="66">
        <v>1371</v>
      </c>
      <c r="K205" s="66" t="s">
        <v>3533</v>
      </c>
      <c r="L205" s="66">
        <v>103889</v>
      </c>
      <c r="M205" s="66"/>
      <c r="N205" s="66" t="s">
        <v>3575</v>
      </c>
      <c r="O205" s="66" t="s">
        <v>3576</v>
      </c>
      <c r="P205" s="66" t="s">
        <v>3577</v>
      </c>
      <c r="Q205" s="138" t="str">
        <f ca="1">IFERROR(LOOKUP($P205,MOTORISTAS!$D$3:$D$1048576,MOTORISTAS!E$3:E$916),"")</f>
        <v>19294729869</v>
      </c>
      <c r="R205" s="138" t="str">
        <f ca="1">IFERROR(LOOKUP($P205,MOTORISTAS!$D$3:$D$1048576,MOTORISTAS!F$3:F$916),"")</f>
        <v>01008628403</v>
      </c>
      <c r="S205" s="66">
        <v>3413</v>
      </c>
      <c r="T205" s="66" t="s">
        <v>293</v>
      </c>
      <c r="U205" s="79">
        <v>44974.188194444447</v>
      </c>
      <c r="V205" s="66" t="s">
        <v>469</v>
      </c>
      <c r="W205" s="79">
        <v>44974.95</v>
      </c>
      <c r="X205" s="79">
        <v>44974.3125</v>
      </c>
      <c r="Y205" s="88">
        <v>44974.416666666664</v>
      </c>
      <c r="Z205" s="81">
        <v>2100</v>
      </c>
      <c r="AA205" s="81">
        <v>0</v>
      </c>
      <c r="AB205" s="81">
        <f>SUM(Sal_23[[#This Row],[Saldo]]+Sal_23[[#This Row],[Adiantamento]])</f>
        <v>2100</v>
      </c>
      <c r="AC205" s="81">
        <v>0</v>
      </c>
      <c r="AD205" s="81"/>
      <c r="AE205" s="81"/>
      <c r="AF205" s="81"/>
      <c r="AG205" s="81">
        <f>Sal_23[[#This Row],[COMPRA]]*12%</f>
        <v>370.37759999999997</v>
      </c>
      <c r="AH205" s="83">
        <v>3086.48</v>
      </c>
      <c r="AI205" s="66" t="str">
        <f>PROPER(TEXT(Sal_23[[#This Row],[PROGRAMAÇÃO]],"mmm"))</f>
        <v>Fev</v>
      </c>
      <c r="AJ205" s="66">
        <f>YEAR(Sal_23[[#This Row],[PROGRAMAÇÃO]])</f>
        <v>2023</v>
      </c>
      <c r="AK205" s="66"/>
      <c r="AL205" s="66"/>
      <c r="AM205" s="66" t="s">
        <v>2768</v>
      </c>
      <c r="AN205" s="66" t="s">
        <v>2768</v>
      </c>
      <c r="AO205" s="66"/>
      <c r="AP205" s="32"/>
      <c r="AQ205" s="32"/>
      <c r="AR205" s="32"/>
    </row>
    <row r="206" spans="1:44" x14ac:dyDescent="0.25">
      <c r="A206" s="120" t="str">
        <f>Sal_23[[#This Row],[CONTAINER]]</f>
        <v>CAIU4835360</v>
      </c>
      <c r="B206" s="128" t="s">
        <v>2771</v>
      </c>
      <c r="C20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06" s="79">
        <v>44974.333333333336</v>
      </c>
      <c r="E206" s="44" t="s">
        <v>3514</v>
      </c>
      <c r="F206" s="66">
        <v>40</v>
      </c>
      <c r="G206" s="66" t="s">
        <v>2826</v>
      </c>
      <c r="H206" s="44" t="s">
        <v>2835</v>
      </c>
      <c r="I206" s="299" t="s">
        <v>2822</v>
      </c>
      <c r="J206" s="66">
        <v>1429</v>
      </c>
      <c r="K206" s="66" t="s">
        <v>3533</v>
      </c>
      <c r="L206" s="66">
        <v>103890</v>
      </c>
      <c r="M206" s="66"/>
      <c r="N206" s="66" t="s">
        <v>72</v>
      </c>
      <c r="O206" s="66" t="s">
        <v>73</v>
      </c>
      <c r="P206" s="66" t="s">
        <v>203</v>
      </c>
      <c r="Q206" s="138" t="str">
        <f ca="1">IFERROR(LOOKUP($P206,MOTORISTAS!$D$3:$D$1048576,MOTORISTAS!E$3:E$916),"")</f>
        <v>10395859816</v>
      </c>
      <c r="R206" s="138" t="str">
        <f ca="1">IFERROR(LOOKUP($P206,MOTORISTAS!$D$3:$D$1048576,MOTORISTAS!F$3:F$916),"")</f>
        <v>01965794851</v>
      </c>
      <c r="S206" s="66">
        <v>3414</v>
      </c>
      <c r="T206" s="66" t="s">
        <v>293</v>
      </c>
      <c r="U206" s="79">
        <v>44974.326388888891</v>
      </c>
      <c r="V206" s="66" t="s">
        <v>469</v>
      </c>
      <c r="W206" s="79">
        <v>44974.879861111112</v>
      </c>
      <c r="X206" s="79">
        <v>44974.427083333336</v>
      </c>
      <c r="Y206" s="88">
        <v>44974.5625</v>
      </c>
      <c r="Z206" s="81">
        <v>2100</v>
      </c>
      <c r="AA206" s="81">
        <v>0</v>
      </c>
      <c r="AB206" s="81">
        <f>SUM(Sal_23[[#This Row],[Saldo]]+Sal_23[[#This Row],[Adiantamento]])</f>
        <v>2100</v>
      </c>
      <c r="AC206" s="81">
        <v>0</v>
      </c>
      <c r="AD206" s="81"/>
      <c r="AE206" s="81"/>
      <c r="AF206" s="81"/>
      <c r="AG206" s="81">
        <f>Sal_23[[#This Row],[COMPRA]]*12%</f>
        <v>370.37759999999997</v>
      </c>
      <c r="AH206" s="83">
        <v>3086.48</v>
      </c>
      <c r="AI206" s="66" t="str">
        <f>PROPER(TEXT(Sal_23[[#This Row],[PROGRAMAÇÃO]],"mmm"))</f>
        <v>Fev</v>
      </c>
      <c r="AJ206" s="66">
        <f>YEAR(Sal_23[[#This Row],[PROGRAMAÇÃO]])</f>
        <v>2023</v>
      </c>
      <c r="AK206" s="66"/>
      <c r="AL206" s="44" t="s">
        <v>3347</v>
      </c>
      <c r="AM206" s="66" t="s">
        <v>2768</v>
      </c>
      <c r="AN206" s="66" t="s">
        <v>2768</v>
      </c>
      <c r="AO206" s="66"/>
      <c r="AP206" s="32"/>
      <c r="AQ206" s="32"/>
      <c r="AR206" s="32"/>
    </row>
    <row r="207" spans="1:44" x14ac:dyDescent="0.25">
      <c r="A207" s="120" t="str">
        <f>Sal_23[[#This Row],[CONTAINER]]</f>
        <v>SEGU1119821</v>
      </c>
      <c r="B207" s="128" t="s">
        <v>2771</v>
      </c>
      <c r="C20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07" s="79">
        <v>44974.333333333336</v>
      </c>
      <c r="E207" s="44" t="s">
        <v>3509</v>
      </c>
      <c r="F207" s="66">
        <v>20</v>
      </c>
      <c r="G207" s="66" t="s">
        <v>2826</v>
      </c>
      <c r="H207" s="44" t="s">
        <v>3440</v>
      </c>
      <c r="I207" s="299" t="s">
        <v>3531</v>
      </c>
      <c r="J207" s="66">
        <v>1383</v>
      </c>
      <c r="K207" s="66" t="s">
        <v>3533</v>
      </c>
      <c r="L207" s="66">
        <v>113184</v>
      </c>
      <c r="M207" s="66"/>
      <c r="N207" s="66" t="s">
        <v>2156</v>
      </c>
      <c r="O207" s="66" t="s">
        <v>2464</v>
      </c>
      <c r="P207" s="66" t="s">
        <v>2158</v>
      </c>
      <c r="Q207" s="138" t="str">
        <f ca="1">IFERROR(LOOKUP($P207,MOTORISTAS!$D$3:$D$1048576,MOTORISTAS!E$3:E$916),"")</f>
        <v>10485530864</v>
      </c>
      <c r="R207" s="138" t="str">
        <f ca="1">IFERROR(LOOKUP($P207,MOTORISTAS!$D$3:$D$1048576,MOTORISTAS!F$3:F$916),"")</f>
        <v>02033192841</v>
      </c>
      <c r="S207" s="66">
        <v>3415</v>
      </c>
      <c r="T207" s="66" t="s">
        <v>293</v>
      </c>
      <c r="U207" s="79">
        <v>44974.28402777778</v>
      </c>
      <c r="V207" s="66" t="s">
        <v>469</v>
      </c>
      <c r="W207" s="79">
        <v>44974.715277777781</v>
      </c>
      <c r="X207" s="79">
        <v>44974.333333333336</v>
      </c>
      <c r="Y207" s="88">
        <v>44974.444444444445</v>
      </c>
      <c r="Z207" s="81">
        <v>2300</v>
      </c>
      <c r="AA207" s="81"/>
      <c r="AB207" s="81"/>
      <c r="AC207" s="81"/>
      <c r="AD207" s="81"/>
      <c r="AE207" s="81"/>
      <c r="AF207" s="81"/>
      <c r="AG207" s="81">
        <f>Sal_23[[#This Row],[COMPRA]]*12%</f>
        <v>399.62399999999997</v>
      </c>
      <c r="AH207" s="83">
        <v>3330.2</v>
      </c>
      <c r="AI207" s="66" t="str">
        <f>PROPER(TEXT(Sal_23[[#This Row],[PROGRAMAÇÃO]],"mmm"))</f>
        <v>Fev</v>
      </c>
      <c r="AJ207" s="66">
        <f>YEAR(Sal_23[[#This Row],[PROGRAMAÇÃO]])</f>
        <v>2023</v>
      </c>
      <c r="AK207" s="66"/>
      <c r="AL207" s="66"/>
      <c r="AM207" s="66" t="s">
        <v>2768</v>
      </c>
      <c r="AN207" s="66" t="s">
        <v>2768</v>
      </c>
      <c r="AO207" s="66"/>
      <c r="AP207" s="32"/>
      <c r="AQ207" s="32"/>
      <c r="AR207" s="32"/>
    </row>
    <row r="208" spans="1:44" x14ac:dyDescent="0.25">
      <c r="A208" s="120" t="str">
        <f>Sal_23[[#This Row],[CONTAINER]]</f>
        <v>CIPU5008043</v>
      </c>
      <c r="B208" s="128" t="s">
        <v>2771</v>
      </c>
      <c r="C20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08" s="79">
        <v>44977.333333333336</v>
      </c>
      <c r="E208" s="44" t="s">
        <v>3515</v>
      </c>
      <c r="F208" s="66">
        <v>40</v>
      </c>
      <c r="G208" s="66" t="s">
        <v>2826</v>
      </c>
      <c r="H208" s="44" t="s">
        <v>3195</v>
      </c>
      <c r="I208" s="299" t="s">
        <v>2830</v>
      </c>
      <c r="J208" s="66">
        <v>1373</v>
      </c>
      <c r="K208" s="66" t="s">
        <v>3533</v>
      </c>
      <c r="L208" s="66">
        <v>103994</v>
      </c>
      <c r="M208" s="66"/>
      <c r="N208" s="66" t="s">
        <v>3583</v>
      </c>
      <c r="O208" s="66" t="s">
        <v>3576</v>
      </c>
      <c r="P208" s="66" t="s">
        <v>3577</v>
      </c>
      <c r="Q208" s="138" t="str">
        <f ca="1">IFERROR(LOOKUP($P208,MOTORISTAS!$D$3:$D$1048576,MOTORISTAS!E$3:E$916),"")</f>
        <v>19294729869</v>
      </c>
      <c r="R208" s="138" t="str">
        <f ca="1">IFERROR(LOOKUP($P208,MOTORISTAS!$D$3:$D$1048576,MOTORISTAS!F$3:F$916),"")</f>
        <v>01008628403</v>
      </c>
      <c r="S208" s="66">
        <v>3416</v>
      </c>
      <c r="T208" s="66" t="s">
        <v>293</v>
      </c>
      <c r="U208" s="79">
        <v>44977.223611111112</v>
      </c>
      <c r="V208" s="66" t="s">
        <v>857</v>
      </c>
      <c r="W208" s="79">
        <v>44979.583333333336</v>
      </c>
      <c r="X208" s="79">
        <v>44978.333333333336</v>
      </c>
      <c r="Y208" s="88">
        <v>44977.430555555555</v>
      </c>
      <c r="Z208" s="81">
        <v>2300</v>
      </c>
      <c r="AA208" s="81">
        <v>0</v>
      </c>
      <c r="AB208" s="81">
        <f>SUM(Sal_23[[#This Row],[Saldo]]+Sal_23[[#This Row],[Adiantamento]])</f>
        <v>2300</v>
      </c>
      <c r="AC208" s="81">
        <v>0</v>
      </c>
      <c r="AD208" s="81"/>
      <c r="AE208" s="81"/>
      <c r="AF208" s="81"/>
      <c r="AG208" s="81">
        <f>Sal_23[[#This Row],[COMPRA]]*12%</f>
        <v>392.15039999999999</v>
      </c>
      <c r="AH208" s="83">
        <v>3267.92</v>
      </c>
      <c r="AI208" s="66" t="str">
        <f>PROPER(TEXT(Sal_23[[#This Row],[PROGRAMAÇÃO]],"mmm"))</f>
        <v>Fev</v>
      </c>
      <c r="AJ208" s="66">
        <f>YEAR(Sal_23[[#This Row],[PROGRAMAÇÃO]])</f>
        <v>2023</v>
      </c>
      <c r="AK208" s="66"/>
      <c r="AL208" s="44"/>
      <c r="AM208" s="66" t="s">
        <v>2768</v>
      </c>
      <c r="AN208" s="66" t="s">
        <v>2768</v>
      </c>
      <c r="AO208" s="66"/>
      <c r="AP208" s="32"/>
      <c r="AQ208" s="32"/>
      <c r="AR208" s="32"/>
    </row>
    <row r="209" spans="1:44" x14ac:dyDescent="0.25">
      <c r="A209" s="120" t="str">
        <f>Sal_23[[#This Row],[CONTAINER]]</f>
        <v>CAIU3369611</v>
      </c>
      <c r="B209" s="128" t="s">
        <v>2771</v>
      </c>
      <c r="C20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09" s="79">
        <v>44974.375</v>
      </c>
      <c r="E209" s="44" t="s">
        <v>3520</v>
      </c>
      <c r="F209" s="66">
        <v>20</v>
      </c>
      <c r="G209" s="66" t="s">
        <v>2820</v>
      </c>
      <c r="H209" s="44" t="s">
        <v>2820</v>
      </c>
      <c r="I209" s="299" t="s">
        <v>2821</v>
      </c>
      <c r="J209" s="66">
        <v>1406</v>
      </c>
      <c r="K209" s="66" t="s">
        <v>3533</v>
      </c>
      <c r="L209" s="66">
        <v>113330</v>
      </c>
      <c r="M209" s="66">
        <v>103954</v>
      </c>
      <c r="N209" s="66" t="s">
        <v>2949</v>
      </c>
      <c r="O209" s="66" t="s">
        <v>2950</v>
      </c>
      <c r="P209" s="66" t="s">
        <v>2948</v>
      </c>
      <c r="Q209" s="138" t="str">
        <f ca="1">IFERROR(LOOKUP($P209,MOTORISTAS!$D$3:$D$1048576,MOTORISTAS!E$3:E$916),"")</f>
        <v>16239341843</v>
      </c>
      <c r="R209" s="138" t="str">
        <f ca="1">IFERROR(LOOKUP($P209,MOTORISTAS!$D$3:$D$1048576,MOTORISTAS!F$3:F$916),"")</f>
        <v>01877235038</v>
      </c>
      <c r="S209" s="66" t="s">
        <v>3556</v>
      </c>
      <c r="T209" s="66" t="s">
        <v>293</v>
      </c>
      <c r="U209" s="79">
        <v>44974.036805555559</v>
      </c>
      <c r="V209" s="66" t="s">
        <v>292</v>
      </c>
      <c r="W209" s="79">
        <v>44974.520138888889</v>
      </c>
      <c r="X209" s="79">
        <v>44974.25</v>
      </c>
      <c r="Y209" s="88">
        <v>44974.375</v>
      </c>
      <c r="Z209" s="81">
        <v>1600</v>
      </c>
      <c r="AA209" s="81">
        <v>0</v>
      </c>
      <c r="AB209" s="81">
        <f>SUM(Sal_23[[#This Row],[Saldo]]+Sal_23[[#This Row],[Adiantamento]])</f>
        <v>1600</v>
      </c>
      <c r="AC209" s="81">
        <v>0</v>
      </c>
      <c r="AD209" s="81"/>
      <c r="AE209" s="81"/>
      <c r="AF209" s="81"/>
      <c r="AG209" s="81">
        <f>Sal_23[[#This Row],[COMPRA]]*12%</f>
        <v>288</v>
      </c>
      <c r="AH209" s="83">
        <v>2400</v>
      </c>
      <c r="AI209" s="66" t="str">
        <f>PROPER(TEXT(Sal_23[[#This Row],[PROGRAMAÇÃO]],"mmm"))</f>
        <v>Fev</v>
      </c>
      <c r="AJ209" s="66">
        <f>YEAR(Sal_23[[#This Row],[PROGRAMAÇÃO]])</f>
        <v>2023</v>
      </c>
      <c r="AK209" s="66"/>
      <c r="AL209" s="66"/>
      <c r="AM209" s="66" t="s">
        <v>2768</v>
      </c>
      <c r="AN209" s="66" t="s">
        <v>2768</v>
      </c>
      <c r="AO209" s="66" t="s">
        <v>2768</v>
      </c>
      <c r="AP209" s="32"/>
      <c r="AQ209" s="32"/>
      <c r="AR209" s="32"/>
    </row>
    <row r="210" spans="1:44" x14ac:dyDescent="0.25">
      <c r="A210" s="120" t="str">
        <f>Sal_23[[#This Row],[CONTAINER]]</f>
        <v>TCLU3467023</v>
      </c>
      <c r="B210" s="128" t="s">
        <v>2771</v>
      </c>
      <c r="C21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0" s="79">
        <v>44974.291666666664</v>
      </c>
      <c r="E210" s="44" t="s">
        <v>3519</v>
      </c>
      <c r="F210" s="66">
        <v>20</v>
      </c>
      <c r="G210" s="66" t="s">
        <v>2820</v>
      </c>
      <c r="H210" s="44" t="s">
        <v>2820</v>
      </c>
      <c r="I210" s="299" t="s">
        <v>2821</v>
      </c>
      <c r="J210" s="66">
        <v>1387</v>
      </c>
      <c r="K210" s="66" t="s">
        <v>3533</v>
      </c>
      <c r="L210" s="66">
        <v>113331</v>
      </c>
      <c r="M210" s="66"/>
      <c r="N210" s="66" t="s">
        <v>2859</v>
      </c>
      <c r="O210" s="66" t="s">
        <v>2860</v>
      </c>
      <c r="P210" s="66" t="s">
        <v>2861</v>
      </c>
      <c r="Q210" s="138" t="str">
        <f ca="1">IFERROR(LOOKUP($P210,MOTORISTAS!$D$3:$D$1048576,MOTORISTAS!E$3:E$916),"")</f>
        <v>01817591878</v>
      </c>
      <c r="R210" s="138" t="str">
        <f ca="1">IFERROR(LOOKUP($P210,MOTORISTAS!$D$3:$D$1048576,MOTORISTAS!F$3:F$916),"")</f>
        <v>00821760640</v>
      </c>
      <c r="S210" s="66">
        <v>15109</v>
      </c>
      <c r="T210" s="66" t="s">
        <v>293</v>
      </c>
      <c r="U210" s="79">
        <v>44973.942361111112</v>
      </c>
      <c r="V210" s="66" t="s">
        <v>526</v>
      </c>
      <c r="W210" s="79">
        <v>44974.569444444445</v>
      </c>
      <c r="X210" s="79">
        <v>44974.25</v>
      </c>
      <c r="Y210" s="88">
        <v>44974.430555555555</v>
      </c>
      <c r="Z210" s="81">
        <v>1600</v>
      </c>
      <c r="AA210" s="81">
        <v>0</v>
      </c>
      <c r="AB210" s="81">
        <f>SUM(Sal_23[[#This Row],[Saldo]]+Sal_23[[#This Row],[Adiantamento]])</f>
        <v>1600</v>
      </c>
      <c r="AC210" s="81">
        <v>0</v>
      </c>
      <c r="AD210" s="81"/>
      <c r="AE210" s="81"/>
      <c r="AF210" s="81"/>
      <c r="AG210" s="81">
        <f>Sal_23[[#This Row],[COMPRA]]*12%</f>
        <v>288</v>
      </c>
      <c r="AH210" s="83">
        <v>2400</v>
      </c>
      <c r="AI210" s="66" t="str">
        <f>PROPER(TEXT(Sal_23[[#This Row],[PROGRAMAÇÃO]],"mmm"))</f>
        <v>Fev</v>
      </c>
      <c r="AJ210" s="66">
        <f>YEAR(Sal_23[[#This Row],[PROGRAMAÇÃO]])</f>
        <v>2023</v>
      </c>
      <c r="AK210" s="66"/>
      <c r="AL210" s="66"/>
      <c r="AM210" s="66" t="s">
        <v>2768</v>
      </c>
      <c r="AN210" s="66" t="s">
        <v>2768</v>
      </c>
      <c r="AO210" s="66" t="s">
        <v>2768</v>
      </c>
      <c r="AP210" s="32"/>
      <c r="AQ210" s="32"/>
      <c r="AR210" s="32"/>
    </row>
    <row r="211" spans="1:44" x14ac:dyDescent="0.25">
      <c r="A211" s="120" t="str">
        <f>Sal_23[[#This Row],[CONTAINER]]</f>
        <v>TCLU2965150</v>
      </c>
      <c r="B211" s="128" t="s">
        <v>2771</v>
      </c>
      <c r="C21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1" s="79">
        <v>44973.333333333336</v>
      </c>
      <c r="E211" s="44" t="s">
        <v>3525</v>
      </c>
      <c r="F211" s="66">
        <v>20</v>
      </c>
      <c r="G211" s="66" t="s">
        <v>2820</v>
      </c>
      <c r="H211" s="44" t="s">
        <v>2820</v>
      </c>
      <c r="I211" s="299" t="s">
        <v>2821</v>
      </c>
      <c r="J211" s="66">
        <v>1153</v>
      </c>
      <c r="K211" s="66" t="s">
        <v>3533</v>
      </c>
      <c r="L211" s="66">
        <v>68790</v>
      </c>
      <c r="M211" s="66"/>
      <c r="N211" s="66" t="s">
        <v>3028</v>
      </c>
      <c r="O211" s="66" t="s">
        <v>2864</v>
      </c>
      <c r="P211" s="66" t="s">
        <v>3443</v>
      </c>
      <c r="Q211" s="138" t="str">
        <f ca="1">IFERROR(LOOKUP($P211,MOTORISTAS!$D$3:$D$1048576,MOTORISTAS!E$3:E$916),"")</f>
        <v>13990937898</v>
      </c>
      <c r="R211" s="138" t="str">
        <f ca="1">IFERROR(LOOKUP($P211,MOTORISTAS!$D$3:$D$1048576,MOTORISTAS!F$3:F$916),"")</f>
        <v>01825123407</v>
      </c>
      <c r="S211" s="66">
        <v>15110</v>
      </c>
      <c r="T211" s="66" t="s">
        <v>293</v>
      </c>
      <c r="U211" s="79">
        <v>44972.958333333336</v>
      </c>
      <c r="V211" s="66" t="s">
        <v>292</v>
      </c>
      <c r="W211" s="79">
        <v>44973.615277777775</v>
      </c>
      <c r="X211" s="79">
        <v>44973.270833333336</v>
      </c>
      <c r="Y211" s="88">
        <v>44973.375</v>
      </c>
      <c r="Z211" s="81">
        <v>1600</v>
      </c>
      <c r="AA211" s="81">
        <v>0</v>
      </c>
      <c r="AB211" s="81">
        <f>SUM(Sal_23[[#This Row],[Saldo]]+Sal_23[[#This Row],[Adiantamento]])</f>
        <v>1600</v>
      </c>
      <c r="AC211" s="81">
        <v>0</v>
      </c>
      <c r="AD211" s="81"/>
      <c r="AE211" s="81"/>
      <c r="AF211" s="81"/>
      <c r="AG211" s="81">
        <f>Sal_23[[#This Row],[COMPRA]]*12%</f>
        <v>288</v>
      </c>
      <c r="AH211" s="83">
        <v>2400</v>
      </c>
      <c r="AI211" s="66" t="str">
        <f>PROPER(TEXT(Sal_23[[#This Row],[PROGRAMAÇÃO]],"mmm"))</f>
        <v>Fev</v>
      </c>
      <c r="AJ211" s="66">
        <f>YEAR(Sal_23[[#This Row],[PROGRAMAÇÃO]])</f>
        <v>2023</v>
      </c>
      <c r="AK211" s="66"/>
      <c r="AL211" s="66"/>
      <c r="AM211" s="66" t="s">
        <v>2768</v>
      </c>
      <c r="AN211" s="66" t="s">
        <v>2768</v>
      </c>
      <c r="AO211" s="66" t="s">
        <v>2768</v>
      </c>
      <c r="AP211" s="32"/>
      <c r="AQ211" s="32"/>
      <c r="AR211" s="32"/>
    </row>
    <row r="212" spans="1:44" x14ac:dyDescent="0.25">
      <c r="A212" s="120" t="str">
        <f>Sal_23[[#This Row],[CONTAINER]]</f>
        <v>CAIU3154763</v>
      </c>
      <c r="B212" s="128" t="s">
        <v>2771</v>
      </c>
      <c r="C21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2" s="79">
        <v>44973.458333333336</v>
      </c>
      <c r="E212" s="44" t="s">
        <v>3523</v>
      </c>
      <c r="F212" s="66">
        <v>20</v>
      </c>
      <c r="G212" s="66" t="s">
        <v>2820</v>
      </c>
      <c r="H212" s="44" t="s">
        <v>2820</v>
      </c>
      <c r="I212" s="299" t="s">
        <v>2821</v>
      </c>
      <c r="J212" s="66">
        <v>1151</v>
      </c>
      <c r="K212" s="66" t="s">
        <v>3533</v>
      </c>
      <c r="L212" s="66">
        <v>68764</v>
      </c>
      <c r="M212" s="66"/>
      <c r="N212" s="66" t="s">
        <v>3096</v>
      </c>
      <c r="O212" s="66" t="s">
        <v>3097</v>
      </c>
      <c r="P212" s="66" t="s">
        <v>3098</v>
      </c>
      <c r="Q212" s="138" t="str">
        <f ca="1">IFERROR(LOOKUP($P212,MOTORISTAS!$D$3:$D$1048576,MOTORISTAS!E$3:E$916),"")</f>
        <v>29714736862</v>
      </c>
      <c r="R212" s="138" t="str">
        <f ca="1">IFERROR(LOOKUP($P212,MOTORISTAS!$D$3:$D$1048576,MOTORISTAS!F$3:F$916),"")</f>
        <v>03001275806</v>
      </c>
      <c r="S212" s="66">
        <v>15111</v>
      </c>
      <c r="T212" s="66" t="s">
        <v>293</v>
      </c>
      <c r="U212" s="79">
        <v>44972.951388888891</v>
      </c>
      <c r="V212" s="66" t="s">
        <v>292</v>
      </c>
      <c r="W212" s="79">
        <v>44974.383333333331</v>
      </c>
      <c r="X212" s="79">
        <v>44973.270833333336</v>
      </c>
      <c r="Y212" s="88">
        <v>44973.375</v>
      </c>
      <c r="Z212" s="81">
        <v>1600</v>
      </c>
      <c r="AA212" s="81">
        <v>0</v>
      </c>
      <c r="AB212" s="81">
        <f>SUM(Sal_23[[#This Row],[Saldo]]+Sal_23[[#This Row],[Adiantamento]])</f>
        <v>1600</v>
      </c>
      <c r="AC212" s="81">
        <v>0</v>
      </c>
      <c r="AD212" s="81"/>
      <c r="AE212" s="81"/>
      <c r="AF212" s="81"/>
      <c r="AG212" s="81">
        <f>Sal_23[[#This Row],[COMPRA]]*12%</f>
        <v>288</v>
      </c>
      <c r="AH212" s="83">
        <v>2400</v>
      </c>
      <c r="AI212" s="66" t="str">
        <f>PROPER(TEXT(Sal_23[[#This Row],[PROGRAMAÇÃO]],"mmm"))</f>
        <v>Fev</v>
      </c>
      <c r="AJ212" s="66">
        <f>YEAR(Sal_23[[#This Row],[PROGRAMAÇÃO]])</f>
        <v>2023</v>
      </c>
      <c r="AK212" s="66"/>
      <c r="AL212" s="66"/>
      <c r="AM212" s="66" t="s">
        <v>2768</v>
      </c>
      <c r="AN212" s="66" t="s">
        <v>2768</v>
      </c>
      <c r="AO212" s="66" t="s">
        <v>2768</v>
      </c>
      <c r="AP212" s="32"/>
      <c r="AQ212" s="32"/>
      <c r="AR212" s="32"/>
    </row>
    <row r="213" spans="1:44" x14ac:dyDescent="0.25">
      <c r="A213" s="120" t="str">
        <f>Sal_23[[#This Row],[CONTAINER]]</f>
        <v>CAIU3374578</v>
      </c>
      <c r="B213" s="128" t="s">
        <v>2771</v>
      </c>
      <c r="C21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3" s="79">
        <v>44974.458333333336</v>
      </c>
      <c r="E213" s="44" t="s">
        <v>3517</v>
      </c>
      <c r="F213" s="66">
        <v>20</v>
      </c>
      <c r="G213" s="66" t="s">
        <v>2820</v>
      </c>
      <c r="H213" s="44" t="s">
        <v>2820</v>
      </c>
      <c r="I213" s="299" t="s">
        <v>2821</v>
      </c>
      <c r="J213" s="66">
        <v>1382</v>
      </c>
      <c r="K213" s="66" t="s">
        <v>3533</v>
      </c>
      <c r="L213" s="66">
        <v>103918</v>
      </c>
      <c r="M213" s="66"/>
      <c r="N213" s="66" t="s">
        <v>3555</v>
      </c>
      <c r="O213" s="66" t="s">
        <v>3554</v>
      </c>
      <c r="P213" s="66" t="s">
        <v>3553</v>
      </c>
      <c r="Q213" s="138" t="str">
        <f ca="1">IFERROR(LOOKUP($P213,MOTORISTAS!$D$3:$D$1048576,MOTORISTAS!E$3:E$916),"")</f>
        <v>26224234892</v>
      </c>
      <c r="R213" s="138" t="str">
        <f ca="1">IFERROR(LOOKUP($P213,MOTORISTAS!$D$3:$D$1048576,MOTORISTAS!F$3:F$916),"")</f>
        <v>03264892037</v>
      </c>
      <c r="S213" s="66">
        <v>15113</v>
      </c>
      <c r="T213" s="66" t="s">
        <v>293</v>
      </c>
      <c r="U213" s="79">
        <v>44974.04583333333</v>
      </c>
      <c r="V213" s="66" t="s">
        <v>292</v>
      </c>
      <c r="W213" s="79">
        <v>44975.283333333333</v>
      </c>
      <c r="X213" s="79">
        <v>44974.25</v>
      </c>
      <c r="Y213" s="88">
        <v>44974.458333333336</v>
      </c>
      <c r="Z213" s="81">
        <v>1600</v>
      </c>
      <c r="AA213" s="81">
        <v>0</v>
      </c>
      <c r="AB213" s="81">
        <f>SUM(Sal_23[[#This Row],[Saldo]]+Sal_23[[#This Row],[Adiantamento]])</f>
        <v>1600</v>
      </c>
      <c r="AC213" s="81">
        <v>0</v>
      </c>
      <c r="AD213" s="81"/>
      <c r="AE213" s="81"/>
      <c r="AF213" s="81"/>
      <c r="AG213" s="81">
        <f>Sal_23[[#This Row],[COMPRA]]*12%</f>
        <v>288</v>
      </c>
      <c r="AH213" s="83">
        <v>2400</v>
      </c>
      <c r="AI213" s="66" t="str">
        <f>PROPER(TEXT(Sal_23[[#This Row],[PROGRAMAÇÃO]],"mmm"))</f>
        <v>Fev</v>
      </c>
      <c r="AJ213" s="66">
        <f>YEAR(Sal_23[[#This Row],[PROGRAMAÇÃO]])</f>
        <v>2023</v>
      </c>
      <c r="AK213" s="66"/>
      <c r="AL213" s="66"/>
      <c r="AM213" s="66" t="s">
        <v>2768</v>
      </c>
      <c r="AN213" s="66" t="s">
        <v>2768</v>
      </c>
      <c r="AO213" s="66" t="s">
        <v>2768</v>
      </c>
      <c r="AP213" s="32"/>
      <c r="AQ213" s="32"/>
      <c r="AR213" s="32"/>
    </row>
    <row r="214" spans="1:44" x14ac:dyDescent="0.25">
      <c r="A214" s="120" t="str">
        <f>Sal_23[[#This Row],[CONTAINER]]</f>
        <v>CAIU3400872</v>
      </c>
      <c r="B214" s="128" t="s">
        <v>2771</v>
      </c>
      <c r="C21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4" s="79">
        <v>44974.291666666664</v>
      </c>
      <c r="E214" s="44" t="s">
        <v>3518</v>
      </c>
      <c r="F214" s="66">
        <v>20</v>
      </c>
      <c r="G214" s="66" t="s">
        <v>2820</v>
      </c>
      <c r="H214" s="44" t="s">
        <v>2820</v>
      </c>
      <c r="I214" s="299" t="s">
        <v>2821</v>
      </c>
      <c r="J214" s="66">
        <v>1379</v>
      </c>
      <c r="K214" s="66" t="s">
        <v>3533</v>
      </c>
      <c r="L214" s="66">
        <v>103917</v>
      </c>
      <c r="M214" s="66"/>
      <c r="N214" s="66" t="s">
        <v>3028</v>
      </c>
      <c r="O214" s="66" t="s">
        <v>2864</v>
      </c>
      <c r="P214" s="66" t="s">
        <v>3443</v>
      </c>
      <c r="Q214" s="138" t="str">
        <f ca="1">IFERROR(LOOKUP($P214,MOTORISTAS!$D$3:$D$1048576,MOTORISTAS!E$3:E$916),"")</f>
        <v>13990937898</v>
      </c>
      <c r="R214" s="138" t="str">
        <f ca="1">IFERROR(LOOKUP($P214,MOTORISTAS!$D$3:$D$1048576,MOTORISTAS!F$3:F$916),"")</f>
        <v>01825123407</v>
      </c>
      <c r="S214" s="66">
        <v>15124</v>
      </c>
      <c r="T214" s="66" t="s">
        <v>293</v>
      </c>
      <c r="U214" s="79">
        <v>44973.96597222222</v>
      </c>
      <c r="V214" s="66" t="s">
        <v>292</v>
      </c>
      <c r="W214" s="79">
        <v>44974.609027777777</v>
      </c>
      <c r="X214" s="79">
        <v>44974.25</v>
      </c>
      <c r="Y214" s="88">
        <v>44974.479166666664</v>
      </c>
      <c r="Z214" s="81">
        <v>1600</v>
      </c>
      <c r="AA214" s="81">
        <v>0</v>
      </c>
      <c r="AB214" s="81">
        <f>SUM(Sal_23[[#This Row],[Saldo]]+Sal_23[[#This Row],[Adiantamento]])</f>
        <v>1600</v>
      </c>
      <c r="AC214" s="81">
        <v>0</v>
      </c>
      <c r="AD214" s="81"/>
      <c r="AE214" s="81"/>
      <c r="AF214" s="81"/>
      <c r="AG214" s="81">
        <f>Sal_23[[#This Row],[COMPRA]]*12%</f>
        <v>288</v>
      </c>
      <c r="AH214" s="83">
        <v>2400</v>
      </c>
      <c r="AI214" s="66" t="str">
        <f>PROPER(TEXT(Sal_23[[#This Row],[PROGRAMAÇÃO]],"mmm"))</f>
        <v>Fev</v>
      </c>
      <c r="AJ214" s="66">
        <f>YEAR(Sal_23[[#This Row],[PROGRAMAÇÃO]])</f>
        <v>2023</v>
      </c>
      <c r="AK214" s="66"/>
      <c r="AL214" s="66"/>
      <c r="AM214" s="66" t="s">
        <v>2768</v>
      </c>
      <c r="AN214" s="66" t="s">
        <v>2768</v>
      </c>
      <c r="AO214" s="66" t="s">
        <v>2768</v>
      </c>
      <c r="AP214" s="32"/>
      <c r="AQ214" s="32"/>
      <c r="AR214" s="32"/>
    </row>
    <row r="215" spans="1:44" x14ac:dyDescent="0.25">
      <c r="A215" s="120" t="str">
        <f>Sal_23[[#This Row],[CONTAINER]]</f>
        <v>CAIU3413150</v>
      </c>
      <c r="B215" s="128" t="s">
        <v>2771</v>
      </c>
      <c r="C21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5" s="79">
        <v>44974.375</v>
      </c>
      <c r="E215" s="44" t="s">
        <v>3521</v>
      </c>
      <c r="F215" s="66">
        <v>20</v>
      </c>
      <c r="G215" s="66" t="s">
        <v>2820</v>
      </c>
      <c r="H215" s="44" t="s">
        <v>2820</v>
      </c>
      <c r="I215" s="299" t="s">
        <v>2821</v>
      </c>
      <c r="J215" s="66">
        <v>1386</v>
      </c>
      <c r="K215" s="66" t="s">
        <v>3533</v>
      </c>
      <c r="L215" s="66">
        <v>103992</v>
      </c>
      <c r="M215" s="66"/>
      <c r="N215" s="66" t="s">
        <v>3572</v>
      </c>
      <c r="O215" s="66" t="s">
        <v>3573</v>
      </c>
      <c r="P215" s="66" t="s">
        <v>3574</v>
      </c>
      <c r="Q215" s="138" t="str">
        <f ca="1">IFERROR(LOOKUP($P215,MOTORISTAS!$D$3:$D$1048576,MOTORISTAS!E$3:E$916),"")</f>
        <v>57152314004</v>
      </c>
      <c r="R215" s="138" t="str">
        <f ca="1">IFERROR(LOOKUP($P215,MOTORISTAS!$D$3:$D$1048576,MOTORISTAS!F$3:F$916),"")</f>
        <v>01897138729</v>
      </c>
      <c r="S215" s="66">
        <v>15125</v>
      </c>
      <c r="T215" s="66" t="s">
        <v>293</v>
      </c>
      <c r="U215" s="79">
        <v>44974.103472222225</v>
      </c>
      <c r="V215" s="66" t="s">
        <v>292</v>
      </c>
      <c r="W215" s="79">
        <v>44979.442361111112</v>
      </c>
      <c r="X215" s="79">
        <v>44974.25</v>
      </c>
      <c r="Y215" s="88">
        <v>44974.416666666664</v>
      </c>
      <c r="Z215" s="81">
        <v>1600</v>
      </c>
      <c r="AA215" s="81">
        <v>0</v>
      </c>
      <c r="AB215" s="81">
        <f>SUM(Sal_23[[#This Row],[Saldo]]+Sal_23[[#This Row],[Adiantamento]])</f>
        <v>1600</v>
      </c>
      <c r="AC215" s="81">
        <v>0</v>
      </c>
      <c r="AD215" s="81"/>
      <c r="AE215" s="81"/>
      <c r="AF215" s="81"/>
      <c r="AG215" s="81">
        <f>Sal_23[[#This Row],[COMPRA]]*12%</f>
        <v>288</v>
      </c>
      <c r="AH215" s="83">
        <v>2400</v>
      </c>
      <c r="AI215" s="66" t="str">
        <f>PROPER(TEXT(Sal_23[[#This Row],[PROGRAMAÇÃO]],"mmm"))</f>
        <v>Fev</v>
      </c>
      <c r="AJ215" s="66">
        <f>YEAR(Sal_23[[#This Row],[PROGRAMAÇÃO]])</f>
        <v>2023</v>
      </c>
      <c r="AK215" s="66"/>
      <c r="AL215" s="66"/>
      <c r="AM215" s="66" t="s">
        <v>2768</v>
      </c>
      <c r="AN215" s="66" t="s">
        <v>2768</v>
      </c>
      <c r="AO215" s="66" t="s">
        <v>2768</v>
      </c>
      <c r="AP215" s="32"/>
      <c r="AQ215" s="32"/>
      <c r="AR215" s="32"/>
    </row>
    <row r="216" spans="1:44" x14ac:dyDescent="0.25">
      <c r="A216" s="120" t="str">
        <f>Sal_23[[#This Row],[CONTAINER]]</f>
        <v>CAIU3159493</v>
      </c>
      <c r="B216" s="128" t="s">
        <v>2771</v>
      </c>
      <c r="C21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6" s="79">
        <v>44979.291666666664</v>
      </c>
      <c r="E216" s="44" t="s">
        <v>3530</v>
      </c>
      <c r="F216" s="66">
        <v>20</v>
      </c>
      <c r="G216" s="66" t="s">
        <v>2820</v>
      </c>
      <c r="H216" s="44" t="s">
        <v>2820</v>
      </c>
      <c r="I216" s="299" t="s">
        <v>2821</v>
      </c>
      <c r="J216" s="66">
        <v>1163</v>
      </c>
      <c r="K216" s="66" t="s">
        <v>3533</v>
      </c>
      <c r="L216" s="66">
        <v>62433</v>
      </c>
      <c r="M216" s="66"/>
      <c r="N216" s="66" t="s">
        <v>2859</v>
      </c>
      <c r="O216" s="66" t="s">
        <v>2860</v>
      </c>
      <c r="P216" s="66" t="s">
        <v>2861</v>
      </c>
      <c r="Q216" s="138" t="str">
        <f ca="1">IFERROR(LOOKUP($P216,MOTORISTAS!$D$3:$D$1048576,MOTORISTAS!E$3:E$916),"")</f>
        <v>01817591878</v>
      </c>
      <c r="R216" s="138" t="str">
        <f ca="1">IFERROR(LOOKUP($P216,MOTORISTAS!$D$3:$D$1048576,MOTORISTAS!F$3:F$916),"")</f>
        <v>00821760640</v>
      </c>
      <c r="S216" s="66" t="s">
        <v>3627</v>
      </c>
      <c r="T216" s="66" t="s">
        <v>293</v>
      </c>
      <c r="U216" s="79">
        <v>44978.927777777775</v>
      </c>
      <c r="V216" s="66" t="s">
        <v>292</v>
      </c>
      <c r="W216" s="79">
        <v>44979.519444444442</v>
      </c>
      <c r="X216" s="79">
        <v>44979.291666666664</v>
      </c>
      <c r="Y216" s="88">
        <v>44979.375</v>
      </c>
      <c r="Z216" s="81">
        <v>1600</v>
      </c>
      <c r="AA216" s="81">
        <v>0</v>
      </c>
      <c r="AB216" s="81">
        <f>SUM(Sal_23[[#This Row],[Saldo]]+Sal_23[[#This Row],[Adiantamento]])</f>
        <v>1600</v>
      </c>
      <c r="AC216" s="81">
        <v>0</v>
      </c>
      <c r="AD216" s="81"/>
      <c r="AE216" s="81"/>
      <c r="AF216" s="81"/>
      <c r="AG216" s="81">
        <f>Sal_23[[#This Row],[COMPRA]]*12%</f>
        <v>288</v>
      </c>
      <c r="AH216" s="83">
        <v>2400</v>
      </c>
      <c r="AI216" s="66" t="str">
        <f>PROPER(TEXT(Sal_23[[#This Row],[PROGRAMAÇÃO]],"mmm"))</f>
        <v>Fev</v>
      </c>
      <c r="AJ216" s="66">
        <f>YEAR(Sal_23[[#This Row],[PROGRAMAÇÃO]])</f>
        <v>2023</v>
      </c>
      <c r="AK216" s="66"/>
      <c r="AL216" s="66"/>
      <c r="AM216" s="66" t="s">
        <v>2768</v>
      </c>
      <c r="AN216" s="66" t="s">
        <v>2768</v>
      </c>
      <c r="AO216" s="66" t="s">
        <v>2768</v>
      </c>
      <c r="AP216" s="32"/>
      <c r="AQ216" s="32"/>
      <c r="AR216" s="32"/>
    </row>
    <row r="217" spans="1:44" x14ac:dyDescent="0.25">
      <c r="A217" s="120" t="str">
        <f>Sal_23[[#This Row],[CONTAINER]]</f>
        <v>CAIU3161016</v>
      </c>
      <c r="B217" s="128" t="s">
        <v>2771</v>
      </c>
      <c r="C21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7" s="79">
        <v>44977.458333333336</v>
      </c>
      <c r="E217" s="44" t="s">
        <v>3526</v>
      </c>
      <c r="F217" s="66">
        <v>20</v>
      </c>
      <c r="G217" s="66" t="s">
        <v>2820</v>
      </c>
      <c r="H217" s="44" t="s">
        <v>2820</v>
      </c>
      <c r="I217" s="299" t="s">
        <v>2821</v>
      </c>
      <c r="J217" s="66">
        <v>1152</v>
      </c>
      <c r="K217" s="66" t="s">
        <v>3533</v>
      </c>
      <c r="L217" s="66">
        <v>68792</v>
      </c>
      <c r="M217" s="66"/>
      <c r="N217" s="66" t="s">
        <v>3096</v>
      </c>
      <c r="O217" s="66" t="s">
        <v>3097</v>
      </c>
      <c r="P217" s="66" t="s">
        <v>3098</v>
      </c>
      <c r="Q217" s="138" t="str">
        <f ca="1">IFERROR(LOOKUP($P217,MOTORISTAS!$D$3:$D$1048576,MOTORISTAS!E$3:E$916),"")</f>
        <v>29714736862</v>
      </c>
      <c r="R217" s="138" t="str">
        <f ca="1">IFERROR(LOOKUP($P217,MOTORISTAS!$D$3:$D$1048576,MOTORISTAS!F$3:F$916),"")</f>
        <v>03001275806</v>
      </c>
      <c r="S217" s="66">
        <v>15121</v>
      </c>
      <c r="T217" s="66" t="s">
        <v>293</v>
      </c>
      <c r="U217" s="79">
        <v>44974.478472222225</v>
      </c>
      <c r="V217" s="66" t="s">
        <v>292</v>
      </c>
      <c r="W217" s="79">
        <v>44977.317361111112</v>
      </c>
      <c r="X217" s="79">
        <v>44977.208333333336</v>
      </c>
      <c r="Y217" s="88">
        <v>44977.4375</v>
      </c>
      <c r="Z217" s="81">
        <v>1600</v>
      </c>
      <c r="AA217" s="81">
        <v>0</v>
      </c>
      <c r="AB217" s="81">
        <f>SUM(Sal_23[[#This Row],[Saldo]]+Sal_23[[#This Row],[Adiantamento]])</f>
        <v>1600</v>
      </c>
      <c r="AC217" s="81">
        <v>0</v>
      </c>
      <c r="AD217" s="81"/>
      <c r="AE217" s="81"/>
      <c r="AF217" s="81"/>
      <c r="AG217" s="81">
        <f>Sal_23[[#This Row],[COMPRA]]*12%</f>
        <v>288</v>
      </c>
      <c r="AH217" s="83">
        <v>2400</v>
      </c>
      <c r="AI217" s="66" t="str">
        <f>PROPER(TEXT(Sal_23[[#This Row],[PROGRAMAÇÃO]],"mmm"))</f>
        <v>Fev</v>
      </c>
      <c r="AJ217" s="66">
        <f>YEAR(Sal_23[[#This Row],[PROGRAMAÇÃO]])</f>
        <v>2023</v>
      </c>
      <c r="AK217" s="66"/>
      <c r="AL217" s="66"/>
      <c r="AM217" s="66" t="s">
        <v>2768</v>
      </c>
      <c r="AN217" s="66" t="s">
        <v>2768</v>
      </c>
      <c r="AO217" s="66" t="s">
        <v>2768</v>
      </c>
      <c r="AP217" s="32"/>
      <c r="AQ217" s="32"/>
      <c r="AR217" s="32"/>
    </row>
    <row r="218" spans="1:44" x14ac:dyDescent="0.25">
      <c r="A218" s="120" t="str">
        <f>Sal_23[[#This Row],[CONTAINER]]</f>
        <v>CAIU3155862</v>
      </c>
      <c r="B218" s="128" t="s">
        <v>2771</v>
      </c>
      <c r="C21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8" s="79">
        <v>44979.458333333336</v>
      </c>
      <c r="E218" s="44" t="s">
        <v>3522</v>
      </c>
      <c r="F218" s="66">
        <v>20</v>
      </c>
      <c r="G218" s="66" t="s">
        <v>2820</v>
      </c>
      <c r="H218" s="44" t="s">
        <v>2820</v>
      </c>
      <c r="I218" s="299" t="s">
        <v>2821</v>
      </c>
      <c r="J218" s="66">
        <v>1380</v>
      </c>
      <c r="K218" s="66" t="s">
        <v>3533</v>
      </c>
      <c r="L218" s="66">
        <v>103993</v>
      </c>
      <c r="M218" s="66"/>
      <c r="N218" s="66" t="s">
        <v>2949</v>
      </c>
      <c r="O218" s="66" t="s">
        <v>2950</v>
      </c>
      <c r="P218" s="66" t="s">
        <v>2948</v>
      </c>
      <c r="Q218" s="138" t="str">
        <f ca="1">IFERROR(LOOKUP($P218,MOTORISTAS!$D$3:$D$1048576,MOTORISTAS!E$3:E$916),"")</f>
        <v>16239341843</v>
      </c>
      <c r="R218" s="138" t="str">
        <f ca="1">IFERROR(LOOKUP($P218,MOTORISTAS!$D$3:$D$1048576,MOTORISTAS!F$3:F$916),"")</f>
        <v>01877235038</v>
      </c>
      <c r="S218" s="66">
        <v>15132</v>
      </c>
      <c r="T218" s="66" t="s">
        <v>293</v>
      </c>
      <c r="U218" s="79">
        <v>44978.970833333333</v>
      </c>
      <c r="V218" s="66" t="s">
        <v>292</v>
      </c>
      <c r="W218" s="79">
        <v>44979.645138888889</v>
      </c>
      <c r="X218" s="79">
        <v>44979.208333333336</v>
      </c>
      <c r="Y218" s="88">
        <v>44979.458333333336</v>
      </c>
      <c r="Z218" s="81">
        <v>1600</v>
      </c>
      <c r="AA218" s="81">
        <v>0</v>
      </c>
      <c r="AB218" s="81">
        <f>SUM(Sal_23[[#This Row],[Saldo]]+Sal_23[[#This Row],[Adiantamento]])</f>
        <v>1600</v>
      </c>
      <c r="AC218" s="81">
        <v>0</v>
      </c>
      <c r="AD218" s="81"/>
      <c r="AE218" s="81"/>
      <c r="AF218" s="81"/>
      <c r="AG218" s="81">
        <f>Sal_23[[#This Row],[COMPRA]]*12%</f>
        <v>288</v>
      </c>
      <c r="AH218" s="83">
        <v>2400</v>
      </c>
      <c r="AI218" s="66" t="str">
        <f>PROPER(TEXT(Sal_23[[#This Row],[PROGRAMAÇÃO]],"mmm"))</f>
        <v>Fev</v>
      </c>
      <c r="AJ218" s="66">
        <f>YEAR(Sal_23[[#This Row],[PROGRAMAÇÃO]])</f>
        <v>2023</v>
      </c>
      <c r="AK218" s="66"/>
      <c r="AL218" s="66"/>
      <c r="AM218" s="66" t="s">
        <v>2768</v>
      </c>
      <c r="AN218" s="66" t="s">
        <v>2768</v>
      </c>
      <c r="AO218" s="66" t="s">
        <v>2768</v>
      </c>
      <c r="AP218" s="32"/>
      <c r="AQ218" s="32"/>
      <c r="AR218" s="32"/>
    </row>
    <row r="219" spans="1:44" x14ac:dyDescent="0.25">
      <c r="A219" s="120" t="str">
        <f>Sal_23[[#This Row],[CONTAINER]]</f>
        <v>TCLU3459732</v>
      </c>
      <c r="B219" s="128" t="s">
        <v>2771</v>
      </c>
      <c r="C21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19" s="79">
        <v>44979.375</v>
      </c>
      <c r="E219" s="44" t="s">
        <v>3524</v>
      </c>
      <c r="F219" s="66">
        <v>20</v>
      </c>
      <c r="G219" s="66" t="s">
        <v>2820</v>
      </c>
      <c r="H219" s="44" t="s">
        <v>2820</v>
      </c>
      <c r="I219" s="299" t="s">
        <v>2821</v>
      </c>
      <c r="J219" s="66">
        <v>1150</v>
      </c>
      <c r="K219" s="66" t="s">
        <v>3533</v>
      </c>
      <c r="L219" s="66">
        <v>68765</v>
      </c>
      <c r="M219" s="66"/>
      <c r="N219" s="66" t="s">
        <v>3028</v>
      </c>
      <c r="O219" s="66" t="s">
        <v>2864</v>
      </c>
      <c r="P219" s="66" t="s">
        <v>3443</v>
      </c>
      <c r="Q219" s="138" t="str">
        <f ca="1">IFERROR(LOOKUP($P219,MOTORISTAS!$D$3:$D$1048576,MOTORISTAS!E$3:E$916),"")</f>
        <v>13990937898</v>
      </c>
      <c r="R219" s="138" t="str">
        <f ca="1">IFERROR(LOOKUP($P219,MOTORISTAS!$D$3:$D$1048576,MOTORISTAS!F$3:F$916),"")</f>
        <v>01825123407</v>
      </c>
      <c r="S219" s="66">
        <v>15135</v>
      </c>
      <c r="T219" s="66" t="s">
        <v>293</v>
      </c>
      <c r="U219" s="79">
        <v>44978.895833333336</v>
      </c>
      <c r="V219" s="66" t="s">
        <v>526</v>
      </c>
      <c r="W219" s="79">
        <v>44959.669444444444</v>
      </c>
      <c r="X219" s="79">
        <v>44979.291666666664</v>
      </c>
      <c r="Y219" s="88">
        <v>44979.625</v>
      </c>
      <c r="Z219" s="81">
        <v>1600</v>
      </c>
      <c r="AA219" s="81">
        <v>0</v>
      </c>
      <c r="AB219" s="81">
        <f>SUM(Sal_23[[#This Row],[Saldo]]+Sal_23[[#This Row],[Adiantamento]])</f>
        <v>1600</v>
      </c>
      <c r="AC219" s="81">
        <v>0</v>
      </c>
      <c r="AD219" s="81"/>
      <c r="AE219" s="81"/>
      <c r="AF219" s="81"/>
      <c r="AG219" s="81">
        <f>Sal_23[[#This Row],[COMPRA]]*12%</f>
        <v>288</v>
      </c>
      <c r="AH219" s="83">
        <v>2400</v>
      </c>
      <c r="AI219" s="66" t="str">
        <f>PROPER(TEXT(Sal_23[[#This Row],[PROGRAMAÇÃO]],"mmm"))</f>
        <v>Fev</v>
      </c>
      <c r="AJ219" s="66">
        <f>YEAR(Sal_23[[#This Row],[PROGRAMAÇÃO]])</f>
        <v>2023</v>
      </c>
      <c r="AK219" s="66"/>
      <c r="AL219" s="66"/>
      <c r="AM219" s="66" t="s">
        <v>2768</v>
      </c>
      <c r="AN219" s="66" t="s">
        <v>2768</v>
      </c>
      <c r="AO219" s="66" t="s">
        <v>2768</v>
      </c>
      <c r="AP219" s="32"/>
      <c r="AQ219" s="32"/>
      <c r="AR219" s="32"/>
    </row>
    <row r="220" spans="1:44" x14ac:dyDescent="0.25">
      <c r="A220" s="120" t="str">
        <f>Sal_23[[#This Row],[CONTAINER]]</f>
        <v>CAIU3022920</v>
      </c>
      <c r="B220" s="128" t="s">
        <v>2771</v>
      </c>
      <c r="C22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20" s="79">
        <v>44979.375</v>
      </c>
      <c r="E220" s="44" t="s">
        <v>3527</v>
      </c>
      <c r="F220" s="66">
        <v>20</v>
      </c>
      <c r="G220" s="66" t="s">
        <v>2820</v>
      </c>
      <c r="H220" s="44" t="s">
        <v>2820</v>
      </c>
      <c r="I220" s="299" t="s">
        <v>2821</v>
      </c>
      <c r="J220" s="66">
        <v>1100</v>
      </c>
      <c r="K220" s="66" t="s">
        <v>3533</v>
      </c>
      <c r="L220" s="66">
        <v>62270</v>
      </c>
      <c r="M220" s="66"/>
      <c r="N220" s="66" t="s">
        <v>3096</v>
      </c>
      <c r="O220" s="66" t="s">
        <v>3097</v>
      </c>
      <c r="P220" s="66" t="s">
        <v>3098</v>
      </c>
      <c r="Q220" s="138" t="str">
        <f ca="1">IFERROR(LOOKUP($P220,MOTORISTAS!$D$3:$D$1048576,MOTORISTAS!E$3:E$916),"")</f>
        <v>29714736862</v>
      </c>
      <c r="R220" s="138" t="str">
        <f ca="1">IFERROR(LOOKUP($P220,MOTORISTAS!$D$3:$D$1048576,MOTORISTAS!F$3:F$916),"")</f>
        <v>03001275806</v>
      </c>
      <c r="S220" s="66">
        <v>15136</v>
      </c>
      <c r="T220" s="66" t="s">
        <v>293</v>
      </c>
      <c r="U220" s="79">
        <v>44977.375694444447</v>
      </c>
      <c r="V220" s="66" t="s">
        <v>292</v>
      </c>
      <c r="W220" s="79">
        <v>44980.364583333336</v>
      </c>
      <c r="X220" s="79">
        <v>44979.375</v>
      </c>
      <c r="Y220" s="88">
        <v>44979.458333333336</v>
      </c>
      <c r="Z220" s="81">
        <v>1600</v>
      </c>
      <c r="AA220" s="81">
        <v>0</v>
      </c>
      <c r="AB220" s="81">
        <f>SUM(Sal_23[[#This Row],[Saldo]]+Sal_23[[#This Row],[Adiantamento]])</f>
        <v>1600</v>
      </c>
      <c r="AC220" s="81">
        <v>0</v>
      </c>
      <c r="AD220" s="81"/>
      <c r="AE220" s="81"/>
      <c r="AF220" s="81"/>
      <c r="AG220" s="81">
        <f>Sal_23[[#This Row],[COMPRA]]*12%</f>
        <v>288</v>
      </c>
      <c r="AH220" s="83">
        <v>2400</v>
      </c>
      <c r="AI220" s="66" t="str">
        <f>PROPER(TEXT(Sal_23[[#This Row],[PROGRAMAÇÃO]],"mmm"))</f>
        <v>Fev</v>
      </c>
      <c r="AJ220" s="66">
        <f>YEAR(Sal_23[[#This Row],[PROGRAMAÇÃO]])</f>
        <v>2023</v>
      </c>
      <c r="AK220" s="66"/>
      <c r="AL220" s="66"/>
      <c r="AM220" s="66" t="s">
        <v>2768</v>
      </c>
      <c r="AN220" s="66" t="s">
        <v>2768</v>
      </c>
      <c r="AO220" s="66" t="s">
        <v>2768</v>
      </c>
      <c r="AP220" s="32"/>
      <c r="AQ220" s="32"/>
      <c r="AR220" s="32"/>
    </row>
    <row r="221" spans="1:44" x14ac:dyDescent="0.25">
      <c r="A221" s="120" t="str">
        <f>Sal_23[[#This Row],[CONTAINER]]</f>
        <v>TCLU3055978</v>
      </c>
      <c r="B221" s="128" t="s">
        <v>2771</v>
      </c>
      <c r="C22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21" s="79">
        <v>44979.375</v>
      </c>
      <c r="E221" s="44" t="s">
        <v>3528</v>
      </c>
      <c r="F221" s="66">
        <v>20</v>
      </c>
      <c r="G221" s="66" t="s">
        <v>2820</v>
      </c>
      <c r="H221" s="44" t="s">
        <v>2820</v>
      </c>
      <c r="I221" s="299" t="s">
        <v>2821</v>
      </c>
      <c r="J221" s="66">
        <v>1101</v>
      </c>
      <c r="K221" s="66" t="s">
        <v>3533</v>
      </c>
      <c r="L221" s="66">
        <v>62271</v>
      </c>
      <c r="M221" s="66"/>
      <c r="N221" s="66" t="s">
        <v>2156</v>
      </c>
      <c r="O221" s="66" t="s">
        <v>2464</v>
      </c>
      <c r="P221" s="66" t="s">
        <v>2158</v>
      </c>
      <c r="Q221" s="138" t="str">
        <f ca="1">IFERROR(LOOKUP($P221,MOTORISTAS!$D$3:$D$1048576,MOTORISTAS!E$3:E$916),"")</f>
        <v>10485530864</v>
      </c>
      <c r="R221" s="138" t="str">
        <f ca="1">IFERROR(LOOKUP($P221,MOTORISTAS!$D$3:$D$1048576,MOTORISTAS!F$3:F$916),"")</f>
        <v>02033192841</v>
      </c>
      <c r="S221" s="66">
        <v>15137</v>
      </c>
      <c r="T221" s="66" t="s">
        <v>293</v>
      </c>
      <c r="U221" s="79">
        <v>44978.972916666666</v>
      </c>
      <c r="V221" s="66" t="s">
        <v>292</v>
      </c>
      <c r="W221" s="79">
        <v>44980.3125</v>
      </c>
      <c r="X221" s="79">
        <v>44979.291666666664</v>
      </c>
      <c r="Y221" s="88">
        <v>44979.458333333336</v>
      </c>
      <c r="Z221" s="81">
        <v>1600</v>
      </c>
      <c r="AA221" s="81">
        <v>0</v>
      </c>
      <c r="AB221" s="81">
        <f>SUM(Sal_23[[#This Row],[Saldo]]+Sal_23[[#This Row],[Adiantamento]])</f>
        <v>1600</v>
      </c>
      <c r="AC221" s="81">
        <v>0</v>
      </c>
      <c r="AD221" s="81"/>
      <c r="AE221" s="81"/>
      <c r="AF221" s="81"/>
      <c r="AG221" s="81">
        <f>Sal_23[[#This Row],[COMPRA]]*12%</f>
        <v>288</v>
      </c>
      <c r="AH221" s="83">
        <v>2400</v>
      </c>
      <c r="AI221" s="66" t="str">
        <f>PROPER(TEXT(Sal_23[[#This Row],[PROGRAMAÇÃO]],"mmm"))</f>
        <v>Fev</v>
      </c>
      <c r="AJ221" s="66">
        <f>YEAR(Sal_23[[#This Row],[PROGRAMAÇÃO]])</f>
        <v>2023</v>
      </c>
      <c r="AK221" s="66"/>
      <c r="AL221" s="66"/>
      <c r="AM221" s="66" t="s">
        <v>2768</v>
      </c>
      <c r="AN221" s="66" t="s">
        <v>2768</v>
      </c>
      <c r="AO221" s="66" t="s">
        <v>2768</v>
      </c>
      <c r="AP221" s="32"/>
      <c r="AQ221" s="32"/>
      <c r="AR221" s="32"/>
    </row>
    <row r="222" spans="1:44" x14ac:dyDescent="0.25">
      <c r="A222" s="120" t="str">
        <f>Sal_23[[#This Row],[CONTAINER]]</f>
        <v>SEGU1093141</v>
      </c>
      <c r="B222" s="128" t="s">
        <v>2771</v>
      </c>
      <c r="C22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22" s="79">
        <v>44979.291666666664</v>
      </c>
      <c r="E222" s="44" t="s">
        <v>3529</v>
      </c>
      <c r="F222" s="66">
        <v>20</v>
      </c>
      <c r="G222" s="66" t="s">
        <v>2820</v>
      </c>
      <c r="H222" s="44" t="s">
        <v>2820</v>
      </c>
      <c r="I222" s="299" t="s">
        <v>2821</v>
      </c>
      <c r="J222" s="66">
        <v>1162</v>
      </c>
      <c r="K222" s="66" t="s">
        <v>3533</v>
      </c>
      <c r="L222" s="66">
        <v>62432</v>
      </c>
      <c r="M222" s="66"/>
      <c r="N222" s="66" t="s">
        <v>2584</v>
      </c>
      <c r="O222" s="66" t="s">
        <v>2585</v>
      </c>
      <c r="P222" s="66" t="s">
        <v>2586</v>
      </c>
      <c r="Q222" s="138" t="str">
        <f ca="1">IFERROR(LOOKUP($P222,MOTORISTAS!$D$3:$D$1048576,MOTORISTAS!E$3:E$916),"")</f>
        <v>08312935860</v>
      </c>
      <c r="R222" s="138" t="str">
        <f ca="1">IFERROR(LOOKUP($P222,MOTORISTAS!$D$3:$D$1048576,MOTORISTAS!F$3:F$916),"")</f>
        <v>03106516083</v>
      </c>
      <c r="S222" s="66">
        <v>15148</v>
      </c>
      <c r="T222" s="66" t="s">
        <v>293</v>
      </c>
      <c r="U222" s="79">
        <v>44978.879166666666</v>
      </c>
      <c r="V222" s="66" t="s">
        <v>292</v>
      </c>
      <c r="W222" s="79">
        <v>44980.645833333336</v>
      </c>
      <c r="X222" s="79">
        <v>44979.291666666664</v>
      </c>
      <c r="Y222" s="88">
        <v>44979.625</v>
      </c>
      <c r="Z222" s="81">
        <v>1600</v>
      </c>
      <c r="AA222" s="81">
        <v>0</v>
      </c>
      <c r="AB222" s="81">
        <f>SUM(Sal_23[[#This Row],[Saldo]]+Sal_23[[#This Row],[Adiantamento]])</f>
        <v>1600</v>
      </c>
      <c r="AC222" s="81">
        <v>0</v>
      </c>
      <c r="AD222" s="81"/>
      <c r="AE222" s="81"/>
      <c r="AF222" s="81"/>
      <c r="AG222" s="81">
        <f>Sal_23[[#This Row],[COMPRA]]*12%</f>
        <v>288</v>
      </c>
      <c r="AH222" s="83">
        <v>2400</v>
      </c>
      <c r="AI222" s="66" t="str">
        <f>PROPER(TEXT(Sal_23[[#This Row],[PROGRAMAÇÃO]],"mmm"))</f>
        <v>Fev</v>
      </c>
      <c r="AJ222" s="66">
        <f>YEAR(Sal_23[[#This Row],[PROGRAMAÇÃO]])</f>
        <v>2023</v>
      </c>
      <c r="AK222" s="66"/>
      <c r="AL222" s="66"/>
      <c r="AM222" s="66" t="s">
        <v>2768</v>
      </c>
      <c r="AN222" s="66" t="s">
        <v>2768</v>
      </c>
      <c r="AO222" s="66" t="s">
        <v>2768</v>
      </c>
      <c r="AP222" s="32"/>
      <c r="AQ222" s="32"/>
      <c r="AR222" s="32"/>
    </row>
    <row r="223" spans="1:44" x14ac:dyDescent="0.25">
      <c r="A223" s="120" t="str">
        <f>Sal_23[[#This Row],[CONTAINER]]</f>
        <v>CAIU8783007</v>
      </c>
      <c r="B223" s="128" t="s">
        <v>2771</v>
      </c>
      <c r="C22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23" s="79">
        <v>44979.333333333336</v>
      </c>
      <c r="E223" s="44" t="s">
        <v>3516</v>
      </c>
      <c r="F223" s="66">
        <v>40</v>
      </c>
      <c r="G223" s="66" t="s">
        <v>2826</v>
      </c>
      <c r="H223" s="44" t="s">
        <v>2834</v>
      </c>
      <c r="I223" s="299" t="s">
        <v>2831</v>
      </c>
      <c r="J223" s="66">
        <v>1368</v>
      </c>
      <c r="K223" s="66" t="s">
        <v>3533</v>
      </c>
      <c r="L223" s="66">
        <v>103916</v>
      </c>
      <c r="M223" s="66"/>
      <c r="N223" s="66" t="s">
        <v>210</v>
      </c>
      <c r="O223" s="66" t="s">
        <v>211</v>
      </c>
      <c r="P223" s="66" t="s">
        <v>212</v>
      </c>
      <c r="Q223" s="138" t="str">
        <f ca="1">IFERROR(LOOKUP($P223,MOTORISTAS!$D$3:$D$1048576,MOTORISTAS!E$3:E$916),"")</f>
        <v>38029906846</v>
      </c>
      <c r="R223" s="138" t="str">
        <f ca="1">IFERROR(LOOKUP($P223,MOTORISTAS!$D$3:$D$1048576,MOTORISTAS!F$3:F$916),"")</f>
        <v>04946846842</v>
      </c>
      <c r="S223" s="66">
        <v>3419</v>
      </c>
      <c r="T223" s="66" t="s">
        <v>293</v>
      </c>
      <c r="U223" s="79">
        <v>44978.041666666664</v>
      </c>
      <c r="V223" s="66" t="s">
        <v>469</v>
      </c>
      <c r="W223" s="79">
        <v>44979.738888888889</v>
      </c>
      <c r="X223" s="79">
        <v>44979.291666666664</v>
      </c>
      <c r="Y223" s="88">
        <v>44979.458333333336</v>
      </c>
      <c r="Z223" s="81">
        <v>471.6</v>
      </c>
      <c r="AA223" s="81"/>
      <c r="AB223" s="81">
        <v>471.6</v>
      </c>
      <c r="AC223" s="81"/>
      <c r="AD223" s="81">
        <v>3245.68</v>
      </c>
      <c r="AE223" s="81"/>
      <c r="AF223" s="81">
        <v>596.4</v>
      </c>
      <c r="AG223" s="81">
        <f>Sal_23[[#This Row],[COMPRA]]*12%</f>
        <v>523.91999999999996</v>
      </c>
      <c r="AH223" s="83">
        <v>4366</v>
      </c>
      <c r="AI223" s="66" t="str">
        <f>PROPER(TEXT(Sal_23[[#This Row],[PROGRAMAÇÃO]],"mmm"))</f>
        <v>Fev</v>
      </c>
      <c r="AJ223" s="66">
        <f>YEAR(Sal_23[[#This Row],[PROGRAMAÇÃO]])</f>
        <v>2023</v>
      </c>
      <c r="AK223" s="66"/>
      <c r="AL223" s="66"/>
      <c r="AM223" s="66" t="s">
        <v>2768</v>
      </c>
      <c r="AN223" s="66" t="s">
        <v>2768</v>
      </c>
      <c r="AO223" s="66" t="s">
        <v>2768</v>
      </c>
      <c r="AP223" s="32"/>
      <c r="AQ223" s="32"/>
      <c r="AR223" s="32"/>
    </row>
    <row r="224" spans="1:44" x14ac:dyDescent="0.25">
      <c r="A224" s="120" t="str">
        <f>Sal_23[[#This Row],[CONTAINER]]</f>
        <v>CAIU3417406</v>
      </c>
      <c r="B224" s="128" t="s">
        <v>2771</v>
      </c>
      <c r="C22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24" s="79">
        <v>44981.333333333336</v>
      </c>
      <c r="E224" s="44" t="s">
        <v>3507</v>
      </c>
      <c r="F224" s="66">
        <v>20</v>
      </c>
      <c r="G224" s="66" t="s">
        <v>2826</v>
      </c>
      <c r="H224" s="44" t="s">
        <v>2827</v>
      </c>
      <c r="I224" s="299" t="s">
        <v>2823</v>
      </c>
      <c r="J224" s="66">
        <v>1408</v>
      </c>
      <c r="K224" s="66" t="s">
        <v>3533</v>
      </c>
      <c r="L224" s="66">
        <v>103892</v>
      </c>
      <c r="M224" s="66"/>
      <c r="N224" s="66" t="s">
        <v>2940</v>
      </c>
      <c r="O224" s="66"/>
      <c r="P224" s="66" t="s">
        <v>3086</v>
      </c>
      <c r="Q224" s="138" t="str">
        <f ca="1">IFERROR(LOOKUP($P224,MOTORISTAS!$D$3:$D$1048576,MOTORISTAS!E$3:E$916),"")</f>
        <v>16955497839</v>
      </c>
      <c r="R224" s="138" t="str">
        <f ca="1">IFERROR(LOOKUP($P224,MOTORISTAS!$D$3:$D$1048576,MOTORISTAS!F$3:F$916),"")</f>
        <v>03177639496</v>
      </c>
      <c r="S224" s="66">
        <v>3417</v>
      </c>
      <c r="T224" s="66" t="s">
        <v>293</v>
      </c>
      <c r="U224" s="79">
        <v>44977.469444444447</v>
      </c>
      <c r="V224" s="66" t="s">
        <v>469</v>
      </c>
      <c r="W224" s="79">
        <v>44981.619444444441</v>
      </c>
      <c r="X224" s="79">
        <v>44981.25</v>
      </c>
      <c r="Y224" s="88">
        <v>44981.388888888891</v>
      </c>
      <c r="Z224" s="81">
        <v>3200</v>
      </c>
      <c r="AA224" s="81">
        <v>0</v>
      </c>
      <c r="AB224" s="81">
        <f>SUM(Sal_23[[#This Row],[Saldo]]+Sal_23[[#This Row],[Adiantamento]])</f>
        <v>3200</v>
      </c>
      <c r="AC224" s="81">
        <v>0</v>
      </c>
      <c r="AD224" s="81"/>
      <c r="AE224" s="81"/>
      <c r="AF224" s="81"/>
      <c r="AG224" s="81">
        <f>Sal_23[[#This Row],[COMPRA]]*12%</f>
        <v>571.48680000000002</v>
      </c>
      <c r="AH224" s="83">
        <v>4762.3900000000003</v>
      </c>
      <c r="AI224" s="66" t="str">
        <f>PROPER(TEXT(Sal_23[[#This Row],[PROGRAMAÇÃO]],"mmm"))</f>
        <v>Fev</v>
      </c>
      <c r="AJ224" s="66">
        <f>YEAR(Sal_23[[#This Row],[PROGRAMAÇÃO]])</f>
        <v>2023</v>
      </c>
      <c r="AK224" s="66"/>
      <c r="AL224" s="66"/>
      <c r="AM224" s="66" t="s">
        <v>2768</v>
      </c>
      <c r="AN224" s="66" t="s">
        <v>2768</v>
      </c>
      <c r="AO224" s="66" t="s">
        <v>2768</v>
      </c>
      <c r="AP224" s="32"/>
      <c r="AQ224" s="32"/>
      <c r="AR224" s="32"/>
    </row>
    <row r="225" spans="1:44" x14ac:dyDescent="0.25">
      <c r="A225" s="120" t="str">
        <f>Sal_23[[#This Row],[CONTAINER]]</f>
        <v>CAIU3022155</v>
      </c>
      <c r="B225" s="128" t="s">
        <v>2771</v>
      </c>
      <c r="C22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25" s="79">
        <v>44981.333333333336</v>
      </c>
      <c r="E225" s="44" t="s">
        <v>3508</v>
      </c>
      <c r="F225" s="66">
        <v>20</v>
      </c>
      <c r="G225" s="66" t="s">
        <v>2826</v>
      </c>
      <c r="H225" s="44" t="s">
        <v>2827</v>
      </c>
      <c r="I225" s="299" t="s">
        <v>2823</v>
      </c>
      <c r="J225" s="66">
        <v>1372</v>
      </c>
      <c r="K225" s="66" t="s">
        <v>3533</v>
      </c>
      <c r="L225" s="66">
        <v>103955</v>
      </c>
      <c r="M225" s="66"/>
      <c r="N225" s="66" t="s">
        <v>3583</v>
      </c>
      <c r="O225" s="66" t="s">
        <v>3576</v>
      </c>
      <c r="P225" s="66" t="s">
        <v>3577</v>
      </c>
      <c r="Q225" s="138" t="str">
        <f ca="1">IFERROR(LOOKUP($P225,MOTORISTAS!$D$3:$D$1048576,MOTORISTAS!E$3:E$916),"")</f>
        <v>19294729869</v>
      </c>
      <c r="R225" s="138" t="str">
        <f ca="1">IFERROR(LOOKUP($P225,MOTORISTAS!$D$3:$D$1048576,MOTORISTAS!F$3:F$916),"")</f>
        <v>01008628403</v>
      </c>
      <c r="S225" s="66">
        <v>3418</v>
      </c>
      <c r="T225" s="66" t="s">
        <v>293</v>
      </c>
      <c r="U225" s="79">
        <v>44977.38958333333</v>
      </c>
      <c r="V225" s="66" t="s">
        <v>469</v>
      </c>
      <c r="W225" s="79">
        <v>44981.727777777778</v>
      </c>
      <c r="X225" s="79">
        <v>44981.25</v>
      </c>
      <c r="Y225" s="88">
        <v>44981.388888888891</v>
      </c>
      <c r="Z225" s="81">
        <v>3200</v>
      </c>
      <c r="AA225" s="81">
        <v>0</v>
      </c>
      <c r="AB225" s="81">
        <f>SUM(Sal_23[[#This Row],[Saldo]]+Sal_23[[#This Row],[Adiantamento]])</f>
        <v>3200</v>
      </c>
      <c r="AC225" s="81">
        <v>0</v>
      </c>
      <c r="AD225" s="81"/>
      <c r="AE225" s="81"/>
      <c r="AF225" s="81"/>
      <c r="AG225" s="81">
        <f>Sal_23[[#This Row],[COMPRA]]*12%</f>
        <v>571.48680000000002</v>
      </c>
      <c r="AH225" s="83">
        <v>4762.3900000000003</v>
      </c>
      <c r="AI225" s="66" t="str">
        <f>PROPER(TEXT(Sal_23[[#This Row],[PROGRAMAÇÃO]],"mmm"))</f>
        <v>Fev</v>
      </c>
      <c r="AJ225" s="66">
        <f>YEAR(Sal_23[[#This Row],[PROGRAMAÇÃO]])</f>
        <v>2023</v>
      </c>
      <c r="AK225" s="66"/>
      <c r="AL225" s="66"/>
      <c r="AM225" s="66" t="s">
        <v>2768</v>
      </c>
      <c r="AN225" s="66" t="s">
        <v>2768</v>
      </c>
      <c r="AO225" s="66" t="s">
        <v>2768</v>
      </c>
      <c r="AP225" s="32"/>
      <c r="AQ225" s="32"/>
      <c r="AR225" s="32"/>
    </row>
    <row r="226" spans="1:44" x14ac:dyDescent="0.25">
      <c r="A226" s="120" t="str">
        <f>Sal_23[[#This Row],[CONTAINER]]</f>
        <v>MRKU8598715</v>
      </c>
      <c r="B226" s="128" t="s">
        <v>2771</v>
      </c>
      <c r="C22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26" s="79">
        <v>44979.333333333336</v>
      </c>
      <c r="E226" s="44" t="s">
        <v>3562</v>
      </c>
      <c r="F226" s="66">
        <v>20</v>
      </c>
      <c r="G226" s="66" t="s">
        <v>2826</v>
      </c>
      <c r="H226" s="44" t="s">
        <v>3105</v>
      </c>
      <c r="I226" s="299" t="s">
        <v>3185</v>
      </c>
      <c r="J226" s="66" t="s">
        <v>3622</v>
      </c>
      <c r="K226" s="66" t="s">
        <v>3567</v>
      </c>
      <c r="L226" s="66">
        <v>104104</v>
      </c>
      <c r="M226" s="66"/>
      <c r="N226" s="66" t="s">
        <v>72</v>
      </c>
      <c r="O226" s="66" t="s">
        <v>73</v>
      </c>
      <c r="P226" s="66" t="s">
        <v>203</v>
      </c>
      <c r="Q226" s="138" t="str">
        <f ca="1">IFERROR(LOOKUP($P226,MOTORISTAS!$D$3:$D$1048576,MOTORISTAS!E$3:E$916),"")</f>
        <v>10395859816</v>
      </c>
      <c r="R226" s="138" t="str">
        <f ca="1">IFERROR(LOOKUP($P226,MOTORISTAS!$D$3:$D$1048576,MOTORISTAS!F$3:F$916),"")</f>
        <v>01965794851</v>
      </c>
      <c r="S226" s="66">
        <v>3420</v>
      </c>
      <c r="T226" s="66" t="s">
        <v>306</v>
      </c>
      <c r="U226" s="79">
        <v>44979.302083333336</v>
      </c>
      <c r="V226" s="66" t="s">
        <v>292</v>
      </c>
      <c r="W226" s="79">
        <v>44980</v>
      </c>
      <c r="X226" s="79">
        <v>44979.385416666664</v>
      </c>
      <c r="Y226" s="88">
        <v>44979.552083333336</v>
      </c>
      <c r="Z226" s="81">
        <v>1600</v>
      </c>
      <c r="AA226" s="81"/>
      <c r="AB226" s="81"/>
      <c r="AC226" s="81"/>
      <c r="AD226" s="81"/>
      <c r="AE226" s="81"/>
      <c r="AF226" s="81"/>
      <c r="AG226" s="81">
        <f>Sal_23[[#This Row],[COMPRA]]*12%</f>
        <v>415.74719999999996</v>
      </c>
      <c r="AH226" s="83">
        <v>3464.56</v>
      </c>
      <c r="AI226" s="66" t="str">
        <f>PROPER(TEXT(Sal_23[[#This Row],[PROGRAMAÇÃO]],"mmm"))</f>
        <v>Fev</v>
      </c>
      <c r="AJ226" s="66">
        <f>YEAR(Sal_23[[#This Row],[PROGRAMAÇÃO]])</f>
        <v>2023</v>
      </c>
      <c r="AK226" s="66"/>
      <c r="AL226" s="44" t="s">
        <v>3602</v>
      </c>
      <c r="AM226" s="66" t="s">
        <v>2768</v>
      </c>
      <c r="AN226" s="66" t="s">
        <v>2768</v>
      </c>
      <c r="AO226" s="66" t="s">
        <v>2768</v>
      </c>
      <c r="AP226" s="32"/>
      <c r="AQ226" s="32"/>
      <c r="AR226" s="32"/>
    </row>
    <row r="227" spans="1:44" x14ac:dyDescent="0.25">
      <c r="A227" s="120" t="str">
        <f>Sal_23[[#This Row],[CONTAINER]]</f>
        <v>TCKU6837166</v>
      </c>
      <c r="B227" s="128" t="s">
        <v>2771</v>
      </c>
      <c r="C22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27" s="79">
        <v>44979.333333333336</v>
      </c>
      <c r="E227" s="44" t="s">
        <v>3565</v>
      </c>
      <c r="F227" s="66">
        <v>40</v>
      </c>
      <c r="G227" s="66" t="s">
        <v>2826</v>
      </c>
      <c r="H227" s="44" t="s">
        <v>2835</v>
      </c>
      <c r="I227" s="299" t="s">
        <v>2822</v>
      </c>
      <c r="J227" s="66" t="s">
        <v>3623</v>
      </c>
      <c r="K227" s="66" t="s">
        <v>3567</v>
      </c>
      <c r="L227" s="66">
        <v>104063</v>
      </c>
      <c r="M227" s="66"/>
      <c r="N227" s="66" t="s">
        <v>92</v>
      </c>
      <c r="O227" s="66" t="s">
        <v>93</v>
      </c>
      <c r="P227" s="66" t="s">
        <v>94</v>
      </c>
      <c r="Q227" s="138" t="str">
        <f ca="1">IFERROR(LOOKUP($P227,MOTORISTAS!$D$3:$D$1048576,MOTORISTAS!E$3:E$916),"")</f>
        <v>26283419801</v>
      </c>
      <c r="R227" s="138" t="str">
        <f ca="1">IFERROR(LOOKUP($P227,MOTORISTAS!$D$3:$D$1048576,MOTORISTAS!F$3:F$916),"")</f>
        <v>02002046946</v>
      </c>
      <c r="S227" s="66">
        <v>3421</v>
      </c>
      <c r="T227" s="66" t="s">
        <v>306</v>
      </c>
      <c r="U227" s="79">
        <v>44979.260416666664</v>
      </c>
      <c r="V227" s="66" t="s">
        <v>409</v>
      </c>
      <c r="W227" s="79">
        <v>44979.661111111112</v>
      </c>
      <c r="X227" s="79">
        <v>44979.383333333331</v>
      </c>
      <c r="Y227" s="88">
        <v>44979.496527777781</v>
      </c>
      <c r="Z227" s="81">
        <v>2100</v>
      </c>
      <c r="AA227" s="81">
        <v>0</v>
      </c>
      <c r="AB227" s="81">
        <f>SUM(Sal_23[[#This Row],[Saldo]]+Sal_23[[#This Row],[Adiantamento]])</f>
        <v>2100</v>
      </c>
      <c r="AC227" s="81">
        <v>0</v>
      </c>
      <c r="AD227" s="81"/>
      <c r="AE227" s="81"/>
      <c r="AF227" s="81"/>
      <c r="AG227" s="81">
        <f>Sal_23[[#This Row],[COMPRA]]*12%</f>
        <v>370.37759999999997</v>
      </c>
      <c r="AH227" s="83">
        <v>3086.48</v>
      </c>
      <c r="AI227" s="66" t="str">
        <f>PROPER(TEXT(Sal_23[[#This Row],[PROGRAMAÇÃO]],"mmm"))</f>
        <v>Fev</v>
      </c>
      <c r="AJ227" s="66">
        <f>YEAR(Sal_23[[#This Row],[PROGRAMAÇÃO]])</f>
        <v>2023</v>
      </c>
      <c r="AK227" s="66"/>
      <c r="AL227" s="44" t="s">
        <v>3602</v>
      </c>
      <c r="AM227" s="66" t="s">
        <v>2768</v>
      </c>
      <c r="AN227" s="66" t="s">
        <v>2768</v>
      </c>
      <c r="AO227" s="66" t="s">
        <v>2768</v>
      </c>
      <c r="AP227" s="32"/>
      <c r="AQ227" s="32"/>
      <c r="AR227" s="32"/>
    </row>
    <row r="228" spans="1:44" x14ac:dyDescent="0.25">
      <c r="A228" s="120" t="str">
        <f>Sal_23[[#This Row],[CONTAINER]]</f>
        <v>MRKU5238607</v>
      </c>
      <c r="B228" s="128" t="s">
        <v>2771</v>
      </c>
      <c r="C22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28" s="79">
        <v>44979.333333333336</v>
      </c>
      <c r="E228" s="44" t="s">
        <v>3566</v>
      </c>
      <c r="F228" s="66">
        <v>40</v>
      </c>
      <c r="G228" s="66" t="s">
        <v>2826</v>
      </c>
      <c r="H228" s="44" t="s">
        <v>2835</v>
      </c>
      <c r="I228" s="299" t="s">
        <v>2822</v>
      </c>
      <c r="J228" s="66" t="s">
        <v>3623</v>
      </c>
      <c r="K228" s="66" t="s">
        <v>3567</v>
      </c>
      <c r="L228" s="66">
        <v>104136</v>
      </c>
      <c r="M228" s="66"/>
      <c r="N228" s="66" t="s">
        <v>3583</v>
      </c>
      <c r="O228" s="66" t="s">
        <v>3576</v>
      </c>
      <c r="P228" s="66" t="s">
        <v>3577</v>
      </c>
      <c r="Q228" s="138" t="str">
        <f ca="1">IFERROR(LOOKUP($P228,MOTORISTAS!$D$3:$D$1048576,MOTORISTAS!E$3:E$916),"")</f>
        <v>19294729869</v>
      </c>
      <c r="R228" s="138" t="str">
        <f ca="1">IFERROR(LOOKUP($P228,MOTORISTAS!$D$3:$D$1048576,MOTORISTAS!F$3:F$916),"")</f>
        <v>01008628403</v>
      </c>
      <c r="S228" s="66">
        <v>3422</v>
      </c>
      <c r="T228" s="66" t="s">
        <v>306</v>
      </c>
      <c r="U228" s="79">
        <v>44979.229861111111</v>
      </c>
      <c r="V228" s="66" t="s">
        <v>292</v>
      </c>
      <c r="W228" s="79">
        <v>44980.637499999997</v>
      </c>
      <c r="X228" s="79">
        <v>44979.333333333336</v>
      </c>
      <c r="Y228" s="88">
        <v>44979.5</v>
      </c>
      <c r="Z228" s="81">
        <v>2100</v>
      </c>
      <c r="AA228" s="81">
        <v>0</v>
      </c>
      <c r="AB228" s="81">
        <f>SUM(Sal_23[[#This Row],[Saldo]]+Sal_23[[#This Row],[Adiantamento]])</f>
        <v>2100</v>
      </c>
      <c r="AC228" s="81">
        <v>0</v>
      </c>
      <c r="AD228" s="81"/>
      <c r="AE228" s="81"/>
      <c r="AF228" s="81"/>
      <c r="AG228" s="81">
        <f>Sal_23[[#This Row],[COMPRA]]*12%</f>
        <v>370.37759999999997</v>
      </c>
      <c r="AH228" s="83">
        <v>3086.48</v>
      </c>
      <c r="AI228" s="66" t="str">
        <f>PROPER(TEXT(Sal_23[[#This Row],[PROGRAMAÇÃO]],"mmm"))</f>
        <v>Fev</v>
      </c>
      <c r="AJ228" s="66">
        <f>YEAR(Sal_23[[#This Row],[PROGRAMAÇÃO]])</f>
        <v>2023</v>
      </c>
      <c r="AK228" s="66"/>
      <c r="AL228" s="66"/>
      <c r="AM228" s="66" t="s">
        <v>2768</v>
      </c>
      <c r="AN228" s="66" t="s">
        <v>2768</v>
      </c>
      <c r="AO228" s="66" t="s">
        <v>2768</v>
      </c>
      <c r="AP228" s="32"/>
      <c r="AQ228" s="32"/>
      <c r="AR228" s="32"/>
    </row>
    <row r="229" spans="1:44" x14ac:dyDescent="0.25">
      <c r="A229" s="120" t="str">
        <f>Sal_23[[#This Row],[CONTAINER]]</f>
        <v>MRKU9509559</v>
      </c>
      <c r="B229" s="128" t="s">
        <v>2771</v>
      </c>
      <c r="C22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29" s="79">
        <v>44980.333333333336</v>
      </c>
      <c r="E229" s="44" t="s">
        <v>3563</v>
      </c>
      <c r="F229" s="66">
        <v>20</v>
      </c>
      <c r="G229" s="66" t="s">
        <v>2826</v>
      </c>
      <c r="H229" s="44" t="s">
        <v>3105</v>
      </c>
      <c r="I229" s="299" t="s">
        <v>3185</v>
      </c>
      <c r="J229" s="66" t="s">
        <v>3622</v>
      </c>
      <c r="K229" s="66" t="s">
        <v>3567</v>
      </c>
      <c r="L229" s="66">
        <v>104105</v>
      </c>
      <c r="M229" s="66"/>
      <c r="N229" s="66" t="s">
        <v>2859</v>
      </c>
      <c r="O229" s="66" t="s">
        <v>2860</v>
      </c>
      <c r="P229" s="66" t="s">
        <v>2861</v>
      </c>
      <c r="Q229" s="138" t="str">
        <f ca="1">IFERROR(LOOKUP($P229,MOTORISTAS!$D$3:$D$1048576,MOTORISTAS!E$3:E$916),"")</f>
        <v>01817591878</v>
      </c>
      <c r="R229" s="138" t="str">
        <f ca="1">IFERROR(LOOKUP($P229,MOTORISTAS!$D$3:$D$1048576,MOTORISTAS!F$3:F$916),"")</f>
        <v>00821760640</v>
      </c>
      <c r="S229" s="66">
        <v>3423</v>
      </c>
      <c r="T229" s="66" t="s">
        <v>306</v>
      </c>
      <c r="U229" s="79">
        <v>44980.033333333333</v>
      </c>
      <c r="V229" s="66" t="s">
        <v>292</v>
      </c>
      <c r="W229" s="79">
        <v>44980.597222222219</v>
      </c>
      <c r="X229" s="79">
        <v>44980.25</v>
      </c>
      <c r="Y229" s="88">
        <v>44980.458333333336</v>
      </c>
      <c r="Z229" s="81">
        <v>1600</v>
      </c>
      <c r="AA229" s="81"/>
      <c r="AB229" s="81"/>
      <c r="AC229" s="81">
        <v>600</v>
      </c>
      <c r="AD229" s="81"/>
      <c r="AE229" s="81"/>
      <c r="AF229" s="81"/>
      <c r="AG229" s="81">
        <f>Sal_23[[#This Row],[COMPRA]]*12%</f>
        <v>415.74719999999996</v>
      </c>
      <c r="AH229" s="83">
        <v>3464.56</v>
      </c>
      <c r="AI229" s="66" t="str">
        <f>PROPER(TEXT(Sal_23[[#This Row],[PROGRAMAÇÃO]],"mmm"))</f>
        <v>Fev</v>
      </c>
      <c r="AJ229" s="66">
        <f>YEAR(Sal_23[[#This Row],[PROGRAMAÇÃO]])</f>
        <v>2023</v>
      </c>
      <c r="AK229" s="66"/>
      <c r="AL229" s="66"/>
      <c r="AM229" s="66" t="s">
        <v>2768</v>
      </c>
      <c r="AN229" s="66" t="s">
        <v>2768</v>
      </c>
      <c r="AO229" s="66" t="s">
        <v>2768</v>
      </c>
      <c r="AP229" s="32"/>
      <c r="AQ229" s="32"/>
      <c r="AR229" s="32"/>
    </row>
    <row r="230" spans="1:44" x14ac:dyDescent="0.25">
      <c r="A230" s="120" t="str">
        <f>Sal_23[[#This Row],[CONTAINER]]</f>
        <v>MRKU9570097</v>
      </c>
      <c r="B230" s="128" t="s">
        <v>2771</v>
      </c>
      <c r="C23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30" s="79">
        <v>44981.333333333336</v>
      </c>
      <c r="E230" s="44" t="s">
        <v>3564</v>
      </c>
      <c r="F230" s="66">
        <v>20</v>
      </c>
      <c r="G230" s="66" t="s">
        <v>2826</v>
      </c>
      <c r="H230" s="44" t="s">
        <v>2827</v>
      </c>
      <c r="I230" s="299" t="s">
        <v>2823</v>
      </c>
      <c r="J230" s="66" t="s">
        <v>3624</v>
      </c>
      <c r="K230" s="66" t="s">
        <v>3567</v>
      </c>
      <c r="L230" s="66">
        <v>104141</v>
      </c>
      <c r="M230" s="66"/>
      <c r="N230" s="66" t="s">
        <v>2156</v>
      </c>
      <c r="O230" s="66" t="s">
        <v>2464</v>
      </c>
      <c r="P230" s="66" t="s">
        <v>2158</v>
      </c>
      <c r="Q230" s="138" t="str">
        <f ca="1">IFERROR(LOOKUP($P230,MOTORISTAS!$D$3:$D$1048576,MOTORISTAS!E$3:E$916),"")</f>
        <v>10485530864</v>
      </c>
      <c r="R230" s="138" t="str">
        <f ca="1">IFERROR(LOOKUP($P230,MOTORISTAS!$D$3:$D$1048576,MOTORISTAS!F$3:F$916),"")</f>
        <v>02033192841</v>
      </c>
      <c r="S230" s="66">
        <v>3433</v>
      </c>
      <c r="T230" s="66" t="s">
        <v>306</v>
      </c>
      <c r="U230" s="79">
        <v>44980.893750000003</v>
      </c>
      <c r="V230" s="79">
        <v>44981</v>
      </c>
      <c r="W230" s="79">
        <v>44981.506249999999</v>
      </c>
      <c r="X230" s="79">
        <v>44981.270138888889</v>
      </c>
      <c r="Y230" s="88">
        <v>44981.347222222219</v>
      </c>
      <c r="Z230" s="81">
        <v>3200</v>
      </c>
      <c r="AA230" s="81">
        <v>0</v>
      </c>
      <c r="AB230" s="81">
        <f>SUM(Sal_23[[#This Row],[Saldo]]+Sal_23[[#This Row],[Adiantamento]])</f>
        <v>3200</v>
      </c>
      <c r="AC230" s="81">
        <v>0</v>
      </c>
      <c r="AD230" s="81"/>
      <c r="AE230" s="81"/>
      <c r="AF230" s="81"/>
      <c r="AG230" s="81">
        <f>Sal_23[[#This Row],[COMPRA]]*12%</f>
        <v>571.48680000000002</v>
      </c>
      <c r="AH230" s="83">
        <v>4762.3900000000003</v>
      </c>
      <c r="AI230" s="66" t="str">
        <f>PROPER(TEXT(Sal_23[[#This Row],[PROGRAMAÇÃO]],"mmm"))</f>
        <v>Fev</v>
      </c>
      <c r="AJ230" s="66">
        <f>YEAR(Sal_23[[#This Row],[PROGRAMAÇÃO]])</f>
        <v>2023</v>
      </c>
      <c r="AK230" s="66"/>
      <c r="AL230" s="66"/>
      <c r="AM230" s="66" t="s">
        <v>2768</v>
      </c>
      <c r="AN230" s="66" t="s">
        <v>2768</v>
      </c>
      <c r="AO230" s="66" t="s">
        <v>2768</v>
      </c>
      <c r="AP230" s="32"/>
      <c r="AQ230" s="32"/>
      <c r="AR230" s="32"/>
    </row>
    <row r="231" spans="1:44" x14ac:dyDescent="0.25">
      <c r="A231" s="120" t="str">
        <f>Sal_23[[#This Row],[CONTAINER]]</f>
        <v>TCLU3466813</v>
      </c>
      <c r="B231" s="128" t="s">
        <v>2771</v>
      </c>
      <c r="C23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31" s="79">
        <v>44980.333333333336</v>
      </c>
      <c r="E231" s="44" t="s">
        <v>3603</v>
      </c>
      <c r="F231" s="66">
        <v>20</v>
      </c>
      <c r="G231" s="66" t="s">
        <v>2826</v>
      </c>
      <c r="H231" s="44" t="s">
        <v>3082</v>
      </c>
      <c r="I231" s="299" t="s">
        <v>3083</v>
      </c>
      <c r="J231" s="66">
        <v>1593</v>
      </c>
      <c r="K231" s="66" t="s">
        <v>3614</v>
      </c>
      <c r="L231" s="66">
        <v>104146</v>
      </c>
      <c r="M231" s="66"/>
      <c r="N231" s="66" t="s">
        <v>2584</v>
      </c>
      <c r="O231" s="66" t="s">
        <v>2585</v>
      </c>
      <c r="P231" s="66" t="s">
        <v>2586</v>
      </c>
      <c r="Q231" s="138" t="str">
        <f ca="1">IFERROR(LOOKUP($P231,MOTORISTAS!$D$3:$D$1048576,MOTORISTAS!E$3:E$916),"")</f>
        <v>08312935860</v>
      </c>
      <c r="R231" s="138" t="str">
        <f ca="1">IFERROR(LOOKUP($P231,MOTORISTAS!$D$3:$D$1048576,MOTORISTAS!F$3:F$916),"")</f>
        <v>03106516083</v>
      </c>
      <c r="S231" s="66">
        <v>3424</v>
      </c>
      <c r="T231" s="66" t="s">
        <v>293</v>
      </c>
      <c r="U231" s="79">
        <v>44979.9375</v>
      </c>
      <c r="V231" s="66" t="s">
        <v>526</v>
      </c>
      <c r="W231" s="79">
        <v>44980.593055555553</v>
      </c>
      <c r="X231" s="79">
        <v>44980.25</v>
      </c>
      <c r="Y231" s="88">
        <v>44980.472222222219</v>
      </c>
      <c r="Z231" s="81">
        <v>2000</v>
      </c>
      <c r="AA231" s="81">
        <v>0</v>
      </c>
      <c r="AB231" s="81">
        <f>SUM(Sal_23[[#This Row],[Saldo]]+Sal_23[[#This Row],[Adiantamento]])</f>
        <v>2000</v>
      </c>
      <c r="AC231" s="81">
        <v>0</v>
      </c>
      <c r="AD231" s="81"/>
      <c r="AE231" s="81"/>
      <c r="AF231" s="81"/>
      <c r="AG231" s="81">
        <f>Sal_23[[#This Row],[COMPRA]]*12%</f>
        <v>355.75439999999998</v>
      </c>
      <c r="AH231" s="83">
        <v>2964.62</v>
      </c>
      <c r="AI231" s="66" t="str">
        <f>PROPER(TEXT(Sal_23[[#This Row],[PROGRAMAÇÃO]],"mmm"))</f>
        <v>Fev</v>
      </c>
      <c r="AJ231" s="66">
        <f>YEAR(Sal_23[[#This Row],[PROGRAMAÇÃO]])</f>
        <v>2023</v>
      </c>
      <c r="AK231" s="66"/>
      <c r="AL231" s="66"/>
      <c r="AM231" s="66" t="s">
        <v>2768</v>
      </c>
      <c r="AN231" s="66" t="s">
        <v>2768</v>
      </c>
      <c r="AO231" s="66" t="s">
        <v>2768</v>
      </c>
      <c r="AP231" s="32"/>
      <c r="AQ231" s="32"/>
      <c r="AR231" s="32"/>
    </row>
    <row r="232" spans="1:44" x14ac:dyDescent="0.25">
      <c r="A232" s="120" t="str">
        <f>Sal_23[[#This Row],[CONTAINER]]</f>
        <v>TCNU6205019</v>
      </c>
      <c r="B232" s="128" t="s">
        <v>2771</v>
      </c>
      <c r="C23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32" s="79">
        <v>44980.333333333336</v>
      </c>
      <c r="E232" s="44" t="s">
        <v>3611</v>
      </c>
      <c r="F232" s="66">
        <v>40</v>
      </c>
      <c r="G232" s="66" t="s">
        <v>2826</v>
      </c>
      <c r="H232" s="44" t="s">
        <v>2835</v>
      </c>
      <c r="I232" s="299" t="s">
        <v>2822</v>
      </c>
      <c r="J232" s="66">
        <v>1588</v>
      </c>
      <c r="K232" s="66" t="s">
        <v>3614</v>
      </c>
      <c r="L232" s="66">
        <v>104036</v>
      </c>
      <c r="M232" s="66"/>
      <c r="N232" s="66" t="s">
        <v>150</v>
      </c>
      <c r="O232" s="66" t="s">
        <v>209</v>
      </c>
      <c r="P232" s="66" t="s">
        <v>152</v>
      </c>
      <c r="Q232" s="138" t="str">
        <f ca="1">IFERROR(LOOKUP($P232,MOTORISTAS!$D$3:$D$1048576,MOTORISTAS!E$3:E$916),"")</f>
        <v>05753633803</v>
      </c>
      <c r="R232" s="138" t="str">
        <f ca="1">IFERROR(LOOKUP($P232,MOTORISTAS!$D$3:$D$1048576,MOTORISTAS!F$3:F$916),"")</f>
        <v>01922497849</v>
      </c>
      <c r="S232" s="66">
        <v>3425</v>
      </c>
      <c r="T232" s="66" t="s">
        <v>293</v>
      </c>
      <c r="U232" s="79">
        <v>44979.947916666664</v>
      </c>
      <c r="V232" s="66" t="s">
        <v>526</v>
      </c>
      <c r="W232" s="79">
        <v>44980.609722222223</v>
      </c>
      <c r="X232" s="79">
        <v>44980.375</v>
      </c>
      <c r="Y232" s="88">
        <v>44980.479166666664</v>
      </c>
      <c r="Z232" s="81">
        <v>2100</v>
      </c>
      <c r="AA232" s="81">
        <v>0</v>
      </c>
      <c r="AB232" s="81">
        <f>SUM(Sal_23[[#This Row],[Saldo]]+Sal_23[[#This Row],[Adiantamento]])</f>
        <v>2100</v>
      </c>
      <c r="AC232" s="81">
        <v>0</v>
      </c>
      <c r="AD232" s="81"/>
      <c r="AE232" s="81"/>
      <c r="AF232" s="81"/>
      <c r="AG232" s="81">
        <f>Sal_23[[#This Row],[COMPRA]]*12%</f>
        <v>370.37759999999997</v>
      </c>
      <c r="AH232" s="83">
        <v>3086.48</v>
      </c>
      <c r="AI232" s="66" t="str">
        <f>PROPER(TEXT(Sal_23[[#This Row],[PROGRAMAÇÃO]],"mmm"))</f>
        <v>Fev</v>
      </c>
      <c r="AJ232" s="66">
        <f>YEAR(Sal_23[[#This Row],[PROGRAMAÇÃO]])</f>
        <v>2023</v>
      </c>
      <c r="AK232" s="66"/>
      <c r="AL232" s="44" t="s">
        <v>3602</v>
      </c>
      <c r="AM232" s="66" t="s">
        <v>2768</v>
      </c>
      <c r="AN232" s="66" t="s">
        <v>2768</v>
      </c>
      <c r="AO232" s="66" t="s">
        <v>2768</v>
      </c>
      <c r="AP232" s="32"/>
      <c r="AQ232" s="32"/>
      <c r="AR232" s="32"/>
    </row>
    <row r="233" spans="1:44" x14ac:dyDescent="0.25">
      <c r="A233" s="120" t="str">
        <f>Sal_23[[#This Row],[CONTAINER]]</f>
        <v>SEGU1119328</v>
      </c>
      <c r="B233" s="128" t="s">
        <v>2771</v>
      </c>
      <c r="C23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33" s="79">
        <v>44981.333333333336</v>
      </c>
      <c r="E233" s="44" t="s">
        <v>3607</v>
      </c>
      <c r="F233" s="66">
        <v>20</v>
      </c>
      <c r="G233" s="44" t="s">
        <v>2837</v>
      </c>
      <c r="H233" s="44" t="s">
        <v>2837</v>
      </c>
      <c r="I233" s="299" t="s">
        <v>2821</v>
      </c>
      <c r="J233" s="66" t="s">
        <v>3625</v>
      </c>
      <c r="K233" s="66" t="s">
        <v>3614</v>
      </c>
      <c r="L233" s="66">
        <v>113601</v>
      </c>
      <c r="M233" s="66">
        <v>104142</v>
      </c>
      <c r="N233" s="66" t="s">
        <v>2859</v>
      </c>
      <c r="O233" s="66" t="s">
        <v>2950</v>
      </c>
      <c r="P233" s="66" t="s">
        <v>2861</v>
      </c>
      <c r="Q233" s="138" t="str">
        <f ca="1">IFERROR(LOOKUP($P233,MOTORISTAS!$D$3:$D$1048576,MOTORISTAS!E$3:E$916),"")</f>
        <v>01817591878</v>
      </c>
      <c r="R233" s="138" t="str">
        <f ca="1">IFERROR(LOOKUP($P233,MOTORISTAS!$D$3:$D$1048576,MOTORISTAS!F$3:F$916),"")</f>
        <v>00821760640</v>
      </c>
      <c r="S233" s="66" t="s">
        <v>3626</v>
      </c>
      <c r="T233" s="66" t="s">
        <v>293</v>
      </c>
      <c r="U233" s="79">
        <v>44980.949305555558</v>
      </c>
      <c r="V233" s="66" t="s">
        <v>469</v>
      </c>
      <c r="W233" s="79">
        <v>44981.584722222222</v>
      </c>
      <c r="X233" s="79">
        <v>44981.243055555555</v>
      </c>
      <c r="Y233" s="88">
        <v>44981.388888888891</v>
      </c>
      <c r="Z233" s="81">
        <v>1600</v>
      </c>
      <c r="AA233" s="81">
        <v>0</v>
      </c>
      <c r="AB233" s="81">
        <f>SUM(Sal_23[[#This Row],[Saldo]]+Sal_23[[#This Row],[Adiantamento]])</f>
        <v>1600</v>
      </c>
      <c r="AC233" s="81">
        <v>0</v>
      </c>
      <c r="AD233" s="81"/>
      <c r="AE233" s="81"/>
      <c r="AF233" s="81"/>
      <c r="AG233" s="81">
        <f>Sal_23[[#This Row],[COMPRA]]*12%</f>
        <v>311.55959999999999</v>
      </c>
      <c r="AH233" s="83">
        <v>2596.33</v>
      </c>
      <c r="AI233" s="66" t="str">
        <f>PROPER(TEXT(Sal_23[[#This Row],[PROGRAMAÇÃO]],"mmm"))</f>
        <v>Fev</v>
      </c>
      <c r="AJ233" s="66">
        <f>YEAR(Sal_23[[#This Row],[PROGRAMAÇÃO]])</f>
        <v>2023</v>
      </c>
      <c r="AK233" s="66"/>
      <c r="AL233" s="66"/>
      <c r="AM233" s="66" t="s">
        <v>2768</v>
      </c>
      <c r="AN233" s="66" t="s">
        <v>2768</v>
      </c>
      <c r="AO233" s="66" t="s">
        <v>2768</v>
      </c>
      <c r="AP233" s="32"/>
      <c r="AQ233" s="32"/>
      <c r="AR233" s="32"/>
    </row>
    <row r="234" spans="1:44" x14ac:dyDescent="0.25">
      <c r="A234" s="120" t="str">
        <f>Sal_23[[#This Row],[CONTAINER]]</f>
        <v>CAIU3403845</v>
      </c>
      <c r="B234" s="128" t="s">
        <v>2771</v>
      </c>
      <c r="C23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34" s="79">
        <v>44981.333333333336</v>
      </c>
      <c r="E234" s="44" t="s">
        <v>3608</v>
      </c>
      <c r="F234" s="66">
        <v>20</v>
      </c>
      <c r="G234" s="66" t="s">
        <v>2826</v>
      </c>
      <c r="H234" s="44" t="s">
        <v>3440</v>
      </c>
      <c r="I234" s="299" t="s">
        <v>3253</v>
      </c>
      <c r="J234" s="66">
        <v>1592</v>
      </c>
      <c r="K234" s="66" t="s">
        <v>3614</v>
      </c>
      <c r="L234" s="66">
        <v>113602</v>
      </c>
      <c r="M234" s="66"/>
      <c r="N234" s="66" t="s">
        <v>2584</v>
      </c>
      <c r="O234" s="66" t="s">
        <v>2585</v>
      </c>
      <c r="P234" s="66" t="s">
        <v>2586</v>
      </c>
      <c r="Q234" s="138" t="str">
        <f ca="1">IFERROR(LOOKUP($P234,MOTORISTAS!$D$3:$D$1048576,MOTORISTAS!E$3:E$916),"")</f>
        <v>08312935860</v>
      </c>
      <c r="R234" s="138" t="str">
        <f ca="1">IFERROR(LOOKUP($P234,MOTORISTAS!$D$3:$D$1048576,MOTORISTAS!F$3:F$916),"")</f>
        <v>03106516083</v>
      </c>
      <c r="S234" s="66">
        <v>3427</v>
      </c>
      <c r="T234" s="66" t="s">
        <v>293</v>
      </c>
      <c r="U234" s="79">
        <v>44980.909722222219</v>
      </c>
      <c r="V234" s="66" t="s">
        <v>469</v>
      </c>
      <c r="W234" s="79">
        <v>44981.612500000003</v>
      </c>
      <c r="X234" s="79">
        <v>44981.291666666664</v>
      </c>
      <c r="Y234" s="88">
        <v>44981.375</v>
      </c>
      <c r="Z234" s="81">
        <v>2300</v>
      </c>
      <c r="AA234" s="81"/>
      <c r="AB234" s="81"/>
      <c r="AC234" s="81"/>
      <c r="AD234" s="81"/>
      <c r="AE234" s="81"/>
      <c r="AF234" s="81"/>
      <c r="AG234" s="81">
        <f>Sal_23[[#This Row],[COMPRA]]*12%</f>
        <v>399.62399999999997</v>
      </c>
      <c r="AH234" s="83">
        <v>3330.2</v>
      </c>
      <c r="AI234" s="66" t="str">
        <f>PROPER(TEXT(Sal_23[[#This Row],[PROGRAMAÇÃO]],"mmm"))</f>
        <v>Fev</v>
      </c>
      <c r="AJ234" s="66">
        <f>YEAR(Sal_23[[#This Row],[PROGRAMAÇÃO]])</f>
        <v>2023</v>
      </c>
      <c r="AK234" s="66"/>
      <c r="AL234" s="66"/>
      <c r="AM234" s="66" t="s">
        <v>2768</v>
      </c>
      <c r="AN234" s="66" t="s">
        <v>2768</v>
      </c>
      <c r="AO234" s="66" t="s">
        <v>2768</v>
      </c>
      <c r="AP234" s="32"/>
      <c r="AQ234" s="32"/>
      <c r="AR234" s="32"/>
    </row>
    <row r="235" spans="1:44" x14ac:dyDescent="0.25">
      <c r="A235" s="120" t="str">
        <f>Sal_23[[#This Row],[CONTAINER]]</f>
        <v>CAIU8801939</v>
      </c>
      <c r="B235" s="128" t="s">
        <v>2771</v>
      </c>
      <c r="C23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35" s="79">
        <v>44981.333333333336</v>
      </c>
      <c r="E235" s="44" t="s">
        <v>3610</v>
      </c>
      <c r="F235" s="66">
        <v>40</v>
      </c>
      <c r="G235" s="66" t="s">
        <v>2826</v>
      </c>
      <c r="H235" s="44" t="s">
        <v>3195</v>
      </c>
      <c r="I235" s="299" t="s">
        <v>2830</v>
      </c>
      <c r="J235" s="66">
        <v>1589</v>
      </c>
      <c r="K235" s="66" t="s">
        <v>3614</v>
      </c>
      <c r="L235" s="66">
        <v>104143</v>
      </c>
      <c r="M235" s="66"/>
      <c r="N235" s="66" t="s">
        <v>68</v>
      </c>
      <c r="O235" s="66" t="s">
        <v>36</v>
      </c>
      <c r="P235" s="66" t="s">
        <v>69</v>
      </c>
      <c r="Q235" s="138" t="str">
        <f ca="1">IFERROR(LOOKUP($P235,MOTORISTAS!$D$3:$D$1048576,MOTORISTAS!E$3:E$916),"")</f>
        <v>07968457866</v>
      </c>
      <c r="R235" s="138" t="str">
        <f ca="1">IFERROR(LOOKUP($P235,MOTORISTAS!$D$3:$D$1048576,MOTORISTAS!F$3:F$916),"")</f>
        <v>03264365790</v>
      </c>
      <c r="S235" s="66">
        <v>3432</v>
      </c>
      <c r="T235" s="66" t="s">
        <v>293</v>
      </c>
      <c r="U235" s="79">
        <v>44981.259027777778</v>
      </c>
      <c r="V235" s="66" t="s">
        <v>469</v>
      </c>
      <c r="W235" s="79">
        <v>44981.590277777781</v>
      </c>
      <c r="X235" s="79">
        <v>44981.385416666664</v>
      </c>
      <c r="Y235" s="88">
        <v>44981.447916666664</v>
      </c>
      <c r="Z235" s="81">
        <v>2300</v>
      </c>
      <c r="AA235" s="81">
        <v>0</v>
      </c>
      <c r="AB235" s="81">
        <f>SUM(Sal_23[[#This Row],[Saldo]]+Sal_23[[#This Row],[Adiantamento]])</f>
        <v>2300</v>
      </c>
      <c r="AC235" s="81">
        <v>0</v>
      </c>
      <c r="AD235" s="81"/>
      <c r="AE235" s="81"/>
      <c r="AF235" s="81"/>
      <c r="AG235" s="81">
        <f>Sal_23[[#This Row],[COMPRA]]*12%</f>
        <v>392.15039999999999</v>
      </c>
      <c r="AH235" s="83">
        <v>3267.92</v>
      </c>
      <c r="AI235" s="66" t="str">
        <f>PROPER(TEXT(Sal_23[[#This Row],[PROGRAMAÇÃO]],"mmm"))</f>
        <v>Fev</v>
      </c>
      <c r="AJ235" s="66">
        <f>YEAR(Sal_23[[#This Row],[PROGRAMAÇÃO]])</f>
        <v>2023</v>
      </c>
      <c r="AK235" s="66"/>
      <c r="AL235" s="44" t="s">
        <v>3602</v>
      </c>
      <c r="AM235" s="66" t="s">
        <v>2768</v>
      </c>
      <c r="AN235" s="66" t="s">
        <v>2768</v>
      </c>
      <c r="AO235" s="66" t="s">
        <v>2768</v>
      </c>
      <c r="AP235" s="32"/>
      <c r="AQ235" s="32"/>
      <c r="AR235" s="32"/>
    </row>
    <row r="236" spans="1:44" x14ac:dyDescent="0.25">
      <c r="A236" s="120" t="str">
        <f>Sal_23[[#This Row],[CONTAINER]]</f>
        <v>CAAU6478866</v>
      </c>
      <c r="B236" s="128" t="s">
        <v>2771</v>
      </c>
      <c r="C23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36" s="79">
        <v>44981.333333333336</v>
      </c>
      <c r="E236" s="44" t="s">
        <v>3612</v>
      </c>
      <c r="F236" s="66">
        <v>40</v>
      </c>
      <c r="G236" s="66" t="s">
        <v>2826</v>
      </c>
      <c r="H236" s="44" t="s">
        <v>2836</v>
      </c>
      <c r="I236" s="299" t="s">
        <v>708</v>
      </c>
      <c r="J236" s="66">
        <v>1587</v>
      </c>
      <c r="K236" s="66" t="s">
        <v>3614</v>
      </c>
      <c r="L236" s="66">
        <v>104062</v>
      </c>
      <c r="M236" s="66"/>
      <c r="N236" s="66" t="s">
        <v>102</v>
      </c>
      <c r="O236" s="66" t="s">
        <v>27</v>
      </c>
      <c r="P236" s="66" t="s">
        <v>206</v>
      </c>
      <c r="Q236" s="138" t="str">
        <f ca="1">IFERROR(LOOKUP($P236,MOTORISTAS!$D$3:$D$1048576,MOTORISTAS!E$3:E$916),"")</f>
        <v>09085263425</v>
      </c>
      <c r="R236" s="138" t="str">
        <f ca="1">IFERROR(LOOKUP($P236,MOTORISTAS!$D$3:$D$1048576,MOTORISTAS!F$3:F$916),"")</f>
        <v>04557705505</v>
      </c>
      <c r="S236" s="66">
        <v>3431</v>
      </c>
      <c r="T236" s="66" t="s">
        <v>293</v>
      </c>
      <c r="U236" s="79">
        <v>44981.184027777781</v>
      </c>
      <c r="V236" s="66" t="s">
        <v>469</v>
      </c>
      <c r="W236" s="79">
        <v>44981.612500000003</v>
      </c>
      <c r="X236" s="79">
        <v>44981.3125</v>
      </c>
      <c r="Y236" s="88">
        <v>44981.5</v>
      </c>
      <c r="Z236" s="81"/>
      <c r="AA236" s="81"/>
      <c r="AB236" s="81"/>
      <c r="AC236" s="81"/>
      <c r="AD236" s="81"/>
      <c r="AE236" s="81"/>
      <c r="AF236" s="81"/>
      <c r="AG236" s="81">
        <f>Sal_23[[#This Row],[COMPRA]]*12%</f>
        <v>234</v>
      </c>
      <c r="AH236" s="83">
        <v>1950</v>
      </c>
      <c r="AI236" s="66" t="str">
        <f>PROPER(TEXT(Sal_23[[#This Row],[PROGRAMAÇÃO]],"mmm"))</f>
        <v>Fev</v>
      </c>
      <c r="AJ236" s="66">
        <f>YEAR(Sal_23[[#This Row],[PROGRAMAÇÃO]])</f>
        <v>2023</v>
      </c>
      <c r="AK236" s="66"/>
      <c r="AL236" s="66"/>
      <c r="AM236" s="66" t="s">
        <v>2768</v>
      </c>
      <c r="AN236" s="66" t="s">
        <v>2768</v>
      </c>
      <c r="AO236" s="66" t="s">
        <v>2768</v>
      </c>
      <c r="AP236" s="32"/>
      <c r="AQ236" s="32"/>
      <c r="AR236" s="32"/>
    </row>
    <row r="237" spans="1:44" x14ac:dyDescent="0.25">
      <c r="A237" s="120" t="str">
        <f>Sal_23[[#This Row],[CONTAINER]]</f>
        <v>SEGU1118189</v>
      </c>
      <c r="B237" s="128" t="s">
        <v>2771</v>
      </c>
      <c r="C23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37" s="79">
        <v>44984.333333333336</v>
      </c>
      <c r="E237" s="44" t="s">
        <v>3604</v>
      </c>
      <c r="F237" s="66">
        <v>20</v>
      </c>
      <c r="G237" s="66" t="s">
        <v>2826</v>
      </c>
      <c r="H237" s="44" t="s">
        <v>3082</v>
      </c>
      <c r="I237" s="299" t="s">
        <v>3083</v>
      </c>
      <c r="J237" s="66">
        <v>1594</v>
      </c>
      <c r="K237" s="66" t="s">
        <v>3614</v>
      </c>
      <c r="L237" s="66">
        <v>104147</v>
      </c>
      <c r="M237" s="66"/>
      <c r="N237" s="66" t="s">
        <v>3028</v>
      </c>
      <c r="O237" s="66" t="s">
        <v>2950</v>
      </c>
      <c r="P237" s="66" t="s">
        <v>3443</v>
      </c>
      <c r="Q237" s="138" t="str">
        <f ca="1">IFERROR(LOOKUP($P237,MOTORISTAS!$D$3:$D$1048576,MOTORISTAS!E$3:E$916),"")</f>
        <v>13990937898</v>
      </c>
      <c r="R237" s="138" t="str">
        <f ca="1">IFERROR(LOOKUP($P237,MOTORISTAS!$D$3:$D$1048576,MOTORISTAS!F$3:F$916),"")</f>
        <v>01825123407</v>
      </c>
      <c r="S237" s="66">
        <v>3435</v>
      </c>
      <c r="T237" s="66" t="s">
        <v>293</v>
      </c>
      <c r="U237" s="79">
        <v>44983.954861111109</v>
      </c>
      <c r="V237" s="66" t="s">
        <v>469</v>
      </c>
      <c r="W237" s="79">
        <v>44984.808333333334</v>
      </c>
      <c r="X237" s="79">
        <v>44984.152777777781</v>
      </c>
      <c r="Y237" s="88">
        <v>44984.472222222219</v>
      </c>
      <c r="Z237" s="81">
        <v>2000</v>
      </c>
      <c r="AA237" s="81">
        <v>0</v>
      </c>
      <c r="AB237" s="81">
        <f>SUM(Sal_23[[#This Row],[Saldo]]+Sal_23[[#This Row],[Adiantamento]])</f>
        <v>2000</v>
      </c>
      <c r="AC237" s="81">
        <v>0</v>
      </c>
      <c r="AD237" s="81"/>
      <c r="AE237" s="81"/>
      <c r="AF237" s="81"/>
      <c r="AG237" s="81">
        <f>Sal_23[[#This Row],[COMPRA]]*12%</f>
        <v>355.75439999999998</v>
      </c>
      <c r="AH237" s="83">
        <v>2964.62</v>
      </c>
      <c r="AI237" s="66" t="str">
        <f>PROPER(TEXT(Sal_23[[#This Row],[PROGRAMAÇÃO]],"mmm"))</f>
        <v>Fev</v>
      </c>
      <c r="AJ237" s="66">
        <f>YEAR(Sal_23[[#This Row],[PROGRAMAÇÃO]])</f>
        <v>2023</v>
      </c>
      <c r="AK237" s="66"/>
      <c r="AL237" s="66"/>
      <c r="AM237" s="66" t="s">
        <v>2768</v>
      </c>
      <c r="AN237" s="66" t="s">
        <v>2768</v>
      </c>
      <c r="AO237" s="66" t="s">
        <v>2768</v>
      </c>
      <c r="AP237" s="32"/>
      <c r="AQ237" s="32"/>
      <c r="AR237" s="32"/>
    </row>
    <row r="238" spans="1:44" x14ac:dyDescent="0.25">
      <c r="A238" s="120" t="str">
        <f>Sal_23[[#This Row],[CONTAINER]]</f>
        <v>CAIU3288783</v>
      </c>
      <c r="B238" s="128" t="s">
        <v>2771</v>
      </c>
      <c r="C23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38" s="79">
        <v>44984.333333333336</v>
      </c>
      <c r="E238" s="44" t="s">
        <v>3605</v>
      </c>
      <c r="F238" s="66">
        <v>20</v>
      </c>
      <c r="G238" s="66" t="s">
        <v>2826</v>
      </c>
      <c r="H238" s="44" t="s">
        <v>3074</v>
      </c>
      <c r="I238" s="299" t="s">
        <v>3439</v>
      </c>
      <c r="J238" s="66">
        <v>1624</v>
      </c>
      <c r="K238" s="66" t="s">
        <v>3614</v>
      </c>
      <c r="L238" s="66">
        <v>104174</v>
      </c>
      <c r="M238" s="66"/>
      <c r="N238" s="66" t="s">
        <v>2584</v>
      </c>
      <c r="O238" s="66" t="s">
        <v>2585</v>
      </c>
      <c r="P238" s="66" t="s">
        <v>2586</v>
      </c>
      <c r="Q238" s="138" t="str">
        <f ca="1">IFERROR(LOOKUP($P238,MOTORISTAS!$D$3:$D$1048576,MOTORISTAS!E$3:E$916),"")</f>
        <v>08312935860</v>
      </c>
      <c r="R238" s="138" t="str">
        <f ca="1">IFERROR(LOOKUP($P238,MOTORISTAS!$D$3:$D$1048576,MOTORISTAS!F$3:F$916),"")</f>
        <v>03106516083</v>
      </c>
      <c r="S238" s="66">
        <v>3437</v>
      </c>
      <c r="T238" s="66" t="s">
        <v>293</v>
      </c>
      <c r="U238" s="79">
        <v>44983.892361111109</v>
      </c>
      <c r="V238" s="66" t="s">
        <v>469</v>
      </c>
      <c r="W238" s="79">
        <v>44985.668055555558</v>
      </c>
      <c r="X238" s="79">
        <v>44984.09375</v>
      </c>
      <c r="Y238" s="88">
        <v>44984.521527777775</v>
      </c>
      <c r="Z238" s="81">
        <v>2800</v>
      </c>
      <c r="AA238" s="81"/>
      <c r="AB238" s="81"/>
      <c r="AC238" s="81"/>
      <c r="AD238" s="81"/>
      <c r="AE238" s="81"/>
      <c r="AF238" s="81"/>
      <c r="AG238" s="81">
        <f>Sal_23[[#This Row],[COMPRA]]*12%</f>
        <v>501.59999999999997</v>
      </c>
      <c r="AH238" s="83">
        <v>4180</v>
      </c>
      <c r="AI238" s="66" t="str">
        <f>PROPER(TEXT(Sal_23[[#This Row],[PROGRAMAÇÃO]],"mmm"))</f>
        <v>Fev</v>
      </c>
      <c r="AJ238" s="66">
        <f>YEAR(Sal_23[[#This Row],[PROGRAMAÇÃO]])</f>
        <v>2023</v>
      </c>
      <c r="AK238" s="66"/>
      <c r="AL238" s="66"/>
      <c r="AM238" s="66" t="s">
        <v>2768</v>
      </c>
      <c r="AN238" s="66" t="s">
        <v>2768</v>
      </c>
      <c r="AO238" s="66" t="s">
        <v>2768</v>
      </c>
      <c r="AP238" s="32"/>
      <c r="AQ238" s="32"/>
      <c r="AR238" s="32"/>
    </row>
    <row r="239" spans="1:44" x14ac:dyDescent="0.25">
      <c r="A239" s="120" t="str">
        <f>Sal_23[[#This Row],[CONTAINER]]</f>
        <v>CAIU3277710</v>
      </c>
      <c r="B239" s="128" t="s">
        <v>2771</v>
      </c>
      <c r="C23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39" s="79">
        <v>44984.333333333336</v>
      </c>
      <c r="E239" s="44" t="s">
        <v>3609</v>
      </c>
      <c r="F239" s="66">
        <v>20</v>
      </c>
      <c r="G239" s="66" t="s">
        <v>2826</v>
      </c>
      <c r="H239" s="44" t="s">
        <v>3091</v>
      </c>
      <c r="I239" s="299" t="s">
        <v>3092</v>
      </c>
      <c r="J239" s="66">
        <v>1595</v>
      </c>
      <c r="K239" s="66" t="s">
        <v>3614</v>
      </c>
      <c r="L239" s="66">
        <v>104144</v>
      </c>
      <c r="M239" s="66"/>
      <c r="N239" s="66" t="s">
        <v>2859</v>
      </c>
      <c r="O239" s="66" t="s">
        <v>2950</v>
      </c>
      <c r="P239" s="66" t="s">
        <v>2861</v>
      </c>
      <c r="Q239" s="138" t="str">
        <f ca="1">IFERROR(LOOKUP($P239,MOTORISTAS!$D$3:$D$1048576,MOTORISTAS!E$3:E$916),"")</f>
        <v>01817591878</v>
      </c>
      <c r="R239" s="138" t="str">
        <f ca="1">IFERROR(LOOKUP($P239,MOTORISTAS!$D$3:$D$1048576,MOTORISTAS!F$3:F$916),"")</f>
        <v>00821760640</v>
      </c>
      <c r="S239" s="66">
        <v>3436</v>
      </c>
      <c r="T239" s="66" t="s">
        <v>293</v>
      </c>
      <c r="U239" s="79">
        <v>44983.993750000001</v>
      </c>
      <c r="V239" s="66" t="s">
        <v>469</v>
      </c>
      <c r="W239" s="79">
        <v>44984.679861111108</v>
      </c>
      <c r="X239" s="79">
        <v>44984.086805555555</v>
      </c>
      <c r="Y239" s="88">
        <v>44984.645833333336</v>
      </c>
      <c r="Z239" s="81">
        <v>2000</v>
      </c>
      <c r="AA239" s="81">
        <v>0</v>
      </c>
      <c r="AB239" s="81">
        <f>SUM(Sal_23[[#This Row],[Saldo]]+Sal_23[[#This Row],[Adiantamento]])</f>
        <v>2000</v>
      </c>
      <c r="AC239" s="81">
        <v>0</v>
      </c>
      <c r="AD239" s="81"/>
      <c r="AE239" s="81"/>
      <c r="AF239" s="81"/>
      <c r="AG239" s="81">
        <f>Sal_23[[#This Row],[COMPRA]]*12%</f>
        <v>355.79039999999998</v>
      </c>
      <c r="AH239" s="83">
        <v>2964.92</v>
      </c>
      <c r="AI239" s="66" t="str">
        <f>PROPER(TEXT(Sal_23[[#This Row],[PROGRAMAÇÃO]],"mmm"))</f>
        <v>Fev</v>
      </c>
      <c r="AJ239" s="66">
        <f>YEAR(Sal_23[[#This Row],[PROGRAMAÇÃO]])</f>
        <v>2023</v>
      </c>
      <c r="AK239" s="66"/>
      <c r="AL239" s="66"/>
      <c r="AM239" s="66" t="s">
        <v>2768</v>
      </c>
      <c r="AN239" s="66" t="s">
        <v>2768</v>
      </c>
      <c r="AO239" s="66" t="s">
        <v>2768</v>
      </c>
      <c r="AP239" s="32"/>
      <c r="AQ239" s="32"/>
      <c r="AR239" s="32"/>
    </row>
    <row r="240" spans="1:44" x14ac:dyDescent="0.25">
      <c r="A240" s="120" t="str">
        <f>Sal_23[[#This Row],[CONTAINER]]</f>
        <v>CIPU5012948</v>
      </c>
      <c r="B240" s="128" t="s">
        <v>2771</v>
      </c>
      <c r="C24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0" s="79">
        <v>44984.333333333336</v>
      </c>
      <c r="E240" s="44" t="s">
        <v>3613</v>
      </c>
      <c r="F240" s="66">
        <v>40</v>
      </c>
      <c r="G240" s="66" t="s">
        <v>2826</v>
      </c>
      <c r="H240" s="44" t="s">
        <v>2833</v>
      </c>
      <c r="I240" s="299" t="s">
        <v>2832</v>
      </c>
      <c r="J240" s="66">
        <v>1586</v>
      </c>
      <c r="K240" s="66" t="s">
        <v>3614</v>
      </c>
      <c r="L240" s="66">
        <v>104064</v>
      </c>
      <c r="M240" s="66"/>
      <c r="N240" s="66" t="s">
        <v>2389</v>
      </c>
      <c r="O240" s="66" t="s">
        <v>2390</v>
      </c>
      <c r="P240" s="66" t="s">
        <v>892</v>
      </c>
      <c r="Q240" s="138" t="str">
        <f ca="1">IFERROR(LOOKUP($P240,MOTORISTAS!$D$3:$D$1048576,MOTORISTAS!E$3:E$916),"")</f>
        <v>55283063968</v>
      </c>
      <c r="R240" s="138" t="str">
        <f ca="1">IFERROR(LOOKUP($P240,MOTORISTAS!$D$3:$D$1048576,MOTORISTAS!F$3:F$916),"")</f>
        <v>02537032407</v>
      </c>
      <c r="S240" s="66">
        <v>3434</v>
      </c>
      <c r="T240" s="66" t="s">
        <v>293</v>
      </c>
      <c r="U240" s="79">
        <v>44983.932638888888</v>
      </c>
      <c r="V240" s="66" t="s">
        <v>469</v>
      </c>
      <c r="W240" s="79">
        <v>44984.775694444441</v>
      </c>
      <c r="X240" s="79">
        <v>44984.076388888891</v>
      </c>
      <c r="Y240" s="88">
        <v>44984.583333333336</v>
      </c>
      <c r="Z240" s="81">
        <v>3700</v>
      </c>
      <c r="AA240" s="81"/>
      <c r="AB240" s="81"/>
      <c r="AC240" s="81"/>
      <c r="AD240" s="81"/>
      <c r="AE240" s="81"/>
      <c r="AF240" s="81"/>
      <c r="AG240" s="81">
        <f>Sal_23[[#This Row],[COMPRA]]*12%</f>
        <v>641.71680000000003</v>
      </c>
      <c r="AH240" s="83">
        <v>5347.64</v>
      </c>
      <c r="AI240" s="66" t="str">
        <f>PROPER(TEXT(Sal_23[[#This Row],[PROGRAMAÇÃO]],"mmm"))</f>
        <v>Fev</v>
      </c>
      <c r="AJ240" s="66">
        <f>YEAR(Sal_23[[#This Row],[PROGRAMAÇÃO]])</f>
        <v>2023</v>
      </c>
      <c r="AK240" s="66"/>
      <c r="AL240" s="66"/>
      <c r="AM240" s="66" t="s">
        <v>2768</v>
      </c>
      <c r="AN240" s="66" t="s">
        <v>2768</v>
      </c>
      <c r="AO240" s="66" t="s">
        <v>2768</v>
      </c>
      <c r="AP240" s="32"/>
      <c r="AQ240" s="32"/>
      <c r="AR240" s="32"/>
    </row>
    <row r="241" spans="1:44" x14ac:dyDescent="0.25">
      <c r="A241" s="120" t="str">
        <f>Sal_23[[#This Row],[CONTAINER]]</f>
        <v>CAIU3160745</v>
      </c>
      <c r="B241" s="128" t="s">
        <v>2771</v>
      </c>
      <c r="C24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1" s="79">
        <v>44985.333333333336</v>
      </c>
      <c r="E241" s="44" t="s">
        <v>3606</v>
      </c>
      <c r="F241" s="66">
        <v>20</v>
      </c>
      <c r="G241" s="44" t="s">
        <v>2837</v>
      </c>
      <c r="H241" s="44" t="s">
        <v>2837</v>
      </c>
      <c r="I241" s="299" t="s">
        <v>2821</v>
      </c>
      <c r="J241" s="66">
        <v>1627</v>
      </c>
      <c r="K241" s="66" t="s">
        <v>3614</v>
      </c>
      <c r="L241" s="66">
        <v>104175</v>
      </c>
      <c r="M241" s="66"/>
      <c r="N241" s="66" t="s">
        <v>2859</v>
      </c>
      <c r="O241" s="66" t="s">
        <v>2950</v>
      </c>
      <c r="P241" s="66" t="s">
        <v>2861</v>
      </c>
      <c r="Q241" s="138" t="str">
        <f ca="1">IFERROR(LOOKUP($P241,MOTORISTAS!$D$3:$D$1048576,MOTORISTAS!E$3:E$916),"")</f>
        <v>01817591878</v>
      </c>
      <c r="R241" s="138" t="str">
        <f ca="1">IFERROR(LOOKUP($P241,MOTORISTAS!$D$3:$D$1048576,MOTORISTAS!F$3:F$916),"")</f>
        <v>00821760640</v>
      </c>
      <c r="S241" s="66">
        <v>3438</v>
      </c>
      <c r="T241" s="66" t="s">
        <v>293</v>
      </c>
      <c r="U241" s="79">
        <v>44984.934027777781</v>
      </c>
      <c r="V241" s="66" t="s">
        <v>469</v>
      </c>
      <c r="W241" s="79">
        <v>44985.615277777775</v>
      </c>
      <c r="X241" s="79">
        <v>44985.048611111109</v>
      </c>
      <c r="Y241" s="88">
        <v>44985.416666666664</v>
      </c>
      <c r="Z241" s="81">
        <v>1600</v>
      </c>
      <c r="AA241" s="81">
        <v>0</v>
      </c>
      <c r="AB241" s="81">
        <f>SUM(Sal_23[[#This Row],[Saldo]]+Sal_23[[#This Row],[Adiantamento]])</f>
        <v>1600</v>
      </c>
      <c r="AC241" s="81">
        <v>0</v>
      </c>
      <c r="AD241" s="81"/>
      <c r="AE241" s="81"/>
      <c r="AF241" s="81"/>
      <c r="AG241" s="81">
        <f>Sal_23[[#This Row],[COMPRA]]*12%</f>
        <v>311.55959999999999</v>
      </c>
      <c r="AH241" s="83">
        <v>2596.33</v>
      </c>
      <c r="AI241" s="66" t="str">
        <f>PROPER(TEXT(Sal_23[[#This Row],[PROGRAMAÇÃO]],"mmm"))</f>
        <v>Fev</v>
      </c>
      <c r="AJ241" s="66">
        <f>YEAR(Sal_23[[#This Row],[PROGRAMAÇÃO]])</f>
        <v>2023</v>
      </c>
      <c r="AK241" s="66"/>
      <c r="AL241" s="66"/>
      <c r="AM241" s="66" t="s">
        <v>2768</v>
      </c>
      <c r="AN241" s="66" t="s">
        <v>2768</v>
      </c>
      <c r="AO241" s="66" t="s">
        <v>2768</v>
      </c>
      <c r="AP241" s="32"/>
      <c r="AQ241" s="32"/>
      <c r="AR241" s="32"/>
    </row>
    <row r="242" spans="1:44" x14ac:dyDescent="0.25">
      <c r="A242" s="120" t="str">
        <f>Sal_23[[#This Row],[CONTAINER]]</f>
        <v>MRSU5512140</v>
      </c>
      <c r="B242" s="128" t="s">
        <v>2771</v>
      </c>
      <c r="C24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2" s="79">
        <v>44986.333333333336</v>
      </c>
      <c r="E242" s="44" t="s">
        <v>3632</v>
      </c>
      <c r="F242" s="66">
        <v>40</v>
      </c>
      <c r="G242" s="66" t="s">
        <v>2826</v>
      </c>
      <c r="H242" s="44" t="s">
        <v>3195</v>
      </c>
      <c r="I242" s="299" t="s">
        <v>2830</v>
      </c>
      <c r="J242" s="66" t="s">
        <v>3635</v>
      </c>
      <c r="K242" s="66" t="s">
        <v>3633</v>
      </c>
      <c r="L242" s="66">
        <v>104254</v>
      </c>
      <c r="M242" s="66"/>
      <c r="N242" s="66" t="s">
        <v>3583</v>
      </c>
      <c r="O242" s="66" t="s">
        <v>3576</v>
      </c>
      <c r="P242" s="66" t="s">
        <v>3577</v>
      </c>
      <c r="Q242" s="138" t="str">
        <f ca="1">IFERROR(LOOKUP($P242,MOTORISTAS!$D$3:$D$1048576,MOTORISTAS!E$3:E$916),"")</f>
        <v>19294729869</v>
      </c>
      <c r="R242" s="138" t="str">
        <f ca="1">IFERROR(LOOKUP($P242,MOTORISTAS!$D$3:$D$1048576,MOTORISTAS!F$3:F$916),"")</f>
        <v>01008628403</v>
      </c>
      <c r="S242" s="66">
        <v>3439</v>
      </c>
      <c r="T242" s="66" t="s">
        <v>306</v>
      </c>
      <c r="U242" s="79">
        <v>44986.114583333336</v>
      </c>
      <c r="V242" s="66" t="s">
        <v>526</v>
      </c>
      <c r="W242" s="79">
        <v>44986.595138888886</v>
      </c>
      <c r="X242" s="79">
        <v>44986.274305555555</v>
      </c>
      <c r="Y242" s="88">
        <v>44986.409722222219</v>
      </c>
      <c r="Z242" s="81">
        <v>2300</v>
      </c>
      <c r="AA242" s="81">
        <v>0</v>
      </c>
      <c r="AB242" s="81">
        <f>SUM(Sal_23[[#This Row],[Saldo]]+Sal_23[[#This Row],[Adiantamento]])</f>
        <v>2300</v>
      </c>
      <c r="AC242" s="81">
        <v>0</v>
      </c>
      <c r="AD242" s="81"/>
      <c r="AE242" s="81"/>
      <c r="AF242" s="81"/>
      <c r="AG242" s="81">
        <f>Sal_23[[#This Row],[COMPRA]]*12%</f>
        <v>392.15039999999999</v>
      </c>
      <c r="AH242" s="83">
        <v>3267.92</v>
      </c>
      <c r="AI242" s="66" t="str">
        <f>PROPER(TEXT(Sal_23[[#This Row],[PROGRAMAÇÃO]],"mmm"))</f>
        <v>Mar</v>
      </c>
      <c r="AJ242" s="66">
        <f>YEAR(Sal_23[[#This Row],[PROGRAMAÇÃO]])</f>
        <v>2023</v>
      </c>
      <c r="AK242" s="66"/>
      <c r="AL242" s="66"/>
      <c r="AM242" s="66" t="s">
        <v>2768</v>
      </c>
      <c r="AN242" s="66" t="s">
        <v>2768</v>
      </c>
      <c r="AO242" s="66"/>
      <c r="AP242" s="32"/>
      <c r="AQ242" s="32"/>
      <c r="AR242" s="32"/>
    </row>
    <row r="243" spans="1:44" x14ac:dyDescent="0.25">
      <c r="A243" s="120" t="str">
        <f>Sal_23[[#This Row],[CONTAINER]]</f>
        <v>TCLU8166090</v>
      </c>
      <c r="B243" s="128" t="s">
        <v>2771</v>
      </c>
      <c r="C24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3" s="79">
        <v>44987.333333333336</v>
      </c>
      <c r="E243" s="44" t="s">
        <v>3669</v>
      </c>
      <c r="F243" s="66">
        <v>40</v>
      </c>
      <c r="G243" s="66" t="s">
        <v>2826</v>
      </c>
      <c r="H243" s="44" t="s">
        <v>1674</v>
      </c>
      <c r="I243" s="299" t="s">
        <v>2829</v>
      </c>
      <c r="J243" s="66">
        <v>1848</v>
      </c>
      <c r="K243" s="66" t="s">
        <v>3657</v>
      </c>
      <c r="L243" s="66">
        <v>104224</v>
      </c>
      <c r="M243" s="66">
        <v>104225</v>
      </c>
      <c r="N243" s="66" t="s">
        <v>2389</v>
      </c>
      <c r="O243" s="66" t="s">
        <v>2390</v>
      </c>
      <c r="P243" s="66" t="s">
        <v>892</v>
      </c>
      <c r="Q243" s="138" t="str">
        <f ca="1">IFERROR(LOOKUP($P243,MOTORISTAS!$D$3:$D$1048576,MOTORISTAS!E$3:E$916),"")</f>
        <v>55283063968</v>
      </c>
      <c r="R243" s="138" t="str">
        <f ca="1">IFERROR(LOOKUP($P243,MOTORISTAS!$D$3:$D$1048576,MOTORISTAS!F$3:F$916),"")</f>
        <v>02537032407</v>
      </c>
      <c r="S243" s="66">
        <v>3440</v>
      </c>
      <c r="T243" s="66" t="s">
        <v>293</v>
      </c>
      <c r="U243" s="79">
        <v>44987.018055555556</v>
      </c>
      <c r="V243" s="66" t="s">
        <v>469</v>
      </c>
      <c r="W243" s="79">
        <v>44987.690972222219</v>
      </c>
      <c r="X243" s="79">
        <v>44987.1875</v>
      </c>
      <c r="Y243" s="88">
        <v>44987.5</v>
      </c>
      <c r="Z243" s="81">
        <v>3400</v>
      </c>
      <c r="AA243" s="81"/>
      <c r="AB243" s="81">
        <f>SUM(Sal_23[[#This Row],[Saldo]]+Sal_23[[#This Row],[Adiantamento]])</f>
        <v>3400</v>
      </c>
      <c r="AC243" s="81"/>
      <c r="AD243" s="81"/>
      <c r="AE243" s="81"/>
      <c r="AF243" s="81"/>
      <c r="AG243" s="81">
        <f>Sal_23[[#This Row],[COMPRA]]*12%</f>
        <v>558.28440000000001</v>
      </c>
      <c r="AH243" s="83">
        <v>4652.37</v>
      </c>
      <c r="AI243" s="66" t="str">
        <f>PROPER(TEXT(Sal_23[[#This Row],[PROGRAMAÇÃO]],"mmm"))</f>
        <v>Mar</v>
      </c>
      <c r="AJ243" s="66">
        <f>YEAR(Sal_23[[#This Row],[PROGRAMAÇÃO]])</f>
        <v>2023</v>
      </c>
      <c r="AK243" s="66"/>
      <c r="AL243" s="66"/>
      <c r="AM243" s="66" t="s">
        <v>2768</v>
      </c>
      <c r="AN243" s="66" t="s">
        <v>2768</v>
      </c>
      <c r="AO243" s="66" t="s">
        <v>2768</v>
      </c>
    </row>
    <row r="244" spans="1:44" x14ac:dyDescent="0.25">
      <c r="A244" s="120" t="str">
        <f>Sal_23[[#This Row],[CONTAINER]]</f>
        <v>CAIU8763377</v>
      </c>
      <c r="B244" s="128" t="s">
        <v>2771</v>
      </c>
      <c r="C24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4" s="79">
        <v>44987.333333333336</v>
      </c>
      <c r="E244" s="44" t="s">
        <v>3670</v>
      </c>
      <c r="F244" s="66">
        <v>40</v>
      </c>
      <c r="G244" s="66" t="s">
        <v>2826</v>
      </c>
      <c r="H244" s="44" t="s">
        <v>1674</v>
      </c>
      <c r="I244" s="299" t="s">
        <v>2829</v>
      </c>
      <c r="J244" s="66">
        <v>1851</v>
      </c>
      <c r="K244" s="66" t="s">
        <v>3657</v>
      </c>
      <c r="L244" s="66">
        <v>104249</v>
      </c>
      <c r="M244" s="66">
        <v>104255</v>
      </c>
      <c r="N244" s="66" t="s">
        <v>890</v>
      </c>
      <c r="O244" s="66" t="s">
        <v>179</v>
      </c>
      <c r="P244" s="66" t="s">
        <v>2678</v>
      </c>
      <c r="Q244" s="138" t="str">
        <f ca="1">IFERROR(LOOKUP($P244,MOTORISTAS!$D$3:$D$1048576,MOTORISTAS!E$3:E$916),"")</f>
        <v>28386357860</v>
      </c>
      <c r="R244" s="138" t="str">
        <f ca="1">IFERROR(LOOKUP($P244,MOTORISTAS!$D$3:$D$1048576,MOTORISTAS!F$3:F$916),"")</f>
        <v>01042201192</v>
      </c>
      <c r="S244" s="66">
        <v>3441</v>
      </c>
      <c r="T244" s="66" t="s">
        <v>293</v>
      </c>
      <c r="U244" s="79">
        <v>44987.122916666667</v>
      </c>
      <c r="V244" s="66" t="s">
        <v>469</v>
      </c>
      <c r="W244" s="79">
        <v>44987.700694444444</v>
      </c>
      <c r="X244" s="79">
        <v>44987.333333333336</v>
      </c>
      <c r="Y244" s="88">
        <v>44987.541666666664</v>
      </c>
      <c r="Z244" s="81">
        <v>3400</v>
      </c>
      <c r="AA244" s="81"/>
      <c r="AB244" s="81">
        <f>SUM(Sal_23[[#This Row],[Saldo]]+Sal_23[[#This Row],[Adiantamento]])</f>
        <v>3400</v>
      </c>
      <c r="AC244" s="81"/>
      <c r="AD244" s="81"/>
      <c r="AE244" s="81"/>
      <c r="AF244" s="81"/>
      <c r="AG244" s="81">
        <f>Sal_23[[#This Row],[COMPRA]]*12%</f>
        <v>558.28440000000001</v>
      </c>
      <c r="AH244" s="83">
        <v>4652.37</v>
      </c>
      <c r="AI244" s="66" t="str">
        <f>PROPER(TEXT(Sal_23[[#This Row],[PROGRAMAÇÃO]],"mmm"))</f>
        <v>Mar</v>
      </c>
      <c r="AJ244" s="66">
        <f>YEAR(Sal_23[[#This Row],[PROGRAMAÇÃO]])</f>
        <v>2023</v>
      </c>
      <c r="AK244" s="66"/>
      <c r="AL244" s="66"/>
      <c r="AM244" s="66" t="s">
        <v>2768</v>
      </c>
      <c r="AN244" s="66" t="s">
        <v>2768</v>
      </c>
      <c r="AO244" s="66" t="s">
        <v>2768</v>
      </c>
    </row>
    <row r="245" spans="1:44" x14ac:dyDescent="0.25">
      <c r="A245" s="120" t="str">
        <f>Sal_23[[#This Row],[CONTAINER]]</f>
        <v>TCLU3054652</v>
      </c>
      <c r="B245" s="128" t="s">
        <v>2771</v>
      </c>
      <c r="C24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5" s="79">
        <v>44988.375</v>
      </c>
      <c r="E245" s="44" t="s">
        <v>3694</v>
      </c>
      <c r="F245" s="66">
        <v>20</v>
      </c>
      <c r="G245" s="66" t="s">
        <v>2820</v>
      </c>
      <c r="H245" s="44" t="s">
        <v>2820</v>
      </c>
      <c r="I245" s="299" t="s">
        <v>2821</v>
      </c>
      <c r="J245" s="66">
        <v>1945</v>
      </c>
      <c r="K245" s="66" t="s">
        <v>3657</v>
      </c>
      <c r="L245" s="66">
        <v>104359</v>
      </c>
      <c r="M245" s="66">
        <v>104361</v>
      </c>
      <c r="N245" s="66" t="s">
        <v>2859</v>
      </c>
      <c r="O245" s="66" t="s">
        <v>2950</v>
      </c>
      <c r="P245" s="66" t="s">
        <v>2861</v>
      </c>
      <c r="Q245" s="138" t="str">
        <f ca="1">IFERROR(LOOKUP($P245,MOTORISTAS!$D$3:$D$1048576,MOTORISTAS!E$3:E$916),"")</f>
        <v>01817591878</v>
      </c>
      <c r="R245" s="138" t="str">
        <f ca="1">IFERROR(LOOKUP($P245,MOTORISTAS!$D$3:$D$1048576,MOTORISTAS!F$3:F$916),"")</f>
        <v>00821760640</v>
      </c>
      <c r="S245" s="66" t="s">
        <v>3715</v>
      </c>
      <c r="T245" s="66" t="s">
        <v>293</v>
      </c>
      <c r="U245" s="79">
        <v>44988.227777777778</v>
      </c>
      <c r="V245" s="66" t="s">
        <v>469</v>
      </c>
      <c r="W245" s="79">
        <v>44988.601388888892</v>
      </c>
      <c r="X245" s="79">
        <v>44988.326388888891</v>
      </c>
      <c r="Y245" s="88">
        <v>44988.416666666664</v>
      </c>
      <c r="Z245" s="81">
        <v>1600</v>
      </c>
      <c r="AA245" s="81">
        <v>0</v>
      </c>
      <c r="AB245" s="81">
        <f>SUM(Sal_23[[#This Row],[Saldo]]+Sal_23[[#This Row],[Adiantamento]])</f>
        <v>1600</v>
      </c>
      <c r="AC245" s="81">
        <v>0</v>
      </c>
      <c r="AD245" s="81"/>
      <c r="AE245" s="81"/>
      <c r="AF245" s="81"/>
      <c r="AG245" s="81">
        <f>Sal_23[[#This Row],[COMPRA]]*12%</f>
        <v>288</v>
      </c>
      <c r="AH245" s="83">
        <v>2400</v>
      </c>
      <c r="AI245" s="66" t="str">
        <f>PROPER(TEXT(Sal_23[[#This Row],[PROGRAMAÇÃO]],"mmm"))</f>
        <v>Mar</v>
      </c>
      <c r="AJ245" s="66">
        <f>YEAR(Sal_23[[#This Row],[PROGRAMAÇÃO]])</f>
        <v>2023</v>
      </c>
      <c r="AK245" s="66"/>
      <c r="AL245" s="66"/>
      <c r="AM245" s="66" t="s">
        <v>2768</v>
      </c>
      <c r="AN245" s="66" t="s">
        <v>2768</v>
      </c>
      <c r="AO245" s="66" t="s">
        <v>2768</v>
      </c>
    </row>
    <row r="246" spans="1:44" x14ac:dyDescent="0.25">
      <c r="A246" s="120" t="str">
        <f>Sal_23[[#This Row],[CONTAINER]]</f>
        <v>MSDU1466694</v>
      </c>
      <c r="B246" s="128" t="s">
        <v>2771</v>
      </c>
      <c r="C24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6" s="79">
        <v>44988.375</v>
      </c>
      <c r="E246" s="44" t="s">
        <v>3658</v>
      </c>
      <c r="F246" s="66">
        <v>20</v>
      </c>
      <c r="G246" s="66" t="s">
        <v>2820</v>
      </c>
      <c r="H246" s="44" t="s">
        <v>2820</v>
      </c>
      <c r="I246" s="299" t="s">
        <v>2821</v>
      </c>
      <c r="J246" s="66" t="s">
        <v>3693</v>
      </c>
      <c r="K246" s="66" t="s">
        <v>3657</v>
      </c>
      <c r="L246" s="66">
        <v>104358</v>
      </c>
      <c r="M246" s="66"/>
      <c r="N246" s="66" t="s">
        <v>3028</v>
      </c>
      <c r="O246" s="66" t="s">
        <v>2950</v>
      </c>
      <c r="P246" s="66" t="s">
        <v>3443</v>
      </c>
      <c r="Q246" s="138" t="str">
        <f ca="1">IFERROR(LOOKUP($P246,MOTORISTAS!$D$3:$D$1048576,MOTORISTAS!E$3:E$916),"")</f>
        <v>13990937898</v>
      </c>
      <c r="R246" s="138" t="str">
        <f ca="1">IFERROR(LOOKUP($P246,MOTORISTAS!$D$3:$D$1048576,MOTORISTAS!F$3:F$916),"")</f>
        <v>01825123407</v>
      </c>
      <c r="S246" s="66" t="s">
        <v>3771</v>
      </c>
      <c r="T246" s="66" t="s">
        <v>293</v>
      </c>
      <c r="U246" s="79">
        <v>44987.957638888889</v>
      </c>
      <c r="V246" s="66" t="s">
        <v>469</v>
      </c>
      <c r="W246" s="79">
        <v>44988.662499999999</v>
      </c>
      <c r="X246" s="79">
        <v>44988.083333333336</v>
      </c>
      <c r="Y246" s="88">
        <v>44988.416666666664</v>
      </c>
      <c r="Z246" s="81">
        <v>1600</v>
      </c>
      <c r="AA246" s="81">
        <v>0</v>
      </c>
      <c r="AB246" s="81">
        <f>SUM(Sal_23[[#This Row],[Saldo]]+Sal_23[[#This Row],[Adiantamento]])</f>
        <v>1600</v>
      </c>
      <c r="AC246" s="81">
        <v>0</v>
      </c>
      <c r="AD246" s="81"/>
      <c r="AE246" s="81"/>
      <c r="AF246" s="81"/>
      <c r="AG246" s="81">
        <f>Sal_23[[#This Row],[COMPRA]]*12%</f>
        <v>288</v>
      </c>
      <c r="AH246" s="83">
        <v>2400</v>
      </c>
      <c r="AI246" s="66" t="str">
        <f>PROPER(TEXT(Sal_23[[#This Row],[PROGRAMAÇÃO]],"mmm"))</f>
        <v>Mar</v>
      </c>
      <c r="AJ246" s="66">
        <f>YEAR(Sal_23[[#This Row],[PROGRAMAÇÃO]])</f>
        <v>2023</v>
      </c>
      <c r="AK246" s="66"/>
      <c r="AL246" s="66"/>
      <c r="AM246" s="66" t="s">
        <v>2768</v>
      </c>
      <c r="AN246" s="66" t="s">
        <v>2768</v>
      </c>
      <c r="AO246" s="66" t="s">
        <v>2768</v>
      </c>
    </row>
    <row r="247" spans="1:44" x14ac:dyDescent="0.25">
      <c r="A247" s="120" t="str">
        <f>Sal_23[[#This Row],[CONTAINER]]</f>
        <v>CAIU3405262</v>
      </c>
      <c r="B247" s="128" t="s">
        <v>2771</v>
      </c>
      <c r="C24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7" s="79">
        <v>44988.375</v>
      </c>
      <c r="E247" s="44" t="s">
        <v>3659</v>
      </c>
      <c r="F247" s="66">
        <v>20</v>
      </c>
      <c r="G247" s="66" t="s">
        <v>2820</v>
      </c>
      <c r="H247" s="44" t="s">
        <v>2820</v>
      </c>
      <c r="I247" s="299" t="s">
        <v>2821</v>
      </c>
      <c r="J247" s="66">
        <v>1844</v>
      </c>
      <c r="K247" s="66" t="s">
        <v>3657</v>
      </c>
      <c r="L247" s="66">
        <v>69069</v>
      </c>
      <c r="M247" s="66"/>
      <c r="N247" s="66" t="s">
        <v>2584</v>
      </c>
      <c r="O247" s="66" t="s">
        <v>2585</v>
      </c>
      <c r="P247" s="66" t="s">
        <v>2586</v>
      </c>
      <c r="Q247" s="138" t="str">
        <f ca="1">IFERROR(LOOKUP($P247,MOTORISTAS!$D$3:$D$1048576,MOTORISTAS!E$3:E$916),"")</f>
        <v>08312935860</v>
      </c>
      <c r="R247" s="138" t="str">
        <f ca="1">IFERROR(LOOKUP($P247,MOTORISTAS!$D$3:$D$1048576,MOTORISTAS!F$3:F$916),"")</f>
        <v>03106516083</v>
      </c>
      <c r="S247" s="66">
        <v>15239</v>
      </c>
      <c r="T247" s="66" t="s">
        <v>293</v>
      </c>
      <c r="U247" s="79">
        <v>44987.940972222219</v>
      </c>
      <c r="V247" s="66" t="s">
        <v>469</v>
      </c>
      <c r="W247" s="79">
        <v>44988.643750000003</v>
      </c>
      <c r="X247" s="79">
        <v>44988.027777777781</v>
      </c>
      <c r="Y247" s="88">
        <v>44988.5625</v>
      </c>
      <c r="Z247" s="81">
        <v>1600</v>
      </c>
      <c r="AA247" s="81">
        <v>0</v>
      </c>
      <c r="AB247" s="81">
        <f>SUM(Sal_23[[#This Row],[Saldo]]+Sal_23[[#This Row],[Adiantamento]])</f>
        <v>1600</v>
      </c>
      <c r="AC247" s="81">
        <v>0</v>
      </c>
      <c r="AD247" s="81"/>
      <c r="AE247" s="81"/>
      <c r="AF247" s="81"/>
      <c r="AG247" s="81">
        <f>Sal_23[[#This Row],[COMPRA]]*12%</f>
        <v>288</v>
      </c>
      <c r="AH247" s="83">
        <v>2400</v>
      </c>
      <c r="AI247" s="66" t="str">
        <f>PROPER(TEXT(Sal_23[[#This Row],[PROGRAMAÇÃO]],"mmm"))</f>
        <v>Mar</v>
      </c>
      <c r="AJ247" s="66">
        <f>YEAR(Sal_23[[#This Row],[PROGRAMAÇÃO]])</f>
        <v>2023</v>
      </c>
      <c r="AK247" s="66"/>
      <c r="AL247" s="66"/>
      <c r="AM247" s="66" t="s">
        <v>2768</v>
      </c>
      <c r="AN247" s="66" t="s">
        <v>2768</v>
      </c>
      <c r="AO247" s="66" t="s">
        <v>2768</v>
      </c>
    </row>
    <row r="248" spans="1:44" x14ac:dyDescent="0.25">
      <c r="A248" s="120" t="str">
        <f>Sal_23[[#This Row],[CONTAINER]]</f>
        <v>SEGU1248114</v>
      </c>
      <c r="B248" s="128" t="s">
        <v>2771</v>
      </c>
      <c r="C24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8" s="79">
        <v>44988.375</v>
      </c>
      <c r="E248" s="44" t="s">
        <v>3660</v>
      </c>
      <c r="F248" s="66">
        <v>20</v>
      </c>
      <c r="G248" s="66" t="s">
        <v>2820</v>
      </c>
      <c r="H248" s="44" t="s">
        <v>2820</v>
      </c>
      <c r="I248" s="299" t="s">
        <v>2821</v>
      </c>
      <c r="J248" s="66">
        <v>1845</v>
      </c>
      <c r="K248" s="66" t="s">
        <v>3657</v>
      </c>
      <c r="L248" s="66">
        <v>69072</v>
      </c>
      <c r="M248" s="66"/>
      <c r="N248" s="66" t="s">
        <v>2949</v>
      </c>
      <c r="O248" s="66" t="s">
        <v>2950</v>
      </c>
      <c r="P248" s="66" t="s">
        <v>2948</v>
      </c>
      <c r="Q248" s="138" t="str">
        <f ca="1">IFERROR(LOOKUP($P248,MOTORISTAS!$D$3:$D$1048576,MOTORISTAS!E$3:E$916),"")</f>
        <v>16239341843</v>
      </c>
      <c r="R248" s="138" t="str">
        <f ca="1">IFERROR(LOOKUP($P248,MOTORISTAS!$D$3:$D$1048576,MOTORISTAS!F$3:F$916),"")</f>
        <v>01877235038</v>
      </c>
      <c r="S248" s="66">
        <v>15238</v>
      </c>
      <c r="T248" s="66" t="s">
        <v>293</v>
      </c>
      <c r="U248" s="79">
        <v>44987.962500000001</v>
      </c>
      <c r="V248" s="66" t="s">
        <v>469</v>
      </c>
      <c r="W248" s="79">
        <v>44988.586805555555</v>
      </c>
      <c r="X248" s="79">
        <v>44988.083333333336</v>
      </c>
      <c r="Y248" s="88">
        <v>44988.416666666664</v>
      </c>
      <c r="Z248" s="81">
        <v>1600</v>
      </c>
      <c r="AA248" s="81">
        <v>0</v>
      </c>
      <c r="AB248" s="81">
        <f>SUM(Sal_23[[#This Row],[Saldo]]+Sal_23[[#This Row],[Adiantamento]])</f>
        <v>1600</v>
      </c>
      <c r="AC248" s="81">
        <v>0</v>
      </c>
      <c r="AD248" s="81"/>
      <c r="AE248" s="81"/>
      <c r="AF248" s="81"/>
      <c r="AG248" s="81">
        <f>Sal_23[[#This Row],[COMPRA]]*12%</f>
        <v>288</v>
      </c>
      <c r="AH248" s="83">
        <v>2400</v>
      </c>
      <c r="AI248" s="66" t="str">
        <f>PROPER(TEXT(Sal_23[[#This Row],[PROGRAMAÇÃO]],"mmm"))</f>
        <v>Mar</v>
      </c>
      <c r="AJ248" s="66">
        <f>YEAR(Sal_23[[#This Row],[PROGRAMAÇÃO]])</f>
        <v>2023</v>
      </c>
      <c r="AK248" s="66"/>
      <c r="AL248" s="66"/>
      <c r="AM248" s="66" t="s">
        <v>2768</v>
      </c>
      <c r="AN248" s="66" t="s">
        <v>2768</v>
      </c>
      <c r="AO248" s="66" t="s">
        <v>2768</v>
      </c>
    </row>
    <row r="249" spans="1:44" x14ac:dyDescent="0.25">
      <c r="A249" s="120" t="str">
        <f>Sal_23[[#This Row],[CONTAINER]]</f>
        <v>CAIU2938462</v>
      </c>
      <c r="B249" s="128" t="s">
        <v>2771</v>
      </c>
      <c r="C24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49" s="79">
        <v>44989.333333333336</v>
      </c>
      <c r="E249" s="44" t="s">
        <v>3662</v>
      </c>
      <c r="F249" s="66">
        <v>20</v>
      </c>
      <c r="G249" s="66" t="s">
        <v>2826</v>
      </c>
      <c r="H249" s="44" t="s">
        <v>3440</v>
      </c>
      <c r="I249" s="299" t="s">
        <v>3253</v>
      </c>
      <c r="J249" s="66">
        <v>1952</v>
      </c>
      <c r="K249" s="66" t="s">
        <v>3657</v>
      </c>
      <c r="L249" s="66">
        <v>113872</v>
      </c>
      <c r="M249" s="66"/>
      <c r="N249" s="66" t="s">
        <v>2498</v>
      </c>
      <c r="O249" s="66" t="s">
        <v>2499</v>
      </c>
      <c r="P249" s="66" t="s">
        <v>2500</v>
      </c>
      <c r="Q249" s="138" t="str">
        <f ca="1">IFERROR(LOOKUP($P249,MOTORISTAS!$D$3:$D$1048576,MOTORISTAS!E$3:E$916),"")</f>
        <v>10838670830</v>
      </c>
      <c r="R249" s="138" t="str">
        <f ca="1">IFERROR(LOOKUP($P249,MOTORISTAS!$D$3:$D$1048576,MOTORISTAS!F$3:F$916),"")</f>
        <v>01808675938</v>
      </c>
      <c r="S249" s="66" t="s">
        <v>3716</v>
      </c>
      <c r="T249" s="66" t="s">
        <v>293</v>
      </c>
      <c r="U249" s="79">
        <v>44988.020138888889</v>
      </c>
      <c r="V249" s="66" t="s">
        <v>469</v>
      </c>
      <c r="W249" s="79">
        <v>44991.731944444444</v>
      </c>
      <c r="X249" s="79">
        <v>44989.166666666664</v>
      </c>
      <c r="Y249" s="88">
        <v>44989.416666666664</v>
      </c>
      <c r="Z249" s="81">
        <v>2300</v>
      </c>
      <c r="AA249" s="81"/>
      <c r="AB249" s="81"/>
      <c r="AC249" s="81"/>
      <c r="AD249" s="81"/>
      <c r="AE249" s="81"/>
      <c r="AF249" s="81"/>
      <c r="AG249" s="81">
        <f>Sal_23[[#This Row],[COMPRA]]*12%</f>
        <v>399.62399999999997</v>
      </c>
      <c r="AH249" s="83">
        <v>3330.2</v>
      </c>
      <c r="AI249" s="66" t="str">
        <f>PROPER(TEXT(Sal_23[[#This Row],[PROGRAMAÇÃO]],"mmm"))</f>
        <v>Mar</v>
      </c>
      <c r="AJ249" s="66">
        <f>YEAR(Sal_23[[#This Row],[PROGRAMAÇÃO]])</f>
        <v>2023</v>
      </c>
      <c r="AK249" s="66"/>
      <c r="AL249" s="66"/>
      <c r="AM249" s="66" t="s">
        <v>2768</v>
      </c>
      <c r="AN249" s="66" t="s">
        <v>2768</v>
      </c>
      <c r="AO249" s="66" t="s">
        <v>2768</v>
      </c>
    </row>
    <row r="250" spans="1:44" x14ac:dyDescent="0.25">
      <c r="A250" s="120" t="str">
        <f>Sal_23[[#This Row],[CONTAINER]]</f>
        <v>TCNU8695872</v>
      </c>
      <c r="B250" s="128" t="s">
        <v>2771</v>
      </c>
      <c r="C25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50" s="79">
        <v>44988.333333333336</v>
      </c>
      <c r="E250" s="44" t="s">
        <v>3671</v>
      </c>
      <c r="F250" s="66">
        <v>40</v>
      </c>
      <c r="G250" s="66" t="s">
        <v>2826</v>
      </c>
      <c r="H250" s="44" t="s">
        <v>1674</v>
      </c>
      <c r="I250" s="299" t="s">
        <v>2829</v>
      </c>
      <c r="J250" s="66">
        <v>1850</v>
      </c>
      <c r="K250" s="66" t="s">
        <v>3657</v>
      </c>
      <c r="L250" s="66">
        <v>104252</v>
      </c>
      <c r="M250" s="66">
        <v>104259</v>
      </c>
      <c r="N250" s="66" t="s">
        <v>890</v>
      </c>
      <c r="O250" s="66" t="s">
        <v>179</v>
      </c>
      <c r="P250" s="66" t="s">
        <v>2678</v>
      </c>
      <c r="Q250" s="138" t="str">
        <f ca="1">IFERROR(LOOKUP($P250,MOTORISTAS!$D$3:$D$1048576,MOTORISTAS!E$3:E$916),"")</f>
        <v>28386357860</v>
      </c>
      <c r="R250" s="138" t="str">
        <f ca="1">IFERROR(LOOKUP($P250,MOTORISTAS!$D$3:$D$1048576,MOTORISTAS!F$3:F$916),"")</f>
        <v>01042201192</v>
      </c>
      <c r="S250" s="66">
        <v>3445</v>
      </c>
      <c r="T250" s="66" t="s">
        <v>293</v>
      </c>
      <c r="U250" s="79">
        <v>44988.084027777775</v>
      </c>
      <c r="V250" s="66" t="s">
        <v>526</v>
      </c>
      <c r="W250" s="79">
        <v>44988.67291666667</v>
      </c>
      <c r="X250" s="79">
        <v>44988.274305555555</v>
      </c>
      <c r="Y250" s="88">
        <v>44988.479166666664</v>
      </c>
      <c r="Z250" s="81">
        <v>3400</v>
      </c>
      <c r="AA250" s="81"/>
      <c r="AB250" s="81">
        <f>SUM(Sal_23[[#This Row],[Saldo]]+Sal_23[[#This Row],[Adiantamento]])</f>
        <v>3400</v>
      </c>
      <c r="AC250" s="81"/>
      <c r="AD250" s="81"/>
      <c r="AE250" s="81"/>
      <c r="AF250" s="81"/>
      <c r="AG250" s="81">
        <f>Sal_23[[#This Row],[COMPRA]]*12%</f>
        <v>558.28440000000001</v>
      </c>
      <c r="AH250" s="83">
        <v>4652.37</v>
      </c>
      <c r="AI250" s="66" t="str">
        <f>PROPER(TEXT(Sal_23[[#This Row],[PROGRAMAÇÃO]],"mmm"))</f>
        <v>Mar</v>
      </c>
      <c r="AJ250" s="66">
        <f>YEAR(Sal_23[[#This Row],[PROGRAMAÇÃO]])</f>
        <v>2023</v>
      </c>
      <c r="AK250" s="66"/>
      <c r="AL250" s="66"/>
      <c r="AM250" s="66" t="s">
        <v>2768</v>
      </c>
      <c r="AN250" s="66" t="s">
        <v>2768</v>
      </c>
      <c r="AO250" s="66" t="s">
        <v>2768</v>
      </c>
    </row>
    <row r="251" spans="1:44" x14ac:dyDescent="0.25">
      <c r="A251" s="120" t="str">
        <f>Sal_23[[#This Row],[CONTAINER]]</f>
        <v>TCNU7370640</v>
      </c>
      <c r="B251" s="128" t="s">
        <v>2771</v>
      </c>
      <c r="C25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51" s="79">
        <v>44988.333333333336</v>
      </c>
      <c r="E251" s="44" t="s">
        <v>3672</v>
      </c>
      <c r="F251" s="66">
        <v>40</v>
      </c>
      <c r="G251" s="66" t="s">
        <v>2826</v>
      </c>
      <c r="H251" s="44" t="s">
        <v>1674</v>
      </c>
      <c r="I251" s="299" t="s">
        <v>2829</v>
      </c>
      <c r="J251" s="66">
        <v>1852</v>
      </c>
      <c r="K251" s="66" t="s">
        <v>3657</v>
      </c>
      <c r="L251" s="66">
        <v>104291</v>
      </c>
      <c r="M251" s="66">
        <v>104297</v>
      </c>
      <c r="N251" s="66" t="s">
        <v>178</v>
      </c>
      <c r="O251" s="66" t="s">
        <v>112</v>
      </c>
      <c r="P251" s="66" t="s">
        <v>180</v>
      </c>
      <c r="Q251" s="138" t="str">
        <f ca="1">IFERROR(LOOKUP($P251,MOTORISTAS!$D$3:$D$1048576,MOTORISTAS!E$3:E$916),"")</f>
        <v>18990500869</v>
      </c>
      <c r="R251" s="138" t="str">
        <f ca="1">IFERROR(LOOKUP($P251,MOTORISTAS!$D$3:$D$1048576,MOTORISTAS!F$3:F$916),"")</f>
        <v>04640435232</v>
      </c>
      <c r="S251" s="66">
        <v>3446</v>
      </c>
      <c r="T251" s="66" t="s">
        <v>293</v>
      </c>
      <c r="U251" s="79">
        <v>44988.231249999997</v>
      </c>
      <c r="V251" s="66" t="s">
        <v>526</v>
      </c>
      <c r="W251" s="79">
        <v>44988.822916666664</v>
      </c>
      <c r="X251" s="79">
        <v>44988.416666666664</v>
      </c>
      <c r="Y251" s="88">
        <v>44988.583333333336</v>
      </c>
      <c r="Z251" s="81">
        <v>3400</v>
      </c>
      <c r="AA251" s="81"/>
      <c r="AB251" s="81">
        <f>SUM(Sal_23[[#This Row],[Saldo]]+Sal_23[[#This Row],[Adiantamento]])</f>
        <v>3400</v>
      </c>
      <c r="AC251" s="81"/>
      <c r="AD251" s="81"/>
      <c r="AE251" s="81"/>
      <c r="AF251" s="81"/>
      <c r="AG251" s="81">
        <f>Sal_23[[#This Row],[COMPRA]]*12%</f>
        <v>558.28440000000001</v>
      </c>
      <c r="AH251" s="83">
        <v>4652.37</v>
      </c>
      <c r="AI251" s="66" t="str">
        <f>PROPER(TEXT(Sal_23[[#This Row],[PROGRAMAÇÃO]],"mmm"))</f>
        <v>Mar</v>
      </c>
      <c r="AJ251" s="66">
        <f>YEAR(Sal_23[[#This Row],[PROGRAMAÇÃO]])</f>
        <v>2023</v>
      </c>
      <c r="AK251" s="66"/>
      <c r="AL251" s="44" t="s">
        <v>2785</v>
      </c>
      <c r="AM251" s="66" t="s">
        <v>2768</v>
      </c>
      <c r="AN251" s="66" t="s">
        <v>2768</v>
      </c>
      <c r="AO251" s="66" t="s">
        <v>2768</v>
      </c>
    </row>
    <row r="252" spans="1:44" x14ac:dyDescent="0.25">
      <c r="A252" s="120" t="str">
        <f>Sal_23[[#This Row],[CONTAINER]]</f>
        <v>CAIU8802940</v>
      </c>
      <c r="B252" s="128" t="s">
        <v>2771</v>
      </c>
      <c r="C25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52" s="79">
        <v>44988.333333333336</v>
      </c>
      <c r="E252" s="44" t="s">
        <v>3675</v>
      </c>
      <c r="F252" s="66">
        <v>40</v>
      </c>
      <c r="G252" s="66" t="s">
        <v>2826</v>
      </c>
      <c r="H252" s="44" t="s">
        <v>2833</v>
      </c>
      <c r="I252" s="299" t="s">
        <v>2832</v>
      </c>
      <c r="J252" s="66">
        <v>1849</v>
      </c>
      <c r="K252" s="66" t="s">
        <v>3657</v>
      </c>
      <c r="L252" s="66">
        <v>104245</v>
      </c>
      <c r="M252" s="66"/>
      <c r="N252" s="66" t="s">
        <v>106</v>
      </c>
      <c r="O252" s="66" t="s">
        <v>107</v>
      </c>
      <c r="P252" s="66" t="s">
        <v>69</v>
      </c>
      <c r="Q252" s="138" t="str">
        <f ca="1">IFERROR(LOOKUP($P252,MOTORISTAS!$D$3:$D$1048576,MOTORISTAS!E$3:E$916),"")</f>
        <v>07968457866</v>
      </c>
      <c r="R252" s="138" t="str">
        <f ca="1">IFERROR(LOOKUP($P252,MOTORISTAS!$D$3:$D$1048576,MOTORISTAS!F$3:F$916),"")</f>
        <v>03264365790</v>
      </c>
      <c r="S252" s="66">
        <v>3443</v>
      </c>
      <c r="T252" s="66" t="s">
        <v>293</v>
      </c>
      <c r="U252" s="79">
        <v>44988.125</v>
      </c>
      <c r="V252" s="66" t="s">
        <v>469</v>
      </c>
      <c r="W252" s="79">
        <v>44988.977777777778</v>
      </c>
      <c r="X252" s="79">
        <v>44988.625</v>
      </c>
      <c r="Y252" s="88">
        <v>44988.708333333336</v>
      </c>
      <c r="Z252" s="81">
        <v>635.4</v>
      </c>
      <c r="AA252" s="81"/>
      <c r="AB252" s="81"/>
      <c r="AC252" s="81"/>
      <c r="AD252" s="81"/>
      <c r="AE252" s="81"/>
      <c r="AF252" s="81"/>
      <c r="AG252" s="81">
        <f>Sal_23[[#This Row],[COMPRA]]*12%</f>
        <v>641.71680000000003</v>
      </c>
      <c r="AH252" s="83">
        <v>5347.64</v>
      </c>
      <c r="AI252" s="66" t="str">
        <f>PROPER(TEXT(Sal_23[[#This Row],[PROGRAMAÇÃO]],"mmm"))</f>
        <v>Mar</v>
      </c>
      <c r="AJ252" s="66">
        <f>YEAR(Sal_23[[#This Row],[PROGRAMAÇÃO]])</f>
        <v>2023</v>
      </c>
      <c r="AK252" s="66" t="s">
        <v>3707</v>
      </c>
      <c r="AL252" s="44" t="s">
        <v>3643</v>
      </c>
      <c r="AM252" s="66" t="s">
        <v>2768</v>
      </c>
      <c r="AN252" s="66" t="s">
        <v>2768</v>
      </c>
      <c r="AO252" s="66" t="s">
        <v>2768</v>
      </c>
    </row>
    <row r="253" spans="1:44" x14ac:dyDescent="0.25">
      <c r="A253" s="120" t="str">
        <f>Sal_23[[#This Row],[CONTAINER]]</f>
        <v>TCLU3467018</v>
      </c>
      <c r="B253" s="128" t="s">
        <v>2771</v>
      </c>
      <c r="C25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53" s="79">
        <v>44988.333333333336</v>
      </c>
      <c r="E253" s="44" t="s">
        <v>3661</v>
      </c>
      <c r="F253" s="66">
        <v>20</v>
      </c>
      <c r="G253" s="44" t="s">
        <v>2837</v>
      </c>
      <c r="H253" s="44" t="s">
        <v>2837</v>
      </c>
      <c r="I253" s="299" t="s">
        <v>2821</v>
      </c>
      <c r="J253" s="66">
        <v>1861</v>
      </c>
      <c r="K253" s="66" t="s">
        <v>3657</v>
      </c>
      <c r="L253" s="66">
        <v>113871</v>
      </c>
      <c r="M253" s="66"/>
      <c r="N253" s="66" t="s">
        <v>2498</v>
      </c>
      <c r="O253" s="66" t="s">
        <v>2499</v>
      </c>
      <c r="P253" s="66" t="s">
        <v>2500</v>
      </c>
      <c r="Q253" s="138" t="str">
        <f ca="1">IFERROR(LOOKUP($P253,MOTORISTAS!$D$3:$D$1048576,MOTORISTAS!E$3:E$916),"")</f>
        <v>10838670830</v>
      </c>
      <c r="R253" s="138" t="str">
        <f ca="1">IFERROR(LOOKUP($P253,MOTORISTAS!$D$3:$D$1048576,MOTORISTAS!F$3:F$916),"")</f>
        <v>01808675938</v>
      </c>
      <c r="S253" s="66">
        <v>3447</v>
      </c>
      <c r="T253" s="66" t="s">
        <v>293</v>
      </c>
      <c r="U253" s="79">
        <v>44988.020138888889</v>
      </c>
      <c r="V253" s="66" t="s">
        <v>469</v>
      </c>
      <c r="W253" s="79">
        <v>44988.761111111111</v>
      </c>
      <c r="X253" s="79">
        <v>44988.4375</v>
      </c>
      <c r="Y253" s="88">
        <v>44988.555555555555</v>
      </c>
      <c r="Z253" s="81">
        <v>1600</v>
      </c>
      <c r="AA253" s="81">
        <v>0</v>
      </c>
      <c r="AB253" s="81">
        <f>SUM(Sal_23[[#This Row],[Saldo]]+Sal_23[[#This Row],[Adiantamento]])</f>
        <v>1600</v>
      </c>
      <c r="AC253" s="81">
        <v>0</v>
      </c>
      <c r="AD253" s="81"/>
      <c r="AE253" s="81"/>
      <c r="AF253" s="81"/>
      <c r="AG253" s="81">
        <f>Sal_23[[#This Row],[COMPRA]]*12%</f>
        <v>311.55959999999999</v>
      </c>
      <c r="AH253" s="83">
        <v>2596.33</v>
      </c>
      <c r="AI253" s="66" t="str">
        <f>PROPER(TEXT(Sal_23[[#This Row],[PROGRAMAÇÃO]],"mmm"))</f>
        <v>Mar</v>
      </c>
      <c r="AJ253" s="66">
        <f>YEAR(Sal_23[[#This Row],[PROGRAMAÇÃO]])</f>
        <v>2023</v>
      </c>
      <c r="AK253" s="66" t="s">
        <v>3742</v>
      </c>
      <c r="AL253" s="44" t="s">
        <v>3602</v>
      </c>
      <c r="AM253" s="66" t="s">
        <v>2768</v>
      </c>
      <c r="AN253" s="66" t="s">
        <v>2768</v>
      </c>
      <c r="AO253" s="66" t="s">
        <v>2768</v>
      </c>
    </row>
    <row r="254" spans="1:44" x14ac:dyDescent="0.25">
      <c r="A254" s="120" t="str">
        <f>Sal_23[[#This Row],[CONTAINER]]</f>
        <v>SEGU1118553</v>
      </c>
      <c r="B254" s="128" t="s">
        <v>2771</v>
      </c>
      <c r="C25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54" s="79">
        <v>44991.333333333336</v>
      </c>
      <c r="E254" s="44" t="s">
        <v>3666</v>
      </c>
      <c r="F254" s="66">
        <v>20</v>
      </c>
      <c r="G254" s="66" t="s">
        <v>2826</v>
      </c>
      <c r="H254" s="44" t="s">
        <v>3082</v>
      </c>
      <c r="I254" s="299" t="s">
        <v>3083</v>
      </c>
      <c r="J254" s="66">
        <v>1860</v>
      </c>
      <c r="K254" s="66" t="s">
        <v>3657</v>
      </c>
      <c r="L254" s="66">
        <v>104329</v>
      </c>
      <c r="M254" s="66"/>
      <c r="N254" s="66" t="s">
        <v>2156</v>
      </c>
      <c r="O254" s="66" t="s">
        <v>2464</v>
      </c>
      <c r="P254" s="66" t="s">
        <v>2158</v>
      </c>
      <c r="Q254" s="138" t="str">
        <f ca="1">IFERROR(LOOKUP($P254,MOTORISTAS!$D$3:$D$1048576,MOTORISTAS!E$3:E$916),"")</f>
        <v>10485530864</v>
      </c>
      <c r="R254" s="138" t="str">
        <f ca="1">IFERROR(LOOKUP($P254,MOTORISTAS!$D$3:$D$1048576,MOTORISTAS!F$3:F$916),"")</f>
        <v>02033192841</v>
      </c>
      <c r="S254" s="66">
        <v>3451</v>
      </c>
      <c r="T254" s="66" t="s">
        <v>293</v>
      </c>
      <c r="U254" s="79">
        <v>44991.239583333336</v>
      </c>
      <c r="V254" s="66" t="s">
        <v>469</v>
      </c>
      <c r="W254" s="79">
        <v>44992.606944444444</v>
      </c>
      <c r="X254" s="79">
        <v>44991.319444444445</v>
      </c>
      <c r="Y254" s="88">
        <v>44992.388888888891</v>
      </c>
      <c r="Z254" s="81">
        <v>2000</v>
      </c>
      <c r="AA254" s="81">
        <v>300</v>
      </c>
      <c r="AB254" s="81">
        <f>SUM(Sal_23[[#This Row],[Saldo]]+Sal_23[[#This Row],[Adiantamento]])</f>
        <v>2300</v>
      </c>
      <c r="AC254" s="81">
        <v>0</v>
      </c>
      <c r="AD254" s="81"/>
      <c r="AE254" s="81"/>
      <c r="AF254" s="81"/>
      <c r="AG254" s="81">
        <f>Sal_23[[#This Row],[COMPRA]]*12%</f>
        <v>355.75439999999998</v>
      </c>
      <c r="AH254" s="83">
        <v>2964.62</v>
      </c>
      <c r="AI254" s="66" t="str">
        <f>PROPER(TEXT(Sal_23[[#This Row],[PROGRAMAÇÃO]],"mmm"))</f>
        <v>Mar</v>
      </c>
      <c r="AJ254" s="66">
        <f>YEAR(Sal_23[[#This Row],[PROGRAMAÇÃO]])</f>
        <v>2023</v>
      </c>
      <c r="AK254" s="66"/>
      <c r="AL254" s="66"/>
      <c r="AM254" s="66" t="s">
        <v>2768</v>
      </c>
      <c r="AN254" s="66" t="s">
        <v>2768</v>
      </c>
      <c r="AO254" s="66" t="s">
        <v>2768</v>
      </c>
    </row>
    <row r="255" spans="1:44" x14ac:dyDescent="0.25">
      <c r="A255" s="120" t="str">
        <f>Sal_23[[#This Row],[CONTAINER]]</f>
        <v>MSMU1766194</v>
      </c>
      <c r="B255" s="128" t="s">
        <v>2771</v>
      </c>
      <c r="C25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55" s="79">
        <v>44991.333333333336</v>
      </c>
      <c r="E255" s="44" t="s">
        <v>3667</v>
      </c>
      <c r="F255" s="66">
        <v>20</v>
      </c>
      <c r="G255" s="66" t="s">
        <v>2826</v>
      </c>
      <c r="H255" s="44" t="s">
        <v>3105</v>
      </c>
      <c r="I255" s="299" t="s">
        <v>3677</v>
      </c>
      <c r="J255" s="66">
        <v>1858</v>
      </c>
      <c r="K255" s="66" t="s">
        <v>3657</v>
      </c>
      <c r="L255" s="66">
        <v>104333</v>
      </c>
      <c r="M255" s="66"/>
      <c r="N255" s="66" t="s">
        <v>2859</v>
      </c>
      <c r="O255" s="66" t="s">
        <v>2950</v>
      </c>
      <c r="P255" s="66" t="s">
        <v>2861</v>
      </c>
      <c r="Q255" s="138" t="str">
        <f ca="1">IFERROR(LOOKUP($P255,MOTORISTAS!$D$3:$D$1048576,MOTORISTAS!E$3:E$916),"")</f>
        <v>01817591878</v>
      </c>
      <c r="R255" s="138" t="str">
        <f ca="1">IFERROR(LOOKUP($P255,MOTORISTAS!$D$3:$D$1048576,MOTORISTAS!F$3:F$916),"")</f>
        <v>00821760640</v>
      </c>
      <c r="S255" s="66">
        <v>3449</v>
      </c>
      <c r="T255" s="66" t="s">
        <v>293</v>
      </c>
      <c r="U255" s="79">
        <v>44991.188888888886</v>
      </c>
      <c r="V255" s="66" t="s">
        <v>469</v>
      </c>
      <c r="W255" s="79">
        <v>44991.609027777777</v>
      </c>
      <c r="X255" s="79">
        <v>44991.291666666664</v>
      </c>
      <c r="Y255" s="88">
        <v>44991.493055555555</v>
      </c>
      <c r="Z255" s="81">
        <v>1600</v>
      </c>
      <c r="AA255" s="81"/>
      <c r="AB255" s="81"/>
      <c r="AC255" s="81"/>
      <c r="AD255" s="81"/>
      <c r="AE255" s="81"/>
      <c r="AF255" s="81"/>
      <c r="AG255" s="81">
        <f>Sal_23[[#This Row],[COMPRA]]*12%</f>
        <v>415.74719999999996</v>
      </c>
      <c r="AH255" s="83">
        <v>3464.56</v>
      </c>
      <c r="AI255" s="66" t="str">
        <f>PROPER(TEXT(Sal_23[[#This Row],[PROGRAMAÇÃO]],"mmm"))</f>
        <v>Mar</v>
      </c>
      <c r="AJ255" s="66">
        <f>YEAR(Sal_23[[#This Row],[PROGRAMAÇÃO]])</f>
        <v>2023</v>
      </c>
      <c r="AK255" s="66"/>
      <c r="AL255" s="66"/>
      <c r="AM255" s="66" t="s">
        <v>2768</v>
      </c>
      <c r="AN255" s="66" t="s">
        <v>2768</v>
      </c>
      <c r="AO255" s="66" t="s">
        <v>2768</v>
      </c>
    </row>
    <row r="256" spans="1:44" x14ac:dyDescent="0.25">
      <c r="A256" s="120" t="str">
        <f>Sal_23[[#This Row],[CONTAINER]]</f>
        <v>TEMU8498148</v>
      </c>
      <c r="B256" s="128" t="s">
        <v>2771</v>
      </c>
      <c r="C25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56" s="79">
        <v>44991.333333333336</v>
      </c>
      <c r="E256" s="44" t="s">
        <v>3673</v>
      </c>
      <c r="F256" s="66">
        <v>40</v>
      </c>
      <c r="G256" s="66" t="s">
        <v>2826</v>
      </c>
      <c r="H256" s="44" t="s">
        <v>1674</v>
      </c>
      <c r="I256" s="299" t="s">
        <v>2829</v>
      </c>
      <c r="J256" s="66">
        <v>1853</v>
      </c>
      <c r="K256" s="66" t="s">
        <v>3657</v>
      </c>
      <c r="L256" s="66">
        <v>104292</v>
      </c>
      <c r="M256" s="66">
        <v>104295</v>
      </c>
      <c r="N256" s="66" t="s">
        <v>890</v>
      </c>
      <c r="O256" s="66" t="s">
        <v>891</v>
      </c>
      <c r="P256" s="66" t="s">
        <v>2678</v>
      </c>
      <c r="Q256" s="138" t="str">
        <f ca="1">IFERROR(LOOKUP($P256,MOTORISTAS!$D$3:$D$1048576,MOTORISTAS!E$3:E$916),"")</f>
        <v>28386357860</v>
      </c>
      <c r="R256" s="138" t="str">
        <f ca="1">IFERROR(LOOKUP($P256,MOTORISTAS!$D$3:$D$1048576,MOTORISTAS!F$3:F$916),"")</f>
        <v>01042201192</v>
      </c>
      <c r="S256" s="66">
        <v>3452</v>
      </c>
      <c r="T256" s="66" t="s">
        <v>293</v>
      </c>
      <c r="U256" s="79">
        <v>44990.984027777777</v>
      </c>
      <c r="V256" s="66" t="s">
        <v>469</v>
      </c>
      <c r="W256" s="79">
        <v>44991.729861111111</v>
      </c>
      <c r="X256" s="79">
        <v>44991.166666666664</v>
      </c>
      <c r="Y256" s="88">
        <v>44991.479166666664</v>
      </c>
      <c r="Z256" s="81">
        <v>3400</v>
      </c>
      <c r="AA256" s="81"/>
      <c r="AB256" s="81">
        <f>SUM(Sal_23[[#This Row],[Saldo]]+Sal_23[[#This Row],[Adiantamento]])</f>
        <v>3400</v>
      </c>
      <c r="AC256" s="81"/>
      <c r="AD256" s="81"/>
      <c r="AE256" s="81"/>
      <c r="AF256" s="81"/>
      <c r="AG256" s="81">
        <f>Sal_23[[#This Row],[COMPRA]]*12%</f>
        <v>558.28440000000001</v>
      </c>
      <c r="AH256" s="83">
        <v>4652.37</v>
      </c>
      <c r="AI256" s="66" t="str">
        <f>PROPER(TEXT(Sal_23[[#This Row],[PROGRAMAÇÃO]],"mmm"))</f>
        <v>Mar</v>
      </c>
      <c r="AJ256" s="66">
        <f>YEAR(Sal_23[[#This Row],[PROGRAMAÇÃO]])</f>
        <v>2023</v>
      </c>
      <c r="AK256" s="66"/>
      <c r="AL256" s="66"/>
      <c r="AM256" s="66" t="s">
        <v>2768</v>
      </c>
      <c r="AN256" s="66" t="s">
        <v>2768</v>
      </c>
      <c r="AO256" s="66" t="s">
        <v>2768</v>
      </c>
    </row>
    <row r="257" spans="1:41" x14ac:dyDescent="0.25">
      <c r="A257" s="120" t="str">
        <f>Sal_23[[#This Row],[CONTAINER]]</f>
        <v>TCLU8808740</v>
      </c>
      <c r="B257" s="128" t="s">
        <v>2771</v>
      </c>
      <c r="C257" s="44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57" s="79">
        <v>44991.333333333336</v>
      </c>
      <c r="E257" s="44" t="s">
        <v>3674</v>
      </c>
      <c r="F257" s="66">
        <v>40</v>
      </c>
      <c r="G257" s="66" t="s">
        <v>2826</v>
      </c>
      <c r="H257" s="44" t="s">
        <v>1674</v>
      </c>
      <c r="I257" s="299" t="s">
        <v>2829</v>
      </c>
      <c r="J257" s="66">
        <v>1855</v>
      </c>
      <c r="K257" s="66" t="s">
        <v>3657</v>
      </c>
      <c r="L257" s="66">
        <v>104293</v>
      </c>
      <c r="M257" s="66">
        <v>104296</v>
      </c>
      <c r="N257" s="66" t="s">
        <v>87</v>
      </c>
      <c r="O257" s="66" t="s">
        <v>88</v>
      </c>
      <c r="P257" s="66" t="s">
        <v>89</v>
      </c>
      <c r="Q257" s="138" t="str">
        <f ca="1">IFERROR(LOOKUP($P257,MOTORISTAS!$D$3:$D$1048576,MOTORISTAS!E$3:E$916),"")</f>
        <v>00097734527</v>
      </c>
      <c r="R257" s="138" t="str">
        <f ca="1">IFERROR(LOOKUP($P257,MOTORISTAS!$D$3:$D$1048576,MOTORISTAS!F$3:F$916),"")</f>
        <v>03148346870</v>
      </c>
      <c r="S257" s="66">
        <v>3453</v>
      </c>
      <c r="T257" s="66" t="s">
        <v>293</v>
      </c>
      <c r="U257" s="79">
        <v>44991.047222222223</v>
      </c>
      <c r="V257" s="66" t="s">
        <v>526</v>
      </c>
      <c r="W257" s="79">
        <v>44991.713888888888</v>
      </c>
      <c r="X257" s="79">
        <v>44991.5</v>
      </c>
      <c r="Y257" s="88">
        <v>44991.708333333336</v>
      </c>
      <c r="Z257" s="81">
        <v>3400</v>
      </c>
      <c r="AA257" s="81"/>
      <c r="AB257" s="81">
        <f>SUM(Sal_23[[#This Row],[Saldo]]+Sal_23[[#This Row],[Adiantamento]])</f>
        <v>3400</v>
      </c>
      <c r="AC257" s="81"/>
      <c r="AD257" s="81"/>
      <c r="AE257" s="81"/>
      <c r="AF257" s="81"/>
      <c r="AG257" s="81">
        <f>Sal_23[[#This Row],[COMPRA]]*12%</f>
        <v>558.28440000000001</v>
      </c>
      <c r="AH257" s="83">
        <v>4652.37</v>
      </c>
      <c r="AI257" s="66" t="str">
        <f>PROPER(TEXT(Sal_23[[#This Row],[PROGRAMAÇÃO]],"mmm"))</f>
        <v>Mar</v>
      </c>
      <c r="AJ257" s="66">
        <f>YEAR(Sal_23[[#This Row],[PROGRAMAÇÃO]])</f>
        <v>2023</v>
      </c>
      <c r="AK257" s="66"/>
      <c r="AL257" s="44" t="s">
        <v>3643</v>
      </c>
      <c r="AM257" s="66" t="s">
        <v>2768</v>
      </c>
      <c r="AN257" s="66" t="s">
        <v>2768</v>
      </c>
      <c r="AO257" s="66" t="s">
        <v>2768</v>
      </c>
    </row>
    <row r="258" spans="1:41" x14ac:dyDescent="0.25">
      <c r="A258" s="120" t="str">
        <f>Sal_23[[#This Row],[CONTAINER]]</f>
        <v>CAIU3288696</v>
      </c>
      <c r="B258" s="128" t="s">
        <v>2771</v>
      </c>
      <c r="C25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58" s="79">
        <v>44991.333333333336</v>
      </c>
      <c r="E258" s="44" t="s">
        <v>3663</v>
      </c>
      <c r="F258" s="66">
        <v>20</v>
      </c>
      <c r="G258" s="44" t="s">
        <v>2837</v>
      </c>
      <c r="H258" s="44" t="s">
        <v>2837</v>
      </c>
      <c r="I258" s="299" t="s">
        <v>2821</v>
      </c>
      <c r="J258" s="66">
        <v>1859</v>
      </c>
      <c r="K258" s="66" t="s">
        <v>3657</v>
      </c>
      <c r="L258" s="66">
        <v>104328</v>
      </c>
      <c r="M258" s="66"/>
      <c r="N258" s="66" t="s">
        <v>3028</v>
      </c>
      <c r="O258" s="66" t="s">
        <v>2950</v>
      </c>
      <c r="P258" s="66" t="s">
        <v>3029</v>
      </c>
      <c r="Q258" s="138" t="str">
        <f ca="1">IFERROR(LOOKUP($P258,MOTORISTAS!$D$3:$D$1048576,MOTORISTAS!E$3:E$916),"")</f>
        <v>15284965825</v>
      </c>
      <c r="R258" s="138" t="str">
        <f ca="1">IFERROR(LOOKUP($P258,MOTORISTAS!$D$3:$D$1048576,MOTORISTAS!F$3:F$916),"")</f>
        <v>01681109819</v>
      </c>
      <c r="S258" s="66">
        <v>3450</v>
      </c>
      <c r="T258" s="66" t="s">
        <v>293</v>
      </c>
      <c r="U258" s="79">
        <v>44991.191666666666</v>
      </c>
      <c r="V258" s="66" t="s">
        <v>469</v>
      </c>
      <c r="W258" s="79">
        <v>44991.48333333333</v>
      </c>
      <c r="X258" s="79">
        <v>44991.298611111109</v>
      </c>
      <c r="Y258" s="88">
        <v>44991.347222222219</v>
      </c>
      <c r="Z258" s="81">
        <v>1600</v>
      </c>
      <c r="AA258" s="81">
        <v>0</v>
      </c>
      <c r="AB258" s="81">
        <f>SUM(Sal_23[[#This Row],[Saldo]]+Sal_23[[#This Row],[Adiantamento]])</f>
        <v>1600</v>
      </c>
      <c r="AC258" s="81">
        <v>0</v>
      </c>
      <c r="AD258" s="81"/>
      <c r="AE258" s="81"/>
      <c r="AF258" s="81"/>
      <c r="AG258" s="81">
        <f>Sal_23[[#This Row],[COMPRA]]*12%</f>
        <v>311.55959999999999</v>
      </c>
      <c r="AH258" s="83">
        <v>2596.33</v>
      </c>
      <c r="AI258" s="66" t="str">
        <f>PROPER(TEXT(Sal_23[[#This Row],[PROGRAMAÇÃO]],"mmm"))</f>
        <v>Mar</v>
      </c>
      <c r="AJ258" s="66">
        <f>YEAR(Sal_23[[#This Row],[PROGRAMAÇÃO]])</f>
        <v>2023</v>
      </c>
      <c r="AK258" s="66"/>
      <c r="AL258" s="66"/>
      <c r="AM258" s="66" t="s">
        <v>2768</v>
      </c>
      <c r="AN258" s="66" t="s">
        <v>2768</v>
      </c>
      <c r="AO258" s="66" t="s">
        <v>2768</v>
      </c>
    </row>
    <row r="259" spans="1:41" x14ac:dyDescent="0.25">
      <c r="A259" s="120" t="str">
        <f>Sal_23[[#This Row],[CONTAINER]]</f>
        <v>CAIU2929141</v>
      </c>
      <c r="B259" s="128" t="s">
        <v>2771</v>
      </c>
      <c r="C25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59" s="79">
        <v>44992.333333333336</v>
      </c>
      <c r="E259" s="44" t="s">
        <v>3664</v>
      </c>
      <c r="F259" s="66">
        <v>20</v>
      </c>
      <c r="G259" s="66" t="s">
        <v>2826</v>
      </c>
      <c r="H259" s="44" t="s">
        <v>2827</v>
      </c>
      <c r="I259" s="299" t="s">
        <v>2823</v>
      </c>
      <c r="J259" s="66">
        <v>1857</v>
      </c>
      <c r="K259" s="66" t="s">
        <v>3657</v>
      </c>
      <c r="L259" s="66">
        <v>104250</v>
      </c>
      <c r="M259" s="66"/>
      <c r="N259" s="66" t="s">
        <v>3040</v>
      </c>
      <c r="O259" s="66" t="s">
        <v>3041</v>
      </c>
      <c r="P259" s="66" t="s">
        <v>3042</v>
      </c>
      <c r="Q259" s="138" t="str">
        <f ca="1">IFERROR(LOOKUP($P259,MOTORISTAS!$D$3:$D$1048576,MOTORISTAS!E$3:E$916),"")</f>
        <v>19279658883</v>
      </c>
      <c r="R259" s="138" t="str">
        <f ca="1">IFERROR(LOOKUP($P259,MOTORISTAS!$D$3:$D$1048576,MOTORISTAS!F$3:F$916),"")</f>
        <v>01301319672</v>
      </c>
      <c r="S259" s="66">
        <v>3454</v>
      </c>
      <c r="T259" s="66" t="s">
        <v>293</v>
      </c>
      <c r="U259" s="79">
        <v>44991.968055555553</v>
      </c>
      <c r="V259" s="66" t="s">
        <v>469</v>
      </c>
      <c r="W259" s="79">
        <v>44992.799305555556</v>
      </c>
      <c r="X259" s="79">
        <v>44992.145833333336</v>
      </c>
      <c r="Y259" s="81" t="s">
        <v>3762</v>
      </c>
      <c r="Z259" s="81">
        <v>3200</v>
      </c>
      <c r="AA259" s="81">
        <v>0</v>
      </c>
      <c r="AB259" s="81">
        <f>SUM(Sal_23[[#This Row],[Saldo]]+Sal_23[[#This Row],[Adiantamento]])</f>
        <v>3200</v>
      </c>
      <c r="AC259" s="81">
        <v>0</v>
      </c>
      <c r="AD259" s="81"/>
      <c r="AE259" s="81"/>
      <c r="AF259" s="81"/>
      <c r="AG259" s="81">
        <f>Sal_23[[#This Row],[COMPRA]]*12%</f>
        <v>571.48680000000002</v>
      </c>
      <c r="AH259" s="83">
        <v>4762.3900000000003</v>
      </c>
      <c r="AI259" s="66" t="str">
        <f>PROPER(TEXT(Sal_23[[#This Row],[PROGRAMAÇÃO]],"mmm"))</f>
        <v>Mar</v>
      </c>
      <c r="AJ259" s="66">
        <f>YEAR(Sal_23[[#This Row],[PROGRAMAÇÃO]])</f>
        <v>2023</v>
      </c>
      <c r="AK259" s="66"/>
      <c r="AL259" s="66"/>
      <c r="AM259" s="66" t="s">
        <v>2768</v>
      </c>
      <c r="AN259" s="66" t="s">
        <v>2768</v>
      </c>
      <c r="AO259" s="66" t="s">
        <v>2768</v>
      </c>
    </row>
    <row r="260" spans="1:41" x14ac:dyDescent="0.25">
      <c r="A260" s="120" t="str">
        <f>Sal_23[[#This Row],[CONTAINER]]</f>
        <v>CAIU3158310</v>
      </c>
      <c r="B260" s="128" t="s">
        <v>2771</v>
      </c>
      <c r="C26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60" s="79">
        <v>44992.333333333336</v>
      </c>
      <c r="E260" s="44" t="s">
        <v>3665</v>
      </c>
      <c r="F260" s="66">
        <v>20</v>
      </c>
      <c r="G260" s="66" t="s">
        <v>2826</v>
      </c>
      <c r="H260" s="44" t="s">
        <v>2827</v>
      </c>
      <c r="I260" s="299" t="s">
        <v>2823</v>
      </c>
      <c r="J260" s="66">
        <v>1856</v>
      </c>
      <c r="K260" s="66" t="s">
        <v>3657</v>
      </c>
      <c r="L260" s="66">
        <v>104251</v>
      </c>
      <c r="M260" s="66"/>
      <c r="N260" s="66" t="s">
        <v>2156</v>
      </c>
      <c r="O260" s="66" t="s">
        <v>2464</v>
      </c>
      <c r="P260" s="66" t="s">
        <v>2158</v>
      </c>
      <c r="Q260" s="138" t="str">
        <f ca="1">IFERROR(LOOKUP($P260,MOTORISTAS!$D$3:$D$1048576,MOTORISTAS!E$3:E$916),"")</f>
        <v>10485530864</v>
      </c>
      <c r="R260" s="138" t="str">
        <f ca="1">IFERROR(LOOKUP($P260,MOTORISTAS!$D$3:$D$1048576,MOTORISTAS!F$3:F$916),"")</f>
        <v>02033192841</v>
      </c>
      <c r="S260" s="66">
        <v>3455</v>
      </c>
      <c r="T260" s="66" t="s">
        <v>293</v>
      </c>
      <c r="U260" s="79">
        <v>44991.936805555553</v>
      </c>
      <c r="V260" s="66" t="s">
        <v>469</v>
      </c>
      <c r="W260" s="79">
        <v>44992.646527777775</v>
      </c>
      <c r="X260" s="79">
        <v>44992.138888888891</v>
      </c>
      <c r="Y260" s="81" t="s">
        <v>3762</v>
      </c>
      <c r="Z260" s="81">
        <v>3200</v>
      </c>
      <c r="AA260" s="81">
        <v>0</v>
      </c>
      <c r="AB260" s="81">
        <f>SUM(Sal_23[[#This Row],[Saldo]]+Sal_23[[#This Row],[Adiantamento]])</f>
        <v>3200</v>
      </c>
      <c r="AC260" s="81">
        <v>0</v>
      </c>
      <c r="AD260" s="81"/>
      <c r="AE260" s="81"/>
      <c r="AF260" s="81"/>
      <c r="AG260" s="81">
        <f>Sal_23[[#This Row],[COMPRA]]*12%</f>
        <v>571.48680000000002</v>
      </c>
      <c r="AH260" s="83">
        <v>4762.3900000000003</v>
      </c>
      <c r="AI260" s="66" t="str">
        <f>PROPER(TEXT(Sal_23[[#This Row],[PROGRAMAÇÃO]],"mmm"))</f>
        <v>Mar</v>
      </c>
      <c r="AJ260" s="66">
        <f>YEAR(Sal_23[[#This Row],[PROGRAMAÇÃO]])</f>
        <v>2023</v>
      </c>
      <c r="AK260" s="66"/>
      <c r="AL260" s="66"/>
      <c r="AM260" s="66" t="s">
        <v>2768</v>
      </c>
      <c r="AN260" s="66" t="s">
        <v>2768</v>
      </c>
      <c r="AO260" s="66" t="s">
        <v>2768</v>
      </c>
    </row>
    <row r="261" spans="1:41" x14ac:dyDescent="0.25">
      <c r="A261" s="120" t="str">
        <f>Sal_23[[#This Row],[CONTAINER]]</f>
        <v>SEGU4046689</v>
      </c>
      <c r="B261" s="128" t="s">
        <v>2771</v>
      </c>
      <c r="C261" s="44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61" s="79">
        <v>44992.333333333336</v>
      </c>
      <c r="E261" s="44" t="s">
        <v>3668</v>
      </c>
      <c r="F261" s="66">
        <v>40</v>
      </c>
      <c r="G261" s="66" t="s">
        <v>2826</v>
      </c>
      <c r="H261" s="44" t="s">
        <v>3195</v>
      </c>
      <c r="I261" s="299" t="s">
        <v>2830</v>
      </c>
      <c r="J261" s="66">
        <v>1949</v>
      </c>
      <c r="K261" s="66" t="s">
        <v>3657</v>
      </c>
      <c r="L261" s="66">
        <v>104330</v>
      </c>
      <c r="M261" s="66"/>
      <c r="N261" s="66" t="s">
        <v>87</v>
      </c>
      <c r="O261" s="66" t="s">
        <v>88</v>
      </c>
      <c r="P261" s="66" t="s">
        <v>89</v>
      </c>
      <c r="Q261" s="138" t="str">
        <f ca="1">IFERROR(LOOKUP($P261,MOTORISTAS!$D$3:$D$1048576,MOTORISTAS!E$3:E$916),"")</f>
        <v>00097734527</v>
      </c>
      <c r="R261" s="138" t="str">
        <f ca="1">IFERROR(LOOKUP($P261,MOTORISTAS!$D$3:$D$1048576,MOTORISTAS!F$3:F$916),"")</f>
        <v>03148346870</v>
      </c>
      <c r="S261" s="66">
        <v>3456</v>
      </c>
      <c r="T261" s="66" t="s">
        <v>293</v>
      </c>
      <c r="U261" s="79">
        <v>44992.404861111114</v>
      </c>
      <c r="V261" s="66" t="s">
        <v>469</v>
      </c>
      <c r="W261" s="79">
        <v>44992.75</v>
      </c>
      <c r="X261" s="79">
        <v>44992.527777777781</v>
      </c>
      <c r="Y261" s="88">
        <v>44992.625</v>
      </c>
      <c r="Z261" s="81">
        <v>2300</v>
      </c>
      <c r="AA261" s="81">
        <v>0</v>
      </c>
      <c r="AB261" s="81">
        <f>SUM(Sal_23[[#This Row],[Saldo]]+Sal_23[[#This Row],[Adiantamento]])</f>
        <v>2300</v>
      </c>
      <c r="AC261" s="81">
        <v>0</v>
      </c>
      <c r="AD261" s="81"/>
      <c r="AE261" s="81"/>
      <c r="AF261" s="81"/>
      <c r="AG261" s="81">
        <f>Sal_23[[#This Row],[COMPRA]]*12%</f>
        <v>392.15039999999999</v>
      </c>
      <c r="AH261" s="83">
        <v>3267.92</v>
      </c>
      <c r="AI261" s="66" t="str">
        <f>PROPER(TEXT(Sal_23[[#This Row],[PROGRAMAÇÃO]],"mmm"))</f>
        <v>Mar</v>
      </c>
      <c r="AJ261" s="66">
        <f>YEAR(Sal_23[[#This Row],[PROGRAMAÇÃO]])</f>
        <v>2023</v>
      </c>
      <c r="AK261" s="66" t="s">
        <v>3791</v>
      </c>
      <c r="AL261" s="44" t="s">
        <v>2785</v>
      </c>
      <c r="AM261" s="66" t="s">
        <v>2768</v>
      </c>
      <c r="AN261" s="66" t="s">
        <v>2768</v>
      </c>
      <c r="AO261" s="66" t="s">
        <v>2768</v>
      </c>
    </row>
    <row r="262" spans="1:41" x14ac:dyDescent="0.25">
      <c r="A262" s="120" t="str">
        <f>Sal_23[[#This Row],[CONTAINER]]</f>
        <v>FFAU1701950</v>
      </c>
      <c r="B262" s="128" t="s">
        <v>2771</v>
      </c>
      <c r="C26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62" s="79">
        <v>44992.333333333336</v>
      </c>
      <c r="E262" s="44" t="s">
        <v>3676</v>
      </c>
      <c r="F262" s="66">
        <v>40</v>
      </c>
      <c r="G262" s="66" t="s">
        <v>2826</v>
      </c>
      <c r="H262" s="44" t="s">
        <v>2833</v>
      </c>
      <c r="I262" s="299" t="s">
        <v>3678</v>
      </c>
      <c r="J262" s="66">
        <v>1854</v>
      </c>
      <c r="K262" s="66" t="s">
        <v>3657</v>
      </c>
      <c r="L262" s="66">
        <v>104290</v>
      </c>
      <c r="M262" s="66"/>
      <c r="N262" s="66" t="s">
        <v>890</v>
      </c>
      <c r="O262" s="66" t="s">
        <v>891</v>
      </c>
      <c r="P262" s="66" t="s">
        <v>2678</v>
      </c>
      <c r="Q262" s="138" t="str">
        <f ca="1">IFERROR(LOOKUP($P262,MOTORISTAS!$D$3:$D$1048576,MOTORISTAS!E$3:E$916),"")</f>
        <v>28386357860</v>
      </c>
      <c r="R262" s="138" t="str">
        <f ca="1">IFERROR(LOOKUP($P262,MOTORISTAS!$D$3:$D$1048576,MOTORISTAS!F$3:F$916),"")</f>
        <v>01042201192</v>
      </c>
      <c r="S262" s="66">
        <v>3457</v>
      </c>
      <c r="T262" s="66" t="s">
        <v>293</v>
      </c>
      <c r="U262" s="79">
        <v>44991.98333333333</v>
      </c>
      <c r="V262" s="66" t="s">
        <v>469</v>
      </c>
      <c r="W262" s="79">
        <v>44992.663888888892</v>
      </c>
      <c r="X262" s="79">
        <v>44992.347222222219</v>
      </c>
      <c r="Y262" s="88">
        <v>44992.458333333336</v>
      </c>
      <c r="Z262" s="81">
        <v>3700</v>
      </c>
      <c r="AA262" s="81"/>
      <c r="AB262" s="81">
        <f>SUM(Sal_23[[#This Row],[Saldo]]+Sal_23[[#This Row],[Adiantamento]])</f>
        <v>3700</v>
      </c>
      <c r="AC262" s="81"/>
      <c r="AD262" s="81"/>
      <c r="AE262" s="81"/>
      <c r="AF262" s="81"/>
      <c r="AG262" s="81">
        <f>Sal_23[[#This Row],[COMPRA]]*12%</f>
        <v>641.71680000000003</v>
      </c>
      <c r="AH262" s="83">
        <v>5347.64</v>
      </c>
      <c r="AI262" s="66" t="str">
        <f>PROPER(TEXT(Sal_23[[#This Row],[PROGRAMAÇÃO]],"mmm"))</f>
        <v>Mar</v>
      </c>
      <c r="AJ262" s="66">
        <f>YEAR(Sal_23[[#This Row],[PROGRAMAÇÃO]])</f>
        <v>2023</v>
      </c>
      <c r="AK262" s="66" t="s">
        <v>3791</v>
      </c>
      <c r="AL262" s="44" t="s">
        <v>2785</v>
      </c>
      <c r="AM262" s="66" t="s">
        <v>2768</v>
      </c>
      <c r="AN262" s="66" t="s">
        <v>2768</v>
      </c>
      <c r="AO262" s="66" t="s">
        <v>2768</v>
      </c>
    </row>
    <row r="263" spans="1:41" x14ac:dyDescent="0.25">
      <c r="A263" s="120" t="str">
        <f>Sal_23[[#This Row],[CONTAINER]]</f>
        <v>MSDU1566203</v>
      </c>
      <c r="B263" s="128" t="s">
        <v>2771</v>
      </c>
      <c r="C26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63" s="79">
        <v>44994.375</v>
      </c>
      <c r="E263" s="44" t="s">
        <v>3718</v>
      </c>
      <c r="F263" s="66">
        <v>20</v>
      </c>
      <c r="G263" s="66" t="s">
        <v>2820</v>
      </c>
      <c r="H263" s="44" t="s">
        <v>2820</v>
      </c>
      <c r="I263" s="299" t="s">
        <v>2821</v>
      </c>
      <c r="J263" s="66">
        <v>2096</v>
      </c>
      <c r="K263" s="66" t="s">
        <v>3721</v>
      </c>
      <c r="L263" s="66">
        <v>69289</v>
      </c>
      <c r="M263" s="66"/>
      <c r="N263" s="66" t="s">
        <v>2949</v>
      </c>
      <c r="O263" s="66" t="s">
        <v>2950</v>
      </c>
      <c r="P263" s="66" t="s">
        <v>2948</v>
      </c>
      <c r="Q263" s="138" t="str">
        <f ca="1">IFERROR(LOOKUP($P263,MOTORISTAS!$D$3:$D$1048576,MOTORISTAS!E$3:E$916),"")</f>
        <v>16239341843</v>
      </c>
      <c r="R263" s="138" t="str">
        <f ca="1">IFERROR(LOOKUP($P263,MOTORISTAS!$D$3:$D$1048576,MOTORISTAS!F$3:F$916),"")</f>
        <v>01877235038</v>
      </c>
      <c r="S263" s="66">
        <v>15318</v>
      </c>
      <c r="T263" s="66" t="s">
        <v>293</v>
      </c>
      <c r="U263" s="79">
        <v>44993.975694444445</v>
      </c>
      <c r="V263" s="66" t="s">
        <v>469</v>
      </c>
      <c r="W263" s="79">
        <v>44994.588888888888</v>
      </c>
      <c r="X263" s="79">
        <v>44994.083333333336</v>
      </c>
      <c r="Y263" s="88">
        <v>44994.375</v>
      </c>
      <c r="Z263" s="81">
        <v>1600</v>
      </c>
      <c r="AA263" s="81"/>
      <c r="AB263" s="81"/>
      <c r="AC263" s="81"/>
      <c r="AD263" s="81"/>
      <c r="AE263" s="81"/>
      <c r="AF263" s="81"/>
      <c r="AG263" s="81">
        <f>Sal_23[[#This Row],[COMPRA]]*12%</f>
        <v>276</v>
      </c>
      <c r="AH263" s="83">
        <v>2300</v>
      </c>
      <c r="AI263" s="66" t="str">
        <f>PROPER(TEXT(Sal_23[[#This Row],[PROGRAMAÇÃO]],"mmm"))</f>
        <v>Mar</v>
      </c>
      <c r="AJ263" s="66">
        <f>YEAR(Sal_23[[#This Row],[PROGRAMAÇÃO]])</f>
        <v>2023</v>
      </c>
      <c r="AK263" s="66"/>
      <c r="AL263" s="66"/>
      <c r="AM263" s="66" t="s">
        <v>2768</v>
      </c>
      <c r="AN263" s="66" t="s">
        <v>2768</v>
      </c>
      <c r="AO263" s="66" t="s">
        <v>2768</v>
      </c>
    </row>
    <row r="264" spans="1:41" x14ac:dyDescent="0.25">
      <c r="A264" s="120" t="str">
        <f>Sal_23[[#This Row],[CONTAINER]]</f>
        <v>CAIU3288211</v>
      </c>
      <c r="B264" s="128" t="s">
        <v>2771</v>
      </c>
      <c r="C26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64" s="79">
        <v>44994.375</v>
      </c>
      <c r="E264" s="44" t="s">
        <v>3720</v>
      </c>
      <c r="F264" s="66">
        <v>20</v>
      </c>
      <c r="G264" s="66" t="s">
        <v>2820</v>
      </c>
      <c r="H264" s="44" t="s">
        <v>2820</v>
      </c>
      <c r="I264" s="299" t="s">
        <v>2821</v>
      </c>
      <c r="J264" s="66">
        <v>2094</v>
      </c>
      <c r="K264" s="66" t="s">
        <v>3721</v>
      </c>
      <c r="L264" s="66">
        <v>69234</v>
      </c>
      <c r="M264" s="66"/>
      <c r="N264" s="66" t="s">
        <v>3028</v>
      </c>
      <c r="O264" s="66" t="s">
        <v>2950</v>
      </c>
      <c r="P264" s="66" t="s">
        <v>3443</v>
      </c>
      <c r="Q264" s="138" t="str">
        <f ca="1">IFERROR(LOOKUP($P264,MOTORISTAS!$D$3:$D$1048576,MOTORISTAS!E$3:E$916),"")</f>
        <v>13990937898</v>
      </c>
      <c r="R264" s="138" t="str">
        <f ca="1">IFERROR(LOOKUP($P264,MOTORISTAS!$D$3:$D$1048576,MOTORISTAS!F$3:F$916),"")</f>
        <v>01825123407</v>
      </c>
      <c r="S264" s="66">
        <v>15317</v>
      </c>
      <c r="T264" s="66" t="s">
        <v>293</v>
      </c>
      <c r="U264" s="79">
        <v>44993.967361111114</v>
      </c>
      <c r="V264" s="66" t="s">
        <v>469</v>
      </c>
      <c r="W264" s="79">
        <v>44994.62222222222</v>
      </c>
      <c r="X264" s="79">
        <v>44994.083333333336</v>
      </c>
      <c r="Y264" s="88">
        <v>44994.4375</v>
      </c>
      <c r="Z264" s="81">
        <v>1600</v>
      </c>
      <c r="AA264" s="81"/>
      <c r="AB264" s="81"/>
      <c r="AC264" s="81"/>
      <c r="AD264" s="81"/>
      <c r="AE264" s="81"/>
      <c r="AF264" s="81"/>
      <c r="AG264" s="81">
        <f>Sal_23[[#This Row],[COMPRA]]*12%</f>
        <v>276</v>
      </c>
      <c r="AH264" s="83">
        <v>2300</v>
      </c>
      <c r="AI264" s="66" t="str">
        <f>PROPER(TEXT(Sal_23[[#This Row],[PROGRAMAÇÃO]],"mmm"))</f>
        <v>Mar</v>
      </c>
      <c r="AJ264" s="66">
        <f>YEAR(Sal_23[[#This Row],[PROGRAMAÇÃO]])</f>
        <v>2023</v>
      </c>
      <c r="AK264" s="66"/>
      <c r="AL264" s="66"/>
      <c r="AM264" s="66" t="s">
        <v>2768</v>
      </c>
      <c r="AN264" s="66" t="s">
        <v>2768</v>
      </c>
      <c r="AO264" s="66" t="s">
        <v>2768</v>
      </c>
    </row>
    <row r="265" spans="1:41" x14ac:dyDescent="0.25">
      <c r="A265" s="120" t="str">
        <f>Sal_23[[#This Row],[CONTAINER]]</f>
        <v>SEGU1120083</v>
      </c>
      <c r="B265" s="128" t="s">
        <v>2771</v>
      </c>
      <c r="C26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65" s="79">
        <v>44994.458333333336</v>
      </c>
      <c r="E265" s="44" t="s">
        <v>3722</v>
      </c>
      <c r="F265" s="66">
        <v>20</v>
      </c>
      <c r="G265" s="66" t="s">
        <v>2820</v>
      </c>
      <c r="H265" s="44" t="s">
        <v>2820</v>
      </c>
      <c r="I265" s="299" t="s">
        <v>2821</v>
      </c>
      <c r="J265" s="66">
        <v>2153</v>
      </c>
      <c r="K265" s="66" t="s">
        <v>3721</v>
      </c>
      <c r="L265" s="66">
        <v>104480</v>
      </c>
      <c r="M265" s="66"/>
      <c r="N265" s="66" t="s">
        <v>2859</v>
      </c>
      <c r="O265" s="66" t="s">
        <v>2950</v>
      </c>
      <c r="P265" s="66" t="s">
        <v>2861</v>
      </c>
      <c r="Q265" s="138" t="str">
        <f ca="1">IFERROR(LOOKUP($P265,MOTORISTAS!$D$3:$D$1048576,MOTORISTAS!E$3:E$916),"")</f>
        <v>01817591878</v>
      </c>
      <c r="R265" s="138" t="str">
        <f ca="1">IFERROR(LOOKUP($P265,MOTORISTAS!$D$3:$D$1048576,MOTORISTAS!F$3:F$916),"")</f>
        <v>00821760640</v>
      </c>
      <c r="S265" s="66">
        <v>15315</v>
      </c>
      <c r="T265" s="66" t="s">
        <v>293</v>
      </c>
      <c r="U265" s="79">
        <v>44994.20208333333</v>
      </c>
      <c r="V265" s="66" t="s">
        <v>469</v>
      </c>
      <c r="W265" s="79">
        <v>44994.768055555556</v>
      </c>
      <c r="X265" s="79">
        <v>44994.427083333336</v>
      </c>
      <c r="Y265" s="88">
        <v>44994.583333333336</v>
      </c>
      <c r="Z265" s="81">
        <v>1600</v>
      </c>
      <c r="AA265" s="81"/>
      <c r="AB265" s="81"/>
      <c r="AC265" s="81"/>
      <c r="AD265" s="81"/>
      <c r="AE265" s="81"/>
      <c r="AF265" s="81"/>
      <c r="AG265" s="81">
        <f>Sal_23[[#This Row],[COMPRA]]*12%</f>
        <v>276</v>
      </c>
      <c r="AH265" s="83">
        <v>2300</v>
      </c>
      <c r="AI265" s="66" t="str">
        <f>PROPER(TEXT(Sal_23[[#This Row],[PROGRAMAÇÃO]],"mmm"))</f>
        <v>Mar</v>
      </c>
      <c r="AJ265" s="66">
        <f>YEAR(Sal_23[[#This Row],[PROGRAMAÇÃO]])</f>
        <v>2023</v>
      </c>
      <c r="AK265" s="66"/>
      <c r="AL265" s="66"/>
      <c r="AM265" s="66" t="s">
        <v>2768</v>
      </c>
      <c r="AN265" s="66" t="s">
        <v>2768</v>
      </c>
      <c r="AO265" s="66" t="s">
        <v>2768</v>
      </c>
    </row>
    <row r="266" spans="1:41" x14ac:dyDescent="0.25">
      <c r="A266" s="120" t="str">
        <f>Sal_23[[#This Row],[CONTAINER]]</f>
        <v>TCLU3460163</v>
      </c>
      <c r="B266" s="128" t="s">
        <v>2771</v>
      </c>
      <c r="C26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66" s="79">
        <v>44994.333333333336</v>
      </c>
      <c r="E266" s="44" t="s">
        <v>3749</v>
      </c>
      <c r="F266" s="66">
        <v>20</v>
      </c>
      <c r="G266" s="66" t="s">
        <v>2826</v>
      </c>
      <c r="H266" s="44" t="s">
        <v>2825</v>
      </c>
      <c r="I266" s="299" t="s">
        <v>2824</v>
      </c>
      <c r="J266" s="66">
        <v>2126</v>
      </c>
      <c r="K266" s="66" t="s">
        <v>3721</v>
      </c>
      <c r="L266" s="66">
        <v>104443</v>
      </c>
      <c r="M266" s="66"/>
      <c r="N266" s="66" t="s">
        <v>2156</v>
      </c>
      <c r="O266" s="66" t="s">
        <v>2464</v>
      </c>
      <c r="P266" s="66" t="s">
        <v>2158</v>
      </c>
      <c r="Q266" s="138" t="str">
        <f ca="1">IFERROR(LOOKUP($P266,MOTORISTAS!$D$3:$D$1048576,MOTORISTAS!E$3:E$916),"")</f>
        <v>10485530864</v>
      </c>
      <c r="R266" s="138" t="str">
        <f ca="1">IFERROR(LOOKUP($P266,MOTORISTAS!$D$3:$D$1048576,MOTORISTAS!F$3:F$916),"")</f>
        <v>02033192841</v>
      </c>
      <c r="S266" s="66">
        <v>3459</v>
      </c>
      <c r="T266" s="66" t="s">
        <v>293</v>
      </c>
      <c r="U266" s="79">
        <v>44994.234027777777</v>
      </c>
      <c r="V266" s="66" t="s">
        <v>526</v>
      </c>
      <c r="W266" s="79">
        <v>44994.580555555556</v>
      </c>
      <c r="X266" s="79">
        <v>44994.333333333336</v>
      </c>
      <c r="Y266" s="88">
        <v>44994.375</v>
      </c>
      <c r="Z266" s="81">
        <v>2000</v>
      </c>
      <c r="AA266" s="81"/>
      <c r="AB266" s="81"/>
      <c r="AC266" s="81">
        <v>700</v>
      </c>
      <c r="AD266" s="81"/>
      <c r="AE266" s="81"/>
      <c r="AF266" s="81"/>
      <c r="AG266" s="81">
        <f>Sal_23[[#This Row],[COMPRA]]*12%</f>
        <v>447.91919999999999</v>
      </c>
      <c r="AH266" s="83">
        <v>3732.66</v>
      </c>
      <c r="AI266" s="66" t="str">
        <f>PROPER(TEXT(Sal_23[[#This Row],[PROGRAMAÇÃO]],"mmm"))</f>
        <v>Mar</v>
      </c>
      <c r="AJ266" s="66">
        <f>YEAR(Sal_23[[#This Row],[PROGRAMAÇÃO]])</f>
        <v>2023</v>
      </c>
      <c r="AK266" s="66"/>
      <c r="AL266" s="66"/>
      <c r="AM266" s="66" t="s">
        <v>2768</v>
      </c>
      <c r="AN266" s="66" t="s">
        <v>2768</v>
      </c>
      <c r="AO266" s="66" t="s">
        <v>2768</v>
      </c>
    </row>
    <row r="267" spans="1:41" x14ac:dyDescent="0.25">
      <c r="A267" s="120" t="str">
        <f>Sal_23[[#This Row],[CONTAINER]]</f>
        <v>SEGU1118276</v>
      </c>
      <c r="B267" s="128" t="s">
        <v>2771</v>
      </c>
      <c r="C26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67" s="79">
        <v>44994.333333333336</v>
      </c>
      <c r="E267" s="44" t="s">
        <v>3751</v>
      </c>
      <c r="F267" s="66">
        <v>20</v>
      </c>
      <c r="G267" s="66" t="s">
        <v>2826</v>
      </c>
      <c r="H267" s="44" t="s">
        <v>3074</v>
      </c>
      <c r="I267" s="299" t="s">
        <v>3439</v>
      </c>
      <c r="J267" s="66">
        <v>2123</v>
      </c>
      <c r="K267" s="66" t="s">
        <v>3721</v>
      </c>
      <c r="L267" s="66">
        <v>104405</v>
      </c>
      <c r="M267" s="66"/>
      <c r="N267" s="66" t="s">
        <v>2584</v>
      </c>
      <c r="O267" s="66" t="s">
        <v>2585</v>
      </c>
      <c r="P267" s="66" t="s">
        <v>2586</v>
      </c>
      <c r="Q267" s="138" t="str">
        <f ca="1">IFERROR(LOOKUP($P267,MOTORISTAS!$D$3:$D$1048576,MOTORISTAS!E$3:E$916),"")</f>
        <v>08312935860</v>
      </c>
      <c r="R267" s="138" t="str">
        <f ca="1">IFERROR(LOOKUP($P267,MOTORISTAS!$D$3:$D$1048576,MOTORISTAS!F$3:F$916),"")</f>
        <v>03106516083</v>
      </c>
      <c r="S267" s="66">
        <v>3461</v>
      </c>
      <c r="T267" s="66" t="s">
        <v>293</v>
      </c>
      <c r="U267" s="79">
        <v>44993.970138888886</v>
      </c>
      <c r="V267" s="66" t="s">
        <v>469</v>
      </c>
      <c r="W267" s="79">
        <v>44994.6875</v>
      </c>
      <c r="X267" s="79">
        <v>44994.15625</v>
      </c>
      <c r="Y267" s="88">
        <v>44994.4375</v>
      </c>
      <c r="Z267" s="81">
        <v>2800</v>
      </c>
      <c r="AA267" s="81"/>
      <c r="AB267" s="81"/>
      <c r="AC267" s="81"/>
      <c r="AD267" s="81"/>
      <c r="AE267" s="81"/>
      <c r="AF267" s="81"/>
      <c r="AG267" s="81">
        <f>Sal_23[[#This Row],[COMPRA]]*12%</f>
        <v>501.59999999999997</v>
      </c>
      <c r="AH267" s="83">
        <v>4180</v>
      </c>
      <c r="AI267" s="66" t="str">
        <f>PROPER(TEXT(Sal_23[[#This Row],[PROGRAMAÇÃO]],"mmm"))</f>
        <v>Mar</v>
      </c>
      <c r="AJ267" s="66">
        <f>YEAR(Sal_23[[#This Row],[PROGRAMAÇÃO]])</f>
        <v>2023</v>
      </c>
      <c r="AK267" s="66"/>
      <c r="AL267" s="66"/>
      <c r="AM267" s="66" t="s">
        <v>2768</v>
      </c>
      <c r="AN267" s="66" t="s">
        <v>2768</v>
      </c>
      <c r="AO267" s="66" t="s">
        <v>2768</v>
      </c>
    </row>
    <row r="268" spans="1:41" x14ac:dyDescent="0.25">
      <c r="A268" s="120" t="str">
        <f>Sal_23[[#This Row],[CONTAINER]]</f>
        <v>TCLU3465099</v>
      </c>
      <c r="B268" s="128" t="s">
        <v>2771</v>
      </c>
      <c r="C26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68" s="79">
        <v>44994.333333333336</v>
      </c>
      <c r="E268" s="44" t="s">
        <v>3750</v>
      </c>
      <c r="F268" s="66">
        <v>20</v>
      </c>
      <c r="G268" s="66" t="s">
        <v>2826</v>
      </c>
      <c r="H268" s="44" t="s">
        <v>2838</v>
      </c>
      <c r="I268" s="299" t="s">
        <v>2828</v>
      </c>
      <c r="J268" s="66">
        <v>2124</v>
      </c>
      <c r="K268" s="66" t="s">
        <v>3721</v>
      </c>
      <c r="L268" s="66">
        <v>104406</v>
      </c>
      <c r="M268" s="66"/>
      <c r="N268" s="66" t="s">
        <v>3040</v>
      </c>
      <c r="O268" s="66" t="s">
        <v>3041</v>
      </c>
      <c r="P268" s="66" t="s">
        <v>3042</v>
      </c>
      <c r="Q268" s="138" t="str">
        <f ca="1">IFERROR(LOOKUP($P268,MOTORISTAS!$D$3:$D$1048576,MOTORISTAS!E$3:E$916),"")</f>
        <v>19279658883</v>
      </c>
      <c r="R268" s="138" t="str">
        <f ca="1">IFERROR(LOOKUP($P268,MOTORISTAS!$D$3:$D$1048576,MOTORISTAS!F$3:F$916),"")</f>
        <v>01301319672</v>
      </c>
      <c r="S268" s="66">
        <v>3460</v>
      </c>
      <c r="T268" s="66" t="s">
        <v>293</v>
      </c>
      <c r="U268" s="79">
        <v>44993.991666666669</v>
      </c>
      <c r="V268" s="66" t="s">
        <v>526</v>
      </c>
      <c r="W268" s="79">
        <v>44994.753472222219</v>
      </c>
      <c r="X268" s="79">
        <v>44994.166666666664</v>
      </c>
      <c r="Y268" s="88">
        <v>44994.4375</v>
      </c>
      <c r="Z268" s="81">
        <v>2700</v>
      </c>
      <c r="AA268" s="81"/>
      <c r="AB268" s="81"/>
      <c r="AC268" s="81">
        <v>600</v>
      </c>
      <c r="AD268" s="81"/>
      <c r="AE268" s="81"/>
      <c r="AF268" s="81"/>
      <c r="AG268" s="81">
        <f>Sal_23[[#This Row],[COMPRA]]*12%</f>
        <v>601.46159999999998</v>
      </c>
      <c r="AH268" s="83">
        <v>5012.18</v>
      </c>
      <c r="AI268" s="66" t="str">
        <f>PROPER(TEXT(Sal_23[[#This Row],[PROGRAMAÇÃO]],"mmm"))</f>
        <v>Mar</v>
      </c>
      <c r="AJ268" s="66">
        <f>YEAR(Sal_23[[#This Row],[PROGRAMAÇÃO]])</f>
        <v>2023</v>
      </c>
      <c r="AK268" s="66"/>
      <c r="AL268" s="66"/>
      <c r="AM268" s="66" t="s">
        <v>2768</v>
      </c>
      <c r="AN268" s="66" t="s">
        <v>2768</v>
      </c>
      <c r="AO268" s="66" t="s">
        <v>2768</v>
      </c>
    </row>
    <row r="269" spans="1:41" x14ac:dyDescent="0.25">
      <c r="A269" s="120" t="str">
        <f>Sal_23[[#This Row],[CONTAINER]]</f>
        <v>DFSU7488375</v>
      </c>
      <c r="B269" s="128" t="s">
        <v>2771</v>
      </c>
      <c r="C26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69" s="79">
        <v>44994.333333333336</v>
      </c>
      <c r="E269" s="44" t="s">
        <v>3757</v>
      </c>
      <c r="F269" s="66">
        <v>40</v>
      </c>
      <c r="G269" s="66" t="s">
        <v>2826</v>
      </c>
      <c r="H269" s="44" t="s">
        <v>2834</v>
      </c>
      <c r="I269" s="299" t="s">
        <v>2831</v>
      </c>
      <c r="J269" s="66">
        <v>2147</v>
      </c>
      <c r="K269" s="66" t="s">
        <v>3721</v>
      </c>
      <c r="L269" s="66">
        <v>104486</v>
      </c>
      <c r="M269" s="66"/>
      <c r="N269" s="66" t="s">
        <v>210</v>
      </c>
      <c r="O269" s="66" t="s">
        <v>1968</v>
      </c>
      <c r="P269" s="66" t="s">
        <v>212</v>
      </c>
      <c r="Q269" s="138" t="str">
        <f ca="1">IFERROR(LOOKUP($P269,MOTORISTAS!$D$3:$D$1048576,MOTORISTAS!E$3:E$916),"")</f>
        <v>38029906846</v>
      </c>
      <c r="R269" s="138" t="str">
        <f ca="1">IFERROR(LOOKUP($P269,MOTORISTAS!$D$3:$D$1048576,MOTORISTAS!F$3:F$916),"")</f>
        <v>04946846842</v>
      </c>
      <c r="S269" s="66">
        <v>3462</v>
      </c>
      <c r="T269" s="66" t="s">
        <v>293</v>
      </c>
      <c r="U269" s="79">
        <v>44994.126388888886</v>
      </c>
      <c r="V269" s="66" t="s">
        <v>469</v>
      </c>
      <c r="W269" s="79">
        <v>44994.993750000001</v>
      </c>
      <c r="X269" s="79">
        <v>44994.25</v>
      </c>
      <c r="Y269" s="88">
        <v>44994.583333333336</v>
      </c>
      <c r="Z269" s="81"/>
      <c r="AA269" s="81"/>
      <c r="AB269" s="81"/>
      <c r="AC269" s="81"/>
      <c r="AD269" s="81">
        <v>3245.68</v>
      </c>
      <c r="AE269" s="81"/>
      <c r="AF269" s="81">
        <v>596.4</v>
      </c>
      <c r="AG269" s="81">
        <f>Sal_23[[#This Row],[COMPRA]]*12%</f>
        <v>523.91999999999996</v>
      </c>
      <c r="AH269" s="83">
        <v>4366</v>
      </c>
      <c r="AI269" s="66" t="str">
        <f>PROPER(TEXT(Sal_23[[#This Row],[PROGRAMAÇÃO]],"mmm"))</f>
        <v>Mar</v>
      </c>
      <c r="AJ269" s="66">
        <f>YEAR(Sal_23[[#This Row],[PROGRAMAÇÃO]])</f>
        <v>2023</v>
      </c>
      <c r="AK269" s="66"/>
      <c r="AL269" s="66"/>
      <c r="AM269" s="66" t="s">
        <v>2768</v>
      </c>
      <c r="AN269" s="66" t="s">
        <v>2768</v>
      </c>
      <c r="AO269" s="66" t="s">
        <v>2768</v>
      </c>
    </row>
    <row r="270" spans="1:41" x14ac:dyDescent="0.25">
      <c r="A270" s="120" t="str">
        <f>Sal_23[[#This Row],[CONTAINER]]</f>
        <v>CAIU3309905</v>
      </c>
      <c r="B270" s="128" t="s">
        <v>2771</v>
      </c>
      <c r="C27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70" s="79">
        <v>44995.375</v>
      </c>
      <c r="E270" s="44" t="s">
        <v>3717</v>
      </c>
      <c r="F270" s="66">
        <v>20</v>
      </c>
      <c r="G270" s="66" t="s">
        <v>2820</v>
      </c>
      <c r="H270" s="44" t="s">
        <v>2820</v>
      </c>
      <c r="I270" s="299" t="s">
        <v>2821</v>
      </c>
      <c r="J270" s="66">
        <v>2095</v>
      </c>
      <c r="K270" s="66" t="s">
        <v>3721</v>
      </c>
      <c r="L270" s="66">
        <v>69233</v>
      </c>
      <c r="M270" s="66"/>
      <c r="N270" s="66" t="s">
        <v>2859</v>
      </c>
      <c r="O270" s="66" t="s">
        <v>2950</v>
      </c>
      <c r="P270" s="66" t="s">
        <v>2861</v>
      </c>
      <c r="Q270" s="138" t="str">
        <f ca="1">IFERROR(LOOKUP($P270,MOTORISTAS!$D$3:$D$1048576,MOTORISTAS!E$3:E$916),"")</f>
        <v>01817591878</v>
      </c>
      <c r="R270" s="138" t="str">
        <f ca="1">IFERROR(LOOKUP($P270,MOTORISTAS!$D$3:$D$1048576,MOTORISTAS!F$3:F$916),"")</f>
        <v>00821760640</v>
      </c>
      <c r="S270" s="66">
        <v>15334</v>
      </c>
      <c r="T270" s="66" t="s">
        <v>293</v>
      </c>
      <c r="U270" s="79">
        <v>44995.048611111109</v>
      </c>
      <c r="V270" s="66" t="s">
        <v>469</v>
      </c>
      <c r="W270" s="79">
        <v>44995.598611111112</v>
      </c>
      <c r="X270" s="79">
        <v>44995.190972222219</v>
      </c>
      <c r="Y270" s="88">
        <v>44995.416666666664</v>
      </c>
      <c r="Z270" s="81">
        <v>1600</v>
      </c>
      <c r="AA270" s="81"/>
      <c r="AB270" s="81"/>
      <c r="AC270" s="81"/>
      <c r="AD270" s="81"/>
      <c r="AE270" s="81"/>
      <c r="AF270" s="81"/>
      <c r="AG270" s="81">
        <f>Sal_23[[#This Row],[COMPRA]]*12%</f>
        <v>276</v>
      </c>
      <c r="AH270" s="83">
        <v>2300</v>
      </c>
      <c r="AI270" s="66" t="str">
        <f>PROPER(TEXT(Sal_23[[#This Row],[PROGRAMAÇÃO]],"mmm"))</f>
        <v>Mar</v>
      </c>
      <c r="AJ270" s="66">
        <f>YEAR(Sal_23[[#This Row],[PROGRAMAÇÃO]])</f>
        <v>2023</v>
      </c>
      <c r="AK270" s="66"/>
      <c r="AL270" s="66"/>
      <c r="AM270" s="66" t="s">
        <v>2768</v>
      </c>
      <c r="AN270" s="66" t="s">
        <v>2768</v>
      </c>
      <c r="AO270" s="66" t="s">
        <v>2768</v>
      </c>
    </row>
    <row r="271" spans="1:41" x14ac:dyDescent="0.25">
      <c r="A271" s="120" t="str">
        <f>Sal_23[[#This Row],[CONTAINER]]</f>
        <v>MSDU1617717</v>
      </c>
      <c r="B271" s="128" t="s">
        <v>2771</v>
      </c>
      <c r="C27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71" s="79">
        <v>44995.375</v>
      </c>
      <c r="E271" s="44" t="s">
        <v>3719</v>
      </c>
      <c r="F271" s="66">
        <v>20</v>
      </c>
      <c r="G271" s="66" t="s">
        <v>2820</v>
      </c>
      <c r="H271" s="44" t="s">
        <v>2820</v>
      </c>
      <c r="I271" s="299" t="s">
        <v>2821</v>
      </c>
      <c r="J271" s="66">
        <v>2097</v>
      </c>
      <c r="K271" s="66" t="s">
        <v>3721</v>
      </c>
      <c r="L271" s="66">
        <v>69290</v>
      </c>
      <c r="M271" s="66"/>
      <c r="N271" s="66" t="s">
        <v>3028</v>
      </c>
      <c r="O271" s="66" t="s">
        <v>2950</v>
      </c>
      <c r="P271" s="66" t="s">
        <v>2861</v>
      </c>
      <c r="Q271" s="138" t="str">
        <f ca="1">IFERROR(LOOKUP($P271,MOTORISTAS!$D$3:$D$1048576,MOTORISTAS!E$3:E$916),"")</f>
        <v>01817591878</v>
      </c>
      <c r="R271" s="138" t="str">
        <f ca="1">IFERROR(LOOKUP($P271,MOTORISTAS!$D$3:$D$1048576,MOTORISTAS!F$3:F$916),"")</f>
        <v>00821760640</v>
      </c>
      <c r="S271" s="66">
        <v>15335</v>
      </c>
      <c r="T271" s="66" t="s">
        <v>293</v>
      </c>
      <c r="U271" s="79">
        <v>44995.04583333333</v>
      </c>
      <c r="V271" s="66" t="s">
        <v>469</v>
      </c>
      <c r="W271" s="79">
        <v>44995.598611111112</v>
      </c>
      <c r="X271" s="79">
        <v>44995.194444444445</v>
      </c>
      <c r="Y271" s="88">
        <v>44995.416666666664</v>
      </c>
      <c r="Z271" s="81">
        <v>1600</v>
      </c>
      <c r="AA271" s="81"/>
      <c r="AB271" s="81"/>
      <c r="AC271" s="81"/>
      <c r="AD271" s="81"/>
      <c r="AE271" s="81"/>
      <c r="AF271" s="81"/>
      <c r="AG271" s="81">
        <f>Sal_23[[#This Row],[COMPRA]]*12%</f>
        <v>276</v>
      </c>
      <c r="AH271" s="83">
        <v>2300</v>
      </c>
      <c r="AI271" s="66" t="str">
        <f>PROPER(TEXT(Sal_23[[#This Row],[PROGRAMAÇÃO]],"mmm"))</f>
        <v>Mar</v>
      </c>
      <c r="AJ271" s="66">
        <f>YEAR(Sal_23[[#This Row],[PROGRAMAÇÃO]])</f>
        <v>2023</v>
      </c>
      <c r="AK271" s="66"/>
      <c r="AL271" s="66"/>
      <c r="AM271" s="66" t="s">
        <v>2768</v>
      </c>
      <c r="AN271" s="66" t="s">
        <v>2768</v>
      </c>
      <c r="AO271" s="66" t="s">
        <v>2768</v>
      </c>
    </row>
    <row r="272" spans="1:41" x14ac:dyDescent="0.25">
      <c r="A272" s="120" t="str">
        <f>Sal_23[[#This Row],[CONTAINER]]</f>
        <v>TCLU8227874</v>
      </c>
      <c r="B272" s="128" t="s">
        <v>2771</v>
      </c>
      <c r="C27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72" s="79">
        <v>44995.333333333336</v>
      </c>
      <c r="E272" s="44" t="s">
        <v>3753</v>
      </c>
      <c r="F272" s="66">
        <v>40</v>
      </c>
      <c r="G272" s="66" t="s">
        <v>2826</v>
      </c>
      <c r="H272" s="44" t="s">
        <v>1674</v>
      </c>
      <c r="I272" s="299" t="s">
        <v>2829</v>
      </c>
      <c r="J272" s="66">
        <v>2128</v>
      </c>
      <c r="K272" s="66" t="s">
        <v>3721</v>
      </c>
      <c r="L272" s="66">
        <v>104442</v>
      </c>
      <c r="M272" s="66">
        <v>104447</v>
      </c>
      <c r="N272" s="66" t="s">
        <v>2389</v>
      </c>
      <c r="O272" s="66" t="s">
        <v>2390</v>
      </c>
      <c r="P272" s="66" t="s">
        <v>892</v>
      </c>
      <c r="Q272" s="138" t="str">
        <f ca="1">IFERROR(LOOKUP($P272,MOTORISTAS!$D$3:$D$1048576,MOTORISTAS!E$3:E$916),"")</f>
        <v>55283063968</v>
      </c>
      <c r="R272" s="138" t="str">
        <f ca="1">IFERROR(LOOKUP($P272,MOTORISTAS!$D$3:$D$1048576,MOTORISTAS!F$3:F$916),"")</f>
        <v>02537032407</v>
      </c>
      <c r="S272" s="66">
        <v>3467</v>
      </c>
      <c r="T272" s="66" t="s">
        <v>293</v>
      </c>
      <c r="U272" s="79">
        <v>44994.934027777781</v>
      </c>
      <c r="V272" s="66" t="s">
        <v>469</v>
      </c>
      <c r="W272" s="79">
        <v>44995.938194444447</v>
      </c>
      <c r="X272" s="79">
        <v>44995.125</v>
      </c>
      <c r="Y272" s="88">
        <v>44995.708333333336</v>
      </c>
      <c r="Z272" s="81">
        <v>3400</v>
      </c>
      <c r="AA272" s="81"/>
      <c r="AB272" s="81">
        <f>SUM(Sal_23[[#This Row],[Saldo]]+Sal_23[[#This Row],[Adiantamento]])</f>
        <v>3400</v>
      </c>
      <c r="AC272" s="81"/>
      <c r="AD272" s="81"/>
      <c r="AE272" s="81"/>
      <c r="AF272" s="81"/>
      <c r="AG272" s="81">
        <f>Sal_23[[#This Row],[COMPRA]]*12%</f>
        <v>558.28440000000001</v>
      </c>
      <c r="AH272" s="83">
        <v>4652.37</v>
      </c>
      <c r="AI272" s="66" t="str">
        <f>PROPER(TEXT(Sal_23[[#This Row],[PROGRAMAÇÃO]],"mmm"))</f>
        <v>Mar</v>
      </c>
      <c r="AJ272" s="66">
        <f>YEAR(Sal_23[[#This Row],[PROGRAMAÇÃO]])</f>
        <v>2023</v>
      </c>
      <c r="AK272" s="66"/>
      <c r="AL272" s="66"/>
      <c r="AM272" s="66" t="s">
        <v>2768</v>
      </c>
      <c r="AN272" s="66" t="s">
        <v>2768</v>
      </c>
      <c r="AO272" s="66" t="s">
        <v>2768</v>
      </c>
    </row>
    <row r="273" spans="1:41" x14ac:dyDescent="0.25">
      <c r="A273" s="120" t="str">
        <f>Sal_23[[#This Row],[CONTAINER]]</f>
        <v>TCLU8703158</v>
      </c>
      <c r="B273" s="128" t="s">
        <v>2771</v>
      </c>
      <c r="C27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73" s="79">
        <v>44995.333333333336</v>
      </c>
      <c r="E273" s="44" t="s">
        <v>3754</v>
      </c>
      <c r="F273" s="66">
        <v>40</v>
      </c>
      <c r="G273" s="66" t="s">
        <v>2826</v>
      </c>
      <c r="H273" s="44" t="s">
        <v>1674</v>
      </c>
      <c r="I273" s="299" t="s">
        <v>2829</v>
      </c>
      <c r="J273" s="66">
        <v>2129</v>
      </c>
      <c r="K273" s="66" t="s">
        <v>3721</v>
      </c>
      <c r="L273" s="66">
        <v>104428</v>
      </c>
      <c r="M273" s="66">
        <v>104429</v>
      </c>
      <c r="N273" s="66" t="s">
        <v>210</v>
      </c>
      <c r="O273" s="66" t="s">
        <v>1968</v>
      </c>
      <c r="P273" s="66" t="s">
        <v>212</v>
      </c>
      <c r="Q273" s="138" t="str">
        <f ca="1">IFERROR(LOOKUP($P273,MOTORISTAS!$D$3:$D$1048576,MOTORISTAS!E$3:E$916),"")</f>
        <v>38029906846</v>
      </c>
      <c r="R273" s="138" t="str">
        <f ca="1">IFERROR(LOOKUP($P273,MOTORISTAS!$D$3:$D$1048576,MOTORISTAS!F$3:F$916),"")</f>
        <v>04946846842</v>
      </c>
      <c r="S273" s="66">
        <v>3466</v>
      </c>
      <c r="T273" s="66" t="s">
        <v>293</v>
      </c>
      <c r="U273" s="79">
        <v>44995.032638888886</v>
      </c>
      <c r="V273" s="66" t="s">
        <v>469</v>
      </c>
      <c r="W273" s="79">
        <v>44995.960416666669</v>
      </c>
      <c r="X273" s="79">
        <v>44995.1875</v>
      </c>
      <c r="Y273" s="88">
        <v>44995.708333333336</v>
      </c>
      <c r="Z273" s="81">
        <v>401.4</v>
      </c>
      <c r="AA273" s="81"/>
      <c r="AB273" s="81">
        <f>SUM(Sal_23[[#This Row],[Saldo]]+Sal_23[[#This Row],[Adiantamento]])</f>
        <v>401.4</v>
      </c>
      <c r="AC273" s="81"/>
      <c r="AD273" s="81"/>
      <c r="AE273" s="81"/>
      <c r="AF273" s="81"/>
      <c r="AG273" s="81">
        <f>Sal_23[[#This Row],[COMPRA]]*12%</f>
        <v>558.28440000000001</v>
      </c>
      <c r="AH273" s="83">
        <v>4652.37</v>
      </c>
      <c r="AI273" s="66" t="str">
        <f>PROPER(TEXT(Sal_23[[#This Row],[PROGRAMAÇÃO]],"mmm"))</f>
        <v>Mar</v>
      </c>
      <c r="AJ273" s="66">
        <f>YEAR(Sal_23[[#This Row],[PROGRAMAÇÃO]])</f>
        <v>2023</v>
      </c>
      <c r="AK273" s="66"/>
      <c r="AL273" s="66"/>
      <c r="AM273" s="66" t="s">
        <v>2768</v>
      </c>
      <c r="AN273" s="66" t="s">
        <v>2768</v>
      </c>
      <c r="AO273" s="66" t="s">
        <v>2768</v>
      </c>
    </row>
    <row r="274" spans="1:41" x14ac:dyDescent="0.25">
      <c r="A274" s="120" t="str">
        <f>Sal_23[[#This Row],[CONTAINER]]</f>
        <v>AMFU8903629</v>
      </c>
      <c r="B274" s="128" t="s">
        <v>2771</v>
      </c>
      <c r="C27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74" s="79">
        <v>44995.333333333336</v>
      </c>
      <c r="E274" s="44" t="s">
        <v>3758</v>
      </c>
      <c r="F274" s="66">
        <v>40</v>
      </c>
      <c r="G274" s="66" t="s">
        <v>2826</v>
      </c>
      <c r="H274" s="44" t="s">
        <v>3195</v>
      </c>
      <c r="I274" s="299" t="s">
        <v>2830</v>
      </c>
      <c r="J274" s="66">
        <v>2145</v>
      </c>
      <c r="K274" s="66" t="s">
        <v>3721</v>
      </c>
      <c r="L274" s="66">
        <v>104484</v>
      </c>
      <c r="M274" s="66"/>
      <c r="N274" s="66" t="s">
        <v>890</v>
      </c>
      <c r="O274" s="66" t="s">
        <v>179</v>
      </c>
      <c r="P274" s="66" t="s">
        <v>2678</v>
      </c>
      <c r="Q274" s="138" t="str">
        <f ca="1">IFERROR(LOOKUP($P274,MOTORISTAS!$D$3:$D$1048576,MOTORISTAS!E$3:E$916),"")</f>
        <v>28386357860</v>
      </c>
      <c r="R274" s="138" t="str">
        <f ca="1">IFERROR(LOOKUP($P274,MOTORISTAS!$D$3:$D$1048576,MOTORISTAS!F$3:F$916),"")</f>
        <v>01042201192</v>
      </c>
      <c r="S274" s="66">
        <v>3468</v>
      </c>
      <c r="T274" s="66" t="s">
        <v>293</v>
      </c>
      <c r="U274" s="79">
        <v>44995.232638888891</v>
      </c>
      <c r="V274" s="66" t="s">
        <v>526</v>
      </c>
      <c r="W274" s="79">
        <v>44995.604861111111</v>
      </c>
      <c r="X274" s="79">
        <v>44995.361111111109</v>
      </c>
      <c r="Y274" s="88">
        <v>44995.386805555558</v>
      </c>
      <c r="Z274" s="81">
        <v>2300</v>
      </c>
      <c r="AA274" s="81">
        <v>0</v>
      </c>
      <c r="AB274" s="81">
        <f>SUM(Sal_23[[#This Row],[Saldo]]+Sal_23[[#This Row],[Adiantamento]])</f>
        <v>2300</v>
      </c>
      <c r="AC274" s="81">
        <v>0</v>
      </c>
      <c r="AD274" s="81"/>
      <c r="AE274" s="81"/>
      <c r="AF274" s="81"/>
      <c r="AG274" s="81">
        <f>Sal_23[[#This Row],[COMPRA]]*12%</f>
        <v>392.15039999999999</v>
      </c>
      <c r="AH274" s="83">
        <v>3267.92</v>
      </c>
      <c r="AI274" s="66" t="str">
        <f>PROPER(TEXT(Sal_23[[#This Row],[PROGRAMAÇÃO]],"mmm"))</f>
        <v>Mar</v>
      </c>
      <c r="AJ274" s="66">
        <f>YEAR(Sal_23[[#This Row],[PROGRAMAÇÃO]])</f>
        <v>2023</v>
      </c>
      <c r="AK274" s="66" t="s">
        <v>3791</v>
      </c>
      <c r="AL274" s="44" t="s">
        <v>2785</v>
      </c>
      <c r="AM274" s="66" t="s">
        <v>2768</v>
      </c>
      <c r="AN274" s="66" t="s">
        <v>2768</v>
      </c>
      <c r="AO274" s="66" t="s">
        <v>2768</v>
      </c>
    </row>
    <row r="275" spans="1:41" x14ac:dyDescent="0.25">
      <c r="A275" s="120" t="str">
        <f>Sal_23[[#This Row],[CONTAINER]]</f>
        <v>TCLU3055535</v>
      </c>
      <c r="B275" s="128" t="s">
        <v>2771</v>
      </c>
      <c r="C27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75" s="79">
        <v>44995.333333333336</v>
      </c>
      <c r="E275" s="44" t="s">
        <v>3760</v>
      </c>
      <c r="F275" s="66">
        <v>20</v>
      </c>
      <c r="G275" s="66" t="s">
        <v>2826</v>
      </c>
      <c r="H275" s="44" t="s">
        <v>3071</v>
      </c>
      <c r="I275" s="299" t="s">
        <v>3072</v>
      </c>
      <c r="J275" s="66">
        <v>2190</v>
      </c>
      <c r="K275" s="66" t="s">
        <v>3721</v>
      </c>
      <c r="L275" s="66">
        <v>104481</v>
      </c>
      <c r="M275" s="66"/>
      <c r="N275" s="66" t="s">
        <v>3040</v>
      </c>
      <c r="O275" s="66" t="s">
        <v>3041</v>
      </c>
      <c r="P275" s="66" t="s">
        <v>3042</v>
      </c>
      <c r="Q275" s="138" t="str">
        <f ca="1">IFERROR(LOOKUP($P275,MOTORISTAS!$D$3:$D$1048576,MOTORISTAS!E$3:E$916),"")</f>
        <v>19279658883</v>
      </c>
      <c r="R275" s="138" t="str">
        <f ca="1">IFERROR(LOOKUP($P275,MOTORISTAS!$D$3:$D$1048576,MOTORISTAS!F$3:F$916),"")</f>
        <v>01301319672</v>
      </c>
      <c r="S275" s="66">
        <v>3465</v>
      </c>
      <c r="T275" s="66" t="s">
        <v>293</v>
      </c>
      <c r="U275" s="79">
        <v>44995.052777777775</v>
      </c>
      <c r="V275" s="66" t="s">
        <v>469</v>
      </c>
      <c r="W275" s="79">
        <v>44995.773611111108</v>
      </c>
      <c r="X275" s="79">
        <v>44995.197916666664</v>
      </c>
      <c r="Y275" s="88">
        <v>44995.666666666664</v>
      </c>
      <c r="Z275" s="81">
        <v>2200</v>
      </c>
      <c r="AA275" s="81"/>
      <c r="AB275" s="81"/>
      <c r="AC275" s="81">
        <v>600</v>
      </c>
      <c r="AD275" s="81"/>
      <c r="AE275" s="81"/>
      <c r="AF275" s="81"/>
      <c r="AG275" s="81">
        <f>Sal_23[[#This Row],[COMPRA]]*12%</f>
        <v>473.5104</v>
      </c>
      <c r="AH275" s="83">
        <v>3945.92</v>
      </c>
      <c r="AI275" s="66" t="str">
        <f>PROPER(TEXT(Sal_23[[#This Row],[PROGRAMAÇÃO]],"mmm"))</f>
        <v>Mar</v>
      </c>
      <c r="AJ275" s="66">
        <f>YEAR(Sal_23[[#This Row],[PROGRAMAÇÃO]])</f>
        <v>2023</v>
      </c>
      <c r="AK275" s="66"/>
      <c r="AL275" s="66"/>
      <c r="AM275" s="66" t="s">
        <v>2768</v>
      </c>
      <c r="AN275" s="66" t="s">
        <v>2768</v>
      </c>
      <c r="AO275" s="66" t="s">
        <v>2768</v>
      </c>
    </row>
    <row r="276" spans="1:41" x14ac:dyDescent="0.25">
      <c r="A276" s="120" t="str">
        <f>Sal_23[[#This Row],[CONTAINER]]</f>
        <v>CAIU3402432</v>
      </c>
      <c r="B276" s="128" t="s">
        <v>2771</v>
      </c>
      <c r="C27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76" s="79">
        <v>44995.333333333336</v>
      </c>
      <c r="E276" s="44" t="s">
        <v>3776</v>
      </c>
      <c r="F276" s="66">
        <v>20</v>
      </c>
      <c r="G276" s="66" t="s">
        <v>2826</v>
      </c>
      <c r="H276" s="44" t="s">
        <v>3440</v>
      </c>
      <c r="I276" s="299" t="s">
        <v>3253</v>
      </c>
      <c r="J276" s="66">
        <v>2144</v>
      </c>
      <c r="K276" s="66" t="s">
        <v>3721</v>
      </c>
      <c r="L276" s="66">
        <v>114802</v>
      </c>
      <c r="M276" s="66"/>
      <c r="N276" s="66" t="s">
        <v>2498</v>
      </c>
      <c r="O276" s="66" t="s">
        <v>2499</v>
      </c>
      <c r="P276" s="66" t="s">
        <v>2500</v>
      </c>
      <c r="Q276" s="138" t="str">
        <f ca="1">IFERROR(LOOKUP($P276,MOTORISTAS!$D$3:$D$1048576,MOTORISTAS!E$3:E$916),"")</f>
        <v>10838670830</v>
      </c>
      <c r="R276" s="138" t="str">
        <f ca="1">IFERROR(LOOKUP($P276,MOTORISTAS!$D$3:$D$1048576,MOTORISTAS!F$3:F$916),"")</f>
        <v>01808675938</v>
      </c>
      <c r="S276" s="66">
        <v>3463</v>
      </c>
      <c r="T276" s="66" t="s">
        <v>293</v>
      </c>
      <c r="U276" s="79">
        <v>44994.954861111109</v>
      </c>
      <c r="V276" s="66" t="s">
        <v>469</v>
      </c>
      <c r="W276" s="79">
        <v>44995.759027777778</v>
      </c>
      <c r="X276" s="79">
        <v>44995.166666666664</v>
      </c>
      <c r="Y276" s="88">
        <v>44995.472222222219</v>
      </c>
      <c r="Z276" s="81">
        <v>2300</v>
      </c>
      <c r="AA276" s="81"/>
      <c r="AB276" s="81"/>
      <c r="AC276" s="81"/>
      <c r="AD276" s="81"/>
      <c r="AE276" s="81"/>
      <c r="AF276" s="81"/>
      <c r="AG276" s="81">
        <f>Sal_23[[#This Row],[COMPRA]]*12%</f>
        <v>399.62399999999997</v>
      </c>
      <c r="AH276" s="83">
        <v>3330.2</v>
      </c>
      <c r="AI276" s="66" t="str">
        <f>PROPER(TEXT(Sal_23[[#This Row],[PROGRAMAÇÃO]],"mmm"))</f>
        <v>Mar</v>
      </c>
      <c r="AJ276" s="66">
        <f>YEAR(Sal_23[[#This Row],[PROGRAMAÇÃO]])</f>
        <v>2023</v>
      </c>
      <c r="AK276" s="66"/>
      <c r="AL276" s="66"/>
      <c r="AM276" s="66" t="s">
        <v>2768</v>
      </c>
      <c r="AN276" s="66" t="s">
        <v>2768</v>
      </c>
      <c r="AO276" s="66" t="s">
        <v>2768</v>
      </c>
    </row>
    <row r="277" spans="1:41" x14ac:dyDescent="0.25">
      <c r="A277" s="120" t="str">
        <f>Sal_23[[#This Row],[CONTAINER]]</f>
        <v>TCLU3463060</v>
      </c>
      <c r="B277" s="128" t="s">
        <v>2771</v>
      </c>
      <c r="C27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77" s="79">
        <v>44995.333333333336</v>
      </c>
      <c r="E277" s="44" t="s">
        <v>3747</v>
      </c>
      <c r="F277" s="66">
        <v>20</v>
      </c>
      <c r="G277" s="44" t="s">
        <v>2837</v>
      </c>
      <c r="H277" s="44" t="s">
        <v>2837</v>
      </c>
      <c r="I277" s="299" t="s">
        <v>2821</v>
      </c>
      <c r="J277" s="66">
        <v>2191</v>
      </c>
      <c r="K277" s="66" t="s">
        <v>3721</v>
      </c>
      <c r="L277" s="66">
        <v>114083</v>
      </c>
      <c r="M277" s="66"/>
      <c r="N277" s="66" t="s">
        <v>2949</v>
      </c>
      <c r="O277" s="66" t="s">
        <v>2950</v>
      </c>
      <c r="P277" s="66" t="s">
        <v>2948</v>
      </c>
      <c r="Q277" s="138" t="str">
        <f ca="1">IFERROR(LOOKUP($P277,MOTORISTAS!$D$3:$D$1048576,MOTORISTAS!E$3:E$916),"")</f>
        <v>16239341843</v>
      </c>
      <c r="R277" s="138" t="str">
        <f ca="1">IFERROR(LOOKUP($P277,MOTORISTAS!$D$3:$D$1048576,MOTORISTAS!F$3:F$916),"")</f>
        <v>01877235038</v>
      </c>
      <c r="S277" s="66">
        <v>3464</v>
      </c>
      <c r="T277" s="66" t="s">
        <v>293</v>
      </c>
      <c r="U277" s="79">
        <v>44994.962500000001</v>
      </c>
      <c r="V277" s="66" t="s">
        <v>526</v>
      </c>
      <c r="W277" s="79">
        <v>44995.497916666667</v>
      </c>
      <c r="X277" s="79">
        <v>44995.041666666664</v>
      </c>
      <c r="Y277" s="88">
        <v>44995.319444444445</v>
      </c>
      <c r="Z277" s="81">
        <v>1600</v>
      </c>
      <c r="AA277" s="81"/>
      <c r="AB277" s="81"/>
      <c r="AC277" s="81"/>
      <c r="AD277" s="81"/>
      <c r="AE277" s="81"/>
      <c r="AF277" s="81"/>
      <c r="AG277" s="81">
        <f>Sal_23[[#This Row],[COMPRA]]*12%</f>
        <v>311.55959999999999</v>
      </c>
      <c r="AH277" s="83">
        <v>2596.33</v>
      </c>
      <c r="AI277" s="66" t="str">
        <f>PROPER(TEXT(Sal_23[[#This Row],[PROGRAMAÇÃO]],"mmm"))</f>
        <v>Mar</v>
      </c>
      <c r="AJ277" s="66">
        <f>YEAR(Sal_23[[#This Row],[PROGRAMAÇÃO]])</f>
        <v>2023</v>
      </c>
      <c r="AK277" s="66"/>
      <c r="AL277" s="66"/>
      <c r="AM277" s="66" t="s">
        <v>2768</v>
      </c>
      <c r="AN277" s="66" t="s">
        <v>2768</v>
      </c>
      <c r="AO277" s="66" t="s">
        <v>2768</v>
      </c>
    </row>
    <row r="278" spans="1:41" x14ac:dyDescent="0.25">
      <c r="A278" s="120" t="str">
        <f>Sal_23[[#This Row],[CONTAINER]]</f>
        <v>FCIU8728688</v>
      </c>
      <c r="B278" s="128" t="s">
        <v>2771</v>
      </c>
      <c r="C27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78" s="79">
        <v>44998.333333333336</v>
      </c>
      <c r="E278" s="44" t="s">
        <v>3752</v>
      </c>
      <c r="F278" s="66">
        <v>40</v>
      </c>
      <c r="G278" s="66" t="s">
        <v>2826</v>
      </c>
      <c r="H278" s="44" t="s">
        <v>2833</v>
      </c>
      <c r="I278" s="299" t="s">
        <v>2832</v>
      </c>
      <c r="J278" s="66">
        <v>2149</v>
      </c>
      <c r="K278" s="66" t="s">
        <v>3721</v>
      </c>
      <c r="L278" s="66">
        <v>104487</v>
      </c>
      <c r="M278" s="66"/>
      <c r="N278" s="66" t="s">
        <v>210</v>
      </c>
      <c r="O278" s="66" t="s">
        <v>211</v>
      </c>
      <c r="P278" s="66" t="s">
        <v>212</v>
      </c>
      <c r="Q278" s="138" t="str">
        <f ca="1">IFERROR(LOOKUP($P278,MOTORISTAS!$D$3:$D$1048576,MOTORISTAS!E$3:E$916),"")</f>
        <v>38029906846</v>
      </c>
      <c r="R278" s="138" t="str">
        <f ca="1">IFERROR(LOOKUP($P278,MOTORISTAS!$D$3:$D$1048576,MOTORISTAS!F$3:F$916),"")</f>
        <v>04946846842</v>
      </c>
      <c r="S278" s="66">
        <v>3472</v>
      </c>
      <c r="T278" s="66" t="s">
        <v>293</v>
      </c>
      <c r="U278" s="79">
        <v>44998.115277777775</v>
      </c>
      <c r="V278" s="66" t="s">
        <v>469</v>
      </c>
      <c r="W278" s="79">
        <v>44998.938194444447</v>
      </c>
      <c r="X278" s="79">
        <v>44998.291666666664</v>
      </c>
      <c r="Y278" s="88">
        <v>44998.666666666664</v>
      </c>
      <c r="Z278" s="81">
        <v>635.4</v>
      </c>
      <c r="AA278" s="81"/>
      <c r="AB278" s="81"/>
      <c r="AC278" s="81"/>
      <c r="AD278" s="81"/>
      <c r="AE278" s="81"/>
      <c r="AF278" s="81"/>
      <c r="AG278" s="81">
        <f>Sal_23[[#This Row],[COMPRA]]*12%</f>
        <v>641.71680000000003</v>
      </c>
      <c r="AH278" s="83">
        <v>5347.64</v>
      </c>
      <c r="AI278" s="66" t="str">
        <f>PROPER(TEXT(Sal_23[[#This Row],[PROGRAMAÇÃO]],"mmm"))</f>
        <v>Mar</v>
      </c>
      <c r="AJ278" s="66">
        <f>YEAR(Sal_23[[#This Row],[PROGRAMAÇÃO]])</f>
        <v>2023</v>
      </c>
      <c r="AK278" s="66"/>
      <c r="AL278" s="66"/>
      <c r="AM278" s="66" t="s">
        <v>2768</v>
      </c>
      <c r="AN278" s="66" t="s">
        <v>2768</v>
      </c>
      <c r="AO278" s="66" t="s">
        <v>2768</v>
      </c>
    </row>
    <row r="279" spans="1:41" x14ac:dyDescent="0.25">
      <c r="A279" s="120" t="str">
        <f>Sal_23[[#This Row],[CONTAINER]]</f>
        <v>TCNU8699522</v>
      </c>
      <c r="B279" s="128" t="s">
        <v>2771</v>
      </c>
      <c r="C27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79" s="79">
        <v>44998.416666666664</v>
      </c>
      <c r="E279" s="44" t="s">
        <v>3755</v>
      </c>
      <c r="F279" s="66">
        <v>40</v>
      </c>
      <c r="G279" s="66" t="s">
        <v>2826</v>
      </c>
      <c r="H279" s="44" t="s">
        <v>1674</v>
      </c>
      <c r="I279" s="299" t="s">
        <v>2829</v>
      </c>
      <c r="J279" s="66">
        <v>2127</v>
      </c>
      <c r="K279" s="66" t="s">
        <v>3721</v>
      </c>
      <c r="L279" s="66">
        <v>104422</v>
      </c>
      <c r="M279" s="66">
        <v>104423</v>
      </c>
      <c r="N279" s="66"/>
      <c r="O279" s="66"/>
      <c r="P279" s="66" t="s">
        <v>2678</v>
      </c>
      <c r="Q279" s="138" t="str">
        <f ca="1">IFERROR(LOOKUP($P279,MOTORISTAS!$D$3:$D$1048576,MOTORISTAS!E$3:E$916),"")</f>
        <v>28386357860</v>
      </c>
      <c r="R279" s="138" t="str">
        <f ca="1">IFERROR(LOOKUP($P279,MOTORISTAS!$D$3:$D$1048576,MOTORISTAS!F$3:F$916),"")</f>
        <v>01042201192</v>
      </c>
      <c r="S279" s="66">
        <v>3470</v>
      </c>
      <c r="T279" s="66" t="s">
        <v>293</v>
      </c>
      <c r="U279" s="79">
        <v>44998.211111111108</v>
      </c>
      <c r="V279" s="66" t="s">
        <v>526</v>
      </c>
      <c r="W279" s="79">
        <v>44998.625</v>
      </c>
      <c r="X279" s="79">
        <v>44998.388888888891</v>
      </c>
      <c r="Y279" s="88">
        <v>44998.604166666664</v>
      </c>
      <c r="Z279" s="81">
        <v>3400</v>
      </c>
      <c r="AA279" s="81"/>
      <c r="AB279" s="81">
        <f>SUM(Sal_23[[#This Row],[Saldo]]+Sal_23[[#This Row],[Adiantamento]])</f>
        <v>3400</v>
      </c>
      <c r="AC279" s="81"/>
      <c r="AD279" s="81"/>
      <c r="AE279" s="81"/>
      <c r="AF279" s="81"/>
      <c r="AG279" s="81">
        <f>Sal_23[[#This Row],[COMPRA]]*12%</f>
        <v>558.28440000000001</v>
      </c>
      <c r="AH279" s="83">
        <v>4652.37</v>
      </c>
      <c r="AI279" s="66" t="str">
        <f>PROPER(TEXT(Sal_23[[#This Row],[PROGRAMAÇÃO]],"mmm"))</f>
        <v>Mar</v>
      </c>
      <c r="AJ279" s="66">
        <f>YEAR(Sal_23[[#This Row],[PROGRAMAÇÃO]])</f>
        <v>2023</v>
      </c>
      <c r="AK279" s="66"/>
      <c r="AL279" s="66"/>
      <c r="AM279" s="66" t="s">
        <v>2768</v>
      </c>
      <c r="AN279" s="66" t="s">
        <v>2768</v>
      </c>
      <c r="AO279" s="66" t="s">
        <v>2768</v>
      </c>
    </row>
    <row r="280" spans="1:41" x14ac:dyDescent="0.25">
      <c r="A280" s="120" t="str">
        <f>Sal_23[[#This Row],[CONTAINER]]</f>
        <v>TCLU8161099</v>
      </c>
      <c r="B280" s="128" t="s">
        <v>2771</v>
      </c>
      <c r="C28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0" s="79">
        <v>44998.333333333336</v>
      </c>
      <c r="E280" s="44" t="s">
        <v>3756</v>
      </c>
      <c r="F280" s="66">
        <v>40</v>
      </c>
      <c r="G280" s="66" t="s">
        <v>2826</v>
      </c>
      <c r="H280" s="44" t="s">
        <v>1674</v>
      </c>
      <c r="I280" s="299" t="s">
        <v>2829</v>
      </c>
      <c r="J280" s="66">
        <v>2148</v>
      </c>
      <c r="K280" s="66" t="s">
        <v>3721</v>
      </c>
      <c r="L280" s="66">
        <v>104482</v>
      </c>
      <c r="M280" s="66">
        <v>104483</v>
      </c>
      <c r="N280" s="66" t="s">
        <v>2389</v>
      </c>
      <c r="O280" s="66" t="s">
        <v>2390</v>
      </c>
      <c r="P280" s="66" t="s">
        <v>892</v>
      </c>
      <c r="Q280" s="138" t="str">
        <f ca="1">IFERROR(LOOKUP($P280,MOTORISTAS!$D$3:$D$1048576,MOTORISTAS!E$3:E$916),"")</f>
        <v>55283063968</v>
      </c>
      <c r="R280" s="138" t="str">
        <f ca="1">IFERROR(LOOKUP($P280,MOTORISTAS!$D$3:$D$1048576,MOTORISTAS!F$3:F$916),"")</f>
        <v>02537032407</v>
      </c>
      <c r="S280" s="66">
        <v>3471</v>
      </c>
      <c r="T280" s="66" t="s">
        <v>293</v>
      </c>
      <c r="U280" s="79">
        <v>44998.049305555556</v>
      </c>
      <c r="V280" s="66" t="s">
        <v>469</v>
      </c>
      <c r="W280" s="79">
        <v>44998.604861111111</v>
      </c>
      <c r="X280" s="79">
        <v>44998.215277777781</v>
      </c>
      <c r="Y280" s="88">
        <v>44998.479166666664</v>
      </c>
      <c r="Z280" s="81">
        <v>3400</v>
      </c>
      <c r="AA280" s="81"/>
      <c r="AB280" s="81">
        <f>SUM(Sal_23[[#This Row],[Saldo]]+Sal_23[[#This Row],[Adiantamento]])</f>
        <v>3400</v>
      </c>
      <c r="AC280" s="81"/>
      <c r="AD280" s="81"/>
      <c r="AE280" s="81"/>
      <c r="AF280" s="81"/>
      <c r="AG280" s="81">
        <f>Sal_23[[#This Row],[COMPRA]]*12%</f>
        <v>558.28440000000001</v>
      </c>
      <c r="AH280" s="83">
        <v>4652.37</v>
      </c>
      <c r="AI280" s="66" t="str">
        <f>PROPER(TEXT(Sal_23[[#This Row],[PROGRAMAÇÃO]],"mmm"))</f>
        <v>Mar</v>
      </c>
      <c r="AJ280" s="66">
        <f>YEAR(Sal_23[[#This Row],[PROGRAMAÇÃO]])</f>
        <v>2023</v>
      </c>
      <c r="AK280" s="66"/>
      <c r="AL280" s="66"/>
      <c r="AM280" s="66" t="s">
        <v>2768</v>
      </c>
      <c r="AN280" s="66" t="s">
        <v>2768</v>
      </c>
      <c r="AO280" s="66" t="s">
        <v>2768</v>
      </c>
    </row>
    <row r="281" spans="1:41" x14ac:dyDescent="0.25">
      <c r="A281" s="120" t="str">
        <f>Sal_23[[#This Row],[CONTAINER]]</f>
        <v>CAIU3159723</v>
      </c>
      <c r="B281" s="128" t="s">
        <v>2771</v>
      </c>
      <c r="C28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1" s="79">
        <v>44998.333333333336</v>
      </c>
      <c r="E281" s="44" t="s">
        <v>3748</v>
      </c>
      <c r="F281" s="66">
        <v>20</v>
      </c>
      <c r="G281" s="66" t="s">
        <v>2826</v>
      </c>
      <c r="H281" s="44" t="s">
        <v>3082</v>
      </c>
      <c r="I281" s="299" t="s">
        <v>3083</v>
      </c>
      <c r="J281" s="66">
        <v>2125</v>
      </c>
      <c r="K281" s="66" t="s">
        <v>3721</v>
      </c>
      <c r="L281" s="66">
        <v>104444</v>
      </c>
      <c r="M281" s="66"/>
      <c r="N281" s="66" t="s">
        <v>3040</v>
      </c>
      <c r="O281" s="66" t="s">
        <v>3041</v>
      </c>
      <c r="P281" s="66" t="s">
        <v>3042</v>
      </c>
      <c r="Q281" s="138" t="str">
        <f ca="1">IFERROR(LOOKUP($P281,MOTORISTAS!$D$3:$D$1048576,MOTORISTAS!E$3:E$916),"")</f>
        <v>19279658883</v>
      </c>
      <c r="R281" s="138" t="str">
        <f ca="1">IFERROR(LOOKUP($P281,MOTORISTAS!$D$3:$D$1048576,MOTORISTAS!F$3:F$916),"")</f>
        <v>01301319672</v>
      </c>
      <c r="S281" s="66">
        <v>3469</v>
      </c>
      <c r="T281" s="66" t="s">
        <v>293</v>
      </c>
      <c r="U281" s="79">
        <v>44998.09097222222</v>
      </c>
      <c r="V281" s="66" t="s">
        <v>469</v>
      </c>
      <c r="W281" s="79">
        <v>44998.821527777778</v>
      </c>
      <c r="X281" s="79">
        <v>44998.177083333336</v>
      </c>
      <c r="Y281" s="88">
        <v>44998.583333333336</v>
      </c>
      <c r="Z281" s="81">
        <v>2000</v>
      </c>
      <c r="AA281" s="81"/>
      <c r="AB281" s="81"/>
      <c r="AC281" s="81"/>
      <c r="AD281" s="81"/>
      <c r="AE281" s="81"/>
      <c r="AF281" s="81"/>
      <c r="AG281" s="81">
        <f>Sal_23[[#This Row],[COMPRA]]*12%</f>
        <v>355.75439999999998</v>
      </c>
      <c r="AH281" s="83">
        <v>2964.62</v>
      </c>
      <c r="AI281" s="66" t="str">
        <f>PROPER(TEXT(Sal_23[[#This Row],[PROGRAMAÇÃO]],"mmm"))</f>
        <v>Mar</v>
      </c>
      <c r="AJ281" s="66">
        <f>YEAR(Sal_23[[#This Row],[PROGRAMAÇÃO]])</f>
        <v>2023</v>
      </c>
      <c r="AK281" s="66"/>
      <c r="AL281" s="66"/>
      <c r="AM281" s="66" t="s">
        <v>2768</v>
      </c>
      <c r="AN281" s="66" t="s">
        <v>2768</v>
      </c>
      <c r="AO281" s="66" t="s">
        <v>2768</v>
      </c>
    </row>
    <row r="282" spans="1:41" x14ac:dyDescent="0.25">
      <c r="A282" s="120" t="str">
        <f>Sal_23[[#This Row],[CONTAINER]]</f>
        <v>TCNU7442864</v>
      </c>
      <c r="B282" s="128" t="s">
        <v>2771</v>
      </c>
      <c r="C28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2" s="79">
        <v>44999.333333333336</v>
      </c>
      <c r="E282" s="44" t="s">
        <v>3759</v>
      </c>
      <c r="F282" s="66">
        <v>40</v>
      </c>
      <c r="G282" s="66" t="s">
        <v>2826</v>
      </c>
      <c r="H282" s="44" t="s">
        <v>3195</v>
      </c>
      <c r="I282" s="299" t="s">
        <v>2830</v>
      </c>
      <c r="J282" s="66">
        <v>2146</v>
      </c>
      <c r="K282" s="66" t="s">
        <v>3721</v>
      </c>
      <c r="L282" s="66">
        <v>104485</v>
      </c>
      <c r="M282" s="66"/>
      <c r="N282" s="66" t="s">
        <v>2389</v>
      </c>
      <c r="O282" s="66" t="s">
        <v>2390</v>
      </c>
      <c r="P282" s="66" t="s">
        <v>892</v>
      </c>
      <c r="Q282" s="138" t="str">
        <f ca="1">IFERROR(LOOKUP($P282,MOTORISTAS!$D$3:$D$1048576,MOTORISTAS!E$3:E$916),"")</f>
        <v>55283063968</v>
      </c>
      <c r="R282" s="138" t="str">
        <f ca="1">IFERROR(LOOKUP($P282,MOTORISTAS!$D$3:$D$1048576,MOTORISTAS!F$3:F$916),"")</f>
        <v>02537032407</v>
      </c>
      <c r="S282" s="66">
        <v>3473</v>
      </c>
      <c r="T282" s="66" t="s">
        <v>293</v>
      </c>
      <c r="U282" s="79">
        <v>44998.681944444441</v>
      </c>
      <c r="V282" s="66" t="s">
        <v>526</v>
      </c>
      <c r="W282" s="66" t="s">
        <v>3891</v>
      </c>
      <c r="X282" s="79">
        <v>44999.159722222219</v>
      </c>
      <c r="Y282" s="81" t="s">
        <v>3839</v>
      </c>
      <c r="Z282" s="81">
        <v>2300</v>
      </c>
      <c r="AA282" s="81">
        <v>0</v>
      </c>
      <c r="AB282" s="81">
        <f>SUM(Sal_23[[#This Row],[Saldo]]+Sal_23[[#This Row],[Adiantamento]])</f>
        <v>2300</v>
      </c>
      <c r="AC282" s="81">
        <v>0</v>
      </c>
      <c r="AD282" s="81"/>
      <c r="AE282" s="81"/>
      <c r="AF282" s="81"/>
      <c r="AG282" s="81">
        <f>Sal_23[[#This Row],[COMPRA]]*12%</f>
        <v>392.15039999999999</v>
      </c>
      <c r="AH282" s="83">
        <v>3267.92</v>
      </c>
      <c r="AI282" s="66" t="str">
        <f>PROPER(TEXT(Sal_23[[#This Row],[PROGRAMAÇÃO]],"mmm"))</f>
        <v>Mar</v>
      </c>
      <c r="AJ282" s="66">
        <f>YEAR(Sal_23[[#This Row],[PROGRAMAÇÃO]])</f>
        <v>2023</v>
      </c>
      <c r="AK282" s="66"/>
      <c r="AL282" s="66"/>
      <c r="AM282" s="66" t="s">
        <v>2768</v>
      </c>
      <c r="AN282" s="66" t="s">
        <v>2768</v>
      </c>
      <c r="AO282" s="66" t="s">
        <v>2768</v>
      </c>
    </row>
    <row r="283" spans="1:41" x14ac:dyDescent="0.25">
      <c r="A283" s="120" t="str">
        <f>Sal_23[[#This Row],[CONTAINER]]</f>
        <v>MRKU9102007</v>
      </c>
      <c r="B283" s="128" t="s">
        <v>2771</v>
      </c>
      <c r="C28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3" s="79">
        <v>44998.375</v>
      </c>
      <c r="E283" s="44" t="s">
        <v>3764</v>
      </c>
      <c r="F283" s="66">
        <v>20</v>
      </c>
      <c r="G283" s="66" t="s">
        <v>2820</v>
      </c>
      <c r="H283" s="44" t="s">
        <v>2820</v>
      </c>
      <c r="I283" s="299" t="s">
        <v>2821</v>
      </c>
      <c r="J283" s="66" t="s">
        <v>3779</v>
      </c>
      <c r="K283" s="66" t="s">
        <v>3768</v>
      </c>
      <c r="L283" s="66">
        <v>104584</v>
      </c>
      <c r="M283" s="66"/>
      <c r="N283" s="66" t="s">
        <v>2949</v>
      </c>
      <c r="O283" s="66" t="s">
        <v>2950</v>
      </c>
      <c r="P283" s="66" t="s">
        <v>2948</v>
      </c>
      <c r="Q283" s="138" t="str">
        <f ca="1">IFERROR(LOOKUP($P283,MOTORISTAS!$D$3:$D$1048576,MOTORISTAS!E$3:E$916),"")</f>
        <v>16239341843</v>
      </c>
      <c r="R283" s="138" t="str">
        <f ca="1">IFERROR(LOOKUP($P283,MOTORISTAS!$D$3:$D$1048576,MOTORISTAS!F$3:F$916),"")</f>
        <v>01877235038</v>
      </c>
      <c r="S283" s="66">
        <v>15347</v>
      </c>
      <c r="T283" s="66" t="s">
        <v>306</v>
      </c>
      <c r="U283" s="79">
        <v>44998.240972222222</v>
      </c>
      <c r="V283" s="66" t="s">
        <v>526</v>
      </c>
      <c r="W283" s="79">
        <v>44998.551388888889</v>
      </c>
      <c r="X283" s="79">
        <v>44998.305555555555</v>
      </c>
      <c r="Y283" s="88">
        <v>44998.5</v>
      </c>
      <c r="Z283" s="81">
        <v>1600</v>
      </c>
      <c r="AA283" s="81"/>
      <c r="AB283" s="81"/>
      <c r="AC283" s="81"/>
      <c r="AD283" s="81"/>
      <c r="AE283" s="81"/>
      <c r="AF283" s="81"/>
      <c r="AG283" s="81">
        <f>Sal_23[[#This Row],[COMPRA]]*12%</f>
        <v>276</v>
      </c>
      <c r="AH283" s="83">
        <v>2300</v>
      </c>
      <c r="AI283" s="66" t="str">
        <f>PROPER(TEXT(Sal_23[[#This Row],[PROGRAMAÇÃO]],"mmm"))</f>
        <v>Mar</v>
      </c>
      <c r="AJ283" s="66">
        <f>YEAR(Sal_23[[#This Row],[PROGRAMAÇÃO]])</f>
        <v>2023</v>
      </c>
      <c r="AK283" s="66"/>
      <c r="AL283" s="66"/>
      <c r="AM283" s="66" t="s">
        <v>2768</v>
      </c>
      <c r="AN283" s="66" t="s">
        <v>2768</v>
      </c>
      <c r="AO283" s="66" t="s">
        <v>2768</v>
      </c>
    </row>
    <row r="284" spans="1:41" x14ac:dyDescent="0.25">
      <c r="A284" s="120" t="str">
        <f>Sal_23[[#This Row],[CONTAINER]]</f>
        <v>SUDU7369108</v>
      </c>
      <c r="B284" s="128" t="s">
        <v>2771</v>
      </c>
      <c r="C28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4" s="79">
        <v>44998.375</v>
      </c>
      <c r="E284" s="44" t="s">
        <v>3767</v>
      </c>
      <c r="F284" s="66">
        <v>20</v>
      </c>
      <c r="G284" s="66" t="s">
        <v>2820</v>
      </c>
      <c r="H284" s="44" t="s">
        <v>2820</v>
      </c>
      <c r="I284" s="299" t="s">
        <v>2821</v>
      </c>
      <c r="J284" s="66" t="s">
        <v>3780</v>
      </c>
      <c r="K284" s="66" t="s">
        <v>3768</v>
      </c>
      <c r="L284" s="66">
        <v>114174</v>
      </c>
      <c r="M284" s="66"/>
      <c r="N284" s="66" t="s">
        <v>3028</v>
      </c>
      <c r="O284" s="66" t="s">
        <v>2950</v>
      </c>
      <c r="P284" s="66" t="s">
        <v>3443</v>
      </c>
      <c r="Q284" s="138" t="str">
        <f ca="1">IFERROR(LOOKUP($P284,MOTORISTAS!$D$3:$D$1048576,MOTORISTAS!E$3:E$916),"")</f>
        <v>13990937898</v>
      </c>
      <c r="R284" s="138" t="str">
        <f ca="1">IFERROR(LOOKUP($P284,MOTORISTAS!$D$3:$D$1048576,MOTORISTAS!F$3:F$916),"")</f>
        <v>01825123407</v>
      </c>
      <c r="S284" s="66">
        <v>15351</v>
      </c>
      <c r="T284" s="66" t="s">
        <v>306</v>
      </c>
      <c r="U284" s="79">
        <v>44998.148611111108</v>
      </c>
      <c r="V284" s="66" t="s">
        <v>526</v>
      </c>
      <c r="W284" s="79">
        <v>44998.555555555555</v>
      </c>
      <c r="X284" s="79">
        <v>44998.229166666664</v>
      </c>
      <c r="Y284" s="88">
        <v>44998.5</v>
      </c>
      <c r="Z284" s="81">
        <v>1600</v>
      </c>
      <c r="AA284" s="81"/>
      <c r="AB284" s="81"/>
      <c r="AC284" s="81"/>
      <c r="AD284" s="81"/>
      <c r="AE284" s="81"/>
      <c r="AF284" s="81"/>
      <c r="AG284" s="81">
        <f>Sal_23[[#This Row],[COMPRA]]*12%</f>
        <v>276</v>
      </c>
      <c r="AH284" s="83">
        <v>2300</v>
      </c>
      <c r="AI284" s="66" t="str">
        <f>PROPER(TEXT(Sal_23[[#This Row],[PROGRAMAÇÃO]],"mmm"))</f>
        <v>Mar</v>
      </c>
      <c r="AJ284" s="66">
        <f>YEAR(Sal_23[[#This Row],[PROGRAMAÇÃO]])</f>
        <v>2023</v>
      </c>
      <c r="AK284" s="66"/>
      <c r="AL284" s="66"/>
      <c r="AM284" s="66" t="s">
        <v>2768</v>
      </c>
      <c r="AN284" s="66" t="s">
        <v>2768</v>
      </c>
      <c r="AO284" s="66" t="s">
        <v>2768</v>
      </c>
    </row>
    <row r="285" spans="1:41" x14ac:dyDescent="0.25">
      <c r="A285" s="120" t="str">
        <f>Sal_23[[#This Row],[CONTAINER]]</f>
        <v>MRKU7537757</v>
      </c>
      <c r="B285" s="128" t="s">
        <v>2771</v>
      </c>
      <c r="C28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5" s="79">
        <v>44998.458333333336</v>
      </c>
      <c r="E285" s="44" t="s">
        <v>3775</v>
      </c>
      <c r="F285" s="66">
        <v>20</v>
      </c>
      <c r="G285" s="66" t="s">
        <v>2820</v>
      </c>
      <c r="H285" s="44" t="s">
        <v>2820</v>
      </c>
      <c r="I285" s="299" t="s">
        <v>2821</v>
      </c>
      <c r="J285" s="66" t="s">
        <v>3779</v>
      </c>
      <c r="K285" s="66" t="s">
        <v>3768</v>
      </c>
      <c r="L285" s="66">
        <v>104583</v>
      </c>
      <c r="M285" s="66"/>
      <c r="N285" s="66" t="s">
        <v>2859</v>
      </c>
      <c r="O285" s="66" t="s">
        <v>2860</v>
      </c>
      <c r="P285" s="66" t="s">
        <v>2861</v>
      </c>
      <c r="Q285" s="138" t="str">
        <f ca="1">IFERROR(LOOKUP($P285,MOTORISTAS!$D$3:$D$1048576,MOTORISTAS!E$3:E$916),"")</f>
        <v>01817591878</v>
      </c>
      <c r="R285" s="138" t="str">
        <f ca="1">IFERROR(LOOKUP($P285,MOTORISTAS!$D$3:$D$1048576,MOTORISTAS!F$3:F$916),"")</f>
        <v>00821760640</v>
      </c>
      <c r="S285" s="66">
        <v>15349</v>
      </c>
      <c r="T285" s="66" t="s">
        <v>306</v>
      </c>
      <c r="U285" s="79">
        <v>44998.198611111111</v>
      </c>
      <c r="V285" s="66" t="s">
        <v>526</v>
      </c>
      <c r="W285" s="79">
        <v>44998.668055555558</v>
      </c>
      <c r="X285" s="79">
        <v>44998.305555555555</v>
      </c>
      <c r="Y285" s="88">
        <v>44998.5</v>
      </c>
      <c r="Z285" s="81">
        <v>1600</v>
      </c>
      <c r="AA285" s="81"/>
      <c r="AB285" s="81"/>
      <c r="AC285" s="81"/>
      <c r="AD285" s="81"/>
      <c r="AE285" s="81"/>
      <c r="AF285" s="81"/>
      <c r="AG285" s="81">
        <f>Sal_23[[#This Row],[COMPRA]]*12%</f>
        <v>276</v>
      </c>
      <c r="AH285" s="83">
        <v>2300</v>
      </c>
      <c r="AI285" s="66" t="str">
        <f>PROPER(TEXT(Sal_23[[#This Row],[PROGRAMAÇÃO]],"mmm"))</f>
        <v>Mar</v>
      </c>
      <c r="AJ285" s="66">
        <f>YEAR(Sal_23[[#This Row],[PROGRAMAÇÃO]])</f>
        <v>2023</v>
      </c>
      <c r="AK285" s="66"/>
      <c r="AL285" s="66"/>
      <c r="AM285" s="66" t="s">
        <v>2768</v>
      </c>
      <c r="AN285" s="66" t="s">
        <v>2768</v>
      </c>
      <c r="AO285" s="66" t="s">
        <v>2768</v>
      </c>
    </row>
    <row r="286" spans="1:41" x14ac:dyDescent="0.25">
      <c r="A286" s="120" t="str">
        <f>Sal_23[[#This Row],[CONTAINER]]</f>
        <v>MRKU7452053</v>
      </c>
      <c r="B286" s="128" t="s">
        <v>2771</v>
      </c>
      <c r="C28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6" s="79">
        <v>44998.375</v>
      </c>
      <c r="E286" s="44" t="s">
        <v>3763</v>
      </c>
      <c r="F286" s="66">
        <v>20</v>
      </c>
      <c r="G286" s="66" t="s">
        <v>2820</v>
      </c>
      <c r="H286" s="44" t="s">
        <v>2820</v>
      </c>
      <c r="I286" s="299" t="s">
        <v>2821</v>
      </c>
      <c r="J286" s="66" t="s">
        <v>3781</v>
      </c>
      <c r="K286" s="66" t="s">
        <v>3768</v>
      </c>
      <c r="L286" s="66">
        <v>114175</v>
      </c>
      <c r="M286" s="66"/>
      <c r="N286" s="66" t="s">
        <v>2156</v>
      </c>
      <c r="O286" s="66" t="s">
        <v>2464</v>
      </c>
      <c r="P286" s="66" t="s">
        <v>2158</v>
      </c>
      <c r="Q286" s="138" t="str">
        <f ca="1">IFERROR(LOOKUP($P286,MOTORISTAS!$D$3:$D$1048576,MOTORISTAS!E$3:E$916),"")</f>
        <v>10485530864</v>
      </c>
      <c r="R286" s="138" t="str">
        <f ca="1">IFERROR(LOOKUP($P286,MOTORISTAS!$D$3:$D$1048576,MOTORISTAS!F$3:F$916),"")</f>
        <v>02033192841</v>
      </c>
      <c r="S286" s="66">
        <v>15352</v>
      </c>
      <c r="T286" s="66" t="s">
        <v>306</v>
      </c>
      <c r="U286" s="79">
        <v>44998.249305555553</v>
      </c>
      <c r="V286" s="66" t="s">
        <v>526</v>
      </c>
      <c r="W286" s="79">
        <v>44998.710416666669</v>
      </c>
      <c r="X286" s="79">
        <v>44998.329861111109</v>
      </c>
      <c r="Y286" s="88">
        <v>44998.5</v>
      </c>
      <c r="Z286" s="81">
        <v>1600</v>
      </c>
      <c r="AA286" s="81"/>
      <c r="AB286" s="81"/>
      <c r="AC286" s="81"/>
      <c r="AD286" s="81"/>
      <c r="AE286" s="81"/>
      <c r="AF286" s="81"/>
      <c r="AG286" s="81">
        <f>Sal_23[[#This Row],[COMPRA]]*12%</f>
        <v>276</v>
      </c>
      <c r="AH286" s="83">
        <v>2300</v>
      </c>
      <c r="AI286" s="66" t="str">
        <f>PROPER(TEXT(Sal_23[[#This Row],[PROGRAMAÇÃO]],"mmm"))</f>
        <v>Mar</v>
      </c>
      <c r="AJ286" s="66">
        <f>YEAR(Sal_23[[#This Row],[PROGRAMAÇÃO]])</f>
        <v>2023</v>
      </c>
      <c r="AK286" s="66"/>
      <c r="AL286" s="66"/>
      <c r="AM286" s="66" t="s">
        <v>2768</v>
      </c>
      <c r="AN286" s="66" t="s">
        <v>2768</v>
      </c>
      <c r="AO286" s="66" t="s">
        <v>2768</v>
      </c>
    </row>
    <row r="287" spans="1:41" x14ac:dyDescent="0.25">
      <c r="A287" s="120" t="str">
        <f>Sal_23[[#This Row],[CONTAINER]]</f>
        <v>PONU2049181</v>
      </c>
      <c r="B287" s="128" t="s">
        <v>2771</v>
      </c>
      <c r="C28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7" s="79">
        <v>44999.375</v>
      </c>
      <c r="E287" s="44" t="s">
        <v>3765</v>
      </c>
      <c r="F287" s="66">
        <v>20</v>
      </c>
      <c r="G287" s="66" t="s">
        <v>2820</v>
      </c>
      <c r="H287" s="44" t="s">
        <v>2820</v>
      </c>
      <c r="I287" s="299" t="s">
        <v>2821</v>
      </c>
      <c r="J287" s="66" t="s">
        <v>3779</v>
      </c>
      <c r="K287" s="66" t="s">
        <v>3768</v>
      </c>
      <c r="L287" s="66">
        <v>104536</v>
      </c>
      <c r="M287" s="66"/>
      <c r="N287" s="66" t="s">
        <v>2859</v>
      </c>
      <c r="O287" s="66" t="s">
        <v>2860</v>
      </c>
      <c r="P287" s="66" t="s">
        <v>2861</v>
      </c>
      <c r="Q287" s="138" t="str">
        <f ca="1">IFERROR(LOOKUP($P287,MOTORISTAS!$D$3:$D$1048576,MOTORISTAS!E$3:E$916),"")</f>
        <v>01817591878</v>
      </c>
      <c r="R287" s="138" t="str">
        <f ca="1">IFERROR(LOOKUP($P287,MOTORISTAS!$D$3:$D$1048576,MOTORISTAS!F$3:F$916),"")</f>
        <v>00821760640</v>
      </c>
      <c r="S287" s="66">
        <v>15365</v>
      </c>
      <c r="T287" s="66" t="s">
        <v>306</v>
      </c>
      <c r="U287" s="79">
        <v>44999.07916666667</v>
      </c>
      <c r="V287" s="66" t="s">
        <v>292</v>
      </c>
      <c r="W287" s="79">
        <v>44999.525694444441</v>
      </c>
      <c r="X287" s="79">
        <v>44999.1875</v>
      </c>
      <c r="Y287" s="88">
        <v>44999.416666666664</v>
      </c>
      <c r="Z287" s="81">
        <v>1600</v>
      </c>
      <c r="AA287" s="81"/>
      <c r="AB287" s="81"/>
      <c r="AC287" s="81"/>
      <c r="AD287" s="81"/>
      <c r="AE287" s="81"/>
      <c r="AF287" s="81"/>
      <c r="AG287" s="81">
        <f>Sal_23[[#This Row],[COMPRA]]*12%</f>
        <v>276</v>
      </c>
      <c r="AH287" s="83">
        <v>2300</v>
      </c>
      <c r="AI287" s="66" t="str">
        <f>PROPER(TEXT(Sal_23[[#This Row],[PROGRAMAÇÃO]],"mmm"))</f>
        <v>Mar</v>
      </c>
      <c r="AJ287" s="66">
        <f>YEAR(Sal_23[[#This Row],[PROGRAMAÇÃO]])</f>
        <v>2023</v>
      </c>
      <c r="AK287" s="66"/>
      <c r="AL287" s="66"/>
      <c r="AM287" s="66" t="s">
        <v>2768</v>
      </c>
      <c r="AN287" s="66" t="s">
        <v>2768</v>
      </c>
      <c r="AO287" s="66" t="s">
        <v>2768</v>
      </c>
    </row>
    <row r="288" spans="1:41" x14ac:dyDescent="0.25">
      <c r="A288" s="120" t="str">
        <f>Sal_23[[#This Row],[CONTAINER]]</f>
        <v>MSKU5199143</v>
      </c>
      <c r="B288" s="128" t="s">
        <v>2771</v>
      </c>
      <c r="C28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8" s="79">
        <v>44999.458333333336</v>
      </c>
      <c r="E288" s="44" t="s">
        <v>3766</v>
      </c>
      <c r="F288" s="66">
        <v>20</v>
      </c>
      <c r="G288" s="66" t="s">
        <v>2820</v>
      </c>
      <c r="H288" s="44" t="s">
        <v>2820</v>
      </c>
      <c r="I288" s="299" t="s">
        <v>2821</v>
      </c>
      <c r="J288" s="66" t="s">
        <v>3779</v>
      </c>
      <c r="K288" s="66" t="s">
        <v>3768</v>
      </c>
      <c r="L288" s="66">
        <v>104535</v>
      </c>
      <c r="M288" s="66"/>
      <c r="N288" s="66" t="s">
        <v>2949</v>
      </c>
      <c r="O288" s="66" t="s">
        <v>2950</v>
      </c>
      <c r="P288" s="66" t="s">
        <v>2948</v>
      </c>
      <c r="Q288" s="138" t="str">
        <f ca="1">IFERROR(LOOKUP($P288,MOTORISTAS!$D$3:$D$1048576,MOTORISTAS!E$3:E$916),"")</f>
        <v>16239341843</v>
      </c>
      <c r="R288" s="138" t="str">
        <f ca="1">IFERROR(LOOKUP($P288,MOTORISTAS!$D$3:$D$1048576,MOTORISTAS!F$3:F$916),"")</f>
        <v>01877235038</v>
      </c>
      <c r="S288" s="66">
        <v>15366</v>
      </c>
      <c r="T288" s="66" t="s">
        <v>306</v>
      </c>
      <c r="U288" s="79">
        <v>44999.027777777781</v>
      </c>
      <c r="V288" s="66" t="s">
        <v>292</v>
      </c>
      <c r="W288" s="79">
        <v>44999.518750000003</v>
      </c>
      <c r="X288" s="79">
        <v>44999.104166666664</v>
      </c>
      <c r="Y288" s="88">
        <v>44999.5</v>
      </c>
      <c r="Z288" s="81">
        <v>1600</v>
      </c>
      <c r="AA288" s="81"/>
      <c r="AB288" s="81"/>
      <c r="AC288" s="81"/>
      <c r="AD288" s="81"/>
      <c r="AE288" s="81"/>
      <c r="AF288" s="81"/>
      <c r="AG288" s="81">
        <f>Sal_23[[#This Row],[COMPRA]]*12%</f>
        <v>276</v>
      </c>
      <c r="AH288" s="83">
        <v>2300</v>
      </c>
      <c r="AI288" s="66" t="str">
        <f>PROPER(TEXT(Sal_23[[#This Row],[PROGRAMAÇÃO]],"mmm"))</f>
        <v>Mar</v>
      </c>
      <c r="AJ288" s="66">
        <f>YEAR(Sal_23[[#This Row],[PROGRAMAÇÃO]])</f>
        <v>2023</v>
      </c>
      <c r="AK288" s="66"/>
      <c r="AL288" s="66"/>
      <c r="AM288" s="66" t="s">
        <v>2768</v>
      </c>
      <c r="AN288" s="66" t="s">
        <v>2768</v>
      </c>
      <c r="AO288" s="66" t="s">
        <v>2768</v>
      </c>
    </row>
    <row r="289" spans="1:41" x14ac:dyDescent="0.25">
      <c r="A289" s="120" t="str">
        <f>Sal_23[[#This Row],[CONTAINER]]</f>
        <v>PONU0325470</v>
      </c>
      <c r="B289" s="128" t="s">
        <v>2771</v>
      </c>
      <c r="C28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89" s="79">
        <v>45002.333333333336</v>
      </c>
      <c r="E289" s="44" t="s">
        <v>3778</v>
      </c>
      <c r="F289" s="66">
        <v>20</v>
      </c>
      <c r="G289" s="66" t="s">
        <v>2837</v>
      </c>
      <c r="H289" s="44" t="s">
        <v>2837</v>
      </c>
      <c r="I289" s="299" t="s">
        <v>2821</v>
      </c>
      <c r="J289" s="66" t="s">
        <v>3782</v>
      </c>
      <c r="K289" s="66" t="s">
        <v>3768</v>
      </c>
      <c r="L289" s="66">
        <v>114336</v>
      </c>
      <c r="M289" s="66"/>
      <c r="N289" s="66" t="s">
        <v>2584</v>
      </c>
      <c r="O289" s="66" t="s">
        <v>2585</v>
      </c>
      <c r="P289" s="66" t="s">
        <v>2586</v>
      </c>
      <c r="Q289" s="138" t="str">
        <f ca="1">IFERROR(LOOKUP($P289,MOTORISTAS!$D$3:$D$1048576,MOTORISTAS!E$3:E$916),"")</f>
        <v>08312935860</v>
      </c>
      <c r="R289" s="138" t="str">
        <f ca="1">IFERROR(LOOKUP($P289,MOTORISTAS!$D$3:$D$1048576,MOTORISTAS!F$3:F$916),"")</f>
        <v>03106516083</v>
      </c>
      <c r="S289" s="66">
        <v>3485</v>
      </c>
      <c r="T289" s="66" t="s">
        <v>306</v>
      </c>
      <c r="U289" s="79">
        <v>45001.852083333331</v>
      </c>
      <c r="V289" s="66" t="s">
        <v>526</v>
      </c>
      <c r="W289" s="79">
        <v>45002.535416666666</v>
      </c>
      <c r="X289" s="79">
        <v>45002.119444444441</v>
      </c>
      <c r="Y289" s="88">
        <v>45002.395833333336</v>
      </c>
      <c r="Z289" s="81">
        <v>1600</v>
      </c>
      <c r="AA289" s="81"/>
      <c r="AB289" s="81"/>
      <c r="AC289" s="81"/>
      <c r="AD289" s="81"/>
      <c r="AE289" s="81"/>
      <c r="AF289" s="81"/>
      <c r="AG289" s="81">
        <f>Sal_23[[#This Row],[COMPRA]]*12%</f>
        <v>311.55959999999999</v>
      </c>
      <c r="AH289" s="83">
        <v>2596.33</v>
      </c>
      <c r="AI289" s="66" t="str">
        <f>PROPER(TEXT(Sal_23[[#This Row],[PROGRAMAÇÃO]],"mmm"))</f>
        <v>Mar</v>
      </c>
      <c r="AJ289" s="66">
        <f>YEAR(Sal_23[[#This Row],[PROGRAMAÇÃO]])</f>
        <v>2023</v>
      </c>
      <c r="AK289" s="66"/>
      <c r="AL289" s="66"/>
      <c r="AM289" s="66" t="s">
        <v>2768</v>
      </c>
      <c r="AN289" s="66" t="s">
        <v>2768</v>
      </c>
      <c r="AO289" s="66" t="s">
        <v>2768</v>
      </c>
    </row>
    <row r="290" spans="1:41" x14ac:dyDescent="0.25">
      <c r="A290" s="120" t="str">
        <f>Sal_23[[#This Row],[CONTAINER]]</f>
        <v>MRKU7962798</v>
      </c>
      <c r="B290" s="128" t="s">
        <v>2771</v>
      </c>
      <c r="C29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90" s="79">
        <v>45000.333333333336</v>
      </c>
      <c r="E290" s="44" t="s">
        <v>3787</v>
      </c>
      <c r="F290" s="66">
        <v>20</v>
      </c>
      <c r="G290" s="44" t="s">
        <v>2837</v>
      </c>
      <c r="H290" s="44" t="s">
        <v>2837</v>
      </c>
      <c r="I290" s="299" t="s">
        <v>2821</v>
      </c>
      <c r="J290" s="66" t="s">
        <v>3792</v>
      </c>
      <c r="K290" s="66" t="s">
        <v>3768</v>
      </c>
      <c r="L290" s="66">
        <v>72520</v>
      </c>
      <c r="M290" s="66"/>
      <c r="N290" s="66" t="s">
        <v>2584</v>
      </c>
      <c r="O290" s="66" t="s">
        <v>2585</v>
      </c>
      <c r="P290" s="66" t="s">
        <v>2586</v>
      </c>
      <c r="Q290" s="138" t="str">
        <f ca="1">IFERROR(LOOKUP($P290,MOTORISTAS!$D$3:$D$1048576,MOTORISTAS!E$3:E$916),"")</f>
        <v>08312935860</v>
      </c>
      <c r="R290" s="138" t="str">
        <f ca="1">IFERROR(LOOKUP($P290,MOTORISTAS!$D$3:$D$1048576,MOTORISTAS!F$3:F$916),"")</f>
        <v>03106516083</v>
      </c>
      <c r="S290" s="66" t="s">
        <v>3846</v>
      </c>
      <c r="T290" s="66" t="s">
        <v>293</v>
      </c>
      <c r="U290" s="79">
        <v>44999.945138888892</v>
      </c>
      <c r="V290" s="66" t="s">
        <v>409</v>
      </c>
      <c r="W290" s="79">
        <v>45000.581250000003</v>
      </c>
      <c r="X290" s="79">
        <v>45000.059027777781</v>
      </c>
      <c r="Y290" s="88">
        <v>45000.354166666664</v>
      </c>
      <c r="Z290" s="81">
        <v>1600</v>
      </c>
      <c r="AA290" s="81"/>
      <c r="AB290" s="81"/>
      <c r="AC290" s="81"/>
      <c r="AD290" s="81"/>
      <c r="AE290" s="81"/>
      <c r="AF290" s="81"/>
      <c r="AG290" s="81">
        <f>Sal_23[[#This Row],[COMPRA]]*12%</f>
        <v>288</v>
      </c>
      <c r="AH290" s="83">
        <v>2400</v>
      </c>
      <c r="AI290" s="66" t="str">
        <f>PROPER(TEXT(Sal_23[[#This Row],[PROGRAMAÇÃO]],"mmm"))</f>
        <v>Mar</v>
      </c>
      <c r="AJ290" s="66">
        <f>YEAR(Sal_23[[#This Row],[PROGRAMAÇÃO]])</f>
        <v>2023</v>
      </c>
      <c r="AK290" s="66"/>
      <c r="AL290" s="66"/>
      <c r="AM290" s="66" t="s">
        <v>2768</v>
      </c>
      <c r="AN290" s="66" t="s">
        <v>2768</v>
      </c>
      <c r="AO290" s="66" t="s">
        <v>2768</v>
      </c>
    </row>
    <row r="291" spans="1:41" x14ac:dyDescent="0.25">
      <c r="A291" s="120" t="str">
        <f>Sal_23[[#This Row],[CONTAINER]]</f>
        <v>CAIU3015963</v>
      </c>
      <c r="B291" s="128" t="s">
        <v>2771</v>
      </c>
      <c r="C29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91" s="79">
        <v>45001.333333333336</v>
      </c>
      <c r="E291" s="44" t="s">
        <v>3803</v>
      </c>
      <c r="F291" s="66">
        <v>20</v>
      </c>
      <c r="G291" s="66" t="s">
        <v>2837</v>
      </c>
      <c r="H291" s="44" t="s">
        <v>2837</v>
      </c>
      <c r="I291" s="299" t="s">
        <v>2821</v>
      </c>
      <c r="J291" s="66">
        <v>2325</v>
      </c>
      <c r="K291" s="66" t="s">
        <v>3798</v>
      </c>
      <c r="L291" s="66">
        <v>104613</v>
      </c>
      <c r="M291" s="66"/>
      <c r="N291" s="66" t="s">
        <v>2498</v>
      </c>
      <c r="O291" s="66" t="s">
        <v>2499</v>
      </c>
      <c r="P291" s="66" t="s">
        <v>2500</v>
      </c>
      <c r="Q291" s="138" t="str">
        <f ca="1">IFERROR(LOOKUP($P291,MOTORISTAS!$D$3:$D$1048576,MOTORISTAS!E$3:E$916),"")</f>
        <v>10838670830</v>
      </c>
      <c r="R291" s="138" t="str">
        <f ca="1">IFERROR(LOOKUP($P291,MOTORISTAS!$D$3:$D$1048576,MOTORISTAS!F$3:F$916),"")</f>
        <v>01808675938</v>
      </c>
      <c r="S291" s="66">
        <v>3476</v>
      </c>
      <c r="T291" s="66" t="s">
        <v>293</v>
      </c>
      <c r="U291" s="79">
        <v>45000.929861111108</v>
      </c>
      <c r="V291" s="66" t="s">
        <v>469</v>
      </c>
      <c r="W291" s="79">
        <v>45001.607638888891</v>
      </c>
      <c r="X291" s="79">
        <v>45001.104166666664</v>
      </c>
      <c r="Y291" s="88">
        <v>45001.388888888891</v>
      </c>
      <c r="Z291" s="81">
        <v>1600</v>
      </c>
      <c r="AA291" s="81"/>
      <c r="AB291" s="81"/>
      <c r="AC291" s="81"/>
      <c r="AD291" s="81"/>
      <c r="AE291" s="81"/>
      <c r="AF291" s="81"/>
      <c r="AG291" s="81">
        <f>Sal_23[[#This Row],[COMPRA]]*12%</f>
        <v>311.55959999999999</v>
      </c>
      <c r="AH291" s="83">
        <v>2596.33</v>
      </c>
      <c r="AI291" s="66" t="str">
        <f>PROPER(TEXT(Sal_23[[#This Row],[PROGRAMAÇÃO]],"mmm"))</f>
        <v>Mar</v>
      </c>
      <c r="AJ291" s="66">
        <f>YEAR(Sal_23[[#This Row],[PROGRAMAÇÃO]])</f>
        <v>2023</v>
      </c>
      <c r="AK291" s="66"/>
      <c r="AL291" s="66"/>
      <c r="AM291" s="66" t="s">
        <v>2768</v>
      </c>
      <c r="AN291" s="66" t="s">
        <v>2768</v>
      </c>
      <c r="AO291" s="66" t="s">
        <v>2768</v>
      </c>
    </row>
    <row r="292" spans="1:41" x14ac:dyDescent="0.25">
      <c r="A292" s="120" t="str">
        <f>Sal_23[[#This Row],[CONTAINER]]</f>
        <v>SEGU1061669</v>
      </c>
      <c r="B292" s="128" t="s">
        <v>2771</v>
      </c>
      <c r="C29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92" s="198">
        <v>45001.333333333336</v>
      </c>
      <c r="E292" s="44" t="s">
        <v>3805</v>
      </c>
      <c r="F292" s="66">
        <v>20</v>
      </c>
      <c r="G292" s="66" t="s">
        <v>2826</v>
      </c>
      <c r="H292" s="44" t="s">
        <v>2827</v>
      </c>
      <c r="I292" s="299" t="s">
        <v>2823</v>
      </c>
      <c r="J292" s="66">
        <v>2323</v>
      </c>
      <c r="K292" s="66" t="s">
        <v>3798</v>
      </c>
      <c r="L292" s="66">
        <v>104545</v>
      </c>
      <c r="M292" s="66"/>
      <c r="N292" s="66" t="s">
        <v>2156</v>
      </c>
      <c r="O292" s="66" t="s">
        <v>2464</v>
      </c>
      <c r="P292" s="66" t="s">
        <v>2158</v>
      </c>
      <c r="Q292" s="138" t="str">
        <f ca="1">IFERROR(LOOKUP($P292,MOTORISTAS!$D$3:$D$1048576,MOTORISTAS!E$3:E$916),"")</f>
        <v>10485530864</v>
      </c>
      <c r="R292" s="138" t="str">
        <f ca="1">IFERROR(LOOKUP($P292,MOTORISTAS!$D$3:$D$1048576,MOTORISTAS!F$3:F$916),"")</f>
        <v>02033192841</v>
      </c>
      <c r="S292" s="66">
        <v>3477</v>
      </c>
      <c r="T292" s="66" t="s">
        <v>293</v>
      </c>
      <c r="U292" s="79">
        <v>45000.772222222222</v>
      </c>
      <c r="V292" s="66" t="s">
        <v>469</v>
      </c>
      <c r="W292" s="79">
        <v>45001.64166666667</v>
      </c>
      <c r="X292" s="79">
        <v>45000.951388888891</v>
      </c>
      <c r="Y292" s="88">
        <v>45001.375</v>
      </c>
      <c r="Z292" s="81">
        <v>3200</v>
      </c>
      <c r="AA292" s="81"/>
      <c r="AB292" s="81"/>
      <c r="AC292" s="81"/>
      <c r="AD292" s="81"/>
      <c r="AE292" s="81"/>
      <c r="AF292" s="81"/>
      <c r="AG292" s="81">
        <f>Sal_23[[#This Row],[COMPRA]]*12%</f>
        <v>571.48680000000002</v>
      </c>
      <c r="AH292" s="83">
        <v>4762.3900000000003</v>
      </c>
      <c r="AI292" s="66" t="str">
        <f>PROPER(TEXT(Sal_23[[#This Row],[PROGRAMAÇÃO]],"mmm"))</f>
        <v>Mar</v>
      </c>
      <c r="AJ292" s="66">
        <f>YEAR(Sal_23[[#This Row],[PROGRAMAÇÃO]])</f>
        <v>2023</v>
      </c>
      <c r="AK292" s="66"/>
      <c r="AL292" s="66"/>
      <c r="AM292" s="66" t="s">
        <v>2768</v>
      </c>
      <c r="AN292" s="66" t="s">
        <v>2768</v>
      </c>
      <c r="AO292" s="66" t="s">
        <v>2768</v>
      </c>
    </row>
    <row r="293" spans="1:41" x14ac:dyDescent="0.25">
      <c r="A293" s="120" t="str">
        <f>Sal_23[[#This Row],[CONTAINER]]</f>
        <v>TCLU3038498</v>
      </c>
      <c r="B293" s="128" t="s">
        <v>2771</v>
      </c>
      <c r="C29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93" s="198">
        <v>45001.333333333336</v>
      </c>
      <c r="E293" s="44" t="s">
        <v>3806</v>
      </c>
      <c r="F293" s="66">
        <v>20</v>
      </c>
      <c r="G293" s="66" t="s">
        <v>2826</v>
      </c>
      <c r="H293" s="44" t="s">
        <v>2827</v>
      </c>
      <c r="I293" s="299" t="s">
        <v>2823</v>
      </c>
      <c r="J293" s="66">
        <v>2324</v>
      </c>
      <c r="K293" s="66" t="s">
        <v>3798</v>
      </c>
      <c r="L293" s="66">
        <v>104544</v>
      </c>
      <c r="M293" s="66"/>
      <c r="N293" s="66" t="s">
        <v>2940</v>
      </c>
      <c r="O293" s="66" t="s">
        <v>2941</v>
      </c>
      <c r="P293" s="66" t="s">
        <v>3086</v>
      </c>
      <c r="Q293" s="138" t="str">
        <f ca="1">IFERROR(LOOKUP($P293,MOTORISTAS!$D$3:$D$1048576,MOTORISTAS!E$3:E$916),"")</f>
        <v>16955497839</v>
      </c>
      <c r="R293" s="138" t="str">
        <f ca="1">IFERROR(LOOKUP($P293,MOTORISTAS!$D$3:$D$1048576,MOTORISTAS!F$3:F$916),"")</f>
        <v>03177639496</v>
      </c>
      <c r="S293" s="66">
        <v>3481</v>
      </c>
      <c r="T293" s="66" t="s">
        <v>293</v>
      </c>
      <c r="U293" s="79">
        <v>45000.729861111111</v>
      </c>
      <c r="V293" s="66" t="s">
        <v>469</v>
      </c>
      <c r="W293" s="79">
        <v>45001.731944444444</v>
      </c>
      <c r="X293" s="79">
        <v>45001.152777777781</v>
      </c>
      <c r="Y293" s="88">
        <v>45001.416666666664</v>
      </c>
      <c r="Z293" s="81">
        <v>3200</v>
      </c>
      <c r="AA293" s="81"/>
      <c r="AB293" s="81"/>
      <c r="AC293" s="81"/>
      <c r="AD293" s="81"/>
      <c r="AE293" s="81"/>
      <c r="AF293" s="81"/>
      <c r="AG293" s="81">
        <f>Sal_23[[#This Row],[COMPRA]]*12%</f>
        <v>571.48680000000002</v>
      </c>
      <c r="AH293" s="83">
        <v>4762.3900000000003</v>
      </c>
      <c r="AI293" s="66" t="str">
        <f>PROPER(TEXT(Sal_23[[#This Row],[PROGRAMAÇÃO]],"mmm"))</f>
        <v>Mar</v>
      </c>
      <c r="AJ293" s="66">
        <f>YEAR(Sal_23[[#This Row],[PROGRAMAÇÃO]])</f>
        <v>2023</v>
      </c>
      <c r="AK293" s="66"/>
      <c r="AL293" s="66"/>
      <c r="AM293" s="66" t="s">
        <v>2768</v>
      </c>
      <c r="AN293" s="66" t="s">
        <v>2768</v>
      </c>
      <c r="AO293" s="66" t="s">
        <v>2768</v>
      </c>
    </row>
    <row r="294" spans="1:41" x14ac:dyDescent="0.25">
      <c r="A294" s="120" t="str">
        <f>Sal_23[[#This Row],[CONTAINER]]</f>
        <v>TCLU3041357</v>
      </c>
      <c r="B294" s="128" t="s">
        <v>2771</v>
      </c>
      <c r="C29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94" s="198">
        <v>45001.333333333336</v>
      </c>
      <c r="E294" s="44" t="s">
        <v>3807</v>
      </c>
      <c r="F294" s="66">
        <v>20</v>
      </c>
      <c r="G294" s="66" t="s">
        <v>2826</v>
      </c>
      <c r="H294" s="44" t="s">
        <v>3074</v>
      </c>
      <c r="I294" s="299" t="s">
        <v>3439</v>
      </c>
      <c r="J294" s="66">
        <v>2326</v>
      </c>
      <c r="K294" s="66" t="s">
        <v>3798</v>
      </c>
      <c r="L294" s="66">
        <v>104614</v>
      </c>
      <c r="M294" s="66"/>
      <c r="N294" s="66" t="s">
        <v>2584</v>
      </c>
      <c r="O294" s="66" t="s">
        <v>2585</v>
      </c>
      <c r="P294" s="66" t="s">
        <v>2586</v>
      </c>
      <c r="Q294" s="138" t="str">
        <f ca="1">IFERROR(LOOKUP($P294,MOTORISTAS!$D$3:$D$1048576,MOTORISTAS!E$3:E$916),"")</f>
        <v>08312935860</v>
      </c>
      <c r="R294" s="138" t="str">
        <f ca="1">IFERROR(LOOKUP($P294,MOTORISTAS!$D$3:$D$1048576,MOTORISTAS!F$3:F$916),"")</f>
        <v>03106516083</v>
      </c>
      <c r="S294" s="66">
        <v>3478</v>
      </c>
      <c r="T294" s="66" t="s">
        <v>293</v>
      </c>
      <c r="U294" s="79">
        <v>45000.854166666664</v>
      </c>
      <c r="V294" s="66" t="s">
        <v>469</v>
      </c>
      <c r="W294" s="79">
        <v>45001.700694444444</v>
      </c>
      <c r="X294" s="79">
        <v>45001.097222222219</v>
      </c>
      <c r="Y294" s="88">
        <v>45001.416666666664</v>
      </c>
      <c r="Z294" s="81">
        <v>2800</v>
      </c>
      <c r="AA294" s="81"/>
      <c r="AB294" s="81"/>
      <c r="AC294" s="81"/>
      <c r="AD294" s="81"/>
      <c r="AE294" s="81"/>
      <c r="AF294" s="81"/>
      <c r="AG294" s="81">
        <f>Sal_23[[#This Row],[COMPRA]]*12%</f>
        <v>501.59999999999997</v>
      </c>
      <c r="AH294" s="83">
        <v>4180</v>
      </c>
      <c r="AI294" s="66" t="str">
        <f>PROPER(TEXT(Sal_23[[#This Row],[PROGRAMAÇÃO]],"mmm"))</f>
        <v>Mar</v>
      </c>
      <c r="AJ294" s="66">
        <f>YEAR(Sal_23[[#This Row],[PROGRAMAÇÃO]])</f>
        <v>2023</v>
      </c>
      <c r="AK294" s="66"/>
      <c r="AL294" s="66"/>
      <c r="AM294" s="66" t="s">
        <v>2768</v>
      </c>
      <c r="AN294" s="66" t="s">
        <v>2768</v>
      </c>
      <c r="AO294" s="66" t="s">
        <v>2768</v>
      </c>
    </row>
    <row r="295" spans="1:41" x14ac:dyDescent="0.25">
      <c r="A295" s="120" t="str">
        <f>Sal_23[[#This Row],[CONTAINER]]</f>
        <v>TCLU3055638</v>
      </c>
      <c r="B295" s="128" t="s">
        <v>2771</v>
      </c>
      <c r="C29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95" s="198">
        <v>45001.333333333336</v>
      </c>
      <c r="E295" s="44" t="s">
        <v>3808</v>
      </c>
      <c r="F295" s="66">
        <v>20</v>
      </c>
      <c r="G295" s="66" t="s">
        <v>2826</v>
      </c>
      <c r="H295" s="44" t="s">
        <v>2825</v>
      </c>
      <c r="I295" s="299" t="s">
        <v>2824</v>
      </c>
      <c r="J295" s="66">
        <v>2327</v>
      </c>
      <c r="K295" s="66" t="s">
        <v>3798</v>
      </c>
      <c r="L295" s="66">
        <v>104576</v>
      </c>
      <c r="M295" s="66"/>
      <c r="N295" s="66" t="s">
        <v>3040</v>
      </c>
      <c r="O295" s="66" t="s">
        <v>3041</v>
      </c>
      <c r="P295" s="66" t="s">
        <v>3042</v>
      </c>
      <c r="Q295" s="138" t="str">
        <f ca="1">IFERROR(LOOKUP($P295,MOTORISTAS!$D$3:$D$1048576,MOTORISTAS!E$3:E$916),"")</f>
        <v>19279658883</v>
      </c>
      <c r="R295" s="138" t="str">
        <f ca="1">IFERROR(LOOKUP($P295,MOTORISTAS!$D$3:$D$1048576,MOTORISTAS!F$3:F$916),"")</f>
        <v>01301319672</v>
      </c>
      <c r="S295" s="66">
        <v>3479</v>
      </c>
      <c r="T295" s="66" t="s">
        <v>293</v>
      </c>
      <c r="U295" s="79">
        <v>45001.088888888888</v>
      </c>
      <c r="V295" s="66" t="s">
        <v>469</v>
      </c>
      <c r="W295" s="79">
        <v>45001.643055555556</v>
      </c>
      <c r="X295" s="66" t="s">
        <v>3858</v>
      </c>
      <c r="Y295" s="88">
        <v>45001.395833333336</v>
      </c>
      <c r="Z295" s="81">
        <v>2000</v>
      </c>
      <c r="AA295" s="81"/>
      <c r="AB295" s="81"/>
      <c r="AC295" s="81">
        <v>700</v>
      </c>
      <c r="AD295" s="81"/>
      <c r="AE295" s="81"/>
      <c r="AF295" s="81"/>
      <c r="AG295" s="81">
        <f>Sal_23[[#This Row],[COMPRA]]*12%</f>
        <v>447.91919999999999</v>
      </c>
      <c r="AH295" s="83">
        <v>3732.66</v>
      </c>
      <c r="AI295" s="66" t="str">
        <f>PROPER(TEXT(Sal_23[[#This Row],[PROGRAMAÇÃO]],"mmm"))</f>
        <v>Mar</v>
      </c>
      <c r="AJ295" s="66">
        <f>YEAR(Sal_23[[#This Row],[PROGRAMAÇÃO]])</f>
        <v>2023</v>
      </c>
      <c r="AK295" s="66"/>
      <c r="AL295" s="44"/>
      <c r="AM295" s="66" t="s">
        <v>2768</v>
      </c>
      <c r="AN295" s="66" t="s">
        <v>2768</v>
      </c>
      <c r="AO295" s="66" t="s">
        <v>2768</v>
      </c>
    </row>
    <row r="296" spans="1:41" x14ac:dyDescent="0.25">
      <c r="A296" s="120" t="str">
        <f>Sal_23[[#This Row],[CONTAINER]]</f>
        <v>CRSU9082006</v>
      </c>
      <c r="B296" s="128" t="s">
        <v>2771</v>
      </c>
      <c r="C29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96" s="198">
        <v>45001.333333333336</v>
      </c>
      <c r="E296" s="44" t="s">
        <v>3811</v>
      </c>
      <c r="F296" s="66">
        <v>40</v>
      </c>
      <c r="G296" s="66" t="s">
        <v>2826</v>
      </c>
      <c r="H296" s="44" t="s">
        <v>3195</v>
      </c>
      <c r="I296" s="299" t="s">
        <v>2830</v>
      </c>
      <c r="J296" s="66">
        <v>2313</v>
      </c>
      <c r="K296" s="66" t="s">
        <v>3798</v>
      </c>
      <c r="L296" s="66">
        <v>104580</v>
      </c>
      <c r="M296" s="66"/>
      <c r="N296" s="66" t="s">
        <v>111</v>
      </c>
      <c r="O296" s="66" t="s">
        <v>891</v>
      </c>
      <c r="P296" s="66" t="s">
        <v>113</v>
      </c>
      <c r="Q296" s="138" t="str">
        <f ca="1">IFERROR(LOOKUP($P296,MOTORISTAS!$D$3:$D$1048576,MOTORISTAS!E$3:E$916),"")</f>
        <v>88265951434</v>
      </c>
      <c r="R296" s="138" t="str">
        <f ca="1">IFERROR(LOOKUP($P296,MOTORISTAS!$D$3:$D$1048576,MOTORISTAS!F$3:F$916),"")</f>
        <v>00920373596</v>
      </c>
      <c r="S296" s="66">
        <v>3484</v>
      </c>
      <c r="T296" s="66" t="s">
        <v>293</v>
      </c>
      <c r="U296" s="66" t="s">
        <v>3859</v>
      </c>
      <c r="V296" s="66" t="s">
        <v>469</v>
      </c>
      <c r="W296" s="79">
        <v>45001.635416666664</v>
      </c>
      <c r="X296" s="79">
        <v>45001.333333333336</v>
      </c>
      <c r="Y296" s="88">
        <v>45001.40625</v>
      </c>
      <c r="Z296" s="81">
        <v>2300</v>
      </c>
      <c r="AA296" s="81">
        <v>0</v>
      </c>
      <c r="AB296" s="81">
        <f>SUM(Sal_23[[#This Row],[Saldo]]+Sal_23[[#This Row],[Adiantamento]])</f>
        <v>2300</v>
      </c>
      <c r="AC296" s="81">
        <v>0</v>
      </c>
      <c r="AD296" s="81"/>
      <c r="AE296" s="81"/>
      <c r="AF296" s="81"/>
      <c r="AG296" s="81">
        <f>Sal_23[[#This Row],[COMPRA]]*12%</f>
        <v>392.15039999999999</v>
      </c>
      <c r="AH296" s="83">
        <v>3267.92</v>
      </c>
      <c r="AI296" s="66" t="str">
        <f>PROPER(TEXT(Sal_23[[#This Row],[PROGRAMAÇÃO]],"mmm"))</f>
        <v>Mar</v>
      </c>
      <c r="AJ296" s="66">
        <f>YEAR(Sal_23[[#This Row],[PROGRAMAÇÃO]])</f>
        <v>2023</v>
      </c>
      <c r="AK296" s="66"/>
      <c r="AL296" s="66"/>
      <c r="AM296" s="66" t="s">
        <v>2768</v>
      </c>
      <c r="AN296" s="66" t="s">
        <v>2768</v>
      </c>
      <c r="AO296" s="66" t="s">
        <v>2768</v>
      </c>
    </row>
    <row r="297" spans="1:41" x14ac:dyDescent="0.25">
      <c r="A297" s="120" t="str">
        <f>Sal_23[[#This Row],[CONTAINER]]</f>
        <v>TCLU8160472</v>
      </c>
      <c r="B297" s="128" t="s">
        <v>2771</v>
      </c>
      <c r="C29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297" s="198">
        <v>45001.333333333336</v>
      </c>
      <c r="E297" s="44" t="s">
        <v>3814</v>
      </c>
      <c r="F297" s="66">
        <v>40</v>
      </c>
      <c r="G297" s="66" t="s">
        <v>2826</v>
      </c>
      <c r="H297" s="44" t="s">
        <v>3441</v>
      </c>
      <c r="I297" s="299" t="s">
        <v>3438</v>
      </c>
      <c r="J297" s="66">
        <v>2314</v>
      </c>
      <c r="K297" s="66" t="s">
        <v>3798</v>
      </c>
      <c r="L297" s="66">
        <v>104581</v>
      </c>
      <c r="M297" s="66">
        <v>104582</v>
      </c>
      <c r="N297" s="66" t="s">
        <v>87</v>
      </c>
      <c r="O297" s="66" t="s">
        <v>88</v>
      </c>
      <c r="P297" s="66" t="s">
        <v>89</v>
      </c>
      <c r="Q297" s="138" t="str">
        <f ca="1">IFERROR(LOOKUP($P297,MOTORISTAS!$D$3:$D$1048576,MOTORISTAS!E$3:E$916),"")</f>
        <v>00097734527</v>
      </c>
      <c r="R297" s="138" t="str">
        <f ca="1">IFERROR(LOOKUP($P297,MOTORISTAS!$D$3:$D$1048576,MOTORISTAS!F$3:F$916),"")</f>
        <v>03148346870</v>
      </c>
      <c r="S297" s="66">
        <v>3483</v>
      </c>
      <c r="T297" s="66" t="s">
        <v>293</v>
      </c>
      <c r="U297" s="79">
        <v>45001.694444444445</v>
      </c>
      <c r="V297" s="66" t="s">
        <v>469</v>
      </c>
      <c r="W297" s="79">
        <v>45002.570138888892</v>
      </c>
      <c r="X297" s="79">
        <v>45002.3125</v>
      </c>
      <c r="Y297" s="88">
        <v>45002.409722222219</v>
      </c>
      <c r="Z297" s="81">
        <v>2300</v>
      </c>
      <c r="AA297" s="81"/>
      <c r="AB297" s="81"/>
      <c r="AC297" s="81">
        <v>500</v>
      </c>
      <c r="AD297" s="81"/>
      <c r="AE297" s="81"/>
      <c r="AF297" s="81"/>
      <c r="AG297" s="81">
        <f>Sal_23[[#This Row],[COMPRA]]*12%</f>
        <v>449.87520000000001</v>
      </c>
      <c r="AH297" s="83">
        <v>3748.96</v>
      </c>
      <c r="AI297" s="66" t="str">
        <f>PROPER(TEXT(Sal_23[[#This Row],[PROGRAMAÇÃO]],"mmm"))</f>
        <v>Mar</v>
      </c>
      <c r="AJ297" s="66">
        <f>YEAR(Sal_23[[#This Row],[PROGRAMAÇÃO]])</f>
        <v>2023</v>
      </c>
      <c r="AK297" s="66" t="s">
        <v>3862</v>
      </c>
      <c r="AL297" s="44" t="s">
        <v>3643</v>
      </c>
      <c r="AM297" s="66" t="s">
        <v>2768</v>
      </c>
      <c r="AN297" s="66" t="s">
        <v>2768</v>
      </c>
      <c r="AO297" s="66" t="s">
        <v>2768</v>
      </c>
    </row>
    <row r="298" spans="1:41" x14ac:dyDescent="0.25">
      <c r="A298" s="120" t="str">
        <f>Sal_23[[#This Row],[CONTAINER]]</f>
        <v>TEMU8333641</v>
      </c>
      <c r="B298" s="128" t="s">
        <v>2771</v>
      </c>
      <c r="C29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98" s="198">
        <v>45001.333333333336</v>
      </c>
      <c r="E298" s="44" t="s">
        <v>3817</v>
      </c>
      <c r="F298" s="66">
        <v>40</v>
      </c>
      <c r="G298" s="66" t="s">
        <v>2826</v>
      </c>
      <c r="H298" s="44" t="s">
        <v>2835</v>
      </c>
      <c r="I298" s="299" t="s">
        <v>2822</v>
      </c>
      <c r="J298" s="66">
        <v>2319</v>
      </c>
      <c r="K298" s="66" t="s">
        <v>3798</v>
      </c>
      <c r="L298" s="66">
        <v>104617</v>
      </c>
      <c r="M298" s="66"/>
      <c r="N298" s="66" t="s">
        <v>210</v>
      </c>
      <c r="O298" s="66" t="s">
        <v>211</v>
      </c>
      <c r="P298" s="66" t="s">
        <v>212</v>
      </c>
      <c r="Q298" s="138" t="str">
        <f ca="1">IFERROR(LOOKUP($P298,MOTORISTAS!$D$3:$D$1048576,MOTORISTAS!E$3:E$916),"")</f>
        <v>38029906846</v>
      </c>
      <c r="R298" s="138" t="str">
        <f ca="1">IFERROR(LOOKUP($P298,MOTORISTAS!$D$3:$D$1048576,MOTORISTAS!F$3:F$916),"")</f>
        <v>04946846842</v>
      </c>
      <c r="S298" s="66">
        <v>3480</v>
      </c>
      <c r="T298" s="66" t="s">
        <v>293</v>
      </c>
      <c r="U298" s="79">
        <v>45001.101388888892</v>
      </c>
      <c r="V298" s="66" t="s">
        <v>469</v>
      </c>
      <c r="W298" s="79">
        <v>45001.640972222223</v>
      </c>
      <c r="X298" s="79">
        <v>45001.333333333336</v>
      </c>
      <c r="Y298" s="88">
        <v>45001.4375</v>
      </c>
      <c r="Z298" s="81">
        <v>241.8</v>
      </c>
      <c r="AA298" s="81"/>
      <c r="AB298" s="81"/>
      <c r="AC298" s="81"/>
      <c r="AD298" s="81"/>
      <c r="AE298" s="81"/>
      <c r="AF298" s="81"/>
      <c r="AG298" s="81">
        <f>Sal_23[[#This Row],[COMPRA]]*12%</f>
        <v>370.37759999999997</v>
      </c>
      <c r="AH298" s="83">
        <v>3086.48</v>
      </c>
      <c r="AI298" s="66" t="str">
        <f>PROPER(TEXT(Sal_23[[#This Row],[PROGRAMAÇÃO]],"mmm"))</f>
        <v>Mar</v>
      </c>
      <c r="AJ298" s="66">
        <f>YEAR(Sal_23[[#This Row],[PROGRAMAÇÃO]])</f>
        <v>2023</v>
      </c>
      <c r="AK298" s="66"/>
      <c r="AL298" s="66"/>
      <c r="AM298" s="66" t="s">
        <v>2768</v>
      </c>
      <c r="AN298" s="66" t="s">
        <v>2768</v>
      </c>
      <c r="AO298" s="66" t="s">
        <v>2768</v>
      </c>
    </row>
    <row r="299" spans="1:41" x14ac:dyDescent="0.25">
      <c r="A299" s="120" t="str">
        <f>Sal_23[[#This Row],[CONTAINER]]</f>
        <v>TCNU7378847</v>
      </c>
      <c r="B299" s="128" t="s">
        <v>2771</v>
      </c>
      <c r="C29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299" s="198">
        <v>45001.333333333336</v>
      </c>
      <c r="E299" s="44" t="s">
        <v>3818</v>
      </c>
      <c r="F299" s="66">
        <v>40</v>
      </c>
      <c r="G299" s="66" t="s">
        <v>2826</v>
      </c>
      <c r="H299" s="44" t="s">
        <v>2835</v>
      </c>
      <c r="I299" s="299" t="s">
        <v>2822</v>
      </c>
      <c r="J299" s="66">
        <v>2320</v>
      </c>
      <c r="K299" s="66" t="s">
        <v>3798</v>
      </c>
      <c r="L299" s="66">
        <v>104655</v>
      </c>
      <c r="M299" s="66"/>
      <c r="N299" s="66" t="s">
        <v>140</v>
      </c>
      <c r="O299" s="66" t="s">
        <v>141</v>
      </c>
      <c r="P299" s="66" t="s">
        <v>2051</v>
      </c>
      <c r="Q299" s="138" t="str">
        <f ca="1">IFERROR(LOOKUP($P299,MOTORISTAS!$D$3:$D$1048576,MOTORISTAS!E$3:E$916),"")</f>
        <v>33913917829</v>
      </c>
      <c r="R299" s="138" t="str">
        <f ca="1">IFERROR(LOOKUP($P299,MOTORISTAS!$D$3:$D$1048576,MOTORISTAS!F$3:F$916),"")</f>
        <v>03312585500</v>
      </c>
      <c r="S299" s="66">
        <v>3482</v>
      </c>
      <c r="T299" s="66" t="s">
        <v>293</v>
      </c>
      <c r="U299" s="79">
        <v>45001.193055555559</v>
      </c>
      <c r="V299" s="66" t="s">
        <v>526</v>
      </c>
      <c r="W299" s="79">
        <v>45001.625</v>
      </c>
      <c r="X299" s="79">
        <v>45001.333333333336</v>
      </c>
      <c r="Y299" s="88">
        <v>45001.458333333336</v>
      </c>
      <c r="Z299" s="81">
        <v>2100</v>
      </c>
      <c r="AA299" s="81"/>
      <c r="AB299" s="81"/>
      <c r="AC299" s="81"/>
      <c r="AD299" s="81"/>
      <c r="AE299" s="81"/>
      <c r="AF299" s="81"/>
      <c r="AG299" s="81">
        <f>Sal_23[[#This Row],[COMPRA]]*12%</f>
        <v>370.37759999999997</v>
      </c>
      <c r="AH299" s="83">
        <v>3086.48</v>
      </c>
      <c r="AI299" s="66" t="str">
        <f>PROPER(TEXT(Sal_23[[#This Row],[PROGRAMAÇÃO]],"mmm"))</f>
        <v>Mar</v>
      </c>
      <c r="AJ299" s="66">
        <f>YEAR(Sal_23[[#This Row],[PROGRAMAÇÃO]])</f>
        <v>2023</v>
      </c>
      <c r="AK299" s="66"/>
      <c r="AL299" s="66"/>
      <c r="AM299" s="66" t="s">
        <v>2768</v>
      </c>
      <c r="AN299" s="66" t="s">
        <v>2768</v>
      </c>
      <c r="AO299" s="66" t="s">
        <v>2768</v>
      </c>
    </row>
    <row r="300" spans="1:41" x14ac:dyDescent="0.25">
      <c r="A300" s="120" t="str">
        <f>Sal_23[[#This Row],[CONTAINER]]</f>
        <v>CAIU3307380</v>
      </c>
      <c r="B300" s="128" t="s">
        <v>2771</v>
      </c>
      <c r="C30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00" s="79">
        <v>45001.375</v>
      </c>
      <c r="E300" s="44" t="s">
        <v>3793</v>
      </c>
      <c r="F300" s="66">
        <v>20</v>
      </c>
      <c r="G300" s="66" t="s">
        <v>2820</v>
      </c>
      <c r="H300" s="44" t="s">
        <v>2820</v>
      </c>
      <c r="I300" s="299" t="s">
        <v>2821</v>
      </c>
      <c r="J300" s="66">
        <v>2309</v>
      </c>
      <c r="K300" s="66" t="s">
        <v>3798</v>
      </c>
      <c r="L300" s="66">
        <v>104662</v>
      </c>
      <c r="M300" s="66"/>
      <c r="N300" s="66" t="s">
        <v>3572</v>
      </c>
      <c r="O300" s="66" t="s">
        <v>3573</v>
      </c>
      <c r="P300" s="66" t="s">
        <v>3574</v>
      </c>
      <c r="Q300" s="138" t="str">
        <f ca="1">IFERROR(LOOKUP($P300,MOTORISTAS!$D$3:$D$1048576,MOTORISTAS!E$3:E$916),"")</f>
        <v>57152314004</v>
      </c>
      <c r="R300" s="138" t="str">
        <f ca="1">IFERROR(LOOKUP($P300,MOTORISTAS!$D$3:$D$1048576,MOTORISTAS!F$3:F$916),"")</f>
        <v>01897138729</v>
      </c>
      <c r="S300" s="66">
        <v>15392</v>
      </c>
      <c r="T300" s="66" t="s">
        <v>293</v>
      </c>
      <c r="U300" s="79">
        <v>45001.056944444441</v>
      </c>
      <c r="V300" s="66" t="s">
        <v>469</v>
      </c>
      <c r="W300" s="79">
        <v>45001.755555555559</v>
      </c>
      <c r="X300" s="79">
        <v>45001.145833333336</v>
      </c>
      <c r="Y300" s="88">
        <v>45001.458333333336</v>
      </c>
      <c r="Z300" s="81">
        <v>1600</v>
      </c>
      <c r="AA300" s="81"/>
      <c r="AB300" s="81"/>
      <c r="AC300" s="81"/>
      <c r="AD300" s="81"/>
      <c r="AE300" s="81"/>
      <c r="AF300" s="81"/>
      <c r="AG300" s="81">
        <f>Sal_23[[#This Row],[COMPRA]]*12%</f>
        <v>276</v>
      </c>
      <c r="AH300" s="83">
        <v>2300</v>
      </c>
      <c r="AI300" s="66" t="str">
        <f>PROPER(TEXT(Sal_23[[#This Row],[PROGRAMAÇÃO]],"mmm"))</f>
        <v>Mar</v>
      </c>
      <c r="AJ300" s="66">
        <f>YEAR(Sal_23[[#This Row],[PROGRAMAÇÃO]])</f>
        <v>2023</v>
      </c>
      <c r="AK300" s="66"/>
      <c r="AL300" s="66"/>
      <c r="AM300" s="66" t="s">
        <v>2768</v>
      </c>
      <c r="AN300" s="66" t="s">
        <v>2768</v>
      </c>
      <c r="AO300" s="66" t="s">
        <v>2768</v>
      </c>
    </row>
    <row r="301" spans="1:41" x14ac:dyDescent="0.25">
      <c r="A301" s="120" t="str">
        <f>Sal_23[[#This Row],[CONTAINER]]</f>
        <v>TRHU2285600</v>
      </c>
      <c r="B301" s="128" t="s">
        <v>2771</v>
      </c>
      <c r="C30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01" s="79">
        <v>45001.375</v>
      </c>
      <c r="E301" s="44" t="s">
        <v>3795</v>
      </c>
      <c r="F301" s="66">
        <v>20</v>
      </c>
      <c r="G301" s="66" t="s">
        <v>2820</v>
      </c>
      <c r="H301" s="44" t="s">
        <v>2820</v>
      </c>
      <c r="I301" s="299" t="s">
        <v>2821</v>
      </c>
      <c r="J301" s="66">
        <v>2310</v>
      </c>
      <c r="K301" s="66" t="s">
        <v>3798</v>
      </c>
      <c r="L301" s="66">
        <v>104659</v>
      </c>
      <c r="M301" s="66"/>
      <c r="N301" s="66" t="s">
        <v>2859</v>
      </c>
      <c r="O301" s="66" t="s">
        <v>2860</v>
      </c>
      <c r="P301" s="66" t="s">
        <v>2861</v>
      </c>
      <c r="Q301" s="138" t="str">
        <f ca="1">IFERROR(LOOKUP($P301,MOTORISTAS!$D$3:$D$1048576,MOTORISTAS!E$3:E$916),"")</f>
        <v>01817591878</v>
      </c>
      <c r="R301" s="138" t="str">
        <f ca="1">IFERROR(LOOKUP($P301,MOTORISTAS!$D$3:$D$1048576,MOTORISTAS!F$3:F$916),"")</f>
        <v>00821760640</v>
      </c>
      <c r="S301" s="66">
        <v>15393</v>
      </c>
      <c r="T301" s="66" t="s">
        <v>293</v>
      </c>
      <c r="U301" s="79">
        <v>45000.952777777777</v>
      </c>
      <c r="V301" s="66" t="s">
        <v>526</v>
      </c>
      <c r="W301" s="79">
        <v>45001.60833333333</v>
      </c>
      <c r="X301" s="79">
        <v>45001.041666666664</v>
      </c>
      <c r="Y301" s="88">
        <v>45001.395833333336</v>
      </c>
      <c r="Z301" s="81">
        <v>1600</v>
      </c>
      <c r="AA301" s="81"/>
      <c r="AB301" s="81"/>
      <c r="AC301" s="81"/>
      <c r="AD301" s="81"/>
      <c r="AE301" s="81"/>
      <c r="AF301" s="81"/>
      <c r="AG301" s="81">
        <f>Sal_23[[#This Row],[COMPRA]]*12%</f>
        <v>276</v>
      </c>
      <c r="AH301" s="83">
        <v>2300</v>
      </c>
      <c r="AI301" s="66" t="str">
        <f>PROPER(TEXT(Sal_23[[#This Row],[PROGRAMAÇÃO]],"mmm"))</f>
        <v>Mar</v>
      </c>
      <c r="AJ301" s="66">
        <f>YEAR(Sal_23[[#This Row],[PROGRAMAÇÃO]])</f>
        <v>2023</v>
      </c>
      <c r="AK301" s="66"/>
      <c r="AL301" s="66"/>
      <c r="AM301" s="66" t="s">
        <v>2768</v>
      </c>
      <c r="AN301" s="66" t="s">
        <v>2768</v>
      </c>
      <c r="AO301" s="66" t="s">
        <v>2768</v>
      </c>
    </row>
    <row r="302" spans="1:41" x14ac:dyDescent="0.25">
      <c r="A302" s="120" t="str">
        <f>Sal_23[[#This Row],[CONTAINER]]</f>
        <v>SEGU1029970</v>
      </c>
      <c r="B302" s="128" t="s">
        <v>2771</v>
      </c>
      <c r="C30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02" s="79">
        <v>45001.458333333336</v>
      </c>
      <c r="E302" s="44" t="s">
        <v>3850</v>
      </c>
      <c r="F302" s="66">
        <v>20</v>
      </c>
      <c r="G302" s="66" t="s">
        <v>2820</v>
      </c>
      <c r="H302" s="44" t="s">
        <v>2820</v>
      </c>
      <c r="I302" s="299" t="s">
        <v>2821</v>
      </c>
      <c r="J302" s="66">
        <v>2312</v>
      </c>
      <c r="K302" s="66" t="s">
        <v>3798</v>
      </c>
      <c r="L302" s="66">
        <v>104693</v>
      </c>
      <c r="M302" s="66"/>
      <c r="N302" s="66" t="s">
        <v>2949</v>
      </c>
      <c r="O302" s="66" t="s">
        <v>2950</v>
      </c>
      <c r="P302" s="66" t="s">
        <v>2948</v>
      </c>
      <c r="Q302" s="138" t="str">
        <f ca="1">IFERROR(LOOKUP($P302,MOTORISTAS!$D$3:$D$1048576,MOTORISTAS!E$3:E$916),"")</f>
        <v>16239341843</v>
      </c>
      <c r="R302" s="138" t="str">
        <f ca="1">IFERROR(LOOKUP($P302,MOTORISTAS!$D$3:$D$1048576,MOTORISTAS!F$3:F$916),"")</f>
        <v>01877235038</v>
      </c>
      <c r="S302" s="66">
        <v>15394</v>
      </c>
      <c r="T302" s="66" t="s">
        <v>293</v>
      </c>
      <c r="U302" s="79">
        <v>45001.007638888892</v>
      </c>
      <c r="V302" s="66" t="s">
        <v>469</v>
      </c>
      <c r="W302" s="79">
        <v>45001.638888888891</v>
      </c>
      <c r="X302" s="79">
        <v>45001.076388888891</v>
      </c>
      <c r="Y302" s="88">
        <v>45001.416666666664</v>
      </c>
      <c r="Z302" s="81">
        <v>1600</v>
      </c>
      <c r="AA302" s="81"/>
      <c r="AB302" s="81"/>
      <c r="AC302" s="81"/>
      <c r="AD302" s="81"/>
      <c r="AE302" s="81"/>
      <c r="AF302" s="81"/>
      <c r="AG302" s="81">
        <f>Sal_23[[#This Row],[COMPRA]]*12%</f>
        <v>276</v>
      </c>
      <c r="AH302" s="83">
        <v>2300</v>
      </c>
      <c r="AI302" s="66" t="str">
        <f>PROPER(TEXT(Sal_23[[#This Row],[PROGRAMAÇÃO]],"mmm"))</f>
        <v>Mar</v>
      </c>
      <c r="AJ302" s="66">
        <f>YEAR(Sal_23[[#This Row],[PROGRAMAÇÃO]])</f>
        <v>2023</v>
      </c>
      <c r="AK302" s="66"/>
      <c r="AL302" s="66"/>
      <c r="AM302" s="66" t="s">
        <v>2768</v>
      </c>
      <c r="AN302" s="66" t="s">
        <v>2768</v>
      </c>
      <c r="AO302" s="66" t="s">
        <v>2768</v>
      </c>
    </row>
    <row r="303" spans="1:41" x14ac:dyDescent="0.25">
      <c r="A303" s="120" t="str">
        <f>Sal_23[[#This Row],[CONTAINER]]</f>
        <v>FCIU9176069</v>
      </c>
      <c r="B303" s="128" t="s">
        <v>2771</v>
      </c>
      <c r="C30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03" s="79">
        <v>45001.458333333336</v>
      </c>
      <c r="E303" s="44" t="s">
        <v>3797</v>
      </c>
      <c r="F303" s="66">
        <v>40</v>
      </c>
      <c r="G303" s="66" t="s">
        <v>2820</v>
      </c>
      <c r="H303" s="44" t="s">
        <v>2820</v>
      </c>
      <c r="I303" s="299" t="s">
        <v>2821</v>
      </c>
      <c r="J303" s="66" t="s">
        <v>3851</v>
      </c>
      <c r="K303" s="66" t="s">
        <v>3798</v>
      </c>
      <c r="L303" s="66">
        <v>104657</v>
      </c>
      <c r="M303" s="66">
        <v>104658</v>
      </c>
      <c r="N303" s="66" t="s">
        <v>3028</v>
      </c>
      <c r="O303" s="66" t="s">
        <v>3852</v>
      </c>
      <c r="P303" s="66" t="s">
        <v>3029</v>
      </c>
      <c r="Q303" s="138" t="str">
        <f ca="1">IFERROR(LOOKUP($P303,MOTORISTAS!$D$3:$D$1048576,MOTORISTAS!E$3:E$916),"")</f>
        <v>15284965825</v>
      </c>
      <c r="R303" s="138" t="str">
        <f ca="1">IFERROR(LOOKUP($P303,MOTORISTAS!$D$3:$D$1048576,MOTORISTAS!F$3:F$916),"")</f>
        <v>01681109819</v>
      </c>
      <c r="S303" s="66" t="s">
        <v>3934</v>
      </c>
      <c r="T303" s="66" t="s">
        <v>293</v>
      </c>
      <c r="U303" s="79">
        <v>45000.991666666669</v>
      </c>
      <c r="V303" s="66" t="s">
        <v>469</v>
      </c>
      <c r="W303" s="79">
        <v>45001.790277777778</v>
      </c>
      <c r="X303" s="79">
        <v>45001.083333333336</v>
      </c>
      <c r="Y303" s="88">
        <v>45001.4375</v>
      </c>
      <c r="Z303" s="81">
        <v>1600</v>
      </c>
      <c r="AA303" s="81"/>
      <c r="AB303" s="81"/>
      <c r="AC303" s="81"/>
      <c r="AD303" s="81"/>
      <c r="AE303" s="81"/>
      <c r="AF303" s="81"/>
      <c r="AG303" s="81">
        <f>Sal_23[[#This Row],[COMPRA]]*12%</f>
        <v>276</v>
      </c>
      <c r="AH303" s="83">
        <v>2300</v>
      </c>
      <c r="AI303" s="66" t="str">
        <f>PROPER(TEXT(Sal_23[[#This Row],[PROGRAMAÇÃO]],"mmm"))</f>
        <v>Mar</v>
      </c>
      <c r="AJ303" s="66">
        <f>YEAR(Sal_23[[#This Row],[PROGRAMAÇÃO]])</f>
        <v>2023</v>
      </c>
      <c r="AK303" s="66"/>
      <c r="AL303" s="66"/>
      <c r="AM303" s="66" t="s">
        <v>2768</v>
      </c>
      <c r="AN303" s="66" t="s">
        <v>2768</v>
      </c>
      <c r="AO303" s="66" t="s">
        <v>2768</v>
      </c>
    </row>
    <row r="304" spans="1:41" x14ac:dyDescent="0.25">
      <c r="A304" s="120" t="str">
        <f>Sal_23[[#This Row],[CONTAINER]]</f>
        <v>CAIU3288715</v>
      </c>
      <c r="B304" s="128" t="s">
        <v>2771</v>
      </c>
      <c r="C30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04" s="79">
        <v>45002.375</v>
      </c>
      <c r="E304" s="44" t="s">
        <v>3794</v>
      </c>
      <c r="F304" s="66">
        <v>20</v>
      </c>
      <c r="G304" s="66" t="s">
        <v>2820</v>
      </c>
      <c r="H304" s="44" t="s">
        <v>2820</v>
      </c>
      <c r="I304" s="299" t="s">
        <v>2821</v>
      </c>
      <c r="J304" s="66">
        <v>2311</v>
      </c>
      <c r="K304" s="66" t="s">
        <v>3798</v>
      </c>
      <c r="L304" s="66">
        <v>104692</v>
      </c>
      <c r="M304" s="66"/>
      <c r="N304" s="66" t="s">
        <v>2859</v>
      </c>
      <c r="O304" s="66" t="s">
        <v>2860</v>
      </c>
      <c r="P304" s="66" t="s">
        <v>2861</v>
      </c>
      <c r="Q304" s="138" t="str">
        <f ca="1">IFERROR(LOOKUP($P304,MOTORISTAS!$D$3:$D$1048576,MOTORISTAS!E$3:E$916),"")</f>
        <v>01817591878</v>
      </c>
      <c r="R304" s="138" t="str">
        <f ca="1">IFERROR(LOOKUP($P304,MOTORISTAS!$D$3:$D$1048576,MOTORISTAS!F$3:F$916),"")</f>
        <v>00821760640</v>
      </c>
      <c r="S304" s="66">
        <v>15412</v>
      </c>
      <c r="T304" s="66" t="s">
        <v>293</v>
      </c>
      <c r="U304" s="79">
        <v>45001.933333333334</v>
      </c>
      <c r="V304" s="66" t="s">
        <v>469</v>
      </c>
      <c r="W304" s="79">
        <v>45005.609027777777</v>
      </c>
      <c r="X304" s="79">
        <v>45005.239583333336</v>
      </c>
      <c r="Y304" s="88">
        <v>45005.416666666664</v>
      </c>
      <c r="Z304" s="81">
        <v>1600</v>
      </c>
      <c r="AA304" s="81"/>
      <c r="AB304" s="81"/>
      <c r="AC304" s="81"/>
      <c r="AD304" s="81"/>
      <c r="AE304" s="81"/>
      <c r="AF304" s="81"/>
      <c r="AG304" s="81">
        <f>Sal_23[[#This Row],[COMPRA]]*12%</f>
        <v>276</v>
      </c>
      <c r="AH304" s="83">
        <v>2300</v>
      </c>
      <c r="AI304" s="66" t="str">
        <f>PROPER(TEXT(Sal_23[[#This Row],[PROGRAMAÇÃO]],"mmm"))</f>
        <v>Mar</v>
      </c>
      <c r="AJ304" s="66">
        <f>YEAR(Sal_23[[#This Row],[PROGRAMAÇÃO]])</f>
        <v>2023</v>
      </c>
      <c r="AK304" s="66" t="s">
        <v>2797</v>
      </c>
      <c r="AL304" s="44" t="s">
        <v>3643</v>
      </c>
      <c r="AM304" s="66" t="s">
        <v>2768</v>
      </c>
      <c r="AN304" s="66" t="s">
        <v>2768</v>
      </c>
      <c r="AO304" s="66" t="s">
        <v>2768</v>
      </c>
    </row>
    <row r="305" spans="1:41" x14ac:dyDescent="0.25">
      <c r="A305" s="120" t="str">
        <f>Sal_23[[#This Row],[CONTAINER]]</f>
        <v>MEDU5036190</v>
      </c>
      <c r="B305" s="128" t="s">
        <v>2771</v>
      </c>
      <c r="C30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05" s="79">
        <v>45002.375</v>
      </c>
      <c r="E305" s="44" t="s">
        <v>3911</v>
      </c>
      <c r="F305" s="66">
        <v>20</v>
      </c>
      <c r="G305" s="66" t="s">
        <v>2820</v>
      </c>
      <c r="H305" s="44" t="s">
        <v>2820</v>
      </c>
      <c r="I305" s="299" t="s">
        <v>2821</v>
      </c>
      <c r="J305" s="66">
        <v>2341</v>
      </c>
      <c r="K305" s="66" t="s">
        <v>3798</v>
      </c>
      <c r="L305" s="66">
        <v>69332</v>
      </c>
      <c r="M305" s="66"/>
      <c r="N305" s="66" t="s">
        <v>3028</v>
      </c>
      <c r="O305" s="66" t="s">
        <v>3852</v>
      </c>
      <c r="P305" s="66" t="s">
        <v>3443</v>
      </c>
      <c r="Q305" s="138" t="str">
        <f ca="1">IFERROR(LOOKUP($P305,MOTORISTAS!$D$3:$D$1048576,MOTORISTAS!E$3:E$916),"")</f>
        <v>13990937898</v>
      </c>
      <c r="R305" s="138" t="str">
        <f ca="1">IFERROR(LOOKUP($P305,MOTORISTAS!$D$3:$D$1048576,MOTORISTAS!F$3:F$916),"")</f>
        <v>01825123407</v>
      </c>
      <c r="S305" s="66">
        <v>15414</v>
      </c>
      <c r="T305" s="66" t="s">
        <v>293</v>
      </c>
      <c r="U305" s="79">
        <v>45001.948611111111</v>
      </c>
      <c r="V305" s="66" t="s">
        <v>469</v>
      </c>
      <c r="W305" s="79">
        <v>45002.62222222222</v>
      </c>
      <c r="X305" s="79">
        <v>45002.145833333336</v>
      </c>
      <c r="Y305" s="88">
        <v>45002.5</v>
      </c>
      <c r="Z305" s="81">
        <v>1600</v>
      </c>
      <c r="AA305" s="81"/>
      <c r="AB305" s="81"/>
      <c r="AC305" s="81"/>
      <c r="AD305" s="81"/>
      <c r="AE305" s="81"/>
      <c r="AF305" s="81"/>
      <c r="AG305" s="81">
        <f>Sal_23[[#This Row],[COMPRA]]*12%</f>
        <v>276</v>
      </c>
      <c r="AH305" s="83">
        <v>2300</v>
      </c>
      <c r="AI305" s="66" t="str">
        <f>PROPER(TEXT(Sal_23[[#This Row],[PROGRAMAÇÃO]],"mmm"))</f>
        <v>Mar</v>
      </c>
      <c r="AJ305" s="66">
        <f>YEAR(Sal_23[[#This Row],[PROGRAMAÇÃO]])</f>
        <v>2023</v>
      </c>
      <c r="AK305" s="66"/>
      <c r="AL305" s="66"/>
      <c r="AM305" s="66" t="s">
        <v>2768</v>
      </c>
      <c r="AN305" s="66" t="s">
        <v>2768</v>
      </c>
      <c r="AO305" s="66" t="s">
        <v>2768</v>
      </c>
    </row>
    <row r="306" spans="1:41" x14ac:dyDescent="0.25">
      <c r="A306" s="120" t="str">
        <f>Sal_23[[#This Row],[CONTAINER]]</f>
        <v>MSDU1419985</v>
      </c>
      <c r="B306" s="128" t="s">
        <v>2771</v>
      </c>
      <c r="C30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06" s="79">
        <v>45002.375</v>
      </c>
      <c r="E306" s="44" t="s">
        <v>3796</v>
      </c>
      <c r="F306" s="66">
        <v>20</v>
      </c>
      <c r="G306" s="66" t="s">
        <v>2820</v>
      </c>
      <c r="H306" s="44" t="s">
        <v>2820</v>
      </c>
      <c r="I306" s="299" t="s">
        <v>2821</v>
      </c>
      <c r="J306" s="66">
        <v>2340</v>
      </c>
      <c r="K306" s="66" t="s">
        <v>3798</v>
      </c>
      <c r="L306" s="66">
        <v>69333</v>
      </c>
      <c r="M306" s="66"/>
      <c r="N306" s="66" t="s">
        <v>2949</v>
      </c>
      <c r="O306" s="66" t="s">
        <v>2950</v>
      </c>
      <c r="P306" s="66" t="s">
        <v>2948</v>
      </c>
      <c r="Q306" s="138" t="str">
        <f ca="1">IFERROR(LOOKUP($P306,MOTORISTAS!$D$3:$D$1048576,MOTORISTAS!E$3:E$916),"")</f>
        <v>16239341843</v>
      </c>
      <c r="R306" s="138" t="str">
        <f ca="1">IFERROR(LOOKUP($P306,MOTORISTAS!$D$3:$D$1048576,MOTORISTAS!F$3:F$916),"")</f>
        <v>01877235038</v>
      </c>
      <c r="S306" s="66">
        <v>15413</v>
      </c>
      <c r="T306" s="66" t="s">
        <v>293</v>
      </c>
      <c r="U306" s="79">
        <v>45002.011111111111</v>
      </c>
      <c r="V306" s="66" t="s">
        <v>469</v>
      </c>
      <c r="W306" s="79">
        <v>45002.776388888888</v>
      </c>
      <c r="X306" s="79">
        <v>45002.145833333336</v>
      </c>
      <c r="Y306" s="88">
        <v>45002.479166666664</v>
      </c>
      <c r="Z306" s="81">
        <v>1600</v>
      </c>
      <c r="AA306" s="81"/>
      <c r="AB306" s="81"/>
      <c r="AC306" s="81"/>
      <c r="AD306" s="81"/>
      <c r="AE306" s="81"/>
      <c r="AF306" s="81"/>
      <c r="AG306" s="81">
        <f>Sal_23[[#This Row],[COMPRA]]*12%</f>
        <v>276</v>
      </c>
      <c r="AH306" s="83">
        <v>2300</v>
      </c>
      <c r="AI306" s="66" t="str">
        <f>PROPER(TEXT(Sal_23[[#This Row],[PROGRAMAÇÃO]],"mmm"))</f>
        <v>Mar</v>
      </c>
      <c r="AJ306" s="66">
        <f>YEAR(Sal_23[[#This Row],[PROGRAMAÇÃO]])</f>
        <v>2023</v>
      </c>
      <c r="AK306" s="66"/>
      <c r="AL306" s="66"/>
      <c r="AM306" s="66" t="s">
        <v>2768</v>
      </c>
      <c r="AN306" s="66" t="s">
        <v>2768</v>
      </c>
      <c r="AO306" s="66" t="s">
        <v>2768</v>
      </c>
    </row>
    <row r="307" spans="1:41" x14ac:dyDescent="0.25">
      <c r="A307" s="120" t="str">
        <f>Sal_23[[#This Row],[CONTAINER]]</f>
        <v>CAIU3415316</v>
      </c>
      <c r="B307" s="128" t="s">
        <v>2771</v>
      </c>
      <c r="C30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07" s="198">
        <v>45002.333333333336</v>
      </c>
      <c r="E307" s="44" t="s">
        <v>3804</v>
      </c>
      <c r="F307" s="66">
        <v>20</v>
      </c>
      <c r="G307" s="66" t="s">
        <v>2826</v>
      </c>
      <c r="H307" s="44" t="s">
        <v>3440</v>
      </c>
      <c r="I307" s="299" t="s">
        <v>3253</v>
      </c>
      <c r="J307" s="66">
        <v>2328</v>
      </c>
      <c r="K307" s="66" t="s">
        <v>3798</v>
      </c>
      <c r="L307" s="66">
        <v>114205</v>
      </c>
      <c r="M307" s="66"/>
      <c r="N307" s="66" t="s">
        <v>3040</v>
      </c>
      <c r="O307" s="66" t="s">
        <v>3041</v>
      </c>
      <c r="P307" s="66" t="s">
        <v>3042</v>
      </c>
      <c r="Q307" s="138" t="str">
        <f ca="1">IFERROR(LOOKUP($P307,MOTORISTAS!$D$3:$D$1048576,MOTORISTAS!E$3:E$916),"")</f>
        <v>19279658883</v>
      </c>
      <c r="R307" s="138" t="str">
        <f ca="1">IFERROR(LOOKUP($P307,MOTORISTAS!$D$3:$D$1048576,MOTORISTAS!F$3:F$916),"")</f>
        <v>01301319672</v>
      </c>
      <c r="S307" s="66">
        <v>3486</v>
      </c>
      <c r="T307" s="66" t="s">
        <v>293</v>
      </c>
      <c r="U307" s="79">
        <v>45002.084027777775</v>
      </c>
      <c r="V307" s="66" t="s">
        <v>469</v>
      </c>
      <c r="W307" s="79">
        <v>45002.780555555553</v>
      </c>
      <c r="X307" s="79">
        <v>45002.229166666664</v>
      </c>
      <c r="Y307" s="88">
        <v>45002.395833333336</v>
      </c>
      <c r="Z307" s="81">
        <v>2300</v>
      </c>
      <c r="AA307" s="81"/>
      <c r="AB307" s="81"/>
      <c r="AC307" s="81"/>
      <c r="AD307" s="81"/>
      <c r="AE307" s="81"/>
      <c r="AF307" s="81"/>
      <c r="AG307" s="81">
        <f>Sal_23[[#This Row],[COMPRA]]*12%</f>
        <v>399.62399999999997</v>
      </c>
      <c r="AH307" s="83">
        <v>3330.2</v>
      </c>
      <c r="AI307" s="66" t="str">
        <f>PROPER(TEXT(Sal_23[[#This Row],[PROGRAMAÇÃO]],"mmm"))</f>
        <v>Mar</v>
      </c>
      <c r="AJ307" s="66">
        <f>YEAR(Sal_23[[#This Row],[PROGRAMAÇÃO]])</f>
        <v>2023</v>
      </c>
      <c r="AK307" s="66"/>
      <c r="AL307" s="66"/>
      <c r="AM307" s="66" t="s">
        <v>2768</v>
      </c>
      <c r="AN307" s="66" t="s">
        <v>2768</v>
      </c>
      <c r="AO307" s="66" t="s">
        <v>2768</v>
      </c>
    </row>
    <row r="308" spans="1:41" x14ac:dyDescent="0.25">
      <c r="A308" s="120" t="str">
        <f>Sal_23[[#This Row],[CONTAINER]]</f>
        <v>CAAU6386862</v>
      </c>
      <c r="B308" s="128" t="s">
        <v>2771</v>
      </c>
      <c r="C30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08" s="198">
        <v>45002.333333333336</v>
      </c>
      <c r="E308" s="44" t="s">
        <v>3819</v>
      </c>
      <c r="F308" s="66">
        <v>40</v>
      </c>
      <c r="G308" s="66" t="s">
        <v>2826</v>
      </c>
      <c r="H308" s="44" t="s">
        <v>2835</v>
      </c>
      <c r="I308" s="299" t="s">
        <v>2822</v>
      </c>
      <c r="J308" s="66">
        <v>2483</v>
      </c>
      <c r="K308" s="66" t="s">
        <v>3798</v>
      </c>
      <c r="L308" s="66">
        <v>104694</v>
      </c>
      <c r="M308" s="66"/>
      <c r="N308" s="66" t="s">
        <v>210</v>
      </c>
      <c r="O308" s="66" t="s">
        <v>211</v>
      </c>
      <c r="P308" s="66" t="s">
        <v>212</v>
      </c>
      <c r="Q308" s="138" t="str">
        <f ca="1">IFERROR(LOOKUP($P308,MOTORISTAS!$D$3:$D$1048576,MOTORISTAS!E$3:E$916),"")</f>
        <v>38029906846</v>
      </c>
      <c r="R308" s="138" t="str">
        <f ca="1">IFERROR(LOOKUP($P308,MOTORISTAS!$D$3:$D$1048576,MOTORISTAS!F$3:F$916),"")</f>
        <v>04946846842</v>
      </c>
      <c r="S308" s="66">
        <v>3488</v>
      </c>
      <c r="T308" s="66" t="s">
        <v>293</v>
      </c>
      <c r="U308" s="79">
        <v>45002.245138888888</v>
      </c>
      <c r="V308" s="66" t="s">
        <v>469</v>
      </c>
      <c r="W308" s="79">
        <v>45002.675694444442</v>
      </c>
      <c r="X308" s="79">
        <v>45002.381944444445</v>
      </c>
      <c r="Y308" s="88">
        <v>45002.583333333336</v>
      </c>
      <c r="Z308" s="81">
        <v>2100</v>
      </c>
      <c r="AA308" s="81"/>
      <c r="AB308" s="81"/>
      <c r="AC308" s="81"/>
      <c r="AD308" s="81"/>
      <c r="AE308" s="81"/>
      <c r="AF308" s="81"/>
      <c r="AG308" s="81">
        <f>Sal_23[[#This Row],[COMPRA]]*12%</f>
        <v>370.37759999999997</v>
      </c>
      <c r="AH308" s="83">
        <v>3086.48</v>
      </c>
      <c r="AI308" s="66" t="str">
        <f>PROPER(TEXT(Sal_23[[#This Row],[PROGRAMAÇÃO]],"mmm"))</f>
        <v>Mar</v>
      </c>
      <c r="AJ308" s="66">
        <f>YEAR(Sal_23[[#This Row],[PROGRAMAÇÃO]])</f>
        <v>2023</v>
      </c>
      <c r="AK308" s="66" t="s">
        <v>3864</v>
      </c>
      <c r="AL308" s="44" t="s">
        <v>3346</v>
      </c>
      <c r="AM308" s="66" t="s">
        <v>2768</v>
      </c>
      <c r="AN308" s="66" t="s">
        <v>2768</v>
      </c>
      <c r="AO308" s="66" t="s">
        <v>2768</v>
      </c>
    </row>
    <row r="309" spans="1:41" x14ac:dyDescent="0.25">
      <c r="A309" s="120" t="str">
        <f>Sal_23[[#This Row],[CONTAINER]]</f>
        <v>GESU6823356</v>
      </c>
      <c r="B309" s="128" t="s">
        <v>2771</v>
      </c>
      <c r="C30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09" s="198">
        <v>45002.333333333336</v>
      </c>
      <c r="E309" s="44" t="s">
        <v>3812</v>
      </c>
      <c r="F309" s="66">
        <v>40</v>
      </c>
      <c r="G309" s="66" t="s">
        <v>2826</v>
      </c>
      <c r="H309" s="44" t="s">
        <v>3195</v>
      </c>
      <c r="I309" s="299" t="s">
        <v>2830</v>
      </c>
      <c r="J309" s="66">
        <v>2315</v>
      </c>
      <c r="K309" s="66" t="s">
        <v>3798</v>
      </c>
      <c r="L309" s="66">
        <v>104577</v>
      </c>
      <c r="M309" s="66"/>
      <c r="N309" s="66" t="s">
        <v>2389</v>
      </c>
      <c r="O309" s="66" t="s">
        <v>2390</v>
      </c>
      <c r="P309" s="66" t="s">
        <v>892</v>
      </c>
      <c r="Q309" s="138" t="str">
        <f ca="1">IFERROR(LOOKUP($P309,MOTORISTAS!$D$3:$D$1048576,MOTORISTAS!E$3:E$916),"")</f>
        <v>55283063968</v>
      </c>
      <c r="R309" s="138" t="str">
        <f ca="1">IFERROR(LOOKUP($P309,MOTORISTAS!$D$3:$D$1048576,MOTORISTAS!F$3:F$916),"")</f>
        <v>02537032407</v>
      </c>
      <c r="S309" s="66">
        <v>3487</v>
      </c>
      <c r="T309" s="66" t="s">
        <v>293</v>
      </c>
      <c r="U309" s="79">
        <v>45002.179861111108</v>
      </c>
      <c r="V309" s="66" t="s">
        <v>469</v>
      </c>
      <c r="W309" s="79">
        <v>45002.615972222222</v>
      </c>
      <c r="X309" s="79">
        <v>45002.291666666664</v>
      </c>
      <c r="Y309" s="88">
        <v>45002.541666666664</v>
      </c>
      <c r="Z309" s="81">
        <v>2300</v>
      </c>
      <c r="AA309" s="81">
        <v>0</v>
      </c>
      <c r="AB309" s="81">
        <f>SUM(Sal_23[[#This Row],[Saldo]]+Sal_23[[#This Row],[Adiantamento]])</f>
        <v>2300</v>
      </c>
      <c r="AC309" s="81">
        <v>0</v>
      </c>
      <c r="AD309" s="81"/>
      <c r="AE309" s="81"/>
      <c r="AF309" s="81"/>
      <c r="AG309" s="81">
        <f>Sal_23[[#This Row],[COMPRA]]*12%</f>
        <v>392.15039999999999</v>
      </c>
      <c r="AH309" s="83">
        <v>3267.92</v>
      </c>
      <c r="AI309" s="66" t="str">
        <f>PROPER(TEXT(Sal_23[[#This Row],[PROGRAMAÇÃO]],"mmm"))</f>
        <v>Mar</v>
      </c>
      <c r="AJ309" s="66">
        <f>YEAR(Sal_23[[#This Row],[PROGRAMAÇÃO]])</f>
        <v>2023</v>
      </c>
      <c r="AK309" s="66"/>
      <c r="AL309" s="66"/>
      <c r="AM309" s="66" t="s">
        <v>2768</v>
      </c>
      <c r="AN309" s="66" t="s">
        <v>2768</v>
      </c>
      <c r="AO309" s="66" t="s">
        <v>2768</v>
      </c>
    </row>
    <row r="310" spans="1:41" x14ac:dyDescent="0.25">
      <c r="A310" s="120" t="str">
        <f>Sal_23[[#This Row],[CONTAINER]]</f>
        <v>SEGU4117416</v>
      </c>
      <c r="B310" s="128" t="s">
        <v>2771</v>
      </c>
      <c r="C31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10" s="198">
        <v>45005.333333333336</v>
      </c>
      <c r="E310" s="44" t="s">
        <v>3810</v>
      </c>
      <c r="F310" s="66">
        <v>40</v>
      </c>
      <c r="G310" s="66" t="s">
        <v>2826</v>
      </c>
      <c r="H310" s="44" t="s">
        <v>2836</v>
      </c>
      <c r="I310" s="299" t="s">
        <v>708</v>
      </c>
      <c r="J310" s="66">
        <v>2318</v>
      </c>
      <c r="K310" s="66" t="s">
        <v>3798</v>
      </c>
      <c r="L310" s="66">
        <v>104615</v>
      </c>
      <c r="M310" s="66"/>
      <c r="N310" s="66" t="s">
        <v>68</v>
      </c>
      <c r="O310" s="66" t="s">
        <v>36</v>
      </c>
      <c r="P310" s="66" t="s">
        <v>69</v>
      </c>
      <c r="Q310" s="138" t="str">
        <f ca="1">IFERROR(LOOKUP($P310,MOTORISTAS!$D$3:$D$1048576,MOTORISTAS!E$3:E$916),"")</f>
        <v>07968457866</v>
      </c>
      <c r="R310" s="138" t="str">
        <f ca="1">IFERROR(LOOKUP($P310,MOTORISTAS!$D$3:$D$1048576,MOTORISTAS!F$3:F$916),"")</f>
        <v>03264365790</v>
      </c>
      <c r="S310" s="66">
        <v>3489</v>
      </c>
      <c r="T310" s="66" t="s">
        <v>293</v>
      </c>
      <c r="U310" s="79">
        <v>45005.257638888892</v>
      </c>
      <c r="V310" s="66" t="s">
        <v>469</v>
      </c>
      <c r="W310" s="79">
        <v>45005.974999999999</v>
      </c>
      <c r="X310" s="79">
        <v>45005.326388888891</v>
      </c>
      <c r="Y310" s="88">
        <v>45005.458333333336</v>
      </c>
      <c r="Z310" s="81"/>
      <c r="AA310" s="81"/>
      <c r="AB310" s="81"/>
      <c r="AC310" s="81"/>
      <c r="AD310" s="81"/>
      <c r="AE310" s="81"/>
      <c r="AF310" s="81"/>
      <c r="AG310" s="81">
        <f>Sal_23[[#This Row],[COMPRA]]*12%</f>
        <v>234</v>
      </c>
      <c r="AH310" s="83">
        <v>1950</v>
      </c>
      <c r="AI310" s="66" t="str">
        <f>PROPER(TEXT(Sal_23[[#This Row],[PROGRAMAÇÃO]],"mmm"))</f>
        <v>Mar</v>
      </c>
      <c r="AJ310" s="66">
        <f>YEAR(Sal_23[[#This Row],[PROGRAMAÇÃO]])</f>
        <v>2023</v>
      </c>
      <c r="AK310" s="66"/>
      <c r="AL310" s="66"/>
      <c r="AM310" s="66" t="s">
        <v>2768</v>
      </c>
      <c r="AN310" s="66" t="s">
        <v>2768</v>
      </c>
      <c r="AO310" s="66" t="s">
        <v>2768</v>
      </c>
    </row>
    <row r="311" spans="1:41" x14ac:dyDescent="0.25">
      <c r="A311" s="120" t="str">
        <f>Sal_23[[#This Row],[CONTAINER]]</f>
        <v>TCLU8158480</v>
      </c>
      <c r="B311" s="128" t="s">
        <v>2771</v>
      </c>
      <c r="C31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11" s="198">
        <v>45005.333333333336</v>
      </c>
      <c r="E311" s="44" t="s">
        <v>3813</v>
      </c>
      <c r="F311" s="66">
        <v>40</v>
      </c>
      <c r="G311" s="66" t="s">
        <v>2826</v>
      </c>
      <c r="H311" s="44" t="s">
        <v>3195</v>
      </c>
      <c r="I311" s="299" t="s">
        <v>2830</v>
      </c>
      <c r="J311" s="66">
        <v>2317</v>
      </c>
      <c r="K311" s="66" t="s">
        <v>3798</v>
      </c>
      <c r="L311" s="66">
        <v>104616</v>
      </c>
      <c r="M311" s="66"/>
      <c r="N311" s="66" t="s">
        <v>111</v>
      </c>
      <c r="O311" s="66" t="s">
        <v>891</v>
      </c>
      <c r="P311" s="66" t="s">
        <v>113</v>
      </c>
      <c r="Q311" s="138" t="str">
        <f ca="1">IFERROR(LOOKUP($P311,MOTORISTAS!$D$3:$D$1048576,MOTORISTAS!E$3:E$916),"")</f>
        <v>88265951434</v>
      </c>
      <c r="R311" s="138" t="str">
        <f ca="1">IFERROR(LOOKUP($P311,MOTORISTAS!$D$3:$D$1048576,MOTORISTAS!F$3:F$916),"")</f>
        <v>00920373596</v>
      </c>
      <c r="S311" s="66">
        <v>3491</v>
      </c>
      <c r="T311" s="66" t="s">
        <v>293</v>
      </c>
      <c r="U311" s="79">
        <v>45005.306944444441</v>
      </c>
      <c r="V311" s="66" t="s">
        <v>469</v>
      </c>
      <c r="W311" s="79">
        <v>45005.823611111111</v>
      </c>
      <c r="X311" s="79">
        <v>45005.381944444445</v>
      </c>
      <c r="Y311" s="88">
        <v>45005.458333333336</v>
      </c>
      <c r="Z311" s="81">
        <v>2300</v>
      </c>
      <c r="AA311" s="81">
        <v>0</v>
      </c>
      <c r="AB311" s="81">
        <f>SUM(Sal_23[[#This Row],[Saldo]]+Sal_23[[#This Row],[Adiantamento]])</f>
        <v>2300</v>
      </c>
      <c r="AC311" s="81">
        <v>0</v>
      </c>
      <c r="AD311" s="81"/>
      <c r="AE311" s="81"/>
      <c r="AF311" s="81"/>
      <c r="AG311" s="81">
        <f>Sal_23[[#This Row],[COMPRA]]*12%</f>
        <v>392.15039999999999</v>
      </c>
      <c r="AH311" s="83">
        <v>3267.92</v>
      </c>
      <c r="AI311" s="66" t="str">
        <f>PROPER(TEXT(Sal_23[[#This Row],[PROGRAMAÇÃO]],"mmm"))</f>
        <v>Mar</v>
      </c>
      <c r="AJ311" s="66">
        <f>YEAR(Sal_23[[#This Row],[PROGRAMAÇÃO]])</f>
        <v>2023</v>
      </c>
      <c r="AK311" s="66"/>
      <c r="AL311" s="44" t="s">
        <v>2785</v>
      </c>
      <c r="AM311" s="66" t="s">
        <v>2768</v>
      </c>
      <c r="AN311" s="66" t="s">
        <v>2768</v>
      </c>
      <c r="AO311" s="66" t="s">
        <v>2768</v>
      </c>
    </row>
    <row r="312" spans="1:41" x14ac:dyDescent="0.25">
      <c r="A312" s="120" t="str">
        <f>Sal_23[[#This Row],[CONTAINER]]</f>
        <v>TCNU6242218</v>
      </c>
      <c r="B312" s="128" t="s">
        <v>2771</v>
      </c>
      <c r="C31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12" s="198">
        <v>45005.333333333336</v>
      </c>
      <c r="E312" s="44" t="s">
        <v>3815</v>
      </c>
      <c r="F312" s="66">
        <v>40</v>
      </c>
      <c r="G312" s="66" t="s">
        <v>2826</v>
      </c>
      <c r="H312" s="44" t="s">
        <v>2833</v>
      </c>
      <c r="I312" s="299" t="s">
        <v>2832</v>
      </c>
      <c r="J312" s="66">
        <v>2316</v>
      </c>
      <c r="K312" s="66" t="s">
        <v>3798</v>
      </c>
      <c r="L312" s="66">
        <v>104543</v>
      </c>
      <c r="M312" s="66"/>
      <c r="N312" s="66" t="s">
        <v>2389</v>
      </c>
      <c r="O312" s="66" t="s">
        <v>2390</v>
      </c>
      <c r="P312" s="66" t="s">
        <v>892</v>
      </c>
      <c r="Q312" s="138" t="str">
        <f ca="1">IFERROR(LOOKUP($P312,MOTORISTAS!$D$3:$D$1048576,MOTORISTAS!E$3:E$916),"")</f>
        <v>55283063968</v>
      </c>
      <c r="R312" s="138" t="str">
        <f ca="1">IFERROR(LOOKUP($P312,MOTORISTAS!$D$3:$D$1048576,MOTORISTAS!F$3:F$916),"")</f>
        <v>02537032407</v>
      </c>
      <c r="S312" s="66">
        <v>3490</v>
      </c>
      <c r="T312" s="66" t="s">
        <v>293</v>
      </c>
      <c r="U312" s="79">
        <v>45004.254861111112</v>
      </c>
      <c r="V312" s="66" t="s">
        <v>526</v>
      </c>
      <c r="W312" s="79">
        <v>45005.751388888886</v>
      </c>
      <c r="X312" s="79">
        <v>45005.340277777781</v>
      </c>
      <c r="Y312" s="88">
        <v>45005.520833333336</v>
      </c>
      <c r="Z312" s="81">
        <v>3700</v>
      </c>
      <c r="AA312" s="81"/>
      <c r="AB312" s="81"/>
      <c r="AC312" s="81"/>
      <c r="AD312" s="81"/>
      <c r="AE312" s="81"/>
      <c r="AF312" s="81"/>
      <c r="AG312" s="81">
        <f>Sal_23[[#This Row],[COMPRA]]*12%</f>
        <v>641.71680000000003</v>
      </c>
      <c r="AH312" s="83">
        <v>5347.64</v>
      </c>
      <c r="AI312" s="66" t="str">
        <f>PROPER(TEXT(Sal_23[[#This Row],[PROGRAMAÇÃO]],"mmm"))</f>
        <v>Mar</v>
      </c>
      <c r="AJ312" s="66">
        <f>YEAR(Sal_23[[#This Row],[PROGRAMAÇÃO]])</f>
        <v>2023</v>
      </c>
      <c r="AK312" s="66"/>
      <c r="AL312" s="44" t="s">
        <v>3346</v>
      </c>
      <c r="AM312" s="66" t="s">
        <v>2768</v>
      </c>
      <c r="AN312" s="66" t="s">
        <v>2768</v>
      </c>
      <c r="AO312" s="66" t="s">
        <v>2768</v>
      </c>
    </row>
    <row r="313" spans="1:41" x14ac:dyDescent="0.25">
      <c r="A313" s="120" t="str">
        <f>Sal_23[[#This Row],[CONTAINER]]</f>
        <v>TCNU6243657</v>
      </c>
      <c r="B313" s="128" t="s">
        <v>2771</v>
      </c>
      <c r="C31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13" s="198">
        <v>45006.333333333336</v>
      </c>
      <c r="E313" s="44" t="s">
        <v>3809</v>
      </c>
      <c r="F313" s="66">
        <v>40</v>
      </c>
      <c r="G313" s="66" t="s">
        <v>2826</v>
      </c>
      <c r="H313" s="44" t="s">
        <v>2834</v>
      </c>
      <c r="I313" s="299" t="s">
        <v>2831</v>
      </c>
      <c r="J313" s="66">
        <v>2322</v>
      </c>
      <c r="K313" s="66" t="s">
        <v>3798</v>
      </c>
      <c r="L313" s="66">
        <v>104546</v>
      </c>
      <c r="M313" s="66"/>
      <c r="N313" s="66" t="s">
        <v>1961</v>
      </c>
      <c r="O313" s="66" t="s">
        <v>1962</v>
      </c>
      <c r="P313" s="66" t="s">
        <v>1482</v>
      </c>
      <c r="Q313" s="138" t="str">
        <f ca="1">IFERROR(LOOKUP($P313,MOTORISTAS!$D$3:$D$1048576,MOTORISTAS!E$3:E$916),"")</f>
        <v>38329597857</v>
      </c>
      <c r="R313" s="138" t="str">
        <f ca="1">IFERROR(LOOKUP($P313,MOTORISTAS!$D$3:$D$1048576,MOTORISTAS!F$3:F$916),"")</f>
        <v>04956762510</v>
      </c>
      <c r="S313" s="66">
        <v>3492</v>
      </c>
      <c r="T313" s="66" t="s">
        <v>293</v>
      </c>
      <c r="U313" s="79">
        <v>45005.913194444445</v>
      </c>
      <c r="V313" s="66" t="s">
        <v>526</v>
      </c>
      <c r="W313" s="79">
        <v>45006.709722222222</v>
      </c>
      <c r="X313" s="79">
        <v>45006.340277777781</v>
      </c>
      <c r="Y313" s="88">
        <v>45006.5</v>
      </c>
      <c r="Z313" s="81">
        <v>2800</v>
      </c>
      <c r="AA313" s="81"/>
      <c r="AB313" s="81"/>
      <c r="AC313" s="81"/>
      <c r="AD313" s="81">
        <v>3245.68</v>
      </c>
      <c r="AE313" s="81"/>
      <c r="AF313" s="81">
        <v>596.4</v>
      </c>
      <c r="AG313" s="81">
        <f>Sal_23[[#This Row],[COMPRA]]*12%</f>
        <v>523.91999999999996</v>
      </c>
      <c r="AH313" s="83">
        <v>4366</v>
      </c>
      <c r="AI313" s="66" t="str">
        <f>PROPER(TEXT(Sal_23[[#This Row],[PROGRAMAÇÃO]],"mmm"))</f>
        <v>Mar</v>
      </c>
      <c r="AJ313" s="66">
        <f>YEAR(Sal_23[[#This Row],[PROGRAMAÇÃO]])</f>
        <v>2023</v>
      </c>
      <c r="AK313" s="66"/>
      <c r="AL313" s="44" t="s">
        <v>2785</v>
      </c>
      <c r="AM313" s="66" t="s">
        <v>2768</v>
      </c>
      <c r="AN313" s="66" t="s">
        <v>2768</v>
      </c>
      <c r="AO313" s="66" t="s">
        <v>2768</v>
      </c>
    </row>
    <row r="314" spans="1:41" x14ac:dyDescent="0.25">
      <c r="A314" s="120" t="str">
        <f>Sal_23[[#This Row],[CONTAINER]]</f>
        <v>TCLU8187180</v>
      </c>
      <c r="B314" s="128" t="s">
        <v>2771</v>
      </c>
      <c r="C31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14" s="198">
        <v>45006.333333333336</v>
      </c>
      <c r="E314" s="44" t="s">
        <v>3816</v>
      </c>
      <c r="F314" s="66">
        <v>40</v>
      </c>
      <c r="G314" s="66" t="s">
        <v>2826</v>
      </c>
      <c r="H314" s="44" t="s">
        <v>3343</v>
      </c>
      <c r="I314" s="299" t="s">
        <v>2832</v>
      </c>
      <c r="J314" s="66">
        <v>2321</v>
      </c>
      <c r="K314" s="66" t="s">
        <v>3798</v>
      </c>
      <c r="L314" s="66">
        <v>104656</v>
      </c>
      <c r="M314" s="66"/>
      <c r="N314" s="66" t="s">
        <v>111</v>
      </c>
      <c r="O314" s="66" t="s">
        <v>891</v>
      </c>
      <c r="P314" s="66" t="s">
        <v>113</v>
      </c>
      <c r="Q314" s="138" t="str">
        <f ca="1">IFERROR(LOOKUP($P314,MOTORISTAS!$D$3:$D$1048576,MOTORISTAS!E$3:E$916),"")</f>
        <v>88265951434</v>
      </c>
      <c r="R314" s="138" t="str">
        <f ca="1">IFERROR(LOOKUP($P314,MOTORISTAS!$D$3:$D$1048576,MOTORISTAS!F$3:F$916),"")</f>
        <v>00920373596</v>
      </c>
      <c r="S314" s="66">
        <v>3494</v>
      </c>
      <c r="T314" s="66" t="s">
        <v>293</v>
      </c>
      <c r="U314" s="79">
        <v>45005.884027777778</v>
      </c>
      <c r="V314" s="66" t="s">
        <v>469</v>
      </c>
      <c r="W314" s="79">
        <v>45006.79583333333</v>
      </c>
      <c r="X314" s="79">
        <v>45006.354166666664</v>
      </c>
      <c r="Y314" s="88">
        <v>45006.458333333336</v>
      </c>
      <c r="Z314" s="81">
        <v>3700</v>
      </c>
      <c r="AA314" s="81"/>
      <c r="AB314" s="81"/>
      <c r="AC314" s="81"/>
      <c r="AD314" s="81"/>
      <c r="AE314" s="81"/>
      <c r="AF314" s="81"/>
      <c r="AG314" s="81">
        <f>Sal_23[[#This Row],[COMPRA]]*12%</f>
        <v>641.71680000000003</v>
      </c>
      <c r="AH314" s="83">
        <v>5347.64</v>
      </c>
      <c r="AI314" s="66" t="str">
        <f>PROPER(TEXT(Sal_23[[#This Row],[PROGRAMAÇÃO]],"mmm"))</f>
        <v>Mar</v>
      </c>
      <c r="AJ314" s="66">
        <f>YEAR(Sal_23[[#This Row],[PROGRAMAÇÃO]])</f>
        <v>2023</v>
      </c>
      <c r="AK314" s="66"/>
      <c r="AL314" s="44" t="s">
        <v>2785</v>
      </c>
      <c r="AM314" s="66" t="s">
        <v>2768</v>
      </c>
      <c r="AN314" s="66" t="s">
        <v>2768</v>
      </c>
      <c r="AO314" s="66" t="s">
        <v>2768</v>
      </c>
    </row>
    <row r="315" spans="1:41" x14ac:dyDescent="0.25">
      <c r="A315" s="120" t="str">
        <f>Sal_23[[#This Row],[CONTAINER]]</f>
        <v>SUDU3962178</v>
      </c>
      <c r="B315" s="128" t="s">
        <v>2771</v>
      </c>
      <c r="C31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15" s="79">
        <v>45006.333333333336</v>
      </c>
      <c r="E315" s="44" t="s">
        <v>3879</v>
      </c>
      <c r="F315" s="66">
        <v>20</v>
      </c>
      <c r="G315" s="66" t="s">
        <v>2826</v>
      </c>
      <c r="H315" s="44" t="s">
        <v>3105</v>
      </c>
      <c r="I315" s="299" t="s">
        <v>3185</v>
      </c>
      <c r="J315" s="66">
        <v>3493</v>
      </c>
      <c r="K315" s="66" t="s">
        <v>3881</v>
      </c>
      <c r="L315" s="66">
        <v>104773</v>
      </c>
      <c r="M315" s="66"/>
      <c r="N315" s="66" t="s">
        <v>2949</v>
      </c>
      <c r="O315" s="66" t="s">
        <v>2950</v>
      </c>
      <c r="P315" s="66" t="s">
        <v>2948</v>
      </c>
      <c r="Q315" s="138" t="str">
        <f ca="1">IFERROR(LOOKUP($P315,MOTORISTAS!$D$3:$D$1048576,MOTORISTAS!E$3:E$916),"")</f>
        <v>16239341843</v>
      </c>
      <c r="R315" s="138" t="str">
        <f ca="1">IFERROR(LOOKUP($P315,MOTORISTAS!$D$3:$D$1048576,MOTORISTAS!F$3:F$916),"")</f>
        <v>01877235038</v>
      </c>
      <c r="S315" s="66">
        <v>3493</v>
      </c>
      <c r="T315" s="66" t="s">
        <v>306</v>
      </c>
      <c r="U315" s="79">
        <v>45005.952777777777</v>
      </c>
      <c r="V315" s="66" t="s">
        <v>292</v>
      </c>
      <c r="W315" s="79">
        <v>45006</v>
      </c>
      <c r="X315" s="79">
        <v>45006.052083333336</v>
      </c>
      <c r="Y315" s="88">
        <v>45006.458333333336</v>
      </c>
      <c r="Z315" s="81"/>
      <c r="AA315" s="81"/>
      <c r="AB315" s="81"/>
      <c r="AC315" s="81"/>
      <c r="AD315" s="81"/>
      <c r="AE315" s="81"/>
      <c r="AF315" s="81"/>
      <c r="AG315" s="81">
        <f>Sal_23[[#This Row],[COMPRA]]*12%</f>
        <v>415.74719999999996</v>
      </c>
      <c r="AH315" s="83">
        <v>3464.56</v>
      </c>
      <c r="AI315" s="66" t="str">
        <f>PROPER(TEXT(Sal_23[[#This Row],[PROGRAMAÇÃO]],"mmm"))</f>
        <v>Mar</v>
      </c>
      <c r="AJ315" s="66">
        <f>YEAR(Sal_23[[#This Row],[PROGRAMAÇÃO]])</f>
        <v>2023</v>
      </c>
      <c r="AK315" s="66"/>
      <c r="AL315" s="66"/>
      <c r="AM315" s="66" t="s">
        <v>2768</v>
      </c>
      <c r="AN315" s="66" t="s">
        <v>2768</v>
      </c>
      <c r="AO315" s="66" t="s">
        <v>2768</v>
      </c>
    </row>
    <row r="316" spans="1:41" x14ac:dyDescent="0.25">
      <c r="A316" s="120" t="str">
        <f>Sal_23[[#This Row],[CONTAINER]]</f>
        <v>MRKU7510669</v>
      </c>
      <c r="B316" s="128" t="s">
        <v>2771</v>
      </c>
      <c r="C31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16" s="79">
        <v>45007.333333333336</v>
      </c>
      <c r="E316" s="44" t="s">
        <v>3880</v>
      </c>
      <c r="F316" s="66">
        <v>20</v>
      </c>
      <c r="G316" s="66" t="s">
        <v>2826</v>
      </c>
      <c r="H316" s="44" t="s">
        <v>3105</v>
      </c>
      <c r="I316" s="299" t="s">
        <v>3185</v>
      </c>
      <c r="J316" s="66" t="s">
        <v>3929</v>
      </c>
      <c r="K316" s="66" t="s">
        <v>3881</v>
      </c>
      <c r="L316" s="66">
        <v>104772</v>
      </c>
      <c r="M316" s="66"/>
      <c r="N316" s="66" t="s">
        <v>2859</v>
      </c>
      <c r="O316" s="66" t="s">
        <v>2860</v>
      </c>
      <c r="P316" s="66" t="s">
        <v>2861</v>
      </c>
      <c r="Q316" s="138" t="str">
        <f ca="1">IFERROR(LOOKUP($P316,MOTORISTAS!$D$3:$D$1048576,MOTORISTAS!E$3:E$916),"")</f>
        <v>01817591878</v>
      </c>
      <c r="R316" s="138" t="str">
        <f ca="1">IFERROR(LOOKUP($P316,MOTORISTAS!$D$3:$D$1048576,MOTORISTAS!F$3:F$916),"")</f>
        <v>00821760640</v>
      </c>
      <c r="S316" s="66" t="s">
        <v>3930</v>
      </c>
      <c r="T316" s="66" t="s">
        <v>306</v>
      </c>
      <c r="U316" s="79">
        <v>45007.060416666667</v>
      </c>
      <c r="V316" s="66" t="s">
        <v>409</v>
      </c>
      <c r="W316" s="79">
        <v>45007.593055555553</v>
      </c>
      <c r="X316" s="79">
        <v>45007.159722222219</v>
      </c>
      <c r="Y316" s="88">
        <v>45007.458333333336</v>
      </c>
      <c r="Z316" s="81"/>
      <c r="AA316" s="81"/>
      <c r="AB316" s="81"/>
      <c r="AC316" s="81"/>
      <c r="AD316" s="81"/>
      <c r="AE316" s="81"/>
      <c r="AF316" s="81"/>
      <c r="AG316" s="81">
        <f>Sal_23[[#This Row],[COMPRA]]*12%</f>
        <v>415.74719999999996</v>
      </c>
      <c r="AH316" s="83">
        <v>3464.56</v>
      </c>
      <c r="AI316" s="66" t="str">
        <f>PROPER(TEXT(Sal_23[[#This Row],[PROGRAMAÇÃO]],"mmm"))</f>
        <v>Mar</v>
      </c>
      <c r="AJ316" s="66">
        <f>YEAR(Sal_23[[#This Row],[PROGRAMAÇÃO]])</f>
        <v>2023</v>
      </c>
      <c r="AK316" s="66"/>
      <c r="AL316" s="66"/>
      <c r="AM316" s="66" t="s">
        <v>2768</v>
      </c>
      <c r="AN316" s="66" t="s">
        <v>2768</v>
      </c>
      <c r="AO316" s="66" t="s">
        <v>2768</v>
      </c>
    </row>
    <row r="317" spans="1:41" x14ac:dyDescent="0.25">
      <c r="A317" s="120" t="str">
        <f>Sal_23[[#This Row],[CONTAINER]]</f>
        <v>MRKU9618143</v>
      </c>
      <c r="B317" s="128" t="s">
        <v>2771</v>
      </c>
      <c r="C31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17" s="79">
        <v>45012.375</v>
      </c>
      <c r="E317" s="44" t="s">
        <v>3958</v>
      </c>
      <c r="F317" s="66">
        <v>20</v>
      </c>
      <c r="G317" s="66" t="s">
        <v>2826</v>
      </c>
      <c r="H317" s="44" t="s">
        <v>3074</v>
      </c>
      <c r="I317" s="299" t="s">
        <v>3439</v>
      </c>
      <c r="J317" s="66" t="s">
        <v>4044</v>
      </c>
      <c r="K317" s="66" t="s">
        <v>3959</v>
      </c>
      <c r="L317" s="66">
        <v>104865</v>
      </c>
      <c r="M317" s="66"/>
      <c r="N317" s="66" t="s">
        <v>2584</v>
      </c>
      <c r="O317" s="66" t="s">
        <v>2585</v>
      </c>
      <c r="P317" s="66" t="s">
        <v>2586</v>
      </c>
      <c r="Q317" s="138" t="str">
        <f ca="1">IFERROR(LOOKUP($P317,MOTORISTAS!$D$3:$D$1048576,MOTORISTAS!E$3:E$916),"")</f>
        <v>08312935860</v>
      </c>
      <c r="R317" s="138" t="str">
        <f ca="1">IFERROR(LOOKUP($P317,MOTORISTAS!$D$3:$D$1048576,MOTORISTAS!F$3:F$916),"")</f>
        <v>03106516083</v>
      </c>
      <c r="S317" s="66" t="s">
        <v>3962</v>
      </c>
      <c r="T317" s="66" t="s">
        <v>306</v>
      </c>
      <c r="U317" s="79">
        <v>45011.911805555559</v>
      </c>
      <c r="V317" s="66" t="s">
        <v>292</v>
      </c>
      <c r="W317" s="79">
        <v>45013.690972222219</v>
      </c>
      <c r="X317" s="79">
        <v>45012.388888888891</v>
      </c>
      <c r="Y317" s="88">
        <v>45012.5</v>
      </c>
      <c r="Z317" s="81">
        <v>2800</v>
      </c>
      <c r="AA317" s="81"/>
      <c r="AB317" s="81"/>
      <c r="AC317" s="81"/>
      <c r="AD317" s="81"/>
      <c r="AE317" s="81"/>
      <c r="AF317" s="81"/>
      <c r="AG317" s="81">
        <f>Sal_23[[#This Row],[COMPRA]]*12%</f>
        <v>501.59999999999997</v>
      </c>
      <c r="AH317" s="83">
        <v>4180</v>
      </c>
      <c r="AI317" s="66" t="str">
        <f>PROPER(TEXT(Sal_23[[#This Row],[PROGRAMAÇÃO]],"mmm"))</f>
        <v>Mar</v>
      </c>
      <c r="AJ317" s="66">
        <f>YEAR(Sal_23[[#This Row],[PROGRAMAÇÃO]])</f>
        <v>2023</v>
      </c>
      <c r="AK317" s="66" t="s">
        <v>3968</v>
      </c>
      <c r="AL317" s="44" t="s">
        <v>3643</v>
      </c>
      <c r="AM317" s="66" t="s">
        <v>2768</v>
      </c>
      <c r="AN317" s="66" t="s">
        <v>2768</v>
      </c>
      <c r="AO317" s="66" t="s">
        <v>2768</v>
      </c>
    </row>
    <row r="318" spans="1:41" x14ac:dyDescent="0.25">
      <c r="A318" s="120" t="str">
        <f>Sal_23[[#This Row],[CONTAINER]]</f>
        <v>TCKU6170767</v>
      </c>
      <c r="B318" s="128" t="s">
        <v>2771</v>
      </c>
      <c r="C31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18" s="79">
        <v>45013.333333333336</v>
      </c>
      <c r="E318" s="44" t="s">
        <v>3956</v>
      </c>
      <c r="F318" s="66">
        <v>40</v>
      </c>
      <c r="G318" s="66" t="s">
        <v>2826</v>
      </c>
      <c r="H318" s="44" t="s">
        <v>3195</v>
      </c>
      <c r="I318" s="299" t="s">
        <v>2830</v>
      </c>
      <c r="J318" s="66" t="s">
        <v>3980</v>
      </c>
      <c r="K318" s="66" t="s">
        <v>3959</v>
      </c>
      <c r="L318" s="66">
        <v>104904</v>
      </c>
      <c r="M318" s="66"/>
      <c r="N318" s="66" t="s">
        <v>1961</v>
      </c>
      <c r="O318" s="66" t="s">
        <v>1962</v>
      </c>
      <c r="P318" s="66" t="s">
        <v>1482</v>
      </c>
      <c r="Q318" s="138" t="str">
        <f ca="1">IFERROR(LOOKUP($P318,MOTORISTAS!$D$3:$D$1048576,MOTORISTAS!E$3:E$916),"")</f>
        <v>38329597857</v>
      </c>
      <c r="R318" s="138" t="str">
        <f ca="1">IFERROR(LOOKUP($P318,MOTORISTAS!$D$3:$D$1048576,MOTORISTAS!F$3:F$916),"")</f>
        <v>04956762510</v>
      </c>
      <c r="S318" s="66">
        <v>3506</v>
      </c>
      <c r="T318" s="66" t="s">
        <v>306</v>
      </c>
      <c r="U318" s="79">
        <v>45011.925694444442</v>
      </c>
      <c r="V318" s="66" t="s">
        <v>292</v>
      </c>
      <c r="W318" s="79">
        <v>45015.7</v>
      </c>
      <c r="X318" s="79">
        <v>45013.291666666664</v>
      </c>
      <c r="Y318" s="88">
        <v>45013.4375</v>
      </c>
      <c r="Z318" s="81">
        <v>2300</v>
      </c>
      <c r="AA318" s="81"/>
      <c r="AB318" s="81"/>
      <c r="AC318" s="81"/>
      <c r="AD318" s="81"/>
      <c r="AE318" s="81"/>
      <c r="AF318" s="81"/>
      <c r="AG318" s="81">
        <f>Sal_23[[#This Row],[COMPRA]]*12%</f>
        <v>392.15039999999999</v>
      </c>
      <c r="AH318" s="83">
        <v>3267.92</v>
      </c>
      <c r="AI318" s="66" t="str">
        <f>PROPER(TEXT(Sal_23[[#This Row],[PROGRAMAÇÃO]],"mmm"))</f>
        <v>Mar</v>
      </c>
      <c r="AJ318" s="66">
        <f>YEAR(Sal_23[[#This Row],[PROGRAMAÇÃO]])</f>
        <v>2023</v>
      </c>
      <c r="AK318" s="66"/>
      <c r="AL318" s="66"/>
      <c r="AM318" s="66" t="s">
        <v>2768</v>
      </c>
      <c r="AN318" s="66" t="s">
        <v>2768</v>
      </c>
      <c r="AO318" s="66" t="s">
        <v>2768</v>
      </c>
    </row>
    <row r="319" spans="1:41" x14ac:dyDescent="0.25">
      <c r="A319" s="120" t="str">
        <f>Sal_23[[#This Row],[CONTAINER]]</f>
        <v>GCXU5760713</v>
      </c>
      <c r="B319" s="128" t="s">
        <v>2771</v>
      </c>
      <c r="C31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19" s="79">
        <v>45016.333333333336</v>
      </c>
      <c r="E319" s="44" t="s">
        <v>3957</v>
      </c>
      <c r="F319" s="66">
        <v>40</v>
      </c>
      <c r="G319" s="66" t="s">
        <v>2826</v>
      </c>
      <c r="H319" s="44" t="s">
        <v>1674</v>
      </c>
      <c r="I319" s="299" t="s">
        <v>2829</v>
      </c>
      <c r="J319" s="66" t="s">
        <v>4051</v>
      </c>
      <c r="K319" s="66" t="s">
        <v>3959</v>
      </c>
      <c r="L319" s="66">
        <v>104906</v>
      </c>
      <c r="M319" s="66">
        <v>104907</v>
      </c>
      <c r="N319" s="66" t="s">
        <v>72</v>
      </c>
      <c r="O319" s="66" t="s">
        <v>73</v>
      </c>
      <c r="P319" s="66" t="s">
        <v>203</v>
      </c>
      <c r="Q319" s="138" t="str">
        <f ca="1">IFERROR(LOOKUP($P319,MOTORISTAS!$D$3:$D$1048576,MOTORISTAS!E$3:E$916),"")</f>
        <v>10395859816</v>
      </c>
      <c r="R319" s="138" t="str">
        <f ca="1">IFERROR(LOOKUP($P319,MOTORISTAS!$D$3:$D$1048576,MOTORISTAS!F$3:F$916),"")</f>
        <v>01965794851</v>
      </c>
      <c r="S319" s="66">
        <v>3525</v>
      </c>
      <c r="T319" s="66" t="s">
        <v>306</v>
      </c>
      <c r="U319" s="79">
        <v>45015.677777777775</v>
      </c>
      <c r="V319" s="66" t="s">
        <v>292</v>
      </c>
      <c r="W319" s="79">
        <v>45016.595138888886</v>
      </c>
      <c r="X319" s="79">
        <v>45016.288194444445</v>
      </c>
      <c r="Y319" s="88">
        <v>45016.385416666664</v>
      </c>
      <c r="Z319" s="81"/>
      <c r="AA319" s="81">
        <v>565.20000000000005</v>
      </c>
      <c r="AB319" s="81"/>
      <c r="AC319" s="81"/>
      <c r="AD319" s="81"/>
      <c r="AE319" s="81"/>
      <c r="AF319" s="81"/>
      <c r="AG319" s="81">
        <f>Sal_23[[#This Row],[COMPRA]]*12%</f>
        <v>558.28440000000001</v>
      </c>
      <c r="AH319" s="83">
        <v>4652.37</v>
      </c>
      <c r="AI319" s="66" t="str">
        <f>PROPER(TEXT(Sal_23[[#This Row],[PROGRAMAÇÃO]],"mmm"))</f>
        <v>Mar</v>
      </c>
      <c r="AJ319" s="66">
        <f>YEAR(Sal_23[[#This Row],[PROGRAMAÇÃO]])</f>
        <v>2023</v>
      </c>
      <c r="AK319" s="66"/>
      <c r="AL319" s="66"/>
      <c r="AM319" s="66" t="s">
        <v>2768</v>
      </c>
      <c r="AN319" s="66" t="s">
        <v>2768</v>
      </c>
      <c r="AO319" s="66" t="s">
        <v>2768</v>
      </c>
    </row>
    <row r="320" spans="1:41" x14ac:dyDescent="0.25">
      <c r="A320" s="120" t="str">
        <f>Sal_23[[#This Row],[CONTAINER]]</f>
        <v>SEGU1157040</v>
      </c>
      <c r="B320" s="128" t="s">
        <v>2771</v>
      </c>
      <c r="C32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0" s="79">
        <v>45013.375</v>
      </c>
      <c r="E320" s="44" t="s">
        <v>3882</v>
      </c>
      <c r="F320" s="66">
        <v>20</v>
      </c>
      <c r="G320" s="66" t="s">
        <v>2820</v>
      </c>
      <c r="H320" s="44" t="s">
        <v>2820</v>
      </c>
      <c r="I320" s="299" t="s">
        <v>2821</v>
      </c>
      <c r="J320" s="66">
        <v>2725</v>
      </c>
      <c r="K320" s="66" t="s">
        <v>3892</v>
      </c>
      <c r="L320" s="66">
        <v>114642</v>
      </c>
      <c r="M320" s="66"/>
      <c r="N320" s="66" t="s">
        <v>2949</v>
      </c>
      <c r="O320" s="66" t="s">
        <v>2950</v>
      </c>
      <c r="P320" s="66" t="s">
        <v>2948</v>
      </c>
      <c r="Q320" s="138" t="str">
        <f ca="1">IFERROR(LOOKUP($P320,MOTORISTAS!$D$3:$D$1048576,MOTORISTAS!E$3:E$916),"")</f>
        <v>16239341843</v>
      </c>
      <c r="R320" s="138" t="str">
        <f ca="1">IFERROR(LOOKUP($P320,MOTORISTAS!$D$3:$D$1048576,MOTORISTAS!F$3:F$916),"")</f>
        <v>01877235038</v>
      </c>
      <c r="S320" s="66">
        <v>15494</v>
      </c>
      <c r="T320" s="66" t="s">
        <v>293</v>
      </c>
      <c r="U320" s="79">
        <v>45013.605555555558</v>
      </c>
      <c r="V320" s="66" t="s">
        <v>469</v>
      </c>
      <c r="W320" s="79">
        <v>45013.761805555558</v>
      </c>
      <c r="X320" s="79">
        <v>45013.34375</v>
      </c>
      <c r="Y320" s="88">
        <v>45013.520833333336</v>
      </c>
      <c r="Z320" s="81"/>
      <c r="AA320" s="81"/>
      <c r="AB320" s="81"/>
      <c r="AC320" s="81"/>
      <c r="AD320" s="81"/>
      <c r="AE320" s="81"/>
      <c r="AF320" s="81"/>
      <c r="AG320" s="81">
        <f>Sal_23[[#This Row],[COMPRA]]*12%</f>
        <v>276</v>
      </c>
      <c r="AH320" s="83">
        <v>2300</v>
      </c>
      <c r="AI320" s="66" t="str">
        <f>PROPER(TEXT(Sal_23[[#This Row],[PROGRAMAÇÃO]],"mmm"))</f>
        <v>Mar</v>
      </c>
      <c r="AJ320" s="66">
        <f>YEAR(Sal_23[[#This Row],[PROGRAMAÇÃO]])</f>
        <v>2023</v>
      </c>
      <c r="AK320" s="66"/>
      <c r="AL320" s="66"/>
      <c r="AM320" s="66" t="s">
        <v>2768</v>
      </c>
      <c r="AN320" s="66" t="s">
        <v>2768</v>
      </c>
      <c r="AO320" s="66"/>
    </row>
    <row r="321" spans="1:41" x14ac:dyDescent="0.25">
      <c r="A321" s="120" t="str">
        <f>Sal_23[[#This Row],[CONTAINER]]</f>
        <v>TCLU3055258</v>
      </c>
      <c r="B321" s="128" t="s">
        <v>2771</v>
      </c>
      <c r="C32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1" s="79">
        <v>45013.375</v>
      </c>
      <c r="E321" s="44" t="s">
        <v>3883</v>
      </c>
      <c r="F321" s="66">
        <v>20</v>
      </c>
      <c r="G321" s="66" t="s">
        <v>2820</v>
      </c>
      <c r="H321" s="44" t="s">
        <v>2820</v>
      </c>
      <c r="I321" s="299" t="s">
        <v>2821</v>
      </c>
      <c r="J321" s="66">
        <v>2724</v>
      </c>
      <c r="K321" s="66" t="s">
        <v>3892</v>
      </c>
      <c r="L321" s="66">
        <v>114643</v>
      </c>
      <c r="M321" s="66"/>
      <c r="N321" s="66" t="s">
        <v>3028</v>
      </c>
      <c r="O321" s="66" t="s">
        <v>3852</v>
      </c>
      <c r="P321" s="66" t="s">
        <v>3443</v>
      </c>
      <c r="Q321" s="138" t="str">
        <f ca="1">IFERROR(LOOKUP($P321,MOTORISTAS!$D$3:$D$1048576,MOTORISTAS!E$3:E$916),"")</f>
        <v>13990937898</v>
      </c>
      <c r="R321" s="138" t="str">
        <f ca="1">IFERROR(LOOKUP($P321,MOTORISTAS!$D$3:$D$1048576,MOTORISTAS!F$3:F$916),"")</f>
        <v>01825123407</v>
      </c>
      <c r="S321" s="66">
        <v>15495</v>
      </c>
      <c r="T321" s="66" t="s">
        <v>293</v>
      </c>
      <c r="U321" s="79">
        <v>45012.970138888886</v>
      </c>
      <c r="V321" s="66" t="s">
        <v>469</v>
      </c>
      <c r="W321" s="79">
        <v>45013.495833333334</v>
      </c>
      <c r="X321" s="79">
        <v>45013.072916666664</v>
      </c>
      <c r="Y321" s="88">
        <v>45013.427083333336</v>
      </c>
      <c r="Z321" s="81">
        <v>1600</v>
      </c>
      <c r="AA321" s="81"/>
      <c r="AB321" s="81"/>
      <c r="AC321" s="81"/>
      <c r="AD321" s="81"/>
      <c r="AE321" s="81"/>
      <c r="AF321" s="81"/>
      <c r="AG321" s="81">
        <f>Sal_23[[#This Row],[COMPRA]]*12%</f>
        <v>276</v>
      </c>
      <c r="AH321" s="83">
        <v>2300</v>
      </c>
      <c r="AI321" s="66" t="str">
        <f>PROPER(TEXT(Sal_23[[#This Row],[PROGRAMAÇÃO]],"mmm"))</f>
        <v>Mar</v>
      </c>
      <c r="AJ321" s="66">
        <f>YEAR(Sal_23[[#This Row],[PROGRAMAÇÃO]])</f>
        <v>2023</v>
      </c>
      <c r="AK321" s="66"/>
      <c r="AL321" s="66"/>
      <c r="AM321" s="66" t="s">
        <v>2768</v>
      </c>
      <c r="AN321" s="66" t="s">
        <v>2768</v>
      </c>
      <c r="AO321" s="66"/>
    </row>
    <row r="322" spans="1:41" x14ac:dyDescent="0.25">
      <c r="A322" s="120" t="str">
        <f>Sal_23[[#This Row],[CONTAINER]]</f>
        <v>TCLU3466367</v>
      </c>
      <c r="B322" s="128" t="s">
        <v>2771</v>
      </c>
      <c r="C32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2" s="79">
        <v>45013.458333333336</v>
      </c>
      <c r="E322" s="44" t="s">
        <v>3885</v>
      </c>
      <c r="F322" s="66">
        <v>20</v>
      </c>
      <c r="G322" s="66" t="s">
        <v>2820</v>
      </c>
      <c r="H322" s="44" t="s">
        <v>2820</v>
      </c>
      <c r="I322" s="299" t="s">
        <v>2821</v>
      </c>
      <c r="J322" s="66">
        <v>2762</v>
      </c>
      <c r="K322" s="66" t="s">
        <v>3892</v>
      </c>
      <c r="L322" s="66">
        <v>69508</v>
      </c>
      <c r="M322" s="66"/>
      <c r="N322" s="66" t="s">
        <v>2859</v>
      </c>
      <c r="O322" s="66" t="s">
        <v>2860</v>
      </c>
      <c r="P322" s="66" t="s">
        <v>2861</v>
      </c>
      <c r="Q322" s="138" t="str">
        <f ca="1">IFERROR(LOOKUP($P322,MOTORISTAS!$D$3:$D$1048576,MOTORISTAS!E$3:E$916),"")</f>
        <v>01817591878</v>
      </c>
      <c r="R322" s="138" t="str">
        <f ca="1">IFERROR(LOOKUP($P322,MOTORISTAS!$D$3:$D$1048576,MOTORISTAS!F$3:F$916),"")</f>
        <v>00821760640</v>
      </c>
      <c r="S322" s="66">
        <v>15493</v>
      </c>
      <c r="T322" s="66" t="s">
        <v>293</v>
      </c>
      <c r="U322" s="79">
        <v>45012.954861111109</v>
      </c>
      <c r="V322" s="66" t="s">
        <v>526</v>
      </c>
      <c r="W322" s="79">
        <v>45013.635416666664</v>
      </c>
      <c r="X322" s="79">
        <v>44987.072916666664</v>
      </c>
      <c r="Y322" s="88">
        <v>45013.427083333336</v>
      </c>
      <c r="Z322" s="81">
        <v>1600</v>
      </c>
      <c r="AA322" s="81"/>
      <c r="AB322" s="81"/>
      <c r="AC322" s="81"/>
      <c r="AD322" s="81"/>
      <c r="AE322" s="81"/>
      <c r="AF322" s="81"/>
      <c r="AG322" s="81">
        <f>Sal_23[[#This Row],[COMPRA]]*12%</f>
        <v>276</v>
      </c>
      <c r="AH322" s="83">
        <v>2300</v>
      </c>
      <c r="AI322" s="66" t="str">
        <f>PROPER(TEXT(Sal_23[[#This Row],[PROGRAMAÇÃO]],"mmm"))</f>
        <v>Mar</v>
      </c>
      <c r="AJ322" s="66">
        <f>YEAR(Sal_23[[#This Row],[PROGRAMAÇÃO]])</f>
        <v>2023</v>
      </c>
      <c r="AK322" s="66"/>
      <c r="AL322" s="66"/>
      <c r="AM322" s="66" t="s">
        <v>2768</v>
      </c>
      <c r="AN322" s="66" t="s">
        <v>2768</v>
      </c>
      <c r="AO322" s="66"/>
    </row>
    <row r="323" spans="1:41" x14ac:dyDescent="0.25">
      <c r="A323" s="120" t="str">
        <f>Sal_23[[#This Row],[CONTAINER]]</f>
        <v>CAIU3412045</v>
      </c>
      <c r="B323" s="128" t="s">
        <v>2771</v>
      </c>
      <c r="C32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3" s="79">
        <v>45014.375</v>
      </c>
      <c r="E323" s="44" t="s">
        <v>3886</v>
      </c>
      <c r="F323" s="66">
        <v>20</v>
      </c>
      <c r="G323" s="66" t="s">
        <v>2820</v>
      </c>
      <c r="H323" s="44" t="s">
        <v>2820</v>
      </c>
      <c r="I323" s="299" t="s">
        <v>2821</v>
      </c>
      <c r="J323" s="66">
        <v>2768</v>
      </c>
      <c r="K323" s="66" t="s">
        <v>3892</v>
      </c>
      <c r="L323" s="66">
        <v>63139</v>
      </c>
      <c r="M323" s="66">
        <v>63142</v>
      </c>
      <c r="N323" s="66" t="s">
        <v>2859</v>
      </c>
      <c r="O323" s="66" t="s">
        <v>2860</v>
      </c>
      <c r="P323" s="66" t="s">
        <v>2861</v>
      </c>
      <c r="Q323" s="138" t="str">
        <f ca="1">IFERROR(LOOKUP($P323,MOTORISTAS!$D$3:$D$1048576,MOTORISTAS!E$3:E$916),"")</f>
        <v>01817591878</v>
      </c>
      <c r="R323" s="138" t="str">
        <f ca="1">IFERROR(LOOKUP($P323,MOTORISTAS!$D$3:$D$1048576,MOTORISTAS!F$3:F$916),"")</f>
        <v>00821760640</v>
      </c>
      <c r="S323" s="66">
        <v>15523</v>
      </c>
      <c r="T323" s="66" t="s">
        <v>293</v>
      </c>
      <c r="U323" s="79">
        <v>45014.054861111108</v>
      </c>
      <c r="V323" s="66" t="s">
        <v>469</v>
      </c>
      <c r="W323" s="79">
        <v>45014.638194444444</v>
      </c>
      <c r="X323" s="79">
        <v>45014.152777777781</v>
      </c>
      <c r="Y323" s="88">
        <v>45014.583333333336</v>
      </c>
      <c r="Z323" s="81">
        <v>1600</v>
      </c>
      <c r="AA323" s="81"/>
      <c r="AB323" s="81"/>
      <c r="AC323" s="81"/>
      <c r="AD323" s="81"/>
      <c r="AE323" s="81"/>
      <c r="AF323" s="81"/>
      <c r="AG323" s="81">
        <f>Sal_23[[#This Row],[COMPRA]]*12%</f>
        <v>276</v>
      </c>
      <c r="AH323" s="83">
        <v>2300</v>
      </c>
      <c r="AI323" s="66" t="str">
        <f>PROPER(TEXT(Sal_23[[#This Row],[PROGRAMAÇÃO]],"mmm"))</f>
        <v>Mar</v>
      </c>
      <c r="AJ323" s="66">
        <f>YEAR(Sal_23[[#This Row],[PROGRAMAÇÃO]])</f>
        <v>2023</v>
      </c>
      <c r="AK323" s="66"/>
      <c r="AL323" s="66"/>
      <c r="AM323" s="66" t="s">
        <v>2768</v>
      </c>
      <c r="AN323" s="66" t="s">
        <v>2768</v>
      </c>
      <c r="AO323" s="66"/>
    </row>
    <row r="324" spans="1:41" x14ac:dyDescent="0.25">
      <c r="A324" s="120" t="str">
        <f>Sal_23[[#This Row],[CONTAINER]]</f>
        <v>MSMU1782261</v>
      </c>
      <c r="B324" s="128" t="s">
        <v>2771</v>
      </c>
      <c r="C32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4" s="79">
        <v>45014.375</v>
      </c>
      <c r="E324" s="44" t="s">
        <v>3884</v>
      </c>
      <c r="F324" s="66">
        <v>20</v>
      </c>
      <c r="G324" s="66" t="s">
        <v>2820</v>
      </c>
      <c r="H324" s="44" t="s">
        <v>2820</v>
      </c>
      <c r="I324" s="299" t="s">
        <v>2821</v>
      </c>
      <c r="J324" s="66">
        <v>2763</v>
      </c>
      <c r="K324" s="66" t="s">
        <v>3892</v>
      </c>
      <c r="L324" s="66">
        <v>69507</v>
      </c>
      <c r="M324" s="66"/>
      <c r="N324" s="66" t="s">
        <v>2584</v>
      </c>
      <c r="O324" s="66" t="s">
        <v>2585</v>
      </c>
      <c r="P324" s="66" t="s">
        <v>2586</v>
      </c>
      <c r="Q324" s="138" t="str">
        <f ca="1">IFERROR(LOOKUP($P324,MOTORISTAS!$D$3:$D$1048576,MOTORISTAS!E$3:E$916),"")</f>
        <v>08312935860</v>
      </c>
      <c r="R324" s="138" t="str">
        <f ca="1">IFERROR(LOOKUP($P324,MOTORISTAS!$D$3:$D$1048576,MOTORISTAS!F$3:F$916),"")</f>
        <v>03106516083</v>
      </c>
      <c r="S324" s="66">
        <v>15519</v>
      </c>
      <c r="T324" s="66" t="s">
        <v>293</v>
      </c>
      <c r="U324" s="79">
        <v>45013.84652777778</v>
      </c>
      <c r="V324" s="66" t="s">
        <v>469</v>
      </c>
      <c r="W324" s="79">
        <v>45014.738888888889</v>
      </c>
      <c r="X324" s="79">
        <v>45013.951388888891</v>
      </c>
      <c r="Y324" s="88">
        <v>45014.583333333336</v>
      </c>
      <c r="Z324" s="81">
        <v>1600</v>
      </c>
      <c r="AA324" s="81"/>
      <c r="AB324" s="81"/>
      <c r="AC324" s="81"/>
      <c r="AD324" s="81"/>
      <c r="AE324" s="81"/>
      <c r="AF324" s="81"/>
      <c r="AG324" s="81">
        <f>Sal_23[[#This Row],[COMPRA]]*12%</f>
        <v>276</v>
      </c>
      <c r="AH324" s="83">
        <v>2300</v>
      </c>
      <c r="AI324" s="66" t="str">
        <f>PROPER(TEXT(Sal_23[[#This Row],[PROGRAMAÇÃO]],"mmm"))</f>
        <v>Mar</v>
      </c>
      <c r="AJ324" s="66">
        <f>YEAR(Sal_23[[#This Row],[PROGRAMAÇÃO]])</f>
        <v>2023</v>
      </c>
      <c r="AK324" s="66"/>
      <c r="AL324" s="66"/>
      <c r="AM324" s="66" t="s">
        <v>2768</v>
      </c>
      <c r="AN324" s="66" t="s">
        <v>2768</v>
      </c>
      <c r="AO324" s="66"/>
    </row>
    <row r="325" spans="1:41" x14ac:dyDescent="0.25">
      <c r="A325" s="120" t="str">
        <f>Sal_23[[#This Row],[CONTAINER]]</f>
        <v>TCLU3461880</v>
      </c>
      <c r="B325" s="128" t="s">
        <v>2771</v>
      </c>
      <c r="C32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5" s="79">
        <v>45014.458333333336</v>
      </c>
      <c r="E325" s="44" t="s">
        <v>3887</v>
      </c>
      <c r="F325" s="66">
        <v>20</v>
      </c>
      <c r="G325" s="66" t="s">
        <v>2820</v>
      </c>
      <c r="H325" s="44" t="s">
        <v>2820</v>
      </c>
      <c r="I325" s="299" t="s">
        <v>2821</v>
      </c>
      <c r="J325" s="66">
        <v>2769</v>
      </c>
      <c r="K325" s="66" t="s">
        <v>3892</v>
      </c>
      <c r="L325" s="66">
        <v>63143</v>
      </c>
      <c r="M325" s="66">
        <v>63144</v>
      </c>
      <c r="N325" s="66" t="s">
        <v>2949</v>
      </c>
      <c r="O325" s="66" t="s">
        <v>2950</v>
      </c>
      <c r="P325" s="66" t="s">
        <v>2948</v>
      </c>
      <c r="Q325" s="138" t="str">
        <f ca="1">IFERROR(LOOKUP($P325,MOTORISTAS!$D$3:$D$1048576,MOTORISTAS!E$3:E$916),"")</f>
        <v>16239341843</v>
      </c>
      <c r="R325" s="138" t="str">
        <f ca="1">IFERROR(LOOKUP($P325,MOTORISTAS!$D$3:$D$1048576,MOTORISTAS!F$3:F$916),"")</f>
        <v>01877235038</v>
      </c>
      <c r="S325" s="66">
        <v>15525</v>
      </c>
      <c r="T325" s="66" t="s">
        <v>293</v>
      </c>
      <c r="U325" s="79">
        <v>45014.184027777781</v>
      </c>
      <c r="V325" s="66" t="s">
        <v>526</v>
      </c>
      <c r="W325" s="79">
        <v>45014.561111111114</v>
      </c>
      <c r="X325" s="79">
        <v>45014.25</v>
      </c>
      <c r="Y325" s="88">
        <v>45014.395833333336</v>
      </c>
      <c r="Z325" s="81">
        <v>1600</v>
      </c>
      <c r="AA325" s="81"/>
      <c r="AB325" s="81"/>
      <c r="AC325" s="81"/>
      <c r="AD325" s="81"/>
      <c r="AE325" s="81"/>
      <c r="AF325" s="81"/>
      <c r="AG325" s="81">
        <f>Sal_23[[#This Row],[COMPRA]]*12%</f>
        <v>276</v>
      </c>
      <c r="AH325" s="83">
        <v>2300</v>
      </c>
      <c r="AI325" s="66" t="str">
        <f>PROPER(TEXT(Sal_23[[#This Row],[PROGRAMAÇÃO]],"mmm"))</f>
        <v>Mar</v>
      </c>
      <c r="AJ325" s="66">
        <f>YEAR(Sal_23[[#This Row],[PROGRAMAÇÃO]])</f>
        <v>2023</v>
      </c>
      <c r="AK325" s="66"/>
      <c r="AL325" s="66"/>
      <c r="AM325" s="66" t="s">
        <v>2768</v>
      </c>
      <c r="AN325" s="66" t="s">
        <v>2768</v>
      </c>
      <c r="AO325" s="66"/>
    </row>
    <row r="326" spans="1:41" x14ac:dyDescent="0.25">
      <c r="A326" s="120" t="str">
        <f>Sal_23[[#This Row],[CONTAINER]]</f>
        <v>FCIU9177851</v>
      </c>
      <c r="B326" s="128" t="s">
        <v>2771</v>
      </c>
      <c r="C32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6" s="79">
        <v>45014.458333333336</v>
      </c>
      <c r="E326" s="44" t="s">
        <v>3888</v>
      </c>
      <c r="F326" s="66">
        <v>40</v>
      </c>
      <c r="G326" s="66" t="s">
        <v>2820</v>
      </c>
      <c r="H326" s="44" t="s">
        <v>2820</v>
      </c>
      <c r="I326" s="299" t="s">
        <v>2821</v>
      </c>
      <c r="J326" s="66" t="s">
        <v>4014</v>
      </c>
      <c r="K326" s="66" t="s">
        <v>3892</v>
      </c>
      <c r="L326" s="66">
        <v>104741</v>
      </c>
      <c r="M326" s="66"/>
      <c r="N326" s="66" t="s">
        <v>102</v>
      </c>
      <c r="O326" s="66" t="s">
        <v>27</v>
      </c>
      <c r="P326" s="66" t="s">
        <v>206</v>
      </c>
      <c r="Q326" s="138" t="str">
        <f ca="1">IFERROR(LOOKUP($P326,MOTORISTAS!$D$3:$D$1048576,MOTORISTAS!E$3:E$916),"")</f>
        <v>09085263425</v>
      </c>
      <c r="R326" s="138" t="str">
        <f ca="1">IFERROR(LOOKUP($P326,MOTORISTAS!$D$3:$D$1048576,MOTORISTAS!F$3:F$916),"")</f>
        <v>04557705505</v>
      </c>
      <c r="S326" s="66" t="s">
        <v>4031</v>
      </c>
      <c r="T326" s="66" t="s">
        <v>293</v>
      </c>
      <c r="U326" s="79">
        <v>45014.23333333333</v>
      </c>
      <c r="V326" s="66" t="s">
        <v>469</v>
      </c>
      <c r="W326" s="79">
        <v>45014.496527777781</v>
      </c>
      <c r="X326" s="79">
        <v>45014.319444444445</v>
      </c>
      <c r="Y326" s="88">
        <v>45014.416666666664</v>
      </c>
      <c r="Z326" s="81">
        <v>1600</v>
      </c>
      <c r="AA326" s="81"/>
      <c r="AB326" s="81"/>
      <c r="AC326" s="81"/>
      <c r="AD326" s="81"/>
      <c r="AE326" s="81"/>
      <c r="AF326" s="81"/>
      <c r="AG326" s="81">
        <f>Sal_23[[#This Row],[COMPRA]]*12%</f>
        <v>276</v>
      </c>
      <c r="AH326" s="83">
        <v>2300</v>
      </c>
      <c r="AI326" s="66" t="str">
        <f>PROPER(TEXT(Sal_23[[#This Row],[PROGRAMAÇÃO]],"mmm"))</f>
        <v>Mar</v>
      </c>
      <c r="AJ326" s="66">
        <f>YEAR(Sal_23[[#This Row],[PROGRAMAÇÃO]])</f>
        <v>2023</v>
      </c>
      <c r="AK326" s="66"/>
      <c r="AL326" s="66"/>
      <c r="AM326" s="66" t="s">
        <v>2768</v>
      </c>
      <c r="AN326" s="66" t="s">
        <v>2768</v>
      </c>
      <c r="AO326" s="66"/>
    </row>
    <row r="327" spans="1:41" x14ac:dyDescent="0.25">
      <c r="A327" s="120" t="str">
        <f>Sal_23[[#This Row],[CONTAINER]]</f>
        <v>TRHU7049125</v>
      </c>
      <c r="B327" s="128" t="s">
        <v>2771</v>
      </c>
      <c r="C32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7" s="79">
        <v>45014.541666666664</v>
      </c>
      <c r="E327" s="44" t="s">
        <v>3889</v>
      </c>
      <c r="F327" s="66">
        <v>40</v>
      </c>
      <c r="G327" s="66" t="s">
        <v>2820</v>
      </c>
      <c r="H327" s="44" t="s">
        <v>2820</v>
      </c>
      <c r="I327" s="299" t="s">
        <v>2821</v>
      </c>
      <c r="J327" s="66">
        <v>2766</v>
      </c>
      <c r="K327" s="66" t="s">
        <v>3892</v>
      </c>
      <c r="L327" s="66">
        <v>104808</v>
      </c>
      <c r="M327" s="66"/>
      <c r="N327" s="66" t="s">
        <v>3028</v>
      </c>
      <c r="O327" s="66" t="s">
        <v>3852</v>
      </c>
      <c r="P327" s="66" t="s">
        <v>3443</v>
      </c>
      <c r="Q327" s="138" t="str">
        <f ca="1">IFERROR(LOOKUP($P327,MOTORISTAS!$D$3:$D$1048576,MOTORISTAS!E$3:E$916),"")</f>
        <v>13990937898</v>
      </c>
      <c r="R327" s="138" t="str">
        <f ca="1">IFERROR(LOOKUP($P327,MOTORISTAS!$D$3:$D$1048576,MOTORISTAS!F$3:F$916),"")</f>
        <v>01825123407</v>
      </c>
      <c r="S327" s="66">
        <v>15518</v>
      </c>
      <c r="T327" s="66" t="s">
        <v>293</v>
      </c>
      <c r="U327" s="79">
        <v>45014.002083333333</v>
      </c>
      <c r="V327" s="66" t="s">
        <v>469</v>
      </c>
      <c r="W327" s="79">
        <v>45014.576388888891</v>
      </c>
      <c r="X327" s="79">
        <v>45014.152777777781</v>
      </c>
      <c r="Y327" s="88">
        <v>45014.395833333336</v>
      </c>
      <c r="Z327" s="81">
        <v>1600</v>
      </c>
      <c r="AA327" s="81"/>
      <c r="AB327" s="81"/>
      <c r="AC327" s="81"/>
      <c r="AD327" s="81"/>
      <c r="AE327" s="81"/>
      <c r="AF327" s="81"/>
      <c r="AG327" s="81">
        <f>Sal_23[[#This Row],[COMPRA]]*12%</f>
        <v>276</v>
      </c>
      <c r="AH327" s="83">
        <v>2300</v>
      </c>
      <c r="AI327" s="66" t="str">
        <f>PROPER(TEXT(Sal_23[[#This Row],[PROGRAMAÇÃO]],"mmm"))</f>
        <v>Mar</v>
      </c>
      <c r="AJ327" s="66">
        <f>YEAR(Sal_23[[#This Row],[PROGRAMAÇÃO]])</f>
        <v>2023</v>
      </c>
      <c r="AK327" s="66"/>
      <c r="AL327" s="66"/>
      <c r="AM327" s="66" t="s">
        <v>2768</v>
      </c>
      <c r="AN327" s="66" t="s">
        <v>2768</v>
      </c>
      <c r="AO327" s="66"/>
    </row>
    <row r="328" spans="1:41" x14ac:dyDescent="0.25">
      <c r="A328" s="120" t="str">
        <f>Sal_23[[#This Row],[CONTAINER]]</f>
        <v>TCLU8703944</v>
      </c>
      <c r="B328" s="128" t="s">
        <v>2771</v>
      </c>
      <c r="C32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8" s="79">
        <v>45014.541666666664</v>
      </c>
      <c r="E328" s="44" t="s">
        <v>3890</v>
      </c>
      <c r="F328" s="66">
        <v>40</v>
      </c>
      <c r="G328" s="66" t="s">
        <v>2820</v>
      </c>
      <c r="H328" s="44" t="s">
        <v>2820</v>
      </c>
      <c r="I328" s="299" t="s">
        <v>2821</v>
      </c>
      <c r="J328" s="66">
        <v>2767</v>
      </c>
      <c r="K328" s="66" t="s">
        <v>3892</v>
      </c>
      <c r="L328" s="66">
        <v>104807</v>
      </c>
      <c r="M328" s="66"/>
      <c r="N328" s="66" t="s">
        <v>72</v>
      </c>
      <c r="O328" s="66" t="s">
        <v>73</v>
      </c>
      <c r="P328" s="66" t="s">
        <v>203</v>
      </c>
      <c r="Q328" s="138" t="str">
        <f ca="1">IFERROR(LOOKUP($P328,MOTORISTAS!$D$3:$D$1048576,MOTORISTAS!E$3:E$916),"")</f>
        <v>10395859816</v>
      </c>
      <c r="R328" s="138" t="str">
        <f ca="1">IFERROR(LOOKUP($P328,MOTORISTAS!$D$3:$D$1048576,MOTORISTAS!F$3:F$916),"")</f>
        <v>01965794851</v>
      </c>
      <c r="S328" s="66">
        <v>15522</v>
      </c>
      <c r="T328" s="66" t="s">
        <v>293</v>
      </c>
      <c r="U328" s="79">
        <v>45014.186805555553</v>
      </c>
      <c r="V328" s="66" t="s">
        <v>469</v>
      </c>
      <c r="W328" s="79">
        <v>45014.722916666666</v>
      </c>
      <c r="X328" s="79">
        <v>45014.260416666664</v>
      </c>
      <c r="Y328" s="88">
        <v>45014.583333333336</v>
      </c>
      <c r="Z328" s="81">
        <v>1600</v>
      </c>
      <c r="AA328" s="81"/>
      <c r="AB328" s="81"/>
      <c r="AC328" s="81"/>
      <c r="AD328" s="81"/>
      <c r="AE328" s="81"/>
      <c r="AF328" s="81"/>
      <c r="AG328" s="81">
        <f>Sal_23[[#This Row],[COMPRA]]*12%</f>
        <v>276</v>
      </c>
      <c r="AH328" s="83">
        <v>2300</v>
      </c>
      <c r="AI328" s="66" t="str">
        <f>PROPER(TEXT(Sal_23[[#This Row],[PROGRAMAÇÃO]],"mmm"))</f>
        <v>Mar</v>
      </c>
      <c r="AJ328" s="66">
        <f>YEAR(Sal_23[[#This Row],[PROGRAMAÇÃO]])</f>
        <v>2023</v>
      </c>
      <c r="AK328" s="66"/>
      <c r="AL328" s="66"/>
      <c r="AM328" s="66" t="s">
        <v>2768</v>
      </c>
      <c r="AN328" s="66" t="s">
        <v>2768</v>
      </c>
      <c r="AO328" s="66"/>
    </row>
    <row r="329" spans="1:41" x14ac:dyDescent="0.25">
      <c r="A329" s="120" t="str">
        <f>Sal_23[[#This Row],[CONTAINER]]</f>
        <v>CAIU3310300</v>
      </c>
      <c r="B329" s="128" t="s">
        <v>2771</v>
      </c>
      <c r="C32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29" s="198">
        <v>45013.333333333336</v>
      </c>
      <c r="E329" s="44" t="s">
        <v>3893</v>
      </c>
      <c r="F329" s="66">
        <v>20</v>
      </c>
      <c r="G329" s="66" t="s">
        <v>2826</v>
      </c>
      <c r="H329" s="44" t="s">
        <v>3440</v>
      </c>
      <c r="I329" s="299" t="s">
        <v>3253</v>
      </c>
      <c r="J329" s="66">
        <v>2651</v>
      </c>
      <c r="K329" s="66" t="s">
        <v>3892</v>
      </c>
      <c r="L329" s="66">
        <v>114520</v>
      </c>
      <c r="M329" s="66"/>
      <c r="N329" s="66" t="s">
        <v>2584</v>
      </c>
      <c r="O329" s="66" t="s">
        <v>2585</v>
      </c>
      <c r="P329" s="66" t="s">
        <v>2586</v>
      </c>
      <c r="Q329" s="138" t="str">
        <f ca="1">IFERROR(LOOKUP($P329,MOTORISTAS!$D$3:$D$1048576,MOTORISTAS!E$3:E$916),"")</f>
        <v>08312935860</v>
      </c>
      <c r="R329" s="138" t="str">
        <f ca="1">IFERROR(LOOKUP($P329,MOTORISTAS!$D$3:$D$1048576,MOTORISTAS!F$3:F$916),"")</f>
        <v>03106516083</v>
      </c>
      <c r="S329" s="66">
        <v>3499</v>
      </c>
      <c r="T329" s="66" t="s">
        <v>293</v>
      </c>
      <c r="U329" s="79">
        <v>45012.880555555559</v>
      </c>
      <c r="V329" s="66" t="s">
        <v>469</v>
      </c>
      <c r="W329" s="79">
        <v>45013.62222222222</v>
      </c>
      <c r="X329" s="79">
        <v>45013.052083333336</v>
      </c>
      <c r="Y329" s="88">
        <v>45013.4375</v>
      </c>
      <c r="Z329" s="81">
        <v>2300</v>
      </c>
      <c r="AA329" s="81"/>
      <c r="AB329" s="81"/>
      <c r="AC329" s="81"/>
      <c r="AD329" s="81"/>
      <c r="AE329" s="81"/>
      <c r="AF329" s="81"/>
      <c r="AG329" s="81">
        <f>Sal_23[[#This Row],[COMPRA]]*12%</f>
        <v>399.62399999999997</v>
      </c>
      <c r="AH329" s="83">
        <v>3330.2</v>
      </c>
      <c r="AI329" s="66" t="str">
        <f>PROPER(TEXT(Sal_23[[#This Row],[PROGRAMAÇÃO]],"mmm"))</f>
        <v>Mar</v>
      </c>
      <c r="AJ329" s="66">
        <f>YEAR(Sal_23[[#This Row],[PROGRAMAÇÃO]])</f>
        <v>2023</v>
      </c>
      <c r="AK329" s="66"/>
      <c r="AL329" s="66"/>
      <c r="AM329" s="66" t="s">
        <v>2768</v>
      </c>
      <c r="AN329" s="66" t="s">
        <v>2768</v>
      </c>
      <c r="AO329" s="66" t="s">
        <v>2768</v>
      </c>
    </row>
    <row r="330" spans="1:41" x14ac:dyDescent="0.25">
      <c r="A330" s="120" t="str">
        <f>Sal_23[[#This Row],[CONTAINER]]</f>
        <v>TCLU2966178</v>
      </c>
      <c r="B330" s="128" t="s">
        <v>2771</v>
      </c>
      <c r="C33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30" s="198">
        <v>45013.333333333336</v>
      </c>
      <c r="E330" s="44" t="s">
        <v>3894</v>
      </c>
      <c r="F330" s="66">
        <v>20</v>
      </c>
      <c r="G330" s="66" t="s">
        <v>2826</v>
      </c>
      <c r="H330" s="44" t="s">
        <v>2837</v>
      </c>
      <c r="I330" s="299" t="s">
        <v>2821</v>
      </c>
      <c r="J330" s="66">
        <v>2652</v>
      </c>
      <c r="K330" s="66" t="s">
        <v>3892</v>
      </c>
      <c r="L330" s="66">
        <v>114519</v>
      </c>
      <c r="M330" s="66"/>
      <c r="N330" s="66" t="s">
        <v>2949</v>
      </c>
      <c r="O330" s="66" t="s">
        <v>2950</v>
      </c>
      <c r="P330" s="66" t="s">
        <v>2948</v>
      </c>
      <c r="Q330" s="138" t="str">
        <f ca="1">IFERROR(LOOKUP($P330,MOTORISTAS!$D$3:$D$1048576,MOTORISTAS!E$3:E$916),"")</f>
        <v>16239341843</v>
      </c>
      <c r="R330" s="138" t="str">
        <f ca="1">IFERROR(LOOKUP($P330,MOTORISTAS!$D$3:$D$1048576,MOTORISTAS!F$3:F$916),"")</f>
        <v>01877235038</v>
      </c>
      <c r="S330" s="66">
        <v>3501</v>
      </c>
      <c r="T330" s="66" t="s">
        <v>293</v>
      </c>
      <c r="U330" s="79">
        <v>45012.970138888886</v>
      </c>
      <c r="V330" s="66" t="s">
        <v>469</v>
      </c>
      <c r="W330" s="79">
        <v>45013.488888888889</v>
      </c>
      <c r="X330" s="79">
        <v>45013.072916666664</v>
      </c>
      <c r="Y330" s="88">
        <v>45013.375</v>
      </c>
      <c r="Z330" s="81">
        <v>1600</v>
      </c>
      <c r="AA330" s="81"/>
      <c r="AB330" s="81"/>
      <c r="AC330" s="81"/>
      <c r="AD330" s="81"/>
      <c r="AE330" s="81"/>
      <c r="AF330" s="81"/>
      <c r="AG330" s="81">
        <f>Sal_23[[#This Row],[COMPRA]]*12%</f>
        <v>311.55959999999999</v>
      </c>
      <c r="AH330" s="83">
        <v>2596.33</v>
      </c>
      <c r="AI330" s="66" t="str">
        <f>PROPER(TEXT(Sal_23[[#This Row],[PROGRAMAÇÃO]],"mmm"))</f>
        <v>Mar</v>
      </c>
      <c r="AJ330" s="66">
        <f>YEAR(Sal_23[[#This Row],[PROGRAMAÇÃO]])</f>
        <v>2023</v>
      </c>
      <c r="AK330" s="66"/>
      <c r="AL330" s="66"/>
      <c r="AM330" s="66" t="s">
        <v>2768</v>
      </c>
      <c r="AN330" s="66" t="s">
        <v>2768</v>
      </c>
      <c r="AO330" s="66" t="s">
        <v>2768</v>
      </c>
    </row>
    <row r="331" spans="1:41" x14ac:dyDescent="0.25">
      <c r="A331" s="120" t="str">
        <f>Sal_23[[#This Row],[CONTAINER]]</f>
        <v>CAIU3405241</v>
      </c>
      <c r="B331" s="128" t="s">
        <v>2771</v>
      </c>
      <c r="C33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31" s="198">
        <v>45013.333333333336</v>
      </c>
      <c r="E331" s="44" t="s">
        <v>3895</v>
      </c>
      <c r="F331" s="66">
        <v>20</v>
      </c>
      <c r="G331" s="66" t="s">
        <v>2826</v>
      </c>
      <c r="H331" s="44" t="s">
        <v>2837</v>
      </c>
      <c r="I331" s="299" t="s">
        <v>2821</v>
      </c>
      <c r="J331" s="66">
        <v>2657</v>
      </c>
      <c r="K331" s="66" t="s">
        <v>3892</v>
      </c>
      <c r="L331" s="66">
        <v>104861</v>
      </c>
      <c r="M331" s="66"/>
      <c r="N331" s="66" t="s">
        <v>3096</v>
      </c>
      <c r="O331" s="66" t="s">
        <v>3097</v>
      </c>
      <c r="P331" s="66" t="s">
        <v>3098</v>
      </c>
      <c r="Q331" s="138" t="str">
        <f ca="1">IFERROR(LOOKUP($P331,MOTORISTAS!$D$3:$D$1048576,MOTORISTAS!E$3:E$916),"")</f>
        <v>29714736862</v>
      </c>
      <c r="R331" s="138" t="str">
        <f ca="1">IFERROR(LOOKUP($P331,MOTORISTAS!$D$3:$D$1048576,MOTORISTAS!F$3:F$916),"")</f>
        <v>03001275806</v>
      </c>
      <c r="S331" s="66">
        <v>3502</v>
      </c>
      <c r="T331" s="66" t="s">
        <v>293</v>
      </c>
      <c r="U331" s="79">
        <v>45013.243055555555</v>
      </c>
      <c r="V331" s="66" t="s">
        <v>469</v>
      </c>
      <c r="W331" s="79">
        <v>45014.385416666664</v>
      </c>
      <c r="X331" s="79">
        <v>45013.3125</v>
      </c>
      <c r="Y331" s="88">
        <v>45013.416666666664</v>
      </c>
      <c r="Z331" s="81">
        <v>1600</v>
      </c>
      <c r="AA331" s="81"/>
      <c r="AB331" s="81"/>
      <c r="AC331" s="81"/>
      <c r="AD331" s="81"/>
      <c r="AE331" s="81"/>
      <c r="AF331" s="81"/>
      <c r="AG331" s="81">
        <f>Sal_23[[#This Row],[COMPRA]]*12%</f>
        <v>311.55959999999999</v>
      </c>
      <c r="AH331" s="83">
        <v>2596.33</v>
      </c>
      <c r="AI331" s="66" t="str">
        <f>PROPER(TEXT(Sal_23[[#This Row],[PROGRAMAÇÃO]],"mmm"))</f>
        <v>Mar</v>
      </c>
      <c r="AJ331" s="66">
        <f>YEAR(Sal_23[[#This Row],[PROGRAMAÇÃO]])</f>
        <v>2023</v>
      </c>
      <c r="AK331" s="66"/>
      <c r="AL331" s="66"/>
      <c r="AM331" s="66" t="s">
        <v>2768</v>
      </c>
      <c r="AN331" s="66" t="s">
        <v>2768</v>
      </c>
      <c r="AO331" s="66" t="s">
        <v>2768</v>
      </c>
    </row>
    <row r="332" spans="1:41" x14ac:dyDescent="0.25">
      <c r="A332" s="120" t="str">
        <f>Sal_23[[#This Row],[CONTAINER]]</f>
        <v>MSDU1212468</v>
      </c>
      <c r="B332" s="128" t="s">
        <v>2771</v>
      </c>
      <c r="C33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32" s="198">
        <v>45013.333333333336</v>
      </c>
      <c r="E332" s="44" t="s">
        <v>3896</v>
      </c>
      <c r="F332" s="66">
        <v>20</v>
      </c>
      <c r="G332" s="66" t="s">
        <v>2826</v>
      </c>
      <c r="H332" s="44" t="s">
        <v>3113</v>
      </c>
      <c r="I332" s="299" t="s">
        <v>3114</v>
      </c>
      <c r="J332" s="66">
        <v>2655</v>
      </c>
      <c r="K332" s="66" t="s">
        <v>3892</v>
      </c>
      <c r="L332" s="66">
        <v>114581</v>
      </c>
      <c r="M332" s="66"/>
      <c r="N332" s="66" t="s">
        <v>3977</v>
      </c>
      <c r="O332" s="66" t="s">
        <v>3978</v>
      </c>
      <c r="P332" s="66" t="s">
        <v>3979</v>
      </c>
      <c r="Q332" s="138" t="str">
        <f ca="1">IFERROR(LOOKUP($P332,MOTORISTAS!$D$3:$D$1048576,MOTORISTAS!E$3:E$916),"")</f>
        <v>10059506873</v>
      </c>
      <c r="R332" s="138" t="str">
        <f ca="1">IFERROR(LOOKUP($P332,MOTORISTAS!$D$3:$D$1048576,MOTORISTAS!F$3:F$916),"")</f>
        <v>00921488705</v>
      </c>
      <c r="S332" s="66">
        <v>3503</v>
      </c>
      <c r="T332" s="66" t="s">
        <v>293</v>
      </c>
      <c r="U332" s="79">
        <v>45012.952777777777</v>
      </c>
      <c r="V332" s="66" t="s">
        <v>469</v>
      </c>
      <c r="W332" s="79">
        <v>45013.689583333333</v>
      </c>
      <c r="X332" s="79">
        <v>45013.083333333336</v>
      </c>
      <c r="Y332" s="88">
        <v>45013.583333333336</v>
      </c>
      <c r="Z332" s="81">
        <v>2350</v>
      </c>
      <c r="AA332" s="81"/>
      <c r="AB332" s="81"/>
      <c r="AC332" s="81">
        <v>600</v>
      </c>
      <c r="AD332" s="81"/>
      <c r="AE332" s="81"/>
      <c r="AF332" s="81"/>
      <c r="AG332" s="81">
        <f>Sal_23[[#This Row],[COMPRA]]*12%</f>
        <v>529.16279999999995</v>
      </c>
      <c r="AH332" s="83">
        <v>4409.6899999999996</v>
      </c>
      <c r="AI332" s="66" t="str">
        <f>PROPER(TEXT(Sal_23[[#This Row],[PROGRAMAÇÃO]],"mmm"))</f>
        <v>Mar</v>
      </c>
      <c r="AJ332" s="66">
        <f>YEAR(Sal_23[[#This Row],[PROGRAMAÇÃO]])</f>
        <v>2023</v>
      </c>
      <c r="AK332" s="66"/>
      <c r="AL332" s="66"/>
      <c r="AM332" s="66" t="s">
        <v>2768</v>
      </c>
      <c r="AN332" s="66" t="s">
        <v>2768</v>
      </c>
      <c r="AO332" s="66" t="s">
        <v>2768</v>
      </c>
    </row>
    <row r="333" spans="1:41" x14ac:dyDescent="0.25">
      <c r="A333" s="120" t="str">
        <f>Sal_23[[#This Row],[CONTAINER]]</f>
        <v>MSMU1696245</v>
      </c>
      <c r="B333" s="128" t="s">
        <v>2771</v>
      </c>
      <c r="C33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33" s="198">
        <v>45013.333333333336</v>
      </c>
      <c r="E333" s="44" t="s">
        <v>3897</v>
      </c>
      <c r="F333" s="66">
        <v>20</v>
      </c>
      <c r="G333" s="66" t="s">
        <v>2826</v>
      </c>
      <c r="H333" s="44" t="s">
        <v>3116</v>
      </c>
      <c r="I333" s="299" t="s">
        <v>3117</v>
      </c>
      <c r="J333" s="66">
        <v>2656</v>
      </c>
      <c r="K333" s="66" t="s">
        <v>3892</v>
      </c>
      <c r="L333" s="66">
        <v>114580</v>
      </c>
      <c r="M333" s="66"/>
      <c r="N333" s="66" t="s">
        <v>31</v>
      </c>
      <c r="O333" s="66" t="s">
        <v>3246</v>
      </c>
      <c r="P333" s="66" t="s">
        <v>33</v>
      </c>
      <c r="Q333" s="138" t="str">
        <f ca="1">IFERROR(LOOKUP($P333,MOTORISTAS!$D$3:$D$1048576,MOTORISTAS!E$3:E$916),"")</f>
        <v>09776430856</v>
      </c>
      <c r="R333" s="138" t="str">
        <f ca="1">IFERROR(LOOKUP($P333,MOTORISTAS!$D$3:$D$1048576,MOTORISTAS!F$3:F$916),"")</f>
        <v>01258979905</v>
      </c>
      <c r="S333" s="66">
        <v>3507</v>
      </c>
      <c r="T333" s="66" t="s">
        <v>293</v>
      </c>
      <c r="U333" s="79">
        <v>45013.227083333331</v>
      </c>
      <c r="V333" s="66" t="s">
        <v>469</v>
      </c>
      <c r="W333" s="79">
        <v>45013.691666666666</v>
      </c>
      <c r="X333" s="79">
        <v>45013.347222222219</v>
      </c>
      <c r="Y333" s="88">
        <v>45013.454861111109</v>
      </c>
      <c r="Z333" s="81">
        <v>2200</v>
      </c>
      <c r="AA333" s="81"/>
      <c r="AB333" s="81"/>
      <c r="AC333" s="81"/>
      <c r="AD333" s="81"/>
      <c r="AE333" s="81"/>
      <c r="AF333" s="81"/>
      <c r="AG333" s="81">
        <f>Sal_23[[#This Row],[COMPRA]]*12%</f>
        <v>510.26519999999999</v>
      </c>
      <c r="AH333" s="83">
        <v>4252.21</v>
      </c>
      <c r="AI333" s="66" t="str">
        <f>PROPER(TEXT(Sal_23[[#This Row],[PROGRAMAÇÃO]],"mmm"))</f>
        <v>Mar</v>
      </c>
      <c r="AJ333" s="66">
        <f>YEAR(Sal_23[[#This Row],[PROGRAMAÇÃO]])</f>
        <v>2023</v>
      </c>
      <c r="AK333" s="66" t="s">
        <v>4022</v>
      </c>
      <c r="AL333" s="44" t="s">
        <v>3602</v>
      </c>
      <c r="AM333" s="66" t="s">
        <v>2768</v>
      </c>
      <c r="AN333" s="66" t="s">
        <v>2768</v>
      </c>
      <c r="AO333" s="66" t="s">
        <v>2768</v>
      </c>
    </row>
    <row r="334" spans="1:41" x14ac:dyDescent="0.25">
      <c r="A334" s="120" t="str">
        <f>Sal_23[[#This Row],[CONTAINER]]</f>
        <v>CAIU2913654</v>
      </c>
      <c r="B334" s="128" t="s">
        <v>2771</v>
      </c>
      <c r="C33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34" s="198">
        <v>45013.333333333336</v>
      </c>
      <c r="E334" s="44" t="s">
        <v>3898</v>
      </c>
      <c r="F334" s="66">
        <v>20</v>
      </c>
      <c r="G334" s="66" t="s">
        <v>2826</v>
      </c>
      <c r="H334" s="44" t="s">
        <v>2827</v>
      </c>
      <c r="I334" s="299" t="s">
        <v>2823</v>
      </c>
      <c r="J334" s="66">
        <v>2654</v>
      </c>
      <c r="K334" s="66" t="s">
        <v>3892</v>
      </c>
      <c r="L334" s="66">
        <v>104769</v>
      </c>
      <c r="M334" s="66"/>
      <c r="N334" s="66" t="s">
        <v>2156</v>
      </c>
      <c r="O334" s="66" t="s">
        <v>2464</v>
      </c>
      <c r="P334" s="66" t="s">
        <v>2158</v>
      </c>
      <c r="Q334" s="138" t="str">
        <f ca="1">IFERROR(LOOKUP($P334,MOTORISTAS!$D$3:$D$1048576,MOTORISTAS!E$3:E$916),"")</f>
        <v>10485530864</v>
      </c>
      <c r="R334" s="138" t="str">
        <f ca="1">IFERROR(LOOKUP($P334,MOTORISTAS!$D$3:$D$1048576,MOTORISTAS!F$3:F$916),"")</f>
        <v>02033192841</v>
      </c>
      <c r="S334" s="66">
        <v>3504</v>
      </c>
      <c r="T334" s="66" t="s">
        <v>293</v>
      </c>
      <c r="U334" s="79">
        <v>45012.915972222225</v>
      </c>
      <c r="V334" s="66" t="s">
        <v>469</v>
      </c>
      <c r="W334" s="79">
        <v>45013.648611111108</v>
      </c>
      <c r="X334" s="79">
        <v>45013.086805555555</v>
      </c>
      <c r="Y334" s="88">
        <v>45013.416666666664</v>
      </c>
      <c r="Z334" s="81">
        <v>3200</v>
      </c>
      <c r="AA334" s="81"/>
      <c r="AB334" s="81"/>
      <c r="AC334" s="81"/>
      <c r="AD334" s="81"/>
      <c r="AE334" s="81"/>
      <c r="AF334" s="81"/>
      <c r="AG334" s="81">
        <f>Sal_23[[#This Row],[COMPRA]]*12%</f>
        <v>571.48680000000002</v>
      </c>
      <c r="AH334" s="83">
        <v>4762.3900000000003</v>
      </c>
      <c r="AI334" s="66" t="str">
        <f>PROPER(TEXT(Sal_23[[#This Row],[PROGRAMAÇÃO]],"mmm"))</f>
        <v>Mar</v>
      </c>
      <c r="AJ334" s="66">
        <f>YEAR(Sal_23[[#This Row],[PROGRAMAÇÃO]])</f>
        <v>2023</v>
      </c>
      <c r="AK334" s="66"/>
      <c r="AL334" s="66"/>
      <c r="AM334" s="66" t="s">
        <v>2768</v>
      </c>
      <c r="AN334" s="66" t="s">
        <v>2768</v>
      </c>
      <c r="AO334" s="66" t="s">
        <v>2768</v>
      </c>
    </row>
    <row r="335" spans="1:41" x14ac:dyDescent="0.25">
      <c r="A335" s="120" t="str">
        <f>Sal_23[[#This Row],[CONTAINER]]</f>
        <v>CAIU3108346</v>
      </c>
      <c r="B335" s="128" t="s">
        <v>2771</v>
      </c>
      <c r="C33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35" s="198">
        <v>45013.333333333336</v>
      </c>
      <c r="E335" s="44" t="s">
        <v>3899</v>
      </c>
      <c r="F335" s="66">
        <v>20</v>
      </c>
      <c r="G335" s="66" t="s">
        <v>2826</v>
      </c>
      <c r="H335" s="44" t="s">
        <v>2827</v>
      </c>
      <c r="I335" s="299" t="s">
        <v>2823</v>
      </c>
      <c r="J335" s="66">
        <v>2653</v>
      </c>
      <c r="K335" s="66" t="s">
        <v>3892</v>
      </c>
      <c r="L335" s="66">
        <v>104768</v>
      </c>
      <c r="M335" s="66"/>
      <c r="N335" s="66" t="s">
        <v>2124</v>
      </c>
      <c r="O335" s="66" t="s">
        <v>2125</v>
      </c>
      <c r="P335" s="66" t="s">
        <v>39</v>
      </c>
      <c r="Q335" s="138" t="str">
        <f ca="1">IFERROR(LOOKUP($P335,MOTORISTAS!$D$3:$D$1048576,MOTORISTAS!E$3:E$916),"")</f>
        <v>12126370895</v>
      </c>
      <c r="R335" s="138" t="str">
        <f ca="1">IFERROR(LOOKUP($P335,MOTORISTAS!$D$3:$D$1048576,MOTORISTAS!F$3:F$916),"")</f>
        <v>02988821539</v>
      </c>
      <c r="S335" s="66">
        <v>3505</v>
      </c>
      <c r="T335" s="66" t="s">
        <v>293</v>
      </c>
      <c r="U335" s="79">
        <v>45012.961111111108</v>
      </c>
      <c r="V335" s="66" t="s">
        <v>469</v>
      </c>
      <c r="W335" s="79">
        <v>45013.707638888889</v>
      </c>
      <c r="X335" s="79">
        <v>45013.3125</v>
      </c>
      <c r="Y335" s="88">
        <v>45013.4375</v>
      </c>
      <c r="Z335" s="81">
        <v>3200</v>
      </c>
      <c r="AA335" s="81"/>
      <c r="AB335" s="81"/>
      <c r="AC335" s="81"/>
      <c r="AD335" s="81"/>
      <c r="AE335" s="81"/>
      <c r="AF335" s="81"/>
      <c r="AG335" s="81">
        <f>Sal_23[[#This Row],[COMPRA]]*12%</f>
        <v>571.48680000000002</v>
      </c>
      <c r="AH335" s="83">
        <v>4762.3900000000003</v>
      </c>
      <c r="AI335" s="66" t="str">
        <f>PROPER(TEXT(Sal_23[[#This Row],[PROGRAMAÇÃO]],"mmm"))</f>
        <v>Mar</v>
      </c>
      <c r="AJ335" s="66">
        <f>YEAR(Sal_23[[#This Row],[PROGRAMAÇÃO]])</f>
        <v>2023</v>
      </c>
      <c r="AK335" s="66"/>
      <c r="AL335" s="66"/>
      <c r="AM335" s="66" t="s">
        <v>2768</v>
      </c>
      <c r="AN335" s="66" t="s">
        <v>2768</v>
      </c>
      <c r="AO335" s="66" t="s">
        <v>2768</v>
      </c>
    </row>
    <row r="336" spans="1:41" x14ac:dyDescent="0.25">
      <c r="A336" s="120" t="str">
        <f>Sal_23[[#This Row],[CONTAINER]]</f>
        <v>CAIU3377659</v>
      </c>
      <c r="B336" s="128" t="s">
        <v>2771</v>
      </c>
      <c r="C33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36" s="198">
        <v>45013.333333333336</v>
      </c>
      <c r="E336" s="44" t="s">
        <v>3900</v>
      </c>
      <c r="F336" s="66">
        <v>20</v>
      </c>
      <c r="G336" s="66" t="s">
        <v>2826</v>
      </c>
      <c r="H336" s="44" t="s">
        <v>3082</v>
      </c>
      <c r="I336" s="299" t="s">
        <v>3083</v>
      </c>
      <c r="J336" s="66">
        <v>2658</v>
      </c>
      <c r="K336" s="66" t="s">
        <v>3892</v>
      </c>
      <c r="L336" s="66">
        <v>104860</v>
      </c>
      <c r="M336" s="66"/>
      <c r="N336" s="66" t="s">
        <v>3196</v>
      </c>
      <c r="O336" s="66" t="s">
        <v>3990</v>
      </c>
      <c r="P336" s="66" t="s">
        <v>3444</v>
      </c>
      <c r="Q336" s="138" t="str">
        <f ca="1">IFERROR(LOOKUP($P336,MOTORISTAS!$D$3:$D$1048576,MOTORISTAS!E$3:E$916),"")</f>
        <v>03044141400</v>
      </c>
      <c r="R336" s="138" t="str">
        <f ca="1">IFERROR(LOOKUP($P336,MOTORISTAS!$D$3:$D$1048576,MOTORISTAS!F$3:F$916),"")</f>
        <v>00916251144</v>
      </c>
      <c r="S336" s="66">
        <v>3511</v>
      </c>
      <c r="T336" s="66" t="s">
        <v>293</v>
      </c>
      <c r="U336" s="79">
        <v>45013.27847222222</v>
      </c>
      <c r="V336" s="66" t="s">
        <v>469</v>
      </c>
      <c r="W336" s="79">
        <v>45013.734027777777</v>
      </c>
      <c r="X336" s="79">
        <v>45013.395833333336</v>
      </c>
      <c r="Y336" s="88">
        <v>45013.583333333336</v>
      </c>
      <c r="Z336" s="81">
        <v>2000</v>
      </c>
      <c r="AA336" s="81"/>
      <c r="AB336" s="81"/>
      <c r="AC336" s="81"/>
      <c r="AD336" s="81"/>
      <c r="AE336" s="81"/>
      <c r="AF336" s="81"/>
      <c r="AG336" s="81">
        <f>Sal_23[[#This Row],[COMPRA]]*12%</f>
        <v>355.75439999999998</v>
      </c>
      <c r="AH336" s="83">
        <v>2964.62</v>
      </c>
      <c r="AI336" s="66" t="str">
        <f>PROPER(TEXT(Sal_23[[#This Row],[PROGRAMAÇÃO]],"mmm"))</f>
        <v>Mar</v>
      </c>
      <c r="AJ336" s="66">
        <f>YEAR(Sal_23[[#This Row],[PROGRAMAÇÃO]])</f>
        <v>2023</v>
      </c>
      <c r="AK336" s="66"/>
      <c r="AL336" s="66"/>
      <c r="AM336" s="66" t="s">
        <v>2768</v>
      </c>
      <c r="AN336" s="66" t="s">
        <v>2768</v>
      </c>
      <c r="AO336" s="66" t="s">
        <v>2768</v>
      </c>
    </row>
    <row r="337" spans="1:41" x14ac:dyDescent="0.25">
      <c r="A337" s="120" t="str">
        <f>Sal_23[[#This Row],[CONTAINER]]</f>
        <v>TCLU8702779</v>
      </c>
      <c r="B337" s="128" t="s">
        <v>2771</v>
      </c>
      <c r="C33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37" s="198">
        <v>45013.333333333336</v>
      </c>
      <c r="E337" s="44" t="s">
        <v>3903</v>
      </c>
      <c r="F337" s="66">
        <v>40</v>
      </c>
      <c r="G337" s="66" t="s">
        <v>2826</v>
      </c>
      <c r="H337" s="44" t="s">
        <v>3910</v>
      </c>
      <c r="I337" s="299" t="s">
        <v>3909</v>
      </c>
      <c r="J337" s="66">
        <v>2665</v>
      </c>
      <c r="K337" s="66" t="s">
        <v>3892</v>
      </c>
      <c r="L337" s="66">
        <v>114575</v>
      </c>
      <c r="M337" s="66"/>
      <c r="N337" s="66" t="s">
        <v>3981</v>
      </c>
      <c r="O337" s="66" t="s">
        <v>3982</v>
      </c>
      <c r="P337" s="66" t="s">
        <v>3983</v>
      </c>
      <c r="Q337" s="138" t="str">
        <f ca="1">IFERROR(LOOKUP($P337,MOTORISTAS!$D$3:$D$1048576,MOTORISTAS!E$3:E$916),"")</f>
        <v>13353606890</v>
      </c>
      <c r="R337" s="138" t="str">
        <f ca="1">IFERROR(LOOKUP($P337,MOTORISTAS!$D$3:$D$1048576,MOTORISTAS!F$3:F$916),"")</f>
        <v>01028914080</v>
      </c>
      <c r="S337" s="66">
        <v>3508</v>
      </c>
      <c r="T337" s="66" t="s">
        <v>293</v>
      </c>
      <c r="U337" s="79">
        <v>45012.940972222219</v>
      </c>
      <c r="V337" s="66" t="s">
        <v>469</v>
      </c>
      <c r="W337" s="79">
        <v>45013.670138888891</v>
      </c>
      <c r="X337" s="79">
        <v>45013.291666666664</v>
      </c>
      <c r="Y337" s="88">
        <v>45013.583333333336</v>
      </c>
      <c r="Z337" s="81">
        <v>2300</v>
      </c>
      <c r="AA337" s="81"/>
      <c r="AB337" s="81"/>
      <c r="AC337" s="81"/>
      <c r="AD337" s="81"/>
      <c r="AE337" s="81"/>
      <c r="AF337" s="81"/>
      <c r="AG337" s="81">
        <f>Sal_23[[#This Row],[COMPRA]]*12%</f>
        <v>399.62399999999997</v>
      </c>
      <c r="AH337" s="83">
        <v>3330.2</v>
      </c>
      <c r="AI337" s="66" t="str">
        <f>PROPER(TEXT(Sal_23[[#This Row],[PROGRAMAÇÃO]],"mmm"))</f>
        <v>Mar</v>
      </c>
      <c r="AJ337" s="66">
        <f>YEAR(Sal_23[[#This Row],[PROGRAMAÇÃO]])</f>
        <v>2023</v>
      </c>
      <c r="AK337" s="66"/>
      <c r="AL337" s="66"/>
      <c r="AM337" s="66" t="s">
        <v>2768</v>
      </c>
      <c r="AN337" s="66" t="s">
        <v>2768</v>
      </c>
      <c r="AO337" s="66" t="s">
        <v>2768</v>
      </c>
    </row>
    <row r="338" spans="1:41" x14ac:dyDescent="0.25">
      <c r="A338" s="120" t="str">
        <f>Sal_23[[#This Row],[CONTAINER]]</f>
        <v>TCLU5011813</v>
      </c>
      <c r="B338" s="128" t="s">
        <v>2771</v>
      </c>
      <c r="C33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38" s="198">
        <v>45013.333333333336</v>
      </c>
      <c r="E338" s="44" t="s">
        <v>3904</v>
      </c>
      <c r="F338" s="66">
        <v>40</v>
      </c>
      <c r="G338" s="66" t="s">
        <v>2826</v>
      </c>
      <c r="H338" s="44" t="s">
        <v>2835</v>
      </c>
      <c r="I338" s="299" t="s">
        <v>2822</v>
      </c>
      <c r="J338" s="66">
        <v>2662</v>
      </c>
      <c r="K338" s="66" t="s">
        <v>3892</v>
      </c>
      <c r="L338" s="66">
        <v>104743</v>
      </c>
      <c r="M338" s="66"/>
      <c r="N338" s="66" t="s">
        <v>3984</v>
      </c>
      <c r="O338" s="66" t="s">
        <v>3985</v>
      </c>
      <c r="P338" s="66" t="s">
        <v>3986</v>
      </c>
      <c r="Q338" s="138" t="str">
        <f ca="1">IFERROR(LOOKUP($P338,MOTORISTAS!$D$3:$D$1048576,MOTORISTAS!E$3:E$916),"")</f>
        <v>28215309860</v>
      </c>
      <c r="R338" s="138" t="str">
        <f ca="1">IFERROR(LOOKUP($P338,MOTORISTAS!$D$3:$D$1048576,MOTORISTAS!F$3:F$916),"")</f>
        <v>02531686463</v>
      </c>
      <c r="S338" s="66">
        <v>3509</v>
      </c>
      <c r="T338" s="66" t="s">
        <v>293</v>
      </c>
      <c r="U338" s="79">
        <v>45013.054861111108</v>
      </c>
      <c r="V338" s="66" t="s">
        <v>526</v>
      </c>
      <c r="W338" s="79">
        <v>45013.621527777781</v>
      </c>
      <c r="X338" s="79">
        <v>45013.381944444445</v>
      </c>
      <c r="Y338" s="88">
        <v>45013.583333333336</v>
      </c>
      <c r="Z338" s="81">
        <v>2100</v>
      </c>
      <c r="AA338" s="81"/>
      <c r="AB338" s="81"/>
      <c r="AC338" s="81"/>
      <c r="AD338" s="81"/>
      <c r="AE338" s="81"/>
      <c r="AF338" s="81"/>
      <c r="AG338" s="81">
        <f>Sal_23[[#This Row],[COMPRA]]*12%</f>
        <v>370.37759999999997</v>
      </c>
      <c r="AH338" s="83">
        <v>3086.48</v>
      </c>
      <c r="AI338" s="66" t="str">
        <f>PROPER(TEXT(Sal_23[[#This Row],[PROGRAMAÇÃO]],"mmm"))</f>
        <v>Mar</v>
      </c>
      <c r="AJ338" s="66">
        <f>YEAR(Sal_23[[#This Row],[PROGRAMAÇÃO]])</f>
        <v>2023</v>
      </c>
      <c r="AK338" s="66"/>
      <c r="AL338" s="66"/>
      <c r="AM338" s="66" t="s">
        <v>2768</v>
      </c>
      <c r="AN338" s="66" t="s">
        <v>2768</v>
      </c>
      <c r="AO338" s="66" t="s">
        <v>2768</v>
      </c>
    </row>
    <row r="339" spans="1:41" x14ac:dyDescent="0.25">
      <c r="A339" s="120" t="str">
        <f>Sal_23[[#This Row],[CONTAINER]]</f>
        <v>GLDU7712672</v>
      </c>
      <c r="B339" s="128" t="s">
        <v>2771</v>
      </c>
      <c r="C33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39" s="198">
        <v>45013.333333333336</v>
      </c>
      <c r="E339" s="44" t="s">
        <v>3905</v>
      </c>
      <c r="F339" s="66">
        <v>40</v>
      </c>
      <c r="G339" s="66" t="s">
        <v>2826</v>
      </c>
      <c r="H339" s="44" t="s">
        <v>2835</v>
      </c>
      <c r="I339" s="299" t="s">
        <v>2822</v>
      </c>
      <c r="J339" s="66">
        <v>2660</v>
      </c>
      <c r="K339" s="66" t="s">
        <v>3892</v>
      </c>
      <c r="L339" s="66">
        <v>104742</v>
      </c>
      <c r="M339" s="66"/>
      <c r="N339" s="66" t="s">
        <v>3987</v>
      </c>
      <c r="O339" s="66" t="s">
        <v>3988</v>
      </c>
      <c r="P339" s="66" t="s">
        <v>3989</v>
      </c>
      <c r="Q339" s="138" t="str">
        <f ca="1">IFERROR(LOOKUP($P339,MOTORISTAS!$D$3:$D$1048576,MOTORISTAS!E$3:E$916),"")</f>
        <v>14177245879</v>
      </c>
      <c r="R339" s="138" t="str">
        <f ca="1">IFERROR(LOOKUP($P339,MOTORISTAS!$D$3:$D$1048576,MOTORISTAS!F$3:F$916),"")</f>
        <v>00887688055</v>
      </c>
      <c r="S339" s="66">
        <v>3510</v>
      </c>
      <c r="T339" s="66" t="s">
        <v>293</v>
      </c>
      <c r="U339" s="79">
        <v>45012.988194444442</v>
      </c>
      <c r="V339" s="66" t="s">
        <v>526</v>
      </c>
      <c r="W339" s="79">
        <v>45013.62222222222</v>
      </c>
      <c r="X339" s="79">
        <v>45013.381944444445</v>
      </c>
      <c r="Y339" s="88">
        <v>45013.583333333336</v>
      </c>
      <c r="Z339" s="81">
        <v>2100</v>
      </c>
      <c r="AA339" s="81"/>
      <c r="AB339" s="81"/>
      <c r="AC339" s="81"/>
      <c r="AD339" s="81"/>
      <c r="AE339" s="81"/>
      <c r="AF339" s="81"/>
      <c r="AG339" s="81">
        <f>Sal_23[[#This Row],[COMPRA]]*12%</f>
        <v>370.37759999999997</v>
      </c>
      <c r="AH339" s="83">
        <v>3086.48</v>
      </c>
      <c r="AI339" s="66" t="str">
        <f>PROPER(TEXT(Sal_23[[#This Row],[PROGRAMAÇÃO]],"mmm"))</f>
        <v>Mar</v>
      </c>
      <c r="AJ339" s="66">
        <f>YEAR(Sal_23[[#This Row],[PROGRAMAÇÃO]])</f>
        <v>2023</v>
      </c>
      <c r="AK339" s="66"/>
      <c r="AL339" s="66"/>
      <c r="AM339" s="66" t="s">
        <v>2768</v>
      </c>
      <c r="AN339" s="66" t="s">
        <v>2768</v>
      </c>
      <c r="AO339" s="66" t="s">
        <v>2768</v>
      </c>
    </row>
    <row r="340" spans="1:41" x14ac:dyDescent="0.25">
      <c r="A340" s="120" t="str">
        <f>Sal_23[[#This Row],[CONTAINER]]</f>
        <v>TCNU7748134</v>
      </c>
      <c r="B340" s="128" t="s">
        <v>2771</v>
      </c>
      <c r="C34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40" s="198">
        <v>45013.333333333336</v>
      </c>
      <c r="E340" s="44" t="s">
        <v>3908</v>
      </c>
      <c r="F340" s="66">
        <v>40</v>
      </c>
      <c r="G340" s="66" t="s">
        <v>2826</v>
      </c>
      <c r="H340" s="44" t="s">
        <v>2833</v>
      </c>
      <c r="I340" s="299" t="s">
        <v>2832</v>
      </c>
      <c r="J340" s="66">
        <v>2664</v>
      </c>
      <c r="K340" s="66" t="s">
        <v>3892</v>
      </c>
      <c r="L340" s="66">
        <v>104771</v>
      </c>
      <c r="M340" s="66"/>
      <c r="N340" s="66" t="s">
        <v>210</v>
      </c>
      <c r="O340" s="66" t="s">
        <v>211</v>
      </c>
      <c r="P340" s="66" t="s">
        <v>212</v>
      </c>
      <c r="Q340" s="138" t="str">
        <f ca="1">IFERROR(LOOKUP($P340,MOTORISTAS!$D$3:$D$1048576,MOTORISTAS!E$3:E$916),"")</f>
        <v>38029906846</v>
      </c>
      <c r="R340" s="138" t="str">
        <f ca="1">IFERROR(LOOKUP($P340,MOTORISTAS!$D$3:$D$1048576,MOTORISTAS!F$3:F$916),"")</f>
        <v>04946846842</v>
      </c>
      <c r="S340" s="66">
        <v>3500</v>
      </c>
      <c r="T340" s="66" t="s">
        <v>293</v>
      </c>
      <c r="U340" s="79">
        <v>45013.064583333333</v>
      </c>
      <c r="V340" s="66" t="s">
        <v>526</v>
      </c>
      <c r="W340" s="79">
        <v>45013.662499999999</v>
      </c>
      <c r="X340" s="79">
        <v>45013.340277777781</v>
      </c>
      <c r="Y340" s="88">
        <v>45013.583333333336</v>
      </c>
      <c r="Z340" s="81"/>
      <c r="AA340" s="81">
        <v>635.4</v>
      </c>
      <c r="AB340" s="81"/>
      <c r="AC340" s="81"/>
      <c r="AD340" s="81"/>
      <c r="AE340" s="81"/>
      <c r="AF340" s="81"/>
      <c r="AG340" s="81">
        <f>Sal_23[[#This Row],[COMPRA]]*12%</f>
        <v>641.71680000000003</v>
      </c>
      <c r="AH340" s="83">
        <v>5347.64</v>
      </c>
      <c r="AI340" s="66" t="str">
        <f>PROPER(TEXT(Sal_23[[#This Row],[PROGRAMAÇÃO]],"mmm"))</f>
        <v>Mar</v>
      </c>
      <c r="AJ340" s="66">
        <f>YEAR(Sal_23[[#This Row],[PROGRAMAÇÃO]])</f>
        <v>2023</v>
      </c>
      <c r="AK340" s="66"/>
      <c r="AL340" s="44" t="s">
        <v>3346</v>
      </c>
      <c r="AM340" s="66" t="s">
        <v>2768</v>
      </c>
      <c r="AN340" s="66" t="s">
        <v>2768</v>
      </c>
      <c r="AO340" s="66" t="s">
        <v>2768</v>
      </c>
    </row>
    <row r="341" spans="1:41" x14ac:dyDescent="0.25">
      <c r="A341" s="120" t="str">
        <f>Sal_23[[#This Row],[CONTAINER]]</f>
        <v>MEDU8884174</v>
      </c>
      <c r="B341" s="128" t="s">
        <v>2771</v>
      </c>
      <c r="C34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41" s="198">
        <v>45014.333333333336</v>
      </c>
      <c r="E341" s="44" t="s">
        <v>3906</v>
      </c>
      <c r="F341" s="66">
        <v>40</v>
      </c>
      <c r="G341" s="66" t="s">
        <v>2826</v>
      </c>
      <c r="H341" s="44" t="s">
        <v>2835</v>
      </c>
      <c r="I341" s="299" t="s">
        <v>2822</v>
      </c>
      <c r="J341" s="66"/>
      <c r="K341" s="66" t="s">
        <v>3892</v>
      </c>
      <c r="L341" s="66">
        <v>104770</v>
      </c>
      <c r="M341" s="66"/>
      <c r="N341" s="66" t="s">
        <v>890</v>
      </c>
      <c r="O341" s="66" t="s">
        <v>179</v>
      </c>
      <c r="P341" s="66" t="s">
        <v>2678</v>
      </c>
      <c r="Q341" s="138" t="str">
        <f ca="1">IFERROR(LOOKUP($P341,MOTORISTAS!$D$3:$D$1048576,MOTORISTAS!E$3:E$916),"")</f>
        <v>28386357860</v>
      </c>
      <c r="R341" s="138" t="str">
        <f ca="1">IFERROR(LOOKUP($P341,MOTORISTAS!$D$3:$D$1048576,MOTORISTAS!F$3:F$916),"")</f>
        <v>01042201192</v>
      </c>
      <c r="S341" s="66">
        <v>3513</v>
      </c>
      <c r="T341" s="66" t="s">
        <v>293</v>
      </c>
      <c r="U341" s="79">
        <v>45014.07916666667</v>
      </c>
      <c r="V341" s="66" t="s">
        <v>469</v>
      </c>
      <c r="W341" s="79">
        <v>45014.592361111114</v>
      </c>
      <c r="X341" s="79">
        <v>45014.208333333336</v>
      </c>
      <c r="Y341" s="88">
        <v>45014.4375</v>
      </c>
      <c r="Z341" s="81">
        <v>2100</v>
      </c>
      <c r="AA341" s="81"/>
      <c r="AB341" s="81"/>
      <c r="AC341" s="81"/>
      <c r="AD341" s="81"/>
      <c r="AE341" s="81"/>
      <c r="AF341" s="81"/>
      <c r="AG341" s="81">
        <f>Sal_23[[#This Row],[COMPRA]]*12%</f>
        <v>370.37759999999997</v>
      </c>
      <c r="AH341" s="83">
        <v>3086.48</v>
      </c>
      <c r="AI341" s="66" t="str">
        <f>PROPER(TEXT(Sal_23[[#This Row],[PROGRAMAÇÃO]],"mmm"))</f>
        <v>Mar</v>
      </c>
      <c r="AJ341" s="66">
        <f>YEAR(Sal_23[[#This Row],[PROGRAMAÇÃO]])</f>
        <v>2023</v>
      </c>
      <c r="AK341" s="66"/>
      <c r="AL341" s="66"/>
      <c r="AM341" s="66" t="s">
        <v>2768</v>
      </c>
      <c r="AN341" s="66" t="s">
        <v>2768</v>
      </c>
      <c r="AO341" s="66" t="s">
        <v>2768</v>
      </c>
    </row>
    <row r="342" spans="1:41" x14ac:dyDescent="0.25">
      <c r="A342" s="120" t="str">
        <f>Sal_23[[#This Row],[CONTAINER]]</f>
        <v>TCNU8696713</v>
      </c>
      <c r="B342" s="128" t="s">
        <v>2771</v>
      </c>
      <c r="C34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42" s="198">
        <v>45014.333333333336</v>
      </c>
      <c r="E342" s="44" t="s">
        <v>3907</v>
      </c>
      <c r="F342" s="66">
        <v>40</v>
      </c>
      <c r="G342" s="66" t="s">
        <v>2826</v>
      </c>
      <c r="H342" s="44" t="s">
        <v>2835</v>
      </c>
      <c r="I342" s="299" t="s">
        <v>2822</v>
      </c>
      <c r="J342" s="66">
        <v>2666</v>
      </c>
      <c r="K342" s="66" t="s">
        <v>3892</v>
      </c>
      <c r="L342" s="66">
        <v>104858</v>
      </c>
      <c r="M342" s="66"/>
      <c r="N342" s="66" t="s">
        <v>210</v>
      </c>
      <c r="O342" s="66" t="s">
        <v>211</v>
      </c>
      <c r="P342" s="66" t="s">
        <v>212</v>
      </c>
      <c r="Q342" s="138" t="str">
        <f ca="1">IFERROR(LOOKUP($P342,MOTORISTAS!$D$3:$D$1048576,MOTORISTAS!E$3:E$916),"")</f>
        <v>38029906846</v>
      </c>
      <c r="R342" s="138" t="str">
        <f ca="1">IFERROR(LOOKUP($P342,MOTORISTAS!$D$3:$D$1048576,MOTORISTAS!F$3:F$916),"")</f>
        <v>04946846842</v>
      </c>
      <c r="S342" s="66">
        <v>3512</v>
      </c>
      <c r="T342" s="66" t="s">
        <v>293</v>
      </c>
      <c r="U342" s="79">
        <v>45014.118055555555</v>
      </c>
      <c r="V342" s="66" t="s">
        <v>526</v>
      </c>
      <c r="W342" s="79">
        <v>45014.606249999997</v>
      </c>
      <c r="X342" s="79">
        <v>45014.208333333336</v>
      </c>
      <c r="Y342" s="88">
        <v>45014.4375</v>
      </c>
      <c r="Z342" s="81">
        <v>1858.2</v>
      </c>
      <c r="AA342" s="81">
        <v>241.8</v>
      </c>
      <c r="AB342" s="81"/>
      <c r="AC342" s="81"/>
      <c r="AD342" s="81"/>
      <c r="AE342" s="81"/>
      <c r="AF342" s="81"/>
      <c r="AG342" s="81">
        <f>Sal_23[[#This Row],[COMPRA]]*12%</f>
        <v>370.37759999999997</v>
      </c>
      <c r="AH342" s="83">
        <v>3086.48</v>
      </c>
      <c r="AI342" s="66" t="str">
        <f>PROPER(TEXT(Sal_23[[#This Row],[PROGRAMAÇÃO]],"mmm"))</f>
        <v>Mar</v>
      </c>
      <c r="AJ342" s="66">
        <f>YEAR(Sal_23[[#This Row],[PROGRAMAÇÃO]])</f>
        <v>2023</v>
      </c>
      <c r="AK342" s="66"/>
      <c r="AL342" s="66"/>
      <c r="AM342" s="66" t="s">
        <v>2768</v>
      </c>
      <c r="AN342" s="66" t="s">
        <v>2768</v>
      </c>
      <c r="AO342" s="66" t="s">
        <v>2768</v>
      </c>
    </row>
    <row r="343" spans="1:41" x14ac:dyDescent="0.25">
      <c r="A343" s="120" t="str">
        <f>Sal_23[[#This Row],[CONTAINER]]</f>
        <v>CAIU8811428</v>
      </c>
      <c r="B343" s="128" t="s">
        <v>2771</v>
      </c>
      <c r="C34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43" s="198">
        <v>45015.333333333336</v>
      </c>
      <c r="E343" s="44" t="s">
        <v>3901</v>
      </c>
      <c r="F343" s="66">
        <v>40</v>
      </c>
      <c r="G343" s="66" t="s">
        <v>2826</v>
      </c>
      <c r="H343" s="44" t="s">
        <v>3910</v>
      </c>
      <c r="I343" s="299" t="s">
        <v>3909</v>
      </c>
      <c r="J343" s="66">
        <v>2659</v>
      </c>
      <c r="K343" s="66" t="s">
        <v>3892</v>
      </c>
      <c r="L343" s="66">
        <v>114506</v>
      </c>
      <c r="M343" s="66"/>
      <c r="N343" s="66" t="s">
        <v>87</v>
      </c>
      <c r="O343" s="66" t="s">
        <v>88</v>
      </c>
      <c r="P343" s="66" t="s">
        <v>89</v>
      </c>
      <c r="Q343" s="138" t="str">
        <f ca="1">IFERROR(LOOKUP($P343,MOTORISTAS!$D$3:$D$1048576,MOTORISTAS!E$3:E$916),"")</f>
        <v>00097734527</v>
      </c>
      <c r="R343" s="138" t="str">
        <f ca="1">IFERROR(LOOKUP($P343,MOTORISTAS!$D$3:$D$1048576,MOTORISTAS!F$3:F$916),"")</f>
        <v>03148346870</v>
      </c>
      <c r="S343" s="66">
        <v>3516</v>
      </c>
      <c r="T343" s="66" t="s">
        <v>293</v>
      </c>
      <c r="U343" s="79">
        <v>45015.011111111111</v>
      </c>
      <c r="V343" s="66" t="s">
        <v>469</v>
      </c>
      <c r="W343" s="79">
        <v>45015.605555555558</v>
      </c>
      <c r="X343" s="79">
        <v>45015.152777777781</v>
      </c>
      <c r="Y343" s="88">
        <v>45015.583333333336</v>
      </c>
      <c r="Z343" s="81">
        <v>2300</v>
      </c>
      <c r="AA343" s="81"/>
      <c r="AB343" s="81"/>
      <c r="AC343" s="81"/>
      <c r="AD343" s="81"/>
      <c r="AE343" s="81"/>
      <c r="AF343" s="81"/>
      <c r="AG343" s="81">
        <f>Sal_23[[#This Row],[COMPRA]]*12%</f>
        <v>399.62399999999997</v>
      </c>
      <c r="AH343" s="83">
        <v>3330.2</v>
      </c>
      <c r="AI343" s="66" t="str">
        <f>PROPER(TEXT(Sal_23[[#This Row],[PROGRAMAÇÃO]],"mmm"))</f>
        <v>Mar</v>
      </c>
      <c r="AJ343" s="66">
        <f>YEAR(Sal_23[[#This Row],[PROGRAMAÇÃO]])</f>
        <v>2023</v>
      </c>
      <c r="AK343" s="66"/>
      <c r="AL343" s="66"/>
      <c r="AM343" s="66" t="s">
        <v>2768</v>
      </c>
      <c r="AN343" s="66" t="s">
        <v>2768</v>
      </c>
      <c r="AO343" s="66" t="s">
        <v>2768</v>
      </c>
    </row>
    <row r="344" spans="1:41" x14ac:dyDescent="0.25">
      <c r="A344" s="120" t="str">
        <f>Sal_23[[#This Row],[CONTAINER]]</f>
        <v>TEMU7892141</v>
      </c>
      <c r="B344" s="128" t="s">
        <v>2771</v>
      </c>
      <c r="C34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44" s="198">
        <v>45015.333333333336</v>
      </c>
      <c r="E344" s="44" t="s">
        <v>3902</v>
      </c>
      <c r="F344" s="66">
        <v>40</v>
      </c>
      <c r="G344" s="66" t="s">
        <v>2826</v>
      </c>
      <c r="H344" s="44" t="s">
        <v>3910</v>
      </c>
      <c r="I344" s="299" t="s">
        <v>3909</v>
      </c>
      <c r="J344" s="66">
        <v>2661</v>
      </c>
      <c r="K344" s="66" t="s">
        <v>3892</v>
      </c>
      <c r="L344" s="66">
        <v>114521</v>
      </c>
      <c r="M344" s="66"/>
      <c r="N344" s="66" t="s">
        <v>111</v>
      </c>
      <c r="O344" s="66" t="s">
        <v>891</v>
      </c>
      <c r="P344" s="66" t="s">
        <v>113</v>
      </c>
      <c r="Q344" s="138" t="str">
        <f ca="1">IFERROR(LOOKUP($P344,MOTORISTAS!$D$3:$D$1048576,MOTORISTAS!E$3:E$916),"")</f>
        <v>88265951434</v>
      </c>
      <c r="R344" s="138" t="str">
        <f ca="1">IFERROR(LOOKUP($P344,MOTORISTAS!$D$3:$D$1048576,MOTORISTAS!F$3:F$916),"")</f>
        <v>00920373596</v>
      </c>
      <c r="S344" s="66">
        <v>3517</v>
      </c>
      <c r="T344" s="66" t="s">
        <v>293</v>
      </c>
      <c r="U344" s="79">
        <v>45015.1875</v>
      </c>
      <c r="V344" s="66" t="s">
        <v>469</v>
      </c>
      <c r="W344" s="79">
        <v>45015.786111111112</v>
      </c>
      <c r="X344" s="79">
        <v>45015.333333333336</v>
      </c>
      <c r="Y344" s="88">
        <v>45015.583333333336</v>
      </c>
      <c r="Z344" s="81">
        <v>2300</v>
      </c>
      <c r="AA344" s="81"/>
      <c r="AB344" s="81"/>
      <c r="AC344" s="81"/>
      <c r="AD344" s="81"/>
      <c r="AE344" s="81"/>
      <c r="AF344" s="81"/>
      <c r="AG344" s="81">
        <f>Sal_23[[#This Row],[COMPRA]]*12%</f>
        <v>399.62399999999997</v>
      </c>
      <c r="AH344" s="83">
        <v>3330.2</v>
      </c>
      <c r="AI344" s="66" t="str">
        <f>PROPER(TEXT(Sal_23[[#This Row],[PROGRAMAÇÃO]],"mmm"))</f>
        <v>Mar</v>
      </c>
      <c r="AJ344" s="66">
        <f>YEAR(Sal_23[[#This Row],[PROGRAMAÇÃO]])</f>
        <v>2023</v>
      </c>
      <c r="AK344" s="66"/>
      <c r="AL344" s="66"/>
      <c r="AM344" s="66" t="s">
        <v>2768</v>
      </c>
      <c r="AN344" s="66" t="s">
        <v>2768</v>
      </c>
      <c r="AO344" s="66" t="s">
        <v>2768</v>
      </c>
    </row>
    <row r="345" spans="1:41" x14ac:dyDescent="0.25">
      <c r="A345" s="120" t="str">
        <f>Sal_23[[#This Row],[CONTAINER]]</f>
        <v>SEGU1255319</v>
      </c>
      <c r="B345" s="128" t="s">
        <v>2771</v>
      </c>
      <c r="C34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45" s="79">
        <v>45015.333333333336</v>
      </c>
      <c r="E345" s="44" t="s">
        <v>4006</v>
      </c>
      <c r="F345" s="66">
        <v>20</v>
      </c>
      <c r="G345" s="66" t="s">
        <v>2826</v>
      </c>
      <c r="H345" s="44" t="s">
        <v>2825</v>
      </c>
      <c r="I345" s="299" t="s">
        <v>4012</v>
      </c>
      <c r="J345" s="66">
        <v>2999</v>
      </c>
      <c r="K345" s="66" t="s">
        <v>4013</v>
      </c>
      <c r="L345" s="66">
        <v>104957</v>
      </c>
      <c r="M345" s="66"/>
      <c r="N345" s="66" t="s">
        <v>2584</v>
      </c>
      <c r="O345" s="66" t="s">
        <v>2585</v>
      </c>
      <c r="P345" s="66" t="s">
        <v>2586</v>
      </c>
      <c r="Q345" s="138" t="str">
        <f ca="1">IFERROR(LOOKUP($P345,MOTORISTAS!$D$3:$D$1048576,MOTORISTAS!E$3:E$916),"")</f>
        <v>08312935860</v>
      </c>
      <c r="R345" s="138" t="str">
        <f ca="1">IFERROR(LOOKUP($P345,MOTORISTAS!$D$3:$D$1048576,MOTORISTAS!F$3:F$916),"")</f>
        <v>03106516083</v>
      </c>
      <c r="S345" s="66">
        <v>3514</v>
      </c>
      <c r="T345" s="66" t="s">
        <v>293</v>
      </c>
      <c r="U345" s="79">
        <v>45014.890972222223</v>
      </c>
      <c r="V345" s="66" t="s">
        <v>469</v>
      </c>
      <c r="W345" s="79">
        <v>45015.588194444441</v>
      </c>
      <c r="X345" s="79">
        <v>45015.010416666664</v>
      </c>
      <c r="Y345" s="88">
        <v>45015.427083333336</v>
      </c>
      <c r="Z345" s="81">
        <v>2000</v>
      </c>
      <c r="AA345" s="81"/>
      <c r="AB345" s="81"/>
      <c r="AC345" s="81">
        <v>700</v>
      </c>
      <c r="AD345" s="81"/>
      <c r="AE345" s="81"/>
      <c r="AF345" s="81"/>
      <c r="AG345" s="81">
        <f>Sal_23[[#This Row],[COMPRA]]*12%</f>
        <v>447.91919999999999</v>
      </c>
      <c r="AH345" s="83">
        <v>3732.66</v>
      </c>
      <c r="AI345" s="66" t="str">
        <f>PROPER(TEXT(Sal_23[[#This Row],[PROGRAMAÇÃO]],"mmm"))</f>
        <v>Mar</v>
      </c>
      <c r="AJ345" s="66">
        <f>YEAR(Sal_23[[#This Row],[PROGRAMAÇÃO]])</f>
        <v>2023</v>
      </c>
      <c r="AK345" s="66"/>
      <c r="AL345" s="66"/>
      <c r="AM345" s="66" t="s">
        <v>2768</v>
      </c>
      <c r="AN345" s="66" t="s">
        <v>2768</v>
      </c>
      <c r="AO345" s="66" t="s">
        <v>2768</v>
      </c>
    </row>
    <row r="346" spans="1:41" x14ac:dyDescent="0.25">
      <c r="A346" s="120" t="str">
        <f>Sal_23[[#This Row],[CONTAINER]]</f>
        <v>SEGU1154479</v>
      </c>
      <c r="B346" s="128" t="s">
        <v>2771</v>
      </c>
      <c r="C34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46" s="79">
        <v>45015.333333333336</v>
      </c>
      <c r="E346" s="44" t="s">
        <v>4002</v>
      </c>
      <c r="F346" s="66">
        <v>20</v>
      </c>
      <c r="G346" s="66" t="s">
        <v>2837</v>
      </c>
      <c r="H346" s="44" t="s">
        <v>2837</v>
      </c>
      <c r="I346" s="299" t="s">
        <v>2821</v>
      </c>
      <c r="J346" s="66">
        <v>3131</v>
      </c>
      <c r="K346" s="66" t="s">
        <v>4013</v>
      </c>
      <c r="L346" s="66">
        <v>105110</v>
      </c>
      <c r="M346" s="66"/>
      <c r="N346" s="66" t="s">
        <v>2949</v>
      </c>
      <c r="O346" s="66" t="s">
        <v>2950</v>
      </c>
      <c r="P346" s="66" t="s">
        <v>2948</v>
      </c>
      <c r="Q346" s="138" t="str">
        <f ca="1">IFERROR(LOOKUP($P346,MOTORISTAS!$D$3:$D$1048576,MOTORISTAS!E$3:E$916),"")</f>
        <v>16239341843</v>
      </c>
      <c r="R346" s="138" t="str">
        <f ca="1">IFERROR(LOOKUP($P346,MOTORISTAS!$D$3:$D$1048576,MOTORISTAS!F$3:F$916),"")</f>
        <v>01877235038</v>
      </c>
      <c r="S346" s="66">
        <v>3515</v>
      </c>
      <c r="T346" s="66" t="s">
        <v>293</v>
      </c>
      <c r="U346" s="79">
        <v>45014.96597222222</v>
      </c>
      <c r="V346" s="66" t="s">
        <v>469</v>
      </c>
      <c r="W346" s="79">
        <v>45015.561111111114</v>
      </c>
      <c r="X346" s="79">
        <v>45015.041666666664</v>
      </c>
      <c r="Y346" s="88">
        <v>45015.427083333336</v>
      </c>
      <c r="Z346" s="81"/>
      <c r="AA346" s="81"/>
      <c r="AB346" s="81"/>
      <c r="AC346" s="81"/>
      <c r="AD346" s="81"/>
      <c r="AE346" s="81"/>
      <c r="AF346" s="81"/>
      <c r="AG346" s="81">
        <f>Sal_23[[#This Row],[COMPRA]]*12%</f>
        <v>311.55959999999999</v>
      </c>
      <c r="AH346" s="83">
        <v>2596.33</v>
      </c>
      <c r="AI346" s="66" t="str">
        <f>PROPER(TEXT(Sal_23[[#This Row],[PROGRAMAÇÃO]],"mmm"))</f>
        <v>Mar</v>
      </c>
      <c r="AJ346" s="66">
        <f>YEAR(Sal_23[[#This Row],[PROGRAMAÇÃO]])</f>
        <v>2023</v>
      </c>
      <c r="AK346" s="66"/>
      <c r="AL346" s="66"/>
      <c r="AM346" s="66" t="s">
        <v>2768</v>
      </c>
      <c r="AN346" s="66" t="s">
        <v>2768</v>
      </c>
      <c r="AO346" s="66" t="s">
        <v>2768</v>
      </c>
    </row>
    <row r="347" spans="1:41" x14ac:dyDescent="0.25">
      <c r="A347" s="120" t="str">
        <f>Sal_23[[#This Row],[CONTAINER]]</f>
        <v>MSDU2071174</v>
      </c>
      <c r="B347" s="128" t="s">
        <v>2771</v>
      </c>
      <c r="C34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47" s="198">
        <v>45015</v>
      </c>
      <c r="E347" s="44" t="s">
        <v>4011</v>
      </c>
      <c r="F347" s="66">
        <v>20</v>
      </c>
      <c r="G347" s="66" t="s">
        <v>2820</v>
      </c>
      <c r="H347" s="44" t="s">
        <v>2820</v>
      </c>
      <c r="I347" s="299" t="s">
        <v>2821</v>
      </c>
      <c r="J347" s="66">
        <v>3052</v>
      </c>
      <c r="K347" s="66" t="s">
        <v>4013</v>
      </c>
      <c r="L347" s="66">
        <v>69705</v>
      </c>
      <c r="M347" s="66"/>
      <c r="N347" s="66" t="s">
        <v>2859</v>
      </c>
      <c r="O347" s="66" t="s">
        <v>2860</v>
      </c>
      <c r="P347" s="66" t="s">
        <v>2861</v>
      </c>
      <c r="Q347" s="138" t="str">
        <f ca="1">IFERROR(LOOKUP($P347,MOTORISTAS!$D$3:$D$1048576,MOTORISTAS!E$3:E$916),"")</f>
        <v>01817591878</v>
      </c>
      <c r="R347" s="138" t="str">
        <f ca="1">IFERROR(LOOKUP($P347,MOTORISTAS!$D$3:$D$1048576,MOTORISTAS!F$3:F$916),"")</f>
        <v>00821760640</v>
      </c>
      <c r="S347" s="66">
        <v>15540</v>
      </c>
      <c r="T347" s="66" t="s">
        <v>293</v>
      </c>
      <c r="U347" s="79">
        <v>45015.007638888892</v>
      </c>
      <c r="V347" s="66" t="s">
        <v>469</v>
      </c>
      <c r="W347" s="79">
        <v>45015.593055555553</v>
      </c>
      <c r="X347" s="79">
        <v>45015.114583333336</v>
      </c>
      <c r="Y347" s="88">
        <v>45015.375</v>
      </c>
      <c r="Z347" s="81">
        <v>1600</v>
      </c>
      <c r="AA347" s="81"/>
      <c r="AB347" s="81"/>
      <c r="AC347" s="81"/>
      <c r="AD347" s="81"/>
      <c r="AE347" s="81"/>
      <c r="AF347" s="81"/>
      <c r="AG347" s="81">
        <f>Sal_23[[#This Row],[COMPRA]]*12%</f>
        <v>276</v>
      </c>
      <c r="AH347" s="83">
        <v>2300</v>
      </c>
      <c r="AI347" s="66" t="str">
        <f>PROPER(TEXT(Sal_23[[#This Row],[PROGRAMAÇÃO]],"mmm"))</f>
        <v>Mar</v>
      </c>
      <c r="AJ347" s="66">
        <f>YEAR(Sal_23[[#This Row],[PROGRAMAÇÃO]])</f>
        <v>2023</v>
      </c>
      <c r="AK347" s="66"/>
      <c r="AL347" s="44"/>
      <c r="AM347" s="66" t="s">
        <v>2768</v>
      </c>
      <c r="AN347" s="66" t="s">
        <v>2768</v>
      </c>
      <c r="AO347" s="66" t="s">
        <v>2768</v>
      </c>
    </row>
    <row r="348" spans="1:41" x14ac:dyDescent="0.25">
      <c r="A348" s="120" t="str">
        <f>Sal_23[[#This Row],[CONTAINER]]</f>
        <v>SEGU1152563</v>
      </c>
      <c r="B348" s="128" t="s">
        <v>2771</v>
      </c>
      <c r="C34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48" s="198">
        <v>45015.458333333336</v>
      </c>
      <c r="E348" s="44" t="s">
        <v>4027</v>
      </c>
      <c r="F348" s="66">
        <v>20</v>
      </c>
      <c r="G348" s="66" t="s">
        <v>2820</v>
      </c>
      <c r="H348" s="44" t="s">
        <v>2820</v>
      </c>
      <c r="I348" s="299" t="s">
        <v>2821</v>
      </c>
      <c r="J348" s="66">
        <v>3111</v>
      </c>
      <c r="K348" s="66" t="s">
        <v>4013</v>
      </c>
      <c r="L348" s="66">
        <v>105108</v>
      </c>
      <c r="M348" s="66"/>
      <c r="N348" s="66" t="s">
        <v>3028</v>
      </c>
      <c r="O348" s="66" t="s">
        <v>4045</v>
      </c>
      <c r="P348" s="66" t="s">
        <v>3443</v>
      </c>
      <c r="Q348" s="138" t="str">
        <f ca="1">IFERROR(LOOKUP($P348,MOTORISTAS!$D$3:$D$1048576,MOTORISTAS!E$3:E$916),"")</f>
        <v>13990937898</v>
      </c>
      <c r="R348" s="138" t="str">
        <f ca="1">IFERROR(LOOKUP($P348,MOTORISTAS!$D$3:$D$1048576,MOTORISTAS!F$3:F$916),"")</f>
        <v>01825123407</v>
      </c>
      <c r="S348" s="66">
        <v>15541</v>
      </c>
      <c r="T348" s="66" t="s">
        <v>293</v>
      </c>
      <c r="U348" s="79">
        <v>45014.95</v>
      </c>
      <c r="V348" s="66" t="s">
        <v>469</v>
      </c>
      <c r="W348" s="79">
        <v>45015.603472222225</v>
      </c>
      <c r="X348" s="79">
        <v>45015.041666666664</v>
      </c>
      <c r="Y348" s="88">
        <v>45015.375</v>
      </c>
      <c r="Z348" s="81">
        <v>1600</v>
      </c>
      <c r="AA348" s="81"/>
      <c r="AB348" s="81"/>
      <c r="AC348" s="81"/>
      <c r="AD348" s="81"/>
      <c r="AE348" s="81"/>
      <c r="AF348" s="81"/>
      <c r="AG348" s="81">
        <f>Sal_23[[#This Row],[COMPRA]]*12%</f>
        <v>276</v>
      </c>
      <c r="AH348" s="83">
        <v>2300</v>
      </c>
      <c r="AI348" s="66" t="str">
        <f>PROPER(TEXT(Sal_23[[#This Row],[PROGRAMAÇÃO]],"mmm"))</f>
        <v>Mar</v>
      </c>
      <c r="AJ348" s="66">
        <f>YEAR(Sal_23[[#This Row],[PROGRAMAÇÃO]])</f>
        <v>2023</v>
      </c>
      <c r="AK348" s="66"/>
      <c r="AL348" s="66"/>
      <c r="AM348" s="66" t="s">
        <v>2768</v>
      </c>
      <c r="AN348" s="66" t="s">
        <v>2768</v>
      </c>
      <c r="AO348" s="66" t="s">
        <v>2768</v>
      </c>
    </row>
    <row r="349" spans="1:41" x14ac:dyDescent="0.25">
      <c r="A349" s="120" t="str">
        <f>Sal_23[[#This Row],[CONTAINER]]</f>
        <v>CAIU3020888</v>
      </c>
      <c r="B349" s="128" t="s">
        <v>2771</v>
      </c>
      <c r="C34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49" s="79">
        <v>45016.333333333336</v>
      </c>
      <c r="E349" s="44" t="s">
        <v>3995</v>
      </c>
      <c r="F349" s="66">
        <v>20</v>
      </c>
      <c r="G349" s="66" t="s">
        <v>2826</v>
      </c>
      <c r="H349" s="44" t="s">
        <v>3440</v>
      </c>
      <c r="I349" s="299" t="s">
        <v>3531</v>
      </c>
      <c r="J349" s="66">
        <v>3099</v>
      </c>
      <c r="K349" s="66" t="s">
        <v>4013</v>
      </c>
      <c r="L349" s="66">
        <v>114951</v>
      </c>
      <c r="M349" s="66"/>
      <c r="N349" s="66" t="s">
        <v>2584</v>
      </c>
      <c r="O349" s="66" t="s">
        <v>2585</v>
      </c>
      <c r="P349" s="66" t="s">
        <v>2586</v>
      </c>
      <c r="Q349" s="138" t="str">
        <f ca="1">IFERROR(LOOKUP($P349,MOTORISTAS!$D$3:$D$1048576,MOTORISTAS!E$3:E$916),"")</f>
        <v>08312935860</v>
      </c>
      <c r="R349" s="138" t="str">
        <f ca="1">IFERROR(LOOKUP($P349,MOTORISTAS!$D$3:$D$1048576,MOTORISTAS!F$3:F$916),"")</f>
        <v>03106516083</v>
      </c>
      <c r="S349" s="66">
        <v>3523</v>
      </c>
      <c r="T349" s="66" t="s">
        <v>293</v>
      </c>
      <c r="U349" s="79">
        <v>45015.93472222222</v>
      </c>
      <c r="V349" s="66" t="s">
        <v>469</v>
      </c>
      <c r="W349" s="79">
        <v>45016.635416666664</v>
      </c>
      <c r="X349" s="79">
        <v>45016.104166666664</v>
      </c>
      <c r="Y349" s="88">
        <v>45016.472222222219</v>
      </c>
      <c r="Z349" s="81">
        <v>2300</v>
      </c>
      <c r="AA349" s="81"/>
      <c r="AB349" s="81"/>
      <c r="AC349" s="81"/>
      <c r="AD349" s="81"/>
      <c r="AE349" s="81"/>
      <c r="AF349" s="81"/>
      <c r="AG349" s="81">
        <f>Sal_23[[#This Row],[COMPRA]]*12%</f>
        <v>399.62399999999997</v>
      </c>
      <c r="AH349" s="83">
        <v>3330.2</v>
      </c>
      <c r="AI349" s="66" t="str">
        <f>PROPER(TEXT(Sal_23[[#This Row],[PROGRAMAÇÃO]],"mmm"))</f>
        <v>Mar</v>
      </c>
      <c r="AJ349" s="66">
        <f>YEAR(Sal_23[[#This Row],[PROGRAMAÇÃO]])</f>
        <v>2023</v>
      </c>
      <c r="AK349" s="66"/>
      <c r="AL349" s="66"/>
      <c r="AM349" s="66" t="s">
        <v>2768</v>
      </c>
      <c r="AN349" s="66" t="s">
        <v>2768</v>
      </c>
      <c r="AO349" s="66" t="s">
        <v>2768</v>
      </c>
    </row>
    <row r="350" spans="1:41" x14ac:dyDescent="0.25">
      <c r="A350" s="120" t="str">
        <f>Sal_23[[#This Row],[CONTAINER]]</f>
        <v>TCNU7446556</v>
      </c>
      <c r="B350" s="128" t="s">
        <v>2771</v>
      </c>
      <c r="C35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50" s="79">
        <v>45016.333333333336</v>
      </c>
      <c r="E350" s="44" t="s">
        <v>3996</v>
      </c>
      <c r="F350" s="66">
        <v>40</v>
      </c>
      <c r="G350" s="66" t="s">
        <v>2826</v>
      </c>
      <c r="H350" s="44" t="s">
        <v>2835</v>
      </c>
      <c r="I350" s="299" t="s">
        <v>2822</v>
      </c>
      <c r="J350" s="66">
        <v>3003</v>
      </c>
      <c r="K350" s="66" t="s">
        <v>4013</v>
      </c>
      <c r="L350" s="66">
        <v>104989</v>
      </c>
      <c r="M350" s="66"/>
      <c r="N350" s="66" t="s">
        <v>155</v>
      </c>
      <c r="O350" s="66" t="s">
        <v>209</v>
      </c>
      <c r="P350" s="66" t="s">
        <v>156</v>
      </c>
      <c r="Q350" s="138" t="str">
        <f ca="1">IFERROR(LOOKUP($P350,MOTORISTAS!$D$3:$D$1048576,MOTORISTAS!E$3:E$916),"")</f>
        <v>09803034863</v>
      </c>
      <c r="R350" s="138" t="str">
        <f ca="1">IFERROR(LOOKUP($P350,MOTORISTAS!$D$3:$D$1048576,MOTORISTAS!F$3:F$916),"")</f>
        <v>01484565209</v>
      </c>
      <c r="S350" s="66">
        <v>3524</v>
      </c>
      <c r="T350" s="66" t="s">
        <v>293</v>
      </c>
      <c r="U350" s="79">
        <v>45016.263888888891</v>
      </c>
      <c r="V350" s="66" t="s">
        <v>526</v>
      </c>
      <c r="W350" s="79">
        <v>45016.615972222222</v>
      </c>
      <c r="X350" s="79">
        <v>45016.395833333336</v>
      </c>
      <c r="Y350" s="88">
        <v>45016.555555555555</v>
      </c>
      <c r="Z350" s="81">
        <v>2100</v>
      </c>
      <c r="AA350" s="81"/>
      <c r="AB350" s="81"/>
      <c r="AC350" s="81"/>
      <c r="AD350" s="81"/>
      <c r="AE350" s="81"/>
      <c r="AF350" s="81"/>
      <c r="AG350" s="81">
        <f>Sal_23[[#This Row],[COMPRA]]*12%</f>
        <v>370.37759999999997</v>
      </c>
      <c r="AH350" s="83">
        <v>3086.48</v>
      </c>
      <c r="AI350" s="66" t="str">
        <f>PROPER(TEXT(Sal_23[[#This Row],[PROGRAMAÇÃO]],"mmm"))</f>
        <v>Mar</v>
      </c>
      <c r="AJ350" s="66">
        <f>YEAR(Sal_23[[#This Row],[PROGRAMAÇÃO]])</f>
        <v>2023</v>
      </c>
      <c r="AK350" s="66"/>
      <c r="AL350" s="44"/>
      <c r="AM350" s="66" t="s">
        <v>2768</v>
      </c>
      <c r="AN350" s="66" t="s">
        <v>2768</v>
      </c>
      <c r="AO350" s="66" t="s">
        <v>2768</v>
      </c>
    </row>
    <row r="351" spans="1:41" x14ac:dyDescent="0.25">
      <c r="A351" s="120" t="str">
        <f>Sal_23[[#This Row],[CONTAINER]]</f>
        <v>TCLU3043149</v>
      </c>
      <c r="B351" s="128" t="s">
        <v>2771</v>
      </c>
      <c r="C35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51" s="79">
        <v>45016.333333333336</v>
      </c>
      <c r="E351" s="44" t="s">
        <v>4004</v>
      </c>
      <c r="F351" s="66">
        <v>20</v>
      </c>
      <c r="G351" s="66" t="s">
        <v>2826</v>
      </c>
      <c r="H351" s="44" t="s">
        <v>2827</v>
      </c>
      <c r="I351" s="299" t="s">
        <v>2823</v>
      </c>
      <c r="J351" s="66">
        <v>3001</v>
      </c>
      <c r="K351" s="66" t="s">
        <v>4013</v>
      </c>
      <c r="L351" s="66">
        <v>104968</v>
      </c>
      <c r="M351" s="66"/>
      <c r="N351" s="66" t="s">
        <v>2940</v>
      </c>
      <c r="O351" s="66" t="s">
        <v>2941</v>
      </c>
      <c r="P351" s="66" t="s">
        <v>3086</v>
      </c>
      <c r="Q351" s="138" t="str">
        <f ca="1">IFERROR(LOOKUP($P351,MOTORISTAS!$D$3:$D$1048576,MOTORISTAS!E$3:E$916),"")</f>
        <v>16955497839</v>
      </c>
      <c r="R351" s="138" t="str">
        <f ca="1">IFERROR(LOOKUP($P351,MOTORISTAS!$D$3:$D$1048576,MOTORISTAS!F$3:F$916),"")</f>
        <v>03177639496</v>
      </c>
      <c r="S351" s="66">
        <v>3518</v>
      </c>
      <c r="T351" s="66" t="s">
        <v>293</v>
      </c>
      <c r="U351" s="79">
        <v>45016.051388888889</v>
      </c>
      <c r="V351" s="66" t="s">
        <v>469</v>
      </c>
      <c r="W351" s="79">
        <v>45016.579861111109</v>
      </c>
      <c r="X351" s="79">
        <v>45016.208333333336</v>
      </c>
      <c r="Y351" s="88">
        <v>45016.354166666664</v>
      </c>
      <c r="Z351" s="81">
        <v>3200</v>
      </c>
      <c r="AA351" s="81"/>
      <c r="AB351" s="81"/>
      <c r="AC351" s="81"/>
      <c r="AD351" s="81"/>
      <c r="AE351" s="81"/>
      <c r="AF351" s="81"/>
      <c r="AG351" s="81">
        <f>Sal_23[[#This Row],[COMPRA]]*12%</f>
        <v>571.48680000000002</v>
      </c>
      <c r="AH351" s="83">
        <v>4762.3900000000003</v>
      </c>
      <c r="AI351" s="66" t="str">
        <f>PROPER(TEXT(Sal_23[[#This Row],[PROGRAMAÇÃO]],"mmm"))</f>
        <v>Mar</v>
      </c>
      <c r="AJ351" s="66">
        <f>YEAR(Sal_23[[#This Row],[PROGRAMAÇÃO]])</f>
        <v>2023</v>
      </c>
      <c r="AK351" s="66"/>
      <c r="AL351" s="66"/>
      <c r="AM351" s="66" t="s">
        <v>2768</v>
      </c>
      <c r="AN351" s="66" t="s">
        <v>2768</v>
      </c>
      <c r="AO351" s="66" t="s">
        <v>2768</v>
      </c>
    </row>
    <row r="352" spans="1:41" x14ac:dyDescent="0.25">
      <c r="A352" s="120" t="str">
        <f>Sal_23[[#This Row],[CONTAINER]]</f>
        <v>SEGU1062881</v>
      </c>
      <c r="B352" s="128" t="s">
        <v>2771</v>
      </c>
      <c r="C35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52" s="79">
        <v>45016.333333333336</v>
      </c>
      <c r="E352" s="44" t="s">
        <v>4005</v>
      </c>
      <c r="F352" s="66">
        <v>20</v>
      </c>
      <c r="G352" s="66" t="s">
        <v>2826</v>
      </c>
      <c r="H352" s="44" t="s">
        <v>2827</v>
      </c>
      <c r="I352" s="299" t="s">
        <v>2823</v>
      </c>
      <c r="J352" s="66">
        <v>3002</v>
      </c>
      <c r="K352" s="66" t="s">
        <v>4013</v>
      </c>
      <c r="L352" s="66">
        <v>104967</v>
      </c>
      <c r="M352" s="66"/>
      <c r="N352" s="66" t="s">
        <v>2156</v>
      </c>
      <c r="O352" s="66" t="s">
        <v>2464</v>
      </c>
      <c r="P352" s="66" t="s">
        <v>2158</v>
      </c>
      <c r="Q352" s="138" t="str">
        <f ca="1">IFERROR(LOOKUP($P352,MOTORISTAS!$D$3:$D$1048576,MOTORISTAS!E$3:E$916),"")</f>
        <v>10485530864</v>
      </c>
      <c r="R352" s="138" t="str">
        <f ca="1">IFERROR(LOOKUP($P352,MOTORISTAS!$D$3:$D$1048576,MOTORISTAS!F$3:F$916),"")</f>
        <v>02033192841</v>
      </c>
      <c r="S352" s="66">
        <v>3519</v>
      </c>
      <c r="T352" s="66" t="s">
        <v>293</v>
      </c>
      <c r="U352" s="79">
        <v>45015.833333333336</v>
      </c>
      <c r="V352" s="66" t="s">
        <v>469</v>
      </c>
      <c r="W352" s="79">
        <v>45016.711805555555</v>
      </c>
      <c r="X352" s="79">
        <v>45016.166666666664</v>
      </c>
      <c r="Y352" s="88">
        <v>45016.368055555555</v>
      </c>
      <c r="Z352" s="81">
        <v>3200</v>
      </c>
      <c r="AA352" s="81"/>
      <c r="AB352" s="81"/>
      <c r="AC352" s="81"/>
      <c r="AD352" s="81"/>
      <c r="AE352" s="81"/>
      <c r="AF352" s="81"/>
      <c r="AG352" s="81">
        <f>Sal_23[[#This Row],[COMPRA]]*12%</f>
        <v>571.48680000000002</v>
      </c>
      <c r="AH352" s="83">
        <v>4762.3900000000003</v>
      </c>
      <c r="AI352" s="66" t="str">
        <f>PROPER(TEXT(Sal_23[[#This Row],[PROGRAMAÇÃO]],"mmm"))</f>
        <v>Mar</v>
      </c>
      <c r="AJ352" s="66">
        <f>YEAR(Sal_23[[#This Row],[PROGRAMAÇÃO]])</f>
        <v>2023</v>
      </c>
      <c r="AK352" s="66"/>
      <c r="AL352" s="66"/>
      <c r="AM352" s="66" t="s">
        <v>2768</v>
      </c>
      <c r="AN352" s="66" t="s">
        <v>2768</v>
      </c>
      <c r="AO352" s="66" t="s">
        <v>2768</v>
      </c>
    </row>
    <row r="353" spans="1:41" x14ac:dyDescent="0.25">
      <c r="A353" s="120" t="str">
        <f>Sal_23[[#This Row],[CONTAINER]]</f>
        <v>SEGU1149512</v>
      </c>
      <c r="B353" s="128" t="s">
        <v>2771</v>
      </c>
      <c r="C35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53" s="79">
        <v>45016.333333333336</v>
      </c>
      <c r="E353" s="44" t="s">
        <v>4198</v>
      </c>
      <c r="F353" s="66">
        <v>20</v>
      </c>
      <c r="G353" s="66" t="s">
        <v>2826</v>
      </c>
      <c r="H353" s="44" t="s">
        <v>2827</v>
      </c>
      <c r="I353" s="299" t="s">
        <v>2823</v>
      </c>
      <c r="J353" s="66">
        <v>3000</v>
      </c>
      <c r="K353" s="66" t="s">
        <v>4013</v>
      </c>
      <c r="L353" s="66">
        <v>104958</v>
      </c>
      <c r="M353" s="66"/>
      <c r="N353" s="66" t="s">
        <v>1843</v>
      </c>
      <c r="O353" s="66" t="s">
        <v>1844</v>
      </c>
      <c r="P353" s="66" t="s">
        <v>1845</v>
      </c>
      <c r="Q353" s="138" t="str">
        <f ca="1">IFERROR(LOOKUP($P353,MOTORISTAS!$D$3:$D$1048576,MOTORISTAS!E$3:E$916),"")</f>
        <v>05826127805</v>
      </c>
      <c r="R353" s="138" t="str">
        <f ca="1">IFERROR(LOOKUP($P353,MOTORISTAS!$D$3:$D$1048576,MOTORISTAS!F$3:F$916),"")</f>
        <v>02397620357</v>
      </c>
      <c r="S353" s="66">
        <v>3520</v>
      </c>
      <c r="T353" s="66" t="s">
        <v>293</v>
      </c>
      <c r="U353" s="79">
        <v>45016.047222222223</v>
      </c>
      <c r="V353" s="66" t="s">
        <v>469</v>
      </c>
      <c r="W353" s="79">
        <v>45016.71597222222</v>
      </c>
      <c r="X353" s="79">
        <v>45016.347222222219</v>
      </c>
      <c r="Y353" s="88">
        <v>45016.541666666664</v>
      </c>
      <c r="Z353" s="81">
        <v>3200</v>
      </c>
      <c r="AA353" s="81"/>
      <c r="AB353" s="81"/>
      <c r="AC353" s="81"/>
      <c r="AD353" s="81"/>
      <c r="AE353" s="81"/>
      <c r="AF353" s="81"/>
      <c r="AG353" s="81">
        <f>Sal_23[[#This Row],[COMPRA]]*12%</f>
        <v>571.48680000000002</v>
      </c>
      <c r="AH353" s="83">
        <v>4762.3900000000003</v>
      </c>
      <c r="AI353" s="66" t="str">
        <f>PROPER(TEXT(Sal_23[[#This Row],[PROGRAMAÇÃO]],"mmm"))</f>
        <v>Mar</v>
      </c>
      <c r="AJ353" s="66">
        <f>YEAR(Sal_23[[#This Row],[PROGRAMAÇÃO]])</f>
        <v>2023</v>
      </c>
      <c r="AK353" s="66" t="s">
        <v>4061</v>
      </c>
      <c r="AL353" s="44" t="s">
        <v>2785</v>
      </c>
      <c r="AM353" s="66" t="s">
        <v>2768</v>
      </c>
      <c r="AN353" s="66" t="s">
        <v>2768</v>
      </c>
      <c r="AO353" s="66" t="s">
        <v>2768</v>
      </c>
    </row>
    <row r="354" spans="1:41" x14ac:dyDescent="0.25">
      <c r="A354" s="120" t="str">
        <f>Sal_23[[#This Row],[CONTAINER]]</f>
        <v>CAIU3159791</v>
      </c>
      <c r="B354" s="128" t="s">
        <v>2771</v>
      </c>
      <c r="C35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54" s="79">
        <v>45016.333333333336</v>
      </c>
      <c r="E354" s="44" t="s">
        <v>4000</v>
      </c>
      <c r="F354" s="66">
        <v>20</v>
      </c>
      <c r="G354" s="66" t="s">
        <v>2826</v>
      </c>
      <c r="H354" s="44" t="s">
        <v>3071</v>
      </c>
      <c r="I354" s="299" t="s">
        <v>3072</v>
      </c>
      <c r="J354" s="66">
        <v>3098</v>
      </c>
      <c r="K354" s="66" t="s">
        <v>4013</v>
      </c>
      <c r="L354" s="66">
        <v>105081</v>
      </c>
      <c r="M354" s="66">
        <v>105082</v>
      </c>
      <c r="N354" s="66" t="s">
        <v>2498</v>
      </c>
      <c r="O354" s="66" t="s">
        <v>2499</v>
      </c>
      <c r="P354" s="66" t="s">
        <v>2500</v>
      </c>
      <c r="Q354" s="138" t="str">
        <f ca="1">IFERROR(LOOKUP($P354,MOTORISTAS!$D$3:$D$1048576,MOTORISTAS!E$3:E$916),"")</f>
        <v>10838670830</v>
      </c>
      <c r="R354" s="138" t="str">
        <f ca="1">IFERROR(LOOKUP($P354,MOTORISTAS!$D$3:$D$1048576,MOTORISTAS!F$3:F$916),"")</f>
        <v>01808675938</v>
      </c>
      <c r="S354" s="66">
        <v>3521</v>
      </c>
      <c r="T354" s="66" t="s">
        <v>293</v>
      </c>
      <c r="U354" s="79">
        <v>45016.018055555556</v>
      </c>
      <c r="V354" s="66" t="s">
        <v>469</v>
      </c>
      <c r="W354" s="79">
        <v>45016.618055555555</v>
      </c>
      <c r="X354" s="79">
        <v>45016.166666666664</v>
      </c>
      <c r="Y354" s="88">
        <v>45016.541666666664</v>
      </c>
      <c r="Z354" s="81">
        <v>2200</v>
      </c>
      <c r="AA354" s="81"/>
      <c r="AB354" s="81"/>
      <c r="AC354" s="81">
        <v>600</v>
      </c>
      <c r="AD354" s="81"/>
      <c r="AE354" s="81"/>
      <c r="AF354" s="81"/>
      <c r="AG354" s="81">
        <f>Sal_23[[#This Row],[COMPRA]]*12%</f>
        <v>473.5104</v>
      </c>
      <c r="AH354" s="83">
        <v>3945.92</v>
      </c>
      <c r="AI354" s="66" t="str">
        <f>PROPER(TEXT(Sal_23[[#This Row],[PROGRAMAÇÃO]],"mmm"))</f>
        <v>Mar</v>
      </c>
      <c r="AJ354" s="66">
        <f>YEAR(Sal_23[[#This Row],[PROGRAMAÇÃO]])</f>
        <v>2023</v>
      </c>
      <c r="AK354" s="66"/>
      <c r="AL354" s="66"/>
      <c r="AM354" s="66" t="s">
        <v>2768</v>
      </c>
      <c r="AN354" s="66" t="s">
        <v>2768</v>
      </c>
      <c r="AO354" s="66" t="s">
        <v>2768</v>
      </c>
    </row>
    <row r="355" spans="1:41" x14ac:dyDescent="0.25">
      <c r="A355" s="120" t="str">
        <f>Sal_23[[#This Row],[CONTAINER]]</f>
        <v>SEGU1084685</v>
      </c>
      <c r="B355" s="128" t="s">
        <v>2771</v>
      </c>
      <c r="C35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55" s="79">
        <v>45016.333333333336</v>
      </c>
      <c r="E355" s="44" t="s">
        <v>4001</v>
      </c>
      <c r="F355" s="66">
        <v>20</v>
      </c>
      <c r="G355" s="66" t="s">
        <v>2837</v>
      </c>
      <c r="H355" s="44" t="s">
        <v>2837</v>
      </c>
      <c r="I355" s="299" t="s">
        <v>2821</v>
      </c>
      <c r="J355" s="66">
        <v>3097</v>
      </c>
      <c r="K355" s="66" t="s">
        <v>4013</v>
      </c>
      <c r="L355" s="66">
        <v>185083</v>
      </c>
      <c r="M355" s="66"/>
      <c r="N355" s="66" t="s">
        <v>2949</v>
      </c>
      <c r="O355" s="66" t="s">
        <v>2950</v>
      </c>
      <c r="P355" s="66" t="s">
        <v>2948</v>
      </c>
      <c r="Q355" s="138" t="str">
        <f ca="1">IFERROR(LOOKUP($P355,MOTORISTAS!$D$3:$D$1048576,MOTORISTAS!E$3:E$916),"")</f>
        <v>16239341843</v>
      </c>
      <c r="R355" s="138" t="str">
        <f ca="1">IFERROR(LOOKUP($P355,MOTORISTAS!$D$3:$D$1048576,MOTORISTAS!F$3:F$916),"")</f>
        <v>01877235038</v>
      </c>
      <c r="S355" s="66">
        <v>3522</v>
      </c>
      <c r="T355" s="66" t="s">
        <v>293</v>
      </c>
      <c r="U355" s="79">
        <v>45016.033333333333</v>
      </c>
      <c r="V355" s="66" t="s">
        <v>469</v>
      </c>
      <c r="W355" s="79">
        <v>45016.506944444445</v>
      </c>
      <c r="X355" s="79">
        <v>45016.180555555555</v>
      </c>
      <c r="Y355" s="88">
        <v>45016.388888888891</v>
      </c>
      <c r="Z355" s="81">
        <v>1600</v>
      </c>
      <c r="AA355" s="81"/>
      <c r="AB355" s="81"/>
      <c r="AC355" s="81"/>
      <c r="AD355" s="81"/>
      <c r="AE355" s="81"/>
      <c r="AF355" s="81"/>
      <c r="AG355" s="81">
        <f>Sal_23[[#This Row],[COMPRA]]*12%</f>
        <v>311.55959999999999</v>
      </c>
      <c r="AH355" s="83">
        <v>2596.33</v>
      </c>
      <c r="AI355" s="66" t="str">
        <f>PROPER(TEXT(Sal_23[[#This Row],[PROGRAMAÇÃO]],"mmm"))</f>
        <v>Mar</v>
      </c>
      <c r="AJ355" s="66">
        <f>YEAR(Sal_23[[#This Row],[PROGRAMAÇÃO]])</f>
        <v>2023</v>
      </c>
      <c r="AK355" s="66"/>
      <c r="AL355" s="66"/>
      <c r="AM355" s="66" t="s">
        <v>2768</v>
      </c>
      <c r="AN355" s="66" t="s">
        <v>2768</v>
      </c>
      <c r="AO355" s="66" t="s">
        <v>2768</v>
      </c>
    </row>
    <row r="356" spans="1:41" x14ac:dyDescent="0.25">
      <c r="A356" s="120" t="str">
        <f>Sal_23[[#This Row],[CONTAINER]]</f>
        <v>CAIU3307604</v>
      </c>
      <c r="B356" s="128" t="s">
        <v>2771</v>
      </c>
      <c r="C35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56" s="198">
        <v>45016.375</v>
      </c>
      <c r="E356" s="44" t="s">
        <v>4029</v>
      </c>
      <c r="F356" s="66">
        <v>20</v>
      </c>
      <c r="G356" s="66" t="s">
        <v>2820</v>
      </c>
      <c r="H356" s="44" t="s">
        <v>2820</v>
      </c>
      <c r="I356" s="299" t="s">
        <v>2821</v>
      </c>
      <c r="J356" s="66">
        <v>3057</v>
      </c>
      <c r="K356" s="66" t="s">
        <v>4013</v>
      </c>
      <c r="L356" s="66">
        <v>114884</v>
      </c>
      <c r="M356" s="66"/>
      <c r="N356" s="66" t="s">
        <v>2859</v>
      </c>
      <c r="O356" s="66" t="s">
        <v>2860</v>
      </c>
      <c r="P356" s="66" t="s">
        <v>2861</v>
      </c>
      <c r="Q356" s="138" t="str">
        <f ca="1">IFERROR(LOOKUP($P356,MOTORISTAS!$D$3:$D$1048576,MOTORISTAS!E$3:E$916),"")</f>
        <v>01817591878</v>
      </c>
      <c r="R356" s="138" t="str">
        <f ca="1">IFERROR(LOOKUP($P356,MOTORISTAS!$D$3:$D$1048576,MOTORISTAS!F$3:F$916),"")</f>
        <v>00821760640</v>
      </c>
      <c r="S356" s="66">
        <v>15554</v>
      </c>
      <c r="T356" s="66" t="s">
        <v>293</v>
      </c>
      <c r="U356" s="79">
        <v>45016.060416666667</v>
      </c>
      <c r="V356" s="66" t="s">
        <v>469</v>
      </c>
      <c r="W356" s="79">
        <v>45016.602777777778</v>
      </c>
      <c r="X356" s="79">
        <v>45016.1875</v>
      </c>
      <c r="Y356" s="88">
        <v>45016.458333333336</v>
      </c>
      <c r="Z356" s="81">
        <v>1600</v>
      </c>
      <c r="AA356" s="81"/>
      <c r="AB356" s="81"/>
      <c r="AC356" s="81"/>
      <c r="AD356" s="81"/>
      <c r="AE356" s="81"/>
      <c r="AF356" s="81"/>
      <c r="AG356" s="81">
        <f>Sal_23[[#This Row],[COMPRA]]*12%</f>
        <v>276</v>
      </c>
      <c r="AH356" s="83">
        <v>2300</v>
      </c>
      <c r="AI356" s="66" t="str">
        <f>PROPER(TEXT(Sal_23[[#This Row],[PROGRAMAÇÃO]],"mmm"))</f>
        <v>Mar</v>
      </c>
      <c r="AJ356" s="66">
        <f>YEAR(Sal_23[[#This Row],[PROGRAMAÇÃO]])</f>
        <v>2023</v>
      </c>
      <c r="AK356" s="66"/>
      <c r="AL356" s="66"/>
      <c r="AM356" s="66" t="s">
        <v>2768</v>
      </c>
      <c r="AN356" s="66" t="s">
        <v>2768</v>
      </c>
      <c r="AO356" s="66" t="s">
        <v>2768</v>
      </c>
    </row>
    <row r="357" spans="1:41" x14ac:dyDescent="0.25">
      <c r="A357" s="120" t="str">
        <f>Sal_23[[#This Row],[CONTAINER]]</f>
        <v>CAIU3020548</v>
      </c>
      <c r="B357" s="128" t="s">
        <v>2771</v>
      </c>
      <c r="C35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57" s="198">
        <v>45016.375</v>
      </c>
      <c r="E357" s="44" t="s">
        <v>4030</v>
      </c>
      <c r="F357" s="66">
        <v>20</v>
      </c>
      <c r="G357" s="66" t="s">
        <v>2820</v>
      </c>
      <c r="H357" s="44" t="s">
        <v>2820</v>
      </c>
      <c r="I357" s="299" t="s">
        <v>2821</v>
      </c>
      <c r="J357" s="66">
        <v>3058</v>
      </c>
      <c r="K357" s="66" t="s">
        <v>4013</v>
      </c>
      <c r="L357" s="66">
        <v>114885</v>
      </c>
      <c r="M357" s="66"/>
      <c r="N357" s="66" t="s">
        <v>3028</v>
      </c>
      <c r="O357" s="66" t="s">
        <v>3852</v>
      </c>
      <c r="P357" s="66" t="s">
        <v>3443</v>
      </c>
      <c r="Q357" s="138" t="str">
        <f ca="1">IFERROR(LOOKUP($P357,MOTORISTAS!$D$3:$D$1048576,MOTORISTAS!E$3:E$916),"")</f>
        <v>13990937898</v>
      </c>
      <c r="R357" s="138" t="str">
        <f ca="1">IFERROR(LOOKUP($P357,MOTORISTAS!$D$3:$D$1048576,MOTORISTAS!F$3:F$916),"")</f>
        <v>01825123407</v>
      </c>
      <c r="S357" s="66">
        <v>15555</v>
      </c>
      <c r="T357" s="66" t="s">
        <v>293</v>
      </c>
      <c r="U357" s="79">
        <v>45016.039583333331</v>
      </c>
      <c r="V357" s="66" t="s">
        <v>469</v>
      </c>
      <c r="W357" s="79">
        <v>45016.591666666667</v>
      </c>
      <c r="X357" s="79">
        <v>45016.180555555555</v>
      </c>
      <c r="Y357" s="88">
        <v>45016.458333333336</v>
      </c>
      <c r="Z357" s="81">
        <v>1600</v>
      </c>
      <c r="AA357" s="81"/>
      <c r="AB357" s="81"/>
      <c r="AC357" s="81"/>
      <c r="AD357" s="81"/>
      <c r="AE357" s="81"/>
      <c r="AF357" s="81"/>
      <c r="AG357" s="81">
        <f>Sal_23[[#This Row],[COMPRA]]*12%</f>
        <v>276</v>
      </c>
      <c r="AH357" s="83">
        <v>2300</v>
      </c>
      <c r="AI357" s="66" t="str">
        <f>PROPER(TEXT(Sal_23[[#This Row],[PROGRAMAÇÃO]],"mmm"))</f>
        <v>Mar</v>
      </c>
      <c r="AJ357" s="66">
        <f>YEAR(Sal_23[[#This Row],[PROGRAMAÇÃO]])</f>
        <v>2023</v>
      </c>
      <c r="AK357" s="66"/>
      <c r="AL357" s="66"/>
      <c r="AM357" s="66" t="s">
        <v>2768</v>
      </c>
      <c r="AN357" s="66" t="s">
        <v>2768</v>
      </c>
      <c r="AO357" s="66" t="s">
        <v>2768</v>
      </c>
    </row>
    <row r="358" spans="1:41" x14ac:dyDescent="0.25">
      <c r="A358" s="120" t="str">
        <f>Sal_23[[#This Row],[CONTAINER]]</f>
        <v>TCLU8697287</v>
      </c>
      <c r="B358" s="128" t="s">
        <v>2771</v>
      </c>
      <c r="C35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58" s="79">
        <v>45019.333333333336</v>
      </c>
      <c r="E358" s="44" t="s">
        <v>3994</v>
      </c>
      <c r="F358" s="66">
        <v>40</v>
      </c>
      <c r="G358" s="66" t="s">
        <v>2826</v>
      </c>
      <c r="H358" s="44" t="s">
        <v>2836</v>
      </c>
      <c r="I358" s="299" t="s">
        <v>708</v>
      </c>
      <c r="J358" s="66">
        <v>3007</v>
      </c>
      <c r="K358" s="66" t="s">
        <v>4013</v>
      </c>
      <c r="L358" s="66">
        <v>105080</v>
      </c>
      <c r="M358" s="66"/>
      <c r="N358" s="66" t="s">
        <v>68</v>
      </c>
      <c r="O358" s="66" t="s">
        <v>36</v>
      </c>
      <c r="P358" s="66" t="s">
        <v>69</v>
      </c>
      <c r="Q358" s="138" t="str">
        <f ca="1">IFERROR(LOOKUP($P358,MOTORISTAS!$D$3:$D$1048576,MOTORISTAS!E$3:E$916),"")</f>
        <v>07968457866</v>
      </c>
      <c r="R358" s="138" t="str">
        <f ca="1">IFERROR(LOOKUP($P358,MOTORISTAS!$D$3:$D$1048576,MOTORISTAS!F$3:F$916),"")</f>
        <v>03264365790</v>
      </c>
      <c r="S358" s="66">
        <v>3527</v>
      </c>
      <c r="T358" s="66" t="s">
        <v>293</v>
      </c>
      <c r="U358" s="79">
        <v>45019.256944444445</v>
      </c>
      <c r="V358" s="66" t="s">
        <v>469</v>
      </c>
      <c r="W358" s="66" t="s">
        <v>4335</v>
      </c>
      <c r="X358" s="79">
        <v>45019.319444444445</v>
      </c>
      <c r="Y358" s="88">
        <v>45019.479166666664</v>
      </c>
      <c r="Z358" s="81"/>
      <c r="AA358" s="81"/>
      <c r="AB358" s="81"/>
      <c r="AC358" s="81"/>
      <c r="AD358" s="81"/>
      <c r="AE358" s="81"/>
      <c r="AF358" s="81"/>
      <c r="AG358" s="81">
        <f>Sal_23[[#This Row],[COMPRA]]*12%</f>
        <v>234</v>
      </c>
      <c r="AH358" s="83">
        <v>1950</v>
      </c>
      <c r="AI358" s="66" t="str">
        <f>PROPER(TEXT(Sal_23[[#This Row],[PROGRAMAÇÃO]],"mmm"))</f>
        <v>Abr</v>
      </c>
      <c r="AJ358" s="66">
        <f>YEAR(Sal_23[[#This Row],[PROGRAMAÇÃO]])</f>
        <v>2023</v>
      </c>
      <c r="AK358" s="66"/>
      <c r="AL358" s="66"/>
      <c r="AM358" s="66" t="s">
        <v>2768</v>
      </c>
      <c r="AN358" s="66" t="s">
        <v>2768</v>
      </c>
      <c r="AO358" s="66" t="s">
        <v>2768</v>
      </c>
    </row>
    <row r="359" spans="1:41" x14ac:dyDescent="0.25">
      <c r="A359" s="120" t="str">
        <f>Sal_23[[#This Row],[CONTAINER]]</f>
        <v>FFAU1702133</v>
      </c>
      <c r="B359" s="128" t="s">
        <v>2771</v>
      </c>
      <c r="C35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59" s="79">
        <v>45019.333333333336</v>
      </c>
      <c r="E359" s="44" t="s">
        <v>3998</v>
      </c>
      <c r="F359" s="66">
        <v>40</v>
      </c>
      <c r="G359" s="66" t="s">
        <v>2826</v>
      </c>
      <c r="H359" s="44" t="s">
        <v>2833</v>
      </c>
      <c r="I359" s="299" t="s">
        <v>2832</v>
      </c>
      <c r="J359" s="66">
        <v>3005</v>
      </c>
      <c r="K359" s="66" t="s">
        <v>4013</v>
      </c>
      <c r="L359" s="66">
        <v>105070</v>
      </c>
      <c r="M359" s="66"/>
      <c r="N359" s="66" t="s">
        <v>150</v>
      </c>
      <c r="O359" s="66" t="s">
        <v>209</v>
      </c>
      <c r="P359" s="66" t="s">
        <v>152</v>
      </c>
      <c r="Q359" s="138" t="str">
        <f ca="1">IFERROR(LOOKUP($P359,MOTORISTAS!$D$3:$D$1048576,MOTORISTAS!E$3:E$916),"")</f>
        <v>05753633803</v>
      </c>
      <c r="R359" s="138" t="str">
        <f ca="1">IFERROR(LOOKUP($P359,MOTORISTAS!$D$3:$D$1048576,MOTORISTAS!F$3:F$916),"")</f>
        <v>01922497849</v>
      </c>
      <c r="S359" s="66">
        <v>3526</v>
      </c>
      <c r="T359" s="66" t="s">
        <v>293</v>
      </c>
      <c r="U359" s="79">
        <v>45019.054861111108</v>
      </c>
      <c r="V359" s="66" t="s">
        <v>469</v>
      </c>
      <c r="W359" s="79">
        <v>45019.820833333331</v>
      </c>
      <c r="X359" s="79">
        <v>45019.34375</v>
      </c>
      <c r="Y359" s="88">
        <v>45019.59375</v>
      </c>
      <c r="Z359" s="81"/>
      <c r="AA359" s="81"/>
      <c r="AB359" s="81"/>
      <c r="AC359" s="81"/>
      <c r="AD359" s="81"/>
      <c r="AE359" s="81"/>
      <c r="AF359" s="81"/>
      <c r="AG359" s="81">
        <f>Sal_23[[#This Row],[COMPRA]]*12%</f>
        <v>641.71680000000003</v>
      </c>
      <c r="AH359" s="83">
        <v>5347.64</v>
      </c>
      <c r="AI359" s="66" t="str">
        <f>PROPER(TEXT(Sal_23[[#This Row],[PROGRAMAÇÃO]],"mmm"))</f>
        <v>Abr</v>
      </c>
      <c r="AJ359" s="66">
        <f>YEAR(Sal_23[[#This Row],[PROGRAMAÇÃO]])</f>
        <v>2023</v>
      </c>
      <c r="AK359" s="66" t="s">
        <v>4104</v>
      </c>
      <c r="AL359" s="44" t="s">
        <v>3602</v>
      </c>
      <c r="AM359" s="66" t="s">
        <v>2768</v>
      </c>
      <c r="AN359" s="66" t="s">
        <v>2768</v>
      </c>
      <c r="AO359" s="66" t="s">
        <v>2768</v>
      </c>
    </row>
    <row r="360" spans="1:41" x14ac:dyDescent="0.25">
      <c r="A360" s="120" t="str">
        <f>Sal_23[[#This Row],[CONTAINER]]</f>
        <v>CAIU3154830</v>
      </c>
      <c r="B360" s="128" t="s">
        <v>2771</v>
      </c>
      <c r="C36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60" s="79">
        <v>45019.333333333336</v>
      </c>
      <c r="E360" s="44" t="s">
        <v>4003</v>
      </c>
      <c r="F360" s="66">
        <v>20</v>
      </c>
      <c r="G360" s="66" t="s">
        <v>2826</v>
      </c>
      <c r="H360" s="44" t="s">
        <v>3082</v>
      </c>
      <c r="I360" s="299" t="s">
        <v>3083</v>
      </c>
      <c r="J360" s="66">
        <v>3100</v>
      </c>
      <c r="K360" s="66" t="s">
        <v>4013</v>
      </c>
      <c r="L360" s="66">
        <v>105105</v>
      </c>
      <c r="M360" s="66">
        <v>105106</v>
      </c>
      <c r="N360" s="66" t="s">
        <v>4084</v>
      </c>
      <c r="O360" s="66" t="s">
        <v>3990</v>
      </c>
      <c r="P360" s="66" t="s">
        <v>4085</v>
      </c>
      <c r="Q360" s="138" t="str">
        <f ca="1">IFERROR(LOOKUP($P360,MOTORISTAS!$D$3:$D$1048576,MOTORISTAS!E$3:E$916),"")</f>
        <v>15284965825</v>
      </c>
      <c r="R360" s="138" t="str">
        <f ca="1">IFERROR(LOOKUP($P360,MOTORISTAS!$D$3:$D$1048576,MOTORISTAS!F$3:F$916),"")</f>
        <v>01681109819</v>
      </c>
      <c r="S360" s="66">
        <v>3528</v>
      </c>
      <c r="T360" s="66" t="s">
        <v>293</v>
      </c>
      <c r="U360" s="79">
        <v>45019.127083333333</v>
      </c>
      <c r="V360" s="66" t="s">
        <v>469</v>
      </c>
      <c r="W360" s="79">
        <v>45019.697916666664</v>
      </c>
      <c r="X360" s="79">
        <v>45019.236111111109</v>
      </c>
      <c r="Y360" s="81" t="s">
        <v>4105</v>
      </c>
      <c r="Z360" s="81">
        <v>2000</v>
      </c>
      <c r="AA360" s="81"/>
      <c r="AB360" s="81"/>
      <c r="AC360" s="81"/>
      <c r="AD360" s="81"/>
      <c r="AE360" s="81"/>
      <c r="AF360" s="81"/>
      <c r="AG360" s="81">
        <f>Sal_23[[#This Row],[COMPRA]]*12%</f>
        <v>355.75439999999998</v>
      </c>
      <c r="AH360" s="83">
        <v>2964.62</v>
      </c>
      <c r="AI360" s="66" t="str">
        <f>PROPER(TEXT(Sal_23[[#This Row],[PROGRAMAÇÃO]],"mmm"))</f>
        <v>Abr</v>
      </c>
      <c r="AJ360" s="66">
        <f>YEAR(Sal_23[[#This Row],[PROGRAMAÇÃO]])</f>
        <v>2023</v>
      </c>
      <c r="AK360" s="66"/>
      <c r="AL360" s="66"/>
      <c r="AM360" s="66" t="s">
        <v>2768</v>
      </c>
      <c r="AN360" s="66" t="s">
        <v>2768</v>
      </c>
      <c r="AO360" s="66" t="s">
        <v>2768</v>
      </c>
    </row>
    <row r="361" spans="1:41" x14ac:dyDescent="0.25">
      <c r="A361" s="120" t="str">
        <f>Sal_23[[#This Row],[CONTAINER]]</f>
        <v>TCLU3055746</v>
      </c>
      <c r="B361" s="128" t="s">
        <v>2771</v>
      </c>
      <c r="C36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61" s="198">
        <v>45019.375</v>
      </c>
      <c r="E361" s="44" t="s">
        <v>4010</v>
      </c>
      <c r="F361" s="66">
        <v>20</v>
      </c>
      <c r="G361" s="66" t="s">
        <v>2820</v>
      </c>
      <c r="H361" s="44" t="s">
        <v>2820</v>
      </c>
      <c r="I361" s="299" t="s">
        <v>2821</v>
      </c>
      <c r="J361" s="66">
        <v>3050</v>
      </c>
      <c r="K361" s="66" t="s">
        <v>4013</v>
      </c>
      <c r="L361" s="66">
        <v>69675</v>
      </c>
      <c r="M361" s="66"/>
      <c r="N361" s="66" t="s">
        <v>2859</v>
      </c>
      <c r="O361" s="66" t="s">
        <v>2860</v>
      </c>
      <c r="P361" s="66" t="s">
        <v>2861</v>
      </c>
      <c r="Q361" s="138" t="str">
        <f ca="1">IFERROR(LOOKUP($P361,MOTORISTAS!$D$3:$D$1048576,MOTORISTAS!E$3:E$916),"")</f>
        <v>01817591878</v>
      </c>
      <c r="R361" s="138" t="str">
        <f ca="1">IFERROR(LOOKUP($P361,MOTORISTAS!$D$3:$D$1048576,MOTORISTAS!F$3:F$916),"")</f>
        <v>00821760640</v>
      </c>
      <c r="S361" s="66">
        <v>15560</v>
      </c>
      <c r="T361" s="66" t="s">
        <v>293</v>
      </c>
      <c r="U361" s="79">
        <v>45018.99722222222</v>
      </c>
      <c r="V361" s="66" t="s">
        <v>469</v>
      </c>
      <c r="W361" s="79">
        <v>45019.642361111109</v>
      </c>
      <c r="X361" s="79">
        <v>45019.104166666664</v>
      </c>
      <c r="Y361" s="88">
        <v>45019.427083333336</v>
      </c>
      <c r="Z361" s="81">
        <v>1600</v>
      </c>
      <c r="AA361" s="81"/>
      <c r="AB361" s="81"/>
      <c r="AC361" s="81"/>
      <c r="AD361" s="81"/>
      <c r="AE361" s="81"/>
      <c r="AF361" s="81"/>
      <c r="AG361" s="81">
        <f>Sal_23[[#This Row],[COMPRA]]*12%</f>
        <v>276</v>
      </c>
      <c r="AH361" s="83">
        <v>2300</v>
      </c>
      <c r="AI361" s="66" t="str">
        <f>PROPER(TEXT(Sal_23[[#This Row],[PROGRAMAÇÃO]],"mmm"))</f>
        <v>Abr</v>
      </c>
      <c r="AJ361" s="66">
        <f>YEAR(Sal_23[[#This Row],[PROGRAMAÇÃO]])</f>
        <v>2023</v>
      </c>
      <c r="AK361" s="66"/>
      <c r="AL361" s="66"/>
      <c r="AM361" s="66" t="s">
        <v>2768</v>
      </c>
      <c r="AN361" s="66" t="s">
        <v>2768</v>
      </c>
      <c r="AO361" s="66" t="s">
        <v>2768</v>
      </c>
    </row>
    <row r="362" spans="1:41" x14ac:dyDescent="0.25">
      <c r="A362" s="120" t="str">
        <f>Sal_23[[#This Row],[CONTAINER]]</f>
        <v>CAIU3399637</v>
      </c>
      <c r="B362" s="128" t="s">
        <v>2771</v>
      </c>
      <c r="C36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62" s="198">
        <v>45019.375</v>
      </c>
      <c r="E362" s="44" t="s">
        <v>4028</v>
      </c>
      <c r="F362" s="66">
        <v>20</v>
      </c>
      <c r="G362" s="66" t="s">
        <v>2820</v>
      </c>
      <c r="H362" s="44" t="s">
        <v>2820</v>
      </c>
      <c r="I362" s="299" t="s">
        <v>2821</v>
      </c>
      <c r="J362" s="66">
        <v>3110</v>
      </c>
      <c r="K362" s="66" t="s">
        <v>4013</v>
      </c>
      <c r="L362" s="66">
        <v>105107</v>
      </c>
      <c r="M362" s="66"/>
      <c r="N362" s="66" t="s">
        <v>3028</v>
      </c>
      <c r="O362" s="66" t="s">
        <v>3852</v>
      </c>
      <c r="P362" s="66" t="s">
        <v>3443</v>
      </c>
      <c r="Q362" s="138" t="str">
        <f ca="1">IFERROR(LOOKUP($P362,MOTORISTAS!$D$3:$D$1048576,MOTORISTAS!E$3:E$916),"")</f>
        <v>13990937898</v>
      </c>
      <c r="R362" s="138" t="str">
        <f ca="1">IFERROR(LOOKUP($P362,MOTORISTAS!$D$3:$D$1048576,MOTORISTAS!F$3:F$916),"")</f>
        <v>01825123407</v>
      </c>
      <c r="S362" s="66">
        <v>15562</v>
      </c>
      <c r="T362" s="66" t="s">
        <v>293</v>
      </c>
      <c r="U362" s="79">
        <v>45018.970833333333</v>
      </c>
      <c r="V362" s="66" t="s">
        <v>469</v>
      </c>
      <c r="W362" s="79">
        <v>45019.57708333333</v>
      </c>
      <c r="X362" s="79">
        <v>45019.104166666664</v>
      </c>
      <c r="Y362" s="88">
        <v>45019.472222222219</v>
      </c>
      <c r="Z362" s="81">
        <v>1600</v>
      </c>
      <c r="AA362" s="81"/>
      <c r="AB362" s="81"/>
      <c r="AC362" s="81"/>
      <c r="AD362" s="81"/>
      <c r="AE362" s="81"/>
      <c r="AF362" s="81"/>
      <c r="AG362" s="81">
        <f>Sal_23[[#This Row],[COMPRA]]*12%</f>
        <v>276</v>
      </c>
      <c r="AH362" s="83">
        <v>2300</v>
      </c>
      <c r="AI362" s="66" t="str">
        <f>PROPER(TEXT(Sal_23[[#This Row],[PROGRAMAÇÃO]],"mmm"))</f>
        <v>Abr</v>
      </c>
      <c r="AJ362" s="66">
        <f>YEAR(Sal_23[[#This Row],[PROGRAMAÇÃO]])</f>
        <v>2023</v>
      </c>
      <c r="AK362" s="66"/>
      <c r="AL362" s="66"/>
      <c r="AM362" s="66" t="s">
        <v>2768</v>
      </c>
      <c r="AN362" s="66" t="s">
        <v>2768</v>
      </c>
      <c r="AO362" s="66" t="s">
        <v>2768</v>
      </c>
    </row>
    <row r="363" spans="1:41" x14ac:dyDescent="0.25">
      <c r="A363" s="120" t="str">
        <f>Sal_23[[#This Row],[CONTAINER]]</f>
        <v>CIPU5012090</v>
      </c>
      <c r="B363" s="128" t="s">
        <v>2771</v>
      </c>
      <c r="C36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63" s="79">
        <v>45020.333333333336</v>
      </c>
      <c r="E363" s="44" t="s">
        <v>3993</v>
      </c>
      <c r="F363" s="66">
        <v>40</v>
      </c>
      <c r="G363" s="66" t="s">
        <v>2826</v>
      </c>
      <c r="H363" s="44" t="s">
        <v>3195</v>
      </c>
      <c r="I363" s="299" t="s">
        <v>2830</v>
      </c>
      <c r="J363" s="66">
        <v>3004</v>
      </c>
      <c r="K363" s="66" t="s">
        <v>4013</v>
      </c>
      <c r="L363" s="66">
        <v>105079</v>
      </c>
      <c r="M363" s="66"/>
      <c r="N363" s="66" t="s">
        <v>111</v>
      </c>
      <c r="O363" s="66" t="s">
        <v>891</v>
      </c>
      <c r="P363" s="66" t="s">
        <v>113</v>
      </c>
      <c r="Q363" s="138" t="str">
        <f ca="1">IFERROR(LOOKUP($P363,MOTORISTAS!$D$3:$D$1048576,MOTORISTAS!E$3:E$916),"")</f>
        <v>88265951434</v>
      </c>
      <c r="R363" s="138" t="str">
        <f ca="1">IFERROR(LOOKUP($P363,MOTORISTAS!$D$3:$D$1048576,MOTORISTAS!F$3:F$916),"")</f>
        <v>00920373596</v>
      </c>
      <c r="S363" s="66">
        <v>3535</v>
      </c>
      <c r="T363" s="66" t="s">
        <v>293</v>
      </c>
      <c r="U363" s="79">
        <v>45019.907638888886</v>
      </c>
      <c r="V363" s="66" t="s">
        <v>469</v>
      </c>
      <c r="W363" s="79">
        <v>45020.617361111108</v>
      </c>
      <c r="X363" s="79">
        <v>45020.361111111109</v>
      </c>
      <c r="Y363" s="88">
        <v>45020.458333333336</v>
      </c>
      <c r="Z363" s="81">
        <v>2300</v>
      </c>
      <c r="AA363" s="81"/>
      <c r="AB363" s="81"/>
      <c r="AC363" s="81"/>
      <c r="AD363" s="81"/>
      <c r="AE363" s="81"/>
      <c r="AF363" s="81"/>
      <c r="AG363" s="81">
        <f>Sal_23[[#This Row],[COMPRA]]*12%</f>
        <v>392.15039999999999</v>
      </c>
      <c r="AH363" s="83">
        <v>3267.92</v>
      </c>
      <c r="AI363" s="66" t="str">
        <f>PROPER(TEXT(Sal_23[[#This Row],[PROGRAMAÇÃO]],"mmm"))</f>
        <v>Abr</v>
      </c>
      <c r="AJ363" s="66">
        <f>YEAR(Sal_23[[#This Row],[PROGRAMAÇÃO]])</f>
        <v>2023</v>
      </c>
      <c r="AK363" s="66"/>
      <c r="AL363" s="44"/>
      <c r="AM363" s="66" t="s">
        <v>2768</v>
      </c>
      <c r="AN363" s="66" t="s">
        <v>2768</v>
      </c>
      <c r="AO363" s="66" t="s">
        <v>2768</v>
      </c>
    </row>
    <row r="364" spans="1:41" x14ac:dyDescent="0.25">
      <c r="A364" s="120" t="str">
        <f>Sal_23[[#This Row],[CONTAINER]]</f>
        <v>TCLU8806691</v>
      </c>
      <c r="B364" s="128" t="s">
        <v>2771</v>
      </c>
      <c r="C36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64" s="79">
        <v>45020.333333333336</v>
      </c>
      <c r="E364" s="44" t="s">
        <v>3999</v>
      </c>
      <c r="F364" s="66">
        <v>40</v>
      </c>
      <c r="G364" s="66" t="s">
        <v>2826</v>
      </c>
      <c r="H364" s="44" t="s">
        <v>2833</v>
      </c>
      <c r="I364" s="299" t="s">
        <v>2832</v>
      </c>
      <c r="J364" s="66">
        <v>3006</v>
      </c>
      <c r="K364" s="66" t="s">
        <v>4013</v>
      </c>
      <c r="L364" s="66">
        <v>105039</v>
      </c>
      <c r="M364" s="66"/>
      <c r="N364" s="66" t="s">
        <v>178</v>
      </c>
      <c r="O364" s="66" t="s">
        <v>112</v>
      </c>
      <c r="P364" s="66" t="s">
        <v>180</v>
      </c>
      <c r="Q364" s="138" t="str">
        <f ca="1">IFERROR(LOOKUP($P364,MOTORISTAS!$D$3:$D$1048576,MOTORISTAS!E$3:E$916),"")</f>
        <v>18990500869</v>
      </c>
      <c r="R364" s="138" t="str">
        <f ca="1">IFERROR(LOOKUP($P364,MOTORISTAS!$D$3:$D$1048576,MOTORISTAS!F$3:F$916),"")</f>
        <v>04640435232</v>
      </c>
      <c r="S364" s="66">
        <v>3534</v>
      </c>
      <c r="T364" s="66" t="s">
        <v>293</v>
      </c>
      <c r="U364" s="79">
        <v>45020.000694444447</v>
      </c>
      <c r="V364" s="66" t="s">
        <v>526</v>
      </c>
      <c r="W364" s="79">
        <v>45020.845833333333</v>
      </c>
      <c r="X364" s="79">
        <v>45020.291666666664</v>
      </c>
      <c r="Y364" s="88">
        <v>45020.402777777781</v>
      </c>
      <c r="Z364" s="81"/>
      <c r="AA364" s="81"/>
      <c r="AB364" s="81"/>
      <c r="AC364" s="81"/>
      <c r="AD364" s="81"/>
      <c r="AE364" s="81"/>
      <c r="AF364" s="81"/>
      <c r="AG364" s="81">
        <f>Sal_23[[#This Row],[COMPRA]]*12%</f>
        <v>641.71680000000003</v>
      </c>
      <c r="AH364" s="83">
        <v>5347.64</v>
      </c>
      <c r="AI364" s="66" t="str">
        <f>PROPER(TEXT(Sal_23[[#This Row],[PROGRAMAÇÃO]],"mmm"))</f>
        <v>Abr</v>
      </c>
      <c r="AJ364" s="66">
        <f>YEAR(Sal_23[[#This Row],[PROGRAMAÇÃO]])</f>
        <v>2023</v>
      </c>
      <c r="AK364" s="66"/>
      <c r="AL364" s="66"/>
      <c r="AM364" s="66" t="s">
        <v>2768</v>
      </c>
      <c r="AN364" s="66" t="s">
        <v>2768</v>
      </c>
      <c r="AO364" s="66" t="s">
        <v>2768</v>
      </c>
    </row>
    <row r="365" spans="1:41" x14ac:dyDescent="0.25">
      <c r="A365" s="120" t="str">
        <f>Sal_23[[#This Row],[CONTAINER]]</f>
        <v>CAIU4832103</v>
      </c>
      <c r="B365" s="128" t="s">
        <v>2771</v>
      </c>
      <c r="C36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65" s="198">
        <v>45020.333333333336</v>
      </c>
      <c r="E365" s="44" t="s">
        <v>3997</v>
      </c>
      <c r="F365" s="66">
        <v>40</v>
      </c>
      <c r="G365" s="66" t="s">
        <v>2826</v>
      </c>
      <c r="H365" s="44" t="s">
        <v>2834</v>
      </c>
      <c r="I365" s="299" t="s">
        <v>2831</v>
      </c>
      <c r="J365" s="66">
        <v>3008</v>
      </c>
      <c r="K365" s="66" t="s">
        <v>4013</v>
      </c>
      <c r="L365" s="66">
        <v>105078</v>
      </c>
      <c r="M365" s="66"/>
      <c r="N365" s="66" t="s">
        <v>2389</v>
      </c>
      <c r="O365" s="66" t="s">
        <v>2390</v>
      </c>
      <c r="P365" s="66" t="s">
        <v>892</v>
      </c>
      <c r="Q365" s="138" t="str">
        <f ca="1">IFERROR(LOOKUP($P365,MOTORISTAS!$D$3:$D$1048576,MOTORISTAS!E$3:E$916),"")</f>
        <v>55283063968</v>
      </c>
      <c r="R365" s="138" t="str">
        <f ca="1">IFERROR(LOOKUP($P365,MOTORISTAS!$D$3:$D$1048576,MOTORISTAS!F$3:F$916),"")</f>
        <v>02537032407</v>
      </c>
      <c r="S365" s="66">
        <v>3533</v>
      </c>
      <c r="T365" s="66" t="s">
        <v>293</v>
      </c>
      <c r="U365" s="79">
        <v>45019.663888888892</v>
      </c>
      <c r="V365" s="66" t="s">
        <v>469</v>
      </c>
      <c r="W365" s="79">
        <v>45020.749305555553</v>
      </c>
      <c r="X365" s="79">
        <v>45020.041666666664</v>
      </c>
      <c r="Y365" s="88">
        <v>45020.041666666664</v>
      </c>
      <c r="Z365" s="81"/>
      <c r="AA365" s="81"/>
      <c r="AB365" s="81"/>
      <c r="AC365" s="81"/>
      <c r="AD365" s="81">
        <v>3245.68</v>
      </c>
      <c r="AE365" s="81"/>
      <c r="AF365" s="81">
        <v>596.4</v>
      </c>
      <c r="AG365" s="81">
        <f>Sal_23[[#This Row],[COMPRA]]*12%</f>
        <v>523.91999999999996</v>
      </c>
      <c r="AH365" s="83">
        <v>4366</v>
      </c>
      <c r="AI365" s="66" t="str">
        <f>PROPER(TEXT(Sal_23[[#This Row],[PROGRAMAÇÃO]],"mmm"))</f>
        <v>Abr</v>
      </c>
      <c r="AJ365" s="66">
        <f>YEAR(Sal_23[[#This Row],[PROGRAMAÇÃO]])</f>
        <v>2023</v>
      </c>
      <c r="AK365" s="66"/>
      <c r="AL365" s="66"/>
      <c r="AM365" s="66" t="s">
        <v>2768</v>
      </c>
      <c r="AN365" s="66" t="s">
        <v>2768</v>
      </c>
      <c r="AO365" s="66" t="s">
        <v>2768</v>
      </c>
    </row>
    <row r="366" spans="1:41" x14ac:dyDescent="0.25">
      <c r="A366" s="120" t="str">
        <f>Sal_23[[#This Row],[CONTAINER]]</f>
        <v>TCLU3463408</v>
      </c>
      <c r="B366" s="128" t="s">
        <v>2771</v>
      </c>
      <c r="C36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66" s="198">
        <v>45020.375</v>
      </c>
      <c r="E366" s="44" t="s">
        <v>4009</v>
      </c>
      <c r="F366" s="66">
        <v>20</v>
      </c>
      <c r="G366" s="66" t="s">
        <v>2820</v>
      </c>
      <c r="H366" s="44" t="s">
        <v>2820</v>
      </c>
      <c r="I366" s="299" t="s">
        <v>2821</v>
      </c>
      <c r="J366" s="66">
        <v>3049</v>
      </c>
      <c r="K366" s="66" t="s">
        <v>4013</v>
      </c>
      <c r="L366" s="66">
        <v>69676</v>
      </c>
      <c r="M366" s="66"/>
      <c r="N366" s="66" t="s">
        <v>2859</v>
      </c>
      <c r="O366" s="66" t="s">
        <v>2860</v>
      </c>
      <c r="P366" s="66" t="s">
        <v>2861</v>
      </c>
      <c r="Q366" s="138" t="str">
        <f ca="1">IFERROR(LOOKUP($P366,MOTORISTAS!$D$3:$D$1048576,MOTORISTAS!E$3:E$916),"")</f>
        <v>01817591878</v>
      </c>
      <c r="R366" s="138" t="str">
        <f ca="1">IFERROR(LOOKUP($P366,MOTORISTAS!$D$3:$D$1048576,MOTORISTAS!F$3:F$916),"")</f>
        <v>00821760640</v>
      </c>
      <c r="S366" s="66">
        <v>15588</v>
      </c>
      <c r="T366" s="66" t="s">
        <v>293</v>
      </c>
      <c r="U366" s="79">
        <v>45019.988888888889</v>
      </c>
      <c r="V366" s="66" t="s">
        <v>526</v>
      </c>
      <c r="W366" s="79">
        <v>45020.720833333333</v>
      </c>
      <c r="X366" s="79">
        <v>45020.104166666664</v>
      </c>
      <c r="Y366" s="88">
        <v>45020.5625</v>
      </c>
      <c r="Z366" s="81">
        <v>1600</v>
      </c>
      <c r="AA366" s="81"/>
      <c r="AB366" s="81"/>
      <c r="AC366" s="81"/>
      <c r="AD366" s="81"/>
      <c r="AE366" s="81"/>
      <c r="AF366" s="81"/>
      <c r="AG366" s="81">
        <f>Sal_23[[#This Row],[COMPRA]]*12%</f>
        <v>276</v>
      </c>
      <c r="AH366" s="83">
        <v>2300</v>
      </c>
      <c r="AI366" s="66" t="str">
        <f>PROPER(TEXT(Sal_23[[#This Row],[PROGRAMAÇÃO]],"mmm"))</f>
        <v>Abr</v>
      </c>
      <c r="AJ366" s="66">
        <f>YEAR(Sal_23[[#This Row],[PROGRAMAÇÃO]])</f>
        <v>2023</v>
      </c>
      <c r="AK366" s="66"/>
      <c r="AL366" s="66"/>
      <c r="AM366" s="66" t="s">
        <v>2768</v>
      </c>
      <c r="AN366" s="66" t="s">
        <v>2768</v>
      </c>
      <c r="AO366" s="66" t="s">
        <v>2768</v>
      </c>
    </row>
    <row r="367" spans="1:41" x14ac:dyDescent="0.25">
      <c r="A367" s="120" t="str">
        <f>Sal_23[[#This Row],[CONTAINER]]</f>
        <v>TCLU3463100</v>
      </c>
      <c r="B367" s="128" t="s">
        <v>2771</v>
      </c>
      <c r="C36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67" s="198">
        <v>45020.375</v>
      </c>
      <c r="E367" s="44" t="s">
        <v>4026</v>
      </c>
      <c r="F367" s="66">
        <v>20</v>
      </c>
      <c r="G367" s="66" t="s">
        <v>2820</v>
      </c>
      <c r="H367" s="44" t="s">
        <v>2820</v>
      </c>
      <c r="I367" s="299" t="s">
        <v>2821</v>
      </c>
      <c r="J367" s="66">
        <v>3051</v>
      </c>
      <c r="K367" s="66" t="s">
        <v>4013</v>
      </c>
      <c r="L367" s="66">
        <v>69704</v>
      </c>
      <c r="M367" s="66"/>
      <c r="N367" s="66" t="s">
        <v>2949</v>
      </c>
      <c r="O367" s="66" t="s">
        <v>2950</v>
      </c>
      <c r="P367" s="66" t="s">
        <v>2948</v>
      </c>
      <c r="Q367" s="138" t="str">
        <f ca="1">IFERROR(LOOKUP($P367,MOTORISTAS!$D$3:$D$1048576,MOTORISTAS!E$3:E$916),"")</f>
        <v>16239341843</v>
      </c>
      <c r="R367" s="138" t="str">
        <f ca="1">IFERROR(LOOKUP($P367,MOTORISTAS!$D$3:$D$1048576,MOTORISTAS!F$3:F$916),"")</f>
        <v>01877235038</v>
      </c>
      <c r="S367" s="66">
        <v>15583</v>
      </c>
      <c r="T367" s="66" t="s">
        <v>293</v>
      </c>
      <c r="U367" s="79">
        <v>45019.921527777777</v>
      </c>
      <c r="V367" s="66" t="s">
        <v>526</v>
      </c>
      <c r="W367" s="79">
        <v>45020.561111111114</v>
      </c>
      <c r="X367" s="79">
        <v>45020.104166666664</v>
      </c>
      <c r="Y367" s="88">
        <v>45020.458333333336</v>
      </c>
      <c r="Z367" s="81">
        <v>1600</v>
      </c>
      <c r="AA367" s="81"/>
      <c r="AB367" s="81"/>
      <c r="AC367" s="81"/>
      <c r="AD367" s="81"/>
      <c r="AE367" s="81"/>
      <c r="AF367" s="81"/>
      <c r="AG367" s="81">
        <f>Sal_23[[#This Row],[COMPRA]]*12%</f>
        <v>276</v>
      </c>
      <c r="AH367" s="83">
        <v>2300</v>
      </c>
      <c r="AI367" s="66" t="str">
        <f>PROPER(TEXT(Sal_23[[#This Row],[PROGRAMAÇÃO]],"mmm"))</f>
        <v>Abr</v>
      </c>
      <c r="AJ367" s="66">
        <f>YEAR(Sal_23[[#This Row],[PROGRAMAÇÃO]])</f>
        <v>2023</v>
      </c>
      <c r="AK367" s="66"/>
      <c r="AL367" s="66"/>
      <c r="AM367" s="66" t="s">
        <v>2768</v>
      </c>
      <c r="AN367" s="66" t="s">
        <v>2768</v>
      </c>
      <c r="AO367" s="66" t="s">
        <v>2768</v>
      </c>
    </row>
    <row r="368" spans="1:41" x14ac:dyDescent="0.25">
      <c r="A368" s="120" t="str">
        <f>Sal_23[[#This Row],[CONTAINER]]</f>
        <v>CIPU5019140</v>
      </c>
      <c r="B368" s="128" t="s">
        <v>2771</v>
      </c>
      <c r="C36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68" s="198">
        <v>45020.458333333336</v>
      </c>
      <c r="E368" s="44" t="s">
        <v>4007</v>
      </c>
      <c r="F368" s="66">
        <v>40</v>
      </c>
      <c r="G368" s="66" t="s">
        <v>2820</v>
      </c>
      <c r="H368" s="44" t="s">
        <v>2820</v>
      </c>
      <c r="I368" s="299" t="s">
        <v>2821</v>
      </c>
      <c r="J368" s="66">
        <v>3053</v>
      </c>
      <c r="K368" s="66" t="s">
        <v>4013</v>
      </c>
      <c r="L368" s="66">
        <v>105035</v>
      </c>
      <c r="M368" s="66">
        <v>105036</v>
      </c>
      <c r="N368" s="66" t="s">
        <v>4108</v>
      </c>
      <c r="O368" s="66" t="s">
        <v>4109</v>
      </c>
      <c r="P368" s="66" t="s">
        <v>2932</v>
      </c>
      <c r="Q368" s="138" t="str">
        <f ca="1">IFERROR(LOOKUP($P368,MOTORISTAS!$D$3:$D$1048576,MOTORISTAS!E$3:E$916),"")</f>
        <v>87607395849</v>
      </c>
      <c r="R368" s="138" t="str">
        <f ca="1">IFERROR(LOOKUP($P368,MOTORISTAS!$D$3:$D$1048576,MOTORISTAS!F$3:F$916),"")</f>
        <v>01842622116</v>
      </c>
      <c r="S368" s="66" t="s">
        <v>4112</v>
      </c>
      <c r="T368" s="66" t="s">
        <v>293</v>
      </c>
      <c r="U368" s="79">
        <v>45019.92291666667</v>
      </c>
      <c r="V368" s="66" t="s">
        <v>469</v>
      </c>
      <c r="W368" s="79">
        <v>45020.744444444441</v>
      </c>
      <c r="X368" s="79">
        <v>45020.104166666664</v>
      </c>
      <c r="Y368" s="88">
        <v>45020.666666666664</v>
      </c>
      <c r="Z368" s="81">
        <v>1600</v>
      </c>
      <c r="AA368" s="81"/>
      <c r="AB368" s="81"/>
      <c r="AC368" s="81"/>
      <c r="AD368" s="81"/>
      <c r="AE368" s="81"/>
      <c r="AF368" s="81"/>
      <c r="AG368" s="81">
        <f>Sal_23[[#This Row],[COMPRA]]*12%</f>
        <v>276</v>
      </c>
      <c r="AH368" s="83">
        <v>2300</v>
      </c>
      <c r="AI368" s="66" t="str">
        <f>PROPER(TEXT(Sal_23[[#This Row],[PROGRAMAÇÃO]],"mmm"))</f>
        <v>Abr</v>
      </c>
      <c r="AJ368" s="66">
        <f>YEAR(Sal_23[[#This Row],[PROGRAMAÇÃO]])</f>
        <v>2023</v>
      </c>
      <c r="AK368" s="66"/>
      <c r="AL368" s="66"/>
      <c r="AM368" s="66" t="s">
        <v>2768</v>
      </c>
      <c r="AN368" s="66" t="s">
        <v>2768</v>
      </c>
      <c r="AO368" s="66" t="s">
        <v>2768</v>
      </c>
    </row>
    <row r="369" spans="1:41" x14ac:dyDescent="0.25">
      <c r="A369" s="120" t="str">
        <f>Sal_23[[#This Row],[CONTAINER]]</f>
        <v>SEGU4056310</v>
      </c>
      <c r="B369" s="128" t="s">
        <v>2771</v>
      </c>
      <c r="C36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69" s="198">
        <v>45020.458333333336</v>
      </c>
      <c r="E369" s="44" t="s">
        <v>4008</v>
      </c>
      <c r="F369" s="66">
        <v>40</v>
      </c>
      <c r="G369" s="66" t="s">
        <v>2820</v>
      </c>
      <c r="H369" s="44" t="s">
        <v>2820</v>
      </c>
      <c r="I369" s="299" t="s">
        <v>2821</v>
      </c>
      <c r="J369" s="66">
        <v>3056</v>
      </c>
      <c r="K369" s="66" t="s">
        <v>4013</v>
      </c>
      <c r="L369" s="66">
        <v>104997</v>
      </c>
      <c r="M369" s="66">
        <v>104998</v>
      </c>
      <c r="N369" s="66" t="s">
        <v>3028</v>
      </c>
      <c r="O369" s="66" t="s">
        <v>3852</v>
      </c>
      <c r="P369" s="66" t="s">
        <v>3443</v>
      </c>
      <c r="Q369" s="138" t="str">
        <f ca="1">IFERROR(LOOKUP($P369,MOTORISTAS!$D$3:$D$1048576,MOTORISTAS!E$3:E$916),"")</f>
        <v>13990937898</v>
      </c>
      <c r="R369" s="138" t="str">
        <f ca="1">IFERROR(LOOKUP($P369,MOTORISTAS!$D$3:$D$1048576,MOTORISTAS!F$3:F$916),"")</f>
        <v>01825123407</v>
      </c>
      <c r="S369" s="66" t="s">
        <v>4113</v>
      </c>
      <c r="T369" s="66" t="s">
        <v>293</v>
      </c>
      <c r="U369" s="79">
        <v>45019.89166666667</v>
      </c>
      <c r="V369" s="66" t="s">
        <v>469</v>
      </c>
      <c r="W369" s="79">
        <v>45020.621527777781</v>
      </c>
      <c r="X369" s="79">
        <v>45020.104166666664</v>
      </c>
      <c r="Y369" s="88">
        <v>45020.458333333336</v>
      </c>
      <c r="Z369" s="81">
        <v>1600</v>
      </c>
      <c r="AA369" s="81"/>
      <c r="AB369" s="81"/>
      <c r="AC369" s="81"/>
      <c r="AD369" s="81"/>
      <c r="AE369" s="81"/>
      <c r="AF369" s="81"/>
      <c r="AG369" s="81">
        <f>Sal_23[[#This Row],[COMPRA]]*12%</f>
        <v>276</v>
      </c>
      <c r="AH369" s="83">
        <v>2300</v>
      </c>
      <c r="AI369" s="66" t="str">
        <f>PROPER(TEXT(Sal_23[[#This Row],[PROGRAMAÇÃO]],"mmm"))</f>
        <v>Abr</v>
      </c>
      <c r="AJ369" s="66">
        <f>YEAR(Sal_23[[#This Row],[PROGRAMAÇÃO]])</f>
        <v>2023</v>
      </c>
      <c r="AK369" s="66"/>
      <c r="AL369" s="66"/>
      <c r="AM369" s="66" t="s">
        <v>2768</v>
      </c>
      <c r="AN369" s="66" t="s">
        <v>2768</v>
      </c>
      <c r="AO369" s="66" t="s">
        <v>2768</v>
      </c>
    </row>
    <row r="370" spans="1:41" x14ac:dyDescent="0.25">
      <c r="A370" s="120" t="str">
        <f>Sal_23[[#This Row],[CONTAINER]]</f>
        <v>MRKU2961314</v>
      </c>
      <c r="B370" s="128" t="s">
        <v>2771</v>
      </c>
      <c r="C37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0" s="198">
        <v>45020.333333333336</v>
      </c>
      <c r="E370" s="44" t="s">
        <v>4072</v>
      </c>
      <c r="F370" s="66">
        <v>40</v>
      </c>
      <c r="G370" s="66" t="s">
        <v>2826</v>
      </c>
      <c r="H370" s="44" t="s">
        <v>2835</v>
      </c>
      <c r="I370" s="299" t="s">
        <v>2822</v>
      </c>
      <c r="J370" s="66" t="s">
        <v>4110</v>
      </c>
      <c r="K370" s="66" t="s">
        <v>4070</v>
      </c>
      <c r="L370" s="66">
        <v>105156</v>
      </c>
      <c r="M370" s="66"/>
      <c r="N370" s="66" t="s">
        <v>2879</v>
      </c>
      <c r="O370" s="66" t="s">
        <v>4111</v>
      </c>
      <c r="P370" s="66" t="s">
        <v>2917</v>
      </c>
      <c r="Q370" s="138" t="str">
        <f ca="1">IFERROR(LOOKUP($P370,MOTORISTAS!$D$3:$D$1048576,MOTORISTAS!E$3:E$916),"")</f>
        <v>31066093890</v>
      </c>
      <c r="R370" s="138" t="str">
        <f ca="1">IFERROR(LOOKUP($P370,MOTORISTAS!$D$3:$D$1048576,MOTORISTAS!F$3:F$916),"")</f>
        <v>01819349701</v>
      </c>
      <c r="S370" s="66">
        <v>3531</v>
      </c>
      <c r="T370" s="66" t="s">
        <v>306</v>
      </c>
      <c r="U370" s="79">
        <v>45019.75</v>
      </c>
      <c r="V370" s="66" t="s">
        <v>409</v>
      </c>
      <c r="W370" s="79">
        <v>45020.581250000003</v>
      </c>
      <c r="X370" s="79">
        <v>45020.326388888891</v>
      </c>
      <c r="Y370" s="88">
        <v>45020.611111111109</v>
      </c>
      <c r="Z370" s="81">
        <v>2100</v>
      </c>
      <c r="AA370" s="81"/>
      <c r="AB370" s="81"/>
      <c r="AC370" s="81"/>
      <c r="AD370" s="81"/>
      <c r="AE370" s="81"/>
      <c r="AF370" s="81"/>
      <c r="AG370" s="81">
        <f>Sal_23[[#This Row],[COMPRA]]*12%</f>
        <v>370.37759999999997</v>
      </c>
      <c r="AH370" s="83">
        <v>3086.48</v>
      </c>
      <c r="AI370" s="66" t="str">
        <f>PROPER(TEXT(Sal_23[[#This Row],[PROGRAMAÇÃO]],"mmm"))</f>
        <v>Abr</v>
      </c>
      <c r="AJ370" s="66">
        <f>YEAR(Sal_23[[#This Row],[PROGRAMAÇÃO]])</f>
        <v>2023</v>
      </c>
      <c r="AK370" s="66"/>
      <c r="AL370" s="66"/>
      <c r="AM370" s="66" t="s">
        <v>2768</v>
      </c>
      <c r="AN370" s="66" t="s">
        <v>2768</v>
      </c>
      <c r="AO370" s="66" t="s">
        <v>2768</v>
      </c>
    </row>
    <row r="371" spans="1:41" x14ac:dyDescent="0.25">
      <c r="A371" s="120" t="str">
        <f>Sal_23[[#This Row],[CONTAINER]]</f>
        <v>CAIU6272667</v>
      </c>
      <c r="B371" s="128" t="s">
        <v>2771</v>
      </c>
      <c r="C37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1" s="198">
        <v>45021.375</v>
      </c>
      <c r="E371" s="44" t="s">
        <v>4064</v>
      </c>
      <c r="F371" s="66">
        <v>20</v>
      </c>
      <c r="G371" s="66" t="s">
        <v>2820</v>
      </c>
      <c r="H371" s="44" t="s">
        <v>2820</v>
      </c>
      <c r="I371" s="299" t="s">
        <v>2821</v>
      </c>
      <c r="J371" s="66" t="s">
        <v>4168</v>
      </c>
      <c r="K371" s="66" t="s">
        <v>4070</v>
      </c>
      <c r="L371" s="66">
        <v>105160</v>
      </c>
      <c r="M371" s="66"/>
      <c r="N371" s="66" t="s">
        <v>2859</v>
      </c>
      <c r="O371" s="66" t="s">
        <v>2860</v>
      </c>
      <c r="P371" s="66" t="s">
        <v>2861</v>
      </c>
      <c r="Q371" s="138" t="str">
        <f ca="1">IFERROR(LOOKUP($P371,MOTORISTAS!$D$3:$D$1048576,MOTORISTAS!E$3:E$916),"")</f>
        <v>01817591878</v>
      </c>
      <c r="R371" s="138" t="str">
        <f ca="1">IFERROR(LOOKUP($P371,MOTORISTAS!$D$3:$D$1048576,MOTORISTAS!F$3:F$916),"")</f>
        <v>00821760640</v>
      </c>
      <c r="S371" s="66">
        <v>15599</v>
      </c>
      <c r="T371" s="66" t="s">
        <v>306</v>
      </c>
      <c r="U371" s="79">
        <v>45021.040277777778</v>
      </c>
      <c r="V371" s="66" t="s">
        <v>292</v>
      </c>
      <c r="W371" s="79">
        <v>45021.643055555556</v>
      </c>
      <c r="X371" s="79">
        <v>45021.166666666664</v>
      </c>
      <c r="Y371" s="88">
        <v>45021.5625</v>
      </c>
      <c r="Z371" s="81">
        <v>1600</v>
      </c>
      <c r="AA371" s="81"/>
      <c r="AB371" s="81"/>
      <c r="AC371" s="81">
        <v>0</v>
      </c>
      <c r="AD371" s="81"/>
      <c r="AE371" s="81"/>
      <c r="AF371" s="81"/>
      <c r="AG371" s="81">
        <f>Sal_23[[#This Row],[COMPRA]]*12%</f>
        <v>276</v>
      </c>
      <c r="AH371" s="83">
        <v>2300</v>
      </c>
      <c r="AI371" s="66" t="str">
        <f>PROPER(TEXT(Sal_23[[#This Row],[PROGRAMAÇÃO]],"mmm"))</f>
        <v>Abr</v>
      </c>
      <c r="AJ371" s="66">
        <f>YEAR(Sal_23[[#This Row],[PROGRAMAÇÃO]])</f>
        <v>2023</v>
      </c>
      <c r="AK371" s="66"/>
      <c r="AL371" s="66"/>
      <c r="AM371" s="66" t="s">
        <v>2768</v>
      </c>
      <c r="AN371" s="66" t="s">
        <v>2768</v>
      </c>
      <c r="AO371" s="66" t="s">
        <v>2768</v>
      </c>
    </row>
    <row r="372" spans="1:41" x14ac:dyDescent="0.25">
      <c r="A372" s="120" t="str">
        <f>Sal_23[[#This Row],[CONTAINER]]</f>
        <v>MSKU5458943</v>
      </c>
      <c r="B372" s="128" t="s">
        <v>2771</v>
      </c>
      <c r="C37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2" s="198">
        <v>45021.375</v>
      </c>
      <c r="E372" s="44" t="s">
        <v>4068</v>
      </c>
      <c r="F372" s="66">
        <v>20</v>
      </c>
      <c r="G372" s="66" t="s">
        <v>2820</v>
      </c>
      <c r="H372" s="44" t="s">
        <v>2820</v>
      </c>
      <c r="I372" s="299" t="s">
        <v>2821</v>
      </c>
      <c r="J372" s="66" t="s">
        <v>4168</v>
      </c>
      <c r="K372" s="66" t="s">
        <v>4070</v>
      </c>
      <c r="L372" s="66">
        <v>105300</v>
      </c>
      <c r="M372" s="66"/>
      <c r="N372" s="66" t="s">
        <v>3028</v>
      </c>
      <c r="O372" s="66" t="s">
        <v>2950</v>
      </c>
      <c r="P372" s="66" t="s">
        <v>3443</v>
      </c>
      <c r="Q372" s="138" t="str">
        <f ca="1">IFERROR(LOOKUP($P372,MOTORISTAS!$D$3:$D$1048576,MOTORISTAS!E$3:E$916),"")</f>
        <v>13990937898</v>
      </c>
      <c r="R372" s="138" t="str">
        <f ca="1">IFERROR(LOOKUP($P372,MOTORISTAS!$D$3:$D$1048576,MOTORISTAS!F$3:F$916),"")</f>
        <v>01825123407</v>
      </c>
      <c r="S372" s="66">
        <v>15600</v>
      </c>
      <c r="T372" s="66" t="s">
        <v>306</v>
      </c>
      <c r="U372" s="79">
        <v>45020.959027777775</v>
      </c>
      <c r="V372" s="66" t="s">
        <v>292</v>
      </c>
      <c r="W372" s="79">
        <v>45021.711805555555</v>
      </c>
      <c r="X372" s="79">
        <v>45021.034722222219</v>
      </c>
      <c r="Y372" s="88">
        <v>45021.618055555555</v>
      </c>
      <c r="Z372" s="81">
        <v>1600</v>
      </c>
      <c r="AA372" s="81"/>
      <c r="AB372" s="81"/>
      <c r="AC372" s="81"/>
      <c r="AD372" s="81"/>
      <c r="AE372" s="81"/>
      <c r="AF372" s="81"/>
      <c r="AG372" s="81">
        <f>Sal_23[[#This Row],[COMPRA]]*12%</f>
        <v>276</v>
      </c>
      <c r="AH372" s="83">
        <v>2300</v>
      </c>
      <c r="AI372" s="66" t="str">
        <f>PROPER(TEXT(Sal_23[[#This Row],[PROGRAMAÇÃO]],"mmm"))</f>
        <v>Abr</v>
      </c>
      <c r="AJ372" s="66">
        <f>YEAR(Sal_23[[#This Row],[PROGRAMAÇÃO]])</f>
        <v>2023</v>
      </c>
      <c r="AK372" s="66"/>
      <c r="AL372" s="66"/>
      <c r="AM372" s="66" t="s">
        <v>2768</v>
      </c>
      <c r="AN372" s="66" t="s">
        <v>2768</v>
      </c>
      <c r="AO372" s="66" t="s">
        <v>2768</v>
      </c>
    </row>
    <row r="373" spans="1:41" x14ac:dyDescent="0.25">
      <c r="A373" s="120" t="str">
        <f>Sal_23[[#This Row],[CONTAINER]]</f>
        <v>MRKU8954863</v>
      </c>
      <c r="B373" s="128" t="s">
        <v>2771</v>
      </c>
      <c r="C37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3" s="198">
        <v>45021.375</v>
      </c>
      <c r="E373" s="44" t="s">
        <v>4069</v>
      </c>
      <c r="F373" s="66">
        <v>20</v>
      </c>
      <c r="G373" s="66" t="s">
        <v>2820</v>
      </c>
      <c r="H373" s="44" t="s">
        <v>2820</v>
      </c>
      <c r="I373" s="299" t="s">
        <v>2821</v>
      </c>
      <c r="J373" s="66" t="s">
        <v>4168</v>
      </c>
      <c r="K373" s="66" t="s">
        <v>4070</v>
      </c>
      <c r="L373" s="66">
        <v>105299</v>
      </c>
      <c r="M373" s="66"/>
      <c r="N373" s="66" t="s">
        <v>2584</v>
      </c>
      <c r="O373" s="66" t="s">
        <v>2585</v>
      </c>
      <c r="P373" s="66" t="s">
        <v>2586</v>
      </c>
      <c r="Q373" s="138" t="str">
        <f ca="1">IFERROR(LOOKUP($P373,MOTORISTAS!$D$3:$D$1048576,MOTORISTAS!E$3:E$916),"")</f>
        <v>08312935860</v>
      </c>
      <c r="R373" s="138" t="str">
        <f ca="1">IFERROR(LOOKUP($P373,MOTORISTAS!$D$3:$D$1048576,MOTORISTAS!F$3:F$916),"")</f>
        <v>03106516083</v>
      </c>
      <c r="S373" s="66">
        <v>15601</v>
      </c>
      <c r="T373" s="66" t="s">
        <v>306</v>
      </c>
      <c r="U373" s="79">
        <v>45020.916666666664</v>
      </c>
      <c r="V373" s="66" t="s">
        <v>409</v>
      </c>
      <c r="W373" s="79">
        <v>45021.704861111109</v>
      </c>
      <c r="X373" s="79">
        <v>45021.010416666664</v>
      </c>
      <c r="Y373" s="88">
        <v>45021.625</v>
      </c>
      <c r="Z373" s="81">
        <v>1600</v>
      </c>
      <c r="AA373" s="81"/>
      <c r="AB373" s="81"/>
      <c r="AC373" s="81"/>
      <c r="AD373" s="81"/>
      <c r="AE373" s="81"/>
      <c r="AF373" s="81"/>
      <c r="AG373" s="81">
        <f>Sal_23[[#This Row],[COMPRA]]*12%</f>
        <v>276</v>
      </c>
      <c r="AH373" s="83">
        <v>2300</v>
      </c>
      <c r="AI373" s="66" t="str">
        <f>PROPER(TEXT(Sal_23[[#This Row],[PROGRAMAÇÃO]],"mmm"))</f>
        <v>Abr</v>
      </c>
      <c r="AJ373" s="66">
        <f>YEAR(Sal_23[[#This Row],[PROGRAMAÇÃO]])</f>
        <v>2023</v>
      </c>
      <c r="AK373" s="66"/>
      <c r="AL373" s="66"/>
      <c r="AM373" s="66" t="s">
        <v>2768</v>
      </c>
      <c r="AN373" s="66" t="s">
        <v>2768</v>
      </c>
      <c r="AO373" s="66" t="s">
        <v>2768</v>
      </c>
    </row>
    <row r="374" spans="1:41" x14ac:dyDescent="0.25">
      <c r="A374" s="120" t="str">
        <f>Sal_23[[#This Row],[CONTAINER]]</f>
        <v>MRKU5932829</v>
      </c>
      <c r="B374" s="128" t="s">
        <v>2771</v>
      </c>
      <c r="C37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4" s="198">
        <v>45021.333333333336</v>
      </c>
      <c r="E374" s="44" t="s">
        <v>4073</v>
      </c>
      <c r="F374" s="66">
        <v>40</v>
      </c>
      <c r="G374" s="66" t="s">
        <v>2826</v>
      </c>
      <c r="H374" s="44" t="s">
        <v>2835</v>
      </c>
      <c r="I374" s="299" t="s">
        <v>2822</v>
      </c>
      <c r="J374" s="66" t="s">
        <v>4110</v>
      </c>
      <c r="K374" s="66" t="s">
        <v>4070</v>
      </c>
      <c r="L374" s="66">
        <v>105295</v>
      </c>
      <c r="M374" s="66"/>
      <c r="N374" s="66" t="s">
        <v>4108</v>
      </c>
      <c r="O374" s="66" t="s">
        <v>4109</v>
      </c>
      <c r="P374" s="66" t="s">
        <v>2948</v>
      </c>
      <c r="Q374" s="138" t="str">
        <f ca="1">IFERROR(LOOKUP($P374,MOTORISTAS!$D$3:$D$1048576,MOTORISTAS!E$3:E$916),"")</f>
        <v>16239341843</v>
      </c>
      <c r="R374" s="138" t="str">
        <f ca="1">IFERROR(LOOKUP($P374,MOTORISTAS!$D$3:$D$1048576,MOTORISTAS!F$3:F$916),"")</f>
        <v>01877235038</v>
      </c>
      <c r="S374" s="66">
        <v>3536</v>
      </c>
      <c r="T374" s="66" t="s">
        <v>306</v>
      </c>
      <c r="U374" s="79">
        <v>45020.124305555553</v>
      </c>
      <c r="V374" s="66" t="s">
        <v>526</v>
      </c>
      <c r="W374" s="79">
        <v>45021.602777777778</v>
      </c>
      <c r="X374" s="79">
        <v>45021.125</v>
      </c>
      <c r="Y374" s="88">
        <v>45021.46875</v>
      </c>
      <c r="Z374" s="81">
        <v>2100</v>
      </c>
      <c r="AA374" s="81"/>
      <c r="AB374" s="81"/>
      <c r="AC374" s="81"/>
      <c r="AD374" s="81"/>
      <c r="AE374" s="81"/>
      <c r="AF374" s="81"/>
      <c r="AG374" s="81">
        <f>Sal_23[[#This Row],[COMPRA]]*12%</f>
        <v>370.37759999999997</v>
      </c>
      <c r="AH374" s="83">
        <v>3086.48</v>
      </c>
      <c r="AI374" s="66" t="str">
        <f>PROPER(TEXT(Sal_23[[#This Row],[PROGRAMAÇÃO]],"mmm"))</f>
        <v>Abr</v>
      </c>
      <c r="AJ374" s="66">
        <f>YEAR(Sal_23[[#This Row],[PROGRAMAÇÃO]])</f>
        <v>2023</v>
      </c>
      <c r="AK374" s="66"/>
      <c r="AL374" s="66"/>
      <c r="AM374" s="66" t="s">
        <v>2768</v>
      </c>
      <c r="AN374" s="66" t="s">
        <v>2768</v>
      </c>
      <c r="AO374" s="66" t="s">
        <v>2768</v>
      </c>
    </row>
    <row r="375" spans="1:41" x14ac:dyDescent="0.25">
      <c r="A375" s="120" t="str">
        <f>Sal_23[[#This Row],[CONTAINER]]</f>
        <v>MRKU8976179</v>
      </c>
      <c r="B375" s="128" t="s">
        <v>2771</v>
      </c>
      <c r="C37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5" s="198">
        <v>45022.375</v>
      </c>
      <c r="E375" s="44" t="s">
        <v>4065</v>
      </c>
      <c r="F375" s="66">
        <v>20</v>
      </c>
      <c r="G375" s="66" t="s">
        <v>2820</v>
      </c>
      <c r="H375" s="44" t="s">
        <v>2820</v>
      </c>
      <c r="I375" s="299" t="s">
        <v>2821</v>
      </c>
      <c r="J375" s="66" t="s">
        <v>4168</v>
      </c>
      <c r="K375" s="66" t="s">
        <v>4070</v>
      </c>
      <c r="L375" s="66">
        <v>105159</v>
      </c>
      <c r="M375" s="66"/>
      <c r="N375" s="66" t="s">
        <v>2859</v>
      </c>
      <c r="O375" s="66" t="s">
        <v>2860</v>
      </c>
      <c r="P375" s="66" t="s">
        <v>2861</v>
      </c>
      <c r="Q375" s="138" t="str">
        <f ca="1">IFERROR(LOOKUP($P375,MOTORISTAS!$D$3:$D$1048576,MOTORISTAS!E$3:E$916),"")</f>
        <v>01817591878</v>
      </c>
      <c r="R375" s="138" t="str">
        <f ca="1">IFERROR(LOOKUP($P375,MOTORISTAS!$D$3:$D$1048576,MOTORISTAS!F$3:F$916),"")</f>
        <v>00821760640</v>
      </c>
      <c r="S375" s="66">
        <v>15616</v>
      </c>
      <c r="T375" s="66" t="s">
        <v>306</v>
      </c>
      <c r="U375" s="79">
        <v>45022.070833333331</v>
      </c>
      <c r="V375" s="66" t="s">
        <v>292</v>
      </c>
      <c r="W375" s="79">
        <v>45024.3125</v>
      </c>
      <c r="X375" s="79">
        <v>45022.180555555555</v>
      </c>
      <c r="Y375" s="88">
        <v>45022.645833333336</v>
      </c>
      <c r="Z375" s="81">
        <v>1600</v>
      </c>
      <c r="AA375" s="81"/>
      <c r="AB375" s="81"/>
      <c r="AC375" s="81"/>
      <c r="AD375" s="81"/>
      <c r="AE375" s="81"/>
      <c r="AF375" s="81"/>
      <c r="AG375" s="81">
        <f>Sal_23[[#This Row],[COMPRA]]*12%</f>
        <v>276</v>
      </c>
      <c r="AH375" s="83">
        <v>2300</v>
      </c>
      <c r="AI375" s="66" t="str">
        <f>PROPER(TEXT(Sal_23[[#This Row],[PROGRAMAÇÃO]],"mmm"))</f>
        <v>Abr</v>
      </c>
      <c r="AJ375" s="66">
        <f>YEAR(Sal_23[[#This Row],[PROGRAMAÇÃO]])</f>
        <v>2023</v>
      </c>
      <c r="AK375" s="66"/>
      <c r="AL375" s="66"/>
      <c r="AM375" s="66" t="s">
        <v>2768</v>
      </c>
      <c r="AN375" s="66" t="s">
        <v>2768</v>
      </c>
      <c r="AO375" s="66" t="s">
        <v>2768</v>
      </c>
    </row>
    <row r="376" spans="1:41" x14ac:dyDescent="0.25">
      <c r="A376" s="120" t="str">
        <f>Sal_23[[#This Row],[CONTAINER]]</f>
        <v>SUDU1335878</v>
      </c>
      <c r="B376" s="128" t="s">
        <v>2771</v>
      </c>
      <c r="C37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6" s="198">
        <v>45022.375</v>
      </c>
      <c r="E376" s="44" t="s">
        <v>4066</v>
      </c>
      <c r="F376" s="66">
        <v>20</v>
      </c>
      <c r="G376" s="66" t="s">
        <v>2820</v>
      </c>
      <c r="H376" s="44" t="s">
        <v>2820</v>
      </c>
      <c r="I376" s="299" t="s">
        <v>2821</v>
      </c>
      <c r="J376" s="66" t="s">
        <v>4212</v>
      </c>
      <c r="K376" s="66" t="s">
        <v>4070</v>
      </c>
      <c r="L376" s="66">
        <v>105247</v>
      </c>
      <c r="M376" s="66">
        <v>105244</v>
      </c>
      <c r="N376" s="66" t="s">
        <v>2933</v>
      </c>
      <c r="O376" s="66" t="s">
        <v>2864</v>
      </c>
      <c r="P376" s="66" t="s">
        <v>4213</v>
      </c>
      <c r="Q376" s="138" t="str">
        <f ca="1">IFERROR(LOOKUP($P376,MOTORISTAS!$D$3:$D$1048576,MOTORISTAS!E$3:E$916),"")</f>
        <v>40469241870</v>
      </c>
      <c r="R376" s="138" t="str">
        <f ca="1">IFERROR(LOOKUP($P376,MOTORISTAS!$D$3:$D$1048576,MOTORISTAS!F$3:F$916),"")</f>
        <v>0449259722</v>
      </c>
      <c r="S376" s="66" t="s">
        <v>4214</v>
      </c>
      <c r="T376" s="66" t="s">
        <v>306</v>
      </c>
      <c r="U376" s="79">
        <v>45021.997916666667</v>
      </c>
      <c r="V376" s="66" t="s">
        <v>292</v>
      </c>
      <c r="W376" s="79">
        <v>45024.32916666667</v>
      </c>
      <c r="X376" s="79">
        <v>45022.1875</v>
      </c>
      <c r="Y376" s="88">
        <v>45022.666666666664</v>
      </c>
      <c r="Z376" s="81">
        <v>1600</v>
      </c>
      <c r="AA376" s="81"/>
      <c r="AB376" s="81"/>
      <c r="AC376" s="81"/>
      <c r="AD376" s="81"/>
      <c r="AE376" s="81"/>
      <c r="AF376" s="81"/>
      <c r="AG376" s="81">
        <f>Sal_23[[#This Row],[COMPRA]]*12%</f>
        <v>276</v>
      </c>
      <c r="AH376" s="83">
        <v>2300</v>
      </c>
      <c r="AI376" s="66" t="str">
        <f>PROPER(TEXT(Sal_23[[#This Row],[PROGRAMAÇÃO]],"mmm"))</f>
        <v>Abr</v>
      </c>
      <c r="AJ376" s="66">
        <f>YEAR(Sal_23[[#This Row],[PROGRAMAÇÃO]])</f>
        <v>2023</v>
      </c>
      <c r="AK376" s="66"/>
      <c r="AL376" s="66"/>
      <c r="AM376" s="66" t="s">
        <v>2768</v>
      </c>
      <c r="AN376" s="66" t="s">
        <v>2768</v>
      </c>
      <c r="AO376" s="66" t="s">
        <v>2768</v>
      </c>
    </row>
    <row r="377" spans="1:41" x14ac:dyDescent="0.25">
      <c r="A377" s="120" t="str">
        <f>Sal_23[[#This Row],[CONTAINER]]</f>
        <v>TCKU1121245</v>
      </c>
      <c r="B377" s="128" t="s">
        <v>2771</v>
      </c>
      <c r="C37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7" s="198">
        <v>45022.375</v>
      </c>
      <c r="E377" s="44" t="s">
        <v>4067</v>
      </c>
      <c r="F377" s="66">
        <v>20</v>
      </c>
      <c r="G377" s="66" t="s">
        <v>2820</v>
      </c>
      <c r="H377" s="44" t="s">
        <v>2820</v>
      </c>
      <c r="I377" s="299" t="s">
        <v>2821</v>
      </c>
      <c r="J377" s="66" t="s">
        <v>4168</v>
      </c>
      <c r="K377" s="66" t="s">
        <v>4070</v>
      </c>
      <c r="L377" s="66">
        <v>105243</v>
      </c>
      <c r="M377" s="66"/>
      <c r="N377" s="66" t="s">
        <v>2949</v>
      </c>
      <c r="O377" s="66" t="s">
        <v>2950</v>
      </c>
      <c r="P377" s="66" t="s">
        <v>2948</v>
      </c>
      <c r="Q377" s="138" t="str">
        <f ca="1">IFERROR(LOOKUP($P377,MOTORISTAS!$D$3:$D$1048576,MOTORISTAS!E$3:E$916),"")</f>
        <v>16239341843</v>
      </c>
      <c r="R377" s="138" t="str">
        <f ca="1">IFERROR(LOOKUP($P377,MOTORISTAS!$D$3:$D$1048576,MOTORISTAS!F$3:F$916),"")</f>
        <v>01877235038</v>
      </c>
      <c r="S377" s="66">
        <v>15619</v>
      </c>
      <c r="T377" s="66" t="s">
        <v>306</v>
      </c>
      <c r="U377" s="79">
        <v>45022.00277777778</v>
      </c>
      <c r="V377" s="66" t="s">
        <v>409</v>
      </c>
      <c r="W377" s="79">
        <v>45022.650694444441</v>
      </c>
      <c r="X377" s="79">
        <v>45022.180555555555</v>
      </c>
      <c r="Y377" s="88">
        <v>45022.5625</v>
      </c>
      <c r="Z377" s="81">
        <v>1600</v>
      </c>
      <c r="AA377" s="81"/>
      <c r="AB377" s="81"/>
      <c r="AC377" s="81"/>
      <c r="AD377" s="81"/>
      <c r="AE377" s="81"/>
      <c r="AF377" s="81"/>
      <c r="AG377" s="81">
        <f>Sal_23[[#This Row],[COMPRA]]*12%</f>
        <v>276</v>
      </c>
      <c r="AH377" s="83">
        <v>2300</v>
      </c>
      <c r="AI377" s="66" t="str">
        <f>PROPER(TEXT(Sal_23[[#This Row],[PROGRAMAÇÃO]],"mmm"))</f>
        <v>Abr</v>
      </c>
      <c r="AJ377" s="66">
        <f>YEAR(Sal_23[[#This Row],[PROGRAMAÇÃO]])</f>
        <v>2023</v>
      </c>
      <c r="AK377" s="66"/>
      <c r="AL377" s="66"/>
      <c r="AM377" s="66" t="s">
        <v>2768</v>
      </c>
      <c r="AN377" s="66" t="s">
        <v>2768</v>
      </c>
      <c r="AO377" s="66" t="s">
        <v>2768</v>
      </c>
    </row>
    <row r="378" spans="1:41" x14ac:dyDescent="0.25">
      <c r="A378" s="120" t="str">
        <f>Sal_23[[#This Row],[CONTAINER]]</f>
        <v>MRKU9054676</v>
      </c>
      <c r="B378" s="128" t="s">
        <v>2771</v>
      </c>
      <c r="C37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8" s="198">
        <v>45022.333333333336</v>
      </c>
      <c r="E378" s="44" t="s">
        <v>4071</v>
      </c>
      <c r="F378" s="66">
        <v>20</v>
      </c>
      <c r="G378" s="66" t="s">
        <v>2826</v>
      </c>
      <c r="H378" s="44" t="s">
        <v>3440</v>
      </c>
      <c r="I378" s="299" t="s">
        <v>3253</v>
      </c>
      <c r="J378" s="66" t="s">
        <v>4211</v>
      </c>
      <c r="K378" s="66" t="s">
        <v>4070</v>
      </c>
      <c r="L378" s="66">
        <v>115032</v>
      </c>
      <c r="M378" s="66"/>
      <c r="N378" s="66" t="s">
        <v>2584</v>
      </c>
      <c r="O378" s="66" t="s">
        <v>2585</v>
      </c>
      <c r="P378" s="66" t="s">
        <v>2586</v>
      </c>
      <c r="Q378" s="138" t="str">
        <f ca="1">IFERROR(LOOKUP($P378,MOTORISTAS!$D$3:$D$1048576,MOTORISTAS!E$3:E$916),"")</f>
        <v>08312935860</v>
      </c>
      <c r="R378" s="138" t="str">
        <f ca="1">IFERROR(LOOKUP($P378,MOTORISTAS!$D$3:$D$1048576,MOTORISTAS!F$3:F$916),"")</f>
        <v>03106516083</v>
      </c>
      <c r="S378" s="66">
        <v>3542</v>
      </c>
      <c r="T378" s="66" t="s">
        <v>306</v>
      </c>
      <c r="U378" s="79">
        <v>45021.986805555556</v>
      </c>
      <c r="V378" s="66" t="s">
        <v>409</v>
      </c>
      <c r="W378" s="79">
        <v>45022.560416666667</v>
      </c>
      <c r="X378" s="79">
        <v>45022.152777777781</v>
      </c>
      <c r="Y378" s="88">
        <v>45022.416666666664</v>
      </c>
      <c r="Z378" s="81">
        <v>2300</v>
      </c>
      <c r="AA378" s="81"/>
      <c r="AB378" s="81"/>
      <c r="AC378" s="81"/>
      <c r="AD378" s="81"/>
      <c r="AE378" s="81"/>
      <c r="AF378" s="81"/>
      <c r="AG378" s="81">
        <f>Sal_23[[#This Row],[COMPRA]]*12%</f>
        <v>399.62399999999997</v>
      </c>
      <c r="AH378" s="83">
        <v>3330.2</v>
      </c>
      <c r="AI378" s="66" t="str">
        <f>PROPER(TEXT(Sal_23[[#This Row],[PROGRAMAÇÃO]],"mmm"))</f>
        <v>Abr</v>
      </c>
      <c r="AJ378" s="66">
        <f>YEAR(Sal_23[[#This Row],[PROGRAMAÇÃO]])</f>
        <v>2023</v>
      </c>
      <c r="AK378" s="66"/>
      <c r="AL378" s="66"/>
      <c r="AM378" s="66" t="s">
        <v>2768</v>
      </c>
      <c r="AN378" s="66" t="s">
        <v>2768</v>
      </c>
      <c r="AO378" s="66" t="s">
        <v>2768</v>
      </c>
    </row>
    <row r="379" spans="1:41" x14ac:dyDescent="0.25">
      <c r="A379" s="120" t="str">
        <f>Sal_23[[#This Row],[CONTAINER]]</f>
        <v>MSDU1714321</v>
      </c>
      <c r="B379" s="128" t="s">
        <v>2771</v>
      </c>
      <c r="C37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79" s="79">
        <v>45022.333333333336</v>
      </c>
      <c r="E379" s="44" t="s">
        <v>4141</v>
      </c>
      <c r="F379" s="66">
        <v>20</v>
      </c>
      <c r="G379" s="66" t="s">
        <v>2837</v>
      </c>
      <c r="H379" s="44" t="s">
        <v>2837</v>
      </c>
      <c r="I379" s="299" t="s">
        <v>2821</v>
      </c>
      <c r="J379" s="66">
        <v>3260</v>
      </c>
      <c r="K379" s="66" t="s">
        <v>4165</v>
      </c>
      <c r="L379" s="66">
        <v>105186</v>
      </c>
      <c r="M379" s="66">
        <v>115039</v>
      </c>
      <c r="N379" s="66" t="s">
        <v>2156</v>
      </c>
      <c r="O379" s="66" t="s">
        <v>2464</v>
      </c>
      <c r="P379" s="66" t="s">
        <v>2158</v>
      </c>
      <c r="Q379" s="138" t="str">
        <f ca="1">IFERROR(LOOKUP($P379,MOTORISTAS!$D$3:$D$1048576,MOTORISTAS!E$3:E$916),"")</f>
        <v>10485530864</v>
      </c>
      <c r="R379" s="138" t="str">
        <f ca="1">IFERROR(LOOKUP($P379,MOTORISTAS!$D$3:$D$1048576,MOTORISTAS!F$3:F$916),"")</f>
        <v>02033192841</v>
      </c>
      <c r="S379" s="66" t="s">
        <v>4215</v>
      </c>
      <c r="T379" s="66" t="s">
        <v>293</v>
      </c>
      <c r="U379" s="79">
        <v>45022.243055555555</v>
      </c>
      <c r="V379" s="66" t="s">
        <v>526</v>
      </c>
      <c r="W379" s="79">
        <v>45022.59375</v>
      </c>
      <c r="X379" s="79">
        <v>45022.3125</v>
      </c>
      <c r="Y379" s="88">
        <v>45022.427083333336</v>
      </c>
      <c r="Z379" s="81">
        <v>1600</v>
      </c>
      <c r="AA379" s="81"/>
      <c r="AB379" s="81"/>
      <c r="AC379" s="81"/>
      <c r="AD379" s="81"/>
      <c r="AE379" s="81"/>
      <c r="AF379" s="81"/>
      <c r="AG379" s="81">
        <f>Sal_23[[#This Row],[COMPRA]]*12%</f>
        <v>311.55959999999999</v>
      </c>
      <c r="AH379" s="83">
        <v>2596.33</v>
      </c>
      <c r="AI379" s="66" t="str">
        <f>PROPER(TEXT(Sal_23[[#This Row],[PROGRAMAÇÃO]],"mmm"))</f>
        <v>Abr</v>
      </c>
      <c r="AJ379" s="66">
        <f>YEAR(Sal_23[[#This Row],[PROGRAMAÇÃO]])</f>
        <v>2023</v>
      </c>
      <c r="AK379" s="66"/>
      <c r="AL379" s="66"/>
      <c r="AM379" s="66" t="s">
        <v>2768</v>
      </c>
      <c r="AN379" s="66" t="s">
        <v>2768</v>
      </c>
      <c r="AO379" s="66" t="s">
        <v>2768</v>
      </c>
    </row>
    <row r="380" spans="1:41" x14ac:dyDescent="0.25">
      <c r="A380" s="120" t="str">
        <f>Sal_23[[#This Row],[CONTAINER]]</f>
        <v>TCLU3463460</v>
      </c>
      <c r="B380" s="128" t="s">
        <v>2771</v>
      </c>
      <c r="C38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80" s="79">
        <v>45022.375</v>
      </c>
      <c r="E380" s="44" t="s">
        <v>4140</v>
      </c>
      <c r="F380" s="66">
        <v>20</v>
      </c>
      <c r="G380" s="66" t="s">
        <v>2837</v>
      </c>
      <c r="H380" s="44" t="s">
        <v>2837</v>
      </c>
      <c r="I380" s="299" t="s">
        <v>2821</v>
      </c>
      <c r="J380" s="66">
        <v>3260</v>
      </c>
      <c r="K380" s="66" t="s">
        <v>4165</v>
      </c>
      <c r="L380" s="66">
        <v>115031</v>
      </c>
      <c r="M380" s="66"/>
      <c r="N380" s="66" t="s">
        <v>3096</v>
      </c>
      <c r="O380" s="66" t="s">
        <v>3097</v>
      </c>
      <c r="P380" s="66" t="s">
        <v>3098</v>
      </c>
      <c r="Q380" s="138" t="str">
        <f ca="1">IFERROR(LOOKUP($P380,MOTORISTAS!$D$3:$D$1048576,MOTORISTAS!E$3:E$916),"")</f>
        <v>29714736862</v>
      </c>
      <c r="R380" s="138" t="str">
        <f ca="1">IFERROR(LOOKUP($P380,MOTORISTAS!$D$3:$D$1048576,MOTORISTAS!F$3:F$916),"")</f>
        <v>03001275806</v>
      </c>
      <c r="S380" s="66">
        <v>3537</v>
      </c>
      <c r="T380" s="66" t="s">
        <v>293</v>
      </c>
      <c r="U380" s="79">
        <v>45021.749305555553</v>
      </c>
      <c r="V380" s="66" t="s">
        <v>526</v>
      </c>
      <c r="W380" s="79">
        <v>45026.404166666667</v>
      </c>
      <c r="X380" s="79">
        <v>45022.3125</v>
      </c>
      <c r="Y380" s="88">
        <v>45022.427083333336</v>
      </c>
      <c r="Z380" s="81">
        <v>1600</v>
      </c>
      <c r="AA380" s="81"/>
      <c r="AB380" s="81"/>
      <c r="AC380" s="81"/>
      <c r="AD380" s="81"/>
      <c r="AE380" s="81"/>
      <c r="AF380" s="81"/>
      <c r="AG380" s="81">
        <f>Sal_23[[#This Row],[COMPRA]]*12%</f>
        <v>311.55959999999999</v>
      </c>
      <c r="AH380" s="83">
        <v>2596.33</v>
      </c>
      <c r="AI380" s="66" t="str">
        <f>PROPER(TEXT(Sal_23[[#This Row],[PROGRAMAÇÃO]],"mmm"))</f>
        <v>Abr</v>
      </c>
      <c r="AJ380" s="66">
        <f>YEAR(Sal_23[[#This Row],[PROGRAMAÇÃO]])</f>
        <v>2023</v>
      </c>
      <c r="AK380" s="66"/>
      <c r="AL380" s="66"/>
      <c r="AM380" s="66" t="s">
        <v>2768</v>
      </c>
      <c r="AN380" s="66" t="s">
        <v>2768</v>
      </c>
      <c r="AO380" s="66" t="s">
        <v>2768</v>
      </c>
    </row>
    <row r="381" spans="1:41" x14ac:dyDescent="0.25">
      <c r="A381" s="120" t="str">
        <f>Sal_23[[#This Row],[CONTAINER]]</f>
        <v>CAIU2928989</v>
      </c>
      <c r="B381" s="128" t="s">
        <v>2771</v>
      </c>
      <c r="C38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81" s="79">
        <v>45022.333333333336</v>
      </c>
      <c r="E381" s="44" t="s">
        <v>4142</v>
      </c>
      <c r="F381" s="66">
        <v>20</v>
      </c>
      <c r="G381" s="66" t="s">
        <v>2826</v>
      </c>
      <c r="H381" s="44" t="s">
        <v>2838</v>
      </c>
      <c r="I381" s="299" t="s">
        <v>2828</v>
      </c>
      <c r="J381" s="66">
        <v>3267</v>
      </c>
      <c r="K381" s="66" t="s">
        <v>4165</v>
      </c>
      <c r="L381" s="66">
        <v>105330</v>
      </c>
      <c r="M381" s="66"/>
      <c r="N381" s="66" t="s">
        <v>4106</v>
      </c>
      <c r="O381" s="66" t="s">
        <v>4202</v>
      </c>
      <c r="P381" s="66" t="s">
        <v>4203</v>
      </c>
      <c r="Q381" s="138" t="str">
        <f ca="1">IFERROR(LOOKUP($P381,MOTORISTAS!$D$3:$D$1048576,MOTORISTAS!E$3:E$916),"")</f>
        <v>21381752861</v>
      </c>
      <c r="R381" s="138" t="str">
        <f ca="1">IFERROR(LOOKUP($P381,MOTORISTAS!$D$3:$D$1048576,MOTORISTAS!F$3:F$916),"")</f>
        <v>01114110481</v>
      </c>
      <c r="S381" s="66">
        <v>3545</v>
      </c>
      <c r="T381" s="66" t="s">
        <v>293</v>
      </c>
      <c r="U381" s="79">
        <v>45021.956250000003</v>
      </c>
      <c r="V381" s="66" t="s">
        <v>526</v>
      </c>
      <c r="W381" s="79">
        <v>45022.678472222222</v>
      </c>
      <c r="X381" s="79">
        <v>45022.111111111109</v>
      </c>
      <c r="Y381" s="88">
        <v>45022.458333333336</v>
      </c>
      <c r="Z381" s="81">
        <v>2700</v>
      </c>
      <c r="AA381" s="81"/>
      <c r="AB381" s="81"/>
      <c r="AC381" s="81"/>
      <c r="AD381" s="81"/>
      <c r="AE381" s="81"/>
      <c r="AF381" s="81"/>
      <c r="AG381" s="81">
        <f>Sal_23[[#This Row],[COMPRA]]*12%</f>
        <v>601.46159999999998</v>
      </c>
      <c r="AH381" s="83">
        <v>5012.18</v>
      </c>
      <c r="AI381" s="66" t="str">
        <f>PROPER(TEXT(Sal_23[[#This Row],[PROGRAMAÇÃO]],"mmm"))</f>
        <v>Abr</v>
      </c>
      <c r="AJ381" s="66">
        <f>YEAR(Sal_23[[#This Row],[PROGRAMAÇÃO]])</f>
        <v>2023</v>
      </c>
      <c r="AK381" s="66"/>
      <c r="AL381" s="66"/>
      <c r="AM381" s="66" t="s">
        <v>2768</v>
      </c>
      <c r="AN381" s="66" t="s">
        <v>2768</v>
      </c>
      <c r="AO381" s="66" t="s">
        <v>2768</v>
      </c>
    </row>
    <row r="382" spans="1:41" x14ac:dyDescent="0.25">
      <c r="A382" s="120" t="str">
        <f>Sal_23[[#This Row],[CONTAINER]]</f>
        <v>UESU5112948</v>
      </c>
      <c r="B382" s="128" t="s">
        <v>2771</v>
      </c>
      <c r="C38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82" s="198">
        <v>45022.333333333336</v>
      </c>
      <c r="E382" s="44" t="s">
        <v>4143</v>
      </c>
      <c r="F382" s="66">
        <v>20</v>
      </c>
      <c r="G382" s="66" t="s">
        <v>2826</v>
      </c>
      <c r="H382" s="44" t="s">
        <v>3074</v>
      </c>
      <c r="I382" s="299" t="s">
        <v>3439</v>
      </c>
      <c r="J382" s="66">
        <v>3254</v>
      </c>
      <c r="K382" s="66" t="s">
        <v>4165</v>
      </c>
      <c r="L382" s="66">
        <v>105199</v>
      </c>
      <c r="M382" s="66"/>
      <c r="N382" s="66" t="s">
        <v>68</v>
      </c>
      <c r="O382" s="66" t="s">
        <v>36</v>
      </c>
      <c r="P382" s="66" t="s">
        <v>69</v>
      </c>
      <c r="Q382" s="138" t="str">
        <f ca="1">IFERROR(LOOKUP($P382,MOTORISTAS!$D$3:$D$1048576,MOTORISTAS!E$3:E$916),"")</f>
        <v>07968457866</v>
      </c>
      <c r="R382" s="138" t="str">
        <f ca="1">IFERROR(LOOKUP($P382,MOTORISTAS!$D$3:$D$1048576,MOTORISTAS!F$3:F$916),"")</f>
        <v>03264365790</v>
      </c>
      <c r="S382" s="66">
        <v>3544</v>
      </c>
      <c r="T382" s="66" t="s">
        <v>293</v>
      </c>
      <c r="U382" s="79">
        <v>45022.027777777781</v>
      </c>
      <c r="V382" s="66" t="s">
        <v>526</v>
      </c>
      <c r="W382" s="79">
        <v>45022.696527777778</v>
      </c>
      <c r="X382" s="79">
        <v>45022.3125</v>
      </c>
      <c r="Y382" s="88">
        <v>45022.666666666664</v>
      </c>
      <c r="Z382" s="81">
        <v>2800</v>
      </c>
      <c r="AA382" s="81"/>
      <c r="AB382" s="81"/>
      <c r="AC382" s="81"/>
      <c r="AD382" s="81"/>
      <c r="AE382" s="81"/>
      <c r="AF382" s="81"/>
      <c r="AG382" s="81">
        <f>Sal_23[[#This Row],[COMPRA]]*12%</f>
        <v>501.59999999999997</v>
      </c>
      <c r="AH382" s="83">
        <v>4180</v>
      </c>
      <c r="AI382" s="66" t="str">
        <f>PROPER(TEXT(Sal_23[[#This Row],[PROGRAMAÇÃO]],"mmm"))</f>
        <v>Abr</v>
      </c>
      <c r="AJ382" s="66">
        <f>YEAR(Sal_23[[#This Row],[PROGRAMAÇÃO]])</f>
        <v>2023</v>
      </c>
      <c r="AK382" s="66"/>
      <c r="AL382" s="66"/>
      <c r="AM382" s="66" t="s">
        <v>2768</v>
      </c>
      <c r="AN382" s="66" t="s">
        <v>2768</v>
      </c>
      <c r="AO382" s="66" t="s">
        <v>2768</v>
      </c>
    </row>
    <row r="383" spans="1:41" x14ac:dyDescent="0.25">
      <c r="A383" s="120" t="str">
        <f>Sal_23[[#This Row],[CONTAINER]]</f>
        <v>FCIU9171513</v>
      </c>
      <c r="B383" s="128" t="s">
        <v>2771</v>
      </c>
      <c r="C38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83" s="79">
        <v>45022.333333333336</v>
      </c>
      <c r="E383" s="44" t="s">
        <v>4148</v>
      </c>
      <c r="F383" s="66">
        <v>40</v>
      </c>
      <c r="G383" s="66" t="s">
        <v>2826</v>
      </c>
      <c r="H383" s="44" t="s">
        <v>3910</v>
      </c>
      <c r="I383" s="299" t="s">
        <v>3253</v>
      </c>
      <c r="J383" s="66">
        <v>3256</v>
      </c>
      <c r="K383" s="66" t="s">
        <v>4165</v>
      </c>
      <c r="L383" s="66">
        <v>115144</v>
      </c>
      <c r="M383" s="66"/>
      <c r="N383" s="66" t="s">
        <v>111</v>
      </c>
      <c r="O383" s="66" t="s">
        <v>891</v>
      </c>
      <c r="P383" s="66" t="s">
        <v>113</v>
      </c>
      <c r="Q383" s="138" t="str">
        <f ca="1">IFERROR(LOOKUP($P383,MOTORISTAS!$D$3:$D$1048576,MOTORISTAS!E$3:E$916),"")</f>
        <v>88265951434</v>
      </c>
      <c r="R383" s="138" t="str">
        <f ca="1">IFERROR(LOOKUP($P383,MOTORISTAS!$D$3:$D$1048576,MOTORISTAS!F$3:F$916),"")</f>
        <v>00920373596</v>
      </c>
      <c r="S383" s="66">
        <v>3543</v>
      </c>
      <c r="T383" s="66" t="s">
        <v>293</v>
      </c>
      <c r="U383" s="79">
        <v>45022.214583333334</v>
      </c>
      <c r="V383" s="66" t="s">
        <v>526</v>
      </c>
      <c r="W383" s="79">
        <v>45022.726388888892</v>
      </c>
      <c r="X383" s="79">
        <v>45022.347222222219</v>
      </c>
      <c r="Y383" s="88">
        <v>45022.666666666664</v>
      </c>
      <c r="Z383" s="81">
        <v>2300</v>
      </c>
      <c r="AA383" s="81"/>
      <c r="AB383" s="81"/>
      <c r="AC383" s="81"/>
      <c r="AD383" s="81"/>
      <c r="AE383" s="81"/>
      <c r="AF383" s="81"/>
      <c r="AG383" s="81">
        <f>Sal_23[[#This Row],[COMPRA]]*12%</f>
        <v>399.62399999999997</v>
      </c>
      <c r="AH383" s="83">
        <v>3330.2</v>
      </c>
      <c r="AI383" s="66" t="str">
        <f>PROPER(TEXT(Sal_23[[#This Row],[PROGRAMAÇÃO]],"mmm"))</f>
        <v>Abr</v>
      </c>
      <c r="AJ383" s="66">
        <f>YEAR(Sal_23[[#This Row],[PROGRAMAÇÃO]])</f>
        <v>2023</v>
      </c>
      <c r="AK383" s="66"/>
      <c r="AL383" s="44"/>
      <c r="AM383" s="66" t="s">
        <v>2768</v>
      </c>
      <c r="AN383" s="66" t="s">
        <v>2768</v>
      </c>
      <c r="AO383" s="66" t="s">
        <v>2768</v>
      </c>
    </row>
    <row r="384" spans="1:41" x14ac:dyDescent="0.25">
      <c r="A384" s="120" t="str">
        <f>Sal_23[[#This Row],[CONTAINER]]</f>
        <v>TCLU3059818</v>
      </c>
      <c r="B384" s="128" t="s">
        <v>2771</v>
      </c>
      <c r="C38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84" s="79">
        <v>45026.333333333336</v>
      </c>
      <c r="E384" s="44" t="s">
        <v>4137</v>
      </c>
      <c r="F384" s="66">
        <v>20</v>
      </c>
      <c r="G384" s="66" t="s">
        <v>2826</v>
      </c>
      <c r="H384" s="44" t="s">
        <v>2827</v>
      </c>
      <c r="I384" s="299" t="s">
        <v>2823</v>
      </c>
      <c r="J384" s="66">
        <v>3261</v>
      </c>
      <c r="K384" s="66" t="s">
        <v>4165</v>
      </c>
      <c r="L384" s="66">
        <v>105185</v>
      </c>
      <c r="M384" s="66"/>
      <c r="N384" s="66" t="s">
        <v>2584</v>
      </c>
      <c r="O384" s="66" t="s">
        <v>2585</v>
      </c>
      <c r="P384" s="66" t="s">
        <v>2586</v>
      </c>
      <c r="Q384" s="138" t="str">
        <f ca="1">IFERROR(LOOKUP($P384,MOTORISTAS!$D$3:$D$1048576,MOTORISTAS!E$3:E$916),"")</f>
        <v>08312935860</v>
      </c>
      <c r="R384" s="138" t="str">
        <f ca="1">IFERROR(LOOKUP($P384,MOTORISTAS!$D$3:$D$1048576,MOTORISTAS!F$3:F$916),"")</f>
        <v>03106516083</v>
      </c>
      <c r="S384" s="66">
        <v>3550</v>
      </c>
      <c r="T384" s="66" t="s">
        <v>293</v>
      </c>
      <c r="U384" s="79">
        <v>45025.899305555555</v>
      </c>
      <c r="V384" s="66" t="s">
        <v>526</v>
      </c>
      <c r="W384" s="79">
        <v>45026.607638888891</v>
      </c>
      <c r="X384" s="79">
        <v>45026.104166666664</v>
      </c>
      <c r="Y384" s="88">
        <v>45026.385416666664</v>
      </c>
      <c r="Z384" s="81">
        <v>3200</v>
      </c>
      <c r="AA384" s="81"/>
      <c r="AB384" s="81"/>
      <c r="AC384" s="81"/>
      <c r="AD384" s="81"/>
      <c r="AE384" s="81"/>
      <c r="AF384" s="81"/>
      <c r="AG384" s="81">
        <f>Sal_23[[#This Row],[COMPRA]]*12%</f>
        <v>311.55959999999999</v>
      </c>
      <c r="AH384" s="83">
        <v>2596.33</v>
      </c>
      <c r="AI384" s="66" t="str">
        <f>PROPER(TEXT(Sal_23[[#This Row],[PROGRAMAÇÃO]],"mmm"))</f>
        <v>Abr</v>
      </c>
      <c r="AJ384" s="66">
        <f>YEAR(Sal_23[[#This Row],[PROGRAMAÇÃO]])</f>
        <v>2023</v>
      </c>
      <c r="AK384" s="66"/>
      <c r="AL384" s="66"/>
      <c r="AM384" s="66" t="s">
        <v>2768</v>
      </c>
      <c r="AN384" s="66" t="s">
        <v>2768</v>
      </c>
      <c r="AO384" s="66" t="s">
        <v>2768</v>
      </c>
    </row>
    <row r="385" spans="1:41" x14ac:dyDescent="0.25">
      <c r="A385" s="120" t="str">
        <f>Sal_23[[#This Row],[CONTAINER]]</f>
        <v>SEGU1064668</v>
      </c>
      <c r="B385" s="128" t="s">
        <v>2771</v>
      </c>
      <c r="C38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85" s="79">
        <v>45026.333333333336</v>
      </c>
      <c r="E385" s="44" t="s">
        <v>4139</v>
      </c>
      <c r="F385" s="66">
        <v>20</v>
      </c>
      <c r="G385" s="66" t="s">
        <v>2826</v>
      </c>
      <c r="H385" s="44" t="s">
        <v>3105</v>
      </c>
      <c r="I385" s="299" t="s">
        <v>3185</v>
      </c>
      <c r="J385" s="66">
        <v>3268</v>
      </c>
      <c r="K385" s="66" t="s">
        <v>4165</v>
      </c>
      <c r="L385" s="66">
        <v>105331</v>
      </c>
      <c r="M385" s="66"/>
      <c r="N385" s="66" t="s">
        <v>2859</v>
      </c>
      <c r="O385" s="66" t="s">
        <v>2860</v>
      </c>
      <c r="P385" s="66" t="s">
        <v>2861</v>
      </c>
      <c r="Q385" s="138" t="str">
        <f ca="1">IFERROR(LOOKUP($P385,MOTORISTAS!$D$3:$D$1048576,MOTORISTAS!E$3:E$916),"")</f>
        <v>01817591878</v>
      </c>
      <c r="R385" s="138" t="str">
        <f ca="1">IFERROR(LOOKUP($P385,MOTORISTAS!$D$3:$D$1048576,MOTORISTAS!F$3:F$916),"")</f>
        <v>00821760640</v>
      </c>
      <c r="S385" s="66">
        <v>3548</v>
      </c>
      <c r="T385" s="66" t="s">
        <v>293</v>
      </c>
      <c r="U385" s="79">
        <v>45026.017361111109</v>
      </c>
      <c r="V385" s="66" t="s">
        <v>526</v>
      </c>
      <c r="W385" s="79">
        <v>45026.593055555553</v>
      </c>
      <c r="X385" s="79">
        <v>45026.125</v>
      </c>
      <c r="Y385" s="88">
        <v>45026.493055555555</v>
      </c>
      <c r="Z385" s="81"/>
      <c r="AA385" s="81"/>
      <c r="AB385" s="81"/>
      <c r="AC385" s="81"/>
      <c r="AD385" s="81"/>
      <c r="AE385" s="81"/>
      <c r="AF385" s="81"/>
      <c r="AG385" s="81">
        <f>Sal_23[[#This Row],[COMPRA]]*12%</f>
        <v>415.74719999999996</v>
      </c>
      <c r="AH385" s="83">
        <v>3464.56</v>
      </c>
      <c r="AI385" s="66" t="str">
        <f>PROPER(TEXT(Sal_23[[#This Row],[PROGRAMAÇÃO]],"mmm"))</f>
        <v>Abr</v>
      </c>
      <c r="AJ385" s="66">
        <f>YEAR(Sal_23[[#This Row],[PROGRAMAÇÃO]])</f>
        <v>2023</v>
      </c>
      <c r="AK385" s="66"/>
      <c r="AL385" s="66"/>
      <c r="AM385" s="66" t="s">
        <v>2768</v>
      </c>
      <c r="AN385" s="66" t="s">
        <v>2768</v>
      </c>
      <c r="AO385" s="66" t="s">
        <v>2768</v>
      </c>
    </row>
    <row r="386" spans="1:41" x14ac:dyDescent="0.25">
      <c r="A386" s="120" t="str">
        <f>Sal_23[[#This Row],[CONTAINER]]</f>
        <v>CAIU3402387</v>
      </c>
      <c r="B386" s="128" t="s">
        <v>2771</v>
      </c>
      <c r="C38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86" s="79">
        <v>45026.333333333336</v>
      </c>
      <c r="E386" s="44" t="s">
        <v>4138</v>
      </c>
      <c r="F386" s="66">
        <v>20</v>
      </c>
      <c r="G386" s="66" t="s">
        <v>2826</v>
      </c>
      <c r="H386" s="44" t="s">
        <v>2827</v>
      </c>
      <c r="I386" s="299" t="s">
        <v>2823</v>
      </c>
      <c r="J386" s="66">
        <v>3264</v>
      </c>
      <c r="K386" s="66" t="s">
        <v>4165</v>
      </c>
      <c r="L386" s="66">
        <v>105197</v>
      </c>
      <c r="M386" s="66"/>
      <c r="N386" s="66" t="s">
        <v>3040</v>
      </c>
      <c r="O386" s="66" t="s">
        <v>3041</v>
      </c>
      <c r="P386" s="66" t="s">
        <v>3042</v>
      </c>
      <c r="Q386" s="138" t="str">
        <f ca="1">IFERROR(LOOKUP($P386,MOTORISTAS!$D$3:$D$1048576,MOTORISTAS!E$3:E$916),"")</f>
        <v>19279658883</v>
      </c>
      <c r="R386" s="138" t="str">
        <f ca="1">IFERROR(LOOKUP($P386,MOTORISTAS!$D$3:$D$1048576,MOTORISTAS!F$3:F$916),"")</f>
        <v>01301319672</v>
      </c>
      <c r="S386" s="66">
        <v>3549</v>
      </c>
      <c r="T386" s="66" t="s">
        <v>293</v>
      </c>
      <c r="U386" s="79">
        <v>45025.961805555555</v>
      </c>
      <c r="V386" s="66" t="s">
        <v>526</v>
      </c>
      <c r="W386" s="79">
        <v>45026.659722222219</v>
      </c>
      <c r="X386" s="79">
        <v>45026.145833333336</v>
      </c>
      <c r="Y386" s="88">
        <v>45026.451388888891</v>
      </c>
      <c r="Z386" s="81">
        <v>3200</v>
      </c>
      <c r="AA386" s="81"/>
      <c r="AB386" s="81"/>
      <c r="AC386" s="81"/>
      <c r="AD386" s="81"/>
      <c r="AE386" s="81"/>
      <c r="AF386" s="81"/>
      <c r="AG386" s="81">
        <f>Sal_23[[#This Row],[COMPRA]]*12%</f>
        <v>571.48680000000002</v>
      </c>
      <c r="AH386" s="83">
        <v>4762.3900000000003</v>
      </c>
      <c r="AI386" s="66" t="str">
        <f>PROPER(TEXT(Sal_23[[#This Row],[PROGRAMAÇÃO]],"mmm"))</f>
        <v>Abr</v>
      </c>
      <c r="AJ386" s="66">
        <f>YEAR(Sal_23[[#This Row],[PROGRAMAÇÃO]])</f>
        <v>2023</v>
      </c>
      <c r="AK386" s="66"/>
      <c r="AL386" s="66"/>
      <c r="AM386" s="66" t="s">
        <v>2768</v>
      </c>
      <c r="AN386" s="66" t="s">
        <v>2768</v>
      </c>
      <c r="AO386" s="66" t="s">
        <v>2768</v>
      </c>
    </row>
    <row r="387" spans="1:41" x14ac:dyDescent="0.25">
      <c r="A387" s="120" t="str">
        <f>Sal_23[[#This Row],[CONTAINER]]</f>
        <v>TCLU5011916</v>
      </c>
      <c r="B387" s="128" t="s">
        <v>2771</v>
      </c>
      <c r="C38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87" s="79">
        <v>45026.333333333336</v>
      </c>
      <c r="E387" s="44" t="s">
        <v>4149</v>
      </c>
      <c r="F387" s="66">
        <v>40</v>
      </c>
      <c r="G387" s="66" t="s">
        <v>2826</v>
      </c>
      <c r="H387" s="44" t="s">
        <v>3910</v>
      </c>
      <c r="I387" s="299" t="s">
        <v>3253</v>
      </c>
      <c r="J387" s="66">
        <v>3253</v>
      </c>
      <c r="K387" s="66" t="s">
        <v>4165</v>
      </c>
      <c r="L387" s="66">
        <v>115074</v>
      </c>
      <c r="M387" s="66"/>
      <c r="N387" s="66" t="s">
        <v>1961</v>
      </c>
      <c r="O387" s="66" t="s">
        <v>1962</v>
      </c>
      <c r="P387" s="66" t="s">
        <v>1482</v>
      </c>
      <c r="Q387" s="138" t="str">
        <f ca="1">IFERROR(LOOKUP($P387,MOTORISTAS!$D$3:$D$1048576,MOTORISTAS!E$3:E$916),"")</f>
        <v>38329597857</v>
      </c>
      <c r="R387" s="138" t="str">
        <f ca="1">IFERROR(LOOKUP($P387,MOTORISTAS!$D$3:$D$1048576,MOTORISTAS!F$3:F$916),"")</f>
        <v>04956762510</v>
      </c>
      <c r="S387" s="66">
        <v>3551</v>
      </c>
      <c r="T387" s="66" t="s">
        <v>293</v>
      </c>
      <c r="U387" s="79">
        <v>45026.250694444447</v>
      </c>
      <c r="V387" s="66" t="s">
        <v>526</v>
      </c>
      <c r="W387" s="79">
        <v>45026.681944444441</v>
      </c>
      <c r="X387" s="79">
        <v>45026.416666666664</v>
      </c>
      <c r="Y387" s="88">
        <v>45026.550694444442</v>
      </c>
      <c r="Z387" s="81">
        <v>2300</v>
      </c>
      <c r="AA387" s="81"/>
      <c r="AB387" s="81"/>
      <c r="AC387" s="81"/>
      <c r="AD387" s="81"/>
      <c r="AE387" s="81"/>
      <c r="AF387" s="81"/>
      <c r="AG387" s="81">
        <f>Sal_23[[#This Row],[COMPRA]]*12%</f>
        <v>399.62399999999997</v>
      </c>
      <c r="AH387" s="83">
        <v>3330.2</v>
      </c>
      <c r="AI387" s="66" t="str">
        <f>PROPER(TEXT(Sal_23[[#This Row],[PROGRAMAÇÃO]],"mmm"))</f>
        <v>Abr</v>
      </c>
      <c r="AJ387" s="66">
        <f>YEAR(Sal_23[[#This Row],[PROGRAMAÇÃO]])</f>
        <v>2023</v>
      </c>
      <c r="AK387" s="66"/>
      <c r="AL387" s="44" t="s">
        <v>2785</v>
      </c>
      <c r="AM387" s="66" t="s">
        <v>2768</v>
      </c>
      <c r="AN387" s="66" t="s">
        <v>2768</v>
      </c>
      <c r="AO387" s="66" t="s">
        <v>2768</v>
      </c>
    </row>
    <row r="388" spans="1:41" x14ac:dyDescent="0.25">
      <c r="A388" s="120" t="str">
        <f>Sal_23[[#This Row],[CONTAINER]]</f>
        <v>SEGU4047854</v>
      </c>
      <c r="B388" s="128" t="s">
        <v>2771</v>
      </c>
      <c r="C38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88" s="79">
        <v>45026.333333333336</v>
      </c>
      <c r="E388" s="44" t="s">
        <v>4152</v>
      </c>
      <c r="F388" s="66">
        <v>40</v>
      </c>
      <c r="G388" s="66" t="s">
        <v>2826</v>
      </c>
      <c r="H388" s="44" t="s">
        <v>3441</v>
      </c>
      <c r="I388" s="299" t="s">
        <v>3438</v>
      </c>
      <c r="J388" s="66">
        <v>3259</v>
      </c>
      <c r="K388" s="66" t="s">
        <v>4165</v>
      </c>
      <c r="L388" s="66">
        <v>105333</v>
      </c>
      <c r="M388" s="66">
        <v>105334</v>
      </c>
      <c r="N388" s="66" t="s">
        <v>4229</v>
      </c>
      <c r="O388" s="66" t="s">
        <v>4230</v>
      </c>
      <c r="P388" s="66" t="s">
        <v>3444</v>
      </c>
      <c r="Q388" s="138" t="str">
        <f ca="1">IFERROR(LOOKUP($P388,MOTORISTAS!$D$3:$D$1048576,MOTORISTAS!E$3:E$916),"")</f>
        <v>03044141400</v>
      </c>
      <c r="R388" s="138" t="str">
        <f ca="1">IFERROR(LOOKUP($P388,MOTORISTAS!$D$3:$D$1048576,MOTORISTAS!F$3:F$916),"")</f>
        <v>00916251144</v>
      </c>
      <c r="S388" s="66">
        <v>3553</v>
      </c>
      <c r="T388" s="66" t="s">
        <v>293</v>
      </c>
      <c r="U388" s="79">
        <v>45026.270138888889</v>
      </c>
      <c r="V388" s="66" t="s">
        <v>526</v>
      </c>
      <c r="W388" s="79">
        <v>45026.695833333331</v>
      </c>
      <c r="X388" s="79">
        <v>45026.395833333336</v>
      </c>
      <c r="Y388" s="88">
        <v>45026.513888888891</v>
      </c>
      <c r="Z388" s="81">
        <v>2300</v>
      </c>
      <c r="AA388" s="81"/>
      <c r="AB388" s="81"/>
      <c r="AC388" s="81">
        <v>500</v>
      </c>
      <c r="AD388" s="81"/>
      <c r="AE388" s="81"/>
      <c r="AF388" s="81"/>
      <c r="AG388" s="81">
        <f>Sal_23[[#This Row],[COMPRA]]*12%</f>
        <v>449.87520000000001</v>
      </c>
      <c r="AH388" s="83">
        <v>3748.96</v>
      </c>
      <c r="AI388" s="66" t="str">
        <f>PROPER(TEXT(Sal_23[[#This Row],[PROGRAMAÇÃO]],"mmm"))</f>
        <v>Abr</v>
      </c>
      <c r="AJ388" s="66">
        <f>YEAR(Sal_23[[#This Row],[PROGRAMAÇÃO]])</f>
        <v>2023</v>
      </c>
      <c r="AK388" s="66"/>
      <c r="AL388" s="44"/>
      <c r="AM388" s="66" t="s">
        <v>2768</v>
      </c>
      <c r="AN388" s="66" t="s">
        <v>2768</v>
      </c>
      <c r="AO388" s="66" t="s">
        <v>2768</v>
      </c>
    </row>
    <row r="389" spans="1:41" x14ac:dyDescent="0.25">
      <c r="A389" s="120" t="str">
        <f>Sal_23[[#This Row],[CONTAINER]]</f>
        <v>TCLU8171749</v>
      </c>
      <c r="B389" s="128" t="s">
        <v>2771</v>
      </c>
      <c r="C38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89" s="198">
        <v>45026.333333333336</v>
      </c>
      <c r="E389" s="44" t="s">
        <v>4146</v>
      </c>
      <c r="F389" s="66">
        <v>40</v>
      </c>
      <c r="G389" s="66" t="s">
        <v>2826</v>
      </c>
      <c r="H389" s="44" t="s">
        <v>1674</v>
      </c>
      <c r="I389" s="299" t="s">
        <v>2829</v>
      </c>
      <c r="J389" s="66">
        <v>3252</v>
      </c>
      <c r="K389" s="66" t="s">
        <v>4165</v>
      </c>
      <c r="L389" s="66">
        <v>105161</v>
      </c>
      <c r="M389" s="66">
        <v>105162</v>
      </c>
      <c r="N389" s="66" t="s">
        <v>210</v>
      </c>
      <c r="O389" s="66" t="s">
        <v>211</v>
      </c>
      <c r="P389" s="66" t="s">
        <v>212</v>
      </c>
      <c r="Q389" s="138" t="str">
        <f ca="1">IFERROR(LOOKUP($P389,MOTORISTAS!$D$3:$D$1048576,MOTORISTAS!E$3:E$916),"")</f>
        <v>38029906846</v>
      </c>
      <c r="R389" s="138" t="str">
        <f ca="1">IFERROR(LOOKUP($P389,MOTORISTAS!$D$3:$D$1048576,MOTORISTAS!F$3:F$916),"")</f>
        <v>04946846842</v>
      </c>
      <c r="S389" s="66">
        <v>3554</v>
      </c>
      <c r="T389" s="66" t="s">
        <v>293</v>
      </c>
      <c r="U389" s="79">
        <v>45025.989583333336</v>
      </c>
      <c r="V389" s="66" t="s">
        <v>526</v>
      </c>
      <c r="W389" s="79">
        <v>45026.713194444441</v>
      </c>
      <c r="X389" s="79">
        <v>45026.166666666664</v>
      </c>
      <c r="Y389" s="88">
        <v>45026.451388888891</v>
      </c>
      <c r="Z389" s="81">
        <v>3400</v>
      </c>
      <c r="AA389" s="81"/>
      <c r="AB389" s="81"/>
      <c r="AC389" s="81"/>
      <c r="AD389" s="81"/>
      <c r="AE389" s="81"/>
      <c r="AF389" s="81"/>
      <c r="AG389" s="81">
        <f>Sal_23[[#This Row],[COMPRA]]*12%</f>
        <v>558.28440000000001</v>
      </c>
      <c r="AH389" s="83">
        <v>4652.37</v>
      </c>
      <c r="AI389" s="66" t="str">
        <f>PROPER(TEXT(Sal_23[[#This Row],[PROGRAMAÇÃO]],"mmm"))</f>
        <v>Abr</v>
      </c>
      <c r="AJ389" s="66">
        <f>YEAR(Sal_23[[#This Row],[PROGRAMAÇÃO]])</f>
        <v>2023</v>
      </c>
      <c r="AK389" s="66"/>
      <c r="AL389" s="66"/>
      <c r="AM389" s="66" t="s">
        <v>2768</v>
      </c>
      <c r="AN389" s="66" t="s">
        <v>2768</v>
      </c>
      <c r="AO389" s="66" t="s">
        <v>2768</v>
      </c>
    </row>
    <row r="390" spans="1:41" x14ac:dyDescent="0.25">
      <c r="A390" s="120" t="str">
        <f>Sal_23[[#This Row],[CONTAINER]]</f>
        <v>TCNU8697160</v>
      </c>
      <c r="B390" s="128" t="s">
        <v>2771</v>
      </c>
      <c r="C39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90" s="198">
        <v>45026.333333333336</v>
      </c>
      <c r="E390" s="44" t="s">
        <v>4147</v>
      </c>
      <c r="F390" s="66">
        <v>40</v>
      </c>
      <c r="G390" s="66" t="s">
        <v>2826</v>
      </c>
      <c r="H390" s="44" t="s">
        <v>1674</v>
      </c>
      <c r="I390" s="299" t="s">
        <v>2829</v>
      </c>
      <c r="J390" s="66">
        <v>3258</v>
      </c>
      <c r="K390" s="66" t="s">
        <v>4165</v>
      </c>
      <c r="L390" s="66">
        <v>105336</v>
      </c>
      <c r="M390" s="66">
        <v>105337</v>
      </c>
      <c r="N390" s="66" t="s">
        <v>106</v>
      </c>
      <c r="O390" s="66" t="s">
        <v>107</v>
      </c>
      <c r="P390" s="66" t="s">
        <v>108</v>
      </c>
      <c r="Q390" s="138" t="str">
        <f ca="1">IFERROR(LOOKUP($P390,MOTORISTAS!$D$3:$D$1048576,MOTORISTAS!E$3:E$916),"")</f>
        <v>34927982840</v>
      </c>
      <c r="R390" s="138" t="str">
        <f ca="1">IFERROR(LOOKUP($P390,MOTORISTAS!$D$3:$D$1048576,MOTORISTAS!F$3:F$916),"")</f>
        <v>03500129879</v>
      </c>
      <c r="S390" s="66">
        <v>3552</v>
      </c>
      <c r="T390" s="66" t="s">
        <v>293</v>
      </c>
      <c r="U390" s="79">
        <v>45026.856944444444</v>
      </c>
      <c r="V390" s="66" t="s">
        <v>526</v>
      </c>
      <c r="W390" s="79">
        <v>45027.666666666664</v>
      </c>
      <c r="X390" s="79">
        <v>45027.388888888891</v>
      </c>
      <c r="Y390" s="88">
        <v>45027.458333333336</v>
      </c>
      <c r="Z390" s="81">
        <v>3400</v>
      </c>
      <c r="AA390" s="81"/>
      <c r="AB390" s="81"/>
      <c r="AC390" s="81"/>
      <c r="AD390" s="81"/>
      <c r="AE390" s="81"/>
      <c r="AF390" s="81"/>
      <c r="AG390" s="81">
        <f>Sal_23[[#This Row],[COMPRA]]*12%</f>
        <v>558.28440000000001</v>
      </c>
      <c r="AH390" s="83">
        <v>4652.37</v>
      </c>
      <c r="AI390" s="66" t="str">
        <f>PROPER(TEXT(Sal_23[[#This Row],[PROGRAMAÇÃO]],"mmm"))</f>
        <v>Abr</v>
      </c>
      <c r="AJ390" s="66">
        <f>YEAR(Sal_23[[#This Row],[PROGRAMAÇÃO]])</f>
        <v>2023</v>
      </c>
      <c r="AK390" s="66"/>
      <c r="AL390" s="44" t="s">
        <v>2785</v>
      </c>
      <c r="AM390" s="66" t="s">
        <v>2768</v>
      </c>
      <c r="AN390" s="66" t="s">
        <v>2768</v>
      </c>
      <c r="AO390" s="66" t="s">
        <v>2768</v>
      </c>
    </row>
    <row r="391" spans="1:41" x14ac:dyDescent="0.25">
      <c r="A391" s="120" t="str">
        <f>Sal_23[[#This Row],[CONTAINER]]</f>
        <v>CAIU3400018</v>
      </c>
      <c r="B391" s="128" t="s">
        <v>2771</v>
      </c>
      <c r="C39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91" s="198">
        <v>45027.375</v>
      </c>
      <c r="E391" s="44" t="s">
        <v>4166</v>
      </c>
      <c r="F391" s="66">
        <v>20</v>
      </c>
      <c r="G391" s="66" t="s">
        <v>2820</v>
      </c>
      <c r="H391" s="44" t="s">
        <v>2820</v>
      </c>
      <c r="I391" s="299" t="s">
        <v>2821</v>
      </c>
      <c r="J391" s="66">
        <v>3230</v>
      </c>
      <c r="K391" s="66" t="s">
        <v>4165</v>
      </c>
      <c r="L391" s="66">
        <v>69913</v>
      </c>
      <c r="M391" s="66"/>
      <c r="N391" s="66" t="s">
        <v>2859</v>
      </c>
      <c r="O391" s="66" t="s">
        <v>2860</v>
      </c>
      <c r="P391" s="66" t="s">
        <v>2861</v>
      </c>
      <c r="Q391" s="138" t="str">
        <f ca="1">IFERROR(LOOKUP($P391,MOTORISTAS!$D$3:$D$1048576,MOTORISTAS!E$3:E$916),"")</f>
        <v>01817591878</v>
      </c>
      <c r="R391" s="138" t="str">
        <f ca="1">IFERROR(LOOKUP($P391,MOTORISTAS!$D$3:$D$1048576,MOTORISTAS!F$3:F$916),"")</f>
        <v>00821760640</v>
      </c>
      <c r="S391" s="66">
        <v>15657</v>
      </c>
      <c r="T391" s="66" t="s">
        <v>293</v>
      </c>
      <c r="U391" s="79">
        <v>45026.895138888889</v>
      </c>
      <c r="V391" s="66" t="s">
        <v>526</v>
      </c>
      <c r="W391" s="79">
        <v>45027.585416666669</v>
      </c>
      <c r="X391" s="79">
        <v>45027.010416666664</v>
      </c>
      <c r="Y391" s="88">
        <v>45027.506944444445</v>
      </c>
      <c r="Z391" s="81">
        <v>1600</v>
      </c>
      <c r="AA391" s="81"/>
      <c r="AB391" s="81"/>
      <c r="AC391" s="81"/>
      <c r="AD391" s="81"/>
      <c r="AE391" s="81"/>
      <c r="AF391" s="81"/>
      <c r="AG391" s="81">
        <f>Sal_23[[#This Row],[COMPRA]]*12%</f>
        <v>276</v>
      </c>
      <c r="AH391" s="83">
        <v>2300</v>
      </c>
      <c r="AI391" s="66" t="str">
        <f>PROPER(TEXT(Sal_23[[#This Row],[PROGRAMAÇÃO]],"mmm"))</f>
        <v>Abr</v>
      </c>
      <c r="AJ391" s="66">
        <f>YEAR(Sal_23[[#This Row],[PROGRAMAÇÃO]])</f>
        <v>2023</v>
      </c>
      <c r="AK391" s="66"/>
      <c r="AL391" s="66"/>
      <c r="AM391" s="66" t="s">
        <v>2768</v>
      </c>
      <c r="AN391" s="66" t="s">
        <v>2768</v>
      </c>
      <c r="AO391" s="66" t="s">
        <v>2768</v>
      </c>
    </row>
    <row r="392" spans="1:41" x14ac:dyDescent="0.25">
      <c r="A392" s="120" t="str">
        <f>Sal_23[[#This Row],[CONTAINER]]</f>
        <v>CAIU3399051</v>
      </c>
      <c r="B392" s="128" t="s">
        <v>2771</v>
      </c>
      <c r="C39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92" s="198">
        <v>45027.375</v>
      </c>
      <c r="E392" s="44" t="s">
        <v>4167</v>
      </c>
      <c r="F392" s="66">
        <v>20</v>
      </c>
      <c r="G392" s="66" t="s">
        <v>2820</v>
      </c>
      <c r="H392" s="44" t="s">
        <v>2820</v>
      </c>
      <c r="I392" s="299" t="s">
        <v>2821</v>
      </c>
      <c r="J392" s="66">
        <v>3229</v>
      </c>
      <c r="K392" s="66" t="s">
        <v>4165</v>
      </c>
      <c r="L392" s="66">
        <v>69911</v>
      </c>
      <c r="M392" s="66"/>
      <c r="N392" s="66" t="s">
        <v>3028</v>
      </c>
      <c r="O392" s="66" t="s">
        <v>2261</v>
      </c>
      <c r="P392" s="66" t="s">
        <v>3443</v>
      </c>
      <c r="Q392" s="138" t="str">
        <f ca="1">IFERROR(LOOKUP($P392,MOTORISTAS!$D$3:$D$1048576,MOTORISTAS!E$3:E$916),"")</f>
        <v>13990937898</v>
      </c>
      <c r="R392" s="138" t="str">
        <f ca="1">IFERROR(LOOKUP($P392,MOTORISTAS!$D$3:$D$1048576,MOTORISTAS!F$3:F$916),"")</f>
        <v>01825123407</v>
      </c>
      <c r="S392" s="66">
        <v>15658</v>
      </c>
      <c r="T392" s="66" t="s">
        <v>293</v>
      </c>
      <c r="U392" s="79">
        <v>45026.868055555555</v>
      </c>
      <c r="V392" s="66" t="s">
        <v>526</v>
      </c>
      <c r="W392" s="79">
        <v>45027.584027777775</v>
      </c>
      <c r="X392" s="79">
        <v>45027.010416666664</v>
      </c>
      <c r="Y392" s="88">
        <v>45027.520833333336</v>
      </c>
      <c r="Z392" s="81">
        <v>1600</v>
      </c>
      <c r="AA392" s="81"/>
      <c r="AB392" s="81"/>
      <c r="AC392" s="81"/>
      <c r="AD392" s="81"/>
      <c r="AE392" s="81"/>
      <c r="AF392" s="81"/>
      <c r="AG392" s="81">
        <f>Sal_23[[#This Row],[COMPRA]]*12%</f>
        <v>276</v>
      </c>
      <c r="AH392" s="83">
        <v>2300</v>
      </c>
      <c r="AI392" s="66" t="str">
        <f>PROPER(TEXT(Sal_23[[#This Row],[PROGRAMAÇÃO]],"mmm"))</f>
        <v>Abr</v>
      </c>
      <c r="AJ392" s="66">
        <f>YEAR(Sal_23[[#This Row],[PROGRAMAÇÃO]])</f>
        <v>2023</v>
      </c>
      <c r="AK392" s="66"/>
      <c r="AL392" s="66"/>
      <c r="AM392" s="66" t="s">
        <v>2768</v>
      </c>
      <c r="AN392" s="66" t="s">
        <v>2768</v>
      </c>
      <c r="AO392" s="66" t="s">
        <v>2768</v>
      </c>
    </row>
    <row r="393" spans="1:41" x14ac:dyDescent="0.25">
      <c r="A393" s="120" t="str">
        <f>Sal_23[[#This Row],[CONTAINER]]</f>
        <v>CAIU8809586</v>
      </c>
      <c r="B393" s="128" t="s">
        <v>2771</v>
      </c>
      <c r="C39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93" s="79">
        <v>45027.333333333336</v>
      </c>
      <c r="E393" s="44" t="s">
        <v>4144</v>
      </c>
      <c r="F393" s="66">
        <v>40</v>
      </c>
      <c r="G393" s="66" t="s">
        <v>2826</v>
      </c>
      <c r="H393" s="44" t="s">
        <v>2835</v>
      </c>
      <c r="I393" s="299" t="s">
        <v>2822</v>
      </c>
      <c r="J393" s="66">
        <v>3356</v>
      </c>
      <c r="K393" s="66" t="s">
        <v>4165</v>
      </c>
      <c r="L393" s="66">
        <v>105294</v>
      </c>
      <c r="M393" s="66"/>
      <c r="N393" s="66" t="s">
        <v>2949</v>
      </c>
      <c r="O393" s="66" t="s">
        <v>3852</v>
      </c>
      <c r="P393" s="66" t="s">
        <v>2948</v>
      </c>
      <c r="Q393" s="138" t="str">
        <f ca="1">IFERROR(LOOKUP($P393,MOTORISTAS!$D$3:$D$1048576,MOTORISTAS!E$3:E$916),"")</f>
        <v>16239341843</v>
      </c>
      <c r="R393" s="138" t="str">
        <f ca="1">IFERROR(LOOKUP($P393,MOTORISTAS!$D$3:$D$1048576,MOTORISTAS!F$3:F$916),"")</f>
        <v>01877235038</v>
      </c>
      <c r="S393" s="66">
        <v>3555</v>
      </c>
      <c r="T393" s="66" t="s">
        <v>293</v>
      </c>
      <c r="U393" s="79">
        <v>45026.873611111114</v>
      </c>
      <c r="V393" s="66" t="s">
        <v>526</v>
      </c>
      <c r="W393" s="79">
        <v>45027.527083333334</v>
      </c>
      <c r="X393" s="79">
        <v>45027.010416666664</v>
      </c>
      <c r="Y393" s="88">
        <v>45027.430555555555</v>
      </c>
      <c r="Z393" s="81">
        <v>2100</v>
      </c>
      <c r="AA393" s="81"/>
      <c r="AB393" s="81"/>
      <c r="AC393" s="81"/>
      <c r="AD393" s="81"/>
      <c r="AE393" s="81"/>
      <c r="AF393" s="81"/>
      <c r="AG393" s="81">
        <f>Sal_23[[#This Row],[COMPRA]]*12%</f>
        <v>370.37759999999997</v>
      </c>
      <c r="AH393" s="83">
        <v>3086.48</v>
      </c>
      <c r="AI393" s="66" t="str">
        <f>PROPER(TEXT(Sal_23[[#This Row],[PROGRAMAÇÃO]],"mmm"))</f>
        <v>Abr</v>
      </c>
      <c r="AJ393" s="66">
        <f>YEAR(Sal_23[[#This Row],[PROGRAMAÇÃO]])</f>
        <v>2023</v>
      </c>
      <c r="AK393" s="66"/>
      <c r="AL393" s="66"/>
      <c r="AM393" s="66" t="s">
        <v>2768</v>
      </c>
      <c r="AN393" s="66" t="s">
        <v>2768</v>
      </c>
      <c r="AO393" s="66" t="s">
        <v>2768</v>
      </c>
    </row>
    <row r="394" spans="1:41" x14ac:dyDescent="0.25">
      <c r="A394" s="120" t="str">
        <f>Sal_23[[#This Row],[CONTAINER]]</f>
        <v>MEDU4863213</v>
      </c>
      <c r="B394" s="128" t="s">
        <v>2771</v>
      </c>
      <c r="C39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94" s="79">
        <v>45027.333333333336</v>
      </c>
      <c r="E394" s="44" t="s">
        <v>4145</v>
      </c>
      <c r="F394" s="66">
        <v>40</v>
      </c>
      <c r="G394" s="66" t="s">
        <v>2826</v>
      </c>
      <c r="H394" s="44" t="s">
        <v>2833</v>
      </c>
      <c r="I394" s="299" t="s">
        <v>2832</v>
      </c>
      <c r="J394" s="66">
        <v>3251</v>
      </c>
      <c r="K394" s="66" t="s">
        <v>4165</v>
      </c>
      <c r="L394" s="66">
        <v>105188</v>
      </c>
      <c r="M394" s="66"/>
      <c r="N394" s="66" t="s">
        <v>2389</v>
      </c>
      <c r="O394" s="66" t="s">
        <v>2390</v>
      </c>
      <c r="P394" s="66" t="s">
        <v>892</v>
      </c>
      <c r="Q394" s="138" t="str">
        <f ca="1">IFERROR(LOOKUP($P394,MOTORISTAS!$D$3:$D$1048576,MOTORISTAS!E$3:E$916),"")</f>
        <v>55283063968</v>
      </c>
      <c r="R394" s="138" t="str">
        <f ca="1">IFERROR(LOOKUP($P394,MOTORISTAS!$D$3:$D$1048576,MOTORISTAS!F$3:F$916),"")</f>
        <v>02537032407</v>
      </c>
      <c r="S394" s="66">
        <v>3558</v>
      </c>
      <c r="T394" s="66" t="s">
        <v>293</v>
      </c>
      <c r="U394" s="79">
        <v>45026.909722222219</v>
      </c>
      <c r="V394" s="66" t="s">
        <v>526</v>
      </c>
      <c r="W394" s="79">
        <v>45027.611111111109</v>
      </c>
      <c r="X394" s="79">
        <v>45027.114583333336</v>
      </c>
      <c r="Y394" s="88">
        <v>45027.416666666664</v>
      </c>
      <c r="Z394" s="81"/>
      <c r="AA394" s="81"/>
      <c r="AB394" s="81"/>
      <c r="AC394" s="81"/>
      <c r="AD394" s="81"/>
      <c r="AE394" s="81"/>
      <c r="AF394" s="81"/>
      <c r="AG394" s="81">
        <f>Sal_23[[#This Row],[COMPRA]]*12%</f>
        <v>641.71680000000003</v>
      </c>
      <c r="AH394" s="83">
        <v>5347.64</v>
      </c>
      <c r="AI394" s="66" t="str">
        <f>PROPER(TEXT(Sal_23[[#This Row],[PROGRAMAÇÃO]],"mmm"))</f>
        <v>Abr</v>
      </c>
      <c r="AJ394" s="66">
        <f>YEAR(Sal_23[[#This Row],[PROGRAMAÇÃO]])</f>
        <v>2023</v>
      </c>
      <c r="AK394" s="66"/>
      <c r="AL394" s="66"/>
      <c r="AM394" s="66" t="s">
        <v>2768</v>
      </c>
      <c r="AN394" s="66" t="s">
        <v>2768</v>
      </c>
      <c r="AO394" s="66" t="s">
        <v>2768</v>
      </c>
    </row>
    <row r="395" spans="1:41" x14ac:dyDescent="0.25">
      <c r="A395" s="120" t="str">
        <f>Sal_23[[#This Row],[CONTAINER]]</f>
        <v>TCLU8187724</v>
      </c>
      <c r="B395" s="128" t="s">
        <v>2771</v>
      </c>
      <c r="C39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395" s="79">
        <v>45027.333333333336</v>
      </c>
      <c r="E395" s="44" t="s">
        <v>4150</v>
      </c>
      <c r="F395" s="66">
        <v>40</v>
      </c>
      <c r="G395" s="66" t="s">
        <v>2826</v>
      </c>
      <c r="H395" s="44" t="s">
        <v>3910</v>
      </c>
      <c r="I395" s="299" t="s">
        <v>3253</v>
      </c>
      <c r="J395" s="66">
        <v>3255</v>
      </c>
      <c r="K395" s="66" t="s">
        <v>4165</v>
      </c>
      <c r="L395" s="66">
        <v>115122</v>
      </c>
      <c r="M395" s="66"/>
      <c r="N395" s="66" t="s">
        <v>111</v>
      </c>
      <c r="O395" s="66" t="s">
        <v>891</v>
      </c>
      <c r="P395" s="66" t="s">
        <v>113</v>
      </c>
      <c r="Q395" s="138" t="str">
        <f ca="1">IFERROR(LOOKUP($P395,MOTORISTAS!$D$3:$D$1048576,MOTORISTAS!E$3:E$916),"")</f>
        <v>88265951434</v>
      </c>
      <c r="R395" s="138" t="str">
        <f ca="1">IFERROR(LOOKUP($P395,MOTORISTAS!$D$3:$D$1048576,MOTORISTAS!F$3:F$916),"")</f>
        <v>00920373596</v>
      </c>
      <c r="S395" s="66">
        <v>3556</v>
      </c>
      <c r="T395" s="66" t="s">
        <v>293</v>
      </c>
      <c r="U395" s="79">
        <v>45026.861805555556</v>
      </c>
      <c r="V395" s="66" t="s">
        <v>526</v>
      </c>
      <c r="W395" s="79">
        <v>45030</v>
      </c>
      <c r="X395" s="79">
        <v>45027.371527777781</v>
      </c>
      <c r="Y395" s="88">
        <v>45027.673611111109</v>
      </c>
      <c r="Z395" s="81">
        <v>2300</v>
      </c>
      <c r="AA395" s="81"/>
      <c r="AB395" s="81"/>
      <c r="AC395" s="81"/>
      <c r="AD395" s="81"/>
      <c r="AE395" s="81"/>
      <c r="AF395" s="81"/>
      <c r="AG395" s="81">
        <f>Sal_23[[#This Row],[COMPRA]]*12%</f>
        <v>399.62399999999997</v>
      </c>
      <c r="AH395" s="83">
        <v>3330.2</v>
      </c>
      <c r="AI395" s="66" t="str">
        <f>PROPER(TEXT(Sal_23[[#This Row],[PROGRAMAÇÃO]],"mmm"))</f>
        <v>Abr</v>
      </c>
      <c r="AJ395" s="66">
        <f>YEAR(Sal_23[[#This Row],[PROGRAMAÇÃO]])</f>
        <v>2023</v>
      </c>
      <c r="AK395" s="66"/>
      <c r="AL395" s="44" t="s">
        <v>2785</v>
      </c>
      <c r="AM395" s="66" t="s">
        <v>2768</v>
      </c>
      <c r="AN395" s="66" t="s">
        <v>2768</v>
      </c>
      <c r="AO395" s="66" t="s">
        <v>2768</v>
      </c>
    </row>
    <row r="396" spans="1:41" x14ac:dyDescent="0.25">
      <c r="A396" s="120" t="str">
        <f>Sal_23[[#This Row],[CONTAINER]]</f>
        <v>TCNU8694217</v>
      </c>
      <c r="B396" s="128" t="s">
        <v>2771</v>
      </c>
      <c r="C39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96" s="79">
        <v>45027.333333333336</v>
      </c>
      <c r="E396" s="44" t="s">
        <v>4151</v>
      </c>
      <c r="F396" s="66">
        <v>40</v>
      </c>
      <c r="G396" s="66" t="s">
        <v>2826</v>
      </c>
      <c r="H396" s="44" t="s">
        <v>3910</v>
      </c>
      <c r="I396" s="299" t="s">
        <v>3253</v>
      </c>
      <c r="J396" s="66">
        <v>3257</v>
      </c>
      <c r="K396" s="66" t="s">
        <v>4165</v>
      </c>
      <c r="L396" s="66">
        <v>105332</v>
      </c>
      <c r="M396" s="66"/>
      <c r="N396" s="66" t="s">
        <v>178</v>
      </c>
      <c r="O396" s="66" t="s">
        <v>112</v>
      </c>
      <c r="P396" s="66" t="s">
        <v>180</v>
      </c>
      <c r="Q396" s="138" t="str">
        <f ca="1">IFERROR(LOOKUP($P396,MOTORISTAS!$D$3:$D$1048576,MOTORISTAS!E$3:E$916),"")</f>
        <v>18990500869</v>
      </c>
      <c r="R396" s="138" t="str">
        <f ca="1">IFERROR(LOOKUP($P396,MOTORISTAS!$D$3:$D$1048576,MOTORISTAS!F$3:F$916),"")</f>
        <v>04640435232</v>
      </c>
      <c r="S396" s="66">
        <v>3557</v>
      </c>
      <c r="T396" s="66" t="s">
        <v>293</v>
      </c>
      <c r="U396" s="79">
        <v>45026.853472222225</v>
      </c>
      <c r="V396" s="66" t="s">
        <v>526</v>
      </c>
      <c r="W396" s="79">
        <v>45027.666666666664</v>
      </c>
      <c r="X396" s="79">
        <v>45027.21875</v>
      </c>
      <c r="Y396" s="88">
        <v>45027.521527777775</v>
      </c>
      <c r="Z396" s="81">
        <v>2300</v>
      </c>
      <c r="AA396" s="81"/>
      <c r="AB396" s="81"/>
      <c r="AC396" s="81"/>
      <c r="AD396" s="81"/>
      <c r="AE396" s="81"/>
      <c r="AF396" s="81"/>
      <c r="AG396" s="81">
        <f>Sal_23[[#This Row],[COMPRA]]*12%</f>
        <v>399.62399999999997</v>
      </c>
      <c r="AH396" s="83">
        <v>3330.2</v>
      </c>
      <c r="AI396" s="66" t="str">
        <f>PROPER(TEXT(Sal_23[[#This Row],[PROGRAMAÇÃO]],"mmm"))</f>
        <v>Abr</v>
      </c>
      <c r="AJ396" s="66">
        <f>YEAR(Sal_23[[#This Row],[PROGRAMAÇÃO]])</f>
        <v>2023</v>
      </c>
      <c r="AK396" s="66"/>
      <c r="AL396" s="66"/>
      <c r="AM396" s="66" t="s">
        <v>2768</v>
      </c>
      <c r="AN396" s="66" t="s">
        <v>2768</v>
      </c>
      <c r="AO396" s="66" t="s">
        <v>2768</v>
      </c>
    </row>
    <row r="397" spans="1:41" x14ac:dyDescent="0.25">
      <c r="A397" s="120" t="str">
        <f>Sal_23[[#This Row],[CONTAINER]]</f>
        <v>TRHU7114391</v>
      </c>
      <c r="B397" s="128" t="s">
        <v>2771</v>
      </c>
      <c r="C39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97" s="198">
        <v>45028.333333333336</v>
      </c>
      <c r="E397" s="44" t="s">
        <v>4237</v>
      </c>
      <c r="F397" s="66">
        <v>40</v>
      </c>
      <c r="G397" s="66" t="s">
        <v>2826</v>
      </c>
      <c r="H397" s="44" t="s">
        <v>3910</v>
      </c>
      <c r="I397" s="299" t="s">
        <v>3253</v>
      </c>
      <c r="J397" s="66" t="s">
        <v>4267</v>
      </c>
      <c r="K397" s="66" t="s">
        <v>4236</v>
      </c>
      <c r="L397" s="66">
        <v>115330</v>
      </c>
      <c r="M397" s="66"/>
      <c r="N397" s="66" t="s">
        <v>92</v>
      </c>
      <c r="O397" s="66" t="s">
        <v>93</v>
      </c>
      <c r="P397" s="66" t="s">
        <v>94</v>
      </c>
      <c r="Q397" s="138" t="str">
        <f ca="1">IFERROR(LOOKUP($P397,MOTORISTAS!$D$3:$D$1048576,MOTORISTAS!E$3:E$916),"")</f>
        <v>26283419801</v>
      </c>
      <c r="R397" s="138" t="str">
        <f ca="1">IFERROR(LOOKUP($P397,MOTORISTAS!$D$3:$D$1048576,MOTORISTAS!F$3:F$916),"")</f>
        <v>02002046946</v>
      </c>
      <c r="S397" s="66">
        <v>3560</v>
      </c>
      <c r="T397" s="66" t="s">
        <v>306</v>
      </c>
      <c r="U397" s="79">
        <v>45028.219444444447</v>
      </c>
      <c r="V397" s="66" t="s">
        <v>409</v>
      </c>
      <c r="W397" s="79">
        <v>45028.663194444445</v>
      </c>
      <c r="X397" s="79">
        <v>45028.333333333336</v>
      </c>
      <c r="Y397" s="88">
        <v>45028.496527777781</v>
      </c>
      <c r="Z397" s="81">
        <v>2300</v>
      </c>
      <c r="AA397" s="81"/>
      <c r="AB397" s="81"/>
      <c r="AC397" s="81"/>
      <c r="AD397" s="81"/>
      <c r="AE397" s="81"/>
      <c r="AF397" s="81"/>
      <c r="AG397" s="81">
        <f>Sal_23[[#This Row],[COMPRA]]*12%</f>
        <v>399.62399999999997</v>
      </c>
      <c r="AH397" s="83">
        <v>3330.2</v>
      </c>
      <c r="AI397" s="66" t="str">
        <f>PROPER(TEXT(Sal_23[[#This Row],[PROGRAMAÇÃO]],"mmm"))</f>
        <v>Abr</v>
      </c>
      <c r="AJ397" s="66">
        <f>YEAR(Sal_23[[#This Row],[PROGRAMAÇÃO]])</f>
        <v>2023</v>
      </c>
      <c r="AK397" s="66"/>
      <c r="AL397" s="66"/>
      <c r="AM397" s="66" t="s">
        <v>2768</v>
      </c>
      <c r="AN397" s="66" t="s">
        <v>2768</v>
      </c>
      <c r="AO397" s="66" t="s">
        <v>2768</v>
      </c>
    </row>
    <row r="398" spans="1:41" x14ac:dyDescent="0.25">
      <c r="B398" s="128" t="s">
        <v>2771</v>
      </c>
      <c r="C39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98" s="79">
        <v>45030.375</v>
      </c>
      <c r="E398" s="44" t="s">
        <v>4245</v>
      </c>
      <c r="F398" s="66">
        <v>40</v>
      </c>
      <c r="G398" s="66" t="s">
        <v>2820</v>
      </c>
      <c r="H398" s="44" t="s">
        <v>2820</v>
      </c>
      <c r="I398" s="299" t="s">
        <v>2821</v>
      </c>
      <c r="J398" s="66" t="s">
        <v>4272</v>
      </c>
      <c r="K398" s="66" t="s">
        <v>4236</v>
      </c>
      <c r="L398" s="66">
        <v>70108</v>
      </c>
      <c r="M398" s="66"/>
      <c r="N398" s="66" t="s">
        <v>3028</v>
      </c>
      <c r="O398" s="66" t="s">
        <v>2261</v>
      </c>
      <c r="P398" s="66" t="s">
        <v>3443</v>
      </c>
      <c r="Q398" s="138" t="str">
        <f ca="1">IFERROR(LOOKUP($P398,MOTORISTAS!$D$3:$D$1048576,MOTORISTAS!E$3:E$916),"")</f>
        <v>13990937898</v>
      </c>
      <c r="R398" s="138" t="str">
        <f ca="1">IFERROR(LOOKUP($P398,MOTORISTAS!$D$3:$D$1048576,MOTORISTAS!F$3:F$916),"")</f>
        <v>01825123407</v>
      </c>
      <c r="S398" s="66">
        <v>15696</v>
      </c>
      <c r="T398" s="66" t="s">
        <v>306</v>
      </c>
      <c r="U398" s="79">
        <v>45029.96875</v>
      </c>
      <c r="V398" s="66" t="s">
        <v>292</v>
      </c>
      <c r="W398" s="79">
        <v>45030.655555555553</v>
      </c>
      <c r="X398" s="79">
        <v>45030.0625</v>
      </c>
      <c r="Y398" s="88">
        <v>45030.645833333336</v>
      </c>
      <c r="Z398" s="81">
        <v>1600</v>
      </c>
      <c r="AA398" s="81"/>
      <c r="AB398" s="81"/>
      <c r="AC398" s="81"/>
      <c r="AD398" s="81"/>
      <c r="AE398" s="81"/>
      <c r="AF398" s="81"/>
      <c r="AG398" s="81">
        <f>Sal_23[[#This Row],[COMPRA]]*12%</f>
        <v>276</v>
      </c>
      <c r="AH398" s="83">
        <v>2300</v>
      </c>
      <c r="AI398" s="66" t="str">
        <f>PROPER(TEXT(Sal_23[[#This Row],[PROGRAMAÇÃO]],"mmm"))</f>
        <v>Abr</v>
      </c>
      <c r="AJ398" s="66">
        <f>YEAR(Sal_23[[#This Row],[PROGRAMAÇÃO]])</f>
        <v>2023</v>
      </c>
      <c r="AK398" s="66"/>
      <c r="AL398" s="66"/>
      <c r="AM398" s="66" t="s">
        <v>2768</v>
      </c>
      <c r="AN398" s="66" t="s">
        <v>2768</v>
      </c>
      <c r="AO398" s="66" t="s">
        <v>2768</v>
      </c>
    </row>
    <row r="399" spans="1:41" x14ac:dyDescent="0.25">
      <c r="B399" s="128" t="s">
        <v>2771</v>
      </c>
      <c r="C39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399" s="79">
        <v>45030.375</v>
      </c>
      <c r="E399" s="44" t="s">
        <v>4246</v>
      </c>
      <c r="F399" s="66">
        <v>40</v>
      </c>
      <c r="G399" s="66" t="s">
        <v>2820</v>
      </c>
      <c r="H399" s="44" t="s">
        <v>2820</v>
      </c>
      <c r="I399" s="299" t="s">
        <v>2821</v>
      </c>
      <c r="J399" s="66" t="s">
        <v>4272</v>
      </c>
      <c r="K399" s="66" t="s">
        <v>4236</v>
      </c>
      <c r="L399" s="66">
        <v>70107</v>
      </c>
      <c r="M399" s="66"/>
      <c r="N399" s="66" t="s">
        <v>2859</v>
      </c>
      <c r="O399" s="66" t="s">
        <v>2860</v>
      </c>
      <c r="P399" s="66" t="s">
        <v>2861</v>
      </c>
      <c r="Q399" s="138" t="str">
        <f ca="1">IFERROR(LOOKUP($P399,MOTORISTAS!$D$3:$D$1048576,MOTORISTAS!E$3:E$916),"")</f>
        <v>01817591878</v>
      </c>
      <c r="R399" s="138" t="str">
        <f ca="1">IFERROR(LOOKUP($P399,MOTORISTAS!$D$3:$D$1048576,MOTORISTAS!F$3:F$916),"")</f>
        <v>00821760640</v>
      </c>
      <c r="S399" s="66">
        <v>15697</v>
      </c>
      <c r="T399" s="66" t="s">
        <v>306</v>
      </c>
      <c r="U399" s="79">
        <v>45029.958333333336</v>
      </c>
      <c r="V399" s="66" t="s">
        <v>292</v>
      </c>
      <c r="W399" s="79">
        <v>45031</v>
      </c>
      <c r="X399" s="79">
        <v>45030.0625</v>
      </c>
      <c r="Y399" s="88">
        <v>45030.645833333336</v>
      </c>
      <c r="Z399" s="81">
        <v>1600</v>
      </c>
      <c r="AA399" s="81"/>
      <c r="AB399" s="81"/>
      <c r="AC399" s="81"/>
      <c r="AD399" s="81"/>
      <c r="AE399" s="81"/>
      <c r="AF399" s="81"/>
      <c r="AG399" s="81">
        <f>Sal_23[[#This Row],[COMPRA]]*12%</f>
        <v>276</v>
      </c>
      <c r="AH399" s="83">
        <v>2300</v>
      </c>
      <c r="AI399" s="66" t="str">
        <f>PROPER(TEXT(Sal_23[[#This Row],[PROGRAMAÇÃO]],"mmm"))</f>
        <v>Abr</v>
      </c>
      <c r="AJ399" s="66">
        <f>YEAR(Sal_23[[#This Row],[PROGRAMAÇÃO]])</f>
        <v>2023</v>
      </c>
      <c r="AK399" s="66"/>
      <c r="AL399" s="66"/>
      <c r="AM399" s="66" t="s">
        <v>2768</v>
      </c>
      <c r="AN399" s="66" t="s">
        <v>2768</v>
      </c>
      <c r="AO399" s="66" t="s">
        <v>2768</v>
      </c>
    </row>
    <row r="400" spans="1:41" x14ac:dyDescent="0.25">
      <c r="B400" s="128" t="s">
        <v>2771</v>
      </c>
      <c r="C40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00" s="79">
        <v>45029.375</v>
      </c>
      <c r="E400" s="44" t="s">
        <v>4247</v>
      </c>
      <c r="F400" s="66">
        <v>40</v>
      </c>
      <c r="G400" s="66" t="s">
        <v>2820</v>
      </c>
      <c r="H400" s="44" t="s">
        <v>2820</v>
      </c>
      <c r="I400" s="299" t="s">
        <v>2821</v>
      </c>
      <c r="J400" s="66" t="s">
        <v>4272</v>
      </c>
      <c r="K400" s="66" t="s">
        <v>4236</v>
      </c>
      <c r="L400" s="66">
        <v>70213</v>
      </c>
      <c r="M400" s="66"/>
      <c r="N400" s="66" t="s">
        <v>3028</v>
      </c>
      <c r="O400" s="66" t="s">
        <v>3852</v>
      </c>
      <c r="P400" s="66" t="s">
        <v>3443</v>
      </c>
      <c r="Q400" s="138" t="str">
        <f ca="1">IFERROR(LOOKUP($P400,MOTORISTAS!$D$3:$D$1048576,MOTORISTAS!E$3:E$916),"")</f>
        <v>13990937898</v>
      </c>
      <c r="R400" s="138" t="str">
        <f ca="1">IFERROR(LOOKUP($P400,MOTORISTAS!$D$3:$D$1048576,MOTORISTAS!F$3:F$916),"")</f>
        <v>01825123407</v>
      </c>
      <c r="S400" s="66">
        <v>15668</v>
      </c>
      <c r="T400" s="66" t="s">
        <v>306</v>
      </c>
      <c r="U400" s="79">
        <v>45027.952777777777</v>
      </c>
      <c r="V400" s="66" t="s">
        <v>292</v>
      </c>
      <c r="W400" s="79">
        <v>45028.552777777775</v>
      </c>
      <c r="X400" s="79">
        <v>45028.034722222219</v>
      </c>
      <c r="Y400" s="88">
        <v>45028.472222222219</v>
      </c>
      <c r="Z400" s="81">
        <v>1600</v>
      </c>
      <c r="AA400" s="81"/>
      <c r="AB400" s="81"/>
      <c r="AC400" s="81"/>
      <c r="AD400" s="81"/>
      <c r="AE400" s="81"/>
      <c r="AF400" s="81"/>
      <c r="AG400" s="81">
        <f>Sal_23[[#This Row],[COMPRA]]*12%</f>
        <v>276</v>
      </c>
      <c r="AH400" s="83">
        <v>2300</v>
      </c>
      <c r="AI400" s="66" t="str">
        <f>PROPER(TEXT(Sal_23[[#This Row],[PROGRAMAÇÃO]],"mmm"))</f>
        <v>Abr</v>
      </c>
      <c r="AJ400" s="66">
        <f>YEAR(Sal_23[[#This Row],[PROGRAMAÇÃO]])</f>
        <v>2023</v>
      </c>
      <c r="AK400" s="66"/>
      <c r="AL400" s="66"/>
      <c r="AM400" s="66" t="s">
        <v>2768</v>
      </c>
      <c r="AN400" s="66" t="s">
        <v>2768</v>
      </c>
      <c r="AO400" s="66" t="s">
        <v>2768</v>
      </c>
    </row>
    <row r="401" spans="2:41" x14ac:dyDescent="0.25">
      <c r="B401" s="128" t="s">
        <v>2771</v>
      </c>
      <c r="C40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01" s="79">
        <v>45029.375</v>
      </c>
      <c r="E401" s="44" t="s">
        <v>4248</v>
      </c>
      <c r="F401" s="66">
        <v>40</v>
      </c>
      <c r="G401" s="66" t="s">
        <v>2820</v>
      </c>
      <c r="H401" s="44" t="s">
        <v>2820</v>
      </c>
      <c r="I401" s="299" t="s">
        <v>2821</v>
      </c>
      <c r="J401" s="66" t="s">
        <v>4272</v>
      </c>
      <c r="K401" s="66" t="s">
        <v>4236</v>
      </c>
      <c r="L401" s="66">
        <v>70214</v>
      </c>
      <c r="M401" s="66"/>
      <c r="N401" s="66" t="s">
        <v>2859</v>
      </c>
      <c r="O401" s="66" t="s">
        <v>2860</v>
      </c>
      <c r="P401" s="66" t="s">
        <v>4276</v>
      </c>
      <c r="Q401" s="138" t="str">
        <f ca="1">IFERROR(LOOKUP($P401,MOTORISTAS!$D$3:$D$1048576,MOTORISTAS!E$3:E$916),"")</f>
        <v>28803609865</v>
      </c>
      <c r="R401" s="138" t="str">
        <f ca="1">IFERROR(LOOKUP($P401,MOTORISTAS!$D$3:$D$1048576,MOTORISTAS!F$3:F$916),"")</f>
        <v>03261179456</v>
      </c>
      <c r="S401" s="66">
        <v>15687</v>
      </c>
      <c r="T401" s="66" t="s">
        <v>306</v>
      </c>
      <c r="U401" s="79">
        <v>45029.039583333331</v>
      </c>
      <c r="V401" s="66" t="s">
        <v>292</v>
      </c>
      <c r="W401" s="79">
        <v>45029.615277777775</v>
      </c>
      <c r="X401" s="79">
        <v>45029.145833333336</v>
      </c>
      <c r="Y401" s="88">
        <v>45029.5625</v>
      </c>
      <c r="Z401" s="81">
        <v>1600</v>
      </c>
      <c r="AA401" s="81"/>
      <c r="AB401" s="81"/>
      <c r="AC401" s="81"/>
      <c r="AD401" s="81"/>
      <c r="AE401" s="81"/>
      <c r="AF401" s="81"/>
      <c r="AG401" s="81">
        <f>Sal_23[[#This Row],[COMPRA]]*12%</f>
        <v>276</v>
      </c>
      <c r="AH401" s="83">
        <v>2300</v>
      </c>
      <c r="AI401" s="66" t="str">
        <f>PROPER(TEXT(Sal_23[[#This Row],[PROGRAMAÇÃO]],"mmm"))</f>
        <v>Abr</v>
      </c>
      <c r="AJ401" s="66">
        <f>YEAR(Sal_23[[#This Row],[PROGRAMAÇÃO]])</f>
        <v>2023</v>
      </c>
      <c r="AK401" s="66"/>
      <c r="AL401" s="66"/>
      <c r="AM401" s="66" t="s">
        <v>2768</v>
      </c>
      <c r="AN401" s="66" t="s">
        <v>2768</v>
      </c>
      <c r="AO401" s="66" t="s">
        <v>2768</v>
      </c>
    </row>
    <row r="402" spans="2:41" x14ac:dyDescent="0.25">
      <c r="B402" s="128" t="s">
        <v>2771</v>
      </c>
      <c r="C40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02" s="198">
        <v>45029.333333333336</v>
      </c>
      <c r="E402" s="44" t="s">
        <v>4256</v>
      </c>
      <c r="F402" s="66">
        <v>20</v>
      </c>
      <c r="G402" s="66" t="s">
        <v>2826</v>
      </c>
      <c r="H402" s="44" t="s">
        <v>2825</v>
      </c>
      <c r="I402" s="299" t="s">
        <v>4012</v>
      </c>
      <c r="J402" s="66">
        <v>3670</v>
      </c>
      <c r="K402" s="66" t="s">
        <v>4254</v>
      </c>
      <c r="L402" s="66">
        <v>105492</v>
      </c>
      <c r="M402" s="66"/>
      <c r="N402" s="66" t="s">
        <v>2949</v>
      </c>
      <c r="O402" s="66" t="s">
        <v>2950</v>
      </c>
      <c r="P402" s="66" t="s">
        <v>2948</v>
      </c>
      <c r="Q402" s="138" t="str">
        <f ca="1">IFERROR(LOOKUP($P402,MOTORISTAS!$D$3:$D$1048576,MOTORISTAS!E$3:E$916),"")</f>
        <v>16239341843</v>
      </c>
      <c r="R402" s="138" t="str">
        <f ca="1">IFERROR(LOOKUP($P402,MOTORISTAS!$D$3:$D$1048576,MOTORISTAS!F$3:F$916),"")</f>
        <v>01877235038</v>
      </c>
      <c r="S402" s="66">
        <v>3564</v>
      </c>
      <c r="T402" s="66" t="s">
        <v>293</v>
      </c>
      <c r="U402" s="79">
        <v>45028.930555555555</v>
      </c>
      <c r="V402" s="66" t="s">
        <v>292</v>
      </c>
      <c r="W402" s="79">
        <v>45029.489583333336</v>
      </c>
      <c r="X402" s="79">
        <v>45029.166666666664</v>
      </c>
      <c r="Y402" s="88">
        <v>45029.423611111109</v>
      </c>
      <c r="Z402" s="81">
        <v>2000</v>
      </c>
      <c r="AA402" s="81"/>
      <c r="AB402" s="81"/>
      <c r="AC402" s="81">
        <v>700</v>
      </c>
      <c r="AD402" s="81"/>
      <c r="AE402" s="81"/>
      <c r="AF402" s="81"/>
      <c r="AG402" s="81">
        <f>Sal_23[[#This Row],[COMPRA]]*12%</f>
        <v>447.91919999999999</v>
      </c>
      <c r="AH402" s="83">
        <v>3732.66</v>
      </c>
      <c r="AI402" s="66" t="str">
        <f>PROPER(TEXT(Sal_23[[#This Row],[PROGRAMAÇÃO]],"mmm"))</f>
        <v>Abr</v>
      </c>
      <c r="AJ402" s="66">
        <f>YEAR(Sal_23[[#This Row],[PROGRAMAÇÃO]])</f>
        <v>2023</v>
      </c>
      <c r="AK402" s="66"/>
      <c r="AL402" s="66"/>
      <c r="AM402" s="66" t="s">
        <v>2768</v>
      </c>
      <c r="AN402" s="66" t="s">
        <v>2768</v>
      </c>
      <c r="AO402" s="66" t="s">
        <v>2768</v>
      </c>
    </row>
    <row r="403" spans="2:41" x14ac:dyDescent="0.25">
      <c r="B403" s="128" t="s">
        <v>2771</v>
      </c>
      <c r="C40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03" s="198">
        <v>45029.333333333336</v>
      </c>
      <c r="E403" s="44" t="s">
        <v>4258</v>
      </c>
      <c r="F403" s="66">
        <v>20</v>
      </c>
      <c r="G403" s="66" t="s">
        <v>2837</v>
      </c>
      <c r="H403" s="44" t="s">
        <v>2837</v>
      </c>
      <c r="I403" s="299" t="s">
        <v>2821</v>
      </c>
      <c r="J403" s="66">
        <v>3671</v>
      </c>
      <c r="K403" s="66" t="s">
        <v>4254</v>
      </c>
      <c r="L403" s="66">
        <v>105495</v>
      </c>
      <c r="M403" s="66"/>
      <c r="N403" s="66" t="s">
        <v>2584</v>
      </c>
      <c r="O403" s="66" t="s">
        <v>2585</v>
      </c>
      <c r="P403" s="66" t="s">
        <v>2586</v>
      </c>
      <c r="Q403" s="138" t="str">
        <f ca="1">IFERROR(LOOKUP($P403,MOTORISTAS!$D$3:$D$1048576,MOTORISTAS!E$3:E$916),"")</f>
        <v>08312935860</v>
      </c>
      <c r="R403" s="138" t="str">
        <f ca="1">IFERROR(LOOKUP($P403,MOTORISTAS!$D$3:$D$1048576,MOTORISTAS!F$3:F$916),"")</f>
        <v>03106516083</v>
      </c>
      <c r="S403" s="66">
        <v>3561</v>
      </c>
      <c r="T403" s="66" t="s">
        <v>293</v>
      </c>
      <c r="U403" s="79">
        <v>45028.895138888889</v>
      </c>
      <c r="V403" s="66" t="s">
        <v>292</v>
      </c>
      <c r="W403" s="79">
        <v>45029.453472222223</v>
      </c>
      <c r="X403" s="79">
        <v>45029.003472222219</v>
      </c>
      <c r="Y403" s="88">
        <v>45029.381944444445</v>
      </c>
      <c r="Z403" s="81">
        <v>1600</v>
      </c>
      <c r="AA403" s="81"/>
      <c r="AB403" s="81"/>
      <c r="AC403" s="81"/>
      <c r="AD403" s="81"/>
      <c r="AE403" s="81"/>
      <c r="AF403" s="81"/>
      <c r="AG403" s="81">
        <f>Sal_23[[#This Row],[COMPRA]]*12%</f>
        <v>311.55959999999999</v>
      </c>
      <c r="AH403" s="83">
        <v>2596.33</v>
      </c>
      <c r="AI403" s="66" t="str">
        <f>PROPER(TEXT(Sal_23[[#This Row],[PROGRAMAÇÃO]],"mmm"))</f>
        <v>Abr</v>
      </c>
      <c r="AJ403" s="66">
        <f>YEAR(Sal_23[[#This Row],[PROGRAMAÇÃO]])</f>
        <v>2023</v>
      </c>
      <c r="AK403" s="66"/>
      <c r="AL403" s="66"/>
      <c r="AM403" s="66" t="s">
        <v>2768</v>
      </c>
      <c r="AN403" s="66" t="s">
        <v>2768</v>
      </c>
      <c r="AO403" s="66" t="s">
        <v>2768</v>
      </c>
    </row>
    <row r="404" spans="2:41" x14ac:dyDescent="0.25">
      <c r="B404" s="128" t="s">
        <v>2771</v>
      </c>
      <c r="C40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04" s="198">
        <v>45029.333333333336</v>
      </c>
      <c r="E404" s="44" t="s">
        <v>4261</v>
      </c>
      <c r="F404" s="66">
        <v>20</v>
      </c>
      <c r="G404" s="66" t="s">
        <v>2837</v>
      </c>
      <c r="H404" s="44" t="s">
        <v>2837</v>
      </c>
      <c r="I404" s="299" t="s">
        <v>2821</v>
      </c>
      <c r="J404" s="66">
        <v>3671</v>
      </c>
      <c r="K404" s="66" t="s">
        <v>4254</v>
      </c>
      <c r="L404" s="66">
        <v>105329</v>
      </c>
      <c r="M404" s="66"/>
      <c r="N404" s="66" t="s">
        <v>3028</v>
      </c>
      <c r="O404" s="66" t="s">
        <v>2261</v>
      </c>
      <c r="P404" s="66" t="s">
        <v>3443</v>
      </c>
      <c r="Q404" s="138" t="str">
        <f ca="1">IFERROR(LOOKUP($P404,MOTORISTAS!$D$3:$D$1048576,MOTORISTAS!E$3:E$916),"")</f>
        <v>13990937898</v>
      </c>
      <c r="R404" s="138" t="str">
        <f ca="1">IFERROR(LOOKUP($P404,MOTORISTAS!$D$3:$D$1048576,MOTORISTAS!F$3:F$916),"")</f>
        <v>01825123407</v>
      </c>
      <c r="S404" s="66">
        <v>3562</v>
      </c>
      <c r="T404" s="66" t="s">
        <v>293</v>
      </c>
      <c r="U404" s="79">
        <v>45028.939583333333</v>
      </c>
      <c r="V404" s="66" t="s">
        <v>292</v>
      </c>
      <c r="W404" s="79">
        <v>45029.577777777777</v>
      </c>
      <c r="X404" s="79">
        <v>45029.145833333336</v>
      </c>
      <c r="Y404" s="88">
        <v>45029.465277777781</v>
      </c>
      <c r="Z404" s="81">
        <v>1600</v>
      </c>
      <c r="AA404" s="81"/>
      <c r="AB404" s="81"/>
      <c r="AC404" s="81"/>
      <c r="AD404" s="81"/>
      <c r="AE404" s="81"/>
      <c r="AF404" s="81"/>
      <c r="AG404" s="81">
        <f>Sal_23[[#This Row],[COMPRA]]*12%</f>
        <v>311.55959999999999</v>
      </c>
      <c r="AH404" s="83">
        <v>2596.33</v>
      </c>
      <c r="AI404" s="66" t="str">
        <f>PROPER(TEXT(Sal_23[[#This Row],[PROGRAMAÇÃO]],"mmm"))</f>
        <v>Abr</v>
      </c>
      <c r="AJ404" s="66">
        <f>YEAR(Sal_23[[#This Row],[PROGRAMAÇÃO]])</f>
        <v>2023</v>
      </c>
      <c r="AK404" s="66"/>
      <c r="AL404" s="66"/>
      <c r="AM404" s="66" t="s">
        <v>2768</v>
      </c>
      <c r="AN404" s="66" t="s">
        <v>2768</v>
      </c>
      <c r="AO404" s="66" t="s">
        <v>2768</v>
      </c>
    </row>
    <row r="405" spans="2:41" x14ac:dyDescent="0.25">
      <c r="B405" s="128" t="s">
        <v>2771</v>
      </c>
      <c r="C40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05" s="198">
        <v>45029.333333333336</v>
      </c>
      <c r="E405" s="44" t="s">
        <v>4262</v>
      </c>
      <c r="F405" s="66">
        <v>40</v>
      </c>
      <c r="G405" s="66" t="s">
        <v>2826</v>
      </c>
      <c r="H405" s="44" t="s">
        <v>2835</v>
      </c>
      <c r="I405" s="299" t="s">
        <v>2822</v>
      </c>
      <c r="J405" s="66">
        <v>3673</v>
      </c>
      <c r="K405" s="66" t="s">
        <v>4254</v>
      </c>
      <c r="L405" s="66">
        <v>105404</v>
      </c>
      <c r="M405" s="66"/>
      <c r="N405" s="66" t="s">
        <v>4108</v>
      </c>
      <c r="O405" s="66" t="s">
        <v>4109</v>
      </c>
      <c r="P405" s="66" t="s">
        <v>2932</v>
      </c>
      <c r="Q405" s="138" t="str">
        <f ca="1">IFERROR(LOOKUP($P405,MOTORISTAS!$D$3:$D$1048576,MOTORISTAS!E$3:E$916),"")</f>
        <v>87607395849</v>
      </c>
      <c r="R405" s="138" t="str">
        <f ca="1">IFERROR(LOOKUP($P405,MOTORISTAS!$D$3:$D$1048576,MOTORISTAS!F$3:F$916),"")</f>
        <v>01842622116</v>
      </c>
      <c r="S405" s="66">
        <v>3563</v>
      </c>
      <c r="T405" s="66" t="s">
        <v>293</v>
      </c>
      <c r="U405" s="79">
        <v>45028.955555555556</v>
      </c>
      <c r="V405" s="66" t="s">
        <v>292</v>
      </c>
      <c r="W405" s="79">
        <v>45029</v>
      </c>
      <c r="X405" s="79">
        <v>45029.25</v>
      </c>
      <c r="Y405" s="88">
        <v>45029.427083333336</v>
      </c>
      <c r="Z405" s="81">
        <v>2100</v>
      </c>
      <c r="AA405" s="81"/>
      <c r="AB405" s="81"/>
      <c r="AC405" s="81"/>
      <c r="AD405" s="81"/>
      <c r="AE405" s="81"/>
      <c r="AF405" s="81"/>
      <c r="AG405" s="81">
        <f>Sal_23[[#This Row],[COMPRA]]*12%</f>
        <v>370.37759999999997</v>
      </c>
      <c r="AH405" s="83">
        <v>3086.48</v>
      </c>
      <c r="AI405" s="66" t="str">
        <f>PROPER(TEXT(Sal_23[[#This Row],[PROGRAMAÇÃO]],"mmm"))</f>
        <v>Abr</v>
      </c>
      <c r="AJ405" s="66">
        <f>YEAR(Sal_23[[#This Row],[PROGRAMAÇÃO]])</f>
        <v>2023</v>
      </c>
      <c r="AK405" s="66"/>
      <c r="AL405" s="66"/>
      <c r="AM405" s="66" t="s">
        <v>2768</v>
      </c>
      <c r="AN405" s="66" t="s">
        <v>2768</v>
      </c>
      <c r="AO405" s="66" t="s">
        <v>2768</v>
      </c>
    </row>
    <row r="406" spans="2:41" x14ac:dyDescent="0.25">
      <c r="B406" s="128" t="s">
        <v>2771</v>
      </c>
      <c r="C40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06" s="79">
        <v>45029.375</v>
      </c>
      <c r="E406" s="44" t="s">
        <v>4264</v>
      </c>
      <c r="F406" s="66">
        <v>40</v>
      </c>
      <c r="G406" s="66" t="s">
        <v>2826</v>
      </c>
      <c r="H406" s="44" t="s">
        <v>1674</v>
      </c>
      <c r="I406" s="299" t="s">
        <v>2829</v>
      </c>
      <c r="J406" s="66">
        <v>3696</v>
      </c>
      <c r="K406" s="66" t="s">
        <v>4254</v>
      </c>
      <c r="L406" s="66">
        <v>105515</v>
      </c>
      <c r="M406" s="66">
        <v>105516</v>
      </c>
      <c r="N406" s="66" t="s">
        <v>210</v>
      </c>
      <c r="O406" s="66" t="s">
        <v>211</v>
      </c>
      <c r="P406" s="66" t="s">
        <v>212</v>
      </c>
      <c r="Q406" s="138" t="str">
        <f ca="1">IFERROR(LOOKUP($P406,MOTORISTAS!$D$3:$D$1048576,MOTORISTAS!E$3:E$916),"")</f>
        <v>38029906846</v>
      </c>
      <c r="R406" s="138" t="str">
        <f ca="1">IFERROR(LOOKUP($P406,MOTORISTAS!$D$3:$D$1048576,MOTORISTAS!F$3:F$916),"")</f>
        <v>04946846842</v>
      </c>
      <c r="S406" s="66">
        <v>3565</v>
      </c>
      <c r="T406" s="66" t="s">
        <v>293</v>
      </c>
      <c r="U406" s="79">
        <v>45029.277777777781</v>
      </c>
      <c r="V406" s="66" t="s">
        <v>292</v>
      </c>
      <c r="W406" s="79">
        <v>45030.450694444444</v>
      </c>
      <c r="X406" s="79">
        <v>45029.5</v>
      </c>
      <c r="Y406" s="88">
        <v>45029.635416666664</v>
      </c>
      <c r="Z406" s="81">
        <v>3400</v>
      </c>
      <c r="AA406" s="81">
        <v>565.20000000000005</v>
      </c>
      <c r="AB406" s="81"/>
      <c r="AC406" s="81"/>
      <c r="AD406" s="81"/>
      <c r="AE406" s="81"/>
      <c r="AF406" s="81"/>
      <c r="AG406" s="81">
        <f>Sal_23[[#This Row],[COMPRA]]*12%</f>
        <v>558.28440000000001</v>
      </c>
      <c r="AH406" s="83">
        <v>4652.37</v>
      </c>
      <c r="AI406" s="66" t="str">
        <f>PROPER(TEXT(Sal_23[[#This Row],[PROGRAMAÇÃO]],"mmm"))</f>
        <v>Abr</v>
      </c>
      <c r="AJ406" s="66">
        <f>YEAR(Sal_23[[#This Row],[PROGRAMAÇÃO]])</f>
        <v>2023</v>
      </c>
      <c r="AK406" s="66" t="s">
        <v>4283</v>
      </c>
      <c r="AL406" s="44" t="s">
        <v>3347</v>
      </c>
      <c r="AM406" s="66" t="s">
        <v>2768</v>
      </c>
      <c r="AN406" s="66" t="s">
        <v>2768</v>
      </c>
      <c r="AO406" s="66" t="s">
        <v>2768</v>
      </c>
    </row>
    <row r="407" spans="2:41" x14ac:dyDescent="0.25">
      <c r="B407" s="128" t="s">
        <v>2771</v>
      </c>
      <c r="C40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07" s="198">
        <v>45030.333333333336</v>
      </c>
      <c r="E407" s="44" t="s">
        <v>4257</v>
      </c>
      <c r="F407" s="66">
        <v>20</v>
      </c>
      <c r="G407" s="66" t="s">
        <v>2826</v>
      </c>
      <c r="H407" s="44" t="s">
        <v>3440</v>
      </c>
      <c r="I407" s="299" t="s">
        <v>3253</v>
      </c>
      <c r="J407" s="66">
        <v>3668</v>
      </c>
      <c r="K407" s="66" t="s">
        <v>4254</v>
      </c>
      <c r="L407" s="66">
        <v>115284</v>
      </c>
      <c r="M407" s="66"/>
      <c r="N407" s="66" t="s">
        <v>2584</v>
      </c>
      <c r="O407" s="66" t="s">
        <v>2585</v>
      </c>
      <c r="P407" s="66" t="s">
        <v>2586</v>
      </c>
      <c r="Q407" s="138" t="str">
        <f ca="1">IFERROR(LOOKUP($P407,MOTORISTAS!$D$3:$D$1048576,MOTORISTAS!E$3:E$916),"")</f>
        <v>08312935860</v>
      </c>
      <c r="R407" s="138" t="str">
        <f ca="1">IFERROR(LOOKUP($P407,MOTORISTAS!$D$3:$D$1048576,MOTORISTAS!F$3:F$916),"")</f>
        <v>03106516083</v>
      </c>
      <c r="S407" s="66">
        <v>3566</v>
      </c>
      <c r="T407" s="66" t="s">
        <v>293</v>
      </c>
      <c r="U407" s="79">
        <v>45029.863888888889</v>
      </c>
      <c r="V407" s="66" t="s">
        <v>292</v>
      </c>
      <c r="W407" s="79">
        <v>45030.460416666669</v>
      </c>
      <c r="X407" s="79">
        <v>45030.03125</v>
      </c>
      <c r="Y407" s="88">
        <v>45030.322916666664</v>
      </c>
      <c r="Z407" s="81">
        <v>2300</v>
      </c>
      <c r="AA407" s="81"/>
      <c r="AB407" s="81"/>
      <c r="AC407" s="81"/>
      <c r="AD407" s="81"/>
      <c r="AE407" s="81"/>
      <c r="AF407" s="81"/>
      <c r="AG407" s="81">
        <f>Sal_23[[#This Row],[COMPRA]]*12%</f>
        <v>399.62399999999997</v>
      </c>
      <c r="AH407" s="83">
        <v>3330.2</v>
      </c>
      <c r="AI407" s="66" t="str">
        <f>PROPER(TEXT(Sal_23[[#This Row],[PROGRAMAÇÃO]],"mmm"))</f>
        <v>Abr</v>
      </c>
      <c r="AJ407" s="66">
        <f>YEAR(Sal_23[[#This Row],[PROGRAMAÇÃO]])</f>
        <v>2023</v>
      </c>
      <c r="AK407" s="66"/>
      <c r="AL407" s="66"/>
      <c r="AM407" s="66" t="s">
        <v>2768</v>
      </c>
      <c r="AN407" s="66" t="s">
        <v>2768</v>
      </c>
      <c r="AO407" s="66" t="s">
        <v>2768</v>
      </c>
    </row>
    <row r="408" spans="2:41" x14ac:dyDescent="0.25">
      <c r="B408" s="128" t="s">
        <v>2771</v>
      </c>
      <c r="C40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08" s="198">
        <v>45033.333333333336</v>
      </c>
      <c r="E408" s="44" t="s">
        <v>4260</v>
      </c>
      <c r="F408" s="66">
        <v>20</v>
      </c>
      <c r="G408" s="66" t="s">
        <v>2826</v>
      </c>
      <c r="H408" s="44" t="s">
        <v>3082</v>
      </c>
      <c r="I408" s="299" t="s">
        <v>3083</v>
      </c>
      <c r="J408" s="66">
        <v>3265</v>
      </c>
      <c r="K408" s="66" t="s">
        <v>4254</v>
      </c>
      <c r="L408" s="66">
        <v>105328</v>
      </c>
      <c r="M408" s="66"/>
      <c r="N408" s="66" t="s">
        <v>2584</v>
      </c>
      <c r="O408" s="66" t="s">
        <v>2585</v>
      </c>
      <c r="P408" s="66" t="s">
        <v>2586</v>
      </c>
      <c r="Q408" s="138" t="str">
        <f ca="1">IFERROR(LOOKUP($P408,MOTORISTAS!$D$3:$D$1048576,MOTORISTAS!E$3:E$916),"")</f>
        <v>08312935860</v>
      </c>
      <c r="R408" s="138" t="str">
        <f ca="1">IFERROR(LOOKUP($P408,MOTORISTAS!$D$3:$D$1048576,MOTORISTAS!F$3:F$916),"")</f>
        <v>03106516083</v>
      </c>
      <c r="S408" s="66">
        <v>3567</v>
      </c>
      <c r="T408" s="66" t="s">
        <v>293</v>
      </c>
      <c r="U408" s="79">
        <v>45032.890972222223</v>
      </c>
      <c r="V408" s="66" t="s">
        <v>292</v>
      </c>
      <c r="W408" s="79">
        <v>45034.604166666664</v>
      </c>
      <c r="X408" s="79">
        <v>45033.010416666664</v>
      </c>
      <c r="Y408" s="88">
        <v>45033.652777777781</v>
      </c>
      <c r="Z408" s="81">
        <v>2000</v>
      </c>
      <c r="AA408" s="81"/>
      <c r="AB408" s="81"/>
      <c r="AC408" s="81"/>
      <c r="AD408" s="81"/>
      <c r="AE408" s="81"/>
      <c r="AF408" s="81"/>
      <c r="AG408" s="81">
        <f>Sal_23[[#This Row],[COMPRA]]*12%</f>
        <v>355.75439999999998</v>
      </c>
      <c r="AH408" s="83">
        <v>2964.62</v>
      </c>
      <c r="AI408" s="66" t="str">
        <f>PROPER(TEXT(Sal_23[[#This Row],[PROGRAMAÇÃO]],"mmm"))</f>
        <v>Abr</v>
      </c>
      <c r="AJ408" s="66">
        <f>YEAR(Sal_23[[#This Row],[PROGRAMAÇÃO]])</f>
        <v>2023</v>
      </c>
      <c r="AK408" s="66"/>
      <c r="AL408" s="66"/>
      <c r="AM408" s="66" t="s">
        <v>2768</v>
      </c>
      <c r="AN408" s="66" t="s">
        <v>2768</v>
      </c>
      <c r="AO408" s="66" t="s">
        <v>2768</v>
      </c>
    </row>
    <row r="409" spans="2:41" x14ac:dyDescent="0.25">
      <c r="B409" s="128" t="s">
        <v>2771</v>
      </c>
      <c r="C40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09" s="198">
        <v>45034.333333333336</v>
      </c>
      <c r="E409" s="44" t="s">
        <v>4255</v>
      </c>
      <c r="F409" s="66">
        <v>20</v>
      </c>
      <c r="G409" s="66" t="s">
        <v>2826</v>
      </c>
      <c r="H409" s="44" t="s">
        <v>2827</v>
      </c>
      <c r="I409" s="299" t="s">
        <v>2823</v>
      </c>
      <c r="J409" s="66">
        <v>3669</v>
      </c>
      <c r="K409" s="66" t="s">
        <v>4254</v>
      </c>
      <c r="L409" s="66">
        <v>105426</v>
      </c>
      <c r="M409" s="66"/>
      <c r="N409" s="66" t="s">
        <v>2156</v>
      </c>
      <c r="O409" s="66" t="s">
        <v>2464</v>
      </c>
      <c r="P409" s="66" t="s">
        <v>2158</v>
      </c>
      <c r="Q409" s="138" t="str">
        <f ca="1">IFERROR(LOOKUP($P409,MOTORISTAS!$D$3:$D$1048576,MOTORISTAS!E$3:E$916),"")</f>
        <v>10485530864</v>
      </c>
      <c r="R409" s="138" t="str">
        <f ca="1">IFERROR(LOOKUP($P409,MOTORISTAS!$D$3:$D$1048576,MOTORISTAS!F$3:F$916),"")</f>
        <v>02033192841</v>
      </c>
      <c r="S409" s="66">
        <v>3570</v>
      </c>
      <c r="T409" s="66" t="s">
        <v>293</v>
      </c>
      <c r="U409" s="79">
        <v>45033.87222222222</v>
      </c>
      <c r="V409" s="66" t="s">
        <v>292</v>
      </c>
      <c r="W409" s="79">
        <v>45034.607638888891</v>
      </c>
      <c r="X409" s="79">
        <v>45034.052083333336</v>
      </c>
      <c r="Y409" s="88">
        <v>45034.451388888891</v>
      </c>
      <c r="Z409" s="81">
        <v>3200</v>
      </c>
      <c r="AA409" s="81"/>
      <c r="AB409" s="81"/>
      <c r="AC409" s="81"/>
      <c r="AD409" s="81"/>
      <c r="AE409" s="81"/>
      <c r="AF409" s="81"/>
      <c r="AG409" s="81">
        <f>Sal_23[[#This Row],[COMPRA]]*12%</f>
        <v>571.48680000000002</v>
      </c>
      <c r="AH409" s="83">
        <v>4762.3900000000003</v>
      </c>
      <c r="AI409" s="66" t="str">
        <f>PROPER(TEXT(Sal_23[[#This Row],[PROGRAMAÇÃO]],"mmm"))</f>
        <v>Abr</v>
      </c>
      <c r="AJ409" s="66">
        <f>YEAR(Sal_23[[#This Row],[PROGRAMAÇÃO]])</f>
        <v>2023</v>
      </c>
      <c r="AK409" s="66"/>
      <c r="AL409" s="66"/>
      <c r="AM409" s="66" t="s">
        <v>2768</v>
      </c>
      <c r="AN409" s="66" t="s">
        <v>2768</v>
      </c>
      <c r="AO409" s="66" t="s">
        <v>2768</v>
      </c>
    </row>
    <row r="410" spans="2:41" x14ac:dyDescent="0.25">
      <c r="B410" s="128" t="s">
        <v>2771</v>
      </c>
      <c r="C41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10" s="198">
        <v>45034.333333333336</v>
      </c>
      <c r="E410" s="44" t="s">
        <v>4259</v>
      </c>
      <c r="F410" s="66">
        <v>20</v>
      </c>
      <c r="G410" s="66" t="s">
        <v>2826</v>
      </c>
      <c r="H410" s="44" t="s">
        <v>3105</v>
      </c>
      <c r="I410" s="299" t="s">
        <v>3185</v>
      </c>
      <c r="J410" s="66">
        <v>3672</v>
      </c>
      <c r="K410" s="66" t="s">
        <v>4254</v>
      </c>
      <c r="L410" s="66">
        <v>105494</v>
      </c>
      <c r="M410" s="66"/>
      <c r="N410" s="66" t="s">
        <v>2859</v>
      </c>
      <c r="O410" s="66" t="s">
        <v>2860</v>
      </c>
      <c r="P410" s="66" t="s">
        <v>2861</v>
      </c>
      <c r="Q410" s="138" t="str">
        <f ca="1">IFERROR(LOOKUP($P410,MOTORISTAS!$D$3:$D$1048576,MOTORISTAS!E$3:E$916),"")</f>
        <v>01817591878</v>
      </c>
      <c r="R410" s="138" t="str">
        <f ca="1">IFERROR(LOOKUP($P410,MOTORISTAS!$D$3:$D$1048576,MOTORISTAS!F$3:F$916),"")</f>
        <v>00821760640</v>
      </c>
      <c r="S410" s="66">
        <v>3568</v>
      </c>
      <c r="T410" s="66" t="s">
        <v>293</v>
      </c>
      <c r="U410" s="79">
        <v>45034.003472222219</v>
      </c>
      <c r="V410" s="66" t="s">
        <v>292</v>
      </c>
      <c r="W410" s="79">
        <v>45034.59375</v>
      </c>
      <c r="X410" s="79">
        <v>45034.125</v>
      </c>
      <c r="Y410" s="88">
        <v>45034.482638888891</v>
      </c>
      <c r="Z410" s="81">
        <v>1600</v>
      </c>
      <c r="AA410" s="81"/>
      <c r="AB410" s="81"/>
      <c r="AC410" s="81"/>
      <c r="AD410" s="81"/>
      <c r="AE410" s="81"/>
      <c r="AF410" s="81"/>
      <c r="AG410" s="81">
        <f>Sal_23[[#This Row],[COMPRA]]*12%</f>
        <v>415.74719999999996</v>
      </c>
      <c r="AH410" s="83">
        <v>3464.56</v>
      </c>
      <c r="AI410" s="66" t="str">
        <f>PROPER(TEXT(Sal_23[[#This Row],[PROGRAMAÇÃO]],"mmm"))</f>
        <v>Abr</v>
      </c>
      <c r="AJ410" s="66">
        <f>YEAR(Sal_23[[#This Row],[PROGRAMAÇÃO]])</f>
        <v>2023</v>
      </c>
      <c r="AK410" s="66"/>
      <c r="AL410" s="66"/>
      <c r="AM410" s="66" t="s">
        <v>2768</v>
      </c>
      <c r="AN410" s="66" t="s">
        <v>2768</v>
      </c>
      <c r="AO410" s="66" t="s">
        <v>2768</v>
      </c>
    </row>
    <row r="411" spans="2:41" x14ac:dyDescent="0.25">
      <c r="B411" s="128" t="s">
        <v>2771</v>
      </c>
      <c r="C41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11" s="198">
        <v>45034.333333333336</v>
      </c>
      <c r="E411" s="44" t="s">
        <v>4263</v>
      </c>
      <c r="F411" s="66">
        <v>40</v>
      </c>
      <c r="G411" s="66" t="s">
        <v>2826</v>
      </c>
      <c r="H411" s="44" t="s">
        <v>2835</v>
      </c>
      <c r="I411" s="299" t="s">
        <v>2822</v>
      </c>
      <c r="J411" s="66">
        <v>3674</v>
      </c>
      <c r="K411" s="66" t="s">
        <v>4254</v>
      </c>
      <c r="L411" s="66">
        <v>105443</v>
      </c>
      <c r="M411" s="66"/>
      <c r="N411" s="66" t="s">
        <v>2949</v>
      </c>
      <c r="O411" s="66" t="s">
        <v>3852</v>
      </c>
      <c r="P411" s="66" t="s">
        <v>2948</v>
      </c>
      <c r="Q411" s="138" t="str">
        <f ca="1">IFERROR(LOOKUP($P411,MOTORISTAS!$D$3:$D$1048576,MOTORISTAS!E$3:E$916),"")</f>
        <v>16239341843</v>
      </c>
      <c r="R411" s="138" t="str">
        <f ca="1">IFERROR(LOOKUP($P411,MOTORISTAS!$D$3:$D$1048576,MOTORISTAS!F$3:F$916),"")</f>
        <v>01877235038</v>
      </c>
      <c r="S411" s="66">
        <v>3569</v>
      </c>
      <c r="T411" s="66" t="s">
        <v>293</v>
      </c>
      <c r="U411" s="79">
        <v>45033.956944444442</v>
      </c>
      <c r="V411" s="66" t="s">
        <v>292</v>
      </c>
      <c r="W411" s="79">
        <v>45034.598611111112</v>
      </c>
      <c r="X411" s="79">
        <v>45034.083333333336</v>
      </c>
      <c r="Y411" s="88">
        <v>45034.489583333336</v>
      </c>
      <c r="Z411" s="81">
        <v>2100</v>
      </c>
      <c r="AA411" s="81"/>
      <c r="AB411" s="81"/>
      <c r="AC411" s="81"/>
      <c r="AD411" s="81"/>
      <c r="AE411" s="81"/>
      <c r="AF411" s="81"/>
      <c r="AG411" s="81">
        <f>Sal_23[[#This Row],[COMPRA]]*12%</f>
        <v>370.37759999999997</v>
      </c>
      <c r="AH411" s="83">
        <v>3086.48</v>
      </c>
      <c r="AI411" s="66" t="str">
        <f>PROPER(TEXT(Sal_23[[#This Row],[PROGRAMAÇÃO]],"mmm"))</f>
        <v>Abr</v>
      </c>
      <c r="AJ411" s="66">
        <f>YEAR(Sal_23[[#This Row],[PROGRAMAÇÃO]])</f>
        <v>2023</v>
      </c>
      <c r="AK411" s="66"/>
      <c r="AL411" s="66"/>
      <c r="AM411" s="66" t="s">
        <v>2768</v>
      </c>
      <c r="AN411" s="66" t="s">
        <v>2768</v>
      </c>
      <c r="AO411" s="66" t="s">
        <v>2768</v>
      </c>
    </row>
    <row r="412" spans="2:41" x14ac:dyDescent="0.25">
      <c r="B412" s="128" t="s">
        <v>2771</v>
      </c>
      <c r="C412" s="44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12" s="198">
        <v>45040.333333333336</v>
      </c>
      <c r="E412" s="44" t="s">
        <v>4296</v>
      </c>
      <c r="F412" s="66">
        <v>40</v>
      </c>
      <c r="G412" s="66" t="s">
        <v>2826</v>
      </c>
      <c r="H412" s="44" t="s">
        <v>3074</v>
      </c>
      <c r="I412" s="299" t="s">
        <v>3439</v>
      </c>
      <c r="J412" s="66">
        <v>3850</v>
      </c>
      <c r="K412" s="66" t="s">
        <v>4313</v>
      </c>
      <c r="L412" s="66">
        <v>105557</v>
      </c>
      <c r="M412" s="66"/>
      <c r="N412" s="66" t="s">
        <v>31</v>
      </c>
      <c r="O412" s="66" t="s">
        <v>32</v>
      </c>
      <c r="P412" s="66" t="s">
        <v>33</v>
      </c>
      <c r="Q412" s="138" t="str">
        <f ca="1">IFERROR(LOOKUP($P412,MOTORISTAS!$D$3:$D$1048576,MOTORISTAS!E$3:E$916),"")</f>
        <v>09776430856</v>
      </c>
      <c r="R412" s="138" t="str">
        <f ca="1">IFERROR(LOOKUP($P412,MOTORISTAS!$D$3:$D$1048576,MOTORISTAS!F$3:F$916),"")</f>
        <v>01258979905</v>
      </c>
      <c r="S412" s="66">
        <v>15770</v>
      </c>
      <c r="T412" s="66" t="s">
        <v>293</v>
      </c>
      <c r="U412" s="79">
        <v>45038.646527777775</v>
      </c>
      <c r="V412" s="66" t="s">
        <v>469</v>
      </c>
      <c r="W412" s="79">
        <v>45040.953472222223</v>
      </c>
      <c r="X412" s="79">
        <v>45040.34375</v>
      </c>
      <c r="Y412" s="88">
        <v>45041.756944444445</v>
      </c>
      <c r="Z412" s="81">
        <v>2500</v>
      </c>
      <c r="AA412" s="81"/>
      <c r="AB412" s="81"/>
      <c r="AC412" s="81"/>
      <c r="AD412" s="81"/>
      <c r="AE412" s="81"/>
      <c r="AF412" s="81"/>
      <c r="AG412" s="81">
        <f>Sal_23[[#This Row],[COMPRA]]*12%</f>
        <v>501.59999999999997</v>
      </c>
      <c r="AH412" s="83">
        <v>4180</v>
      </c>
      <c r="AI412" s="66" t="str">
        <f>PROPER(TEXT(Sal_23[[#This Row],[PROGRAMAÇÃO]],"mmm"))</f>
        <v>Abr</v>
      </c>
      <c r="AJ412" s="66">
        <f>YEAR(Sal_23[[#This Row],[PROGRAMAÇÃO]])</f>
        <v>2023</v>
      </c>
      <c r="AK412" s="66" t="s">
        <v>4364</v>
      </c>
      <c r="AL412" s="44" t="s">
        <v>3347</v>
      </c>
      <c r="AM412" s="66" t="s">
        <v>2768</v>
      </c>
      <c r="AN412" s="66" t="s">
        <v>2768</v>
      </c>
      <c r="AO412" s="66" t="s">
        <v>2768</v>
      </c>
    </row>
    <row r="413" spans="2:41" x14ac:dyDescent="0.25">
      <c r="B413" s="128" t="s">
        <v>2771</v>
      </c>
      <c r="C41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13" s="198">
        <v>45040.333333333336</v>
      </c>
      <c r="E413" s="44" t="s">
        <v>4334</v>
      </c>
      <c r="F413" s="66">
        <v>40</v>
      </c>
      <c r="G413" s="66" t="s">
        <v>2826</v>
      </c>
      <c r="H413" s="44" t="s">
        <v>1674</v>
      </c>
      <c r="I413" s="299" t="s">
        <v>2829</v>
      </c>
      <c r="J413" s="66">
        <v>3854</v>
      </c>
      <c r="K413" s="66" t="s">
        <v>4313</v>
      </c>
      <c r="L413" s="66">
        <v>105654</v>
      </c>
      <c r="M413" s="66">
        <v>105655</v>
      </c>
      <c r="N413" s="66" t="s">
        <v>210</v>
      </c>
      <c r="O413" s="66" t="s">
        <v>211</v>
      </c>
      <c r="P413" s="66" t="s">
        <v>212</v>
      </c>
      <c r="Q413" s="138" t="str">
        <f ca="1">IFERROR(LOOKUP($P413,MOTORISTAS!$D$3:$D$1048576,MOTORISTAS!E$3:E$916),"")</f>
        <v>38029906846</v>
      </c>
      <c r="R413" s="138" t="str">
        <f ca="1">IFERROR(LOOKUP($P413,MOTORISTAS!$D$3:$D$1048576,MOTORISTAS!F$3:F$916),"")</f>
        <v>04946846842</v>
      </c>
      <c r="S413" s="66">
        <v>15757</v>
      </c>
      <c r="T413" s="66" t="s">
        <v>293</v>
      </c>
      <c r="U413" s="79">
        <v>45040.0625</v>
      </c>
      <c r="V413" s="66" t="s">
        <v>469</v>
      </c>
      <c r="W413" s="79">
        <v>45040.640277777777</v>
      </c>
      <c r="X413" s="79">
        <v>45040.263888888891</v>
      </c>
      <c r="Y413" s="88">
        <v>45040.472222222219</v>
      </c>
      <c r="Z413" s="81">
        <v>3400</v>
      </c>
      <c r="AA413" s="81">
        <v>565.20000000000005</v>
      </c>
      <c r="AB413" s="81"/>
      <c r="AC413" s="81"/>
      <c r="AD413" s="81"/>
      <c r="AE413" s="81"/>
      <c r="AF413" s="81"/>
      <c r="AG413" s="81">
        <f>Sal_23[[#This Row],[COMPRA]]*12%</f>
        <v>558.28440000000001</v>
      </c>
      <c r="AH413" s="83">
        <v>4652.37</v>
      </c>
      <c r="AI413" s="66" t="str">
        <f>PROPER(TEXT(Sal_23[[#This Row],[PROGRAMAÇÃO]],"mmm"))</f>
        <v>Abr</v>
      </c>
      <c r="AJ413" s="66">
        <f>YEAR(Sal_23[[#This Row],[PROGRAMAÇÃO]])</f>
        <v>2023</v>
      </c>
      <c r="AK413" s="66"/>
      <c r="AL413" s="66"/>
      <c r="AM413" s="66" t="s">
        <v>2768</v>
      </c>
      <c r="AN413" s="66" t="s">
        <v>2768</v>
      </c>
      <c r="AO413" s="66" t="s">
        <v>2768</v>
      </c>
    </row>
    <row r="414" spans="2:41" x14ac:dyDescent="0.25">
      <c r="B414" s="128" t="s">
        <v>2771</v>
      </c>
      <c r="C41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14" s="198">
        <v>45040.333333333336</v>
      </c>
      <c r="E414" s="44" t="s">
        <v>4297</v>
      </c>
      <c r="F414" s="66">
        <v>40</v>
      </c>
      <c r="G414" s="66" t="s">
        <v>2826</v>
      </c>
      <c r="H414" s="44" t="s">
        <v>1674</v>
      </c>
      <c r="I414" s="299" t="s">
        <v>2829</v>
      </c>
      <c r="J414" s="66">
        <v>3853</v>
      </c>
      <c r="K414" s="66" t="s">
        <v>4313</v>
      </c>
      <c r="L414" s="66">
        <v>105656</v>
      </c>
      <c r="M414" s="66">
        <v>105657</v>
      </c>
      <c r="N414" s="66" t="s">
        <v>72</v>
      </c>
      <c r="O414" s="66" t="s">
        <v>73</v>
      </c>
      <c r="P414" s="66" t="s">
        <v>203</v>
      </c>
      <c r="Q414" s="138" t="str">
        <f ca="1">IFERROR(LOOKUP($P414,MOTORISTAS!$D$3:$D$1048576,MOTORISTAS!E$3:E$916),"")</f>
        <v>10395859816</v>
      </c>
      <c r="R414" s="138" t="str">
        <f ca="1">IFERROR(LOOKUP($P414,MOTORISTAS!$D$3:$D$1048576,MOTORISTAS!F$3:F$916),"")</f>
        <v>01965794851</v>
      </c>
      <c r="S414" s="66">
        <v>15768</v>
      </c>
      <c r="T414" s="66" t="s">
        <v>293</v>
      </c>
      <c r="U414" s="79">
        <v>45040.181944444441</v>
      </c>
      <c r="V414" s="66" t="s">
        <v>469</v>
      </c>
      <c r="W414" s="79">
        <v>45040.947916666664</v>
      </c>
      <c r="X414" s="79">
        <v>45040.363888888889</v>
      </c>
      <c r="Y414" s="88">
        <v>45040.6875</v>
      </c>
      <c r="Z414" s="81">
        <v>3400</v>
      </c>
      <c r="AA414" s="81"/>
      <c r="AB414" s="81"/>
      <c r="AC414" s="81"/>
      <c r="AD414" s="81"/>
      <c r="AE414" s="81"/>
      <c r="AF414" s="81"/>
      <c r="AG414" s="81">
        <f>Sal_23[[#This Row],[COMPRA]]*12%</f>
        <v>558.28440000000001</v>
      </c>
      <c r="AH414" s="83">
        <v>4652.37</v>
      </c>
      <c r="AI414" s="66" t="str">
        <f>PROPER(TEXT(Sal_23[[#This Row],[PROGRAMAÇÃO]],"mmm"))</f>
        <v>Abr</v>
      </c>
      <c r="AJ414" s="66">
        <f>YEAR(Sal_23[[#This Row],[PROGRAMAÇÃO]])</f>
        <v>2023</v>
      </c>
      <c r="AK414" s="66" t="s">
        <v>4364</v>
      </c>
      <c r="AL414" s="44" t="s">
        <v>3347</v>
      </c>
      <c r="AM414" s="66" t="s">
        <v>2768</v>
      </c>
      <c r="AN414" s="66" t="s">
        <v>2768</v>
      </c>
      <c r="AO414" s="66" t="s">
        <v>2768</v>
      </c>
    </row>
    <row r="415" spans="2:41" x14ac:dyDescent="0.25">
      <c r="B415" s="128" t="s">
        <v>2771</v>
      </c>
      <c r="C41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15" s="198">
        <v>45040.333333333336</v>
      </c>
      <c r="E415" s="44" t="s">
        <v>4300</v>
      </c>
      <c r="F415" s="66">
        <v>40</v>
      </c>
      <c r="G415" s="66" t="s">
        <v>2826</v>
      </c>
      <c r="H415" s="44" t="s">
        <v>2835</v>
      </c>
      <c r="I415" s="299" t="s">
        <v>2822</v>
      </c>
      <c r="J415" s="66">
        <v>3851</v>
      </c>
      <c r="K415" s="66" t="s">
        <v>4313</v>
      </c>
      <c r="L415" s="66">
        <v>105554</v>
      </c>
      <c r="M415" s="66"/>
      <c r="N415" s="66" t="s">
        <v>2949</v>
      </c>
      <c r="O415" s="66" t="s">
        <v>3852</v>
      </c>
      <c r="P415" s="66" t="s">
        <v>2948</v>
      </c>
      <c r="Q415" s="138" t="str">
        <f ca="1">IFERROR(LOOKUP($P415,MOTORISTAS!$D$3:$D$1048576,MOTORISTAS!E$3:E$916),"")</f>
        <v>16239341843</v>
      </c>
      <c r="R415" s="138" t="str">
        <f ca="1">IFERROR(LOOKUP($P415,MOTORISTAS!$D$3:$D$1048576,MOTORISTAS!F$3:F$916),"")</f>
        <v>01877235038</v>
      </c>
      <c r="S415" s="66">
        <v>15761</v>
      </c>
      <c r="T415" s="66" t="s">
        <v>293</v>
      </c>
      <c r="U415" s="79">
        <v>45039.943749999999</v>
      </c>
      <c r="V415" s="66" t="s">
        <v>469</v>
      </c>
      <c r="W415" s="79">
        <v>45040.609027777777</v>
      </c>
      <c r="X415" s="79">
        <v>45040.065972222219</v>
      </c>
      <c r="Y415" s="88">
        <v>45040.451388888891</v>
      </c>
      <c r="Z415" s="81">
        <v>2100</v>
      </c>
      <c r="AA415" s="81">
        <v>0</v>
      </c>
      <c r="AB415" s="81"/>
      <c r="AC415" s="81"/>
      <c r="AD415" s="81"/>
      <c r="AE415" s="81"/>
      <c r="AF415" s="81"/>
      <c r="AG415" s="81">
        <f>Sal_23[[#This Row],[COMPRA]]*12%</f>
        <v>370.37759999999997</v>
      </c>
      <c r="AH415" s="83">
        <v>3086.48</v>
      </c>
      <c r="AI415" s="66" t="str">
        <f>PROPER(TEXT(Sal_23[[#This Row],[PROGRAMAÇÃO]],"mmm"))</f>
        <v>Abr</v>
      </c>
      <c r="AJ415" s="66">
        <f>YEAR(Sal_23[[#This Row],[PROGRAMAÇÃO]])</f>
        <v>2023</v>
      </c>
      <c r="AK415" s="66"/>
      <c r="AL415" s="66"/>
      <c r="AM415" s="66" t="s">
        <v>2768</v>
      </c>
      <c r="AN415" s="66" t="s">
        <v>2768</v>
      </c>
      <c r="AO415" s="66" t="s">
        <v>2768</v>
      </c>
    </row>
    <row r="416" spans="2:41" x14ac:dyDescent="0.25">
      <c r="B416" s="128" t="s">
        <v>2771</v>
      </c>
      <c r="C41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16" s="198">
        <v>45040.333333333336</v>
      </c>
      <c r="E416" s="44" t="s">
        <v>4308</v>
      </c>
      <c r="F416" s="66">
        <v>20</v>
      </c>
      <c r="G416" s="66" t="s">
        <v>2826</v>
      </c>
      <c r="H416" s="44" t="s">
        <v>3440</v>
      </c>
      <c r="I416" s="299" t="s">
        <v>3253</v>
      </c>
      <c r="J416" s="66">
        <v>3859</v>
      </c>
      <c r="K416" s="66" t="s">
        <v>4313</v>
      </c>
      <c r="L416" s="66">
        <v>115580</v>
      </c>
      <c r="M416" s="66"/>
      <c r="N416" s="66" t="s">
        <v>2498</v>
      </c>
      <c r="O416" s="66" t="s">
        <v>2499</v>
      </c>
      <c r="P416" s="66" t="s">
        <v>2500</v>
      </c>
      <c r="Q416" s="138" t="str">
        <f ca="1">IFERROR(LOOKUP($P416,MOTORISTAS!$D$3:$D$1048576,MOTORISTAS!E$3:E$916),"")</f>
        <v>10838670830</v>
      </c>
      <c r="R416" s="138" t="str">
        <f ca="1">IFERROR(LOOKUP($P416,MOTORISTAS!$D$3:$D$1048576,MOTORISTAS!F$3:F$916),"")</f>
        <v>01808675938</v>
      </c>
      <c r="S416" s="66">
        <v>15742</v>
      </c>
      <c r="T416" s="66" t="s">
        <v>293</v>
      </c>
      <c r="U416" s="79">
        <v>45039.34375</v>
      </c>
      <c r="V416" s="66" t="s">
        <v>469</v>
      </c>
      <c r="W416" s="79">
        <v>45040.78402777778</v>
      </c>
      <c r="X416" s="79">
        <v>45039.625</v>
      </c>
      <c r="Y416" s="88">
        <v>45040.423611111109</v>
      </c>
      <c r="Z416" s="81">
        <v>2300</v>
      </c>
      <c r="AA416" s="81">
        <v>0</v>
      </c>
      <c r="AB416" s="81"/>
      <c r="AC416" s="81"/>
      <c r="AD416" s="81"/>
      <c r="AE416" s="81"/>
      <c r="AF416" s="81"/>
      <c r="AG416" s="81">
        <f>Sal_23[[#This Row],[COMPRA]]*12%</f>
        <v>399.62399999999997</v>
      </c>
      <c r="AH416" s="83">
        <v>3330.2</v>
      </c>
      <c r="AI416" s="66" t="str">
        <f>PROPER(TEXT(Sal_23[[#This Row],[PROGRAMAÇÃO]],"mmm"))</f>
        <v>Abr</v>
      </c>
      <c r="AJ416" s="66">
        <f>YEAR(Sal_23[[#This Row],[PROGRAMAÇÃO]])</f>
        <v>2023</v>
      </c>
      <c r="AK416" s="66"/>
      <c r="AL416" s="66"/>
      <c r="AM416" s="66" t="s">
        <v>2768</v>
      </c>
      <c r="AN416" s="66" t="s">
        <v>2768</v>
      </c>
      <c r="AO416" s="66" t="s">
        <v>2768</v>
      </c>
    </row>
    <row r="417" spans="2:41" x14ac:dyDescent="0.25">
      <c r="B417" s="128" t="s">
        <v>2771</v>
      </c>
      <c r="C41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17" s="198">
        <v>45040.333333333336</v>
      </c>
      <c r="E417" s="44" t="s">
        <v>4309</v>
      </c>
      <c r="F417" s="66">
        <v>20</v>
      </c>
      <c r="G417" s="66" t="s">
        <v>2837</v>
      </c>
      <c r="H417" s="44" t="s">
        <v>2837</v>
      </c>
      <c r="I417" s="299" t="s">
        <v>2821</v>
      </c>
      <c r="J417" s="66">
        <v>3860</v>
      </c>
      <c r="K417" s="66" t="s">
        <v>4313</v>
      </c>
      <c r="L417" s="66">
        <v>115579</v>
      </c>
      <c r="M417" s="66"/>
      <c r="N417" s="66" t="s">
        <v>2859</v>
      </c>
      <c r="O417" s="66" t="s">
        <v>2860</v>
      </c>
      <c r="P417" s="66" t="s">
        <v>2861</v>
      </c>
      <c r="Q417" s="138" t="str">
        <f ca="1">IFERROR(LOOKUP($P417,MOTORISTAS!$D$3:$D$1048576,MOTORISTAS!E$3:E$916),"")</f>
        <v>01817591878</v>
      </c>
      <c r="R417" s="138" t="str">
        <f ca="1">IFERROR(LOOKUP($P417,MOTORISTAS!$D$3:$D$1048576,MOTORISTAS!F$3:F$916),"")</f>
        <v>00821760640</v>
      </c>
      <c r="S417" s="66">
        <v>15762</v>
      </c>
      <c r="T417" s="66" t="s">
        <v>293</v>
      </c>
      <c r="U417" s="79">
        <v>45039.939583333333</v>
      </c>
      <c r="V417" s="66" t="s">
        <v>469</v>
      </c>
      <c r="W417" s="79">
        <v>45041.679166666669</v>
      </c>
      <c r="X417" s="79">
        <v>45040.020833333336</v>
      </c>
      <c r="Y417" s="88">
        <v>45040.465277777781</v>
      </c>
      <c r="Z417" s="81">
        <v>1600</v>
      </c>
      <c r="AA417" s="81">
        <v>0</v>
      </c>
      <c r="AB417" s="81"/>
      <c r="AC417" s="81"/>
      <c r="AD417" s="81"/>
      <c r="AE417" s="81"/>
      <c r="AF417" s="81"/>
      <c r="AG417" s="81">
        <f>Sal_23[[#This Row],[COMPRA]]*12%</f>
        <v>311.55959999999999</v>
      </c>
      <c r="AH417" s="83">
        <v>2596.33</v>
      </c>
      <c r="AI417" s="66" t="str">
        <f>PROPER(TEXT(Sal_23[[#This Row],[PROGRAMAÇÃO]],"mmm"))</f>
        <v>Abr</v>
      </c>
      <c r="AJ417" s="66">
        <f>YEAR(Sal_23[[#This Row],[PROGRAMAÇÃO]])</f>
        <v>2023</v>
      </c>
      <c r="AK417" s="66"/>
      <c r="AL417" s="66"/>
      <c r="AM417" s="66" t="s">
        <v>2768</v>
      </c>
      <c r="AN417" s="66" t="s">
        <v>2768</v>
      </c>
      <c r="AO417" s="66" t="s">
        <v>2768</v>
      </c>
    </row>
    <row r="418" spans="2:41" x14ac:dyDescent="0.25">
      <c r="B418" s="128" t="s">
        <v>2771</v>
      </c>
      <c r="C41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18" s="198">
        <v>45040.333333333336</v>
      </c>
      <c r="E418" s="44" t="s">
        <v>4310</v>
      </c>
      <c r="F418" s="66">
        <v>20</v>
      </c>
      <c r="G418" s="66" t="s">
        <v>2837</v>
      </c>
      <c r="H418" s="44" t="s">
        <v>2837</v>
      </c>
      <c r="I418" s="299" t="s">
        <v>2821</v>
      </c>
      <c r="J418" s="66">
        <v>3862</v>
      </c>
      <c r="K418" s="66" t="s">
        <v>4313</v>
      </c>
      <c r="L418" s="66">
        <v>105652</v>
      </c>
      <c r="M418" s="66"/>
      <c r="N418" s="66" t="s">
        <v>3028</v>
      </c>
      <c r="O418" s="66" t="s">
        <v>2261</v>
      </c>
      <c r="P418" s="66" t="s">
        <v>3443</v>
      </c>
      <c r="Q418" s="138" t="str">
        <f ca="1">IFERROR(LOOKUP($P418,MOTORISTAS!$D$3:$D$1048576,MOTORISTAS!E$3:E$916),"")</f>
        <v>13990937898</v>
      </c>
      <c r="R418" s="138" t="str">
        <f ca="1">IFERROR(LOOKUP($P418,MOTORISTAS!$D$3:$D$1048576,MOTORISTAS!F$3:F$916),"")</f>
        <v>01825123407</v>
      </c>
      <c r="S418" s="66">
        <v>15763</v>
      </c>
      <c r="T418" s="66" t="s">
        <v>293</v>
      </c>
      <c r="U418" s="79">
        <v>45039.932638888888</v>
      </c>
      <c r="V418" s="66" t="s">
        <v>469</v>
      </c>
      <c r="W418" s="79">
        <v>45040.588888888888</v>
      </c>
      <c r="X418" s="79">
        <v>45040.020833333336</v>
      </c>
      <c r="Y418" s="88">
        <v>45040.440972222219</v>
      </c>
      <c r="Z418" s="81">
        <v>1600</v>
      </c>
      <c r="AA418" s="81">
        <v>0</v>
      </c>
      <c r="AB418" s="81"/>
      <c r="AC418" s="81"/>
      <c r="AD418" s="81"/>
      <c r="AE418" s="81"/>
      <c r="AF418" s="81"/>
      <c r="AG418" s="81">
        <f>Sal_23[[#This Row],[COMPRA]]*12%</f>
        <v>311.55959999999999</v>
      </c>
      <c r="AH418" s="83">
        <v>2596.33</v>
      </c>
      <c r="AI418" s="66" t="str">
        <f>PROPER(TEXT(Sal_23[[#This Row],[PROGRAMAÇÃO]],"mmm"))</f>
        <v>Abr</v>
      </c>
      <c r="AJ418" s="66">
        <f>YEAR(Sal_23[[#This Row],[PROGRAMAÇÃO]])</f>
        <v>2023</v>
      </c>
      <c r="AK418" s="66"/>
      <c r="AL418" s="66"/>
      <c r="AM418" s="66" t="s">
        <v>2768</v>
      </c>
      <c r="AN418" s="66" t="s">
        <v>2768</v>
      </c>
      <c r="AO418" s="66" t="s">
        <v>2768</v>
      </c>
    </row>
    <row r="419" spans="2:41" x14ac:dyDescent="0.25">
      <c r="B419" s="128" t="s">
        <v>2771</v>
      </c>
      <c r="C41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19" s="198">
        <v>45040.333333333336</v>
      </c>
      <c r="E419" s="44" t="s">
        <v>4306</v>
      </c>
      <c r="F419" s="66">
        <v>20</v>
      </c>
      <c r="G419" s="66" t="s">
        <v>2826</v>
      </c>
      <c r="H419" s="44" t="s">
        <v>3113</v>
      </c>
      <c r="I419" s="299" t="s">
        <v>3114</v>
      </c>
      <c r="J419" s="66">
        <v>3856</v>
      </c>
      <c r="K419" s="66" t="s">
        <v>4313</v>
      </c>
      <c r="L419" s="66">
        <v>115511</v>
      </c>
      <c r="M419" s="66"/>
      <c r="N419" s="66" t="s">
        <v>2584</v>
      </c>
      <c r="O419" s="66" t="s">
        <v>2585</v>
      </c>
      <c r="P419" s="66" t="s">
        <v>2586</v>
      </c>
      <c r="Q419" s="138" t="str">
        <f ca="1">IFERROR(LOOKUP($P419,MOTORISTAS!$D$3:$D$1048576,MOTORISTAS!E$3:E$916),"")</f>
        <v>08312935860</v>
      </c>
      <c r="R419" s="138" t="str">
        <f ca="1">IFERROR(LOOKUP($P419,MOTORISTAS!$D$3:$D$1048576,MOTORISTAS!F$3:F$916),"")</f>
        <v>03106516083</v>
      </c>
      <c r="S419" s="66">
        <v>15758</v>
      </c>
      <c r="T419" s="66" t="s">
        <v>293</v>
      </c>
      <c r="U419" s="79">
        <v>45039.863194444442</v>
      </c>
      <c r="V419" s="66" t="s">
        <v>469</v>
      </c>
      <c r="W419" s="79">
        <v>45040.615972222222</v>
      </c>
      <c r="X419" s="79">
        <v>45040.013888888891</v>
      </c>
      <c r="Y419" s="88">
        <v>45040.428472222222</v>
      </c>
      <c r="Z419" s="81">
        <v>2350</v>
      </c>
      <c r="AA419" s="81">
        <v>0</v>
      </c>
      <c r="AB419" s="81"/>
      <c r="AC419" s="81">
        <v>600</v>
      </c>
      <c r="AD419" s="81"/>
      <c r="AE419" s="81"/>
      <c r="AF419" s="81"/>
      <c r="AG419" s="81">
        <f>Sal_23[[#This Row],[COMPRA]]*12%</f>
        <v>529.16279999999995</v>
      </c>
      <c r="AH419" s="83">
        <v>4409.6899999999996</v>
      </c>
      <c r="AI419" s="66" t="str">
        <f>PROPER(TEXT(Sal_23[[#This Row],[PROGRAMAÇÃO]],"mmm"))</f>
        <v>Abr</v>
      </c>
      <c r="AJ419" s="66">
        <f>YEAR(Sal_23[[#This Row],[PROGRAMAÇÃO]])</f>
        <v>2023</v>
      </c>
      <c r="AK419" s="66"/>
      <c r="AL419" s="66"/>
      <c r="AM419" s="66" t="s">
        <v>2768</v>
      </c>
      <c r="AN419" s="66" t="s">
        <v>2768</v>
      </c>
      <c r="AO419" s="66" t="s">
        <v>2768</v>
      </c>
    </row>
    <row r="420" spans="2:41" x14ac:dyDescent="0.25">
      <c r="B420" s="128" t="s">
        <v>2771</v>
      </c>
      <c r="C42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20" s="198">
        <v>45040.333333333336</v>
      </c>
      <c r="E420" s="44" t="s">
        <v>4307</v>
      </c>
      <c r="F420" s="66">
        <v>20</v>
      </c>
      <c r="G420" s="66" t="s">
        <v>2826</v>
      </c>
      <c r="H420" s="44" t="s">
        <v>3116</v>
      </c>
      <c r="I420" s="299" t="s">
        <v>3117</v>
      </c>
      <c r="J420" s="66">
        <v>3855</v>
      </c>
      <c r="K420" s="66" t="s">
        <v>4313</v>
      </c>
      <c r="L420" s="66">
        <v>115512</v>
      </c>
      <c r="M420" s="66"/>
      <c r="N420" s="66" t="s">
        <v>3040</v>
      </c>
      <c r="O420" s="66" t="s">
        <v>3041</v>
      </c>
      <c r="P420" s="66" t="s">
        <v>3042</v>
      </c>
      <c r="Q420" s="138" t="str">
        <f ca="1">IFERROR(LOOKUP($P420,MOTORISTAS!$D$3:$D$1048576,MOTORISTAS!E$3:E$916),"")</f>
        <v>19279658883</v>
      </c>
      <c r="R420" s="138" t="str">
        <f ca="1">IFERROR(LOOKUP($P420,MOTORISTAS!$D$3:$D$1048576,MOTORISTAS!F$3:F$916),"")</f>
        <v>01301319672</v>
      </c>
      <c r="S420" s="66">
        <v>15759</v>
      </c>
      <c r="T420" s="66" t="s">
        <v>293</v>
      </c>
      <c r="U420" s="79">
        <v>45039.949305555558</v>
      </c>
      <c r="V420" s="66" t="s">
        <v>469</v>
      </c>
      <c r="W420" s="79">
        <v>45040.686111111114</v>
      </c>
      <c r="X420" s="79">
        <v>45040.083333333336</v>
      </c>
      <c r="Y420" s="88">
        <v>45040.472222222219</v>
      </c>
      <c r="Z420" s="81">
        <v>2200</v>
      </c>
      <c r="AA420" s="81">
        <v>0</v>
      </c>
      <c r="AB420" s="81"/>
      <c r="AC420" s="81">
        <v>600</v>
      </c>
      <c r="AD420" s="81"/>
      <c r="AE420" s="81"/>
      <c r="AF420" s="81"/>
      <c r="AG420" s="81">
        <f>Sal_23[[#This Row],[COMPRA]]*12%</f>
        <v>510.26519999999999</v>
      </c>
      <c r="AH420" s="83">
        <v>4252.21</v>
      </c>
      <c r="AI420" s="66" t="str">
        <f>PROPER(TEXT(Sal_23[[#This Row],[PROGRAMAÇÃO]],"mmm"))</f>
        <v>Abr</v>
      </c>
      <c r="AJ420" s="66">
        <f>YEAR(Sal_23[[#This Row],[PROGRAMAÇÃO]])</f>
        <v>2023</v>
      </c>
      <c r="AK420" s="66"/>
      <c r="AL420" s="66"/>
      <c r="AM420" s="66" t="s">
        <v>2768</v>
      </c>
      <c r="AN420" s="66" t="s">
        <v>2768</v>
      </c>
      <c r="AO420" s="66" t="s">
        <v>2768</v>
      </c>
    </row>
    <row r="421" spans="2:41" x14ac:dyDescent="0.25">
      <c r="B421" s="128" t="s">
        <v>2771</v>
      </c>
      <c r="C42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21" s="198">
        <v>45041.333333333336</v>
      </c>
      <c r="E421" s="44" t="s">
        <v>4301</v>
      </c>
      <c r="F421" s="66">
        <v>40</v>
      </c>
      <c r="G421" s="66" t="s">
        <v>2826</v>
      </c>
      <c r="H421" s="44" t="s">
        <v>2835</v>
      </c>
      <c r="I421" s="299" t="s">
        <v>2822</v>
      </c>
      <c r="J421" s="66">
        <v>3849</v>
      </c>
      <c r="K421" s="66" t="s">
        <v>4313</v>
      </c>
      <c r="L421" s="66">
        <v>105553</v>
      </c>
      <c r="M421" s="66"/>
      <c r="N421" s="66" t="s">
        <v>2859</v>
      </c>
      <c r="O421" s="66" t="s">
        <v>2860</v>
      </c>
      <c r="P421" s="66" t="s">
        <v>2861</v>
      </c>
      <c r="Q421" s="138" t="str">
        <f ca="1">IFERROR(LOOKUP($P421,MOTORISTAS!$D$3:$D$1048576,MOTORISTAS!E$3:E$916),"")</f>
        <v>01817591878</v>
      </c>
      <c r="R421" s="138" t="str">
        <f ca="1">IFERROR(LOOKUP($P421,MOTORISTAS!$D$3:$D$1048576,MOTORISTAS!F$3:F$916),"")</f>
        <v>00821760640</v>
      </c>
      <c r="S421" s="66">
        <v>15786</v>
      </c>
      <c r="T421" s="66" t="s">
        <v>293</v>
      </c>
      <c r="U421" s="79">
        <v>45040.943055555559</v>
      </c>
      <c r="V421" s="66" t="s">
        <v>469</v>
      </c>
      <c r="W421" s="79">
        <v>45041.607638888891</v>
      </c>
      <c r="X421" s="79">
        <v>45041.114583333336</v>
      </c>
      <c r="Y421" s="88">
        <v>45041.479166666664</v>
      </c>
      <c r="Z421" s="81">
        <v>2100</v>
      </c>
      <c r="AA421" s="81"/>
      <c r="AB421" s="81"/>
      <c r="AC421" s="81"/>
      <c r="AD421" s="81"/>
      <c r="AE421" s="81"/>
      <c r="AF421" s="81"/>
      <c r="AG421" s="81">
        <f>Sal_23[[#This Row],[COMPRA]]*12%</f>
        <v>370.37759999999997</v>
      </c>
      <c r="AH421" s="83">
        <v>3086.48</v>
      </c>
      <c r="AI421" s="66" t="str">
        <f>PROPER(TEXT(Sal_23[[#This Row],[PROGRAMAÇÃO]],"mmm"))</f>
        <v>Abr</v>
      </c>
      <c r="AJ421" s="66">
        <f>YEAR(Sal_23[[#This Row],[PROGRAMAÇÃO]])</f>
        <v>2023</v>
      </c>
      <c r="AK421" s="66"/>
      <c r="AL421" s="66"/>
      <c r="AM421" s="66" t="s">
        <v>2768</v>
      </c>
      <c r="AN421" s="66" t="s">
        <v>2768</v>
      </c>
      <c r="AO421" s="66" t="s">
        <v>2768</v>
      </c>
    </row>
    <row r="422" spans="2:41" x14ac:dyDescent="0.25">
      <c r="B422" s="128" t="s">
        <v>2771</v>
      </c>
      <c r="C42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22" s="198">
        <v>45041.333333333336</v>
      </c>
      <c r="E422" s="44" t="s">
        <v>4298</v>
      </c>
      <c r="F422" s="66">
        <v>40</v>
      </c>
      <c r="G422" s="66" t="s">
        <v>2826</v>
      </c>
      <c r="H422" s="44" t="s">
        <v>1674</v>
      </c>
      <c r="I422" s="299" t="s">
        <v>2829</v>
      </c>
      <c r="J422" s="66">
        <v>3848</v>
      </c>
      <c r="K422" s="66" t="s">
        <v>4313</v>
      </c>
      <c r="L422" s="66">
        <v>105606</v>
      </c>
      <c r="M422" s="66">
        <v>105607</v>
      </c>
      <c r="N422" s="66" t="s">
        <v>210</v>
      </c>
      <c r="O422" s="66" t="s">
        <v>211</v>
      </c>
      <c r="P422" s="66" t="s">
        <v>212</v>
      </c>
      <c r="Q422" s="138" t="str">
        <f ca="1">IFERROR(LOOKUP($P422,MOTORISTAS!$D$3:$D$1048576,MOTORISTAS!E$3:E$916),"")</f>
        <v>38029906846</v>
      </c>
      <c r="R422" s="138" t="str">
        <f ca="1">IFERROR(LOOKUP($P422,MOTORISTAS!$D$3:$D$1048576,MOTORISTAS!F$3:F$916),"")</f>
        <v>04946846842</v>
      </c>
      <c r="S422" s="66">
        <v>15780</v>
      </c>
      <c r="T422" s="66" t="s">
        <v>293</v>
      </c>
      <c r="U422" s="79">
        <v>45041.11041666667</v>
      </c>
      <c r="V422" s="66" t="s">
        <v>469</v>
      </c>
      <c r="W422" s="79">
        <v>45041.765277777777</v>
      </c>
      <c r="X422" s="79">
        <v>45041.25</v>
      </c>
      <c r="Y422" s="88">
        <v>45041.541666666664</v>
      </c>
      <c r="Z422" s="81">
        <v>3400</v>
      </c>
      <c r="AA422" s="81"/>
      <c r="AB422" s="81"/>
      <c r="AC422" s="81"/>
      <c r="AD422" s="81"/>
      <c r="AE422" s="81"/>
      <c r="AF422" s="81"/>
      <c r="AG422" s="81">
        <f>Sal_23[[#This Row],[COMPRA]]*12%</f>
        <v>558.28440000000001</v>
      </c>
      <c r="AH422" s="83">
        <v>4652.37</v>
      </c>
      <c r="AI422" s="66" t="str">
        <f>PROPER(TEXT(Sal_23[[#This Row],[PROGRAMAÇÃO]],"mmm"))</f>
        <v>Abr</v>
      </c>
      <c r="AJ422" s="66">
        <f>YEAR(Sal_23[[#This Row],[PROGRAMAÇÃO]])</f>
        <v>2023</v>
      </c>
      <c r="AK422" s="66"/>
      <c r="AL422" s="66"/>
      <c r="AM422" s="66" t="s">
        <v>2768</v>
      </c>
      <c r="AN422" s="66" t="s">
        <v>2768</v>
      </c>
      <c r="AO422" s="66" t="s">
        <v>2768</v>
      </c>
    </row>
    <row r="423" spans="2:41" x14ac:dyDescent="0.25">
      <c r="B423" s="128" t="s">
        <v>2771</v>
      </c>
      <c r="C42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23" s="198">
        <v>45041.333333333336</v>
      </c>
      <c r="E423" s="44" t="s">
        <v>4299</v>
      </c>
      <c r="F423" s="66">
        <v>40</v>
      </c>
      <c r="G423" s="66" t="s">
        <v>2826</v>
      </c>
      <c r="H423" s="44" t="s">
        <v>1674</v>
      </c>
      <c r="I423" s="299" t="s">
        <v>2829</v>
      </c>
      <c r="J423" s="66">
        <v>3852</v>
      </c>
      <c r="K423" s="66" t="s">
        <v>4313</v>
      </c>
      <c r="L423" s="66">
        <v>105658</v>
      </c>
      <c r="M423" s="66">
        <v>105659</v>
      </c>
      <c r="N423" s="66" t="s">
        <v>68</v>
      </c>
      <c r="O423" s="66" t="s">
        <v>36</v>
      </c>
      <c r="P423" s="66" t="s">
        <v>69</v>
      </c>
      <c r="Q423" s="138" t="str">
        <f ca="1">IFERROR(LOOKUP($P423,MOTORISTAS!$D$3:$D$1048576,MOTORISTAS!E$3:E$916),"")</f>
        <v>07968457866</v>
      </c>
      <c r="R423" s="138" t="str">
        <f ca="1">IFERROR(LOOKUP($P423,MOTORISTAS!$D$3:$D$1048576,MOTORISTAS!F$3:F$916),"")</f>
        <v>03264365790</v>
      </c>
      <c r="S423" s="66">
        <v>15781</v>
      </c>
      <c r="T423" s="66" t="s">
        <v>293</v>
      </c>
      <c r="U423" s="79">
        <v>45041.265277777777</v>
      </c>
      <c r="V423" s="66" t="s">
        <v>469</v>
      </c>
      <c r="W423" s="79">
        <v>45041.974305555559</v>
      </c>
      <c r="X423" s="79">
        <v>45041.458333333336</v>
      </c>
      <c r="Y423" s="88">
        <v>45041.583333333336</v>
      </c>
      <c r="Z423" s="81">
        <v>3400</v>
      </c>
      <c r="AA423" s="81"/>
      <c r="AB423" s="81"/>
      <c r="AC423" s="81"/>
      <c r="AD423" s="81"/>
      <c r="AE423" s="81"/>
      <c r="AF423" s="81"/>
      <c r="AG423" s="81">
        <f>Sal_23[[#This Row],[COMPRA]]*12%</f>
        <v>558.28440000000001</v>
      </c>
      <c r="AH423" s="83">
        <v>4652.37</v>
      </c>
      <c r="AI423" s="66" t="str">
        <f>PROPER(TEXT(Sal_23[[#This Row],[PROGRAMAÇÃO]],"mmm"))</f>
        <v>Abr</v>
      </c>
      <c r="AJ423" s="66">
        <f>YEAR(Sal_23[[#This Row],[PROGRAMAÇÃO]])</f>
        <v>2023</v>
      </c>
      <c r="AK423" s="66" t="s">
        <v>4364</v>
      </c>
      <c r="AL423" s="44" t="s">
        <v>3347</v>
      </c>
      <c r="AM423" s="66" t="s">
        <v>2768</v>
      </c>
      <c r="AN423" s="66" t="s">
        <v>2768</v>
      </c>
      <c r="AO423" s="66" t="s">
        <v>2768</v>
      </c>
    </row>
    <row r="424" spans="2:41" x14ac:dyDescent="0.25">
      <c r="B424" s="128" t="s">
        <v>2771</v>
      </c>
      <c r="C42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24" s="198">
        <v>45041.333333333336</v>
      </c>
      <c r="E424" s="44" t="s">
        <v>4302</v>
      </c>
      <c r="F424" s="66">
        <v>40</v>
      </c>
      <c r="G424" s="66" t="s">
        <v>2826</v>
      </c>
      <c r="H424" s="44" t="s">
        <v>2835</v>
      </c>
      <c r="I424" s="299" t="s">
        <v>2822</v>
      </c>
      <c r="J424" s="66">
        <v>3847</v>
      </c>
      <c r="K424" s="66" t="s">
        <v>4313</v>
      </c>
      <c r="L424" s="66">
        <v>105552</v>
      </c>
      <c r="M424" s="66"/>
      <c r="N424" s="66" t="s">
        <v>31</v>
      </c>
      <c r="O424" s="66" t="s">
        <v>32</v>
      </c>
      <c r="P424" s="66" t="s">
        <v>33</v>
      </c>
      <c r="Q424" s="138" t="str">
        <f ca="1">IFERROR(LOOKUP($P424,MOTORISTAS!$D$3:$D$1048576,MOTORISTAS!E$3:E$916),"")</f>
        <v>09776430856</v>
      </c>
      <c r="R424" s="138" t="str">
        <f ca="1">IFERROR(LOOKUP($P424,MOTORISTAS!$D$3:$D$1048576,MOTORISTAS!F$3:F$916),"")</f>
        <v>01258979905</v>
      </c>
      <c r="S424" s="66">
        <v>15782</v>
      </c>
      <c r="T424" s="66" t="s">
        <v>293</v>
      </c>
      <c r="U424" s="79">
        <v>45041.297222222223</v>
      </c>
      <c r="V424" s="66" t="s">
        <v>469</v>
      </c>
      <c r="W424" s="79">
        <v>45041.686805555553</v>
      </c>
      <c r="X424" s="79">
        <v>45041.397916666669</v>
      </c>
      <c r="Y424" s="88">
        <v>45041.472222222219</v>
      </c>
      <c r="Z424" s="81">
        <v>2100</v>
      </c>
      <c r="AA424" s="81"/>
      <c r="AB424" s="81"/>
      <c r="AC424" s="81"/>
      <c r="AD424" s="81"/>
      <c r="AE424" s="81"/>
      <c r="AF424" s="81"/>
      <c r="AG424" s="81">
        <f>Sal_23[[#This Row],[COMPRA]]*12%</f>
        <v>370.37759999999997</v>
      </c>
      <c r="AH424" s="83">
        <v>3086.48</v>
      </c>
      <c r="AI424" s="66" t="str">
        <f>PROPER(TEXT(Sal_23[[#This Row],[PROGRAMAÇÃO]],"mmm"))</f>
        <v>Abr</v>
      </c>
      <c r="AJ424" s="66">
        <f>YEAR(Sal_23[[#This Row],[PROGRAMAÇÃO]])</f>
        <v>2023</v>
      </c>
      <c r="AK424" s="66" t="s">
        <v>4364</v>
      </c>
      <c r="AL424" s="44" t="s">
        <v>3347</v>
      </c>
      <c r="AM424" s="66" t="s">
        <v>2768</v>
      </c>
      <c r="AN424" s="66" t="s">
        <v>2768</v>
      </c>
      <c r="AO424" s="66" t="s">
        <v>2768</v>
      </c>
    </row>
    <row r="425" spans="2:41" x14ac:dyDescent="0.25">
      <c r="B425" s="128" t="s">
        <v>2771</v>
      </c>
      <c r="C42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25" s="198">
        <v>45041.333333333336</v>
      </c>
      <c r="E425" s="44" t="s">
        <v>3252</v>
      </c>
      <c r="F425" s="66">
        <v>20</v>
      </c>
      <c r="G425" s="66" t="s">
        <v>2826</v>
      </c>
      <c r="H425" s="44" t="s">
        <v>2827</v>
      </c>
      <c r="I425" s="299" t="s">
        <v>2823</v>
      </c>
      <c r="J425" s="66">
        <v>3858</v>
      </c>
      <c r="K425" s="66" t="s">
        <v>4313</v>
      </c>
      <c r="L425" s="66">
        <v>105581</v>
      </c>
      <c r="M425" s="66"/>
      <c r="N425" s="66" t="s">
        <v>3040</v>
      </c>
      <c r="O425" s="66" t="s">
        <v>3041</v>
      </c>
      <c r="P425" s="66" t="s">
        <v>3042</v>
      </c>
      <c r="Q425" s="138" t="str">
        <f ca="1">IFERROR(LOOKUP($P425,MOTORISTAS!$D$3:$D$1048576,MOTORISTAS!E$3:E$916),"")</f>
        <v>19279658883</v>
      </c>
      <c r="R425" s="138" t="str">
        <f ca="1">IFERROR(LOOKUP($P425,MOTORISTAS!$D$3:$D$1048576,MOTORISTAS!F$3:F$916),"")</f>
        <v>01301319672</v>
      </c>
      <c r="S425" s="66">
        <v>15783</v>
      </c>
      <c r="T425" s="66" t="s">
        <v>293</v>
      </c>
      <c r="U425" s="79">
        <v>45041.007638888892</v>
      </c>
      <c r="V425" s="66" t="s">
        <v>469</v>
      </c>
      <c r="W425" s="79">
        <v>45041.768750000003</v>
      </c>
      <c r="X425" s="79">
        <v>45041.201388888891</v>
      </c>
      <c r="Y425" s="88">
        <v>45041.506944444445</v>
      </c>
      <c r="Z425" s="81">
        <v>3200</v>
      </c>
      <c r="AA425" s="81"/>
      <c r="AB425" s="81"/>
      <c r="AC425" s="81"/>
      <c r="AD425" s="81"/>
      <c r="AE425" s="81"/>
      <c r="AF425" s="81"/>
      <c r="AG425" s="81">
        <f>Sal_23[[#This Row],[COMPRA]]*12%</f>
        <v>571.48680000000002</v>
      </c>
      <c r="AH425" s="83">
        <v>4762.3900000000003</v>
      </c>
      <c r="AI425" s="66" t="str">
        <f>PROPER(TEXT(Sal_23[[#This Row],[PROGRAMAÇÃO]],"mmm"))</f>
        <v>Abr</v>
      </c>
      <c r="AJ425" s="66">
        <f>YEAR(Sal_23[[#This Row],[PROGRAMAÇÃO]])</f>
        <v>2023</v>
      </c>
      <c r="AK425" s="66"/>
      <c r="AL425" s="66"/>
      <c r="AM425" s="66" t="s">
        <v>2768</v>
      </c>
      <c r="AN425" s="66" t="s">
        <v>2768</v>
      </c>
      <c r="AO425" s="66" t="s">
        <v>2768</v>
      </c>
    </row>
    <row r="426" spans="2:41" x14ac:dyDescent="0.25">
      <c r="B426" s="128" t="s">
        <v>2771</v>
      </c>
      <c r="C42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26" s="198">
        <v>45041.333333333336</v>
      </c>
      <c r="E426" s="44" t="s">
        <v>4303</v>
      </c>
      <c r="F426" s="66">
        <v>20</v>
      </c>
      <c r="G426" s="66" t="s">
        <v>2826</v>
      </c>
      <c r="H426" s="44" t="s">
        <v>2827</v>
      </c>
      <c r="I426" s="299" t="s">
        <v>2823</v>
      </c>
      <c r="J426" s="66">
        <v>3857</v>
      </c>
      <c r="K426" s="66" t="s">
        <v>4313</v>
      </c>
      <c r="L426" s="66">
        <v>105582</v>
      </c>
      <c r="M426" s="66"/>
      <c r="N426" s="66" t="s">
        <v>2156</v>
      </c>
      <c r="O426" s="66" t="s">
        <v>2464</v>
      </c>
      <c r="P426" s="66" t="s">
        <v>2158</v>
      </c>
      <c r="Q426" s="138" t="str">
        <f ca="1">IFERROR(LOOKUP($P426,MOTORISTAS!$D$3:$D$1048576,MOTORISTAS!E$3:E$916),"")</f>
        <v>10485530864</v>
      </c>
      <c r="R426" s="138" t="str">
        <f ca="1">IFERROR(LOOKUP($P426,MOTORISTAS!$D$3:$D$1048576,MOTORISTAS!F$3:F$916),"")</f>
        <v>02033192841</v>
      </c>
      <c r="S426" s="66" t="s">
        <v>4504</v>
      </c>
      <c r="T426" s="66" t="s">
        <v>293</v>
      </c>
      <c r="U426" s="79">
        <v>45041.03402777778</v>
      </c>
      <c r="V426" s="66" t="s">
        <v>469</v>
      </c>
      <c r="W426" s="79">
        <v>45041.678472222222</v>
      </c>
      <c r="X426" s="79">
        <v>45041.291666666664</v>
      </c>
      <c r="Y426" s="88">
        <v>45041.4375</v>
      </c>
      <c r="Z426" s="81">
        <v>3200</v>
      </c>
      <c r="AA426" s="81"/>
      <c r="AB426" s="81"/>
      <c r="AC426" s="81"/>
      <c r="AD426" s="81"/>
      <c r="AE426" s="81"/>
      <c r="AF426" s="81"/>
      <c r="AG426" s="81">
        <f>Sal_23[[#This Row],[COMPRA]]*12%</f>
        <v>571.48680000000002</v>
      </c>
      <c r="AH426" s="83">
        <v>4762.3900000000003</v>
      </c>
      <c r="AI426" s="66" t="str">
        <f>PROPER(TEXT(Sal_23[[#This Row],[PROGRAMAÇÃO]],"mmm"))</f>
        <v>Abr</v>
      </c>
      <c r="AJ426" s="66">
        <f>YEAR(Sal_23[[#This Row],[PROGRAMAÇÃO]])</f>
        <v>2023</v>
      </c>
      <c r="AK426" s="66"/>
      <c r="AL426" s="66"/>
      <c r="AM426" s="66" t="s">
        <v>2768</v>
      </c>
      <c r="AN426" s="66" t="s">
        <v>2768</v>
      </c>
      <c r="AO426" s="66" t="s">
        <v>2768</v>
      </c>
    </row>
    <row r="427" spans="2:41" x14ac:dyDescent="0.25">
      <c r="B427" s="128" t="s">
        <v>2771</v>
      </c>
      <c r="C42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27" s="198">
        <v>45041.333333333336</v>
      </c>
      <c r="E427" s="44" t="s">
        <v>4304</v>
      </c>
      <c r="F427" s="66">
        <v>20</v>
      </c>
      <c r="G427" s="66" t="s">
        <v>2826</v>
      </c>
      <c r="H427" s="44" t="s">
        <v>2827</v>
      </c>
      <c r="I427" s="299" t="s">
        <v>2823</v>
      </c>
      <c r="J427" s="66">
        <v>3863</v>
      </c>
      <c r="K427" s="66" t="s">
        <v>4313</v>
      </c>
      <c r="L427" s="66">
        <v>105661</v>
      </c>
      <c r="M427" s="66"/>
      <c r="N427" s="66" t="s">
        <v>2584</v>
      </c>
      <c r="O427" s="66" t="s">
        <v>2585</v>
      </c>
      <c r="P427" s="66" t="s">
        <v>2586</v>
      </c>
      <c r="Q427" s="138" t="str">
        <f ca="1">IFERROR(LOOKUP($P427,MOTORISTAS!$D$3:$D$1048576,MOTORISTAS!E$3:E$916),"")</f>
        <v>08312935860</v>
      </c>
      <c r="R427" s="138" t="str">
        <f ca="1">IFERROR(LOOKUP($P427,MOTORISTAS!$D$3:$D$1048576,MOTORISTAS!F$3:F$916),"")</f>
        <v>03106516083</v>
      </c>
      <c r="S427" s="66">
        <v>15785</v>
      </c>
      <c r="T427" s="66" t="s">
        <v>293</v>
      </c>
      <c r="U427" s="79">
        <v>45040.868750000001</v>
      </c>
      <c r="V427" s="66" t="s">
        <v>469</v>
      </c>
      <c r="W427" s="79">
        <v>45041.672222222223</v>
      </c>
      <c r="X427" s="79">
        <v>45041.083333333336</v>
      </c>
      <c r="Y427" s="88">
        <v>45041.4375</v>
      </c>
      <c r="Z427" s="81">
        <v>3200</v>
      </c>
      <c r="AA427" s="81"/>
      <c r="AB427" s="81"/>
      <c r="AC427" s="81"/>
      <c r="AD427" s="81"/>
      <c r="AE427" s="81"/>
      <c r="AF427" s="81"/>
      <c r="AG427" s="81">
        <f>Sal_23[[#This Row],[COMPRA]]*12%</f>
        <v>571.48680000000002</v>
      </c>
      <c r="AH427" s="83">
        <v>4762.3900000000003</v>
      </c>
      <c r="AI427" s="66" t="str">
        <f>PROPER(TEXT(Sal_23[[#This Row],[PROGRAMAÇÃO]],"mmm"))</f>
        <v>Abr</v>
      </c>
      <c r="AJ427" s="66">
        <f>YEAR(Sal_23[[#This Row],[PROGRAMAÇÃO]])</f>
        <v>2023</v>
      </c>
      <c r="AK427" s="66"/>
      <c r="AL427" s="66"/>
      <c r="AM427" s="66" t="s">
        <v>2768</v>
      </c>
      <c r="AN427" s="66" t="s">
        <v>2768</v>
      </c>
      <c r="AO427" s="66" t="s">
        <v>2768</v>
      </c>
    </row>
    <row r="428" spans="2:41" x14ac:dyDescent="0.25">
      <c r="B428" s="128" t="s">
        <v>2771</v>
      </c>
      <c r="C42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28" s="198">
        <v>45042.333333333336</v>
      </c>
      <c r="E428" s="44" t="s">
        <v>4305</v>
      </c>
      <c r="F428" s="66">
        <v>20</v>
      </c>
      <c r="G428" s="66" t="s">
        <v>2826</v>
      </c>
      <c r="H428" s="44" t="s">
        <v>3071</v>
      </c>
      <c r="I428" s="299" t="s">
        <v>3072</v>
      </c>
      <c r="J428" s="66">
        <v>3864</v>
      </c>
      <c r="K428" s="66" t="s">
        <v>4313</v>
      </c>
      <c r="L428" s="66">
        <v>105660</v>
      </c>
      <c r="M428" s="66"/>
      <c r="N428" s="66" t="s">
        <v>3040</v>
      </c>
      <c r="O428" s="66" t="s">
        <v>3041</v>
      </c>
      <c r="P428" s="66" t="s">
        <v>3042</v>
      </c>
      <c r="Q428" s="138" t="str">
        <f ca="1">IFERROR(LOOKUP($P428,MOTORISTAS!$D$3:$D$1048576,MOTORISTAS!E$3:E$916),"")</f>
        <v>19279658883</v>
      </c>
      <c r="R428" s="138" t="str">
        <f ca="1">IFERROR(LOOKUP($P428,MOTORISTAS!$D$3:$D$1048576,MOTORISTAS!F$3:F$916),"")</f>
        <v>01301319672</v>
      </c>
      <c r="S428" s="66">
        <v>15741</v>
      </c>
      <c r="T428" s="66" t="s">
        <v>293</v>
      </c>
      <c r="U428" s="79">
        <v>45042.042361111111</v>
      </c>
      <c r="V428" s="66" t="s">
        <v>469</v>
      </c>
      <c r="W428" s="79">
        <v>45042.845138888886</v>
      </c>
      <c r="X428" s="79">
        <v>45042.166666666664</v>
      </c>
      <c r="Y428" s="88">
        <v>45042.666666666664</v>
      </c>
      <c r="Z428" s="81">
        <v>2200</v>
      </c>
      <c r="AA428" s="81"/>
      <c r="AB428" s="81"/>
      <c r="AC428" s="81">
        <v>600</v>
      </c>
      <c r="AD428" s="81"/>
      <c r="AE428" s="81"/>
      <c r="AF428" s="81"/>
      <c r="AG428" s="81">
        <f>Sal_23[[#This Row],[COMPRA]]*12%</f>
        <v>473.5104</v>
      </c>
      <c r="AH428" s="83">
        <v>3945.92</v>
      </c>
      <c r="AI428" s="66" t="str">
        <f>PROPER(TEXT(Sal_23[[#This Row],[PROGRAMAÇÃO]],"mmm"))</f>
        <v>Abr</v>
      </c>
      <c r="AJ428" s="66">
        <f>YEAR(Sal_23[[#This Row],[PROGRAMAÇÃO]])</f>
        <v>2023</v>
      </c>
      <c r="AK428" s="66"/>
      <c r="AL428" s="66"/>
      <c r="AM428" s="66" t="s">
        <v>2768</v>
      </c>
      <c r="AN428" s="66" t="s">
        <v>2768</v>
      </c>
      <c r="AO428" s="66" t="s">
        <v>2768</v>
      </c>
    </row>
    <row r="429" spans="2:41" x14ac:dyDescent="0.25">
      <c r="B429" s="128" t="s">
        <v>2771</v>
      </c>
      <c r="C42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29" s="198">
        <v>45042.333333333336</v>
      </c>
      <c r="E429" s="44" t="s">
        <v>4427</v>
      </c>
      <c r="F429" s="66">
        <v>20</v>
      </c>
      <c r="G429" s="66" t="s">
        <v>2837</v>
      </c>
      <c r="H429" s="44" t="s">
        <v>2837</v>
      </c>
      <c r="I429" s="299" t="s">
        <v>2821</v>
      </c>
      <c r="J429" s="66">
        <v>3861</v>
      </c>
      <c r="K429" s="66" t="s">
        <v>4313</v>
      </c>
      <c r="L429" s="66">
        <v>105651</v>
      </c>
      <c r="M429" s="66"/>
      <c r="N429" s="66" t="s">
        <v>3028</v>
      </c>
      <c r="O429" s="66" t="s">
        <v>2261</v>
      </c>
      <c r="P429" s="66" t="s">
        <v>3443</v>
      </c>
      <c r="Q429" s="138" t="str">
        <f ca="1">IFERROR(LOOKUP($P429,MOTORISTAS!$D$3:$D$1048576,MOTORISTAS!E$3:E$916),"")</f>
        <v>13990937898</v>
      </c>
      <c r="R429" s="138" t="str">
        <f ca="1">IFERROR(LOOKUP($P429,MOTORISTAS!$D$3:$D$1048576,MOTORISTAS!F$3:F$916),"")</f>
        <v>01825123407</v>
      </c>
      <c r="S429" s="66">
        <v>15799</v>
      </c>
      <c r="T429" s="66" t="s">
        <v>293</v>
      </c>
      <c r="U429" s="79">
        <v>45041.936111111114</v>
      </c>
      <c r="V429" s="66" t="s">
        <v>469</v>
      </c>
      <c r="W429" s="79">
        <v>45042.586111111108</v>
      </c>
      <c r="X429" s="79">
        <v>45042.125</v>
      </c>
      <c r="Y429" s="88">
        <v>45042.444444444445</v>
      </c>
      <c r="Z429" s="81">
        <v>1600</v>
      </c>
      <c r="AA429" s="81"/>
      <c r="AB429" s="81"/>
      <c r="AC429" s="81"/>
      <c r="AD429" s="81"/>
      <c r="AE429" s="81"/>
      <c r="AF429" s="81"/>
      <c r="AG429" s="81">
        <f>Sal_23[[#This Row],[COMPRA]]*12%</f>
        <v>311.55959999999999</v>
      </c>
      <c r="AH429" s="83">
        <v>2596.33</v>
      </c>
      <c r="AI429" s="66" t="str">
        <f>PROPER(TEXT(Sal_23[[#This Row],[PROGRAMAÇÃO]],"mmm"))</f>
        <v>Abr</v>
      </c>
      <c r="AJ429" s="66">
        <f>YEAR(Sal_23[[#This Row],[PROGRAMAÇÃO]])</f>
        <v>2023</v>
      </c>
      <c r="AK429" s="66"/>
      <c r="AL429" s="66"/>
      <c r="AM429" s="66" t="s">
        <v>2768</v>
      </c>
      <c r="AN429" s="66" t="s">
        <v>2768</v>
      </c>
      <c r="AO429" s="66" t="s">
        <v>2768</v>
      </c>
    </row>
    <row r="430" spans="2:41" x14ac:dyDescent="0.25">
      <c r="B430" s="128" t="s">
        <v>2771</v>
      </c>
      <c r="C43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30" s="79">
        <v>45043.333333333336</v>
      </c>
      <c r="E430" s="44" t="s">
        <v>4406</v>
      </c>
      <c r="F430" s="66">
        <v>20</v>
      </c>
      <c r="G430" s="66" t="s">
        <v>2837</v>
      </c>
      <c r="H430" s="44" t="s">
        <v>2837</v>
      </c>
      <c r="I430" s="299" t="s">
        <v>2821</v>
      </c>
      <c r="J430" s="66" t="s">
        <v>4422</v>
      </c>
      <c r="K430" s="66" t="s">
        <v>4356</v>
      </c>
      <c r="L430" s="66">
        <v>70238</v>
      </c>
      <c r="M430" s="66"/>
      <c r="N430" s="66" t="s">
        <v>102</v>
      </c>
      <c r="O430" s="66" t="s">
        <v>107</v>
      </c>
      <c r="P430" s="66" t="s">
        <v>206</v>
      </c>
      <c r="Q430" s="138" t="str">
        <f ca="1">IFERROR(LOOKUP($P430,MOTORISTAS!$D$3:$D$1048576,MOTORISTAS!E$3:E$916),"")</f>
        <v>09085263425</v>
      </c>
      <c r="R430" s="138" t="str">
        <f ca="1">IFERROR(LOOKUP($P430,MOTORISTAS!$D$3:$D$1048576,MOTORISTAS!F$3:F$916),"")</f>
        <v>04557705505</v>
      </c>
      <c r="S430" s="66" t="s">
        <v>4543</v>
      </c>
      <c r="T430" s="66" t="s">
        <v>306</v>
      </c>
      <c r="U430" s="79">
        <v>45043.21597222222</v>
      </c>
      <c r="V430" s="66" t="s">
        <v>292</v>
      </c>
      <c r="W430" s="79">
        <v>45043.59375</v>
      </c>
      <c r="X430" s="79">
        <v>45043.297222222223</v>
      </c>
      <c r="Y430" s="88">
        <v>45043.525000000001</v>
      </c>
      <c r="Z430" s="81">
        <v>1600</v>
      </c>
      <c r="AA430" s="81"/>
      <c r="AB430" s="81"/>
      <c r="AC430" s="81"/>
      <c r="AD430" s="81"/>
      <c r="AE430" s="81"/>
      <c r="AF430" s="81"/>
      <c r="AG430" s="81">
        <f>Sal_23[[#This Row],[COMPRA]]*12%</f>
        <v>288</v>
      </c>
      <c r="AH430" s="83">
        <v>2400</v>
      </c>
      <c r="AI430" s="66" t="str">
        <f>PROPER(TEXT(Sal_23[[#This Row],[PROGRAMAÇÃO]],"mmm"))</f>
        <v>Abr</v>
      </c>
      <c r="AJ430" s="66">
        <f>YEAR(Sal_23[[#This Row],[PROGRAMAÇÃO]])</f>
        <v>2023</v>
      </c>
      <c r="AK430" s="66"/>
      <c r="AL430" s="66"/>
      <c r="AM430" s="66" t="s">
        <v>2768</v>
      </c>
      <c r="AN430" s="66" t="s">
        <v>2768</v>
      </c>
      <c r="AO430" s="66" t="s">
        <v>2768</v>
      </c>
    </row>
    <row r="431" spans="2:41" x14ac:dyDescent="0.25">
      <c r="B431" s="128" t="s">
        <v>2771</v>
      </c>
      <c r="C43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31" s="79">
        <v>45043.333333333336</v>
      </c>
      <c r="E431" s="44" t="s">
        <v>4408</v>
      </c>
      <c r="F431" s="66">
        <v>20</v>
      </c>
      <c r="G431" s="66" t="s">
        <v>2837</v>
      </c>
      <c r="H431" s="44" t="s">
        <v>2837</v>
      </c>
      <c r="I431" s="299" t="s">
        <v>2821</v>
      </c>
      <c r="J431" s="66" t="s">
        <v>4422</v>
      </c>
      <c r="K431" s="66" t="s">
        <v>4356</v>
      </c>
      <c r="L431" s="66">
        <v>70239</v>
      </c>
      <c r="M431" s="66"/>
      <c r="N431" s="66" t="s">
        <v>2584</v>
      </c>
      <c r="O431" s="66" t="s">
        <v>3852</v>
      </c>
      <c r="P431" s="66" t="s">
        <v>2586</v>
      </c>
      <c r="Q431" s="138" t="str">
        <f ca="1">IFERROR(LOOKUP($P431,MOTORISTAS!$D$3:$D$1048576,MOTORISTAS!E$3:E$916),"")</f>
        <v>08312935860</v>
      </c>
      <c r="R431" s="138" t="str">
        <f ca="1">IFERROR(LOOKUP($P431,MOTORISTAS!$D$3:$D$1048576,MOTORISTAS!F$3:F$916),"")</f>
        <v>03106516083</v>
      </c>
      <c r="S431" s="66" t="s">
        <v>4544</v>
      </c>
      <c r="T431" s="66" t="s">
        <v>306</v>
      </c>
      <c r="U431" s="79">
        <v>45042.904861111114</v>
      </c>
      <c r="V431" s="66" t="s">
        <v>292</v>
      </c>
      <c r="W431" s="79">
        <v>45043.472916666666</v>
      </c>
      <c r="X431" s="79">
        <v>45043.010416666664</v>
      </c>
      <c r="Y431" s="88">
        <v>45043.364583333336</v>
      </c>
      <c r="Z431" s="81">
        <v>1600</v>
      </c>
      <c r="AA431" s="81"/>
      <c r="AB431" s="81"/>
      <c r="AC431" s="81"/>
      <c r="AD431" s="81"/>
      <c r="AE431" s="81"/>
      <c r="AF431" s="81"/>
      <c r="AG431" s="81">
        <f>Sal_23[[#This Row],[COMPRA]]*12%</f>
        <v>288</v>
      </c>
      <c r="AH431" s="83">
        <v>2400</v>
      </c>
      <c r="AI431" s="66" t="str">
        <f>PROPER(TEXT(Sal_23[[#This Row],[PROGRAMAÇÃO]],"mmm"))</f>
        <v>Abr</v>
      </c>
      <c r="AJ431" s="66">
        <f>YEAR(Sal_23[[#This Row],[PROGRAMAÇÃO]])</f>
        <v>2023</v>
      </c>
      <c r="AK431" s="66"/>
      <c r="AL431" s="66"/>
      <c r="AM431" s="66" t="s">
        <v>2768</v>
      </c>
      <c r="AN431" s="66" t="s">
        <v>2768</v>
      </c>
      <c r="AO431" s="66" t="s">
        <v>2768</v>
      </c>
    </row>
    <row r="432" spans="2:41" x14ac:dyDescent="0.25">
      <c r="B432" s="128" t="s">
        <v>2771</v>
      </c>
      <c r="C43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32" s="79">
        <v>45043.333333333336</v>
      </c>
      <c r="E432" s="44" t="s">
        <v>4355</v>
      </c>
      <c r="F432" s="66">
        <v>20</v>
      </c>
      <c r="G432" s="66" t="s">
        <v>2826</v>
      </c>
      <c r="H432" s="44" t="s">
        <v>3082</v>
      </c>
      <c r="I432" s="299" t="s">
        <v>3083</v>
      </c>
      <c r="J432" s="66" t="s">
        <v>4424</v>
      </c>
      <c r="K432" s="66" t="s">
        <v>4356</v>
      </c>
      <c r="L432" s="66">
        <v>105733</v>
      </c>
      <c r="M432" s="66"/>
      <c r="N432" s="66" t="s">
        <v>3040</v>
      </c>
      <c r="O432" s="66" t="s">
        <v>3041</v>
      </c>
      <c r="P432" s="66" t="s">
        <v>3042</v>
      </c>
      <c r="Q432" s="138" t="str">
        <f ca="1">IFERROR(LOOKUP($P432,MOTORISTAS!$D$3:$D$1048576,MOTORISTAS!E$3:E$916),"")</f>
        <v>19279658883</v>
      </c>
      <c r="R432" s="138" t="str">
        <f ca="1">IFERROR(LOOKUP($P432,MOTORISTAS!$D$3:$D$1048576,MOTORISTAS!F$3:F$916),"")</f>
        <v>01301319672</v>
      </c>
      <c r="S432" s="66">
        <v>15805</v>
      </c>
      <c r="T432" s="66" t="s">
        <v>306</v>
      </c>
      <c r="U432" s="79">
        <v>45043.246527777781</v>
      </c>
      <c r="V432" s="66" t="s">
        <v>3589</v>
      </c>
      <c r="W432" s="79">
        <v>45043.780555555553</v>
      </c>
      <c r="X432" s="79">
        <v>45043.34375</v>
      </c>
      <c r="Y432" s="88">
        <v>45043.697916666664</v>
      </c>
      <c r="Z432" s="81">
        <v>2000</v>
      </c>
      <c r="AA432" s="81"/>
      <c r="AB432" s="81"/>
      <c r="AC432" s="81"/>
      <c r="AD432" s="81"/>
      <c r="AE432" s="81"/>
      <c r="AF432" s="81"/>
      <c r="AG432" s="81">
        <f>Sal_23[[#This Row],[COMPRA]]*12%</f>
        <v>355.75439999999998</v>
      </c>
      <c r="AH432" s="83">
        <v>2964.62</v>
      </c>
      <c r="AI432" s="66" t="str">
        <f>PROPER(TEXT(Sal_23[[#This Row],[PROGRAMAÇÃO]],"mmm"))</f>
        <v>Abr</v>
      </c>
      <c r="AJ432" s="66">
        <f>YEAR(Sal_23[[#This Row],[PROGRAMAÇÃO]])</f>
        <v>2023</v>
      </c>
      <c r="AK432" s="66" t="s">
        <v>4364</v>
      </c>
      <c r="AL432" s="44" t="s">
        <v>3347</v>
      </c>
      <c r="AM432" s="66" t="s">
        <v>2768</v>
      </c>
      <c r="AN432" s="66" t="s">
        <v>2768</v>
      </c>
      <c r="AO432" s="66" t="s">
        <v>2768</v>
      </c>
    </row>
    <row r="433" spans="2:41" x14ac:dyDescent="0.25">
      <c r="B433" s="128" t="s">
        <v>2771</v>
      </c>
      <c r="C43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33" s="79">
        <v>45044.333333333336</v>
      </c>
      <c r="E433" s="44" t="s">
        <v>4353</v>
      </c>
      <c r="F433" s="66">
        <v>20</v>
      </c>
      <c r="G433" s="66" t="s">
        <v>2826</v>
      </c>
      <c r="H433" s="44" t="s">
        <v>2827</v>
      </c>
      <c r="I433" s="299" t="s">
        <v>2823</v>
      </c>
      <c r="J433" s="66" t="s">
        <v>4439</v>
      </c>
      <c r="K433" s="66" t="s">
        <v>4356</v>
      </c>
      <c r="L433" s="66">
        <v>105773</v>
      </c>
      <c r="M433" s="66"/>
      <c r="N433" s="66" t="s">
        <v>3572</v>
      </c>
      <c r="O433" s="66" t="s">
        <v>3573</v>
      </c>
      <c r="P433" s="66" t="s">
        <v>3574</v>
      </c>
      <c r="Q433" s="138" t="str">
        <f ca="1">IFERROR(LOOKUP($P433,MOTORISTAS!$D$3:$D$1048576,MOTORISTAS!E$3:E$916),"")</f>
        <v>57152314004</v>
      </c>
      <c r="R433" s="138" t="str">
        <f ca="1">IFERROR(LOOKUP($P433,MOTORISTAS!$D$3:$D$1048576,MOTORISTAS!F$3:F$916),"")</f>
        <v>01897138729</v>
      </c>
      <c r="S433" s="66">
        <v>15814</v>
      </c>
      <c r="T433" s="66" t="s">
        <v>306</v>
      </c>
      <c r="U433" s="79">
        <v>45043.944444444445</v>
      </c>
      <c r="V433" s="66" t="s">
        <v>292</v>
      </c>
      <c r="W433" s="79">
        <v>45044</v>
      </c>
      <c r="X433" s="79">
        <v>45044.09375</v>
      </c>
      <c r="Y433" s="88">
        <v>45044.486111111109</v>
      </c>
      <c r="Z433" s="81">
        <v>2100</v>
      </c>
      <c r="AA433" s="81"/>
      <c r="AB433" s="81"/>
      <c r="AC433" s="81"/>
      <c r="AD433" s="81"/>
      <c r="AE433" s="81"/>
      <c r="AF433" s="81"/>
      <c r="AG433" s="81">
        <f>Sal_23[[#This Row],[COMPRA]]*12%</f>
        <v>571.48680000000002</v>
      </c>
      <c r="AH433" s="83">
        <v>4762.3900000000003</v>
      </c>
      <c r="AI433" s="66" t="str">
        <f>PROPER(TEXT(Sal_23[[#This Row],[PROGRAMAÇÃO]],"mmm"))</f>
        <v>Abr</v>
      </c>
      <c r="AJ433" s="66">
        <f>YEAR(Sal_23[[#This Row],[PROGRAMAÇÃO]])</f>
        <v>2023</v>
      </c>
      <c r="AK433" s="66"/>
      <c r="AL433" s="66"/>
      <c r="AM433" s="66" t="s">
        <v>2768</v>
      </c>
      <c r="AN433" s="66" t="s">
        <v>2768</v>
      </c>
      <c r="AO433" s="66" t="s">
        <v>2768</v>
      </c>
    </row>
    <row r="434" spans="2:41" x14ac:dyDescent="0.25">
      <c r="B434" s="128" t="s">
        <v>2771</v>
      </c>
      <c r="C43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34" s="79">
        <v>45044.333333333336</v>
      </c>
      <c r="E434" s="44" t="s">
        <v>4354</v>
      </c>
      <c r="F434" s="66">
        <v>20</v>
      </c>
      <c r="G434" s="66" t="s">
        <v>2826</v>
      </c>
      <c r="H434" s="44" t="s">
        <v>2827</v>
      </c>
      <c r="I434" s="299" t="s">
        <v>2823</v>
      </c>
      <c r="J434" s="66" t="s">
        <v>4439</v>
      </c>
      <c r="K434" s="66" t="s">
        <v>4356</v>
      </c>
      <c r="L434" s="66">
        <v>105732</v>
      </c>
      <c r="M434" s="66"/>
      <c r="N434" s="66" t="s">
        <v>4440</v>
      </c>
      <c r="O434" s="66" t="s">
        <v>4441</v>
      </c>
      <c r="P434" s="66" t="s">
        <v>4442</v>
      </c>
      <c r="Q434" s="138" t="str">
        <f ca="1">IFERROR(LOOKUP($P434,MOTORISTAS!$D$3:$D$1048576,MOTORISTAS!E$3:E$916),"")</f>
        <v>15284965825</v>
      </c>
      <c r="R434" s="138" t="str">
        <f ca="1">IFERROR(LOOKUP($P434,MOTORISTAS!$D$3:$D$1048576,MOTORISTAS!F$3:F$916),"")</f>
        <v>01681109819</v>
      </c>
      <c r="S434" s="66">
        <v>15823</v>
      </c>
      <c r="T434" s="66" t="s">
        <v>306</v>
      </c>
      <c r="U434" s="79">
        <v>45043.813194444447</v>
      </c>
      <c r="V434" s="66" t="s">
        <v>292</v>
      </c>
      <c r="W434" s="79">
        <v>45044.70416666667</v>
      </c>
      <c r="X434" s="79">
        <v>45044.090277777781</v>
      </c>
      <c r="Y434" s="88">
        <v>45044.423611111109</v>
      </c>
      <c r="Z434" s="81">
        <v>3200</v>
      </c>
      <c r="AA434" s="81"/>
      <c r="AB434" s="81"/>
      <c r="AC434" s="81"/>
      <c r="AD434" s="81"/>
      <c r="AE434" s="81"/>
      <c r="AF434" s="81"/>
      <c r="AG434" s="81">
        <f>Sal_23[[#This Row],[COMPRA]]*12%</f>
        <v>571.48680000000002</v>
      </c>
      <c r="AH434" s="83">
        <v>4762.3900000000003</v>
      </c>
      <c r="AI434" s="66" t="str">
        <f>PROPER(TEXT(Sal_23[[#This Row],[PROGRAMAÇÃO]],"mmm"))</f>
        <v>Abr</v>
      </c>
      <c r="AJ434" s="66">
        <f>YEAR(Sal_23[[#This Row],[PROGRAMAÇÃO]])</f>
        <v>2023</v>
      </c>
      <c r="AK434" s="66"/>
      <c r="AL434" s="66"/>
      <c r="AM434" s="66" t="s">
        <v>2768</v>
      </c>
      <c r="AN434" s="66" t="s">
        <v>2768</v>
      </c>
      <c r="AO434" s="66" t="s">
        <v>2768</v>
      </c>
    </row>
    <row r="435" spans="2:41" x14ac:dyDescent="0.25">
      <c r="B435" s="128" t="s">
        <v>2771</v>
      </c>
      <c r="C43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35" s="79">
        <v>45044.333333333336</v>
      </c>
      <c r="E435" s="44" t="s">
        <v>4375</v>
      </c>
      <c r="F435" s="66">
        <v>20</v>
      </c>
      <c r="G435" s="66" t="s">
        <v>2826</v>
      </c>
      <c r="H435" s="44" t="s">
        <v>2838</v>
      </c>
      <c r="I435" s="299" t="s">
        <v>2828</v>
      </c>
      <c r="J435" s="66">
        <v>4169</v>
      </c>
      <c r="K435" s="66" t="s">
        <v>4374</v>
      </c>
      <c r="L435" s="66">
        <v>105772</v>
      </c>
      <c r="M435" s="66"/>
      <c r="N435" s="66" t="s">
        <v>3040</v>
      </c>
      <c r="O435" s="66" t="s">
        <v>3041</v>
      </c>
      <c r="P435" s="66" t="s">
        <v>3042</v>
      </c>
      <c r="Q435" s="138" t="str">
        <f ca="1">IFERROR(LOOKUP($P435,MOTORISTAS!$D$3:$D$1048576,MOTORISTAS!E$3:E$916),"")</f>
        <v>19279658883</v>
      </c>
      <c r="R435" s="138" t="str">
        <f ca="1">IFERROR(LOOKUP($P435,MOTORISTAS!$D$3:$D$1048576,MOTORISTAS!F$3:F$916),"")</f>
        <v>01301319672</v>
      </c>
      <c r="S435" s="66">
        <v>15815</v>
      </c>
      <c r="T435" s="66" t="s">
        <v>293</v>
      </c>
      <c r="U435" s="79">
        <v>45044.112500000003</v>
      </c>
      <c r="V435" s="66" t="s">
        <v>292</v>
      </c>
      <c r="W435" s="79">
        <v>45045.395138888889</v>
      </c>
      <c r="X435" s="79">
        <v>45044.256944444445</v>
      </c>
      <c r="Y435" s="88">
        <v>45044.625</v>
      </c>
      <c r="Z435" s="81">
        <v>2700</v>
      </c>
      <c r="AA435" s="81"/>
      <c r="AB435" s="81"/>
      <c r="AC435" s="81">
        <v>600</v>
      </c>
      <c r="AD435" s="81"/>
      <c r="AE435" s="81"/>
      <c r="AF435" s="81"/>
      <c r="AG435" s="81">
        <f>Sal_23[[#This Row],[COMPRA]]*12%</f>
        <v>601.46159999999998</v>
      </c>
      <c r="AH435" s="83">
        <v>5012.18</v>
      </c>
      <c r="AI435" s="66" t="str">
        <f>PROPER(TEXT(Sal_23[[#This Row],[PROGRAMAÇÃO]],"mmm"))</f>
        <v>Abr</v>
      </c>
      <c r="AJ435" s="66">
        <f>YEAR(Sal_23[[#This Row],[PROGRAMAÇÃO]])</f>
        <v>2023</v>
      </c>
      <c r="AK435" s="66"/>
      <c r="AL435" s="66"/>
      <c r="AM435" s="66" t="s">
        <v>2768</v>
      </c>
      <c r="AN435" s="66" t="s">
        <v>2768</v>
      </c>
      <c r="AO435" s="66" t="s">
        <v>2768</v>
      </c>
    </row>
    <row r="436" spans="2:41" x14ac:dyDescent="0.25">
      <c r="B436" s="128" t="s">
        <v>2771</v>
      </c>
      <c r="C43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36" s="79">
        <v>45044.333333333336</v>
      </c>
      <c r="E436" s="44" t="s">
        <v>4376</v>
      </c>
      <c r="F436" s="66">
        <v>20</v>
      </c>
      <c r="G436" s="66" t="s">
        <v>2826</v>
      </c>
      <c r="H436" s="44" t="s">
        <v>3440</v>
      </c>
      <c r="I436" s="299" t="s">
        <v>3531</v>
      </c>
      <c r="J436" s="66">
        <v>4167</v>
      </c>
      <c r="K436" s="66" t="s">
        <v>4374</v>
      </c>
      <c r="L436" s="66">
        <v>115720</v>
      </c>
      <c r="M436" s="66"/>
      <c r="N436" s="66" t="s">
        <v>4436</v>
      </c>
      <c r="O436" s="66" t="s">
        <v>4437</v>
      </c>
      <c r="P436" s="66" t="s">
        <v>4438</v>
      </c>
      <c r="Q436" s="138" t="str">
        <f ca="1">IFERROR(LOOKUP($P436,MOTORISTAS!$D$3:$D$1048576,MOTORISTAS!E$3:E$916),"")</f>
        <v>42110108835</v>
      </c>
      <c r="R436" s="138" t="str">
        <f ca="1">IFERROR(LOOKUP($P436,MOTORISTAS!$D$3:$D$1048576,MOTORISTAS!F$3:F$916),"")</f>
        <v>05521797512</v>
      </c>
      <c r="S436" s="66">
        <v>15822</v>
      </c>
      <c r="T436" s="66" t="s">
        <v>293</v>
      </c>
      <c r="U436" s="79">
        <v>45044.193055555559</v>
      </c>
      <c r="V436" s="66" t="s">
        <v>292</v>
      </c>
      <c r="W436" s="79">
        <v>45044.633333333331</v>
      </c>
      <c r="X436" s="79">
        <v>45044.333333333336</v>
      </c>
      <c r="Y436" s="88">
        <v>45044.496527777781</v>
      </c>
      <c r="Z436" s="81">
        <v>2300</v>
      </c>
      <c r="AA436" s="81"/>
      <c r="AB436" s="81"/>
      <c r="AC436" s="81"/>
      <c r="AD436" s="81"/>
      <c r="AE436" s="81"/>
      <c r="AF436" s="81"/>
      <c r="AG436" s="81">
        <f>Sal_23[[#This Row],[COMPRA]]*12%</f>
        <v>399.62399999999997</v>
      </c>
      <c r="AH436" s="83">
        <v>3330.2</v>
      </c>
      <c r="AI436" s="66" t="str">
        <f>PROPER(TEXT(Sal_23[[#This Row],[PROGRAMAÇÃO]],"mmm"))</f>
        <v>Abr</v>
      </c>
      <c r="AJ436" s="66">
        <f>YEAR(Sal_23[[#This Row],[PROGRAMAÇÃO]])</f>
        <v>2023</v>
      </c>
      <c r="AK436" s="66"/>
      <c r="AL436" s="66"/>
      <c r="AM436" s="66" t="s">
        <v>2768</v>
      </c>
      <c r="AN436" s="66" t="s">
        <v>2768</v>
      </c>
      <c r="AO436" s="66" t="s">
        <v>2768</v>
      </c>
    </row>
    <row r="437" spans="2:41" x14ac:dyDescent="0.25">
      <c r="B437" s="128" t="s">
        <v>2771</v>
      </c>
      <c r="C43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37" s="79">
        <v>45044.333333333336</v>
      </c>
      <c r="E437" s="44" t="s">
        <v>4380</v>
      </c>
      <c r="F437" s="66">
        <v>20</v>
      </c>
      <c r="G437" s="66" t="s">
        <v>2826</v>
      </c>
      <c r="H437" s="44" t="s">
        <v>4407</v>
      </c>
      <c r="I437" s="299" t="s">
        <v>3091</v>
      </c>
      <c r="J437" s="66">
        <v>4171</v>
      </c>
      <c r="K437" s="66" t="s">
        <v>4374</v>
      </c>
      <c r="L437" s="66">
        <v>105852</v>
      </c>
      <c r="M437" s="66"/>
      <c r="N437" s="66"/>
      <c r="O437" s="66"/>
      <c r="P437" s="66"/>
      <c r="Q437" s="138" t="str">
        <f>IFERROR(LOOKUP($P437,MOTORISTAS!$D$3:$D$1048576,MOTORISTAS!E$3:E$916),"")</f>
        <v/>
      </c>
      <c r="R437" s="138" t="str">
        <f>IFERROR(LOOKUP($P437,MOTORISTAS!$D$3:$D$1048576,MOTORISTAS!F$3:F$916),"")</f>
        <v/>
      </c>
      <c r="S437" s="66">
        <v>15816</v>
      </c>
      <c r="T437" s="66" t="s">
        <v>293</v>
      </c>
      <c r="U437" s="79">
        <v>45043.873611111114</v>
      </c>
      <c r="V437" s="66" t="s">
        <v>292</v>
      </c>
      <c r="W437" s="79">
        <v>45044</v>
      </c>
      <c r="X437" s="79">
        <v>45044.003472222219</v>
      </c>
      <c r="Y437" s="88">
        <v>45044.375</v>
      </c>
      <c r="Z437" s="81">
        <v>2000</v>
      </c>
      <c r="AA437" s="81"/>
      <c r="AB437" s="81"/>
      <c r="AC437" s="81"/>
      <c r="AD437" s="81"/>
      <c r="AE437" s="81"/>
      <c r="AF437" s="81"/>
      <c r="AG437" s="81">
        <f>Sal_23[[#This Row],[COMPRA]]*12%</f>
        <v>0</v>
      </c>
      <c r="AH437" s="83"/>
      <c r="AI437" s="66" t="str">
        <f>PROPER(TEXT(Sal_23[[#This Row],[PROGRAMAÇÃO]],"mmm"))</f>
        <v>Abr</v>
      </c>
      <c r="AJ437" s="66">
        <f>YEAR(Sal_23[[#This Row],[PROGRAMAÇÃO]])</f>
        <v>2023</v>
      </c>
      <c r="AK437" s="66"/>
      <c r="AL437" s="66"/>
      <c r="AM437" s="66" t="s">
        <v>2768</v>
      </c>
      <c r="AN437" s="66" t="s">
        <v>2768</v>
      </c>
      <c r="AO437" s="66" t="s">
        <v>2768</v>
      </c>
    </row>
    <row r="438" spans="2:41" x14ac:dyDescent="0.25">
      <c r="B438" s="128" t="s">
        <v>2771</v>
      </c>
      <c r="C43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38" s="79">
        <v>45044.333333333336</v>
      </c>
      <c r="E438" s="44" t="s">
        <v>4382</v>
      </c>
      <c r="F438" s="66">
        <v>40</v>
      </c>
      <c r="G438" s="66" t="s">
        <v>2826</v>
      </c>
      <c r="H438" s="44" t="s">
        <v>3910</v>
      </c>
      <c r="I438" s="299" t="s">
        <v>3909</v>
      </c>
      <c r="J438" s="66">
        <v>4154</v>
      </c>
      <c r="K438" s="66" t="s">
        <v>4374</v>
      </c>
      <c r="L438" s="66">
        <v>105767</v>
      </c>
      <c r="M438" s="66"/>
      <c r="N438" s="66" t="s">
        <v>155</v>
      </c>
      <c r="O438" s="66" t="s">
        <v>209</v>
      </c>
      <c r="P438" s="66" t="s">
        <v>156</v>
      </c>
      <c r="Q438" s="138" t="str">
        <f ca="1">IFERROR(LOOKUP($P438,MOTORISTAS!$D$3:$D$1048576,MOTORISTAS!E$3:E$916),"")</f>
        <v>09803034863</v>
      </c>
      <c r="R438" s="138" t="str">
        <f ca="1">IFERROR(LOOKUP($P438,MOTORISTAS!$D$3:$D$1048576,MOTORISTAS!F$3:F$916),"")</f>
        <v>01484565209</v>
      </c>
      <c r="S438" s="66">
        <v>15818</v>
      </c>
      <c r="T438" s="66" t="s">
        <v>293</v>
      </c>
      <c r="U438" s="79">
        <v>45044.168055555558</v>
      </c>
      <c r="V438" s="66" t="s">
        <v>292</v>
      </c>
      <c r="W438" s="79">
        <v>45045</v>
      </c>
      <c r="X438" s="79">
        <v>45044.329861111109</v>
      </c>
      <c r="Y438" s="88">
        <v>45044.59375</v>
      </c>
      <c r="Z438" s="81">
        <v>2300</v>
      </c>
      <c r="AA438" s="81"/>
      <c r="AB438" s="81"/>
      <c r="AC438" s="81"/>
      <c r="AD438" s="81"/>
      <c r="AE438" s="81"/>
      <c r="AF438" s="81"/>
      <c r="AG438" s="81">
        <f>Sal_23[[#This Row],[COMPRA]]*12%</f>
        <v>399.62399999999997</v>
      </c>
      <c r="AH438" s="83">
        <v>3330.2</v>
      </c>
      <c r="AI438" s="66" t="str">
        <f>PROPER(TEXT(Sal_23[[#This Row],[PROGRAMAÇÃO]],"mmm"))</f>
        <v>Abr</v>
      </c>
      <c r="AJ438" s="66">
        <f>YEAR(Sal_23[[#This Row],[PROGRAMAÇÃO]])</f>
        <v>2023</v>
      </c>
      <c r="AK438" s="66"/>
      <c r="AL438" s="66"/>
      <c r="AM438" s="66" t="s">
        <v>2768</v>
      </c>
      <c r="AN438" s="66" t="s">
        <v>2768</v>
      </c>
      <c r="AO438" s="66" t="s">
        <v>2768</v>
      </c>
    </row>
    <row r="439" spans="2:41" x14ac:dyDescent="0.25">
      <c r="B439" s="128" t="s">
        <v>2771</v>
      </c>
      <c r="C43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39" s="79">
        <v>45044.333333333336</v>
      </c>
      <c r="E439" s="44" t="s">
        <v>4383</v>
      </c>
      <c r="F439" s="66">
        <v>40</v>
      </c>
      <c r="G439" s="66" t="s">
        <v>2826</v>
      </c>
      <c r="H439" s="44" t="s">
        <v>3910</v>
      </c>
      <c r="I439" s="299" t="s">
        <v>3909</v>
      </c>
      <c r="J439" s="66">
        <v>4153</v>
      </c>
      <c r="K439" s="66" t="s">
        <v>4374</v>
      </c>
      <c r="L439" s="66">
        <v>115769</v>
      </c>
      <c r="M439" s="66"/>
      <c r="N439" s="66" t="s">
        <v>102</v>
      </c>
      <c r="O439" s="66" t="s">
        <v>27</v>
      </c>
      <c r="P439" s="66" t="s">
        <v>206</v>
      </c>
      <c r="Q439" s="138" t="str">
        <f ca="1">IFERROR(LOOKUP($P439,MOTORISTAS!$D$3:$D$1048576,MOTORISTAS!E$3:E$916),"")</f>
        <v>09085263425</v>
      </c>
      <c r="R439" s="138" t="str">
        <f ca="1">IFERROR(LOOKUP($P439,MOTORISTAS!$D$3:$D$1048576,MOTORISTAS!F$3:F$916),"")</f>
        <v>04557705505</v>
      </c>
      <c r="S439" s="66">
        <v>15819</v>
      </c>
      <c r="T439" s="66" t="s">
        <v>293</v>
      </c>
      <c r="U439" s="79">
        <v>45044.146527777775</v>
      </c>
      <c r="V439" s="66" t="s">
        <v>292</v>
      </c>
      <c r="W439" s="79">
        <v>45044</v>
      </c>
      <c r="X439" s="79">
        <v>45044.28125</v>
      </c>
      <c r="Y439" s="88">
        <v>45044.541666666664</v>
      </c>
      <c r="Z439" s="81">
        <v>2300</v>
      </c>
      <c r="AA439" s="81"/>
      <c r="AB439" s="81"/>
      <c r="AC439" s="81"/>
      <c r="AD439" s="81"/>
      <c r="AE439" s="81"/>
      <c r="AF439" s="81"/>
      <c r="AG439" s="81">
        <f>Sal_23[[#This Row],[COMPRA]]*12%</f>
        <v>399.62399999999997</v>
      </c>
      <c r="AH439" s="83">
        <v>3330.2</v>
      </c>
      <c r="AI439" s="66" t="str">
        <f>PROPER(TEXT(Sal_23[[#This Row],[PROGRAMAÇÃO]],"mmm"))</f>
        <v>Abr</v>
      </c>
      <c r="AJ439" s="66">
        <f>YEAR(Sal_23[[#This Row],[PROGRAMAÇÃO]])</f>
        <v>2023</v>
      </c>
      <c r="AK439" s="66"/>
      <c r="AL439" s="66"/>
      <c r="AM439" s="66" t="s">
        <v>2768</v>
      </c>
      <c r="AN439" s="66" t="s">
        <v>2768</v>
      </c>
      <c r="AO439" s="66" t="s">
        <v>2768</v>
      </c>
    </row>
    <row r="440" spans="2:41" x14ac:dyDescent="0.25">
      <c r="B440" s="128" t="s">
        <v>2771</v>
      </c>
      <c r="C44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40" s="79">
        <v>45044.333333333336</v>
      </c>
      <c r="E440" s="44" t="s">
        <v>4386</v>
      </c>
      <c r="F440" s="66">
        <v>40</v>
      </c>
      <c r="G440" s="66" t="s">
        <v>2826</v>
      </c>
      <c r="H440" s="44" t="s">
        <v>2835</v>
      </c>
      <c r="I440" s="299" t="s">
        <v>2822</v>
      </c>
      <c r="J440" s="66">
        <v>4155</v>
      </c>
      <c r="K440" s="66" t="s">
        <v>4374</v>
      </c>
      <c r="L440" s="66">
        <v>105730</v>
      </c>
      <c r="M440" s="66"/>
      <c r="N440" s="66" t="s">
        <v>92</v>
      </c>
      <c r="O440" s="66" t="s">
        <v>93</v>
      </c>
      <c r="P440" s="66" t="s">
        <v>94</v>
      </c>
      <c r="Q440" s="138" t="str">
        <f ca="1">IFERROR(LOOKUP($P440,MOTORISTAS!$D$3:$D$1048576,MOTORISTAS!E$3:E$916),"")</f>
        <v>26283419801</v>
      </c>
      <c r="R440" s="138" t="str">
        <f ca="1">IFERROR(LOOKUP($P440,MOTORISTAS!$D$3:$D$1048576,MOTORISTAS!F$3:F$916),"")</f>
        <v>02002046946</v>
      </c>
      <c r="S440" s="66">
        <v>15817</v>
      </c>
      <c r="T440" s="66" t="s">
        <v>293</v>
      </c>
      <c r="U440" s="79">
        <v>45044.161111111112</v>
      </c>
      <c r="V440" s="66" t="s">
        <v>292</v>
      </c>
      <c r="W440" s="79">
        <v>45044.646527777775</v>
      </c>
      <c r="X440" s="79">
        <v>45044.381944444445</v>
      </c>
      <c r="Y440" s="88">
        <v>45044.493055555555</v>
      </c>
      <c r="Z440" s="81">
        <v>2100</v>
      </c>
      <c r="AA440" s="81"/>
      <c r="AB440" s="81"/>
      <c r="AC440" s="81"/>
      <c r="AD440" s="81"/>
      <c r="AE440" s="81"/>
      <c r="AF440" s="81"/>
      <c r="AG440" s="81">
        <f>Sal_23[[#This Row],[COMPRA]]*12%</f>
        <v>370.37759999999997</v>
      </c>
      <c r="AH440" s="83">
        <v>3086.48</v>
      </c>
      <c r="AI440" s="66" t="str">
        <f>PROPER(TEXT(Sal_23[[#This Row],[PROGRAMAÇÃO]],"mmm"))</f>
        <v>Abr</v>
      </c>
      <c r="AJ440" s="66">
        <f>YEAR(Sal_23[[#This Row],[PROGRAMAÇÃO]])</f>
        <v>2023</v>
      </c>
      <c r="AK440" s="66"/>
      <c r="AL440" s="44"/>
      <c r="AM440" s="66" t="s">
        <v>2768</v>
      </c>
      <c r="AN440" s="66" t="s">
        <v>2768</v>
      </c>
      <c r="AO440" s="66" t="s">
        <v>2768</v>
      </c>
    </row>
    <row r="441" spans="2:41" x14ac:dyDescent="0.25">
      <c r="B441" s="128" t="s">
        <v>2771</v>
      </c>
      <c r="C44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41" s="79">
        <v>45044.625</v>
      </c>
      <c r="E441" s="44" t="s">
        <v>4387</v>
      </c>
      <c r="F441" s="66">
        <v>40</v>
      </c>
      <c r="G441" s="66" t="s">
        <v>2826</v>
      </c>
      <c r="H441" s="44" t="s">
        <v>1674</v>
      </c>
      <c r="I441" s="299" t="s">
        <v>2829</v>
      </c>
      <c r="J441" s="66">
        <v>4157</v>
      </c>
      <c r="K441" s="66" t="s">
        <v>4374</v>
      </c>
      <c r="L441" s="66">
        <v>105770</v>
      </c>
      <c r="M441" s="66">
        <v>105771</v>
      </c>
      <c r="N441" s="66" t="s">
        <v>68</v>
      </c>
      <c r="O441" s="66" t="s">
        <v>36</v>
      </c>
      <c r="P441" s="66" t="s">
        <v>69</v>
      </c>
      <c r="Q441" s="138" t="str">
        <f ca="1">IFERROR(LOOKUP($P441,MOTORISTAS!$D$3:$D$1048576,MOTORISTAS!E$3:E$916),"")</f>
        <v>07968457866</v>
      </c>
      <c r="R441" s="138" t="str">
        <f ca="1">IFERROR(LOOKUP($P441,MOTORISTAS!$D$3:$D$1048576,MOTORISTAS!F$3:F$916),"")</f>
        <v>03264365790</v>
      </c>
      <c r="S441" s="66">
        <v>15820</v>
      </c>
      <c r="T441" s="66" t="s">
        <v>293</v>
      </c>
      <c r="U441" s="79">
        <v>45044.145138888889</v>
      </c>
      <c r="V441" s="66" t="s">
        <v>292</v>
      </c>
      <c r="W441" s="79">
        <v>45045</v>
      </c>
      <c r="X441" s="79">
        <v>45044.625</v>
      </c>
      <c r="Y441" s="88">
        <v>45044.71875</v>
      </c>
      <c r="Z441" s="81">
        <v>3400</v>
      </c>
      <c r="AA441" s="81"/>
      <c r="AB441" s="81"/>
      <c r="AC441" s="81"/>
      <c r="AD441" s="81"/>
      <c r="AE441" s="81"/>
      <c r="AF441" s="81"/>
      <c r="AG441" s="81">
        <f>Sal_23[[#This Row],[COMPRA]]*12%</f>
        <v>558.28440000000001</v>
      </c>
      <c r="AH441" s="83">
        <v>4652.37</v>
      </c>
      <c r="AI441" s="66" t="str">
        <f>PROPER(TEXT(Sal_23[[#This Row],[PROGRAMAÇÃO]],"mmm"))</f>
        <v>Abr</v>
      </c>
      <c r="AJ441" s="66">
        <f>YEAR(Sal_23[[#This Row],[PROGRAMAÇÃO]])</f>
        <v>2023</v>
      </c>
      <c r="AK441" s="66"/>
      <c r="AL441" s="66"/>
      <c r="AM441" s="66" t="s">
        <v>2768</v>
      </c>
      <c r="AN441" s="66" t="s">
        <v>2768</v>
      </c>
      <c r="AO441" s="66" t="s">
        <v>2768</v>
      </c>
    </row>
    <row r="442" spans="2:41" x14ac:dyDescent="0.25">
      <c r="B442" s="128" t="s">
        <v>2771</v>
      </c>
      <c r="C44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42" s="79">
        <v>45044.333333333336</v>
      </c>
      <c r="E442" s="44" t="s">
        <v>4388</v>
      </c>
      <c r="F442" s="66">
        <v>40</v>
      </c>
      <c r="G442" s="66" t="s">
        <v>2826</v>
      </c>
      <c r="H442" s="44" t="s">
        <v>1674</v>
      </c>
      <c r="I442" s="299" t="s">
        <v>2829</v>
      </c>
      <c r="J442" s="66">
        <v>4161</v>
      </c>
      <c r="K442" s="66" t="s">
        <v>4374</v>
      </c>
      <c r="L442" s="66">
        <v>105865</v>
      </c>
      <c r="M442" s="66">
        <v>105866</v>
      </c>
      <c r="N442" s="66" t="s">
        <v>150</v>
      </c>
      <c r="O442" s="66" t="s">
        <v>151</v>
      </c>
      <c r="P442" s="66" t="s">
        <v>152</v>
      </c>
      <c r="Q442" s="138" t="str">
        <f ca="1">IFERROR(LOOKUP($P442,MOTORISTAS!$D$3:$D$1048576,MOTORISTAS!E$3:E$916),"")</f>
        <v>05753633803</v>
      </c>
      <c r="R442" s="138" t="str">
        <f ca="1">IFERROR(LOOKUP($P442,MOTORISTAS!$D$3:$D$1048576,MOTORISTAS!F$3:F$916),"")</f>
        <v>01922497849</v>
      </c>
      <c r="S442" s="66">
        <v>15821</v>
      </c>
      <c r="T442" s="66" t="s">
        <v>293</v>
      </c>
      <c r="U442" s="79">
        <v>45044.134722222225</v>
      </c>
      <c r="V442" s="66" t="s">
        <v>292</v>
      </c>
      <c r="W442" s="79">
        <v>45044.672222222223</v>
      </c>
      <c r="X442" s="79">
        <v>45044.333333333336</v>
      </c>
      <c r="Y442" s="88">
        <v>45044.458333333336</v>
      </c>
      <c r="Z442" s="81">
        <v>3400</v>
      </c>
      <c r="AA442" s="81"/>
      <c r="AB442" s="81"/>
      <c r="AC442" s="81"/>
      <c r="AD442" s="81"/>
      <c r="AE442" s="81"/>
      <c r="AF442" s="81"/>
      <c r="AG442" s="81">
        <f>Sal_23[[#This Row],[COMPRA]]*12%</f>
        <v>558.28440000000001</v>
      </c>
      <c r="AH442" s="83">
        <v>4652.37</v>
      </c>
      <c r="AI442" s="66" t="str">
        <f>PROPER(TEXT(Sal_23[[#This Row],[PROGRAMAÇÃO]],"mmm"))</f>
        <v>Abr</v>
      </c>
      <c r="AJ442" s="66">
        <f>YEAR(Sal_23[[#This Row],[PROGRAMAÇÃO]])</f>
        <v>2023</v>
      </c>
      <c r="AK442" s="66"/>
      <c r="AL442" s="66"/>
      <c r="AM442" s="66" t="s">
        <v>2768</v>
      </c>
      <c r="AN442" s="66" t="s">
        <v>2768</v>
      </c>
      <c r="AO442" s="66" t="s">
        <v>2768</v>
      </c>
    </row>
    <row r="443" spans="2:41" x14ac:dyDescent="0.25">
      <c r="B443" s="128" t="s">
        <v>2771</v>
      </c>
      <c r="C44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43" s="79">
        <v>45048.333333333336</v>
      </c>
      <c r="E443" s="44" t="s">
        <v>4378</v>
      </c>
      <c r="F443" s="66">
        <v>20</v>
      </c>
      <c r="G443" s="66" t="s">
        <v>2837</v>
      </c>
      <c r="H443" s="44" t="s">
        <v>2837</v>
      </c>
      <c r="I443" s="299" t="s">
        <v>2821</v>
      </c>
      <c r="J443" s="66">
        <v>4172</v>
      </c>
      <c r="K443" s="66" t="s">
        <v>4374</v>
      </c>
      <c r="L443" s="66">
        <v>105815</v>
      </c>
      <c r="M443" s="66"/>
      <c r="N443" s="66" t="s">
        <v>106</v>
      </c>
      <c r="O443" s="66" t="s">
        <v>107</v>
      </c>
      <c r="P443" s="66" t="s">
        <v>108</v>
      </c>
      <c r="Q443" s="138" t="str">
        <f ca="1">IFERROR(LOOKUP($P443,MOTORISTAS!$D$3:$D$1048576,MOTORISTAS!E$3:E$916),"")</f>
        <v>34927982840</v>
      </c>
      <c r="R443" s="138" t="str">
        <f ca="1">IFERROR(LOOKUP($P443,MOTORISTAS!$D$3:$D$1048576,MOTORISTAS!F$3:F$916),"")</f>
        <v>03500129879</v>
      </c>
      <c r="S443" s="66">
        <v>15825</v>
      </c>
      <c r="T443" s="66" t="s">
        <v>293</v>
      </c>
      <c r="U443" s="79">
        <v>45048.152083333334</v>
      </c>
      <c r="V443" s="66" t="s">
        <v>292</v>
      </c>
      <c r="W443" s="79">
        <v>45048.527083333334</v>
      </c>
      <c r="X443" s="79">
        <v>45048.333333333336</v>
      </c>
      <c r="Y443" s="88">
        <v>45048.461805555555</v>
      </c>
      <c r="Z443" s="81">
        <v>1600</v>
      </c>
      <c r="AA443" s="81"/>
      <c r="AB443" s="81"/>
      <c r="AC443" s="81"/>
      <c r="AD443" s="81"/>
      <c r="AE443" s="81"/>
      <c r="AF443" s="81"/>
      <c r="AG443" s="81">
        <f>Sal_23[[#This Row],[COMPRA]]*12%</f>
        <v>311.55959999999999</v>
      </c>
      <c r="AH443" s="83">
        <v>2596.33</v>
      </c>
      <c r="AI443" s="66" t="str">
        <f>PROPER(TEXT(Sal_23[[#This Row],[PROGRAMAÇÃO]],"mmm"))</f>
        <v>Mai</v>
      </c>
      <c r="AJ443" s="66">
        <f>YEAR(Sal_23[[#This Row],[PROGRAMAÇÃO]])</f>
        <v>2023</v>
      </c>
      <c r="AK443" s="66"/>
      <c r="AL443" s="66"/>
      <c r="AM443" s="66" t="s">
        <v>2768</v>
      </c>
      <c r="AN443" s="66" t="s">
        <v>2768</v>
      </c>
      <c r="AO443" s="66" t="s">
        <v>2768</v>
      </c>
    </row>
    <row r="444" spans="2:41" x14ac:dyDescent="0.25">
      <c r="B444" s="128" t="s">
        <v>2771</v>
      </c>
      <c r="C44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44" s="79">
        <v>45048.375</v>
      </c>
      <c r="E444" s="44" t="s">
        <v>4379</v>
      </c>
      <c r="F444" s="66">
        <v>20</v>
      </c>
      <c r="G444" s="66" t="s">
        <v>2837</v>
      </c>
      <c r="H444" s="44" t="s">
        <v>2837</v>
      </c>
      <c r="I444" s="299" t="s">
        <v>2821</v>
      </c>
      <c r="J444" s="66">
        <v>4170</v>
      </c>
      <c r="K444" s="66" t="s">
        <v>4374</v>
      </c>
      <c r="L444" s="66">
        <v>115839</v>
      </c>
      <c r="M444" s="66"/>
      <c r="N444" s="66" t="s">
        <v>31</v>
      </c>
      <c r="O444" s="66" t="s">
        <v>32</v>
      </c>
      <c r="P444" s="66" t="s">
        <v>33</v>
      </c>
      <c r="Q444" s="138" t="str">
        <f ca="1">IFERROR(LOOKUP($P444,MOTORISTAS!$D$3:$D$1048576,MOTORISTAS!E$3:E$916),"")</f>
        <v>09776430856</v>
      </c>
      <c r="R444" s="138" t="str">
        <f ca="1">IFERROR(LOOKUP($P444,MOTORISTAS!$D$3:$D$1048576,MOTORISTAS!F$3:F$916),"")</f>
        <v>01258979905</v>
      </c>
      <c r="S444" s="66">
        <v>15827</v>
      </c>
      <c r="T444" s="66" t="s">
        <v>293</v>
      </c>
      <c r="U444" s="79">
        <v>45048.323611111111</v>
      </c>
      <c r="V444" s="66" t="s">
        <v>292</v>
      </c>
      <c r="W444" s="79">
        <v>45048.623611111114</v>
      </c>
      <c r="X444" s="79">
        <v>45048.375</v>
      </c>
      <c r="Y444" s="88">
        <v>45048.5625</v>
      </c>
      <c r="Z444" s="81">
        <v>1600</v>
      </c>
      <c r="AA444" s="81"/>
      <c r="AB444" s="81"/>
      <c r="AC444" s="81"/>
      <c r="AD444" s="81"/>
      <c r="AE444" s="81"/>
      <c r="AF444" s="81"/>
      <c r="AG444" s="81">
        <f>Sal_23[[#This Row],[COMPRA]]*12%</f>
        <v>311.55959999999999</v>
      </c>
      <c r="AH444" s="83">
        <v>2596.33</v>
      </c>
      <c r="AI444" s="66" t="str">
        <f>PROPER(TEXT(Sal_23[[#This Row],[PROGRAMAÇÃO]],"mmm"))</f>
        <v>Mai</v>
      </c>
      <c r="AJ444" s="66">
        <f>YEAR(Sal_23[[#This Row],[PROGRAMAÇÃO]])</f>
        <v>2023</v>
      </c>
      <c r="AK444" s="66"/>
      <c r="AL444" s="66"/>
      <c r="AM444" s="66" t="s">
        <v>2768</v>
      </c>
      <c r="AN444" s="66" t="s">
        <v>2768</v>
      </c>
      <c r="AO444" s="66" t="s">
        <v>2768</v>
      </c>
    </row>
    <row r="445" spans="2:41" x14ac:dyDescent="0.25">
      <c r="B445" s="128" t="s">
        <v>2771</v>
      </c>
      <c r="C44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45" s="79">
        <v>45048.333333333336</v>
      </c>
      <c r="E445" s="44" t="s">
        <v>4381</v>
      </c>
      <c r="F445" s="66">
        <v>40</v>
      </c>
      <c r="G445" s="66" t="s">
        <v>2826</v>
      </c>
      <c r="H445" s="44" t="s">
        <v>2836</v>
      </c>
      <c r="I445" s="299" t="s">
        <v>708</v>
      </c>
      <c r="J445" s="66">
        <v>4163</v>
      </c>
      <c r="K445" s="66" t="s">
        <v>4374</v>
      </c>
      <c r="L445" s="66">
        <v>105910</v>
      </c>
      <c r="M445" s="66"/>
      <c r="N445" s="66" t="s">
        <v>155</v>
      </c>
      <c r="O445" s="66" t="s">
        <v>209</v>
      </c>
      <c r="P445" s="66" t="s">
        <v>156</v>
      </c>
      <c r="Q445" s="138" t="str">
        <f ca="1">IFERROR(LOOKUP($P445,MOTORISTAS!$D$3:$D$1048576,MOTORISTAS!E$3:E$916),"")</f>
        <v>09803034863</v>
      </c>
      <c r="R445" s="138" t="str">
        <f ca="1">IFERROR(LOOKUP($P445,MOTORISTAS!$D$3:$D$1048576,MOTORISTAS!F$3:F$916),"")</f>
        <v>01484565209</v>
      </c>
      <c r="S445" s="66">
        <v>15836</v>
      </c>
      <c r="T445" s="66" t="s">
        <v>293</v>
      </c>
      <c r="U445" s="79">
        <v>45048.388194444444</v>
      </c>
      <c r="V445" s="66" t="s">
        <v>292</v>
      </c>
      <c r="W445" s="79">
        <v>45048</v>
      </c>
      <c r="X445" s="79">
        <v>45048.461805555555</v>
      </c>
      <c r="Y445" s="88">
        <v>45048.625</v>
      </c>
      <c r="Z445" s="81"/>
      <c r="AA445" s="81"/>
      <c r="AB445" s="81"/>
      <c r="AC445" s="81"/>
      <c r="AD445" s="81"/>
      <c r="AE445" s="81"/>
      <c r="AF445" s="81"/>
      <c r="AG445" s="81">
        <f>Sal_23[[#This Row],[COMPRA]]*12%</f>
        <v>234</v>
      </c>
      <c r="AH445" s="83">
        <v>1950</v>
      </c>
      <c r="AI445" s="66" t="str">
        <f>PROPER(TEXT(Sal_23[[#This Row],[PROGRAMAÇÃO]],"mmm"))</f>
        <v>Mai</v>
      </c>
      <c r="AJ445" s="66">
        <f>YEAR(Sal_23[[#This Row],[PROGRAMAÇÃO]])</f>
        <v>2023</v>
      </c>
      <c r="AK445" s="66"/>
      <c r="AL445" s="44"/>
      <c r="AM445" s="66" t="s">
        <v>2768</v>
      </c>
      <c r="AN445" s="66" t="s">
        <v>2768</v>
      </c>
      <c r="AO445" s="66" t="s">
        <v>2768</v>
      </c>
    </row>
    <row r="446" spans="2:41" x14ac:dyDescent="0.25">
      <c r="B446" s="128" t="s">
        <v>2771</v>
      </c>
      <c r="C44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46" s="79">
        <v>45048.333333333336</v>
      </c>
      <c r="E446" s="44" t="s">
        <v>4384</v>
      </c>
      <c r="F446" s="66">
        <v>40</v>
      </c>
      <c r="G446" s="66" t="s">
        <v>2826</v>
      </c>
      <c r="H446" s="44" t="s">
        <v>3910</v>
      </c>
      <c r="I446" s="299" t="s">
        <v>3909</v>
      </c>
      <c r="J446" s="66">
        <v>4158</v>
      </c>
      <c r="K446" s="66" t="s">
        <v>4374</v>
      </c>
      <c r="L446" s="66">
        <v>115768</v>
      </c>
      <c r="M446" s="66"/>
      <c r="N446" s="66" t="s">
        <v>72</v>
      </c>
      <c r="O446" s="66" t="s">
        <v>73</v>
      </c>
      <c r="P446" s="66" t="s">
        <v>203</v>
      </c>
      <c r="Q446" s="138" t="str">
        <f ca="1">IFERROR(LOOKUP($P446,MOTORISTAS!$D$3:$D$1048576,MOTORISTAS!E$3:E$916),"")</f>
        <v>10395859816</v>
      </c>
      <c r="R446" s="138" t="str">
        <f ca="1">IFERROR(LOOKUP($P446,MOTORISTAS!$D$3:$D$1048576,MOTORISTAS!F$3:F$916),"")</f>
        <v>01965794851</v>
      </c>
      <c r="S446" s="66">
        <v>15828</v>
      </c>
      <c r="T446" s="66" t="s">
        <v>293</v>
      </c>
      <c r="U446" s="79">
        <v>45048.018055555556</v>
      </c>
      <c r="V446" s="66" t="s">
        <v>292</v>
      </c>
      <c r="W446" s="79">
        <v>45049</v>
      </c>
      <c r="X446" s="79">
        <v>45048.145833333336</v>
      </c>
      <c r="Y446" s="88">
        <v>45048.652777777781</v>
      </c>
      <c r="Z446" s="81">
        <v>2300</v>
      </c>
      <c r="AA446" s="81"/>
      <c r="AB446" s="81"/>
      <c r="AC446" s="81"/>
      <c r="AD446" s="81"/>
      <c r="AE446" s="81"/>
      <c r="AF446" s="81"/>
      <c r="AG446" s="81">
        <f>Sal_23[[#This Row],[COMPRA]]*12%</f>
        <v>399.62399999999997</v>
      </c>
      <c r="AH446" s="83">
        <v>3330.2</v>
      </c>
      <c r="AI446" s="66" t="str">
        <f>PROPER(TEXT(Sal_23[[#This Row],[PROGRAMAÇÃO]],"mmm"))</f>
        <v>Mai</v>
      </c>
      <c r="AJ446" s="66">
        <f>YEAR(Sal_23[[#This Row],[PROGRAMAÇÃO]])</f>
        <v>2023</v>
      </c>
      <c r="AK446" s="66"/>
      <c r="AL446" s="66"/>
      <c r="AM446" s="66" t="s">
        <v>2768</v>
      </c>
      <c r="AN446" s="66" t="s">
        <v>2768</v>
      </c>
      <c r="AO446" s="66" t="s">
        <v>2768</v>
      </c>
    </row>
    <row r="447" spans="2:41" x14ac:dyDescent="0.25">
      <c r="B447" s="128" t="s">
        <v>2771</v>
      </c>
      <c r="C44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47" s="79">
        <v>45048.333333333336</v>
      </c>
      <c r="E447" s="44" t="s">
        <v>4385</v>
      </c>
      <c r="F447" s="66">
        <v>40</v>
      </c>
      <c r="G447" s="66" t="s">
        <v>2826</v>
      </c>
      <c r="H447" s="44" t="s">
        <v>3910</v>
      </c>
      <c r="I447" s="299" t="s">
        <v>3909</v>
      </c>
      <c r="J447" s="66">
        <v>4160</v>
      </c>
      <c r="K447" s="66" t="s">
        <v>4374</v>
      </c>
      <c r="L447" s="66">
        <v>115848</v>
      </c>
      <c r="M447" s="66"/>
      <c r="N447" s="66" t="s">
        <v>102</v>
      </c>
      <c r="O447" s="66" t="s">
        <v>27</v>
      </c>
      <c r="P447" s="66" t="s">
        <v>206</v>
      </c>
      <c r="Q447" s="138" t="str">
        <f ca="1">IFERROR(LOOKUP($P447,MOTORISTAS!$D$3:$D$1048576,MOTORISTAS!E$3:E$916),"")</f>
        <v>09085263425</v>
      </c>
      <c r="R447" s="138" t="str">
        <f ca="1">IFERROR(LOOKUP($P447,MOTORISTAS!$D$3:$D$1048576,MOTORISTAS!F$3:F$916),"")</f>
        <v>04557705505</v>
      </c>
      <c r="S447" s="66">
        <v>15829</v>
      </c>
      <c r="T447" s="66" t="s">
        <v>293</v>
      </c>
      <c r="U447" s="79">
        <v>45048.259027777778</v>
      </c>
      <c r="V447" s="66" t="s">
        <v>292</v>
      </c>
      <c r="W447" s="79">
        <v>45049.380555555559</v>
      </c>
      <c r="X447" s="79">
        <v>45048.395833333336</v>
      </c>
      <c r="Y447" s="88">
        <v>45048.704861111109</v>
      </c>
      <c r="Z447" s="81">
        <v>2300</v>
      </c>
      <c r="AA447" s="81"/>
      <c r="AB447" s="81"/>
      <c r="AC447" s="81"/>
      <c r="AD447" s="81"/>
      <c r="AE447" s="81"/>
      <c r="AF447" s="81"/>
      <c r="AG447" s="81">
        <f>Sal_23[[#This Row],[COMPRA]]*12%</f>
        <v>399.62399999999997</v>
      </c>
      <c r="AH447" s="83">
        <v>3330.2</v>
      </c>
      <c r="AI447" s="66" t="str">
        <f>PROPER(TEXT(Sal_23[[#This Row],[PROGRAMAÇÃO]],"mmm"))</f>
        <v>Mai</v>
      </c>
      <c r="AJ447" s="66">
        <f>YEAR(Sal_23[[#This Row],[PROGRAMAÇÃO]])</f>
        <v>2023</v>
      </c>
      <c r="AK447" s="66"/>
      <c r="AL447" s="44"/>
      <c r="AM447" s="66" t="s">
        <v>2768</v>
      </c>
      <c r="AN447" s="66" t="s">
        <v>2768</v>
      </c>
      <c r="AO447" s="66" t="s">
        <v>2768</v>
      </c>
    </row>
    <row r="448" spans="2:41" x14ac:dyDescent="0.25">
      <c r="B448" s="128" t="s">
        <v>2771</v>
      </c>
      <c r="C44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48" s="79">
        <v>45048.333333333336</v>
      </c>
      <c r="E448" s="44" t="s">
        <v>4389</v>
      </c>
      <c r="F448" s="66">
        <v>40</v>
      </c>
      <c r="G448" s="66" t="s">
        <v>2826</v>
      </c>
      <c r="H448" s="44" t="s">
        <v>1674</v>
      </c>
      <c r="I448" s="299" t="s">
        <v>2829</v>
      </c>
      <c r="J448" s="66">
        <v>4162</v>
      </c>
      <c r="K448" s="66" t="s">
        <v>4374</v>
      </c>
      <c r="L448" s="66">
        <v>105863</v>
      </c>
      <c r="M448" s="66">
        <v>105864</v>
      </c>
      <c r="N448" s="66" t="s">
        <v>150</v>
      </c>
      <c r="O448" s="66" t="s">
        <v>151</v>
      </c>
      <c r="P448" s="66" t="s">
        <v>152</v>
      </c>
      <c r="Q448" s="138" t="str">
        <f ca="1">IFERROR(LOOKUP($P448,MOTORISTAS!$D$3:$D$1048576,MOTORISTAS!E$3:E$916),"")</f>
        <v>05753633803</v>
      </c>
      <c r="R448" s="138" t="str">
        <f ca="1">IFERROR(LOOKUP($P448,MOTORISTAS!$D$3:$D$1048576,MOTORISTAS!F$3:F$916),"")</f>
        <v>01922497849</v>
      </c>
      <c r="S448" s="66">
        <v>15830</v>
      </c>
      <c r="T448" s="66" t="s">
        <v>293</v>
      </c>
      <c r="U448" s="79">
        <v>45048.263888888891</v>
      </c>
      <c r="V448" s="66" t="s">
        <v>292</v>
      </c>
      <c r="W448" s="79">
        <v>45049.537499999999</v>
      </c>
      <c r="X448" s="79">
        <v>45048.46875</v>
      </c>
      <c r="Y448" s="88">
        <v>45048.55</v>
      </c>
      <c r="Z448" s="81">
        <v>3400</v>
      </c>
      <c r="AA448" s="81"/>
      <c r="AB448" s="81"/>
      <c r="AC448" s="81"/>
      <c r="AD448" s="81"/>
      <c r="AE448" s="81"/>
      <c r="AF448" s="81"/>
      <c r="AG448" s="81">
        <f>Sal_23[[#This Row],[COMPRA]]*12%</f>
        <v>558.28440000000001</v>
      </c>
      <c r="AH448" s="83">
        <v>4652.37</v>
      </c>
      <c r="AI448" s="66" t="str">
        <f>PROPER(TEXT(Sal_23[[#This Row],[PROGRAMAÇÃO]],"mmm"))</f>
        <v>Mai</v>
      </c>
      <c r="AJ448" s="66">
        <f>YEAR(Sal_23[[#This Row],[PROGRAMAÇÃO]])</f>
        <v>2023</v>
      </c>
      <c r="AK448" s="66"/>
      <c r="AL448" s="44"/>
      <c r="AM448" s="66" t="s">
        <v>2768</v>
      </c>
      <c r="AN448" s="66" t="s">
        <v>2768</v>
      </c>
      <c r="AO448" s="66" t="s">
        <v>2768</v>
      </c>
    </row>
    <row r="449" spans="2:41" x14ac:dyDescent="0.25">
      <c r="B449" s="128" t="s">
        <v>2771</v>
      </c>
      <c r="C44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49" s="79">
        <v>45048.333333333336</v>
      </c>
      <c r="E449" s="44" t="s">
        <v>4390</v>
      </c>
      <c r="F449" s="66">
        <v>40</v>
      </c>
      <c r="G449" s="66" t="s">
        <v>2826</v>
      </c>
      <c r="H449" s="44" t="s">
        <v>1674</v>
      </c>
      <c r="I449" s="299" t="s">
        <v>2829</v>
      </c>
      <c r="J449" s="66">
        <v>4165</v>
      </c>
      <c r="K449" s="66" t="s">
        <v>4374</v>
      </c>
      <c r="L449" s="66">
        <v>105908</v>
      </c>
      <c r="M449" s="66">
        <v>105909</v>
      </c>
      <c r="N449" s="66" t="s">
        <v>210</v>
      </c>
      <c r="O449" s="66" t="s">
        <v>211</v>
      </c>
      <c r="P449" s="66" t="s">
        <v>212</v>
      </c>
      <c r="Q449" s="138" t="str">
        <f ca="1">IFERROR(LOOKUP($P449,MOTORISTAS!$D$3:$D$1048576,MOTORISTAS!E$3:E$916),"")</f>
        <v>38029906846</v>
      </c>
      <c r="R449" s="138" t="str">
        <f ca="1">IFERROR(LOOKUP($P449,MOTORISTAS!$D$3:$D$1048576,MOTORISTAS!F$3:F$916),"")</f>
        <v>04946846842</v>
      </c>
      <c r="S449" s="66">
        <v>15831</v>
      </c>
      <c r="T449" s="66" t="s">
        <v>293</v>
      </c>
      <c r="U449" s="79">
        <v>45047.961805555555</v>
      </c>
      <c r="V449" s="66" t="s">
        <v>292</v>
      </c>
      <c r="W449" s="79">
        <v>45048.629861111112</v>
      </c>
      <c r="X449" s="79">
        <v>45048.229166666664</v>
      </c>
      <c r="Y449" s="88">
        <v>45048.604166666664</v>
      </c>
      <c r="Z449" s="81">
        <v>3400</v>
      </c>
      <c r="AA449" s="81">
        <v>565.20000000000005</v>
      </c>
      <c r="AB449" s="81"/>
      <c r="AC449" s="81"/>
      <c r="AD449" s="81"/>
      <c r="AE449" s="81"/>
      <c r="AF449" s="81"/>
      <c r="AG449" s="81">
        <f>Sal_23[[#This Row],[COMPRA]]*12%</f>
        <v>558.28440000000001</v>
      </c>
      <c r="AH449" s="83">
        <v>4652.37</v>
      </c>
      <c r="AI449" s="66" t="str">
        <f>PROPER(TEXT(Sal_23[[#This Row],[PROGRAMAÇÃO]],"mmm"))</f>
        <v>Mai</v>
      </c>
      <c r="AJ449" s="66">
        <f>YEAR(Sal_23[[#This Row],[PROGRAMAÇÃO]])</f>
        <v>2023</v>
      </c>
      <c r="AK449" s="66"/>
      <c r="AL449" s="66"/>
      <c r="AM449" s="66" t="s">
        <v>2768</v>
      </c>
      <c r="AN449" s="66" t="s">
        <v>2768</v>
      </c>
      <c r="AO449" s="66" t="s">
        <v>2768</v>
      </c>
    </row>
    <row r="450" spans="2:41" x14ac:dyDescent="0.25">
      <c r="B450" s="128" t="s">
        <v>2771</v>
      </c>
      <c r="C45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0" s="79">
        <v>45049.333333333336</v>
      </c>
      <c r="E450" s="44" t="s">
        <v>4377</v>
      </c>
      <c r="F450" s="66">
        <v>20</v>
      </c>
      <c r="G450" s="66" t="s">
        <v>2837</v>
      </c>
      <c r="H450" s="44" t="s">
        <v>2837</v>
      </c>
      <c r="I450" s="299" t="s">
        <v>2821</v>
      </c>
      <c r="J450" s="66">
        <v>4168</v>
      </c>
      <c r="K450" s="66" t="s">
        <v>4374</v>
      </c>
      <c r="L450" s="66">
        <v>115719</v>
      </c>
      <c r="M450" s="66"/>
      <c r="N450" s="66" t="s">
        <v>106</v>
      </c>
      <c r="O450" s="66" t="s">
        <v>107</v>
      </c>
      <c r="P450" s="66" t="s">
        <v>108</v>
      </c>
      <c r="Q450" s="138" t="str">
        <f ca="1">IFERROR(LOOKUP($P450,MOTORISTAS!$D$3:$D$1048576,MOTORISTAS!E$3:E$916),"")</f>
        <v>34927982840</v>
      </c>
      <c r="R450" s="138" t="str">
        <f ca="1">IFERROR(LOOKUP($P450,MOTORISTAS!$D$3:$D$1048576,MOTORISTAS!F$3:F$916),"")</f>
        <v>03500129879</v>
      </c>
      <c r="S450" s="66">
        <v>15865</v>
      </c>
      <c r="T450" s="66" t="s">
        <v>293</v>
      </c>
      <c r="U450" s="79">
        <v>45048.688888888886</v>
      </c>
      <c r="V450" s="66" t="s">
        <v>292</v>
      </c>
      <c r="W450" s="79">
        <v>45049.538194444445</v>
      </c>
      <c r="X450" s="79">
        <v>45049.295138888891</v>
      </c>
      <c r="Y450" s="88">
        <v>45049.465277777781</v>
      </c>
      <c r="Z450" s="81">
        <v>1600</v>
      </c>
      <c r="AA450" s="81"/>
      <c r="AB450" s="81"/>
      <c r="AC450" s="81"/>
      <c r="AD450" s="81"/>
      <c r="AE450" s="81"/>
      <c r="AF450" s="81"/>
      <c r="AG450" s="81">
        <f>Sal_23[[#This Row],[COMPRA]]*12%</f>
        <v>311.55959999999999</v>
      </c>
      <c r="AH450" s="83">
        <v>2596.33</v>
      </c>
      <c r="AI450" s="66" t="str">
        <f>PROPER(TEXT(Sal_23[[#This Row],[PROGRAMAÇÃO]],"mmm"))</f>
        <v>Mai</v>
      </c>
      <c r="AJ450" s="66">
        <f>YEAR(Sal_23[[#This Row],[PROGRAMAÇÃO]])</f>
        <v>2023</v>
      </c>
      <c r="AK450" s="66"/>
      <c r="AL450" s="66"/>
      <c r="AM450" s="66" t="s">
        <v>2768</v>
      </c>
      <c r="AN450" s="66" t="s">
        <v>2768</v>
      </c>
      <c r="AO450" s="66" t="s">
        <v>2768</v>
      </c>
    </row>
    <row r="451" spans="2:41" x14ac:dyDescent="0.25">
      <c r="B451" s="128" t="s">
        <v>2771</v>
      </c>
      <c r="C45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1" s="79">
        <v>45049.333333333336</v>
      </c>
      <c r="E451" s="44" t="s">
        <v>4391</v>
      </c>
      <c r="F451" s="66">
        <v>40</v>
      </c>
      <c r="G451" s="66" t="s">
        <v>2826</v>
      </c>
      <c r="H451" s="44" t="s">
        <v>1674</v>
      </c>
      <c r="I451" s="299" t="s">
        <v>2829</v>
      </c>
      <c r="J451" s="66">
        <v>4164</v>
      </c>
      <c r="K451" s="66" t="s">
        <v>4374</v>
      </c>
      <c r="L451" s="66">
        <v>105906</v>
      </c>
      <c r="M451" s="66">
        <v>105907</v>
      </c>
      <c r="N451" s="66" t="s">
        <v>210</v>
      </c>
      <c r="O451" s="66" t="s">
        <v>211</v>
      </c>
      <c r="P451" s="66" t="s">
        <v>212</v>
      </c>
      <c r="Q451" s="138" t="str">
        <f ca="1">IFERROR(LOOKUP($P451,MOTORISTAS!$D$3:$D$1048576,MOTORISTAS!E$3:E$916),"")</f>
        <v>38029906846</v>
      </c>
      <c r="R451" s="138" t="str">
        <f ca="1">IFERROR(LOOKUP($P451,MOTORISTAS!$D$3:$D$1048576,MOTORISTAS!F$3:F$916),"")</f>
        <v>04946846842</v>
      </c>
      <c r="S451" s="66">
        <v>15866</v>
      </c>
      <c r="T451" s="66" t="s">
        <v>293</v>
      </c>
      <c r="U451" s="79">
        <v>45049.004166666666</v>
      </c>
      <c r="V451" s="66" t="s">
        <v>292</v>
      </c>
      <c r="W451" s="79">
        <v>45051.73541666667</v>
      </c>
      <c r="X451" s="79">
        <v>45049.270833333336</v>
      </c>
      <c r="Y451" s="88">
        <v>45049.416666666664</v>
      </c>
      <c r="Z451" s="81">
        <v>3400</v>
      </c>
      <c r="AA451" s="81">
        <v>565.20000000000005</v>
      </c>
      <c r="AB451" s="81"/>
      <c r="AC451" s="81"/>
      <c r="AD451" s="81"/>
      <c r="AE451" s="81"/>
      <c r="AF451" s="81"/>
      <c r="AG451" s="81">
        <f>Sal_23[[#This Row],[COMPRA]]*12%</f>
        <v>558.28440000000001</v>
      </c>
      <c r="AH451" s="83">
        <v>4652.37</v>
      </c>
      <c r="AI451" s="66" t="str">
        <f>PROPER(TEXT(Sal_23[[#This Row],[PROGRAMAÇÃO]],"mmm"))</f>
        <v>Mai</v>
      </c>
      <c r="AJ451" s="66">
        <f>YEAR(Sal_23[[#This Row],[PROGRAMAÇÃO]])</f>
        <v>2023</v>
      </c>
      <c r="AK451" s="66"/>
      <c r="AL451" s="66"/>
      <c r="AM451" s="66" t="s">
        <v>2768</v>
      </c>
      <c r="AN451" s="66" t="s">
        <v>2768</v>
      </c>
      <c r="AO451" s="66" t="s">
        <v>2768</v>
      </c>
    </row>
    <row r="452" spans="2:41" x14ac:dyDescent="0.25">
      <c r="B452" s="128" t="s">
        <v>2771</v>
      </c>
      <c r="C45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2" s="79">
        <v>45049.416666666664</v>
      </c>
      <c r="E452" s="44" t="s">
        <v>4392</v>
      </c>
      <c r="F452" s="66">
        <v>40</v>
      </c>
      <c r="G452" s="66" t="s">
        <v>2826</v>
      </c>
      <c r="H452" s="44" t="s">
        <v>1674</v>
      </c>
      <c r="I452" s="299" t="s">
        <v>2829</v>
      </c>
      <c r="J452" s="66">
        <v>4224</v>
      </c>
      <c r="K452" s="66" t="s">
        <v>4374</v>
      </c>
      <c r="L452" s="66">
        <v>105901</v>
      </c>
      <c r="M452" s="66">
        <v>105902</v>
      </c>
      <c r="N452" s="66" t="s">
        <v>150</v>
      </c>
      <c r="O452" s="66" t="s">
        <v>151</v>
      </c>
      <c r="P452" s="66" t="s">
        <v>152</v>
      </c>
      <c r="Q452" s="138" t="str">
        <f ca="1">IFERROR(LOOKUP($P452,MOTORISTAS!$D$3:$D$1048576,MOTORISTAS!E$3:E$916),"")</f>
        <v>05753633803</v>
      </c>
      <c r="R452" s="138" t="str">
        <f ca="1">IFERROR(LOOKUP($P452,MOTORISTAS!$D$3:$D$1048576,MOTORISTAS!F$3:F$916),"")</f>
        <v>01922497849</v>
      </c>
      <c r="S452" s="66">
        <v>15867</v>
      </c>
      <c r="T452" s="66" t="s">
        <v>293</v>
      </c>
      <c r="U452" s="79">
        <v>45049.011805555558</v>
      </c>
      <c r="V452" s="66" t="s">
        <v>292</v>
      </c>
      <c r="W452" s="79">
        <v>45049</v>
      </c>
      <c r="X452" s="79">
        <v>45049.378472222219</v>
      </c>
      <c r="Y452" s="88">
        <v>45049.434027777781</v>
      </c>
      <c r="Z452" s="81">
        <v>3400</v>
      </c>
      <c r="AA452" s="81"/>
      <c r="AB452" s="81"/>
      <c r="AC452" s="81"/>
      <c r="AD452" s="81"/>
      <c r="AE452" s="81"/>
      <c r="AF452" s="81"/>
      <c r="AG452" s="81">
        <f>Sal_23[[#This Row],[COMPRA]]*12%</f>
        <v>558.28440000000001</v>
      </c>
      <c r="AH452" s="83">
        <v>4652.37</v>
      </c>
      <c r="AI452" s="66" t="str">
        <f>PROPER(TEXT(Sal_23[[#This Row],[PROGRAMAÇÃO]],"mmm"))</f>
        <v>Mai</v>
      </c>
      <c r="AJ452" s="66">
        <f>YEAR(Sal_23[[#This Row],[PROGRAMAÇÃO]])</f>
        <v>2023</v>
      </c>
      <c r="AK452" s="66"/>
      <c r="AL452" s="66"/>
      <c r="AM452" s="66" t="s">
        <v>2768</v>
      </c>
      <c r="AN452" s="66" t="s">
        <v>2768</v>
      </c>
      <c r="AO452" s="66" t="s">
        <v>2768</v>
      </c>
    </row>
    <row r="453" spans="2:41" x14ac:dyDescent="0.25">
      <c r="B453" s="128" t="s">
        <v>2771</v>
      </c>
      <c r="C45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3" s="79">
        <v>45049.333333333336</v>
      </c>
      <c r="E453" s="44" t="s">
        <v>4393</v>
      </c>
      <c r="F453" s="66">
        <v>40</v>
      </c>
      <c r="G453" s="66" t="s">
        <v>2826</v>
      </c>
      <c r="H453" s="44" t="s">
        <v>1674</v>
      </c>
      <c r="I453" s="299" t="s">
        <v>2829</v>
      </c>
      <c r="J453" s="66">
        <v>4159</v>
      </c>
      <c r="K453" s="66" t="s">
        <v>4374</v>
      </c>
      <c r="L453" s="66">
        <v>105817</v>
      </c>
      <c r="M453" s="66">
        <v>105818</v>
      </c>
      <c r="N453" s="66" t="s">
        <v>155</v>
      </c>
      <c r="O453" s="66" t="s">
        <v>209</v>
      </c>
      <c r="P453" s="66" t="s">
        <v>156</v>
      </c>
      <c r="Q453" s="138" t="str">
        <f ca="1">IFERROR(LOOKUP($P453,MOTORISTAS!$D$3:$D$1048576,MOTORISTAS!E$3:E$916),"")</f>
        <v>09803034863</v>
      </c>
      <c r="R453" s="138" t="str">
        <f ca="1">IFERROR(LOOKUP($P453,MOTORISTAS!$D$3:$D$1048576,MOTORISTAS!F$3:F$916),"")</f>
        <v>01484565209</v>
      </c>
      <c r="S453" s="66">
        <v>15868</v>
      </c>
      <c r="T453" s="66" t="s">
        <v>293</v>
      </c>
      <c r="U453" s="66" t="s">
        <v>4549</v>
      </c>
      <c r="V453" s="66" t="s">
        <v>292</v>
      </c>
      <c r="W453" s="79">
        <v>45049.678472222222</v>
      </c>
      <c r="X453" s="79">
        <v>45049.104166666664</v>
      </c>
      <c r="Y453" s="88">
        <v>45049.392361111109</v>
      </c>
      <c r="Z453" s="81">
        <v>3400</v>
      </c>
      <c r="AA453" s="81"/>
      <c r="AB453" s="81"/>
      <c r="AC453" s="81"/>
      <c r="AD453" s="81"/>
      <c r="AE453" s="81"/>
      <c r="AF453" s="81"/>
      <c r="AG453" s="81">
        <f>Sal_23[[#This Row],[COMPRA]]*12%</f>
        <v>558.28440000000001</v>
      </c>
      <c r="AH453" s="83">
        <v>4652.37</v>
      </c>
      <c r="AI453" s="66" t="str">
        <f>PROPER(TEXT(Sal_23[[#This Row],[PROGRAMAÇÃO]],"mmm"))</f>
        <v>Mai</v>
      </c>
      <c r="AJ453" s="66">
        <f>YEAR(Sal_23[[#This Row],[PROGRAMAÇÃO]])</f>
        <v>2023</v>
      </c>
      <c r="AK453" s="66"/>
      <c r="AL453" s="66"/>
      <c r="AM453" s="66" t="s">
        <v>2768</v>
      </c>
      <c r="AN453" s="66" t="s">
        <v>2768</v>
      </c>
      <c r="AO453" s="66" t="s">
        <v>2768</v>
      </c>
    </row>
    <row r="454" spans="2:41" x14ac:dyDescent="0.25">
      <c r="B454" s="128" t="s">
        <v>2771</v>
      </c>
      <c r="C45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4" s="79">
        <v>45049.333333333336</v>
      </c>
      <c r="E454" s="44" t="s">
        <v>4394</v>
      </c>
      <c r="F454" s="66">
        <v>40</v>
      </c>
      <c r="G454" s="66" t="s">
        <v>2826</v>
      </c>
      <c r="H454" s="44" t="s">
        <v>4395</v>
      </c>
      <c r="I454" s="299" t="s">
        <v>3072</v>
      </c>
      <c r="J454" s="66">
        <v>4156</v>
      </c>
      <c r="K454" s="66" t="s">
        <v>4374</v>
      </c>
      <c r="L454" s="66">
        <v>105766</v>
      </c>
      <c r="M454" s="66"/>
      <c r="N454" s="66" t="s">
        <v>68</v>
      </c>
      <c r="O454" s="66" t="s">
        <v>36</v>
      </c>
      <c r="P454" s="66" t="s">
        <v>69</v>
      </c>
      <c r="Q454" s="138" t="str">
        <f ca="1">IFERROR(LOOKUP($P454,MOTORISTAS!$D$3:$D$1048576,MOTORISTAS!E$3:E$916),"")</f>
        <v>07968457866</v>
      </c>
      <c r="R454" s="138" t="str">
        <f ca="1">IFERROR(LOOKUP($P454,MOTORISTAS!$D$3:$D$1048576,MOTORISTAS!F$3:F$916),"")</f>
        <v>03264365790</v>
      </c>
      <c r="S454" s="66">
        <v>15862</v>
      </c>
      <c r="T454" s="66" t="s">
        <v>293</v>
      </c>
      <c r="U454" s="79">
        <v>45048.67291666667</v>
      </c>
      <c r="V454" s="66" t="s">
        <v>292</v>
      </c>
      <c r="W454" s="79">
        <v>45049.655555555553</v>
      </c>
      <c r="X454" s="79">
        <v>45049.256944444445</v>
      </c>
      <c r="Y454" s="88">
        <v>45049.46875</v>
      </c>
      <c r="Z454" s="81">
        <v>2200</v>
      </c>
      <c r="AA454" s="81"/>
      <c r="AB454" s="81"/>
      <c r="AC454" s="81"/>
      <c r="AD454" s="81"/>
      <c r="AE454" s="81"/>
      <c r="AF454" s="81"/>
      <c r="AG454" s="81">
        <f>Sal_23[[#This Row],[COMPRA]]*12%</f>
        <v>381.34559999999999</v>
      </c>
      <c r="AH454" s="83">
        <v>3177.88</v>
      </c>
      <c r="AI454" s="66" t="str">
        <f>PROPER(TEXT(Sal_23[[#This Row],[PROGRAMAÇÃO]],"mmm"))</f>
        <v>Mai</v>
      </c>
      <c r="AJ454" s="66">
        <f>YEAR(Sal_23[[#This Row],[PROGRAMAÇÃO]])</f>
        <v>2023</v>
      </c>
      <c r="AK454" s="66"/>
      <c r="AL454" s="66"/>
      <c r="AM454" s="66" t="s">
        <v>2768</v>
      </c>
      <c r="AN454" s="66" t="s">
        <v>2768</v>
      </c>
      <c r="AO454" s="66" t="s">
        <v>2768</v>
      </c>
    </row>
    <row r="455" spans="2:41" x14ac:dyDescent="0.25">
      <c r="B455" s="128" t="s">
        <v>2771</v>
      </c>
      <c r="C45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5" s="79">
        <v>45048.375</v>
      </c>
      <c r="E455" s="44" t="s">
        <v>4431</v>
      </c>
      <c r="F455" s="66">
        <v>20</v>
      </c>
      <c r="G455" s="66" t="s">
        <v>2820</v>
      </c>
      <c r="H455" s="44" t="s">
        <v>2820</v>
      </c>
      <c r="I455" s="299" t="s">
        <v>2821</v>
      </c>
      <c r="J455" s="66" t="s">
        <v>4458</v>
      </c>
      <c r="K455" s="66" t="s">
        <v>4430</v>
      </c>
      <c r="L455" s="66">
        <v>105953</v>
      </c>
      <c r="M455" s="66"/>
      <c r="N455" s="66" t="s">
        <v>2859</v>
      </c>
      <c r="O455" s="66" t="s">
        <v>2860</v>
      </c>
      <c r="P455" s="66" t="s">
        <v>2861</v>
      </c>
      <c r="Q455" s="138" t="str">
        <f ca="1">IFERROR(LOOKUP($P455,MOTORISTAS!$D$3:$D$1048576,MOTORISTAS!E$3:E$916),"")</f>
        <v>01817591878</v>
      </c>
      <c r="R455" s="138" t="str">
        <f ca="1">IFERROR(LOOKUP($P455,MOTORISTAS!$D$3:$D$1048576,MOTORISTAS!F$3:F$916),"")</f>
        <v>00821760640</v>
      </c>
      <c r="S455" s="66">
        <v>15833</v>
      </c>
      <c r="T455" s="66" t="s">
        <v>293</v>
      </c>
      <c r="U455" s="79">
        <v>45047.988888888889</v>
      </c>
      <c r="V455" s="66" t="s">
        <v>292</v>
      </c>
      <c r="W455" s="79">
        <v>45048.572916666664</v>
      </c>
      <c r="X455" s="79">
        <v>45048.083333333336</v>
      </c>
      <c r="Y455" s="88">
        <v>45048.486111111109</v>
      </c>
      <c r="Z455" s="81">
        <v>1600</v>
      </c>
      <c r="AA455" s="81"/>
      <c r="AB455" s="81"/>
      <c r="AC455" s="81"/>
      <c r="AD455" s="81"/>
      <c r="AE455" s="81"/>
      <c r="AF455" s="81"/>
      <c r="AG455" s="81">
        <f>Sal_23[[#This Row],[COMPRA]]*12%</f>
        <v>276</v>
      </c>
      <c r="AH455" s="83">
        <v>2300</v>
      </c>
      <c r="AI455" s="66" t="str">
        <f>PROPER(TEXT(Sal_23[[#This Row],[PROGRAMAÇÃO]],"mmm"))</f>
        <v>Mai</v>
      </c>
      <c r="AJ455" s="66">
        <f>YEAR(Sal_23[[#This Row],[PROGRAMAÇÃO]])</f>
        <v>2023</v>
      </c>
      <c r="AK455" s="66"/>
      <c r="AL455" s="66"/>
      <c r="AM455" s="66" t="s">
        <v>2768</v>
      </c>
      <c r="AN455" s="66" t="s">
        <v>2768</v>
      </c>
      <c r="AO455" s="66" t="s">
        <v>2768</v>
      </c>
    </row>
    <row r="456" spans="2:41" x14ac:dyDescent="0.25">
      <c r="B456" s="128" t="s">
        <v>2771</v>
      </c>
      <c r="C45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6" s="79">
        <v>45048.458333333336</v>
      </c>
      <c r="E456" s="44" t="s">
        <v>4432</v>
      </c>
      <c r="F456" s="66">
        <v>20</v>
      </c>
      <c r="G456" s="66" t="s">
        <v>2820</v>
      </c>
      <c r="H456" s="44" t="s">
        <v>2820</v>
      </c>
      <c r="I456" s="299" t="s">
        <v>2821</v>
      </c>
      <c r="J456" s="66" t="s">
        <v>4458</v>
      </c>
      <c r="K456" s="66" t="s">
        <v>4430</v>
      </c>
      <c r="L456" s="66">
        <v>105954</v>
      </c>
      <c r="M456" s="66"/>
      <c r="N456" s="66" t="s">
        <v>2949</v>
      </c>
      <c r="O456" s="66" t="s">
        <v>2950</v>
      </c>
      <c r="P456" s="66" t="s">
        <v>2948</v>
      </c>
      <c r="Q456" s="138" t="str">
        <f ca="1">IFERROR(LOOKUP($P456,MOTORISTAS!$D$3:$D$1048576,MOTORISTAS!E$3:E$916),"")</f>
        <v>16239341843</v>
      </c>
      <c r="R456" s="138" t="str">
        <f ca="1">IFERROR(LOOKUP($P456,MOTORISTAS!$D$3:$D$1048576,MOTORISTAS!F$3:F$916),"")</f>
        <v>01877235038</v>
      </c>
      <c r="S456" s="66">
        <v>15834</v>
      </c>
      <c r="T456" s="66" t="s">
        <v>293</v>
      </c>
      <c r="U456" s="79">
        <v>45047.980555555558</v>
      </c>
      <c r="V456" s="66" t="s">
        <v>292</v>
      </c>
      <c r="W456" s="79">
        <v>45048.638194444444</v>
      </c>
      <c r="X456" s="79">
        <v>45048.083333333336</v>
      </c>
      <c r="Y456" s="88">
        <v>45048.527777777781</v>
      </c>
      <c r="Z456" s="81">
        <v>1600</v>
      </c>
      <c r="AA456" s="81"/>
      <c r="AB456" s="81"/>
      <c r="AC456" s="81"/>
      <c r="AD456" s="81"/>
      <c r="AE456" s="81"/>
      <c r="AF456" s="81"/>
      <c r="AG456" s="81">
        <f>Sal_23[[#This Row],[COMPRA]]*12%</f>
        <v>276</v>
      </c>
      <c r="AH456" s="83">
        <v>2300</v>
      </c>
      <c r="AI456" s="66" t="str">
        <f>PROPER(TEXT(Sal_23[[#This Row],[PROGRAMAÇÃO]],"mmm"))</f>
        <v>Mai</v>
      </c>
      <c r="AJ456" s="66">
        <f>YEAR(Sal_23[[#This Row],[PROGRAMAÇÃO]])</f>
        <v>2023</v>
      </c>
      <c r="AK456" s="66"/>
      <c r="AL456" s="66"/>
      <c r="AM456" s="66" t="s">
        <v>2768</v>
      </c>
      <c r="AN456" s="66" t="s">
        <v>2768</v>
      </c>
      <c r="AO456" s="66" t="s">
        <v>2768</v>
      </c>
    </row>
    <row r="457" spans="2:41" x14ac:dyDescent="0.25">
      <c r="B457" s="128" t="s">
        <v>2771</v>
      </c>
      <c r="C45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7" s="79">
        <v>45048.375</v>
      </c>
      <c r="E457" s="44" t="s">
        <v>4433</v>
      </c>
      <c r="F457" s="66">
        <v>20</v>
      </c>
      <c r="G457" s="66" t="s">
        <v>2820</v>
      </c>
      <c r="H457" s="44" t="s">
        <v>2820</v>
      </c>
      <c r="I457" s="299" t="s">
        <v>2821</v>
      </c>
      <c r="J457" s="66" t="s">
        <v>4458</v>
      </c>
      <c r="K457" s="66" t="s">
        <v>4430</v>
      </c>
      <c r="L457" s="66">
        <v>70608</v>
      </c>
      <c r="M457" s="66"/>
      <c r="N457" s="66" t="s">
        <v>2584</v>
      </c>
      <c r="O457" s="66" t="s">
        <v>2585</v>
      </c>
      <c r="P457" s="66" t="s">
        <v>2586</v>
      </c>
      <c r="Q457" s="138" t="str">
        <f ca="1">IFERROR(LOOKUP($P457,MOTORISTAS!$D$3:$D$1048576,MOTORISTAS!E$3:E$916),"")</f>
        <v>08312935860</v>
      </c>
      <c r="R457" s="138" t="str">
        <f ca="1">IFERROR(LOOKUP($P457,MOTORISTAS!$D$3:$D$1048576,MOTORISTAS!F$3:F$916),"")</f>
        <v>03106516083</v>
      </c>
      <c r="S457" s="66">
        <v>15835</v>
      </c>
      <c r="T457" s="66" t="s">
        <v>293</v>
      </c>
      <c r="U457" s="79">
        <v>45047.894444444442</v>
      </c>
      <c r="V457" s="66" t="s">
        <v>292</v>
      </c>
      <c r="W457" s="79">
        <v>45048.532638888886</v>
      </c>
      <c r="X457" s="79">
        <v>45048.006944444445</v>
      </c>
      <c r="Y457" s="88">
        <v>45048.423611111109</v>
      </c>
      <c r="Z457" s="81">
        <v>1600</v>
      </c>
      <c r="AA457" s="81"/>
      <c r="AB457" s="81"/>
      <c r="AC457" s="81"/>
      <c r="AD457" s="81"/>
      <c r="AE457" s="81"/>
      <c r="AF457" s="81"/>
      <c r="AG457" s="81">
        <f>Sal_23[[#This Row],[COMPRA]]*12%</f>
        <v>276</v>
      </c>
      <c r="AH457" s="83">
        <v>2300</v>
      </c>
      <c r="AI457" s="66" t="str">
        <f>PROPER(TEXT(Sal_23[[#This Row],[PROGRAMAÇÃO]],"mmm"))</f>
        <v>Mai</v>
      </c>
      <c r="AJ457" s="66">
        <f>YEAR(Sal_23[[#This Row],[PROGRAMAÇÃO]])</f>
        <v>2023</v>
      </c>
      <c r="AK457" s="66"/>
      <c r="AL457" s="66"/>
      <c r="AM457" s="66" t="s">
        <v>2768</v>
      </c>
      <c r="AN457" s="66" t="s">
        <v>2768</v>
      </c>
      <c r="AO457" s="66" t="s">
        <v>2768</v>
      </c>
    </row>
    <row r="458" spans="2:41" x14ac:dyDescent="0.25">
      <c r="B458" s="128" t="s">
        <v>2771</v>
      </c>
      <c r="C45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8" s="79">
        <v>45049.375</v>
      </c>
      <c r="E458" s="44" t="s">
        <v>4434</v>
      </c>
      <c r="F458" s="66">
        <v>20</v>
      </c>
      <c r="G458" s="66" t="s">
        <v>2820</v>
      </c>
      <c r="H458" s="44" t="s">
        <v>2820</v>
      </c>
      <c r="I458" s="299" t="s">
        <v>2821</v>
      </c>
      <c r="J458" s="66" t="s">
        <v>4481</v>
      </c>
      <c r="K458" s="66" t="s">
        <v>4430</v>
      </c>
      <c r="L458" s="66">
        <v>70609</v>
      </c>
      <c r="M458" s="66"/>
      <c r="N458" s="66" t="s">
        <v>92</v>
      </c>
      <c r="O458" s="66" t="s">
        <v>3246</v>
      </c>
      <c r="P458" s="66" t="s">
        <v>94</v>
      </c>
      <c r="Q458" s="138" t="str">
        <f ca="1">IFERROR(LOOKUP($P458,MOTORISTAS!$D$3:$D$1048576,MOTORISTAS!E$3:E$916),"")</f>
        <v>26283419801</v>
      </c>
      <c r="R458" s="138" t="str">
        <f ca="1">IFERROR(LOOKUP($P458,MOTORISTAS!$D$3:$D$1048576,MOTORISTAS!F$3:F$916),"")</f>
        <v>02002046946</v>
      </c>
      <c r="S458" s="66">
        <v>15864</v>
      </c>
      <c r="T458" s="66" t="s">
        <v>306</v>
      </c>
      <c r="U458" s="79">
        <v>45048.663194444445</v>
      </c>
      <c r="V458" s="66" t="s">
        <v>409</v>
      </c>
      <c r="W458" s="79">
        <v>45049.635416666664</v>
      </c>
      <c r="X458" s="79">
        <v>45049.277777777781</v>
      </c>
      <c r="Y458" s="88">
        <v>45049.4375</v>
      </c>
      <c r="Z458" s="81">
        <v>1600</v>
      </c>
      <c r="AA458" s="81"/>
      <c r="AB458" s="81"/>
      <c r="AC458" s="81"/>
      <c r="AD458" s="81"/>
      <c r="AE458" s="81"/>
      <c r="AF458" s="81"/>
      <c r="AG458" s="81">
        <f>Sal_23[[#This Row],[COMPRA]]*12%</f>
        <v>276</v>
      </c>
      <c r="AH458" s="83">
        <v>2300</v>
      </c>
      <c r="AI458" s="66" t="str">
        <f>PROPER(TEXT(Sal_23[[#This Row],[PROGRAMAÇÃO]],"mmm"))</f>
        <v>Mai</v>
      </c>
      <c r="AJ458" s="66">
        <f>YEAR(Sal_23[[#This Row],[PROGRAMAÇÃO]])</f>
        <v>2023</v>
      </c>
      <c r="AK458" s="66"/>
      <c r="AL458" s="66"/>
      <c r="AM458" s="66" t="s">
        <v>2768</v>
      </c>
      <c r="AN458" s="66" t="s">
        <v>2768</v>
      </c>
      <c r="AO458" s="66" t="s">
        <v>2768</v>
      </c>
    </row>
    <row r="459" spans="2:41" x14ac:dyDescent="0.25">
      <c r="B459" s="128" t="s">
        <v>2771</v>
      </c>
      <c r="C45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59" s="79">
        <v>45050.458333333336</v>
      </c>
      <c r="E459" s="44" t="s">
        <v>4447</v>
      </c>
      <c r="F459" s="66">
        <v>20</v>
      </c>
      <c r="G459" s="66" t="s">
        <v>2820</v>
      </c>
      <c r="H459" s="44" t="s">
        <v>2820</v>
      </c>
      <c r="I459" s="299" t="s">
        <v>2821</v>
      </c>
      <c r="J459" s="66">
        <v>4383</v>
      </c>
      <c r="K459" s="66" t="s">
        <v>4446</v>
      </c>
      <c r="L459" s="66">
        <v>106039</v>
      </c>
      <c r="M459" s="66"/>
      <c r="N459" s="66" t="s">
        <v>2584</v>
      </c>
      <c r="O459" s="66" t="s">
        <v>2585</v>
      </c>
      <c r="P459" s="66" t="s">
        <v>2586</v>
      </c>
      <c r="Q459" s="138" t="str">
        <f ca="1">IFERROR(LOOKUP($P459,MOTORISTAS!$D$3:$D$1048576,MOTORISTAS!E$3:E$916),"")</f>
        <v>08312935860</v>
      </c>
      <c r="R459" s="138" t="str">
        <f ca="1">IFERROR(LOOKUP($P459,MOTORISTAS!$D$3:$D$1048576,MOTORISTAS!F$3:F$916),"")</f>
        <v>03106516083</v>
      </c>
      <c r="S459" s="66">
        <v>15876</v>
      </c>
      <c r="T459" s="66" t="s">
        <v>293</v>
      </c>
      <c r="U459" s="79">
        <v>45050.286111111112</v>
      </c>
      <c r="V459" s="66" t="s">
        <v>292</v>
      </c>
      <c r="W459" s="79">
        <v>45051.343055555553</v>
      </c>
      <c r="X459" s="79">
        <v>45050.375</v>
      </c>
      <c r="Y459" s="88">
        <v>45050.663194444445</v>
      </c>
      <c r="Z459" s="81">
        <v>1600</v>
      </c>
      <c r="AA459" s="81"/>
      <c r="AB459" s="81"/>
      <c r="AC459" s="81"/>
      <c r="AD459" s="81"/>
      <c r="AE459" s="81"/>
      <c r="AF459" s="81"/>
      <c r="AG459" s="81">
        <f>Sal_23[[#This Row],[COMPRA]]*12%</f>
        <v>276</v>
      </c>
      <c r="AH459" s="83">
        <v>2300</v>
      </c>
      <c r="AI459" s="66" t="str">
        <f>PROPER(TEXT(Sal_23[[#This Row],[PROGRAMAÇÃO]],"mmm"))</f>
        <v>Mai</v>
      </c>
      <c r="AJ459" s="66">
        <f>YEAR(Sal_23[[#This Row],[PROGRAMAÇÃO]])</f>
        <v>2023</v>
      </c>
      <c r="AK459" s="66"/>
      <c r="AL459" s="66"/>
      <c r="AM459" s="66" t="s">
        <v>2768</v>
      </c>
      <c r="AN459" s="66" t="s">
        <v>2768</v>
      </c>
      <c r="AO459" s="66" t="s">
        <v>2768</v>
      </c>
    </row>
    <row r="460" spans="2:41" x14ac:dyDescent="0.25">
      <c r="B460" s="128" t="s">
        <v>2771</v>
      </c>
      <c r="C46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0" s="79">
        <v>45050.375</v>
      </c>
      <c r="E460" s="44" t="s">
        <v>4484</v>
      </c>
      <c r="F460" s="66">
        <v>20</v>
      </c>
      <c r="G460" s="66" t="s">
        <v>2820</v>
      </c>
      <c r="H460" s="44" t="s">
        <v>2820</v>
      </c>
      <c r="I460" s="299" t="s">
        <v>2821</v>
      </c>
      <c r="J460" s="66">
        <v>4427</v>
      </c>
      <c r="K460" s="66" t="s">
        <v>4446</v>
      </c>
      <c r="L460" s="66">
        <v>106089</v>
      </c>
      <c r="M460" s="66"/>
      <c r="N460" s="66" t="s">
        <v>2859</v>
      </c>
      <c r="O460" s="66" t="s">
        <v>2860</v>
      </c>
      <c r="P460" s="66" t="s">
        <v>2861</v>
      </c>
      <c r="Q460" s="138" t="str">
        <f ca="1">IFERROR(LOOKUP($P460,MOTORISTAS!$D$3:$D$1048576,MOTORISTAS!E$3:E$916),"")</f>
        <v>01817591878</v>
      </c>
      <c r="R460" s="138" t="str">
        <f ca="1">IFERROR(LOOKUP($P460,MOTORISTAS!$D$3:$D$1048576,MOTORISTAS!F$3:F$916),"")</f>
        <v>00821760640</v>
      </c>
      <c r="S460" s="66">
        <v>15873</v>
      </c>
      <c r="T460" s="66" t="s">
        <v>293</v>
      </c>
      <c r="U460" s="79">
        <v>45049.951388888891</v>
      </c>
      <c r="V460" s="66" t="s">
        <v>292</v>
      </c>
      <c r="W460" s="79">
        <v>45050.563888888886</v>
      </c>
      <c r="X460" s="79">
        <v>45050.083333333336</v>
      </c>
      <c r="Y460" s="88">
        <v>45050.4375</v>
      </c>
      <c r="Z460" s="81">
        <v>1600</v>
      </c>
      <c r="AA460" s="81"/>
      <c r="AB460" s="81"/>
      <c r="AC460" s="81"/>
      <c r="AD460" s="81"/>
      <c r="AE460" s="81"/>
      <c r="AF460" s="81"/>
      <c r="AG460" s="81">
        <f>Sal_23[[#This Row],[COMPRA]]*12%</f>
        <v>276</v>
      </c>
      <c r="AH460" s="83">
        <v>2300</v>
      </c>
      <c r="AI460" s="66" t="str">
        <f>PROPER(TEXT(Sal_23[[#This Row],[PROGRAMAÇÃO]],"mmm"))</f>
        <v>Mai</v>
      </c>
      <c r="AJ460" s="66">
        <f>YEAR(Sal_23[[#This Row],[PROGRAMAÇÃO]])</f>
        <v>2023</v>
      </c>
      <c r="AK460" s="66"/>
      <c r="AL460" s="66"/>
      <c r="AM460" s="66" t="s">
        <v>2768</v>
      </c>
      <c r="AN460" s="66" t="s">
        <v>2768</v>
      </c>
      <c r="AO460" s="66" t="s">
        <v>2768</v>
      </c>
    </row>
    <row r="461" spans="2:41" x14ac:dyDescent="0.25">
      <c r="B461" s="128" t="s">
        <v>2771</v>
      </c>
      <c r="C46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1" s="79">
        <v>45050.375</v>
      </c>
      <c r="E461" s="44" t="s">
        <v>4449</v>
      </c>
      <c r="F461" s="66">
        <v>20</v>
      </c>
      <c r="G461" s="66" t="s">
        <v>2820</v>
      </c>
      <c r="H461" s="44" t="s">
        <v>2820</v>
      </c>
      <c r="I461" s="299" t="s">
        <v>2821</v>
      </c>
      <c r="J461" s="66">
        <v>4382</v>
      </c>
      <c r="K461" s="66" t="s">
        <v>4446</v>
      </c>
      <c r="L461" s="66">
        <v>106040</v>
      </c>
      <c r="M461" s="66"/>
      <c r="N461" s="66" t="s">
        <v>2949</v>
      </c>
      <c r="O461" s="66" t="s">
        <v>2950</v>
      </c>
      <c r="P461" s="66" t="s">
        <v>2948</v>
      </c>
      <c r="Q461" s="138" t="str">
        <f ca="1">IFERROR(LOOKUP($P461,MOTORISTAS!$D$3:$D$1048576,MOTORISTAS!E$3:E$916),"")</f>
        <v>16239341843</v>
      </c>
      <c r="R461" s="138" t="str">
        <f ca="1">IFERROR(LOOKUP($P461,MOTORISTAS!$D$3:$D$1048576,MOTORISTAS!F$3:F$916),"")</f>
        <v>01877235038</v>
      </c>
      <c r="S461" s="66">
        <v>15875</v>
      </c>
      <c r="T461" s="66" t="s">
        <v>293</v>
      </c>
      <c r="U461" s="79">
        <v>45050.02847222222</v>
      </c>
      <c r="V461" s="66" t="s">
        <v>292</v>
      </c>
      <c r="W461" s="79">
        <v>45050.541666666664</v>
      </c>
      <c r="X461" s="79">
        <v>45050.104166666664</v>
      </c>
      <c r="Y461" s="88">
        <v>45050.454861111109</v>
      </c>
      <c r="Z461" s="81">
        <v>1600</v>
      </c>
      <c r="AA461" s="81"/>
      <c r="AB461" s="81"/>
      <c r="AC461" s="81"/>
      <c r="AD461" s="81"/>
      <c r="AE461" s="81"/>
      <c r="AF461" s="81"/>
      <c r="AG461" s="81">
        <f>Sal_23[[#This Row],[COMPRA]]*12%</f>
        <v>276</v>
      </c>
      <c r="AH461" s="83">
        <v>2300</v>
      </c>
      <c r="AI461" s="66" t="str">
        <f>PROPER(TEXT(Sal_23[[#This Row],[PROGRAMAÇÃO]],"mmm"))</f>
        <v>Mai</v>
      </c>
      <c r="AJ461" s="66">
        <f>YEAR(Sal_23[[#This Row],[PROGRAMAÇÃO]])</f>
        <v>2023</v>
      </c>
      <c r="AK461" s="66"/>
      <c r="AL461" s="66"/>
      <c r="AM461" s="66" t="s">
        <v>2768</v>
      </c>
      <c r="AN461" s="66" t="s">
        <v>2768</v>
      </c>
      <c r="AO461" s="66" t="s">
        <v>2768</v>
      </c>
    </row>
    <row r="462" spans="2:41" x14ac:dyDescent="0.25">
      <c r="B462" s="128" t="s">
        <v>2771</v>
      </c>
      <c r="C46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2" s="79">
        <v>45050.5</v>
      </c>
      <c r="E462" s="44" t="s">
        <v>4452</v>
      </c>
      <c r="F462" s="66">
        <v>40</v>
      </c>
      <c r="G462" s="66" t="s">
        <v>2820</v>
      </c>
      <c r="H462" s="44" t="s">
        <v>2820</v>
      </c>
      <c r="I462" s="299" t="s">
        <v>2821</v>
      </c>
      <c r="J462" s="66">
        <v>4386</v>
      </c>
      <c r="K462" s="66" t="s">
        <v>4446</v>
      </c>
      <c r="L462" s="66">
        <v>106045</v>
      </c>
      <c r="M462" s="66"/>
      <c r="N462" s="66" t="s">
        <v>102</v>
      </c>
      <c r="O462" s="66" t="s">
        <v>27</v>
      </c>
      <c r="P462" s="66" t="s">
        <v>206</v>
      </c>
      <c r="Q462" s="138" t="str">
        <f ca="1">IFERROR(LOOKUP($P462,MOTORISTAS!$D$3:$D$1048576,MOTORISTAS!E$3:E$916),"")</f>
        <v>09085263425</v>
      </c>
      <c r="R462" s="138" t="str">
        <f ca="1">IFERROR(LOOKUP($P462,MOTORISTAS!$D$3:$D$1048576,MOTORISTAS!F$3:F$916),"")</f>
        <v>04557705505</v>
      </c>
      <c r="S462" s="66">
        <v>15874</v>
      </c>
      <c r="T462" s="66" t="s">
        <v>293</v>
      </c>
      <c r="U462" s="79">
        <v>45050.239583333336</v>
      </c>
      <c r="V462" s="66" t="s">
        <v>292</v>
      </c>
      <c r="W462" s="79">
        <v>45050.619444444441</v>
      </c>
      <c r="X462" s="79">
        <v>45050.326388888891</v>
      </c>
      <c r="Y462" s="88">
        <v>45050.518055555556</v>
      </c>
      <c r="Z462" s="81">
        <v>1600</v>
      </c>
      <c r="AA462" s="81"/>
      <c r="AB462" s="81"/>
      <c r="AC462" s="81"/>
      <c r="AD462" s="81"/>
      <c r="AE462" s="81"/>
      <c r="AF462" s="81"/>
      <c r="AG462" s="81">
        <f>Sal_23[[#This Row],[COMPRA]]*12%</f>
        <v>276</v>
      </c>
      <c r="AH462" s="83">
        <v>2300</v>
      </c>
      <c r="AI462" s="66" t="str">
        <f>PROPER(TEXT(Sal_23[[#This Row],[PROGRAMAÇÃO]],"mmm"))</f>
        <v>Mai</v>
      </c>
      <c r="AJ462" s="66">
        <f>YEAR(Sal_23[[#This Row],[PROGRAMAÇÃO]])</f>
        <v>2023</v>
      </c>
      <c r="AK462" s="66"/>
      <c r="AL462" s="66"/>
      <c r="AM462" s="66" t="s">
        <v>2768</v>
      </c>
      <c r="AN462" s="66" t="s">
        <v>2768</v>
      </c>
      <c r="AO462" s="66" t="s">
        <v>2768</v>
      </c>
    </row>
    <row r="463" spans="2:41" x14ac:dyDescent="0.25">
      <c r="B463" s="128" t="s">
        <v>2771</v>
      </c>
      <c r="C46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3" s="79">
        <v>45050.458333333336</v>
      </c>
      <c r="E463" s="44" t="s">
        <v>4448</v>
      </c>
      <c r="F463" s="66">
        <v>20</v>
      </c>
      <c r="G463" s="66" t="s">
        <v>2820</v>
      </c>
      <c r="H463" s="44" t="s">
        <v>2820</v>
      </c>
      <c r="I463" s="299" t="s">
        <v>2821</v>
      </c>
      <c r="J463" s="66">
        <v>4429</v>
      </c>
      <c r="K463" s="66" t="s">
        <v>4446</v>
      </c>
      <c r="L463" s="66">
        <v>116122</v>
      </c>
      <c r="M463" s="66"/>
      <c r="N463" s="66" t="s">
        <v>3040</v>
      </c>
      <c r="O463" s="66" t="s">
        <v>3041</v>
      </c>
      <c r="P463" s="66" t="s">
        <v>3042</v>
      </c>
      <c r="Q463" s="138" t="str">
        <f ca="1">IFERROR(LOOKUP($P463,MOTORISTAS!$D$3:$D$1048576,MOTORISTAS!E$3:E$916),"")</f>
        <v>19279658883</v>
      </c>
      <c r="R463" s="138" t="str">
        <f ca="1">IFERROR(LOOKUP($P463,MOTORISTAS!$D$3:$D$1048576,MOTORISTAS!F$3:F$916),"")</f>
        <v>01301319672</v>
      </c>
      <c r="S463" s="66">
        <v>15872</v>
      </c>
      <c r="T463" s="66" t="s">
        <v>293</v>
      </c>
      <c r="U463" s="79">
        <v>45050.001388888886</v>
      </c>
      <c r="V463" s="66" t="s">
        <v>292</v>
      </c>
      <c r="W463" s="79">
        <v>45050.618055555555</v>
      </c>
      <c r="X463" s="79">
        <v>45050.083333333336</v>
      </c>
      <c r="Y463" s="88">
        <v>45050.555555555555</v>
      </c>
      <c r="Z463" s="81">
        <v>1600</v>
      </c>
      <c r="AA463" s="81"/>
      <c r="AB463" s="81"/>
      <c r="AC463" s="81"/>
      <c r="AD463" s="81"/>
      <c r="AE463" s="81"/>
      <c r="AF463" s="81"/>
      <c r="AG463" s="81">
        <f>Sal_23[[#This Row],[COMPRA]]*12%</f>
        <v>276</v>
      </c>
      <c r="AH463" s="83">
        <v>2300</v>
      </c>
      <c r="AI463" s="66" t="str">
        <f>PROPER(TEXT(Sal_23[[#This Row],[PROGRAMAÇÃO]],"mmm"))</f>
        <v>Mai</v>
      </c>
      <c r="AJ463" s="66">
        <f>YEAR(Sal_23[[#This Row],[PROGRAMAÇÃO]])</f>
        <v>2023</v>
      </c>
      <c r="AK463" s="66"/>
      <c r="AL463" s="66"/>
      <c r="AM463" s="66" t="s">
        <v>2768</v>
      </c>
      <c r="AN463" s="66" t="s">
        <v>2768</v>
      </c>
      <c r="AO463" s="66" t="s">
        <v>2768</v>
      </c>
    </row>
    <row r="464" spans="2:41" x14ac:dyDescent="0.25">
      <c r="B464" s="128" t="s">
        <v>2771</v>
      </c>
      <c r="C46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4" s="79">
        <v>45050.541666666664</v>
      </c>
      <c r="E464" s="44" t="s">
        <v>4451</v>
      </c>
      <c r="F464" s="66">
        <v>40</v>
      </c>
      <c r="G464" s="66" t="s">
        <v>2820</v>
      </c>
      <c r="H464" s="44" t="s">
        <v>2820</v>
      </c>
      <c r="I464" s="299" t="s">
        <v>2821</v>
      </c>
      <c r="J464" s="66">
        <v>4384</v>
      </c>
      <c r="K464" s="66" t="s">
        <v>4446</v>
      </c>
      <c r="L464" s="66">
        <v>105988</v>
      </c>
      <c r="M464" s="66"/>
      <c r="N464" s="66" t="s">
        <v>155</v>
      </c>
      <c r="O464" s="66" t="s">
        <v>209</v>
      </c>
      <c r="P464" s="66" t="s">
        <v>156</v>
      </c>
      <c r="Q464" s="138" t="str">
        <f ca="1">IFERROR(LOOKUP($P464,MOTORISTAS!$D$3:$D$1048576,MOTORISTAS!E$3:E$916),"")</f>
        <v>09803034863</v>
      </c>
      <c r="R464" s="138" t="str">
        <f ca="1">IFERROR(LOOKUP($P464,MOTORISTAS!$D$3:$D$1048576,MOTORISTAS!F$3:F$916),"")</f>
        <v>01484565209</v>
      </c>
      <c r="S464" s="66" t="s">
        <v>4483</v>
      </c>
      <c r="T464" s="66" t="s">
        <v>293</v>
      </c>
      <c r="U464" s="79">
        <v>45050.293055555558</v>
      </c>
      <c r="V464" s="66" t="s">
        <v>469</v>
      </c>
      <c r="W464" s="79">
        <v>45050.75</v>
      </c>
      <c r="X464" s="79">
        <v>45050.375</v>
      </c>
      <c r="Y464" s="88">
        <v>45050.569444444445</v>
      </c>
      <c r="Z464" s="81">
        <v>1600</v>
      </c>
      <c r="AA464" s="81"/>
      <c r="AB464" s="81"/>
      <c r="AC464" s="81"/>
      <c r="AD464" s="81"/>
      <c r="AE464" s="81"/>
      <c r="AF464" s="81"/>
      <c r="AG464" s="81">
        <f>Sal_23[[#This Row],[COMPRA]]*12%</f>
        <v>276</v>
      </c>
      <c r="AH464" s="83">
        <v>2300</v>
      </c>
      <c r="AI464" s="66" t="str">
        <f>PROPER(TEXT(Sal_23[[#This Row],[PROGRAMAÇÃO]],"mmm"))</f>
        <v>Mai</v>
      </c>
      <c r="AJ464" s="66">
        <f>YEAR(Sal_23[[#This Row],[PROGRAMAÇÃO]])</f>
        <v>2023</v>
      </c>
      <c r="AK464" s="66"/>
      <c r="AL464" s="66"/>
      <c r="AM464" s="66" t="s">
        <v>2768</v>
      </c>
      <c r="AN464" s="66" t="s">
        <v>2768</v>
      </c>
      <c r="AO464" s="66" t="s">
        <v>2768</v>
      </c>
    </row>
    <row r="465" spans="2:41" x14ac:dyDescent="0.25">
      <c r="B465" s="128" t="s">
        <v>2771</v>
      </c>
      <c r="C46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5" s="79">
        <v>45050.333333333336</v>
      </c>
      <c r="E465" s="44" t="s">
        <v>4468</v>
      </c>
      <c r="F465" s="66">
        <v>20</v>
      </c>
      <c r="G465" s="66" t="s">
        <v>2826</v>
      </c>
      <c r="H465" s="44" t="s">
        <v>2825</v>
      </c>
      <c r="I465" s="299" t="s">
        <v>4012</v>
      </c>
      <c r="J465" s="66">
        <v>4371</v>
      </c>
      <c r="K465" s="66" t="s">
        <v>4446</v>
      </c>
      <c r="L465" s="66">
        <v>105989</v>
      </c>
      <c r="M465" s="66"/>
      <c r="N465" s="66" t="s">
        <v>68</v>
      </c>
      <c r="O465" s="66" t="s">
        <v>3246</v>
      </c>
      <c r="P465" s="66" t="s">
        <v>69</v>
      </c>
      <c r="Q465" s="138" t="str">
        <f ca="1">IFERROR(LOOKUP($P465,MOTORISTAS!$D$3:$D$1048576,MOTORISTAS!E$3:E$916),"")</f>
        <v>07968457866</v>
      </c>
      <c r="R465" s="138" t="str">
        <f ca="1">IFERROR(LOOKUP($P465,MOTORISTAS!$D$3:$D$1048576,MOTORISTAS!F$3:F$916),"")</f>
        <v>03264365790</v>
      </c>
      <c r="S465" s="66">
        <v>15880</v>
      </c>
      <c r="T465" s="66" t="s">
        <v>293</v>
      </c>
      <c r="U465" s="79">
        <v>45050.059027777781</v>
      </c>
      <c r="V465" s="66" t="s">
        <v>292</v>
      </c>
      <c r="W465" s="79">
        <v>45050.561805555553</v>
      </c>
      <c r="X465" s="79">
        <v>45050.152777777781</v>
      </c>
      <c r="Y465" s="88">
        <v>45050.430555555555</v>
      </c>
      <c r="Z465" s="81">
        <v>2000</v>
      </c>
      <c r="AA465" s="81"/>
      <c r="AB465" s="81"/>
      <c r="AC465" s="81">
        <v>700</v>
      </c>
      <c r="AD465" s="81"/>
      <c r="AE465" s="81"/>
      <c r="AF465" s="81"/>
      <c r="AG465" s="81">
        <f>Sal_23[[#This Row],[COMPRA]]*12%</f>
        <v>447.91919999999999</v>
      </c>
      <c r="AH465" s="83">
        <v>3732.66</v>
      </c>
      <c r="AI465" s="66" t="str">
        <f>PROPER(TEXT(Sal_23[[#This Row],[PROGRAMAÇÃO]],"mmm"))</f>
        <v>Mai</v>
      </c>
      <c r="AJ465" s="66">
        <f>YEAR(Sal_23[[#This Row],[PROGRAMAÇÃO]])</f>
        <v>2023</v>
      </c>
      <c r="AK465" s="66"/>
      <c r="AL465" s="66"/>
      <c r="AM465" s="66" t="s">
        <v>2768</v>
      </c>
      <c r="AN465" s="66" t="s">
        <v>2768</v>
      </c>
      <c r="AO465" s="66" t="s">
        <v>2768</v>
      </c>
    </row>
    <row r="466" spans="2:41" x14ac:dyDescent="0.25">
      <c r="B466" s="128" t="s">
        <v>2771</v>
      </c>
      <c r="C46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6" s="79">
        <v>45051.375</v>
      </c>
      <c r="E466" s="44" t="s">
        <v>4450</v>
      </c>
      <c r="F466" s="66">
        <v>20</v>
      </c>
      <c r="G466" s="66" t="s">
        <v>2820</v>
      </c>
      <c r="H466" s="44" t="s">
        <v>2820</v>
      </c>
      <c r="I466" s="299" t="s">
        <v>2821</v>
      </c>
      <c r="J466" s="66">
        <v>4380</v>
      </c>
      <c r="K466" s="66" t="s">
        <v>4446</v>
      </c>
      <c r="L466" s="66">
        <v>70647</v>
      </c>
      <c r="M466" s="66"/>
      <c r="N466" s="66" t="s">
        <v>2859</v>
      </c>
      <c r="O466" s="66" t="s">
        <v>2860</v>
      </c>
      <c r="P466" s="66" t="s">
        <v>2861</v>
      </c>
      <c r="Q466" s="138" t="str">
        <f ca="1">IFERROR(LOOKUP($P466,MOTORISTAS!$D$3:$D$1048576,MOTORISTAS!E$3:E$916),"")</f>
        <v>01817591878</v>
      </c>
      <c r="R466" s="138" t="str">
        <f ca="1">IFERROR(LOOKUP($P466,MOTORISTAS!$D$3:$D$1048576,MOTORISTAS!F$3:F$916),"")</f>
        <v>00821760640</v>
      </c>
      <c r="S466" s="66">
        <v>15885</v>
      </c>
      <c r="T466" s="66" t="s">
        <v>293</v>
      </c>
      <c r="U466" s="79">
        <v>45050.943749999999</v>
      </c>
      <c r="V466" s="66" t="s">
        <v>292</v>
      </c>
      <c r="W466" s="79">
        <v>45051.521527777775</v>
      </c>
      <c r="X466" s="79">
        <v>45051.052083333336</v>
      </c>
      <c r="Y466" s="88">
        <v>45051.4375</v>
      </c>
      <c r="Z466" s="81">
        <v>1600</v>
      </c>
      <c r="AA466" s="81"/>
      <c r="AB466" s="81"/>
      <c r="AC466" s="81"/>
      <c r="AD466" s="81"/>
      <c r="AE466" s="81"/>
      <c r="AF466" s="81"/>
      <c r="AG466" s="81">
        <f>Sal_23[[#This Row],[COMPRA]]*12%</f>
        <v>276</v>
      </c>
      <c r="AH466" s="83">
        <v>2300</v>
      </c>
      <c r="AI466" s="66" t="str">
        <f>PROPER(TEXT(Sal_23[[#This Row],[PROGRAMAÇÃO]],"mmm"))</f>
        <v>Mai</v>
      </c>
      <c r="AJ466" s="66">
        <f>YEAR(Sal_23[[#This Row],[PROGRAMAÇÃO]])</f>
        <v>2023</v>
      </c>
      <c r="AK466" s="66"/>
      <c r="AL466" s="66"/>
      <c r="AM466" s="66" t="s">
        <v>2768</v>
      </c>
      <c r="AN466" s="66" t="s">
        <v>2768</v>
      </c>
      <c r="AO466" s="66" t="s">
        <v>2768</v>
      </c>
    </row>
    <row r="467" spans="2:41" x14ac:dyDescent="0.25">
      <c r="B467" s="128" t="s">
        <v>2771</v>
      </c>
      <c r="C46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7" s="79">
        <v>45051.458333333336</v>
      </c>
      <c r="E467" s="44" t="s">
        <v>4492</v>
      </c>
      <c r="F467" s="66">
        <v>20</v>
      </c>
      <c r="G467" s="66" t="s">
        <v>2820</v>
      </c>
      <c r="H467" s="44" t="s">
        <v>2820</v>
      </c>
      <c r="I467" s="299" t="s">
        <v>2821</v>
      </c>
      <c r="J467" s="66">
        <v>4381</v>
      </c>
      <c r="K467" s="66" t="s">
        <v>4446</v>
      </c>
      <c r="L467" s="66">
        <v>70646</v>
      </c>
      <c r="M467" s="66"/>
      <c r="N467" s="66" t="s">
        <v>2949</v>
      </c>
      <c r="O467" s="66" t="s">
        <v>2950</v>
      </c>
      <c r="P467" s="66" t="s">
        <v>2948</v>
      </c>
      <c r="Q467" s="138" t="str">
        <f ca="1">IFERROR(LOOKUP($P467,MOTORISTAS!$D$3:$D$1048576,MOTORISTAS!E$3:E$916),"")</f>
        <v>16239341843</v>
      </c>
      <c r="R467" s="138" t="str">
        <f ca="1">IFERROR(LOOKUP($P467,MOTORISTAS!$D$3:$D$1048576,MOTORISTAS!F$3:F$916),"")</f>
        <v>01877235038</v>
      </c>
      <c r="S467" s="66">
        <v>15886</v>
      </c>
      <c r="T467" s="66" t="s">
        <v>293</v>
      </c>
      <c r="U467" s="79">
        <v>45050.987500000003</v>
      </c>
      <c r="V467" s="66" t="s">
        <v>292</v>
      </c>
      <c r="W467" s="79">
        <v>45051.761805555558</v>
      </c>
      <c r="X467" s="79">
        <v>45051.083333333336</v>
      </c>
      <c r="Y467" s="88">
        <v>45051.493055555555</v>
      </c>
      <c r="Z467" s="81">
        <v>1600</v>
      </c>
      <c r="AA467" s="81"/>
      <c r="AB467" s="81"/>
      <c r="AC467" s="81"/>
      <c r="AD467" s="81"/>
      <c r="AE467" s="81"/>
      <c r="AF467" s="81"/>
      <c r="AG467" s="81">
        <f>Sal_23[[#This Row],[COMPRA]]*12%</f>
        <v>276</v>
      </c>
      <c r="AH467" s="83">
        <v>2300</v>
      </c>
      <c r="AI467" s="66" t="str">
        <f>PROPER(TEXT(Sal_23[[#This Row],[PROGRAMAÇÃO]],"mmm"))</f>
        <v>Mai</v>
      </c>
      <c r="AJ467" s="66">
        <f>YEAR(Sal_23[[#This Row],[PROGRAMAÇÃO]])</f>
        <v>2023</v>
      </c>
      <c r="AK467" s="66"/>
      <c r="AL467" s="66"/>
      <c r="AM467" s="66" t="s">
        <v>2768</v>
      </c>
      <c r="AN467" s="66" t="s">
        <v>2768</v>
      </c>
      <c r="AO467" s="66" t="s">
        <v>2768</v>
      </c>
    </row>
    <row r="468" spans="2:41" x14ac:dyDescent="0.25">
      <c r="B468" s="128" t="s">
        <v>2771</v>
      </c>
      <c r="C46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8" s="79">
        <v>45051.375</v>
      </c>
      <c r="E468" s="44" t="s">
        <v>4453</v>
      </c>
      <c r="F468" s="66">
        <v>40</v>
      </c>
      <c r="G468" s="66" t="s">
        <v>2820</v>
      </c>
      <c r="H468" s="44" t="s">
        <v>2820</v>
      </c>
      <c r="I468" s="299" t="s">
        <v>2821</v>
      </c>
      <c r="J468" s="66">
        <v>4425</v>
      </c>
      <c r="K468" s="66" t="s">
        <v>4446</v>
      </c>
      <c r="L468" s="66">
        <v>106090</v>
      </c>
      <c r="M468" s="66"/>
      <c r="N468" s="66" t="s">
        <v>3028</v>
      </c>
      <c r="O468" s="66" t="s">
        <v>3852</v>
      </c>
      <c r="P468" s="66" t="s">
        <v>3443</v>
      </c>
      <c r="Q468" s="138" t="str">
        <f ca="1">IFERROR(LOOKUP($P468,MOTORISTAS!$D$3:$D$1048576,MOTORISTAS!E$3:E$916),"")</f>
        <v>13990937898</v>
      </c>
      <c r="R468" s="138" t="str">
        <f ca="1">IFERROR(LOOKUP($P468,MOTORISTAS!$D$3:$D$1048576,MOTORISTAS!F$3:F$916),"")</f>
        <v>01825123407</v>
      </c>
      <c r="S468" s="66">
        <v>15884</v>
      </c>
      <c r="T468" s="66" t="s">
        <v>293</v>
      </c>
      <c r="U468" s="79">
        <v>45050.98333333333</v>
      </c>
      <c r="V468" s="66" t="s">
        <v>292</v>
      </c>
      <c r="W468" s="79">
        <v>45051</v>
      </c>
      <c r="X468" s="79">
        <v>45051.083333333336</v>
      </c>
      <c r="Y468" s="88">
        <v>45051.5625</v>
      </c>
      <c r="Z468" s="81">
        <v>1600</v>
      </c>
      <c r="AA468" s="81"/>
      <c r="AB468" s="81"/>
      <c r="AC468" s="81"/>
      <c r="AD468" s="81"/>
      <c r="AE468" s="81"/>
      <c r="AF468" s="81"/>
      <c r="AG468" s="81">
        <f>Sal_23[[#This Row],[COMPRA]]*12%</f>
        <v>276</v>
      </c>
      <c r="AH468" s="83">
        <v>2300</v>
      </c>
      <c r="AI468" s="66" t="str">
        <f>PROPER(TEXT(Sal_23[[#This Row],[PROGRAMAÇÃO]],"mmm"))</f>
        <v>Mai</v>
      </c>
      <c r="AJ468" s="66">
        <f>YEAR(Sal_23[[#This Row],[PROGRAMAÇÃO]])</f>
        <v>2023</v>
      </c>
      <c r="AK468" s="66"/>
      <c r="AL468" s="66"/>
      <c r="AM468" s="66" t="s">
        <v>2768</v>
      </c>
      <c r="AN468" s="66" t="s">
        <v>2768</v>
      </c>
      <c r="AO468" s="66" t="s">
        <v>2768</v>
      </c>
    </row>
    <row r="469" spans="2:41" x14ac:dyDescent="0.25">
      <c r="B469" s="128" t="s">
        <v>2771</v>
      </c>
      <c r="C46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69" s="79">
        <v>45051.333333333336</v>
      </c>
      <c r="E469" s="44" t="s">
        <v>4462</v>
      </c>
      <c r="F469" s="66">
        <v>20</v>
      </c>
      <c r="G469" s="66" t="s">
        <v>2826</v>
      </c>
      <c r="H469" s="44" t="s">
        <v>3440</v>
      </c>
      <c r="I469" s="299" t="s">
        <v>3253</v>
      </c>
      <c r="J469" s="66">
        <v>4369</v>
      </c>
      <c r="K469" s="66" t="s">
        <v>4446</v>
      </c>
      <c r="L469" s="66">
        <v>115994</v>
      </c>
      <c r="M469" s="66"/>
      <c r="N469" s="66" t="s">
        <v>3040</v>
      </c>
      <c r="O469" s="66" t="s">
        <v>3041</v>
      </c>
      <c r="P469" s="66" t="s">
        <v>3042</v>
      </c>
      <c r="Q469" s="138" t="str">
        <f ca="1">IFERROR(LOOKUP($P469,MOTORISTAS!$D$3:$D$1048576,MOTORISTAS!E$3:E$916),"")</f>
        <v>19279658883</v>
      </c>
      <c r="R469" s="138" t="str">
        <f ca="1">IFERROR(LOOKUP($P469,MOTORISTAS!$D$3:$D$1048576,MOTORISTAS!F$3:F$916),"")</f>
        <v>01301319672</v>
      </c>
      <c r="S469" s="66">
        <v>15883</v>
      </c>
      <c r="T469" s="66" t="s">
        <v>293</v>
      </c>
      <c r="U469" s="79">
        <v>45051.033333333333</v>
      </c>
      <c r="V469" s="66" t="s">
        <v>292</v>
      </c>
      <c r="W469" s="79">
        <v>45051.659722222219</v>
      </c>
      <c r="X469" s="79">
        <v>45051.1875</v>
      </c>
      <c r="Y469" s="88">
        <v>45051.444444444445</v>
      </c>
      <c r="Z469" s="81">
        <v>2300</v>
      </c>
      <c r="AA469" s="81"/>
      <c r="AB469" s="81"/>
      <c r="AC469" s="81"/>
      <c r="AD469" s="81"/>
      <c r="AE469" s="81"/>
      <c r="AF469" s="81"/>
      <c r="AG469" s="81">
        <f>Sal_23[[#This Row],[COMPRA]]*12%</f>
        <v>399.62399999999997</v>
      </c>
      <c r="AH469" s="83">
        <v>3330.2</v>
      </c>
      <c r="AI469" s="66" t="str">
        <f>PROPER(TEXT(Sal_23[[#This Row],[PROGRAMAÇÃO]],"mmm"))</f>
        <v>Mai</v>
      </c>
      <c r="AJ469" s="66">
        <f>YEAR(Sal_23[[#This Row],[PROGRAMAÇÃO]])</f>
        <v>2023</v>
      </c>
      <c r="AK469" s="66"/>
      <c r="AL469" s="66"/>
      <c r="AM469" s="66" t="s">
        <v>2768</v>
      </c>
      <c r="AN469" s="66" t="s">
        <v>2768</v>
      </c>
      <c r="AO469" s="66" t="s">
        <v>2768</v>
      </c>
    </row>
    <row r="470" spans="2:41" x14ac:dyDescent="0.25">
      <c r="B470" s="128" t="s">
        <v>2771</v>
      </c>
      <c r="C47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70" s="79">
        <v>45051.333333333336</v>
      </c>
      <c r="E470" s="44" t="s">
        <v>4466</v>
      </c>
      <c r="F470" s="66">
        <v>20</v>
      </c>
      <c r="G470" s="66" t="s">
        <v>2826</v>
      </c>
      <c r="H470" s="44" t="s">
        <v>3113</v>
      </c>
      <c r="I470" s="299" t="s">
        <v>3114</v>
      </c>
      <c r="J470" s="66">
        <v>4414</v>
      </c>
      <c r="K470" s="66" t="s">
        <v>4446</v>
      </c>
      <c r="L470" s="66">
        <v>116126</v>
      </c>
      <c r="M470" s="66"/>
      <c r="N470" s="66" t="s">
        <v>2584</v>
      </c>
      <c r="O470" s="66" t="s">
        <v>2585</v>
      </c>
      <c r="P470" s="66" t="s">
        <v>2586</v>
      </c>
      <c r="Q470" s="138" t="str">
        <f ca="1">IFERROR(LOOKUP($P470,MOTORISTAS!$D$3:$D$1048576,MOTORISTAS!E$3:E$916),"")</f>
        <v>08312935860</v>
      </c>
      <c r="R470" s="138" t="str">
        <f ca="1">IFERROR(LOOKUP($P470,MOTORISTAS!$D$3:$D$1048576,MOTORISTAS!F$3:F$916),"")</f>
        <v>03106516083</v>
      </c>
      <c r="S470" s="66">
        <v>15882</v>
      </c>
      <c r="T470" s="66" t="s">
        <v>293</v>
      </c>
      <c r="U470" s="79">
        <v>45050.964583333334</v>
      </c>
      <c r="V470" s="66" t="s">
        <v>292</v>
      </c>
      <c r="W470" s="79">
        <v>45051.496527777781</v>
      </c>
      <c r="X470" s="79">
        <v>45051.114583333336</v>
      </c>
      <c r="Y470" s="88">
        <v>45051.402777777781</v>
      </c>
      <c r="Z470" s="81">
        <v>2350</v>
      </c>
      <c r="AA470" s="81"/>
      <c r="AB470" s="81"/>
      <c r="AC470" s="81">
        <v>600</v>
      </c>
      <c r="AD470" s="81"/>
      <c r="AE470" s="81"/>
      <c r="AF470" s="81"/>
      <c r="AG470" s="81">
        <f>Sal_23[[#This Row],[COMPRA]]*12%</f>
        <v>529.16279999999995</v>
      </c>
      <c r="AH470" s="83">
        <v>4409.6899999999996</v>
      </c>
      <c r="AI470" s="66" t="str">
        <f>PROPER(TEXT(Sal_23[[#This Row],[PROGRAMAÇÃO]],"mmm"))</f>
        <v>Mai</v>
      </c>
      <c r="AJ470" s="66">
        <f>YEAR(Sal_23[[#This Row],[PROGRAMAÇÃO]])</f>
        <v>2023</v>
      </c>
      <c r="AK470" s="66"/>
      <c r="AL470" s="66"/>
      <c r="AM470" s="66" t="s">
        <v>2768</v>
      </c>
      <c r="AN470" s="66" t="s">
        <v>2768</v>
      </c>
      <c r="AO470" s="66" t="s">
        <v>2768</v>
      </c>
    </row>
    <row r="471" spans="2:41" x14ac:dyDescent="0.25">
      <c r="B471" s="128" t="s">
        <v>2771</v>
      </c>
      <c r="C47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71" s="79">
        <v>45051.333333333336</v>
      </c>
      <c r="E471" s="44" t="s">
        <v>4467</v>
      </c>
      <c r="F471" s="66">
        <v>20</v>
      </c>
      <c r="G471" s="66" t="s">
        <v>2826</v>
      </c>
      <c r="H471" s="44" t="s">
        <v>3116</v>
      </c>
      <c r="I471" s="299" t="s">
        <v>3117</v>
      </c>
      <c r="J471" s="66">
        <v>4415</v>
      </c>
      <c r="K471" s="66" t="s">
        <v>4446</v>
      </c>
      <c r="L471" s="66">
        <v>116127</v>
      </c>
      <c r="M471" s="66"/>
      <c r="N471" s="66" t="s">
        <v>4108</v>
      </c>
      <c r="O471" s="66" t="s">
        <v>2864</v>
      </c>
      <c r="P471" s="66" t="s">
        <v>2932</v>
      </c>
      <c r="Q471" s="138" t="str">
        <f ca="1">IFERROR(LOOKUP($P471,MOTORISTAS!$D$3:$D$1048576,MOTORISTAS!E$3:E$916),"")</f>
        <v>87607395849</v>
      </c>
      <c r="R471" s="138" t="str">
        <f ca="1">IFERROR(LOOKUP($P471,MOTORISTAS!$D$3:$D$1048576,MOTORISTAS!F$3:F$916),"")</f>
        <v>01842622116</v>
      </c>
      <c r="S471" s="66">
        <v>15889</v>
      </c>
      <c r="T471" s="66" t="s">
        <v>293</v>
      </c>
      <c r="U471" s="79">
        <v>45051.039583333331</v>
      </c>
      <c r="V471" s="66" t="s">
        <v>292</v>
      </c>
      <c r="W471" s="79">
        <v>45051.611805555556</v>
      </c>
      <c r="X471" s="79">
        <v>45051.083333333336</v>
      </c>
      <c r="Y471" s="88">
        <v>45051.486111111109</v>
      </c>
      <c r="Z471" s="81">
        <v>2200</v>
      </c>
      <c r="AA471" s="81"/>
      <c r="AB471" s="81"/>
      <c r="AC471" s="81"/>
      <c r="AD471" s="81"/>
      <c r="AE471" s="81"/>
      <c r="AF471" s="81"/>
      <c r="AG471" s="81">
        <f>Sal_23[[#This Row],[COMPRA]]*12%</f>
        <v>510.26640000000003</v>
      </c>
      <c r="AH471" s="83">
        <v>4252.22</v>
      </c>
      <c r="AI471" s="66" t="str">
        <f>PROPER(TEXT(Sal_23[[#This Row],[PROGRAMAÇÃO]],"mmm"))</f>
        <v>Mai</v>
      </c>
      <c r="AJ471" s="66">
        <f>YEAR(Sal_23[[#This Row],[PROGRAMAÇÃO]])</f>
        <v>2023</v>
      </c>
      <c r="AK471" s="66"/>
      <c r="AL471" s="66"/>
      <c r="AM471" s="66" t="s">
        <v>2768</v>
      </c>
      <c r="AN471" s="66" t="s">
        <v>2768</v>
      </c>
      <c r="AO471" s="66" t="s">
        <v>2768</v>
      </c>
    </row>
    <row r="472" spans="2:41" x14ac:dyDescent="0.25">
      <c r="B472" s="128" t="s">
        <v>2771</v>
      </c>
      <c r="C47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72" s="79">
        <v>45051.333333333336</v>
      </c>
      <c r="E472" s="44" t="s">
        <v>4475</v>
      </c>
      <c r="F472" s="66">
        <v>40</v>
      </c>
      <c r="G472" s="66" t="s">
        <v>2826</v>
      </c>
      <c r="H472" s="44" t="s">
        <v>1674</v>
      </c>
      <c r="I472" s="299" t="s">
        <v>2829</v>
      </c>
      <c r="J472" s="66">
        <v>4422</v>
      </c>
      <c r="K472" s="66" t="s">
        <v>4446</v>
      </c>
      <c r="L472" s="66">
        <v>106087</v>
      </c>
      <c r="M472" s="66">
        <v>106088</v>
      </c>
      <c r="N472" s="66" t="s">
        <v>210</v>
      </c>
      <c r="O472" s="66" t="s">
        <v>211</v>
      </c>
      <c r="P472" s="66" t="s">
        <v>212</v>
      </c>
      <c r="Q472" s="138" t="str">
        <f ca="1">IFERROR(LOOKUP($P472,MOTORISTAS!$D$3:$D$1048576,MOTORISTAS!E$3:E$916),"")</f>
        <v>38029906846</v>
      </c>
      <c r="R472" s="138" t="str">
        <f ca="1">IFERROR(LOOKUP($P472,MOTORISTAS!$D$3:$D$1048576,MOTORISTAS!F$3:F$916),"")</f>
        <v>04946846842</v>
      </c>
      <c r="S472" s="66">
        <v>15888</v>
      </c>
      <c r="T472" s="66" t="s">
        <v>293</v>
      </c>
      <c r="U472" s="79">
        <v>45051.347222222219</v>
      </c>
      <c r="V472" s="66" t="s">
        <v>292</v>
      </c>
      <c r="W472" s="79">
        <v>45052.285416666666</v>
      </c>
      <c r="X472" s="79">
        <v>45051.548611111109</v>
      </c>
      <c r="Y472" s="88">
        <v>45051.736111111109</v>
      </c>
      <c r="Z472" s="81">
        <v>3400</v>
      </c>
      <c r="AA472" s="81">
        <v>525.20000000000005</v>
      </c>
      <c r="AB472" s="81"/>
      <c r="AC472" s="81"/>
      <c r="AD472" s="81"/>
      <c r="AE472" s="81"/>
      <c r="AF472" s="81"/>
      <c r="AG472" s="81">
        <f>Sal_23[[#This Row],[COMPRA]]*12%</f>
        <v>558.28440000000001</v>
      </c>
      <c r="AH472" s="83">
        <v>4652.37</v>
      </c>
      <c r="AI472" s="66" t="str">
        <f>PROPER(TEXT(Sal_23[[#This Row],[PROGRAMAÇÃO]],"mmm"))</f>
        <v>Mai</v>
      </c>
      <c r="AJ472" s="66">
        <f>YEAR(Sal_23[[#This Row],[PROGRAMAÇÃO]])</f>
        <v>2023</v>
      </c>
      <c r="AK472" s="66"/>
      <c r="AL472" s="44"/>
      <c r="AM472" s="66" t="s">
        <v>2768</v>
      </c>
      <c r="AN472" s="66" t="s">
        <v>2768</v>
      </c>
      <c r="AO472" s="66" t="s">
        <v>2768</v>
      </c>
    </row>
    <row r="473" spans="2:41" x14ac:dyDescent="0.25">
      <c r="B473" s="128" t="s">
        <v>2771</v>
      </c>
      <c r="C47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73" s="79">
        <v>45054.333333333336</v>
      </c>
      <c r="E473" s="44" t="s">
        <v>4469</v>
      </c>
      <c r="F473" s="66">
        <v>20</v>
      </c>
      <c r="G473" s="66" t="s">
        <v>2826</v>
      </c>
      <c r="H473" s="44" t="s">
        <v>3082</v>
      </c>
      <c r="I473" s="299" t="s">
        <v>3083</v>
      </c>
      <c r="J473" s="66">
        <v>4416</v>
      </c>
      <c r="K473" s="66" t="s">
        <v>4446</v>
      </c>
      <c r="L473" s="66">
        <v>106083</v>
      </c>
      <c r="M473" s="66">
        <v>106084</v>
      </c>
      <c r="N473" s="66" t="s">
        <v>3040</v>
      </c>
      <c r="O473" s="66" t="s">
        <v>3041</v>
      </c>
      <c r="P473" s="66" t="s">
        <v>3042</v>
      </c>
      <c r="Q473" s="138" t="str">
        <f ca="1">IFERROR(LOOKUP($P473,MOTORISTAS!$D$3:$D$1048576,MOTORISTAS!E$3:E$916),"")</f>
        <v>19279658883</v>
      </c>
      <c r="R473" s="138" t="str">
        <f ca="1">IFERROR(LOOKUP($P473,MOTORISTAS!$D$3:$D$1048576,MOTORISTAS!F$3:F$916),"")</f>
        <v>01301319672</v>
      </c>
      <c r="S473" s="66">
        <v>15896</v>
      </c>
      <c r="T473" s="66" t="s">
        <v>293</v>
      </c>
      <c r="U473" s="79">
        <v>45054.012499999997</v>
      </c>
      <c r="V473" s="66" t="s">
        <v>469</v>
      </c>
      <c r="W473" s="79">
        <v>45054.771527777775</v>
      </c>
      <c r="X473" s="79">
        <v>45054.104166666664</v>
      </c>
      <c r="Y473" s="88">
        <v>45054.565972222219</v>
      </c>
      <c r="Z473" s="81">
        <v>2000</v>
      </c>
      <c r="AA473" s="81"/>
      <c r="AB473" s="81"/>
      <c r="AC473" s="81"/>
      <c r="AD473" s="81"/>
      <c r="AE473" s="81"/>
      <c r="AF473" s="81"/>
      <c r="AG473" s="81">
        <f>Sal_23[[#This Row],[COMPRA]]*12%</f>
        <v>355.75439999999998</v>
      </c>
      <c r="AH473" s="83">
        <v>2964.62</v>
      </c>
      <c r="AI473" s="66" t="str">
        <f>PROPER(TEXT(Sal_23[[#This Row],[PROGRAMAÇÃO]],"mmm"))</f>
        <v>Mai</v>
      </c>
      <c r="AJ473" s="66">
        <f>YEAR(Sal_23[[#This Row],[PROGRAMAÇÃO]])</f>
        <v>2023</v>
      </c>
      <c r="AK473" s="66"/>
      <c r="AL473" s="66"/>
      <c r="AM473" s="66" t="s">
        <v>2768</v>
      </c>
      <c r="AN473" s="66" t="s">
        <v>2768</v>
      </c>
      <c r="AO473" s="66" t="s">
        <v>2768</v>
      </c>
    </row>
    <row r="474" spans="2:41" x14ac:dyDescent="0.25">
      <c r="B474" s="128" t="s">
        <v>2771</v>
      </c>
      <c r="C47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74" s="79">
        <v>45054.333333333336</v>
      </c>
      <c r="E474" s="44" t="s">
        <v>4471</v>
      </c>
      <c r="F474" s="66">
        <v>20</v>
      </c>
      <c r="G474" s="66" t="s">
        <v>2826</v>
      </c>
      <c r="H474" s="44" t="s">
        <v>3910</v>
      </c>
      <c r="I474" s="299" t="s">
        <v>3253</v>
      </c>
      <c r="J474" s="66">
        <v>4375</v>
      </c>
      <c r="K474" s="66" t="s">
        <v>4446</v>
      </c>
      <c r="L474" s="66">
        <v>116000</v>
      </c>
      <c r="M474" s="66"/>
      <c r="N474" s="66" t="s">
        <v>1961</v>
      </c>
      <c r="O474" s="66" t="s">
        <v>1962</v>
      </c>
      <c r="P474" s="66" t="s">
        <v>1482</v>
      </c>
      <c r="Q474" s="138" t="str">
        <f ca="1">IFERROR(LOOKUP($P474,MOTORISTAS!$D$3:$D$1048576,MOTORISTAS!E$3:E$916),"")</f>
        <v>38329597857</v>
      </c>
      <c r="R474" s="138" t="str">
        <f ca="1">IFERROR(LOOKUP($P474,MOTORISTAS!$D$3:$D$1048576,MOTORISTAS!F$3:F$916),"")</f>
        <v>04956762510</v>
      </c>
      <c r="S474" s="66">
        <v>15900</v>
      </c>
      <c r="T474" s="66" t="s">
        <v>293</v>
      </c>
      <c r="U474" s="79">
        <v>45054.275000000001</v>
      </c>
      <c r="V474" s="66" t="s">
        <v>469</v>
      </c>
      <c r="W474" s="79">
        <v>45054.802083333336</v>
      </c>
      <c r="X474" s="79">
        <v>45054.409722222219</v>
      </c>
      <c r="Y474" s="88">
        <v>45054.524305555555</v>
      </c>
      <c r="Z474" s="81">
        <v>2300</v>
      </c>
      <c r="AA474" s="81"/>
      <c r="AB474" s="81"/>
      <c r="AC474" s="81"/>
      <c r="AD474" s="81"/>
      <c r="AE474" s="81"/>
      <c r="AF474" s="81"/>
      <c r="AG474" s="81">
        <f>Sal_23[[#This Row],[COMPRA]]*12%</f>
        <v>399.62279999999998</v>
      </c>
      <c r="AH474" s="83">
        <v>3330.19</v>
      </c>
      <c r="AI474" s="66" t="str">
        <f>PROPER(TEXT(Sal_23[[#This Row],[PROGRAMAÇÃO]],"mmm"))</f>
        <v>Mai</v>
      </c>
      <c r="AJ474" s="66">
        <f>YEAR(Sal_23[[#This Row],[PROGRAMAÇÃO]])</f>
        <v>2023</v>
      </c>
      <c r="AK474" s="66"/>
      <c r="AL474" s="44"/>
      <c r="AM474" s="66" t="s">
        <v>2768</v>
      </c>
      <c r="AN474" s="66" t="s">
        <v>2768</v>
      </c>
      <c r="AO474" s="66" t="s">
        <v>2768</v>
      </c>
    </row>
    <row r="475" spans="2:41" x14ac:dyDescent="0.25">
      <c r="B475" s="128" t="s">
        <v>2771</v>
      </c>
      <c r="C47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75" s="79">
        <v>45054.333333333336</v>
      </c>
      <c r="E475" s="44" t="s">
        <v>4473</v>
      </c>
      <c r="F475" s="66">
        <v>40</v>
      </c>
      <c r="G475" s="66" t="s">
        <v>2826</v>
      </c>
      <c r="H475" s="44" t="s">
        <v>3910</v>
      </c>
      <c r="I475" s="299" t="s">
        <v>3253</v>
      </c>
      <c r="J475" s="66">
        <v>4423</v>
      </c>
      <c r="K475" s="66" t="s">
        <v>4446</v>
      </c>
      <c r="L475" s="66">
        <v>116129</v>
      </c>
      <c r="M475" s="66"/>
      <c r="N475" s="66" t="s">
        <v>2389</v>
      </c>
      <c r="O475" s="66" t="s">
        <v>3852</v>
      </c>
      <c r="P475" s="66" t="s">
        <v>892</v>
      </c>
      <c r="Q475" s="138" t="str">
        <f ca="1">IFERROR(LOOKUP($P475,MOTORISTAS!$D$3:$D$1048576,MOTORISTAS!E$3:E$916),"")</f>
        <v>55283063968</v>
      </c>
      <c r="R475" s="138" t="str">
        <f ca="1">IFERROR(LOOKUP($P475,MOTORISTAS!$D$3:$D$1048576,MOTORISTAS!F$3:F$916),"")</f>
        <v>02537032407</v>
      </c>
      <c r="S475" s="66">
        <v>15902</v>
      </c>
      <c r="T475" s="66" t="s">
        <v>293</v>
      </c>
      <c r="U475" s="79">
        <v>45053.992361111108</v>
      </c>
      <c r="V475" s="66" t="s">
        <v>292</v>
      </c>
      <c r="W475" s="79">
        <v>45054.638194444444</v>
      </c>
      <c r="X475" s="79">
        <v>45054.291666666664</v>
      </c>
      <c r="Y475" s="88">
        <v>45054.559027777781</v>
      </c>
      <c r="Z475" s="81">
        <v>2300</v>
      </c>
      <c r="AA475" s="81"/>
      <c r="AB475" s="81"/>
      <c r="AC475" s="81"/>
      <c r="AD475" s="81"/>
      <c r="AE475" s="81"/>
      <c r="AF475" s="81"/>
      <c r="AG475" s="81">
        <f>Sal_23[[#This Row],[COMPRA]]*12%</f>
        <v>399.62279999999998</v>
      </c>
      <c r="AH475" s="83">
        <v>3330.19</v>
      </c>
      <c r="AI475" s="66" t="str">
        <f>PROPER(TEXT(Sal_23[[#This Row],[PROGRAMAÇÃO]],"mmm"))</f>
        <v>Mai</v>
      </c>
      <c r="AJ475" s="66">
        <f>YEAR(Sal_23[[#This Row],[PROGRAMAÇÃO]])</f>
        <v>2023</v>
      </c>
      <c r="AK475" s="66"/>
      <c r="AL475" s="66"/>
      <c r="AM475" s="66" t="s">
        <v>2768</v>
      </c>
      <c r="AN475" s="66" t="s">
        <v>2768</v>
      </c>
      <c r="AO475" s="66" t="s">
        <v>2768</v>
      </c>
    </row>
    <row r="476" spans="2:41" x14ac:dyDescent="0.25">
      <c r="B476" s="128" t="s">
        <v>2771</v>
      </c>
      <c r="C47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76" s="79">
        <v>45055.333333333336</v>
      </c>
      <c r="E476" s="44" t="s">
        <v>4476</v>
      </c>
      <c r="F476" s="66">
        <v>40</v>
      </c>
      <c r="G476" s="66" t="s">
        <v>2826</v>
      </c>
      <c r="H476" s="44" t="s">
        <v>2835</v>
      </c>
      <c r="I476" s="299" t="s">
        <v>2822</v>
      </c>
      <c r="J476" s="66">
        <v>4379</v>
      </c>
      <c r="K476" s="66" t="s">
        <v>4446</v>
      </c>
      <c r="L476" s="66">
        <v>106043</v>
      </c>
      <c r="M476" s="66"/>
      <c r="N476" s="66" t="s">
        <v>150</v>
      </c>
      <c r="O476" s="66" t="s">
        <v>151</v>
      </c>
      <c r="P476" s="66" t="s">
        <v>152</v>
      </c>
      <c r="Q476" s="138" t="str">
        <f ca="1">IFERROR(LOOKUP($P476,MOTORISTAS!$D$3:$D$1048576,MOTORISTAS!E$3:E$916),"")</f>
        <v>05753633803</v>
      </c>
      <c r="R476" s="138" t="str">
        <f ca="1">IFERROR(LOOKUP($P476,MOTORISTAS!$D$3:$D$1048576,MOTORISTAS!F$3:F$916),"")</f>
        <v>01922497849</v>
      </c>
      <c r="S476" s="66" t="s">
        <v>4506</v>
      </c>
      <c r="T476" s="66" t="s">
        <v>293</v>
      </c>
      <c r="U476" s="79">
        <v>45054.909722222219</v>
      </c>
      <c r="V476" s="66" t="s">
        <v>292</v>
      </c>
      <c r="W476" s="79">
        <v>45055.760416666664</v>
      </c>
      <c r="X476" s="79">
        <v>45055.041666666664</v>
      </c>
      <c r="Y476" s="88">
        <v>45055.430555555555</v>
      </c>
      <c r="Z476" s="81">
        <v>2100</v>
      </c>
      <c r="AA476" s="81"/>
      <c r="AB476" s="81"/>
      <c r="AC476" s="81"/>
      <c r="AD476" s="81"/>
      <c r="AE476" s="81"/>
      <c r="AF476" s="81"/>
      <c r="AG476" s="81">
        <f>Sal_23[[#This Row],[COMPRA]]*12%</f>
        <v>370.37759999999997</v>
      </c>
      <c r="AH476" s="83">
        <v>3086.48</v>
      </c>
      <c r="AI476" s="66" t="str">
        <f>PROPER(TEXT(Sal_23[[#This Row],[PROGRAMAÇÃO]],"mmm"))</f>
        <v>Mai</v>
      </c>
      <c r="AJ476" s="66">
        <f>YEAR(Sal_23[[#This Row],[PROGRAMAÇÃO]])</f>
        <v>2023</v>
      </c>
      <c r="AK476" s="66"/>
      <c r="AL476" s="66"/>
      <c r="AM476" s="66" t="s">
        <v>2768</v>
      </c>
      <c r="AN476" s="66" t="s">
        <v>2768</v>
      </c>
      <c r="AO476" s="66" t="s">
        <v>2768</v>
      </c>
    </row>
    <row r="477" spans="2:41" x14ac:dyDescent="0.25">
      <c r="B477" s="128" t="s">
        <v>2771</v>
      </c>
      <c r="C47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77" s="79">
        <v>45055.333333333336</v>
      </c>
      <c r="E477" s="44" t="s">
        <v>4463</v>
      </c>
      <c r="F477" s="66">
        <v>20</v>
      </c>
      <c r="G477" s="66" t="s">
        <v>2837</v>
      </c>
      <c r="H477" s="44" t="s">
        <v>2837</v>
      </c>
      <c r="I477" s="299" t="s">
        <v>2821</v>
      </c>
      <c r="J477" s="66">
        <v>4370</v>
      </c>
      <c r="K477" s="66" t="s">
        <v>4446</v>
      </c>
      <c r="L477" s="66">
        <v>115995</v>
      </c>
      <c r="M477" s="66"/>
      <c r="N477" s="66" t="s">
        <v>2949</v>
      </c>
      <c r="O477" s="66" t="s">
        <v>2950</v>
      </c>
      <c r="P477" s="66" t="s">
        <v>2948</v>
      </c>
      <c r="Q477" s="138" t="str">
        <f ca="1">IFERROR(LOOKUP($P477,MOTORISTAS!$D$3:$D$1048576,MOTORISTAS!E$3:E$916),"")</f>
        <v>16239341843</v>
      </c>
      <c r="R477" s="138" t="str">
        <f ca="1">IFERROR(LOOKUP($P477,MOTORISTAS!$D$3:$D$1048576,MOTORISTAS!F$3:F$916),"")</f>
        <v>01877235038</v>
      </c>
      <c r="S477" s="66" t="s">
        <v>4769</v>
      </c>
      <c r="T477" s="66" t="s">
        <v>293</v>
      </c>
      <c r="U477" s="79">
        <v>45054.966666666667</v>
      </c>
      <c r="V477" s="66" t="s">
        <v>469</v>
      </c>
      <c r="W477" s="79">
        <v>45055.57708333333</v>
      </c>
      <c r="X477" s="79">
        <v>45055.041666666664</v>
      </c>
      <c r="Y477" s="88">
        <v>45055.534722222219</v>
      </c>
      <c r="Z477" s="81">
        <v>1600</v>
      </c>
      <c r="AA477" s="81"/>
      <c r="AB477" s="81"/>
      <c r="AC477" s="81"/>
      <c r="AD477" s="81"/>
      <c r="AE477" s="81"/>
      <c r="AF477" s="81"/>
      <c r="AG477" s="81">
        <f>Sal_23[[#This Row],[COMPRA]]*12%</f>
        <v>0</v>
      </c>
      <c r="AH477" s="83"/>
      <c r="AI477" s="66" t="str">
        <f>PROPER(TEXT(Sal_23[[#This Row],[PROGRAMAÇÃO]],"mmm"))</f>
        <v>Mai</v>
      </c>
      <c r="AJ477" s="66">
        <f>YEAR(Sal_23[[#This Row],[PROGRAMAÇÃO]])</f>
        <v>2023</v>
      </c>
      <c r="AK477" s="66"/>
      <c r="AL477" s="66"/>
      <c r="AM477" s="66" t="s">
        <v>2768</v>
      </c>
      <c r="AN477" s="66" t="s">
        <v>2768</v>
      </c>
      <c r="AO477" s="66" t="s">
        <v>2768</v>
      </c>
    </row>
    <row r="478" spans="2:41" x14ac:dyDescent="0.25">
      <c r="B478" s="128" t="s">
        <v>2771</v>
      </c>
      <c r="C47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78" s="79">
        <v>45055.333333333336</v>
      </c>
      <c r="E478" s="44" t="s">
        <v>4464</v>
      </c>
      <c r="F478" s="66">
        <v>20</v>
      </c>
      <c r="G478" s="66" t="s">
        <v>2837</v>
      </c>
      <c r="H478" s="44" t="s">
        <v>2837</v>
      </c>
      <c r="I478" s="299" t="s">
        <v>2821</v>
      </c>
      <c r="J478" s="66">
        <v>4373</v>
      </c>
      <c r="K478" s="66" t="s">
        <v>4446</v>
      </c>
      <c r="L478" s="66">
        <v>116057</v>
      </c>
      <c r="M478" s="66">
        <v>106038</v>
      </c>
      <c r="N478" s="66" t="s">
        <v>3028</v>
      </c>
      <c r="O478" s="66" t="s">
        <v>2261</v>
      </c>
      <c r="P478" s="66" t="s">
        <v>3443</v>
      </c>
      <c r="Q478" s="138" t="str">
        <f ca="1">IFERROR(LOOKUP($P478,MOTORISTAS!$D$3:$D$1048576,MOTORISTAS!E$3:E$916),"")</f>
        <v>13990937898</v>
      </c>
      <c r="R478" s="138" t="str">
        <f ca="1">IFERROR(LOOKUP($P478,MOTORISTAS!$D$3:$D$1048576,MOTORISTAS!F$3:F$916),"")</f>
        <v>01825123407</v>
      </c>
      <c r="S478" s="66" t="s">
        <v>4508</v>
      </c>
      <c r="T478" s="66" t="s">
        <v>293</v>
      </c>
      <c r="U478" s="79">
        <v>45054.947916666664</v>
      </c>
      <c r="V478" s="66" t="s">
        <v>292</v>
      </c>
      <c r="W478" s="79">
        <v>45055.602083333331</v>
      </c>
      <c r="X478" s="79">
        <v>45055.041666666664</v>
      </c>
      <c r="Y478" s="88">
        <v>45055.643750000003</v>
      </c>
      <c r="Z478" s="81">
        <v>1600</v>
      </c>
      <c r="AA478" s="81"/>
      <c r="AB478" s="81"/>
      <c r="AC478" s="81"/>
      <c r="AD478" s="81"/>
      <c r="AE478" s="81"/>
      <c r="AF478" s="81"/>
      <c r="AG478" s="81">
        <f>Sal_23[[#This Row],[COMPRA]]*12%</f>
        <v>0</v>
      </c>
      <c r="AH478" s="83"/>
      <c r="AI478" s="66" t="str">
        <f>PROPER(TEXT(Sal_23[[#This Row],[PROGRAMAÇÃO]],"mmm"))</f>
        <v>Mai</v>
      </c>
      <c r="AJ478" s="66">
        <f>YEAR(Sal_23[[#This Row],[PROGRAMAÇÃO]])</f>
        <v>2023</v>
      </c>
      <c r="AK478" s="66"/>
      <c r="AL478" s="66"/>
      <c r="AM478" s="66" t="s">
        <v>2768</v>
      </c>
      <c r="AN478" s="66" t="s">
        <v>2768</v>
      </c>
      <c r="AO478" s="66" t="s">
        <v>2768</v>
      </c>
    </row>
    <row r="479" spans="2:41" x14ac:dyDescent="0.25">
      <c r="B479" s="128" t="s">
        <v>2771</v>
      </c>
      <c r="C47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79" s="79">
        <v>45055.333333333336</v>
      </c>
      <c r="E479" s="44" t="s">
        <v>4465</v>
      </c>
      <c r="F479" s="66">
        <v>20</v>
      </c>
      <c r="G479" s="66" t="s">
        <v>2826</v>
      </c>
      <c r="H479" s="44" t="s">
        <v>3105</v>
      </c>
      <c r="I479" s="299" t="s">
        <v>3185</v>
      </c>
      <c r="J479" s="66">
        <v>4372</v>
      </c>
      <c r="K479" s="66" t="s">
        <v>4446</v>
      </c>
      <c r="L479" s="66">
        <v>105990</v>
      </c>
      <c r="M479" s="66"/>
      <c r="N479" s="66" t="s">
        <v>2859</v>
      </c>
      <c r="O479" s="66" t="s">
        <v>2860</v>
      </c>
      <c r="P479" s="66" t="s">
        <v>2861</v>
      </c>
      <c r="Q479" s="138" t="str">
        <f ca="1">IFERROR(LOOKUP($P479,MOTORISTAS!$D$3:$D$1048576,MOTORISTAS!E$3:E$916),"")</f>
        <v>01817591878</v>
      </c>
      <c r="R479" s="138" t="str">
        <f ca="1">IFERROR(LOOKUP($P479,MOTORISTAS!$D$3:$D$1048576,MOTORISTAS!F$3:F$916),"")</f>
        <v>00821760640</v>
      </c>
      <c r="S479" s="66">
        <v>15924</v>
      </c>
      <c r="T479" s="66" t="s">
        <v>293</v>
      </c>
      <c r="U479" s="79">
        <v>45054.967361111114</v>
      </c>
      <c r="V479" s="66" t="s">
        <v>292</v>
      </c>
      <c r="W479" s="79">
        <v>45055.535416666666</v>
      </c>
      <c r="X479" s="79">
        <v>45055.083333333336</v>
      </c>
      <c r="Y479" s="88">
        <v>45055.416666666664</v>
      </c>
      <c r="Z479" s="81">
        <v>1600</v>
      </c>
      <c r="AA479" s="81"/>
      <c r="AB479" s="81"/>
      <c r="AC479" s="81"/>
      <c r="AD479" s="81"/>
      <c r="AE479" s="81"/>
      <c r="AF479" s="81"/>
      <c r="AG479" s="81">
        <f>Sal_23[[#This Row],[COMPRA]]*12%</f>
        <v>415.74719999999996</v>
      </c>
      <c r="AH479" s="83">
        <v>3464.56</v>
      </c>
      <c r="AI479" s="66" t="str">
        <f>PROPER(TEXT(Sal_23[[#This Row],[PROGRAMAÇÃO]],"mmm"))</f>
        <v>Mai</v>
      </c>
      <c r="AJ479" s="66">
        <f>YEAR(Sal_23[[#This Row],[PROGRAMAÇÃO]])</f>
        <v>2023</v>
      </c>
      <c r="AK479" s="66"/>
      <c r="AL479" s="66"/>
      <c r="AM479" s="66" t="s">
        <v>2768</v>
      </c>
      <c r="AN479" s="66" t="s">
        <v>2768</v>
      </c>
      <c r="AO479" s="66" t="s">
        <v>2768</v>
      </c>
    </row>
    <row r="480" spans="2:41" x14ac:dyDescent="0.25">
      <c r="B480" s="128" t="s">
        <v>2771</v>
      </c>
      <c r="C48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0" s="79">
        <v>45055.333333333336</v>
      </c>
      <c r="E480" s="44" t="s">
        <v>4470</v>
      </c>
      <c r="F480" s="66">
        <v>40</v>
      </c>
      <c r="G480" s="66" t="s">
        <v>2826</v>
      </c>
      <c r="H480" s="44" t="s">
        <v>3910</v>
      </c>
      <c r="I480" s="299" t="s">
        <v>3253</v>
      </c>
      <c r="J480" s="66">
        <v>4378</v>
      </c>
      <c r="K480" s="66" t="s">
        <v>4446</v>
      </c>
      <c r="L480" s="66">
        <v>105987</v>
      </c>
      <c r="M480" s="66"/>
      <c r="N480" s="66" t="s">
        <v>4507</v>
      </c>
      <c r="O480" s="66" t="s">
        <v>3384</v>
      </c>
      <c r="P480" s="66" t="s">
        <v>2883</v>
      </c>
      <c r="Q480" s="138" t="str">
        <f ca="1">IFERROR(LOOKUP($P480,MOTORISTAS!$D$3:$D$1048576,MOTORISTAS!E$3:E$916),"")</f>
        <v>29740449808</v>
      </c>
      <c r="R480" s="138" t="str">
        <f ca="1">IFERROR(LOOKUP($P480,MOTORISTAS!$D$3:$D$1048576,MOTORISTAS!F$3:F$916),"")</f>
        <v>00966188197</v>
      </c>
      <c r="S480" s="66">
        <v>15925</v>
      </c>
      <c r="T480" s="66" t="s">
        <v>293</v>
      </c>
      <c r="U480" s="79">
        <v>45054.724305555559</v>
      </c>
      <c r="V480" s="66" t="s">
        <v>292</v>
      </c>
      <c r="W480" s="79">
        <v>45055</v>
      </c>
      <c r="X480" s="79">
        <v>45055.284722222219</v>
      </c>
      <c r="Y480" s="88">
        <v>45055.430555555555</v>
      </c>
      <c r="Z480" s="81">
        <v>2300</v>
      </c>
      <c r="AA480" s="81"/>
      <c r="AB480" s="81"/>
      <c r="AC480" s="81"/>
      <c r="AD480" s="81"/>
      <c r="AE480" s="81"/>
      <c r="AF480" s="81"/>
      <c r="AG480" s="81">
        <f>Sal_23[[#This Row],[COMPRA]]*12%</f>
        <v>399.62279999999998</v>
      </c>
      <c r="AH480" s="83">
        <v>3330.19</v>
      </c>
      <c r="AI480" s="66" t="str">
        <f>PROPER(TEXT(Sal_23[[#This Row],[PROGRAMAÇÃO]],"mmm"))</f>
        <v>Mai</v>
      </c>
      <c r="AJ480" s="66">
        <f>YEAR(Sal_23[[#This Row],[PROGRAMAÇÃO]])</f>
        <v>2023</v>
      </c>
      <c r="AK480" s="66"/>
      <c r="AL480" s="66"/>
      <c r="AM480" s="66" t="s">
        <v>2768</v>
      </c>
      <c r="AN480" s="66" t="s">
        <v>2768</v>
      </c>
      <c r="AO480" s="66" t="s">
        <v>2768</v>
      </c>
    </row>
    <row r="481" spans="2:41" x14ac:dyDescent="0.25">
      <c r="B481" s="128" t="s">
        <v>2771</v>
      </c>
      <c r="C48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1" s="79">
        <v>45055.333333333336</v>
      </c>
      <c r="E481" s="44" t="s">
        <v>4472</v>
      </c>
      <c r="F481" s="66">
        <v>20</v>
      </c>
      <c r="G481" s="66" t="s">
        <v>2826</v>
      </c>
      <c r="H481" s="44" t="s">
        <v>3910</v>
      </c>
      <c r="I481" s="299" t="s">
        <v>3253</v>
      </c>
      <c r="J481" s="66"/>
      <c r="K481" s="66" t="s">
        <v>4446</v>
      </c>
      <c r="L481" s="66">
        <v>115987</v>
      </c>
      <c r="M481" s="66"/>
      <c r="N481" s="66" t="s">
        <v>87</v>
      </c>
      <c r="O481" s="66" t="s">
        <v>88</v>
      </c>
      <c r="P481" s="66" t="s">
        <v>89</v>
      </c>
      <c r="Q481" s="138" t="str">
        <f ca="1">IFERROR(LOOKUP($P481,MOTORISTAS!$D$3:$D$1048576,MOTORISTAS!E$3:E$916),"")</f>
        <v>00097734527</v>
      </c>
      <c r="R481" s="138" t="str">
        <f ca="1">IFERROR(LOOKUP($P481,MOTORISTAS!$D$3:$D$1048576,MOTORISTAS!F$3:F$916),"")</f>
        <v>03148346870</v>
      </c>
      <c r="S481" s="66" t="s">
        <v>4532</v>
      </c>
      <c r="T481" s="66" t="s">
        <v>293</v>
      </c>
      <c r="U481" s="79">
        <v>45054.998611111114</v>
      </c>
      <c r="V481" s="66" t="s">
        <v>292</v>
      </c>
      <c r="W481" s="79">
        <v>45055.836111111108</v>
      </c>
      <c r="X481" s="79">
        <v>45055.229166666664</v>
      </c>
      <c r="Y481" s="88">
        <v>45055.430555555555</v>
      </c>
      <c r="Z481" s="81">
        <v>2300</v>
      </c>
      <c r="AA481" s="81"/>
      <c r="AB481" s="81"/>
      <c r="AC481" s="81"/>
      <c r="AD481" s="81"/>
      <c r="AE481" s="81"/>
      <c r="AF481" s="81"/>
      <c r="AG481" s="81">
        <f>Sal_23[[#This Row],[COMPRA]]*12%</f>
        <v>399.62279999999998</v>
      </c>
      <c r="AH481" s="83">
        <v>3330.19</v>
      </c>
      <c r="AI481" s="66" t="str">
        <f>PROPER(TEXT(Sal_23[[#This Row],[PROGRAMAÇÃO]],"mmm"))</f>
        <v>Mai</v>
      </c>
      <c r="AJ481" s="66">
        <f>YEAR(Sal_23[[#This Row],[PROGRAMAÇÃO]])</f>
        <v>2023</v>
      </c>
      <c r="AK481" s="66"/>
      <c r="AL481" s="66"/>
      <c r="AM481" s="66" t="s">
        <v>2768</v>
      </c>
      <c r="AN481" s="66" t="s">
        <v>2768</v>
      </c>
      <c r="AO481" s="66" t="s">
        <v>2768</v>
      </c>
    </row>
    <row r="482" spans="2:41" x14ac:dyDescent="0.25">
      <c r="B482" s="128" t="s">
        <v>2771</v>
      </c>
      <c r="C48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2" s="79">
        <v>45055.333333333336</v>
      </c>
      <c r="E482" s="44" t="s">
        <v>4474</v>
      </c>
      <c r="F482" s="66">
        <v>40</v>
      </c>
      <c r="G482" s="66" t="s">
        <v>2826</v>
      </c>
      <c r="H482" s="44" t="s">
        <v>3074</v>
      </c>
      <c r="I482" s="299" t="s">
        <v>3439</v>
      </c>
      <c r="J482" s="66">
        <v>4421</v>
      </c>
      <c r="K482" s="66" t="s">
        <v>4446</v>
      </c>
      <c r="L482" s="66">
        <v>106086</v>
      </c>
      <c r="M482" s="66"/>
      <c r="N482" s="66" t="s">
        <v>210</v>
      </c>
      <c r="O482" s="66" t="s">
        <v>211</v>
      </c>
      <c r="P482" s="66" t="s">
        <v>212</v>
      </c>
      <c r="Q482" s="138" t="str">
        <f ca="1">IFERROR(LOOKUP($P482,MOTORISTAS!$D$3:$D$1048576,MOTORISTAS!E$3:E$916),"")</f>
        <v>38029906846</v>
      </c>
      <c r="R482" s="138" t="str">
        <f ca="1">IFERROR(LOOKUP($P482,MOTORISTAS!$D$3:$D$1048576,MOTORISTAS!F$3:F$916),"")</f>
        <v>04946846842</v>
      </c>
      <c r="S482" s="66">
        <v>15932</v>
      </c>
      <c r="T482" s="66" t="s">
        <v>293</v>
      </c>
      <c r="U482" s="79">
        <v>45055.035416666666</v>
      </c>
      <c r="V482" s="66" t="s">
        <v>469</v>
      </c>
      <c r="W482" s="79">
        <v>45056.027083333334</v>
      </c>
      <c r="X482" s="79">
        <v>45055.3125</v>
      </c>
      <c r="Y482" s="88">
        <v>45055.725694444445</v>
      </c>
      <c r="Z482" s="81">
        <v>2800</v>
      </c>
      <c r="AA482" s="81">
        <v>471.6</v>
      </c>
      <c r="AB482" s="81"/>
      <c r="AC482" s="81"/>
      <c r="AD482" s="81"/>
      <c r="AE482" s="81"/>
      <c r="AF482" s="81"/>
      <c r="AG482" s="81">
        <f>Sal_23[[#This Row],[COMPRA]]*12%</f>
        <v>501.59999999999997</v>
      </c>
      <c r="AH482" s="83">
        <v>4180</v>
      </c>
      <c r="AI482" s="66" t="str">
        <f>PROPER(TEXT(Sal_23[[#This Row],[PROGRAMAÇÃO]],"mmm"))</f>
        <v>Mai</v>
      </c>
      <c r="AJ482" s="66">
        <f>YEAR(Sal_23[[#This Row],[PROGRAMAÇÃO]])</f>
        <v>2023</v>
      </c>
      <c r="AK482" s="66"/>
      <c r="AL482" s="66"/>
      <c r="AM482" s="66" t="s">
        <v>2768</v>
      </c>
      <c r="AN482" s="66" t="s">
        <v>2768</v>
      </c>
      <c r="AO482" s="66" t="s">
        <v>2768</v>
      </c>
    </row>
    <row r="483" spans="2:41" x14ac:dyDescent="0.25">
      <c r="B483" s="128" t="s">
        <v>2771</v>
      </c>
      <c r="C48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3" s="79">
        <v>45055.333333333336</v>
      </c>
      <c r="E483" s="44" t="s">
        <v>4477</v>
      </c>
      <c r="F483" s="66">
        <v>40</v>
      </c>
      <c r="G483" s="66" t="s">
        <v>2826</v>
      </c>
      <c r="H483" s="44" t="s">
        <v>4395</v>
      </c>
      <c r="I483" s="299" t="s">
        <v>3072</v>
      </c>
      <c r="J483" s="66">
        <v>4377</v>
      </c>
      <c r="K483" s="66" t="s">
        <v>4446</v>
      </c>
      <c r="L483" s="66">
        <v>105952</v>
      </c>
      <c r="M483" s="66"/>
      <c r="N483" s="66" t="s">
        <v>4511</v>
      </c>
      <c r="O483" s="66" t="s">
        <v>4512</v>
      </c>
      <c r="P483" s="66" t="s">
        <v>4513</v>
      </c>
      <c r="Q483" s="138" t="str">
        <f ca="1">IFERROR(LOOKUP($P483,MOTORISTAS!$D$3:$D$1048576,MOTORISTAS!E$3:E$916),"")</f>
        <v>10828717885</v>
      </c>
      <c r="R483" s="138" t="str">
        <f ca="1">IFERROR(LOOKUP($P483,MOTORISTAS!$D$3:$D$1048576,MOTORISTAS!F$3:F$916),"")</f>
        <v>01593040803</v>
      </c>
      <c r="S483" s="66">
        <v>15931</v>
      </c>
      <c r="T483" s="66" t="s">
        <v>293</v>
      </c>
      <c r="U483" s="79">
        <v>45054.711111111108</v>
      </c>
      <c r="V483" s="66" t="s">
        <v>292</v>
      </c>
      <c r="W483" s="79">
        <v>45055.662499999999</v>
      </c>
      <c r="X483" s="79">
        <v>45055.243055555555</v>
      </c>
      <c r="Y483" s="88">
        <v>45055.444444444445</v>
      </c>
      <c r="Z483" s="81">
        <v>2200</v>
      </c>
      <c r="AA483" s="81"/>
      <c r="AB483" s="81"/>
      <c r="AC483" s="81"/>
      <c r="AD483" s="81"/>
      <c r="AE483" s="81"/>
      <c r="AF483" s="81"/>
      <c r="AG483" s="81">
        <f>Sal_23[[#This Row],[COMPRA]]*12%</f>
        <v>381.34559999999999</v>
      </c>
      <c r="AH483" s="83">
        <v>3177.88</v>
      </c>
      <c r="AI483" s="66" t="str">
        <f>PROPER(TEXT(Sal_23[[#This Row],[PROGRAMAÇÃO]],"mmm"))</f>
        <v>Mai</v>
      </c>
      <c r="AJ483" s="66">
        <f>YEAR(Sal_23[[#This Row],[PROGRAMAÇÃO]])</f>
        <v>2023</v>
      </c>
      <c r="AK483" s="66"/>
      <c r="AL483" s="66"/>
      <c r="AM483" s="66" t="s">
        <v>2768</v>
      </c>
      <c r="AN483" s="66" t="s">
        <v>2768</v>
      </c>
      <c r="AO483" s="66" t="s">
        <v>2768</v>
      </c>
    </row>
    <row r="484" spans="2:41" x14ac:dyDescent="0.25">
      <c r="B484" s="128" t="s">
        <v>2771</v>
      </c>
      <c r="C48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4" s="79">
        <v>45055.375</v>
      </c>
      <c r="E484" s="44" t="s">
        <v>4499</v>
      </c>
      <c r="F484" s="66">
        <v>40</v>
      </c>
      <c r="G484" s="66" t="s">
        <v>2826</v>
      </c>
      <c r="H484" s="44" t="s">
        <v>2835</v>
      </c>
      <c r="I484" s="299" t="s">
        <v>2822</v>
      </c>
      <c r="J484" s="66" t="s">
        <v>4546</v>
      </c>
      <c r="K484" s="66" t="s">
        <v>4501</v>
      </c>
      <c r="L484" s="66">
        <v>106182</v>
      </c>
      <c r="M484" s="66"/>
      <c r="N484" s="66" t="s">
        <v>102</v>
      </c>
      <c r="O484" s="66" t="s">
        <v>27</v>
      </c>
      <c r="P484" s="66" t="s">
        <v>206</v>
      </c>
      <c r="Q484" s="138" t="str">
        <f ca="1">IFERROR(LOOKUP($P484,MOTORISTAS!$D$3:$D$1048576,MOTORISTAS!E$3:E$916),"")</f>
        <v>09085263425</v>
      </c>
      <c r="R484" s="138" t="str">
        <f ca="1">IFERROR(LOOKUP($P484,MOTORISTAS!$D$3:$D$1048576,MOTORISTAS!F$3:F$916),"")</f>
        <v>04557705505</v>
      </c>
      <c r="S484" s="66">
        <v>15940</v>
      </c>
      <c r="T484" s="66" t="s">
        <v>306</v>
      </c>
      <c r="U484" s="79">
        <v>45055.255555555559</v>
      </c>
      <c r="V484" s="66" t="s">
        <v>292</v>
      </c>
      <c r="W484" s="79">
        <v>45055.662499999999</v>
      </c>
      <c r="X484" s="79">
        <v>45055.375</v>
      </c>
      <c r="Y484" s="88">
        <v>45055.493055555555</v>
      </c>
      <c r="Z484" s="81">
        <v>2100</v>
      </c>
      <c r="AA484" s="81"/>
      <c r="AB484" s="81"/>
      <c r="AC484" s="81"/>
      <c r="AD484" s="81"/>
      <c r="AE484" s="81"/>
      <c r="AF484" s="81"/>
      <c r="AG484" s="81">
        <f>Sal_23[[#This Row],[COMPRA]]*12%</f>
        <v>370.37759999999997</v>
      </c>
      <c r="AH484" s="83">
        <v>3086.48</v>
      </c>
      <c r="AI484" s="66" t="str">
        <f>PROPER(TEXT(Sal_23[[#This Row],[PROGRAMAÇÃO]],"mmm"))</f>
        <v>Mai</v>
      </c>
      <c r="AJ484" s="66">
        <f>YEAR(Sal_23[[#This Row],[PROGRAMAÇÃO]])</f>
        <v>2023</v>
      </c>
      <c r="AK484" s="66"/>
      <c r="AL484" s="66"/>
      <c r="AM484" s="66" t="s">
        <v>2768</v>
      </c>
      <c r="AN484" s="66" t="s">
        <v>2768</v>
      </c>
      <c r="AO484" s="66" t="s">
        <v>2768</v>
      </c>
    </row>
    <row r="485" spans="2:41" x14ac:dyDescent="0.25">
      <c r="B485" s="128" t="s">
        <v>2771</v>
      </c>
      <c r="C48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5" s="79">
        <v>45056.333333333336</v>
      </c>
      <c r="E485" s="44" t="s">
        <v>4498</v>
      </c>
      <c r="F485" s="66">
        <v>40</v>
      </c>
      <c r="G485" s="66" t="s">
        <v>2826</v>
      </c>
      <c r="H485" s="44" t="s">
        <v>2835</v>
      </c>
      <c r="I485" s="299" t="s">
        <v>2822</v>
      </c>
      <c r="J485" s="66" t="s">
        <v>4546</v>
      </c>
      <c r="K485" s="66" t="s">
        <v>4501</v>
      </c>
      <c r="L485" s="66">
        <v>106149</v>
      </c>
      <c r="M485" s="66"/>
      <c r="N485" s="66" t="s">
        <v>150</v>
      </c>
      <c r="O485" s="66" t="s">
        <v>151</v>
      </c>
      <c r="P485" s="66" t="s">
        <v>152</v>
      </c>
      <c r="Q485" s="138" t="str">
        <f ca="1">IFERROR(LOOKUP($P485,MOTORISTAS!$D$3:$D$1048576,MOTORISTAS!E$3:E$916),"")</f>
        <v>05753633803</v>
      </c>
      <c r="R485" s="138" t="str">
        <f ca="1">IFERROR(LOOKUP($P485,MOTORISTAS!$D$3:$D$1048576,MOTORISTAS!F$3:F$916),"")</f>
        <v>01922497849</v>
      </c>
      <c r="S485" s="66">
        <v>15939</v>
      </c>
      <c r="T485" s="66" t="s">
        <v>306</v>
      </c>
      <c r="U485" s="79">
        <v>45056.017361111109</v>
      </c>
      <c r="V485" s="66" t="s">
        <v>409</v>
      </c>
      <c r="W485" s="79">
        <v>45056.682638888888</v>
      </c>
      <c r="X485" s="79">
        <v>45056.052083333336</v>
      </c>
      <c r="Y485" s="88">
        <v>45056.517361111109</v>
      </c>
      <c r="Z485" s="81">
        <v>2100</v>
      </c>
      <c r="AA485" s="81"/>
      <c r="AB485" s="81"/>
      <c r="AC485" s="81"/>
      <c r="AD485" s="81"/>
      <c r="AE485" s="81"/>
      <c r="AF485" s="81"/>
      <c r="AG485" s="81">
        <f>Sal_23[[#This Row],[COMPRA]]*12%</f>
        <v>370.37759999999997</v>
      </c>
      <c r="AH485" s="83">
        <v>3086.48</v>
      </c>
      <c r="AI485" s="66" t="str">
        <f>PROPER(TEXT(Sal_23[[#This Row],[PROGRAMAÇÃO]],"mmm"))</f>
        <v>Mai</v>
      </c>
      <c r="AJ485" s="66">
        <f>YEAR(Sal_23[[#This Row],[PROGRAMAÇÃO]])</f>
        <v>2023</v>
      </c>
      <c r="AK485" s="66"/>
      <c r="AL485" s="66"/>
      <c r="AM485" s="66" t="s">
        <v>2768</v>
      </c>
      <c r="AN485" s="66" t="s">
        <v>2768</v>
      </c>
      <c r="AO485" s="66"/>
    </row>
    <row r="486" spans="2:41" x14ac:dyDescent="0.25">
      <c r="B486" s="128" t="s">
        <v>2771</v>
      </c>
      <c r="C48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6" s="79">
        <v>45056.333333333336</v>
      </c>
      <c r="E486" s="44" t="s">
        <v>4500</v>
      </c>
      <c r="F486" s="66">
        <v>40</v>
      </c>
      <c r="G486" s="66" t="s">
        <v>2826</v>
      </c>
      <c r="H486" s="44" t="s">
        <v>2835</v>
      </c>
      <c r="I486" s="299" t="s">
        <v>2822</v>
      </c>
      <c r="J486" s="66"/>
      <c r="K486" s="66" t="s">
        <v>4501</v>
      </c>
      <c r="L486" s="66">
        <v>106184</v>
      </c>
      <c r="M486" s="66"/>
      <c r="N486" s="66" t="s">
        <v>2859</v>
      </c>
      <c r="O486" s="66" t="s">
        <v>3852</v>
      </c>
      <c r="P486" s="66" t="s">
        <v>2861</v>
      </c>
      <c r="Q486" s="138" t="str">
        <f ca="1">IFERROR(LOOKUP($P486,MOTORISTAS!$D$3:$D$1048576,MOTORISTAS!E$3:E$916),"")</f>
        <v>01817591878</v>
      </c>
      <c r="R486" s="138" t="str">
        <f ca="1">IFERROR(LOOKUP($P486,MOTORISTAS!$D$3:$D$1048576,MOTORISTAS!F$3:F$916),"")</f>
        <v>00821760640</v>
      </c>
      <c r="S486" s="66">
        <v>15949</v>
      </c>
      <c r="T486" s="66" t="s">
        <v>306</v>
      </c>
      <c r="U486" s="79">
        <v>45055.909722222219</v>
      </c>
      <c r="V486" s="66" t="s">
        <v>409</v>
      </c>
      <c r="W486" s="79">
        <v>45056.729861111111</v>
      </c>
      <c r="X486" s="79">
        <v>45056.052083333336</v>
      </c>
      <c r="Y486" s="88">
        <v>45056.489583333336</v>
      </c>
      <c r="Z486" s="81">
        <v>2100</v>
      </c>
      <c r="AA486" s="81"/>
      <c r="AB486" s="81"/>
      <c r="AC486" s="81"/>
      <c r="AD486" s="81"/>
      <c r="AE486" s="81"/>
      <c r="AF486" s="81"/>
      <c r="AG486" s="81">
        <f>Sal_23[[#This Row],[COMPRA]]*12%</f>
        <v>370.37759999999997</v>
      </c>
      <c r="AH486" s="83">
        <v>3086.48</v>
      </c>
      <c r="AI486" s="66" t="str">
        <f>PROPER(TEXT(Sal_23[[#This Row],[PROGRAMAÇÃO]],"mmm"))</f>
        <v>Mai</v>
      </c>
      <c r="AJ486" s="66">
        <f>YEAR(Sal_23[[#This Row],[PROGRAMAÇÃO]])</f>
        <v>2023</v>
      </c>
      <c r="AK486" s="66"/>
      <c r="AL486" s="66"/>
      <c r="AM486" s="66" t="s">
        <v>2768</v>
      </c>
      <c r="AN486" s="66" t="s">
        <v>2768</v>
      </c>
      <c r="AO486" s="66"/>
    </row>
    <row r="487" spans="2:41" x14ac:dyDescent="0.25">
      <c r="B487" s="128" t="s">
        <v>2771</v>
      </c>
      <c r="C48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7" s="79">
        <v>45057.333333333336</v>
      </c>
      <c r="E487" s="44" t="s">
        <v>4521</v>
      </c>
      <c r="F487" s="66">
        <v>20</v>
      </c>
      <c r="G487" s="66" t="s">
        <v>2826</v>
      </c>
      <c r="H487" s="44" t="s">
        <v>3071</v>
      </c>
      <c r="I487" s="299" t="s">
        <v>3072</v>
      </c>
      <c r="J487" s="66">
        <v>4661</v>
      </c>
      <c r="K487" s="66" t="s">
        <v>4531</v>
      </c>
      <c r="L487" s="66">
        <v>106261</v>
      </c>
      <c r="M487" s="66"/>
      <c r="N487" s="66" t="s">
        <v>2584</v>
      </c>
      <c r="O487" s="66" t="s">
        <v>2585</v>
      </c>
      <c r="P487" s="66" t="s">
        <v>2586</v>
      </c>
      <c r="Q487" s="138" t="str">
        <f ca="1">IFERROR(LOOKUP($P487,MOTORISTAS!$D$3:$D$1048576,MOTORISTAS!E$3:E$916),"")</f>
        <v>08312935860</v>
      </c>
      <c r="R487" s="138" t="str">
        <f ca="1">IFERROR(LOOKUP($P487,MOTORISTAS!$D$3:$D$1048576,MOTORISTAS!F$3:F$916),"")</f>
        <v>03106516083</v>
      </c>
      <c r="S487" s="66">
        <v>15960</v>
      </c>
      <c r="T487" s="66" t="s">
        <v>293</v>
      </c>
      <c r="U487" s="79">
        <v>45056.96597222222</v>
      </c>
      <c r="V487" s="66" t="s">
        <v>469</v>
      </c>
      <c r="W487" s="79">
        <v>45057.624305555553</v>
      </c>
      <c r="X487" s="79">
        <v>45057.104166666664</v>
      </c>
      <c r="Y487" s="88">
        <v>45057.371527777781</v>
      </c>
      <c r="Z487" s="81">
        <v>2200</v>
      </c>
      <c r="AA487" s="81"/>
      <c r="AB487" s="81"/>
      <c r="AC487" s="81">
        <v>600</v>
      </c>
      <c r="AD487" s="81"/>
      <c r="AE487" s="81"/>
      <c r="AF487" s="81"/>
      <c r="AG487" s="81">
        <f>Sal_23[[#This Row],[COMPRA]]*12%</f>
        <v>473.5104</v>
      </c>
      <c r="AH487" s="83">
        <v>3945.92</v>
      </c>
      <c r="AI487" s="66" t="str">
        <f>PROPER(TEXT(Sal_23[[#This Row],[PROGRAMAÇÃO]],"mmm"))</f>
        <v>Mai</v>
      </c>
      <c r="AJ487" s="66">
        <f>YEAR(Sal_23[[#This Row],[PROGRAMAÇÃO]])</f>
        <v>2023</v>
      </c>
      <c r="AK487" s="66"/>
      <c r="AL487" s="66"/>
      <c r="AM487" s="66" t="s">
        <v>2768</v>
      </c>
      <c r="AN487" s="66" t="s">
        <v>2768</v>
      </c>
      <c r="AO487" s="66"/>
    </row>
    <row r="488" spans="2:41" x14ac:dyDescent="0.25">
      <c r="B488" s="128" t="s">
        <v>2771</v>
      </c>
      <c r="C48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8" s="79">
        <v>45057.333333333336</v>
      </c>
      <c r="E488" s="44" t="s">
        <v>4522</v>
      </c>
      <c r="F488" s="66">
        <v>20</v>
      </c>
      <c r="G488" s="66" t="s">
        <v>2826</v>
      </c>
      <c r="H488" s="44" t="s">
        <v>2825</v>
      </c>
      <c r="I488" s="299" t="s">
        <v>4012</v>
      </c>
      <c r="J488" s="66">
        <v>4631</v>
      </c>
      <c r="K488" s="66" t="s">
        <v>4531</v>
      </c>
      <c r="L488" s="66">
        <v>106147</v>
      </c>
      <c r="M488" s="66"/>
      <c r="N488" s="66" t="s">
        <v>4571</v>
      </c>
      <c r="O488" s="66" t="s">
        <v>4572</v>
      </c>
      <c r="P488" s="66" t="s">
        <v>4573</v>
      </c>
      <c r="Q488" s="138" t="str">
        <f ca="1">IFERROR(LOOKUP($P488,MOTORISTAS!$D$3:$D$1048576,MOTORISTAS!E$3:E$916),"")</f>
        <v>09221836860</v>
      </c>
      <c r="R488" s="138" t="str">
        <f ca="1">IFERROR(LOOKUP($P488,MOTORISTAS!$D$3:$D$1048576,MOTORISTAS!F$3:F$916),"")</f>
        <v>01994346710</v>
      </c>
      <c r="S488" s="66" t="s">
        <v>4574</v>
      </c>
      <c r="T488" s="66" t="s">
        <v>293</v>
      </c>
      <c r="U488" s="79">
        <v>45057.238888888889</v>
      </c>
      <c r="V488" s="66" t="s">
        <v>469</v>
      </c>
      <c r="W488" s="79">
        <v>45057.674305555556</v>
      </c>
      <c r="X488" s="79">
        <v>45057.309027777781</v>
      </c>
      <c r="Y488" s="88">
        <v>45057.489583333336</v>
      </c>
      <c r="Z488" s="81">
        <v>2000</v>
      </c>
      <c r="AA488" s="81"/>
      <c r="AB488" s="81"/>
      <c r="AC488" s="81">
        <v>700</v>
      </c>
      <c r="AD488" s="81"/>
      <c r="AE488" s="81"/>
      <c r="AF488" s="81"/>
      <c r="AG488" s="81">
        <f>Sal_23[[#This Row],[COMPRA]]*12%</f>
        <v>447.91919999999999</v>
      </c>
      <c r="AH488" s="83">
        <v>3732.66</v>
      </c>
      <c r="AI488" s="66" t="str">
        <f>PROPER(TEXT(Sal_23[[#This Row],[PROGRAMAÇÃO]],"mmm"))</f>
        <v>Mai</v>
      </c>
      <c r="AJ488" s="66">
        <f>YEAR(Sal_23[[#This Row],[PROGRAMAÇÃO]])</f>
        <v>2023</v>
      </c>
      <c r="AK488" s="66"/>
      <c r="AL488" s="66"/>
      <c r="AM488" s="66" t="s">
        <v>2768</v>
      </c>
      <c r="AN488" s="66" t="s">
        <v>2768</v>
      </c>
      <c r="AO488" s="66"/>
    </row>
    <row r="489" spans="2:41" x14ac:dyDescent="0.25">
      <c r="B489" s="128" t="s">
        <v>2771</v>
      </c>
      <c r="C48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89" s="79">
        <v>45057.375</v>
      </c>
      <c r="E489" s="44" t="s">
        <v>4540</v>
      </c>
      <c r="F489" s="66">
        <v>20</v>
      </c>
      <c r="G489" s="66" t="s">
        <v>2820</v>
      </c>
      <c r="H489" s="44" t="s">
        <v>2820</v>
      </c>
      <c r="I489" s="299" t="s">
        <v>2821</v>
      </c>
      <c r="J489" s="66">
        <v>4530</v>
      </c>
      <c r="K489" s="66" t="s">
        <v>4531</v>
      </c>
      <c r="L489" s="66">
        <v>70740</v>
      </c>
      <c r="M489" s="66"/>
      <c r="N489" s="66" t="s">
        <v>3028</v>
      </c>
      <c r="O489" s="66" t="s">
        <v>3852</v>
      </c>
      <c r="P489" s="66" t="s">
        <v>3443</v>
      </c>
      <c r="Q489" s="138" t="str">
        <f ca="1">IFERROR(LOOKUP($P489,MOTORISTAS!$D$3:$D$1048576,MOTORISTAS!E$3:E$916),"")</f>
        <v>13990937898</v>
      </c>
      <c r="R489" s="138" t="str">
        <f ca="1">IFERROR(LOOKUP($P489,MOTORISTAS!$D$3:$D$1048576,MOTORISTAS!F$3:F$916),"")</f>
        <v>01825123407</v>
      </c>
      <c r="S489" s="66">
        <v>15964</v>
      </c>
      <c r="T489" s="66" t="s">
        <v>293</v>
      </c>
      <c r="U489" s="79">
        <v>45057.036111111112</v>
      </c>
      <c r="V489" s="66" t="s">
        <v>526</v>
      </c>
      <c r="W489" s="79">
        <v>45057.586111111108</v>
      </c>
      <c r="X489" s="79">
        <v>45057.107638888891</v>
      </c>
      <c r="Y489" s="88">
        <v>45057.506944444445</v>
      </c>
      <c r="Z489" s="81">
        <v>1600</v>
      </c>
      <c r="AA489" s="81"/>
      <c r="AB489" s="81"/>
      <c r="AC489" s="81"/>
      <c r="AD489" s="81"/>
      <c r="AE489" s="81"/>
      <c r="AF489" s="81"/>
      <c r="AG489" s="81">
        <f>Sal_23[[#This Row],[COMPRA]]*12%</f>
        <v>276</v>
      </c>
      <c r="AH489" s="83">
        <v>2300</v>
      </c>
      <c r="AI489" s="66" t="str">
        <f>PROPER(TEXT(Sal_23[[#This Row],[PROGRAMAÇÃO]],"mmm"))</f>
        <v>Mai</v>
      </c>
      <c r="AJ489" s="66">
        <f>YEAR(Sal_23[[#This Row],[PROGRAMAÇÃO]])</f>
        <v>2023</v>
      </c>
      <c r="AK489" s="66"/>
      <c r="AL489" s="66"/>
      <c r="AM489" s="66" t="s">
        <v>2768</v>
      </c>
      <c r="AN489" s="66" t="s">
        <v>2768</v>
      </c>
      <c r="AO489" s="66" t="s">
        <v>2768</v>
      </c>
    </row>
    <row r="490" spans="2:41" x14ac:dyDescent="0.25">
      <c r="B490" s="128" t="s">
        <v>2771</v>
      </c>
      <c r="C49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90" s="79">
        <v>45057.375</v>
      </c>
      <c r="E490" s="44" t="s">
        <v>4538</v>
      </c>
      <c r="F490" s="66">
        <v>40</v>
      </c>
      <c r="G490" s="66" t="s">
        <v>2820</v>
      </c>
      <c r="H490" s="44" t="s">
        <v>2820</v>
      </c>
      <c r="I490" s="299" t="s">
        <v>2821</v>
      </c>
      <c r="J490" s="66">
        <v>4518</v>
      </c>
      <c r="K490" s="66" t="s">
        <v>4531</v>
      </c>
      <c r="L490" s="66">
        <v>106185</v>
      </c>
      <c r="M490" s="66">
        <v>106186</v>
      </c>
      <c r="N490" s="66" t="s">
        <v>4108</v>
      </c>
      <c r="O490" s="66" t="s">
        <v>4109</v>
      </c>
      <c r="P490" s="66" t="s">
        <v>2932</v>
      </c>
      <c r="Q490" s="138" t="str">
        <f ca="1">IFERROR(LOOKUP($P490,MOTORISTAS!$D$3:$D$1048576,MOTORISTAS!E$3:E$916),"")</f>
        <v>87607395849</v>
      </c>
      <c r="R490" s="138" t="str">
        <f ca="1">IFERROR(LOOKUP($P490,MOTORISTAS!$D$3:$D$1048576,MOTORISTAS!F$3:F$916),"")</f>
        <v>01842622116</v>
      </c>
      <c r="S490" s="66" t="s">
        <v>4575</v>
      </c>
      <c r="T490" s="66" t="s">
        <v>293</v>
      </c>
      <c r="U490" s="79">
        <v>45056.978472222225</v>
      </c>
      <c r="V490" s="66" t="s">
        <v>469</v>
      </c>
      <c r="W490" s="79">
        <v>45057.674305555556</v>
      </c>
      <c r="X490" s="79">
        <v>45057.107638888891</v>
      </c>
      <c r="Y490" s="88">
        <v>45057.548611111109</v>
      </c>
      <c r="Z490" s="81">
        <v>1600</v>
      </c>
      <c r="AA490" s="81"/>
      <c r="AB490" s="81"/>
      <c r="AC490" s="81"/>
      <c r="AD490" s="81"/>
      <c r="AE490" s="81"/>
      <c r="AF490" s="81"/>
      <c r="AG490" s="81">
        <f>Sal_23[[#This Row],[COMPRA]]*12%</f>
        <v>276</v>
      </c>
      <c r="AH490" s="83">
        <v>2300</v>
      </c>
      <c r="AI490" s="66" t="str">
        <f>PROPER(TEXT(Sal_23[[#This Row],[PROGRAMAÇÃO]],"mmm"))</f>
        <v>Mai</v>
      </c>
      <c r="AJ490" s="66">
        <f>YEAR(Sal_23[[#This Row],[PROGRAMAÇÃO]])</f>
        <v>2023</v>
      </c>
      <c r="AK490" s="66"/>
      <c r="AL490" s="66"/>
      <c r="AM490" s="66" t="s">
        <v>2768</v>
      </c>
      <c r="AN490" s="66" t="s">
        <v>2768</v>
      </c>
      <c r="AO490" s="66" t="s">
        <v>2768</v>
      </c>
    </row>
    <row r="491" spans="2:41" x14ac:dyDescent="0.25">
      <c r="B491" s="128" t="s">
        <v>2771</v>
      </c>
      <c r="C49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91" s="79">
        <v>45057.458333333336</v>
      </c>
      <c r="E491" s="44" t="s">
        <v>4536</v>
      </c>
      <c r="F491" s="66">
        <v>20</v>
      </c>
      <c r="G491" s="66" t="s">
        <v>2820</v>
      </c>
      <c r="H491" s="44" t="s">
        <v>2820</v>
      </c>
      <c r="I491" s="299" t="s">
        <v>2821</v>
      </c>
      <c r="J491" s="66">
        <v>4667</v>
      </c>
      <c r="K491" s="66" t="s">
        <v>4531</v>
      </c>
      <c r="L491" s="66">
        <v>166339</v>
      </c>
      <c r="M491" s="66"/>
      <c r="N491" s="66" t="s">
        <v>2859</v>
      </c>
      <c r="O491" s="66" t="s">
        <v>2860</v>
      </c>
      <c r="P491" s="66" t="s">
        <v>2861</v>
      </c>
      <c r="Q491" s="138" t="str">
        <f ca="1">IFERROR(LOOKUP($P491,MOTORISTAS!$D$3:$D$1048576,MOTORISTAS!E$3:E$916),"")</f>
        <v>01817591878</v>
      </c>
      <c r="R491" s="138" t="str">
        <f ca="1">IFERROR(LOOKUP($P491,MOTORISTAS!$D$3:$D$1048576,MOTORISTAS!F$3:F$916),"")</f>
        <v>00821760640</v>
      </c>
      <c r="S491" s="66">
        <v>15963</v>
      </c>
      <c r="T491" s="66" t="s">
        <v>293</v>
      </c>
      <c r="U491" s="79">
        <v>45057.022916666669</v>
      </c>
      <c r="V491" s="66" t="s">
        <v>469</v>
      </c>
      <c r="W491" s="79">
        <v>45057.685416666667</v>
      </c>
      <c r="X491" s="79">
        <v>45057.142361111109</v>
      </c>
      <c r="Y491" s="88">
        <v>45057.673611111109</v>
      </c>
      <c r="Z491" s="81">
        <v>1600</v>
      </c>
      <c r="AA491" s="81"/>
      <c r="AB491" s="81"/>
      <c r="AC491" s="81"/>
      <c r="AD491" s="81"/>
      <c r="AE491" s="81"/>
      <c r="AF491" s="81"/>
      <c r="AG491" s="81">
        <f>Sal_23[[#This Row],[COMPRA]]*12%</f>
        <v>276</v>
      </c>
      <c r="AH491" s="83">
        <v>2300</v>
      </c>
      <c r="AI491" s="66" t="str">
        <f>PROPER(TEXT(Sal_23[[#This Row],[PROGRAMAÇÃO]],"mmm"))</f>
        <v>Mai</v>
      </c>
      <c r="AJ491" s="66">
        <f>YEAR(Sal_23[[#This Row],[PROGRAMAÇÃO]])</f>
        <v>2023</v>
      </c>
      <c r="AK491" s="66"/>
      <c r="AL491" s="66"/>
      <c r="AM491" s="66" t="s">
        <v>2768</v>
      </c>
      <c r="AN491" s="66" t="s">
        <v>2768</v>
      </c>
      <c r="AO491" s="66" t="s">
        <v>2768</v>
      </c>
    </row>
    <row r="492" spans="2:41" x14ac:dyDescent="0.25">
      <c r="B492" s="128" t="s">
        <v>2771</v>
      </c>
      <c r="C49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92" s="79">
        <v>45057.458333333336</v>
      </c>
      <c r="E492" s="44" t="s">
        <v>4541</v>
      </c>
      <c r="F492" s="66">
        <v>20</v>
      </c>
      <c r="G492" s="66" t="s">
        <v>2820</v>
      </c>
      <c r="H492" s="44" t="s">
        <v>2820</v>
      </c>
      <c r="I492" s="299" t="s">
        <v>2821</v>
      </c>
      <c r="J492" s="66">
        <v>4677</v>
      </c>
      <c r="K492" s="66" t="s">
        <v>4531</v>
      </c>
      <c r="L492" s="66">
        <v>106289</v>
      </c>
      <c r="M492" s="66"/>
      <c r="N492" s="66" t="s">
        <v>2949</v>
      </c>
      <c r="O492" s="66" t="s">
        <v>2950</v>
      </c>
      <c r="P492" s="66" t="s">
        <v>2948</v>
      </c>
      <c r="Q492" s="138" t="str">
        <f ca="1">IFERROR(LOOKUP($P492,MOTORISTAS!$D$3:$D$1048576,MOTORISTAS!E$3:E$916),"")</f>
        <v>16239341843</v>
      </c>
      <c r="R492" s="138" t="str">
        <f ca="1">IFERROR(LOOKUP($P492,MOTORISTAS!$D$3:$D$1048576,MOTORISTAS!F$3:F$916),"")</f>
        <v>01877235038</v>
      </c>
      <c r="S492" s="66">
        <v>15966</v>
      </c>
      <c r="T492" s="66" t="s">
        <v>293</v>
      </c>
      <c r="U492" s="79">
        <v>45057.020833333336</v>
      </c>
      <c r="V492" s="66" t="s">
        <v>469</v>
      </c>
      <c r="W492" s="79">
        <v>45057.611111111109</v>
      </c>
      <c r="X492" s="79">
        <v>45057.107638888891</v>
      </c>
      <c r="Y492" s="88">
        <v>45057.520833333336</v>
      </c>
      <c r="Z492" s="81">
        <v>1600</v>
      </c>
      <c r="AA492" s="81"/>
      <c r="AB492" s="81"/>
      <c r="AC492" s="81"/>
      <c r="AD492" s="81"/>
      <c r="AE492" s="81"/>
      <c r="AF492" s="81"/>
      <c r="AG492" s="81">
        <f>Sal_23[[#This Row],[COMPRA]]*12%</f>
        <v>276</v>
      </c>
      <c r="AH492" s="83">
        <v>2300</v>
      </c>
      <c r="AI492" s="66" t="str">
        <f>PROPER(TEXT(Sal_23[[#This Row],[PROGRAMAÇÃO]],"mmm"))</f>
        <v>Mai</v>
      </c>
      <c r="AJ492" s="66">
        <f>YEAR(Sal_23[[#This Row],[PROGRAMAÇÃO]])</f>
        <v>2023</v>
      </c>
      <c r="AK492" s="66"/>
      <c r="AL492" s="66"/>
      <c r="AM492" s="66" t="s">
        <v>2768</v>
      </c>
      <c r="AN492" s="66" t="s">
        <v>2768</v>
      </c>
      <c r="AO492" s="66" t="s">
        <v>2768</v>
      </c>
    </row>
    <row r="493" spans="2:41" x14ac:dyDescent="0.25">
      <c r="B493" s="128" t="s">
        <v>2771</v>
      </c>
      <c r="C49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93" s="79">
        <v>45058.291666666664</v>
      </c>
      <c r="E493" s="44" t="s">
        <v>4542</v>
      </c>
      <c r="F493" s="66">
        <v>20</v>
      </c>
      <c r="G493" s="66" t="s">
        <v>2820</v>
      </c>
      <c r="H493" s="44" t="s">
        <v>2820</v>
      </c>
      <c r="I493" s="299" t="s">
        <v>2821</v>
      </c>
      <c r="J493" s="66">
        <v>4675</v>
      </c>
      <c r="K493" s="66" t="s">
        <v>4531</v>
      </c>
      <c r="L493" s="66">
        <v>106288</v>
      </c>
      <c r="M493" s="66"/>
      <c r="N493" s="66" t="s">
        <v>3028</v>
      </c>
      <c r="O493" s="66" t="s">
        <v>3852</v>
      </c>
      <c r="P493" s="66" t="s">
        <v>3443</v>
      </c>
      <c r="Q493" s="138" t="str">
        <f ca="1">IFERROR(LOOKUP($P493,MOTORISTAS!$D$3:$D$1048576,MOTORISTAS!E$3:E$916),"")</f>
        <v>13990937898</v>
      </c>
      <c r="R493" s="138" t="str">
        <f ca="1">IFERROR(LOOKUP($P493,MOTORISTAS!$D$3:$D$1048576,MOTORISTAS!F$3:F$916),"")</f>
        <v>01825123407</v>
      </c>
      <c r="S493" s="66">
        <v>15977</v>
      </c>
      <c r="T493" s="66" t="s">
        <v>293</v>
      </c>
      <c r="U493" s="79">
        <v>45058.067361111112</v>
      </c>
      <c r="V493" s="66" t="s">
        <v>526</v>
      </c>
      <c r="W493" s="79">
        <v>45058.7</v>
      </c>
      <c r="X493" s="66" t="s">
        <v>4589</v>
      </c>
      <c r="Y493" s="88">
        <v>45058.600694444445</v>
      </c>
      <c r="Z493" s="81">
        <v>1600</v>
      </c>
      <c r="AA493" s="81"/>
      <c r="AB493" s="81"/>
      <c r="AC493" s="81"/>
      <c r="AD493" s="81"/>
      <c r="AE493" s="81"/>
      <c r="AF493" s="81"/>
      <c r="AG493" s="81">
        <f>Sal_23[[#This Row],[COMPRA]]*12%</f>
        <v>276</v>
      </c>
      <c r="AH493" s="83">
        <v>2300</v>
      </c>
      <c r="AI493" s="66" t="str">
        <f>PROPER(TEXT(Sal_23[[#This Row],[PROGRAMAÇÃO]],"mmm"))</f>
        <v>Mai</v>
      </c>
      <c r="AJ493" s="66">
        <f>YEAR(Sal_23[[#This Row],[PROGRAMAÇÃO]])</f>
        <v>2023</v>
      </c>
      <c r="AK493" s="66"/>
      <c r="AL493" s="44"/>
      <c r="AM493" s="66" t="s">
        <v>2768</v>
      </c>
      <c r="AN493" s="66" t="s">
        <v>2768</v>
      </c>
      <c r="AO493" s="66" t="s">
        <v>2768</v>
      </c>
    </row>
    <row r="494" spans="2:41" x14ac:dyDescent="0.25">
      <c r="B494" s="128" t="s">
        <v>2771</v>
      </c>
      <c r="C49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94" s="79">
        <v>45058.333333333336</v>
      </c>
      <c r="E494" s="44" t="s">
        <v>4518</v>
      </c>
      <c r="F494" s="66">
        <v>20</v>
      </c>
      <c r="G494" s="66" t="s">
        <v>2826</v>
      </c>
      <c r="H494" s="44" t="s">
        <v>3440</v>
      </c>
      <c r="I494" s="299" t="s">
        <v>3531</v>
      </c>
      <c r="J494" s="66">
        <v>4588</v>
      </c>
      <c r="K494" s="66" t="s">
        <v>4531</v>
      </c>
      <c r="L494" s="66">
        <v>116194</v>
      </c>
      <c r="M494" s="66"/>
      <c r="N494" s="66" t="s">
        <v>2584</v>
      </c>
      <c r="O494" s="66" t="s">
        <v>2585</v>
      </c>
      <c r="P494" s="66" t="s">
        <v>2586</v>
      </c>
      <c r="Q494" s="138" t="str">
        <f ca="1">IFERROR(LOOKUP($P494,MOTORISTAS!$D$3:$D$1048576,MOTORISTAS!E$3:E$916),"")</f>
        <v>08312935860</v>
      </c>
      <c r="R494" s="138" t="str">
        <f ca="1">IFERROR(LOOKUP($P494,MOTORISTAS!$D$3:$D$1048576,MOTORISTAS!F$3:F$916),"")</f>
        <v>03106516083</v>
      </c>
      <c r="S494" s="66">
        <v>15980</v>
      </c>
      <c r="T494" s="66" t="s">
        <v>293</v>
      </c>
      <c r="U494" s="79">
        <v>45057.969444444447</v>
      </c>
      <c r="V494" s="66" t="s">
        <v>469</v>
      </c>
      <c r="W494" s="79">
        <v>45059.563888888886</v>
      </c>
      <c r="X494" s="79">
        <v>45058.628472222219</v>
      </c>
      <c r="Y494" s="88">
        <v>45059.364583333336</v>
      </c>
      <c r="Z494" s="81">
        <v>2300</v>
      </c>
      <c r="AA494" s="81"/>
      <c r="AB494" s="81"/>
      <c r="AC494" s="81"/>
      <c r="AD494" s="81"/>
      <c r="AE494" s="81"/>
      <c r="AF494" s="81"/>
      <c r="AG494" s="81">
        <f>Sal_23[[#This Row],[COMPRA]]*12%</f>
        <v>399.62399999999997</v>
      </c>
      <c r="AH494" s="83">
        <v>3330.2</v>
      </c>
      <c r="AI494" s="66" t="str">
        <f>PROPER(TEXT(Sal_23[[#This Row],[PROGRAMAÇÃO]],"mmm"))</f>
        <v>Mai</v>
      </c>
      <c r="AJ494" s="66">
        <f>YEAR(Sal_23[[#This Row],[PROGRAMAÇÃO]])</f>
        <v>2023</v>
      </c>
      <c r="AK494" s="66"/>
      <c r="AL494" s="44" t="s">
        <v>3643</v>
      </c>
      <c r="AM494" s="66" t="s">
        <v>2768</v>
      </c>
      <c r="AN494" s="66" t="s">
        <v>2768</v>
      </c>
      <c r="AO494" s="66"/>
    </row>
    <row r="495" spans="2:41" x14ac:dyDescent="0.25">
      <c r="B495" s="128" t="s">
        <v>2771</v>
      </c>
      <c r="C49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95" s="79">
        <v>45058.333333333336</v>
      </c>
      <c r="E495" s="44" t="s">
        <v>4525</v>
      </c>
      <c r="F495" s="66">
        <v>40</v>
      </c>
      <c r="G495" s="66" t="s">
        <v>2826</v>
      </c>
      <c r="H495" s="44" t="s">
        <v>1674</v>
      </c>
      <c r="I495" s="299" t="s">
        <v>2829</v>
      </c>
      <c r="J495" s="66">
        <v>4656</v>
      </c>
      <c r="K495" s="66" t="s">
        <v>4531</v>
      </c>
      <c r="L495" s="66">
        <v>106255</v>
      </c>
      <c r="M495" s="66">
        <v>106256</v>
      </c>
      <c r="N495" s="66" t="s">
        <v>111</v>
      </c>
      <c r="O495" s="66" t="s">
        <v>891</v>
      </c>
      <c r="P495" s="66" t="s">
        <v>113</v>
      </c>
      <c r="Q495" s="138" t="str">
        <f ca="1">IFERROR(LOOKUP($P495,MOTORISTAS!$D$3:$D$1048576,MOTORISTAS!E$3:E$916),"")</f>
        <v>88265951434</v>
      </c>
      <c r="R495" s="138" t="str">
        <f ca="1">IFERROR(LOOKUP($P495,MOTORISTAS!$D$3:$D$1048576,MOTORISTAS!F$3:F$916),"")</f>
        <v>00920373596</v>
      </c>
      <c r="S495" s="66">
        <v>15981</v>
      </c>
      <c r="T495" s="66" t="s">
        <v>293</v>
      </c>
      <c r="U495" s="79">
        <v>45058.32708333333</v>
      </c>
      <c r="V495" s="66" t="s">
        <v>526</v>
      </c>
      <c r="W495" s="79">
        <v>45058.875</v>
      </c>
      <c r="X495" s="79">
        <v>45058.555555555555</v>
      </c>
      <c r="Y495" s="88">
        <v>45058.670138888891</v>
      </c>
      <c r="Z495" s="81">
        <v>3400</v>
      </c>
      <c r="AA495" s="81"/>
      <c r="AB495" s="81"/>
      <c r="AC495" s="81"/>
      <c r="AD495" s="81"/>
      <c r="AE495" s="81"/>
      <c r="AF495" s="81"/>
      <c r="AG495" s="81">
        <f>Sal_23[[#This Row],[COMPRA]]*12%</f>
        <v>558.28319999999997</v>
      </c>
      <c r="AH495" s="83">
        <v>4652.3599999999997</v>
      </c>
      <c r="AI495" s="66" t="str">
        <f>PROPER(TEXT(Sal_23[[#This Row],[PROGRAMAÇÃO]],"mmm"))</f>
        <v>Mai</v>
      </c>
      <c r="AJ495" s="66">
        <f>YEAR(Sal_23[[#This Row],[PROGRAMAÇÃO]])</f>
        <v>2023</v>
      </c>
      <c r="AK495" s="66"/>
      <c r="AL495" s="44"/>
      <c r="AM495" s="66" t="s">
        <v>2768</v>
      </c>
      <c r="AN495" s="66" t="s">
        <v>2768</v>
      </c>
      <c r="AO495" s="66"/>
    </row>
    <row r="496" spans="2:41" x14ac:dyDescent="0.25">
      <c r="B496" s="128" t="s">
        <v>2771</v>
      </c>
      <c r="C49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496" s="79">
        <v>45058.333333333336</v>
      </c>
      <c r="E496" s="44" t="s">
        <v>4526</v>
      </c>
      <c r="F496" s="66">
        <v>40</v>
      </c>
      <c r="G496" s="66" t="s">
        <v>2826</v>
      </c>
      <c r="H496" s="44" t="s">
        <v>1674</v>
      </c>
      <c r="I496" s="299" t="s">
        <v>2829</v>
      </c>
      <c r="J496" s="66">
        <v>4654</v>
      </c>
      <c r="K496" s="66" t="s">
        <v>4531</v>
      </c>
      <c r="L496" s="66">
        <v>106265</v>
      </c>
      <c r="M496" s="66">
        <v>106266</v>
      </c>
      <c r="N496" s="66" t="s">
        <v>178</v>
      </c>
      <c r="O496" s="66" t="s">
        <v>112</v>
      </c>
      <c r="P496" s="66" t="s">
        <v>180</v>
      </c>
      <c r="Q496" s="138" t="str">
        <f ca="1">IFERROR(LOOKUP($P496,MOTORISTAS!$D$3:$D$1048576,MOTORISTAS!E$3:E$916),"")</f>
        <v>18990500869</v>
      </c>
      <c r="R496" s="138" t="str">
        <f ca="1">IFERROR(LOOKUP($P496,MOTORISTAS!$D$3:$D$1048576,MOTORISTAS!F$3:F$916),"")</f>
        <v>04640435232</v>
      </c>
      <c r="S496" s="66">
        <v>15982</v>
      </c>
      <c r="T496" s="66" t="s">
        <v>293</v>
      </c>
      <c r="U496" s="79">
        <v>45058.261111111111</v>
      </c>
      <c r="V496" s="66" t="s">
        <v>469</v>
      </c>
      <c r="W496" s="79">
        <v>45058.945138888892</v>
      </c>
      <c r="X496" s="79">
        <v>45058.559027777781</v>
      </c>
      <c r="Y496" s="88">
        <v>45058.704861111109</v>
      </c>
      <c r="Z496" s="81">
        <v>3400</v>
      </c>
      <c r="AA496" s="81"/>
      <c r="AB496" s="81"/>
      <c r="AC496" s="81"/>
      <c r="AD496" s="81"/>
      <c r="AE496" s="81"/>
      <c r="AF496" s="81"/>
      <c r="AG496" s="81">
        <f>Sal_23[[#This Row],[COMPRA]]*12%</f>
        <v>558.28319999999997</v>
      </c>
      <c r="AH496" s="83">
        <v>4652.3599999999997</v>
      </c>
      <c r="AI496" s="66" t="str">
        <f>PROPER(TEXT(Sal_23[[#This Row],[PROGRAMAÇÃO]],"mmm"))</f>
        <v>Mai</v>
      </c>
      <c r="AJ496" s="66">
        <f>YEAR(Sal_23[[#This Row],[PROGRAMAÇÃO]])</f>
        <v>2023</v>
      </c>
      <c r="AK496" s="66"/>
      <c r="AL496" s="44"/>
      <c r="AM496" s="66" t="s">
        <v>2768</v>
      </c>
      <c r="AN496" s="66" t="s">
        <v>2768</v>
      </c>
      <c r="AO496" s="66"/>
    </row>
    <row r="497" spans="2:41" x14ac:dyDescent="0.25">
      <c r="B497" s="128" t="s">
        <v>2771</v>
      </c>
      <c r="C49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97" s="79">
        <v>45058.375</v>
      </c>
      <c r="E497" s="44" t="s">
        <v>4537</v>
      </c>
      <c r="F497" s="66">
        <v>20</v>
      </c>
      <c r="G497" s="66" t="s">
        <v>2820</v>
      </c>
      <c r="H497" s="44" t="s">
        <v>2820</v>
      </c>
      <c r="I497" s="299" t="s">
        <v>2821</v>
      </c>
      <c r="J497" s="66">
        <v>4666</v>
      </c>
      <c r="K497" s="66" t="s">
        <v>4531</v>
      </c>
      <c r="L497" s="66">
        <v>106260</v>
      </c>
      <c r="M497" s="66"/>
      <c r="N497" s="66" t="s">
        <v>2949</v>
      </c>
      <c r="O497" s="66" t="s">
        <v>2950</v>
      </c>
      <c r="P497" s="66" t="s">
        <v>2948</v>
      </c>
      <c r="Q497" s="138" t="str">
        <f ca="1">IFERROR(LOOKUP($P497,MOTORISTAS!$D$3:$D$1048576,MOTORISTAS!E$3:E$916),"")</f>
        <v>16239341843</v>
      </c>
      <c r="R497" s="138" t="str">
        <f ca="1">IFERROR(LOOKUP($P497,MOTORISTAS!$D$3:$D$1048576,MOTORISTAS!F$3:F$916),"")</f>
        <v>01877235038</v>
      </c>
      <c r="S497" s="66">
        <v>15978</v>
      </c>
      <c r="T497" s="66" t="s">
        <v>293</v>
      </c>
      <c r="U497" s="79">
        <v>45058.074999999997</v>
      </c>
      <c r="V497" s="66" t="s">
        <v>469</v>
      </c>
      <c r="W497" s="79">
        <v>45058.574305555558</v>
      </c>
      <c r="X497" s="79">
        <v>45058.159722222219</v>
      </c>
      <c r="Y497" s="88">
        <v>45058.520833333336</v>
      </c>
      <c r="Z497" s="81">
        <v>1600</v>
      </c>
      <c r="AA497" s="81"/>
      <c r="AB497" s="81"/>
      <c r="AC497" s="81"/>
      <c r="AD497" s="81"/>
      <c r="AE497" s="81"/>
      <c r="AF497" s="81"/>
      <c r="AG497" s="81">
        <f>Sal_23[[#This Row],[COMPRA]]*12%</f>
        <v>276</v>
      </c>
      <c r="AH497" s="83">
        <v>2300</v>
      </c>
      <c r="AI497" s="66" t="str">
        <f>PROPER(TEXT(Sal_23[[#This Row],[PROGRAMAÇÃO]],"mmm"))</f>
        <v>Mai</v>
      </c>
      <c r="AJ497" s="66">
        <f>YEAR(Sal_23[[#This Row],[PROGRAMAÇÃO]])</f>
        <v>2023</v>
      </c>
      <c r="AK497" s="66"/>
      <c r="AL497" s="66"/>
      <c r="AM497" s="66" t="s">
        <v>2768</v>
      </c>
      <c r="AN497" s="66" t="s">
        <v>2768</v>
      </c>
      <c r="AO497" s="66" t="s">
        <v>2768</v>
      </c>
    </row>
    <row r="498" spans="2:41" x14ac:dyDescent="0.25">
      <c r="B498" s="128" t="s">
        <v>2771</v>
      </c>
      <c r="C49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98" s="79">
        <v>45058.375</v>
      </c>
      <c r="E498" s="44" t="s">
        <v>4539</v>
      </c>
      <c r="F498" s="66">
        <v>20</v>
      </c>
      <c r="G498" s="66" t="s">
        <v>2820</v>
      </c>
      <c r="H498" s="44" t="s">
        <v>2820</v>
      </c>
      <c r="I498" s="299" t="s">
        <v>2821</v>
      </c>
      <c r="J498" s="66">
        <v>4575</v>
      </c>
      <c r="K498" s="66" t="s">
        <v>4531</v>
      </c>
      <c r="L498" s="66">
        <v>70741</v>
      </c>
      <c r="M498" s="66">
        <v>70747</v>
      </c>
      <c r="N498" s="66" t="s">
        <v>2859</v>
      </c>
      <c r="O498" s="66" t="s">
        <v>2860</v>
      </c>
      <c r="P498" s="66" t="s">
        <v>2861</v>
      </c>
      <c r="Q498" s="138" t="str">
        <f ca="1">IFERROR(LOOKUP($P498,MOTORISTAS!$D$3:$D$1048576,MOTORISTAS!E$3:E$916),"")</f>
        <v>01817591878</v>
      </c>
      <c r="R498" s="138" t="str">
        <f ca="1">IFERROR(LOOKUP($P498,MOTORISTAS!$D$3:$D$1048576,MOTORISTAS!F$3:F$916),"")</f>
        <v>00821760640</v>
      </c>
      <c r="S498" s="66">
        <v>15979</v>
      </c>
      <c r="T498" s="66" t="s">
        <v>293</v>
      </c>
      <c r="U498" s="79">
        <v>45058.131944444445</v>
      </c>
      <c r="V498" s="66" t="s">
        <v>526</v>
      </c>
      <c r="W498" s="79">
        <v>45058.651388888888</v>
      </c>
      <c r="X498" s="79">
        <v>45058.25</v>
      </c>
      <c r="Y498" s="88">
        <v>45058.548611111109</v>
      </c>
      <c r="Z498" s="81">
        <v>1600</v>
      </c>
      <c r="AA498" s="81"/>
      <c r="AB498" s="81"/>
      <c r="AC498" s="81"/>
      <c r="AD498" s="81"/>
      <c r="AE498" s="81"/>
      <c r="AF498" s="81"/>
      <c r="AG498" s="81">
        <f>Sal_23[[#This Row],[COMPRA]]*12%</f>
        <v>276</v>
      </c>
      <c r="AH498" s="83">
        <v>2300</v>
      </c>
      <c r="AI498" s="66" t="str">
        <f>PROPER(TEXT(Sal_23[[#This Row],[PROGRAMAÇÃO]],"mmm"))</f>
        <v>Mai</v>
      </c>
      <c r="AJ498" s="66">
        <f>YEAR(Sal_23[[#This Row],[PROGRAMAÇÃO]])</f>
        <v>2023</v>
      </c>
      <c r="AK498" s="66"/>
      <c r="AL498" s="66"/>
      <c r="AM498" s="66" t="s">
        <v>2768</v>
      </c>
      <c r="AN498" s="66" t="s">
        <v>2768</v>
      </c>
      <c r="AO498" s="66" t="s">
        <v>2768</v>
      </c>
    </row>
    <row r="499" spans="2:41" x14ac:dyDescent="0.25">
      <c r="B499" s="128" t="s">
        <v>2771</v>
      </c>
      <c r="C49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499" s="79">
        <v>45061.333333333336</v>
      </c>
      <c r="E499" s="44" t="s">
        <v>4523</v>
      </c>
      <c r="F499" s="66">
        <v>20</v>
      </c>
      <c r="G499" s="66" t="s">
        <v>2826</v>
      </c>
      <c r="H499" s="44" t="s">
        <v>3082</v>
      </c>
      <c r="I499" s="299" t="s">
        <v>3083</v>
      </c>
      <c r="J499" s="66">
        <v>4577</v>
      </c>
      <c r="K499" s="66" t="s">
        <v>4531</v>
      </c>
      <c r="L499" s="66">
        <v>106225</v>
      </c>
      <c r="M499" s="66"/>
      <c r="N499" s="66" t="s">
        <v>2156</v>
      </c>
      <c r="O499" s="66" t="s">
        <v>2464</v>
      </c>
      <c r="P499" s="66" t="s">
        <v>2158</v>
      </c>
      <c r="Q499" s="138" t="str">
        <f ca="1">IFERROR(LOOKUP($P499,MOTORISTAS!$D$3:$D$1048576,MOTORISTAS!E$3:E$916),"")</f>
        <v>10485530864</v>
      </c>
      <c r="R499" s="138" t="str">
        <f ca="1">IFERROR(LOOKUP($P499,MOTORISTAS!$D$3:$D$1048576,MOTORISTAS!F$3:F$916),"")</f>
        <v>02033192841</v>
      </c>
      <c r="S499" s="66">
        <v>15993</v>
      </c>
      <c r="T499" s="66" t="s">
        <v>293</v>
      </c>
      <c r="U499" s="79">
        <v>45061.074999999997</v>
      </c>
      <c r="V499" s="66" t="s">
        <v>526</v>
      </c>
      <c r="W499" s="79">
        <v>45061.737500000003</v>
      </c>
      <c r="X499" s="79">
        <v>45061.180555555555</v>
      </c>
      <c r="Y499" s="88">
        <v>45061.638888888891</v>
      </c>
      <c r="Z499" s="81">
        <v>2000</v>
      </c>
      <c r="AA499" s="81"/>
      <c r="AB499" s="81"/>
      <c r="AC499" s="81"/>
      <c r="AD499" s="81"/>
      <c r="AE499" s="81"/>
      <c r="AF499" s="81"/>
      <c r="AG499" s="81">
        <f>Sal_23[[#This Row],[COMPRA]]*12%</f>
        <v>355.75439999999998</v>
      </c>
      <c r="AH499" s="83">
        <v>2964.62</v>
      </c>
      <c r="AI499" s="66" t="str">
        <f>PROPER(TEXT(Sal_23[[#This Row],[PROGRAMAÇÃO]],"mmm"))</f>
        <v>Mai</v>
      </c>
      <c r="AJ499" s="66">
        <f>YEAR(Sal_23[[#This Row],[PROGRAMAÇÃO]])</f>
        <v>2023</v>
      </c>
      <c r="AK499" s="66"/>
      <c r="AL499" s="66"/>
      <c r="AM499" s="66" t="s">
        <v>2768</v>
      </c>
      <c r="AN499" s="66" t="s">
        <v>2768</v>
      </c>
      <c r="AO499" s="66"/>
    </row>
    <row r="500" spans="2:41" x14ac:dyDescent="0.25">
      <c r="B500" s="128" t="s">
        <v>2771</v>
      </c>
      <c r="C50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00" s="79">
        <v>45061.333333333336</v>
      </c>
      <c r="E500" s="44" t="s">
        <v>4524</v>
      </c>
      <c r="F500" s="66">
        <v>40</v>
      </c>
      <c r="G500" s="66" t="s">
        <v>2826</v>
      </c>
      <c r="H500" s="44" t="s">
        <v>3074</v>
      </c>
      <c r="I500" s="299" t="s">
        <v>4530</v>
      </c>
      <c r="J500" s="66">
        <v>4511</v>
      </c>
      <c r="K500" s="66" t="s">
        <v>4531</v>
      </c>
      <c r="L500" s="66">
        <v>106226</v>
      </c>
      <c r="M500" s="66"/>
      <c r="N500" s="66" t="s">
        <v>178</v>
      </c>
      <c r="O500" s="66" t="s">
        <v>112</v>
      </c>
      <c r="P500" s="66" t="s">
        <v>180</v>
      </c>
      <c r="Q500" s="138" t="str">
        <f ca="1">IFERROR(LOOKUP($P500,MOTORISTAS!$D$3:$D$1048576,MOTORISTAS!E$3:E$916),"")</f>
        <v>18990500869</v>
      </c>
      <c r="R500" s="138" t="str">
        <f ca="1">IFERROR(LOOKUP($P500,MOTORISTAS!$D$3:$D$1048576,MOTORISTAS!F$3:F$916),"")</f>
        <v>04640435232</v>
      </c>
      <c r="S500" s="66">
        <v>15994</v>
      </c>
      <c r="T500" s="66" t="s">
        <v>293</v>
      </c>
      <c r="U500" s="79">
        <v>45061.09097222222</v>
      </c>
      <c r="V500" s="66" t="s">
        <v>469</v>
      </c>
      <c r="W500" s="79">
        <v>45061.808333333334</v>
      </c>
      <c r="X500" s="79">
        <v>45061.291666666664</v>
      </c>
      <c r="Y500" s="88">
        <v>45061.607638888891</v>
      </c>
      <c r="Z500" s="81">
        <v>2800</v>
      </c>
      <c r="AA500" s="81"/>
      <c r="AB500" s="81"/>
      <c r="AC500" s="81"/>
      <c r="AD500" s="81"/>
      <c r="AE500" s="81"/>
      <c r="AF500" s="81"/>
      <c r="AG500" s="81">
        <f>Sal_23[[#This Row],[COMPRA]]*12%</f>
        <v>501.59999999999997</v>
      </c>
      <c r="AH500" s="83">
        <v>4180</v>
      </c>
      <c r="AI500" s="66" t="str">
        <f>PROPER(TEXT(Sal_23[[#This Row],[PROGRAMAÇÃO]],"mmm"))</f>
        <v>Mai</v>
      </c>
      <c r="AJ500" s="66">
        <f>YEAR(Sal_23[[#This Row],[PROGRAMAÇÃO]])</f>
        <v>2023</v>
      </c>
      <c r="AK500" s="66"/>
      <c r="AL500" s="66"/>
      <c r="AM500" s="66" t="s">
        <v>2768</v>
      </c>
      <c r="AN500" s="66" t="s">
        <v>2768</v>
      </c>
      <c r="AO500" s="66"/>
    </row>
    <row r="501" spans="2:41" x14ac:dyDescent="0.25">
      <c r="B501" s="128" t="s">
        <v>2771</v>
      </c>
      <c r="C50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01" s="79">
        <v>45061.333333333336</v>
      </c>
      <c r="E501" s="44" t="s">
        <v>4528</v>
      </c>
      <c r="F501" s="66">
        <v>40</v>
      </c>
      <c r="G501" s="66" t="s">
        <v>2826</v>
      </c>
      <c r="H501" s="44" t="s">
        <v>2835</v>
      </c>
      <c r="I501" s="299" t="s">
        <v>2822</v>
      </c>
      <c r="J501" s="66">
        <v>4655</v>
      </c>
      <c r="K501" s="66" t="s">
        <v>4531</v>
      </c>
      <c r="L501" s="66">
        <v>106290</v>
      </c>
      <c r="M501" s="66"/>
      <c r="N501" s="66" t="s">
        <v>87</v>
      </c>
      <c r="O501" s="66" t="s">
        <v>88</v>
      </c>
      <c r="P501" s="66" t="s">
        <v>89</v>
      </c>
      <c r="Q501" s="138" t="str">
        <f ca="1">IFERROR(LOOKUP($P501,MOTORISTAS!$D$3:$D$1048576,MOTORISTAS!E$3:E$916),"")</f>
        <v>00097734527</v>
      </c>
      <c r="R501" s="138" t="str">
        <f ca="1">IFERROR(LOOKUP($P501,MOTORISTAS!$D$3:$D$1048576,MOTORISTAS!F$3:F$916),"")</f>
        <v>03148346870</v>
      </c>
      <c r="S501" s="66">
        <v>15995</v>
      </c>
      <c r="T501" s="66" t="s">
        <v>293</v>
      </c>
      <c r="U501" s="79">
        <v>45061.146527777775</v>
      </c>
      <c r="V501" s="66" t="s">
        <v>469</v>
      </c>
      <c r="W501" s="79">
        <v>45061.659722222219</v>
      </c>
      <c r="X501" s="79">
        <v>45061.395833333336</v>
      </c>
      <c r="Y501" s="88">
        <v>45061.506944444445</v>
      </c>
      <c r="Z501" s="81">
        <v>2100</v>
      </c>
      <c r="AA501" s="81"/>
      <c r="AB501" s="81"/>
      <c r="AC501" s="81"/>
      <c r="AD501" s="81"/>
      <c r="AE501" s="81"/>
      <c r="AF501" s="81"/>
      <c r="AG501" s="81">
        <f>Sal_23[[#This Row],[COMPRA]]*12%</f>
        <v>370.37759999999997</v>
      </c>
      <c r="AH501" s="83">
        <v>3086.48</v>
      </c>
      <c r="AI501" s="66" t="str">
        <f>PROPER(TEXT(Sal_23[[#This Row],[PROGRAMAÇÃO]],"mmm"))</f>
        <v>Mai</v>
      </c>
      <c r="AJ501" s="66">
        <f>YEAR(Sal_23[[#This Row],[PROGRAMAÇÃO]])</f>
        <v>2023</v>
      </c>
      <c r="AK501" s="66"/>
      <c r="AL501" s="44"/>
      <c r="AM501" s="66" t="s">
        <v>2768</v>
      </c>
      <c r="AN501" s="66" t="s">
        <v>2768</v>
      </c>
      <c r="AO501" s="66"/>
    </row>
    <row r="502" spans="2:41" x14ac:dyDescent="0.25">
      <c r="B502" s="128" t="s">
        <v>2771</v>
      </c>
      <c r="C50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02" s="79">
        <v>45061.333333333336</v>
      </c>
      <c r="E502" s="44" t="s">
        <v>4527</v>
      </c>
      <c r="F502" s="66">
        <v>40</v>
      </c>
      <c r="G502" s="66" t="s">
        <v>2826</v>
      </c>
      <c r="H502" s="44" t="s">
        <v>1674</v>
      </c>
      <c r="I502" s="299" t="s">
        <v>2829</v>
      </c>
      <c r="J502" s="66">
        <v>4653</v>
      </c>
      <c r="K502" s="66" t="s">
        <v>4531</v>
      </c>
      <c r="L502" s="66">
        <v>106263</v>
      </c>
      <c r="M502" s="66">
        <v>106264</v>
      </c>
      <c r="N502" s="66" t="s">
        <v>890</v>
      </c>
      <c r="O502" s="66" t="s">
        <v>179</v>
      </c>
      <c r="P502" s="66" t="s">
        <v>2678</v>
      </c>
      <c r="Q502" s="138" t="str">
        <f ca="1">IFERROR(LOOKUP($P502,MOTORISTAS!$D$3:$D$1048576,MOTORISTAS!E$3:E$916),"")</f>
        <v>28386357860</v>
      </c>
      <c r="R502" s="138" t="str">
        <f ca="1">IFERROR(LOOKUP($P502,MOTORISTAS!$D$3:$D$1048576,MOTORISTAS!F$3:F$916),"")</f>
        <v>01042201192</v>
      </c>
      <c r="S502" s="66">
        <v>15998</v>
      </c>
      <c r="T502" s="66" t="s">
        <v>293</v>
      </c>
      <c r="U502" s="79">
        <v>45061.120138888888</v>
      </c>
      <c r="V502" s="66" t="s">
        <v>469</v>
      </c>
      <c r="W502" s="79">
        <v>45061.712500000001</v>
      </c>
      <c r="X502" s="79">
        <v>45061.305555555555</v>
      </c>
      <c r="Y502" s="88">
        <v>45061.5</v>
      </c>
      <c r="Z502" s="81">
        <v>3400</v>
      </c>
      <c r="AA502" s="81"/>
      <c r="AB502" s="81"/>
      <c r="AC502" s="81"/>
      <c r="AD502" s="81"/>
      <c r="AE502" s="81"/>
      <c r="AF502" s="81"/>
      <c r="AG502" s="81">
        <f>Sal_23[[#This Row],[COMPRA]]*12%</f>
        <v>558.28440000000001</v>
      </c>
      <c r="AH502" s="83">
        <v>4652.37</v>
      </c>
      <c r="AI502" s="66" t="str">
        <f>PROPER(TEXT(Sal_23[[#This Row],[PROGRAMAÇÃO]],"mmm"))</f>
        <v>Mai</v>
      </c>
      <c r="AJ502" s="66">
        <f>YEAR(Sal_23[[#This Row],[PROGRAMAÇÃO]])</f>
        <v>2023</v>
      </c>
      <c r="AK502" s="66"/>
      <c r="AL502" s="66"/>
      <c r="AM502" s="66" t="s">
        <v>2768</v>
      </c>
      <c r="AN502" s="66" t="s">
        <v>2768</v>
      </c>
      <c r="AO502" s="66"/>
    </row>
    <row r="503" spans="2:41" x14ac:dyDescent="0.25">
      <c r="B503" s="128" t="s">
        <v>2771</v>
      </c>
      <c r="C50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03" s="79">
        <v>45062.333333333336</v>
      </c>
      <c r="E503" s="44" t="s">
        <v>4529</v>
      </c>
      <c r="F503" s="66">
        <v>40</v>
      </c>
      <c r="G503" s="66" t="s">
        <v>2826</v>
      </c>
      <c r="H503" s="44" t="s">
        <v>2835</v>
      </c>
      <c r="I503" s="299" t="s">
        <v>2822</v>
      </c>
      <c r="J503" s="66">
        <v>4657</v>
      </c>
      <c r="K503" s="66" t="s">
        <v>4531</v>
      </c>
      <c r="L503" s="66">
        <v>106291</v>
      </c>
      <c r="M503" s="66"/>
      <c r="N503" s="66" t="s">
        <v>2859</v>
      </c>
      <c r="O503" s="66" t="s">
        <v>4620</v>
      </c>
      <c r="P503" s="66" t="s">
        <v>2861</v>
      </c>
      <c r="Q503" s="138" t="str">
        <f ca="1">IFERROR(LOOKUP($P503,MOTORISTAS!$D$3:$D$1048576,MOTORISTAS!E$3:E$916),"")</f>
        <v>01817591878</v>
      </c>
      <c r="R503" s="138" t="str">
        <f ca="1">IFERROR(LOOKUP($P503,MOTORISTAS!$D$3:$D$1048576,MOTORISTAS!F$3:F$916),"")</f>
        <v>00821760640</v>
      </c>
      <c r="S503" s="66">
        <v>16009</v>
      </c>
      <c r="T503" s="66" t="s">
        <v>293</v>
      </c>
      <c r="U503" s="79">
        <v>45061.996527777781</v>
      </c>
      <c r="V503" s="66" t="s">
        <v>526</v>
      </c>
      <c r="W503" s="79">
        <v>45062.666666666664</v>
      </c>
      <c r="X503" s="79">
        <v>45062.138888888891</v>
      </c>
      <c r="Y503" s="88">
        <v>45062.404166666667</v>
      </c>
      <c r="Z503" s="81">
        <v>2100</v>
      </c>
      <c r="AA503" s="81"/>
      <c r="AB503" s="81"/>
      <c r="AC503" s="81"/>
      <c r="AD503" s="81"/>
      <c r="AE503" s="81"/>
      <c r="AF503" s="81"/>
      <c r="AG503" s="81">
        <f>Sal_23[[#This Row],[COMPRA]]*12%</f>
        <v>370.37759999999997</v>
      </c>
      <c r="AH503" s="83">
        <v>3086.48</v>
      </c>
      <c r="AI503" s="66" t="str">
        <f>PROPER(TEXT(Sal_23[[#This Row],[PROGRAMAÇÃO]],"mmm"))</f>
        <v>Mai</v>
      </c>
      <c r="AJ503" s="66">
        <f>YEAR(Sal_23[[#This Row],[PROGRAMAÇÃO]])</f>
        <v>2023</v>
      </c>
      <c r="AK503" s="66"/>
      <c r="AL503" s="66"/>
      <c r="AM503" s="66" t="s">
        <v>2768</v>
      </c>
      <c r="AN503" s="66" t="s">
        <v>2768</v>
      </c>
      <c r="AO503" s="66"/>
    </row>
    <row r="504" spans="2:41" x14ac:dyDescent="0.25">
      <c r="B504" s="128" t="s">
        <v>2771</v>
      </c>
      <c r="C50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04" s="79">
        <v>45062.333333333336</v>
      </c>
      <c r="E504" s="44" t="s">
        <v>4514</v>
      </c>
      <c r="F504" s="66">
        <v>20</v>
      </c>
      <c r="G504" s="66" t="s">
        <v>2826</v>
      </c>
      <c r="H504" s="44" t="s">
        <v>2827</v>
      </c>
      <c r="I504" s="299" t="s">
        <v>2823</v>
      </c>
      <c r="J504" s="66">
        <v>4552</v>
      </c>
      <c r="K504" s="66" t="s">
        <v>4531</v>
      </c>
      <c r="L504" s="66">
        <v>106148</v>
      </c>
      <c r="M504" s="66"/>
      <c r="N504" s="66" t="s">
        <v>2156</v>
      </c>
      <c r="O504" s="66" t="s">
        <v>2464</v>
      </c>
      <c r="P504" s="66" t="s">
        <v>2158</v>
      </c>
      <c r="Q504" s="138" t="str">
        <f ca="1">IFERROR(LOOKUP($P504,MOTORISTAS!$D$3:$D$1048576,MOTORISTAS!E$3:E$916),"")</f>
        <v>10485530864</v>
      </c>
      <c r="R504" s="138" t="str">
        <f ca="1">IFERROR(LOOKUP($P504,MOTORISTAS!$D$3:$D$1048576,MOTORISTAS!F$3:F$916),"")</f>
        <v>02033192841</v>
      </c>
      <c r="S504" s="66">
        <v>16004</v>
      </c>
      <c r="T504" s="66" t="s">
        <v>293</v>
      </c>
      <c r="U504" s="79">
        <v>45061.943749999999</v>
      </c>
      <c r="V504" s="66" t="s">
        <v>469</v>
      </c>
      <c r="W504" s="79">
        <v>45062.67291666667</v>
      </c>
      <c r="X504" s="79">
        <v>45062.180555555555</v>
      </c>
      <c r="Y504" s="88">
        <v>45062.354166666664</v>
      </c>
      <c r="Z504" s="81">
        <v>3200</v>
      </c>
      <c r="AA504" s="81"/>
      <c r="AB504" s="81"/>
      <c r="AC504" s="81"/>
      <c r="AD504" s="81"/>
      <c r="AE504" s="81"/>
      <c r="AF504" s="81"/>
      <c r="AG504" s="81">
        <f>Sal_23[[#This Row],[COMPRA]]*12%</f>
        <v>571.48680000000002</v>
      </c>
      <c r="AH504" s="83">
        <v>4762.3900000000003</v>
      </c>
      <c r="AI504" s="66" t="str">
        <f>PROPER(TEXT(Sal_23[[#This Row],[PROGRAMAÇÃO]],"mmm"))</f>
        <v>Mai</v>
      </c>
      <c r="AJ504" s="66">
        <f>YEAR(Sal_23[[#This Row],[PROGRAMAÇÃO]])</f>
        <v>2023</v>
      </c>
      <c r="AK504" s="66"/>
      <c r="AL504" s="66"/>
      <c r="AM504" s="66" t="s">
        <v>2768</v>
      </c>
      <c r="AN504" s="66" t="s">
        <v>2768</v>
      </c>
      <c r="AO504" s="66"/>
    </row>
    <row r="505" spans="2:41" x14ac:dyDescent="0.25">
      <c r="B505" s="128" t="s">
        <v>2771</v>
      </c>
      <c r="C50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05" s="79">
        <v>45062.333333333336</v>
      </c>
      <c r="E505" s="44" t="s">
        <v>4515</v>
      </c>
      <c r="F505" s="66">
        <v>20</v>
      </c>
      <c r="G505" s="66" t="s">
        <v>2826</v>
      </c>
      <c r="H505" s="44" t="s">
        <v>2827</v>
      </c>
      <c r="I505" s="299" t="s">
        <v>2823</v>
      </c>
      <c r="J505" s="66">
        <v>4633</v>
      </c>
      <c r="K505" s="66" t="s">
        <v>4531</v>
      </c>
      <c r="L505" s="66">
        <v>106224</v>
      </c>
      <c r="M505" s="66"/>
      <c r="N505" s="66" t="s">
        <v>3040</v>
      </c>
      <c r="O505" s="66" t="s">
        <v>3041</v>
      </c>
      <c r="P505" s="66" t="s">
        <v>3042</v>
      </c>
      <c r="Q505" s="138" t="str">
        <f ca="1">IFERROR(LOOKUP($P505,MOTORISTAS!$D$3:$D$1048576,MOTORISTAS!E$3:E$916),"")</f>
        <v>19279658883</v>
      </c>
      <c r="R505" s="138" t="str">
        <f ca="1">IFERROR(LOOKUP($P505,MOTORISTAS!$D$3:$D$1048576,MOTORISTAS!F$3:F$916),"")</f>
        <v>01301319672</v>
      </c>
      <c r="S505" s="66">
        <v>16005</v>
      </c>
      <c r="T505" s="66" t="s">
        <v>293</v>
      </c>
      <c r="U505" s="79">
        <v>45061.988888888889</v>
      </c>
      <c r="V505" s="66" t="s">
        <v>469</v>
      </c>
      <c r="W505" s="79">
        <v>45062.775694444441</v>
      </c>
      <c r="X505" s="79">
        <v>45062.166666666664</v>
      </c>
      <c r="Y505" s="88">
        <v>45062.362500000003</v>
      </c>
      <c r="Z505" s="81">
        <v>3200</v>
      </c>
      <c r="AA505" s="81"/>
      <c r="AB505" s="81"/>
      <c r="AC505" s="81"/>
      <c r="AD505" s="81"/>
      <c r="AE505" s="81"/>
      <c r="AF505" s="81"/>
      <c r="AG505" s="81">
        <f>Sal_23[[#This Row],[COMPRA]]*12%</f>
        <v>571.48680000000002</v>
      </c>
      <c r="AH505" s="83">
        <v>4762.3900000000003</v>
      </c>
      <c r="AI505" s="66" t="str">
        <f>PROPER(TEXT(Sal_23[[#This Row],[PROGRAMAÇÃO]],"mmm"))</f>
        <v>Mai</v>
      </c>
      <c r="AJ505" s="66">
        <f>YEAR(Sal_23[[#This Row],[PROGRAMAÇÃO]])</f>
        <v>2023</v>
      </c>
      <c r="AK505" s="66"/>
      <c r="AL505" s="66"/>
      <c r="AM505" s="66" t="s">
        <v>2768</v>
      </c>
      <c r="AN505" s="66" t="s">
        <v>2768</v>
      </c>
      <c r="AO505" s="66"/>
    </row>
    <row r="506" spans="2:41" x14ac:dyDescent="0.25">
      <c r="B506" s="128" t="s">
        <v>2771</v>
      </c>
      <c r="C50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06" s="79">
        <v>45062.333333333336</v>
      </c>
      <c r="E506" s="44" t="s">
        <v>4516</v>
      </c>
      <c r="F506" s="66">
        <v>20</v>
      </c>
      <c r="G506" s="66" t="s">
        <v>2826</v>
      </c>
      <c r="H506" s="44" t="s">
        <v>3113</v>
      </c>
      <c r="I506" s="299" t="s">
        <v>3114</v>
      </c>
      <c r="J506" s="66">
        <v>4660</v>
      </c>
      <c r="K506" s="66" t="s">
        <v>4531</v>
      </c>
      <c r="L506" s="66">
        <v>116374</v>
      </c>
      <c r="M506" s="66"/>
      <c r="N506" s="66" t="s">
        <v>4571</v>
      </c>
      <c r="O506" s="66" t="s">
        <v>4572</v>
      </c>
      <c r="P506" s="66" t="s">
        <v>4573</v>
      </c>
      <c r="Q506" s="138" t="str">
        <f ca="1">IFERROR(LOOKUP($P506,MOTORISTAS!$D$3:$D$1048576,MOTORISTAS!E$3:E$916),"")</f>
        <v>09221836860</v>
      </c>
      <c r="R506" s="138" t="str">
        <f ca="1">IFERROR(LOOKUP($P506,MOTORISTAS!$D$3:$D$1048576,MOTORISTAS!F$3:F$916),"")</f>
        <v>01994346710</v>
      </c>
      <c r="S506" s="66">
        <v>16006</v>
      </c>
      <c r="T506" s="66" t="s">
        <v>293</v>
      </c>
      <c r="U506" s="79">
        <v>45061.800694444442</v>
      </c>
      <c r="V506" s="66" t="s">
        <v>469</v>
      </c>
      <c r="W506" s="79">
        <v>45063.826388888891</v>
      </c>
      <c r="X506" s="79">
        <v>45062.291666666664</v>
      </c>
      <c r="Y506" s="88">
        <v>45062.472222222219</v>
      </c>
      <c r="Z506" s="81">
        <v>2350</v>
      </c>
      <c r="AA506" s="81"/>
      <c r="AB506" s="81"/>
      <c r="AC506" s="81">
        <v>700</v>
      </c>
      <c r="AD506" s="81"/>
      <c r="AE506" s="81"/>
      <c r="AF506" s="81"/>
      <c r="AG506" s="81">
        <f>Sal_23[[#This Row],[COMPRA]]*12%</f>
        <v>529.16279999999995</v>
      </c>
      <c r="AH506" s="83">
        <v>4409.6899999999996</v>
      </c>
      <c r="AI506" s="66" t="str">
        <f>PROPER(TEXT(Sal_23[[#This Row],[PROGRAMAÇÃO]],"mmm"))</f>
        <v>Mai</v>
      </c>
      <c r="AJ506" s="66">
        <f>YEAR(Sal_23[[#This Row],[PROGRAMAÇÃO]])</f>
        <v>2023</v>
      </c>
      <c r="AK506" s="66"/>
      <c r="AL506" s="66"/>
      <c r="AM506" s="66" t="s">
        <v>2768</v>
      </c>
      <c r="AN506" s="66" t="s">
        <v>2768</v>
      </c>
      <c r="AO506" s="66"/>
    </row>
    <row r="507" spans="2:41" x14ac:dyDescent="0.25">
      <c r="B507" s="128" t="s">
        <v>2771</v>
      </c>
      <c r="C50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07" s="79">
        <v>45062.333333333336</v>
      </c>
      <c r="E507" s="44" t="s">
        <v>4517</v>
      </c>
      <c r="F507" s="66">
        <v>20</v>
      </c>
      <c r="G507" s="66" t="s">
        <v>2826</v>
      </c>
      <c r="H507" s="44" t="s">
        <v>3116</v>
      </c>
      <c r="I507" s="299" t="s">
        <v>3117</v>
      </c>
      <c r="J507" s="66">
        <v>4659</v>
      </c>
      <c r="K507" s="66" t="s">
        <v>4531</v>
      </c>
      <c r="L507" s="66">
        <v>116373</v>
      </c>
      <c r="M507" s="66"/>
      <c r="N507" s="66" t="s">
        <v>4108</v>
      </c>
      <c r="O507" s="66" t="s">
        <v>4109</v>
      </c>
      <c r="P507" s="66" t="s">
        <v>2932</v>
      </c>
      <c r="Q507" s="138" t="str">
        <f ca="1">IFERROR(LOOKUP($P507,MOTORISTAS!$D$3:$D$1048576,MOTORISTAS!E$3:E$916),"")</f>
        <v>87607395849</v>
      </c>
      <c r="R507" s="138" t="str">
        <f ca="1">IFERROR(LOOKUP($P507,MOTORISTAS!$D$3:$D$1048576,MOTORISTAS!F$3:F$916),"")</f>
        <v>01842622116</v>
      </c>
      <c r="S507" s="66">
        <v>16007</v>
      </c>
      <c r="T507" s="66" t="s">
        <v>293</v>
      </c>
      <c r="U507" s="79">
        <v>45061.970833333333</v>
      </c>
      <c r="V507" s="66" t="s">
        <v>469</v>
      </c>
      <c r="W507" s="79">
        <v>45062.765972222223</v>
      </c>
      <c r="X507" s="79">
        <v>45062.041666666664</v>
      </c>
      <c r="Y507" s="88">
        <v>45062.445833333331</v>
      </c>
      <c r="Z507" s="81">
        <v>2200</v>
      </c>
      <c r="AA507" s="81"/>
      <c r="AB507" s="81"/>
      <c r="AC507" s="81"/>
      <c r="AD507" s="81"/>
      <c r="AE507" s="81"/>
      <c r="AF507" s="81"/>
      <c r="AG507" s="81">
        <f>Sal_23[[#This Row],[COMPRA]]*12%</f>
        <v>510.26640000000003</v>
      </c>
      <c r="AH507" s="83">
        <v>4252.22</v>
      </c>
      <c r="AI507" s="66" t="str">
        <f>PROPER(TEXT(Sal_23[[#This Row],[PROGRAMAÇÃO]],"mmm"))</f>
        <v>Mai</v>
      </c>
      <c r="AJ507" s="66">
        <f>YEAR(Sal_23[[#This Row],[PROGRAMAÇÃO]])</f>
        <v>2023</v>
      </c>
      <c r="AK507" s="66"/>
      <c r="AL507" s="66"/>
      <c r="AM507" s="66" t="s">
        <v>2768</v>
      </c>
      <c r="AN507" s="66" t="s">
        <v>2768</v>
      </c>
      <c r="AO507" s="66"/>
    </row>
    <row r="508" spans="2:41" x14ac:dyDescent="0.25">
      <c r="B508" s="128" t="s">
        <v>2771</v>
      </c>
      <c r="C50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08" s="79">
        <v>45062.333333333336</v>
      </c>
      <c r="E508" s="44" t="s">
        <v>4519</v>
      </c>
      <c r="F508" s="66">
        <v>20</v>
      </c>
      <c r="G508" s="66" t="s">
        <v>2837</v>
      </c>
      <c r="H508" s="44" t="s">
        <v>2837</v>
      </c>
      <c r="I508" s="299" t="s">
        <v>2821</v>
      </c>
      <c r="J508" s="66">
        <v>4632</v>
      </c>
      <c r="K508" s="66" t="s">
        <v>4531</v>
      </c>
      <c r="L508" s="66">
        <v>116193</v>
      </c>
      <c r="M508" s="66"/>
      <c r="N508" s="66" t="s">
        <v>3028</v>
      </c>
      <c r="O508" s="66" t="s">
        <v>2860</v>
      </c>
      <c r="P508" s="66" t="s">
        <v>3443</v>
      </c>
      <c r="Q508" s="138" t="str">
        <f ca="1">IFERROR(LOOKUP($P508,MOTORISTAS!$D$3:$D$1048576,MOTORISTAS!E$3:E$916),"")</f>
        <v>13990937898</v>
      </c>
      <c r="R508" s="138" t="str">
        <f ca="1">IFERROR(LOOKUP($P508,MOTORISTAS!$D$3:$D$1048576,MOTORISTAS!F$3:F$916),"")</f>
        <v>01825123407</v>
      </c>
      <c r="S508" s="66">
        <v>16010</v>
      </c>
      <c r="T508" s="66" t="s">
        <v>293</v>
      </c>
      <c r="U508" s="79">
        <v>45061.928472222222</v>
      </c>
      <c r="V508" s="66" t="s">
        <v>469</v>
      </c>
      <c r="W508" s="79">
        <v>45062.714583333334</v>
      </c>
      <c r="X508" s="79">
        <v>45062.041666666664</v>
      </c>
      <c r="Y508" s="88">
        <v>45062.409722222219</v>
      </c>
      <c r="Z508" s="81">
        <v>1600</v>
      </c>
      <c r="AA508" s="81"/>
      <c r="AB508" s="81"/>
      <c r="AC508" s="81"/>
      <c r="AD508" s="81"/>
      <c r="AE508" s="81"/>
      <c r="AF508" s="81"/>
      <c r="AG508" s="81">
        <f>Sal_23[[#This Row],[COMPRA]]*12%</f>
        <v>311.55959999999999</v>
      </c>
      <c r="AH508" s="83">
        <v>2596.33</v>
      </c>
      <c r="AI508" s="66" t="str">
        <f>PROPER(TEXT(Sal_23[[#This Row],[PROGRAMAÇÃO]],"mmm"))</f>
        <v>Mai</v>
      </c>
      <c r="AJ508" s="66">
        <f>YEAR(Sal_23[[#This Row],[PROGRAMAÇÃO]])</f>
        <v>2023</v>
      </c>
      <c r="AK508" s="66"/>
      <c r="AL508" s="66"/>
      <c r="AM508" s="66" t="s">
        <v>2768</v>
      </c>
      <c r="AN508" s="66" t="s">
        <v>2768</v>
      </c>
      <c r="AO508" s="66"/>
    </row>
    <row r="509" spans="2:41" x14ac:dyDescent="0.25">
      <c r="B509" s="128" t="s">
        <v>2771</v>
      </c>
      <c r="C50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09" s="79">
        <v>45062.333333333336</v>
      </c>
      <c r="E509" s="44" t="s">
        <v>4520</v>
      </c>
      <c r="F509" s="66">
        <v>20</v>
      </c>
      <c r="G509" s="66" t="s">
        <v>2837</v>
      </c>
      <c r="H509" s="44" t="s">
        <v>2837</v>
      </c>
      <c r="I509" s="299" t="s">
        <v>2821</v>
      </c>
      <c r="J509" s="66">
        <v>4662</v>
      </c>
      <c r="K509" s="66" t="s">
        <v>4531</v>
      </c>
      <c r="L509" s="66">
        <v>106262</v>
      </c>
      <c r="M509" s="66"/>
      <c r="N509" s="66" t="s">
        <v>2949</v>
      </c>
      <c r="O509" s="66" t="s">
        <v>2950</v>
      </c>
      <c r="P509" s="66" t="s">
        <v>2948</v>
      </c>
      <c r="Q509" s="138" t="str">
        <f ca="1">IFERROR(LOOKUP($P509,MOTORISTAS!$D$3:$D$1048576,MOTORISTAS!E$3:E$916),"")</f>
        <v>16239341843</v>
      </c>
      <c r="R509" s="138" t="str">
        <f ca="1">IFERROR(LOOKUP($P509,MOTORISTAS!$D$3:$D$1048576,MOTORISTAS!F$3:F$916),"")</f>
        <v>01877235038</v>
      </c>
      <c r="S509" s="66">
        <v>16011</v>
      </c>
      <c r="T509" s="66" t="s">
        <v>293</v>
      </c>
      <c r="U509" s="79">
        <v>45061.917361111111</v>
      </c>
      <c r="V509" s="66" t="s">
        <v>469</v>
      </c>
      <c r="W509" s="79">
        <v>45062.512499999997</v>
      </c>
      <c r="X509" s="79">
        <v>45062.041666666664</v>
      </c>
      <c r="Y509" s="88">
        <v>45062.371527777781</v>
      </c>
      <c r="Z509" s="81">
        <v>1600</v>
      </c>
      <c r="AA509" s="81"/>
      <c r="AB509" s="81"/>
      <c r="AC509" s="81"/>
      <c r="AD509" s="81"/>
      <c r="AE509" s="81"/>
      <c r="AF509" s="81"/>
      <c r="AG509" s="81">
        <f>Sal_23[[#This Row],[COMPRA]]*12%</f>
        <v>311.55959999999999</v>
      </c>
      <c r="AH509" s="83">
        <v>2596.33</v>
      </c>
      <c r="AI509" s="66" t="str">
        <f>PROPER(TEXT(Sal_23[[#This Row],[PROGRAMAÇÃO]],"mmm"))</f>
        <v>Mai</v>
      </c>
      <c r="AJ509" s="66">
        <f>YEAR(Sal_23[[#This Row],[PROGRAMAÇÃO]])</f>
        <v>2023</v>
      </c>
      <c r="AK509" s="66"/>
      <c r="AL509" s="66"/>
      <c r="AM509" s="66" t="s">
        <v>2768</v>
      </c>
      <c r="AN509" s="66" t="s">
        <v>2768</v>
      </c>
      <c r="AO509" s="66"/>
    </row>
    <row r="510" spans="2:41" x14ac:dyDescent="0.25">
      <c r="B510" s="128" t="s">
        <v>2771</v>
      </c>
      <c r="C51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10" s="79">
        <v>45064.375</v>
      </c>
      <c r="E510" s="44" t="s">
        <v>4627</v>
      </c>
      <c r="F510" s="66">
        <v>40</v>
      </c>
      <c r="G510" s="66" t="s">
        <v>2820</v>
      </c>
      <c r="H510" s="44" t="s">
        <v>2820</v>
      </c>
      <c r="I510" s="299" t="s">
        <v>2821</v>
      </c>
      <c r="J510" s="66">
        <v>4783</v>
      </c>
      <c r="K510" s="66" t="s">
        <v>4626</v>
      </c>
      <c r="L510" s="66">
        <v>106408</v>
      </c>
      <c r="M510" s="66"/>
      <c r="N510" s="66" t="s">
        <v>2949</v>
      </c>
      <c r="O510" s="66" t="s">
        <v>4109</v>
      </c>
      <c r="P510" s="66" t="s">
        <v>2948</v>
      </c>
      <c r="Q510" s="138" t="str">
        <f ca="1">IFERROR(LOOKUP($P510,MOTORISTAS!$D$3:$D$1048576,MOTORISTAS!E$3:E$916),"")</f>
        <v>16239341843</v>
      </c>
      <c r="R510" s="138" t="str">
        <f ca="1">IFERROR(LOOKUP($P510,MOTORISTAS!$D$3:$D$1048576,MOTORISTAS!F$3:F$916),"")</f>
        <v>01877235038</v>
      </c>
      <c r="S510" s="66">
        <v>16053</v>
      </c>
      <c r="T510" s="66" t="s">
        <v>293</v>
      </c>
      <c r="U510" s="79">
        <v>45061.01458333333</v>
      </c>
      <c r="V510" s="66" t="s">
        <v>469</v>
      </c>
      <c r="W510" s="79">
        <v>45064.688194444447</v>
      </c>
      <c r="X510" s="79" t="s">
        <v>4702</v>
      </c>
      <c r="Y510" s="88">
        <v>45064.479166666664</v>
      </c>
      <c r="Z510" s="81">
        <v>1600</v>
      </c>
      <c r="AA510" s="81"/>
      <c r="AB510" s="81"/>
      <c r="AC510" s="81"/>
      <c r="AD510" s="81"/>
      <c r="AE510" s="81"/>
      <c r="AF510" s="81"/>
      <c r="AG510" s="81">
        <f>Sal_23[[#This Row],[COMPRA]]*12%</f>
        <v>276</v>
      </c>
      <c r="AH510" s="83">
        <v>2300</v>
      </c>
      <c r="AI510" s="66" t="str">
        <f>PROPER(TEXT(Sal_23[[#This Row],[PROGRAMAÇÃO]],"mmm"))</f>
        <v>Mai</v>
      </c>
      <c r="AJ510" s="66">
        <f>YEAR(Sal_23[[#This Row],[PROGRAMAÇÃO]])</f>
        <v>2023</v>
      </c>
      <c r="AK510" s="66"/>
      <c r="AL510" s="66"/>
      <c r="AM510" s="66" t="s">
        <v>2768</v>
      </c>
      <c r="AN510" s="66" t="s">
        <v>2768</v>
      </c>
      <c r="AO510" s="66" t="s">
        <v>2768</v>
      </c>
    </row>
    <row r="511" spans="2:41" x14ac:dyDescent="0.25">
      <c r="B511" s="128" t="s">
        <v>2771</v>
      </c>
      <c r="C51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11" s="79">
        <v>45064.375</v>
      </c>
      <c r="E511" s="44" t="s">
        <v>4628</v>
      </c>
      <c r="F511" s="66">
        <v>40</v>
      </c>
      <c r="G511" s="66" t="s">
        <v>2820</v>
      </c>
      <c r="H511" s="44" t="s">
        <v>2820</v>
      </c>
      <c r="I511" s="299" t="s">
        <v>2821</v>
      </c>
      <c r="J511" s="66">
        <v>4784</v>
      </c>
      <c r="K511" s="66" t="s">
        <v>4626</v>
      </c>
      <c r="L511" s="66">
        <v>106411</v>
      </c>
      <c r="M511" s="66">
        <v>106412</v>
      </c>
      <c r="N511" s="66" t="s">
        <v>72</v>
      </c>
      <c r="O511" s="66" t="s">
        <v>73</v>
      </c>
      <c r="P511" s="66" t="s">
        <v>203</v>
      </c>
      <c r="Q511" s="138" t="str">
        <f ca="1">IFERROR(LOOKUP($P511,MOTORISTAS!$D$3:$D$1048576,MOTORISTAS!E$3:E$916),"")</f>
        <v>10395859816</v>
      </c>
      <c r="R511" s="138" t="str">
        <f ca="1">IFERROR(LOOKUP($P511,MOTORISTAS!$D$3:$D$1048576,MOTORISTAS!F$3:F$916),"")</f>
        <v>01965794851</v>
      </c>
      <c r="S511" s="66" t="s">
        <v>4687</v>
      </c>
      <c r="T511" s="66" t="s">
        <v>293</v>
      </c>
      <c r="U511" s="79">
        <v>45064.388194444444</v>
      </c>
      <c r="V511" s="66" t="s">
        <v>469</v>
      </c>
      <c r="W511" s="79">
        <v>45064.738888888889</v>
      </c>
      <c r="X511" s="79">
        <v>45064.489583333336</v>
      </c>
      <c r="Y511" s="88">
        <v>45064.642361111109</v>
      </c>
      <c r="Z511" s="81">
        <v>1600</v>
      </c>
      <c r="AA511" s="81"/>
      <c r="AB511" s="81"/>
      <c r="AC511" s="81"/>
      <c r="AD511" s="81"/>
      <c r="AE511" s="81"/>
      <c r="AF511" s="81"/>
      <c r="AG511" s="81">
        <f>Sal_23[[#This Row],[COMPRA]]*12%</f>
        <v>276</v>
      </c>
      <c r="AH511" s="83">
        <v>2300</v>
      </c>
      <c r="AI511" s="66" t="str">
        <f>PROPER(TEXT(Sal_23[[#This Row],[PROGRAMAÇÃO]],"mmm"))</f>
        <v>Mai</v>
      </c>
      <c r="AJ511" s="66">
        <f>YEAR(Sal_23[[#This Row],[PROGRAMAÇÃO]])</f>
        <v>2023</v>
      </c>
      <c r="AK511" s="66"/>
      <c r="AL511" s="66"/>
      <c r="AM511" s="66" t="s">
        <v>2768</v>
      </c>
      <c r="AN511" s="66" t="s">
        <v>2768</v>
      </c>
      <c r="AO511" s="66" t="s">
        <v>2768</v>
      </c>
    </row>
    <row r="512" spans="2:41" x14ac:dyDescent="0.25">
      <c r="B512" s="128" t="s">
        <v>2771</v>
      </c>
      <c r="C51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12" s="79">
        <v>45064.458333333336</v>
      </c>
      <c r="E512" s="44" t="s">
        <v>4026</v>
      </c>
      <c r="F512" s="66">
        <v>20</v>
      </c>
      <c r="G512" s="66" t="s">
        <v>2820</v>
      </c>
      <c r="H512" s="44" t="s">
        <v>2820</v>
      </c>
      <c r="I512" s="299" t="s">
        <v>2821</v>
      </c>
      <c r="J512" s="66">
        <v>4785</v>
      </c>
      <c r="K512" s="66" t="s">
        <v>4626</v>
      </c>
      <c r="L512" s="66">
        <v>106440</v>
      </c>
      <c r="M512" s="66"/>
      <c r="N512" s="66" t="s">
        <v>2859</v>
      </c>
      <c r="O512" s="66" t="s">
        <v>4701</v>
      </c>
      <c r="P512" s="66" t="s">
        <v>2861</v>
      </c>
      <c r="Q512" s="138" t="str">
        <f ca="1">IFERROR(LOOKUP($P512,MOTORISTAS!$D$3:$D$1048576,MOTORISTAS!E$3:E$916),"")</f>
        <v>01817591878</v>
      </c>
      <c r="R512" s="138" t="str">
        <f ca="1">IFERROR(LOOKUP($P512,MOTORISTAS!$D$3:$D$1048576,MOTORISTAS!F$3:F$916),"")</f>
        <v>00821760640</v>
      </c>
      <c r="S512" s="66">
        <v>16054</v>
      </c>
      <c r="T512" s="66" t="s">
        <v>293</v>
      </c>
      <c r="U512" s="79">
        <v>45063.989583333336</v>
      </c>
      <c r="V512" s="66" t="s">
        <v>526</v>
      </c>
      <c r="W512" s="79">
        <v>45064.674305555556</v>
      </c>
      <c r="X512" s="79">
        <v>45064.100694444445</v>
      </c>
      <c r="Y512" s="88">
        <v>45064.4375</v>
      </c>
      <c r="Z512" s="81">
        <v>1600</v>
      </c>
      <c r="AA512" s="81"/>
      <c r="AB512" s="81"/>
      <c r="AC512" s="81"/>
      <c r="AD512" s="81"/>
      <c r="AE512" s="81"/>
      <c r="AF512" s="81"/>
      <c r="AG512" s="81">
        <f>Sal_23[[#This Row],[COMPRA]]*12%</f>
        <v>276</v>
      </c>
      <c r="AH512" s="83">
        <v>2300</v>
      </c>
      <c r="AI512" s="66" t="str">
        <f>PROPER(TEXT(Sal_23[[#This Row],[PROGRAMAÇÃO]],"mmm"))</f>
        <v>Mai</v>
      </c>
      <c r="AJ512" s="66">
        <f>YEAR(Sal_23[[#This Row],[PROGRAMAÇÃO]])</f>
        <v>2023</v>
      </c>
      <c r="AK512" s="66"/>
      <c r="AL512" s="66"/>
      <c r="AM512" s="66" t="s">
        <v>2768</v>
      </c>
      <c r="AN512" s="66" t="s">
        <v>2768</v>
      </c>
      <c r="AO512" s="66" t="s">
        <v>2768</v>
      </c>
    </row>
    <row r="513" spans="2:41" x14ac:dyDescent="0.25">
      <c r="B513" s="128" t="s">
        <v>2771</v>
      </c>
      <c r="C51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13" s="79">
        <v>45065.375</v>
      </c>
      <c r="E513" s="44" t="s">
        <v>4623</v>
      </c>
      <c r="F513" s="66">
        <v>20</v>
      </c>
      <c r="G513" s="66" t="s">
        <v>2820</v>
      </c>
      <c r="H513" s="44" t="s">
        <v>2820</v>
      </c>
      <c r="I513" s="299" t="s">
        <v>2821</v>
      </c>
      <c r="J513" s="66">
        <v>4764</v>
      </c>
      <c r="K513" s="66" t="s">
        <v>4626</v>
      </c>
      <c r="L513" s="66">
        <v>106441</v>
      </c>
      <c r="M513" s="66"/>
      <c r="N513" s="66" t="s">
        <v>3028</v>
      </c>
      <c r="O513" s="66" t="s">
        <v>2860</v>
      </c>
      <c r="P513" s="66" t="s">
        <v>4707</v>
      </c>
      <c r="Q513" s="138" t="str">
        <f ca="1">IFERROR(LOOKUP($P513,MOTORISTAS!$D$3:$D$1048576,MOTORISTAS!E$3:E$916),"")</f>
        <v>13777529842</v>
      </c>
      <c r="R513" s="138" t="str">
        <f ca="1">IFERROR(LOOKUP($P513,MOTORISTAS!$D$3:$D$1048576,MOTORISTAS!F$3:F$916),"")</f>
        <v>02511580623</v>
      </c>
      <c r="S513" s="66">
        <v>16061</v>
      </c>
      <c r="T513" s="66" t="s">
        <v>293</v>
      </c>
      <c r="U513" s="79">
        <v>45064.946527777778</v>
      </c>
      <c r="V513" s="66" t="s">
        <v>526</v>
      </c>
      <c r="W513" s="79">
        <v>45065.643750000003</v>
      </c>
      <c r="X513" s="79">
        <v>45065.034722222219</v>
      </c>
      <c r="Y513" s="88">
        <v>45065.555555555555</v>
      </c>
      <c r="Z513" s="81">
        <v>1600</v>
      </c>
      <c r="AA513" s="81"/>
      <c r="AB513" s="81"/>
      <c r="AC513" s="81"/>
      <c r="AD513" s="81"/>
      <c r="AE513" s="81"/>
      <c r="AF513" s="81"/>
      <c r="AG513" s="81">
        <f>Sal_23[[#This Row],[COMPRA]]*12%</f>
        <v>276</v>
      </c>
      <c r="AH513" s="83">
        <v>2300</v>
      </c>
      <c r="AI513" s="66" t="str">
        <f>PROPER(TEXT(Sal_23[[#This Row],[PROGRAMAÇÃO]],"mmm"))</f>
        <v>Mai</v>
      </c>
      <c r="AJ513" s="66">
        <f>YEAR(Sal_23[[#This Row],[PROGRAMAÇÃO]])</f>
        <v>2023</v>
      </c>
      <c r="AK513" s="66"/>
      <c r="AL513" s="66"/>
      <c r="AM513" s="66" t="s">
        <v>2768</v>
      </c>
      <c r="AN513" s="66" t="s">
        <v>2768</v>
      </c>
      <c r="AO513" s="66" t="s">
        <v>2768</v>
      </c>
    </row>
    <row r="514" spans="2:41" x14ac:dyDescent="0.25">
      <c r="B514" s="128" t="s">
        <v>2771</v>
      </c>
      <c r="C51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14" s="79">
        <v>45065.375</v>
      </c>
      <c r="E514" s="44" t="s">
        <v>4624</v>
      </c>
      <c r="F514" s="66">
        <v>20</v>
      </c>
      <c r="G514" s="66" t="s">
        <v>2820</v>
      </c>
      <c r="H514" s="44" t="s">
        <v>2820</v>
      </c>
      <c r="I514" s="299" t="s">
        <v>2821</v>
      </c>
      <c r="J514" s="66">
        <v>4809</v>
      </c>
      <c r="K514" s="66" t="s">
        <v>4626</v>
      </c>
      <c r="L514" s="66">
        <v>64254</v>
      </c>
      <c r="M514" s="66">
        <v>64255</v>
      </c>
      <c r="N514" s="66" t="s">
        <v>2949</v>
      </c>
      <c r="O514" s="66" t="s">
        <v>2950</v>
      </c>
      <c r="P514" s="66" t="s">
        <v>2948</v>
      </c>
      <c r="Q514" s="138" t="str">
        <f ca="1">IFERROR(LOOKUP($P514,MOTORISTAS!$D$3:$D$1048576,MOTORISTAS!E$3:E$916),"")</f>
        <v>16239341843</v>
      </c>
      <c r="R514" s="138" t="str">
        <f ca="1">IFERROR(LOOKUP($P514,MOTORISTAS!$D$3:$D$1048576,MOTORISTAS!F$3:F$916),"")</f>
        <v>01877235038</v>
      </c>
      <c r="S514" s="66">
        <v>16063</v>
      </c>
      <c r="T514" s="66" t="s">
        <v>293</v>
      </c>
      <c r="U514" s="79">
        <v>45064.947916666664</v>
      </c>
      <c r="V514" s="66" t="s">
        <v>469</v>
      </c>
      <c r="W514" s="79">
        <v>45065.570833333331</v>
      </c>
      <c r="X514" s="79">
        <v>45065.034722222219</v>
      </c>
      <c r="Y514" s="88">
        <v>45065.513888888891</v>
      </c>
      <c r="Z514" s="81">
        <v>1600</v>
      </c>
      <c r="AA514" s="81"/>
      <c r="AB514" s="81"/>
      <c r="AC514" s="81"/>
      <c r="AD514" s="81"/>
      <c r="AE514" s="81"/>
      <c r="AF514" s="81"/>
      <c r="AG514" s="81">
        <f>Sal_23[[#This Row],[COMPRA]]*12%</f>
        <v>276</v>
      </c>
      <c r="AH514" s="83">
        <v>2300</v>
      </c>
      <c r="AI514" s="66" t="str">
        <f>PROPER(TEXT(Sal_23[[#This Row],[PROGRAMAÇÃO]],"mmm"))</f>
        <v>Mai</v>
      </c>
      <c r="AJ514" s="66">
        <f>YEAR(Sal_23[[#This Row],[PROGRAMAÇÃO]])</f>
        <v>2023</v>
      </c>
      <c r="AK514" s="66"/>
      <c r="AL514" s="66"/>
      <c r="AM514" s="66" t="s">
        <v>2768</v>
      </c>
      <c r="AN514" s="66" t="s">
        <v>2768</v>
      </c>
      <c r="AO514" s="66" t="s">
        <v>2768</v>
      </c>
    </row>
    <row r="515" spans="2:41" x14ac:dyDescent="0.25">
      <c r="B515" s="128" t="s">
        <v>2771</v>
      </c>
      <c r="C51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15" s="79">
        <v>45065.458333333336</v>
      </c>
      <c r="E515" s="44" t="s">
        <v>4625</v>
      </c>
      <c r="F515" s="66">
        <v>20</v>
      </c>
      <c r="G515" s="66" t="s">
        <v>2820</v>
      </c>
      <c r="H515" s="44" t="s">
        <v>2820</v>
      </c>
      <c r="I515" s="299" t="s">
        <v>2821</v>
      </c>
      <c r="J515" s="66">
        <v>4811</v>
      </c>
      <c r="K515" s="66" t="s">
        <v>4626</v>
      </c>
      <c r="L515" s="66">
        <v>64252</v>
      </c>
      <c r="M515" s="66">
        <v>64253</v>
      </c>
      <c r="N515" s="66" t="s">
        <v>2859</v>
      </c>
      <c r="O515" s="66" t="s">
        <v>4701</v>
      </c>
      <c r="P515" s="66" t="s">
        <v>2861</v>
      </c>
      <c r="Q515" s="138" t="str">
        <f ca="1">IFERROR(LOOKUP($P515,MOTORISTAS!$D$3:$D$1048576,MOTORISTAS!E$3:E$916),"")</f>
        <v>01817591878</v>
      </c>
      <c r="R515" s="138" t="str">
        <f ca="1">IFERROR(LOOKUP($P515,MOTORISTAS!$D$3:$D$1048576,MOTORISTAS!F$3:F$916),"")</f>
        <v>00821760640</v>
      </c>
      <c r="S515" s="66">
        <v>16062</v>
      </c>
      <c r="T515" s="66" t="s">
        <v>293</v>
      </c>
      <c r="U515" s="79">
        <v>45065.041666666664</v>
      </c>
      <c r="V515" s="66" t="s">
        <v>469</v>
      </c>
      <c r="W515" s="79">
        <v>45065.602083333331</v>
      </c>
      <c r="X515" s="79">
        <v>45065.149305555555</v>
      </c>
      <c r="Y515" s="88">
        <v>45065.479166666664</v>
      </c>
      <c r="Z515" s="81">
        <v>1600</v>
      </c>
      <c r="AA515" s="81"/>
      <c r="AB515" s="81"/>
      <c r="AC515" s="81"/>
      <c r="AD515" s="81"/>
      <c r="AE515" s="81"/>
      <c r="AF515" s="81"/>
      <c r="AG515" s="81">
        <f>Sal_23[[#This Row],[COMPRA]]*12%</f>
        <v>276</v>
      </c>
      <c r="AH515" s="83">
        <v>2300</v>
      </c>
      <c r="AI515" s="66" t="str">
        <f>PROPER(TEXT(Sal_23[[#This Row],[PROGRAMAÇÃO]],"mmm"))</f>
        <v>Mai</v>
      </c>
      <c r="AJ515" s="66">
        <f>YEAR(Sal_23[[#This Row],[PROGRAMAÇÃO]])</f>
        <v>2023</v>
      </c>
      <c r="AK515" s="66"/>
      <c r="AL515" s="66"/>
      <c r="AM515" s="66" t="s">
        <v>2768</v>
      </c>
      <c r="AN515" s="66" t="s">
        <v>2768</v>
      </c>
      <c r="AO515" s="66" t="s">
        <v>2768</v>
      </c>
    </row>
    <row r="516" spans="2:41" x14ac:dyDescent="0.25">
      <c r="B516" s="128" t="s">
        <v>2771</v>
      </c>
      <c r="C51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16" s="79">
        <v>45069.333333333336</v>
      </c>
      <c r="E516" s="44" t="s">
        <v>4752</v>
      </c>
      <c r="F516" s="66">
        <v>20</v>
      </c>
      <c r="G516" s="66" t="s">
        <v>2837</v>
      </c>
      <c r="H516" s="44" t="s">
        <v>2837</v>
      </c>
      <c r="I516" s="299" t="s">
        <v>2821</v>
      </c>
      <c r="J516" s="66" t="s">
        <v>4753</v>
      </c>
      <c r="K516" s="66" t="s">
        <v>4640</v>
      </c>
      <c r="L516" s="66">
        <v>71055</v>
      </c>
      <c r="M516" s="66"/>
      <c r="N516" s="66" t="s">
        <v>2156</v>
      </c>
      <c r="O516" s="66" t="s">
        <v>2464</v>
      </c>
      <c r="P516" s="66" t="s">
        <v>2158</v>
      </c>
      <c r="Q516" s="138" t="str">
        <f ca="1">IFERROR(LOOKUP($P516,MOTORISTAS!$D$3:$D$1048576,MOTORISTAS!E$3:E$916),"")</f>
        <v>10485530864</v>
      </c>
      <c r="R516" s="138" t="str">
        <f ca="1">IFERROR(LOOKUP($P516,MOTORISTAS!$D$3:$D$1048576,MOTORISTAS!F$3:F$916),"")</f>
        <v>02033192841</v>
      </c>
      <c r="S516" s="66">
        <v>16106</v>
      </c>
      <c r="T516" s="66" t="s">
        <v>306</v>
      </c>
      <c r="U516" s="79">
        <v>45069.449305555558</v>
      </c>
      <c r="V516" s="66" t="s">
        <v>292</v>
      </c>
      <c r="W516" s="79">
        <v>45070.342361111114</v>
      </c>
      <c r="X516" s="79">
        <v>45069.479166666664</v>
      </c>
      <c r="Y516" s="88">
        <v>45069.645833333336</v>
      </c>
      <c r="Z516" s="81">
        <v>1600</v>
      </c>
      <c r="AA516" s="81"/>
      <c r="AB516" s="81"/>
      <c r="AC516" s="81"/>
      <c r="AD516" s="81"/>
      <c r="AE516" s="81"/>
      <c r="AF516" s="81"/>
      <c r="AG516" s="81">
        <f>Sal_23[[#This Row],[COMPRA]]*12%</f>
        <v>288</v>
      </c>
      <c r="AH516" s="83">
        <v>2400</v>
      </c>
      <c r="AI516" s="66" t="str">
        <f>PROPER(TEXT(Sal_23[[#This Row],[PROGRAMAÇÃO]],"mmm"))</f>
        <v>Mai</v>
      </c>
      <c r="AJ516" s="66">
        <f>YEAR(Sal_23[[#This Row],[PROGRAMAÇÃO]])</f>
        <v>2023</v>
      </c>
      <c r="AK516" s="66" t="s">
        <v>4788</v>
      </c>
      <c r="AL516" s="66" t="s">
        <v>3602</v>
      </c>
      <c r="AM516" s="66" t="s">
        <v>2768</v>
      </c>
      <c r="AN516" s="66" t="s">
        <v>2768</v>
      </c>
      <c r="AO516" s="66" t="s">
        <v>2768</v>
      </c>
    </row>
    <row r="517" spans="2:41" x14ac:dyDescent="0.25">
      <c r="B517" s="128" t="s">
        <v>2771</v>
      </c>
      <c r="C51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17" s="79">
        <v>45069.375</v>
      </c>
      <c r="E517" s="44" t="s">
        <v>4645</v>
      </c>
      <c r="F517" s="66">
        <v>20</v>
      </c>
      <c r="G517" s="66" t="s">
        <v>2820</v>
      </c>
      <c r="H517" s="44" t="s">
        <v>2820</v>
      </c>
      <c r="I517" s="299" t="s">
        <v>2821</v>
      </c>
      <c r="J517" s="66" t="s">
        <v>4756</v>
      </c>
      <c r="K517" s="66" t="s">
        <v>4640</v>
      </c>
      <c r="L517" s="66">
        <v>106550</v>
      </c>
      <c r="M517" s="66"/>
      <c r="N517" s="66" t="s">
        <v>2859</v>
      </c>
      <c r="O517" s="66" t="s">
        <v>2860</v>
      </c>
      <c r="P517" s="66" t="s">
        <v>2861</v>
      </c>
      <c r="Q517" s="138" t="str">
        <f ca="1">IFERROR(LOOKUP($P517,MOTORISTAS!$D$3:$D$1048576,MOTORISTAS!E$3:E$916),"")</f>
        <v>01817591878</v>
      </c>
      <c r="R517" s="138" t="str">
        <f ca="1">IFERROR(LOOKUP($P517,MOTORISTAS!$D$3:$D$1048576,MOTORISTAS!F$3:F$916),"")</f>
        <v>00821760640</v>
      </c>
      <c r="S517" s="66">
        <v>16110</v>
      </c>
      <c r="T517" s="66" t="s">
        <v>306</v>
      </c>
      <c r="U517" s="66" t="s">
        <v>4806</v>
      </c>
      <c r="V517" s="66" t="s">
        <v>292</v>
      </c>
      <c r="W517" s="79">
        <v>45070.01458333333</v>
      </c>
      <c r="X517" s="79">
        <v>45069.625</v>
      </c>
      <c r="Y517" s="88">
        <v>45069.673611111109</v>
      </c>
      <c r="Z517" s="81">
        <v>1600</v>
      </c>
      <c r="AA517" s="81"/>
      <c r="AB517" s="81"/>
      <c r="AC517" s="81"/>
      <c r="AD517" s="81"/>
      <c r="AE517" s="81"/>
      <c r="AF517" s="81"/>
      <c r="AG517" s="81">
        <f>Sal_23[[#This Row],[COMPRA]]*12%</f>
        <v>276</v>
      </c>
      <c r="AH517" s="83">
        <v>2300</v>
      </c>
      <c r="AI517" s="66" t="str">
        <f>PROPER(TEXT(Sal_23[[#This Row],[PROGRAMAÇÃO]],"mmm"))</f>
        <v>Mai</v>
      </c>
      <c r="AJ517" s="66">
        <f>YEAR(Sal_23[[#This Row],[PROGRAMAÇÃO]])</f>
        <v>2023</v>
      </c>
      <c r="AK517" s="66"/>
      <c r="AL517" s="66"/>
      <c r="AM517" s="66" t="s">
        <v>2768</v>
      </c>
      <c r="AN517" s="66" t="s">
        <v>2768</v>
      </c>
      <c r="AO517" s="66" t="s">
        <v>2768</v>
      </c>
    </row>
    <row r="518" spans="2:41" x14ac:dyDescent="0.25">
      <c r="B518" s="128" t="s">
        <v>2771</v>
      </c>
      <c r="C51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18" s="79">
        <v>45069.375</v>
      </c>
      <c r="E518" s="44" t="s">
        <v>4643</v>
      </c>
      <c r="F518" s="66">
        <v>20</v>
      </c>
      <c r="G518" s="66" t="s">
        <v>2820</v>
      </c>
      <c r="H518" s="44" t="s">
        <v>2820</v>
      </c>
      <c r="I518" s="299" t="s">
        <v>2821</v>
      </c>
      <c r="J518" s="66" t="s">
        <v>4756</v>
      </c>
      <c r="K518" s="66" t="s">
        <v>4640</v>
      </c>
      <c r="L518" s="66">
        <v>106551</v>
      </c>
      <c r="M518" s="66"/>
      <c r="N518" s="66" t="s">
        <v>2949</v>
      </c>
      <c r="O518" s="66" t="s">
        <v>2950</v>
      </c>
      <c r="P518" s="66" t="s">
        <v>2948</v>
      </c>
      <c r="Q518" s="138" t="str">
        <f ca="1">IFERROR(LOOKUP($P518,MOTORISTAS!$D$3:$D$1048576,MOTORISTAS!E$3:E$916),"")</f>
        <v>16239341843</v>
      </c>
      <c r="R518" s="138" t="str">
        <f ca="1">IFERROR(LOOKUP($P518,MOTORISTAS!$D$3:$D$1048576,MOTORISTAS!F$3:F$916),"")</f>
        <v>01877235038</v>
      </c>
      <c r="S518" s="66">
        <v>16111</v>
      </c>
      <c r="T518" s="66" t="s">
        <v>306</v>
      </c>
      <c r="U518" s="66" t="s">
        <v>4807</v>
      </c>
      <c r="V518" s="66" t="s">
        <v>292</v>
      </c>
      <c r="W518" s="79">
        <v>45070.304861111108</v>
      </c>
      <c r="X518" s="79">
        <v>45069.322916666664</v>
      </c>
      <c r="Y518" s="88">
        <v>45069.486111111109</v>
      </c>
      <c r="Z518" s="81">
        <v>1600</v>
      </c>
      <c r="AA518" s="81"/>
      <c r="AB518" s="81"/>
      <c r="AC518" s="81"/>
      <c r="AD518" s="81"/>
      <c r="AE518" s="81"/>
      <c r="AF518" s="81"/>
      <c r="AG518" s="81">
        <f>Sal_23[[#This Row],[COMPRA]]*12%</f>
        <v>276</v>
      </c>
      <c r="AH518" s="83">
        <v>2300</v>
      </c>
      <c r="AI518" s="66" t="str">
        <f>PROPER(TEXT(Sal_23[[#This Row],[PROGRAMAÇÃO]],"mmm"))</f>
        <v>Mai</v>
      </c>
      <c r="AJ518" s="66">
        <f>YEAR(Sal_23[[#This Row],[PROGRAMAÇÃO]])</f>
        <v>2023</v>
      </c>
      <c r="AK518" s="66"/>
      <c r="AL518" s="66"/>
      <c r="AM518" s="66" t="s">
        <v>2768</v>
      </c>
      <c r="AN518" s="66" t="s">
        <v>2768</v>
      </c>
      <c r="AO518" s="66" t="s">
        <v>2768</v>
      </c>
    </row>
    <row r="519" spans="2:41" x14ac:dyDescent="0.25">
      <c r="B519" s="128" t="s">
        <v>2771</v>
      </c>
      <c r="C51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19" s="79">
        <v>45069.458333333336</v>
      </c>
      <c r="E519" s="44" t="s">
        <v>4644</v>
      </c>
      <c r="F519" s="66">
        <v>20</v>
      </c>
      <c r="G519" s="66" t="s">
        <v>2820</v>
      </c>
      <c r="H519" s="44" t="s">
        <v>2820</v>
      </c>
      <c r="I519" s="299" t="s">
        <v>2821</v>
      </c>
      <c r="J519" s="66" t="s">
        <v>4756</v>
      </c>
      <c r="K519" s="66" t="s">
        <v>4640</v>
      </c>
      <c r="L519" s="66">
        <v>106589</v>
      </c>
      <c r="M519" s="66"/>
      <c r="N519" s="66" t="s">
        <v>3028</v>
      </c>
      <c r="O519" s="66" t="s">
        <v>2261</v>
      </c>
      <c r="P519" s="66" t="s">
        <v>4707</v>
      </c>
      <c r="Q519" s="138" t="str">
        <f ca="1">IFERROR(LOOKUP($P519,MOTORISTAS!$D$3:$D$1048576,MOTORISTAS!E$3:E$916),"")</f>
        <v>13777529842</v>
      </c>
      <c r="R519" s="138" t="str">
        <f ca="1">IFERROR(LOOKUP($P519,MOTORISTAS!$D$3:$D$1048576,MOTORISTAS!F$3:F$916),"")</f>
        <v>02511580623</v>
      </c>
      <c r="S519" s="66">
        <v>16109</v>
      </c>
      <c r="T519" s="66" t="s">
        <v>306</v>
      </c>
      <c r="U519" s="79">
        <v>45069.424305555556</v>
      </c>
      <c r="V519" s="66" t="s">
        <v>292</v>
      </c>
      <c r="W519" s="79">
        <v>45069.713194444441</v>
      </c>
      <c r="X519" s="79">
        <v>45070.479166666664</v>
      </c>
      <c r="Y519" s="88">
        <v>45069.583333333336</v>
      </c>
      <c r="Z519" s="81">
        <v>1600</v>
      </c>
      <c r="AA519" s="81"/>
      <c r="AB519" s="81"/>
      <c r="AC519" s="81"/>
      <c r="AD519" s="81"/>
      <c r="AE519" s="81"/>
      <c r="AF519" s="81"/>
      <c r="AG519" s="81">
        <f>Sal_23[[#This Row],[COMPRA]]*12%</f>
        <v>276</v>
      </c>
      <c r="AH519" s="83">
        <v>2300</v>
      </c>
      <c r="AI519" s="66" t="str">
        <f>PROPER(TEXT(Sal_23[[#This Row],[PROGRAMAÇÃO]],"mmm"))</f>
        <v>Mai</v>
      </c>
      <c r="AJ519" s="66">
        <f>YEAR(Sal_23[[#This Row],[PROGRAMAÇÃO]])</f>
        <v>2023</v>
      </c>
      <c r="AK519" s="66"/>
      <c r="AL519" s="66"/>
      <c r="AM519" s="66" t="s">
        <v>2768</v>
      </c>
      <c r="AN519" s="66" t="s">
        <v>2768</v>
      </c>
      <c r="AO519" s="66" t="s">
        <v>2768</v>
      </c>
    </row>
    <row r="520" spans="2:41" x14ac:dyDescent="0.25">
      <c r="B520" s="128" t="s">
        <v>2771</v>
      </c>
      <c r="C52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20" s="79">
        <v>45070.375</v>
      </c>
      <c r="E520" s="44" t="s">
        <v>4655</v>
      </c>
      <c r="F520" s="66">
        <v>20</v>
      </c>
      <c r="G520" s="66" t="s">
        <v>2820</v>
      </c>
      <c r="H520" s="44" t="s">
        <v>2820</v>
      </c>
      <c r="I520" s="299" t="s">
        <v>2821</v>
      </c>
      <c r="J520" s="66" t="s">
        <v>4785</v>
      </c>
      <c r="K520" s="66" t="s">
        <v>4640</v>
      </c>
      <c r="L520" s="66">
        <v>116809</v>
      </c>
      <c r="M520" s="66">
        <v>106638</v>
      </c>
      <c r="N520" s="66" t="s">
        <v>2949</v>
      </c>
      <c r="O520" s="66" t="s">
        <v>2950</v>
      </c>
      <c r="P520" s="66" t="s">
        <v>2948</v>
      </c>
      <c r="Q520" s="138" t="str">
        <f ca="1">IFERROR(LOOKUP($P520,MOTORISTAS!$D$3:$D$1048576,MOTORISTAS!E$3:E$916),"")</f>
        <v>16239341843</v>
      </c>
      <c r="R520" s="138" t="str">
        <f ca="1">IFERROR(LOOKUP($P520,MOTORISTAS!$D$3:$D$1048576,MOTORISTAS!F$3:F$916),"")</f>
        <v>01877235038</v>
      </c>
      <c r="S520" s="66" t="s">
        <v>4787</v>
      </c>
      <c r="T520" s="66" t="s">
        <v>306</v>
      </c>
      <c r="U520" s="79">
        <v>45070.40625</v>
      </c>
      <c r="V520" s="66" t="s">
        <v>292</v>
      </c>
      <c r="W520" s="79">
        <v>45070.669444444444</v>
      </c>
      <c r="X520" s="79">
        <v>45070.5</v>
      </c>
      <c r="Y520" s="88">
        <v>45070.583333333336</v>
      </c>
      <c r="Z520" s="81">
        <v>1600</v>
      </c>
      <c r="AA520" s="81"/>
      <c r="AB520" s="81"/>
      <c r="AC520" s="81"/>
      <c r="AD520" s="81"/>
      <c r="AE520" s="81"/>
      <c r="AF520" s="81"/>
      <c r="AG520" s="81">
        <f>Sal_23[[#This Row],[COMPRA]]*12%</f>
        <v>276</v>
      </c>
      <c r="AH520" s="83">
        <v>2300</v>
      </c>
      <c r="AI520" s="66" t="str">
        <f>PROPER(TEXT(Sal_23[[#This Row],[PROGRAMAÇÃO]],"mmm"))</f>
        <v>Mai</v>
      </c>
      <c r="AJ520" s="66">
        <f>YEAR(Sal_23[[#This Row],[PROGRAMAÇÃO]])</f>
        <v>2023</v>
      </c>
      <c r="AK520" s="66"/>
      <c r="AL520" s="66"/>
      <c r="AM520" s="66" t="s">
        <v>2768</v>
      </c>
      <c r="AN520" s="66" t="s">
        <v>2768</v>
      </c>
      <c r="AO520" s="66" t="s">
        <v>2768</v>
      </c>
    </row>
    <row r="521" spans="2:41" x14ac:dyDescent="0.25">
      <c r="B521" s="128" t="s">
        <v>2771</v>
      </c>
      <c r="C52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21" s="79">
        <v>45070.375</v>
      </c>
      <c r="E521" s="44" t="s">
        <v>4646</v>
      </c>
      <c r="F521" s="66">
        <v>20</v>
      </c>
      <c r="G521" s="66" t="s">
        <v>2820</v>
      </c>
      <c r="H521" s="44" t="s">
        <v>2820</v>
      </c>
      <c r="I521" s="299" t="s">
        <v>2821</v>
      </c>
      <c r="J521" s="66" t="s">
        <v>4786</v>
      </c>
      <c r="K521" s="66" t="s">
        <v>4640</v>
      </c>
      <c r="L521" s="66">
        <v>71150</v>
      </c>
      <c r="M521" s="66"/>
      <c r="N521" s="66" t="s">
        <v>2859</v>
      </c>
      <c r="O521" s="66" t="s">
        <v>2860</v>
      </c>
      <c r="P521" s="66" t="s">
        <v>2861</v>
      </c>
      <c r="Q521" s="138" t="str">
        <f ca="1">IFERROR(LOOKUP($P521,MOTORISTAS!$D$3:$D$1048576,MOTORISTAS!E$3:E$916),"")</f>
        <v>01817591878</v>
      </c>
      <c r="R521" s="138" t="str">
        <f ca="1">IFERROR(LOOKUP($P521,MOTORISTAS!$D$3:$D$1048576,MOTORISTAS!F$3:F$916),"")</f>
        <v>00821760640</v>
      </c>
      <c r="S521" s="66">
        <v>16120</v>
      </c>
      <c r="T521" s="66" t="s">
        <v>306</v>
      </c>
      <c r="U521" s="79">
        <v>45070.388888888891</v>
      </c>
      <c r="V521" s="66" t="s">
        <v>292</v>
      </c>
      <c r="W521" s="79">
        <v>45071.310416666667</v>
      </c>
      <c r="X521" s="79">
        <v>45070.520833333336</v>
      </c>
      <c r="Y521" s="88">
        <v>45070.638888888891</v>
      </c>
      <c r="Z521" s="81">
        <v>1600</v>
      </c>
      <c r="AA521" s="81"/>
      <c r="AB521" s="81"/>
      <c r="AC521" s="81"/>
      <c r="AD521" s="81"/>
      <c r="AE521" s="81"/>
      <c r="AF521" s="81"/>
      <c r="AG521" s="81">
        <f>Sal_23[[#This Row],[COMPRA]]*12%</f>
        <v>276</v>
      </c>
      <c r="AH521" s="83">
        <v>2300</v>
      </c>
      <c r="AI521" s="66" t="str">
        <f>PROPER(TEXT(Sal_23[[#This Row],[PROGRAMAÇÃO]],"mmm"))</f>
        <v>Mai</v>
      </c>
      <c r="AJ521" s="66">
        <f>YEAR(Sal_23[[#This Row],[PROGRAMAÇÃO]])</f>
        <v>2023</v>
      </c>
      <c r="AK521" s="66"/>
      <c r="AL521" s="66"/>
      <c r="AM521" s="66" t="s">
        <v>2768</v>
      </c>
      <c r="AN521" s="66" t="s">
        <v>2768</v>
      </c>
      <c r="AO521" s="66" t="s">
        <v>2768</v>
      </c>
    </row>
    <row r="522" spans="2:41" x14ac:dyDescent="0.25">
      <c r="B522" s="128" t="s">
        <v>2771</v>
      </c>
      <c r="C52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22" s="79">
        <v>45070.458333333336</v>
      </c>
      <c r="E522" s="44" t="s">
        <v>4641</v>
      </c>
      <c r="F522" s="66">
        <v>20</v>
      </c>
      <c r="G522" s="66" t="s">
        <v>2820</v>
      </c>
      <c r="H522" s="44" t="s">
        <v>2820</v>
      </c>
      <c r="I522" s="299" t="s">
        <v>2821</v>
      </c>
      <c r="J522" s="66" t="s">
        <v>4824</v>
      </c>
      <c r="K522" s="66" t="s">
        <v>4640</v>
      </c>
      <c r="L522" s="66">
        <v>116810</v>
      </c>
      <c r="M522" s="66"/>
      <c r="N522" s="66" t="s">
        <v>3028</v>
      </c>
      <c r="O522" s="66" t="s">
        <v>2261</v>
      </c>
      <c r="P522" s="66" t="s">
        <v>4707</v>
      </c>
      <c r="Q522" s="138" t="str">
        <f ca="1">IFERROR(LOOKUP($P522,MOTORISTAS!$D$3:$D$1048576,MOTORISTAS!E$3:E$916),"")</f>
        <v>13777529842</v>
      </c>
      <c r="R522" s="138" t="str">
        <f ca="1">IFERROR(LOOKUP($P522,MOTORISTAS!$D$3:$D$1048576,MOTORISTAS!F$3:F$916),"")</f>
        <v>02511580623</v>
      </c>
      <c r="S522" s="66">
        <v>16123</v>
      </c>
      <c r="T522" s="66" t="s">
        <v>306</v>
      </c>
      <c r="U522" s="79">
        <v>45070.53402777778</v>
      </c>
      <c r="V522" s="66" t="s">
        <v>292</v>
      </c>
      <c r="W522" s="79">
        <v>45071.308333333334</v>
      </c>
      <c r="X522" s="79">
        <v>45070.600694444445</v>
      </c>
      <c r="Y522" s="88">
        <v>45070.6875</v>
      </c>
      <c r="Z522" s="81">
        <v>1600</v>
      </c>
      <c r="AA522" s="81"/>
      <c r="AB522" s="81"/>
      <c r="AC522" s="81"/>
      <c r="AD522" s="81"/>
      <c r="AE522" s="81"/>
      <c r="AF522" s="81"/>
      <c r="AG522" s="81">
        <f>Sal_23[[#This Row],[COMPRA]]*12%</f>
        <v>276</v>
      </c>
      <c r="AH522" s="83">
        <v>2300</v>
      </c>
      <c r="AI522" s="66" t="str">
        <f>PROPER(TEXT(Sal_23[[#This Row],[PROGRAMAÇÃO]],"mmm"))</f>
        <v>Mai</v>
      </c>
      <c r="AJ522" s="66">
        <f>YEAR(Sal_23[[#This Row],[PROGRAMAÇÃO]])</f>
        <v>2023</v>
      </c>
      <c r="AK522" s="66"/>
      <c r="AL522" s="66"/>
      <c r="AM522" s="66" t="s">
        <v>2768</v>
      </c>
      <c r="AN522" s="66" t="s">
        <v>2768</v>
      </c>
      <c r="AO522" s="66" t="s">
        <v>2768</v>
      </c>
    </row>
    <row r="523" spans="2:41" x14ac:dyDescent="0.25">
      <c r="B523" s="128" t="s">
        <v>2771</v>
      </c>
      <c r="C52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23" s="79">
        <v>45071.375</v>
      </c>
      <c r="E523" s="44" t="s">
        <v>4647</v>
      </c>
      <c r="F523" s="66">
        <v>20</v>
      </c>
      <c r="G523" s="66" t="s">
        <v>2820</v>
      </c>
      <c r="H523" s="44" t="s">
        <v>2820</v>
      </c>
      <c r="I523" s="299" t="s">
        <v>2821</v>
      </c>
      <c r="J523" s="66" t="s">
        <v>4786</v>
      </c>
      <c r="K523" s="66" t="s">
        <v>4640</v>
      </c>
      <c r="L523" s="66">
        <v>71152</v>
      </c>
      <c r="M523" s="66"/>
      <c r="N523" s="66" t="s">
        <v>4571</v>
      </c>
      <c r="O523" s="66" t="s">
        <v>4572</v>
      </c>
      <c r="P523" s="66" t="s">
        <v>4573</v>
      </c>
      <c r="Q523" s="138" t="str">
        <f ca="1">IFERROR(LOOKUP($P523,MOTORISTAS!$D$3:$D$1048576,MOTORISTAS!E$3:E$916),"")</f>
        <v>09221836860</v>
      </c>
      <c r="R523" s="138" t="str">
        <f ca="1">IFERROR(LOOKUP($P523,MOTORISTAS!$D$3:$D$1048576,MOTORISTAS!F$3:F$916),"")</f>
        <v>01994346710</v>
      </c>
      <c r="S523" s="66">
        <v>16145</v>
      </c>
      <c r="T523" s="66" t="s">
        <v>306</v>
      </c>
      <c r="U523" s="79">
        <v>45071.211111111108</v>
      </c>
      <c r="V523" s="66" t="s">
        <v>409</v>
      </c>
      <c r="W523" s="79">
        <v>45071.628472222219</v>
      </c>
      <c r="X523" s="79">
        <v>45071.333333333336</v>
      </c>
      <c r="Y523" s="88">
        <v>45071.4375</v>
      </c>
      <c r="Z523" s="81">
        <v>1600</v>
      </c>
      <c r="AA523" s="81"/>
      <c r="AB523" s="81"/>
      <c r="AC523" s="81"/>
      <c r="AD523" s="81"/>
      <c r="AE523" s="81"/>
      <c r="AF523" s="81"/>
      <c r="AG523" s="81">
        <f>Sal_23[[#This Row],[COMPRA]]*12%</f>
        <v>276</v>
      </c>
      <c r="AH523" s="83">
        <v>2300</v>
      </c>
      <c r="AI523" s="66" t="str">
        <f>PROPER(TEXT(Sal_23[[#This Row],[PROGRAMAÇÃO]],"mmm"))</f>
        <v>Mai</v>
      </c>
      <c r="AJ523" s="66">
        <f>YEAR(Sal_23[[#This Row],[PROGRAMAÇÃO]])</f>
        <v>2023</v>
      </c>
      <c r="AK523" s="66"/>
      <c r="AL523" s="66"/>
      <c r="AM523" s="66" t="s">
        <v>2768</v>
      </c>
      <c r="AN523" s="66" t="s">
        <v>2768</v>
      </c>
      <c r="AO523" s="66" t="s">
        <v>2768</v>
      </c>
    </row>
    <row r="524" spans="2:41" x14ac:dyDescent="0.25">
      <c r="B524" s="128" t="s">
        <v>2771</v>
      </c>
      <c r="C52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24" s="79">
        <v>45071.375</v>
      </c>
      <c r="E524" s="44" t="s">
        <v>4642</v>
      </c>
      <c r="F524" s="66">
        <v>20</v>
      </c>
      <c r="G524" s="66" t="s">
        <v>2820</v>
      </c>
      <c r="H524" s="44" t="s">
        <v>2820</v>
      </c>
      <c r="I524" s="299" t="s">
        <v>2821</v>
      </c>
      <c r="J524" s="66" t="s">
        <v>4917</v>
      </c>
      <c r="K524" s="66" t="s">
        <v>4640</v>
      </c>
      <c r="L524" s="66">
        <v>106590</v>
      </c>
      <c r="M524" s="66"/>
      <c r="N524" s="66" t="s">
        <v>2156</v>
      </c>
      <c r="O524" s="66" t="s">
        <v>2464</v>
      </c>
      <c r="P524" s="66" t="s">
        <v>2158</v>
      </c>
      <c r="Q524" s="138" t="str">
        <f ca="1">IFERROR(LOOKUP($P524,MOTORISTAS!$D$3:$D$1048576,MOTORISTAS!E$3:E$916),"")</f>
        <v>10485530864</v>
      </c>
      <c r="R524" s="138" t="str">
        <f ca="1">IFERROR(LOOKUP($P524,MOTORISTAS!$D$3:$D$1048576,MOTORISTAS!F$3:F$916),"")</f>
        <v>02033192841</v>
      </c>
      <c r="S524" s="66">
        <v>16149</v>
      </c>
      <c r="T524" s="66" t="s">
        <v>306</v>
      </c>
      <c r="U524" s="79">
        <v>45071.206250000003</v>
      </c>
      <c r="V524" s="66" t="s">
        <v>409</v>
      </c>
      <c r="W524" s="79">
        <v>45071.59652777778</v>
      </c>
      <c r="X524" s="79">
        <v>45071.277777777781</v>
      </c>
      <c r="Y524" s="88">
        <v>45071.493055555555</v>
      </c>
      <c r="Z524" s="81">
        <v>1600</v>
      </c>
      <c r="AA524" s="81"/>
      <c r="AB524" s="81"/>
      <c r="AC524" s="81"/>
      <c r="AD524" s="81"/>
      <c r="AE524" s="81"/>
      <c r="AF524" s="81"/>
      <c r="AG524" s="81">
        <f>Sal_23[[#This Row],[COMPRA]]*12%</f>
        <v>276</v>
      </c>
      <c r="AH524" s="83">
        <v>2300</v>
      </c>
      <c r="AI524" s="66" t="str">
        <f>PROPER(TEXT(Sal_23[[#This Row],[PROGRAMAÇÃO]],"mmm"))</f>
        <v>Mai</v>
      </c>
      <c r="AJ524" s="66">
        <f>YEAR(Sal_23[[#This Row],[PROGRAMAÇÃO]])</f>
        <v>2023</v>
      </c>
      <c r="AK524" s="66"/>
      <c r="AL524" s="66"/>
      <c r="AM524" s="66" t="s">
        <v>2768</v>
      </c>
      <c r="AN524" s="66" t="s">
        <v>2768</v>
      </c>
      <c r="AO524" s="66" t="s">
        <v>2768</v>
      </c>
    </row>
    <row r="525" spans="2:41" x14ac:dyDescent="0.25">
      <c r="B525" s="128" t="s">
        <v>2771</v>
      </c>
      <c r="C52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25" s="79">
        <v>45072.333333333336</v>
      </c>
      <c r="E525" s="44" t="s">
        <v>4754</v>
      </c>
      <c r="F525" s="66">
        <v>20</v>
      </c>
      <c r="G525" s="66" t="s">
        <v>2837</v>
      </c>
      <c r="H525" s="44" t="s">
        <v>2837</v>
      </c>
      <c r="I525" s="299" t="s">
        <v>2821</v>
      </c>
      <c r="J525" s="66" t="s">
        <v>4753</v>
      </c>
      <c r="K525" s="66" t="s">
        <v>4640</v>
      </c>
      <c r="L525" s="66">
        <v>71050</v>
      </c>
      <c r="M525" s="66"/>
      <c r="N525" s="66" t="s">
        <v>2156</v>
      </c>
      <c r="O525" s="66" t="s">
        <v>2464</v>
      </c>
      <c r="P525" s="66" t="s">
        <v>2158</v>
      </c>
      <c r="Q525" s="138" t="str">
        <f ca="1">IFERROR(LOOKUP($P525,MOTORISTAS!$D$3:$D$1048576,MOTORISTAS!E$3:E$916),"")</f>
        <v>10485530864</v>
      </c>
      <c r="R525" s="138" t="str">
        <f ca="1">IFERROR(LOOKUP($P525,MOTORISTAS!$D$3:$D$1048576,MOTORISTAS!F$3:F$916),"")</f>
        <v>02033192841</v>
      </c>
      <c r="S525" s="66">
        <v>16160</v>
      </c>
      <c r="T525" s="66" t="s">
        <v>306</v>
      </c>
      <c r="U525" s="79">
        <v>45072.248611111114</v>
      </c>
      <c r="V525" s="66" t="s">
        <v>292</v>
      </c>
      <c r="W525" s="79">
        <v>45072</v>
      </c>
      <c r="X525" s="79">
        <v>45072.3125</v>
      </c>
      <c r="Y525" s="88">
        <v>45072.333333333336</v>
      </c>
      <c r="Z525" s="81">
        <v>1600</v>
      </c>
      <c r="AA525" s="81"/>
      <c r="AB525" s="81"/>
      <c r="AC525" s="81"/>
      <c r="AD525" s="81"/>
      <c r="AE525" s="81"/>
      <c r="AF525" s="81"/>
      <c r="AG525" s="81">
        <f>Sal_23[[#This Row],[COMPRA]]*12%</f>
        <v>288</v>
      </c>
      <c r="AH525" s="83">
        <v>2400</v>
      </c>
      <c r="AI525" s="66" t="str">
        <f>PROPER(TEXT(Sal_23[[#This Row],[PROGRAMAÇÃO]],"mmm"))</f>
        <v>Mai</v>
      </c>
      <c r="AJ525" s="66">
        <f>YEAR(Sal_23[[#This Row],[PROGRAMAÇÃO]])</f>
        <v>2023</v>
      </c>
      <c r="AK525" s="66"/>
      <c r="AL525" s="66"/>
      <c r="AM525" s="66" t="s">
        <v>2768</v>
      </c>
      <c r="AN525" s="66" t="s">
        <v>2768</v>
      </c>
      <c r="AO525" s="66" t="s">
        <v>2768</v>
      </c>
    </row>
    <row r="526" spans="2:41" x14ac:dyDescent="0.25">
      <c r="B526" s="128" t="s">
        <v>2771</v>
      </c>
      <c r="C52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26" s="79">
        <v>45064.333333333336</v>
      </c>
      <c r="E526" s="44" t="s">
        <v>4648</v>
      </c>
      <c r="F526" s="66">
        <v>40</v>
      </c>
      <c r="G526" s="66" t="s">
        <v>2826</v>
      </c>
      <c r="H526" s="44" t="s">
        <v>3195</v>
      </c>
      <c r="I526" s="299" t="s">
        <v>2830</v>
      </c>
      <c r="J526" s="66" t="s">
        <v>4686</v>
      </c>
      <c r="K526" s="66" t="s">
        <v>4650</v>
      </c>
      <c r="L526" s="66">
        <v>106427</v>
      </c>
      <c r="M526" s="66"/>
      <c r="N526" s="66" t="s">
        <v>111</v>
      </c>
      <c r="O526" s="66" t="s">
        <v>891</v>
      </c>
      <c r="P526" s="66" t="s">
        <v>113</v>
      </c>
      <c r="Q526" s="138" t="str">
        <f ca="1">IFERROR(LOOKUP($P526,MOTORISTAS!$D$3:$D$1048576,MOTORISTAS!E$3:E$916),"")</f>
        <v>88265951434</v>
      </c>
      <c r="R526" s="138" t="str">
        <f ca="1">IFERROR(LOOKUP($P526,MOTORISTAS!$D$3:$D$1048576,MOTORISTAS!F$3:F$916),"")</f>
        <v>00920373596</v>
      </c>
      <c r="S526" s="66">
        <v>16055</v>
      </c>
      <c r="T526" s="66" t="s">
        <v>306</v>
      </c>
      <c r="U526" s="79">
        <v>45064.299305555556</v>
      </c>
      <c r="V526" s="66" t="s">
        <v>292</v>
      </c>
      <c r="W526" s="66" t="s">
        <v>4758</v>
      </c>
      <c r="X526" s="79">
        <v>45064.572916666664</v>
      </c>
      <c r="Y526" s="88">
        <v>45064.638888888891</v>
      </c>
      <c r="Z526" s="81">
        <v>2300</v>
      </c>
      <c r="AA526" s="81"/>
      <c r="AB526" s="81"/>
      <c r="AC526" s="81"/>
      <c r="AD526" s="81"/>
      <c r="AE526" s="81"/>
      <c r="AF526" s="81"/>
      <c r="AG526" s="81">
        <f>Sal_23[[#This Row],[COMPRA]]*12%</f>
        <v>392.15039999999999</v>
      </c>
      <c r="AH526" s="83">
        <v>3267.92</v>
      </c>
      <c r="AI526" s="66" t="str">
        <f>PROPER(TEXT(Sal_23[[#This Row],[PROGRAMAÇÃO]],"mmm"))</f>
        <v>Mai</v>
      </c>
      <c r="AJ526" s="66">
        <f>YEAR(Sal_23[[#This Row],[PROGRAMAÇÃO]])</f>
        <v>2023</v>
      </c>
      <c r="AK526" s="66" t="s">
        <v>4700</v>
      </c>
      <c r="AL526" s="66" t="s">
        <v>2785</v>
      </c>
      <c r="AM526" s="66" t="s">
        <v>2768</v>
      </c>
      <c r="AN526" s="66" t="s">
        <v>2768</v>
      </c>
      <c r="AO526" s="66"/>
    </row>
    <row r="527" spans="2:41" x14ac:dyDescent="0.25">
      <c r="B527" s="128" t="s">
        <v>2771</v>
      </c>
      <c r="C52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27" s="79">
        <v>45065.333333333336</v>
      </c>
      <c r="E527" s="44" t="s">
        <v>4649</v>
      </c>
      <c r="F527" s="66">
        <v>20</v>
      </c>
      <c r="G527" s="66" t="s">
        <v>2826</v>
      </c>
      <c r="H527" s="44" t="s">
        <v>2827</v>
      </c>
      <c r="I527" s="299" t="s">
        <v>2823</v>
      </c>
      <c r="J527" s="66" t="s">
        <v>4704</v>
      </c>
      <c r="K527" s="66" t="s">
        <v>4650</v>
      </c>
      <c r="L527" s="66">
        <v>106409</v>
      </c>
      <c r="M527" s="66"/>
      <c r="N527" s="66" t="s">
        <v>3040</v>
      </c>
      <c r="O527" s="66" t="s">
        <v>3041</v>
      </c>
      <c r="P527" s="66" t="s">
        <v>3042</v>
      </c>
      <c r="Q527" s="138" t="str">
        <f ca="1">IFERROR(LOOKUP($P527,MOTORISTAS!$D$3:$D$1048576,MOTORISTAS!E$3:E$916),"")</f>
        <v>19279658883</v>
      </c>
      <c r="R527" s="138" t="str">
        <f ca="1">IFERROR(LOOKUP($P527,MOTORISTAS!$D$3:$D$1048576,MOTORISTAS!F$3:F$916),"")</f>
        <v>01301319672</v>
      </c>
      <c r="S527" s="66">
        <v>16064</v>
      </c>
      <c r="T527" s="66" t="s">
        <v>306</v>
      </c>
      <c r="U527" s="79">
        <v>45064.961111111108</v>
      </c>
      <c r="V527" s="66" t="s">
        <v>409</v>
      </c>
      <c r="W527" s="79">
        <v>45065.619444444441</v>
      </c>
      <c r="X527" s="79">
        <v>45065.138888888891</v>
      </c>
      <c r="Y527" s="88">
        <v>45065.416666666664</v>
      </c>
      <c r="Z527" s="81">
        <v>3200</v>
      </c>
      <c r="AA527" s="81"/>
      <c r="AB527" s="81"/>
      <c r="AC527" s="81"/>
      <c r="AD527" s="81"/>
      <c r="AE527" s="81"/>
      <c r="AF527" s="81"/>
      <c r="AG527" s="81">
        <f>Sal_23[[#This Row],[COMPRA]]*12%</f>
        <v>571.48680000000002</v>
      </c>
      <c r="AH527" s="83">
        <v>4762.3900000000003</v>
      </c>
      <c r="AI527" s="66" t="str">
        <f>PROPER(TEXT(Sal_23[[#This Row],[PROGRAMAÇÃO]],"mmm"))</f>
        <v>Mai</v>
      </c>
      <c r="AJ527" s="66">
        <f>YEAR(Sal_23[[#This Row],[PROGRAMAÇÃO]])</f>
        <v>2023</v>
      </c>
      <c r="AK527" s="66"/>
      <c r="AL527" s="66"/>
      <c r="AM527" s="66" t="s">
        <v>2768</v>
      </c>
      <c r="AN527" s="66" t="s">
        <v>2768</v>
      </c>
      <c r="AO527" s="66"/>
    </row>
    <row r="528" spans="2:41" x14ac:dyDescent="0.25">
      <c r="B528" s="128" t="s">
        <v>2771</v>
      </c>
      <c r="C52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28" s="79">
        <v>45065.333333333336</v>
      </c>
      <c r="E528" s="44" t="s">
        <v>4663</v>
      </c>
      <c r="F528" s="66">
        <v>20</v>
      </c>
      <c r="G528" s="66" t="s">
        <v>2826</v>
      </c>
      <c r="H528" s="44" t="s">
        <v>3440</v>
      </c>
      <c r="I528" s="299" t="s">
        <v>3253</v>
      </c>
      <c r="J528" s="66">
        <v>4771</v>
      </c>
      <c r="K528" s="66" t="s">
        <v>4626</v>
      </c>
      <c r="L528" s="66">
        <v>116476</v>
      </c>
      <c r="M528" s="66"/>
      <c r="N528" s="66" t="s">
        <v>2156</v>
      </c>
      <c r="O528" s="66" t="s">
        <v>2464</v>
      </c>
      <c r="P528" s="66" t="s">
        <v>2158</v>
      </c>
      <c r="Q528" s="138" t="str">
        <f ca="1">IFERROR(LOOKUP($P528,MOTORISTAS!$D$3:$D$1048576,MOTORISTAS!E$3:E$916),"")</f>
        <v>10485530864</v>
      </c>
      <c r="R528" s="138" t="str">
        <f ca="1">IFERROR(LOOKUP($P528,MOTORISTAS!$D$3:$D$1048576,MOTORISTAS!F$3:F$916),"")</f>
        <v>02033192841</v>
      </c>
      <c r="S528" s="66">
        <v>16065</v>
      </c>
      <c r="T528" s="66" t="s">
        <v>293</v>
      </c>
      <c r="U528" s="79">
        <v>45065.033333333333</v>
      </c>
      <c r="V528" s="66" t="s">
        <v>469</v>
      </c>
      <c r="W528" s="79">
        <v>45065.718055555553</v>
      </c>
      <c r="X528" s="79">
        <v>45065.166666666664</v>
      </c>
      <c r="Y528" s="79">
        <v>45065.385416666664</v>
      </c>
      <c r="Z528" s="81">
        <v>2300</v>
      </c>
      <c r="AA528" s="81"/>
      <c r="AB528" s="81"/>
      <c r="AC528" s="81"/>
      <c r="AD528" s="81"/>
      <c r="AE528" s="81"/>
      <c r="AF528" s="81"/>
      <c r="AG528" s="81">
        <f>Sal_23[[#This Row],[COMPRA]]*12%</f>
        <v>399.62399999999997</v>
      </c>
      <c r="AH528" s="83">
        <v>3330.2</v>
      </c>
      <c r="AI528" s="66" t="str">
        <f>PROPER(TEXT(Sal_23[[#This Row],[PROGRAMAÇÃO]],"mmm"))</f>
        <v>Mai</v>
      </c>
      <c r="AJ528" s="66">
        <f>YEAR(Sal_23[[#This Row],[PROGRAMAÇÃO]])</f>
        <v>2023</v>
      </c>
      <c r="AK528" s="66"/>
      <c r="AL528" s="66"/>
      <c r="AM528" s="66" t="s">
        <v>2768</v>
      </c>
      <c r="AN528" s="66" t="s">
        <v>2768</v>
      </c>
      <c r="AO528" s="66" t="s">
        <v>2768</v>
      </c>
    </row>
    <row r="529" spans="2:41" x14ac:dyDescent="0.25">
      <c r="B529" s="128" t="s">
        <v>2771</v>
      </c>
      <c r="C52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29" s="79">
        <v>45065.333333333336</v>
      </c>
      <c r="E529" s="44" t="s">
        <v>4669</v>
      </c>
      <c r="F529" s="66">
        <v>40</v>
      </c>
      <c r="G529" s="66" t="s">
        <v>2826</v>
      </c>
      <c r="H529" s="44" t="s">
        <v>3441</v>
      </c>
      <c r="I529" s="299" t="s">
        <v>3438</v>
      </c>
      <c r="J529" s="66">
        <v>4779</v>
      </c>
      <c r="K529" s="66" t="s">
        <v>4626</v>
      </c>
      <c r="L529" s="66">
        <v>106351</v>
      </c>
      <c r="M529" s="66"/>
      <c r="N529" s="66" t="s">
        <v>72</v>
      </c>
      <c r="O529" s="66" t="s">
        <v>73</v>
      </c>
      <c r="P529" s="66" t="s">
        <v>203</v>
      </c>
      <c r="Q529" s="138" t="str">
        <f ca="1">IFERROR(LOOKUP($P529,MOTORISTAS!$D$3:$D$1048576,MOTORISTAS!E$3:E$916),"")</f>
        <v>10395859816</v>
      </c>
      <c r="R529" s="138" t="str">
        <f ca="1">IFERROR(LOOKUP($P529,MOTORISTAS!$D$3:$D$1048576,MOTORISTAS!F$3:F$916),"")</f>
        <v>01965794851</v>
      </c>
      <c r="S529" s="66">
        <v>16066</v>
      </c>
      <c r="T529" s="66" t="s">
        <v>293</v>
      </c>
      <c r="U529" s="79">
        <v>45065.282638888886</v>
      </c>
      <c r="V529" s="66" t="s">
        <v>469</v>
      </c>
      <c r="W529" s="79">
        <v>45065.695138888892</v>
      </c>
      <c r="X529" s="79">
        <v>45065.388888888891</v>
      </c>
      <c r="Y529" s="88">
        <v>45065.541666666664</v>
      </c>
      <c r="Z529" s="81">
        <v>2300</v>
      </c>
      <c r="AA529" s="81"/>
      <c r="AB529" s="81"/>
      <c r="AC529" s="81">
        <v>500</v>
      </c>
      <c r="AD529" s="81"/>
      <c r="AE529" s="81"/>
      <c r="AF529" s="81"/>
      <c r="AG529" s="81">
        <f>Sal_23[[#This Row],[COMPRA]]*12%</f>
        <v>449.87399999999997</v>
      </c>
      <c r="AH529" s="83">
        <v>3748.95</v>
      </c>
      <c r="AI529" s="66" t="str">
        <f>PROPER(TEXT(Sal_23[[#This Row],[PROGRAMAÇÃO]],"mmm"))</f>
        <v>Mai</v>
      </c>
      <c r="AJ529" s="66">
        <f>YEAR(Sal_23[[#This Row],[PROGRAMAÇÃO]])</f>
        <v>2023</v>
      </c>
      <c r="AK529" s="66"/>
      <c r="AL529" s="66"/>
      <c r="AM529" s="66" t="s">
        <v>2768</v>
      </c>
      <c r="AN529" s="66" t="s">
        <v>2768</v>
      </c>
      <c r="AO529" s="66" t="s">
        <v>2768</v>
      </c>
    </row>
    <row r="530" spans="2:41" x14ac:dyDescent="0.25">
      <c r="B530" s="128" t="s">
        <v>2771</v>
      </c>
      <c r="C53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30" s="79">
        <v>45065.333333333336</v>
      </c>
      <c r="E530" s="44" t="s">
        <v>4670</v>
      </c>
      <c r="F530" s="66">
        <v>40</v>
      </c>
      <c r="G530" s="66" t="s">
        <v>2826</v>
      </c>
      <c r="H530" s="44" t="s">
        <v>3195</v>
      </c>
      <c r="I530" s="299" t="s">
        <v>2830</v>
      </c>
      <c r="J530" s="66">
        <v>4772</v>
      </c>
      <c r="K530" s="66" t="s">
        <v>4626</v>
      </c>
      <c r="L530" s="66">
        <v>106492</v>
      </c>
      <c r="M530" s="66"/>
      <c r="N530" s="66" t="s">
        <v>150</v>
      </c>
      <c r="O530" s="66" t="s">
        <v>151</v>
      </c>
      <c r="P530" s="66" t="s">
        <v>152</v>
      </c>
      <c r="Q530" s="138" t="str">
        <f ca="1">IFERROR(LOOKUP($P530,MOTORISTAS!$D$3:$D$1048576,MOTORISTAS!E$3:E$916),"")</f>
        <v>05753633803</v>
      </c>
      <c r="R530" s="138" t="str">
        <f ca="1">IFERROR(LOOKUP($P530,MOTORISTAS!$D$3:$D$1048576,MOTORISTAS!F$3:F$916),"")</f>
        <v>01922497849</v>
      </c>
      <c r="S530" s="66">
        <v>16067</v>
      </c>
      <c r="T530" s="66" t="s">
        <v>293</v>
      </c>
      <c r="U530" s="79">
        <v>45065.257638888892</v>
      </c>
      <c r="V530" s="66" t="s">
        <v>469</v>
      </c>
      <c r="W530" s="79">
        <v>45065.633333333331</v>
      </c>
      <c r="X530" s="79">
        <v>45065.395833333336</v>
      </c>
      <c r="Y530" s="79">
        <v>45065.449305555558</v>
      </c>
      <c r="Z530" s="81">
        <v>2300</v>
      </c>
      <c r="AA530" s="81"/>
      <c r="AB530" s="81"/>
      <c r="AC530" s="81"/>
      <c r="AD530" s="81"/>
      <c r="AE530" s="81"/>
      <c r="AF530" s="81"/>
      <c r="AG530" s="81">
        <f>Sal_23[[#This Row],[COMPRA]]*12%</f>
        <v>392.15039999999999</v>
      </c>
      <c r="AH530" s="83">
        <v>3267.92</v>
      </c>
      <c r="AI530" s="66" t="str">
        <f>PROPER(TEXT(Sal_23[[#This Row],[PROGRAMAÇÃO]],"mmm"))</f>
        <v>Mai</v>
      </c>
      <c r="AJ530" s="66">
        <f>YEAR(Sal_23[[#This Row],[PROGRAMAÇÃO]])</f>
        <v>2023</v>
      </c>
      <c r="AK530" s="66"/>
      <c r="AL530" s="66"/>
      <c r="AM530" s="66" t="s">
        <v>2768</v>
      </c>
      <c r="AN530" s="66" t="s">
        <v>2768</v>
      </c>
      <c r="AO530" s="66" t="s">
        <v>2768</v>
      </c>
    </row>
    <row r="531" spans="2:41" x14ac:dyDescent="0.25">
      <c r="B531" s="128" t="s">
        <v>2771</v>
      </c>
      <c r="C53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31" s="79">
        <v>45068.333333333336</v>
      </c>
      <c r="E531" s="44" t="s">
        <v>4664</v>
      </c>
      <c r="F531" s="66">
        <v>40</v>
      </c>
      <c r="G531" s="66" t="s">
        <v>2826</v>
      </c>
      <c r="H531" s="44" t="s">
        <v>2836</v>
      </c>
      <c r="I531" s="299" t="s">
        <v>708</v>
      </c>
      <c r="J531" s="66">
        <v>4781</v>
      </c>
      <c r="K531" s="66" t="s">
        <v>4626</v>
      </c>
      <c r="L531" s="66">
        <v>106451</v>
      </c>
      <c r="M531" s="66"/>
      <c r="N531" s="66" t="s">
        <v>68</v>
      </c>
      <c r="O531" s="66" t="s">
        <v>36</v>
      </c>
      <c r="P531" s="66" t="s">
        <v>69</v>
      </c>
      <c r="Q531" s="138" t="str">
        <f ca="1">IFERROR(LOOKUP($P531,MOTORISTAS!$D$3:$D$1048576,MOTORISTAS!E$3:E$916),"")</f>
        <v>07968457866</v>
      </c>
      <c r="R531" s="138" t="str">
        <f ca="1">IFERROR(LOOKUP($P531,MOTORISTAS!$D$3:$D$1048576,MOTORISTAS!F$3:F$916),"")</f>
        <v>03264365790</v>
      </c>
      <c r="S531" s="66">
        <v>16088</v>
      </c>
      <c r="T531" s="66" t="s">
        <v>293</v>
      </c>
      <c r="U531" s="79">
        <v>45068.219444444447</v>
      </c>
      <c r="V531" s="66" t="s">
        <v>469</v>
      </c>
      <c r="W531" s="79">
        <v>45068.586111111108</v>
      </c>
      <c r="X531" s="79">
        <v>45068.270833333336</v>
      </c>
      <c r="Y531" s="88">
        <v>45068.524305555555</v>
      </c>
      <c r="Z531" s="81"/>
      <c r="AA531" s="81"/>
      <c r="AB531" s="81"/>
      <c r="AC531" s="81"/>
      <c r="AD531" s="81"/>
      <c r="AE531" s="81"/>
      <c r="AF531" s="81"/>
      <c r="AG531" s="81">
        <f>Sal_23[[#This Row],[COMPRA]]*12%</f>
        <v>234</v>
      </c>
      <c r="AH531" s="83">
        <v>1950</v>
      </c>
      <c r="AI531" s="66" t="str">
        <f>PROPER(TEXT(Sal_23[[#This Row],[PROGRAMAÇÃO]],"mmm"))</f>
        <v>Mai</v>
      </c>
      <c r="AJ531" s="66">
        <f>YEAR(Sal_23[[#This Row],[PROGRAMAÇÃO]])</f>
        <v>2023</v>
      </c>
      <c r="AK531" s="66"/>
      <c r="AL531" s="66"/>
      <c r="AM531" s="66" t="s">
        <v>2768</v>
      </c>
      <c r="AN531" s="66" t="s">
        <v>2768</v>
      </c>
      <c r="AO531" s="66" t="s">
        <v>2768</v>
      </c>
    </row>
    <row r="532" spans="2:41" x14ac:dyDescent="0.25">
      <c r="B532" s="128" t="s">
        <v>2771</v>
      </c>
      <c r="C53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32" s="79">
        <v>45068.333333333336</v>
      </c>
      <c r="E532" s="44" t="s">
        <v>4662</v>
      </c>
      <c r="F532" s="66">
        <v>20</v>
      </c>
      <c r="G532" s="66" t="s">
        <v>2826</v>
      </c>
      <c r="H532" s="44" t="s">
        <v>2825</v>
      </c>
      <c r="I532" s="299" t="s">
        <v>4012</v>
      </c>
      <c r="J532" s="66">
        <v>4782</v>
      </c>
      <c r="K532" s="66" t="s">
        <v>4626</v>
      </c>
      <c r="L532" s="66">
        <v>106359</v>
      </c>
      <c r="M532" s="66"/>
      <c r="N532" s="66" t="s">
        <v>2156</v>
      </c>
      <c r="O532" s="66" t="s">
        <v>2464</v>
      </c>
      <c r="P532" s="66" t="s">
        <v>2158</v>
      </c>
      <c r="Q532" s="138" t="str">
        <f ca="1">IFERROR(LOOKUP($P532,MOTORISTAS!$D$3:$D$1048576,MOTORISTAS!E$3:E$916),"")</f>
        <v>10485530864</v>
      </c>
      <c r="R532" s="138" t="str">
        <f ca="1">IFERROR(LOOKUP($P532,MOTORISTAS!$D$3:$D$1048576,MOTORISTAS!F$3:F$916),"")</f>
        <v>02033192841</v>
      </c>
      <c r="S532" s="66">
        <v>16079</v>
      </c>
      <c r="T532" s="66" t="s">
        <v>293</v>
      </c>
      <c r="U532" s="79">
        <v>45068.236805555556</v>
      </c>
      <c r="V532" s="66" t="s">
        <v>526</v>
      </c>
      <c r="W532" s="79">
        <v>45068.726388888892</v>
      </c>
      <c r="X532" s="79">
        <v>45068.3125</v>
      </c>
      <c r="Y532" s="88">
        <v>45068.482638888891</v>
      </c>
      <c r="Z532" s="81">
        <v>2000</v>
      </c>
      <c r="AA532" s="81"/>
      <c r="AB532" s="81"/>
      <c r="AC532" s="81">
        <v>700</v>
      </c>
      <c r="AD532" s="81"/>
      <c r="AE532" s="81"/>
      <c r="AF532" s="81"/>
      <c r="AG532" s="81">
        <f>Sal_23[[#This Row],[COMPRA]]*12%</f>
        <v>447.91919999999999</v>
      </c>
      <c r="AH532" s="83">
        <v>3732.66</v>
      </c>
      <c r="AI532" s="66" t="str">
        <f>PROPER(TEXT(Sal_23[[#This Row],[PROGRAMAÇÃO]],"mmm"))</f>
        <v>Mai</v>
      </c>
      <c r="AJ532" s="66">
        <f>YEAR(Sal_23[[#This Row],[PROGRAMAÇÃO]])</f>
        <v>2023</v>
      </c>
      <c r="AK532" s="66"/>
      <c r="AL532" s="66"/>
      <c r="AM532" s="66" t="s">
        <v>2768</v>
      </c>
      <c r="AN532" s="66" t="s">
        <v>2768</v>
      </c>
      <c r="AO532" s="66" t="s">
        <v>2768</v>
      </c>
    </row>
    <row r="533" spans="2:41" x14ac:dyDescent="0.25">
      <c r="B533" s="128" t="s">
        <v>2771</v>
      </c>
      <c r="C53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33" s="79">
        <v>45068.333333333336</v>
      </c>
      <c r="E533" s="44" t="s">
        <v>4666</v>
      </c>
      <c r="F533" s="66">
        <v>40</v>
      </c>
      <c r="G533" s="66" t="s">
        <v>2826</v>
      </c>
      <c r="H533" s="44" t="s">
        <v>2835</v>
      </c>
      <c r="I533" s="299" t="s">
        <v>2822</v>
      </c>
      <c r="J533" s="66">
        <v>4768</v>
      </c>
      <c r="K533" s="66" t="s">
        <v>4626</v>
      </c>
      <c r="L533" s="66">
        <v>106361</v>
      </c>
      <c r="M533" s="66"/>
      <c r="N533" s="66" t="s">
        <v>3028</v>
      </c>
      <c r="O533" s="66" t="s">
        <v>4701</v>
      </c>
      <c r="P533" s="66" t="s">
        <v>4707</v>
      </c>
      <c r="Q533" s="138" t="str">
        <f ca="1">IFERROR(LOOKUP($P533,MOTORISTAS!$D$3:$D$1048576,MOTORISTAS!E$3:E$916),"")</f>
        <v>13777529842</v>
      </c>
      <c r="R533" s="138" t="str">
        <f ca="1">IFERROR(LOOKUP($P533,MOTORISTAS!$D$3:$D$1048576,MOTORISTAS!F$3:F$916),"")</f>
        <v>02511580623</v>
      </c>
      <c r="S533" s="66">
        <v>16082</v>
      </c>
      <c r="T533" s="66" t="s">
        <v>293</v>
      </c>
      <c r="U533" s="79">
        <v>45067.996527777781</v>
      </c>
      <c r="V533" s="66" t="s">
        <v>469</v>
      </c>
      <c r="W533" s="79">
        <v>45068.605555555558</v>
      </c>
      <c r="X533" s="79">
        <v>45068.166666666664</v>
      </c>
      <c r="Y533" s="88">
        <v>45068.399305555555</v>
      </c>
      <c r="Z533" s="81">
        <v>2100</v>
      </c>
      <c r="AA533" s="81"/>
      <c r="AB533" s="81"/>
      <c r="AC533" s="81">
        <v>700</v>
      </c>
      <c r="AD533" s="81"/>
      <c r="AE533" s="81"/>
      <c r="AF533" s="81"/>
      <c r="AG533" s="81">
        <f>Sal_23[[#This Row],[COMPRA]]*12%</f>
        <v>447.91919999999999</v>
      </c>
      <c r="AH533" s="83">
        <v>3732.66</v>
      </c>
      <c r="AI533" s="66" t="str">
        <f>PROPER(TEXT(Sal_23[[#This Row],[PROGRAMAÇÃO]],"mmm"))</f>
        <v>Mai</v>
      </c>
      <c r="AJ533" s="66">
        <f>YEAR(Sal_23[[#This Row],[PROGRAMAÇÃO]])</f>
        <v>2023</v>
      </c>
      <c r="AK533" s="66"/>
      <c r="AL533" s="66"/>
      <c r="AM533" s="66" t="s">
        <v>2768</v>
      </c>
      <c r="AN533" s="66" t="s">
        <v>2768</v>
      </c>
      <c r="AO533" s="66" t="s">
        <v>2768</v>
      </c>
    </row>
    <row r="534" spans="2:41" x14ac:dyDescent="0.25">
      <c r="B534" s="128" t="s">
        <v>2771</v>
      </c>
      <c r="C53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34" s="79">
        <v>45068.333333333336</v>
      </c>
      <c r="E534" s="44" t="s">
        <v>4668</v>
      </c>
      <c r="F534" s="66">
        <v>40</v>
      </c>
      <c r="G534" s="66" t="s">
        <v>2826</v>
      </c>
      <c r="H534" s="44" t="s">
        <v>1674</v>
      </c>
      <c r="I534" s="299" t="s">
        <v>2829</v>
      </c>
      <c r="J534" s="66">
        <v>4766</v>
      </c>
      <c r="K534" s="66" t="s">
        <v>4626</v>
      </c>
      <c r="L534" s="66">
        <v>106449</v>
      </c>
      <c r="M534" s="66">
        <v>106450</v>
      </c>
      <c r="N534" s="66" t="s">
        <v>210</v>
      </c>
      <c r="O534" s="66" t="s">
        <v>211</v>
      </c>
      <c r="P534" s="66" t="s">
        <v>212</v>
      </c>
      <c r="Q534" s="138" t="str">
        <f ca="1">IFERROR(LOOKUP($P534,MOTORISTAS!$D$3:$D$1048576,MOTORISTAS!E$3:E$916),"")</f>
        <v>38029906846</v>
      </c>
      <c r="R534" s="138" t="str">
        <f ca="1">IFERROR(LOOKUP($P534,MOTORISTAS!$D$3:$D$1048576,MOTORISTAS!F$3:F$916),"")</f>
        <v>04946846842</v>
      </c>
      <c r="S534" s="66">
        <v>16077</v>
      </c>
      <c r="T534" s="66" t="s">
        <v>293</v>
      </c>
      <c r="U534" s="79">
        <v>45068.436805555553</v>
      </c>
      <c r="V534" s="66" t="s">
        <v>526</v>
      </c>
      <c r="W534" s="79">
        <v>45068.900694444441</v>
      </c>
      <c r="X534" s="79">
        <v>45068.604166666664</v>
      </c>
      <c r="Y534" s="88">
        <v>45068.705555555556</v>
      </c>
      <c r="Z534" s="81">
        <v>3400</v>
      </c>
      <c r="AA534" s="81"/>
      <c r="AB534" s="81"/>
      <c r="AC534" s="81">
        <v>700</v>
      </c>
      <c r="AD534" s="81"/>
      <c r="AE534" s="81"/>
      <c r="AF534" s="81"/>
      <c r="AG534" s="81">
        <f>Sal_23[[#This Row],[COMPRA]]*12%</f>
        <v>447.91919999999999</v>
      </c>
      <c r="AH534" s="83">
        <v>3732.66</v>
      </c>
      <c r="AI534" s="66" t="str">
        <f>PROPER(TEXT(Sal_23[[#This Row],[PROGRAMAÇÃO]],"mmm"))</f>
        <v>Mai</v>
      </c>
      <c r="AJ534" s="66">
        <f>YEAR(Sal_23[[#This Row],[PROGRAMAÇÃO]])</f>
        <v>2023</v>
      </c>
      <c r="AK534" s="66"/>
      <c r="AL534" s="66"/>
      <c r="AM534" s="66" t="s">
        <v>2768</v>
      </c>
      <c r="AN534" s="66" t="s">
        <v>2768</v>
      </c>
      <c r="AO534" s="66" t="s">
        <v>2768</v>
      </c>
    </row>
    <row r="535" spans="2:41" x14ac:dyDescent="0.25">
      <c r="B535" s="128" t="s">
        <v>2771</v>
      </c>
      <c r="C535" s="44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35" s="79">
        <v>45069.333333333336</v>
      </c>
      <c r="E535" s="44" t="s">
        <v>4665</v>
      </c>
      <c r="F535" s="66">
        <v>40</v>
      </c>
      <c r="G535" s="66" t="s">
        <v>2826</v>
      </c>
      <c r="H535" s="44" t="s">
        <v>3074</v>
      </c>
      <c r="I535" s="299" t="s">
        <v>3439</v>
      </c>
      <c r="J535" s="66">
        <v>4780</v>
      </c>
      <c r="K535" s="66" t="s">
        <v>4626</v>
      </c>
      <c r="L535" s="66">
        <v>106348</v>
      </c>
      <c r="M535" s="66"/>
      <c r="N535" s="66" t="s">
        <v>1961</v>
      </c>
      <c r="O535" s="66" t="s">
        <v>4755</v>
      </c>
      <c r="P535" s="66" t="s">
        <v>1482</v>
      </c>
      <c r="Q535" s="138" t="str">
        <f ca="1">IFERROR(LOOKUP($P535,MOTORISTAS!$D$3:$D$1048576,MOTORISTAS!E$3:E$916),"")</f>
        <v>38329597857</v>
      </c>
      <c r="R535" s="138" t="str">
        <f ca="1">IFERROR(LOOKUP($P535,MOTORISTAS!$D$3:$D$1048576,MOTORISTAS!F$3:F$916),"")</f>
        <v>04956762510</v>
      </c>
      <c r="S535" s="66">
        <v>16107</v>
      </c>
      <c r="T535" s="66" t="s">
        <v>293</v>
      </c>
      <c r="U535" s="79">
        <v>45068.950694444444</v>
      </c>
      <c r="V535" s="66" t="s">
        <v>469</v>
      </c>
      <c r="W535" s="79">
        <v>45069.969444444447</v>
      </c>
      <c r="X535" s="79">
        <v>45069.569444444445</v>
      </c>
      <c r="Y535" s="88">
        <v>45069.666666666664</v>
      </c>
      <c r="Z535" s="81">
        <v>2800</v>
      </c>
      <c r="AA535" s="81"/>
      <c r="AB535" s="81"/>
      <c r="AC535" s="81">
        <v>700</v>
      </c>
      <c r="AD535" s="81"/>
      <c r="AE535" s="81"/>
      <c r="AF535" s="81"/>
      <c r="AG535" s="81">
        <f>Sal_23[[#This Row],[COMPRA]]*12%</f>
        <v>447.91919999999999</v>
      </c>
      <c r="AH535" s="83">
        <v>3732.66</v>
      </c>
      <c r="AI535" s="66" t="str">
        <f>PROPER(TEXT(Sal_23[[#This Row],[PROGRAMAÇÃO]],"mmm"))</f>
        <v>Mai</v>
      </c>
      <c r="AJ535" s="66">
        <f>YEAR(Sal_23[[#This Row],[PROGRAMAÇÃO]])</f>
        <v>2023</v>
      </c>
      <c r="AK535" s="66"/>
      <c r="AL535" s="66" t="s">
        <v>3643</v>
      </c>
      <c r="AM535" s="66" t="s">
        <v>2768</v>
      </c>
      <c r="AN535" s="66" t="s">
        <v>2768</v>
      </c>
      <c r="AO535" s="66" t="s">
        <v>2768</v>
      </c>
    </row>
    <row r="536" spans="2:41" x14ac:dyDescent="0.25">
      <c r="B536" s="128" t="s">
        <v>2771</v>
      </c>
      <c r="C53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36" s="79">
        <v>45069.333333333336</v>
      </c>
      <c r="E536" s="44" t="s">
        <v>4667</v>
      </c>
      <c r="F536" s="66">
        <v>40</v>
      </c>
      <c r="G536" s="66" t="s">
        <v>2826</v>
      </c>
      <c r="H536" s="44" t="s">
        <v>2835</v>
      </c>
      <c r="I536" s="299" t="s">
        <v>2822</v>
      </c>
      <c r="J536" s="66">
        <v>4769</v>
      </c>
      <c r="K536" s="66" t="s">
        <v>4626</v>
      </c>
      <c r="L536" s="66">
        <v>106366</v>
      </c>
      <c r="M536" s="66"/>
      <c r="N536" s="66" t="s">
        <v>4108</v>
      </c>
      <c r="O536" s="66" t="s">
        <v>4109</v>
      </c>
      <c r="P536" s="66" t="s">
        <v>2932</v>
      </c>
      <c r="Q536" s="138" t="str">
        <f ca="1">IFERROR(LOOKUP($P536,MOTORISTAS!$D$3:$D$1048576,MOTORISTAS!E$3:E$916),"")</f>
        <v>87607395849</v>
      </c>
      <c r="R536" s="138" t="str">
        <f ca="1">IFERROR(LOOKUP($P536,MOTORISTAS!$D$3:$D$1048576,MOTORISTAS!F$3:F$916),"")</f>
        <v>01842622116</v>
      </c>
      <c r="S536" s="66">
        <v>16108</v>
      </c>
      <c r="T536" s="66" t="s">
        <v>293</v>
      </c>
      <c r="U536" s="79">
        <v>45068.918055555558</v>
      </c>
      <c r="V536" s="66" t="s">
        <v>469</v>
      </c>
      <c r="W536" s="79">
        <v>45069.947222222225</v>
      </c>
      <c r="X536" s="79">
        <v>45069.041666666664</v>
      </c>
      <c r="Y536" s="88">
        <v>45069.5</v>
      </c>
      <c r="Z536" s="81">
        <v>2100</v>
      </c>
      <c r="AA536" s="81"/>
      <c r="AB536" s="81"/>
      <c r="AC536" s="81">
        <v>700</v>
      </c>
      <c r="AD536" s="81"/>
      <c r="AE536" s="81"/>
      <c r="AF536" s="81"/>
      <c r="AG536" s="81">
        <f>Sal_23[[#This Row],[COMPRA]]*12%</f>
        <v>447.91919999999999</v>
      </c>
      <c r="AH536" s="83">
        <v>3732.66</v>
      </c>
      <c r="AI536" s="66" t="str">
        <f>PROPER(TEXT(Sal_23[[#This Row],[PROGRAMAÇÃO]],"mmm"))</f>
        <v>Mai</v>
      </c>
      <c r="AJ536" s="66">
        <f>YEAR(Sal_23[[#This Row],[PROGRAMAÇÃO]])</f>
        <v>2023</v>
      </c>
      <c r="AK536" s="66"/>
      <c r="AL536" s="66"/>
      <c r="AM536" s="66" t="s">
        <v>2768</v>
      </c>
      <c r="AN536" s="66" t="s">
        <v>2768</v>
      </c>
      <c r="AO536" s="66" t="s">
        <v>2768</v>
      </c>
    </row>
    <row r="537" spans="2:41" x14ac:dyDescent="0.25">
      <c r="B537" s="128" t="s">
        <v>2771</v>
      </c>
      <c r="C53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37" s="79">
        <v>45071.375</v>
      </c>
      <c r="E537" s="44" t="s">
        <v>4748</v>
      </c>
      <c r="F537" s="66">
        <v>40</v>
      </c>
      <c r="G537" s="66" t="s">
        <v>2820</v>
      </c>
      <c r="H537" s="44" t="s">
        <v>2820</v>
      </c>
      <c r="I537" s="299" t="s">
        <v>2821</v>
      </c>
      <c r="J537" s="66" t="s">
        <v>4813</v>
      </c>
      <c r="K537" s="66" t="s">
        <v>4751</v>
      </c>
      <c r="L537" s="66">
        <v>106562</v>
      </c>
      <c r="M537" s="66">
        <v>106563</v>
      </c>
      <c r="N537" s="66" t="s">
        <v>92</v>
      </c>
      <c r="O537" s="66" t="s">
        <v>93</v>
      </c>
      <c r="P537" s="66" t="s">
        <v>94</v>
      </c>
      <c r="Q537" s="138" t="str">
        <f ca="1">IFERROR(LOOKUP($P537,MOTORISTAS!$D$3:$D$1048576,MOTORISTAS!E$3:E$916),"")</f>
        <v>26283419801</v>
      </c>
      <c r="R537" s="138" t="str">
        <f ca="1">IFERROR(LOOKUP($P537,MOTORISTAS!$D$3:$D$1048576,MOTORISTAS!F$3:F$916),"")</f>
        <v>02002046946</v>
      </c>
      <c r="S537" s="66" t="s">
        <v>4812</v>
      </c>
      <c r="T537" s="66" t="s">
        <v>293</v>
      </c>
      <c r="U537" s="79">
        <v>45071.220138888886</v>
      </c>
      <c r="V537" s="66" t="s">
        <v>292</v>
      </c>
      <c r="W537" s="79">
        <v>45071.621527777781</v>
      </c>
      <c r="X537" s="79">
        <v>45071.301388888889</v>
      </c>
      <c r="Y537" s="88">
        <v>45071.454861111109</v>
      </c>
      <c r="Z537" s="81">
        <v>1600</v>
      </c>
      <c r="AA537" s="81"/>
      <c r="AB537" s="81"/>
      <c r="AC537" s="81">
        <v>700</v>
      </c>
      <c r="AD537" s="81"/>
      <c r="AE537" s="81"/>
      <c r="AF537" s="81"/>
      <c r="AG537" s="81">
        <f>Sal_23[[#This Row],[COMPRA]]*12%</f>
        <v>447.91919999999999</v>
      </c>
      <c r="AH537" s="83">
        <v>3732.66</v>
      </c>
      <c r="AI537" s="66" t="str">
        <f>PROPER(TEXT(Sal_23[[#This Row],[PROGRAMAÇÃO]],"mmm"))</f>
        <v>Mai</v>
      </c>
      <c r="AJ537" s="66">
        <f>YEAR(Sal_23[[#This Row],[PROGRAMAÇÃO]])</f>
        <v>2023</v>
      </c>
      <c r="AK537" s="66"/>
      <c r="AL537" s="66"/>
      <c r="AM537" s="66" t="s">
        <v>2768</v>
      </c>
      <c r="AN537" s="66" t="s">
        <v>2768</v>
      </c>
      <c r="AO537" s="66"/>
    </row>
    <row r="538" spans="2:41" x14ac:dyDescent="0.25">
      <c r="B538" s="128" t="s">
        <v>2771</v>
      </c>
      <c r="C53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38" s="79">
        <v>45071.375</v>
      </c>
      <c r="E538" s="44" t="s">
        <v>4749</v>
      </c>
      <c r="F538" s="66">
        <v>40</v>
      </c>
      <c r="G538" s="66" t="s">
        <v>2820</v>
      </c>
      <c r="H538" s="44" t="s">
        <v>2820</v>
      </c>
      <c r="I538" s="299" t="s">
        <v>2821</v>
      </c>
      <c r="J538" s="66">
        <v>5007</v>
      </c>
      <c r="K538" s="66" t="s">
        <v>4751</v>
      </c>
      <c r="L538" s="66">
        <v>106606</v>
      </c>
      <c r="M538" s="66"/>
      <c r="N538" s="66" t="s">
        <v>72</v>
      </c>
      <c r="O538" s="66" t="s">
        <v>73</v>
      </c>
      <c r="P538" s="66" t="s">
        <v>203</v>
      </c>
      <c r="Q538" s="138" t="str">
        <f ca="1">IFERROR(LOOKUP($P538,MOTORISTAS!$D$3:$D$1048576,MOTORISTAS!E$3:E$916),"")</f>
        <v>10395859816</v>
      </c>
      <c r="R538" s="138" t="str">
        <f ca="1">IFERROR(LOOKUP($P538,MOTORISTAS!$D$3:$D$1048576,MOTORISTAS!F$3:F$916),"")</f>
        <v>01965794851</v>
      </c>
      <c r="S538" s="66">
        <v>16154</v>
      </c>
      <c r="T538" s="66" t="s">
        <v>293</v>
      </c>
      <c r="U538" s="79">
        <v>45071.272916666669</v>
      </c>
      <c r="V538" s="66" t="s">
        <v>292</v>
      </c>
      <c r="W538" s="79">
        <v>45072.604166666664</v>
      </c>
      <c r="X538" s="79">
        <v>45071.34375</v>
      </c>
      <c r="Y538" s="88">
        <v>45071.338194444441</v>
      </c>
      <c r="Z538" s="81">
        <v>1600</v>
      </c>
      <c r="AA538" s="81"/>
      <c r="AB538" s="81"/>
      <c r="AC538" s="81">
        <v>700</v>
      </c>
      <c r="AD538" s="81"/>
      <c r="AE538" s="81"/>
      <c r="AF538" s="81"/>
      <c r="AG538" s="81">
        <f>Sal_23[[#This Row],[COMPRA]]*12%</f>
        <v>447.91919999999999</v>
      </c>
      <c r="AH538" s="83">
        <v>3732.66</v>
      </c>
      <c r="AI538" s="66" t="str">
        <f>PROPER(TEXT(Sal_23[[#This Row],[PROGRAMAÇÃO]],"mmm"))</f>
        <v>Mai</v>
      </c>
      <c r="AJ538" s="66">
        <f>YEAR(Sal_23[[#This Row],[PROGRAMAÇÃO]])</f>
        <v>2023</v>
      </c>
      <c r="AK538" s="66"/>
      <c r="AL538" s="66"/>
      <c r="AM538" s="66" t="s">
        <v>2768</v>
      </c>
      <c r="AN538" s="66" t="s">
        <v>2768</v>
      </c>
      <c r="AO538" s="66"/>
    </row>
    <row r="539" spans="2:41" x14ac:dyDescent="0.25">
      <c r="B539" s="128" t="s">
        <v>2771</v>
      </c>
      <c r="C53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39" s="79">
        <v>45072.375</v>
      </c>
      <c r="E539" s="44" t="s">
        <v>4746</v>
      </c>
      <c r="F539" s="66">
        <v>20</v>
      </c>
      <c r="G539" s="66" t="s">
        <v>2820</v>
      </c>
      <c r="H539" s="44" t="s">
        <v>2820</v>
      </c>
      <c r="I539" s="299" t="s">
        <v>2821</v>
      </c>
      <c r="J539" s="66">
        <v>5112</v>
      </c>
      <c r="K539" s="66" t="s">
        <v>4751</v>
      </c>
      <c r="L539" s="66">
        <v>71099</v>
      </c>
      <c r="M539" s="66"/>
      <c r="N539" s="66" t="s">
        <v>3028</v>
      </c>
      <c r="O539" s="66" t="s">
        <v>2860</v>
      </c>
      <c r="P539" s="66" t="s">
        <v>3443</v>
      </c>
      <c r="Q539" s="138" t="str">
        <f ca="1">IFERROR(LOOKUP($P539,MOTORISTAS!$D$3:$D$1048576,MOTORISTAS!E$3:E$916),"")</f>
        <v>13990937898</v>
      </c>
      <c r="R539" s="138" t="str">
        <f ca="1">IFERROR(LOOKUP($P539,MOTORISTAS!$D$3:$D$1048576,MOTORISTAS!F$3:F$916),"")</f>
        <v>01825123407</v>
      </c>
      <c r="S539" s="66">
        <v>16164</v>
      </c>
      <c r="T539" s="66" t="s">
        <v>293</v>
      </c>
      <c r="U539" s="79">
        <v>45072.038194444445</v>
      </c>
      <c r="V539" s="66" t="s">
        <v>292</v>
      </c>
      <c r="W539" s="79">
        <v>45072</v>
      </c>
      <c r="X539" s="79">
        <v>45072.09375</v>
      </c>
      <c r="Y539" s="88">
        <v>45072.465277777781</v>
      </c>
      <c r="Z539" s="81">
        <v>1600</v>
      </c>
      <c r="AA539" s="81"/>
      <c r="AB539" s="81"/>
      <c r="AC539" s="81">
        <v>700</v>
      </c>
      <c r="AD539" s="81"/>
      <c r="AE539" s="81"/>
      <c r="AF539" s="81"/>
      <c r="AG539" s="81">
        <f>Sal_23[[#This Row],[COMPRA]]*12%</f>
        <v>447.91919999999999</v>
      </c>
      <c r="AH539" s="83">
        <v>3732.66</v>
      </c>
      <c r="AI539" s="66" t="str">
        <f>PROPER(TEXT(Sal_23[[#This Row],[PROGRAMAÇÃO]],"mmm"))</f>
        <v>Mai</v>
      </c>
      <c r="AJ539" s="66">
        <f>YEAR(Sal_23[[#This Row],[PROGRAMAÇÃO]])</f>
        <v>2023</v>
      </c>
      <c r="AK539" s="66"/>
      <c r="AL539" s="66"/>
      <c r="AM539" s="66" t="s">
        <v>2768</v>
      </c>
      <c r="AN539" s="66" t="s">
        <v>2768</v>
      </c>
      <c r="AO539" s="66"/>
    </row>
    <row r="540" spans="2:41" x14ac:dyDescent="0.25">
      <c r="B540" s="128" t="s">
        <v>2771</v>
      </c>
      <c r="C54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40" s="79">
        <v>45072.375</v>
      </c>
      <c r="E540" s="44" t="s">
        <v>4747</v>
      </c>
      <c r="F540" s="66">
        <v>20</v>
      </c>
      <c r="G540" s="66" t="s">
        <v>2820</v>
      </c>
      <c r="H540" s="44" t="s">
        <v>2820</v>
      </c>
      <c r="I540" s="299" t="s">
        <v>2821</v>
      </c>
      <c r="J540" s="66">
        <v>5111</v>
      </c>
      <c r="K540" s="66" t="s">
        <v>4751</v>
      </c>
      <c r="L540" s="66">
        <v>71100</v>
      </c>
      <c r="M540" s="66"/>
      <c r="N540" s="66" t="s">
        <v>2859</v>
      </c>
      <c r="O540" s="66" t="s">
        <v>2860</v>
      </c>
      <c r="P540" s="66" t="s">
        <v>2861</v>
      </c>
      <c r="Q540" s="138" t="str">
        <f ca="1">IFERROR(LOOKUP($P540,MOTORISTAS!$D$3:$D$1048576,MOTORISTAS!E$3:E$916),"")</f>
        <v>01817591878</v>
      </c>
      <c r="R540" s="138" t="str">
        <f ca="1">IFERROR(LOOKUP($P540,MOTORISTAS!$D$3:$D$1048576,MOTORISTAS!F$3:F$916),"")</f>
        <v>00821760640</v>
      </c>
      <c r="S540" s="66">
        <v>16165</v>
      </c>
      <c r="T540" s="66" t="s">
        <v>293</v>
      </c>
      <c r="U540" s="79">
        <v>45071.993055555555</v>
      </c>
      <c r="V540" s="66" t="s">
        <v>292</v>
      </c>
      <c r="W540" s="79">
        <v>45072</v>
      </c>
      <c r="X540" s="79">
        <v>45072.100694444445</v>
      </c>
      <c r="Y540" s="88">
        <v>45072.479166666664</v>
      </c>
      <c r="Z540" s="81">
        <v>1600</v>
      </c>
      <c r="AA540" s="81"/>
      <c r="AB540" s="81"/>
      <c r="AC540" s="81">
        <v>700</v>
      </c>
      <c r="AD540" s="81"/>
      <c r="AE540" s="81"/>
      <c r="AF540" s="81"/>
      <c r="AG540" s="81">
        <f>Sal_23[[#This Row],[COMPRA]]*12%</f>
        <v>447.91919999999999</v>
      </c>
      <c r="AH540" s="83">
        <v>3732.66</v>
      </c>
      <c r="AI540" s="66" t="str">
        <f>PROPER(TEXT(Sal_23[[#This Row],[PROGRAMAÇÃO]],"mmm"))</f>
        <v>Mai</v>
      </c>
      <c r="AJ540" s="66">
        <f>YEAR(Sal_23[[#This Row],[PROGRAMAÇÃO]])</f>
        <v>2023</v>
      </c>
      <c r="AK540" s="66"/>
      <c r="AL540" s="66"/>
      <c r="AM540" s="66" t="s">
        <v>2768</v>
      </c>
      <c r="AN540" s="66" t="s">
        <v>2768</v>
      </c>
      <c r="AO540" s="66"/>
    </row>
    <row r="541" spans="2:41" x14ac:dyDescent="0.25">
      <c r="B541" s="128" t="s">
        <v>2771</v>
      </c>
      <c r="C54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41" s="79">
        <v>45072.458333333336</v>
      </c>
      <c r="E541" s="44" t="s">
        <v>4750</v>
      </c>
      <c r="F541" s="66">
        <v>40</v>
      </c>
      <c r="G541" s="66" t="s">
        <v>2820</v>
      </c>
      <c r="H541" s="44" t="s">
        <v>2820</v>
      </c>
      <c r="I541" s="299" t="s">
        <v>2821</v>
      </c>
      <c r="J541" s="66" t="s">
        <v>4838</v>
      </c>
      <c r="K541" s="66" t="s">
        <v>4751</v>
      </c>
      <c r="L541" s="66">
        <v>106649</v>
      </c>
      <c r="M541" s="66"/>
      <c r="N541" s="66" t="s">
        <v>2949</v>
      </c>
      <c r="O541" s="66" t="s">
        <v>4701</v>
      </c>
      <c r="P541" s="66" t="s">
        <v>4707</v>
      </c>
      <c r="Q541" s="138" t="str">
        <f ca="1">IFERROR(LOOKUP($P541,MOTORISTAS!$D$3:$D$1048576,MOTORISTAS!E$3:E$916),"")</f>
        <v>13777529842</v>
      </c>
      <c r="R541" s="138" t="str">
        <f ca="1">IFERROR(LOOKUP($P541,MOTORISTAS!$D$3:$D$1048576,MOTORISTAS!F$3:F$916),"")</f>
        <v>02511580623</v>
      </c>
      <c r="S541" s="66" t="s">
        <v>4839</v>
      </c>
      <c r="T541" s="66" t="s">
        <v>293</v>
      </c>
      <c r="U541" s="79">
        <v>45072.005555555559</v>
      </c>
      <c r="V541" s="66" t="s">
        <v>292</v>
      </c>
      <c r="W541" s="79">
        <v>45072.842361111114</v>
      </c>
      <c r="X541" s="79">
        <v>45072.09375</v>
      </c>
      <c r="Y541" s="88">
        <v>45072.534722222219</v>
      </c>
      <c r="Z541" s="81">
        <v>1600</v>
      </c>
      <c r="AA541" s="81"/>
      <c r="AB541" s="81"/>
      <c r="AC541" s="81">
        <v>700</v>
      </c>
      <c r="AD541" s="81"/>
      <c r="AE541" s="81"/>
      <c r="AF541" s="81"/>
      <c r="AG541" s="81">
        <f>Sal_23[[#This Row],[COMPRA]]*12%</f>
        <v>447.91919999999999</v>
      </c>
      <c r="AH541" s="83">
        <v>3732.66</v>
      </c>
      <c r="AI541" s="66" t="str">
        <f>PROPER(TEXT(Sal_23[[#This Row],[PROGRAMAÇÃO]],"mmm"))</f>
        <v>Mai</v>
      </c>
      <c r="AJ541" s="66">
        <f>YEAR(Sal_23[[#This Row],[PROGRAMAÇÃO]])</f>
        <v>2023</v>
      </c>
      <c r="AK541" s="66"/>
      <c r="AL541" s="66"/>
      <c r="AM541" s="66" t="s">
        <v>2768</v>
      </c>
      <c r="AN541" s="66" t="s">
        <v>2768</v>
      </c>
      <c r="AO541" s="66"/>
    </row>
    <row r="542" spans="2:41" x14ac:dyDescent="0.25">
      <c r="B542" s="128" t="s">
        <v>2771</v>
      </c>
      <c r="C54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42" s="79">
        <v>45072.333333333336</v>
      </c>
      <c r="E542" s="44" t="s">
        <v>4792</v>
      </c>
      <c r="F542" s="66">
        <v>20</v>
      </c>
      <c r="G542" s="66" t="s">
        <v>2826</v>
      </c>
      <c r="H542" s="44" t="s">
        <v>3440</v>
      </c>
      <c r="I542" s="299" t="s">
        <v>3253</v>
      </c>
      <c r="J542" s="66">
        <v>5114</v>
      </c>
      <c r="K542" s="66" t="s">
        <v>4751</v>
      </c>
      <c r="L542" s="66">
        <v>116879</v>
      </c>
      <c r="M542" s="66"/>
      <c r="N542" s="66" t="s">
        <v>3040</v>
      </c>
      <c r="O542" s="66" t="s">
        <v>3041</v>
      </c>
      <c r="P542" s="66" t="s">
        <v>3042</v>
      </c>
      <c r="Q542" s="138" t="str">
        <f ca="1">IFERROR(LOOKUP($P542,MOTORISTAS!$D$3:$D$1048576,MOTORISTAS!E$3:E$916),"")</f>
        <v>19279658883</v>
      </c>
      <c r="R542" s="138" t="str">
        <f ca="1">IFERROR(LOOKUP($P542,MOTORISTAS!$D$3:$D$1048576,MOTORISTAS!F$3:F$916),"")</f>
        <v>01301319672</v>
      </c>
      <c r="S542" s="66">
        <v>16161</v>
      </c>
      <c r="T542" s="66" t="s">
        <v>293</v>
      </c>
      <c r="U542" s="79">
        <v>45072.043749999997</v>
      </c>
      <c r="V542" s="66" t="s">
        <v>292</v>
      </c>
      <c r="W542" s="79">
        <v>45072.595833333333</v>
      </c>
      <c r="X542" s="79">
        <v>45072.170138888891</v>
      </c>
      <c r="Y542" s="88">
        <v>45072.458333333336</v>
      </c>
      <c r="Z542" s="81">
        <v>2300</v>
      </c>
      <c r="AA542" s="81"/>
      <c r="AB542" s="81"/>
      <c r="AC542" s="81">
        <v>700</v>
      </c>
      <c r="AD542" s="81"/>
      <c r="AE542" s="81"/>
      <c r="AF542" s="81"/>
      <c r="AG542" s="81">
        <f>Sal_23[[#This Row],[COMPRA]]*12%</f>
        <v>447.91919999999999</v>
      </c>
      <c r="AH542" s="83">
        <v>3732.66</v>
      </c>
      <c r="AI542" s="66" t="str">
        <f>PROPER(TEXT(Sal_23[[#This Row],[PROGRAMAÇÃO]],"mmm"))</f>
        <v>Mai</v>
      </c>
      <c r="AJ542" s="66">
        <f>YEAR(Sal_23[[#This Row],[PROGRAMAÇÃO]])</f>
        <v>2023</v>
      </c>
      <c r="AK542" s="66"/>
      <c r="AL542" s="66"/>
      <c r="AM542" s="66" t="s">
        <v>2768</v>
      </c>
      <c r="AN542" s="66" t="s">
        <v>2768</v>
      </c>
      <c r="AO542" s="66"/>
    </row>
    <row r="543" spans="2:41" x14ac:dyDescent="0.25">
      <c r="B543" s="128" t="s">
        <v>2771</v>
      </c>
      <c r="C54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43" s="79">
        <v>45072.333333333336</v>
      </c>
      <c r="E543" s="44" t="s">
        <v>4797</v>
      </c>
      <c r="F543" s="66">
        <v>40</v>
      </c>
      <c r="G543" s="66" t="s">
        <v>2826</v>
      </c>
      <c r="H543" s="44" t="s">
        <v>1674</v>
      </c>
      <c r="I543" s="299" t="s">
        <v>2829</v>
      </c>
      <c r="J543" s="66">
        <v>4992</v>
      </c>
      <c r="K543" s="66" t="s">
        <v>4751</v>
      </c>
      <c r="L543" s="66">
        <v>106564</v>
      </c>
      <c r="M543" s="66">
        <v>106565</v>
      </c>
      <c r="N543" s="66" t="s">
        <v>2389</v>
      </c>
      <c r="O543" s="66" t="s">
        <v>2390</v>
      </c>
      <c r="P543" s="66" t="s">
        <v>892</v>
      </c>
      <c r="Q543" s="138" t="str">
        <f ca="1">IFERROR(LOOKUP($P543,MOTORISTAS!$D$3:$D$1048576,MOTORISTAS!E$3:E$916),"")</f>
        <v>55283063968</v>
      </c>
      <c r="R543" s="138" t="str">
        <f ca="1">IFERROR(LOOKUP($P543,MOTORISTAS!$D$3:$D$1048576,MOTORISTAS!F$3:F$916),"")</f>
        <v>02537032407</v>
      </c>
      <c r="S543" s="66">
        <v>16166</v>
      </c>
      <c r="T543" s="66" t="s">
        <v>293</v>
      </c>
      <c r="U543" s="79">
        <v>45071.661805555559</v>
      </c>
      <c r="V543" s="66" t="s">
        <v>292</v>
      </c>
      <c r="W543" s="79">
        <v>45072.663888888892</v>
      </c>
      <c r="X543" s="79">
        <v>45072.052083333336</v>
      </c>
      <c r="Y543" s="88">
        <v>45072.409722222219</v>
      </c>
      <c r="Z543" s="81">
        <v>3400</v>
      </c>
      <c r="AA543" s="81"/>
      <c r="AB543" s="81"/>
      <c r="AC543" s="81">
        <v>700</v>
      </c>
      <c r="AD543" s="81"/>
      <c r="AE543" s="81"/>
      <c r="AF543" s="81"/>
      <c r="AG543" s="81">
        <f>Sal_23[[#This Row],[COMPRA]]*12%</f>
        <v>447.91919999999999</v>
      </c>
      <c r="AH543" s="83">
        <v>3732.66</v>
      </c>
      <c r="AI543" s="66" t="str">
        <f>PROPER(TEXT(Sal_23[[#This Row],[PROGRAMAÇÃO]],"mmm"))</f>
        <v>Mai</v>
      </c>
      <c r="AJ543" s="66">
        <f>YEAR(Sal_23[[#This Row],[PROGRAMAÇÃO]])</f>
        <v>2023</v>
      </c>
      <c r="AK543" s="66"/>
      <c r="AL543" s="66"/>
      <c r="AM543" s="66" t="s">
        <v>2768</v>
      </c>
      <c r="AN543" s="66" t="s">
        <v>2768</v>
      </c>
      <c r="AO543" s="66"/>
    </row>
    <row r="544" spans="2:41" x14ac:dyDescent="0.25">
      <c r="B544" s="128" t="s">
        <v>2771</v>
      </c>
      <c r="C54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44" s="79">
        <v>45072.333333333336</v>
      </c>
      <c r="E544" s="44" t="s">
        <v>4798</v>
      </c>
      <c r="F544" s="66">
        <v>40</v>
      </c>
      <c r="G544" s="66" t="s">
        <v>2826</v>
      </c>
      <c r="H544" s="44" t="s">
        <v>1674</v>
      </c>
      <c r="I544" s="299" t="s">
        <v>2829</v>
      </c>
      <c r="J544" s="66">
        <v>4993</v>
      </c>
      <c r="K544" s="66" t="s">
        <v>4751</v>
      </c>
      <c r="L544" s="66">
        <v>106587</v>
      </c>
      <c r="M544" s="66">
        <v>106588</v>
      </c>
      <c r="N544" s="66" t="s">
        <v>178</v>
      </c>
      <c r="O544" s="66" t="s">
        <v>112</v>
      </c>
      <c r="P544" s="66" t="s">
        <v>180</v>
      </c>
      <c r="Q544" s="138" t="str">
        <f ca="1">IFERROR(LOOKUP($P544,MOTORISTAS!$D$3:$D$1048576,MOTORISTAS!E$3:E$916),"")</f>
        <v>18990500869</v>
      </c>
      <c r="R544" s="138" t="str">
        <f ca="1">IFERROR(LOOKUP($P544,MOTORISTAS!$D$3:$D$1048576,MOTORISTAS!F$3:F$916),"")</f>
        <v>04640435232</v>
      </c>
      <c r="S544" s="66">
        <v>16167</v>
      </c>
      <c r="T544" s="66" t="s">
        <v>293</v>
      </c>
      <c r="U544" s="79">
        <v>45072.20208333333</v>
      </c>
      <c r="V544" s="66" t="s">
        <v>292</v>
      </c>
      <c r="W544" s="79">
        <v>45072.693055555559</v>
      </c>
      <c r="X544" s="79">
        <v>45072.295138888891</v>
      </c>
      <c r="Y544" s="88">
        <v>45072.458333333336</v>
      </c>
      <c r="Z544" s="81">
        <v>3400</v>
      </c>
      <c r="AA544" s="81"/>
      <c r="AB544" s="81"/>
      <c r="AC544" s="81">
        <v>700</v>
      </c>
      <c r="AD544" s="81"/>
      <c r="AE544" s="81"/>
      <c r="AF544" s="81"/>
      <c r="AG544" s="81">
        <f>Sal_23[[#This Row],[COMPRA]]*12%</f>
        <v>447.91919999999999</v>
      </c>
      <c r="AH544" s="83">
        <v>3732.66</v>
      </c>
      <c r="AI544" s="66" t="str">
        <f>PROPER(TEXT(Sal_23[[#This Row],[PROGRAMAÇÃO]],"mmm"))</f>
        <v>Mai</v>
      </c>
      <c r="AJ544" s="66">
        <f>YEAR(Sal_23[[#This Row],[PROGRAMAÇÃO]])</f>
        <v>2023</v>
      </c>
      <c r="AK544" s="66"/>
      <c r="AL544" s="66"/>
      <c r="AM544" s="66" t="s">
        <v>2768</v>
      </c>
      <c r="AN544" s="66" t="s">
        <v>2768</v>
      </c>
      <c r="AO544" s="66"/>
    </row>
    <row r="545" spans="2:41" x14ac:dyDescent="0.25">
      <c r="B545" s="128" t="s">
        <v>2771</v>
      </c>
      <c r="C54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45" s="79">
        <v>45072.333333333336</v>
      </c>
      <c r="E545" s="44" t="s">
        <v>4799</v>
      </c>
      <c r="F545" s="66">
        <v>40</v>
      </c>
      <c r="G545" s="66" t="s">
        <v>2826</v>
      </c>
      <c r="H545" s="44" t="s">
        <v>1674</v>
      </c>
      <c r="I545" s="299" t="s">
        <v>2829</v>
      </c>
      <c r="J545" s="66">
        <v>4995</v>
      </c>
      <c r="K545" s="66" t="s">
        <v>4751</v>
      </c>
      <c r="L545" s="66">
        <v>106591</v>
      </c>
      <c r="M545" s="66">
        <v>106592</v>
      </c>
      <c r="N545" s="66" t="s">
        <v>3289</v>
      </c>
      <c r="O545" s="66" t="s">
        <v>4556</v>
      </c>
      <c r="P545" s="66" t="s">
        <v>1731</v>
      </c>
      <c r="Q545" s="138" t="str">
        <f ca="1">IFERROR(LOOKUP($P545,MOTORISTAS!$D$3:$D$1048576,MOTORISTAS!E$3:E$916),"")</f>
        <v>03965340824</v>
      </c>
      <c r="R545" s="138" t="str">
        <f ca="1">IFERROR(LOOKUP($P545,MOTORISTAS!$D$3:$D$1048576,MOTORISTAS!F$3:F$916),"")</f>
        <v>01420704735</v>
      </c>
      <c r="S545" s="66">
        <v>16168</v>
      </c>
      <c r="T545" s="66" t="s">
        <v>293</v>
      </c>
      <c r="U545" s="79">
        <v>45072.219444444447</v>
      </c>
      <c r="V545" s="66" t="s">
        <v>292</v>
      </c>
      <c r="W545" s="79">
        <v>45072</v>
      </c>
      <c r="X545" s="79">
        <v>45072.395833333336</v>
      </c>
      <c r="Y545" s="88">
        <v>45072.459722222222</v>
      </c>
      <c r="Z545" s="81">
        <v>3400</v>
      </c>
      <c r="AA545" s="81">
        <v>565.20000000000005</v>
      </c>
      <c r="AB545" s="81"/>
      <c r="AC545" s="81">
        <v>700</v>
      </c>
      <c r="AD545" s="81"/>
      <c r="AE545" s="81"/>
      <c r="AF545" s="81"/>
      <c r="AG545" s="81">
        <f>Sal_23[[#This Row],[COMPRA]]*12%</f>
        <v>447.91919999999999</v>
      </c>
      <c r="AH545" s="83">
        <v>3732.66</v>
      </c>
      <c r="AI545" s="66" t="str">
        <f>PROPER(TEXT(Sal_23[[#This Row],[PROGRAMAÇÃO]],"mmm"))</f>
        <v>Mai</v>
      </c>
      <c r="AJ545" s="66">
        <f>YEAR(Sal_23[[#This Row],[PROGRAMAÇÃO]])</f>
        <v>2023</v>
      </c>
      <c r="AK545" s="66"/>
      <c r="AL545" s="66"/>
      <c r="AM545" s="66" t="s">
        <v>2768</v>
      </c>
      <c r="AN545" s="66" t="s">
        <v>2768</v>
      </c>
      <c r="AO545" s="66"/>
    </row>
    <row r="546" spans="2:41" x14ac:dyDescent="0.25">
      <c r="B546" s="128" t="s">
        <v>2771</v>
      </c>
      <c r="C54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46" s="79">
        <v>45072.333333333336</v>
      </c>
      <c r="E546" s="44" t="s">
        <v>4805</v>
      </c>
      <c r="F546" s="66">
        <v>40</v>
      </c>
      <c r="G546" s="66" t="s">
        <v>2826</v>
      </c>
      <c r="H546" s="44" t="s">
        <v>1674</v>
      </c>
      <c r="I546" s="299" t="s">
        <v>2829</v>
      </c>
      <c r="J546" s="66">
        <v>5145</v>
      </c>
      <c r="K546" s="66" t="s">
        <v>4751</v>
      </c>
      <c r="L546" s="66">
        <v>106636</v>
      </c>
      <c r="M546" s="66">
        <v>106637</v>
      </c>
      <c r="N546" s="66" t="s">
        <v>210</v>
      </c>
      <c r="O546" s="66" t="s">
        <v>211</v>
      </c>
      <c r="P546" s="66" t="s">
        <v>212</v>
      </c>
      <c r="Q546" s="138" t="str">
        <f ca="1">IFERROR(LOOKUP($P546,MOTORISTAS!$D$3:$D$1048576,MOTORISTAS!E$3:E$916),"")</f>
        <v>38029906846</v>
      </c>
      <c r="R546" s="138" t="str">
        <f ca="1">IFERROR(LOOKUP($P546,MOTORISTAS!$D$3:$D$1048576,MOTORISTAS!F$3:F$916),"")</f>
        <v>04946846842</v>
      </c>
      <c r="S546" s="66">
        <v>16169</v>
      </c>
      <c r="T546" s="66" t="s">
        <v>293</v>
      </c>
      <c r="U546" s="79">
        <v>45072.120833333334</v>
      </c>
      <c r="V546" s="66" t="s">
        <v>292</v>
      </c>
      <c r="W546" s="79">
        <v>45076.755555555559</v>
      </c>
      <c r="X546" s="79">
        <v>45072.284722222219</v>
      </c>
      <c r="Y546" s="88">
        <v>45072.541666666664</v>
      </c>
      <c r="Z546" s="81">
        <v>3400</v>
      </c>
      <c r="AA546" s="81"/>
      <c r="AB546" s="81"/>
      <c r="AC546" s="81">
        <v>700</v>
      </c>
      <c r="AD546" s="81"/>
      <c r="AE546" s="81"/>
      <c r="AF546" s="81"/>
      <c r="AG546" s="81">
        <f>Sal_23[[#This Row],[COMPRA]]*12%</f>
        <v>447.91919999999999</v>
      </c>
      <c r="AH546" s="83">
        <v>3732.66</v>
      </c>
      <c r="AI546" s="66" t="str">
        <f>PROPER(TEXT(Sal_23[[#This Row],[PROGRAMAÇÃO]],"mmm"))</f>
        <v>Mai</v>
      </c>
      <c r="AJ546" s="66">
        <f>YEAR(Sal_23[[#This Row],[PROGRAMAÇÃO]])</f>
        <v>2023</v>
      </c>
      <c r="AK546" s="66"/>
      <c r="AL546" s="66"/>
      <c r="AM546" s="66" t="s">
        <v>2768</v>
      </c>
      <c r="AN546" s="66" t="s">
        <v>2768</v>
      </c>
      <c r="AO546" s="66"/>
    </row>
    <row r="547" spans="2:41" x14ac:dyDescent="0.25">
      <c r="B547" s="128" t="s">
        <v>2771</v>
      </c>
      <c r="C54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47" s="79">
        <v>45075.333333333336</v>
      </c>
      <c r="E547" s="44" t="s">
        <v>4795</v>
      </c>
      <c r="F547" s="66">
        <v>40</v>
      </c>
      <c r="G547" s="66" t="s">
        <v>2826</v>
      </c>
      <c r="H547" s="44" t="s">
        <v>2836</v>
      </c>
      <c r="I547" s="299" t="s">
        <v>708</v>
      </c>
      <c r="J547" s="66">
        <v>5000</v>
      </c>
      <c r="K547" s="66" t="s">
        <v>4751</v>
      </c>
      <c r="L547" s="66">
        <v>106692</v>
      </c>
      <c r="M547" s="66"/>
      <c r="N547" s="66" t="s">
        <v>92</v>
      </c>
      <c r="O547" s="66" t="s">
        <v>93</v>
      </c>
      <c r="P547" s="66" t="s">
        <v>94</v>
      </c>
      <c r="Q547" s="138" t="str">
        <f ca="1">IFERROR(LOOKUP($P547,MOTORISTAS!$D$3:$D$1048576,MOTORISTAS!E$3:E$916),"")</f>
        <v>26283419801</v>
      </c>
      <c r="R547" s="138" t="str">
        <f ca="1">IFERROR(LOOKUP($P547,MOTORISTAS!$D$3:$D$1048576,MOTORISTAS!F$3:F$916),"")</f>
        <v>02002046946</v>
      </c>
      <c r="S547" s="66">
        <v>16171</v>
      </c>
      <c r="T547" s="66" t="s">
        <v>293</v>
      </c>
      <c r="U547" s="79">
        <v>45075.310416666667</v>
      </c>
      <c r="V547" s="66" t="s">
        <v>292</v>
      </c>
      <c r="W547" s="79">
        <v>45075</v>
      </c>
      <c r="X547" s="79">
        <v>45075.347222222219</v>
      </c>
      <c r="Y547" s="88">
        <v>45075.615277777775</v>
      </c>
      <c r="Z547" s="81"/>
      <c r="AA547" s="81"/>
      <c r="AB547" s="81"/>
      <c r="AC547" s="81">
        <v>700</v>
      </c>
      <c r="AD547" s="81"/>
      <c r="AE547" s="81"/>
      <c r="AF547" s="81"/>
      <c r="AG547" s="81">
        <f>Sal_23[[#This Row],[COMPRA]]*12%</f>
        <v>447.91919999999999</v>
      </c>
      <c r="AH547" s="83">
        <v>3732.66</v>
      </c>
      <c r="AI547" s="66" t="str">
        <f>PROPER(TEXT(Sal_23[[#This Row],[PROGRAMAÇÃO]],"mmm"))</f>
        <v>Mai</v>
      </c>
      <c r="AJ547" s="66">
        <f>YEAR(Sal_23[[#This Row],[PROGRAMAÇÃO]])</f>
        <v>2023</v>
      </c>
      <c r="AK547" s="66"/>
      <c r="AL547" s="66"/>
      <c r="AM547" s="66" t="s">
        <v>2768</v>
      </c>
      <c r="AN547" s="66" t="s">
        <v>2768</v>
      </c>
      <c r="AO547" s="66"/>
    </row>
    <row r="548" spans="2:41" x14ac:dyDescent="0.25">
      <c r="B548" s="128" t="s">
        <v>2771</v>
      </c>
      <c r="C54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48" s="79">
        <v>45075.333333333336</v>
      </c>
      <c r="E548" s="44" t="s">
        <v>4796</v>
      </c>
      <c r="F548" s="66">
        <v>40</v>
      </c>
      <c r="G548" s="66" t="s">
        <v>2826</v>
      </c>
      <c r="H548" s="44" t="s">
        <v>3195</v>
      </c>
      <c r="I548" s="299" t="s">
        <v>2830</v>
      </c>
      <c r="J548" s="66">
        <v>4999</v>
      </c>
      <c r="K548" s="66" t="s">
        <v>4751</v>
      </c>
      <c r="L548" s="66">
        <v>106689</v>
      </c>
      <c r="M548" s="66"/>
      <c r="N548" s="66" t="s">
        <v>87</v>
      </c>
      <c r="O548" s="66" t="s">
        <v>88</v>
      </c>
      <c r="P548" s="66" t="s">
        <v>89</v>
      </c>
      <c r="Q548" s="138" t="str">
        <f ca="1">IFERROR(LOOKUP($P548,MOTORISTAS!$D$3:$D$1048576,MOTORISTAS!E$3:E$916),"")</f>
        <v>00097734527</v>
      </c>
      <c r="R548" s="138" t="str">
        <f ca="1">IFERROR(LOOKUP($P548,MOTORISTAS!$D$3:$D$1048576,MOTORISTAS!F$3:F$916),"")</f>
        <v>03148346870</v>
      </c>
      <c r="S548" s="66">
        <v>16176</v>
      </c>
      <c r="T548" s="66" t="s">
        <v>293</v>
      </c>
      <c r="U548" s="79">
        <v>45075.066666666666</v>
      </c>
      <c r="V548" s="66" t="s">
        <v>469</v>
      </c>
      <c r="W548" s="79">
        <v>45075.994444444441</v>
      </c>
      <c r="X548" s="79">
        <v>45075.194444444445</v>
      </c>
      <c r="Y548" s="88">
        <v>45075.645833333336</v>
      </c>
      <c r="Z548" s="81">
        <v>2300</v>
      </c>
      <c r="AA548" s="81"/>
      <c r="AB548" s="81"/>
      <c r="AC548" s="81">
        <v>700</v>
      </c>
      <c r="AD548" s="81"/>
      <c r="AE548" s="81"/>
      <c r="AF548" s="81"/>
      <c r="AG548" s="81">
        <f>Sal_23[[#This Row],[COMPRA]]*12%</f>
        <v>392.15039999999999</v>
      </c>
      <c r="AH548" s="83">
        <v>3267.92</v>
      </c>
      <c r="AI548" s="66" t="str">
        <f>PROPER(TEXT(Sal_23[[#This Row],[PROGRAMAÇÃO]],"mmm"))</f>
        <v>Mai</v>
      </c>
      <c r="AJ548" s="66">
        <f>YEAR(Sal_23[[#This Row],[PROGRAMAÇÃO]])</f>
        <v>2023</v>
      </c>
      <c r="AK548" s="66"/>
      <c r="AL548" s="66"/>
      <c r="AM548" s="66" t="s">
        <v>2768</v>
      </c>
      <c r="AN548" s="66" t="s">
        <v>2768</v>
      </c>
      <c r="AO548" s="66"/>
    </row>
    <row r="549" spans="2:41" x14ac:dyDescent="0.25">
      <c r="B549" s="128" t="s">
        <v>2771</v>
      </c>
      <c r="C54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49" s="79">
        <v>45075.333333333336</v>
      </c>
      <c r="E549" s="44" t="s">
        <v>4800</v>
      </c>
      <c r="F549" s="66">
        <v>40</v>
      </c>
      <c r="G549" s="66" t="s">
        <v>2826</v>
      </c>
      <c r="H549" s="44" t="s">
        <v>1674</v>
      </c>
      <c r="I549" s="299" t="s">
        <v>2829</v>
      </c>
      <c r="J549" s="66">
        <v>4994</v>
      </c>
      <c r="K549" s="66" t="s">
        <v>4751</v>
      </c>
      <c r="L549" s="66">
        <v>106634</v>
      </c>
      <c r="M549" s="66"/>
      <c r="N549" s="66" t="s">
        <v>2389</v>
      </c>
      <c r="O549" s="66" t="s">
        <v>2390</v>
      </c>
      <c r="P549" s="66" t="s">
        <v>892</v>
      </c>
      <c r="Q549" s="138" t="str">
        <f ca="1">IFERROR(LOOKUP($P549,MOTORISTAS!$D$3:$D$1048576,MOTORISTAS!E$3:E$916),"")</f>
        <v>55283063968</v>
      </c>
      <c r="R549" s="138" t="str">
        <f ca="1">IFERROR(LOOKUP($P549,MOTORISTAS!$D$3:$D$1048576,MOTORISTAS!F$3:F$916),"")</f>
        <v>02537032407</v>
      </c>
      <c r="S549" s="66">
        <v>16177</v>
      </c>
      <c r="T549" s="66" t="s">
        <v>293</v>
      </c>
      <c r="U549" s="79">
        <v>45074.22152777778</v>
      </c>
      <c r="V549" s="66" t="s">
        <v>292</v>
      </c>
      <c r="W549" s="79">
        <v>45076</v>
      </c>
      <c r="X549" s="79">
        <v>45075.041666666664</v>
      </c>
      <c r="Y549" s="88">
        <v>45075.541666666664</v>
      </c>
      <c r="Z549" s="81">
        <v>3400</v>
      </c>
      <c r="AA549" s="81"/>
      <c r="AB549" s="81"/>
      <c r="AC549" s="81">
        <v>700</v>
      </c>
      <c r="AD549" s="81"/>
      <c r="AE549" s="81"/>
      <c r="AF549" s="81"/>
      <c r="AG549" s="81">
        <f>Sal_23[[#This Row],[COMPRA]]*12%</f>
        <v>447.91919999999999</v>
      </c>
      <c r="AH549" s="83">
        <v>3732.66</v>
      </c>
      <c r="AI549" s="66" t="str">
        <f>PROPER(TEXT(Sal_23[[#This Row],[PROGRAMAÇÃO]],"mmm"))</f>
        <v>Mai</v>
      </c>
      <c r="AJ549" s="66">
        <f>YEAR(Sal_23[[#This Row],[PROGRAMAÇÃO]])</f>
        <v>2023</v>
      </c>
      <c r="AK549" s="66"/>
      <c r="AL549" s="66"/>
      <c r="AM549" s="66" t="s">
        <v>2768</v>
      </c>
      <c r="AN549" s="66" t="s">
        <v>2768</v>
      </c>
      <c r="AO549" s="66"/>
    </row>
    <row r="550" spans="2:41" x14ac:dyDescent="0.25">
      <c r="B550" s="128" t="s">
        <v>2771</v>
      </c>
      <c r="C55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50" s="79">
        <v>45075.333333333336</v>
      </c>
      <c r="E550" s="44" t="s">
        <v>4801</v>
      </c>
      <c r="F550" s="66">
        <v>40</v>
      </c>
      <c r="G550" s="66" t="s">
        <v>2826</v>
      </c>
      <c r="H550" s="44" t="s">
        <v>1674</v>
      </c>
      <c r="I550" s="299" t="s">
        <v>2829</v>
      </c>
      <c r="J550" s="66">
        <v>4998</v>
      </c>
      <c r="K550" s="66" t="s">
        <v>4751</v>
      </c>
      <c r="L550" s="66">
        <v>106683</v>
      </c>
      <c r="M550" s="66">
        <v>106684</v>
      </c>
      <c r="N550" s="66" t="s">
        <v>1961</v>
      </c>
      <c r="O550" s="66" t="s">
        <v>1962</v>
      </c>
      <c r="P550" s="66" t="s">
        <v>1482</v>
      </c>
      <c r="Q550" s="138" t="str">
        <f ca="1">IFERROR(LOOKUP($P550,MOTORISTAS!$D$3:$D$1048576,MOTORISTAS!E$3:E$916),"")</f>
        <v>38329597857</v>
      </c>
      <c r="R550" s="138" t="str">
        <f ca="1">IFERROR(LOOKUP($P550,MOTORISTAS!$D$3:$D$1048576,MOTORISTAS!F$3:F$916),"")</f>
        <v>04956762510</v>
      </c>
      <c r="S550" s="66">
        <v>16178</v>
      </c>
      <c r="T550" s="66" t="s">
        <v>293</v>
      </c>
      <c r="U550" s="79">
        <v>45075.25</v>
      </c>
      <c r="V550" s="66" t="s">
        <v>469</v>
      </c>
      <c r="W550" s="79">
        <v>45075.97152777778</v>
      </c>
      <c r="X550" s="79">
        <v>45075.388888888891</v>
      </c>
      <c r="Y550" s="88">
        <v>45075.583333333336</v>
      </c>
      <c r="Z550" s="81">
        <v>3400</v>
      </c>
      <c r="AA550" s="81"/>
      <c r="AB550" s="81"/>
      <c r="AC550" s="81">
        <v>700</v>
      </c>
      <c r="AD550" s="81"/>
      <c r="AE550" s="81"/>
      <c r="AF550" s="81"/>
      <c r="AG550" s="81">
        <f>Sal_23[[#This Row],[COMPRA]]*12%</f>
        <v>447.91919999999999</v>
      </c>
      <c r="AH550" s="83">
        <v>3732.66</v>
      </c>
      <c r="AI550" s="66" t="str">
        <f>PROPER(TEXT(Sal_23[[#This Row],[PROGRAMAÇÃO]],"mmm"))</f>
        <v>Mai</v>
      </c>
      <c r="AJ550" s="66">
        <f>YEAR(Sal_23[[#This Row],[PROGRAMAÇÃO]])</f>
        <v>2023</v>
      </c>
      <c r="AK550" s="66"/>
      <c r="AL550" s="66"/>
      <c r="AM550" s="66" t="s">
        <v>2768</v>
      </c>
      <c r="AN550" s="66" t="s">
        <v>2768</v>
      </c>
      <c r="AO550" s="66"/>
    </row>
    <row r="551" spans="2:41" x14ac:dyDescent="0.25">
      <c r="B551" s="128" t="s">
        <v>2771</v>
      </c>
      <c r="C55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51" s="79">
        <v>45075.333333333336</v>
      </c>
      <c r="E551" s="44" t="s">
        <v>4802</v>
      </c>
      <c r="F551" s="66">
        <v>40</v>
      </c>
      <c r="G551" s="66" t="s">
        <v>2826</v>
      </c>
      <c r="H551" s="44" t="s">
        <v>1674</v>
      </c>
      <c r="I551" s="299" t="s">
        <v>2829</v>
      </c>
      <c r="J551" s="66">
        <v>5001</v>
      </c>
      <c r="K551" s="66" t="s">
        <v>4751</v>
      </c>
      <c r="L551" s="66">
        <v>106690</v>
      </c>
      <c r="M551" s="66">
        <v>106691</v>
      </c>
      <c r="N551" s="66" t="s">
        <v>68</v>
      </c>
      <c r="O551" s="66" t="s">
        <v>36</v>
      </c>
      <c r="P551" s="66" t="s">
        <v>69</v>
      </c>
      <c r="Q551" s="138" t="str">
        <f ca="1">IFERROR(LOOKUP($P551,MOTORISTAS!$D$3:$D$1048576,MOTORISTAS!E$3:E$916),"")</f>
        <v>07968457866</v>
      </c>
      <c r="R551" s="138" t="str">
        <f ca="1">IFERROR(LOOKUP($P551,MOTORISTAS!$D$3:$D$1048576,MOTORISTAS!F$3:F$916),"")</f>
        <v>03264365790</v>
      </c>
      <c r="S551" s="66">
        <v>16179</v>
      </c>
      <c r="T551" s="66" t="s">
        <v>293</v>
      </c>
      <c r="U551" s="79">
        <v>45074.925000000003</v>
      </c>
      <c r="V551" s="66" t="s">
        <v>469</v>
      </c>
      <c r="W551" s="79">
        <v>45075.963194444441</v>
      </c>
      <c r="X551" s="79">
        <v>45075.107638888891</v>
      </c>
      <c r="Y551" s="88">
        <v>45075.62222222222</v>
      </c>
      <c r="Z551" s="81">
        <v>3400</v>
      </c>
      <c r="AA551" s="81"/>
      <c r="AB551" s="81"/>
      <c r="AC551" s="81">
        <v>700</v>
      </c>
      <c r="AD551" s="81"/>
      <c r="AE551" s="81"/>
      <c r="AF551" s="81"/>
      <c r="AG551" s="81">
        <f>Sal_23[[#This Row],[COMPRA]]*12%</f>
        <v>447.91919999999999</v>
      </c>
      <c r="AH551" s="83">
        <v>3732.66</v>
      </c>
      <c r="AI551" s="66" t="str">
        <f>PROPER(TEXT(Sal_23[[#This Row],[PROGRAMAÇÃO]],"mmm"))</f>
        <v>Mai</v>
      </c>
      <c r="AJ551" s="66">
        <f>YEAR(Sal_23[[#This Row],[PROGRAMAÇÃO]])</f>
        <v>2023</v>
      </c>
      <c r="AK551" s="66"/>
      <c r="AL551" s="66"/>
      <c r="AM551" s="66" t="s">
        <v>2768</v>
      </c>
      <c r="AN551" s="66" t="s">
        <v>2768</v>
      </c>
      <c r="AO551" s="66"/>
    </row>
    <row r="552" spans="2:41" x14ac:dyDescent="0.25">
      <c r="B552" s="128" t="s">
        <v>2771</v>
      </c>
      <c r="C55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52" s="79">
        <v>45075.333333333336</v>
      </c>
      <c r="E552" s="44" t="s">
        <v>4803</v>
      </c>
      <c r="F552" s="66">
        <v>40</v>
      </c>
      <c r="G552" s="66" t="s">
        <v>2826</v>
      </c>
      <c r="H552" s="44" t="s">
        <v>1674</v>
      </c>
      <c r="I552" s="299" t="s">
        <v>2829</v>
      </c>
      <c r="J552" s="66">
        <v>5002</v>
      </c>
      <c r="K552" s="66" t="s">
        <v>4751</v>
      </c>
      <c r="L552" s="66">
        <v>106727</v>
      </c>
      <c r="M552" s="66">
        <v>106726</v>
      </c>
      <c r="N552" s="66" t="s">
        <v>210</v>
      </c>
      <c r="O552" s="66" t="s">
        <v>211</v>
      </c>
      <c r="P552" s="66" t="s">
        <v>212</v>
      </c>
      <c r="Q552" s="138" t="str">
        <f ca="1">IFERROR(LOOKUP($P552,MOTORISTAS!$D$3:$D$1048576,MOTORISTAS!E$3:E$916),"")</f>
        <v>38029906846</v>
      </c>
      <c r="R552" s="138" t="str">
        <f ca="1">IFERROR(LOOKUP($P552,MOTORISTAS!$D$3:$D$1048576,MOTORISTAS!F$3:F$916),"")</f>
        <v>04946846842</v>
      </c>
      <c r="S552" s="66" t="s">
        <v>5007</v>
      </c>
      <c r="T552" s="66" t="s">
        <v>293</v>
      </c>
      <c r="U552" s="79">
        <v>45075.440972222219</v>
      </c>
      <c r="V552" s="66" t="s">
        <v>469</v>
      </c>
      <c r="W552" s="79">
        <v>45075.950694444444</v>
      </c>
      <c r="X552" s="79">
        <v>45075.625</v>
      </c>
      <c r="Y552" s="88">
        <v>45075.732638888891</v>
      </c>
      <c r="Z552" s="81">
        <v>3400</v>
      </c>
      <c r="AA552" s="81">
        <v>565.20000000000005</v>
      </c>
      <c r="AB552" s="81"/>
      <c r="AC552" s="81">
        <v>700</v>
      </c>
      <c r="AD552" s="81"/>
      <c r="AE552" s="81"/>
      <c r="AF552" s="81"/>
      <c r="AG552" s="81">
        <f>Sal_23[[#This Row],[COMPRA]]*12%</f>
        <v>447.91919999999999</v>
      </c>
      <c r="AH552" s="83">
        <v>3732.66</v>
      </c>
      <c r="AI552" s="66" t="str">
        <f>PROPER(TEXT(Sal_23[[#This Row],[PROGRAMAÇÃO]],"mmm"))</f>
        <v>Mai</v>
      </c>
      <c r="AJ552" s="66">
        <f>YEAR(Sal_23[[#This Row],[PROGRAMAÇÃO]])</f>
        <v>2023</v>
      </c>
      <c r="AK552" s="66"/>
      <c r="AL552" s="66"/>
      <c r="AM552" s="66" t="s">
        <v>2768</v>
      </c>
      <c r="AN552" s="66" t="s">
        <v>2768</v>
      </c>
      <c r="AO552" s="66"/>
    </row>
    <row r="553" spans="2:41" x14ac:dyDescent="0.25">
      <c r="B553" s="128" t="s">
        <v>2771</v>
      </c>
      <c r="C55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53" s="79">
        <v>45076.333333333336</v>
      </c>
      <c r="E553" s="44" t="s">
        <v>4793</v>
      </c>
      <c r="F553" s="66">
        <v>20</v>
      </c>
      <c r="G553" s="66" t="s">
        <v>2826</v>
      </c>
      <c r="H553" s="44" t="s">
        <v>3116</v>
      </c>
      <c r="I553" s="299" t="s">
        <v>3117</v>
      </c>
      <c r="J553" s="66">
        <v>5003</v>
      </c>
      <c r="K553" s="66" t="s">
        <v>4751</v>
      </c>
      <c r="L553" s="66">
        <v>116732</v>
      </c>
      <c r="M553" s="66"/>
      <c r="N553" s="66" t="s">
        <v>2584</v>
      </c>
      <c r="O553" s="66" t="s">
        <v>2585</v>
      </c>
      <c r="P553" s="66" t="s">
        <v>2586</v>
      </c>
      <c r="Q553" s="138" t="str">
        <f ca="1">IFERROR(LOOKUP($P553,MOTORISTAS!$D$3:$D$1048576,MOTORISTAS!E$3:E$916),"")</f>
        <v>08312935860</v>
      </c>
      <c r="R553" s="138" t="str">
        <f ca="1">IFERROR(LOOKUP($P553,MOTORISTAS!$D$3:$D$1048576,MOTORISTAS!F$3:F$916),"")</f>
        <v>03106516083</v>
      </c>
      <c r="S553" s="66">
        <v>16185</v>
      </c>
      <c r="T553" s="66" t="s">
        <v>293</v>
      </c>
      <c r="U553" s="79">
        <v>45075.896527777775</v>
      </c>
      <c r="V553" s="66" t="s">
        <v>292</v>
      </c>
      <c r="W553" s="79">
        <v>45076.600694444445</v>
      </c>
      <c r="X553" s="79">
        <v>45076.034722222219</v>
      </c>
      <c r="Y553" s="88">
        <v>45076.493055555555</v>
      </c>
      <c r="Z553" s="81">
        <v>2200</v>
      </c>
      <c r="AA553" s="81"/>
      <c r="AB553" s="81"/>
      <c r="AC553" s="81">
        <v>700</v>
      </c>
      <c r="AD553" s="81"/>
      <c r="AE553" s="81"/>
      <c r="AF553" s="81"/>
      <c r="AG553" s="81">
        <f>Sal_23[[#This Row],[COMPRA]]*12%</f>
        <v>510.26640000000003</v>
      </c>
      <c r="AH553" s="83">
        <v>4252.22</v>
      </c>
      <c r="AI553" s="66" t="str">
        <f>PROPER(TEXT(Sal_23[[#This Row],[PROGRAMAÇÃO]],"mmm"))</f>
        <v>Mai</v>
      </c>
      <c r="AJ553" s="66">
        <f>YEAR(Sal_23[[#This Row],[PROGRAMAÇÃO]])</f>
        <v>2023</v>
      </c>
      <c r="AK553" s="66"/>
      <c r="AL553" s="66"/>
      <c r="AM553" s="66" t="s">
        <v>2768</v>
      </c>
      <c r="AN553" s="66" t="s">
        <v>2768</v>
      </c>
      <c r="AO553" s="66"/>
    </row>
    <row r="554" spans="2:41" x14ac:dyDescent="0.25">
      <c r="B554" s="128" t="s">
        <v>2771</v>
      </c>
      <c r="C55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54" s="79">
        <v>45076.333333333336</v>
      </c>
      <c r="E554" s="44" t="s">
        <v>4794</v>
      </c>
      <c r="F554" s="66">
        <v>20</v>
      </c>
      <c r="G554" s="66" t="s">
        <v>2826</v>
      </c>
      <c r="H554" s="44" t="s">
        <v>3113</v>
      </c>
      <c r="I554" s="299" t="s">
        <v>3114</v>
      </c>
      <c r="J554" s="66">
        <v>5004</v>
      </c>
      <c r="K554" s="66" t="s">
        <v>4751</v>
      </c>
      <c r="L554" s="66">
        <v>116733</v>
      </c>
      <c r="M554" s="66"/>
      <c r="N554" s="66" t="s">
        <v>3196</v>
      </c>
      <c r="O554" s="66" t="s">
        <v>4887</v>
      </c>
      <c r="P554" s="66" t="s">
        <v>3444</v>
      </c>
      <c r="Q554" s="138" t="str">
        <f ca="1">IFERROR(LOOKUP($P554,MOTORISTAS!$D$3:$D$1048576,MOTORISTAS!E$3:E$916),"")</f>
        <v>03044141400</v>
      </c>
      <c r="R554" s="138" t="str">
        <f ca="1">IFERROR(LOOKUP($P554,MOTORISTAS!$D$3:$D$1048576,MOTORISTAS!F$3:F$916),"")</f>
        <v>00916251144</v>
      </c>
      <c r="S554" s="66" t="s">
        <v>5006</v>
      </c>
      <c r="T554" s="66" t="s">
        <v>293</v>
      </c>
      <c r="U554" s="79">
        <v>45075.897222222222</v>
      </c>
      <c r="V554" s="66" t="s">
        <v>292</v>
      </c>
      <c r="W554" s="79">
        <v>45076.561805555553</v>
      </c>
      <c r="X554" s="79" t="s">
        <v>4922</v>
      </c>
      <c r="Y554" s="88">
        <v>45076.430555555555</v>
      </c>
      <c r="Z554" s="81">
        <v>2350</v>
      </c>
      <c r="AA554" s="81"/>
      <c r="AB554" s="81"/>
      <c r="AC554" s="81">
        <v>700</v>
      </c>
      <c r="AD554" s="81"/>
      <c r="AE554" s="81"/>
      <c r="AF554" s="81"/>
      <c r="AG554" s="81">
        <f>Sal_23[[#This Row],[COMPRA]]*12%</f>
        <v>529.16279999999995</v>
      </c>
      <c r="AH554" s="83">
        <v>4409.6899999999996</v>
      </c>
      <c r="AI554" s="66" t="str">
        <f>PROPER(TEXT(Sal_23[[#This Row],[PROGRAMAÇÃO]],"mmm"))</f>
        <v>Mai</v>
      </c>
      <c r="AJ554" s="66">
        <f>YEAR(Sal_23[[#This Row],[PROGRAMAÇÃO]])</f>
        <v>2023</v>
      </c>
      <c r="AK554" s="66"/>
      <c r="AL554" s="66"/>
      <c r="AM554" s="66" t="s">
        <v>2768</v>
      </c>
      <c r="AN554" s="66" t="s">
        <v>2768</v>
      </c>
      <c r="AO554" s="66"/>
    </row>
    <row r="555" spans="2:41" x14ac:dyDescent="0.25">
      <c r="B555" s="128" t="s">
        <v>2771</v>
      </c>
      <c r="C55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55" s="79">
        <v>45076.333333333336</v>
      </c>
      <c r="E555" s="44" t="s">
        <v>4804</v>
      </c>
      <c r="F555" s="66">
        <v>40</v>
      </c>
      <c r="G555" s="66" t="s">
        <v>2826</v>
      </c>
      <c r="H555" s="44" t="s">
        <v>3074</v>
      </c>
      <c r="I555" s="299" t="s">
        <v>3439</v>
      </c>
      <c r="J555" s="66">
        <v>4997</v>
      </c>
      <c r="K555" s="66" t="s">
        <v>4751</v>
      </c>
      <c r="L555" s="66">
        <v>106635</v>
      </c>
      <c r="M555" s="66"/>
      <c r="N555" s="66" t="s">
        <v>72</v>
      </c>
      <c r="O555" s="66" t="s">
        <v>73</v>
      </c>
      <c r="P555" s="66" t="s">
        <v>203</v>
      </c>
      <c r="Q555" s="138" t="str">
        <f ca="1">IFERROR(LOOKUP($P555,MOTORISTAS!$D$3:$D$1048576,MOTORISTAS!E$3:E$916),"")</f>
        <v>10395859816</v>
      </c>
      <c r="R555" s="138" t="str">
        <f ca="1">IFERROR(LOOKUP($P555,MOTORISTAS!$D$3:$D$1048576,MOTORISTAS!F$3:F$916),"")</f>
        <v>01965794851</v>
      </c>
      <c r="S555" s="66">
        <v>16188</v>
      </c>
      <c r="T555" s="66" t="s">
        <v>293</v>
      </c>
      <c r="U555" s="79">
        <v>45075.731249999997</v>
      </c>
      <c r="V555" s="66" t="s">
        <v>292</v>
      </c>
      <c r="W555" s="79">
        <v>45077.420138888891</v>
      </c>
      <c r="X555" s="79">
        <v>45076.302083333336</v>
      </c>
      <c r="Y555" s="88">
        <v>45076.637499999997</v>
      </c>
      <c r="Z555" s="81">
        <v>2800</v>
      </c>
      <c r="AA555" s="81"/>
      <c r="AB555" s="81"/>
      <c r="AC555" s="81">
        <v>700</v>
      </c>
      <c r="AD555" s="81"/>
      <c r="AE555" s="81"/>
      <c r="AF555" s="81"/>
      <c r="AG555" s="81">
        <f>Sal_23[[#This Row],[COMPRA]]*12%</f>
        <v>447.91919999999999</v>
      </c>
      <c r="AH555" s="83">
        <v>3732.66</v>
      </c>
      <c r="AI555" s="66" t="str">
        <f>PROPER(TEXT(Sal_23[[#This Row],[PROGRAMAÇÃO]],"mmm"))</f>
        <v>Mai</v>
      </c>
      <c r="AJ555" s="66">
        <f>YEAR(Sal_23[[#This Row],[PROGRAMAÇÃO]])</f>
        <v>2023</v>
      </c>
      <c r="AK555" s="66"/>
      <c r="AL555" s="66"/>
      <c r="AM555" s="66" t="s">
        <v>2768</v>
      </c>
      <c r="AN555" s="66" t="s">
        <v>2768</v>
      </c>
      <c r="AO555" s="66"/>
    </row>
    <row r="556" spans="2:41" x14ac:dyDescent="0.25">
      <c r="B556" s="128" t="s">
        <v>2771</v>
      </c>
      <c r="C55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56" s="79">
        <v>45077.333333333336</v>
      </c>
      <c r="E556" s="44" t="s">
        <v>4791</v>
      </c>
      <c r="F556" s="66">
        <v>20</v>
      </c>
      <c r="G556" s="66" t="s">
        <v>2837</v>
      </c>
      <c r="H556" s="44" t="s">
        <v>2837</v>
      </c>
      <c r="I556" s="299" t="s">
        <v>2821</v>
      </c>
      <c r="J556" s="66">
        <v>5005</v>
      </c>
      <c r="K556" s="66" t="s">
        <v>4751</v>
      </c>
      <c r="L556" s="66">
        <v>106693</v>
      </c>
      <c r="M556" s="66"/>
      <c r="N556" s="66" t="s">
        <v>2156</v>
      </c>
      <c r="O556" s="66" t="s">
        <v>2464</v>
      </c>
      <c r="P556" s="66" t="s">
        <v>2158</v>
      </c>
      <c r="Q556" s="138" t="str">
        <f ca="1">IFERROR(LOOKUP($P556,MOTORISTAS!$D$3:$D$1048576,MOTORISTAS!E$3:E$916),"")</f>
        <v>10485530864</v>
      </c>
      <c r="R556" s="138" t="str">
        <f ca="1">IFERROR(LOOKUP($P556,MOTORISTAS!$D$3:$D$1048576,MOTORISTAS!F$3:F$916),"")</f>
        <v>02033192841</v>
      </c>
      <c r="S556" s="66">
        <v>16186</v>
      </c>
      <c r="T556" s="66" t="s">
        <v>293</v>
      </c>
      <c r="U556" s="79">
        <v>45075.897222222222</v>
      </c>
      <c r="V556" s="66" t="s">
        <v>292</v>
      </c>
      <c r="W556" s="79">
        <v>45076.488888888889</v>
      </c>
      <c r="X556" s="79">
        <v>45076.000694444447</v>
      </c>
      <c r="Y556" s="88">
        <v>45076.458333333336</v>
      </c>
      <c r="Z556" s="81">
        <v>1600</v>
      </c>
      <c r="AA556" s="81"/>
      <c r="AB556" s="81"/>
      <c r="AC556" s="81">
        <v>700</v>
      </c>
      <c r="AD556" s="81"/>
      <c r="AE556" s="81"/>
      <c r="AF556" s="81"/>
      <c r="AG556" s="81">
        <f>Sal_23[[#This Row],[COMPRA]]*12%</f>
        <v>447.91919999999999</v>
      </c>
      <c r="AH556" s="83">
        <v>3732.66</v>
      </c>
      <c r="AI556" s="66" t="str">
        <f>PROPER(TEXT(Sal_23[[#This Row],[PROGRAMAÇÃO]],"mmm"))</f>
        <v>Mai</v>
      </c>
      <c r="AJ556" s="66">
        <f>YEAR(Sal_23[[#This Row],[PROGRAMAÇÃO]])</f>
        <v>2023</v>
      </c>
      <c r="AK556" s="66"/>
      <c r="AL556" s="66"/>
      <c r="AM556" s="66" t="s">
        <v>2768</v>
      </c>
      <c r="AN556" s="66" t="s">
        <v>2768</v>
      </c>
      <c r="AO556" s="66"/>
    </row>
    <row r="557" spans="2:41" x14ac:dyDescent="0.25">
      <c r="B557" s="128" t="s">
        <v>2771</v>
      </c>
      <c r="C55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57" s="79">
        <v>45078.333333333336</v>
      </c>
      <c r="E557" s="44" t="s">
        <v>4932</v>
      </c>
      <c r="F557" s="66">
        <v>20</v>
      </c>
      <c r="G557" s="66" t="s">
        <v>2826</v>
      </c>
      <c r="H557" s="44" t="s">
        <v>2827</v>
      </c>
      <c r="I557" s="299" t="s">
        <v>2823</v>
      </c>
      <c r="J557" s="66">
        <v>5338</v>
      </c>
      <c r="K557" s="66" t="s">
        <v>4911</v>
      </c>
      <c r="L557" s="66">
        <v>106905</v>
      </c>
      <c r="M557" s="66"/>
      <c r="N557" s="66" t="s">
        <v>68</v>
      </c>
      <c r="O557" s="66" t="s">
        <v>3246</v>
      </c>
      <c r="P557" s="66" t="s">
        <v>206</v>
      </c>
      <c r="Q557" s="138" t="str">
        <f ca="1">IFERROR(LOOKUP($P557,MOTORISTAS!$D$3:$D$1048576,MOTORISTAS!E$3:E$916),"")</f>
        <v>09085263425</v>
      </c>
      <c r="R557" s="138" t="str">
        <f ca="1">IFERROR(LOOKUP($P557,MOTORISTAS!$D$3:$D$1048576,MOTORISTAS!F$3:F$916),"")</f>
        <v>04557705505</v>
      </c>
      <c r="S557" s="66">
        <v>16212</v>
      </c>
      <c r="T557" s="66" t="s">
        <v>293</v>
      </c>
      <c r="U557" s="79">
        <v>45078.09652777778</v>
      </c>
      <c r="V557" s="66" t="s">
        <v>292</v>
      </c>
      <c r="W557" s="79">
        <v>45078.634027777778</v>
      </c>
      <c r="X557" s="79">
        <v>45078.270833333336</v>
      </c>
      <c r="Y557" s="88">
        <v>45078.472222222219</v>
      </c>
      <c r="Z557" s="81">
        <v>3200</v>
      </c>
      <c r="AA557" s="81"/>
      <c r="AB557" s="81"/>
      <c r="AC557" s="81">
        <v>700</v>
      </c>
      <c r="AD557" s="81"/>
      <c r="AE557" s="81"/>
      <c r="AF557" s="81"/>
      <c r="AG557" s="81">
        <f>Sal_23[[#This Row],[COMPRA]]*12%</f>
        <v>447.91919999999999</v>
      </c>
      <c r="AH557" s="83">
        <v>3732.66</v>
      </c>
      <c r="AI557" s="66" t="str">
        <f>PROPER(TEXT(Sal_23[[#This Row],[PROGRAMAÇÃO]],"mmm"))</f>
        <v>Jun</v>
      </c>
      <c r="AJ557" s="66">
        <f>YEAR(Sal_23[[#This Row],[PROGRAMAÇÃO]])</f>
        <v>2023</v>
      </c>
      <c r="AK557" s="66"/>
      <c r="AL557" s="66"/>
      <c r="AM557" s="66" t="s">
        <v>2768</v>
      </c>
      <c r="AN557" s="66" t="s">
        <v>2768</v>
      </c>
      <c r="AO557" s="66" t="s">
        <v>2768</v>
      </c>
    </row>
    <row r="558" spans="2:41" x14ac:dyDescent="0.25">
      <c r="B558" s="128" t="s">
        <v>2771</v>
      </c>
      <c r="C55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58" s="79">
        <v>45078.333333333336</v>
      </c>
      <c r="E558" s="44" t="s">
        <v>4933</v>
      </c>
      <c r="F558" s="66">
        <v>20</v>
      </c>
      <c r="G558" s="66" t="s">
        <v>2826</v>
      </c>
      <c r="H558" s="44" t="s">
        <v>2827</v>
      </c>
      <c r="I558" s="299" t="s">
        <v>2823</v>
      </c>
      <c r="J558" s="66">
        <v>5292</v>
      </c>
      <c r="K558" s="66" t="s">
        <v>4911</v>
      </c>
      <c r="L558" s="66">
        <v>106906</v>
      </c>
      <c r="M558" s="66"/>
      <c r="N558" s="66" t="s">
        <v>3040</v>
      </c>
      <c r="O558" s="66" t="s">
        <v>3041</v>
      </c>
      <c r="P558" s="66" t="s">
        <v>3042</v>
      </c>
      <c r="Q558" s="138" t="str">
        <f ca="1">IFERROR(LOOKUP($P558,MOTORISTAS!$D$3:$D$1048576,MOTORISTAS!E$3:E$916),"")</f>
        <v>19279658883</v>
      </c>
      <c r="R558" s="138" t="str">
        <f ca="1">IFERROR(LOOKUP($P558,MOTORISTAS!$D$3:$D$1048576,MOTORISTAS!F$3:F$916),"")</f>
        <v>01301319672</v>
      </c>
      <c r="S558" s="66">
        <v>16213</v>
      </c>
      <c r="T558" s="66" t="s">
        <v>293</v>
      </c>
      <c r="U558" s="79">
        <v>45078.000694444447</v>
      </c>
      <c r="V558" s="66" t="s">
        <v>292</v>
      </c>
      <c r="W558" s="79">
        <v>45078.538888888892</v>
      </c>
      <c r="X558" s="79">
        <v>45078.197916666664</v>
      </c>
      <c r="Y558" s="88">
        <v>45078.405555555553</v>
      </c>
      <c r="Z558" s="81">
        <v>3200</v>
      </c>
      <c r="AA558" s="81"/>
      <c r="AB558" s="81"/>
      <c r="AC558" s="81">
        <v>700</v>
      </c>
      <c r="AD558" s="81"/>
      <c r="AE558" s="81"/>
      <c r="AF558" s="81"/>
      <c r="AG558" s="81">
        <f>Sal_23[[#This Row],[COMPRA]]*12%</f>
        <v>447.91919999999999</v>
      </c>
      <c r="AH558" s="83">
        <v>3732.66</v>
      </c>
      <c r="AI558" s="66" t="str">
        <f>PROPER(TEXT(Sal_23[[#This Row],[PROGRAMAÇÃO]],"mmm"))</f>
        <v>Jun</v>
      </c>
      <c r="AJ558" s="66">
        <f>YEAR(Sal_23[[#This Row],[PROGRAMAÇÃO]])</f>
        <v>2023</v>
      </c>
      <c r="AK558" s="66"/>
      <c r="AL558" s="66"/>
      <c r="AM558" s="66" t="s">
        <v>2768</v>
      </c>
      <c r="AN558" s="66" t="s">
        <v>2768</v>
      </c>
      <c r="AO558" s="66" t="s">
        <v>2768</v>
      </c>
    </row>
    <row r="559" spans="2:41" x14ac:dyDescent="0.25">
      <c r="B559" s="128" t="s">
        <v>2771</v>
      </c>
      <c r="C55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59" s="79">
        <v>45078.333333333336</v>
      </c>
      <c r="E559" s="44" t="s">
        <v>4937</v>
      </c>
      <c r="F559" s="66">
        <v>40</v>
      </c>
      <c r="G559" s="66" t="s">
        <v>2826</v>
      </c>
      <c r="H559" s="44" t="s">
        <v>1674</v>
      </c>
      <c r="I559" s="299" t="s">
        <v>2829</v>
      </c>
      <c r="J559" s="66">
        <v>5351</v>
      </c>
      <c r="K559" s="66" t="s">
        <v>4911</v>
      </c>
      <c r="L559" s="66">
        <v>106792</v>
      </c>
      <c r="M559" s="66">
        <v>106793</v>
      </c>
      <c r="N559" s="66" t="s">
        <v>31</v>
      </c>
      <c r="O559" s="66" t="s">
        <v>32</v>
      </c>
      <c r="P559" s="66" t="s">
        <v>33</v>
      </c>
      <c r="Q559" s="138" t="str">
        <f ca="1">IFERROR(LOOKUP($P559,MOTORISTAS!$D$3:$D$1048576,MOTORISTAS!E$3:E$916),"")</f>
        <v>09776430856</v>
      </c>
      <c r="R559" s="138" t="str">
        <f ca="1">IFERROR(LOOKUP($P559,MOTORISTAS!$D$3:$D$1048576,MOTORISTAS!F$3:F$916),"")</f>
        <v>01258979905</v>
      </c>
      <c r="S559" s="66">
        <v>16214</v>
      </c>
      <c r="T559" s="66" t="s">
        <v>293</v>
      </c>
      <c r="U559" s="79">
        <v>45078.038888888892</v>
      </c>
      <c r="V559" s="66" t="s">
        <v>292</v>
      </c>
      <c r="W559" s="79">
        <v>45078.686805555553</v>
      </c>
      <c r="X559" s="79">
        <v>45078.194444444445</v>
      </c>
      <c r="Y559" s="88">
        <v>45078.447222222225</v>
      </c>
      <c r="Z559" s="81">
        <v>3400</v>
      </c>
      <c r="AA559" s="81"/>
      <c r="AB559" s="81"/>
      <c r="AC559" s="81">
        <v>700</v>
      </c>
      <c r="AD559" s="81"/>
      <c r="AE559" s="81"/>
      <c r="AF559" s="81"/>
      <c r="AG559" s="81">
        <f>Sal_23[[#This Row],[COMPRA]]*12%</f>
        <v>447.91919999999999</v>
      </c>
      <c r="AH559" s="83">
        <v>3732.66</v>
      </c>
      <c r="AI559" s="66" t="str">
        <f>PROPER(TEXT(Sal_23[[#This Row],[PROGRAMAÇÃO]],"mmm"))</f>
        <v>Jun</v>
      </c>
      <c r="AJ559" s="66">
        <f>YEAR(Sal_23[[#This Row],[PROGRAMAÇÃO]])</f>
        <v>2023</v>
      </c>
      <c r="AK559" s="66"/>
      <c r="AL559" s="66"/>
      <c r="AM559" s="66" t="s">
        <v>2768</v>
      </c>
      <c r="AN559" s="66" t="s">
        <v>2768</v>
      </c>
      <c r="AO559" s="66" t="s">
        <v>2768</v>
      </c>
    </row>
    <row r="560" spans="2:41" x14ac:dyDescent="0.25">
      <c r="B560" s="128" t="s">
        <v>2771</v>
      </c>
      <c r="C56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60" s="79">
        <v>45078.333333333336</v>
      </c>
      <c r="E560" s="44" t="s">
        <v>4938</v>
      </c>
      <c r="F560" s="66">
        <v>40</v>
      </c>
      <c r="G560" s="66" t="s">
        <v>2826</v>
      </c>
      <c r="H560" s="44" t="s">
        <v>1674</v>
      </c>
      <c r="I560" s="299" t="s">
        <v>2829</v>
      </c>
      <c r="J560" s="66">
        <v>5321</v>
      </c>
      <c r="K560" s="66" t="s">
        <v>4911</v>
      </c>
      <c r="L560" s="66">
        <v>106828</v>
      </c>
      <c r="M560" s="66">
        <v>106829</v>
      </c>
      <c r="N560" s="66" t="s">
        <v>102</v>
      </c>
      <c r="O560" s="66" t="s">
        <v>27</v>
      </c>
      <c r="P560" s="66" t="s">
        <v>203</v>
      </c>
      <c r="Q560" s="138" t="str">
        <f ca="1">IFERROR(LOOKUP($P560,MOTORISTAS!$D$3:$D$1048576,MOTORISTAS!E$3:E$916),"")</f>
        <v>10395859816</v>
      </c>
      <c r="R560" s="138" t="str">
        <f ca="1">IFERROR(LOOKUP($P560,MOTORISTAS!$D$3:$D$1048576,MOTORISTAS!F$3:F$916),"")</f>
        <v>01965794851</v>
      </c>
      <c r="S560" s="66">
        <v>16215</v>
      </c>
      <c r="T560" s="66" t="s">
        <v>293</v>
      </c>
      <c r="U560" s="79">
        <v>45077.879861111112</v>
      </c>
      <c r="V560" s="66" t="s">
        <v>469</v>
      </c>
      <c r="W560" s="79">
        <v>45078.833333333336</v>
      </c>
      <c r="X560" s="79">
        <v>45078.270833333336</v>
      </c>
      <c r="Y560" s="88">
        <v>45081.520833333336</v>
      </c>
      <c r="Z560" s="81">
        <v>3400</v>
      </c>
      <c r="AA560" s="81"/>
      <c r="AB560" s="81"/>
      <c r="AC560" s="81">
        <v>700</v>
      </c>
      <c r="AD560" s="81"/>
      <c r="AE560" s="81"/>
      <c r="AF560" s="81"/>
      <c r="AG560" s="81">
        <f>Sal_23[[#This Row],[COMPRA]]*12%</f>
        <v>447.91919999999999</v>
      </c>
      <c r="AH560" s="83">
        <v>3732.66</v>
      </c>
      <c r="AI560" s="66" t="str">
        <f>PROPER(TEXT(Sal_23[[#This Row],[PROGRAMAÇÃO]],"mmm"))</f>
        <v>Jun</v>
      </c>
      <c r="AJ560" s="66">
        <f>YEAR(Sal_23[[#This Row],[PROGRAMAÇÃO]])</f>
        <v>2023</v>
      </c>
      <c r="AK560" s="66"/>
      <c r="AL560" s="66"/>
      <c r="AM560" s="66" t="s">
        <v>2768</v>
      </c>
      <c r="AN560" s="66" t="s">
        <v>2768</v>
      </c>
      <c r="AO560" s="66" t="s">
        <v>2768</v>
      </c>
    </row>
    <row r="561" spans="2:41" x14ac:dyDescent="0.25">
      <c r="B561" s="128" t="s">
        <v>2771</v>
      </c>
      <c r="C56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61" s="79">
        <v>45078.333333333336</v>
      </c>
      <c r="E561" s="44" t="s">
        <v>4939</v>
      </c>
      <c r="F561" s="66">
        <v>40</v>
      </c>
      <c r="G561" s="66" t="s">
        <v>2826</v>
      </c>
      <c r="H561" s="44" t="s">
        <v>1674</v>
      </c>
      <c r="I561" s="299" t="s">
        <v>2829</v>
      </c>
      <c r="J561" s="66">
        <v>5311</v>
      </c>
      <c r="K561" s="66" t="s">
        <v>4911</v>
      </c>
      <c r="L561" s="66">
        <v>106872</v>
      </c>
      <c r="M561" s="66">
        <v>106873</v>
      </c>
      <c r="N561" s="66" t="s">
        <v>106</v>
      </c>
      <c r="O561" s="66" t="s">
        <v>107</v>
      </c>
      <c r="P561" s="66" t="s">
        <v>108</v>
      </c>
      <c r="Q561" s="138" t="str">
        <f ca="1">IFERROR(LOOKUP($P561,MOTORISTAS!$D$3:$D$1048576,MOTORISTAS!E$3:E$916),"")</f>
        <v>34927982840</v>
      </c>
      <c r="R561" s="138" t="str">
        <f ca="1">IFERROR(LOOKUP($P561,MOTORISTAS!$D$3:$D$1048576,MOTORISTAS!F$3:F$916),"")</f>
        <v>03500129879</v>
      </c>
      <c r="S561" s="66">
        <v>16210</v>
      </c>
      <c r="T561" s="66" t="s">
        <v>293</v>
      </c>
      <c r="U561" s="79">
        <v>45078.193749999999</v>
      </c>
      <c r="V561" s="66" t="s">
        <v>292</v>
      </c>
      <c r="W561" s="79">
        <v>45078</v>
      </c>
      <c r="X561" s="79">
        <v>45078.402777777781</v>
      </c>
      <c r="Y561" s="88">
        <v>45078.680555555555</v>
      </c>
      <c r="Z561" s="81">
        <v>3400</v>
      </c>
      <c r="AA561" s="81"/>
      <c r="AB561" s="81"/>
      <c r="AC561" s="81">
        <v>700</v>
      </c>
      <c r="AD561" s="81"/>
      <c r="AE561" s="81"/>
      <c r="AF561" s="81"/>
      <c r="AG561" s="81">
        <f>Sal_23[[#This Row],[COMPRA]]*12%</f>
        <v>447.91919999999999</v>
      </c>
      <c r="AH561" s="83">
        <v>3732.66</v>
      </c>
      <c r="AI561" s="66" t="str">
        <f>PROPER(TEXT(Sal_23[[#This Row],[PROGRAMAÇÃO]],"mmm"))</f>
        <v>Jun</v>
      </c>
      <c r="AJ561" s="66">
        <f>YEAR(Sal_23[[#This Row],[PROGRAMAÇÃO]])</f>
        <v>2023</v>
      </c>
      <c r="AK561" s="66"/>
      <c r="AL561" s="66"/>
      <c r="AM561" s="66" t="s">
        <v>2768</v>
      </c>
      <c r="AN561" s="66" t="s">
        <v>2768</v>
      </c>
      <c r="AO561" s="66" t="s">
        <v>2768</v>
      </c>
    </row>
    <row r="562" spans="2:41" x14ac:dyDescent="0.25">
      <c r="B562" s="128" t="s">
        <v>2771</v>
      </c>
      <c r="C56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62" s="79">
        <v>45078.333333333336</v>
      </c>
      <c r="E562" s="44" t="s">
        <v>4940</v>
      </c>
      <c r="F562" s="66">
        <v>40</v>
      </c>
      <c r="G562" s="66" t="s">
        <v>2826</v>
      </c>
      <c r="H562" s="44" t="s">
        <v>1674</v>
      </c>
      <c r="I562" s="299" t="s">
        <v>2829</v>
      </c>
      <c r="J562" s="66">
        <v>5283</v>
      </c>
      <c r="K562" s="66" t="s">
        <v>4911</v>
      </c>
      <c r="L562" s="66">
        <v>106903</v>
      </c>
      <c r="M562" s="66">
        <v>106904</v>
      </c>
      <c r="N562" s="66" t="s">
        <v>210</v>
      </c>
      <c r="O562" s="66" t="s">
        <v>211</v>
      </c>
      <c r="P562" s="66" t="s">
        <v>212</v>
      </c>
      <c r="Q562" s="138" t="str">
        <f ca="1">IFERROR(LOOKUP($P562,MOTORISTAS!$D$3:$D$1048576,MOTORISTAS!E$3:E$916),"")</f>
        <v>38029906846</v>
      </c>
      <c r="R562" s="138" t="str">
        <f ca="1">IFERROR(LOOKUP($P562,MOTORISTAS!$D$3:$D$1048576,MOTORISTAS!F$3:F$916),"")</f>
        <v>04946846842</v>
      </c>
      <c r="S562" s="66">
        <v>16211</v>
      </c>
      <c r="T562" s="66" t="s">
        <v>293</v>
      </c>
      <c r="U562" s="79">
        <v>45078.14166666667</v>
      </c>
      <c r="V562" s="66" t="s">
        <v>469</v>
      </c>
      <c r="W562" s="79">
        <v>45078.856944444444</v>
      </c>
      <c r="X562" s="79">
        <v>45078.354166666664</v>
      </c>
      <c r="Y562" s="88">
        <v>45078.5625</v>
      </c>
      <c r="Z562" s="81">
        <v>3400</v>
      </c>
      <c r="AA562" s="81"/>
      <c r="AB562" s="81"/>
      <c r="AC562" s="81">
        <v>700</v>
      </c>
      <c r="AD562" s="81"/>
      <c r="AE562" s="81"/>
      <c r="AF562" s="81"/>
      <c r="AG562" s="81">
        <f>Sal_23[[#This Row],[COMPRA]]*12%</f>
        <v>447.91919999999999</v>
      </c>
      <c r="AH562" s="83">
        <v>3732.66</v>
      </c>
      <c r="AI562" s="66" t="str">
        <f>PROPER(TEXT(Sal_23[[#This Row],[PROGRAMAÇÃO]],"mmm"))</f>
        <v>Jun</v>
      </c>
      <c r="AJ562" s="66">
        <f>YEAR(Sal_23[[#This Row],[PROGRAMAÇÃO]])</f>
        <v>2023</v>
      </c>
      <c r="AK562" s="66"/>
      <c r="AL562" s="66"/>
      <c r="AM562" s="66" t="s">
        <v>2768</v>
      </c>
      <c r="AN562" s="66" t="s">
        <v>2768</v>
      </c>
      <c r="AO562" s="66" t="s">
        <v>2768</v>
      </c>
    </row>
    <row r="563" spans="2:41" x14ac:dyDescent="0.25">
      <c r="B563" s="128" t="s">
        <v>2771</v>
      </c>
      <c r="C56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63" s="79">
        <v>45078.333333333336</v>
      </c>
      <c r="E563" s="44" t="s">
        <v>4943</v>
      </c>
      <c r="F563" s="66">
        <v>40</v>
      </c>
      <c r="G563" s="66" t="s">
        <v>2826</v>
      </c>
      <c r="H563" s="44" t="s">
        <v>4944</v>
      </c>
      <c r="I563" s="299" t="s">
        <v>2822</v>
      </c>
      <c r="J563" s="66">
        <v>5366</v>
      </c>
      <c r="K563" s="66" t="s">
        <v>4911</v>
      </c>
      <c r="L563" s="66">
        <v>106833</v>
      </c>
      <c r="M563" s="66"/>
      <c r="N563" s="66" t="s">
        <v>92</v>
      </c>
      <c r="O563" s="66" t="s">
        <v>93</v>
      </c>
      <c r="P563" s="66" t="s">
        <v>94</v>
      </c>
      <c r="Q563" s="138" t="str">
        <f ca="1">IFERROR(LOOKUP($P563,MOTORISTAS!$D$3:$D$1048576,MOTORISTAS!E$3:E$916),"")</f>
        <v>26283419801</v>
      </c>
      <c r="R563" s="138" t="str">
        <f ca="1">IFERROR(LOOKUP($P563,MOTORISTAS!$D$3:$D$1048576,MOTORISTAS!F$3:F$916),"")</f>
        <v>02002046946</v>
      </c>
      <c r="S563" s="66">
        <v>16209</v>
      </c>
      <c r="T563" s="66" t="s">
        <v>293</v>
      </c>
      <c r="U563" s="79">
        <v>45078.107638888891</v>
      </c>
      <c r="V563" s="66" t="s">
        <v>292</v>
      </c>
      <c r="W563" s="79">
        <v>45078.67083333333</v>
      </c>
      <c r="X563" s="79">
        <v>45078.208333333336</v>
      </c>
      <c r="Y563" s="88">
        <v>45078.520833333336</v>
      </c>
      <c r="Z563" s="81"/>
      <c r="AA563" s="81"/>
      <c r="AB563" s="81"/>
      <c r="AC563" s="81">
        <v>700</v>
      </c>
      <c r="AD563" s="81"/>
      <c r="AE563" s="81"/>
      <c r="AF563" s="81"/>
      <c r="AG563" s="81">
        <f>Sal_23[[#This Row],[COMPRA]]*12%</f>
        <v>447.91919999999999</v>
      </c>
      <c r="AH563" s="83">
        <v>3732.66</v>
      </c>
      <c r="AI563" s="66" t="str">
        <f>PROPER(TEXT(Sal_23[[#This Row],[PROGRAMAÇÃO]],"mmm"))</f>
        <v>Jun</v>
      </c>
      <c r="AJ563" s="66">
        <f>YEAR(Sal_23[[#This Row],[PROGRAMAÇÃO]])</f>
        <v>2023</v>
      </c>
      <c r="AK563" s="66"/>
      <c r="AL563" s="66"/>
      <c r="AM563" s="66" t="s">
        <v>2768</v>
      </c>
      <c r="AN563" s="66" t="s">
        <v>2768</v>
      </c>
      <c r="AO563" s="66" t="s">
        <v>2768</v>
      </c>
    </row>
    <row r="564" spans="2:41" x14ac:dyDescent="0.25">
      <c r="B564" s="128" t="s">
        <v>2771</v>
      </c>
      <c r="C56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64" s="79">
        <v>45078.375</v>
      </c>
      <c r="E564" s="44" t="s">
        <v>2819</v>
      </c>
      <c r="F564" s="66">
        <v>20</v>
      </c>
      <c r="G564" s="66" t="s">
        <v>2820</v>
      </c>
      <c r="H564" s="44" t="s">
        <v>2820</v>
      </c>
      <c r="I564" s="299" t="s">
        <v>2821</v>
      </c>
      <c r="J564" s="66">
        <v>5399</v>
      </c>
      <c r="K564" s="66" t="s">
        <v>4911</v>
      </c>
      <c r="L564" s="66">
        <v>106796</v>
      </c>
      <c r="M564" s="66"/>
      <c r="N564" s="66" t="s">
        <v>2859</v>
      </c>
      <c r="O564" s="66" t="s">
        <v>2860</v>
      </c>
      <c r="P564" s="66" t="s">
        <v>2861</v>
      </c>
      <c r="Q564" s="138" t="str">
        <f ca="1">IFERROR(LOOKUP($P564,MOTORISTAS!$D$3:$D$1048576,MOTORISTAS!E$3:E$916),"")</f>
        <v>01817591878</v>
      </c>
      <c r="R564" s="138" t="str">
        <f ca="1">IFERROR(LOOKUP($P564,MOTORISTAS!$D$3:$D$1048576,MOTORISTAS!F$3:F$916),"")</f>
        <v>00821760640</v>
      </c>
      <c r="S564" s="66">
        <v>16208</v>
      </c>
      <c r="T564" s="66" t="s">
        <v>293</v>
      </c>
      <c r="U564" s="79">
        <v>45078.047222222223</v>
      </c>
      <c r="V564" s="66" t="s">
        <v>292</v>
      </c>
      <c r="W564" s="79">
        <v>45078.543749999997</v>
      </c>
      <c r="X564" s="79">
        <v>45078.135416666664</v>
      </c>
      <c r="Y564" s="88">
        <v>45078.5</v>
      </c>
      <c r="Z564" s="81">
        <v>1600</v>
      </c>
      <c r="AA564" s="81"/>
      <c r="AB564" s="81"/>
      <c r="AC564" s="81">
        <v>700</v>
      </c>
      <c r="AD564" s="81"/>
      <c r="AE564" s="81"/>
      <c r="AF564" s="81"/>
      <c r="AG564" s="81">
        <f>Sal_23[[#This Row],[COMPRA]]*12%</f>
        <v>447.91919999999999</v>
      </c>
      <c r="AH564" s="83">
        <v>3732.66</v>
      </c>
      <c r="AI564" s="66" t="str">
        <f>PROPER(TEXT(Sal_23[[#This Row],[PROGRAMAÇÃO]],"mmm"))</f>
        <v>Jun</v>
      </c>
      <c r="AJ564" s="66">
        <f>YEAR(Sal_23[[#This Row],[PROGRAMAÇÃO]])</f>
        <v>2023</v>
      </c>
      <c r="AK564" s="66"/>
      <c r="AL564" s="66"/>
      <c r="AM564" s="66" t="s">
        <v>2768</v>
      </c>
      <c r="AN564" s="66" t="s">
        <v>2768</v>
      </c>
      <c r="AO564" s="66" t="s">
        <v>2768</v>
      </c>
    </row>
    <row r="565" spans="2:41" x14ac:dyDescent="0.25">
      <c r="B565" s="128" t="s">
        <v>2771</v>
      </c>
      <c r="C56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65" s="79">
        <v>45078.375</v>
      </c>
      <c r="E565" s="44" t="s">
        <v>3327</v>
      </c>
      <c r="F565" s="66">
        <v>20</v>
      </c>
      <c r="G565" s="66" t="s">
        <v>2820</v>
      </c>
      <c r="H565" s="44" t="s">
        <v>2820</v>
      </c>
      <c r="I565" s="299" t="s">
        <v>2821</v>
      </c>
      <c r="J565" s="66">
        <v>5385</v>
      </c>
      <c r="K565" s="66" t="s">
        <v>4911</v>
      </c>
      <c r="L565" s="66">
        <v>106949</v>
      </c>
      <c r="M565" s="66"/>
      <c r="N565" s="66" t="s">
        <v>4571</v>
      </c>
      <c r="O565" s="66" t="s">
        <v>4572</v>
      </c>
      <c r="P565" s="66" t="s">
        <v>4573</v>
      </c>
      <c r="Q565" s="138" t="str">
        <f ca="1">IFERROR(LOOKUP($P565,MOTORISTAS!$D$3:$D$1048576,MOTORISTAS!E$3:E$916),"")</f>
        <v>09221836860</v>
      </c>
      <c r="R565" s="138" t="str">
        <f ca="1">IFERROR(LOOKUP($P565,MOTORISTAS!$D$3:$D$1048576,MOTORISTAS!F$3:F$916),"")</f>
        <v>01994346710</v>
      </c>
      <c r="S565" s="66" t="s">
        <v>4997</v>
      </c>
      <c r="T565" s="66" t="s">
        <v>293</v>
      </c>
      <c r="U565" s="79">
        <v>45078.223611111112</v>
      </c>
      <c r="V565" s="66" t="s">
        <v>292</v>
      </c>
      <c r="W565" s="79">
        <v>45078.555555555555</v>
      </c>
      <c r="X565" s="79">
        <v>45078.322916666664</v>
      </c>
      <c r="Y565" s="88">
        <v>45078.493055555555</v>
      </c>
      <c r="Z565" s="81">
        <v>1600</v>
      </c>
      <c r="AA565" s="81"/>
      <c r="AB565" s="81"/>
      <c r="AC565" s="81">
        <v>700</v>
      </c>
      <c r="AD565" s="81"/>
      <c r="AE565" s="81"/>
      <c r="AF565" s="81"/>
      <c r="AG565" s="81">
        <f>Sal_23[[#This Row],[COMPRA]]*12%</f>
        <v>447.91919999999999</v>
      </c>
      <c r="AH565" s="83">
        <v>3732.66</v>
      </c>
      <c r="AI565" s="66" t="str">
        <f>PROPER(TEXT(Sal_23[[#This Row],[PROGRAMAÇÃO]],"mmm"))</f>
        <v>Jun</v>
      </c>
      <c r="AJ565" s="66">
        <f>YEAR(Sal_23[[#This Row],[PROGRAMAÇÃO]])</f>
        <v>2023</v>
      </c>
      <c r="AK565" s="66"/>
      <c r="AL565" s="66"/>
      <c r="AM565" s="66" t="s">
        <v>2768</v>
      </c>
      <c r="AN565" s="66" t="s">
        <v>2768</v>
      </c>
      <c r="AO565" s="66" t="s">
        <v>2768</v>
      </c>
    </row>
    <row r="566" spans="2:41" x14ac:dyDescent="0.25">
      <c r="B566" s="128" t="s">
        <v>2771</v>
      </c>
      <c r="C56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66" s="79">
        <v>45078.458333333336</v>
      </c>
      <c r="E566" s="44" t="s">
        <v>4906</v>
      </c>
      <c r="F566" s="66">
        <v>20</v>
      </c>
      <c r="G566" s="66" t="s">
        <v>2820</v>
      </c>
      <c r="H566" s="44" t="s">
        <v>2820</v>
      </c>
      <c r="I566" s="299" t="s">
        <v>2821</v>
      </c>
      <c r="J566" s="66">
        <v>5300</v>
      </c>
      <c r="K566" s="66" t="s">
        <v>4911</v>
      </c>
      <c r="L566" s="66">
        <v>117239</v>
      </c>
      <c r="M566" s="66"/>
      <c r="N566" s="66" t="s">
        <v>3028</v>
      </c>
      <c r="O566" s="66" t="s">
        <v>2261</v>
      </c>
      <c r="P566" s="66" t="s">
        <v>3443</v>
      </c>
      <c r="Q566" s="138" t="str">
        <f ca="1">IFERROR(LOOKUP($P566,MOTORISTAS!$D$3:$D$1048576,MOTORISTAS!E$3:E$916),"")</f>
        <v>13990937898</v>
      </c>
      <c r="R566" s="138" t="str">
        <f ca="1">IFERROR(LOOKUP($P566,MOTORISTAS!$D$3:$D$1048576,MOTORISTAS!F$3:F$916),"")</f>
        <v>01825123407</v>
      </c>
      <c r="S566" s="66">
        <v>16206</v>
      </c>
      <c r="T566" s="66" t="s">
        <v>293</v>
      </c>
      <c r="U566" s="79">
        <v>45078.010416666664</v>
      </c>
      <c r="V566" s="66" t="s">
        <v>292</v>
      </c>
      <c r="W566" s="79">
        <v>45078.673611111109</v>
      </c>
      <c r="X566" s="79">
        <v>45078.135416666664</v>
      </c>
      <c r="Y566" s="88">
        <v>45078.534722222219</v>
      </c>
      <c r="Z566" s="81">
        <v>1600</v>
      </c>
      <c r="AA566" s="81"/>
      <c r="AB566" s="81"/>
      <c r="AC566" s="81">
        <v>700</v>
      </c>
      <c r="AD566" s="81"/>
      <c r="AE566" s="81"/>
      <c r="AF566" s="81"/>
      <c r="AG566" s="81">
        <f>Sal_23[[#This Row],[COMPRA]]*12%</f>
        <v>447.91919999999999</v>
      </c>
      <c r="AH566" s="83">
        <v>3732.66</v>
      </c>
      <c r="AI566" s="66" t="str">
        <f>PROPER(TEXT(Sal_23[[#This Row],[PROGRAMAÇÃO]],"mmm"))</f>
        <v>Jun</v>
      </c>
      <c r="AJ566" s="66">
        <f>YEAR(Sal_23[[#This Row],[PROGRAMAÇÃO]])</f>
        <v>2023</v>
      </c>
      <c r="AK566" s="66"/>
      <c r="AL566" s="66"/>
      <c r="AM566" s="66" t="s">
        <v>2768</v>
      </c>
      <c r="AN566" s="66" t="s">
        <v>2768</v>
      </c>
      <c r="AO566" s="66" t="s">
        <v>2768</v>
      </c>
    </row>
    <row r="567" spans="2:41" x14ac:dyDescent="0.25">
      <c r="B567" s="128" t="s">
        <v>2771</v>
      </c>
      <c r="C56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67" s="79">
        <v>45079.333333333336</v>
      </c>
      <c r="E567" s="44" t="s">
        <v>4927</v>
      </c>
      <c r="F567" s="66">
        <v>20</v>
      </c>
      <c r="G567" s="66" t="s">
        <v>2826</v>
      </c>
      <c r="H567" s="44" t="s">
        <v>3440</v>
      </c>
      <c r="I567" s="299" t="s">
        <v>3253</v>
      </c>
      <c r="J567" s="66">
        <v>5248</v>
      </c>
      <c r="K567" s="66" t="s">
        <v>4911</v>
      </c>
      <c r="L567" s="66">
        <v>117218</v>
      </c>
      <c r="M567" s="66"/>
      <c r="N567" s="66" t="s">
        <v>3040</v>
      </c>
      <c r="O567" s="66" t="s">
        <v>3041</v>
      </c>
      <c r="P567" s="66" t="s">
        <v>3042</v>
      </c>
      <c r="Q567" s="138" t="str">
        <f ca="1">IFERROR(LOOKUP($P567,MOTORISTAS!$D$3:$D$1048576,MOTORISTAS!E$3:E$916),"")</f>
        <v>19279658883</v>
      </c>
      <c r="R567" s="138" t="str">
        <f ca="1">IFERROR(LOOKUP($P567,MOTORISTAS!$D$3:$D$1048576,MOTORISTAS!F$3:F$916),"")</f>
        <v>01301319672</v>
      </c>
      <c r="S567" s="66">
        <v>16227</v>
      </c>
      <c r="T567" s="66" t="s">
        <v>293</v>
      </c>
      <c r="U567" s="79">
        <v>45079.112500000003</v>
      </c>
      <c r="V567" s="66" t="s">
        <v>292</v>
      </c>
      <c r="W567" s="79">
        <v>45079.463888888888</v>
      </c>
      <c r="X567" s="79">
        <v>45079.243055555555</v>
      </c>
      <c r="Y567" s="88">
        <v>45079.368055555555</v>
      </c>
      <c r="Z567" s="81">
        <v>2300</v>
      </c>
      <c r="AA567" s="81"/>
      <c r="AB567" s="81"/>
      <c r="AC567" s="81">
        <v>700</v>
      </c>
      <c r="AD567" s="81"/>
      <c r="AE567" s="81"/>
      <c r="AF567" s="81"/>
      <c r="AG567" s="81">
        <f>Sal_23[[#This Row],[COMPRA]]*12%</f>
        <v>447.91919999999999</v>
      </c>
      <c r="AH567" s="83">
        <v>3732.66</v>
      </c>
      <c r="AI567" s="66" t="str">
        <f>PROPER(TEXT(Sal_23[[#This Row],[PROGRAMAÇÃO]],"mmm"))</f>
        <v>Jun</v>
      </c>
      <c r="AJ567" s="66">
        <f>YEAR(Sal_23[[#This Row],[PROGRAMAÇÃO]])</f>
        <v>2023</v>
      </c>
      <c r="AK567" s="66"/>
      <c r="AL567" s="66"/>
      <c r="AM567" s="66" t="s">
        <v>2768</v>
      </c>
      <c r="AN567" s="66" t="s">
        <v>2768</v>
      </c>
      <c r="AO567" s="66" t="s">
        <v>2768</v>
      </c>
    </row>
    <row r="568" spans="2:41" x14ac:dyDescent="0.25">
      <c r="B568" s="128" t="s">
        <v>2771</v>
      </c>
      <c r="C56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68" s="79">
        <v>45079.333333333336</v>
      </c>
      <c r="E568" s="44" t="s">
        <v>4928</v>
      </c>
      <c r="F568" s="66">
        <v>20</v>
      </c>
      <c r="G568" s="66" t="s">
        <v>2826</v>
      </c>
      <c r="H568" s="44" t="s">
        <v>2825</v>
      </c>
      <c r="I568" s="299" t="s">
        <v>4012</v>
      </c>
      <c r="J568" s="66">
        <v>5296</v>
      </c>
      <c r="K568" s="66" t="s">
        <v>4911</v>
      </c>
      <c r="L568" s="66">
        <v>106913</v>
      </c>
      <c r="M568" s="66"/>
      <c r="N568" s="66" t="s">
        <v>2156</v>
      </c>
      <c r="O568" s="66" t="s">
        <v>2464</v>
      </c>
      <c r="P568" s="66" t="s">
        <v>2158</v>
      </c>
      <c r="Q568" s="138" t="str">
        <f ca="1">IFERROR(LOOKUP($P568,MOTORISTAS!$D$3:$D$1048576,MOTORISTAS!E$3:E$916),"")</f>
        <v>10485530864</v>
      </c>
      <c r="R568" s="138" t="str">
        <f ca="1">IFERROR(LOOKUP($P568,MOTORISTAS!$D$3:$D$1048576,MOTORISTAS!F$3:F$916),"")</f>
        <v>02033192841</v>
      </c>
      <c r="S568" s="66">
        <v>16228</v>
      </c>
      <c r="T568" s="66" t="s">
        <v>293</v>
      </c>
      <c r="U568" s="79">
        <v>45079.254166666666</v>
      </c>
      <c r="V568" s="66" t="s">
        <v>292</v>
      </c>
      <c r="W568" s="79">
        <v>45079.536805555559</v>
      </c>
      <c r="X568" s="79">
        <v>45079.361111111109</v>
      </c>
      <c r="Y568" s="88">
        <v>45079.451388888891</v>
      </c>
      <c r="Z568" s="81">
        <v>2000</v>
      </c>
      <c r="AA568" s="81"/>
      <c r="AB568" s="81"/>
      <c r="AC568" s="81">
        <v>700</v>
      </c>
      <c r="AD568" s="81"/>
      <c r="AE568" s="81"/>
      <c r="AF568" s="81"/>
      <c r="AG568" s="81">
        <f>Sal_23[[#This Row],[COMPRA]]*12%</f>
        <v>447.91919999999999</v>
      </c>
      <c r="AH568" s="83">
        <v>3732.66</v>
      </c>
      <c r="AI568" s="66" t="str">
        <f>PROPER(TEXT(Sal_23[[#This Row],[PROGRAMAÇÃO]],"mmm"))</f>
        <v>Jun</v>
      </c>
      <c r="AJ568" s="66">
        <f>YEAR(Sal_23[[#This Row],[PROGRAMAÇÃO]])</f>
        <v>2023</v>
      </c>
      <c r="AK568" s="66"/>
      <c r="AL568" s="66"/>
      <c r="AM568" s="66" t="s">
        <v>2768</v>
      </c>
      <c r="AN568" s="66" t="s">
        <v>2768</v>
      </c>
      <c r="AO568" s="66" t="s">
        <v>2768</v>
      </c>
    </row>
    <row r="569" spans="2:41" x14ac:dyDescent="0.25">
      <c r="B569" s="128" t="s">
        <v>2771</v>
      </c>
      <c r="C56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69" s="79">
        <v>45079.333333333336</v>
      </c>
      <c r="E569" s="44" t="s">
        <v>4929</v>
      </c>
      <c r="F569" s="66">
        <v>20</v>
      </c>
      <c r="G569" s="66" t="s">
        <v>2826</v>
      </c>
      <c r="H569" s="44" t="s">
        <v>3082</v>
      </c>
      <c r="I569" s="299" t="s">
        <v>3083</v>
      </c>
      <c r="J569" s="66">
        <v>5354</v>
      </c>
      <c r="K569" s="66" t="s">
        <v>4911</v>
      </c>
      <c r="L569" s="66">
        <v>106912</v>
      </c>
      <c r="M569" s="66"/>
      <c r="N569" s="66" t="s">
        <v>4507</v>
      </c>
      <c r="O569" s="66" t="s">
        <v>4950</v>
      </c>
      <c r="P569" s="66" t="s">
        <v>2883</v>
      </c>
      <c r="Q569" s="138" t="str">
        <f ca="1">IFERROR(LOOKUP($P569,MOTORISTAS!$D$3:$D$1048576,MOTORISTAS!E$3:E$916),"")</f>
        <v>29740449808</v>
      </c>
      <c r="R569" s="138" t="str">
        <f ca="1">IFERROR(LOOKUP($P569,MOTORISTAS!$D$3:$D$1048576,MOTORISTAS!F$3:F$916),"")</f>
        <v>00966188197</v>
      </c>
      <c r="S569" s="66" t="s">
        <v>4951</v>
      </c>
      <c r="T569" s="66" t="s">
        <v>293</v>
      </c>
      <c r="U569" s="79">
        <v>45079.279861111114</v>
      </c>
      <c r="V569" s="66" t="s">
        <v>292</v>
      </c>
      <c r="W569" s="79">
        <v>45080.349305555559</v>
      </c>
      <c r="X569" s="79">
        <v>45079.361111111109</v>
      </c>
      <c r="Y569" s="88">
        <v>45079.368055555555</v>
      </c>
      <c r="Z569" s="81">
        <v>2000</v>
      </c>
      <c r="AA569" s="81"/>
      <c r="AB569" s="81"/>
      <c r="AC569" s="81"/>
      <c r="AD569" s="81"/>
      <c r="AE569" s="81"/>
      <c r="AF569" s="81"/>
      <c r="AG569" s="81">
        <f>Sal_23[[#This Row],[COMPRA]]*12%</f>
        <v>355.75439999999998</v>
      </c>
      <c r="AH569" s="83">
        <v>2964.62</v>
      </c>
      <c r="AI569" s="66" t="str">
        <f>PROPER(TEXT(Sal_23[[#This Row],[PROGRAMAÇÃO]],"mmm"))</f>
        <v>Jun</v>
      </c>
      <c r="AJ569" s="66">
        <f>YEAR(Sal_23[[#This Row],[PROGRAMAÇÃO]])</f>
        <v>2023</v>
      </c>
      <c r="AK569" s="66"/>
      <c r="AL569" s="66"/>
      <c r="AM569" s="66" t="s">
        <v>2768</v>
      </c>
      <c r="AN569" s="66" t="s">
        <v>2768</v>
      </c>
      <c r="AO569" s="66" t="s">
        <v>2768</v>
      </c>
    </row>
    <row r="570" spans="2:41" x14ac:dyDescent="0.25">
      <c r="B570" s="128" t="s">
        <v>2771</v>
      </c>
      <c r="C57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70" s="79">
        <v>45079.333333333336</v>
      </c>
      <c r="E570" s="44" t="s">
        <v>4930</v>
      </c>
      <c r="F570" s="66">
        <v>20</v>
      </c>
      <c r="G570" s="66" t="s">
        <v>2826</v>
      </c>
      <c r="H570" s="44" t="s">
        <v>3071</v>
      </c>
      <c r="I570" s="299" t="s">
        <v>3072</v>
      </c>
      <c r="J570" s="66">
        <v>5390</v>
      </c>
      <c r="K570" s="66" t="s">
        <v>4911</v>
      </c>
      <c r="L570" s="66">
        <v>106976</v>
      </c>
      <c r="M570" s="66"/>
      <c r="N570" s="66" t="s">
        <v>4954</v>
      </c>
      <c r="O570" s="66" t="s">
        <v>4955</v>
      </c>
      <c r="P570" s="66" t="s">
        <v>4956</v>
      </c>
      <c r="Q570" s="138" t="str">
        <f ca="1">IFERROR(LOOKUP($P570,MOTORISTAS!$D$3:$D$1048576,MOTORISTAS!E$3:E$916),"")</f>
        <v>27098242802</v>
      </c>
      <c r="R570" s="138" t="str">
        <f ca="1">IFERROR(LOOKUP($P570,MOTORISTAS!$D$3:$D$1048576,MOTORISTAS!F$3:F$916),"")</f>
        <v>03025741371</v>
      </c>
      <c r="S570" s="66">
        <v>16235</v>
      </c>
      <c r="T570" s="66" t="s">
        <v>293</v>
      </c>
      <c r="U570" s="79">
        <v>45078.867361111108</v>
      </c>
      <c r="V570" s="66" t="s">
        <v>292</v>
      </c>
      <c r="W570" s="79">
        <v>45080.341666666667</v>
      </c>
      <c r="X570" s="79">
        <v>45079.333333333336</v>
      </c>
      <c r="Y570" s="88">
        <v>45079.69027777778</v>
      </c>
      <c r="Z570" s="81">
        <v>2200</v>
      </c>
      <c r="AA570" s="81"/>
      <c r="AB570" s="81"/>
      <c r="AC570" s="81">
        <v>600</v>
      </c>
      <c r="AD570" s="81"/>
      <c r="AE570" s="81"/>
      <c r="AF570" s="81"/>
      <c r="AG570" s="81">
        <f>Sal_23[[#This Row],[COMPRA]]*12%</f>
        <v>473.5104</v>
      </c>
      <c r="AH570" s="83">
        <v>3945.92</v>
      </c>
      <c r="AI570" s="66" t="str">
        <f>PROPER(TEXT(Sal_23[[#This Row],[PROGRAMAÇÃO]],"mmm"))</f>
        <v>Jun</v>
      </c>
      <c r="AJ570" s="66">
        <f>YEAR(Sal_23[[#This Row],[PROGRAMAÇÃO]])</f>
        <v>2023</v>
      </c>
      <c r="AK570" s="66"/>
      <c r="AL570" s="66"/>
      <c r="AM570" s="66" t="s">
        <v>2768</v>
      </c>
      <c r="AN570" s="66" t="s">
        <v>2768</v>
      </c>
      <c r="AO570" s="66" t="s">
        <v>2768</v>
      </c>
    </row>
    <row r="571" spans="2:41" x14ac:dyDescent="0.25">
      <c r="B571" s="128" t="s">
        <v>2771</v>
      </c>
      <c r="C57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71" s="79">
        <v>45079.333333333336</v>
      </c>
      <c r="E571" s="44" t="s">
        <v>4934</v>
      </c>
      <c r="F571" s="66">
        <v>40</v>
      </c>
      <c r="G571" s="66" t="s">
        <v>2826</v>
      </c>
      <c r="H571" s="44" t="s">
        <v>2835</v>
      </c>
      <c r="I571" s="299" t="s">
        <v>2822</v>
      </c>
      <c r="J571" s="66">
        <v>5269</v>
      </c>
      <c r="K571" s="66" t="s">
        <v>4911</v>
      </c>
      <c r="L571" s="66">
        <v>106791</v>
      </c>
      <c r="M571" s="66"/>
      <c r="N571" s="66" t="s">
        <v>31</v>
      </c>
      <c r="O571" s="66" t="s">
        <v>32</v>
      </c>
      <c r="P571" s="66" t="s">
        <v>33</v>
      </c>
      <c r="Q571" s="138" t="str">
        <f ca="1">IFERROR(LOOKUP($P571,MOTORISTAS!$D$3:$D$1048576,MOTORISTAS!E$3:E$916),"")</f>
        <v>09776430856</v>
      </c>
      <c r="R571" s="138" t="str">
        <f ca="1">IFERROR(LOOKUP($P571,MOTORISTAS!$D$3:$D$1048576,MOTORISTAS!F$3:F$916),"")</f>
        <v>01258979905</v>
      </c>
      <c r="S571" s="66">
        <v>16234</v>
      </c>
      <c r="T571" s="66" t="s">
        <v>293</v>
      </c>
      <c r="U571" s="79">
        <v>45078.857638888891</v>
      </c>
      <c r="V571" s="66" t="s">
        <v>292</v>
      </c>
      <c r="W571" s="79">
        <v>45080</v>
      </c>
      <c r="X571" s="79">
        <v>45079.384027777778</v>
      </c>
      <c r="Y571" s="88">
        <v>45079.468055555553</v>
      </c>
      <c r="Z571" s="81">
        <v>2100</v>
      </c>
      <c r="AA571" s="81"/>
      <c r="AB571" s="81"/>
      <c r="AC571" s="81"/>
      <c r="AD571" s="81"/>
      <c r="AE571" s="81"/>
      <c r="AF571" s="81"/>
      <c r="AG571" s="81">
        <f>Sal_23[[#This Row],[COMPRA]]*12%</f>
        <v>370.37759999999997</v>
      </c>
      <c r="AH571" s="83">
        <v>3086.48</v>
      </c>
      <c r="AI571" s="66" t="str">
        <f>PROPER(TEXT(Sal_23[[#This Row],[PROGRAMAÇÃO]],"mmm"))</f>
        <v>Jun</v>
      </c>
      <c r="AJ571" s="66">
        <f>YEAR(Sal_23[[#This Row],[PROGRAMAÇÃO]])</f>
        <v>2023</v>
      </c>
      <c r="AK571" s="66"/>
      <c r="AL571" s="66"/>
      <c r="AM571" s="66" t="s">
        <v>2768</v>
      </c>
      <c r="AN571" s="66" t="s">
        <v>2768</v>
      </c>
      <c r="AO571" s="66" t="s">
        <v>2768</v>
      </c>
    </row>
    <row r="572" spans="2:41" x14ac:dyDescent="0.25">
      <c r="B572" s="128" t="s">
        <v>2771</v>
      </c>
      <c r="C57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72" s="79">
        <v>45079.333333333336</v>
      </c>
      <c r="E572" s="44" t="s">
        <v>4941</v>
      </c>
      <c r="F572" s="66">
        <v>40</v>
      </c>
      <c r="G572" s="66" t="s">
        <v>2826</v>
      </c>
      <c r="H572" s="44" t="s">
        <v>1674</v>
      </c>
      <c r="I572" s="299" t="s">
        <v>2829</v>
      </c>
      <c r="J572" s="66">
        <v>5370</v>
      </c>
      <c r="K572" s="66" t="s">
        <v>4911</v>
      </c>
      <c r="L572" s="66">
        <v>106910</v>
      </c>
      <c r="M572" s="66">
        <v>106911</v>
      </c>
      <c r="N572" s="66" t="s">
        <v>111</v>
      </c>
      <c r="O572" s="66" t="s">
        <v>891</v>
      </c>
      <c r="P572" s="66" t="s">
        <v>113</v>
      </c>
      <c r="Q572" s="138" t="str">
        <f ca="1">IFERROR(LOOKUP($P572,MOTORISTAS!$D$3:$D$1048576,MOTORISTAS!E$3:E$916),"")</f>
        <v>88265951434</v>
      </c>
      <c r="R572" s="138" t="str">
        <f ca="1">IFERROR(LOOKUP($P572,MOTORISTAS!$D$3:$D$1048576,MOTORISTAS!F$3:F$916),"")</f>
        <v>00920373596</v>
      </c>
      <c r="S572" s="66">
        <v>16232</v>
      </c>
      <c r="T572" s="66" t="s">
        <v>293</v>
      </c>
      <c r="U572" s="79">
        <v>45079.084027777775</v>
      </c>
      <c r="V572" s="66" t="s">
        <v>292</v>
      </c>
      <c r="W572" s="79">
        <v>45079.706250000003</v>
      </c>
      <c r="X572" s="79">
        <v>45079.302083333336</v>
      </c>
      <c r="Y572" s="88">
        <v>45079.46597222222</v>
      </c>
      <c r="Z572" s="81">
        <v>3400</v>
      </c>
      <c r="AA572" s="81"/>
      <c r="AB572" s="81"/>
      <c r="AC572" s="81"/>
      <c r="AD572" s="81"/>
      <c r="AE572" s="81"/>
      <c r="AF572" s="81"/>
      <c r="AG572" s="81">
        <f>Sal_23[[#This Row],[COMPRA]]*12%</f>
        <v>558.28440000000001</v>
      </c>
      <c r="AH572" s="83">
        <v>4652.37</v>
      </c>
      <c r="AI572" s="66" t="str">
        <f>PROPER(TEXT(Sal_23[[#This Row],[PROGRAMAÇÃO]],"mmm"))</f>
        <v>Jun</v>
      </c>
      <c r="AJ572" s="66">
        <f>YEAR(Sal_23[[#This Row],[PROGRAMAÇÃO]])</f>
        <v>2023</v>
      </c>
      <c r="AK572" s="66"/>
      <c r="AL572" s="66"/>
      <c r="AM572" s="66" t="s">
        <v>2768</v>
      </c>
      <c r="AN572" s="66" t="s">
        <v>2768</v>
      </c>
      <c r="AO572" s="66" t="s">
        <v>2768</v>
      </c>
    </row>
    <row r="573" spans="2:41" x14ac:dyDescent="0.25">
      <c r="B573" s="128" t="s">
        <v>2771</v>
      </c>
      <c r="C57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73" s="79">
        <v>45079.333333333336</v>
      </c>
      <c r="E573" s="44" t="s">
        <v>4942</v>
      </c>
      <c r="F573" s="66">
        <v>40</v>
      </c>
      <c r="G573" s="66" t="s">
        <v>2826</v>
      </c>
      <c r="H573" s="44" t="s">
        <v>1674</v>
      </c>
      <c r="I573" s="299" t="s">
        <v>2829</v>
      </c>
      <c r="J573" s="66">
        <v>5388</v>
      </c>
      <c r="K573" s="66" t="s">
        <v>4911</v>
      </c>
      <c r="L573" s="66">
        <v>106953</v>
      </c>
      <c r="M573" s="66">
        <v>106954</v>
      </c>
      <c r="N573" s="66" t="s">
        <v>210</v>
      </c>
      <c r="O573" s="66" t="s">
        <v>211</v>
      </c>
      <c r="P573" s="66" t="s">
        <v>203</v>
      </c>
      <c r="Q573" s="138" t="str">
        <f ca="1">IFERROR(LOOKUP($P573,MOTORISTAS!$D$3:$D$1048576,MOTORISTAS!E$3:E$916),"")</f>
        <v>10395859816</v>
      </c>
      <c r="R573" s="138" t="str">
        <f ca="1">IFERROR(LOOKUP($P573,MOTORISTAS!$D$3:$D$1048576,MOTORISTAS!F$3:F$916),"")</f>
        <v>01965794851</v>
      </c>
      <c r="S573" s="66">
        <v>16233</v>
      </c>
      <c r="T573" s="66" t="s">
        <v>293</v>
      </c>
      <c r="U573" s="79">
        <v>45079.295138888891</v>
      </c>
      <c r="V573" s="66" t="s">
        <v>469</v>
      </c>
      <c r="W573" s="79">
        <v>45079.852083333331</v>
      </c>
      <c r="X573" s="79">
        <v>45079.520833333336</v>
      </c>
      <c r="Y573" s="81" t="s">
        <v>4990</v>
      </c>
      <c r="Z573" s="81">
        <v>3400</v>
      </c>
      <c r="AA573" s="81"/>
      <c r="AB573" s="81"/>
      <c r="AC573" s="81"/>
      <c r="AD573" s="81"/>
      <c r="AE573" s="81"/>
      <c r="AF573" s="81"/>
      <c r="AG573" s="81">
        <f>Sal_23[[#This Row],[COMPRA]]*12%</f>
        <v>558.28440000000001</v>
      </c>
      <c r="AH573" s="83">
        <v>4652.37</v>
      </c>
      <c r="AI573" s="66" t="str">
        <f>PROPER(TEXT(Sal_23[[#This Row],[PROGRAMAÇÃO]],"mmm"))</f>
        <v>Jun</v>
      </c>
      <c r="AJ573" s="66">
        <f>YEAR(Sal_23[[#This Row],[PROGRAMAÇÃO]])</f>
        <v>2023</v>
      </c>
      <c r="AK573" s="66"/>
      <c r="AL573" s="66"/>
      <c r="AM573" s="66" t="s">
        <v>2768</v>
      </c>
      <c r="AN573" s="66" t="s">
        <v>2768</v>
      </c>
      <c r="AO573" s="66" t="s">
        <v>2768</v>
      </c>
    </row>
    <row r="574" spans="2:41" x14ac:dyDescent="0.25">
      <c r="B574" s="128" t="s">
        <v>2771</v>
      </c>
      <c r="C57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74" s="79">
        <v>45079.375</v>
      </c>
      <c r="E574" s="44" t="s">
        <v>4907</v>
      </c>
      <c r="F574" s="66">
        <v>20</v>
      </c>
      <c r="G574" s="66" t="s">
        <v>2820</v>
      </c>
      <c r="H574" s="44" t="s">
        <v>2820</v>
      </c>
      <c r="I574" s="299" t="s">
        <v>2821</v>
      </c>
      <c r="J574" s="66">
        <v>5255</v>
      </c>
      <c r="K574" s="66" t="s">
        <v>4911</v>
      </c>
      <c r="L574" s="66">
        <v>117240</v>
      </c>
      <c r="M574" s="66"/>
      <c r="N574" s="66" t="s">
        <v>3028</v>
      </c>
      <c r="O574" s="66" t="s">
        <v>2261</v>
      </c>
      <c r="P574" s="66" t="s">
        <v>3443</v>
      </c>
      <c r="Q574" s="138" t="str">
        <f ca="1">IFERROR(LOOKUP($P574,MOTORISTAS!$D$3:$D$1048576,MOTORISTAS!E$3:E$916),"")</f>
        <v>13990937898</v>
      </c>
      <c r="R574" s="138" t="str">
        <f ca="1">IFERROR(LOOKUP($P574,MOTORISTAS!$D$3:$D$1048576,MOTORISTAS!F$3:F$916),"")</f>
        <v>01825123407</v>
      </c>
      <c r="S574" s="66">
        <v>16225</v>
      </c>
      <c r="T574" s="66" t="s">
        <v>293</v>
      </c>
      <c r="U574" s="79">
        <v>45079.035416666666</v>
      </c>
      <c r="V574" s="66" t="s">
        <v>292</v>
      </c>
      <c r="W574" s="79">
        <v>45079.602777777778</v>
      </c>
      <c r="X574" s="79">
        <v>45079.159722222219</v>
      </c>
      <c r="Y574" s="88">
        <v>45079.451388888891</v>
      </c>
      <c r="Z574" s="81">
        <v>1600</v>
      </c>
      <c r="AA574" s="81"/>
      <c r="AB574" s="81"/>
      <c r="AC574" s="81"/>
      <c r="AD574" s="81"/>
      <c r="AE574" s="81"/>
      <c r="AF574" s="81"/>
      <c r="AG574" s="81">
        <f>Sal_23[[#This Row],[COMPRA]]*12%</f>
        <v>276</v>
      </c>
      <c r="AH574" s="83">
        <v>2300</v>
      </c>
      <c r="AI574" s="66" t="str">
        <f>PROPER(TEXT(Sal_23[[#This Row],[PROGRAMAÇÃO]],"mmm"))</f>
        <v>Jun</v>
      </c>
      <c r="AJ574" s="66">
        <f>YEAR(Sal_23[[#This Row],[PROGRAMAÇÃO]])</f>
        <v>2023</v>
      </c>
      <c r="AK574" s="66"/>
      <c r="AL574" s="66"/>
      <c r="AM574" s="66" t="s">
        <v>2768</v>
      </c>
      <c r="AN574" s="66" t="s">
        <v>2768</v>
      </c>
      <c r="AO574" s="66" t="s">
        <v>2768</v>
      </c>
    </row>
    <row r="575" spans="2:41" x14ac:dyDescent="0.25">
      <c r="B575" s="128" t="s">
        <v>2771</v>
      </c>
      <c r="C57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75" s="79">
        <v>45079.375</v>
      </c>
      <c r="E575" s="44" t="s">
        <v>4908</v>
      </c>
      <c r="F575" s="66">
        <v>20</v>
      </c>
      <c r="G575" s="66" t="s">
        <v>2820</v>
      </c>
      <c r="H575" s="44" t="s">
        <v>2820</v>
      </c>
      <c r="I575" s="299" t="s">
        <v>2821</v>
      </c>
      <c r="J575" s="66">
        <v>5391</v>
      </c>
      <c r="K575" s="66" t="s">
        <v>4911</v>
      </c>
      <c r="L575" s="66">
        <v>106950</v>
      </c>
      <c r="M575" s="66"/>
      <c r="N575" s="66" t="s">
        <v>2949</v>
      </c>
      <c r="O575" s="66" t="s">
        <v>2950</v>
      </c>
      <c r="P575" s="66" t="s">
        <v>4707</v>
      </c>
      <c r="Q575" s="138" t="str">
        <f ca="1">IFERROR(LOOKUP($P575,MOTORISTAS!$D$3:$D$1048576,MOTORISTAS!E$3:E$916),"")</f>
        <v>13777529842</v>
      </c>
      <c r="R575" s="138" t="str">
        <f ca="1">IFERROR(LOOKUP($P575,MOTORISTAS!$D$3:$D$1048576,MOTORISTAS!F$3:F$916),"")</f>
        <v>02511580623</v>
      </c>
      <c r="S575" s="66">
        <v>16226</v>
      </c>
      <c r="T575" s="66" t="s">
        <v>293</v>
      </c>
      <c r="U575" s="79">
        <v>45079.09375</v>
      </c>
      <c r="V575" s="66" t="s">
        <v>292</v>
      </c>
      <c r="W575" s="79">
        <v>45079.609027777777</v>
      </c>
      <c r="X575" s="79">
        <v>45079.208333333336</v>
      </c>
      <c r="Y575" s="88">
        <v>45079.451388888891</v>
      </c>
      <c r="Z575" s="81">
        <v>1600</v>
      </c>
      <c r="AA575" s="81"/>
      <c r="AB575" s="81"/>
      <c r="AC575" s="81"/>
      <c r="AD575" s="81"/>
      <c r="AE575" s="81"/>
      <c r="AF575" s="81"/>
      <c r="AG575" s="81">
        <f>Sal_23[[#This Row],[COMPRA]]*12%</f>
        <v>276</v>
      </c>
      <c r="AH575" s="83">
        <v>2300</v>
      </c>
      <c r="AI575" s="66" t="str">
        <f>PROPER(TEXT(Sal_23[[#This Row],[PROGRAMAÇÃO]],"mmm"))</f>
        <v>Jun</v>
      </c>
      <c r="AJ575" s="66">
        <f>YEAR(Sal_23[[#This Row],[PROGRAMAÇÃO]])</f>
        <v>2023</v>
      </c>
      <c r="AK575" s="66"/>
      <c r="AL575" s="66"/>
      <c r="AM575" s="66" t="s">
        <v>2768</v>
      </c>
      <c r="AN575" s="66" t="s">
        <v>2768</v>
      </c>
      <c r="AO575" s="66" t="s">
        <v>2768</v>
      </c>
    </row>
    <row r="576" spans="2:41" x14ac:dyDescent="0.25">
      <c r="B576" s="128" t="s">
        <v>2771</v>
      </c>
      <c r="C57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76" s="79">
        <v>45079.458333333336</v>
      </c>
      <c r="E576" s="44" t="s">
        <v>4905</v>
      </c>
      <c r="F576" s="66">
        <v>20</v>
      </c>
      <c r="G576" s="66" t="s">
        <v>2820</v>
      </c>
      <c r="H576" s="44" t="s">
        <v>2820</v>
      </c>
      <c r="I576" s="299" t="s">
        <v>2821</v>
      </c>
      <c r="J576" s="66">
        <v>5400</v>
      </c>
      <c r="K576" s="66" t="s">
        <v>4911</v>
      </c>
      <c r="L576" s="66">
        <v>106795</v>
      </c>
      <c r="M576" s="66"/>
      <c r="N576" s="66" t="s">
        <v>2859</v>
      </c>
      <c r="O576" s="66" t="s">
        <v>2860</v>
      </c>
      <c r="P576" s="66" t="s">
        <v>2861</v>
      </c>
      <c r="Q576" s="138" t="str">
        <f ca="1">IFERROR(LOOKUP($P576,MOTORISTAS!$D$3:$D$1048576,MOTORISTAS!E$3:E$916),"")</f>
        <v>01817591878</v>
      </c>
      <c r="R576" s="138" t="str">
        <f ca="1">IFERROR(LOOKUP($P576,MOTORISTAS!$D$3:$D$1048576,MOTORISTAS!F$3:F$916),"")</f>
        <v>00821760640</v>
      </c>
      <c r="S576" s="66">
        <v>16224</v>
      </c>
      <c r="T576" s="66" t="s">
        <v>293</v>
      </c>
      <c r="U576" s="79">
        <v>45079.053472222222</v>
      </c>
      <c r="V576" s="66" t="s">
        <v>292</v>
      </c>
      <c r="W576" s="79">
        <v>45080.284722222219</v>
      </c>
      <c r="X576" s="79">
        <v>45079.159722222219</v>
      </c>
      <c r="Y576" s="88">
        <v>45079.659722222219</v>
      </c>
      <c r="Z576" s="81">
        <v>1600</v>
      </c>
      <c r="AA576" s="81"/>
      <c r="AB576" s="81"/>
      <c r="AC576" s="81"/>
      <c r="AD576" s="81"/>
      <c r="AE576" s="81"/>
      <c r="AF576" s="81"/>
      <c r="AG576" s="81">
        <f>Sal_23[[#This Row],[COMPRA]]*12%</f>
        <v>276</v>
      </c>
      <c r="AH576" s="83">
        <v>2300</v>
      </c>
      <c r="AI576" s="66" t="str">
        <f>PROPER(TEXT(Sal_23[[#This Row],[PROGRAMAÇÃO]],"mmm"))</f>
        <v>Jun</v>
      </c>
      <c r="AJ576" s="66">
        <f>YEAR(Sal_23[[#This Row],[PROGRAMAÇÃO]])</f>
        <v>2023</v>
      </c>
      <c r="AK576" s="66"/>
      <c r="AL576" s="66"/>
      <c r="AM576" s="66" t="s">
        <v>2768</v>
      </c>
      <c r="AN576" s="66" t="s">
        <v>2768</v>
      </c>
      <c r="AO576" s="66" t="s">
        <v>2768</v>
      </c>
    </row>
    <row r="577" spans="2:41" x14ac:dyDescent="0.25">
      <c r="B577" s="128" t="s">
        <v>2771</v>
      </c>
      <c r="C57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77" s="79">
        <v>45079.458333333336</v>
      </c>
      <c r="E577" s="44" t="s">
        <v>4910</v>
      </c>
      <c r="F577" s="66">
        <v>40</v>
      </c>
      <c r="G577" s="66" t="s">
        <v>2820</v>
      </c>
      <c r="H577" s="44" t="s">
        <v>2820</v>
      </c>
      <c r="I577" s="299" t="s">
        <v>2821</v>
      </c>
      <c r="J577" s="66">
        <v>5315</v>
      </c>
      <c r="K577" s="66" t="s">
        <v>4911</v>
      </c>
      <c r="L577" s="66">
        <v>106922</v>
      </c>
      <c r="M577" s="66"/>
      <c r="N577" s="66" t="s">
        <v>72</v>
      </c>
      <c r="O577" s="66" t="s">
        <v>27</v>
      </c>
      <c r="P577" s="66" t="s">
        <v>203</v>
      </c>
      <c r="Q577" s="138" t="str">
        <f ca="1">IFERROR(LOOKUP($P577,MOTORISTAS!$D$3:$D$1048576,MOTORISTAS!E$3:E$916),"")</f>
        <v>10395859816</v>
      </c>
      <c r="R577" s="138" t="str">
        <f ca="1">IFERROR(LOOKUP($P577,MOTORISTAS!$D$3:$D$1048576,MOTORISTAS!F$3:F$916),"")</f>
        <v>01965794851</v>
      </c>
      <c r="S577" s="66">
        <v>16231</v>
      </c>
      <c r="T577" s="66" t="s">
        <v>293</v>
      </c>
      <c r="U577" s="79">
        <v>45079.42083333333</v>
      </c>
      <c r="V577" s="66" t="s">
        <v>469</v>
      </c>
      <c r="W577" s="79">
        <v>45079.806250000001</v>
      </c>
      <c r="X577" s="79">
        <v>45079.49722222222</v>
      </c>
      <c r="Y577" s="88">
        <v>45079.601388888892</v>
      </c>
      <c r="Z577" s="81">
        <v>1600</v>
      </c>
      <c r="AA577" s="81"/>
      <c r="AB577" s="81"/>
      <c r="AC577" s="81"/>
      <c r="AD577" s="81"/>
      <c r="AE577" s="81"/>
      <c r="AF577" s="81"/>
      <c r="AG577" s="81">
        <f>Sal_23[[#This Row],[COMPRA]]*12%</f>
        <v>276</v>
      </c>
      <c r="AH577" s="83">
        <v>2300</v>
      </c>
      <c r="AI577" s="66" t="str">
        <f>PROPER(TEXT(Sal_23[[#This Row],[PROGRAMAÇÃO]],"mmm"))</f>
        <v>Jun</v>
      </c>
      <c r="AJ577" s="66">
        <f>YEAR(Sal_23[[#This Row],[PROGRAMAÇÃO]])</f>
        <v>2023</v>
      </c>
      <c r="AK577" s="66"/>
      <c r="AL577" s="66"/>
      <c r="AM577" s="66" t="s">
        <v>2768</v>
      </c>
      <c r="AN577" s="66" t="s">
        <v>2768</v>
      </c>
      <c r="AO577" s="66" t="s">
        <v>2768</v>
      </c>
    </row>
    <row r="578" spans="2:41" x14ac:dyDescent="0.25">
      <c r="B578" s="128" t="s">
        <v>2771</v>
      </c>
      <c r="C57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78" s="79">
        <v>45082.333333333336</v>
      </c>
      <c r="E578" s="44" t="s">
        <v>4931</v>
      </c>
      <c r="F578" s="66">
        <v>20</v>
      </c>
      <c r="G578" s="66" t="s">
        <v>2826</v>
      </c>
      <c r="H578" s="44" t="s">
        <v>2838</v>
      </c>
      <c r="I578" s="299" t="s">
        <v>2828</v>
      </c>
      <c r="J578" s="66">
        <v>3252</v>
      </c>
      <c r="K578" s="66" t="s">
        <v>4911</v>
      </c>
      <c r="L578" s="66">
        <v>106907</v>
      </c>
      <c r="M578" s="66"/>
      <c r="N578" s="66" t="s">
        <v>31</v>
      </c>
      <c r="O578" s="66" t="s">
        <v>32</v>
      </c>
      <c r="P578" s="66" t="s">
        <v>33</v>
      </c>
      <c r="Q578" s="138" t="str">
        <f ca="1">IFERROR(LOOKUP($P578,MOTORISTAS!$D$3:$D$1048576,MOTORISTAS!E$3:E$916),"")</f>
        <v>09776430856</v>
      </c>
      <c r="R578" s="138" t="str">
        <f ca="1">IFERROR(LOOKUP($P578,MOTORISTAS!$D$3:$D$1048576,MOTORISTAS!F$3:F$916),"")</f>
        <v>01258979905</v>
      </c>
      <c r="S578" s="66">
        <v>16248</v>
      </c>
      <c r="T578" s="66" t="s">
        <v>293</v>
      </c>
      <c r="U578" s="79">
        <v>45080.44027777778</v>
      </c>
      <c r="V578" s="66" t="s">
        <v>526</v>
      </c>
      <c r="W578" s="79">
        <v>45082.576388888891</v>
      </c>
      <c r="X578" s="79">
        <v>45082.301388888889</v>
      </c>
      <c r="Y578" s="88">
        <v>45082.499305555553</v>
      </c>
      <c r="Z578" s="81">
        <v>2700</v>
      </c>
      <c r="AA578" s="81"/>
      <c r="AB578" s="81"/>
      <c r="AC578" s="81"/>
      <c r="AD578" s="81"/>
      <c r="AE578" s="81"/>
      <c r="AF578" s="81"/>
      <c r="AG578" s="81">
        <f>Sal_23[[#This Row],[COMPRA]]*12%</f>
        <v>601.46159999999998</v>
      </c>
      <c r="AH578" s="83">
        <v>5012.18</v>
      </c>
      <c r="AI578" s="66" t="str">
        <f>PROPER(TEXT(Sal_23[[#This Row],[PROGRAMAÇÃO]],"mmm"))</f>
        <v>Jun</v>
      </c>
      <c r="AJ578" s="66">
        <f>YEAR(Sal_23[[#This Row],[PROGRAMAÇÃO]])</f>
        <v>2023</v>
      </c>
      <c r="AK578" s="66"/>
      <c r="AL578" s="66"/>
      <c r="AM578" s="66" t="s">
        <v>2768</v>
      </c>
      <c r="AN578" s="66" t="s">
        <v>2768</v>
      </c>
      <c r="AO578" s="66" t="s">
        <v>2768</v>
      </c>
    </row>
    <row r="579" spans="2:41" x14ac:dyDescent="0.25">
      <c r="B579" s="128" t="s">
        <v>2771</v>
      </c>
      <c r="C57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79" s="79">
        <v>45082.333333333336</v>
      </c>
      <c r="E579" s="44" t="s">
        <v>4935</v>
      </c>
      <c r="F579" s="66">
        <v>40</v>
      </c>
      <c r="G579" s="66" t="s">
        <v>2826</v>
      </c>
      <c r="H579" s="44" t="s">
        <v>2835</v>
      </c>
      <c r="I579" s="299" t="s">
        <v>2822</v>
      </c>
      <c r="J579" s="66">
        <v>5389</v>
      </c>
      <c r="K579" s="66" t="s">
        <v>4911</v>
      </c>
      <c r="L579" s="66">
        <v>106909</v>
      </c>
      <c r="M579" s="66"/>
      <c r="N579" s="66" t="s">
        <v>106</v>
      </c>
      <c r="O579" s="66" t="s">
        <v>107</v>
      </c>
      <c r="P579" s="66" t="s">
        <v>108</v>
      </c>
      <c r="Q579" s="138" t="str">
        <f ca="1">IFERROR(LOOKUP($P579,MOTORISTAS!$D$3:$D$1048576,MOTORISTAS!E$3:E$916),"")</f>
        <v>34927982840</v>
      </c>
      <c r="R579" s="138" t="str">
        <f ca="1">IFERROR(LOOKUP($P579,MOTORISTAS!$D$3:$D$1048576,MOTORISTAS!F$3:F$916),"")</f>
        <v>03500129879</v>
      </c>
      <c r="S579" s="66">
        <v>16251</v>
      </c>
      <c r="T579" s="66" t="s">
        <v>293</v>
      </c>
      <c r="U579" s="79">
        <v>45082.350694444445</v>
      </c>
      <c r="V579" s="66" t="s">
        <v>469</v>
      </c>
      <c r="W579" s="79">
        <v>45083.590277777781</v>
      </c>
      <c r="X579" s="79">
        <v>45082.446527777778</v>
      </c>
      <c r="Y579" s="88">
        <v>45082.65</v>
      </c>
      <c r="Z579" s="81">
        <v>2100</v>
      </c>
      <c r="AA579" s="81"/>
      <c r="AB579" s="81"/>
      <c r="AC579" s="81"/>
      <c r="AD579" s="81"/>
      <c r="AE579" s="81"/>
      <c r="AF579" s="81"/>
      <c r="AG579" s="81">
        <f>Sal_23[[#This Row],[COMPRA]]*12%</f>
        <v>370.37759999999997</v>
      </c>
      <c r="AH579" s="83">
        <v>3086.48</v>
      </c>
      <c r="AI579" s="66" t="str">
        <f>PROPER(TEXT(Sal_23[[#This Row],[PROGRAMAÇÃO]],"mmm"))</f>
        <v>Jun</v>
      </c>
      <c r="AJ579" s="66">
        <f>YEAR(Sal_23[[#This Row],[PROGRAMAÇÃO]])</f>
        <v>2023</v>
      </c>
      <c r="AK579" s="66" t="s">
        <v>4981</v>
      </c>
      <c r="AL579" s="66" t="s">
        <v>4980</v>
      </c>
      <c r="AM579" s="66" t="s">
        <v>2768</v>
      </c>
      <c r="AN579" s="66" t="s">
        <v>2768</v>
      </c>
      <c r="AO579" s="66" t="s">
        <v>2768</v>
      </c>
    </row>
    <row r="580" spans="2:41" x14ac:dyDescent="0.25">
      <c r="B580" s="128" t="s">
        <v>2771</v>
      </c>
      <c r="C58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80" s="79">
        <v>45082.375</v>
      </c>
      <c r="E580" s="44" t="s">
        <v>4903</v>
      </c>
      <c r="F580" s="66">
        <v>20</v>
      </c>
      <c r="G580" s="66" t="s">
        <v>2820</v>
      </c>
      <c r="H580" s="44" t="s">
        <v>2820</v>
      </c>
      <c r="I580" s="299" t="s">
        <v>2821</v>
      </c>
      <c r="J580" s="66">
        <v>5342</v>
      </c>
      <c r="K580" s="66" t="s">
        <v>4911</v>
      </c>
      <c r="L580" s="66">
        <v>64567</v>
      </c>
      <c r="M580" s="66">
        <v>64568</v>
      </c>
      <c r="N580" s="66" t="s">
        <v>2859</v>
      </c>
      <c r="O580" s="66" t="s">
        <v>2860</v>
      </c>
      <c r="P580" s="66" t="s">
        <v>2861</v>
      </c>
      <c r="Q580" s="138" t="str">
        <f ca="1">IFERROR(LOOKUP($P580,MOTORISTAS!$D$3:$D$1048576,MOTORISTAS!E$3:E$916),"")</f>
        <v>01817591878</v>
      </c>
      <c r="R580" s="138" t="str">
        <f ca="1">IFERROR(LOOKUP($P580,MOTORISTAS!$D$3:$D$1048576,MOTORISTAS!F$3:F$916),"")</f>
        <v>00821760640</v>
      </c>
      <c r="S580" s="66">
        <v>16241</v>
      </c>
      <c r="T580" s="66" t="s">
        <v>293</v>
      </c>
      <c r="U580" s="79">
        <v>45081.92291666667</v>
      </c>
      <c r="V580" s="66" t="s">
        <v>526</v>
      </c>
      <c r="W580" s="79">
        <v>45084.622916666667</v>
      </c>
      <c r="X580" s="79">
        <v>45082.003472222219</v>
      </c>
      <c r="Y580" s="88">
        <v>45082.625</v>
      </c>
      <c r="Z580" s="81">
        <v>1600</v>
      </c>
      <c r="AA580" s="81"/>
      <c r="AB580" s="81"/>
      <c r="AC580" s="81"/>
      <c r="AD580" s="81"/>
      <c r="AE580" s="81"/>
      <c r="AF580" s="81"/>
      <c r="AG580" s="81">
        <f>Sal_23[[#This Row],[COMPRA]]*12%</f>
        <v>276</v>
      </c>
      <c r="AH580" s="83">
        <v>2300</v>
      </c>
      <c r="AI580" s="66" t="str">
        <f>PROPER(TEXT(Sal_23[[#This Row],[PROGRAMAÇÃO]],"mmm"))</f>
        <v>Jun</v>
      </c>
      <c r="AJ580" s="66">
        <f>YEAR(Sal_23[[#This Row],[PROGRAMAÇÃO]])</f>
        <v>2023</v>
      </c>
      <c r="AK580" s="66"/>
      <c r="AL580" s="66"/>
      <c r="AM580" s="66" t="s">
        <v>2768</v>
      </c>
      <c r="AN580" s="66" t="s">
        <v>2768</v>
      </c>
      <c r="AO580" s="66" t="s">
        <v>2768</v>
      </c>
    </row>
    <row r="581" spans="2:41" x14ac:dyDescent="0.25">
      <c r="B581" s="128" t="s">
        <v>2771</v>
      </c>
      <c r="C58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81" s="79">
        <v>45082.375</v>
      </c>
      <c r="E581" s="44" t="s">
        <v>4904</v>
      </c>
      <c r="F581" s="66">
        <v>20</v>
      </c>
      <c r="G581" s="66" t="s">
        <v>2820</v>
      </c>
      <c r="H581" s="44" t="s">
        <v>2820</v>
      </c>
      <c r="I581" s="299" t="s">
        <v>2821</v>
      </c>
      <c r="J581" s="66">
        <v>5275</v>
      </c>
      <c r="K581" s="66" t="s">
        <v>4911</v>
      </c>
      <c r="L581" s="66">
        <v>64565</v>
      </c>
      <c r="M581" s="66">
        <v>64566</v>
      </c>
      <c r="N581" s="66" t="s">
        <v>3028</v>
      </c>
      <c r="O581" s="66" t="s">
        <v>2261</v>
      </c>
      <c r="P581" s="66" t="s">
        <v>3443</v>
      </c>
      <c r="Q581" s="138" t="str">
        <f ca="1">IFERROR(LOOKUP($P581,MOTORISTAS!$D$3:$D$1048576,MOTORISTAS!E$3:E$916),"")</f>
        <v>13990937898</v>
      </c>
      <c r="R581" s="138" t="str">
        <f ca="1">IFERROR(LOOKUP($P581,MOTORISTAS!$D$3:$D$1048576,MOTORISTAS!F$3:F$916),"")</f>
        <v>01825123407</v>
      </c>
      <c r="S581" s="66">
        <v>16243</v>
      </c>
      <c r="T581" s="66" t="s">
        <v>293</v>
      </c>
      <c r="U581" s="79">
        <v>45081.92083333333</v>
      </c>
      <c r="V581" s="66" t="s">
        <v>292</v>
      </c>
      <c r="W581" s="79">
        <v>45082.6</v>
      </c>
      <c r="X581" s="79">
        <v>45082.003472222219</v>
      </c>
      <c r="Y581" s="88">
        <v>45082.458333333336</v>
      </c>
      <c r="Z581" s="81">
        <v>1600</v>
      </c>
      <c r="AA581" s="81"/>
      <c r="AB581" s="81"/>
      <c r="AC581" s="81"/>
      <c r="AD581" s="81"/>
      <c r="AE581" s="81"/>
      <c r="AF581" s="81"/>
      <c r="AG581" s="81">
        <f>Sal_23[[#This Row],[COMPRA]]*12%</f>
        <v>276</v>
      </c>
      <c r="AH581" s="83">
        <v>2300</v>
      </c>
      <c r="AI581" s="66" t="str">
        <f>PROPER(TEXT(Sal_23[[#This Row],[PROGRAMAÇÃO]],"mmm"))</f>
        <v>Jun</v>
      </c>
      <c r="AJ581" s="66">
        <f>YEAR(Sal_23[[#This Row],[PROGRAMAÇÃO]])</f>
        <v>2023</v>
      </c>
      <c r="AK581" s="66"/>
      <c r="AL581" s="66"/>
      <c r="AM581" s="66" t="s">
        <v>2768</v>
      </c>
      <c r="AN581" s="66" t="s">
        <v>2768</v>
      </c>
      <c r="AO581" s="66" t="s">
        <v>2768</v>
      </c>
    </row>
    <row r="582" spans="2:41" x14ac:dyDescent="0.25">
      <c r="B582" s="128" t="s">
        <v>2771</v>
      </c>
      <c r="C58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82" s="79">
        <v>45082.458333333336</v>
      </c>
      <c r="E582" s="44" t="s">
        <v>4909</v>
      </c>
      <c r="F582" s="66">
        <v>40</v>
      </c>
      <c r="G582" s="66" t="s">
        <v>2820</v>
      </c>
      <c r="H582" s="44" t="s">
        <v>2820</v>
      </c>
      <c r="I582" s="299" t="s">
        <v>2821</v>
      </c>
      <c r="J582" s="66">
        <v>5271</v>
      </c>
      <c r="K582" s="66" t="s">
        <v>4911</v>
      </c>
      <c r="L582" s="66">
        <v>106832</v>
      </c>
      <c r="M582" s="66"/>
      <c r="N582" s="66" t="s">
        <v>150</v>
      </c>
      <c r="O582" s="66" t="s">
        <v>151</v>
      </c>
      <c r="P582" s="66" t="s">
        <v>4901</v>
      </c>
      <c r="Q582" s="138" t="str">
        <f ca="1">IFERROR(LOOKUP($P582,MOTORISTAS!$D$3:$D$1048576,MOTORISTAS!E$3:E$916),"")</f>
        <v>25538214842</v>
      </c>
      <c r="R582" s="138" t="str">
        <f ca="1">IFERROR(LOOKUP($P582,MOTORISTAS!$D$3:$D$1048576,MOTORISTAS!F$3:F$916),"")</f>
        <v>01845110101</v>
      </c>
      <c r="S582" s="66" t="s">
        <v>4976</v>
      </c>
      <c r="T582" s="66" t="s">
        <v>293</v>
      </c>
      <c r="U582" s="79">
        <v>45082.261111111111</v>
      </c>
      <c r="V582" s="66" t="s">
        <v>292</v>
      </c>
      <c r="W582" s="79">
        <v>45082.719444444447</v>
      </c>
      <c r="X582" s="79">
        <v>45082.388888888891</v>
      </c>
      <c r="Y582" s="88">
        <v>45082.523611111108</v>
      </c>
      <c r="Z582" s="81">
        <v>1600</v>
      </c>
      <c r="AA582" s="81"/>
      <c r="AB582" s="81"/>
      <c r="AC582" s="81"/>
      <c r="AD582" s="81"/>
      <c r="AE582" s="81"/>
      <c r="AF582" s="81"/>
      <c r="AG582" s="81">
        <f>Sal_23[[#This Row],[COMPRA]]*12%</f>
        <v>276</v>
      </c>
      <c r="AH582" s="83">
        <v>2300</v>
      </c>
      <c r="AI582" s="66" t="str">
        <f>PROPER(TEXT(Sal_23[[#This Row],[PROGRAMAÇÃO]],"mmm"))</f>
        <v>Jun</v>
      </c>
      <c r="AJ582" s="66">
        <f>YEAR(Sal_23[[#This Row],[PROGRAMAÇÃO]])</f>
        <v>2023</v>
      </c>
      <c r="AK582" s="66"/>
      <c r="AL582" s="66"/>
      <c r="AM582" s="66" t="s">
        <v>2768</v>
      </c>
      <c r="AN582" s="66" t="s">
        <v>2768</v>
      </c>
      <c r="AO582" s="66" t="s">
        <v>2768</v>
      </c>
    </row>
    <row r="583" spans="2:41" x14ac:dyDescent="0.25">
      <c r="B583" s="128" t="s">
        <v>2771</v>
      </c>
      <c r="C58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83" s="79">
        <v>45082.458333333336</v>
      </c>
      <c r="E583" s="44" t="s">
        <v>4912</v>
      </c>
      <c r="F583" s="66">
        <v>40</v>
      </c>
      <c r="G583" s="66" t="s">
        <v>2820</v>
      </c>
      <c r="H583" s="44" t="s">
        <v>2820</v>
      </c>
      <c r="I583" s="299" t="s">
        <v>2821</v>
      </c>
      <c r="J583" s="66">
        <v>5386</v>
      </c>
      <c r="K583" s="66" t="s">
        <v>4911</v>
      </c>
      <c r="L583" s="66">
        <v>106952</v>
      </c>
      <c r="M583" s="66"/>
      <c r="N583" s="66" t="s">
        <v>102</v>
      </c>
      <c r="O583" s="66" t="s">
        <v>27</v>
      </c>
      <c r="P583" s="66" t="s">
        <v>203</v>
      </c>
      <c r="Q583" s="138" t="str">
        <f ca="1">IFERROR(LOOKUP($P583,MOTORISTAS!$D$3:$D$1048576,MOTORISTAS!E$3:E$916),"")</f>
        <v>10395859816</v>
      </c>
      <c r="R583" s="138" t="str">
        <f ca="1">IFERROR(LOOKUP($P583,MOTORISTAS!$D$3:$D$1048576,MOTORISTAS!F$3:F$916),"")</f>
        <v>01965794851</v>
      </c>
      <c r="S583" s="66">
        <v>16244</v>
      </c>
      <c r="T583" s="66" t="s">
        <v>293</v>
      </c>
      <c r="U583" s="79">
        <v>45082.239583333336</v>
      </c>
      <c r="V583" s="66" t="s">
        <v>292</v>
      </c>
      <c r="W583" s="79">
        <v>45082</v>
      </c>
      <c r="X583" s="79">
        <v>45082.322916666664</v>
      </c>
      <c r="Y583" s="88">
        <v>45082.481944444444</v>
      </c>
      <c r="Z583" s="81">
        <v>1600</v>
      </c>
      <c r="AA583" s="81"/>
      <c r="AB583" s="81"/>
      <c r="AC583" s="81"/>
      <c r="AD583" s="81"/>
      <c r="AE583" s="81"/>
      <c r="AF583" s="81"/>
      <c r="AG583" s="81">
        <f>Sal_23[[#This Row],[COMPRA]]*12%</f>
        <v>276</v>
      </c>
      <c r="AH583" s="83">
        <v>2300</v>
      </c>
      <c r="AI583" s="66" t="str">
        <f>PROPER(TEXT(Sal_23[[#This Row],[PROGRAMAÇÃO]],"mmm"))</f>
        <v>Jun</v>
      </c>
      <c r="AJ583" s="66">
        <f>YEAR(Sal_23[[#This Row],[PROGRAMAÇÃO]])</f>
        <v>2023</v>
      </c>
      <c r="AK583" s="66"/>
      <c r="AL583" s="66"/>
      <c r="AM583" s="66" t="s">
        <v>2768</v>
      </c>
      <c r="AN583" s="66" t="s">
        <v>2768</v>
      </c>
      <c r="AO583" s="66" t="s">
        <v>2768</v>
      </c>
    </row>
    <row r="584" spans="2:41" x14ac:dyDescent="0.25">
      <c r="B584" s="128" t="s">
        <v>2771</v>
      </c>
      <c r="C58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84" s="79">
        <v>45083.333333333336</v>
      </c>
      <c r="E584" s="44" t="s">
        <v>4925</v>
      </c>
      <c r="F584" s="66">
        <v>20</v>
      </c>
      <c r="G584" s="66" t="s">
        <v>2826</v>
      </c>
      <c r="H584" s="44" t="s">
        <v>3116</v>
      </c>
      <c r="I584" s="299" t="s">
        <v>3117</v>
      </c>
      <c r="J584" s="66">
        <v>5330</v>
      </c>
      <c r="K584" s="66" t="s">
        <v>4911</v>
      </c>
      <c r="L584" s="66">
        <v>117068</v>
      </c>
      <c r="M584" s="66"/>
      <c r="N584" s="66" t="s">
        <v>4571</v>
      </c>
      <c r="O584" s="66" t="s">
        <v>4572</v>
      </c>
      <c r="P584" s="66" t="s">
        <v>4573</v>
      </c>
      <c r="Q584" s="138" t="str">
        <f ca="1">IFERROR(LOOKUP($P584,MOTORISTAS!$D$3:$D$1048576,MOTORISTAS!E$3:E$916),"")</f>
        <v>09221836860</v>
      </c>
      <c r="R584" s="138" t="str">
        <f ca="1">IFERROR(LOOKUP($P584,MOTORISTAS!$D$3:$D$1048576,MOTORISTAS!F$3:F$916),"")</f>
        <v>01994346710</v>
      </c>
      <c r="S584" s="66">
        <v>16256</v>
      </c>
      <c r="T584" s="66" t="s">
        <v>293</v>
      </c>
      <c r="U584" s="79">
        <v>45083.179861111108</v>
      </c>
      <c r="V584" s="66" t="s">
        <v>526</v>
      </c>
      <c r="W584" s="79">
        <v>45083.701388888891</v>
      </c>
      <c r="X584" s="79">
        <v>45083.34652777778</v>
      </c>
      <c r="Y584" s="88">
        <v>45083.611111111109</v>
      </c>
      <c r="Z584" s="81">
        <v>2200</v>
      </c>
      <c r="AA584" s="81"/>
      <c r="AB584" s="81"/>
      <c r="AC584" s="81">
        <v>700</v>
      </c>
      <c r="AD584" s="81"/>
      <c r="AE584" s="81"/>
      <c r="AF584" s="81"/>
      <c r="AG584" s="81">
        <f>Sal_23[[#This Row],[COMPRA]]*12%</f>
        <v>529.16279999999995</v>
      </c>
      <c r="AH584" s="83">
        <v>4409.6899999999996</v>
      </c>
      <c r="AI584" s="66" t="str">
        <f>PROPER(TEXT(Sal_23[[#This Row],[PROGRAMAÇÃO]],"mmm"))</f>
        <v>Jun</v>
      </c>
      <c r="AJ584" s="66">
        <f>YEAR(Sal_23[[#This Row],[PROGRAMAÇÃO]])</f>
        <v>2023</v>
      </c>
      <c r="AK584" s="66"/>
      <c r="AL584" s="66"/>
      <c r="AM584" s="66" t="s">
        <v>2768</v>
      </c>
      <c r="AN584" s="66" t="s">
        <v>2768</v>
      </c>
      <c r="AO584" s="66" t="s">
        <v>2768</v>
      </c>
    </row>
    <row r="585" spans="2:41" x14ac:dyDescent="0.25">
      <c r="B585" s="128" t="s">
        <v>2771</v>
      </c>
      <c r="C58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85" s="79">
        <v>45083.333333333336</v>
      </c>
      <c r="E585" s="44" t="s">
        <v>4926</v>
      </c>
      <c r="F585" s="66">
        <v>20</v>
      </c>
      <c r="G585" s="66" t="s">
        <v>2826</v>
      </c>
      <c r="H585" s="44" t="s">
        <v>3116</v>
      </c>
      <c r="I585" s="299" t="s">
        <v>3117</v>
      </c>
      <c r="J585" s="66">
        <v>5286</v>
      </c>
      <c r="K585" s="66" t="s">
        <v>4911</v>
      </c>
      <c r="L585" s="66">
        <v>117069</v>
      </c>
      <c r="M585" s="66"/>
      <c r="N585" s="66" t="s">
        <v>4440</v>
      </c>
      <c r="O585" s="66" t="s">
        <v>4441</v>
      </c>
      <c r="P585" s="66" t="s">
        <v>4442</v>
      </c>
      <c r="Q585" s="138" t="str">
        <f ca="1">IFERROR(LOOKUP($P585,MOTORISTAS!$D$3:$D$1048576,MOTORISTAS!E$3:E$916),"")</f>
        <v>15284965825</v>
      </c>
      <c r="R585" s="138" t="str">
        <f ca="1">IFERROR(LOOKUP($P585,MOTORISTAS!$D$3:$D$1048576,MOTORISTAS!F$3:F$916),"")</f>
        <v>01681109819</v>
      </c>
      <c r="S585" s="66">
        <v>16255</v>
      </c>
      <c r="T585" s="66" t="s">
        <v>293</v>
      </c>
      <c r="U585" s="79">
        <v>45083.03402777778</v>
      </c>
      <c r="V585" s="66" t="s">
        <v>469</v>
      </c>
      <c r="W585" s="79">
        <v>45083.75</v>
      </c>
      <c r="X585" s="79">
        <v>45083.179861111108</v>
      </c>
      <c r="Y585" s="88">
        <v>45083.546527777777</v>
      </c>
      <c r="Z585" s="81">
        <v>2200</v>
      </c>
      <c r="AA585" s="81"/>
      <c r="AB585" s="81"/>
      <c r="AC585" s="81"/>
      <c r="AD585" s="81"/>
      <c r="AE585" s="81"/>
      <c r="AF585" s="81"/>
      <c r="AG585" s="81">
        <f>Sal_23[[#This Row],[COMPRA]]*12%</f>
        <v>510.26640000000003</v>
      </c>
      <c r="AH585" s="83">
        <v>4252.22</v>
      </c>
      <c r="AI585" s="66" t="str">
        <f>PROPER(TEXT(Sal_23[[#This Row],[PROGRAMAÇÃO]],"mmm"))</f>
        <v>Jun</v>
      </c>
      <c r="AJ585" s="66">
        <f>YEAR(Sal_23[[#This Row],[PROGRAMAÇÃO]])</f>
        <v>2023</v>
      </c>
      <c r="AK585" s="66"/>
      <c r="AL585" s="66"/>
      <c r="AM585" s="66" t="s">
        <v>2768</v>
      </c>
      <c r="AN585" s="66" t="s">
        <v>2768</v>
      </c>
      <c r="AO585" s="66" t="s">
        <v>2768</v>
      </c>
    </row>
    <row r="586" spans="2:41" x14ac:dyDescent="0.25">
      <c r="B586" s="128" t="s">
        <v>2771</v>
      </c>
      <c r="C58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86" s="79">
        <v>45083.333333333336</v>
      </c>
      <c r="E586" s="44" t="s">
        <v>4936</v>
      </c>
      <c r="F586" s="66">
        <v>40</v>
      </c>
      <c r="G586" s="66" t="s">
        <v>2826</v>
      </c>
      <c r="H586" s="44" t="s">
        <v>2835</v>
      </c>
      <c r="I586" s="299" t="s">
        <v>2822</v>
      </c>
      <c r="J586" s="66">
        <v>5393</v>
      </c>
      <c r="K586" s="66" t="s">
        <v>4911</v>
      </c>
      <c r="L586" s="66">
        <v>106951</v>
      </c>
      <c r="M586" s="66"/>
      <c r="N586" s="66" t="s">
        <v>4084</v>
      </c>
      <c r="O586" s="66" t="s">
        <v>3192</v>
      </c>
      <c r="P586" s="66" t="s">
        <v>4968</v>
      </c>
      <c r="Q586" s="138" t="str">
        <f ca="1">IFERROR(LOOKUP($P586,MOTORISTAS!$D$3:$D$1048576,MOTORISTAS!E$3:E$916),"")</f>
        <v>14679464860</v>
      </c>
      <c r="R586" s="138" t="str">
        <f ca="1">IFERROR(LOOKUP($P586,MOTORISTAS!$D$3:$D$1048576,MOTORISTAS!F$3:F$916),"")</f>
        <v>01993121205</v>
      </c>
      <c r="S586" s="66">
        <v>16257</v>
      </c>
      <c r="T586" s="66" t="s">
        <v>293</v>
      </c>
      <c r="U586" s="79">
        <v>45083.251388888886</v>
      </c>
      <c r="V586" s="66" t="s">
        <v>469</v>
      </c>
      <c r="W586" s="79">
        <v>45083.699305555558</v>
      </c>
      <c r="X586" s="79">
        <v>45083.402777777781</v>
      </c>
      <c r="Y586" s="88">
        <v>45083.493055555555</v>
      </c>
      <c r="Z586" s="81">
        <v>2100</v>
      </c>
      <c r="AA586" s="81"/>
      <c r="AB586" s="81"/>
      <c r="AC586" s="81"/>
      <c r="AD586" s="81"/>
      <c r="AE586" s="81"/>
      <c r="AF586" s="81"/>
      <c r="AG586" s="81">
        <f>Sal_23[[#This Row],[COMPRA]]*12%</f>
        <v>370.37759999999997</v>
      </c>
      <c r="AH586" s="83">
        <v>3086.48</v>
      </c>
      <c r="AI586" s="66" t="str">
        <f>PROPER(TEXT(Sal_23[[#This Row],[PROGRAMAÇÃO]],"mmm"))</f>
        <v>Jun</v>
      </c>
      <c r="AJ586" s="66">
        <f>YEAR(Sal_23[[#This Row],[PROGRAMAÇÃO]])</f>
        <v>2023</v>
      </c>
      <c r="AK586" s="66"/>
      <c r="AL586" s="66"/>
      <c r="AM586" s="66" t="s">
        <v>2768</v>
      </c>
      <c r="AN586" s="66" t="s">
        <v>2768</v>
      </c>
      <c r="AO586" s="66" t="s">
        <v>2768</v>
      </c>
    </row>
    <row r="587" spans="2:41" x14ac:dyDescent="0.25">
      <c r="B587" s="128" t="s">
        <v>2771</v>
      </c>
      <c r="C58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587" s="79">
        <v>45079.333333333336</v>
      </c>
      <c r="E587" s="44" t="s">
        <v>4946</v>
      </c>
      <c r="F587" s="66">
        <v>20</v>
      </c>
      <c r="G587" s="66" t="s">
        <v>2826</v>
      </c>
      <c r="H587" s="44" t="s">
        <v>3105</v>
      </c>
      <c r="I587" s="299" t="s">
        <v>3185</v>
      </c>
      <c r="J587" s="66" t="s">
        <v>4949</v>
      </c>
      <c r="K587" s="66" t="s">
        <v>4947</v>
      </c>
      <c r="L587" s="66">
        <v>106871</v>
      </c>
      <c r="M587" s="66"/>
      <c r="N587" s="66" t="s">
        <v>4084</v>
      </c>
      <c r="O587" s="66" t="s">
        <v>4887</v>
      </c>
      <c r="P587" s="66" t="s">
        <v>4968</v>
      </c>
      <c r="Q587" s="138" t="str">
        <f ca="1">IFERROR(LOOKUP($P587,MOTORISTAS!$D$3:$D$1048576,MOTORISTAS!E$3:E$916),"")</f>
        <v>14679464860</v>
      </c>
      <c r="R587" s="138" t="str">
        <f ca="1">IFERROR(LOOKUP($P587,MOTORISTAS!$D$3:$D$1048576,MOTORISTAS!F$3:F$916),"")</f>
        <v>01993121205</v>
      </c>
      <c r="S587" s="66">
        <v>16238</v>
      </c>
      <c r="T587" s="66" t="s">
        <v>306</v>
      </c>
      <c r="U587" s="79">
        <v>45079.287499999999</v>
      </c>
      <c r="V587" s="66" t="s">
        <v>292</v>
      </c>
      <c r="W587" s="79">
        <v>45079</v>
      </c>
      <c r="X587" s="79">
        <v>45079.350694444445</v>
      </c>
      <c r="Y587" s="88">
        <v>45079.53402777778</v>
      </c>
      <c r="Z587" s="81">
        <v>1600</v>
      </c>
      <c r="AA587" s="81"/>
      <c r="AB587" s="81"/>
      <c r="AC587" s="81"/>
      <c r="AD587" s="81"/>
      <c r="AE587" s="81"/>
      <c r="AF587" s="81"/>
      <c r="AG587" s="81">
        <f>Sal_23[[#This Row],[COMPRA]]*12%</f>
        <v>415.74719999999996</v>
      </c>
      <c r="AH587" s="83">
        <v>3464.56</v>
      </c>
      <c r="AI587" s="66" t="str">
        <f>PROPER(TEXT(Sal_23[[#This Row],[PROGRAMAÇÃO]],"mmm"))</f>
        <v>Jun</v>
      </c>
      <c r="AJ587" s="66">
        <f>YEAR(Sal_23[[#This Row],[PROGRAMAÇÃO]])</f>
        <v>2023</v>
      </c>
      <c r="AK587" s="66"/>
      <c r="AL587" s="66"/>
      <c r="AM587" s="66" t="s">
        <v>2768</v>
      </c>
      <c r="AN587" s="66" t="s">
        <v>2768</v>
      </c>
      <c r="AO587" s="66"/>
    </row>
    <row r="588" spans="2:41" x14ac:dyDescent="0.25">
      <c r="B588" s="128" t="s">
        <v>2771</v>
      </c>
      <c r="C58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88" s="79">
        <v>45084.375</v>
      </c>
      <c r="E588" s="44" t="s">
        <v>4959</v>
      </c>
      <c r="F588" s="66">
        <v>20</v>
      </c>
      <c r="G588" s="66" t="s">
        <v>2820</v>
      </c>
      <c r="H588" s="44" t="s">
        <v>2820</v>
      </c>
      <c r="I588" s="299" t="s">
        <v>2821</v>
      </c>
      <c r="J588" s="66" t="s">
        <v>5031</v>
      </c>
      <c r="K588" s="66" t="s">
        <v>4958</v>
      </c>
      <c r="L588" s="66">
        <v>107046</v>
      </c>
      <c r="M588" s="66"/>
      <c r="N588" s="66" t="s">
        <v>4571</v>
      </c>
      <c r="O588" s="66" t="s">
        <v>4572</v>
      </c>
      <c r="P588" s="66" t="s">
        <v>4573</v>
      </c>
      <c r="Q588" s="138" t="str">
        <f ca="1">IFERROR(LOOKUP($P588,MOTORISTAS!$D$3:$D$1048576,MOTORISTAS!E$3:E$916),"")</f>
        <v>09221836860</v>
      </c>
      <c r="R588" s="138" t="str">
        <f ca="1">IFERROR(LOOKUP($P588,MOTORISTAS!$D$3:$D$1048576,MOTORISTAS!F$3:F$916),"")</f>
        <v>01994346710</v>
      </c>
      <c r="S588" s="66">
        <v>16269</v>
      </c>
      <c r="T588" s="66" t="s">
        <v>306</v>
      </c>
      <c r="U588" s="79">
        <v>45084.168749999997</v>
      </c>
      <c r="V588" s="66" t="s">
        <v>292</v>
      </c>
      <c r="W588" s="79">
        <v>45084.587500000001</v>
      </c>
      <c r="X588" s="79">
        <v>45084.302083333336</v>
      </c>
      <c r="Y588" s="88">
        <v>45084.51666666667</v>
      </c>
      <c r="Z588" s="81">
        <v>1600</v>
      </c>
      <c r="AA588" s="81"/>
      <c r="AB588" s="81"/>
      <c r="AC588" s="81"/>
      <c r="AD588" s="81"/>
      <c r="AE588" s="81"/>
      <c r="AF588" s="81"/>
      <c r="AG588" s="81">
        <f>Sal_23[[#This Row],[COMPRA]]*12%</f>
        <v>276</v>
      </c>
      <c r="AH588" s="83">
        <v>2300</v>
      </c>
      <c r="AI588" s="66" t="str">
        <f>PROPER(TEXT(Sal_23[[#This Row],[PROGRAMAÇÃO]],"mmm"))</f>
        <v>Jun</v>
      </c>
      <c r="AJ588" s="66">
        <f>YEAR(Sal_23[[#This Row],[PROGRAMAÇÃO]])</f>
        <v>2023</v>
      </c>
      <c r="AK588" s="66"/>
      <c r="AL588" s="66"/>
      <c r="AM588" s="66" t="s">
        <v>2768</v>
      </c>
      <c r="AN588" s="66" t="s">
        <v>2768</v>
      </c>
      <c r="AO588" s="66"/>
    </row>
    <row r="589" spans="2:41" x14ac:dyDescent="0.25">
      <c r="B589" s="128" t="s">
        <v>2771</v>
      </c>
      <c r="C58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89" s="79">
        <v>45086.375</v>
      </c>
      <c r="E589" s="44" t="s">
        <v>4991</v>
      </c>
      <c r="F589" s="66">
        <v>20</v>
      </c>
      <c r="G589" s="66" t="s">
        <v>2820</v>
      </c>
      <c r="H589" s="44" t="s">
        <v>2820</v>
      </c>
      <c r="I589" s="299" t="s">
        <v>2821</v>
      </c>
      <c r="J589" s="66" t="s">
        <v>4992</v>
      </c>
      <c r="K589" s="66" t="s">
        <v>4958</v>
      </c>
      <c r="L589" s="66">
        <v>107151</v>
      </c>
      <c r="M589" s="66"/>
      <c r="N589" s="66" t="s">
        <v>2859</v>
      </c>
      <c r="O589" s="66" t="s">
        <v>2860</v>
      </c>
      <c r="P589" s="66" t="s">
        <v>2861</v>
      </c>
      <c r="Q589" s="138" t="str">
        <f ca="1">IFERROR(LOOKUP($P589,MOTORISTAS!$D$3:$D$1048576,MOTORISTAS!E$3:E$916),"")</f>
        <v>01817591878</v>
      </c>
      <c r="R589" s="138" t="str">
        <f ca="1">IFERROR(LOOKUP($P589,MOTORISTAS!$D$3:$D$1048576,MOTORISTAS!F$3:F$916),"")</f>
        <v>00821760640</v>
      </c>
      <c r="S589" s="66">
        <v>16260</v>
      </c>
      <c r="T589" s="66" t="s">
        <v>306</v>
      </c>
      <c r="U589" s="79">
        <v>45085.979166666664</v>
      </c>
      <c r="V589" s="66" t="s">
        <v>292</v>
      </c>
      <c r="W589" s="79">
        <v>45086.645833333336</v>
      </c>
      <c r="X589" s="79">
        <v>45086.055555555555</v>
      </c>
      <c r="Y589" s="88">
        <v>45086.569444444445</v>
      </c>
      <c r="Z589" s="81">
        <v>1600</v>
      </c>
      <c r="AA589" s="81"/>
      <c r="AB589" s="81"/>
      <c r="AC589" s="81"/>
      <c r="AD589" s="81"/>
      <c r="AE589" s="81"/>
      <c r="AF589" s="81"/>
      <c r="AG589" s="81">
        <f>Sal_23[[#This Row],[COMPRA]]*12%</f>
        <v>276</v>
      </c>
      <c r="AH589" s="83">
        <v>2300</v>
      </c>
      <c r="AI589" s="66" t="str">
        <f>PROPER(TEXT(Sal_23[[#This Row],[PROGRAMAÇÃO]],"mmm"))</f>
        <v>Jun</v>
      </c>
      <c r="AJ589" s="66">
        <f>YEAR(Sal_23[[#This Row],[PROGRAMAÇÃO]])</f>
        <v>2023</v>
      </c>
      <c r="AK589" s="66"/>
      <c r="AL589" s="66"/>
      <c r="AM589" s="66" t="s">
        <v>2768</v>
      </c>
      <c r="AN589" s="66" t="s">
        <v>2768</v>
      </c>
      <c r="AO589" s="66"/>
    </row>
    <row r="590" spans="2:41" x14ac:dyDescent="0.25">
      <c r="B590" s="128" t="s">
        <v>2771</v>
      </c>
      <c r="C59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0" s="79">
        <v>45086.375</v>
      </c>
      <c r="E590" s="44" t="s">
        <v>4960</v>
      </c>
      <c r="F590" s="66">
        <v>20</v>
      </c>
      <c r="G590" s="66" t="s">
        <v>2820</v>
      </c>
      <c r="H590" s="44" t="s">
        <v>2820</v>
      </c>
      <c r="I590" s="299" t="s">
        <v>2821</v>
      </c>
      <c r="J590" s="66" t="s">
        <v>4992</v>
      </c>
      <c r="K590" s="66" t="s">
        <v>4958</v>
      </c>
      <c r="L590" s="66">
        <v>117583</v>
      </c>
      <c r="M590" s="66">
        <v>107150</v>
      </c>
      <c r="N590" s="66" t="s">
        <v>3028</v>
      </c>
      <c r="O590" s="66" t="s">
        <v>2261</v>
      </c>
      <c r="P590" s="66" t="s">
        <v>3443</v>
      </c>
      <c r="Q590" s="138" t="str">
        <f ca="1">IFERROR(LOOKUP($P590,MOTORISTAS!$D$3:$D$1048576,MOTORISTAS!E$3:E$916),"")</f>
        <v>13990937898</v>
      </c>
      <c r="R590" s="138" t="str">
        <f ca="1">IFERROR(LOOKUP($P590,MOTORISTAS!$D$3:$D$1048576,MOTORISTAS!F$3:F$916),"")</f>
        <v>01825123407</v>
      </c>
      <c r="S590" s="66" t="s">
        <v>5058</v>
      </c>
      <c r="T590" s="66" t="s">
        <v>306</v>
      </c>
      <c r="U590" s="79">
        <v>45085.98541666667</v>
      </c>
      <c r="V590" s="66" t="s">
        <v>292</v>
      </c>
      <c r="W590" s="79">
        <v>45086.698611111111</v>
      </c>
      <c r="X590" s="79">
        <v>45086.055555555555</v>
      </c>
      <c r="Y590" s="88">
        <v>45086.666666666664</v>
      </c>
      <c r="Z590" s="81">
        <v>1600</v>
      </c>
      <c r="AA590" s="81"/>
      <c r="AB590" s="81"/>
      <c r="AC590" s="81"/>
      <c r="AD590" s="81"/>
      <c r="AE590" s="81"/>
      <c r="AF590" s="81"/>
      <c r="AG590" s="81">
        <f>Sal_23[[#This Row],[COMPRA]]*12%</f>
        <v>276</v>
      </c>
      <c r="AH590" s="83">
        <v>2300</v>
      </c>
      <c r="AI590" s="66" t="str">
        <f>PROPER(TEXT(Sal_23[[#This Row],[PROGRAMAÇÃO]],"mmm"))</f>
        <v>Jun</v>
      </c>
      <c r="AJ590" s="66">
        <f>YEAR(Sal_23[[#This Row],[PROGRAMAÇÃO]])</f>
        <v>2023</v>
      </c>
      <c r="AK590" s="66"/>
      <c r="AL590" s="66"/>
      <c r="AM590" s="66" t="s">
        <v>2768</v>
      </c>
      <c r="AN590" s="66" t="s">
        <v>2768</v>
      </c>
      <c r="AO590" s="66"/>
    </row>
    <row r="591" spans="2:41" x14ac:dyDescent="0.25">
      <c r="B591" s="128" t="s">
        <v>2771</v>
      </c>
      <c r="C59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1" s="79">
        <v>45086.458333333336</v>
      </c>
      <c r="E591" s="44" t="s">
        <v>4961</v>
      </c>
      <c r="F591" s="66">
        <v>20</v>
      </c>
      <c r="G591" s="66" t="s">
        <v>2820</v>
      </c>
      <c r="H591" s="44" t="s">
        <v>2820</v>
      </c>
      <c r="I591" s="299" t="s">
        <v>2821</v>
      </c>
      <c r="J591" s="66" t="s">
        <v>4992</v>
      </c>
      <c r="K591" s="66" t="s">
        <v>4958</v>
      </c>
      <c r="L591" s="66">
        <v>107085</v>
      </c>
      <c r="M591" s="66"/>
      <c r="N591" s="66" t="s">
        <v>2949</v>
      </c>
      <c r="O591" s="66" t="s">
        <v>2950</v>
      </c>
      <c r="P591" s="66" t="s">
        <v>4707</v>
      </c>
      <c r="Q591" s="138" t="str">
        <f ca="1">IFERROR(LOOKUP($P591,MOTORISTAS!$D$3:$D$1048576,MOTORISTAS!E$3:E$916),"")</f>
        <v>13777529842</v>
      </c>
      <c r="R591" s="138" t="str">
        <f ca="1">IFERROR(LOOKUP($P591,MOTORISTAS!$D$3:$D$1048576,MOTORISTAS!F$3:F$916),"")</f>
        <v>02511580623</v>
      </c>
      <c r="S591" s="66">
        <v>16282</v>
      </c>
      <c r="T591" s="66" t="s">
        <v>306</v>
      </c>
      <c r="U591" s="79">
        <v>45086.018750000003</v>
      </c>
      <c r="V591" s="66" t="s">
        <v>292</v>
      </c>
      <c r="W591" s="66" t="s">
        <v>5120</v>
      </c>
      <c r="X591" s="79">
        <v>45086.090277777781</v>
      </c>
      <c r="Y591" s="88">
        <v>45086.451388888891</v>
      </c>
      <c r="Z591" s="81">
        <v>1600</v>
      </c>
      <c r="AA591" s="81"/>
      <c r="AB591" s="81"/>
      <c r="AC591" s="81"/>
      <c r="AD591" s="81"/>
      <c r="AE591" s="81"/>
      <c r="AF591" s="81"/>
      <c r="AG591" s="81">
        <f>Sal_23[[#This Row],[COMPRA]]*12%</f>
        <v>276</v>
      </c>
      <c r="AH591" s="83">
        <v>2300</v>
      </c>
      <c r="AI591" s="66" t="str">
        <f>PROPER(TEXT(Sal_23[[#This Row],[PROGRAMAÇÃO]],"mmm"))</f>
        <v>Jun</v>
      </c>
      <c r="AJ591" s="66">
        <f>YEAR(Sal_23[[#This Row],[PROGRAMAÇÃO]])</f>
        <v>2023</v>
      </c>
      <c r="AK591" s="66"/>
      <c r="AL591" s="66"/>
      <c r="AM591" s="66" t="s">
        <v>2768</v>
      </c>
      <c r="AN591" s="66" t="s">
        <v>2768</v>
      </c>
      <c r="AO591" s="66"/>
    </row>
    <row r="592" spans="2:41" x14ac:dyDescent="0.25">
      <c r="B592" s="128" t="s">
        <v>2771</v>
      </c>
      <c r="C59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2" s="79">
        <v>45084.375</v>
      </c>
      <c r="E592" s="44" t="s">
        <v>4962</v>
      </c>
      <c r="F592" s="66">
        <v>20</v>
      </c>
      <c r="G592" s="66" t="s">
        <v>2820</v>
      </c>
      <c r="H592" s="44" t="s">
        <v>2820</v>
      </c>
      <c r="I592" s="299" t="s">
        <v>2821</v>
      </c>
      <c r="J592" s="66" t="s">
        <v>5005</v>
      </c>
      <c r="K592" s="66" t="s">
        <v>4958</v>
      </c>
      <c r="L592" s="66">
        <v>107045</v>
      </c>
      <c r="M592" s="66"/>
      <c r="N592" s="66" t="s">
        <v>3040</v>
      </c>
      <c r="O592" s="66" t="s">
        <v>3041</v>
      </c>
      <c r="P592" s="66" t="s">
        <v>3042</v>
      </c>
      <c r="Q592" s="138" t="str">
        <f ca="1">IFERROR(LOOKUP($P592,MOTORISTAS!$D$3:$D$1048576,MOTORISTAS!E$3:E$916),"")</f>
        <v>19279658883</v>
      </c>
      <c r="R592" s="138" t="str">
        <f ca="1">IFERROR(LOOKUP($P592,MOTORISTAS!$D$3:$D$1048576,MOTORISTAS!F$3:F$916),"")</f>
        <v>01301319672</v>
      </c>
      <c r="S592" s="66">
        <v>16268</v>
      </c>
      <c r="T592" s="66" t="s">
        <v>306</v>
      </c>
      <c r="U592" s="79">
        <v>45083.969444444447</v>
      </c>
      <c r="V592" s="66" t="s">
        <v>292</v>
      </c>
      <c r="W592" s="79">
        <v>45084.602083333331</v>
      </c>
      <c r="X592" s="79">
        <v>45084.05</v>
      </c>
      <c r="Y592" s="88">
        <v>45084.51666666667</v>
      </c>
      <c r="Z592" s="81">
        <v>1600</v>
      </c>
      <c r="AA592" s="81"/>
      <c r="AB592" s="81"/>
      <c r="AC592" s="81"/>
      <c r="AD592" s="81"/>
      <c r="AE592" s="81"/>
      <c r="AF592" s="81"/>
      <c r="AG592" s="81">
        <f>Sal_23[[#This Row],[COMPRA]]*12%</f>
        <v>276</v>
      </c>
      <c r="AH592" s="83">
        <v>2300</v>
      </c>
      <c r="AI592" s="66" t="str">
        <f>PROPER(TEXT(Sal_23[[#This Row],[PROGRAMAÇÃO]],"mmm"))</f>
        <v>Jun</v>
      </c>
      <c r="AJ592" s="66">
        <f>YEAR(Sal_23[[#This Row],[PROGRAMAÇÃO]])</f>
        <v>2023</v>
      </c>
      <c r="AK592" s="66"/>
      <c r="AL592" s="66"/>
      <c r="AM592" s="66" t="s">
        <v>2768</v>
      </c>
      <c r="AN592" s="66" t="s">
        <v>2768</v>
      </c>
      <c r="AO592" s="66"/>
    </row>
    <row r="593" spans="2:41" x14ac:dyDescent="0.25">
      <c r="B593" s="128" t="s">
        <v>2771</v>
      </c>
      <c r="C59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3" s="79">
        <v>45086.458333333336</v>
      </c>
      <c r="E593" s="44" t="s">
        <v>4963</v>
      </c>
      <c r="F593" s="66">
        <v>20</v>
      </c>
      <c r="G593" s="66" t="s">
        <v>2820</v>
      </c>
      <c r="H593" s="44" t="s">
        <v>2820</v>
      </c>
      <c r="I593" s="299" t="s">
        <v>2821</v>
      </c>
      <c r="J593" s="66" t="s">
        <v>4992</v>
      </c>
      <c r="K593" s="66" t="s">
        <v>4958</v>
      </c>
      <c r="L593" s="66">
        <v>107086</v>
      </c>
      <c r="M593" s="66"/>
      <c r="N593" s="66" t="s">
        <v>4571</v>
      </c>
      <c r="O593" s="66" t="s">
        <v>4572</v>
      </c>
      <c r="P593" s="66" t="s">
        <v>4573</v>
      </c>
      <c r="Q593" s="138" t="str">
        <f ca="1">IFERROR(LOOKUP($P593,MOTORISTAS!$D$3:$D$1048576,MOTORISTAS!E$3:E$916),"")</f>
        <v>09221836860</v>
      </c>
      <c r="R593" s="138" t="str">
        <f ca="1">IFERROR(LOOKUP($P593,MOTORISTAS!$D$3:$D$1048576,MOTORISTAS!F$3:F$916),"")</f>
        <v>01994346710</v>
      </c>
      <c r="S593" s="66">
        <v>16283</v>
      </c>
      <c r="T593" s="66" t="s">
        <v>306</v>
      </c>
      <c r="U593" s="79">
        <v>45085.96875</v>
      </c>
      <c r="V593" s="66" t="s">
        <v>292</v>
      </c>
      <c r="W593" s="79">
        <v>45086.547222222223</v>
      </c>
      <c r="X593" s="79">
        <v>45086.077777777777</v>
      </c>
      <c r="Y593" s="88">
        <v>45086.465277777781</v>
      </c>
      <c r="Z593" s="81">
        <v>1600</v>
      </c>
      <c r="AA593" s="81"/>
      <c r="AB593" s="81"/>
      <c r="AC593" s="81"/>
      <c r="AD593" s="81"/>
      <c r="AE593" s="81"/>
      <c r="AF593" s="81"/>
      <c r="AG593" s="81">
        <f>Sal_23[[#This Row],[COMPRA]]*12%</f>
        <v>276</v>
      </c>
      <c r="AH593" s="83">
        <v>2300</v>
      </c>
      <c r="AI593" s="66" t="str">
        <f>PROPER(TEXT(Sal_23[[#This Row],[PROGRAMAÇÃO]],"mmm"))</f>
        <v>Jun</v>
      </c>
      <c r="AJ593" s="66">
        <f>YEAR(Sal_23[[#This Row],[PROGRAMAÇÃO]])</f>
        <v>2023</v>
      </c>
      <c r="AK593" s="66"/>
      <c r="AL593" s="66"/>
      <c r="AM593" s="66" t="s">
        <v>2768</v>
      </c>
      <c r="AN593" s="66" t="s">
        <v>2768</v>
      </c>
      <c r="AO593" s="66"/>
    </row>
    <row r="594" spans="2:41" x14ac:dyDescent="0.25">
      <c r="B594" s="128" t="s">
        <v>2771</v>
      </c>
      <c r="C59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4" s="79">
        <v>45083.375</v>
      </c>
      <c r="E594" s="44" t="s">
        <v>4964</v>
      </c>
      <c r="F594" s="66">
        <v>20</v>
      </c>
      <c r="G594" s="66" t="s">
        <v>2820</v>
      </c>
      <c r="H594" s="44" t="s">
        <v>2820</v>
      </c>
      <c r="I594" s="299" t="s">
        <v>2821</v>
      </c>
      <c r="J594" s="66" t="s">
        <v>4988</v>
      </c>
      <c r="K594" s="66" t="s">
        <v>4958</v>
      </c>
      <c r="L594" s="66">
        <v>71456</v>
      </c>
      <c r="M594" s="66"/>
      <c r="N594" s="66" t="s">
        <v>2949</v>
      </c>
      <c r="O594" s="66" t="s">
        <v>2950</v>
      </c>
      <c r="P594" s="66" t="s">
        <v>2948</v>
      </c>
      <c r="Q594" s="138" t="str">
        <f ca="1">IFERROR(LOOKUP($P594,MOTORISTAS!$D$3:$D$1048576,MOTORISTAS!E$3:E$916),"")</f>
        <v>16239341843</v>
      </c>
      <c r="R594" s="138" t="str">
        <f ca="1">IFERROR(LOOKUP($P594,MOTORISTAS!$D$3:$D$1048576,MOTORISTAS!F$3:F$916),"")</f>
        <v>01877235038</v>
      </c>
      <c r="S594" s="66">
        <v>16258</v>
      </c>
      <c r="T594" s="66" t="s">
        <v>306</v>
      </c>
      <c r="U594" s="79">
        <v>45082.945833333331</v>
      </c>
      <c r="V594" s="66" t="s">
        <v>409</v>
      </c>
      <c r="W594" s="79">
        <v>45083.636805555558</v>
      </c>
      <c r="X594" s="79">
        <v>45083.048611111109</v>
      </c>
      <c r="Y594" s="88">
        <v>45083.527777777781</v>
      </c>
      <c r="Z594" s="81">
        <v>1600</v>
      </c>
      <c r="AA594" s="81"/>
      <c r="AB594" s="81"/>
      <c r="AC594" s="81"/>
      <c r="AD594" s="81"/>
      <c r="AE594" s="81"/>
      <c r="AF594" s="81"/>
      <c r="AG594" s="81">
        <f>Sal_23[[#This Row],[COMPRA]]*12%</f>
        <v>276</v>
      </c>
      <c r="AH594" s="83">
        <v>2300</v>
      </c>
      <c r="AI594" s="66" t="str">
        <f>PROPER(TEXT(Sal_23[[#This Row],[PROGRAMAÇÃO]],"mmm"))</f>
        <v>Jun</v>
      </c>
      <c r="AJ594" s="66">
        <f>YEAR(Sal_23[[#This Row],[PROGRAMAÇÃO]])</f>
        <v>2023</v>
      </c>
      <c r="AK594" s="66"/>
      <c r="AL594" s="66"/>
      <c r="AM594" s="66" t="s">
        <v>2768</v>
      </c>
      <c r="AN594" s="66" t="s">
        <v>2768</v>
      </c>
      <c r="AO594" s="66"/>
    </row>
    <row r="595" spans="2:41" x14ac:dyDescent="0.25">
      <c r="B595" s="128" t="s">
        <v>2771</v>
      </c>
      <c r="C59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5" s="79">
        <v>45083.375</v>
      </c>
      <c r="E595" s="44" t="s">
        <v>4965</v>
      </c>
      <c r="F595" s="66">
        <v>20</v>
      </c>
      <c r="G595" s="66" t="s">
        <v>2820</v>
      </c>
      <c r="H595" s="44" t="s">
        <v>2820</v>
      </c>
      <c r="I595" s="299" t="s">
        <v>2821</v>
      </c>
      <c r="J595" s="66" t="s">
        <v>4988</v>
      </c>
      <c r="K595" s="66" t="s">
        <v>4958</v>
      </c>
      <c r="L595" s="66">
        <v>71458</v>
      </c>
      <c r="M595" s="66"/>
      <c r="N595" s="66" t="s">
        <v>2859</v>
      </c>
      <c r="O595" s="66" t="s">
        <v>2860</v>
      </c>
      <c r="P595" s="66" t="s">
        <v>2861</v>
      </c>
      <c r="Q595" s="138" t="str">
        <f ca="1">IFERROR(LOOKUP($P595,MOTORISTAS!$D$3:$D$1048576,MOTORISTAS!E$3:E$916),"")</f>
        <v>01817591878</v>
      </c>
      <c r="R595" s="138" t="str">
        <f ca="1">IFERROR(LOOKUP($P595,MOTORISTAS!$D$3:$D$1048576,MOTORISTAS!F$3:F$916),"")</f>
        <v>00821760640</v>
      </c>
      <c r="S595" s="66">
        <v>16262</v>
      </c>
      <c r="T595" s="66" t="s">
        <v>306</v>
      </c>
      <c r="U595" s="79">
        <v>45082.992361111108</v>
      </c>
      <c r="V595" s="66" t="s">
        <v>409</v>
      </c>
      <c r="W595" s="79">
        <v>45083.661111111112</v>
      </c>
      <c r="X595" s="79">
        <v>45083.048611111109</v>
      </c>
      <c r="Y595" s="88">
        <v>45083.506944444445</v>
      </c>
      <c r="Z595" s="81">
        <v>1600</v>
      </c>
      <c r="AA595" s="81"/>
      <c r="AB595" s="81"/>
      <c r="AC595" s="81"/>
      <c r="AD595" s="81"/>
      <c r="AE595" s="81"/>
      <c r="AF595" s="81"/>
      <c r="AG595" s="81">
        <f>Sal_23[[#This Row],[COMPRA]]*12%</f>
        <v>276</v>
      </c>
      <c r="AH595" s="83">
        <v>2300</v>
      </c>
      <c r="AI595" s="66" t="str">
        <f>PROPER(TEXT(Sal_23[[#This Row],[PROGRAMAÇÃO]],"mmm"))</f>
        <v>Jun</v>
      </c>
      <c r="AJ595" s="66">
        <f>YEAR(Sal_23[[#This Row],[PROGRAMAÇÃO]])</f>
        <v>2023</v>
      </c>
      <c r="AK595" s="66"/>
      <c r="AL595" s="66"/>
      <c r="AM595" s="66" t="s">
        <v>2768</v>
      </c>
      <c r="AN595" s="66" t="s">
        <v>2768</v>
      </c>
      <c r="AO595" s="66"/>
    </row>
    <row r="596" spans="2:41" x14ac:dyDescent="0.25">
      <c r="B596" s="128" t="s">
        <v>2771</v>
      </c>
      <c r="C59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6" s="79">
        <v>45083.458333333336</v>
      </c>
      <c r="E596" s="44" t="s">
        <v>4966</v>
      </c>
      <c r="F596" s="66">
        <v>20</v>
      </c>
      <c r="G596" s="66" t="s">
        <v>2820</v>
      </c>
      <c r="H596" s="44" t="s">
        <v>2820</v>
      </c>
      <c r="I596" s="299" t="s">
        <v>2821</v>
      </c>
      <c r="J596" s="66" t="s">
        <v>4989</v>
      </c>
      <c r="K596" s="66" t="s">
        <v>4958</v>
      </c>
      <c r="L596" s="66">
        <v>71484</v>
      </c>
      <c r="M596" s="66"/>
      <c r="N596" s="66" t="s">
        <v>3028</v>
      </c>
      <c r="O596" s="66" t="s">
        <v>2261</v>
      </c>
      <c r="P596" s="66" t="s">
        <v>3443</v>
      </c>
      <c r="Q596" s="138" t="str">
        <f ca="1">IFERROR(LOOKUP($P596,MOTORISTAS!$D$3:$D$1048576,MOTORISTAS!E$3:E$916),"")</f>
        <v>13990937898</v>
      </c>
      <c r="R596" s="138" t="str">
        <f ca="1">IFERROR(LOOKUP($P596,MOTORISTAS!$D$3:$D$1048576,MOTORISTAS!F$3:F$916),"")</f>
        <v>01825123407</v>
      </c>
      <c r="S596" s="66">
        <v>16259</v>
      </c>
      <c r="T596" s="66" t="s">
        <v>306</v>
      </c>
      <c r="U596" s="79">
        <v>45082.958333333336</v>
      </c>
      <c r="V596" s="66" t="s">
        <v>292</v>
      </c>
      <c r="W596" s="79">
        <v>45084.28125</v>
      </c>
      <c r="X596" s="79">
        <v>45083.048611111109</v>
      </c>
      <c r="Y596" s="88">
        <v>45083.675000000003</v>
      </c>
      <c r="Z596" s="81">
        <v>1600</v>
      </c>
      <c r="AA596" s="81"/>
      <c r="AB596" s="81"/>
      <c r="AC596" s="81"/>
      <c r="AD596" s="81"/>
      <c r="AE596" s="81"/>
      <c r="AF596" s="81"/>
      <c r="AG596" s="81">
        <f>Sal_23[[#This Row],[COMPRA]]*12%</f>
        <v>276</v>
      </c>
      <c r="AH596" s="83">
        <v>2300</v>
      </c>
      <c r="AI596" s="66" t="str">
        <f>PROPER(TEXT(Sal_23[[#This Row],[PROGRAMAÇÃO]],"mmm"))</f>
        <v>Jun</v>
      </c>
      <c r="AJ596" s="66">
        <f>YEAR(Sal_23[[#This Row],[PROGRAMAÇÃO]])</f>
        <v>2023</v>
      </c>
      <c r="AK596" s="66"/>
      <c r="AL596" s="66"/>
      <c r="AM596" s="66" t="s">
        <v>2768</v>
      </c>
      <c r="AN596" s="66" t="s">
        <v>2768</v>
      </c>
      <c r="AO596" s="66"/>
    </row>
    <row r="597" spans="2:41" x14ac:dyDescent="0.25">
      <c r="B597" s="128" t="s">
        <v>2771</v>
      </c>
      <c r="C59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7" s="79">
        <v>45084.458333333336</v>
      </c>
      <c r="E597" s="44" t="s">
        <v>4967</v>
      </c>
      <c r="F597" s="66">
        <v>40</v>
      </c>
      <c r="G597" s="66" t="s">
        <v>2820</v>
      </c>
      <c r="H597" s="44" t="s">
        <v>2820</v>
      </c>
      <c r="I597" s="299" t="s">
        <v>2821</v>
      </c>
      <c r="J597" s="66" t="s">
        <v>4989</v>
      </c>
      <c r="K597" s="66" t="s">
        <v>4958</v>
      </c>
      <c r="L597" s="66">
        <v>71485</v>
      </c>
      <c r="M597" s="66"/>
      <c r="N597" s="66" t="s">
        <v>72</v>
      </c>
      <c r="O597" s="66" t="s">
        <v>3246</v>
      </c>
      <c r="P597" s="66" t="s">
        <v>2678</v>
      </c>
      <c r="Q597" s="138" t="str">
        <f ca="1">IFERROR(LOOKUP($P597,MOTORISTAS!$D$3:$D$1048576,MOTORISTAS!E$3:E$916),"")</f>
        <v>28386357860</v>
      </c>
      <c r="R597" s="138" t="str">
        <f ca="1">IFERROR(LOOKUP($P597,MOTORISTAS!$D$3:$D$1048576,MOTORISTAS!F$3:F$916),"")</f>
        <v>01042201192</v>
      </c>
      <c r="S597" s="66">
        <v>16271</v>
      </c>
      <c r="T597" s="66" t="s">
        <v>306</v>
      </c>
      <c r="U597" s="79">
        <v>45084.218055555553</v>
      </c>
      <c r="V597" s="66" t="s">
        <v>292</v>
      </c>
      <c r="W597" s="79">
        <v>45084.6875</v>
      </c>
      <c r="X597" s="79">
        <v>45084.294444444444</v>
      </c>
      <c r="Y597" s="88">
        <v>45084.474999999999</v>
      </c>
      <c r="Z597" s="81">
        <v>1600</v>
      </c>
      <c r="AA597" s="81"/>
      <c r="AB597" s="81"/>
      <c r="AC597" s="81"/>
      <c r="AD597" s="81"/>
      <c r="AE597" s="81"/>
      <c r="AF597" s="81"/>
      <c r="AG597" s="81">
        <f>Sal_23[[#This Row],[COMPRA]]*12%</f>
        <v>276</v>
      </c>
      <c r="AH597" s="83">
        <v>2300</v>
      </c>
      <c r="AI597" s="66" t="str">
        <f>PROPER(TEXT(Sal_23[[#This Row],[PROGRAMAÇÃO]],"mmm"))</f>
        <v>Jun</v>
      </c>
      <c r="AJ597" s="66">
        <f>YEAR(Sal_23[[#This Row],[PROGRAMAÇÃO]])</f>
        <v>2023</v>
      </c>
      <c r="AK597" s="66"/>
      <c r="AL597" s="66"/>
      <c r="AM597" s="66" t="s">
        <v>2768</v>
      </c>
      <c r="AN597" s="66" t="s">
        <v>2768</v>
      </c>
      <c r="AO597" s="66"/>
    </row>
    <row r="598" spans="2:41" x14ac:dyDescent="0.25">
      <c r="B598" s="128" t="s">
        <v>2771</v>
      </c>
      <c r="C59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8" s="79">
        <v>45089.333333333336</v>
      </c>
      <c r="E598" s="44" t="s">
        <v>5014</v>
      </c>
      <c r="F598" s="66">
        <v>20</v>
      </c>
      <c r="G598" s="66" t="s">
        <v>2826</v>
      </c>
      <c r="H598" s="44" t="s">
        <v>2827</v>
      </c>
      <c r="I598" s="299" t="s">
        <v>2823</v>
      </c>
      <c r="J598" s="66">
        <v>5543</v>
      </c>
      <c r="K598" s="66" t="s">
        <v>5030</v>
      </c>
      <c r="L598" s="66">
        <v>107003</v>
      </c>
      <c r="M598" s="66"/>
      <c r="N598" s="66" t="s">
        <v>3040</v>
      </c>
      <c r="O598" s="66" t="s">
        <v>3041</v>
      </c>
      <c r="P598" s="66" t="s">
        <v>3042</v>
      </c>
      <c r="Q598" s="138" t="str">
        <f ca="1">IFERROR(LOOKUP($P598,MOTORISTAS!$D$3:$D$1048576,MOTORISTAS!E$3:E$916),"")</f>
        <v>19279658883</v>
      </c>
      <c r="R598" s="138" t="str">
        <f ca="1">IFERROR(LOOKUP($P598,MOTORISTAS!$D$3:$D$1048576,MOTORISTAS!F$3:F$916),"")</f>
        <v>01301319672</v>
      </c>
      <c r="S598" s="66">
        <v>16292</v>
      </c>
      <c r="T598" s="66" t="s">
        <v>293</v>
      </c>
      <c r="U598" s="79">
        <v>45088.98333333333</v>
      </c>
      <c r="V598" s="66" t="s">
        <v>526</v>
      </c>
      <c r="W598" s="79">
        <v>45089.480555555558</v>
      </c>
      <c r="X598" s="79">
        <v>45089.161111111112</v>
      </c>
      <c r="Y598" s="88">
        <v>45089.370138888888</v>
      </c>
      <c r="Z598" s="81">
        <v>3200</v>
      </c>
      <c r="AA598" s="81"/>
      <c r="AB598" s="81"/>
      <c r="AC598" s="81"/>
      <c r="AD598" s="81"/>
      <c r="AE598" s="81"/>
      <c r="AF598" s="81"/>
      <c r="AG598" s="81">
        <f>Sal_23[[#This Row],[COMPRA]]*12%</f>
        <v>571.48680000000002</v>
      </c>
      <c r="AH598" s="83">
        <v>4762.3900000000003</v>
      </c>
      <c r="AI598" s="66" t="str">
        <f>PROPER(TEXT(Sal_23[[#This Row],[PROGRAMAÇÃO]],"mmm"))</f>
        <v>Jun</v>
      </c>
      <c r="AJ598" s="66">
        <f>YEAR(Sal_23[[#This Row],[PROGRAMAÇÃO]])</f>
        <v>2023</v>
      </c>
      <c r="AK598" s="66"/>
      <c r="AL598" s="66"/>
      <c r="AM598" s="66" t="s">
        <v>2768</v>
      </c>
      <c r="AN598" s="66" t="s">
        <v>2768</v>
      </c>
      <c r="AO598" s="66"/>
    </row>
    <row r="599" spans="2:41" x14ac:dyDescent="0.25">
      <c r="B599" s="128" t="s">
        <v>2771</v>
      </c>
      <c r="C59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599" s="79">
        <v>45089.333333333336</v>
      </c>
      <c r="E599" s="44" t="s">
        <v>5015</v>
      </c>
      <c r="F599" s="66">
        <v>20</v>
      </c>
      <c r="G599" s="66" t="s">
        <v>2826</v>
      </c>
      <c r="H599" s="44" t="s">
        <v>2827</v>
      </c>
      <c r="I599" s="299" t="s">
        <v>2823</v>
      </c>
      <c r="J599" s="66">
        <v>5536</v>
      </c>
      <c r="K599" s="66" t="s">
        <v>5030</v>
      </c>
      <c r="L599" s="66">
        <v>107004</v>
      </c>
      <c r="M599" s="66"/>
      <c r="N599" s="66" t="s">
        <v>2156</v>
      </c>
      <c r="O599" s="66" t="s">
        <v>2464</v>
      </c>
      <c r="P599" s="66" t="s">
        <v>2158</v>
      </c>
      <c r="Q599" s="138" t="str">
        <f ca="1">IFERROR(LOOKUP($P599,MOTORISTAS!$D$3:$D$1048576,MOTORISTAS!E$3:E$916),"")</f>
        <v>10485530864</v>
      </c>
      <c r="R599" s="138" t="str">
        <f ca="1">IFERROR(LOOKUP($P599,MOTORISTAS!$D$3:$D$1048576,MOTORISTAS!F$3:F$916),"")</f>
        <v>02033192841</v>
      </c>
      <c r="S599" s="66">
        <v>16293</v>
      </c>
      <c r="T599" s="66" t="s">
        <v>293</v>
      </c>
      <c r="U599" s="79">
        <v>45089.05</v>
      </c>
      <c r="V599" s="66" t="s">
        <v>469</v>
      </c>
      <c r="W599" s="79">
        <v>45089.674305555556</v>
      </c>
      <c r="X599" s="79">
        <v>45089.206944444442</v>
      </c>
      <c r="Y599" s="88">
        <v>45089.467361111114</v>
      </c>
      <c r="Z599" s="81">
        <v>3200</v>
      </c>
      <c r="AA599" s="81"/>
      <c r="AB599" s="81"/>
      <c r="AC599" s="81"/>
      <c r="AD599" s="81"/>
      <c r="AE599" s="81"/>
      <c r="AF599" s="81"/>
      <c r="AG599" s="81">
        <f>Sal_23[[#This Row],[COMPRA]]*12%</f>
        <v>571.48680000000002</v>
      </c>
      <c r="AH599" s="83">
        <v>4762.3900000000003</v>
      </c>
      <c r="AI599" s="66" t="str">
        <f>PROPER(TEXT(Sal_23[[#This Row],[PROGRAMAÇÃO]],"mmm"))</f>
        <v>Jun</v>
      </c>
      <c r="AJ599" s="66">
        <f>YEAR(Sal_23[[#This Row],[PROGRAMAÇÃO]])</f>
        <v>2023</v>
      </c>
      <c r="AK599" s="66"/>
      <c r="AL599" s="66"/>
      <c r="AM599" s="66" t="s">
        <v>2768</v>
      </c>
      <c r="AN599" s="66" t="s">
        <v>2768</v>
      </c>
      <c r="AO599" s="66"/>
    </row>
    <row r="600" spans="2:41" x14ac:dyDescent="0.25">
      <c r="B600" s="128" t="s">
        <v>2771</v>
      </c>
      <c r="C60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00" s="79">
        <v>45086.333333333336</v>
      </c>
      <c r="E600" s="44" t="s">
        <v>5016</v>
      </c>
      <c r="F600" s="66">
        <v>20</v>
      </c>
      <c r="G600" s="66" t="s">
        <v>2826</v>
      </c>
      <c r="H600" s="44" t="s">
        <v>3440</v>
      </c>
      <c r="I600" s="299" t="s">
        <v>3909</v>
      </c>
      <c r="J600" s="66">
        <v>5573</v>
      </c>
      <c r="K600" s="66" t="s">
        <v>5030</v>
      </c>
      <c r="L600" s="66">
        <v>117515</v>
      </c>
      <c r="M600" s="66"/>
      <c r="N600" s="66" t="s">
        <v>3040</v>
      </c>
      <c r="O600" s="66" t="s">
        <v>3041</v>
      </c>
      <c r="P600" s="66" t="s">
        <v>3042</v>
      </c>
      <c r="Q600" s="138" t="str">
        <f ca="1">IFERROR(LOOKUP($P600,MOTORISTAS!$D$3:$D$1048576,MOTORISTAS!E$3:E$916),"")</f>
        <v>19279658883</v>
      </c>
      <c r="R600" s="138" t="str">
        <f ca="1">IFERROR(LOOKUP($P600,MOTORISTAS!$D$3:$D$1048576,MOTORISTAS!F$3:F$916),"")</f>
        <v>01301319672</v>
      </c>
      <c r="S600" s="66">
        <v>16286</v>
      </c>
      <c r="T600" s="66" t="s">
        <v>293</v>
      </c>
      <c r="U600" s="79">
        <v>45086.008333333331</v>
      </c>
      <c r="V600" s="66" t="s">
        <v>526</v>
      </c>
      <c r="W600" s="79">
        <v>45086.585416666669</v>
      </c>
      <c r="X600" s="79">
        <v>45086.147916666669</v>
      </c>
      <c r="Y600" s="88">
        <v>45086.444444444445</v>
      </c>
      <c r="Z600" s="81">
        <v>2300</v>
      </c>
      <c r="AA600" s="81"/>
      <c r="AB600" s="81"/>
      <c r="AC600" s="81"/>
      <c r="AD600" s="81"/>
      <c r="AE600" s="81"/>
      <c r="AF600" s="81"/>
      <c r="AG600" s="81">
        <f>Sal_23[[#This Row],[COMPRA]]*12%</f>
        <v>399.62399999999997</v>
      </c>
      <c r="AH600" s="83">
        <v>3330.2</v>
      </c>
      <c r="AI600" s="66" t="str">
        <f>PROPER(TEXT(Sal_23[[#This Row],[PROGRAMAÇÃO]],"mmm"))</f>
        <v>Jun</v>
      </c>
      <c r="AJ600" s="66">
        <f>YEAR(Sal_23[[#This Row],[PROGRAMAÇÃO]])</f>
        <v>2023</v>
      </c>
      <c r="AK600" s="66"/>
      <c r="AL600" s="66"/>
      <c r="AM600" s="66" t="s">
        <v>2768</v>
      </c>
      <c r="AN600" s="66" t="s">
        <v>2768</v>
      </c>
      <c r="AO600" s="66"/>
    </row>
    <row r="601" spans="2:41" x14ac:dyDescent="0.25">
      <c r="B601" s="128" t="s">
        <v>2771</v>
      </c>
      <c r="C60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01" s="79">
        <v>45090.333333333336</v>
      </c>
      <c r="E601" s="44" t="s">
        <v>5017</v>
      </c>
      <c r="F601" s="66">
        <v>20</v>
      </c>
      <c r="G601" s="66" t="s">
        <v>2826</v>
      </c>
      <c r="H601" s="44" t="s">
        <v>3113</v>
      </c>
      <c r="I601" s="299" t="s">
        <v>3114</v>
      </c>
      <c r="J601" s="66">
        <v>5574</v>
      </c>
      <c r="K601" s="66" t="s">
        <v>5030</v>
      </c>
      <c r="L601" s="66">
        <v>117591</v>
      </c>
      <c r="M601" s="66"/>
      <c r="N601" s="66" t="s">
        <v>3196</v>
      </c>
      <c r="O601" s="66" t="s">
        <v>4887</v>
      </c>
      <c r="P601" s="66" t="s">
        <v>2917</v>
      </c>
      <c r="Q601" s="138" t="str">
        <f ca="1">IFERROR(LOOKUP($P601,MOTORISTAS!$D$3:$D$1048576,MOTORISTAS!E$3:E$916),"")</f>
        <v>31066093890</v>
      </c>
      <c r="R601" s="138" t="str">
        <f ca="1">IFERROR(LOOKUP($P601,MOTORISTAS!$D$3:$D$1048576,MOTORISTAS!F$3:F$916),"")</f>
        <v>01819349701</v>
      </c>
      <c r="S601" s="66">
        <v>16316</v>
      </c>
      <c r="T601" s="66" t="s">
        <v>293</v>
      </c>
      <c r="U601" s="79">
        <v>45090.290972222225</v>
      </c>
      <c r="V601" s="66" t="s">
        <v>469</v>
      </c>
      <c r="W601" s="79">
        <v>45090.7</v>
      </c>
      <c r="X601" s="79">
        <v>45090.439583333333</v>
      </c>
      <c r="Y601" s="88">
        <v>45090.569444444445</v>
      </c>
      <c r="Z601" s="81">
        <v>2350</v>
      </c>
      <c r="AA601" s="81"/>
      <c r="AB601" s="81"/>
      <c r="AC601" s="81"/>
      <c r="AD601" s="81"/>
      <c r="AE601" s="81"/>
      <c r="AF601" s="81"/>
      <c r="AG601" s="81">
        <f>Sal_23[[#This Row],[COMPRA]]*12%</f>
        <v>529.16279999999995</v>
      </c>
      <c r="AH601" s="83">
        <v>4409.6899999999996</v>
      </c>
      <c r="AI601" s="66" t="str">
        <f>PROPER(TEXT(Sal_23[[#This Row],[PROGRAMAÇÃO]],"mmm"))</f>
        <v>Jun</v>
      </c>
      <c r="AJ601" s="66">
        <f>YEAR(Sal_23[[#This Row],[PROGRAMAÇÃO]])</f>
        <v>2023</v>
      </c>
      <c r="AK601" s="66"/>
      <c r="AL601" s="66"/>
      <c r="AM601" s="66" t="s">
        <v>2768</v>
      </c>
      <c r="AN601" s="66" t="s">
        <v>2768</v>
      </c>
      <c r="AO601" s="66"/>
    </row>
    <row r="602" spans="2:41" x14ac:dyDescent="0.25">
      <c r="B602" s="128" t="s">
        <v>2771</v>
      </c>
      <c r="C60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02" s="79">
        <v>45090.333333333336</v>
      </c>
      <c r="E602" s="44" t="s">
        <v>5018</v>
      </c>
      <c r="F602" s="66">
        <v>20</v>
      </c>
      <c r="G602" s="66" t="s">
        <v>2826</v>
      </c>
      <c r="H602" s="44" t="s">
        <v>3116</v>
      </c>
      <c r="I602" s="299" t="s">
        <v>3117</v>
      </c>
      <c r="J602" s="66">
        <v>5575</v>
      </c>
      <c r="K602" s="66" t="s">
        <v>5030</v>
      </c>
      <c r="L602" s="66">
        <v>117592</v>
      </c>
      <c r="M602" s="66"/>
      <c r="N602" s="66" t="s">
        <v>2156</v>
      </c>
      <c r="O602" s="66" t="s">
        <v>2464</v>
      </c>
      <c r="P602" s="66" t="s">
        <v>2158</v>
      </c>
      <c r="Q602" s="138" t="str">
        <f ca="1">IFERROR(LOOKUP($P602,MOTORISTAS!$D$3:$D$1048576,MOTORISTAS!E$3:E$916),"")</f>
        <v>10485530864</v>
      </c>
      <c r="R602" s="138" t="str">
        <f ca="1">IFERROR(LOOKUP($P602,MOTORISTAS!$D$3:$D$1048576,MOTORISTAS!F$3:F$916),"")</f>
        <v>02033192841</v>
      </c>
      <c r="S602" s="66">
        <v>16317</v>
      </c>
      <c r="T602" s="66" t="s">
        <v>293</v>
      </c>
      <c r="U602" s="79">
        <v>45089.713194444441</v>
      </c>
      <c r="V602" s="66" t="s">
        <v>526</v>
      </c>
      <c r="W602" s="79">
        <v>45090.629166666666</v>
      </c>
      <c r="X602" s="79">
        <v>45090.208333333336</v>
      </c>
      <c r="Y602" s="88">
        <v>45090.465277777781</v>
      </c>
      <c r="Z602" s="81">
        <v>2200</v>
      </c>
      <c r="AA602" s="81"/>
      <c r="AB602" s="81"/>
      <c r="AC602" s="81"/>
      <c r="AD602" s="81"/>
      <c r="AE602" s="81"/>
      <c r="AF602" s="81"/>
      <c r="AG602" s="81">
        <f>Sal_23[[#This Row],[COMPRA]]*12%</f>
        <v>510.26640000000003</v>
      </c>
      <c r="AH602" s="83">
        <v>4252.22</v>
      </c>
      <c r="AI602" s="66" t="str">
        <f>PROPER(TEXT(Sal_23[[#This Row],[PROGRAMAÇÃO]],"mmm"))</f>
        <v>Jun</v>
      </c>
      <c r="AJ602" s="66">
        <f>YEAR(Sal_23[[#This Row],[PROGRAMAÇÃO]])</f>
        <v>2023</v>
      </c>
      <c r="AK602" s="66"/>
      <c r="AL602" s="66"/>
      <c r="AM602" s="66" t="s">
        <v>2768</v>
      </c>
      <c r="AN602" s="66" t="s">
        <v>2768</v>
      </c>
      <c r="AO602" s="66"/>
    </row>
    <row r="603" spans="2:41" x14ac:dyDescent="0.25">
      <c r="B603" s="128" t="s">
        <v>2771</v>
      </c>
      <c r="C60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03" s="79">
        <v>45089.333333333336</v>
      </c>
      <c r="E603" s="44" t="s">
        <v>5019</v>
      </c>
      <c r="F603" s="66">
        <v>20</v>
      </c>
      <c r="G603" s="66" t="s">
        <v>2826</v>
      </c>
      <c r="H603" s="44" t="s">
        <v>3082</v>
      </c>
      <c r="I603" s="299" t="s">
        <v>3083</v>
      </c>
      <c r="J603" s="66">
        <v>5576</v>
      </c>
      <c r="K603" s="66" t="s">
        <v>5030</v>
      </c>
      <c r="L603" s="66">
        <v>107175</v>
      </c>
      <c r="M603" s="66"/>
      <c r="N603" s="66" t="s">
        <v>2949</v>
      </c>
      <c r="O603" s="66" t="s">
        <v>2950</v>
      </c>
      <c r="P603" s="66" t="s">
        <v>4707</v>
      </c>
      <c r="Q603" s="138" t="str">
        <f ca="1">IFERROR(LOOKUP($P603,MOTORISTAS!$D$3:$D$1048576,MOTORISTAS!E$3:E$916),"")</f>
        <v>13777529842</v>
      </c>
      <c r="R603" s="138" t="str">
        <f ca="1">IFERROR(LOOKUP($P603,MOTORISTAS!$D$3:$D$1048576,MOTORISTAS!F$3:F$916),"")</f>
        <v>02511580623</v>
      </c>
      <c r="S603" s="66">
        <v>16294</v>
      </c>
      <c r="T603" s="66" t="s">
        <v>293</v>
      </c>
      <c r="U603" s="79">
        <v>45089.009027777778</v>
      </c>
      <c r="V603" s="66" t="s">
        <v>469</v>
      </c>
      <c r="W603" s="79">
        <v>45089.839583333334</v>
      </c>
      <c r="X603" s="79">
        <v>45089.069444444445</v>
      </c>
      <c r="Y603" s="88">
        <v>45089.652777777781</v>
      </c>
      <c r="Z603" s="81">
        <v>2000</v>
      </c>
      <c r="AA603" s="81"/>
      <c r="AB603" s="81"/>
      <c r="AC603" s="81"/>
      <c r="AD603" s="81"/>
      <c r="AE603" s="81"/>
      <c r="AF603" s="81"/>
      <c r="AG603" s="81">
        <f>Sal_23[[#This Row],[COMPRA]]*12%</f>
        <v>355.75439999999998</v>
      </c>
      <c r="AH603" s="83">
        <v>2964.62</v>
      </c>
      <c r="AI603" s="66" t="str">
        <f>PROPER(TEXT(Sal_23[[#This Row],[PROGRAMAÇÃO]],"mmm"))</f>
        <v>Jun</v>
      </c>
      <c r="AJ603" s="66">
        <f>YEAR(Sal_23[[#This Row],[PROGRAMAÇÃO]])</f>
        <v>2023</v>
      </c>
      <c r="AK603" s="66"/>
      <c r="AL603" s="66"/>
      <c r="AM603" s="66" t="s">
        <v>2768</v>
      </c>
      <c r="AN603" s="66" t="s">
        <v>2768</v>
      </c>
      <c r="AO603" s="66"/>
    </row>
    <row r="604" spans="2:41" x14ac:dyDescent="0.25">
      <c r="B604" s="128" t="s">
        <v>2771</v>
      </c>
      <c r="C60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04" s="79">
        <v>45089.333333333336</v>
      </c>
      <c r="E604" s="44" t="s">
        <v>3073</v>
      </c>
      <c r="F604" s="66">
        <v>20</v>
      </c>
      <c r="G604" s="66" t="s">
        <v>2826</v>
      </c>
      <c r="H604" s="44" t="s">
        <v>2837</v>
      </c>
      <c r="I604" s="299" t="s">
        <v>2821</v>
      </c>
      <c r="J604" s="66" t="s">
        <v>5078</v>
      </c>
      <c r="K604" s="66" t="s">
        <v>5030</v>
      </c>
      <c r="L604" s="66">
        <v>107174</v>
      </c>
      <c r="M604" s="66">
        <v>117620</v>
      </c>
      <c r="N604" s="66" t="s">
        <v>2859</v>
      </c>
      <c r="O604" s="66" t="s">
        <v>2860</v>
      </c>
      <c r="P604" s="66" t="s">
        <v>2861</v>
      </c>
      <c r="Q604" s="138" t="str">
        <f ca="1">IFERROR(LOOKUP($P604,MOTORISTAS!$D$3:$D$1048576,MOTORISTAS!E$3:E$916),"")</f>
        <v>01817591878</v>
      </c>
      <c r="R604" s="138" t="str">
        <f ca="1">IFERROR(LOOKUP($P604,MOTORISTAS!$D$3:$D$1048576,MOTORISTAS!F$3:F$916),"")</f>
        <v>00821760640</v>
      </c>
      <c r="S604" s="66" t="s">
        <v>5088</v>
      </c>
      <c r="T604" s="66" t="s">
        <v>293</v>
      </c>
      <c r="U604" s="79">
        <v>45089.010416666664</v>
      </c>
      <c r="V604" s="66" t="s">
        <v>526</v>
      </c>
      <c r="W604" s="79">
        <v>45089.725694444445</v>
      </c>
      <c r="X604" s="79">
        <v>45089.111111111109</v>
      </c>
      <c r="Y604" s="88">
        <v>45089.5</v>
      </c>
      <c r="Z604" s="81">
        <v>1600</v>
      </c>
      <c r="AA604" s="81"/>
      <c r="AB604" s="81"/>
      <c r="AC604" s="81"/>
      <c r="AD604" s="81"/>
      <c r="AE604" s="81"/>
      <c r="AF604" s="81"/>
      <c r="AG604" s="81">
        <f>Sal_23[[#This Row],[COMPRA]]*12%</f>
        <v>311.55959999999999</v>
      </c>
      <c r="AH604" s="83">
        <v>2596.33</v>
      </c>
      <c r="AI604" s="66" t="str">
        <f>PROPER(TEXT(Sal_23[[#This Row],[PROGRAMAÇÃO]],"mmm"))</f>
        <v>Jun</v>
      </c>
      <c r="AJ604" s="66">
        <f>YEAR(Sal_23[[#This Row],[PROGRAMAÇÃO]])</f>
        <v>2023</v>
      </c>
      <c r="AK604" s="66"/>
      <c r="AL604" s="66"/>
      <c r="AM604" s="66" t="s">
        <v>2768</v>
      </c>
      <c r="AN604" s="66" t="s">
        <v>2768</v>
      </c>
      <c r="AO604" s="66"/>
    </row>
    <row r="605" spans="2:41" x14ac:dyDescent="0.25">
      <c r="B605" s="128" t="s">
        <v>2771</v>
      </c>
      <c r="C60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05" s="79">
        <v>45089.333333333336</v>
      </c>
      <c r="E605" s="44" t="s">
        <v>5020</v>
      </c>
      <c r="F605" s="66">
        <v>20</v>
      </c>
      <c r="G605" s="66" t="s">
        <v>2826</v>
      </c>
      <c r="H605" s="44" t="s">
        <v>2837</v>
      </c>
      <c r="I605" s="299" t="s">
        <v>2821</v>
      </c>
      <c r="J605" s="66">
        <v>5549</v>
      </c>
      <c r="K605" s="66" t="s">
        <v>5030</v>
      </c>
      <c r="L605" s="66">
        <v>107051</v>
      </c>
      <c r="M605" s="66"/>
      <c r="N605" s="66" t="s">
        <v>3028</v>
      </c>
      <c r="O605" s="66" t="s">
        <v>2261</v>
      </c>
      <c r="P605" s="66" t="s">
        <v>3443</v>
      </c>
      <c r="Q605" s="138" t="str">
        <f ca="1">IFERROR(LOOKUP($P605,MOTORISTAS!$D$3:$D$1048576,MOTORISTAS!E$3:E$916),"")</f>
        <v>13990937898</v>
      </c>
      <c r="R605" s="138" t="str">
        <f ca="1">IFERROR(LOOKUP($P605,MOTORISTAS!$D$3:$D$1048576,MOTORISTAS!F$3:F$916),"")</f>
        <v>01825123407</v>
      </c>
      <c r="S605" s="66">
        <v>16302</v>
      </c>
      <c r="T605" s="66" t="s">
        <v>293</v>
      </c>
      <c r="U605" s="79">
        <v>45089.019444444442</v>
      </c>
      <c r="V605" s="66" t="s">
        <v>526</v>
      </c>
      <c r="W605" s="79">
        <v>45089.55</v>
      </c>
      <c r="X605" s="79">
        <v>45089.111111111109</v>
      </c>
      <c r="Y605" s="88">
        <v>45089.454861111109</v>
      </c>
      <c r="Z605" s="81">
        <v>1600</v>
      </c>
      <c r="AA605" s="81"/>
      <c r="AB605" s="81"/>
      <c r="AC605" s="81"/>
      <c r="AD605" s="81"/>
      <c r="AE605" s="81"/>
      <c r="AF605" s="81"/>
      <c r="AG605" s="81">
        <f>Sal_23[[#This Row],[COMPRA]]*12%</f>
        <v>311.55959999999999</v>
      </c>
      <c r="AH605" s="83">
        <v>2596.33</v>
      </c>
      <c r="AI605" s="66" t="str">
        <f>PROPER(TEXT(Sal_23[[#This Row],[PROGRAMAÇÃO]],"mmm"))</f>
        <v>Jun</v>
      </c>
      <c r="AJ605" s="66">
        <f>YEAR(Sal_23[[#This Row],[PROGRAMAÇÃO]])</f>
        <v>2023</v>
      </c>
      <c r="AK605" s="66"/>
      <c r="AL605" s="66"/>
      <c r="AM605" s="66" t="s">
        <v>2768</v>
      </c>
      <c r="AN605" s="66" t="s">
        <v>2768</v>
      </c>
      <c r="AO605" s="66"/>
    </row>
    <row r="606" spans="2:41" x14ac:dyDescent="0.25">
      <c r="B606" s="128" t="s">
        <v>2771</v>
      </c>
      <c r="C60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06" s="79">
        <v>45089.333333333336</v>
      </c>
      <c r="E606" s="44" t="s">
        <v>5021</v>
      </c>
      <c r="F606" s="66">
        <v>40</v>
      </c>
      <c r="G606" s="66" t="s">
        <v>2826</v>
      </c>
      <c r="H606" s="44" t="s">
        <v>2835</v>
      </c>
      <c r="I606" s="299" t="s">
        <v>2822</v>
      </c>
      <c r="J606" s="66">
        <v>5563</v>
      </c>
      <c r="K606" s="66" t="s">
        <v>5030</v>
      </c>
      <c r="L606" s="66">
        <v>107053</v>
      </c>
      <c r="M606" s="66"/>
      <c r="N606" s="66" t="s">
        <v>4507</v>
      </c>
      <c r="O606" s="66" t="s">
        <v>3197</v>
      </c>
      <c r="P606" s="66" t="s">
        <v>2883</v>
      </c>
      <c r="Q606" s="138" t="str">
        <f ca="1">IFERROR(LOOKUP($P606,MOTORISTAS!$D$3:$D$1048576,MOTORISTAS!E$3:E$916),"")</f>
        <v>29740449808</v>
      </c>
      <c r="R606" s="138" t="str">
        <f ca="1">IFERROR(LOOKUP($P606,MOTORISTAS!$D$3:$D$1048576,MOTORISTAS!F$3:F$916),"")</f>
        <v>00966188197</v>
      </c>
      <c r="S606" s="66">
        <v>16296</v>
      </c>
      <c r="T606" s="66" t="s">
        <v>293</v>
      </c>
      <c r="U606" s="79">
        <v>45089.254861111112</v>
      </c>
      <c r="V606" s="66" t="s">
        <v>526</v>
      </c>
      <c r="W606" s="79">
        <v>45089.625694444447</v>
      </c>
      <c r="X606" s="79">
        <v>45089.35</v>
      </c>
      <c r="Y606" s="88">
        <v>45089.454861111109</v>
      </c>
      <c r="Z606" s="81">
        <v>2100</v>
      </c>
      <c r="AA606" s="81"/>
      <c r="AB606" s="81"/>
      <c r="AC606" s="81"/>
      <c r="AD606" s="81"/>
      <c r="AE606" s="81"/>
      <c r="AF606" s="81"/>
      <c r="AG606" s="81">
        <f>Sal_23[[#This Row],[COMPRA]]*12%</f>
        <v>370.37759999999997</v>
      </c>
      <c r="AH606" s="83">
        <v>3086.48</v>
      </c>
      <c r="AI606" s="66" t="str">
        <f>PROPER(TEXT(Sal_23[[#This Row],[PROGRAMAÇÃO]],"mmm"))</f>
        <v>Jun</v>
      </c>
      <c r="AJ606" s="66">
        <f>YEAR(Sal_23[[#This Row],[PROGRAMAÇÃO]])</f>
        <v>2023</v>
      </c>
      <c r="AK606" s="66"/>
      <c r="AL606" s="66"/>
      <c r="AM606" s="66" t="s">
        <v>2768</v>
      </c>
      <c r="AN606" s="66" t="s">
        <v>2768</v>
      </c>
      <c r="AO606" s="66"/>
    </row>
    <row r="607" spans="2:41" x14ac:dyDescent="0.25">
      <c r="B607" s="128" t="s">
        <v>2771</v>
      </c>
      <c r="C60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07" s="79">
        <v>45090.333333333336</v>
      </c>
      <c r="E607" s="44" t="s">
        <v>5022</v>
      </c>
      <c r="F607" s="66">
        <v>40</v>
      </c>
      <c r="G607" s="66" t="s">
        <v>2826</v>
      </c>
      <c r="H607" s="44" t="s">
        <v>2835</v>
      </c>
      <c r="I607" s="299" t="s">
        <v>2822</v>
      </c>
      <c r="J607" s="66">
        <v>5548</v>
      </c>
      <c r="K607" s="66" t="s">
        <v>5030</v>
      </c>
      <c r="L607" s="66">
        <v>107052</v>
      </c>
      <c r="M607" s="66"/>
      <c r="N607" s="66" t="s">
        <v>87</v>
      </c>
      <c r="O607" s="66" t="s">
        <v>88</v>
      </c>
      <c r="P607" s="66" t="s">
        <v>89</v>
      </c>
      <c r="Q607" s="138" t="str">
        <f ca="1">IFERROR(LOOKUP($P607,MOTORISTAS!$D$3:$D$1048576,MOTORISTAS!E$3:E$916),"")</f>
        <v>00097734527</v>
      </c>
      <c r="R607" s="138" t="str">
        <f ca="1">IFERROR(LOOKUP($P607,MOTORISTAS!$D$3:$D$1048576,MOTORISTAS!F$3:F$916),"")</f>
        <v>03148346870</v>
      </c>
      <c r="S607" s="66">
        <v>16315</v>
      </c>
      <c r="T607" s="66" t="s">
        <v>293</v>
      </c>
      <c r="U607" s="79">
        <v>45089.683333333334</v>
      </c>
      <c r="V607" s="66" t="s">
        <v>469</v>
      </c>
      <c r="W607" s="79">
        <v>45090.72152777778</v>
      </c>
      <c r="X607" s="79">
        <v>45090.314583333333</v>
      </c>
      <c r="Y607" s="88">
        <v>45090.390972222223</v>
      </c>
      <c r="Z607" s="81">
        <v>2100</v>
      </c>
      <c r="AA607" s="81"/>
      <c r="AB607" s="81"/>
      <c r="AC607" s="81"/>
      <c r="AD607" s="81"/>
      <c r="AE607" s="81"/>
      <c r="AF607" s="81"/>
      <c r="AG607" s="81">
        <f>Sal_23[[#This Row],[COMPRA]]*12%</f>
        <v>370.37759999999997</v>
      </c>
      <c r="AH607" s="83">
        <v>3086.48</v>
      </c>
      <c r="AI607" s="66" t="str">
        <f>PROPER(TEXT(Sal_23[[#This Row],[PROGRAMAÇÃO]],"mmm"))</f>
        <v>Jun</v>
      </c>
      <c r="AJ607" s="66">
        <f>YEAR(Sal_23[[#This Row],[PROGRAMAÇÃO]])</f>
        <v>2023</v>
      </c>
      <c r="AK607" s="66"/>
      <c r="AL607" s="66"/>
      <c r="AM607" s="66" t="s">
        <v>2768</v>
      </c>
      <c r="AN607" s="66" t="s">
        <v>2768</v>
      </c>
      <c r="AO607" s="66"/>
    </row>
    <row r="608" spans="2:41" x14ac:dyDescent="0.25">
      <c r="B608" s="128" t="s">
        <v>2771</v>
      </c>
      <c r="C60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08" s="79">
        <v>45086.333333333336</v>
      </c>
      <c r="E608" s="44" t="s">
        <v>5023</v>
      </c>
      <c r="F608" s="66">
        <v>40</v>
      </c>
      <c r="G608" s="66" t="s">
        <v>2826</v>
      </c>
      <c r="H608" s="44" t="s">
        <v>1674</v>
      </c>
      <c r="I608" s="299" t="s">
        <v>2829</v>
      </c>
      <c r="J608" s="66">
        <v>5568</v>
      </c>
      <c r="K608" s="66" t="s">
        <v>5030</v>
      </c>
      <c r="L608" s="66">
        <v>107133</v>
      </c>
      <c r="M608" s="66">
        <v>107134</v>
      </c>
      <c r="N608" s="66" t="s">
        <v>2389</v>
      </c>
      <c r="O608" s="66" t="s">
        <v>2390</v>
      </c>
      <c r="P608" s="66" t="s">
        <v>892</v>
      </c>
      <c r="Q608" s="138" t="str">
        <f ca="1">IFERROR(LOOKUP($P608,MOTORISTAS!$D$3:$D$1048576,MOTORISTAS!E$3:E$916),"")</f>
        <v>55283063968</v>
      </c>
      <c r="R608" s="138" t="str">
        <f ca="1">IFERROR(LOOKUP($P608,MOTORISTAS!$D$3:$D$1048576,MOTORISTAS!F$3:F$916),"")</f>
        <v>02537032407</v>
      </c>
      <c r="S608" s="66">
        <v>16287</v>
      </c>
      <c r="T608" s="66" t="s">
        <v>293</v>
      </c>
      <c r="U608" s="79">
        <v>45085.931944444441</v>
      </c>
      <c r="V608" s="66" t="s">
        <v>469</v>
      </c>
      <c r="W608" s="79">
        <v>45086.655555555553</v>
      </c>
      <c r="X608" s="79">
        <v>45086.104166666664</v>
      </c>
      <c r="Y608" s="88">
        <v>45086.395833333336</v>
      </c>
      <c r="Z608" s="81">
        <v>3400</v>
      </c>
      <c r="AA608" s="81"/>
      <c r="AB608" s="81"/>
      <c r="AC608" s="81"/>
      <c r="AD608" s="81"/>
      <c r="AE608" s="81"/>
      <c r="AF608" s="81"/>
      <c r="AG608" s="81">
        <f>Sal_23[[#This Row],[COMPRA]]*12%</f>
        <v>558.28319999999997</v>
      </c>
      <c r="AH608" s="83">
        <v>4652.3599999999997</v>
      </c>
      <c r="AI608" s="66" t="str">
        <f>PROPER(TEXT(Sal_23[[#This Row],[PROGRAMAÇÃO]],"mmm"))</f>
        <v>Jun</v>
      </c>
      <c r="AJ608" s="66">
        <f>YEAR(Sal_23[[#This Row],[PROGRAMAÇÃO]])</f>
        <v>2023</v>
      </c>
      <c r="AK608" s="66"/>
      <c r="AL608" s="66"/>
      <c r="AM608" s="66" t="s">
        <v>2768</v>
      </c>
      <c r="AN608" s="66" t="s">
        <v>2768</v>
      </c>
      <c r="AO608" s="66"/>
    </row>
    <row r="609" spans="2:41" x14ac:dyDescent="0.25">
      <c r="B609" s="128" t="s">
        <v>2771</v>
      </c>
      <c r="C60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09" s="79">
        <v>45086.375</v>
      </c>
      <c r="E609" s="44" t="s">
        <v>5024</v>
      </c>
      <c r="F609" s="66">
        <v>40</v>
      </c>
      <c r="G609" s="66" t="s">
        <v>2826</v>
      </c>
      <c r="H609" s="44" t="s">
        <v>1674</v>
      </c>
      <c r="I609" s="299" t="s">
        <v>2829</v>
      </c>
      <c r="J609" s="66">
        <v>5571</v>
      </c>
      <c r="K609" s="66" t="s">
        <v>5030</v>
      </c>
      <c r="L609" s="66">
        <v>107171</v>
      </c>
      <c r="M609" s="66">
        <v>107172</v>
      </c>
      <c r="N609" s="66" t="s">
        <v>178</v>
      </c>
      <c r="O609" s="66" t="s">
        <v>112</v>
      </c>
      <c r="P609" s="66" t="s">
        <v>180</v>
      </c>
      <c r="Q609" s="138" t="str">
        <f ca="1">IFERROR(LOOKUP($P609,MOTORISTAS!$D$3:$D$1048576,MOTORISTAS!E$3:E$916),"")</f>
        <v>18990500869</v>
      </c>
      <c r="R609" s="138" t="str">
        <f ca="1">IFERROR(LOOKUP($P609,MOTORISTAS!$D$3:$D$1048576,MOTORISTAS!F$3:F$916),"")</f>
        <v>04640435232</v>
      </c>
      <c r="S609" s="66">
        <v>16288</v>
      </c>
      <c r="T609" s="66" t="s">
        <v>293</v>
      </c>
      <c r="U609" s="79">
        <v>45086.177083333336</v>
      </c>
      <c r="V609" s="66" t="s">
        <v>469</v>
      </c>
      <c r="W609" s="79">
        <v>45086.661805555559</v>
      </c>
      <c r="X609" s="79">
        <v>45086.34375</v>
      </c>
      <c r="Y609" s="88">
        <v>45086.395833333336</v>
      </c>
      <c r="Z609" s="81">
        <v>3400</v>
      </c>
      <c r="AA609" s="81"/>
      <c r="AB609" s="81"/>
      <c r="AC609" s="81"/>
      <c r="AD609" s="81"/>
      <c r="AE609" s="81"/>
      <c r="AF609" s="81"/>
      <c r="AG609" s="81">
        <f>Sal_23[[#This Row],[COMPRA]]*12%</f>
        <v>558.28319999999997</v>
      </c>
      <c r="AH609" s="83">
        <v>4652.3599999999997</v>
      </c>
      <c r="AI609" s="66" t="str">
        <f>PROPER(TEXT(Sal_23[[#This Row],[PROGRAMAÇÃO]],"mmm"))</f>
        <v>Jun</v>
      </c>
      <c r="AJ609" s="66">
        <f>YEAR(Sal_23[[#This Row],[PROGRAMAÇÃO]])</f>
        <v>2023</v>
      </c>
      <c r="AK609" s="66"/>
      <c r="AL609" s="66"/>
      <c r="AM609" s="66" t="s">
        <v>2768</v>
      </c>
      <c r="AN609" s="66" t="s">
        <v>2768</v>
      </c>
      <c r="AO609" s="66"/>
    </row>
    <row r="610" spans="2:41" x14ac:dyDescent="0.25">
      <c r="B610" s="128" t="s">
        <v>2771</v>
      </c>
      <c r="C61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10" s="79">
        <v>45085.333333333336</v>
      </c>
      <c r="E610" s="44" t="s">
        <v>5025</v>
      </c>
      <c r="F610" s="66">
        <v>40</v>
      </c>
      <c r="G610" s="66" t="s">
        <v>2826</v>
      </c>
      <c r="H610" s="44" t="s">
        <v>3910</v>
      </c>
      <c r="I610" s="299" t="s">
        <v>3909</v>
      </c>
      <c r="J610" s="66">
        <v>5564</v>
      </c>
      <c r="K610" s="66" t="s">
        <v>5030</v>
      </c>
      <c r="L610" s="66">
        <v>117459</v>
      </c>
      <c r="M610" s="66"/>
      <c r="N610" s="66" t="s">
        <v>72</v>
      </c>
      <c r="O610" s="66" t="s">
        <v>73</v>
      </c>
      <c r="P610" s="66" t="s">
        <v>2678</v>
      </c>
      <c r="Q610" s="138" t="str">
        <f ca="1">IFERROR(LOOKUP($P610,MOTORISTAS!$D$3:$D$1048576,MOTORISTAS!E$3:E$916),"")</f>
        <v>28386357860</v>
      </c>
      <c r="R610" s="138" t="str">
        <f ca="1">IFERROR(LOOKUP($P610,MOTORISTAS!$D$3:$D$1048576,MOTORISTAS!F$3:F$916),"")</f>
        <v>01042201192</v>
      </c>
      <c r="S610" s="66">
        <v>16284</v>
      </c>
      <c r="T610" s="66" t="s">
        <v>293</v>
      </c>
      <c r="U610" s="79">
        <v>45085.076388888891</v>
      </c>
      <c r="V610" s="66" t="s">
        <v>469</v>
      </c>
      <c r="W610" s="79">
        <v>45086.410416666666</v>
      </c>
      <c r="X610" s="79">
        <v>45085.229166666664</v>
      </c>
      <c r="Y610" s="88">
        <v>45085.402083333334</v>
      </c>
      <c r="Z610" s="81">
        <v>2300</v>
      </c>
      <c r="AA610" s="81"/>
      <c r="AB610" s="81"/>
      <c r="AC610" s="81"/>
      <c r="AD610" s="81"/>
      <c r="AE610" s="81"/>
      <c r="AF610" s="81"/>
      <c r="AG610" s="81">
        <f>Sal_23[[#This Row],[COMPRA]]*12%</f>
        <v>399.62279999999998</v>
      </c>
      <c r="AH610" s="83">
        <v>3330.19</v>
      </c>
      <c r="AI610" s="66" t="str">
        <f>PROPER(TEXT(Sal_23[[#This Row],[PROGRAMAÇÃO]],"mmm"))</f>
        <v>Jun</v>
      </c>
      <c r="AJ610" s="66">
        <f>YEAR(Sal_23[[#This Row],[PROGRAMAÇÃO]])</f>
        <v>2023</v>
      </c>
      <c r="AK610" s="66"/>
      <c r="AL610" s="66"/>
      <c r="AM610" s="66" t="s">
        <v>2768</v>
      </c>
      <c r="AN610" s="66" t="s">
        <v>2768</v>
      </c>
      <c r="AO610" s="66"/>
    </row>
    <row r="611" spans="2:41" x14ac:dyDescent="0.25">
      <c r="B611" s="128" t="s">
        <v>2771</v>
      </c>
      <c r="C61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11" s="79">
        <v>45086.375</v>
      </c>
      <c r="E611" s="44" t="s">
        <v>5026</v>
      </c>
      <c r="F611" s="66">
        <v>40</v>
      </c>
      <c r="G611" s="66" t="s">
        <v>2826</v>
      </c>
      <c r="H611" s="44" t="s">
        <v>3910</v>
      </c>
      <c r="I611" s="299" t="s">
        <v>3909</v>
      </c>
      <c r="J611" s="66">
        <v>5565</v>
      </c>
      <c r="K611" s="66" t="s">
        <v>5030</v>
      </c>
      <c r="L611" s="66">
        <v>117531</v>
      </c>
      <c r="M611" s="66"/>
      <c r="N611" s="66" t="s">
        <v>111</v>
      </c>
      <c r="O611" s="66" t="s">
        <v>891</v>
      </c>
      <c r="P611" s="66" t="s">
        <v>113</v>
      </c>
      <c r="Q611" s="138" t="str">
        <f ca="1">IFERROR(LOOKUP($P611,MOTORISTAS!$D$3:$D$1048576,MOTORISTAS!E$3:E$916),"")</f>
        <v>88265951434</v>
      </c>
      <c r="R611" s="138" t="str">
        <f ca="1">IFERROR(LOOKUP($P611,MOTORISTAS!$D$3:$D$1048576,MOTORISTAS!F$3:F$916),"")</f>
        <v>00920373596</v>
      </c>
      <c r="S611" s="66">
        <v>16289</v>
      </c>
      <c r="T611" s="66" t="s">
        <v>293</v>
      </c>
      <c r="U611" s="79">
        <v>45086.232638888891</v>
      </c>
      <c r="V611" s="66" t="s">
        <v>469</v>
      </c>
      <c r="W611" s="79">
        <v>45086.984722222223</v>
      </c>
      <c r="X611" s="79">
        <v>45086.354166666664</v>
      </c>
      <c r="Y611" s="88">
        <v>45086.708333333336</v>
      </c>
      <c r="Z611" s="81">
        <v>2300</v>
      </c>
      <c r="AA611" s="81"/>
      <c r="AB611" s="81"/>
      <c r="AC611" s="81"/>
      <c r="AD611" s="81"/>
      <c r="AE611" s="81"/>
      <c r="AF611" s="81"/>
      <c r="AG611" s="81">
        <f>Sal_23[[#This Row],[COMPRA]]*12%</f>
        <v>399.62279999999998</v>
      </c>
      <c r="AH611" s="83">
        <v>3330.19</v>
      </c>
      <c r="AI611" s="66" t="str">
        <f>PROPER(TEXT(Sal_23[[#This Row],[PROGRAMAÇÃO]],"mmm"))</f>
        <v>Jun</v>
      </c>
      <c r="AJ611" s="66">
        <f>YEAR(Sal_23[[#This Row],[PROGRAMAÇÃO]])</f>
        <v>2023</v>
      </c>
      <c r="AK611" s="66"/>
      <c r="AL611" s="66"/>
      <c r="AM611" s="66" t="s">
        <v>2768</v>
      </c>
      <c r="AN611" s="66" t="s">
        <v>2768</v>
      </c>
      <c r="AO611" s="66"/>
    </row>
    <row r="612" spans="2:41" x14ac:dyDescent="0.25">
      <c r="B612" s="128" t="s">
        <v>2771</v>
      </c>
      <c r="C61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12" s="79">
        <v>45089.333333333336</v>
      </c>
      <c r="E612" s="44" t="s">
        <v>5027</v>
      </c>
      <c r="F612" s="66">
        <v>40</v>
      </c>
      <c r="G612" s="66" t="s">
        <v>2826</v>
      </c>
      <c r="H612" s="44" t="s">
        <v>3910</v>
      </c>
      <c r="I612" s="299" t="s">
        <v>3909</v>
      </c>
      <c r="J612" s="66">
        <v>5567</v>
      </c>
      <c r="K612" s="66" t="s">
        <v>5030</v>
      </c>
      <c r="L612" s="66">
        <v>117533</v>
      </c>
      <c r="M612" s="66"/>
      <c r="N612" s="66" t="s">
        <v>111</v>
      </c>
      <c r="O612" s="66" t="s">
        <v>891</v>
      </c>
      <c r="P612" s="66" t="s">
        <v>113</v>
      </c>
      <c r="Q612" s="138" t="str">
        <f ca="1">IFERROR(LOOKUP($P612,MOTORISTAS!$D$3:$D$1048576,MOTORISTAS!E$3:E$916),"")</f>
        <v>88265951434</v>
      </c>
      <c r="R612" s="138" t="str">
        <f ca="1">IFERROR(LOOKUP($P612,MOTORISTAS!$D$3:$D$1048576,MOTORISTAS!F$3:F$916),"")</f>
        <v>00920373596</v>
      </c>
      <c r="S612" s="66">
        <v>16303</v>
      </c>
      <c r="T612" s="66" t="s">
        <v>293</v>
      </c>
      <c r="U612" s="79">
        <v>45089.234027777777</v>
      </c>
      <c r="V612" s="66" t="s">
        <v>469</v>
      </c>
      <c r="W612" s="79">
        <v>45089.768750000003</v>
      </c>
      <c r="X612" s="79">
        <v>45089.388888888891</v>
      </c>
      <c r="Y612" s="88">
        <v>45089.59652777778</v>
      </c>
      <c r="Z612" s="81">
        <v>2300</v>
      </c>
      <c r="AA612" s="81"/>
      <c r="AB612" s="81"/>
      <c r="AC612" s="81"/>
      <c r="AD612" s="81"/>
      <c r="AE612" s="81"/>
      <c r="AF612" s="81"/>
      <c r="AG612" s="81">
        <f>Sal_23[[#This Row],[COMPRA]]*12%</f>
        <v>399.62279999999998</v>
      </c>
      <c r="AH612" s="83">
        <v>3330.19</v>
      </c>
      <c r="AI612" s="66" t="str">
        <f>PROPER(TEXT(Sal_23[[#This Row],[PROGRAMAÇÃO]],"mmm"))</f>
        <v>Jun</v>
      </c>
      <c r="AJ612" s="66">
        <f>YEAR(Sal_23[[#This Row],[PROGRAMAÇÃO]])</f>
        <v>2023</v>
      </c>
      <c r="AK612" s="66"/>
      <c r="AL612" s="66"/>
      <c r="AM612" s="66" t="s">
        <v>2768</v>
      </c>
      <c r="AN612" s="66" t="s">
        <v>2768</v>
      </c>
      <c r="AO612" s="66"/>
    </row>
    <row r="613" spans="2:41" x14ac:dyDescent="0.25">
      <c r="B613" s="128" t="s">
        <v>2771</v>
      </c>
      <c r="C61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13" s="79">
        <v>45090.333333333336</v>
      </c>
      <c r="E613" s="44" t="s">
        <v>5028</v>
      </c>
      <c r="F613" s="66">
        <v>40</v>
      </c>
      <c r="G613" s="66" t="s">
        <v>2826</v>
      </c>
      <c r="H613" s="44" t="s">
        <v>3910</v>
      </c>
      <c r="I613" s="299" t="s">
        <v>3909</v>
      </c>
      <c r="J613" s="66">
        <v>5569</v>
      </c>
      <c r="K613" s="66" t="s">
        <v>5030</v>
      </c>
      <c r="L613" s="66">
        <v>117612</v>
      </c>
      <c r="M613" s="66"/>
      <c r="N613" s="66" t="s">
        <v>2389</v>
      </c>
      <c r="O613" s="66" t="s">
        <v>2390</v>
      </c>
      <c r="P613" s="66" t="s">
        <v>892</v>
      </c>
      <c r="Q613" s="138" t="str">
        <f ca="1">IFERROR(LOOKUP($P613,MOTORISTAS!$D$3:$D$1048576,MOTORISTAS!E$3:E$916),"")</f>
        <v>55283063968</v>
      </c>
      <c r="R613" s="138" t="str">
        <f ca="1">IFERROR(LOOKUP($P613,MOTORISTAS!$D$3:$D$1048576,MOTORISTAS!F$3:F$916),"")</f>
        <v>02537032407</v>
      </c>
      <c r="S613" s="66">
        <v>16314</v>
      </c>
      <c r="T613" s="66" t="s">
        <v>293</v>
      </c>
      <c r="U613" s="79">
        <v>45089.685416666667</v>
      </c>
      <c r="V613" s="66" t="s">
        <v>469</v>
      </c>
      <c r="W613" s="79">
        <v>45086.984722222223</v>
      </c>
      <c r="X613" s="79" t="s">
        <v>5105</v>
      </c>
      <c r="Y613" s="88">
        <v>45090.599305555559</v>
      </c>
      <c r="Z613" s="81">
        <v>2300</v>
      </c>
      <c r="AA613" s="81"/>
      <c r="AB613" s="81"/>
      <c r="AC613" s="81"/>
      <c r="AD613" s="81"/>
      <c r="AE613" s="81"/>
      <c r="AF613" s="81"/>
      <c r="AG613" s="81">
        <f>Sal_23[[#This Row],[COMPRA]]*12%</f>
        <v>399.62279999999998</v>
      </c>
      <c r="AH613" s="83">
        <v>3330.19</v>
      </c>
      <c r="AI613" s="66" t="str">
        <f>PROPER(TEXT(Sal_23[[#This Row],[PROGRAMAÇÃO]],"mmm"))</f>
        <v>Jun</v>
      </c>
      <c r="AJ613" s="66">
        <f>YEAR(Sal_23[[#This Row],[PROGRAMAÇÃO]])</f>
        <v>2023</v>
      </c>
      <c r="AK613" s="66"/>
      <c r="AL613" s="66"/>
      <c r="AM613" s="66" t="s">
        <v>2768</v>
      </c>
      <c r="AN613" s="66" t="s">
        <v>2768</v>
      </c>
      <c r="AO613" s="66"/>
    </row>
    <row r="614" spans="2:41" x14ac:dyDescent="0.25">
      <c r="B614" s="128" t="s">
        <v>2771</v>
      </c>
      <c r="C61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14" s="79">
        <v>45085.333333333336</v>
      </c>
      <c r="E614" s="44" t="s">
        <v>5029</v>
      </c>
      <c r="F614" s="66">
        <v>40</v>
      </c>
      <c r="G614" s="66" t="s">
        <v>2826</v>
      </c>
      <c r="H614" s="44" t="s">
        <v>3910</v>
      </c>
      <c r="I614" s="299" t="s">
        <v>3909</v>
      </c>
      <c r="J614" s="66">
        <v>5570</v>
      </c>
      <c r="K614" s="66" t="s">
        <v>5030</v>
      </c>
      <c r="L614" s="66">
        <v>107173</v>
      </c>
      <c r="M614" s="66"/>
      <c r="N614" s="66" t="s">
        <v>5037</v>
      </c>
      <c r="O614" s="66" t="s">
        <v>3192</v>
      </c>
      <c r="P614" s="66" t="s">
        <v>5038</v>
      </c>
      <c r="Q614" s="138" t="str">
        <f ca="1">IFERROR(LOOKUP($P614,MOTORISTAS!$D$3:$D$1048576,MOTORISTAS!E$3:E$916),"")</f>
        <v>58127445487</v>
      </c>
      <c r="R614" s="138" t="str">
        <f ca="1">IFERROR(LOOKUP($P614,MOTORISTAS!$D$3:$D$1048576,MOTORISTAS!F$3:F$916),"")</f>
        <v>01980826154</v>
      </c>
      <c r="S614" s="66">
        <v>16285</v>
      </c>
      <c r="T614" s="66" t="s">
        <v>293</v>
      </c>
      <c r="U614" s="79">
        <v>45085.21597222222</v>
      </c>
      <c r="V614" s="66" t="s">
        <v>469</v>
      </c>
      <c r="W614" s="79">
        <v>45086.456250000003</v>
      </c>
      <c r="X614" s="79">
        <v>45085.564583333333</v>
      </c>
      <c r="Y614" s="88">
        <v>45085.666666666664</v>
      </c>
      <c r="Z614" s="81">
        <v>2300</v>
      </c>
      <c r="AA614" s="81"/>
      <c r="AB614" s="81"/>
      <c r="AC614" s="81"/>
      <c r="AD614" s="81"/>
      <c r="AE614" s="81"/>
      <c r="AF614" s="81"/>
      <c r="AG614" s="81">
        <f>Sal_23[[#This Row],[COMPRA]]*12%</f>
        <v>399.62279999999998</v>
      </c>
      <c r="AH614" s="83">
        <v>3330.19</v>
      </c>
      <c r="AI614" s="66" t="str">
        <f>PROPER(TEXT(Sal_23[[#This Row],[PROGRAMAÇÃO]],"mmm"))</f>
        <v>Jun</v>
      </c>
      <c r="AJ614" s="66">
        <f>YEAR(Sal_23[[#This Row],[PROGRAMAÇÃO]])</f>
        <v>2023</v>
      </c>
      <c r="AK614" s="66"/>
      <c r="AL614" s="66"/>
      <c r="AM614" s="66" t="s">
        <v>2768</v>
      </c>
      <c r="AN614" s="66" t="s">
        <v>2768</v>
      </c>
      <c r="AO614" s="66"/>
    </row>
    <row r="615" spans="2:41" x14ac:dyDescent="0.25">
      <c r="B615" s="128" t="s">
        <v>2771</v>
      </c>
      <c r="C61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15" s="79">
        <v>45091.416666666664</v>
      </c>
      <c r="E615" s="44" t="s">
        <v>5081</v>
      </c>
      <c r="F615" s="66">
        <v>20</v>
      </c>
      <c r="G615" s="66" t="s">
        <v>2820</v>
      </c>
      <c r="H615" s="44" t="s">
        <v>2820</v>
      </c>
      <c r="I615" s="299" t="s">
        <v>2821</v>
      </c>
      <c r="J615" s="66" t="s">
        <v>5108</v>
      </c>
      <c r="K615" s="66" t="s">
        <v>5161</v>
      </c>
      <c r="L615" s="66">
        <v>107268</v>
      </c>
      <c r="M615" s="66"/>
      <c r="N615" s="66" t="s">
        <v>3028</v>
      </c>
      <c r="O615" s="66" t="s">
        <v>2261</v>
      </c>
      <c r="P615" s="66" t="s">
        <v>3443</v>
      </c>
      <c r="Q615" s="138" t="str">
        <f ca="1">IFERROR(LOOKUP($P615,MOTORISTAS!$D$3:$D$1048576,MOTORISTAS!E$3:E$916),"")</f>
        <v>13990937898</v>
      </c>
      <c r="R615" s="138" t="str">
        <f ca="1">IFERROR(LOOKUP($P615,MOTORISTAS!$D$3:$D$1048576,MOTORISTAS!F$3:F$916),"")</f>
        <v>01825123407</v>
      </c>
      <c r="S615" s="66">
        <v>16342</v>
      </c>
      <c r="T615" s="66" t="s">
        <v>306</v>
      </c>
      <c r="U615" s="79">
        <v>45091.020138888889</v>
      </c>
      <c r="V615" s="66" t="s">
        <v>292</v>
      </c>
      <c r="W615" s="79">
        <v>45091.655555555553</v>
      </c>
      <c r="X615" s="79">
        <v>45091.111111111109</v>
      </c>
      <c r="Y615" s="88">
        <v>45091.5</v>
      </c>
      <c r="Z615" s="81">
        <v>1600</v>
      </c>
      <c r="AA615" s="81"/>
      <c r="AB615" s="81"/>
      <c r="AC615" s="81"/>
      <c r="AD615" s="81"/>
      <c r="AE615" s="81"/>
      <c r="AF615" s="81"/>
      <c r="AG615" s="81">
        <f>Sal_23[[#This Row],[COMPRA]]*12%</f>
        <v>276</v>
      </c>
      <c r="AH615" s="83">
        <v>2300</v>
      </c>
      <c r="AI615" s="66" t="str">
        <f>PROPER(TEXT(Sal_23[[#This Row],[PROGRAMAÇÃO]],"mmm"))</f>
        <v>Jun</v>
      </c>
      <c r="AJ615" s="66">
        <f>YEAR(Sal_23[[#This Row],[PROGRAMAÇÃO]])</f>
        <v>2023</v>
      </c>
      <c r="AK615" s="66"/>
      <c r="AL615" s="66"/>
      <c r="AM615" s="66" t="s">
        <v>2768</v>
      </c>
      <c r="AN615" s="66" t="s">
        <v>2768</v>
      </c>
      <c r="AO615" s="66"/>
    </row>
    <row r="616" spans="2:41" x14ac:dyDescent="0.25">
      <c r="B616" s="128" t="s">
        <v>2771</v>
      </c>
      <c r="C61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16" s="79">
        <v>45091.416666666664</v>
      </c>
      <c r="E616" s="44" t="s">
        <v>5084</v>
      </c>
      <c r="F616" s="66">
        <v>20</v>
      </c>
      <c r="G616" s="66" t="s">
        <v>2820</v>
      </c>
      <c r="H616" s="44" t="s">
        <v>2820</v>
      </c>
      <c r="I616" s="299" t="s">
        <v>2821</v>
      </c>
      <c r="J616" s="66" t="s">
        <v>5117</v>
      </c>
      <c r="K616" s="66" t="s">
        <v>5161</v>
      </c>
      <c r="L616" s="66">
        <v>117827</v>
      </c>
      <c r="M616" s="66"/>
      <c r="N616" s="66" t="s">
        <v>2859</v>
      </c>
      <c r="O616" s="66" t="s">
        <v>2860</v>
      </c>
      <c r="P616" s="66" t="s">
        <v>2861</v>
      </c>
      <c r="Q616" s="138" t="str">
        <f ca="1">IFERROR(LOOKUP($P616,MOTORISTAS!$D$3:$D$1048576,MOTORISTAS!E$3:E$916),"")</f>
        <v>01817591878</v>
      </c>
      <c r="R616" s="138" t="str">
        <f ca="1">IFERROR(LOOKUP($P616,MOTORISTAS!$D$3:$D$1048576,MOTORISTAS!F$3:F$916),"")</f>
        <v>00821760640</v>
      </c>
      <c r="S616" s="66">
        <v>16343</v>
      </c>
      <c r="T616" s="66" t="s">
        <v>306</v>
      </c>
      <c r="U616" s="79">
        <v>45091.027083333334</v>
      </c>
      <c r="V616" s="66" t="s">
        <v>292</v>
      </c>
      <c r="W616" s="79">
        <v>45091.606944444444</v>
      </c>
      <c r="X616" s="79">
        <v>45091.111111111109</v>
      </c>
      <c r="Y616" s="88">
        <v>45091.5</v>
      </c>
      <c r="Z616" s="81">
        <v>1600</v>
      </c>
      <c r="AA616" s="81"/>
      <c r="AB616" s="81"/>
      <c r="AC616" s="81"/>
      <c r="AD616" s="81"/>
      <c r="AE616" s="81"/>
      <c r="AF616" s="81"/>
      <c r="AG616" s="81">
        <f>Sal_23[[#This Row],[COMPRA]]*12%</f>
        <v>276</v>
      </c>
      <c r="AH616" s="83">
        <v>2300</v>
      </c>
      <c r="AI616" s="66" t="str">
        <f>PROPER(TEXT(Sal_23[[#This Row],[PROGRAMAÇÃO]],"mmm"))</f>
        <v>Jun</v>
      </c>
      <c r="AJ616" s="66">
        <f>YEAR(Sal_23[[#This Row],[PROGRAMAÇÃO]])</f>
        <v>2023</v>
      </c>
      <c r="AK616" s="66"/>
      <c r="AL616" s="66"/>
      <c r="AM616" s="66" t="s">
        <v>2768</v>
      </c>
      <c r="AN616" s="66" t="s">
        <v>2768</v>
      </c>
      <c r="AO616" s="66"/>
    </row>
    <row r="617" spans="2:41" x14ac:dyDescent="0.25">
      <c r="B617" s="128" t="s">
        <v>2771</v>
      </c>
      <c r="C61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17" s="79">
        <v>45092.416666666664</v>
      </c>
      <c r="E617" s="44" t="s">
        <v>5082</v>
      </c>
      <c r="F617" s="66">
        <v>20</v>
      </c>
      <c r="G617" s="66" t="s">
        <v>2820</v>
      </c>
      <c r="H617" s="44" t="s">
        <v>2820</v>
      </c>
      <c r="I617" s="299" t="s">
        <v>2821</v>
      </c>
      <c r="J617" s="66" t="s">
        <v>5108</v>
      </c>
      <c r="K617" s="66" t="s">
        <v>5161</v>
      </c>
      <c r="L617" s="66">
        <v>107267</v>
      </c>
      <c r="M617" s="66"/>
      <c r="N617" s="66" t="s">
        <v>3028</v>
      </c>
      <c r="O617" s="66" t="s">
        <v>2261</v>
      </c>
      <c r="P617" s="66" t="s">
        <v>3443</v>
      </c>
      <c r="Q617" s="138" t="str">
        <f ca="1">IFERROR(LOOKUP($P617,MOTORISTAS!$D$3:$D$1048576,MOTORISTAS!E$3:E$916),"")</f>
        <v>13990937898</v>
      </c>
      <c r="R617" s="138" t="str">
        <f ca="1">IFERROR(LOOKUP($P617,MOTORISTAS!$D$3:$D$1048576,MOTORISTAS!F$3:F$916),"")</f>
        <v>01825123407</v>
      </c>
      <c r="S617" s="66">
        <v>16355</v>
      </c>
      <c r="T617" s="66" t="s">
        <v>306</v>
      </c>
      <c r="U617" s="79">
        <v>45091.990972222222</v>
      </c>
      <c r="V617" s="66" t="s">
        <v>292</v>
      </c>
      <c r="W617" s="79">
        <v>45093.667361111111</v>
      </c>
      <c r="X617" s="79">
        <v>45092.079861111109</v>
      </c>
      <c r="Y617" s="88">
        <v>45092.597222222219</v>
      </c>
      <c r="Z617" s="81">
        <v>1600</v>
      </c>
      <c r="AA617" s="81"/>
      <c r="AB617" s="81"/>
      <c r="AC617" s="81"/>
      <c r="AD617" s="81"/>
      <c r="AE617" s="81"/>
      <c r="AF617" s="81"/>
      <c r="AG617" s="81">
        <f>Sal_23[[#This Row],[COMPRA]]*12%</f>
        <v>276</v>
      </c>
      <c r="AH617" s="83">
        <v>2300</v>
      </c>
      <c r="AI617" s="66" t="str">
        <f>PROPER(TEXT(Sal_23[[#This Row],[PROGRAMAÇÃO]],"mmm"))</f>
        <v>Jun</v>
      </c>
      <c r="AJ617" s="66">
        <f>YEAR(Sal_23[[#This Row],[PROGRAMAÇÃO]])</f>
        <v>2023</v>
      </c>
      <c r="AK617" s="66"/>
      <c r="AL617" s="66"/>
      <c r="AM617" s="66" t="s">
        <v>2768</v>
      </c>
      <c r="AN617" s="66" t="s">
        <v>2768</v>
      </c>
      <c r="AO617" s="66"/>
    </row>
    <row r="618" spans="2:41" x14ac:dyDescent="0.25">
      <c r="B618" s="128" t="s">
        <v>2771</v>
      </c>
      <c r="C61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18" s="79">
        <v>45092.416666666664</v>
      </c>
      <c r="E618" s="44" t="s">
        <v>5083</v>
      </c>
      <c r="F618" s="66">
        <v>20</v>
      </c>
      <c r="G618" s="66" t="s">
        <v>2820</v>
      </c>
      <c r="H618" s="44" t="s">
        <v>2820</v>
      </c>
      <c r="I618" s="299" t="s">
        <v>2821</v>
      </c>
      <c r="J618" s="66" t="s">
        <v>5167</v>
      </c>
      <c r="K618" s="66" t="s">
        <v>5161</v>
      </c>
      <c r="L618" s="66">
        <v>107311</v>
      </c>
      <c r="M618" s="66"/>
      <c r="N618" s="66" t="s">
        <v>2859</v>
      </c>
      <c r="O618" s="66" t="s">
        <v>2860</v>
      </c>
      <c r="P618" s="66" t="s">
        <v>2861</v>
      </c>
      <c r="Q618" s="138" t="str">
        <f ca="1">IFERROR(LOOKUP($P618,MOTORISTAS!$D$3:$D$1048576,MOTORISTAS!E$3:E$916),"")</f>
        <v>01817591878</v>
      </c>
      <c r="R618" s="138" t="str">
        <f ca="1">IFERROR(LOOKUP($P618,MOTORISTAS!$D$3:$D$1048576,MOTORISTAS!F$3:F$916),"")</f>
        <v>00821760640</v>
      </c>
      <c r="S618" s="66">
        <v>16356</v>
      </c>
      <c r="T618" s="66" t="s">
        <v>306</v>
      </c>
      <c r="U618" s="79">
        <v>45091.992361111108</v>
      </c>
      <c r="V618" s="66" t="s">
        <v>292</v>
      </c>
      <c r="W618" s="79">
        <v>45092.618055555555</v>
      </c>
      <c r="X618" s="79">
        <v>45092.079861111109</v>
      </c>
      <c r="Y618" s="88">
        <v>45092.597222222219</v>
      </c>
      <c r="Z618" s="81">
        <v>1600</v>
      </c>
      <c r="AA618" s="81"/>
      <c r="AB618" s="81"/>
      <c r="AC618" s="81"/>
      <c r="AD618" s="81"/>
      <c r="AE618" s="81"/>
      <c r="AF618" s="81"/>
      <c r="AG618" s="81">
        <f>Sal_23[[#This Row],[COMPRA]]*12%</f>
        <v>276</v>
      </c>
      <c r="AH618" s="83">
        <v>2300</v>
      </c>
      <c r="AI618" s="66" t="str">
        <f>PROPER(TEXT(Sal_23[[#This Row],[PROGRAMAÇÃO]],"mmm"))</f>
        <v>Jun</v>
      </c>
      <c r="AJ618" s="66">
        <f>YEAR(Sal_23[[#This Row],[PROGRAMAÇÃO]])</f>
        <v>2023</v>
      </c>
      <c r="AK618" s="66"/>
      <c r="AL618" s="66"/>
      <c r="AM618" s="66" t="s">
        <v>2768</v>
      </c>
      <c r="AN618" s="66" t="s">
        <v>2768</v>
      </c>
      <c r="AO618" s="66"/>
    </row>
    <row r="619" spans="2:41" x14ac:dyDescent="0.25">
      <c r="B619" s="128" t="s">
        <v>2771</v>
      </c>
      <c r="C61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19" s="79">
        <v>45093.416666666664</v>
      </c>
      <c r="E619" s="44" t="s">
        <v>5085</v>
      </c>
      <c r="F619" s="66">
        <v>20</v>
      </c>
      <c r="G619" s="66" t="s">
        <v>2820</v>
      </c>
      <c r="H619" s="44" t="s">
        <v>2820</v>
      </c>
      <c r="I619" s="299" t="s">
        <v>2821</v>
      </c>
      <c r="J619" s="66" t="s">
        <v>5135</v>
      </c>
      <c r="K619" s="66" t="s">
        <v>5161</v>
      </c>
      <c r="L619" s="66">
        <v>71603</v>
      </c>
      <c r="M619" s="66"/>
      <c r="N619" s="66" t="s">
        <v>3028</v>
      </c>
      <c r="O619" s="66" t="s">
        <v>2261</v>
      </c>
      <c r="P619" s="66" t="s">
        <v>3443</v>
      </c>
      <c r="Q619" s="138" t="str">
        <f ca="1">IFERROR(LOOKUP($P619,MOTORISTAS!$D$3:$D$1048576,MOTORISTAS!E$3:E$916),"")</f>
        <v>13990937898</v>
      </c>
      <c r="R619" s="138" t="str">
        <f ca="1">IFERROR(LOOKUP($P619,MOTORISTAS!$D$3:$D$1048576,MOTORISTAS!F$3:F$916),"")</f>
        <v>01825123407</v>
      </c>
      <c r="S619" s="66">
        <v>16369</v>
      </c>
      <c r="T619" s="66" t="s">
        <v>306</v>
      </c>
      <c r="U619" s="79">
        <v>45092.996527777781</v>
      </c>
      <c r="V619" s="66" t="s">
        <v>292</v>
      </c>
      <c r="W619" s="79">
        <v>45093.59652777778</v>
      </c>
      <c r="X619" s="79">
        <v>45093.472222222219</v>
      </c>
      <c r="Y619" s="88">
        <v>45093.472222222219</v>
      </c>
      <c r="Z619" s="81">
        <v>1600</v>
      </c>
      <c r="AA619" s="81"/>
      <c r="AB619" s="81"/>
      <c r="AC619" s="81"/>
      <c r="AD619" s="81"/>
      <c r="AE619" s="81"/>
      <c r="AF619" s="81"/>
      <c r="AG619" s="81">
        <f>Sal_23[[#This Row],[COMPRA]]*12%</f>
        <v>276</v>
      </c>
      <c r="AH619" s="83">
        <v>2300</v>
      </c>
      <c r="AI619" s="66" t="str">
        <f>PROPER(TEXT(Sal_23[[#This Row],[PROGRAMAÇÃO]],"mmm"))</f>
        <v>Jun</v>
      </c>
      <c r="AJ619" s="66">
        <f>YEAR(Sal_23[[#This Row],[PROGRAMAÇÃO]])</f>
        <v>2023</v>
      </c>
      <c r="AK619" s="66"/>
      <c r="AL619" s="66"/>
      <c r="AM619" s="66" t="s">
        <v>2768</v>
      </c>
      <c r="AN619" s="66" t="s">
        <v>2768</v>
      </c>
      <c r="AO619" s="66"/>
    </row>
    <row r="620" spans="2:41" x14ac:dyDescent="0.25">
      <c r="B620" s="128" t="s">
        <v>2771</v>
      </c>
      <c r="C62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20" s="79">
        <v>45093.416666666664</v>
      </c>
      <c r="E620" s="44" t="s">
        <v>5086</v>
      </c>
      <c r="F620" s="66">
        <v>20</v>
      </c>
      <c r="G620" s="66" t="s">
        <v>2820</v>
      </c>
      <c r="H620" s="44" t="s">
        <v>2820</v>
      </c>
      <c r="I620" s="299" t="s">
        <v>2821</v>
      </c>
      <c r="J620" s="66" t="s">
        <v>5168</v>
      </c>
      <c r="K620" s="66" t="s">
        <v>5161</v>
      </c>
      <c r="L620" s="66">
        <v>71606</v>
      </c>
      <c r="M620" s="66"/>
      <c r="N620" s="66" t="s">
        <v>2859</v>
      </c>
      <c r="O620" s="66" t="s">
        <v>2860</v>
      </c>
      <c r="P620" s="66" t="s">
        <v>2861</v>
      </c>
      <c r="Q620" s="138" t="str">
        <f ca="1">IFERROR(LOOKUP($P620,MOTORISTAS!$D$3:$D$1048576,MOTORISTAS!E$3:E$916),"")</f>
        <v>01817591878</v>
      </c>
      <c r="R620" s="138" t="str">
        <f ca="1">IFERROR(LOOKUP($P620,MOTORISTAS!$D$3:$D$1048576,MOTORISTAS!F$3:F$916),"")</f>
        <v>00821760640</v>
      </c>
      <c r="S620" s="66">
        <v>16371</v>
      </c>
      <c r="T620" s="66" t="s">
        <v>306</v>
      </c>
      <c r="U620" s="79">
        <v>45092.98333333333</v>
      </c>
      <c r="V620" s="66" t="s">
        <v>292</v>
      </c>
      <c r="W620" s="79">
        <v>45093.686111111114</v>
      </c>
      <c r="X620" s="79">
        <v>45093.072222222225</v>
      </c>
      <c r="Y620" s="88">
        <v>45093.472222222219</v>
      </c>
      <c r="Z620" s="81">
        <v>1600</v>
      </c>
      <c r="AA620" s="81"/>
      <c r="AB620" s="81"/>
      <c r="AC620" s="81"/>
      <c r="AD620" s="81"/>
      <c r="AE620" s="81"/>
      <c r="AF620" s="81"/>
      <c r="AG620" s="81">
        <f>Sal_23[[#This Row],[COMPRA]]*12%</f>
        <v>276</v>
      </c>
      <c r="AH620" s="83">
        <v>2300</v>
      </c>
      <c r="AI620" s="66" t="str">
        <f>PROPER(TEXT(Sal_23[[#This Row],[PROGRAMAÇÃO]],"mmm"))</f>
        <v>Jun</v>
      </c>
      <c r="AJ620" s="66">
        <f>YEAR(Sal_23[[#This Row],[PROGRAMAÇÃO]])</f>
        <v>2023</v>
      </c>
      <c r="AK620" s="66"/>
      <c r="AL620" s="66"/>
      <c r="AM620" s="66" t="s">
        <v>2768</v>
      </c>
      <c r="AN620" s="66" t="s">
        <v>2768</v>
      </c>
      <c r="AO620" s="66"/>
    </row>
    <row r="621" spans="2:41" x14ac:dyDescent="0.25">
      <c r="B621" s="128" t="s">
        <v>2771</v>
      </c>
      <c r="C62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21" s="79">
        <v>45093.5</v>
      </c>
      <c r="E621" s="44" t="s">
        <v>5087</v>
      </c>
      <c r="F621" s="66">
        <v>40</v>
      </c>
      <c r="G621" s="66" t="s">
        <v>2820</v>
      </c>
      <c r="H621" s="44" t="s">
        <v>2820</v>
      </c>
      <c r="I621" s="299" t="s">
        <v>2821</v>
      </c>
      <c r="J621" s="66" t="s">
        <v>5136</v>
      </c>
      <c r="K621" s="66" t="s">
        <v>5161</v>
      </c>
      <c r="L621" s="66">
        <v>107307</v>
      </c>
      <c r="M621" s="66">
        <v>107306</v>
      </c>
      <c r="N621" s="66" t="s">
        <v>102</v>
      </c>
      <c r="O621" s="66" t="s">
        <v>27</v>
      </c>
      <c r="P621" s="66" t="s">
        <v>203</v>
      </c>
      <c r="Q621" s="138" t="str">
        <f ca="1">IFERROR(LOOKUP($P621,MOTORISTAS!$D$3:$D$1048576,MOTORISTAS!E$3:E$916),"")</f>
        <v>10395859816</v>
      </c>
      <c r="R621" s="138" t="str">
        <f ca="1">IFERROR(LOOKUP($P621,MOTORISTAS!$D$3:$D$1048576,MOTORISTAS!F$3:F$916),"")</f>
        <v>01965794851</v>
      </c>
      <c r="S621" s="66" t="s">
        <v>5147</v>
      </c>
      <c r="T621" s="66" t="s">
        <v>306</v>
      </c>
      <c r="U621" s="79">
        <v>45093.193749999999</v>
      </c>
      <c r="V621" s="66" t="s">
        <v>292</v>
      </c>
      <c r="W621" s="79">
        <v>45093.638194444444</v>
      </c>
      <c r="X621" s="79">
        <v>45093.263888888891</v>
      </c>
      <c r="Y621" s="88">
        <v>45093.513888888891</v>
      </c>
      <c r="Z621" s="81">
        <v>1600</v>
      </c>
      <c r="AA621" s="81"/>
      <c r="AB621" s="81"/>
      <c r="AC621" s="81"/>
      <c r="AD621" s="81"/>
      <c r="AE621" s="81"/>
      <c r="AF621" s="81"/>
      <c r="AG621" s="81">
        <f>Sal_23[[#This Row],[COMPRA]]*12%</f>
        <v>276</v>
      </c>
      <c r="AH621" s="83">
        <v>2300</v>
      </c>
      <c r="AI621" s="66" t="str">
        <f>PROPER(TEXT(Sal_23[[#This Row],[PROGRAMAÇÃO]],"mmm"))</f>
        <v>Jun</v>
      </c>
      <c r="AJ621" s="66">
        <f>YEAR(Sal_23[[#This Row],[PROGRAMAÇÃO]])</f>
        <v>2023</v>
      </c>
      <c r="AK621" s="66"/>
      <c r="AL621" s="66"/>
      <c r="AM621" s="66" t="s">
        <v>2768</v>
      </c>
      <c r="AN621" s="66" t="s">
        <v>2768</v>
      </c>
      <c r="AO621" s="66"/>
    </row>
    <row r="622" spans="2:41" x14ac:dyDescent="0.25">
      <c r="B622" s="128" t="s">
        <v>2771</v>
      </c>
      <c r="C62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22" s="79">
        <v>45092.333333333336</v>
      </c>
      <c r="E622" s="44" t="s">
        <v>5103</v>
      </c>
      <c r="F622" s="66">
        <v>40</v>
      </c>
      <c r="G622" s="66" t="s">
        <v>2826</v>
      </c>
      <c r="H622" s="44" t="s">
        <v>4944</v>
      </c>
      <c r="I622" s="299" t="s">
        <v>2822</v>
      </c>
      <c r="J622" s="66">
        <v>5905</v>
      </c>
      <c r="K622" s="66" t="s">
        <v>5104</v>
      </c>
      <c r="L622" s="66">
        <v>107389</v>
      </c>
      <c r="M622" s="66"/>
      <c r="N622" s="66" t="s">
        <v>1661</v>
      </c>
      <c r="O622" s="66" t="s">
        <v>5134</v>
      </c>
      <c r="P622" s="66" t="s">
        <v>1663</v>
      </c>
      <c r="Q622" s="138" t="str">
        <f ca="1">IFERROR(LOOKUP($P622,MOTORISTAS!$D$3:$D$1048576,MOTORISTAS!E$3:E$916),"")</f>
        <v>73350419887</v>
      </c>
      <c r="R622" s="138" t="str">
        <f ca="1">IFERROR(LOOKUP($P622,MOTORISTAS!$D$3:$D$1048576,MOTORISTAS!F$3:F$916),"")</f>
        <v>01449022605</v>
      </c>
      <c r="S622" s="66">
        <v>16361</v>
      </c>
      <c r="T622" s="66" t="s">
        <v>293</v>
      </c>
      <c r="U622" s="79">
        <v>45092.325694444444</v>
      </c>
      <c r="V622" s="66" t="s">
        <v>469</v>
      </c>
      <c r="W622" s="79">
        <v>45092.693749999999</v>
      </c>
      <c r="X622" s="79">
        <v>45092.354166666664</v>
      </c>
      <c r="Y622" s="88">
        <v>45092.583333333336</v>
      </c>
      <c r="Z622" s="81"/>
      <c r="AA622" s="81"/>
      <c r="AB622" s="81"/>
      <c r="AC622" s="81"/>
      <c r="AD622" s="81">
        <v>2449.6999999999998</v>
      </c>
      <c r="AE622" s="81"/>
      <c r="AF622" s="81">
        <v>266.39999999999998</v>
      </c>
      <c r="AG622" s="81">
        <f>Sal_23[[#This Row],[COMPRA]]*12%</f>
        <v>370.37759999999997</v>
      </c>
      <c r="AH622" s="83">
        <v>3086.48</v>
      </c>
      <c r="AI622" s="66" t="str">
        <f>PROPER(TEXT(Sal_23[[#This Row],[PROGRAMAÇÃO]],"mmm"))</f>
        <v>Jun</v>
      </c>
      <c r="AJ622" s="66">
        <f>YEAR(Sal_23[[#This Row],[PROGRAMAÇÃO]])</f>
        <v>2023</v>
      </c>
      <c r="AK622" s="66"/>
      <c r="AL622" s="66"/>
      <c r="AM622" s="66" t="s">
        <v>2768</v>
      </c>
      <c r="AN622" s="66" t="s">
        <v>2768</v>
      </c>
      <c r="AO622" s="66" t="s">
        <v>2768</v>
      </c>
    </row>
    <row r="623" spans="2:41" x14ac:dyDescent="0.25">
      <c r="B623" s="128" t="s">
        <v>2771</v>
      </c>
      <c r="C62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23" s="79">
        <v>45093.333333333336</v>
      </c>
      <c r="E623" s="44" t="s">
        <v>5089</v>
      </c>
      <c r="F623" s="66">
        <v>20</v>
      </c>
      <c r="G623" s="66" t="s">
        <v>2826</v>
      </c>
      <c r="H623" s="44" t="s">
        <v>3440</v>
      </c>
      <c r="I623" s="299" t="s">
        <v>3253</v>
      </c>
      <c r="J623" s="66">
        <v>5807</v>
      </c>
      <c r="K623" s="66" t="s">
        <v>5104</v>
      </c>
      <c r="L623" s="66">
        <v>117817</v>
      </c>
      <c r="M623" s="66"/>
      <c r="N623" s="66" t="s">
        <v>3040</v>
      </c>
      <c r="O623" s="66" t="s">
        <v>3041</v>
      </c>
      <c r="P623" s="66" t="s">
        <v>3042</v>
      </c>
      <c r="Q623" s="138" t="str">
        <f ca="1">IFERROR(LOOKUP($P623,MOTORISTAS!$D$3:$D$1048576,MOTORISTAS!E$3:E$916),"")</f>
        <v>19279658883</v>
      </c>
      <c r="R623" s="138" t="str">
        <f ca="1">IFERROR(LOOKUP($P623,MOTORISTAS!$D$3:$D$1048576,MOTORISTAS!F$3:F$916),"")</f>
        <v>01301319672</v>
      </c>
      <c r="S623" s="66">
        <v>16373</v>
      </c>
      <c r="T623" s="66" t="s">
        <v>293</v>
      </c>
      <c r="U623" s="79">
        <v>45093.065972222219</v>
      </c>
      <c r="V623" s="66" t="s">
        <v>526</v>
      </c>
      <c r="W623" s="79">
        <v>45093.521527777775</v>
      </c>
      <c r="X623" s="79">
        <v>45093.208333333336</v>
      </c>
      <c r="Y623" s="88">
        <v>45093.333333333336</v>
      </c>
      <c r="Z623" s="81">
        <v>2300</v>
      </c>
      <c r="AA623" s="81"/>
      <c r="AB623" s="81"/>
      <c r="AC623" s="81"/>
      <c r="AD623" s="81">
        <v>2449.6999999999998</v>
      </c>
      <c r="AE623" s="81"/>
      <c r="AF623" s="81">
        <v>266.39999999999998</v>
      </c>
      <c r="AG623" s="81">
        <f>Sal_23[[#This Row],[COMPRA]]*12%</f>
        <v>399.62399999999997</v>
      </c>
      <c r="AH623" s="83">
        <v>3330.2</v>
      </c>
      <c r="AI623" s="66" t="str">
        <f>PROPER(TEXT(Sal_23[[#This Row],[PROGRAMAÇÃO]],"mmm"))</f>
        <v>Jun</v>
      </c>
      <c r="AJ623" s="66">
        <f>YEAR(Sal_23[[#This Row],[PROGRAMAÇÃO]])</f>
        <v>2023</v>
      </c>
      <c r="AK623" s="66"/>
      <c r="AL623" s="66"/>
      <c r="AM623" s="66" t="s">
        <v>2768</v>
      </c>
      <c r="AN623" s="66" t="s">
        <v>2768</v>
      </c>
      <c r="AO623" s="66" t="s">
        <v>2768</v>
      </c>
    </row>
    <row r="624" spans="2:41" x14ac:dyDescent="0.25">
      <c r="B624" s="128" t="s">
        <v>2771</v>
      </c>
      <c r="C62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24" s="79">
        <v>45093.333333333336</v>
      </c>
      <c r="E624" s="44" t="s">
        <v>5099</v>
      </c>
      <c r="F624" s="66">
        <v>40</v>
      </c>
      <c r="G624" s="66" t="s">
        <v>2826</v>
      </c>
      <c r="H624" s="44" t="s">
        <v>1674</v>
      </c>
      <c r="I624" s="299" t="s">
        <v>2829</v>
      </c>
      <c r="J624" s="66">
        <v>5809</v>
      </c>
      <c r="K624" s="66" t="s">
        <v>5104</v>
      </c>
      <c r="L624" s="66">
        <v>107358</v>
      </c>
      <c r="M624" s="66">
        <v>107359</v>
      </c>
      <c r="N624" s="66" t="s">
        <v>210</v>
      </c>
      <c r="O624" s="66" t="s">
        <v>211</v>
      </c>
      <c r="P624" s="66" t="s">
        <v>212</v>
      </c>
      <c r="Q624" s="138" t="str">
        <f ca="1">IFERROR(LOOKUP($P624,MOTORISTAS!$D$3:$D$1048576,MOTORISTAS!E$3:E$916),"")</f>
        <v>38029906846</v>
      </c>
      <c r="R624" s="138" t="str">
        <f ca="1">IFERROR(LOOKUP($P624,MOTORISTAS!$D$3:$D$1048576,MOTORISTAS!F$3:F$916),"")</f>
        <v>04946846842</v>
      </c>
      <c r="S624" s="66">
        <v>16374</v>
      </c>
      <c r="T624" s="66" t="s">
        <v>293</v>
      </c>
      <c r="U624" s="79">
        <v>45093.293749999997</v>
      </c>
      <c r="V624" s="66" t="s">
        <v>469</v>
      </c>
      <c r="W624" s="79">
        <v>45093.872916666667</v>
      </c>
      <c r="X624" s="79">
        <v>45093.541666666664</v>
      </c>
      <c r="Y624" s="88">
        <v>45093.652777777781</v>
      </c>
      <c r="Z624" s="81">
        <v>3400</v>
      </c>
      <c r="AA624" s="81">
        <v>565.20000000000005</v>
      </c>
      <c r="AB624" s="81"/>
      <c r="AC624" s="81"/>
      <c r="AD624" s="81">
        <v>2449.6999999999998</v>
      </c>
      <c r="AE624" s="81"/>
      <c r="AF624" s="81">
        <v>266.39999999999998</v>
      </c>
      <c r="AG624" s="81">
        <f>Sal_23[[#This Row],[COMPRA]]*12%</f>
        <v>558.28319999999997</v>
      </c>
      <c r="AH624" s="83">
        <v>4652.3599999999997</v>
      </c>
      <c r="AI624" s="66" t="str">
        <f>PROPER(TEXT(Sal_23[[#This Row],[PROGRAMAÇÃO]],"mmm"))</f>
        <v>Jun</v>
      </c>
      <c r="AJ624" s="66">
        <f>YEAR(Sal_23[[#This Row],[PROGRAMAÇÃO]])</f>
        <v>2023</v>
      </c>
      <c r="AK624" s="66"/>
      <c r="AL624" s="66"/>
      <c r="AM624" s="66" t="s">
        <v>2768</v>
      </c>
      <c r="AN624" s="66" t="s">
        <v>2768</v>
      </c>
      <c r="AO624" s="66" t="s">
        <v>2768</v>
      </c>
    </row>
    <row r="625" spans="2:41" x14ac:dyDescent="0.25">
      <c r="B625" s="128" t="s">
        <v>2771</v>
      </c>
      <c r="C62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25" s="79">
        <v>45093.333333333336</v>
      </c>
      <c r="E625" s="44" t="s">
        <v>5100</v>
      </c>
      <c r="F625" s="66">
        <v>40</v>
      </c>
      <c r="G625" s="66" t="s">
        <v>2826</v>
      </c>
      <c r="H625" s="44" t="s">
        <v>1674</v>
      </c>
      <c r="I625" s="299" t="s">
        <v>2829</v>
      </c>
      <c r="J625" s="66">
        <v>5904</v>
      </c>
      <c r="K625" s="66" t="s">
        <v>5104</v>
      </c>
      <c r="L625" s="66">
        <v>107356</v>
      </c>
      <c r="M625" s="66">
        <v>107357</v>
      </c>
      <c r="N625" s="66" t="s">
        <v>102</v>
      </c>
      <c r="O625" s="66" t="s">
        <v>27</v>
      </c>
      <c r="P625" s="66" t="s">
        <v>203</v>
      </c>
      <c r="Q625" s="138" t="str">
        <f ca="1">IFERROR(LOOKUP($P625,MOTORISTAS!$D$3:$D$1048576,MOTORISTAS!E$3:E$916),"")</f>
        <v>10395859816</v>
      </c>
      <c r="R625" s="138" t="str">
        <f ca="1">IFERROR(LOOKUP($P625,MOTORISTAS!$D$3:$D$1048576,MOTORISTAS!F$3:F$916),"")</f>
        <v>01965794851</v>
      </c>
      <c r="S625" s="66">
        <v>16378</v>
      </c>
      <c r="T625" s="66" t="s">
        <v>293</v>
      </c>
      <c r="U625" s="79">
        <v>45093.313888888886</v>
      </c>
      <c r="V625" s="66" t="s">
        <v>469</v>
      </c>
      <c r="W625" s="79">
        <v>45093.869444444441</v>
      </c>
      <c r="X625" s="79">
        <v>45093.541666666664</v>
      </c>
      <c r="Y625" s="88">
        <v>45093.625</v>
      </c>
      <c r="Z625" s="81">
        <v>3400</v>
      </c>
      <c r="AA625" s="81"/>
      <c r="AB625" s="81"/>
      <c r="AC625" s="81"/>
      <c r="AD625" s="81">
        <v>2449.6999999999998</v>
      </c>
      <c r="AE625" s="81"/>
      <c r="AF625" s="81">
        <v>266.39999999999998</v>
      </c>
      <c r="AG625" s="81">
        <f>Sal_23[[#This Row],[COMPRA]]*12%</f>
        <v>558.28319999999997</v>
      </c>
      <c r="AH625" s="83">
        <v>4652.3599999999997</v>
      </c>
      <c r="AI625" s="66" t="str">
        <f>PROPER(TEXT(Sal_23[[#This Row],[PROGRAMAÇÃO]],"mmm"))</f>
        <v>Jun</v>
      </c>
      <c r="AJ625" s="66">
        <f>YEAR(Sal_23[[#This Row],[PROGRAMAÇÃO]])</f>
        <v>2023</v>
      </c>
      <c r="AK625" s="66"/>
      <c r="AL625" s="66"/>
      <c r="AM625" s="66" t="s">
        <v>2768</v>
      </c>
      <c r="AN625" s="66" t="s">
        <v>2768</v>
      </c>
      <c r="AO625" s="66" t="s">
        <v>2768</v>
      </c>
    </row>
    <row r="626" spans="2:41" x14ac:dyDescent="0.25">
      <c r="B626" s="128" t="s">
        <v>2771</v>
      </c>
      <c r="C62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26" s="79">
        <v>45093.333333333336</v>
      </c>
      <c r="E626" s="44" t="s">
        <v>5101</v>
      </c>
      <c r="F626" s="66">
        <v>40</v>
      </c>
      <c r="G626" s="66" t="s">
        <v>2826</v>
      </c>
      <c r="H626" s="44" t="s">
        <v>1674</v>
      </c>
      <c r="I626" s="299" t="s">
        <v>2829</v>
      </c>
      <c r="J626" s="66">
        <v>5902</v>
      </c>
      <c r="K626" s="66" t="s">
        <v>5104</v>
      </c>
      <c r="L626" s="66">
        <v>107384</v>
      </c>
      <c r="M626" s="66">
        <v>107385</v>
      </c>
      <c r="N626" s="66" t="s">
        <v>68</v>
      </c>
      <c r="O626" s="66" t="s">
        <v>36</v>
      </c>
      <c r="P626" s="66" t="s">
        <v>206</v>
      </c>
      <c r="Q626" s="138" t="str">
        <f ca="1">IFERROR(LOOKUP($P626,MOTORISTAS!$D$3:$D$1048576,MOTORISTAS!E$3:E$916),"")</f>
        <v>09085263425</v>
      </c>
      <c r="R626" s="138" t="str">
        <f ca="1">IFERROR(LOOKUP($P626,MOTORISTAS!$D$3:$D$1048576,MOTORISTAS!F$3:F$916),"")</f>
        <v>04557705505</v>
      </c>
      <c r="S626" s="66">
        <v>16379</v>
      </c>
      <c r="T626" s="66" t="s">
        <v>293</v>
      </c>
      <c r="U626" s="79">
        <v>45093.24722222222</v>
      </c>
      <c r="V626" s="66" t="s">
        <v>469</v>
      </c>
      <c r="W626" s="66" t="s">
        <v>5206</v>
      </c>
      <c r="X626" s="79">
        <v>45093.458333333336</v>
      </c>
      <c r="Y626" s="88">
        <v>45093.486111111109</v>
      </c>
      <c r="Z626" s="81">
        <v>3400</v>
      </c>
      <c r="AA626" s="81"/>
      <c r="AB626" s="81"/>
      <c r="AC626" s="81"/>
      <c r="AD626" s="81">
        <v>2449.6999999999998</v>
      </c>
      <c r="AE626" s="81"/>
      <c r="AF626" s="81">
        <v>266.39999999999998</v>
      </c>
      <c r="AG626" s="81">
        <f>Sal_23[[#This Row],[COMPRA]]*12%</f>
        <v>558.28319999999997</v>
      </c>
      <c r="AH626" s="83">
        <v>4652.3599999999997</v>
      </c>
      <c r="AI626" s="66" t="str">
        <f>PROPER(TEXT(Sal_23[[#This Row],[PROGRAMAÇÃO]],"mmm"))</f>
        <v>Jun</v>
      </c>
      <c r="AJ626" s="66">
        <f>YEAR(Sal_23[[#This Row],[PROGRAMAÇÃO]])</f>
        <v>2023</v>
      </c>
      <c r="AK626" s="66"/>
      <c r="AL626" s="66"/>
      <c r="AM626" s="66" t="s">
        <v>2768</v>
      </c>
      <c r="AN626" s="66" t="s">
        <v>2768</v>
      </c>
      <c r="AO626" s="66" t="s">
        <v>2768</v>
      </c>
    </row>
    <row r="627" spans="2:41" x14ac:dyDescent="0.25">
      <c r="B627" s="128" t="s">
        <v>2771</v>
      </c>
      <c r="C62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27" s="79">
        <v>45092.333333333336</v>
      </c>
      <c r="E627" s="44" t="s">
        <v>5090</v>
      </c>
      <c r="F627" s="66">
        <v>20</v>
      </c>
      <c r="G627" s="66" t="s">
        <v>2826</v>
      </c>
      <c r="H627" s="44" t="s">
        <v>2837</v>
      </c>
      <c r="I627" s="299" t="s">
        <v>2821</v>
      </c>
      <c r="J627" s="66">
        <v>5812</v>
      </c>
      <c r="K627" s="66" t="s">
        <v>5104</v>
      </c>
      <c r="L627" s="66">
        <v>107305</v>
      </c>
      <c r="M627" s="66"/>
      <c r="N627" s="66" t="s">
        <v>3040</v>
      </c>
      <c r="O627" s="66" t="s">
        <v>3041</v>
      </c>
      <c r="P627" s="66" t="s">
        <v>3042</v>
      </c>
      <c r="Q627" s="138" t="str">
        <f ca="1">IFERROR(LOOKUP($P627,MOTORISTAS!$D$3:$D$1048576,MOTORISTAS!E$3:E$916),"")</f>
        <v>19279658883</v>
      </c>
      <c r="R627" s="138" t="str">
        <f ca="1">IFERROR(LOOKUP($P627,MOTORISTAS!$D$3:$D$1048576,MOTORISTAS!F$3:F$916),"")</f>
        <v>01301319672</v>
      </c>
      <c r="S627" s="66">
        <v>16353</v>
      </c>
      <c r="T627" s="66" t="s">
        <v>293</v>
      </c>
      <c r="U627" s="79">
        <v>45092.020138888889</v>
      </c>
      <c r="V627" s="66" t="s">
        <v>526</v>
      </c>
      <c r="W627" s="79">
        <v>45092.617361111108</v>
      </c>
      <c r="X627" s="79">
        <v>45092.097916666666</v>
      </c>
      <c r="Y627" s="88">
        <v>45092.413194444445</v>
      </c>
      <c r="Z627" s="81">
        <v>1600</v>
      </c>
      <c r="AA627" s="81"/>
      <c r="AB627" s="81"/>
      <c r="AC627" s="81"/>
      <c r="AD627" s="81">
        <v>2449.6999999999998</v>
      </c>
      <c r="AE627" s="81"/>
      <c r="AF627" s="81">
        <v>266.39999999999998</v>
      </c>
      <c r="AG627" s="81">
        <f>Sal_23[[#This Row],[COMPRA]]*12%</f>
        <v>311.55959999999999</v>
      </c>
      <c r="AH627" s="83">
        <v>2596.33</v>
      </c>
      <c r="AI627" s="66" t="str">
        <f>PROPER(TEXT(Sal_23[[#This Row],[PROGRAMAÇÃO]],"mmm"))</f>
        <v>Jun</v>
      </c>
      <c r="AJ627" s="66">
        <f>YEAR(Sal_23[[#This Row],[PROGRAMAÇÃO]])</f>
        <v>2023</v>
      </c>
      <c r="AK627" s="66"/>
      <c r="AL627" s="66"/>
      <c r="AM627" s="66" t="s">
        <v>2768</v>
      </c>
      <c r="AN627" s="66" t="s">
        <v>2768</v>
      </c>
      <c r="AO627" s="66" t="s">
        <v>2768</v>
      </c>
    </row>
    <row r="628" spans="2:41" x14ac:dyDescent="0.25">
      <c r="B628" s="128" t="s">
        <v>2771</v>
      </c>
      <c r="C62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28" s="79">
        <v>45092.333333333336</v>
      </c>
      <c r="E628" s="44" t="s">
        <v>5091</v>
      </c>
      <c r="F628" s="66">
        <v>20</v>
      </c>
      <c r="G628" s="66" t="s">
        <v>2826</v>
      </c>
      <c r="H628" s="44" t="s">
        <v>2825</v>
      </c>
      <c r="I628" s="299" t="s">
        <v>4012</v>
      </c>
      <c r="J628" s="66">
        <v>5806</v>
      </c>
      <c r="K628" s="66" t="s">
        <v>5104</v>
      </c>
      <c r="L628" s="66">
        <v>107304</v>
      </c>
      <c r="M628" s="66"/>
      <c r="N628" s="66" t="s">
        <v>2156</v>
      </c>
      <c r="O628" s="66" t="s">
        <v>2464</v>
      </c>
      <c r="P628" s="66" t="s">
        <v>2158</v>
      </c>
      <c r="Q628" s="138" t="str">
        <f ca="1">IFERROR(LOOKUP($P628,MOTORISTAS!$D$3:$D$1048576,MOTORISTAS!E$3:E$916),"")</f>
        <v>10485530864</v>
      </c>
      <c r="R628" s="138" t="str">
        <f ca="1">IFERROR(LOOKUP($P628,MOTORISTAS!$D$3:$D$1048576,MOTORISTAS!F$3:F$916),"")</f>
        <v>02033192841</v>
      </c>
      <c r="S628" s="66">
        <v>16354</v>
      </c>
      <c r="T628" s="66" t="s">
        <v>293</v>
      </c>
      <c r="U628" s="79">
        <v>45092.282638888886</v>
      </c>
      <c r="V628" s="66" t="s">
        <v>469</v>
      </c>
      <c r="W628" s="79">
        <v>45092.665277777778</v>
      </c>
      <c r="X628" s="79">
        <v>45092.388888888891</v>
      </c>
      <c r="Y628" s="88">
        <v>45092.520833333336</v>
      </c>
      <c r="Z628" s="81">
        <v>2000</v>
      </c>
      <c r="AA628" s="81"/>
      <c r="AB628" s="81"/>
      <c r="AC628" s="81"/>
      <c r="AD628" s="81">
        <v>2449.6999999999998</v>
      </c>
      <c r="AE628" s="81"/>
      <c r="AF628" s="81">
        <v>266.39999999999998</v>
      </c>
      <c r="AG628" s="81">
        <f>Sal_23[[#This Row],[COMPRA]]*12%</f>
        <v>447.91919999999999</v>
      </c>
      <c r="AH628" s="83">
        <v>3732.66</v>
      </c>
      <c r="AI628" s="66" t="str">
        <f>PROPER(TEXT(Sal_23[[#This Row],[PROGRAMAÇÃO]],"mmm"))</f>
        <v>Jun</v>
      </c>
      <c r="AJ628" s="66">
        <f>YEAR(Sal_23[[#This Row],[PROGRAMAÇÃO]])</f>
        <v>2023</v>
      </c>
      <c r="AK628" s="66"/>
      <c r="AL628" s="66"/>
      <c r="AM628" s="66" t="s">
        <v>2768</v>
      </c>
      <c r="AN628" s="66" t="s">
        <v>2768</v>
      </c>
      <c r="AO628" s="66" t="s">
        <v>2768</v>
      </c>
    </row>
    <row r="629" spans="2:41" x14ac:dyDescent="0.25">
      <c r="B629" s="128" t="s">
        <v>2771</v>
      </c>
      <c r="C62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29" s="79">
        <v>45096.333333333336</v>
      </c>
      <c r="E629" s="44" t="s">
        <v>5094</v>
      </c>
      <c r="F629" s="66">
        <v>40</v>
      </c>
      <c r="G629" s="66" t="s">
        <v>2826</v>
      </c>
      <c r="H629" s="44" t="s">
        <v>3074</v>
      </c>
      <c r="I629" s="299" t="s">
        <v>3439</v>
      </c>
      <c r="J629" s="66">
        <v>5804</v>
      </c>
      <c r="K629" s="66" t="s">
        <v>5104</v>
      </c>
      <c r="L629" s="66">
        <v>107309</v>
      </c>
      <c r="M629" s="66"/>
      <c r="N629" s="66" t="s">
        <v>2389</v>
      </c>
      <c r="O629" s="66" t="s">
        <v>2390</v>
      </c>
      <c r="P629" s="66" t="s">
        <v>892</v>
      </c>
      <c r="Q629" s="138" t="str">
        <f ca="1">IFERROR(LOOKUP($P629,MOTORISTAS!$D$3:$D$1048576,MOTORISTAS!E$3:E$916),"")</f>
        <v>55283063968</v>
      </c>
      <c r="R629" s="138" t="str">
        <f ca="1">IFERROR(LOOKUP($P629,MOTORISTAS!$D$3:$D$1048576,MOTORISTAS!F$3:F$916),"")</f>
        <v>02537032407</v>
      </c>
      <c r="S629" s="66">
        <v>16435</v>
      </c>
      <c r="T629" s="66" t="s">
        <v>293</v>
      </c>
      <c r="U629" s="79">
        <v>45096.177083333336</v>
      </c>
      <c r="V629" s="66" t="s">
        <v>469</v>
      </c>
      <c r="W629" s="79">
        <v>45096.604166666664</v>
      </c>
      <c r="X629" s="79">
        <v>45096.361111111109</v>
      </c>
      <c r="Y629" s="88">
        <v>45096.438194444447</v>
      </c>
      <c r="Z629" s="81"/>
      <c r="AA629" s="81"/>
      <c r="AB629" s="81"/>
      <c r="AC629" s="81"/>
      <c r="AD629" s="81">
        <v>2449.6999999999998</v>
      </c>
      <c r="AE629" s="81"/>
      <c r="AF629" s="81">
        <v>266.39999999999998</v>
      </c>
      <c r="AG629" s="81">
        <f>Sal_23[[#This Row],[COMPRA]]*12%</f>
        <v>501.59999999999997</v>
      </c>
      <c r="AH629" s="83">
        <v>4180</v>
      </c>
      <c r="AI629" s="66" t="str">
        <f>PROPER(TEXT(Sal_23[[#This Row],[PROGRAMAÇÃO]],"mmm"))</f>
        <v>Jun</v>
      </c>
      <c r="AJ629" s="66">
        <f>YEAR(Sal_23[[#This Row],[PROGRAMAÇÃO]])</f>
        <v>2023</v>
      </c>
      <c r="AK629" s="66"/>
      <c r="AL629" s="66"/>
      <c r="AM629" s="66" t="s">
        <v>2768</v>
      </c>
      <c r="AN629" s="66" t="s">
        <v>2768</v>
      </c>
      <c r="AO629" s="66" t="s">
        <v>2768</v>
      </c>
    </row>
    <row r="630" spans="2:41" x14ac:dyDescent="0.25">
      <c r="B630" s="128" t="s">
        <v>2771</v>
      </c>
      <c r="C63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30" s="79">
        <v>45092.333333333336</v>
      </c>
      <c r="E630" s="44" t="s">
        <v>5095</v>
      </c>
      <c r="F630" s="66">
        <v>40</v>
      </c>
      <c r="G630" s="66" t="s">
        <v>2826</v>
      </c>
      <c r="H630" s="44" t="s">
        <v>2836</v>
      </c>
      <c r="I630" s="299" t="s">
        <v>708</v>
      </c>
      <c r="J630" s="66">
        <v>5803</v>
      </c>
      <c r="K630" s="66" t="s">
        <v>5104</v>
      </c>
      <c r="L630" s="66">
        <v>107275</v>
      </c>
      <c r="M630" s="66"/>
      <c r="N630" s="66" t="s">
        <v>155</v>
      </c>
      <c r="O630" s="66" t="s">
        <v>211</v>
      </c>
      <c r="P630" s="66" t="s">
        <v>156</v>
      </c>
      <c r="Q630" s="138" t="str">
        <f ca="1">IFERROR(LOOKUP($P630,MOTORISTAS!$D$3:$D$1048576,MOTORISTAS!E$3:E$916),"")</f>
        <v>09803034863</v>
      </c>
      <c r="R630" s="138" t="str">
        <f ca="1">IFERROR(LOOKUP($P630,MOTORISTAS!$D$3:$D$1048576,MOTORISTAS!F$3:F$916),"")</f>
        <v>01484565209</v>
      </c>
      <c r="S630" s="66">
        <v>16367</v>
      </c>
      <c r="T630" s="66" t="s">
        <v>293</v>
      </c>
      <c r="U630" s="79">
        <v>45092.336111111108</v>
      </c>
      <c r="V630" s="66" t="s">
        <v>526</v>
      </c>
      <c r="W630" s="79">
        <v>45092.71875</v>
      </c>
      <c r="X630" s="79">
        <v>45092.395833333336</v>
      </c>
      <c r="Y630" s="88">
        <v>45092.631944444445</v>
      </c>
      <c r="Z630" s="81"/>
      <c r="AA630" s="81"/>
      <c r="AB630" s="81"/>
      <c r="AC630" s="81"/>
      <c r="AD630" s="81">
        <v>2449.6999999999998</v>
      </c>
      <c r="AE630" s="81"/>
      <c r="AF630" s="81">
        <v>266.39999999999998</v>
      </c>
      <c r="AG630" s="81">
        <f>Sal_23[[#This Row],[COMPRA]]*12%</f>
        <v>234</v>
      </c>
      <c r="AH630" s="83">
        <v>1950</v>
      </c>
      <c r="AI630" s="66" t="str">
        <f>PROPER(TEXT(Sal_23[[#This Row],[PROGRAMAÇÃO]],"mmm"))</f>
        <v>Jun</v>
      </c>
      <c r="AJ630" s="66">
        <f>YEAR(Sal_23[[#This Row],[PROGRAMAÇÃO]])</f>
        <v>2023</v>
      </c>
      <c r="AK630" s="66"/>
      <c r="AL630" s="66"/>
      <c r="AM630" s="66" t="s">
        <v>2768</v>
      </c>
      <c r="AN630" s="66" t="s">
        <v>2768</v>
      </c>
      <c r="AO630" s="66" t="s">
        <v>2768</v>
      </c>
    </row>
    <row r="631" spans="2:41" x14ac:dyDescent="0.25">
      <c r="B631" s="128" t="s">
        <v>2771</v>
      </c>
      <c r="C63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31" s="79">
        <v>45096.333333333336</v>
      </c>
      <c r="E631" s="44" t="s">
        <v>5097</v>
      </c>
      <c r="F631" s="66">
        <v>40</v>
      </c>
      <c r="G631" s="66" t="s">
        <v>2826</v>
      </c>
      <c r="H631" s="44" t="s">
        <v>2835</v>
      </c>
      <c r="I631" s="299" t="s">
        <v>2822</v>
      </c>
      <c r="J631" s="66">
        <v>5808</v>
      </c>
      <c r="K631" s="66" t="s">
        <v>5104</v>
      </c>
      <c r="L631" s="66">
        <v>107235</v>
      </c>
      <c r="M631" s="66"/>
      <c r="N631" s="66" t="s">
        <v>2859</v>
      </c>
      <c r="O631" s="66" t="s">
        <v>2860</v>
      </c>
      <c r="P631" s="66" t="s">
        <v>2861</v>
      </c>
      <c r="Q631" s="138" t="str">
        <f ca="1">IFERROR(LOOKUP($P631,MOTORISTAS!$D$3:$D$1048576,MOTORISTAS!E$3:E$916),"")</f>
        <v>01817591878</v>
      </c>
      <c r="R631" s="138" t="str">
        <f ca="1">IFERROR(LOOKUP($P631,MOTORISTAS!$D$3:$D$1048576,MOTORISTAS!F$3:F$916),"")</f>
        <v>00821760640</v>
      </c>
      <c r="S631" s="66">
        <v>16434</v>
      </c>
      <c r="T631" s="66" t="s">
        <v>293</v>
      </c>
      <c r="U631" s="79">
        <v>45095.714583333334</v>
      </c>
      <c r="V631" s="66" t="s">
        <v>469</v>
      </c>
      <c r="W631" s="79">
        <v>45096.588194444441</v>
      </c>
      <c r="X631" s="79">
        <v>45092.875</v>
      </c>
      <c r="Y631" s="88">
        <v>45096.423611111109</v>
      </c>
      <c r="Z631" s="81">
        <v>2100</v>
      </c>
      <c r="AA631" s="81"/>
      <c r="AB631" s="81"/>
      <c r="AC631" s="81"/>
      <c r="AD631" s="81">
        <v>2449.6999999999998</v>
      </c>
      <c r="AE631" s="81"/>
      <c r="AF631" s="81">
        <v>266.39999999999998</v>
      </c>
      <c r="AG631" s="81">
        <f>Sal_23[[#This Row],[COMPRA]]*12%</f>
        <v>370.37759999999997</v>
      </c>
      <c r="AH631" s="83">
        <v>3086.48</v>
      </c>
      <c r="AI631" s="66" t="str">
        <f>PROPER(TEXT(Sal_23[[#This Row],[PROGRAMAÇÃO]],"mmm"))</f>
        <v>Jun</v>
      </c>
      <c r="AJ631" s="66">
        <f>YEAR(Sal_23[[#This Row],[PROGRAMAÇÃO]])</f>
        <v>2023</v>
      </c>
      <c r="AK631" s="66"/>
      <c r="AL631" s="66"/>
      <c r="AM631" s="66" t="s">
        <v>2768</v>
      </c>
      <c r="AN631" s="66" t="s">
        <v>2768</v>
      </c>
      <c r="AO631" s="66" t="s">
        <v>2768</v>
      </c>
    </row>
    <row r="632" spans="2:41" x14ac:dyDescent="0.25">
      <c r="B632" s="128" t="s">
        <v>2771</v>
      </c>
      <c r="C63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32" s="79">
        <v>45096.333333333336</v>
      </c>
      <c r="E632" s="44" t="s">
        <v>5102</v>
      </c>
      <c r="F632" s="66">
        <v>40</v>
      </c>
      <c r="G632" s="66" t="s">
        <v>2826</v>
      </c>
      <c r="H632" s="44" t="s">
        <v>4944</v>
      </c>
      <c r="I632" s="299" t="s">
        <v>2822</v>
      </c>
      <c r="J632" s="66">
        <v>5805</v>
      </c>
      <c r="K632" s="66" t="s">
        <v>5104</v>
      </c>
      <c r="L632" s="66">
        <v>107303</v>
      </c>
      <c r="M632" s="66"/>
      <c r="N632" s="66" t="s">
        <v>5159</v>
      </c>
      <c r="O632" s="66" t="s">
        <v>5160</v>
      </c>
      <c r="P632" s="66" t="s">
        <v>4513</v>
      </c>
      <c r="Q632" s="138" t="str">
        <f ca="1">IFERROR(LOOKUP($P632,MOTORISTAS!$D$3:$D$1048576,MOTORISTAS!E$3:E$916),"")</f>
        <v>10828717885</v>
      </c>
      <c r="R632" s="138" t="str">
        <f ca="1">IFERROR(LOOKUP($P632,MOTORISTAS!$D$3:$D$1048576,MOTORISTAS!F$3:F$916),"")</f>
        <v>01593040803</v>
      </c>
      <c r="S632" s="66">
        <v>16436</v>
      </c>
      <c r="T632" s="66" t="s">
        <v>293</v>
      </c>
      <c r="U632" s="79">
        <v>45096.240277777775</v>
      </c>
      <c r="V632" s="66" t="s">
        <v>469</v>
      </c>
      <c r="W632" s="79">
        <v>45096.704861111109</v>
      </c>
      <c r="X632" s="79">
        <v>45096.354166666664</v>
      </c>
      <c r="Y632" s="88">
        <v>45096.527777777781</v>
      </c>
      <c r="Z632" s="81"/>
      <c r="AA632" s="81"/>
      <c r="AB632" s="81"/>
      <c r="AC632" s="81"/>
      <c r="AD632" s="81">
        <v>2449.6999999999998</v>
      </c>
      <c r="AE632" s="81"/>
      <c r="AF632" s="81">
        <v>266.39999999999998</v>
      </c>
      <c r="AG632" s="81">
        <f>Sal_23[[#This Row],[COMPRA]]*12%</f>
        <v>370.37759999999997</v>
      </c>
      <c r="AH632" s="83">
        <v>3086.48</v>
      </c>
      <c r="AI632" s="66" t="str">
        <f>PROPER(TEXT(Sal_23[[#This Row],[PROGRAMAÇÃO]],"mmm"))</f>
        <v>Jun</v>
      </c>
      <c r="AJ632" s="66">
        <f>YEAR(Sal_23[[#This Row],[PROGRAMAÇÃO]])</f>
        <v>2023</v>
      </c>
      <c r="AK632" s="66"/>
      <c r="AL632" s="66"/>
      <c r="AM632" s="66" t="s">
        <v>2768</v>
      </c>
      <c r="AN632" s="66" t="s">
        <v>2768</v>
      </c>
      <c r="AO632" s="66" t="s">
        <v>2768</v>
      </c>
    </row>
    <row r="633" spans="2:41" x14ac:dyDescent="0.25">
      <c r="B633" s="128" t="s">
        <v>2771</v>
      </c>
      <c r="C63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33" s="79">
        <v>45097.333333333336</v>
      </c>
      <c r="E633" s="44" t="s">
        <v>5092</v>
      </c>
      <c r="F633" s="66">
        <v>20</v>
      </c>
      <c r="G633" s="66" t="s">
        <v>2826</v>
      </c>
      <c r="H633" s="44" t="s">
        <v>2827</v>
      </c>
      <c r="I633" s="299" t="s">
        <v>2823</v>
      </c>
      <c r="J633" s="66">
        <v>5809</v>
      </c>
      <c r="K633" s="66" t="s">
        <v>5104</v>
      </c>
      <c r="L633" s="66">
        <v>107233</v>
      </c>
      <c r="M633" s="66"/>
      <c r="N633" s="66" t="s">
        <v>2584</v>
      </c>
      <c r="O633" s="66" t="s">
        <v>2585</v>
      </c>
      <c r="P633" s="66" t="s">
        <v>2586</v>
      </c>
      <c r="Q633" s="138" t="str">
        <f ca="1">IFERROR(LOOKUP($P633,MOTORISTAS!$D$3:$D$1048576,MOTORISTAS!E$3:E$916),"")</f>
        <v>08312935860</v>
      </c>
      <c r="R633" s="138" t="str">
        <f ca="1">IFERROR(LOOKUP($P633,MOTORISTAS!$D$3:$D$1048576,MOTORISTAS!F$3:F$916),"")</f>
        <v>03106516083</v>
      </c>
      <c r="S633" s="66">
        <v>16452</v>
      </c>
      <c r="T633" s="66" t="s">
        <v>293</v>
      </c>
      <c r="U633" s="79">
        <v>45096.931250000001</v>
      </c>
      <c r="V633" s="66" t="s">
        <v>526</v>
      </c>
      <c r="W633" s="79">
        <v>45097.645833333336</v>
      </c>
      <c r="X633" s="79">
        <v>45097.126388888886</v>
      </c>
      <c r="Y633" s="88">
        <v>45097.478472222225</v>
      </c>
      <c r="Z633" s="81">
        <v>3200</v>
      </c>
      <c r="AA633" s="81"/>
      <c r="AB633" s="81"/>
      <c r="AC633" s="81"/>
      <c r="AD633" s="81"/>
      <c r="AE633" s="81"/>
      <c r="AF633" s="81"/>
      <c r="AG633" s="81">
        <f>Sal_23[[#This Row],[COMPRA]]*12%</f>
        <v>571.48680000000002</v>
      </c>
      <c r="AH633" s="83">
        <v>4762.3900000000003</v>
      </c>
      <c r="AI633" s="66" t="str">
        <f>PROPER(TEXT(Sal_23[[#This Row],[PROGRAMAÇÃO]],"mmm"))</f>
        <v>Jun</v>
      </c>
      <c r="AJ633" s="66">
        <f>YEAR(Sal_23[[#This Row],[PROGRAMAÇÃO]])</f>
        <v>2023</v>
      </c>
      <c r="AK633" s="66"/>
      <c r="AL633" s="66"/>
      <c r="AM633" s="66" t="s">
        <v>2768</v>
      </c>
      <c r="AN633" s="66" t="s">
        <v>2768</v>
      </c>
      <c r="AO633" s="66" t="s">
        <v>2768</v>
      </c>
    </row>
    <row r="634" spans="2:41" x14ac:dyDescent="0.25">
      <c r="B634" s="128" t="s">
        <v>2771</v>
      </c>
      <c r="C63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34" s="79">
        <v>45097.333333333336</v>
      </c>
      <c r="E634" s="44" t="s">
        <v>5093</v>
      </c>
      <c r="F634" s="66">
        <v>20</v>
      </c>
      <c r="G634" s="66" t="s">
        <v>2826</v>
      </c>
      <c r="H634" s="44" t="s">
        <v>2827</v>
      </c>
      <c r="I634" s="299" t="s">
        <v>2823</v>
      </c>
      <c r="J634" s="66">
        <v>5809</v>
      </c>
      <c r="K634" s="66" t="s">
        <v>5104</v>
      </c>
      <c r="L634" s="66">
        <v>107234</v>
      </c>
      <c r="M634" s="66"/>
      <c r="N634" s="66" t="s">
        <v>2156</v>
      </c>
      <c r="O634" s="66" t="s">
        <v>2464</v>
      </c>
      <c r="P634" s="66" t="s">
        <v>2158</v>
      </c>
      <c r="Q634" s="138" t="str">
        <f ca="1">IFERROR(LOOKUP($P634,MOTORISTAS!$D$3:$D$1048576,MOTORISTAS!E$3:E$916),"")</f>
        <v>10485530864</v>
      </c>
      <c r="R634" s="138" t="str">
        <f ca="1">IFERROR(LOOKUP($P634,MOTORISTAS!$D$3:$D$1048576,MOTORISTAS!F$3:F$916),"")</f>
        <v>02033192841</v>
      </c>
      <c r="S634" s="66">
        <v>16453</v>
      </c>
      <c r="T634" s="66" t="s">
        <v>293</v>
      </c>
      <c r="U634" s="79">
        <v>45096.944444444445</v>
      </c>
      <c r="V634" s="66" t="s">
        <v>469</v>
      </c>
      <c r="W634" s="79">
        <v>45097.681944444441</v>
      </c>
      <c r="X634" s="79">
        <v>45097.104166666664</v>
      </c>
      <c r="Y634" s="88">
        <v>45097.423611111109</v>
      </c>
      <c r="Z634" s="81">
        <v>3200</v>
      </c>
      <c r="AA634" s="81"/>
      <c r="AB634" s="81"/>
      <c r="AC634" s="81"/>
      <c r="AD634" s="81"/>
      <c r="AE634" s="81"/>
      <c r="AF634" s="81"/>
      <c r="AG634" s="81">
        <f>Sal_23[[#This Row],[COMPRA]]*12%</f>
        <v>571.48680000000002</v>
      </c>
      <c r="AH634" s="83">
        <v>4762.3900000000003</v>
      </c>
      <c r="AI634" s="66" t="str">
        <f>PROPER(TEXT(Sal_23[[#This Row],[PROGRAMAÇÃO]],"mmm"))</f>
        <v>Jun</v>
      </c>
      <c r="AJ634" s="66">
        <f>YEAR(Sal_23[[#This Row],[PROGRAMAÇÃO]])</f>
        <v>2023</v>
      </c>
      <c r="AK634" s="66"/>
      <c r="AL634" s="66"/>
      <c r="AM634" s="66" t="s">
        <v>2768</v>
      </c>
      <c r="AN634" s="66" t="s">
        <v>2768</v>
      </c>
      <c r="AO634" s="66" t="s">
        <v>2768</v>
      </c>
    </row>
    <row r="635" spans="2:41" x14ac:dyDescent="0.25">
      <c r="B635" s="128" t="s">
        <v>2771</v>
      </c>
      <c r="C63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35" s="79">
        <v>45097.333333333336</v>
      </c>
      <c r="E635" s="44" t="s">
        <v>5096</v>
      </c>
      <c r="F635" s="66">
        <v>40</v>
      </c>
      <c r="G635" s="66" t="s">
        <v>2826</v>
      </c>
      <c r="H635" s="44" t="s">
        <v>2834</v>
      </c>
      <c r="I635" s="299" t="s">
        <v>2831</v>
      </c>
      <c r="J635" s="66">
        <v>5802</v>
      </c>
      <c r="K635" s="66" t="s">
        <v>5104</v>
      </c>
      <c r="L635" s="66">
        <v>107310</v>
      </c>
      <c r="M635" s="66"/>
      <c r="N635" s="66" t="s">
        <v>890</v>
      </c>
      <c r="O635" s="66" t="s">
        <v>179</v>
      </c>
      <c r="P635" s="66" t="s">
        <v>5166</v>
      </c>
      <c r="Q635" s="138" t="str">
        <f ca="1">IFERROR(LOOKUP($P635,MOTORISTAS!$D$3:$D$1048576,MOTORISTAS!E$3:E$916),"")</f>
        <v>43345159830</v>
      </c>
      <c r="R635" s="138" t="str">
        <f ca="1">IFERROR(LOOKUP($P635,MOTORISTAS!$D$3:$D$1048576,MOTORISTAS!F$3:F$916),"")</f>
        <v>05585211593</v>
      </c>
      <c r="S635" s="66">
        <v>16455</v>
      </c>
      <c r="T635" s="66" t="s">
        <v>293</v>
      </c>
      <c r="U635" s="79">
        <v>45096.984027777777</v>
      </c>
      <c r="V635" s="66" t="s">
        <v>469</v>
      </c>
      <c r="W635" s="79">
        <v>45097.73541666667</v>
      </c>
      <c r="X635" s="79">
        <v>45097.131944444445</v>
      </c>
      <c r="Y635" s="88">
        <v>45097.506944444445</v>
      </c>
      <c r="Z635" s="81">
        <v>3000</v>
      </c>
      <c r="AA635" s="81"/>
      <c r="AB635" s="81"/>
      <c r="AC635" s="81"/>
      <c r="AD635" s="81">
        <v>3245.68</v>
      </c>
      <c r="AE635" s="81"/>
      <c r="AF635" s="81">
        <v>596.4</v>
      </c>
      <c r="AG635" s="81">
        <f>Sal_23[[#This Row],[COMPRA]]*12%</f>
        <v>523.91999999999996</v>
      </c>
      <c r="AH635" s="83">
        <v>4366</v>
      </c>
      <c r="AI635" s="66" t="str">
        <f>PROPER(TEXT(Sal_23[[#This Row],[PROGRAMAÇÃO]],"mmm"))</f>
        <v>Jun</v>
      </c>
      <c r="AJ635" s="66">
        <f>YEAR(Sal_23[[#This Row],[PROGRAMAÇÃO]])</f>
        <v>2023</v>
      </c>
      <c r="AK635" s="66"/>
      <c r="AL635" s="66"/>
      <c r="AM635" s="66" t="s">
        <v>2768</v>
      </c>
      <c r="AN635" s="66" t="s">
        <v>2768</v>
      </c>
      <c r="AO635" s="66" t="s">
        <v>2768</v>
      </c>
    </row>
    <row r="636" spans="2:41" x14ac:dyDescent="0.25">
      <c r="B636" s="128" t="s">
        <v>2771</v>
      </c>
      <c r="C63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36" s="79">
        <v>45097.333333333336</v>
      </c>
      <c r="E636" s="44" t="s">
        <v>5098</v>
      </c>
      <c r="F636" s="66">
        <v>40</v>
      </c>
      <c r="G636" s="66" t="s">
        <v>2826</v>
      </c>
      <c r="H636" s="44" t="s">
        <v>2835</v>
      </c>
      <c r="I636" s="299" t="s">
        <v>2822</v>
      </c>
      <c r="J636" s="66">
        <v>5815</v>
      </c>
      <c r="K636" s="66" t="s">
        <v>5104</v>
      </c>
      <c r="L636" s="66">
        <v>107236</v>
      </c>
      <c r="M636" s="66"/>
      <c r="N636" s="66" t="s">
        <v>2949</v>
      </c>
      <c r="O636" s="66" t="s">
        <v>4701</v>
      </c>
      <c r="P636" s="66" t="s">
        <v>4707</v>
      </c>
      <c r="Q636" s="138" t="str">
        <f ca="1">IFERROR(LOOKUP($P636,MOTORISTAS!$D$3:$D$1048576,MOTORISTAS!E$3:E$916),"")</f>
        <v>13777529842</v>
      </c>
      <c r="R636" s="138" t="str">
        <f ca="1">IFERROR(LOOKUP($P636,MOTORISTAS!$D$3:$D$1048576,MOTORISTAS!F$3:F$916),"")</f>
        <v>02511580623</v>
      </c>
      <c r="S636" s="66">
        <v>16454</v>
      </c>
      <c r="T636" s="66" t="s">
        <v>293</v>
      </c>
      <c r="U636" s="79">
        <v>45096.975694444445</v>
      </c>
      <c r="V636" s="66" t="s">
        <v>526</v>
      </c>
      <c r="W636" s="79">
        <v>45097.606944444444</v>
      </c>
      <c r="X636" s="79">
        <v>45097.097222222219</v>
      </c>
      <c r="Y636" s="88">
        <v>45097.434027777781</v>
      </c>
      <c r="Z636" s="81">
        <v>2100</v>
      </c>
      <c r="AA636" s="81"/>
      <c r="AB636" s="81"/>
      <c r="AC636" s="81"/>
      <c r="AD636" s="81"/>
      <c r="AE636" s="81"/>
      <c r="AF636" s="81"/>
      <c r="AG636" s="81">
        <f>Sal_23[[#This Row],[COMPRA]]*12%</f>
        <v>370.37759999999997</v>
      </c>
      <c r="AH636" s="83">
        <v>3086.48</v>
      </c>
      <c r="AI636" s="66" t="str">
        <f>PROPER(TEXT(Sal_23[[#This Row],[PROGRAMAÇÃO]],"mmm"))</f>
        <v>Jun</v>
      </c>
      <c r="AJ636" s="66">
        <f>YEAR(Sal_23[[#This Row],[PROGRAMAÇÃO]])</f>
        <v>2023</v>
      </c>
      <c r="AK636" s="66"/>
      <c r="AL636" s="66"/>
      <c r="AM636" s="66" t="s">
        <v>2768</v>
      </c>
      <c r="AN636" s="66" t="s">
        <v>2768</v>
      </c>
      <c r="AO636" s="66" t="s">
        <v>2768</v>
      </c>
    </row>
    <row r="637" spans="2:41" x14ac:dyDescent="0.25">
      <c r="B637" s="128" t="s">
        <v>2771</v>
      </c>
      <c r="C63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37" s="79">
        <v>45099.333333333336</v>
      </c>
      <c r="E637" s="44" t="s">
        <v>5472</v>
      </c>
      <c r="F637" s="66">
        <v>20</v>
      </c>
      <c r="G637" s="66" t="s">
        <v>2826</v>
      </c>
      <c r="H637" s="44" t="s">
        <v>3105</v>
      </c>
      <c r="I637" s="299" t="s">
        <v>3185</v>
      </c>
      <c r="J637" s="66">
        <v>6052</v>
      </c>
      <c r="K637" s="66" t="s">
        <v>5194</v>
      </c>
      <c r="L637" s="66">
        <v>107426</v>
      </c>
      <c r="M637" s="66"/>
      <c r="N637" s="66" t="s">
        <v>2859</v>
      </c>
      <c r="O637" s="66" t="s">
        <v>2860</v>
      </c>
      <c r="P637" s="66" t="s">
        <v>2861</v>
      </c>
      <c r="Q637" s="138" t="str">
        <f ca="1">IFERROR(LOOKUP($P637,MOTORISTAS!$D$3:$D$1048576,MOTORISTAS!E$3:E$916),"")</f>
        <v>01817591878</v>
      </c>
      <c r="R637" s="138" t="str">
        <f ca="1">IFERROR(LOOKUP($P637,MOTORISTAS!$D$3:$D$1048576,MOTORISTAS!F$3:F$916),"")</f>
        <v>00821760640</v>
      </c>
      <c r="S637" s="66">
        <v>16492</v>
      </c>
      <c r="T637" s="66" t="s">
        <v>293</v>
      </c>
      <c r="U637" s="79">
        <v>45098.993750000001</v>
      </c>
      <c r="V637" s="66" t="s">
        <v>469</v>
      </c>
      <c r="W637" s="79">
        <v>45099.758333333331</v>
      </c>
      <c r="X637" s="79">
        <v>45099.090277777781</v>
      </c>
      <c r="Y637" s="88">
        <v>45099.5</v>
      </c>
      <c r="Z637" s="81">
        <v>1600</v>
      </c>
      <c r="AA637" s="81"/>
      <c r="AB637" s="81"/>
      <c r="AC637" s="81"/>
      <c r="AD637" s="81"/>
      <c r="AE637" s="81"/>
      <c r="AF637" s="81"/>
      <c r="AG637" s="81">
        <f>Sal_23[[#This Row],[COMPRA]]*12%</f>
        <v>415.74719999999996</v>
      </c>
      <c r="AH637" s="83">
        <v>3464.56</v>
      </c>
      <c r="AI637" s="66" t="str">
        <f>PROPER(TEXT(Sal_23[[#This Row],[PROGRAMAÇÃO]],"mmm"))</f>
        <v>Jun</v>
      </c>
      <c r="AJ637" s="66">
        <f>YEAR(Sal_23[[#This Row],[PROGRAMAÇÃO]])</f>
        <v>2023</v>
      </c>
      <c r="AK637" s="66"/>
      <c r="AL637" s="66"/>
      <c r="AM637" s="66" t="s">
        <v>2768</v>
      </c>
      <c r="AN637" s="66" t="s">
        <v>2768</v>
      </c>
      <c r="AO637" s="66" t="s">
        <v>2768</v>
      </c>
    </row>
    <row r="638" spans="2:41" x14ac:dyDescent="0.25">
      <c r="B638" s="128" t="s">
        <v>2771</v>
      </c>
      <c r="C63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38" s="79">
        <v>45100.333333333336</v>
      </c>
      <c r="E638" s="44" t="s">
        <v>1900</v>
      </c>
      <c r="F638" s="66">
        <v>20</v>
      </c>
      <c r="G638" s="66" t="s">
        <v>2826</v>
      </c>
      <c r="H638" s="44" t="s">
        <v>2827</v>
      </c>
      <c r="I638" s="299" t="s">
        <v>2823</v>
      </c>
      <c r="J638" s="66">
        <v>6051</v>
      </c>
      <c r="K638" s="66" t="s">
        <v>5194</v>
      </c>
      <c r="L638" s="66">
        <v>107422</v>
      </c>
      <c r="M638" s="66"/>
      <c r="N638" s="66" t="s">
        <v>2498</v>
      </c>
      <c r="O638" s="66" t="s">
        <v>3274</v>
      </c>
      <c r="P638" s="66" t="s">
        <v>2500</v>
      </c>
      <c r="Q638" s="138" t="str">
        <f ca="1">IFERROR(LOOKUP($P638,MOTORISTAS!$D$3:$D$1048576,MOTORISTAS!E$3:E$916),"")</f>
        <v>10838670830</v>
      </c>
      <c r="R638" s="138" t="str">
        <f ca="1">IFERROR(LOOKUP($P638,MOTORISTAS!$D$3:$D$1048576,MOTORISTAS!F$3:F$916),"")</f>
        <v>01808675938</v>
      </c>
      <c r="S638" s="66" t="s">
        <v>5271</v>
      </c>
      <c r="T638" s="66" t="s">
        <v>293</v>
      </c>
      <c r="U638" s="79">
        <v>45099.923611111109</v>
      </c>
      <c r="V638" s="66" t="s">
        <v>526</v>
      </c>
      <c r="W638" s="79">
        <v>45100.655555555553</v>
      </c>
      <c r="X638" s="79">
        <v>45100.166666666664</v>
      </c>
      <c r="Y638" s="88">
        <v>45100.416666666664</v>
      </c>
      <c r="Z638" s="81">
        <v>3200</v>
      </c>
      <c r="AA638" s="81"/>
      <c r="AB638" s="81"/>
      <c r="AC638" s="81"/>
      <c r="AD638" s="81"/>
      <c r="AE638" s="81"/>
      <c r="AF638" s="81"/>
      <c r="AG638" s="81">
        <f>Sal_23[[#This Row],[COMPRA]]*12%</f>
        <v>571.48680000000002</v>
      </c>
      <c r="AH638" s="83">
        <v>4762.3900000000003</v>
      </c>
      <c r="AI638" s="66" t="str">
        <f>PROPER(TEXT(Sal_23[[#This Row],[PROGRAMAÇÃO]],"mmm"))</f>
        <v>Jun</v>
      </c>
      <c r="AJ638" s="66">
        <f>YEAR(Sal_23[[#This Row],[PROGRAMAÇÃO]])</f>
        <v>2023</v>
      </c>
      <c r="AK638" s="66"/>
      <c r="AL638" s="66"/>
      <c r="AM638" s="66" t="s">
        <v>2768</v>
      </c>
      <c r="AN638" s="66" t="s">
        <v>2768</v>
      </c>
      <c r="AO638" s="66" t="s">
        <v>2768</v>
      </c>
    </row>
    <row r="639" spans="2:41" x14ac:dyDescent="0.25">
      <c r="B639" s="128" t="s">
        <v>2771</v>
      </c>
      <c r="C63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39" s="79">
        <v>45103.333333333336</v>
      </c>
      <c r="E639" s="44" t="s">
        <v>5195</v>
      </c>
      <c r="F639" s="66">
        <v>20</v>
      </c>
      <c r="G639" s="66" t="s">
        <v>2826</v>
      </c>
      <c r="H639" s="44" t="s">
        <v>2827</v>
      </c>
      <c r="I639" s="299" t="s">
        <v>2823</v>
      </c>
      <c r="J639" s="66">
        <v>6053</v>
      </c>
      <c r="K639" s="66" t="s">
        <v>5194</v>
      </c>
      <c r="L639" s="66">
        <v>107476</v>
      </c>
      <c r="M639" s="66"/>
      <c r="N639" s="66" t="s">
        <v>3040</v>
      </c>
      <c r="O639" s="66" t="s">
        <v>3041</v>
      </c>
      <c r="P639" s="66" t="s">
        <v>3042</v>
      </c>
      <c r="Q639" s="138" t="str">
        <f ca="1">IFERROR(LOOKUP($P639,MOTORISTAS!$D$3:$D$1048576,MOTORISTAS!E$3:E$916),"")</f>
        <v>19279658883</v>
      </c>
      <c r="R639" s="138" t="str">
        <f ca="1">IFERROR(LOOKUP($P639,MOTORISTAS!$D$3:$D$1048576,MOTORISTAS!F$3:F$916),"")</f>
        <v>01301319672</v>
      </c>
      <c r="S639" s="66">
        <v>16508</v>
      </c>
      <c r="T639" s="66" t="s">
        <v>293</v>
      </c>
      <c r="U639" s="79">
        <v>45100.099305555559</v>
      </c>
      <c r="V639" s="66" t="s">
        <v>469</v>
      </c>
      <c r="W639" s="79">
        <v>45103.956944444442</v>
      </c>
      <c r="X639" s="79">
        <v>45103.076388888891</v>
      </c>
      <c r="Y639" s="88">
        <v>45103.457638888889</v>
      </c>
      <c r="Z639" s="81">
        <v>3200</v>
      </c>
      <c r="AA639" s="81"/>
      <c r="AB639" s="81"/>
      <c r="AC639" s="81"/>
      <c r="AD639" s="81"/>
      <c r="AE639" s="81"/>
      <c r="AF639" s="81"/>
      <c r="AG639" s="81">
        <f>Sal_23[[#This Row],[COMPRA]]*12%</f>
        <v>571.48680000000002</v>
      </c>
      <c r="AH639" s="83">
        <v>4762.3900000000003</v>
      </c>
      <c r="AI639" s="66" t="str">
        <f>PROPER(TEXT(Sal_23[[#This Row],[PROGRAMAÇÃO]],"mmm"))</f>
        <v>Jun</v>
      </c>
      <c r="AJ639" s="66">
        <f>YEAR(Sal_23[[#This Row],[PROGRAMAÇÃO]])</f>
        <v>2023</v>
      </c>
      <c r="AK639" s="66"/>
      <c r="AL639" s="66"/>
      <c r="AM639" s="66" t="s">
        <v>2768</v>
      </c>
      <c r="AN639" s="66" t="s">
        <v>2768</v>
      </c>
      <c r="AO639" s="66" t="s">
        <v>2768</v>
      </c>
    </row>
    <row r="640" spans="2:41" x14ac:dyDescent="0.25">
      <c r="B640" s="128" t="s">
        <v>2771</v>
      </c>
      <c r="C64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40" s="79">
        <v>45100.333333333336</v>
      </c>
      <c r="E640" s="44" t="s">
        <v>5196</v>
      </c>
      <c r="F640" s="66">
        <v>20</v>
      </c>
      <c r="G640" s="66" t="s">
        <v>2826</v>
      </c>
      <c r="H640" s="44" t="s">
        <v>3440</v>
      </c>
      <c r="I640" s="299" t="s">
        <v>3531</v>
      </c>
      <c r="J640" s="66">
        <v>6054</v>
      </c>
      <c r="K640" s="66" t="s">
        <v>5194</v>
      </c>
      <c r="L640" s="66">
        <v>118093</v>
      </c>
      <c r="M640" s="66"/>
      <c r="N640" s="66" t="s">
        <v>4571</v>
      </c>
      <c r="O640" s="66" t="s">
        <v>4572</v>
      </c>
      <c r="P640" s="66" t="s">
        <v>4573</v>
      </c>
      <c r="Q640" s="138" t="str">
        <f ca="1">IFERROR(LOOKUP($P640,MOTORISTAS!$D$3:$D$1048576,MOTORISTAS!E$3:E$916),"")</f>
        <v>09221836860</v>
      </c>
      <c r="R640" s="138" t="str">
        <f ca="1">IFERROR(LOOKUP($P640,MOTORISTAS!$D$3:$D$1048576,MOTORISTAS!F$3:F$916),"")</f>
        <v>01994346710</v>
      </c>
      <c r="S640" s="66">
        <v>16506</v>
      </c>
      <c r="T640" s="66" t="s">
        <v>293</v>
      </c>
      <c r="U640" s="79">
        <v>45100.01666666667</v>
      </c>
      <c r="V640" s="66" t="s">
        <v>469</v>
      </c>
      <c r="W640" s="79">
        <v>45100.631249999999</v>
      </c>
      <c r="X640" s="79">
        <v>45100.3125</v>
      </c>
      <c r="Y640" s="88">
        <v>45100.427083333336</v>
      </c>
      <c r="Z640" s="81">
        <v>2300</v>
      </c>
      <c r="AA640" s="81"/>
      <c r="AB640" s="81"/>
      <c r="AC640" s="81"/>
      <c r="AD640" s="81"/>
      <c r="AE640" s="81"/>
      <c r="AF640" s="81"/>
      <c r="AG640" s="81">
        <f>Sal_23[[#This Row],[COMPRA]]*12%</f>
        <v>399.62399999999997</v>
      </c>
      <c r="AH640" s="83">
        <v>3330.2</v>
      </c>
      <c r="AI640" s="66" t="str">
        <f>PROPER(TEXT(Sal_23[[#This Row],[PROGRAMAÇÃO]],"mmm"))</f>
        <v>Jun</v>
      </c>
      <c r="AJ640" s="66">
        <f>YEAR(Sal_23[[#This Row],[PROGRAMAÇÃO]])</f>
        <v>2023</v>
      </c>
      <c r="AK640" s="66"/>
      <c r="AL640" s="66"/>
      <c r="AM640" s="66" t="s">
        <v>2768</v>
      </c>
      <c r="AN640" s="66" t="s">
        <v>2768</v>
      </c>
      <c r="AO640" s="66" t="s">
        <v>2768</v>
      </c>
    </row>
    <row r="641" spans="2:41" x14ac:dyDescent="0.25">
      <c r="B641" s="128" t="s">
        <v>2771</v>
      </c>
      <c r="C64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41" s="79">
        <v>45103.333333333336</v>
      </c>
      <c r="E641" s="44" t="s">
        <v>5197</v>
      </c>
      <c r="F641" s="66">
        <v>20</v>
      </c>
      <c r="G641" s="66" t="s">
        <v>2826</v>
      </c>
      <c r="H641" s="44" t="s">
        <v>3082</v>
      </c>
      <c r="I641" s="299" t="s">
        <v>3083</v>
      </c>
      <c r="J641" s="66">
        <v>6050</v>
      </c>
      <c r="K641" s="66" t="s">
        <v>5194</v>
      </c>
      <c r="L641" s="66">
        <v>107423</v>
      </c>
      <c r="M641" s="66"/>
      <c r="N641" s="66" t="s">
        <v>2859</v>
      </c>
      <c r="O641" s="66" t="s">
        <v>2860</v>
      </c>
      <c r="P641" s="66" t="s">
        <v>2861</v>
      </c>
      <c r="Q641" s="138" t="str">
        <f ca="1">IFERROR(LOOKUP($P641,MOTORISTAS!$D$3:$D$1048576,MOTORISTAS!E$3:E$916),"")</f>
        <v>01817591878</v>
      </c>
      <c r="R641" s="138" t="str">
        <f ca="1">IFERROR(LOOKUP($P641,MOTORISTAS!$D$3:$D$1048576,MOTORISTAS!F$3:F$916),"")</f>
        <v>00821760640</v>
      </c>
      <c r="S641" s="66">
        <v>16525</v>
      </c>
      <c r="T641" s="66" t="s">
        <v>293</v>
      </c>
      <c r="U641" s="79">
        <v>45102.958333333336</v>
      </c>
      <c r="V641" s="66" t="s">
        <v>526</v>
      </c>
      <c r="W641" s="79">
        <v>45103.861111111109</v>
      </c>
      <c r="X641" s="79">
        <v>45103.114583333336</v>
      </c>
      <c r="Y641" s="88">
        <v>45103.694444444445</v>
      </c>
      <c r="Z641" s="81">
        <v>2000</v>
      </c>
      <c r="AA641" s="81"/>
      <c r="AB641" s="81"/>
      <c r="AC641" s="81"/>
      <c r="AD641" s="81"/>
      <c r="AE641" s="81"/>
      <c r="AF641" s="81"/>
      <c r="AG641" s="81">
        <f>Sal_23[[#This Row],[COMPRA]]*12%</f>
        <v>355.75319999999999</v>
      </c>
      <c r="AH641" s="83">
        <v>2964.61</v>
      </c>
      <c r="AI641" s="66" t="str">
        <f>PROPER(TEXT(Sal_23[[#This Row],[PROGRAMAÇÃO]],"mmm"))</f>
        <v>Jun</v>
      </c>
      <c r="AJ641" s="66">
        <f>YEAR(Sal_23[[#This Row],[PROGRAMAÇÃO]])</f>
        <v>2023</v>
      </c>
      <c r="AK641" s="66"/>
      <c r="AL641" s="66"/>
      <c r="AM641" s="66" t="s">
        <v>2768</v>
      </c>
      <c r="AN641" s="66" t="s">
        <v>2768</v>
      </c>
      <c r="AO641" s="66" t="s">
        <v>2768</v>
      </c>
    </row>
    <row r="642" spans="2:41" x14ac:dyDescent="0.25">
      <c r="B642" s="128" t="s">
        <v>2771</v>
      </c>
      <c r="C64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42" s="79">
        <v>45099.333333333336</v>
      </c>
      <c r="E642" s="44" t="s">
        <v>5198</v>
      </c>
      <c r="F642" s="66">
        <v>20</v>
      </c>
      <c r="G642" s="66" t="s">
        <v>2826</v>
      </c>
      <c r="H642" s="44" t="s">
        <v>2837</v>
      </c>
      <c r="I642" s="299" t="s">
        <v>2821</v>
      </c>
      <c r="J642" s="66" t="s">
        <v>5210</v>
      </c>
      <c r="K642" s="66" t="s">
        <v>5194</v>
      </c>
      <c r="L642" s="66">
        <v>107594</v>
      </c>
      <c r="M642" s="66">
        <v>118186</v>
      </c>
      <c r="N642" s="66" t="s">
        <v>3028</v>
      </c>
      <c r="O642" s="66" t="s">
        <v>2261</v>
      </c>
      <c r="P642" s="66" t="s">
        <v>3443</v>
      </c>
      <c r="Q642" s="138" t="str">
        <f ca="1">IFERROR(LOOKUP($P642,MOTORISTAS!$D$3:$D$1048576,MOTORISTAS!E$3:E$916),"")</f>
        <v>13990937898</v>
      </c>
      <c r="R642" s="138" t="str">
        <f ca="1">IFERROR(LOOKUP($P642,MOTORISTAS!$D$3:$D$1048576,MOTORISTAS!F$3:F$916),"")</f>
        <v>01825123407</v>
      </c>
      <c r="S642" s="66">
        <v>16493</v>
      </c>
      <c r="T642" s="66" t="s">
        <v>293</v>
      </c>
      <c r="U642" s="79">
        <v>45099.002083333333</v>
      </c>
      <c r="V642" s="66" t="s">
        <v>526</v>
      </c>
      <c r="W642" s="79">
        <v>45099.573611111111</v>
      </c>
      <c r="X642" s="79">
        <v>45099.142361111109</v>
      </c>
      <c r="Y642" s="88">
        <v>45099.395833333336</v>
      </c>
      <c r="Z642" s="81">
        <v>1600</v>
      </c>
      <c r="AA642" s="81"/>
      <c r="AB642" s="81"/>
      <c r="AC642" s="81"/>
      <c r="AD642" s="81"/>
      <c r="AE642" s="81"/>
      <c r="AF642" s="81"/>
      <c r="AG642" s="81">
        <f>Sal_23[[#This Row],[COMPRA]]*12%</f>
        <v>311.55959999999999</v>
      </c>
      <c r="AH642" s="83">
        <v>2596.33</v>
      </c>
      <c r="AI642" s="66" t="str">
        <f>PROPER(TEXT(Sal_23[[#This Row],[PROGRAMAÇÃO]],"mmm"))</f>
        <v>Jun</v>
      </c>
      <c r="AJ642" s="66">
        <f>YEAR(Sal_23[[#This Row],[PROGRAMAÇÃO]])</f>
        <v>2023</v>
      </c>
      <c r="AK642" s="66"/>
      <c r="AL642" s="66"/>
      <c r="AM642" s="66" t="s">
        <v>2768</v>
      </c>
      <c r="AN642" s="66" t="s">
        <v>2768</v>
      </c>
      <c r="AO642" s="66" t="s">
        <v>2768</v>
      </c>
    </row>
    <row r="643" spans="2:41" x14ac:dyDescent="0.25">
      <c r="B643" s="128" t="s">
        <v>2771</v>
      </c>
      <c r="C64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43" s="79">
        <v>45103.333333333336</v>
      </c>
      <c r="E643" s="44" t="s">
        <v>5199</v>
      </c>
      <c r="F643" s="66">
        <v>40</v>
      </c>
      <c r="G643" s="66" t="s">
        <v>2826</v>
      </c>
      <c r="H643" s="44" t="s">
        <v>3074</v>
      </c>
      <c r="I643" s="299" t="s">
        <v>3532</v>
      </c>
      <c r="J643" s="66">
        <v>6045</v>
      </c>
      <c r="K643" s="66" t="s">
        <v>5194</v>
      </c>
      <c r="L643" s="66">
        <v>107472</v>
      </c>
      <c r="M643" s="66"/>
      <c r="N643" s="66" t="s">
        <v>102</v>
      </c>
      <c r="O643" s="66" t="s">
        <v>27</v>
      </c>
      <c r="P643" s="66" t="s">
        <v>203</v>
      </c>
      <c r="Q643" s="138" t="str">
        <f ca="1">IFERROR(LOOKUP($P643,MOTORISTAS!$D$3:$D$1048576,MOTORISTAS!E$3:E$916),"")</f>
        <v>10395859816</v>
      </c>
      <c r="R643" s="138" t="str">
        <f ca="1">IFERROR(LOOKUP($P643,MOTORISTAS!$D$3:$D$1048576,MOTORISTAS!F$3:F$916),"")</f>
        <v>01965794851</v>
      </c>
      <c r="S643" s="66">
        <v>16534</v>
      </c>
      <c r="T643" s="66" t="s">
        <v>293</v>
      </c>
      <c r="U643" s="79">
        <v>45103.281944444447</v>
      </c>
      <c r="V643" s="66" t="s">
        <v>469</v>
      </c>
      <c r="W643" s="79">
        <v>45103.796527777777</v>
      </c>
      <c r="X643" s="79">
        <v>45103.444444444445</v>
      </c>
      <c r="Y643" s="88">
        <v>45103.541666666664</v>
      </c>
      <c r="Z643" s="81"/>
      <c r="AA643" s="81"/>
      <c r="AB643" s="81"/>
      <c r="AC643" s="81"/>
      <c r="AD643" s="81"/>
      <c r="AE643" s="81"/>
      <c r="AF643" s="81"/>
      <c r="AG643" s="81">
        <f>Sal_23[[#This Row],[COMPRA]]*12%</f>
        <v>501.59999999999997</v>
      </c>
      <c r="AH643" s="83">
        <v>4180</v>
      </c>
      <c r="AI643" s="66" t="str">
        <f>PROPER(TEXT(Sal_23[[#This Row],[PROGRAMAÇÃO]],"mmm"))</f>
        <v>Jun</v>
      </c>
      <c r="AJ643" s="66">
        <f>YEAR(Sal_23[[#This Row],[PROGRAMAÇÃO]])</f>
        <v>2023</v>
      </c>
      <c r="AK643" s="66"/>
      <c r="AL643" s="66"/>
      <c r="AM643" s="66" t="s">
        <v>2768</v>
      </c>
      <c r="AN643" s="66" t="s">
        <v>2768</v>
      </c>
      <c r="AO643" s="66" t="s">
        <v>2768</v>
      </c>
    </row>
    <row r="644" spans="2:41" x14ac:dyDescent="0.25">
      <c r="B644" s="128" t="s">
        <v>2771</v>
      </c>
      <c r="C64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44" s="79">
        <v>45100.333333333336</v>
      </c>
      <c r="E644" s="44" t="s">
        <v>5200</v>
      </c>
      <c r="F644" s="66">
        <v>40</v>
      </c>
      <c r="G644" s="66" t="s">
        <v>2826</v>
      </c>
      <c r="H644" s="44" t="s">
        <v>2835</v>
      </c>
      <c r="I644" s="299" t="s">
        <v>2822</v>
      </c>
      <c r="J644" s="66">
        <v>6046</v>
      </c>
      <c r="K644" s="66" t="s">
        <v>5194</v>
      </c>
      <c r="L644" s="66">
        <v>107473</v>
      </c>
      <c r="M644" s="66"/>
      <c r="N644" s="66" t="s">
        <v>4106</v>
      </c>
      <c r="O644" s="66" t="s">
        <v>4107</v>
      </c>
      <c r="P644" s="66" t="s">
        <v>4114</v>
      </c>
      <c r="Q644" s="138" t="str">
        <f ca="1">IFERROR(LOOKUP($P644,MOTORISTAS!$D$3:$D$1048576,MOTORISTAS!E$3:E$916),"")</f>
        <v>21381752861</v>
      </c>
      <c r="R644" s="138" t="str">
        <f ca="1">IFERROR(LOOKUP($P644,MOTORISTAS!$D$3:$D$1048576,MOTORISTAS!F$3:F$916),"")</f>
        <v>01114110481</v>
      </c>
      <c r="S644" s="66">
        <v>16511</v>
      </c>
      <c r="T644" s="66" t="s">
        <v>293</v>
      </c>
      <c r="U644" s="79">
        <v>45100.295138888891</v>
      </c>
      <c r="V644" s="66" t="s">
        <v>469</v>
      </c>
      <c r="W644" s="79">
        <v>45100.761805555558</v>
      </c>
      <c r="X644" s="79">
        <v>45100.416666666664</v>
      </c>
      <c r="Y644" s="88">
        <v>45100.46875</v>
      </c>
      <c r="Z644" s="81">
        <v>2100</v>
      </c>
      <c r="AA644" s="81"/>
      <c r="AB644" s="81"/>
      <c r="AC644" s="81"/>
      <c r="AD644" s="81"/>
      <c r="AE644" s="81"/>
      <c r="AF644" s="81"/>
      <c r="AG644" s="81">
        <f>Sal_23[[#This Row],[COMPRA]]*12%</f>
        <v>370.37759999999997</v>
      </c>
      <c r="AH644" s="83">
        <v>3086.48</v>
      </c>
      <c r="AI644" s="66" t="str">
        <f>PROPER(TEXT(Sal_23[[#This Row],[PROGRAMAÇÃO]],"mmm"))</f>
        <v>Jun</v>
      </c>
      <c r="AJ644" s="66">
        <f>YEAR(Sal_23[[#This Row],[PROGRAMAÇÃO]])</f>
        <v>2023</v>
      </c>
      <c r="AK644" s="66"/>
      <c r="AL644" s="66"/>
      <c r="AM644" s="66" t="s">
        <v>2768</v>
      </c>
      <c r="AN644" s="66" t="s">
        <v>2768</v>
      </c>
      <c r="AO644" s="66" t="s">
        <v>2768</v>
      </c>
    </row>
    <row r="645" spans="2:41" x14ac:dyDescent="0.25">
      <c r="B645" s="128" t="s">
        <v>2771</v>
      </c>
      <c r="C64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45" s="79">
        <v>45103.333333333336</v>
      </c>
      <c r="E645" s="44" t="s">
        <v>5201</v>
      </c>
      <c r="F645" s="66">
        <v>40</v>
      </c>
      <c r="G645" s="66" t="s">
        <v>2826</v>
      </c>
      <c r="H645" s="44" t="s">
        <v>2835</v>
      </c>
      <c r="I645" s="299" t="s">
        <v>2822</v>
      </c>
      <c r="J645" s="66">
        <v>6047</v>
      </c>
      <c r="K645" s="66" t="s">
        <v>5194</v>
      </c>
      <c r="L645" s="66">
        <v>107474</v>
      </c>
      <c r="M645" s="66"/>
      <c r="N645" s="66" t="s">
        <v>2949</v>
      </c>
      <c r="O645" s="66" t="s">
        <v>4701</v>
      </c>
      <c r="P645" s="66" t="s">
        <v>4707</v>
      </c>
      <c r="Q645" s="138" t="str">
        <f ca="1">IFERROR(LOOKUP($P645,MOTORISTAS!$D$3:$D$1048576,MOTORISTAS!E$3:E$916),"")</f>
        <v>13777529842</v>
      </c>
      <c r="R645" s="138" t="str">
        <f ca="1">IFERROR(LOOKUP($P645,MOTORISTAS!$D$3:$D$1048576,MOTORISTAS!F$3:F$916),"")</f>
        <v>02511580623</v>
      </c>
      <c r="S645" s="66">
        <v>16526</v>
      </c>
      <c r="T645" s="66" t="s">
        <v>293</v>
      </c>
      <c r="U645" s="79">
        <v>45102.981249999997</v>
      </c>
      <c r="V645" s="66" t="s">
        <v>469</v>
      </c>
      <c r="W645" s="79">
        <v>45103.619444444441</v>
      </c>
      <c r="X645" s="79">
        <v>45103.097222222219</v>
      </c>
      <c r="Y645" s="88">
        <v>45103.472222222219</v>
      </c>
      <c r="Z645" s="81">
        <v>2100</v>
      </c>
      <c r="AA645" s="81"/>
      <c r="AB645" s="81"/>
      <c r="AC645" s="81"/>
      <c r="AD645" s="81"/>
      <c r="AE645" s="81"/>
      <c r="AF645" s="81"/>
      <c r="AG645" s="81">
        <f>Sal_23[[#This Row],[COMPRA]]*12%</f>
        <v>370.37759999999997</v>
      </c>
      <c r="AH645" s="83">
        <v>3086.48</v>
      </c>
      <c r="AI645" s="66" t="str">
        <f>PROPER(TEXT(Sal_23[[#This Row],[PROGRAMAÇÃO]],"mmm"))</f>
        <v>Jun</v>
      </c>
      <c r="AJ645" s="66">
        <f>YEAR(Sal_23[[#This Row],[PROGRAMAÇÃO]])</f>
        <v>2023</v>
      </c>
      <c r="AK645" s="66"/>
      <c r="AL645" s="66"/>
      <c r="AM645" s="66" t="s">
        <v>2768</v>
      </c>
      <c r="AN645" s="66" t="s">
        <v>2768</v>
      </c>
      <c r="AO645" s="66" t="s">
        <v>2768</v>
      </c>
    </row>
    <row r="646" spans="2:41" x14ac:dyDescent="0.25">
      <c r="B646" s="128" t="s">
        <v>2771</v>
      </c>
      <c r="C64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46" s="79">
        <v>45100.333333333336</v>
      </c>
      <c r="E646" s="44" t="s">
        <v>5202</v>
      </c>
      <c r="F646" s="66">
        <v>40</v>
      </c>
      <c r="G646" s="66" t="s">
        <v>2826</v>
      </c>
      <c r="H646" s="44" t="s">
        <v>1674</v>
      </c>
      <c r="I646" s="299" t="s">
        <v>2829</v>
      </c>
      <c r="J646" s="66">
        <v>6077</v>
      </c>
      <c r="K646" s="66" t="s">
        <v>5194</v>
      </c>
      <c r="L646" s="66">
        <v>107574</v>
      </c>
      <c r="M646" s="66">
        <v>107575</v>
      </c>
      <c r="N646" s="66" t="s">
        <v>87</v>
      </c>
      <c r="O646" s="66" t="s">
        <v>88</v>
      </c>
      <c r="P646" s="66" t="s">
        <v>89</v>
      </c>
      <c r="Q646" s="138" t="str">
        <f ca="1">IFERROR(LOOKUP($P646,MOTORISTAS!$D$3:$D$1048576,MOTORISTAS!E$3:E$916),"")</f>
        <v>00097734527</v>
      </c>
      <c r="R646" s="138" t="str">
        <f ca="1">IFERROR(LOOKUP($P646,MOTORISTAS!$D$3:$D$1048576,MOTORISTAS!F$3:F$916),"")</f>
        <v>03148346870</v>
      </c>
      <c r="S646" s="66">
        <v>16512</v>
      </c>
      <c r="T646" s="66" t="s">
        <v>293</v>
      </c>
      <c r="U646" s="79">
        <v>45106.029861111114</v>
      </c>
      <c r="V646" s="66" t="s">
        <v>857</v>
      </c>
      <c r="W646" s="79">
        <v>45103.476388888892</v>
      </c>
      <c r="X646" s="79">
        <v>45101.333333333336</v>
      </c>
      <c r="Y646" s="88">
        <v>45101.041666666664</v>
      </c>
      <c r="Z646" s="81">
        <v>3400</v>
      </c>
      <c r="AA646" s="81"/>
      <c r="AB646" s="81"/>
      <c r="AC646" s="81"/>
      <c r="AD646" s="81"/>
      <c r="AE646" s="81"/>
      <c r="AF646" s="81"/>
      <c r="AG646" s="81">
        <f>Sal_23[[#This Row],[COMPRA]]*12%</f>
        <v>558.28319999999997</v>
      </c>
      <c r="AH646" s="83">
        <v>4652.3599999999997</v>
      </c>
      <c r="AI646" s="66" t="str">
        <f>PROPER(TEXT(Sal_23[[#This Row],[PROGRAMAÇÃO]],"mmm"))</f>
        <v>Jun</v>
      </c>
      <c r="AJ646" s="66">
        <f>YEAR(Sal_23[[#This Row],[PROGRAMAÇÃO]])</f>
        <v>2023</v>
      </c>
      <c r="AK646" s="66"/>
      <c r="AL646" s="66"/>
      <c r="AM646" s="66" t="s">
        <v>2768</v>
      </c>
      <c r="AN646" s="66" t="s">
        <v>2768</v>
      </c>
      <c r="AO646" s="66" t="s">
        <v>2768</v>
      </c>
    </row>
    <row r="647" spans="2:41" x14ac:dyDescent="0.25">
      <c r="B647" s="128" t="s">
        <v>2771</v>
      </c>
      <c r="C64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47" s="79">
        <v>45100.333333333336</v>
      </c>
      <c r="E647" s="44" t="s">
        <v>5203</v>
      </c>
      <c r="F647" s="66">
        <v>40</v>
      </c>
      <c r="G647" s="66" t="s">
        <v>2826</v>
      </c>
      <c r="H647" s="44" t="s">
        <v>1674</v>
      </c>
      <c r="I647" s="299" t="s">
        <v>2829</v>
      </c>
      <c r="J647" s="66">
        <v>6048</v>
      </c>
      <c r="K647" s="66" t="s">
        <v>5194</v>
      </c>
      <c r="L647" s="66">
        <v>107519</v>
      </c>
      <c r="M647" s="66">
        <v>107529</v>
      </c>
      <c r="N647" s="66" t="s">
        <v>178</v>
      </c>
      <c r="O647" s="66" t="s">
        <v>112</v>
      </c>
      <c r="P647" s="66" t="s">
        <v>180</v>
      </c>
      <c r="Q647" s="138" t="str">
        <f ca="1">IFERROR(LOOKUP($P647,MOTORISTAS!$D$3:$D$1048576,MOTORISTAS!E$3:E$916),"")</f>
        <v>18990500869</v>
      </c>
      <c r="R647" s="138" t="str">
        <f ca="1">IFERROR(LOOKUP($P647,MOTORISTAS!$D$3:$D$1048576,MOTORISTAS!F$3:F$916),"")</f>
        <v>04640435232</v>
      </c>
      <c r="S647" s="66">
        <v>16515</v>
      </c>
      <c r="T647" s="66" t="s">
        <v>293</v>
      </c>
      <c r="U647" s="79">
        <v>45100.092361111114</v>
      </c>
      <c r="V647" s="66" t="s">
        <v>469</v>
      </c>
      <c r="W647" s="79">
        <v>45100.740972222222</v>
      </c>
      <c r="X647" s="79">
        <v>45100.1875</v>
      </c>
      <c r="Y647" s="88">
        <v>45100.416666666664</v>
      </c>
      <c r="Z647" s="81">
        <v>3400</v>
      </c>
      <c r="AA647" s="81"/>
      <c r="AB647" s="81"/>
      <c r="AC647" s="81"/>
      <c r="AD647" s="81"/>
      <c r="AE647" s="81"/>
      <c r="AF647" s="81"/>
      <c r="AG647" s="81">
        <f>Sal_23[[#This Row],[COMPRA]]*12%</f>
        <v>558.28319999999997</v>
      </c>
      <c r="AH647" s="83">
        <v>4652.3599999999997</v>
      </c>
      <c r="AI647" s="66" t="str">
        <f>PROPER(TEXT(Sal_23[[#This Row],[PROGRAMAÇÃO]],"mmm"))</f>
        <v>Jun</v>
      </c>
      <c r="AJ647" s="66">
        <f>YEAR(Sal_23[[#This Row],[PROGRAMAÇÃO]])</f>
        <v>2023</v>
      </c>
      <c r="AK647" s="66"/>
      <c r="AL647" s="66"/>
      <c r="AM647" s="66" t="s">
        <v>2768</v>
      </c>
      <c r="AN647" s="66" t="s">
        <v>2768</v>
      </c>
      <c r="AO647" s="66" t="s">
        <v>2768</v>
      </c>
    </row>
    <row r="648" spans="2:41" x14ac:dyDescent="0.25">
      <c r="B648" s="128" t="s">
        <v>2771</v>
      </c>
      <c r="C64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48" s="79">
        <v>45103.333333333336</v>
      </c>
      <c r="E648" s="44" t="s">
        <v>5204</v>
      </c>
      <c r="F648" s="66">
        <v>40</v>
      </c>
      <c r="G648" s="66" t="s">
        <v>2826</v>
      </c>
      <c r="H648" s="44" t="s">
        <v>1674</v>
      </c>
      <c r="I648" s="299" t="s">
        <v>2829</v>
      </c>
      <c r="J648" s="66">
        <v>6049</v>
      </c>
      <c r="K648" s="66" t="s">
        <v>5194</v>
      </c>
      <c r="L648" s="66">
        <v>107521</v>
      </c>
      <c r="M648" s="66">
        <v>107520</v>
      </c>
      <c r="N648" s="66" t="s">
        <v>2389</v>
      </c>
      <c r="O648" s="66" t="s">
        <v>2390</v>
      </c>
      <c r="P648" s="66" t="s">
        <v>892</v>
      </c>
      <c r="Q648" s="138" t="str">
        <f ca="1">IFERROR(LOOKUP($P648,MOTORISTAS!$D$3:$D$1048576,MOTORISTAS!E$3:E$916),"")</f>
        <v>55283063968</v>
      </c>
      <c r="R648" s="138" t="str">
        <f ca="1">IFERROR(LOOKUP($P648,MOTORISTAS!$D$3:$D$1048576,MOTORISTAS!F$3:F$916),"")</f>
        <v>02537032407</v>
      </c>
      <c r="S648" s="66">
        <v>16530</v>
      </c>
      <c r="T648" s="66" t="s">
        <v>293</v>
      </c>
      <c r="U648" s="79">
        <v>45102.224305555559</v>
      </c>
      <c r="V648" s="66" t="s">
        <v>469</v>
      </c>
      <c r="W648" s="79">
        <v>45103.594444444447</v>
      </c>
      <c r="X648" s="79">
        <v>45103.097222222219</v>
      </c>
      <c r="Y648" s="88">
        <v>45103.361111111109</v>
      </c>
      <c r="Z648" s="81">
        <v>3400</v>
      </c>
      <c r="AA648" s="81"/>
      <c r="AB648" s="81"/>
      <c r="AC648" s="81"/>
      <c r="AD648" s="81"/>
      <c r="AE648" s="81"/>
      <c r="AF648" s="81"/>
      <c r="AG648" s="81">
        <f>Sal_23[[#This Row],[COMPRA]]*12%</f>
        <v>558.28319999999997</v>
      </c>
      <c r="AH648" s="83">
        <v>4652.3599999999997</v>
      </c>
      <c r="AI648" s="66" t="str">
        <f>PROPER(TEXT(Sal_23[[#This Row],[PROGRAMAÇÃO]],"mmm"))</f>
        <v>Jun</v>
      </c>
      <c r="AJ648" s="66">
        <f>YEAR(Sal_23[[#This Row],[PROGRAMAÇÃO]])</f>
        <v>2023</v>
      </c>
      <c r="AK648" s="66"/>
      <c r="AL648" s="66"/>
      <c r="AM648" s="66" t="s">
        <v>2768</v>
      </c>
      <c r="AN648" s="66" t="s">
        <v>2768</v>
      </c>
      <c r="AO648" s="66" t="s">
        <v>2768</v>
      </c>
    </row>
    <row r="649" spans="2:41" x14ac:dyDescent="0.25">
      <c r="B649" s="128" t="s">
        <v>2771</v>
      </c>
      <c r="C64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49" s="79">
        <v>45103.333333333336</v>
      </c>
      <c r="E649" s="44" t="s">
        <v>5205</v>
      </c>
      <c r="F649" s="66">
        <v>40</v>
      </c>
      <c r="G649" s="66" t="s">
        <v>2826</v>
      </c>
      <c r="H649" s="44" t="s">
        <v>1674</v>
      </c>
      <c r="I649" s="299" t="s">
        <v>2829</v>
      </c>
      <c r="J649" s="66">
        <v>6076</v>
      </c>
      <c r="K649" s="66" t="s">
        <v>5194</v>
      </c>
      <c r="L649" s="66">
        <v>107596</v>
      </c>
      <c r="M649" s="66">
        <v>107597</v>
      </c>
      <c r="N649" s="66" t="s">
        <v>178</v>
      </c>
      <c r="O649" s="66" t="s">
        <v>112</v>
      </c>
      <c r="P649" s="66" t="s">
        <v>180</v>
      </c>
      <c r="Q649" s="138" t="str">
        <f ca="1">IFERROR(LOOKUP($P649,MOTORISTAS!$D$3:$D$1048576,MOTORISTAS!E$3:E$916),"")</f>
        <v>18990500869</v>
      </c>
      <c r="R649" s="138" t="str">
        <f ca="1">IFERROR(LOOKUP($P649,MOTORISTAS!$D$3:$D$1048576,MOTORISTAS!F$3:F$916),"")</f>
        <v>04640435232</v>
      </c>
      <c r="S649" s="66">
        <v>16532</v>
      </c>
      <c r="T649" s="66" t="s">
        <v>293</v>
      </c>
      <c r="U649" s="79">
        <v>45103.277777777781</v>
      </c>
      <c r="V649" s="66" t="s">
        <v>469</v>
      </c>
      <c r="W649" s="79">
        <v>45103.783333333333</v>
      </c>
      <c r="X649" s="79">
        <v>45103.448611111111</v>
      </c>
      <c r="Y649" s="88">
        <v>45103.5</v>
      </c>
      <c r="Z649" s="81">
        <v>3400</v>
      </c>
      <c r="AA649" s="81"/>
      <c r="AB649" s="81"/>
      <c r="AC649" s="81"/>
      <c r="AD649" s="81"/>
      <c r="AE649" s="81"/>
      <c r="AF649" s="81"/>
      <c r="AG649" s="81">
        <f>Sal_23[[#This Row],[COMPRA]]*12%</f>
        <v>558.28319999999997</v>
      </c>
      <c r="AH649" s="83">
        <v>4652.3599999999997</v>
      </c>
      <c r="AI649" s="66" t="str">
        <f>PROPER(TEXT(Sal_23[[#This Row],[PROGRAMAÇÃO]],"mmm"))</f>
        <v>Jun</v>
      </c>
      <c r="AJ649" s="66">
        <f>YEAR(Sal_23[[#This Row],[PROGRAMAÇÃO]])</f>
        <v>2023</v>
      </c>
      <c r="AK649" s="66"/>
      <c r="AL649" s="66"/>
      <c r="AM649" s="66" t="s">
        <v>2768</v>
      </c>
      <c r="AN649" s="66" t="s">
        <v>2768</v>
      </c>
      <c r="AO649" s="66" t="s">
        <v>2768</v>
      </c>
    </row>
    <row r="650" spans="2:41" x14ac:dyDescent="0.25">
      <c r="B650" s="128" t="s">
        <v>2771</v>
      </c>
      <c r="C65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50" s="79">
        <v>45104.375</v>
      </c>
      <c r="E650" s="44" t="s">
        <v>5213</v>
      </c>
      <c r="F650" s="66">
        <v>20</v>
      </c>
      <c r="G650" s="66" t="s">
        <v>2820</v>
      </c>
      <c r="H650" s="44" t="s">
        <v>2820</v>
      </c>
      <c r="I650" s="299" t="s">
        <v>2821</v>
      </c>
      <c r="J650" s="66" t="s">
        <v>5269</v>
      </c>
      <c r="K650" s="66" t="s">
        <v>5212</v>
      </c>
      <c r="L650" s="66">
        <v>71947</v>
      </c>
      <c r="M650" s="66"/>
      <c r="N650" s="66" t="s">
        <v>3028</v>
      </c>
      <c r="O650" s="66" t="s">
        <v>2261</v>
      </c>
      <c r="P650" s="66" t="s">
        <v>5270</v>
      </c>
      <c r="Q650" s="138" t="str">
        <f ca="1">IFERROR(LOOKUP($P650,MOTORISTAS!$D$3:$D$1048576,MOTORISTAS!E$3:E$916),"")</f>
        <v>16612151811</v>
      </c>
      <c r="R650" s="138" t="str">
        <f ca="1">IFERROR(LOOKUP($P650,MOTORISTAS!$D$3:$D$1048576,MOTORISTAS!F$3:F$916),"")</f>
        <v>01055332889</v>
      </c>
      <c r="S650" s="66">
        <v>16555</v>
      </c>
      <c r="T650" s="66" t="s">
        <v>306</v>
      </c>
      <c r="U650" s="79">
        <v>45103.987500000003</v>
      </c>
      <c r="V650" s="66" t="s">
        <v>292</v>
      </c>
      <c r="W650" s="79">
        <v>45104.5625</v>
      </c>
      <c r="X650" s="79">
        <v>45104.149305555555</v>
      </c>
      <c r="Y650" s="88">
        <v>45104.465277777781</v>
      </c>
      <c r="Z650" s="81">
        <v>1600</v>
      </c>
      <c r="AA650" s="81"/>
      <c r="AB650" s="81"/>
      <c r="AC650" s="81"/>
      <c r="AD650" s="81"/>
      <c r="AE650" s="81"/>
      <c r="AF650" s="81"/>
      <c r="AG650" s="81">
        <f>Sal_23[[#This Row],[COMPRA]]*12%</f>
        <v>276</v>
      </c>
      <c r="AH650" s="83">
        <v>2300</v>
      </c>
      <c r="AI650" s="66" t="str">
        <f>PROPER(TEXT(Sal_23[[#This Row],[PROGRAMAÇÃO]],"mmm"))</f>
        <v>Jun</v>
      </c>
      <c r="AJ650" s="66">
        <f>YEAR(Sal_23[[#This Row],[PROGRAMAÇÃO]])</f>
        <v>2023</v>
      </c>
      <c r="AK650" s="66"/>
      <c r="AL650" s="66"/>
      <c r="AM650" s="66" t="s">
        <v>2768</v>
      </c>
      <c r="AN650" s="66" t="s">
        <v>2768</v>
      </c>
      <c r="AO650" s="66" t="s">
        <v>2768</v>
      </c>
    </row>
    <row r="651" spans="2:41" x14ac:dyDescent="0.25">
      <c r="B651" s="128" t="s">
        <v>2771</v>
      </c>
      <c r="C65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51" s="79">
        <v>45104.375</v>
      </c>
      <c r="E651" s="44" t="s">
        <v>5214</v>
      </c>
      <c r="F651" s="66">
        <v>20</v>
      </c>
      <c r="G651" s="66" t="s">
        <v>2820</v>
      </c>
      <c r="H651" s="44" t="s">
        <v>2820</v>
      </c>
      <c r="I651" s="299" t="s">
        <v>2821</v>
      </c>
      <c r="J651" s="66" t="s">
        <v>5269</v>
      </c>
      <c r="K651" s="66" t="s">
        <v>5212</v>
      </c>
      <c r="L651" s="66">
        <v>71946</v>
      </c>
      <c r="M651" s="66"/>
      <c r="N651" s="66" t="s">
        <v>2859</v>
      </c>
      <c r="O651" s="66" t="s">
        <v>2860</v>
      </c>
      <c r="P651" s="66" t="s">
        <v>2861</v>
      </c>
      <c r="Q651" s="138" t="str">
        <f ca="1">IFERROR(LOOKUP($P651,MOTORISTAS!$D$3:$D$1048576,MOTORISTAS!E$3:E$916),"")</f>
        <v>01817591878</v>
      </c>
      <c r="R651" s="138" t="str">
        <f ca="1">IFERROR(LOOKUP($P651,MOTORISTAS!$D$3:$D$1048576,MOTORISTAS!F$3:F$916),"")</f>
        <v>00821760640</v>
      </c>
      <c r="S651" s="66">
        <v>16556</v>
      </c>
      <c r="T651" s="66" t="s">
        <v>306</v>
      </c>
      <c r="U651" s="79">
        <v>45104.040277777778</v>
      </c>
      <c r="V651" s="66" t="s">
        <v>292</v>
      </c>
      <c r="W651" s="79">
        <v>45104.538194444445</v>
      </c>
      <c r="X651" s="79">
        <v>45104.149305555555</v>
      </c>
      <c r="Y651" s="88">
        <v>45104.465277777781</v>
      </c>
      <c r="Z651" s="81">
        <v>1600</v>
      </c>
      <c r="AA651" s="81"/>
      <c r="AB651" s="81"/>
      <c r="AC651" s="81"/>
      <c r="AD651" s="81"/>
      <c r="AE651" s="81"/>
      <c r="AF651" s="81"/>
      <c r="AG651" s="81">
        <f>Sal_23[[#This Row],[COMPRA]]*12%</f>
        <v>276</v>
      </c>
      <c r="AH651" s="83">
        <v>2300</v>
      </c>
      <c r="AI651" s="66" t="str">
        <f>PROPER(TEXT(Sal_23[[#This Row],[PROGRAMAÇÃO]],"mmm"))</f>
        <v>Jun</v>
      </c>
      <c r="AJ651" s="66">
        <f>YEAR(Sal_23[[#This Row],[PROGRAMAÇÃO]])</f>
        <v>2023</v>
      </c>
      <c r="AK651" s="66"/>
      <c r="AL651" s="66"/>
      <c r="AM651" s="66" t="s">
        <v>2768</v>
      </c>
      <c r="AN651" s="66" t="s">
        <v>2768</v>
      </c>
      <c r="AO651" s="66" t="s">
        <v>2768</v>
      </c>
    </row>
    <row r="652" spans="2:41" x14ac:dyDescent="0.25">
      <c r="B652" s="128" t="s">
        <v>2771</v>
      </c>
      <c r="C65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52" s="79">
        <v>45105.375</v>
      </c>
      <c r="E652" s="44" t="s">
        <v>5215</v>
      </c>
      <c r="F652" s="66">
        <v>20</v>
      </c>
      <c r="G652" s="66" t="s">
        <v>2820</v>
      </c>
      <c r="H652" s="44" t="s">
        <v>2820</v>
      </c>
      <c r="I652" s="299" t="s">
        <v>2821</v>
      </c>
      <c r="J652" s="66" t="s">
        <v>5308</v>
      </c>
      <c r="K652" s="66" t="s">
        <v>5212</v>
      </c>
      <c r="L652" s="66">
        <v>107761</v>
      </c>
      <c r="M652" s="66"/>
      <c r="N652" s="66" t="s">
        <v>2498</v>
      </c>
      <c r="O652" s="66" t="s">
        <v>3274</v>
      </c>
      <c r="P652" s="66" t="s">
        <v>2500</v>
      </c>
      <c r="Q652" s="138" t="str">
        <f ca="1">IFERROR(LOOKUP($P652,MOTORISTAS!$D$3:$D$1048576,MOTORISTAS!E$3:E$916),"")</f>
        <v>10838670830</v>
      </c>
      <c r="R652" s="138" t="str">
        <f ca="1">IFERROR(LOOKUP($P652,MOTORISTAS!$D$3:$D$1048576,MOTORISTAS!F$3:F$916),"")</f>
        <v>01808675938</v>
      </c>
      <c r="S652" s="66">
        <v>16559</v>
      </c>
      <c r="T652" s="66" t="s">
        <v>306</v>
      </c>
      <c r="U652" s="79">
        <v>45104.929166666669</v>
      </c>
      <c r="V652" s="66" t="s">
        <v>409</v>
      </c>
      <c r="W652" s="79">
        <v>45105.630555555559</v>
      </c>
      <c r="X652" s="79">
        <v>45105.083333333336</v>
      </c>
      <c r="Y652" s="88">
        <v>45105.5</v>
      </c>
      <c r="Z652" s="81">
        <v>1600</v>
      </c>
      <c r="AA652" s="81"/>
      <c r="AB652" s="81"/>
      <c r="AC652" s="81"/>
      <c r="AD652" s="81"/>
      <c r="AE652" s="81"/>
      <c r="AF652" s="81"/>
      <c r="AG652" s="81">
        <f>Sal_23[[#This Row],[COMPRA]]*12%</f>
        <v>276</v>
      </c>
      <c r="AH652" s="83">
        <v>2300</v>
      </c>
      <c r="AI652" s="66" t="str">
        <f>PROPER(TEXT(Sal_23[[#This Row],[PROGRAMAÇÃO]],"mmm"))</f>
        <v>Jun</v>
      </c>
      <c r="AJ652" s="66">
        <f>YEAR(Sal_23[[#This Row],[PROGRAMAÇÃO]])</f>
        <v>2023</v>
      </c>
      <c r="AK652" s="66"/>
      <c r="AL652" s="66"/>
      <c r="AM652" s="66" t="s">
        <v>2768</v>
      </c>
      <c r="AN652" s="66" t="s">
        <v>2768</v>
      </c>
      <c r="AO652" s="66" t="s">
        <v>2768</v>
      </c>
    </row>
    <row r="653" spans="2:41" x14ac:dyDescent="0.25">
      <c r="B653" s="128" t="s">
        <v>2771</v>
      </c>
      <c r="C65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53" s="79">
        <v>45105.375</v>
      </c>
      <c r="E653" s="44" t="s">
        <v>5216</v>
      </c>
      <c r="F653" s="66">
        <v>20</v>
      </c>
      <c r="G653" s="66" t="s">
        <v>2820</v>
      </c>
      <c r="H653" s="44" t="s">
        <v>2820</v>
      </c>
      <c r="I653" s="299" t="s">
        <v>2821</v>
      </c>
      <c r="J653" s="66" t="s">
        <v>5309</v>
      </c>
      <c r="K653" s="66" t="s">
        <v>5212</v>
      </c>
      <c r="L653" s="66">
        <v>118445</v>
      </c>
      <c r="M653" s="66"/>
      <c r="N653" s="66" t="s">
        <v>2260</v>
      </c>
      <c r="O653" s="66" t="s">
        <v>5310</v>
      </c>
      <c r="P653" s="66" t="s">
        <v>5243</v>
      </c>
      <c r="Q653" s="138" t="str">
        <f ca="1">IFERROR(LOOKUP($P653,MOTORISTAS!$D$3:$D$1048576,MOTORISTAS!E$3:E$916),"")</f>
        <v>09221836860</v>
      </c>
      <c r="R653" s="138" t="str">
        <f ca="1">IFERROR(LOOKUP($P653,MOTORISTAS!$D$3:$D$1048576,MOTORISTAS!F$3:F$916),"")</f>
        <v>01994346710</v>
      </c>
      <c r="S653" s="66">
        <v>16560</v>
      </c>
      <c r="T653" s="66" t="s">
        <v>306</v>
      </c>
      <c r="U653" s="79">
        <v>45105.000694444447</v>
      </c>
      <c r="V653" s="66" t="s">
        <v>409</v>
      </c>
      <c r="W653" s="79">
        <v>45107.666666666664</v>
      </c>
      <c r="X653" s="79">
        <v>45105.333333333336</v>
      </c>
      <c r="Y653" s="88">
        <v>45105.5</v>
      </c>
      <c r="Z653" s="81">
        <v>1600</v>
      </c>
      <c r="AA653" s="81"/>
      <c r="AB653" s="81"/>
      <c r="AC653" s="81"/>
      <c r="AD653" s="81"/>
      <c r="AE653" s="81"/>
      <c r="AF653" s="81"/>
      <c r="AG653" s="81">
        <f>Sal_23[[#This Row],[COMPRA]]*12%</f>
        <v>276</v>
      </c>
      <c r="AH653" s="83">
        <v>2300</v>
      </c>
      <c r="AI653" s="66" t="str">
        <f>PROPER(TEXT(Sal_23[[#This Row],[PROGRAMAÇÃO]],"mmm"))</f>
        <v>Jun</v>
      </c>
      <c r="AJ653" s="66">
        <f>YEAR(Sal_23[[#This Row],[PROGRAMAÇÃO]])</f>
        <v>2023</v>
      </c>
      <c r="AK653" s="66"/>
      <c r="AL653" s="66"/>
      <c r="AM653" s="66" t="s">
        <v>2768</v>
      </c>
      <c r="AN653" s="66" t="s">
        <v>2768</v>
      </c>
      <c r="AO653" s="66" t="s">
        <v>2768</v>
      </c>
    </row>
    <row r="654" spans="2:41" x14ac:dyDescent="0.25">
      <c r="B654" s="128" t="s">
        <v>2771</v>
      </c>
      <c r="C65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54" s="79">
        <v>45103.333333333336</v>
      </c>
      <c r="E654" s="44" t="s">
        <v>5241</v>
      </c>
      <c r="F654" s="66">
        <v>20</v>
      </c>
      <c r="G654" s="66" t="s">
        <v>2837</v>
      </c>
      <c r="H654" s="44" t="s">
        <v>2837</v>
      </c>
      <c r="I654" s="299" t="s">
        <v>2821</v>
      </c>
      <c r="J654" s="66" t="s">
        <v>5242</v>
      </c>
      <c r="K654" s="66" t="s">
        <v>5250</v>
      </c>
      <c r="L654" s="66">
        <v>74033</v>
      </c>
      <c r="M654" s="66"/>
      <c r="N654" s="66" t="s">
        <v>2584</v>
      </c>
      <c r="O654" s="66" t="s">
        <v>2585</v>
      </c>
      <c r="P654" s="66" t="s">
        <v>5243</v>
      </c>
      <c r="Q654" s="138" t="str">
        <f ca="1">IFERROR(LOOKUP($P654,MOTORISTAS!$D$3:$D$1048576,MOTORISTAS!E$3:E$916),"")</f>
        <v>09221836860</v>
      </c>
      <c r="R654" s="138" t="str">
        <f ca="1">IFERROR(LOOKUP($P654,MOTORISTAS!$D$3:$D$1048576,MOTORISTAS!F$3:F$916),"")</f>
        <v>01994346710</v>
      </c>
      <c r="S654" s="66">
        <v>16528</v>
      </c>
      <c r="T654" s="66" t="s">
        <v>306</v>
      </c>
      <c r="U654" s="79">
        <v>45103.211805555555</v>
      </c>
      <c r="V654" s="66" t="s">
        <v>292</v>
      </c>
      <c r="W654" s="79">
        <v>45103.556250000001</v>
      </c>
      <c r="X654" s="79">
        <v>45103.359722222223</v>
      </c>
      <c r="Y654" s="88">
        <v>45103.548611111109</v>
      </c>
      <c r="Z654" s="81">
        <v>1600</v>
      </c>
      <c r="AA654" s="81"/>
      <c r="AB654" s="81"/>
      <c r="AC654" s="81"/>
      <c r="AD654" s="81"/>
      <c r="AE654" s="81"/>
      <c r="AF654" s="81"/>
      <c r="AG654" s="81">
        <f>Sal_23[[#This Row],[COMPRA]]*12%</f>
        <v>311.55959999999999</v>
      </c>
      <c r="AH654" s="83">
        <v>2596.33</v>
      </c>
      <c r="AI654" s="66" t="str">
        <f>PROPER(TEXT(Sal_23[[#This Row],[PROGRAMAÇÃO]],"mmm"))</f>
        <v>Jun</v>
      </c>
      <c r="AJ654" s="66">
        <f>YEAR(Sal_23[[#This Row],[PROGRAMAÇÃO]])</f>
        <v>2023</v>
      </c>
      <c r="AK654" s="66"/>
      <c r="AL654" s="66"/>
      <c r="AM654" s="66" t="s">
        <v>2768</v>
      </c>
      <c r="AN654" s="66" t="s">
        <v>2768</v>
      </c>
      <c r="AO654" s="66" t="s">
        <v>2768</v>
      </c>
    </row>
    <row r="655" spans="2:41" x14ac:dyDescent="0.25">
      <c r="B655" s="128" t="s">
        <v>2771</v>
      </c>
      <c r="C655" s="66" t="s">
        <v>3294</v>
      </c>
      <c r="D655" s="79">
        <v>45106.333333333336</v>
      </c>
      <c r="E655" s="44" t="s">
        <v>5284</v>
      </c>
      <c r="F655" s="66">
        <v>20</v>
      </c>
      <c r="G655" s="66" t="s">
        <v>2826</v>
      </c>
      <c r="H655" s="44" t="s">
        <v>3105</v>
      </c>
      <c r="I655" s="299" t="s">
        <v>3185</v>
      </c>
      <c r="J655" s="66">
        <v>6329</v>
      </c>
      <c r="K655" s="66" t="s">
        <v>5305</v>
      </c>
      <c r="L655" s="66">
        <v>107762</v>
      </c>
      <c r="M655" s="66"/>
      <c r="N655" s="66" t="s">
        <v>2859</v>
      </c>
      <c r="O655" s="66" t="s">
        <v>2860</v>
      </c>
      <c r="P655" s="66" t="s">
        <v>2861</v>
      </c>
      <c r="Q655" s="138" t="str">
        <f ca="1">IFERROR(LOOKUP($P655,MOTORISTAS!$D$3:$D$1048576,MOTORISTAS!E$3:E$916),"")</f>
        <v>01817591878</v>
      </c>
      <c r="R655" s="138" t="str">
        <f ca="1">IFERROR(LOOKUP($P655,MOTORISTAS!$D$3:$D$1048576,MOTORISTAS!F$3:F$916),"")</f>
        <v>00821760640</v>
      </c>
      <c r="S655" s="66">
        <v>16573</v>
      </c>
      <c r="T655" s="66" t="s">
        <v>293</v>
      </c>
      <c r="U655" s="79">
        <v>45105.972222222219</v>
      </c>
      <c r="V655" s="66" t="s">
        <v>292</v>
      </c>
      <c r="W655" s="79">
        <v>45106.688888888886</v>
      </c>
      <c r="X655" s="79">
        <v>45106.065972222219</v>
      </c>
      <c r="Y655" s="88">
        <v>45106.486111111109</v>
      </c>
      <c r="Z655" s="81">
        <v>1600</v>
      </c>
      <c r="AA655" s="81"/>
      <c r="AB655" s="81"/>
      <c r="AC655" s="81"/>
      <c r="AD655" s="81"/>
      <c r="AE655" s="81"/>
      <c r="AF655" s="81"/>
      <c r="AG655" s="81">
        <f>Sal_23[[#This Row],[COMPRA]]*12%</f>
        <v>415.74719999999996</v>
      </c>
      <c r="AH655" s="83">
        <v>3464.56</v>
      </c>
      <c r="AI655" s="66" t="str">
        <f>PROPER(TEXT(Sal_23[[#This Row],[PROGRAMAÇÃO]],"mmm"))</f>
        <v>Jun</v>
      </c>
      <c r="AJ655" s="66">
        <f>YEAR(Sal_23[[#This Row],[PROGRAMAÇÃO]])</f>
        <v>2023</v>
      </c>
      <c r="AK655" s="66"/>
      <c r="AL655" s="66"/>
      <c r="AM655" s="66" t="s">
        <v>2768</v>
      </c>
      <c r="AN655" s="66" t="s">
        <v>2768</v>
      </c>
      <c r="AO655" s="66" t="s">
        <v>2768</v>
      </c>
    </row>
    <row r="656" spans="2:41" x14ac:dyDescent="0.25">
      <c r="B656" s="128" t="s">
        <v>2771</v>
      </c>
      <c r="C656" s="66" t="s">
        <v>3294</v>
      </c>
      <c r="D656" s="79">
        <v>45106.333333333336</v>
      </c>
      <c r="E656" s="44" t="s">
        <v>5287</v>
      </c>
      <c r="F656" s="66">
        <v>20</v>
      </c>
      <c r="G656" s="66" t="s">
        <v>2826</v>
      </c>
      <c r="H656" s="44" t="s">
        <v>2825</v>
      </c>
      <c r="I656" s="299" t="s">
        <v>4012</v>
      </c>
      <c r="J656" s="66">
        <v>6247</v>
      </c>
      <c r="K656" s="66" t="s">
        <v>5305</v>
      </c>
      <c r="L656" s="66">
        <v>107714</v>
      </c>
      <c r="M656" s="66"/>
      <c r="N656" s="66" t="s">
        <v>3028</v>
      </c>
      <c r="O656" s="66" t="s">
        <v>2261</v>
      </c>
      <c r="P656" s="66" t="s">
        <v>5270</v>
      </c>
      <c r="Q656" s="138" t="str">
        <f ca="1">IFERROR(LOOKUP($P656,MOTORISTAS!$D$3:$D$1048576,MOTORISTAS!E$3:E$916),"")</f>
        <v>16612151811</v>
      </c>
      <c r="R656" s="138" t="str">
        <f ca="1">IFERROR(LOOKUP($P656,MOTORISTAS!$D$3:$D$1048576,MOTORISTAS!F$3:F$916),"")</f>
        <v>01055332889</v>
      </c>
      <c r="S656" s="66">
        <v>16575</v>
      </c>
      <c r="T656" s="66" t="s">
        <v>293</v>
      </c>
      <c r="U656" s="79">
        <v>45105.974305555559</v>
      </c>
      <c r="V656" s="66" t="s">
        <v>526</v>
      </c>
      <c r="W656" s="79">
        <v>45107.600694444445</v>
      </c>
      <c r="X656" s="79">
        <v>45106.076388888891</v>
      </c>
      <c r="Y656" s="88">
        <v>45106.444444444445</v>
      </c>
      <c r="Z656" s="81"/>
      <c r="AA656" s="81"/>
      <c r="AB656" s="81"/>
      <c r="AC656" s="81"/>
      <c r="AD656" s="81"/>
      <c r="AE656" s="81"/>
      <c r="AF656" s="81"/>
      <c r="AG656" s="81">
        <f>Sal_23[[#This Row],[COMPRA]]*12%</f>
        <v>447.91919999999999</v>
      </c>
      <c r="AH656" s="83">
        <v>3732.66</v>
      </c>
      <c r="AI656" s="66" t="str">
        <f>PROPER(TEXT(Sal_23[[#This Row],[PROGRAMAÇÃO]],"mmm"))</f>
        <v>Jun</v>
      </c>
      <c r="AJ656" s="66">
        <f>YEAR(Sal_23[[#This Row],[PROGRAMAÇÃO]])</f>
        <v>2023</v>
      </c>
      <c r="AK656" s="66"/>
      <c r="AL656" s="66"/>
      <c r="AM656" s="66" t="s">
        <v>2768</v>
      </c>
      <c r="AN656" s="66" t="s">
        <v>2768</v>
      </c>
      <c r="AO656" s="66" t="s">
        <v>2768</v>
      </c>
    </row>
    <row r="657" spans="2:41" x14ac:dyDescent="0.25">
      <c r="B657" s="128" t="s">
        <v>2771</v>
      </c>
      <c r="C657" s="66" t="s">
        <v>3293</v>
      </c>
      <c r="D657" s="79">
        <v>45106.333333333336</v>
      </c>
      <c r="E657" s="44" t="s">
        <v>5294</v>
      </c>
      <c r="F657" s="66">
        <v>40</v>
      </c>
      <c r="G657" s="66" t="s">
        <v>2826</v>
      </c>
      <c r="H657" s="44" t="s">
        <v>2836</v>
      </c>
      <c r="I657" s="299" t="s">
        <v>708</v>
      </c>
      <c r="J657" s="66">
        <v>6246</v>
      </c>
      <c r="K657" s="66" t="s">
        <v>5305</v>
      </c>
      <c r="L657" s="66">
        <v>107674</v>
      </c>
      <c r="M657" s="66"/>
      <c r="N657" s="66" t="s">
        <v>72</v>
      </c>
      <c r="O657" s="66" t="s">
        <v>27</v>
      </c>
      <c r="P657" s="66" t="s">
        <v>2678</v>
      </c>
      <c r="Q657" s="138" t="str">
        <f ca="1">IFERROR(LOOKUP($P657,MOTORISTAS!$D$3:$D$1048576,MOTORISTAS!E$3:E$916),"")</f>
        <v>28386357860</v>
      </c>
      <c r="R657" s="138" t="str">
        <f ca="1">IFERROR(LOOKUP($P657,MOTORISTAS!$D$3:$D$1048576,MOTORISTAS!F$3:F$916),"")</f>
        <v>01042201192</v>
      </c>
      <c r="S657" s="66">
        <v>16585</v>
      </c>
      <c r="T657" s="66" t="s">
        <v>293</v>
      </c>
      <c r="U657" s="79">
        <v>45106.372916666667</v>
      </c>
      <c r="V657" s="66" t="s">
        <v>292</v>
      </c>
      <c r="W657" s="79">
        <v>45107.587500000001</v>
      </c>
      <c r="X657" s="79">
        <v>45106.4375</v>
      </c>
      <c r="Y657" s="88">
        <v>45106.6875</v>
      </c>
      <c r="Z657" s="81"/>
      <c r="AA657" s="81"/>
      <c r="AB657" s="81"/>
      <c r="AC657" s="81"/>
      <c r="AD657" s="81"/>
      <c r="AE657" s="81"/>
      <c r="AF657" s="81"/>
      <c r="AG657" s="81">
        <f>Sal_23[[#This Row],[COMPRA]]*12%</f>
        <v>234</v>
      </c>
      <c r="AH657" s="83">
        <v>1950</v>
      </c>
      <c r="AI657" s="66" t="str">
        <f>PROPER(TEXT(Sal_23[[#This Row],[PROGRAMAÇÃO]],"mmm"))</f>
        <v>Jun</v>
      </c>
      <c r="AJ657" s="66">
        <f>YEAR(Sal_23[[#This Row],[PROGRAMAÇÃO]])</f>
        <v>2023</v>
      </c>
      <c r="AK657" s="66"/>
      <c r="AL657" s="66"/>
      <c r="AM657" s="66" t="s">
        <v>2768</v>
      </c>
      <c r="AN657" s="66" t="s">
        <v>2768</v>
      </c>
      <c r="AO657" s="66" t="s">
        <v>2768</v>
      </c>
    </row>
    <row r="658" spans="2:41" x14ac:dyDescent="0.25">
      <c r="B658" s="128" t="s">
        <v>2771</v>
      </c>
      <c r="C658" s="66" t="s">
        <v>3293</v>
      </c>
      <c r="D658" s="79">
        <v>45106.333333333336</v>
      </c>
      <c r="E658" s="44" t="s">
        <v>5297</v>
      </c>
      <c r="F658" s="66">
        <v>40</v>
      </c>
      <c r="G658" s="66" t="s">
        <v>2826</v>
      </c>
      <c r="H658" s="44" t="s">
        <v>1674</v>
      </c>
      <c r="I658" s="299" t="s">
        <v>2829</v>
      </c>
      <c r="J658" s="66">
        <v>6244</v>
      </c>
      <c r="K658" s="66" t="s">
        <v>5305</v>
      </c>
      <c r="L658" s="66">
        <v>107638</v>
      </c>
      <c r="M658" s="66">
        <v>107639</v>
      </c>
      <c r="N658" s="66" t="s">
        <v>68</v>
      </c>
      <c r="O658" s="66" t="s">
        <v>36</v>
      </c>
      <c r="P658" s="66" t="s">
        <v>206</v>
      </c>
      <c r="Q658" s="138" t="str">
        <f ca="1">IFERROR(LOOKUP($P658,MOTORISTAS!$D$3:$D$1048576,MOTORISTAS!E$3:E$916),"")</f>
        <v>09085263425</v>
      </c>
      <c r="R658" s="138" t="str">
        <f ca="1">IFERROR(LOOKUP($P658,MOTORISTAS!$D$3:$D$1048576,MOTORISTAS!F$3:F$916),"")</f>
        <v>04557705505</v>
      </c>
      <c r="S658" s="66">
        <v>16581</v>
      </c>
      <c r="T658" s="66" t="s">
        <v>293</v>
      </c>
      <c r="U658" s="79">
        <v>45106.336111111108</v>
      </c>
      <c r="V658" s="66" t="s">
        <v>292</v>
      </c>
      <c r="W658" s="79">
        <v>45112.45208333333</v>
      </c>
      <c r="X658" s="79">
        <v>45106.520833333336</v>
      </c>
      <c r="Y658" s="88">
        <v>45106.664583333331</v>
      </c>
      <c r="Z658" s="81">
        <v>3400</v>
      </c>
      <c r="AA658" s="81"/>
      <c r="AB658" s="81"/>
      <c r="AC658" s="81"/>
      <c r="AD658" s="81"/>
      <c r="AE658" s="81"/>
      <c r="AF658" s="81"/>
      <c r="AG658" s="81">
        <f>Sal_23[[#This Row],[COMPRA]]*12%</f>
        <v>558.28319999999997</v>
      </c>
      <c r="AH658" s="83">
        <v>4652.3599999999997</v>
      </c>
      <c r="AI658" s="66" t="str">
        <f>PROPER(TEXT(Sal_23[[#This Row],[PROGRAMAÇÃO]],"mmm"))</f>
        <v>Jun</v>
      </c>
      <c r="AJ658" s="66">
        <f>YEAR(Sal_23[[#This Row],[PROGRAMAÇÃO]])</f>
        <v>2023</v>
      </c>
      <c r="AK658" s="66"/>
      <c r="AL658" s="66"/>
      <c r="AM658" s="66" t="s">
        <v>2768</v>
      </c>
      <c r="AN658" s="66" t="s">
        <v>2768</v>
      </c>
      <c r="AO658" s="66" t="s">
        <v>2768</v>
      </c>
    </row>
    <row r="659" spans="2:41" x14ac:dyDescent="0.25">
      <c r="B659" s="128" t="s">
        <v>2771</v>
      </c>
      <c r="C659" s="66" t="s">
        <v>3293</v>
      </c>
      <c r="D659" s="79">
        <v>45106.333333333336</v>
      </c>
      <c r="E659" s="44" t="s">
        <v>5298</v>
      </c>
      <c r="F659" s="66">
        <v>40</v>
      </c>
      <c r="G659" s="66" t="s">
        <v>2826</v>
      </c>
      <c r="H659" s="44" t="s">
        <v>1674</v>
      </c>
      <c r="I659" s="299" t="s">
        <v>2829</v>
      </c>
      <c r="J659" s="66">
        <v>6265</v>
      </c>
      <c r="K659" s="66" t="s">
        <v>5305</v>
      </c>
      <c r="L659" s="66">
        <v>107682</v>
      </c>
      <c r="M659" s="66">
        <v>107683</v>
      </c>
      <c r="N659" s="66" t="s">
        <v>31</v>
      </c>
      <c r="O659" s="66" t="s">
        <v>32</v>
      </c>
      <c r="P659" s="66" t="s">
        <v>3176</v>
      </c>
      <c r="Q659" s="138" t="str">
        <f ca="1">IFERROR(LOOKUP($P659,MOTORISTAS!$D$3:$D$1048576,MOTORISTAS!E$3:E$916),"")</f>
        <v>09776430856</v>
      </c>
      <c r="R659" s="138" t="str">
        <f ca="1">IFERROR(LOOKUP($P659,MOTORISTAS!$D$3:$D$1048576,MOTORISTAS!F$3:F$916),"")</f>
        <v>01258979905</v>
      </c>
      <c r="S659" s="66">
        <v>16584</v>
      </c>
      <c r="T659" s="66" t="s">
        <v>293</v>
      </c>
      <c r="U659" s="79">
        <v>45106.338888888888</v>
      </c>
      <c r="V659" s="66" t="s">
        <v>292</v>
      </c>
      <c r="W659" s="79">
        <v>45107.452777777777</v>
      </c>
      <c r="X659" s="79">
        <v>45106.520833333336</v>
      </c>
      <c r="Y659" s="88">
        <v>45106.768750000003</v>
      </c>
      <c r="Z659" s="81">
        <v>3400</v>
      </c>
      <c r="AA659" s="81"/>
      <c r="AB659" s="81"/>
      <c r="AC659" s="81"/>
      <c r="AD659" s="81"/>
      <c r="AE659" s="81"/>
      <c r="AF659" s="81"/>
      <c r="AG659" s="81">
        <f>Sal_23[[#This Row],[COMPRA]]*12%</f>
        <v>558.28319999999997</v>
      </c>
      <c r="AH659" s="83">
        <v>4652.3599999999997</v>
      </c>
      <c r="AI659" s="66" t="str">
        <f>PROPER(TEXT(Sal_23[[#This Row],[PROGRAMAÇÃO]],"mmm"))</f>
        <v>Jun</v>
      </c>
      <c r="AJ659" s="66">
        <f>YEAR(Sal_23[[#This Row],[PROGRAMAÇÃO]])</f>
        <v>2023</v>
      </c>
      <c r="AK659" s="66"/>
      <c r="AL659" s="66"/>
      <c r="AM659" s="66" t="s">
        <v>2768</v>
      </c>
      <c r="AN659" s="66" t="s">
        <v>2768</v>
      </c>
      <c r="AO659" s="66" t="s">
        <v>2768</v>
      </c>
    </row>
    <row r="660" spans="2:41" x14ac:dyDescent="0.25">
      <c r="B660" s="128" t="s">
        <v>2771</v>
      </c>
      <c r="C660" s="66" t="s">
        <v>3292</v>
      </c>
      <c r="D660" s="79">
        <v>45107.333333333336</v>
      </c>
      <c r="E660" s="44" t="s">
        <v>5286</v>
      </c>
      <c r="F660" s="66">
        <v>20</v>
      </c>
      <c r="G660" s="66" t="s">
        <v>2826</v>
      </c>
      <c r="H660" s="44" t="s">
        <v>3071</v>
      </c>
      <c r="I660" s="299" t="s">
        <v>3072</v>
      </c>
      <c r="J660" s="66">
        <v>6345</v>
      </c>
      <c r="K660" s="66" t="s">
        <v>5305</v>
      </c>
      <c r="L660" s="66">
        <v>107805</v>
      </c>
      <c r="M660" s="66">
        <v>107806</v>
      </c>
      <c r="N660" s="66" t="s">
        <v>2584</v>
      </c>
      <c r="O660" s="66" t="s">
        <v>2585</v>
      </c>
      <c r="P660" s="66" t="s">
        <v>2586</v>
      </c>
      <c r="Q660" s="138" t="str">
        <f ca="1">IFERROR(LOOKUP($P660,MOTORISTAS!$D$3:$D$1048576,MOTORISTAS!E$3:E$916),"")</f>
        <v>08312935860</v>
      </c>
      <c r="R660" s="138" t="str">
        <f ca="1">IFERROR(LOOKUP($P660,MOTORISTAS!$D$3:$D$1048576,MOTORISTAS!F$3:F$916),"")</f>
        <v>03106516083</v>
      </c>
      <c r="S660" s="66">
        <v>16591</v>
      </c>
      <c r="T660" s="66" t="s">
        <v>293</v>
      </c>
      <c r="U660" s="79">
        <v>45106.909722222219</v>
      </c>
      <c r="V660" s="66" t="s">
        <v>526</v>
      </c>
      <c r="W660" s="79">
        <v>45107.779166666667</v>
      </c>
      <c r="X660" s="79">
        <v>45107.055555555555</v>
      </c>
      <c r="Y660" s="88">
        <v>45107.569444444445</v>
      </c>
      <c r="Z660" s="81">
        <v>2200</v>
      </c>
      <c r="AA660" s="81"/>
      <c r="AB660" s="81"/>
      <c r="AC660" s="81">
        <v>600</v>
      </c>
      <c r="AD660" s="81"/>
      <c r="AE660" s="81"/>
      <c r="AF660" s="81"/>
      <c r="AG660" s="81">
        <f>Sal_23[[#This Row],[COMPRA]]*12%</f>
        <v>473.5104</v>
      </c>
      <c r="AH660" s="83">
        <v>3945.92</v>
      </c>
      <c r="AI660" s="66" t="str">
        <f>PROPER(TEXT(Sal_23[[#This Row],[PROGRAMAÇÃO]],"mmm"))</f>
        <v>Jun</v>
      </c>
      <c r="AJ660" s="66">
        <f>YEAR(Sal_23[[#This Row],[PROGRAMAÇÃO]])</f>
        <v>2023</v>
      </c>
      <c r="AK660" s="66"/>
      <c r="AL660" s="66"/>
      <c r="AM660" s="66" t="s">
        <v>2768</v>
      </c>
      <c r="AN660" s="66" t="s">
        <v>2768</v>
      </c>
      <c r="AO660" s="66" t="s">
        <v>2768</v>
      </c>
    </row>
    <row r="661" spans="2:41" x14ac:dyDescent="0.25">
      <c r="B661" s="128" t="s">
        <v>2771</v>
      </c>
      <c r="C661" s="66" t="s">
        <v>3292</v>
      </c>
      <c r="D661" s="79">
        <v>45107.333333333336</v>
      </c>
      <c r="E661" s="44" t="s">
        <v>5289</v>
      </c>
      <c r="F661" s="66">
        <v>20</v>
      </c>
      <c r="G661" s="66" t="s">
        <v>2826</v>
      </c>
      <c r="H661" s="44" t="s">
        <v>3440</v>
      </c>
      <c r="I661" s="299" t="s">
        <v>3531</v>
      </c>
      <c r="J661" s="66">
        <v>6317</v>
      </c>
      <c r="K661" s="66" t="s">
        <v>5305</v>
      </c>
      <c r="L661" s="66">
        <v>118424</v>
      </c>
      <c r="M661" s="66"/>
      <c r="N661" s="66" t="s">
        <v>2498</v>
      </c>
      <c r="O661" s="66" t="s">
        <v>3274</v>
      </c>
      <c r="P661" s="66" t="s">
        <v>2500</v>
      </c>
      <c r="Q661" s="138" t="str">
        <f ca="1">IFERROR(LOOKUP($P661,MOTORISTAS!$D$3:$D$1048576,MOTORISTAS!E$3:E$916),"")</f>
        <v>10838670830</v>
      </c>
      <c r="R661" s="138" t="str">
        <f ca="1">IFERROR(LOOKUP($P661,MOTORISTAS!$D$3:$D$1048576,MOTORISTAS!F$3:F$916),"")</f>
        <v>01808675938</v>
      </c>
      <c r="S661" s="66">
        <v>16576</v>
      </c>
      <c r="T661" s="66" t="s">
        <v>293</v>
      </c>
      <c r="U661" s="79">
        <v>45107.001388888886</v>
      </c>
      <c r="V661" s="66" t="s">
        <v>292</v>
      </c>
      <c r="W661" s="79">
        <v>45107.548611111109</v>
      </c>
      <c r="X661" s="79">
        <v>45107.125</v>
      </c>
      <c r="Y661" s="88">
        <v>45107.569444444445</v>
      </c>
      <c r="Z661" s="81">
        <v>2300</v>
      </c>
      <c r="AA661" s="81"/>
      <c r="AB661" s="81"/>
      <c r="AC661" s="81"/>
      <c r="AD661" s="81"/>
      <c r="AE661" s="81"/>
      <c r="AF661" s="81"/>
      <c r="AG661" s="81">
        <f>Sal_23[[#This Row],[COMPRA]]*12%</f>
        <v>399.62399999999997</v>
      </c>
      <c r="AH661" s="83">
        <v>3330.2</v>
      </c>
      <c r="AI661" s="66" t="str">
        <f>PROPER(TEXT(Sal_23[[#This Row],[PROGRAMAÇÃO]],"mmm"))</f>
        <v>Jun</v>
      </c>
      <c r="AJ661" s="66">
        <f>YEAR(Sal_23[[#This Row],[PROGRAMAÇÃO]])</f>
        <v>2023</v>
      </c>
      <c r="AK661" s="66"/>
      <c r="AL661" s="66"/>
      <c r="AM661" s="66" t="s">
        <v>2768</v>
      </c>
      <c r="AN661" s="66" t="s">
        <v>2768</v>
      </c>
      <c r="AO661" s="66" t="s">
        <v>2768</v>
      </c>
    </row>
    <row r="662" spans="2:41" x14ac:dyDescent="0.25">
      <c r="B662" s="128" t="s">
        <v>2771</v>
      </c>
      <c r="C662" s="66" t="s">
        <v>3292</v>
      </c>
      <c r="D662" s="79">
        <v>45107.333333333336</v>
      </c>
      <c r="E662" s="44" t="s">
        <v>5296</v>
      </c>
      <c r="F662" s="66">
        <v>40</v>
      </c>
      <c r="G662" s="66" t="s">
        <v>2826</v>
      </c>
      <c r="H662" s="44" t="s">
        <v>3074</v>
      </c>
      <c r="I662" s="299" t="s">
        <v>3532</v>
      </c>
      <c r="J662" s="66">
        <v>6253</v>
      </c>
      <c r="K662" s="66" t="s">
        <v>5305</v>
      </c>
      <c r="L662" s="66">
        <v>107637</v>
      </c>
      <c r="M662" s="66"/>
      <c r="N662" s="66" t="s">
        <v>68</v>
      </c>
      <c r="O662" s="66" t="s">
        <v>36</v>
      </c>
      <c r="P662" s="66" t="s">
        <v>206</v>
      </c>
      <c r="Q662" s="138" t="str">
        <f ca="1">IFERROR(LOOKUP($P662,MOTORISTAS!$D$3:$D$1048576,MOTORISTAS!E$3:E$916),"")</f>
        <v>09085263425</v>
      </c>
      <c r="R662" s="138" t="str">
        <f ca="1">IFERROR(LOOKUP($P662,MOTORISTAS!$D$3:$D$1048576,MOTORISTAS!F$3:F$916),"")</f>
        <v>04557705505</v>
      </c>
      <c r="S662" s="66">
        <v>16592</v>
      </c>
      <c r="T662" s="66" t="s">
        <v>293</v>
      </c>
      <c r="U662" s="79">
        <v>45107.247916666667</v>
      </c>
      <c r="V662" s="66" t="s">
        <v>292</v>
      </c>
      <c r="W662" s="79">
        <v>45110</v>
      </c>
      <c r="X662" s="79">
        <v>45107.388888888891</v>
      </c>
      <c r="Y662" s="88">
        <v>45107.72152777778</v>
      </c>
      <c r="Z662" s="81"/>
      <c r="AA662" s="81"/>
      <c r="AB662" s="81"/>
      <c r="AC662" s="81"/>
      <c r="AD662" s="81"/>
      <c r="AE662" s="81"/>
      <c r="AF662" s="81"/>
      <c r="AG662" s="81">
        <f>Sal_23[[#This Row],[COMPRA]]*12%</f>
        <v>501.59999999999997</v>
      </c>
      <c r="AH662" s="83">
        <v>4180</v>
      </c>
      <c r="AI662" s="66" t="str">
        <f>PROPER(TEXT(Sal_23[[#This Row],[PROGRAMAÇÃO]],"mmm"))</f>
        <v>Jun</v>
      </c>
      <c r="AJ662" s="66">
        <f>YEAR(Sal_23[[#This Row],[PROGRAMAÇÃO]])</f>
        <v>2023</v>
      </c>
      <c r="AK662" s="66"/>
      <c r="AL662" s="66"/>
      <c r="AM662" s="66" t="s">
        <v>2768</v>
      </c>
      <c r="AN662" s="66" t="s">
        <v>2768</v>
      </c>
      <c r="AO662" s="66" t="s">
        <v>2768</v>
      </c>
    </row>
    <row r="663" spans="2:41" x14ac:dyDescent="0.25">
      <c r="B663" s="128" t="s">
        <v>2771</v>
      </c>
      <c r="C663" s="66" t="s">
        <v>3292</v>
      </c>
      <c r="D663" s="79">
        <v>45107.333333333336</v>
      </c>
      <c r="E663" s="44" t="s">
        <v>5299</v>
      </c>
      <c r="F663" s="66">
        <v>40</v>
      </c>
      <c r="G663" s="66" t="s">
        <v>2826</v>
      </c>
      <c r="H663" s="44" t="s">
        <v>1674</v>
      </c>
      <c r="I663" s="299" t="s">
        <v>2829</v>
      </c>
      <c r="J663" s="66">
        <v>62</v>
      </c>
      <c r="K663" s="66" t="s">
        <v>5305</v>
      </c>
      <c r="L663" s="66">
        <v>107719</v>
      </c>
      <c r="M663" s="66"/>
      <c r="N663" s="66" t="s">
        <v>102</v>
      </c>
      <c r="O663" s="66" t="s">
        <v>73</v>
      </c>
      <c r="P663" s="66" t="s">
        <v>203</v>
      </c>
      <c r="Q663" s="138" t="str">
        <f ca="1">IFERROR(LOOKUP($P663,MOTORISTAS!$D$3:$D$1048576,MOTORISTAS!E$3:E$916),"")</f>
        <v>10395859816</v>
      </c>
      <c r="R663" s="138" t="str">
        <f ca="1">IFERROR(LOOKUP($P663,MOTORISTAS!$D$3:$D$1048576,MOTORISTAS!F$3:F$916),"")</f>
        <v>01965794851</v>
      </c>
      <c r="S663" s="66">
        <v>16594</v>
      </c>
      <c r="T663" s="66" t="s">
        <v>293</v>
      </c>
      <c r="U663" s="79">
        <v>45107.315972222219</v>
      </c>
      <c r="V663" s="66" t="s">
        <v>292</v>
      </c>
      <c r="W663" s="79">
        <v>45108.402083333334</v>
      </c>
      <c r="X663" s="79">
        <v>45107.510416666664</v>
      </c>
      <c r="Y663" s="88">
        <v>45107.633333333331</v>
      </c>
      <c r="Z663" s="81">
        <v>3400</v>
      </c>
      <c r="AA663" s="81"/>
      <c r="AB663" s="81"/>
      <c r="AC663" s="81"/>
      <c r="AD663" s="81"/>
      <c r="AE663" s="81"/>
      <c r="AF663" s="81"/>
      <c r="AG663" s="81">
        <f>Sal_23[[#This Row],[COMPRA]]*12%</f>
        <v>558.28319999999997</v>
      </c>
      <c r="AH663" s="83">
        <v>4652.3599999999997</v>
      </c>
      <c r="AI663" s="66" t="str">
        <f>PROPER(TEXT(Sal_23[[#This Row],[PROGRAMAÇÃO]],"mmm"))</f>
        <v>Jun</v>
      </c>
      <c r="AJ663" s="66">
        <f>YEAR(Sal_23[[#This Row],[PROGRAMAÇÃO]])</f>
        <v>2023</v>
      </c>
      <c r="AK663" s="66"/>
      <c r="AL663" s="66"/>
      <c r="AM663" s="66" t="s">
        <v>2768</v>
      </c>
      <c r="AN663" s="66" t="s">
        <v>2768</v>
      </c>
      <c r="AO663" s="66" t="s">
        <v>2768</v>
      </c>
    </row>
    <row r="664" spans="2:41" x14ac:dyDescent="0.25">
      <c r="B664" s="128" t="s">
        <v>2771</v>
      </c>
      <c r="C664" s="66" t="s">
        <v>3292</v>
      </c>
      <c r="D664" s="79">
        <v>45107.333333333336</v>
      </c>
      <c r="E664" s="44" t="s">
        <v>5300</v>
      </c>
      <c r="F664" s="66">
        <v>40</v>
      </c>
      <c r="G664" s="66" t="s">
        <v>2826</v>
      </c>
      <c r="H664" s="44" t="s">
        <v>1674</v>
      </c>
      <c r="I664" s="299" t="s">
        <v>2829</v>
      </c>
      <c r="J664" s="66">
        <v>6256</v>
      </c>
      <c r="K664" s="66" t="s">
        <v>5305</v>
      </c>
      <c r="L664" s="66">
        <v>107717</v>
      </c>
      <c r="M664" s="66">
        <v>107718</v>
      </c>
      <c r="N664" s="66" t="s">
        <v>92</v>
      </c>
      <c r="O664" s="66" t="s">
        <v>93</v>
      </c>
      <c r="P664" s="66" t="s">
        <v>94</v>
      </c>
      <c r="Q664" s="138" t="str">
        <f ca="1">IFERROR(LOOKUP($P664,MOTORISTAS!$D$3:$D$1048576,MOTORISTAS!E$3:E$916),"")</f>
        <v>26283419801</v>
      </c>
      <c r="R664" s="138" t="str">
        <f ca="1">IFERROR(LOOKUP($P664,MOTORISTAS!$D$3:$D$1048576,MOTORISTAS!F$3:F$916),"")</f>
        <v>02002046946</v>
      </c>
      <c r="S664" s="66">
        <v>16595</v>
      </c>
      <c r="T664" s="66" t="s">
        <v>293</v>
      </c>
      <c r="U664" s="79">
        <v>45107.227777777778</v>
      </c>
      <c r="V664" s="66" t="s">
        <v>526</v>
      </c>
      <c r="W664" s="79">
        <v>45107.71597222222</v>
      </c>
      <c r="X664" s="79">
        <v>45107.430555555555</v>
      </c>
      <c r="Y664" s="88">
        <v>45107.501388888886</v>
      </c>
      <c r="Z664" s="81">
        <v>3400</v>
      </c>
      <c r="AA664" s="81"/>
      <c r="AB664" s="81"/>
      <c r="AC664" s="81"/>
      <c r="AD664" s="81"/>
      <c r="AE664" s="81"/>
      <c r="AF664" s="81"/>
      <c r="AG664" s="81">
        <f>Sal_23[[#This Row],[COMPRA]]*12%</f>
        <v>558.28319999999997</v>
      </c>
      <c r="AH664" s="83">
        <v>4652.3599999999997</v>
      </c>
      <c r="AI664" s="66" t="str">
        <f>PROPER(TEXT(Sal_23[[#This Row],[PROGRAMAÇÃO]],"mmm"))</f>
        <v>Jun</v>
      </c>
      <c r="AJ664" s="66">
        <f>YEAR(Sal_23[[#This Row],[PROGRAMAÇÃO]])</f>
        <v>2023</v>
      </c>
      <c r="AK664" s="66"/>
      <c r="AL664" s="66"/>
      <c r="AM664" s="66" t="s">
        <v>2768</v>
      </c>
      <c r="AN664" s="66" t="s">
        <v>2768</v>
      </c>
      <c r="AO664" s="66" t="s">
        <v>2768</v>
      </c>
    </row>
    <row r="665" spans="2:41" x14ac:dyDescent="0.25">
      <c r="B665" s="128" t="s">
        <v>2771</v>
      </c>
      <c r="C665" s="66" t="s">
        <v>3292</v>
      </c>
      <c r="D665" s="79">
        <v>45110.333333333336</v>
      </c>
      <c r="E665" s="44" t="s">
        <v>3898</v>
      </c>
      <c r="F665" s="66">
        <v>20</v>
      </c>
      <c r="G665" s="66" t="s">
        <v>2826</v>
      </c>
      <c r="H665" s="44" t="s">
        <v>2827</v>
      </c>
      <c r="I665" s="299" t="s">
        <v>2823</v>
      </c>
      <c r="J665" s="66">
        <v>6254</v>
      </c>
      <c r="K665" s="66" t="s">
        <v>5305</v>
      </c>
      <c r="L665" s="66">
        <v>107712</v>
      </c>
      <c r="M665" s="66"/>
      <c r="N665" s="66" t="s">
        <v>2156</v>
      </c>
      <c r="O665" s="66" t="s">
        <v>2464</v>
      </c>
      <c r="P665" s="66" t="s">
        <v>2158</v>
      </c>
      <c r="Q665" s="138" t="str">
        <f ca="1">IFERROR(LOOKUP($P665,MOTORISTAS!$D$3:$D$1048576,MOTORISTAS!E$3:E$916),"")</f>
        <v>10485530864</v>
      </c>
      <c r="R665" s="138" t="str">
        <f ca="1">IFERROR(LOOKUP($P665,MOTORISTAS!$D$3:$D$1048576,MOTORISTAS!F$3:F$916),"")</f>
        <v>02033192841</v>
      </c>
      <c r="S665" s="66">
        <v>16599</v>
      </c>
      <c r="T665" s="66" t="s">
        <v>293</v>
      </c>
      <c r="U665" s="79">
        <v>45107.227777777778</v>
      </c>
      <c r="V665" s="66" t="s">
        <v>526</v>
      </c>
      <c r="W665" s="79">
        <v>45110.756249999999</v>
      </c>
      <c r="X665" s="79">
        <v>45110.25</v>
      </c>
      <c r="Y665" s="88">
        <v>45110.510416666664</v>
      </c>
      <c r="Z665" s="81">
        <v>3200</v>
      </c>
      <c r="AA665" s="81"/>
      <c r="AB665" s="81"/>
      <c r="AC665" s="81"/>
      <c r="AD665" s="81"/>
      <c r="AE665" s="81"/>
      <c r="AF665" s="81"/>
      <c r="AG665" s="81">
        <f>Sal_23[[#This Row],[COMPRA]]*12%</f>
        <v>571.48680000000002</v>
      </c>
      <c r="AH665" s="83">
        <v>4762.3900000000003</v>
      </c>
      <c r="AI665" s="66" t="str">
        <f>PROPER(TEXT(Sal_23[[#This Row],[PROGRAMAÇÃO]],"mmm"))</f>
        <v>Jul</v>
      </c>
      <c r="AJ665" s="66">
        <f>YEAR(Sal_23[[#This Row],[PROGRAMAÇÃO]])</f>
        <v>2023</v>
      </c>
      <c r="AK665" s="66"/>
      <c r="AL665" s="66"/>
      <c r="AM665" s="66" t="s">
        <v>2768</v>
      </c>
      <c r="AN665" s="66" t="s">
        <v>2768</v>
      </c>
      <c r="AO665" s="66" t="s">
        <v>2768</v>
      </c>
    </row>
    <row r="666" spans="2:41" x14ac:dyDescent="0.25">
      <c r="B666" s="128" t="s">
        <v>2771</v>
      </c>
      <c r="C666" s="66" t="s">
        <v>3292</v>
      </c>
      <c r="D666" s="79">
        <v>45110.333333333336</v>
      </c>
      <c r="E666" s="44" t="s">
        <v>5283</v>
      </c>
      <c r="F666" s="66">
        <v>20</v>
      </c>
      <c r="G666" s="66" t="s">
        <v>2826</v>
      </c>
      <c r="H666" s="44" t="s">
        <v>2827</v>
      </c>
      <c r="I666" s="299" t="s">
        <v>2823</v>
      </c>
      <c r="J666" s="66">
        <v>6264</v>
      </c>
      <c r="K666" s="66" t="s">
        <v>5305</v>
      </c>
      <c r="L666" s="66">
        <v>107711</v>
      </c>
      <c r="M666" s="66"/>
      <c r="N666" s="66" t="s">
        <v>3040</v>
      </c>
      <c r="O666" s="66" t="s">
        <v>3041</v>
      </c>
      <c r="P666" s="66" t="s">
        <v>5361</v>
      </c>
      <c r="Q666" s="138" t="str">
        <f ca="1">IFERROR(LOOKUP($P666,MOTORISTAS!$D$3:$D$1048576,MOTORISTAS!E$3:E$916),"")</f>
        <v>44273304015</v>
      </c>
      <c r="R666" s="138" t="str">
        <f ca="1">IFERROR(LOOKUP($P666,MOTORISTAS!$D$3:$D$1048576,MOTORISTAS!F$3:F$916),"")</f>
        <v>02305732263</v>
      </c>
      <c r="S666" s="66">
        <v>16600</v>
      </c>
      <c r="T666" s="66" t="s">
        <v>293</v>
      </c>
      <c r="U666" s="79">
        <v>45110.018750000003</v>
      </c>
      <c r="V666" s="66" t="s">
        <v>292</v>
      </c>
      <c r="W666" s="79">
        <v>45110.638194444444</v>
      </c>
      <c r="X666" s="79">
        <v>45110.1875</v>
      </c>
      <c r="Y666" s="88">
        <v>45110.413194444445</v>
      </c>
      <c r="Z666" s="81">
        <v>3200</v>
      </c>
      <c r="AA666" s="81"/>
      <c r="AB666" s="81"/>
      <c r="AC666" s="81"/>
      <c r="AD666" s="81"/>
      <c r="AE666" s="81"/>
      <c r="AF666" s="81"/>
      <c r="AG666" s="81">
        <f>Sal_23[[#This Row],[COMPRA]]*12%</f>
        <v>571.48680000000002</v>
      </c>
      <c r="AH666" s="83">
        <v>4762.3900000000003</v>
      </c>
      <c r="AI666" s="66" t="str">
        <f>PROPER(TEXT(Sal_23[[#This Row],[PROGRAMAÇÃO]],"mmm"))</f>
        <v>Jul</v>
      </c>
      <c r="AJ666" s="66">
        <f>YEAR(Sal_23[[#This Row],[PROGRAMAÇÃO]])</f>
        <v>2023</v>
      </c>
      <c r="AK666" s="66"/>
      <c r="AL666" s="66"/>
      <c r="AM666" s="66" t="s">
        <v>2768</v>
      </c>
      <c r="AN666" s="66" t="s">
        <v>2768</v>
      </c>
      <c r="AO666" s="66" t="s">
        <v>2768</v>
      </c>
    </row>
    <row r="667" spans="2:41" x14ac:dyDescent="0.25">
      <c r="B667" s="128" t="s">
        <v>2771</v>
      </c>
      <c r="C667" s="66" t="s">
        <v>3292</v>
      </c>
      <c r="D667" s="79">
        <v>45110.333333333336</v>
      </c>
      <c r="E667" s="44" t="s">
        <v>5292</v>
      </c>
      <c r="F667" s="66">
        <v>40</v>
      </c>
      <c r="G667" s="66" t="s">
        <v>2826</v>
      </c>
      <c r="H667" s="44" t="s">
        <v>2835</v>
      </c>
      <c r="I667" s="299" t="s">
        <v>2822</v>
      </c>
      <c r="J667" s="66">
        <v>6262</v>
      </c>
      <c r="K667" s="66" t="s">
        <v>5305</v>
      </c>
      <c r="L667" s="66">
        <v>107636</v>
      </c>
      <c r="M667" s="66"/>
      <c r="N667" s="66" t="s">
        <v>2859</v>
      </c>
      <c r="O667" s="66" t="s">
        <v>2860</v>
      </c>
      <c r="P667" s="66" t="s">
        <v>2861</v>
      </c>
      <c r="Q667" s="138" t="str">
        <f ca="1">IFERROR(LOOKUP($P667,MOTORISTAS!$D$3:$D$1048576,MOTORISTAS!E$3:E$916),"")</f>
        <v>01817591878</v>
      </c>
      <c r="R667" s="138" t="str">
        <f ca="1">IFERROR(LOOKUP($P667,MOTORISTAS!$D$3:$D$1048576,MOTORISTAS!F$3:F$916),"")</f>
        <v>00821760640</v>
      </c>
      <c r="S667" s="66">
        <v>16607</v>
      </c>
      <c r="T667" s="66" t="s">
        <v>293</v>
      </c>
      <c r="U667" s="79">
        <v>45109.993055555555</v>
      </c>
      <c r="V667" s="66" t="s">
        <v>292</v>
      </c>
      <c r="W667" s="79">
        <v>45110.000011574077</v>
      </c>
      <c r="X667" s="79">
        <v>45110.125</v>
      </c>
      <c r="Y667" s="88">
        <v>45110.402777777781</v>
      </c>
      <c r="Z667" s="81">
        <v>2100</v>
      </c>
      <c r="AA667" s="81"/>
      <c r="AB667" s="81"/>
      <c r="AC667" s="81"/>
      <c r="AD667" s="81"/>
      <c r="AE667" s="81"/>
      <c r="AF667" s="81"/>
      <c r="AG667" s="81">
        <f>Sal_23[[#This Row],[COMPRA]]*12%</f>
        <v>370.37759999999997</v>
      </c>
      <c r="AH667" s="83">
        <v>3086.48</v>
      </c>
      <c r="AI667" s="66" t="str">
        <f>PROPER(TEXT(Sal_23[[#This Row],[PROGRAMAÇÃO]],"mmm"))</f>
        <v>Jul</v>
      </c>
      <c r="AJ667" s="66">
        <f>YEAR(Sal_23[[#This Row],[PROGRAMAÇÃO]])</f>
        <v>2023</v>
      </c>
      <c r="AK667" s="66"/>
      <c r="AL667" s="66"/>
      <c r="AM667" s="66" t="s">
        <v>2768</v>
      </c>
      <c r="AN667" s="66" t="s">
        <v>2768</v>
      </c>
      <c r="AO667" s="66" t="s">
        <v>2768</v>
      </c>
    </row>
    <row r="668" spans="2:41" x14ac:dyDescent="0.25">
      <c r="B668" s="128" t="s">
        <v>2771</v>
      </c>
      <c r="C668" s="66" t="s">
        <v>3292</v>
      </c>
      <c r="D668" s="79">
        <v>45110.333333333336</v>
      </c>
      <c r="E668" s="44" t="s">
        <v>5290</v>
      </c>
      <c r="F668" s="66">
        <v>40</v>
      </c>
      <c r="G668" s="66" t="s">
        <v>2826</v>
      </c>
      <c r="H668" s="44" t="s">
        <v>3195</v>
      </c>
      <c r="I668" s="299" t="s">
        <v>2830</v>
      </c>
      <c r="J668" s="66">
        <v>6248</v>
      </c>
      <c r="K668" s="66" t="s">
        <v>5305</v>
      </c>
      <c r="L668" s="66">
        <v>107713</v>
      </c>
      <c r="M668" s="66"/>
      <c r="N668" s="66" t="s">
        <v>102</v>
      </c>
      <c r="O668" s="66" t="s">
        <v>73</v>
      </c>
      <c r="P668" s="66" t="s">
        <v>203</v>
      </c>
      <c r="Q668" s="138" t="str">
        <f ca="1">IFERROR(LOOKUP($P668,MOTORISTAS!$D$3:$D$1048576,MOTORISTAS!E$3:E$916),"")</f>
        <v>10395859816</v>
      </c>
      <c r="R668" s="138" t="str">
        <f ca="1">IFERROR(LOOKUP($P668,MOTORISTAS!$D$3:$D$1048576,MOTORISTAS!F$3:F$916),"")</f>
        <v>01965794851</v>
      </c>
      <c r="S668" s="66">
        <v>16604</v>
      </c>
      <c r="T668" s="66" t="s">
        <v>293</v>
      </c>
      <c r="U668" s="79">
        <v>45110.27847222222</v>
      </c>
      <c r="V668" s="66" t="s">
        <v>292</v>
      </c>
      <c r="W668" s="79">
        <v>45110.000694444447</v>
      </c>
      <c r="X668" s="79">
        <v>45110.388888888891</v>
      </c>
      <c r="Y668" s="88">
        <v>45110.448611111111</v>
      </c>
      <c r="Z668" s="81">
        <v>2300</v>
      </c>
      <c r="AA668" s="81"/>
      <c r="AB668" s="81"/>
      <c r="AC668" s="81">
        <v>700</v>
      </c>
      <c r="AD668" s="81"/>
      <c r="AE668" s="81"/>
      <c r="AF668" s="81"/>
      <c r="AG668" s="81">
        <f>Sal_23[[#This Row],[COMPRA]]*12%</f>
        <v>392.15039999999999</v>
      </c>
      <c r="AH668" s="83">
        <v>3267.92</v>
      </c>
      <c r="AI668" s="66" t="str">
        <f>PROPER(TEXT(Sal_23[[#This Row],[PROGRAMAÇÃO]],"mmm"))</f>
        <v>Jul</v>
      </c>
      <c r="AJ668" s="66">
        <f>YEAR(Sal_23[[#This Row],[PROGRAMAÇÃO]])</f>
        <v>2023</v>
      </c>
      <c r="AK668" s="66"/>
      <c r="AL668" s="66"/>
      <c r="AM668" s="66" t="s">
        <v>2768</v>
      </c>
      <c r="AN668" s="66" t="s">
        <v>2768</v>
      </c>
      <c r="AO668" s="66" t="s">
        <v>2768</v>
      </c>
    </row>
    <row r="669" spans="2:41" x14ac:dyDescent="0.25">
      <c r="B669" s="128" t="s">
        <v>2771</v>
      </c>
      <c r="C669" s="66" t="s">
        <v>3292</v>
      </c>
      <c r="D669" s="79">
        <v>45110.333333333336</v>
      </c>
      <c r="E669" s="44" t="s">
        <v>5295</v>
      </c>
      <c r="F669" s="66">
        <v>40</v>
      </c>
      <c r="G669" s="66" t="s">
        <v>2826</v>
      </c>
      <c r="H669" s="44" t="s">
        <v>4395</v>
      </c>
      <c r="I669" s="299" t="s">
        <v>3072</v>
      </c>
      <c r="J669" s="66">
        <v>6349</v>
      </c>
      <c r="K669" s="66" t="s">
        <v>5305</v>
      </c>
      <c r="L669" s="66">
        <v>107813</v>
      </c>
      <c r="M669" s="66"/>
      <c r="N669" s="66" t="s">
        <v>68</v>
      </c>
      <c r="O669" s="66" t="s">
        <v>36</v>
      </c>
      <c r="P669" s="66" t="s">
        <v>206</v>
      </c>
      <c r="Q669" s="138" t="str">
        <f ca="1">IFERROR(LOOKUP($P669,MOTORISTAS!$D$3:$D$1048576,MOTORISTAS!E$3:E$916),"")</f>
        <v>09085263425</v>
      </c>
      <c r="R669" s="138" t="str">
        <f ca="1">IFERROR(LOOKUP($P669,MOTORISTAS!$D$3:$D$1048576,MOTORISTAS!F$3:F$916),"")</f>
        <v>04557705505</v>
      </c>
      <c r="S669" s="66">
        <v>16605</v>
      </c>
      <c r="T669" s="66" t="s">
        <v>293</v>
      </c>
      <c r="U669" s="79">
        <v>45110.270138888889</v>
      </c>
      <c r="V669" s="66" t="s">
        <v>292</v>
      </c>
      <c r="W669" s="79">
        <v>45110.000694444447</v>
      </c>
      <c r="X669" s="79">
        <v>45110.379861111112</v>
      </c>
      <c r="Y669" s="88">
        <v>45110.53125</v>
      </c>
      <c r="Z669" s="81"/>
      <c r="AA669" s="81"/>
      <c r="AB669" s="81"/>
      <c r="AC669" s="81"/>
      <c r="AD669" s="81"/>
      <c r="AE669" s="81"/>
      <c r="AF669" s="81"/>
      <c r="AG669" s="81">
        <f>Sal_23[[#This Row],[COMPRA]]*12%</f>
        <v>381.34559999999999</v>
      </c>
      <c r="AH669" s="83">
        <v>3177.88</v>
      </c>
      <c r="AI669" s="66" t="str">
        <f>PROPER(TEXT(Sal_23[[#This Row],[PROGRAMAÇÃO]],"mmm"))</f>
        <v>Jul</v>
      </c>
      <c r="AJ669" s="66">
        <f>YEAR(Sal_23[[#This Row],[PROGRAMAÇÃO]])</f>
        <v>2023</v>
      </c>
      <c r="AK669" s="66"/>
      <c r="AL669" s="66"/>
      <c r="AM669" s="66" t="s">
        <v>2768</v>
      </c>
      <c r="AN669" s="66" t="s">
        <v>2768</v>
      </c>
      <c r="AO669" s="66" t="s">
        <v>2768</v>
      </c>
    </row>
    <row r="670" spans="2:41" x14ac:dyDescent="0.25">
      <c r="B670" s="128" t="s">
        <v>2771</v>
      </c>
      <c r="C670" s="66" t="s">
        <v>3292</v>
      </c>
      <c r="D670" s="79">
        <v>45110.333333333336</v>
      </c>
      <c r="E670" s="44" t="s">
        <v>5301</v>
      </c>
      <c r="F670" s="66">
        <v>40</v>
      </c>
      <c r="G670" s="66" t="s">
        <v>2826</v>
      </c>
      <c r="H670" s="44" t="s">
        <v>1674</v>
      </c>
      <c r="I670" s="299" t="s">
        <v>2829</v>
      </c>
      <c r="J670" s="66">
        <v>6321</v>
      </c>
      <c r="K670" s="66" t="s">
        <v>5305</v>
      </c>
      <c r="L670" s="66">
        <v>107759</v>
      </c>
      <c r="M670" s="66">
        <v>107760</v>
      </c>
      <c r="N670" s="66" t="s">
        <v>210</v>
      </c>
      <c r="O670" s="66" t="s">
        <v>211</v>
      </c>
      <c r="P670" s="66" t="s">
        <v>212</v>
      </c>
      <c r="Q670" s="138" t="str">
        <f ca="1">IFERROR(LOOKUP($P670,MOTORISTAS!$D$3:$D$1048576,MOTORISTAS!E$3:E$916),"")</f>
        <v>38029906846</v>
      </c>
      <c r="R670" s="138" t="str">
        <f ca="1">IFERROR(LOOKUP($P670,MOTORISTAS!$D$3:$D$1048576,MOTORISTAS!F$3:F$916),"")</f>
        <v>04946846842</v>
      </c>
      <c r="S670" s="66">
        <v>16602</v>
      </c>
      <c r="T670" s="66" t="s">
        <v>293</v>
      </c>
      <c r="U670" s="79">
        <v>45110.285416666666</v>
      </c>
      <c r="V670" s="66" t="s">
        <v>526</v>
      </c>
      <c r="W670" s="79">
        <v>45111.544444444444</v>
      </c>
      <c r="X670" s="79">
        <v>45110.517361111109</v>
      </c>
      <c r="Y670" s="88">
        <v>45110.583333333336</v>
      </c>
      <c r="Z670" s="81">
        <v>3400</v>
      </c>
      <c r="AA670" s="81"/>
      <c r="AB670" s="81"/>
      <c r="AC670" s="81"/>
      <c r="AD670" s="81"/>
      <c r="AE670" s="81"/>
      <c r="AF670" s="81"/>
      <c r="AG670" s="81">
        <f>Sal_23[[#This Row],[COMPRA]]*12%</f>
        <v>558.28319999999997</v>
      </c>
      <c r="AH670" s="83">
        <v>4652.3599999999997</v>
      </c>
      <c r="AI670" s="66" t="str">
        <f>PROPER(TEXT(Sal_23[[#This Row],[PROGRAMAÇÃO]],"mmm"))</f>
        <v>Jul</v>
      </c>
      <c r="AJ670" s="66">
        <f>YEAR(Sal_23[[#This Row],[PROGRAMAÇÃO]])</f>
        <v>2023</v>
      </c>
      <c r="AK670" s="66"/>
      <c r="AL670" s="66"/>
      <c r="AM670" s="66" t="s">
        <v>2768</v>
      </c>
      <c r="AN670" s="66" t="s">
        <v>2768</v>
      </c>
      <c r="AO670" s="66" t="s">
        <v>2768</v>
      </c>
    </row>
    <row r="671" spans="2:41" x14ac:dyDescent="0.25">
      <c r="B671" s="128" t="s">
        <v>2771</v>
      </c>
      <c r="C671" s="66" t="s">
        <v>3292</v>
      </c>
      <c r="D671" s="79">
        <v>45110.333333333336</v>
      </c>
      <c r="E671" s="44" t="s">
        <v>5302</v>
      </c>
      <c r="F671" s="66">
        <v>40</v>
      </c>
      <c r="G671" s="66" t="s">
        <v>2826</v>
      </c>
      <c r="H671" s="44" t="s">
        <v>1674</v>
      </c>
      <c r="I671" s="299" t="s">
        <v>2829</v>
      </c>
      <c r="J671" s="66">
        <v>6328</v>
      </c>
      <c r="K671" s="66" t="s">
        <v>5305</v>
      </c>
      <c r="L671" s="66">
        <v>107764</v>
      </c>
      <c r="M671" s="66">
        <v>107767</v>
      </c>
      <c r="N671" s="66" t="s">
        <v>87</v>
      </c>
      <c r="O671" s="66" t="s">
        <v>88</v>
      </c>
      <c r="P671" s="66" t="s">
        <v>89</v>
      </c>
      <c r="Q671" s="138" t="str">
        <f ca="1">IFERROR(LOOKUP($P671,MOTORISTAS!$D$3:$D$1048576,MOTORISTAS!E$3:E$916),"")</f>
        <v>00097734527</v>
      </c>
      <c r="R671" s="138" t="str">
        <f ca="1">IFERROR(LOOKUP($P671,MOTORISTAS!$D$3:$D$1048576,MOTORISTAS!F$3:F$916),"")</f>
        <v>03148346870</v>
      </c>
      <c r="S671" s="66">
        <v>16608</v>
      </c>
      <c r="T671" s="66" t="s">
        <v>293</v>
      </c>
      <c r="U671" s="79">
        <v>45110.329861111109</v>
      </c>
      <c r="V671" s="66" t="s">
        <v>526</v>
      </c>
      <c r="W671" s="79">
        <v>45110.87777777778</v>
      </c>
      <c r="X671" s="79">
        <v>45110.299305555556</v>
      </c>
      <c r="Y671" s="88">
        <v>45110.583333333336</v>
      </c>
      <c r="Z671" s="81">
        <v>3400</v>
      </c>
      <c r="AA671" s="81"/>
      <c r="AB671" s="81"/>
      <c r="AC671" s="81"/>
      <c r="AD671" s="81"/>
      <c r="AE671" s="81"/>
      <c r="AF671" s="81"/>
      <c r="AG671" s="81">
        <f>Sal_23[[#This Row],[COMPRA]]*12%</f>
        <v>558.28319999999997</v>
      </c>
      <c r="AH671" s="83">
        <v>4652.3599999999997</v>
      </c>
      <c r="AI671" s="66" t="str">
        <f>PROPER(TEXT(Sal_23[[#This Row],[PROGRAMAÇÃO]],"mmm"))</f>
        <v>Jul</v>
      </c>
      <c r="AJ671" s="66">
        <f>YEAR(Sal_23[[#This Row],[PROGRAMAÇÃO]])</f>
        <v>2023</v>
      </c>
      <c r="AK671" s="66"/>
      <c r="AL671" s="66"/>
      <c r="AM671" s="66" t="s">
        <v>2768</v>
      </c>
      <c r="AN671" s="66" t="s">
        <v>2768</v>
      </c>
      <c r="AO671" s="66" t="s">
        <v>2768</v>
      </c>
    </row>
    <row r="672" spans="2:41" x14ac:dyDescent="0.25">
      <c r="B672" s="128" t="s">
        <v>2771</v>
      </c>
      <c r="C672" s="66" t="s">
        <v>3292</v>
      </c>
      <c r="D672" s="79">
        <v>45110.333333333336</v>
      </c>
      <c r="E672" s="44" t="s">
        <v>5303</v>
      </c>
      <c r="F672" s="66">
        <v>40</v>
      </c>
      <c r="G672" s="66" t="s">
        <v>2826</v>
      </c>
      <c r="H672" s="44" t="s">
        <v>1674</v>
      </c>
      <c r="I672" s="299" t="s">
        <v>2829</v>
      </c>
      <c r="J672" s="66">
        <v>6341</v>
      </c>
      <c r="K672" s="66" t="s">
        <v>5305</v>
      </c>
      <c r="L672" s="66">
        <v>107765</v>
      </c>
      <c r="M672" s="66">
        <v>107768</v>
      </c>
      <c r="N672" s="66" t="s">
        <v>178</v>
      </c>
      <c r="O672" s="66" t="s">
        <v>112</v>
      </c>
      <c r="P672" s="66" t="s">
        <v>180</v>
      </c>
      <c r="Q672" s="138" t="str">
        <f ca="1">IFERROR(LOOKUP($P672,MOTORISTAS!$D$3:$D$1048576,MOTORISTAS!E$3:E$916),"")</f>
        <v>18990500869</v>
      </c>
      <c r="R672" s="138" t="str">
        <f ca="1">IFERROR(LOOKUP($P672,MOTORISTAS!$D$3:$D$1048576,MOTORISTAS!F$3:F$916),"")</f>
        <v>04640435232</v>
      </c>
      <c r="S672" s="66">
        <v>16609</v>
      </c>
      <c r="T672" s="66" t="s">
        <v>293</v>
      </c>
      <c r="U672" s="79">
        <v>45110.26666666667</v>
      </c>
      <c r="V672" s="66" t="s">
        <v>292</v>
      </c>
      <c r="W672" s="79">
        <v>45111.659722222219</v>
      </c>
      <c r="X672" s="79">
        <v>45110.407638888886</v>
      </c>
      <c r="Y672" s="88">
        <v>45110.597916666666</v>
      </c>
      <c r="Z672" s="81">
        <v>3400</v>
      </c>
      <c r="AA672" s="81"/>
      <c r="AB672" s="81"/>
      <c r="AC672" s="81"/>
      <c r="AD672" s="81"/>
      <c r="AE672" s="81"/>
      <c r="AF672" s="81"/>
      <c r="AG672" s="81">
        <f>Sal_23[[#This Row],[COMPRA]]*12%</f>
        <v>558.28319999999997</v>
      </c>
      <c r="AH672" s="83">
        <v>4652.3599999999997</v>
      </c>
      <c r="AI672" s="66" t="str">
        <f>PROPER(TEXT(Sal_23[[#This Row],[PROGRAMAÇÃO]],"mmm"))</f>
        <v>Jul</v>
      </c>
      <c r="AJ672" s="66">
        <f>YEAR(Sal_23[[#This Row],[PROGRAMAÇÃO]])</f>
        <v>2023</v>
      </c>
      <c r="AK672" s="66"/>
      <c r="AL672" s="66"/>
      <c r="AM672" s="66" t="s">
        <v>2768</v>
      </c>
      <c r="AN672" s="66" t="s">
        <v>2768</v>
      </c>
      <c r="AO672" s="66" t="s">
        <v>2768</v>
      </c>
    </row>
    <row r="673" spans="2:41" x14ac:dyDescent="0.25">
      <c r="B673" s="128" t="s">
        <v>2771</v>
      </c>
      <c r="C673" s="66" t="s">
        <v>3292</v>
      </c>
      <c r="D673" s="79">
        <v>45110.333333333336</v>
      </c>
      <c r="E673" s="44" t="s">
        <v>5304</v>
      </c>
      <c r="F673" s="66">
        <v>40</v>
      </c>
      <c r="G673" s="66" t="s">
        <v>2826</v>
      </c>
      <c r="H673" s="44" t="s">
        <v>1674</v>
      </c>
      <c r="I673" s="299" t="s">
        <v>2829</v>
      </c>
      <c r="J673" s="66">
        <v>6347</v>
      </c>
      <c r="K673" s="66" t="s">
        <v>5305</v>
      </c>
      <c r="L673" s="66">
        <v>107809</v>
      </c>
      <c r="M673" s="66">
        <v>107810</v>
      </c>
      <c r="N673" s="66" t="s">
        <v>150</v>
      </c>
      <c r="O673" s="66" t="s">
        <v>151</v>
      </c>
      <c r="P673" s="66" t="s">
        <v>4901</v>
      </c>
      <c r="Q673" s="138" t="str">
        <f ca="1">IFERROR(LOOKUP($P673,MOTORISTAS!$D$3:$D$1048576,MOTORISTAS!E$3:E$916),"")</f>
        <v>25538214842</v>
      </c>
      <c r="R673" s="138" t="str">
        <f ca="1">IFERROR(LOOKUP($P673,MOTORISTAS!$D$3:$D$1048576,MOTORISTAS!F$3:F$916),"")</f>
        <v>01845110101</v>
      </c>
      <c r="S673" s="66">
        <v>16603</v>
      </c>
      <c r="T673" s="66" t="s">
        <v>293</v>
      </c>
      <c r="U673" s="79">
        <v>45110.26666666667</v>
      </c>
      <c r="V673" s="66" t="s">
        <v>526</v>
      </c>
      <c r="W673" s="79">
        <v>45110.724305555559</v>
      </c>
      <c r="X673" s="79">
        <v>45110.199305555558</v>
      </c>
      <c r="Y673" s="88">
        <v>45110.418749999997</v>
      </c>
      <c r="Z673" s="81">
        <v>3400</v>
      </c>
      <c r="AA673" s="81"/>
      <c r="AB673" s="81"/>
      <c r="AC673" s="81"/>
      <c r="AD673" s="81"/>
      <c r="AE673" s="81"/>
      <c r="AF673" s="81"/>
      <c r="AG673" s="81">
        <f>Sal_23[[#This Row],[COMPRA]]*12%</f>
        <v>558.28319999999997</v>
      </c>
      <c r="AH673" s="83">
        <v>4652.3599999999997</v>
      </c>
      <c r="AI673" s="66" t="str">
        <f>PROPER(TEXT(Sal_23[[#This Row],[PROGRAMAÇÃO]],"mmm"))</f>
        <v>Jul</v>
      </c>
      <c r="AJ673" s="66">
        <f>YEAR(Sal_23[[#This Row],[PROGRAMAÇÃO]])</f>
        <v>2023</v>
      </c>
      <c r="AK673" s="66"/>
      <c r="AL673" s="66"/>
      <c r="AM673" s="66" t="s">
        <v>2768</v>
      </c>
      <c r="AN673" s="66" t="s">
        <v>2768</v>
      </c>
      <c r="AO673" s="66" t="s">
        <v>2768</v>
      </c>
    </row>
    <row r="674" spans="2:41" x14ac:dyDescent="0.25">
      <c r="B674" s="128" t="s">
        <v>2771</v>
      </c>
      <c r="C674" s="66" t="s">
        <v>3292</v>
      </c>
      <c r="D674" s="79">
        <v>45111.333333333336</v>
      </c>
      <c r="E674" s="44" t="s">
        <v>5285</v>
      </c>
      <c r="F674" s="66">
        <v>20</v>
      </c>
      <c r="G674" s="66" t="s">
        <v>2826</v>
      </c>
      <c r="H674" s="44" t="s">
        <v>3082</v>
      </c>
      <c r="I674" s="299" t="s">
        <v>3083</v>
      </c>
      <c r="J674" s="66">
        <v>6343</v>
      </c>
      <c r="K674" s="66" t="s">
        <v>5305</v>
      </c>
      <c r="L674" s="66">
        <v>107763</v>
      </c>
      <c r="M674" s="66"/>
      <c r="N674" s="66" t="s">
        <v>2498</v>
      </c>
      <c r="O674" s="66" t="s">
        <v>3274</v>
      </c>
      <c r="P674" s="66" t="s">
        <v>2500</v>
      </c>
      <c r="Q674" s="138" t="str">
        <f ca="1">IFERROR(LOOKUP($P674,MOTORISTAS!$D$3:$D$1048576,MOTORISTAS!E$3:E$916),"")</f>
        <v>10838670830</v>
      </c>
      <c r="R674" s="138" t="str">
        <f ca="1">IFERROR(LOOKUP($P674,MOTORISTAS!$D$3:$D$1048576,MOTORISTAS!F$3:F$916),"")</f>
        <v>01808675938</v>
      </c>
      <c r="S674" s="66">
        <v>16628</v>
      </c>
      <c r="T674" s="66" t="s">
        <v>293</v>
      </c>
      <c r="U674" s="79">
        <v>45110.887499999997</v>
      </c>
      <c r="V674" s="66" t="s">
        <v>526</v>
      </c>
      <c r="W674" s="79">
        <v>45120.1875</v>
      </c>
      <c r="X674" s="79">
        <v>45111.236111111109</v>
      </c>
      <c r="Y674" s="88">
        <v>45111.670138888891</v>
      </c>
      <c r="Z674" s="81">
        <v>2000</v>
      </c>
      <c r="AA674" s="81"/>
      <c r="AB674" s="81"/>
      <c r="AC674" s="81"/>
      <c r="AD674" s="81"/>
      <c r="AE674" s="81"/>
      <c r="AF674" s="81"/>
      <c r="AG674" s="81">
        <f>Sal_23[[#This Row],[COMPRA]]*12%</f>
        <v>355.75319999999999</v>
      </c>
      <c r="AH674" s="83">
        <v>2964.61</v>
      </c>
      <c r="AI674" s="66" t="str">
        <f>PROPER(TEXT(Sal_23[[#This Row],[PROGRAMAÇÃO]],"mmm"))</f>
        <v>Jul</v>
      </c>
      <c r="AJ674" s="66">
        <f>YEAR(Sal_23[[#This Row],[PROGRAMAÇÃO]])</f>
        <v>2023</v>
      </c>
      <c r="AK674" s="66"/>
      <c r="AL674" s="66"/>
      <c r="AM674" s="66" t="s">
        <v>2768</v>
      </c>
      <c r="AN674" s="66" t="s">
        <v>2768</v>
      </c>
      <c r="AO674" s="66" t="s">
        <v>2768</v>
      </c>
    </row>
    <row r="675" spans="2:41" x14ac:dyDescent="0.25">
      <c r="B675" s="128" t="s">
        <v>2771</v>
      </c>
      <c r="C675" s="66" t="s">
        <v>3292</v>
      </c>
      <c r="D675" s="79">
        <v>45111.333333333336</v>
      </c>
      <c r="E675" s="44" t="s">
        <v>5288</v>
      </c>
      <c r="F675" s="66">
        <v>20</v>
      </c>
      <c r="G675" s="66" t="s">
        <v>2837</v>
      </c>
      <c r="H675" s="44" t="s">
        <v>2837</v>
      </c>
      <c r="I675" s="299" t="s">
        <v>2821</v>
      </c>
      <c r="J675" s="66">
        <v>6346</v>
      </c>
      <c r="K675" s="66" t="s">
        <v>5305</v>
      </c>
      <c r="L675" s="66">
        <v>107804</v>
      </c>
      <c r="M675" s="66"/>
      <c r="N675" s="66" t="s">
        <v>2260</v>
      </c>
      <c r="O675" s="66" t="s">
        <v>4572</v>
      </c>
      <c r="P675" s="66" t="s">
        <v>4573</v>
      </c>
      <c r="Q675" s="138" t="str">
        <f ca="1">IFERROR(LOOKUP($P675,MOTORISTAS!$D$3:$D$1048576,MOTORISTAS!E$3:E$916),"")</f>
        <v>09221836860</v>
      </c>
      <c r="R675" s="138" t="str">
        <f ca="1">IFERROR(LOOKUP($P675,MOTORISTAS!$D$3:$D$1048576,MOTORISTAS!F$3:F$916),"")</f>
        <v>01994346710</v>
      </c>
      <c r="S675" s="66">
        <v>16627</v>
      </c>
      <c r="T675" s="66" t="s">
        <v>293</v>
      </c>
      <c r="U675" s="79">
        <v>45110.884722222225</v>
      </c>
      <c r="V675" s="66" t="s">
        <v>292</v>
      </c>
      <c r="W675" s="79">
        <v>45111.000694444447</v>
      </c>
      <c r="X675" s="79">
        <v>45111.041666666664</v>
      </c>
      <c r="Y675" s="88">
        <v>45111.4375</v>
      </c>
      <c r="Z675" s="81">
        <v>1600</v>
      </c>
      <c r="AA675" s="81"/>
      <c r="AB675" s="81"/>
      <c r="AC675" s="81"/>
      <c r="AD675" s="81"/>
      <c r="AE675" s="81"/>
      <c r="AF675" s="81"/>
      <c r="AG675" s="81">
        <f>Sal_23[[#This Row],[COMPRA]]*12%</f>
        <v>311.55959999999999</v>
      </c>
      <c r="AH675" s="83">
        <v>2596.33</v>
      </c>
      <c r="AI675" s="66" t="str">
        <f>PROPER(TEXT(Sal_23[[#This Row],[PROGRAMAÇÃO]],"mmm"))</f>
        <v>Jul</v>
      </c>
      <c r="AJ675" s="66">
        <f>YEAR(Sal_23[[#This Row],[PROGRAMAÇÃO]])</f>
        <v>2023</v>
      </c>
      <c r="AK675" s="66"/>
      <c r="AL675" s="66"/>
      <c r="AM675" s="66" t="s">
        <v>2768</v>
      </c>
      <c r="AN675" s="66" t="s">
        <v>2768</v>
      </c>
      <c r="AO675" s="66" t="s">
        <v>2768</v>
      </c>
    </row>
    <row r="676" spans="2:41" x14ac:dyDescent="0.25">
      <c r="B676" s="128" t="s">
        <v>2771</v>
      </c>
      <c r="C676" s="66" t="s">
        <v>3292</v>
      </c>
      <c r="D676" s="79">
        <v>45111.333333333336</v>
      </c>
      <c r="E676" s="44" t="s">
        <v>5291</v>
      </c>
      <c r="F676" s="66">
        <v>40</v>
      </c>
      <c r="G676" s="66" t="s">
        <v>2826</v>
      </c>
      <c r="H676" s="44" t="s">
        <v>3441</v>
      </c>
      <c r="I676" s="299" t="s">
        <v>5282</v>
      </c>
      <c r="J676" s="66">
        <v>6348</v>
      </c>
      <c r="K676" s="66" t="s">
        <v>5305</v>
      </c>
      <c r="L676" s="66">
        <v>107807</v>
      </c>
      <c r="M676" s="66">
        <v>107808</v>
      </c>
      <c r="N676" s="66" t="s">
        <v>1661</v>
      </c>
      <c r="O676" s="66" t="s">
        <v>5134</v>
      </c>
      <c r="P676" s="66" t="s">
        <v>1663</v>
      </c>
      <c r="Q676" s="138" t="str">
        <f ca="1">IFERROR(LOOKUP($P676,MOTORISTAS!$D$3:$D$1048576,MOTORISTAS!E$3:E$916),"")</f>
        <v>73350419887</v>
      </c>
      <c r="R676" s="138" t="str">
        <f ca="1">IFERROR(LOOKUP($P676,MOTORISTAS!$D$3:$D$1048576,MOTORISTAS!F$3:F$916),"")</f>
        <v>01449022605</v>
      </c>
      <c r="S676" s="66" t="s">
        <v>5373</v>
      </c>
      <c r="T676" s="66" t="s">
        <v>293</v>
      </c>
      <c r="U676" s="79">
        <v>45110.868055555555</v>
      </c>
      <c r="V676" s="66" t="s">
        <v>292</v>
      </c>
      <c r="W676" s="79">
        <v>45111.594444444447</v>
      </c>
      <c r="X676" s="79">
        <v>45111.319444444445</v>
      </c>
      <c r="Y676" s="88">
        <v>45111.545138888891</v>
      </c>
      <c r="Z676" s="81"/>
      <c r="AA676" s="81"/>
      <c r="AB676" s="81"/>
      <c r="AC676" s="81">
        <v>500</v>
      </c>
      <c r="AD676" s="81"/>
      <c r="AE676" s="81"/>
      <c r="AF676" s="81"/>
      <c r="AG676" s="81">
        <f>Sal_23[[#This Row],[COMPRA]]*12%</f>
        <v>449.87399999999997</v>
      </c>
      <c r="AH676" s="83">
        <v>3748.95</v>
      </c>
      <c r="AI676" s="66" t="str">
        <f>PROPER(TEXT(Sal_23[[#This Row],[PROGRAMAÇÃO]],"mmm"))</f>
        <v>Jul</v>
      </c>
      <c r="AJ676" s="66">
        <f>YEAR(Sal_23[[#This Row],[PROGRAMAÇÃO]])</f>
        <v>2023</v>
      </c>
      <c r="AK676" s="66"/>
      <c r="AL676" s="66"/>
      <c r="AM676" s="66" t="s">
        <v>2768</v>
      </c>
      <c r="AN676" s="66" t="s">
        <v>2768</v>
      </c>
      <c r="AO676" s="66" t="s">
        <v>2768</v>
      </c>
    </row>
    <row r="677" spans="2:41" x14ac:dyDescent="0.25">
      <c r="B677" s="128" t="s">
        <v>2771</v>
      </c>
      <c r="C677" s="66" t="s">
        <v>3292</v>
      </c>
      <c r="D677" s="79">
        <v>45111.333333333336</v>
      </c>
      <c r="E677" s="44" t="s">
        <v>5293</v>
      </c>
      <c r="F677" s="66">
        <v>40</v>
      </c>
      <c r="G677" s="66" t="s">
        <v>2826</v>
      </c>
      <c r="H677" s="44" t="s">
        <v>2835</v>
      </c>
      <c r="I677" s="299" t="s">
        <v>2822</v>
      </c>
      <c r="J677" s="66">
        <v>6255</v>
      </c>
      <c r="K677" s="66" t="s">
        <v>5305</v>
      </c>
      <c r="L677" s="66">
        <v>107677</v>
      </c>
      <c r="M677" s="66"/>
      <c r="N677" s="66" t="s">
        <v>2859</v>
      </c>
      <c r="O677" s="66" t="s">
        <v>4701</v>
      </c>
      <c r="P677" s="66" t="s">
        <v>2861</v>
      </c>
      <c r="Q677" s="138" t="str">
        <f ca="1">IFERROR(LOOKUP($P677,MOTORISTAS!$D$3:$D$1048576,MOTORISTAS!E$3:E$916),"")</f>
        <v>01817591878</v>
      </c>
      <c r="R677" s="138" t="str">
        <f ca="1">IFERROR(LOOKUP($P677,MOTORISTAS!$D$3:$D$1048576,MOTORISTAS!F$3:F$916),"")</f>
        <v>00821760640</v>
      </c>
      <c r="S677" s="66">
        <v>16630</v>
      </c>
      <c r="T677" s="66" t="s">
        <v>293</v>
      </c>
      <c r="U677" s="79">
        <v>45110.856944444444</v>
      </c>
      <c r="V677" s="66" t="s">
        <v>292</v>
      </c>
      <c r="W677" s="79">
        <v>45111.540277777778</v>
      </c>
      <c r="X677" s="79">
        <v>45111.000694444447</v>
      </c>
      <c r="Y677" s="88">
        <v>45111.420138888891</v>
      </c>
      <c r="Z677" s="81">
        <v>2100</v>
      </c>
      <c r="AA677" s="81"/>
      <c r="AB677" s="81"/>
      <c r="AC677" s="81"/>
      <c r="AD677" s="81"/>
      <c r="AE677" s="81"/>
      <c r="AF677" s="81"/>
      <c r="AG677" s="81">
        <f>Sal_23[[#This Row],[COMPRA]]*12%</f>
        <v>370.37759999999997</v>
      </c>
      <c r="AH677" s="83">
        <v>3086.48</v>
      </c>
      <c r="AI677" s="66" t="str">
        <f>PROPER(TEXT(Sal_23[[#This Row],[PROGRAMAÇÃO]],"mmm"))</f>
        <v>Jul</v>
      </c>
      <c r="AJ677" s="66">
        <f>YEAR(Sal_23[[#This Row],[PROGRAMAÇÃO]])</f>
        <v>2023</v>
      </c>
      <c r="AK677" s="66"/>
      <c r="AL677" s="66"/>
      <c r="AM677" s="66" t="s">
        <v>2768</v>
      </c>
      <c r="AN677" s="66" t="s">
        <v>2768</v>
      </c>
      <c r="AO677" s="66" t="s">
        <v>2768</v>
      </c>
    </row>
    <row r="678" spans="2:41" x14ac:dyDescent="0.25">
      <c r="B678" s="128" t="s">
        <v>2771</v>
      </c>
      <c r="C67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78" s="79">
        <v>45110.375</v>
      </c>
      <c r="E678" s="44" t="s">
        <v>5362</v>
      </c>
      <c r="F678" s="66">
        <v>20</v>
      </c>
      <c r="G678" s="66" t="s">
        <v>2820</v>
      </c>
      <c r="H678" s="44" t="s">
        <v>2820</v>
      </c>
      <c r="I678" s="299" t="s">
        <v>2821</v>
      </c>
      <c r="J678" s="66" t="s">
        <v>5363</v>
      </c>
      <c r="K678" s="66" t="s">
        <v>5314</v>
      </c>
      <c r="L678" s="66">
        <v>72145</v>
      </c>
      <c r="M678" s="66"/>
      <c r="N678" s="66" t="s">
        <v>3028</v>
      </c>
      <c r="O678" s="66" t="s">
        <v>2261</v>
      </c>
      <c r="P678" s="66" t="s">
        <v>5270</v>
      </c>
      <c r="Q678" s="138" t="str">
        <f ca="1">IFERROR(LOOKUP($P678,MOTORISTAS!$D$3:$D$1048576,MOTORISTAS!E$3:E$916),"")</f>
        <v>16612151811</v>
      </c>
      <c r="R678" s="138" t="str">
        <f ca="1">IFERROR(LOOKUP($P678,MOTORISTAS!$D$3:$D$1048576,MOTORISTAS!F$3:F$916),"")</f>
        <v>01055332889</v>
      </c>
      <c r="S678" s="66">
        <v>16621</v>
      </c>
      <c r="T678" s="66" t="s">
        <v>306</v>
      </c>
      <c r="U678" s="79">
        <v>45109.938194444447</v>
      </c>
      <c r="V678" s="66" t="s">
        <v>292</v>
      </c>
      <c r="W678" s="79">
        <v>45110.590277777781</v>
      </c>
      <c r="X678" s="79">
        <v>45110.041666666664</v>
      </c>
      <c r="Y678" s="88">
        <v>45110.458333333336</v>
      </c>
      <c r="Z678" s="81">
        <v>1600</v>
      </c>
      <c r="AA678" s="81"/>
      <c r="AB678" s="81"/>
      <c r="AC678" s="81"/>
      <c r="AD678" s="81"/>
      <c r="AE678" s="81"/>
      <c r="AF678" s="81"/>
      <c r="AG678" s="81">
        <f>Sal_23[[#This Row],[COMPRA]]*12%</f>
        <v>276</v>
      </c>
      <c r="AH678" s="83">
        <v>2300</v>
      </c>
      <c r="AI678" s="66" t="str">
        <f>PROPER(TEXT(Sal_23[[#This Row],[PROGRAMAÇÃO]],"mmm"))</f>
        <v>Jul</v>
      </c>
      <c r="AJ678" s="66">
        <f>YEAR(Sal_23[[#This Row],[PROGRAMAÇÃO]])</f>
        <v>2023</v>
      </c>
      <c r="AK678" s="66"/>
      <c r="AL678" s="66"/>
      <c r="AM678" s="66" t="s">
        <v>2768</v>
      </c>
      <c r="AN678" s="66" t="s">
        <v>2768</v>
      </c>
      <c r="AO678" s="66" t="s">
        <v>2768</v>
      </c>
    </row>
    <row r="679" spans="2:41" x14ac:dyDescent="0.25">
      <c r="B679" s="128" t="s">
        <v>2771</v>
      </c>
      <c r="C67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79" s="79">
        <v>45110.375</v>
      </c>
      <c r="E679" s="44" t="s">
        <v>5317</v>
      </c>
      <c r="F679" s="66">
        <v>20</v>
      </c>
      <c r="G679" s="66" t="s">
        <v>2820</v>
      </c>
      <c r="H679" s="44" t="s">
        <v>2820</v>
      </c>
      <c r="I679" s="299" t="s">
        <v>2821</v>
      </c>
      <c r="J679" s="66" t="s">
        <v>5363</v>
      </c>
      <c r="K679" s="66" t="s">
        <v>5314</v>
      </c>
      <c r="L679" s="66">
        <v>72105</v>
      </c>
      <c r="M679" s="66"/>
      <c r="N679" s="66" t="s">
        <v>2584</v>
      </c>
      <c r="O679" s="66" t="s">
        <v>2585</v>
      </c>
      <c r="P679" s="66" t="s">
        <v>2586</v>
      </c>
      <c r="Q679" s="138" t="str">
        <f ca="1">IFERROR(LOOKUP($P679,MOTORISTAS!$D$3:$D$1048576,MOTORISTAS!E$3:E$916),"")</f>
        <v>08312935860</v>
      </c>
      <c r="R679" s="138" t="str">
        <f ca="1">IFERROR(LOOKUP($P679,MOTORISTAS!$D$3:$D$1048576,MOTORISTAS!F$3:F$916),"")</f>
        <v>03106516083</v>
      </c>
      <c r="S679" s="66">
        <v>16620</v>
      </c>
      <c r="T679" s="66" t="s">
        <v>306</v>
      </c>
      <c r="U679" s="79">
        <v>45109.897916666669</v>
      </c>
      <c r="V679" s="66" t="s">
        <v>292</v>
      </c>
      <c r="W679" s="79">
        <v>45110.6</v>
      </c>
      <c r="X679" s="79">
        <v>45110.000694444447</v>
      </c>
      <c r="Y679" s="88">
        <v>45110.5</v>
      </c>
      <c r="Z679" s="81">
        <v>1600</v>
      </c>
      <c r="AA679" s="81"/>
      <c r="AB679" s="81"/>
      <c r="AC679" s="81"/>
      <c r="AD679" s="81"/>
      <c r="AE679" s="81"/>
      <c r="AF679" s="81"/>
      <c r="AG679" s="81">
        <f>Sal_23[[#This Row],[COMPRA]]*12%</f>
        <v>276</v>
      </c>
      <c r="AH679" s="83">
        <v>2300</v>
      </c>
      <c r="AI679" s="66" t="str">
        <f>PROPER(TEXT(Sal_23[[#This Row],[PROGRAMAÇÃO]],"mmm"))</f>
        <v>Jul</v>
      </c>
      <c r="AJ679" s="66">
        <f>YEAR(Sal_23[[#This Row],[PROGRAMAÇÃO]])</f>
        <v>2023</v>
      </c>
      <c r="AK679" s="66"/>
      <c r="AL679" s="66"/>
      <c r="AM679" s="66" t="s">
        <v>2768</v>
      </c>
      <c r="AN679" s="66" t="s">
        <v>2768</v>
      </c>
      <c r="AO679" s="66" t="s">
        <v>2768</v>
      </c>
    </row>
    <row r="680" spans="2:41" x14ac:dyDescent="0.25">
      <c r="B680" s="128" t="s">
        <v>2771</v>
      </c>
      <c r="C68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0" s="79">
        <v>45111.458333333336</v>
      </c>
      <c r="E680" s="44" t="s">
        <v>5315</v>
      </c>
      <c r="F680" s="66">
        <v>20</v>
      </c>
      <c r="G680" s="66" t="s">
        <v>2820</v>
      </c>
      <c r="H680" s="44" t="s">
        <v>2820</v>
      </c>
      <c r="I680" s="299" t="s">
        <v>2821</v>
      </c>
      <c r="J680" s="66" t="s">
        <v>5363</v>
      </c>
      <c r="K680" s="66" t="s">
        <v>5314</v>
      </c>
      <c r="L680" s="66">
        <v>72103</v>
      </c>
      <c r="M680" s="66"/>
      <c r="N680" s="66" t="s">
        <v>2156</v>
      </c>
      <c r="O680" s="66" t="s">
        <v>2464</v>
      </c>
      <c r="P680" s="66" t="s">
        <v>2158</v>
      </c>
      <c r="Q680" s="138" t="str">
        <f ca="1">IFERROR(LOOKUP($P680,MOTORISTAS!$D$3:$D$1048576,MOTORISTAS!E$3:E$916),"")</f>
        <v>10485530864</v>
      </c>
      <c r="R680" s="138" t="str">
        <f ca="1">IFERROR(LOOKUP($P680,MOTORISTAS!$D$3:$D$1048576,MOTORISTAS!F$3:F$916),"")</f>
        <v>02033192841</v>
      </c>
      <c r="S680" s="66">
        <v>16631</v>
      </c>
      <c r="T680" s="66" t="s">
        <v>306</v>
      </c>
      <c r="U680" s="79">
        <v>45111.188194444447</v>
      </c>
      <c r="V680" s="66" t="s">
        <v>409</v>
      </c>
      <c r="W680" s="79">
        <v>45111.644444444442</v>
      </c>
      <c r="X680" s="79">
        <v>45111.277777777781</v>
      </c>
      <c r="Y680" s="88">
        <v>45111.552083333336</v>
      </c>
      <c r="Z680" s="81">
        <v>1600</v>
      </c>
      <c r="AA680" s="81"/>
      <c r="AB680" s="81"/>
      <c r="AC680" s="81"/>
      <c r="AD680" s="81"/>
      <c r="AE680" s="81"/>
      <c r="AF680" s="81"/>
      <c r="AG680" s="81">
        <f>Sal_23[[#This Row],[COMPRA]]*12%</f>
        <v>276</v>
      </c>
      <c r="AH680" s="83">
        <v>2300</v>
      </c>
      <c r="AI680" s="66" t="str">
        <f>PROPER(TEXT(Sal_23[[#This Row],[PROGRAMAÇÃO]],"mmm"))</f>
        <v>Jul</v>
      </c>
      <c r="AJ680" s="66">
        <f>YEAR(Sal_23[[#This Row],[PROGRAMAÇÃO]])</f>
        <v>2023</v>
      </c>
      <c r="AK680" s="66"/>
      <c r="AL680" s="66"/>
      <c r="AM680" s="66" t="s">
        <v>2768</v>
      </c>
      <c r="AN680" s="66" t="s">
        <v>2768</v>
      </c>
      <c r="AO680" s="66" t="s">
        <v>2768</v>
      </c>
    </row>
    <row r="681" spans="2:41" x14ac:dyDescent="0.25">
      <c r="B681" s="128" t="s">
        <v>2771</v>
      </c>
      <c r="C68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1" s="79">
        <v>45111.458333333336</v>
      </c>
      <c r="E681" s="44" t="s">
        <v>5316</v>
      </c>
      <c r="F681" s="66">
        <v>20</v>
      </c>
      <c r="G681" s="66" t="s">
        <v>2820</v>
      </c>
      <c r="H681" s="44" t="s">
        <v>2820</v>
      </c>
      <c r="I681" s="299" t="s">
        <v>2821</v>
      </c>
      <c r="J681" s="66" t="s">
        <v>5363</v>
      </c>
      <c r="K681" s="66" t="s">
        <v>5314</v>
      </c>
      <c r="L681" s="66">
        <v>72144</v>
      </c>
      <c r="M681" s="66"/>
      <c r="N681" s="66" t="s">
        <v>3040</v>
      </c>
      <c r="O681" s="66" t="s">
        <v>3041</v>
      </c>
      <c r="P681" s="66" t="s">
        <v>3042</v>
      </c>
      <c r="Q681" s="138" t="str">
        <f ca="1">IFERROR(LOOKUP($P681,MOTORISTAS!$D$3:$D$1048576,MOTORISTAS!E$3:E$916),"")</f>
        <v>19279658883</v>
      </c>
      <c r="R681" s="138" t="str">
        <f ca="1">IFERROR(LOOKUP($P681,MOTORISTAS!$D$3:$D$1048576,MOTORISTAS!F$3:F$916),"")</f>
        <v>01301319672</v>
      </c>
      <c r="S681" s="66">
        <v>16632</v>
      </c>
      <c r="T681" s="66" t="s">
        <v>306</v>
      </c>
      <c r="U681" s="79">
        <v>45111.178472222222</v>
      </c>
      <c r="V681" s="66" t="s">
        <v>409</v>
      </c>
      <c r="W681" s="79">
        <v>45111.652777777781</v>
      </c>
      <c r="X681" s="79">
        <v>45111.256944444445</v>
      </c>
      <c r="Y681" s="88">
        <v>45111.552083333336</v>
      </c>
      <c r="Z681" s="81">
        <v>1600</v>
      </c>
      <c r="AA681" s="81"/>
      <c r="AB681" s="81"/>
      <c r="AC681" s="81"/>
      <c r="AD681" s="81"/>
      <c r="AE681" s="81"/>
      <c r="AF681" s="81"/>
      <c r="AG681" s="81">
        <f>Sal_23[[#This Row],[COMPRA]]*12%</f>
        <v>276</v>
      </c>
      <c r="AH681" s="83">
        <v>2300</v>
      </c>
      <c r="AI681" s="66" t="str">
        <f>PROPER(TEXT(Sal_23[[#This Row],[PROGRAMAÇÃO]],"mmm"))</f>
        <v>Jul</v>
      </c>
      <c r="AJ681" s="66">
        <f>YEAR(Sal_23[[#This Row],[PROGRAMAÇÃO]])</f>
        <v>2023</v>
      </c>
      <c r="AK681" s="66"/>
      <c r="AL681" s="66"/>
      <c r="AM681" s="66" t="s">
        <v>2768</v>
      </c>
      <c r="AN681" s="66" t="s">
        <v>2768</v>
      </c>
      <c r="AO681" s="66" t="s">
        <v>2768</v>
      </c>
    </row>
    <row r="682" spans="2:41" x14ac:dyDescent="0.25">
      <c r="B682" s="128" t="s">
        <v>2771</v>
      </c>
      <c r="C68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2" s="79">
        <v>45111.375</v>
      </c>
      <c r="E682" s="44" t="s">
        <v>5318</v>
      </c>
      <c r="F682" s="66">
        <v>20</v>
      </c>
      <c r="G682" s="66" t="s">
        <v>2820</v>
      </c>
      <c r="H682" s="44" t="s">
        <v>2820</v>
      </c>
      <c r="I682" s="299" t="s">
        <v>2821</v>
      </c>
      <c r="J682" s="66" t="s">
        <v>5365</v>
      </c>
      <c r="K682" s="66" t="s">
        <v>5314</v>
      </c>
      <c r="L682" s="66">
        <v>107981</v>
      </c>
      <c r="M682" s="66"/>
      <c r="N682" s="66" t="s">
        <v>3028</v>
      </c>
      <c r="O682" s="66" t="s">
        <v>2261</v>
      </c>
      <c r="P682" s="66" t="s">
        <v>3443</v>
      </c>
      <c r="Q682" s="138" t="str">
        <f ca="1">IFERROR(LOOKUP($P682,MOTORISTAS!$D$3:$D$1048576,MOTORISTAS!E$3:E$916),"")</f>
        <v>13990937898</v>
      </c>
      <c r="R682" s="138" t="str">
        <f ca="1">IFERROR(LOOKUP($P682,MOTORISTAS!$D$3:$D$1048576,MOTORISTAS!F$3:F$916),"")</f>
        <v>01825123407</v>
      </c>
      <c r="S682" s="66">
        <v>16633</v>
      </c>
      <c r="T682" s="66" t="s">
        <v>306</v>
      </c>
      <c r="U682" s="79">
        <v>45110.987500000003</v>
      </c>
      <c r="V682" s="66" t="s">
        <v>409</v>
      </c>
      <c r="W682" s="79">
        <v>45111.637499999997</v>
      </c>
      <c r="X682" s="79">
        <v>45111.104166666664</v>
      </c>
      <c r="Y682" s="88">
        <v>45111.427083333336</v>
      </c>
      <c r="Z682" s="81">
        <v>1600</v>
      </c>
      <c r="AA682" s="81"/>
      <c r="AB682" s="81"/>
      <c r="AC682" s="81"/>
      <c r="AD682" s="81"/>
      <c r="AE682" s="81"/>
      <c r="AF682" s="81"/>
      <c r="AG682" s="81">
        <f>Sal_23[[#This Row],[COMPRA]]*12%</f>
        <v>276</v>
      </c>
      <c r="AH682" s="83">
        <v>2300</v>
      </c>
      <c r="AI682" s="66" t="str">
        <f>PROPER(TEXT(Sal_23[[#This Row],[PROGRAMAÇÃO]],"mmm"))</f>
        <v>Jul</v>
      </c>
      <c r="AJ682" s="66">
        <f>YEAR(Sal_23[[#This Row],[PROGRAMAÇÃO]])</f>
        <v>2023</v>
      </c>
      <c r="AK682" s="66"/>
      <c r="AL682" s="66"/>
      <c r="AM682" s="66" t="s">
        <v>2768</v>
      </c>
      <c r="AN682" s="66" t="s">
        <v>2768</v>
      </c>
      <c r="AO682" s="66" t="s">
        <v>2768</v>
      </c>
    </row>
    <row r="683" spans="2:41" x14ac:dyDescent="0.25">
      <c r="B683" s="128" t="s">
        <v>2771</v>
      </c>
      <c r="C68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3" s="79">
        <v>45111.375</v>
      </c>
      <c r="E683" s="44" t="s">
        <v>5319</v>
      </c>
      <c r="F683" s="66">
        <v>20</v>
      </c>
      <c r="G683" s="66" t="s">
        <v>2820</v>
      </c>
      <c r="H683" s="44" t="s">
        <v>2820</v>
      </c>
      <c r="I683" s="299" t="s">
        <v>2821</v>
      </c>
      <c r="J683" s="66" t="s">
        <v>5471</v>
      </c>
      <c r="K683" s="66" t="s">
        <v>5314</v>
      </c>
      <c r="L683" s="66">
        <v>118788</v>
      </c>
      <c r="M683" s="66"/>
      <c r="N683" s="66" t="s">
        <v>2949</v>
      </c>
      <c r="O683" s="66" t="s">
        <v>2950</v>
      </c>
      <c r="P683" s="66" t="s">
        <v>4707</v>
      </c>
      <c r="Q683" s="138" t="str">
        <f ca="1">IFERROR(LOOKUP($P683,MOTORISTAS!$D$3:$D$1048576,MOTORISTAS!E$3:E$916),"")</f>
        <v>13777529842</v>
      </c>
      <c r="R683" s="138" t="str">
        <f ca="1">IFERROR(LOOKUP($P683,MOTORISTAS!$D$3:$D$1048576,MOTORISTAS!F$3:F$916),"")</f>
        <v>02511580623</v>
      </c>
      <c r="S683" s="66">
        <v>16634</v>
      </c>
      <c r="T683" s="66" t="s">
        <v>306</v>
      </c>
      <c r="U683" s="79">
        <v>45111.027083333334</v>
      </c>
      <c r="V683" s="79" t="s">
        <v>409</v>
      </c>
      <c r="W683" s="79">
        <v>45111.591666666667</v>
      </c>
      <c r="X683" s="79">
        <v>45111.083333333336</v>
      </c>
      <c r="Y683" s="88">
        <v>45111.454861111109</v>
      </c>
      <c r="Z683" s="81">
        <v>1600</v>
      </c>
      <c r="AA683" s="81"/>
      <c r="AB683" s="81"/>
      <c r="AC683" s="81"/>
      <c r="AD683" s="81"/>
      <c r="AE683" s="81"/>
      <c r="AF683" s="81"/>
      <c r="AG683" s="81">
        <f>Sal_23[[#This Row],[COMPRA]]*12%</f>
        <v>276</v>
      </c>
      <c r="AH683" s="83">
        <v>2300</v>
      </c>
      <c r="AI683" s="66" t="str">
        <f>PROPER(TEXT(Sal_23[[#This Row],[PROGRAMAÇÃO]],"mmm"))</f>
        <v>Jul</v>
      </c>
      <c r="AJ683" s="66">
        <f>YEAR(Sal_23[[#This Row],[PROGRAMAÇÃO]])</f>
        <v>2023</v>
      </c>
      <c r="AK683" s="66"/>
      <c r="AL683" s="66"/>
      <c r="AM683" s="66" t="s">
        <v>2768</v>
      </c>
      <c r="AN683" s="66" t="s">
        <v>2768</v>
      </c>
      <c r="AO683" s="66" t="s">
        <v>2768</v>
      </c>
    </row>
    <row r="684" spans="2:41" x14ac:dyDescent="0.25">
      <c r="B684" s="128" t="s">
        <v>2771</v>
      </c>
      <c r="C68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4" s="79">
        <v>45112.375</v>
      </c>
      <c r="E684" s="44" t="s">
        <v>5320</v>
      </c>
      <c r="F684" s="66">
        <v>20</v>
      </c>
      <c r="G684" s="66" t="s">
        <v>2820</v>
      </c>
      <c r="H684" s="44" t="s">
        <v>2820</v>
      </c>
      <c r="I684" s="299" t="s">
        <v>2821</v>
      </c>
      <c r="J684" s="66" t="s">
        <v>5430</v>
      </c>
      <c r="K684" s="66" t="s">
        <v>5314</v>
      </c>
      <c r="L684" s="66">
        <v>65403</v>
      </c>
      <c r="M684" s="66">
        <v>65404</v>
      </c>
      <c r="N684" s="66" t="s">
        <v>3028</v>
      </c>
      <c r="O684" s="66" t="s">
        <v>2261</v>
      </c>
      <c r="P684" s="66" t="s">
        <v>3443</v>
      </c>
      <c r="Q684" s="138" t="str">
        <f ca="1">IFERROR(LOOKUP($P684,MOTORISTAS!$D$3:$D$1048576,MOTORISTAS!E$3:E$916),"")</f>
        <v>13990937898</v>
      </c>
      <c r="R684" s="138" t="str">
        <f ca="1">IFERROR(LOOKUP($P684,MOTORISTAS!$D$3:$D$1048576,MOTORISTAS!F$3:F$916),"")</f>
        <v>01825123407</v>
      </c>
      <c r="S684" s="66">
        <v>16639</v>
      </c>
      <c r="T684" s="66" t="s">
        <v>306</v>
      </c>
      <c r="U684" s="79">
        <v>45111.98541666667</v>
      </c>
      <c r="V684" s="66" t="s">
        <v>292</v>
      </c>
      <c r="W684" s="79">
        <v>45112.546527777777</v>
      </c>
      <c r="X684" s="79">
        <v>45112.100694444445</v>
      </c>
      <c r="Y684" s="88">
        <v>45112.486111111109</v>
      </c>
      <c r="Z684" s="81">
        <v>1600</v>
      </c>
      <c r="AA684" s="81"/>
      <c r="AB684" s="81"/>
      <c r="AC684" s="81"/>
      <c r="AD684" s="81"/>
      <c r="AE684" s="81"/>
      <c r="AF684" s="81"/>
      <c r="AG684" s="81">
        <f>Sal_23[[#This Row],[COMPRA]]*12%</f>
        <v>276</v>
      </c>
      <c r="AH684" s="83">
        <v>2300</v>
      </c>
      <c r="AI684" s="66" t="str">
        <f>PROPER(TEXT(Sal_23[[#This Row],[PROGRAMAÇÃO]],"mmm"))</f>
        <v>Jul</v>
      </c>
      <c r="AJ684" s="66">
        <f>YEAR(Sal_23[[#This Row],[PROGRAMAÇÃO]])</f>
        <v>2023</v>
      </c>
      <c r="AK684" s="66"/>
      <c r="AL684" s="66"/>
      <c r="AM684" s="66" t="s">
        <v>2768</v>
      </c>
      <c r="AN684" s="66" t="s">
        <v>2768</v>
      </c>
      <c r="AO684" s="66" t="s">
        <v>2768</v>
      </c>
    </row>
    <row r="685" spans="2:41" x14ac:dyDescent="0.25">
      <c r="B685" s="128" t="s">
        <v>2771</v>
      </c>
      <c r="C68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5" s="79">
        <v>45112.458333333336</v>
      </c>
      <c r="E685" s="44" t="s">
        <v>5321</v>
      </c>
      <c r="F685" s="66">
        <v>20</v>
      </c>
      <c r="G685" s="66" t="s">
        <v>2820</v>
      </c>
      <c r="H685" s="44" t="s">
        <v>2820</v>
      </c>
      <c r="I685" s="299" t="s">
        <v>2821</v>
      </c>
      <c r="J685" s="66" t="s">
        <v>5430</v>
      </c>
      <c r="K685" s="66" t="s">
        <v>5314</v>
      </c>
      <c r="L685" s="66">
        <v>65405</v>
      </c>
      <c r="M685" s="66">
        <v>65406</v>
      </c>
      <c r="N685" s="66" t="s">
        <v>2859</v>
      </c>
      <c r="O685" s="66" t="s">
        <v>4701</v>
      </c>
      <c r="P685" s="66" t="s">
        <v>2861</v>
      </c>
      <c r="Q685" s="138" t="str">
        <f ca="1">IFERROR(LOOKUP($P685,MOTORISTAS!$D$3:$D$1048576,MOTORISTAS!E$3:E$916),"")</f>
        <v>01817591878</v>
      </c>
      <c r="R685" s="138" t="str">
        <f ca="1">IFERROR(LOOKUP($P685,MOTORISTAS!$D$3:$D$1048576,MOTORISTAS!F$3:F$916),"")</f>
        <v>00821760640</v>
      </c>
      <c r="S685" s="66">
        <v>16640</v>
      </c>
      <c r="T685" s="66" t="s">
        <v>306</v>
      </c>
      <c r="U685" s="79">
        <v>45112.003472222219</v>
      </c>
      <c r="V685" s="66" t="s">
        <v>292</v>
      </c>
      <c r="W685" s="79">
        <v>45112.626388888886</v>
      </c>
      <c r="X685" s="79">
        <v>45112.100694444445</v>
      </c>
      <c r="Y685" s="88">
        <v>45112.569444444445</v>
      </c>
      <c r="Z685" s="81">
        <v>1600</v>
      </c>
      <c r="AA685" s="81"/>
      <c r="AB685" s="81"/>
      <c r="AC685" s="81"/>
      <c r="AD685" s="81"/>
      <c r="AE685" s="81"/>
      <c r="AF685" s="81"/>
      <c r="AG685" s="81">
        <f>Sal_23[[#This Row],[COMPRA]]*12%</f>
        <v>276</v>
      </c>
      <c r="AH685" s="83">
        <v>2300</v>
      </c>
      <c r="AI685" s="66" t="str">
        <f>PROPER(TEXT(Sal_23[[#This Row],[PROGRAMAÇÃO]],"mmm"))</f>
        <v>Jul</v>
      </c>
      <c r="AJ685" s="66">
        <f>YEAR(Sal_23[[#This Row],[PROGRAMAÇÃO]])</f>
        <v>2023</v>
      </c>
      <c r="AK685" s="66"/>
      <c r="AL685" s="66"/>
      <c r="AM685" s="66" t="s">
        <v>2768</v>
      </c>
      <c r="AN685" s="66" t="s">
        <v>2768</v>
      </c>
      <c r="AO685" s="66" t="s">
        <v>2768</v>
      </c>
    </row>
    <row r="686" spans="2:41" x14ac:dyDescent="0.25">
      <c r="B686" s="128" t="s">
        <v>2771</v>
      </c>
      <c r="C68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6" s="79">
        <v>45112.375</v>
      </c>
      <c r="E686" s="44" t="s">
        <v>5322</v>
      </c>
      <c r="F686" s="66">
        <v>40</v>
      </c>
      <c r="G686" s="66" t="s">
        <v>2820</v>
      </c>
      <c r="H686" s="44" t="s">
        <v>2820</v>
      </c>
      <c r="I686" s="299" t="s">
        <v>2821</v>
      </c>
      <c r="J686" s="66" t="s">
        <v>5432</v>
      </c>
      <c r="K686" s="66" t="s">
        <v>5314</v>
      </c>
      <c r="L686" s="66">
        <v>107895</v>
      </c>
      <c r="M686" s="66">
        <v>107896</v>
      </c>
      <c r="N686" s="66" t="s">
        <v>106</v>
      </c>
      <c r="O686" s="66" t="s">
        <v>107</v>
      </c>
      <c r="P686" s="66" t="s">
        <v>108</v>
      </c>
      <c r="Q686" s="138" t="str">
        <f ca="1">IFERROR(LOOKUP($P686,MOTORISTAS!$D$3:$D$1048576,MOTORISTAS!E$3:E$916),"")</f>
        <v>34927982840</v>
      </c>
      <c r="R686" s="138" t="str">
        <f ca="1">IFERROR(LOOKUP($P686,MOTORISTAS!$D$3:$D$1048576,MOTORISTAS!F$3:F$916),"")</f>
        <v>03500129879</v>
      </c>
      <c r="S686" s="66" t="s">
        <v>5433</v>
      </c>
      <c r="T686" s="66" t="s">
        <v>306</v>
      </c>
      <c r="U686" s="79">
        <v>45112.10833333333</v>
      </c>
      <c r="V686" s="66" t="s">
        <v>409</v>
      </c>
      <c r="W686" s="79">
        <v>45112.550694444442</v>
      </c>
      <c r="X686" s="79">
        <v>45112.166666666664</v>
      </c>
      <c r="Y686" s="88">
        <v>45112.4375</v>
      </c>
      <c r="Z686" s="81">
        <v>1600</v>
      </c>
      <c r="AA686" s="81"/>
      <c r="AB686" s="81"/>
      <c r="AC686" s="81"/>
      <c r="AD686" s="81"/>
      <c r="AE686" s="81"/>
      <c r="AF686" s="81"/>
      <c r="AG686" s="81">
        <f>Sal_23[[#This Row],[COMPRA]]*12%</f>
        <v>276</v>
      </c>
      <c r="AH686" s="83">
        <v>2300</v>
      </c>
      <c r="AI686" s="66" t="str">
        <f>PROPER(TEXT(Sal_23[[#This Row],[PROGRAMAÇÃO]],"mmm"))</f>
        <v>Jul</v>
      </c>
      <c r="AJ686" s="66">
        <f>YEAR(Sal_23[[#This Row],[PROGRAMAÇÃO]])</f>
        <v>2023</v>
      </c>
      <c r="AK686" s="66"/>
      <c r="AL686" s="66"/>
      <c r="AM686" s="66" t="s">
        <v>2768</v>
      </c>
      <c r="AN686" s="66" t="s">
        <v>2768</v>
      </c>
      <c r="AO686" s="66" t="s">
        <v>2768</v>
      </c>
    </row>
    <row r="687" spans="2:41" x14ac:dyDescent="0.25">
      <c r="B687" s="128" t="s">
        <v>2771</v>
      </c>
      <c r="C68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7" s="79">
        <v>45112.458333333336</v>
      </c>
      <c r="E687" s="44" t="s">
        <v>5323</v>
      </c>
      <c r="F687" s="66">
        <v>40</v>
      </c>
      <c r="G687" s="66" t="s">
        <v>2820</v>
      </c>
      <c r="H687" s="44" t="s">
        <v>2820</v>
      </c>
      <c r="I687" s="299" t="s">
        <v>2821</v>
      </c>
      <c r="J687" s="66" t="s">
        <v>5434</v>
      </c>
      <c r="K687" s="66" t="s">
        <v>5314</v>
      </c>
      <c r="L687" s="66">
        <v>107950</v>
      </c>
      <c r="M687" s="66"/>
      <c r="N687" s="66" t="s">
        <v>68</v>
      </c>
      <c r="O687" s="66" t="s">
        <v>36</v>
      </c>
      <c r="P687" s="66" t="s">
        <v>206</v>
      </c>
      <c r="Q687" s="138" t="str">
        <f ca="1">IFERROR(LOOKUP($P687,MOTORISTAS!$D$3:$D$1048576,MOTORISTAS!E$3:E$916),"")</f>
        <v>09085263425</v>
      </c>
      <c r="R687" s="138" t="str">
        <f ca="1">IFERROR(LOOKUP($P687,MOTORISTAS!$D$3:$D$1048576,MOTORISTAS!F$3:F$916),"")</f>
        <v>04557705505</v>
      </c>
      <c r="S687" s="66">
        <v>16644</v>
      </c>
      <c r="T687" s="66" t="s">
        <v>306</v>
      </c>
      <c r="U687" s="79">
        <v>45112.184027777781</v>
      </c>
      <c r="V687" s="66" t="s">
        <v>409</v>
      </c>
      <c r="W687" s="79">
        <v>45112.638194444444</v>
      </c>
      <c r="X687" s="79">
        <v>45112.253472222219</v>
      </c>
      <c r="Y687" s="88">
        <v>45112.547222222223</v>
      </c>
      <c r="Z687" s="81">
        <v>1600</v>
      </c>
      <c r="AA687" s="81"/>
      <c r="AB687" s="81"/>
      <c r="AC687" s="81"/>
      <c r="AD687" s="81"/>
      <c r="AE687" s="81"/>
      <c r="AF687" s="81"/>
      <c r="AG687" s="81">
        <f>Sal_23[[#This Row],[COMPRA]]*12%</f>
        <v>276</v>
      </c>
      <c r="AH687" s="83">
        <v>2300</v>
      </c>
      <c r="AI687" s="66" t="str">
        <f>PROPER(TEXT(Sal_23[[#This Row],[PROGRAMAÇÃO]],"mmm"))</f>
        <v>Jul</v>
      </c>
      <c r="AJ687" s="66">
        <f>YEAR(Sal_23[[#This Row],[PROGRAMAÇÃO]])</f>
        <v>2023</v>
      </c>
      <c r="AK687" s="66"/>
      <c r="AL687" s="66"/>
      <c r="AM687" s="66" t="s">
        <v>2768</v>
      </c>
      <c r="AN687" s="66" t="s">
        <v>2768</v>
      </c>
      <c r="AO687" s="66" t="s">
        <v>2768</v>
      </c>
    </row>
    <row r="688" spans="2:41" x14ac:dyDescent="0.25">
      <c r="B688" s="128" t="s">
        <v>2771</v>
      </c>
      <c r="C68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8" s="79">
        <v>45113.333333333336</v>
      </c>
      <c r="E688" s="44" t="s">
        <v>5438</v>
      </c>
      <c r="F688" s="66">
        <v>20</v>
      </c>
      <c r="G688" s="66" t="s">
        <v>2826</v>
      </c>
      <c r="H688" s="44" t="s">
        <v>3105</v>
      </c>
      <c r="I688" s="299" t="s">
        <v>3185</v>
      </c>
      <c r="J688" s="66">
        <v>6729</v>
      </c>
      <c r="K688" s="66" t="s">
        <v>5458</v>
      </c>
      <c r="L688" s="66">
        <v>107992</v>
      </c>
      <c r="M688" s="66"/>
      <c r="N688" s="66" t="s">
        <v>2498</v>
      </c>
      <c r="O688" s="66" t="s">
        <v>3274</v>
      </c>
      <c r="P688" s="66" t="s">
        <v>2500</v>
      </c>
      <c r="Q688" s="138" t="str">
        <f ca="1">IFERROR(LOOKUP($P688,MOTORISTAS!$D$3:$D$1048576,MOTORISTAS!E$3:E$916),"")</f>
        <v>10838670830</v>
      </c>
      <c r="R688" s="138" t="str">
        <f ca="1">IFERROR(LOOKUP($P688,MOTORISTAS!$D$3:$D$1048576,MOTORISTAS!F$3:F$916),"")</f>
        <v>01808675938</v>
      </c>
      <c r="S688" s="66">
        <v>16654</v>
      </c>
      <c r="T688" s="66" t="s">
        <v>293</v>
      </c>
      <c r="U688" s="79">
        <v>45112.910416666666</v>
      </c>
      <c r="V688" s="66" t="s">
        <v>469</v>
      </c>
      <c r="W688" s="79">
        <v>45113.693055555559</v>
      </c>
      <c r="X688" s="79">
        <v>45113.270833333336</v>
      </c>
      <c r="Y688" s="88">
        <v>45113.55</v>
      </c>
      <c r="Z688" s="81">
        <v>1600</v>
      </c>
      <c r="AA688" s="81"/>
      <c r="AB688" s="81"/>
      <c r="AC688" s="81"/>
      <c r="AD688" s="81"/>
      <c r="AE688" s="81"/>
      <c r="AF688" s="81"/>
      <c r="AG688" s="81">
        <f>Sal_23[[#This Row],[COMPRA]]*12%</f>
        <v>415.74719999999996</v>
      </c>
      <c r="AH688" s="83">
        <v>3464.56</v>
      </c>
      <c r="AI688" s="66" t="str">
        <f>PROPER(TEXT(Sal_23[[#This Row],[PROGRAMAÇÃO]],"mmm"))</f>
        <v>Jul</v>
      </c>
      <c r="AJ688" s="66">
        <f>YEAR(Sal_23[[#This Row],[PROGRAMAÇÃO]])</f>
        <v>2023</v>
      </c>
      <c r="AK688" s="66"/>
      <c r="AL688" s="66"/>
      <c r="AM688" s="66" t="s">
        <v>2768</v>
      </c>
      <c r="AN688" s="66" t="s">
        <v>2768</v>
      </c>
      <c r="AO688" s="66" t="s">
        <v>2768</v>
      </c>
    </row>
    <row r="689" spans="2:41" x14ac:dyDescent="0.25">
      <c r="B689" s="128" t="s">
        <v>2771</v>
      </c>
      <c r="C68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89" s="79">
        <v>45113.333333333336</v>
      </c>
      <c r="E689" s="44" t="s">
        <v>5447</v>
      </c>
      <c r="F689" s="66">
        <v>20</v>
      </c>
      <c r="G689" s="66" t="s">
        <v>2826</v>
      </c>
      <c r="H689" s="44" t="s">
        <v>2825</v>
      </c>
      <c r="I689" s="299" t="s">
        <v>4012</v>
      </c>
      <c r="J689" s="66">
        <v>6569</v>
      </c>
      <c r="K689" s="66" t="s">
        <v>5458</v>
      </c>
      <c r="L689" s="66">
        <v>107860</v>
      </c>
      <c r="M689" s="66"/>
      <c r="N689" s="66" t="s">
        <v>3040</v>
      </c>
      <c r="O689" s="66" t="s">
        <v>3041</v>
      </c>
      <c r="P689" s="66" t="s">
        <v>3042</v>
      </c>
      <c r="Q689" s="138" t="str">
        <f ca="1">IFERROR(LOOKUP($P689,MOTORISTAS!$D$3:$D$1048576,MOTORISTAS!E$3:E$916),"")</f>
        <v>19279658883</v>
      </c>
      <c r="R689" s="138" t="str">
        <f ca="1">IFERROR(LOOKUP($P689,MOTORISTAS!$D$3:$D$1048576,MOTORISTAS!F$3:F$916),"")</f>
        <v>01301319672</v>
      </c>
      <c r="S689" s="66">
        <v>16651</v>
      </c>
      <c r="T689" s="66" t="s">
        <v>293</v>
      </c>
      <c r="U689" s="79">
        <v>45113.054861111108</v>
      </c>
      <c r="V689" s="66" t="s">
        <v>469</v>
      </c>
      <c r="W689" s="79">
        <v>45113.631249999999</v>
      </c>
      <c r="X689" s="79">
        <v>45113.145833333336</v>
      </c>
      <c r="Y689" s="88">
        <v>45113.487500000003</v>
      </c>
      <c r="Z689" s="81">
        <v>2000</v>
      </c>
      <c r="AA689" s="81"/>
      <c r="AB689" s="81"/>
      <c r="AC689" s="81"/>
      <c r="AD689" s="81"/>
      <c r="AE689" s="81"/>
      <c r="AF689" s="81"/>
      <c r="AG689" s="81">
        <f>Sal_23[[#This Row],[COMPRA]]*12%</f>
        <v>447.91919999999999</v>
      </c>
      <c r="AH689" s="83">
        <v>3732.66</v>
      </c>
      <c r="AI689" s="66" t="str">
        <f>PROPER(TEXT(Sal_23[[#This Row],[PROGRAMAÇÃO]],"mmm"))</f>
        <v>Jul</v>
      </c>
      <c r="AJ689" s="66">
        <f>YEAR(Sal_23[[#This Row],[PROGRAMAÇÃO]])</f>
        <v>2023</v>
      </c>
      <c r="AK689" s="66"/>
      <c r="AL689" s="66"/>
      <c r="AM689" s="66" t="s">
        <v>2768</v>
      </c>
      <c r="AN689" s="66" t="s">
        <v>2768</v>
      </c>
      <c r="AO689" s="66" t="s">
        <v>2768</v>
      </c>
    </row>
    <row r="690" spans="2:41" x14ac:dyDescent="0.25">
      <c r="B690" s="128" t="s">
        <v>2771</v>
      </c>
      <c r="C69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90" s="79">
        <v>45113.333333333336</v>
      </c>
      <c r="E690" s="44" t="s">
        <v>5449</v>
      </c>
      <c r="F690" s="66">
        <v>40</v>
      </c>
      <c r="G690" s="66" t="s">
        <v>2826</v>
      </c>
      <c r="H690" s="44" t="s">
        <v>3074</v>
      </c>
      <c r="I690" s="299" t="s">
        <v>3532</v>
      </c>
      <c r="J690" s="66">
        <v>6728</v>
      </c>
      <c r="K690" s="66" t="s">
        <v>5458</v>
      </c>
      <c r="L690" s="66">
        <v>107982</v>
      </c>
      <c r="M690" s="66"/>
      <c r="N690" s="66" t="s">
        <v>92</v>
      </c>
      <c r="O690" s="66" t="s">
        <v>93</v>
      </c>
      <c r="P690" s="66" t="s">
        <v>94</v>
      </c>
      <c r="Q690" s="138" t="str">
        <f ca="1">IFERROR(LOOKUP($P690,MOTORISTAS!$D$3:$D$1048576,MOTORISTAS!E$3:E$916),"")</f>
        <v>26283419801</v>
      </c>
      <c r="R690" s="138" t="str">
        <f ca="1">IFERROR(LOOKUP($P690,MOTORISTAS!$D$3:$D$1048576,MOTORISTAS!F$3:F$916),"")</f>
        <v>02002046946</v>
      </c>
      <c r="S690" s="66">
        <v>16655</v>
      </c>
      <c r="T690" s="66" t="s">
        <v>293</v>
      </c>
      <c r="U690" s="79">
        <v>45113.214583333334</v>
      </c>
      <c r="V690" s="66" t="s">
        <v>469</v>
      </c>
      <c r="W690" s="79">
        <v>45113.670138888891</v>
      </c>
      <c r="X690" s="79">
        <v>45113.430555555555</v>
      </c>
      <c r="Y690" s="88">
        <v>45113.501388888886</v>
      </c>
      <c r="Z690" s="81"/>
      <c r="AA690" s="81"/>
      <c r="AB690" s="81"/>
      <c r="AC690" s="81"/>
      <c r="AD690" s="81"/>
      <c r="AE690" s="81"/>
      <c r="AF690" s="81"/>
      <c r="AG690" s="81">
        <f>Sal_23[[#This Row],[COMPRA]]*12%</f>
        <v>501.59999999999997</v>
      </c>
      <c r="AH690" s="83">
        <v>4180</v>
      </c>
      <c r="AI690" s="66" t="str">
        <f>PROPER(TEXT(Sal_23[[#This Row],[PROGRAMAÇÃO]],"mmm"))</f>
        <v>Jul</v>
      </c>
      <c r="AJ690" s="66">
        <f>YEAR(Sal_23[[#This Row],[PROGRAMAÇÃO]])</f>
        <v>2023</v>
      </c>
      <c r="AK690" s="66"/>
      <c r="AL690" s="66"/>
      <c r="AM690" s="66" t="s">
        <v>2768</v>
      </c>
      <c r="AN690" s="66" t="s">
        <v>2768</v>
      </c>
      <c r="AO690" s="66" t="s">
        <v>2768</v>
      </c>
    </row>
    <row r="691" spans="2:41" x14ac:dyDescent="0.25">
      <c r="B691" s="128" t="s">
        <v>2771</v>
      </c>
      <c r="C69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91" s="79">
        <v>45113.333333333336</v>
      </c>
      <c r="E691" s="44" t="s">
        <v>5440</v>
      </c>
      <c r="F691" s="66">
        <v>20</v>
      </c>
      <c r="G691" s="66" t="s">
        <v>2837</v>
      </c>
      <c r="H691" s="44" t="s">
        <v>2837</v>
      </c>
      <c r="I691" s="299" t="s">
        <v>2821</v>
      </c>
      <c r="J691" s="66">
        <v>6574</v>
      </c>
      <c r="K691" s="66" t="s">
        <v>5458</v>
      </c>
      <c r="L691" s="66">
        <v>118660</v>
      </c>
      <c r="M691" s="66"/>
      <c r="N691" s="66" t="s">
        <v>3028</v>
      </c>
      <c r="O691" s="66" t="s">
        <v>2261</v>
      </c>
      <c r="P691" s="66" t="s">
        <v>3443</v>
      </c>
      <c r="Q691" s="138" t="str">
        <f ca="1">IFERROR(LOOKUP($P691,MOTORISTAS!$D$3:$D$1048576,MOTORISTAS!E$3:E$916),"")</f>
        <v>13990937898</v>
      </c>
      <c r="R691" s="138" t="str">
        <f ca="1">IFERROR(LOOKUP($P691,MOTORISTAS!$D$3:$D$1048576,MOTORISTAS!F$3:F$916),"")</f>
        <v>01825123407</v>
      </c>
      <c r="S691" s="66">
        <v>16652</v>
      </c>
      <c r="T691" s="66" t="s">
        <v>293</v>
      </c>
      <c r="U691" s="79">
        <v>45112.990972222222</v>
      </c>
      <c r="V691" s="66" t="s">
        <v>469</v>
      </c>
      <c r="W691" s="79">
        <v>45113.607638888891</v>
      </c>
      <c r="X691" s="79">
        <v>45113.104166666664</v>
      </c>
      <c r="Y691" s="88">
        <v>45113.486111111109</v>
      </c>
      <c r="Z691" s="81">
        <v>1600</v>
      </c>
      <c r="AA691" s="81"/>
      <c r="AB691" s="81"/>
      <c r="AC691" s="81"/>
      <c r="AD691" s="81"/>
      <c r="AE691" s="81"/>
      <c r="AF691" s="81"/>
      <c r="AG691" s="81">
        <f>Sal_23[[#This Row],[COMPRA]]*12%</f>
        <v>311.55959999999999</v>
      </c>
      <c r="AH691" s="83">
        <v>2596.33</v>
      </c>
      <c r="AI691" s="66" t="str">
        <f>PROPER(TEXT(Sal_23[[#This Row],[PROGRAMAÇÃO]],"mmm"))</f>
        <v>Jul</v>
      </c>
      <c r="AJ691" s="66">
        <f>YEAR(Sal_23[[#This Row],[PROGRAMAÇÃO]])</f>
        <v>2023</v>
      </c>
      <c r="AK691" s="66"/>
      <c r="AL691" s="66"/>
      <c r="AM691" s="66" t="s">
        <v>2768</v>
      </c>
      <c r="AN691" s="66" t="s">
        <v>2768</v>
      </c>
      <c r="AO691" s="66" t="s">
        <v>2768</v>
      </c>
    </row>
    <row r="692" spans="2:41" x14ac:dyDescent="0.25">
      <c r="B692" s="128" t="s">
        <v>2771</v>
      </c>
      <c r="C69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92" s="79">
        <v>45114.333333333336</v>
      </c>
      <c r="E692" s="44" t="s">
        <v>5441</v>
      </c>
      <c r="F692" s="66">
        <v>20</v>
      </c>
      <c r="G692" s="66" t="s">
        <v>2837</v>
      </c>
      <c r="H692" s="44" t="s">
        <v>2837</v>
      </c>
      <c r="I692" s="299" t="s">
        <v>2821</v>
      </c>
      <c r="J692" s="66">
        <v>6599</v>
      </c>
      <c r="K692" s="66" t="s">
        <v>5458</v>
      </c>
      <c r="L692" s="66">
        <v>107995</v>
      </c>
      <c r="M692" s="66"/>
      <c r="N692" s="66" t="s">
        <v>3040</v>
      </c>
      <c r="O692" s="66" t="s">
        <v>3041</v>
      </c>
      <c r="P692" s="66" t="s">
        <v>3042</v>
      </c>
      <c r="Q692" s="138" t="str">
        <f ca="1">IFERROR(LOOKUP($P692,MOTORISTAS!$D$3:$D$1048576,MOTORISTAS!E$3:E$916),"")</f>
        <v>19279658883</v>
      </c>
      <c r="R692" s="138" t="str">
        <f ca="1">IFERROR(LOOKUP($P692,MOTORISTAS!$D$3:$D$1048576,MOTORISTAS!F$3:F$916),"")</f>
        <v>01301319672</v>
      </c>
      <c r="S692" s="66">
        <v>16657</v>
      </c>
      <c r="T692" s="66" t="s">
        <v>293</v>
      </c>
      <c r="U692" s="79">
        <v>45113.982638888891</v>
      </c>
      <c r="V692" s="66" t="s">
        <v>469</v>
      </c>
      <c r="W692" s="79">
        <v>45114.584027777775</v>
      </c>
      <c r="X692" s="79">
        <v>45114.083333333336</v>
      </c>
      <c r="Y692" s="88">
        <v>45114.500694444447</v>
      </c>
      <c r="Z692" s="81">
        <v>1600</v>
      </c>
      <c r="AA692" s="81"/>
      <c r="AB692" s="81"/>
      <c r="AC692" s="81"/>
      <c r="AD692" s="81"/>
      <c r="AE692" s="81"/>
      <c r="AF692" s="81"/>
      <c r="AG692" s="81">
        <f>Sal_23[[#This Row],[COMPRA]]*12%</f>
        <v>0</v>
      </c>
      <c r="AH692" s="83"/>
      <c r="AI692" s="66" t="str">
        <f>PROPER(TEXT(Sal_23[[#This Row],[PROGRAMAÇÃO]],"mmm"))</f>
        <v>Jul</v>
      </c>
      <c r="AJ692" s="66">
        <f>YEAR(Sal_23[[#This Row],[PROGRAMAÇÃO]])</f>
        <v>2023</v>
      </c>
      <c r="AK692" s="66"/>
      <c r="AL692" s="66"/>
      <c r="AM692" s="66" t="s">
        <v>2768</v>
      </c>
      <c r="AN692" s="66" t="s">
        <v>2768</v>
      </c>
      <c r="AO692" s="66" t="s">
        <v>2768</v>
      </c>
    </row>
    <row r="693" spans="2:41" x14ac:dyDescent="0.25">
      <c r="B693" s="128" t="s">
        <v>2771</v>
      </c>
      <c r="C69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93" s="79">
        <v>45114.333333333336</v>
      </c>
      <c r="E693" s="44" t="s">
        <v>5442</v>
      </c>
      <c r="F693" s="66">
        <v>20</v>
      </c>
      <c r="G693" s="66" t="s">
        <v>2826</v>
      </c>
      <c r="H693" s="44" t="s">
        <v>3440</v>
      </c>
      <c r="I693" s="299" t="s">
        <v>3253</v>
      </c>
      <c r="J693" s="66">
        <v>6591</v>
      </c>
      <c r="K693" s="66" t="s">
        <v>5458</v>
      </c>
      <c r="L693" s="66">
        <v>118661</v>
      </c>
      <c r="M693" s="66"/>
      <c r="N693" s="66" t="s">
        <v>2584</v>
      </c>
      <c r="O693" s="66" t="s">
        <v>2585</v>
      </c>
      <c r="P693" s="66" t="s">
        <v>2586</v>
      </c>
      <c r="Q693" s="138" t="str">
        <f ca="1">IFERROR(LOOKUP($P693,MOTORISTAS!$D$3:$D$1048576,MOTORISTAS!E$3:E$916),"")</f>
        <v>08312935860</v>
      </c>
      <c r="R693" s="138" t="str">
        <f ca="1">IFERROR(LOOKUP($P693,MOTORISTAS!$D$3:$D$1048576,MOTORISTAS!F$3:F$916),"")</f>
        <v>03106516083</v>
      </c>
      <c r="S693" s="66">
        <v>16660</v>
      </c>
      <c r="T693" s="66" t="s">
        <v>293</v>
      </c>
      <c r="U693" s="79">
        <v>45113.952777777777</v>
      </c>
      <c r="V693" s="66" t="s">
        <v>469</v>
      </c>
      <c r="W693" s="79">
        <v>45114.681944444441</v>
      </c>
      <c r="X693" s="79">
        <v>45114.104166666664</v>
      </c>
      <c r="Y693" s="88">
        <v>45114.54583333333</v>
      </c>
      <c r="Z693" s="81">
        <v>2300</v>
      </c>
      <c r="AA693" s="81"/>
      <c r="AB693" s="81"/>
      <c r="AC693" s="81"/>
      <c r="AD693" s="81"/>
      <c r="AE693" s="81"/>
      <c r="AF693" s="81"/>
      <c r="AG693" s="81">
        <f>Sal_23[[#This Row],[COMPRA]]*12%</f>
        <v>399.62399999999997</v>
      </c>
      <c r="AH693" s="83">
        <v>3330.2</v>
      </c>
      <c r="AI693" s="66" t="str">
        <f>PROPER(TEXT(Sal_23[[#This Row],[PROGRAMAÇÃO]],"mmm"))</f>
        <v>Jul</v>
      </c>
      <c r="AJ693" s="66">
        <f>YEAR(Sal_23[[#This Row],[PROGRAMAÇÃO]])</f>
        <v>2023</v>
      </c>
      <c r="AK693" s="66"/>
      <c r="AL693" s="66"/>
      <c r="AM693" s="66" t="s">
        <v>2768</v>
      </c>
      <c r="AN693" s="66" t="s">
        <v>2768</v>
      </c>
      <c r="AO693" s="66" t="s">
        <v>2768</v>
      </c>
    </row>
    <row r="694" spans="2:41" x14ac:dyDescent="0.25">
      <c r="B694" s="128" t="s">
        <v>2771</v>
      </c>
      <c r="C69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94" s="79">
        <v>45114.333333333336</v>
      </c>
      <c r="E694" s="44" t="s">
        <v>5443</v>
      </c>
      <c r="F694" s="66">
        <v>20</v>
      </c>
      <c r="G694" s="66" t="s">
        <v>2826</v>
      </c>
      <c r="H694" s="44" t="s">
        <v>2827</v>
      </c>
      <c r="I694" s="299" t="s">
        <v>2823</v>
      </c>
      <c r="J694" s="66">
        <v>6596</v>
      </c>
      <c r="K694" s="66" t="s">
        <v>5458</v>
      </c>
      <c r="L694" s="66">
        <v>107949</v>
      </c>
      <c r="M694" s="66"/>
      <c r="N694" s="66" t="s">
        <v>3040</v>
      </c>
      <c r="O694" s="66" t="s">
        <v>3041</v>
      </c>
      <c r="P694" s="66" t="s">
        <v>3042</v>
      </c>
      <c r="Q694" s="138" t="str">
        <f ca="1">IFERROR(LOOKUP($P694,MOTORISTAS!$D$3:$D$1048576,MOTORISTAS!E$3:E$916),"")</f>
        <v>19279658883</v>
      </c>
      <c r="R694" s="138" t="str">
        <f ca="1">IFERROR(LOOKUP($P694,MOTORISTAS!$D$3:$D$1048576,MOTORISTAS!F$3:F$916),"")</f>
        <v>01301319672</v>
      </c>
      <c r="S694" s="66">
        <v>16658</v>
      </c>
      <c r="T694" s="66" t="s">
        <v>293</v>
      </c>
      <c r="U694" s="79">
        <v>45113.977083333331</v>
      </c>
      <c r="V694" s="66" t="s">
        <v>469</v>
      </c>
      <c r="W694" s="79">
        <v>45114.62777777778</v>
      </c>
      <c r="X694" s="79">
        <v>45114.159722222219</v>
      </c>
      <c r="Y694" s="88">
        <v>45114.392361111109</v>
      </c>
      <c r="Z694" s="81">
        <v>3200</v>
      </c>
      <c r="AA694" s="81"/>
      <c r="AB694" s="81"/>
      <c r="AC694" s="81"/>
      <c r="AD694" s="81"/>
      <c r="AE694" s="81"/>
      <c r="AF694" s="81"/>
      <c r="AG694" s="81">
        <f>Sal_23[[#This Row],[COMPRA]]*12%</f>
        <v>571.48680000000002</v>
      </c>
      <c r="AH694" s="83">
        <v>4762.3900000000003</v>
      </c>
      <c r="AI694" s="66" t="str">
        <f>PROPER(TEXT(Sal_23[[#This Row],[PROGRAMAÇÃO]],"mmm"))</f>
        <v>Jul</v>
      </c>
      <c r="AJ694" s="66">
        <f>YEAR(Sal_23[[#This Row],[PROGRAMAÇÃO]])</f>
        <v>2023</v>
      </c>
      <c r="AK694" s="66"/>
      <c r="AL694" s="66"/>
      <c r="AM694" s="66" t="s">
        <v>2768</v>
      </c>
      <c r="AN694" s="66" t="s">
        <v>2768</v>
      </c>
      <c r="AO694" s="66" t="s">
        <v>2768</v>
      </c>
    </row>
    <row r="695" spans="2:41" x14ac:dyDescent="0.25">
      <c r="B695" s="128" t="s">
        <v>2771</v>
      </c>
      <c r="C69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95" s="79">
        <v>45114.333333333336</v>
      </c>
      <c r="E695" s="44" t="s">
        <v>5444</v>
      </c>
      <c r="F695" s="66">
        <v>20</v>
      </c>
      <c r="G695" s="66" t="s">
        <v>2826</v>
      </c>
      <c r="H695" s="44" t="s">
        <v>2827</v>
      </c>
      <c r="I695" s="299" t="s">
        <v>2823</v>
      </c>
      <c r="J695" s="66">
        <v>6597</v>
      </c>
      <c r="K695" s="66" t="s">
        <v>5458</v>
      </c>
      <c r="L695" s="66">
        <v>107948</v>
      </c>
      <c r="M695" s="66"/>
      <c r="N695" s="66" t="s">
        <v>2156</v>
      </c>
      <c r="O695" s="66" t="s">
        <v>2464</v>
      </c>
      <c r="P695" s="66" t="s">
        <v>2158</v>
      </c>
      <c r="Q695" s="138" t="str">
        <f ca="1">IFERROR(LOOKUP($P695,MOTORISTAS!$D$3:$D$1048576,MOTORISTAS!E$3:E$916),"")</f>
        <v>10485530864</v>
      </c>
      <c r="R695" s="138" t="str">
        <f ca="1">IFERROR(LOOKUP($P695,MOTORISTAS!$D$3:$D$1048576,MOTORISTAS!F$3:F$916),"")</f>
        <v>02033192841</v>
      </c>
      <c r="S695" s="66">
        <v>16659</v>
      </c>
      <c r="T695" s="66" t="s">
        <v>293</v>
      </c>
      <c r="U695" s="79">
        <v>45113.938194444447</v>
      </c>
      <c r="V695" s="66" t="s">
        <v>469</v>
      </c>
      <c r="W695" s="79">
        <v>45114.592361111114</v>
      </c>
      <c r="X695" s="79">
        <v>45114.104166666664</v>
      </c>
      <c r="Y695" s="88">
        <v>45114.392361111109</v>
      </c>
      <c r="Z695" s="81">
        <v>3200</v>
      </c>
      <c r="AA695" s="81"/>
      <c r="AB695" s="81"/>
      <c r="AC695" s="81"/>
      <c r="AD695" s="81"/>
      <c r="AE695" s="81"/>
      <c r="AF695" s="81"/>
      <c r="AG695" s="81">
        <f>Sal_23[[#This Row],[COMPRA]]*12%</f>
        <v>571.48680000000002</v>
      </c>
      <c r="AH695" s="83">
        <v>4762.3900000000003</v>
      </c>
      <c r="AI695" s="66" t="str">
        <f>PROPER(TEXT(Sal_23[[#This Row],[PROGRAMAÇÃO]],"mmm"))</f>
        <v>Jul</v>
      </c>
      <c r="AJ695" s="66">
        <f>YEAR(Sal_23[[#This Row],[PROGRAMAÇÃO]])</f>
        <v>2023</v>
      </c>
      <c r="AK695" s="66"/>
      <c r="AL695" s="66"/>
      <c r="AM695" s="66" t="s">
        <v>2768</v>
      </c>
      <c r="AN695" s="66" t="s">
        <v>2768</v>
      </c>
      <c r="AO695" s="66" t="s">
        <v>2768</v>
      </c>
    </row>
    <row r="696" spans="2:41" x14ac:dyDescent="0.25">
      <c r="B696" s="128" t="s">
        <v>2771</v>
      </c>
      <c r="C69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96" s="79">
        <v>45114.333333333336</v>
      </c>
      <c r="E696" s="44" t="s">
        <v>5448</v>
      </c>
      <c r="F696" s="66">
        <v>40</v>
      </c>
      <c r="G696" s="66" t="s">
        <v>2826</v>
      </c>
      <c r="H696" s="44" t="s">
        <v>3195</v>
      </c>
      <c r="I696" s="299" t="s">
        <v>2830</v>
      </c>
      <c r="J696" s="66">
        <v>6602</v>
      </c>
      <c r="K696" s="66" t="s">
        <v>5458</v>
      </c>
      <c r="L696" s="66">
        <v>107944</v>
      </c>
      <c r="M696" s="66"/>
      <c r="N696" s="66" t="s">
        <v>106</v>
      </c>
      <c r="O696" s="66" t="s">
        <v>107</v>
      </c>
      <c r="P696" s="66" t="s">
        <v>108</v>
      </c>
      <c r="Q696" s="138" t="str">
        <f ca="1">IFERROR(LOOKUP($P696,MOTORISTAS!$D$3:$D$1048576,MOTORISTAS!E$3:E$916),"")</f>
        <v>34927982840</v>
      </c>
      <c r="R696" s="138" t="str">
        <f ca="1">IFERROR(LOOKUP($P696,MOTORISTAS!$D$3:$D$1048576,MOTORISTAS!F$3:F$916),"")</f>
        <v>03500129879</v>
      </c>
      <c r="S696" s="66">
        <v>16666</v>
      </c>
      <c r="T696" s="66" t="s">
        <v>293</v>
      </c>
      <c r="U696" s="79">
        <v>45114.22152777778</v>
      </c>
      <c r="V696" s="66" t="s">
        <v>469</v>
      </c>
      <c r="W696" s="79">
        <v>45114.738194444442</v>
      </c>
      <c r="X696" s="79">
        <v>45114.326388888891</v>
      </c>
      <c r="Y696" s="88">
        <v>45114.475694444445</v>
      </c>
      <c r="Z696" s="81">
        <v>2300</v>
      </c>
      <c r="AA696" s="81"/>
      <c r="AB696" s="81"/>
      <c r="AC696" s="81"/>
      <c r="AD696" s="81"/>
      <c r="AE696" s="81"/>
      <c r="AF696" s="81"/>
      <c r="AG696" s="81">
        <f>Sal_23[[#This Row],[COMPRA]]*12%</f>
        <v>392.15039999999999</v>
      </c>
      <c r="AH696" s="83">
        <v>3267.92</v>
      </c>
      <c r="AI696" s="66" t="str">
        <f>PROPER(TEXT(Sal_23[[#This Row],[PROGRAMAÇÃO]],"mmm"))</f>
        <v>Jul</v>
      </c>
      <c r="AJ696" s="66">
        <f>YEAR(Sal_23[[#This Row],[PROGRAMAÇÃO]])</f>
        <v>2023</v>
      </c>
      <c r="AK696" s="66"/>
      <c r="AL696" s="66"/>
      <c r="AM696" s="66" t="s">
        <v>2768</v>
      </c>
      <c r="AN696" s="66" t="s">
        <v>2768</v>
      </c>
      <c r="AO696" s="66" t="s">
        <v>2768</v>
      </c>
    </row>
    <row r="697" spans="2:41" x14ac:dyDescent="0.25">
      <c r="B697" s="128" t="s">
        <v>2771</v>
      </c>
      <c r="C69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97" s="79">
        <v>45114.333333333336</v>
      </c>
      <c r="E697" s="44" t="s">
        <v>5454</v>
      </c>
      <c r="F697" s="66">
        <v>40</v>
      </c>
      <c r="G697" s="66" t="s">
        <v>2826</v>
      </c>
      <c r="H697" s="44" t="s">
        <v>1674</v>
      </c>
      <c r="I697" s="299" t="s">
        <v>2829</v>
      </c>
      <c r="J697" s="66">
        <v>6600</v>
      </c>
      <c r="K697" s="66" t="s">
        <v>5458</v>
      </c>
      <c r="L697" s="66">
        <v>107862</v>
      </c>
      <c r="M697" s="66">
        <v>107863</v>
      </c>
      <c r="N697" s="66" t="s">
        <v>31</v>
      </c>
      <c r="O697" s="66" t="s">
        <v>32</v>
      </c>
      <c r="P697" s="66" t="s">
        <v>33</v>
      </c>
      <c r="Q697" s="138" t="str">
        <f ca="1">IFERROR(LOOKUP($P697,MOTORISTAS!$D$3:$D$1048576,MOTORISTAS!E$3:E$916),"")</f>
        <v>09776430856</v>
      </c>
      <c r="R697" s="138" t="str">
        <f ca="1">IFERROR(LOOKUP($P697,MOTORISTAS!$D$3:$D$1048576,MOTORISTAS!F$3:F$916),"")</f>
        <v>01258979905</v>
      </c>
      <c r="S697" s="66">
        <v>16664</v>
      </c>
      <c r="T697" s="66" t="s">
        <v>293</v>
      </c>
      <c r="U697" s="79">
        <v>45114.218055555553</v>
      </c>
      <c r="V697" s="66" t="s">
        <v>469</v>
      </c>
      <c r="W697" s="79">
        <v>45114.795138888891</v>
      </c>
      <c r="X697" s="79">
        <v>45114.427083333336</v>
      </c>
      <c r="Y697" s="88">
        <v>45114.62222222222</v>
      </c>
      <c r="Z697" s="81">
        <v>3400</v>
      </c>
      <c r="AA697" s="81"/>
      <c r="AB697" s="81"/>
      <c r="AC697" s="81"/>
      <c r="AD697" s="81"/>
      <c r="AE697" s="81"/>
      <c r="AF697" s="81"/>
      <c r="AG697" s="81">
        <f>Sal_23[[#This Row],[COMPRA]]*12%</f>
        <v>558.28319999999997</v>
      </c>
      <c r="AH697" s="83">
        <v>4652.3599999999997</v>
      </c>
      <c r="AI697" s="66" t="str">
        <f>PROPER(TEXT(Sal_23[[#This Row],[PROGRAMAÇÃO]],"mmm"))</f>
        <v>Jul</v>
      </c>
      <c r="AJ697" s="66">
        <f>YEAR(Sal_23[[#This Row],[PROGRAMAÇÃO]])</f>
        <v>2023</v>
      </c>
      <c r="AK697" s="66"/>
      <c r="AL697" s="66"/>
      <c r="AM697" s="66" t="s">
        <v>2768</v>
      </c>
      <c r="AN697" s="66" t="s">
        <v>2768</v>
      </c>
      <c r="AO697" s="66" t="s">
        <v>2768</v>
      </c>
    </row>
    <row r="698" spans="2:41" x14ac:dyDescent="0.25">
      <c r="B698" s="128" t="s">
        <v>2771</v>
      </c>
      <c r="C69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698" s="79">
        <v>45114.333333333336</v>
      </c>
      <c r="E698" s="44" t="s">
        <v>5455</v>
      </c>
      <c r="F698" s="66">
        <v>40</v>
      </c>
      <c r="G698" s="66" t="s">
        <v>2826</v>
      </c>
      <c r="H698" s="44" t="s">
        <v>1674</v>
      </c>
      <c r="I698" s="299" t="s">
        <v>2829</v>
      </c>
      <c r="J698" s="66">
        <v>6603</v>
      </c>
      <c r="K698" s="66" t="s">
        <v>5458</v>
      </c>
      <c r="L698" s="66">
        <v>107946</v>
      </c>
      <c r="M698" s="66">
        <v>107947</v>
      </c>
      <c r="N698" s="66" t="s">
        <v>68</v>
      </c>
      <c r="O698" s="66" t="s">
        <v>36</v>
      </c>
      <c r="P698" s="66" t="s">
        <v>206</v>
      </c>
      <c r="Q698" s="138" t="str">
        <f ca="1">IFERROR(LOOKUP($P698,MOTORISTAS!$D$3:$D$1048576,MOTORISTAS!E$3:E$916),"")</f>
        <v>09085263425</v>
      </c>
      <c r="R698" s="138" t="str">
        <f ca="1">IFERROR(LOOKUP($P698,MOTORISTAS!$D$3:$D$1048576,MOTORISTAS!F$3:F$916),"")</f>
        <v>04557705505</v>
      </c>
      <c r="S698" s="66">
        <v>16665</v>
      </c>
      <c r="T698" s="66" t="s">
        <v>293</v>
      </c>
      <c r="U698" s="79">
        <v>45114.23541666667</v>
      </c>
      <c r="V698" s="66" t="s">
        <v>469</v>
      </c>
      <c r="W698" s="79">
        <v>45114.801388888889</v>
      </c>
      <c r="X698" s="79">
        <v>45114.427083333336</v>
      </c>
      <c r="Y698" s="88">
        <v>45114.62222222222</v>
      </c>
      <c r="Z698" s="81">
        <v>3400</v>
      </c>
      <c r="AA698" s="81"/>
      <c r="AB698" s="81"/>
      <c r="AC698" s="81"/>
      <c r="AD698" s="81"/>
      <c r="AE698" s="81"/>
      <c r="AF698" s="81"/>
      <c r="AG698" s="81">
        <f>Sal_23[[#This Row],[COMPRA]]*12%</f>
        <v>558.28319999999997</v>
      </c>
      <c r="AH698" s="83">
        <v>4652.3599999999997</v>
      </c>
      <c r="AI698" s="66" t="str">
        <f>PROPER(TEXT(Sal_23[[#This Row],[PROGRAMAÇÃO]],"mmm"))</f>
        <v>Jul</v>
      </c>
      <c r="AJ698" s="66">
        <f>YEAR(Sal_23[[#This Row],[PROGRAMAÇÃO]])</f>
        <v>2023</v>
      </c>
      <c r="AK698" s="66"/>
      <c r="AL698" s="66"/>
      <c r="AM698" s="66" t="s">
        <v>2768</v>
      </c>
      <c r="AN698" s="66" t="s">
        <v>2768</v>
      </c>
      <c r="AO698" s="66" t="s">
        <v>2768</v>
      </c>
    </row>
    <row r="699" spans="2:41" x14ac:dyDescent="0.25">
      <c r="B699" s="128" t="s">
        <v>2771</v>
      </c>
      <c r="C69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699" s="79">
        <v>45117.333333333336</v>
      </c>
      <c r="E699" s="44" t="s">
        <v>5445</v>
      </c>
      <c r="F699" s="66">
        <v>20</v>
      </c>
      <c r="G699" s="66" t="s">
        <v>2826</v>
      </c>
      <c r="H699" s="44" t="s">
        <v>2827</v>
      </c>
      <c r="I699" s="299" t="s">
        <v>2823</v>
      </c>
      <c r="J699" s="66">
        <v>6455</v>
      </c>
      <c r="K699" s="66" t="s">
        <v>5458</v>
      </c>
      <c r="L699" s="66">
        <v>107994</v>
      </c>
      <c r="M699" s="66"/>
      <c r="N699" s="66" t="s">
        <v>2156</v>
      </c>
      <c r="O699" s="66" t="s">
        <v>2464</v>
      </c>
      <c r="P699" s="66" t="s">
        <v>2158</v>
      </c>
      <c r="Q699" s="138" t="str">
        <f ca="1">IFERROR(LOOKUP($P699,MOTORISTAS!$D$3:$D$1048576,MOTORISTAS!E$3:E$916),"")</f>
        <v>10485530864</v>
      </c>
      <c r="R699" s="138" t="str">
        <f ca="1">IFERROR(LOOKUP($P699,MOTORISTAS!$D$3:$D$1048576,MOTORISTAS!F$3:F$916),"")</f>
        <v>02033192841</v>
      </c>
      <c r="S699" s="66">
        <v>16674</v>
      </c>
      <c r="T699" s="66" t="s">
        <v>293</v>
      </c>
      <c r="U699" s="79">
        <v>45116.935416666667</v>
      </c>
      <c r="V699" s="66" t="s">
        <v>469</v>
      </c>
      <c r="W699" s="79">
        <v>45117.629861111112</v>
      </c>
      <c r="X699" s="79">
        <v>45117.090277777781</v>
      </c>
      <c r="Y699" s="88">
        <v>45117.354166666664</v>
      </c>
      <c r="Z699" s="81">
        <v>3200</v>
      </c>
      <c r="AA699" s="81"/>
      <c r="AB699" s="81"/>
      <c r="AC699" s="81"/>
      <c r="AD699" s="81"/>
      <c r="AE699" s="81"/>
      <c r="AF699" s="81"/>
      <c r="AG699" s="81">
        <f>Sal_23[[#This Row],[COMPRA]]*12%</f>
        <v>571.48680000000002</v>
      </c>
      <c r="AH699" s="83">
        <v>4762.3900000000003</v>
      </c>
      <c r="AI699" s="66" t="str">
        <f>PROPER(TEXT(Sal_23[[#This Row],[PROGRAMAÇÃO]],"mmm"))</f>
        <v>Jul</v>
      </c>
      <c r="AJ699" s="66">
        <f>YEAR(Sal_23[[#This Row],[PROGRAMAÇÃO]])</f>
        <v>2023</v>
      </c>
      <c r="AK699" s="66"/>
      <c r="AL699" s="66"/>
      <c r="AM699" s="66" t="s">
        <v>2768</v>
      </c>
      <c r="AN699" s="66" t="s">
        <v>2768</v>
      </c>
      <c r="AO699" s="66" t="s">
        <v>2768</v>
      </c>
    </row>
    <row r="700" spans="2:41" x14ac:dyDescent="0.25">
      <c r="B700" s="128" t="s">
        <v>2771</v>
      </c>
      <c r="C70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00" s="79">
        <v>45117.333333333336</v>
      </c>
      <c r="E700" s="44" t="s">
        <v>5446</v>
      </c>
      <c r="F700" s="66">
        <v>20</v>
      </c>
      <c r="G700" s="66" t="s">
        <v>2826</v>
      </c>
      <c r="H700" s="44" t="s">
        <v>2827</v>
      </c>
      <c r="I700" s="299" t="s">
        <v>2823</v>
      </c>
      <c r="J700" s="66">
        <v>6370</v>
      </c>
      <c r="K700" s="66" t="s">
        <v>5458</v>
      </c>
      <c r="L700" s="66">
        <v>108018</v>
      </c>
      <c r="M700" s="66"/>
      <c r="N700" s="66" t="s">
        <v>3040</v>
      </c>
      <c r="O700" s="66" t="s">
        <v>3041</v>
      </c>
      <c r="P700" s="66" t="s">
        <v>3042</v>
      </c>
      <c r="Q700" s="138" t="str">
        <f ca="1">IFERROR(LOOKUP($P700,MOTORISTAS!$D$3:$D$1048576,MOTORISTAS!E$3:E$916),"")</f>
        <v>19279658883</v>
      </c>
      <c r="R700" s="138" t="str">
        <f ca="1">IFERROR(LOOKUP($P700,MOTORISTAS!$D$3:$D$1048576,MOTORISTAS!F$3:F$916),"")</f>
        <v>01301319672</v>
      </c>
      <c r="S700" s="66">
        <v>16676</v>
      </c>
      <c r="T700" s="66" t="s">
        <v>293</v>
      </c>
      <c r="U700" s="79">
        <v>45116.952777777777</v>
      </c>
      <c r="V700" s="66" t="s">
        <v>469</v>
      </c>
      <c r="W700" s="79">
        <v>45117.625694444447</v>
      </c>
      <c r="X700" s="79">
        <v>45117.138888888891</v>
      </c>
      <c r="Y700" s="88">
        <v>45117.354166666664</v>
      </c>
      <c r="Z700" s="81">
        <v>3200</v>
      </c>
      <c r="AA700" s="81"/>
      <c r="AB700" s="81"/>
      <c r="AC700" s="81"/>
      <c r="AD700" s="81"/>
      <c r="AE700" s="81"/>
      <c r="AF700" s="81"/>
      <c r="AG700" s="81">
        <f>Sal_23[[#This Row],[COMPRA]]*12%</f>
        <v>571.48680000000002</v>
      </c>
      <c r="AH700" s="83">
        <v>4762.3900000000003</v>
      </c>
      <c r="AI700" s="66" t="str">
        <f>PROPER(TEXT(Sal_23[[#This Row],[PROGRAMAÇÃO]],"mmm"))</f>
        <v>Jul</v>
      </c>
      <c r="AJ700" s="66">
        <f>YEAR(Sal_23[[#This Row],[PROGRAMAÇÃO]])</f>
        <v>2023</v>
      </c>
      <c r="AK700" s="66"/>
      <c r="AL700" s="66"/>
      <c r="AM700" s="66" t="s">
        <v>2768</v>
      </c>
      <c r="AN700" s="66" t="s">
        <v>2768</v>
      </c>
      <c r="AO700" s="66" t="s">
        <v>2768</v>
      </c>
    </row>
    <row r="701" spans="2:41" x14ac:dyDescent="0.25">
      <c r="B701" s="128" t="s">
        <v>2771</v>
      </c>
      <c r="C70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01" s="79">
        <v>45117.333333333336</v>
      </c>
      <c r="E701" s="44" t="s">
        <v>5450</v>
      </c>
      <c r="F701" s="66">
        <v>40</v>
      </c>
      <c r="G701" s="66" t="s">
        <v>2826</v>
      </c>
      <c r="H701" s="44" t="s">
        <v>4395</v>
      </c>
      <c r="I701" s="299" t="s">
        <v>3072</v>
      </c>
      <c r="J701" s="66">
        <v>6605</v>
      </c>
      <c r="K701" s="66" t="s">
        <v>5458</v>
      </c>
      <c r="L701" s="66">
        <v>107984</v>
      </c>
      <c r="M701" s="66"/>
      <c r="N701" s="66" t="s">
        <v>2389</v>
      </c>
      <c r="O701" s="66" t="s">
        <v>2390</v>
      </c>
      <c r="P701" s="66" t="s">
        <v>892</v>
      </c>
      <c r="Q701" s="138" t="str">
        <f ca="1">IFERROR(LOOKUP($P701,MOTORISTAS!$D$3:$D$1048576,MOTORISTAS!E$3:E$916),"")</f>
        <v>55283063968</v>
      </c>
      <c r="R701" s="138" t="str">
        <f ca="1">IFERROR(LOOKUP($P701,MOTORISTAS!$D$3:$D$1048576,MOTORISTAS!F$3:F$916),"")</f>
        <v>02537032407</v>
      </c>
      <c r="S701" s="66">
        <v>16678</v>
      </c>
      <c r="T701" s="66" t="s">
        <v>293</v>
      </c>
      <c r="U701" s="79">
        <v>45115.217361111114</v>
      </c>
      <c r="V701" s="66" t="s">
        <v>469</v>
      </c>
      <c r="W701" s="79">
        <v>45117.628472222219</v>
      </c>
      <c r="X701" s="79">
        <v>45117.15625</v>
      </c>
      <c r="Y701" s="88">
        <v>45117.444444444445</v>
      </c>
      <c r="Z701" s="81"/>
      <c r="AA701" s="81"/>
      <c r="AB701" s="81"/>
      <c r="AC701" s="81"/>
      <c r="AD701" s="81"/>
      <c r="AE701" s="81"/>
      <c r="AF701" s="81"/>
      <c r="AG701" s="81">
        <f>Sal_23[[#This Row],[COMPRA]]*12%</f>
        <v>381.34559999999999</v>
      </c>
      <c r="AH701" s="83">
        <v>3177.88</v>
      </c>
      <c r="AI701" s="66" t="str">
        <f>PROPER(TEXT(Sal_23[[#This Row],[PROGRAMAÇÃO]],"mmm"))</f>
        <v>Jul</v>
      </c>
      <c r="AJ701" s="66">
        <f>YEAR(Sal_23[[#This Row],[PROGRAMAÇÃO]])</f>
        <v>2023</v>
      </c>
      <c r="AK701" s="66"/>
      <c r="AL701" s="66"/>
      <c r="AM701" s="66" t="s">
        <v>2768</v>
      </c>
      <c r="AN701" s="66" t="s">
        <v>2768</v>
      </c>
      <c r="AO701" s="66" t="s">
        <v>2768</v>
      </c>
    </row>
    <row r="702" spans="2:41" x14ac:dyDescent="0.25">
      <c r="B702" s="128" t="s">
        <v>2771</v>
      </c>
      <c r="C70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02" s="79">
        <v>45117.333333333336</v>
      </c>
      <c r="E702" s="44" t="s">
        <v>5451</v>
      </c>
      <c r="F702" s="66">
        <v>40</v>
      </c>
      <c r="G702" s="66" t="s">
        <v>2826</v>
      </c>
      <c r="H702" s="44" t="s">
        <v>2835</v>
      </c>
      <c r="I702" s="299" t="s">
        <v>2822</v>
      </c>
      <c r="J702" s="66">
        <v>6562</v>
      </c>
      <c r="K702" s="66" t="s">
        <v>5458</v>
      </c>
      <c r="L702" s="66">
        <v>107894</v>
      </c>
      <c r="M702" s="66"/>
      <c r="N702" s="66" t="s">
        <v>2859</v>
      </c>
      <c r="O702" s="66" t="s">
        <v>4701</v>
      </c>
      <c r="P702" s="66" t="s">
        <v>2861</v>
      </c>
      <c r="Q702" s="138" t="str">
        <f ca="1">IFERROR(LOOKUP($P702,MOTORISTAS!$D$3:$D$1048576,MOTORISTAS!E$3:E$916),"")</f>
        <v>01817591878</v>
      </c>
      <c r="R702" s="138" t="str">
        <f ca="1">IFERROR(LOOKUP($P702,MOTORISTAS!$D$3:$D$1048576,MOTORISTAS!F$3:F$916),"")</f>
        <v>00821760640</v>
      </c>
      <c r="S702" s="66">
        <v>16677</v>
      </c>
      <c r="T702" s="66" t="s">
        <v>293</v>
      </c>
      <c r="U702" s="79">
        <v>45116.861111111109</v>
      </c>
      <c r="V702" s="66" t="s">
        <v>469</v>
      </c>
      <c r="W702" s="79">
        <v>45117.7</v>
      </c>
      <c r="X702" s="79">
        <v>45117.013888888891</v>
      </c>
      <c r="Y702" s="88">
        <v>45117.395833333336</v>
      </c>
      <c r="Z702" s="81">
        <v>2100</v>
      </c>
      <c r="AA702" s="81"/>
      <c r="AB702" s="81"/>
      <c r="AC702" s="81"/>
      <c r="AD702" s="81"/>
      <c r="AE702" s="81"/>
      <c r="AF702" s="81"/>
      <c r="AG702" s="81">
        <f>Sal_23[[#This Row],[COMPRA]]*12%</f>
        <v>370.37759999999997</v>
      </c>
      <c r="AH702" s="83">
        <v>3086.48</v>
      </c>
      <c r="AI702" s="66" t="str">
        <f>PROPER(TEXT(Sal_23[[#This Row],[PROGRAMAÇÃO]],"mmm"))</f>
        <v>Jul</v>
      </c>
      <c r="AJ702" s="66">
        <f>YEAR(Sal_23[[#This Row],[PROGRAMAÇÃO]])</f>
        <v>2023</v>
      </c>
      <c r="AK702" s="66"/>
      <c r="AL702" s="66"/>
      <c r="AM702" s="66" t="s">
        <v>2768</v>
      </c>
      <c r="AN702" s="66" t="s">
        <v>2768</v>
      </c>
      <c r="AO702" s="66" t="s">
        <v>2768</v>
      </c>
    </row>
    <row r="703" spans="2:41" x14ac:dyDescent="0.25">
      <c r="B703" s="128" t="s">
        <v>2771</v>
      </c>
      <c r="C70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03" s="79">
        <v>45117.333333333336</v>
      </c>
      <c r="E703" s="44" t="s">
        <v>5456</v>
      </c>
      <c r="F703" s="66">
        <v>40</v>
      </c>
      <c r="G703" s="66" t="s">
        <v>2826</v>
      </c>
      <c r="H703" s="44" t="s">
        <v>1674</v>
      </c>
      <c r="I703" s="299" t="s">
        <v>2829</v>
      </c>
      <c r="J703" s="66">
        <v>6604</v>
      </c>
      <c r="K703" s="66" t="s">
        <v>5458</v>
      </c>
      <c r="L703" s="66">
        <v>107985</v>
      </c>
      <c r="M703" s="66">
        <v>107986</v>
      </c>
      <c r="N703" s="66" t="s">
        <v>1729</v>
      </c>
      <c r="O703" s="66" t="s">
        <v>4556</v>
      </c>
      <c r="P703" s="66" t="s">
        <v>5490</v>
      </c>
      <c r="Q703" s="138" t="str">
        <f ca="1">IFERROR(LOOKUP($P703,MOTORISTAS!$D$3:$D$1048576,MOTORISTAS!E$3:E$916),"")</f>
        <v>82272140025</v>
      </c>
      <c r="R703" s="138" t="str">
        <f ca="1">IFERROR(LOOKUP($P703,MOTORISTAS!$D$3:$D$1048576,MOTORISTAS!F$3:F$916),"")</f>
        <v>04188273191</v>
      </c>
      <c r="S703" s="66">
        <v>16671</v>
      </c>
      <c r="T703" s="66" t="s">
        <v>293</v>
      </c>
      <c r="U703" s="79">
        <v>45116.982638888891</v>
      </c>
      <c r="V703" s="66" t="s">
        <v>469</v>
      </c>
      <c r="W703" s="79">
        <v>45117.543055555558</v>
      </c>
      <c r="X703" s="79">
        <v>45117.159722222219</v>
      </c>
      <c r="Y703" s="88">
        <v>45117.465277777781</v>
      </c>
      <c r="Z703" s="81">
        <v>3300</v>
      </c>
      <c r="AA703" s="81"/>
      <c r="AB703" s="81"/>
      <c r="AC703" s="81"/>
      <c r="AD703" s="81"/>
      <c r="AE703" s="81"/>
      <c r="AF703" s="81"/>
      <c r="AG703" s="81">
        <f>Sal_23[[#This Row],[COMPRA]]*12%</f>
        <v>558.28319999999997</v>
      </c>
      <c r="AH703" s="83">
        <v>4652.3599999999997</v>
      </c>
      <c r="AI703" s="66" t="str">
        <f>PROPER(TEXT(Sal_23[[#This Row],[PROGRAMAÇÃO]],"mmm"))</f>
        <v>Jul</v>
      </c>
      <c r="AJ703" s="66">
        <f>YEAR(Sal_23[[#This Row],[PROGRAMAÇÃO]])</f>
        <v>2023</v>
      </c>
      <c r="AK703" s="66"/>
      <c r="AL703" s="66"/>
      <c r="AM703" s="66" t="s">
        <v>2768</v>
      </c>
      <c r="AN703" s="66" t="s">
        <v>2768</v>
      </c>
      <c r="AO703" s="66" t="s">
        <v>2768</v>
      </c>
    </row>
    <row r="704" spans="2:41" x14ac:dyDescent="0.25">
      <c r="B704" s="128" t="s">
        <v>2771</v>
      </c>
      <c r="C70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04" s="79">
        <v>45117.333333333336</v>
      </c>
      <c r="E704" s="44" t="s">
        <v>5457</v>
      </c>
      <c r="F704" s="66">
        <v>40</v>
      </c>
      <c r="G704" s="66" t="s">
        <v>2826</v>
      </c>
      <c r="H704" s="44" t="s">
        <v>1674</v>
      </c>
      <c r="I704" s="299" t="s">
        <v>2829</v>
      </c>
      <c r="J704" s="66">
        <v>6724</v>
      </c>
      <c r="K704" s="66" t="s">
        <v>5458</v>
      </c>
      <c r="L704" s="66">
        <v>108045</v>
      </c>
      <c r="M704" s="66">
        <v>108044</v>
      </c>
      <c r="N704" s="66" t="s">
        <v>3572</v>
      </c>
      <c r="O704" s="66" t="s">
        <v>2623</v>
      </c>
      <c r="P704" s="66" t="s">
        <v>2624</v>
      </c>
      <c r="Q704" s="138" t="str">
        <f ca="1">IFERROR(LOOKUP($P704,MOTORISTAS!$D$3:$D$1048576,MOTORISTAS!E$3:E$916),"")</f>
        <v>31147992568</v>
      </c>
      <c r="R704" s="138" t="str">
        <f ca="1">IFERROR(LOOKUP($P704,MOTORISTAS!$D$3:$D$1048576,MOTORISTAS!F$3:F$916),"")</f>
        <v>03359999478</v>
      </c>
      <c r="S704" s="66">
        <v>16673</v>
      </c>
      <c r="T704" s="66" t="s">
        <v>293</v>
      </c>
      <c r="U704" s="79">
        <v>45116.931250000001</v>
      </c>
      <c r="V704" s="66" t="s">
        <v>469</v>
      </c>
      <c r="W704" s="79">
        <v>45117.711111111108</v>
      </c>
      <c r="X704" s="79">
        <v>45117.159722222219</v>
      </c>
      <c r="Y704" s="88">
        <v>45117.479166666664</v>
      </c>
      <c r="Z704" s="81">
        <v>3300</v>
      </c>
      <c r="AA704" s="81"/>
      <c r="AB704" s="81"/>
      <c r="AC704" s="81"/>
      <c r="AD704" s="81"/>
      <c r="AE704" s="81"/>
      <c r="AF704" s="81"/>
      <c r="AG704" s="81">
        <f>Sal_23[[#This Row],[COMPRA]]*12%</f>
        <v>558.28319999999997</v>
      </c>
      <c r="AH704" s="83">
        <v>4652.3599999999997</v>
      </c>
      <c r="AI704" s="66" t="str">
        <f>PROPER(TEXT(Sal_23[[#This Row],[PROGRAMAÇÃO]],"mmm"))</f>
        <v>Jul</v>
      </c>
      <c r="AJ704" s="66">
        <f>YEAR(Sal_23[[#This Row],[PROGRAMAÇÃO]])</f>
        <v>2023</v>
      </c>
      <c r="AK704" s="66"/>
      <c r="AL704" s="66"/>
      <c r="AM704" s="66" t="s">
        <v>2768</v>
      </c>
      <c r="AN704" s="66" t="s">
        <v>2768</v>
      </c>
      <c r="AO704" s="66" t="s">
        <v>2768</v>
      </c>
    </row>
    <row r="705" spans="2:41" x14ac:dyDescent="0.25">
      <c r="B705" s="128" t="s">
        <v>2771</v>
      </c>
      <c r="C70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05" s="79">
        <v>45118.333333333336</v>
      </c>
      <c r="E705" s="44" t="s">
        <v>5439</v>
      </c>
      <c r="F705" s="66">
        <v>20</v>
      </c>
      <c r="G705" s="66" t="s">
        <v>2837</v>
      </c>
      <c r="H705" s="44" t="s">
        <v>2837</v>
      </c>
      <c r="I705" s="299" t="s">
        <v>2821</v>
      </c>
      <c r="J705" s="66">
        <v>6725</v>
      </c>
      <c r="K705" s="66" t="s">
        <v>5458</v>
      </c>
      <c r="L705" s="66">
        <v>107993</v>
      </c>
      <c r="M705" s="66"/>
      <c r="N705" s="66" t="s">
        <v>2156</v>
      </c>
      <c r="O705" s="66" t="s">
        <v>2464</v>
      </c>
      <c r="P705" s="66" t="s">
        <v>2158</v>
      </c>
      <c r="Q705" s="138" t="str">
        <f ca="1">IFERROR(LOOKUP($P705,MOTORISTAS!$D$3:$D$1048576,MOTORISTAS!E$3:E$916),"")</f>
        <v>10485530864</v>
      </c>
      <c r="R705" s="138" t="str">
        <f ca="1">IFERROR(LOOKUP($P705,MOTORISTAS!$D$3:$D$1048576,MOTORISTAS!F$3:F$916),"")</f>
        <v>02033192841</v>
      </c>
      <c r="S705" s="66">
        <v>16683</v>
      </c>
      <c r="T705" s="66" t="s">
        <v>293</v>
      </c>
      <c r="U705" s="79">
        <v>45117.922222222223</v>
      </c>
      <c r="V705" s="66" t="s">
        <v>469</v>
      </c>
      <c r="W705" s="66" t="s">
        <v>5621</v>
      </c>
      <c r="X705" s="79">
        <v>45118.25</v>
      </c>
      <c r="Y705" s="88">
        <v>45118.444444444445</v>
      </c>
      <c r="Z705" s="81">
        <v>1600</v>
      </c>
      <c r="AA705" s="81"/>
      <c r="AB705" s="81"/>
      <c r="AC705" s="81"/>
      <c r="AD705" s="81"/>
      <c r="AE705" s="81"/>
      <c r="AF705" s="81"/>
      <c r="AG705" s="81">
        <f>Sal_23[[#This Row],[COMPRA]]*12%</f>
        <v>311.55959999999999</v>
      </c>
      <c r="AH705" s="83">
        <v>2596.33</v>
      </c>
      <c r="AI705" s="66" t="str">
        <f>PROPER(TEXT(Sal_23[[#This Row],[PROGRAMAÇÃO]],"mmm"))</f>
        <v>Jul</v>
      </c>
      <c r="AJ705" s="66">
        <f>YEAR(Sal_23[[#This Row],[PROGRAMAÇÃO]])</f>
        <v>2023</v>
      </c>
      <c r="AK705" s="66"/>
      <c r="AL705" s="66"/>
      <c r="AM705" s="66" t="s">
        <v>2768</v>
      </c>
      <c r="AN705" s="66" t="s">
        <v>2768</v>
      </c>
      <c r="AO705" s="66" t="s">
        <v>2768</v>
      </c>
    </row>
    <row r="706" spans="2:41" x14ac:dyDescent="0.25">
      <c r="B706" s="128" t="s">
        <v>2771</v>
      </c>
      <c r="C70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06" s="79">
        <v>45118.333333333336</v>
      </c>
      <c r="E706" s="44" t="s">
        <v>5452</v>
      </c>
      <c r="F706" s="66">
        <v>40</v>
      </c>
      <c r="G706" s="66" t="s">
        <v>2826</v>
      </c>
      <c r="H706" s="44" t="s">
        <v>2835</v>
      </c>
      <c r="I706" s="299" t="s">
        <v>2822</v>
      </c>
      <c r="J706" s="66">
        <v>6578</v>
      </c>
      <c r="K706" s="66" t="s">
        <v>5458</v>
      </c>
      <c r="L706" s="66">
        <v>107861</v>
      </c>
      <c r="M706" s="66"/>
      <c r="N706" s="66" t="s">
        <v>2859</v>
      </c>
      <c r="O706" s="66" t="s">
        <v>4701</v>
      </c>
      <c r="P706" s="66" t="s">
        <v>2861</v>
      </c>
      <c r="Q706" s="138" t="str">
        <f ca="1">IFERROR(LOOKUP($P706,MOTORISTAS!$D$3:$D$1048576,MOTORISTAS!E$3:E$916),"")</f>
        <v>01817591878</v>
      </c>
      <c r="R706" s="138" t="str">
        <f ca="1">IFERROR(LOOKUP($P706,MOTORISTAS!$D$3:$D$1048576,MOTORISTAS!F$3:F$916),"")</f>
        <v>00821760640</v>
      </c>
      <c r="S706" s="66">
        <v>16684</v>
      </c>
      <c r="T706" s="66" t="s">
        <v>293</v>
      </c>
      <c r="U706" s="79">
        <v>45117.904861111114</v>
      </c>
      <c r="V706" s="66" t="s">
        <v>469</v>
      </c>
      <c r="W706" s="79">
        <v>45118.614583333336</v>
      </c>
      <c r="X706" s="79">
        <v>45118.041666666664</v>
      </c>
      <c r="Y706" s="88">
        <v>45118.493055555555</v>
      </c>
      <c r="Z706" s="81">
        <v>2100</v>
      </c>
      <c r="AA706" s="81"/>
      <c r="AB706" s="81"/>
      <c r="AC706" s="81"/>
      <c r="AD706" s="81"/>
      <c r="AE706" s="81"/>
      <c r="AF706" s="81"/>
      <c r="AG706" s="81">
        <f>Sal_23[[#This Row],[COMPRA]]*12%</f>
        <v>370.37759999999997</v>
      </c>
      <c r="AH706" s="83">
        <v>3086.48</v>
      </c>
      <c r="AI706" s="66" t="str">
        <f>PROPER(TEXT(Sal_23[[#This Row],[PROGRAMAÇÃO]],"mmm"))</f>
        <v>Jul</v>
      </c>
      <c r="AJ706" s="66">
        <f>YEAR(Sal_23[[#This Row],[PROGRAMAÇÃO]])</f>
        <v>2023</v>
      </c>
      <c r="AK706" s="66"/>
      <c r="AL706" s="66"/>
      <c r="AM706" s="66" t="s">
        <v>2768</v>
      </c>
      <c r="AN706" s="66" t="s">
        <v>2768</v>
      </c>
      <c r="AO706" s="66" t="s">
        <v>2768</v>
      </c>
    </row>
    <row r="707" spans="2:41" x14ac:dyDescent="0.25">
      <c r="B707" s="128" t="s">
        <v>2771</v>
      </c>
      <c r="C70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07" s="79">
        <v>45118.333333333336</v>
      </c>
      <c r="E707" s="44" t="s">
        <v>5453</v>
      </c>
      <c r="F707" s="66">
        <v>40</v>
      </c>
      <c r="G707" s="66" t="s">
        <v>2826</v>
      </c>
      <c r="H707" s="44" t="s">
        <v>2836</v>
      </c>
      <c r="I707" s="299" t="s">
        <v>708</v>
      </c>
      <c r="J707" s="66">
        <v>5678</v>
      </c>
      <c r="K707" s="66" t="s">
        <v>5458</v>
      </c>
      <c r="L707" s="66">
        <v>107945</v>
      </c>
      <c r="M707" s="66"/>
      <c r="N707" s="66" t="s">
        <v>5517</v>
      </c>
      <c r="O707" s="66" t="s">
        <v>5518</v>
      </c>
      <c r="P707" s="66" t="s">
        <v>5519</v>
      </c>
      <c r="Q707" s="138" t="str">
        <f ca="1">IFERROR(LOOKUP($P707,MOTORISTAS!$D$3:$D$1048576,MOTORISTAS!E$3:E$916),"")</f>
        <v>05820198859</v>
      </c>
      <c r="R707" s="138" t="str">
        <f ca="1">IFERROR(LOOKUP($P707,MOTORISTAS!$D$3:$D$1048576,MOTORISTAS!F$3:F$916),"")</f>
        <v>02745626246</v>
      </c>
      <c r="S707" s="66">
        <v>16682</v>
      </c>
      <c r="T707" s="66" t="s">
        <v>293</v>
      </c>
      <c r="U707" s="79">
        <v>45117.88958333333</v>
      </c>
      <c r="V707" s="66" t="s">
        <v>469</v>
      </c>
      <c r="W707" s="79">
        <v>45118.59375</v>
      </c>
      <c r="X707" s="79">
        <v>45118.291666666664</v>
      </c>
      <c r="Y707" s="88">
        <v>45118.534722222219</v>
      </c>
      <c r="Z707" s="81"/>
      <c r="AA707" s="81"/>
      <c r="AB707" s="81"/>
      <c r="AC707" s="81"/>
      <c r="AD707" s="81"/>
      <c r="AE707" s="81"/>
      <c r="AF707" s="81"/>
      <c r="AG707" s="81">
        <f>Sal_23[[#This Row],[COMPRA]]*12%</f>
        <v>234</v>
      </c>
      <c r="AH707" s="83">
        <v>1950</v>
      </c>
      <c r="AI707" s="66" t="str">
        <f>PROPER(TEXT(Sal_23[[#This Row],[PROGRAMAÇÃO]],"mmm"))</f>
        <v>Jul</v>
      </c>
      <c r="AJ707" s="66">
        <f>YEAR(Sal_23[[#This Row],[PROGRAMAÇÃO]])</f>
        <v>2023</v>
      </c>
      <c r="AK707" s="66"/>
      <c r="AL707" s="66"/>
      <c r="AM707" s="66" t="s">
        <v>2768</v>
      </c>
      <c r="AN707" s="66" t="s">
        <v>2768</v>
      </c>
      <c r="AO707" s="66" t="s">
        <v>2768</v>
      </c>
    </row>
    <row r="708" spans="2:41" x14ac:dyDescent="0.25">
      <c r="B708" s="128" t="s">
        <v>2771</v>
      </c>
      <c r="C70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08" s="79">
        <v>45124.375</v>
      </c>
      <c r="E708" s="258" t="s">
        <v>5554</v>
      </c>
      <c r="F708" s="66">
        <v>20</v>
      </c>
      <c r="G708" s="66" t="s">
        <v>2820</v>
      </c>
      <c r="H708" s="44" t="s">
        <v>2820</v>
      </c>
      <c r="I708" s="299" t="s">
        <v>2821</v>
      </c>
      <c r="J708" s="66" t="s">
        <v>5608</v>
      </c>
      <c r="K708" s="66" t="s">
        <v>5564</v>
      </c>
      <c r="L708" s="66">
        <v>108143</v>
      </c>
      <c r="M708" s="66"/>
      <c r="N708" s="66" t="s">
        <v>3028</v>
      </c>
      <c r="O708" s="66" t="s">
        <v>2261</v>
      </c>
      <c r="P708" s="66" t="s">
        <v>3443</v>
      </c>
      <c r="Q708" s="138" t="str">
        <f ca="1">IFERROR(LOOKUP($P708,MOTORISTAS!$D$3:$D$1048576,MOTORISTAS!E$3:E$916),"")</f>
        <v>13990937898</v>
      </c>
      <c r="R708" s="138" t="str">
        <f ca="1">IFERROR(LOOKUP($P708,MOTORISTAS!$D$3:$D$1048576,MOTORISTAS!F$3:F$916),"")</f>
        <v>01825123407</v>
      </c>
      <c r="S708" s="66">
        <v>16740</v>
      </c>
      <c r="T708" s="66" t="s">
        <v>306</v>
      </c>
      <c r="U708" s="79">
        <v>45124.000694444447</v>
      </c>
      <c r="V708" s="66" t="s">
        <v>526</v>
      </c>
      <c r="W708" s="79">
        <v>45124.611805555556</v>
      </c>
      <c r="X708" s="79">
        <v>45124.128472222219</v>
      </c>
      <c r="Y708" s="88">
        <v>45124.5</v>
      </c>
      <c r="Z708" s="81">
        <v>1600</v>
      </c>
      <c r="AA708" s="81"/>
      <c r="AB708" s="81"/>
      <c r="AC708" s="81"/>
      <c r="AD708" s="81">
        <v>1757.6</v>
      </c>
      <c r="AE708" s="81"/>
      <c r="AF708" s="81">
        <v>266.39999999999998</v>
      </c>
      <c r="AG708" s="81">
        <f>Sal_23[[#This Row],[COMPRA]]*12%</f>
        <v>276</v>
      </c>
      <c r="AH708" s="83">
        <v>2300</v>
      </c>
      <c r="AI708" s="66" t="str">
        <f>PROPER(TEXT(Sal_23[[#This Row],[PROGRAMAÇÃO]],"mmm"))</f>
        <v>Jul</v>
      </c>
      <c r="AJ708" s="66">
        <f>YEAR(Sal_23[[#This Row],[PROGRAMAÇÃO]])</f>
        <v>2023</v>
      </c>
      <c r="AK708" s="66"/>
      <c r="AL708" s="66"/>
      <c r="AM708" s="66" t="s">
        <v>2768</v>
      </c>
      <c r="AN708" s="66" t="s">
        <v>2768</v>
      </c>
      <c r="AO708" s="66" t="s">
        <v>2768</v>
      </c>
    </row>
    <row r="709" spans="2:41" x14ac:dyDescent="0.25">
      <c r="B709" s="128" t="s">
        <v>2771</v>
      </c>
      <c r="C70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09" s="79">
        <v>45124.458333333336</v>
      </c>
      <c r="E709" s="258" t="s">
        <v>5555</v>
      </c>
      <c r="F709" s="66">
        <v>20</v>
      </c>
      <c r="G709" s="66" t="s">
        <v>2820</v>
      </c>
      <c r="H709" s="44" t="s">
        <v>2820</v>
      </c>
      <c r="I709" s="299" t="s">
        <v>2821</v>
      </c>
      <c r="J709" s="66" t="s">
        <v>5608</v>
      </c>
      <c r="K709" s="66" t="s">
        <v>5564</v>
      </c>
      <c r="L709" s="66">
        <v>108144</v>
      </c>
      <c r="M709" s="66"/>
      <c r="N709" s="66" t="s">
        <v>5609</v>
      </c>
      <c r="O709" s="66" t="s">
        <v>2946</v>
      </c>
      <c r="P709" s="66" t="s">
        <v>5610</v>
      </c>
      <c r="Q709" s="138" t="str">
        <f ca="1">IFERROR(LOOKUP($P709,MOTORISTAS!$D$3:$D$1048576,MOTORISTAS!E$3:E$916),"")</f>
        <v>16470324827</v>
      </c>
      <c r="R709" s="138" t="str">
        <f ca="1">IFERROR(LOOKUP($P709,MOTORISTAS!$D$3:$D$1048576,MOTORISTAS!F$3:F$916),"")</f>
        <v>02687210421</v>
      </c>
      <c r="S709" s="66">
        <v>16741</v>
      </c>
      <c r="T709" s="66" t="s">
        <v>306</v>
      </c>
      <c r="U709" s="79">
        <v>45124.25</v>
      </c>
      <c r="V709" s="66" t="s">
        <v>409</v>
      </c>
      <c r="W709" s="79">
        <v>45125.614583333336</v>
      </c>
      <c r="X709" s="79">
        <v>45124.520833333336</v>
      </c>
      <c r="Y709" s="88">
        <v>45124.583333333336</v>
      </c>
      <c r="Z709" s="81">
        <v>1600</v>
      </c>
      <c r="AA709" s="81"/>
      <c r="AB709" s="81"/>
      <c r="AC709" s="81"/>
      <c r="AD709" s="81">
        <v>1757.6</v>
      </c>
      <c r="AE709" s="81"/>
      <c r="AF709" s="81">
        <v>266.39999999999998</v>
      </c>
      <c r="AG709" s="81">
        <f>Sal_23[[#This Row],[COMPRA]]*12%</f>
        <v>276</v>
      </c>
      <c r="AH709" s="83">
        <v>2300</v>
      </c>
      <c r="AI709" s="66" t="str">
        <f>PROPER(TEXT(Sal_23[[#This Row],[PROGRAMAÇÃO]],"mmm"))</f>
        <v>Jul</v>
      </c>
      <c r="AJ709" s="66">
        <f>YEAR(Sal_23[[#This Row],[PROGRAMAÇÃO]])</f>
        <v>2023</v>
      </c>
      <c r="AK709" s="66" t="s">
        <v>5620</v>
      </c>
      <c r="AL709" s="66" t="s">
        <v>3643</v>
      </c>
      <c r="AM709" s="66" t="s">
        <v>2768</v>
      </c>
      <c r="AN709" s="66" t="s">
        <v>2768</v>
      </c>
      <c r="AO709" s="66" t="s">
        <v>2768</v>
      </c>
    </row>
    <row r="710" spans="2:41" x14ac:dyDescent="0.25">
      <c r="B710" s="128" t="s">
        <v>2771</v>
      </c>
      <c r="C71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10" s="79">
        <v>45124.375</v>
      </c>
      <c r="E710" s="258" t="s">
        <v>5563</v>
      </c>
      <c r="F710" s="66">
        <v>40</v>
      </c>
      <c r="G710" s="66" t="s">
        <v>2820</v>
      </c>
      <c r="H710" s="44" t="s">
        <v>2820</v>
      </c>
      <c r="I710" s="299" t="s">
        <v>2821</v>
      </c>
      <c r="J710" s="66" t="s">
        <v>5619</v>
      </c>
      <c r="K710" s="66" t="s">
        <v>5564</v>
      </c>
      <c r="L710" s="66">
        <v>108455</v>
      </c>
      <c r="M710" s="66"/>
      <c r="N710" s="66" t="s">
        <v>2859</v>
      </c>
      <c r="O710" s="66" t="s">
        <v>4701</v>
      </c>
      <c r="P710" s="66" t="s">
        <v>2861</v>
      </c>
      <c r="Q710" s="138" t="str">
        <f ca="1">IFERROR(LOOKUP($P710,MOTORISTAS!$D$3:$D$1048576,MOTORISTAS!E$3:E$916),"")</f>
        <v>01817591878</v>
      </c>
      <c r="R710" s="138" t="str">
        <f ca="1">IFERROR(LOOKUP($P710,MOTORISTAS!$D$3:$D$1048576,MOTORISTAS!F$3:F$916),"")</f>
        <v>00821760640</v>
      </c>
      <c r="S710" s="66">
        <v>16739</v>
      </c>
      <c r="T710" s="66" t="s">
        <v>306</v>
      </c>
      <c r="U710" s="79">
        <v>45124.000694444447</v>
      </c>
      <c r="V710" s="66" t="s">
        <v>526</v>
      </c>
      <c r="W710" s="79">
        <v>45124.490277777775</v>
      </c>
      <c r="X710" s="79">
        <v>45124.128472222219</v>
      </c>
      <c r="Y710" s="88">
        <v>45124.520833333336</v>
      </c>
      <c r="Z710" s="81">
        <v>1600</v>
      </c>
      <c r="AA710" s="81"/>
      <c r="AB710" s="81"/>
      <c r="AC710" s="81"/>
      <c r="AD710" s="81">
        <v>1757.6</v>
      </c>
      <c r="AE710" s="81"/>
      <c r="AF710" s="81">
        <v>266.39999999999998</v>
      </c>
      <c r="AG710" s="81">
        <f>Sal_23[[#This Row],[COMPRA]]*12%</f>
        <v>276</v>
      </c>
      <c r="AH710" s="83">
        <v>2300</v>
      </c>
      <c r="AI710" s="66" t="str">
        <f>PROPER(TEXT(Sal_23[[#This Row],[PROGRAMAÇÃO]],"mmm"))</f>
        <v>Jul</v>
      </c>
      <c r="AJ710" s="66">
        <f>YEAR(Sal_23[[#This Row],[PROGRAMAÇÃO]])</f>
        <v>2023</v>
      </c>
      <c r="AK710" s="66"/>
      <c r="AL710" s="66"/>
      <c r="AM710" s="66" t="s">
        <v>2768</v>
      </c>
      <c r="AN710" s="66" t="s">
        <v>2768</v>
      </c>
      <c r="AO710" s="66" t="s">
        <v>2768</v>
      </c>
    </row>
    <row r="711" spans="2:41" x14ac:dyDescent="0.25">
      <c r="B711" s="128" t="s">
        <v>2771</v>
      </c>
      <c r="C71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11" s="79">
        <v>45125.458333333336</v>
      </c>
      <c r="E711" s="44" t="s">
        <v>5557</v>
      </c>
      <c r="F711" s="66">
        <v>20</v>
      </c>
      <c r="G711" s="66" t="s">
        <v>2820</v>
      </c>
      <c r="H711" s="44" t="s">
        <v>2820</v>
      </c>
      <c r="I711" s="299" t="s">
        <v>2821</v>
      </c>
      <c r="J711" s="66" t="s">
        <v>5623</v>
      </c>
      <c r="K711" s="66" t="s">
        <v>5564</v>
      </c>
      <c r="L711" s="66">
        <v>108445</v>
      </c>
      <c r="M711" s="66"/>
      <c r="N711" s="66" t="s">
        <v>106</v>
      </c>
      <c r="O711" s="66" t="s">
        <v>3246</v>
      </c>
      <c r="P711" s="66" t="s">
        <v>108</v>
      </c>
      <c r="Q711" s="138" t="str">
        <f ca="1">IFERROR(LOOKUP($P711,MOTORISTAS!$D$3:$D$1048576,MOTORISTAS!E$3:E$916),"")</f>
        <v>34927982840</v>
      </c>
      <c r="R711" s="138" t="str">
        <f ca="1">IFERROR(LOOKUP($P711,MOTORISTAS!$D$3:$D$1048576,MOTORISTAS!F$3:F$916),"")</f>
        <v>03500129879</v>
      </c>
      <c r="S711" s="66">
        <v>16752</v>
      </c>
      <c r="T711" s="66" t="s">
        <v>306</v>
      </c>
      <c r="U711" s="79">
        <v>45125.252083333333</v>
      </c>
      <c r="V711" s="66" t="s">
        <v>292</v>
      </c>
      <c r="W711" s="79">
        <v>45126.498611111114</v>
      </c>
      <c r="X711" s="79">
        <v>45125.322916666664</v>
      </c>
      <c r="Y711" s="88">
        <v>45125.541666666664</v>
      </c>
      <c r="Z711" s="81">
        <v>1600</v>
      </c>
      <c r="AA711" s="81"/>
      <c r="AB711" s="81"/>
      <c r="AC711" s="81"/>
      <c r="AD711" s="81">
        <v>1757.6</v>
      </c>
      <c r="AE711" s="81"/>
      <c r="AF711" s="81">
        <v>266.39999999999998</v>
      </c>
      <c r="AG711" s="81">
        <f>Sal_23[[#This Row],[COMPRA]]*12%</f>
        <v>276</v>
      </c>
      <c r="AH711" s="83">
        <v>2300</v>
      </c>
      <c r="AI711" s="66" t="str">
        <f>PROPER(TEXT(Sal_23[[#This Row],[PROGRAMAÇÃO]],"mmm"))</f>
        <v>Jul</v>
      </c>
      <c r="AJ711" s="66">
        <f>YEAR(Sal_23[[#This Row],[PROGRAMAÇÃO]])</f>
        <v>2023</v>
      </c>
      <c r="AK711" s="66"/>
      <c r="AL711" s="66"/>
      <c r="AM711" s="66" t="s">
        <v>2768</v>
      </c>
      <c r="AN711" s="66" t="s">
        <v>2768</v>
      </c>
      <c r="AO711" s="66" t="s">
        <v>2768</v>
      </c>
    </row>
    <row r="712" spans="2:41" x14ac:dyDescent="0.25">
      <c r="B712" s="128" t="s">
        <v>2771</v>
      </c>
      <c r="C71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12" s="79">
        <v>45125.375</v>
      </c>
      <c r="E712" s="44" t="s">
        <v>5556</v>
      </c>
      <c r="F712" s="66">
        <v>20</v>
      </c>
      <c r="G712" s="66" t="s">
        <v>2820</v>
      </c>
      <c r="H712" s="44" t="s">
        <v>2820</v>
      </c>
      <c r="I712" s="299" t="s">
        <v>2821</v>
      </c>
      <c r="J712" s="66" t="s">
        <v>5622</v>
      </c>
      <c r="K712" s="66" t="s">
        <v>5564</v>
      </c>
      <c r="L712" s="66">
        <v>119323</v>
      </c>
      <c r="M712" s="66"/>
      <c r="N712" s="66" t="s">
        <v>3028</v>
      </c>
      <c r="O712" s="66" t="s">
        <v>2860</v>
      </c>
      <c r="P712" s="66" t="s">
        <v>4707</v>
      </c>
      <c r="Q712" s="138" t="str">
        <f ca="1">IFERROR(LOOKUP($P712,MOTORISTAS!$D$3:$D$1048576,MOTORISTAS!E$3:E$916),"")</f>
        <v>13777529842</v>
      </c>
      <c r="R712" s="138" t="str">
        <f ca="1">IFERROR(LOOKUP($P712,MOTORISTAS!$D$3:$D$1048576,MOTORISTAS!F$3:F$916),"")</f>
        <v>02511580623</v>
      </c>
      <c r="S712" s="66">
        <v>16749</v>
      </c>
      <c r="T712" s="66" t="s">
        <v>306</v>
      </c>
      <c r="U712" s="79">
        <v>45125.004861111112</v>
      </c>
      <c r="V712" s="66" t="s">
        <v>526</v>
      </c>
      <c r="W712" s="79">
        <v>45125.604166666664</v>
      </c>
      <c r="X712" s="79">
        <v>45125.09375</v>
      </c>
      <c r="Y712" s="88">
        <v>45125.506944444445</v>
      </c>
      <c r="Z712" s="81">
        <v>1600</v>
      </c>
      <c r="AA712" s="81"/>
      <c r="AB712" s="81"/>
      <c r="AC712" s="81"/>
      <c r="AD712" s="81">
        <v>1757.6</v>
      </c>
      <c r="AE712" s="81"/>
      <c r="AF712" s="81">
        <v>266.39999999999998</v>
      </c>
      <c r="AG712" s="81">
        <f>Sal_23[[#This Row],[COMPRA]]*12%</f>
        <v>276</v>
      </c>
      <c r="AH712" s="83">
        <v>2300</v>
      </c>
      <c r="AI712" s="66" t="str">
        <f>PROPER(TEXT(Sal_23[[#This Row],[PROGRAMAÇÃO]],"mmm"))</f>
        <v>Jul</v>
      </c>
      <c r="AJ712" s="66">
        <f>YEAR(Sal_23[[#This Row],[PROGRAMAÇÃO]])</f>
        <v>2023</v>
      </c>
      <c r="AK712" s="66"/>
      <c r="AL712" s="66"/>
      <c r="AM712" s="66" t="s">
        <v>2768</v>
      </c>
      <c r="AN712" s="66" t="s">
        <v>2768</v>
      </c>
      <c r="AO712" s="66" t="s">
        <v>2768</v>
      </c>
    </row>
    <row r="713" spans="2:41" x14ac:dyDescent="0.25">
      <c r="B713" s="128" t="s">
        <v>2771</v>
      </c>
      <c r="C71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13" s="79">
        <v>45125.375</v>
      </c>
      <c r="E713" s="44" t="s">
        <v>5558</v>
      </c>
      <c r="F713" s="66">
        <v>20</v>
      </c>
      <c r="G713" s="66" t="s">
        <v>2820</v>
      </c>
      <c r="H713" s="44" t="s">
        <v>2820</v>
      </c>
      <c r="I713" s="299" t="s">
        <v>2821</v>
      </c>
      <c r="J713" s="66" t="s">
        <v>5624</v>
      </c>
      <c r="K713" s="66" t="s">
        <v>5564</v>
      </c>
      <c r="L713" s="66">
        <v>108446</v>
      </c>
      <c r="M713" s="66"/>
      <c r="N713" s="66" t="s">
        <v>3028</v>
      </c>
      <c r="O713" s="66" t="s">
        <v>2261</v>
      </c>
      <c r="P713" s="66" t="s">
        <v>5270</v>
      </c>
      <c r="Q713" s="138" t="str">
        <f ca="1">IFERROR(LOOKUP($P713,MOTORISTAS!$D$3:$D$1048576,MOTORISTAS!E$3:E$916),"")</f>
        <v>16612151811</v>
      </c>
      <c r="R713" s="138" t="str">
        <f ca="1">IFERROR(LOOKUP($P713,MOTORISTAS!$D$3:$D$1048576,MOTORISTAS!F$3:F$916),"")</f>
        <v>01055332889</v>
      </c>
      <c r="S713" s="66">
        <v>16750</v>
      </c>
      <c r="T713" s="66" t="s">
        <v>306</v>
      </c>
      <c r="U713" s="79">
        <v>45124.986111111109</v>
      </c>
      <c r="V713" s="66" t="s">
        <v>526</v>
      </c>
      <c r="W713" s="79">
        <v>45125.592361111114</v>
      </c>
      <c r="X713" s="79">
        <v>45125.09375</v>
      </c>
      <c r="Y713" s="88">
        <v>45125.506944444445</v>
      </c>
      <c r="Z713" s="81">
        <v>1600</v>
      </c>
      <c r="AA713" s="81"/>
      <c r="AB713" s="81"/>
      <c r="AC713" s="81"/>
      <c r="AD713" s="81">
        <v>1757.6</v>
      </c>
      <c r="AE713" s="81"/>
      <c r="AF713" s="81">
        <v>266.39999999999998</v>
      </c>
      <c r="AG713" s="81">
        <f>Sal_23[[#This Row],[COMPRA]]*12%</f>
        <v>276</v>
      </c>
      <c r="AH713" s="83">
        <v>2300</v>
      </c>
      <c r="AI713" s="66" t="str">
        <f>PROPER(TEXT(Sal_23[[#This Row],[PROGRAMAÇÃO]],"mmm"))</f>
        <v>Jul</v>
      </c>
      <c r="AJ713" s="66">
        <f>YEAR(Sal_23[[#This Row],[PROGRAMAÇÃO]])</f>
        <v>2023</v>
      </c>
      <c r="AK713" s="66"/>
      <c r="AL713" s="66"/>
      <c r="AM713" s="66" t="s">
        <v>2768</v>
      </c>
      <c r="AN713" s="66" t="s">
        <v>2768</v>
      </c>
      <c r="AO713" s="66" t="s">
        <v>2768</v>
      </c>
    </row>
    <row r="714" spans="2:41" x14ac:dyDescent="0.25">
      <c r="B714" s="128" t="s">
        <v>2771</v>
      </c>
      <c r="C71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14" s="79">
        <v>45125.458333333336</v>
      </c>
      <c r="E714" s="44" t="s">
        <v>5561</v>
      </c>
      <c r="F714" s="66">
        <v>40</v>
      </c>
      <c r="G714" s="66" t="s">
        <v>2820</v>
      </c>
      <c r="H714" s="44" t="s">
        <v>2820</v>
      </c>
      <c r="I714" s="299" t="s">
        <v>2821</v>
      </c>
      <c r="J714" s="66" t="s">
        <v>5646</v>
      </c>
      <c r="K714" s="66" t="s">
        <v>5564</v>
      </c>
      <c r="L714" s="66">
        <v>108395</v>
      </c>
      <c r="M714" s="66">
        <v>108394</v>
      </c>
      <c r="N714" s="66" t="s">
        <v>2949</v>
      </c>
      <c r="O714" s="66" t="s">
        <v>2950</v>
      </c>
      <c r="P714" s="66" t="s">
        <v>4707</v>
      </c>
      <c r="Q714" s="138" t="str">
        <f ca="1">IFERROR(LOOKUP($P714,MOTORISTAS!$D$3:$D$1048576,MOTORISTAS!E$3:E$916),"")</f>
        <v>13777529842</v>
      </c>
      <c r="R714" s="138" t="str">
        <f ca="1">IFERROR(LOOKUP($P714,MOTORISTAS!$D$3:$D$1048576,MOTORISTAS!F$3:F$916),"")</f>
        <v>02511580623</v>
      </c>
      <c r="S714" s="66" t="s">
        <v>5648</v>
      </c>
      <c r="T714" s="66" t="s">
        <v>306</v>
      </c>
      <c r="U714" s="79">
        <v>45125.984722222223</v>
      </c>
      <c r="V714" s="66" t="s">
        <v>292</v>
      </c>
      <c r="W714" s="79" t="s">
        <v>5754</v>
      </c>
      <c r="X714" s="79">
        <v>45126.09375</v>
      </c>
      <c r="Y714" s="88">
        <v>45126.513888888891</v>
      </c>
      <c r="Z714" s="81">
        <v>1600</v>
      </c>
      <c r="AA714" s="81"/>
      <c r="AB714" s="81"/>
      <c r="AC714" s="81"/>
      <c r="AD714" s="81">
        <v>1757.6</v>
      </c>
      <c r="AE714" s="81"/>
      <c r="AF714" s="81">
        <v>266.39999999999998</v>
      </c>
      <c r="AG714" s="81">
        <f>Sal_23[[#This Row],[COMPRA]]*12%</f>
        <v>276</v>
      </c>
      <c r="AH714" s="83">
        <v>2300</v>
      </c>
      <c r="AI714" s="66" t="str">
        <f>PROPER(TEXT(Sal_23[[#This Row],[PROGRAMAÇÃO]],"mmm"))</f>
        <v>Jul</v>
      </c>
      <c r="AJ714" s="66">
        <f>YEAR(Sal_23[[#This Row],[PROGRAMAÇÃO]])</f>
        <v>2023</v>
      </c>
      <c r="AK714" s="66"/>
      <c r="AL714" s="66"/>
      <c r="AM714" s="66" t="s">
        <v>2768</v>
      </c>
      <c r="AN714" s="66" t="s">
        <v>2768</v>
      </c>
      <c r="AO714" s="66" t="s">
        <v>2768</v>
      </c>
    </row>
    <row r="715" spans="2:41" x14ac:dyDescent="0.25">
      <c r="B715" s="128" t="s">
        <v>2771</v>
      </c>
      <c r="C71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15" s="79">
        <v>45126.458333333336</v>
      </c>
      <c r="E715" s="44" t="s">
        <v>5553</v>
      </c>
      <c r="F715" s="66">
        <v>20</v>
      </c>
      <c r="G715" s="66" t="s">
        <v>2820</v>
      </c>
      <c r="H715" s="44" t="s">
        <v>2820</v>
      </c>
      <c r="I715" s="299" t="s">
        <v>2821</v>
      </c>
      <c r="J715" s="66" t="s">
        <v>5647</v>
      </c>
      <c r="K715" s="66" t="s">
        <v>5564</v>
      </c>
      <c r="L715" s="66">
        <v>108359</v>
      </c>
      <c r="M715" s="66"/>
      <c r="N715" s="66" t="s">
        <v>2260</v>
      </c>
      <c r="O715" s="66" t="s">
        <v>5310</v>
      </c>
      <c r="P715" s="66" t="s">
        <v>2262</v>
      </c>
      <c r="Q715" s="138" t="str">
        <f ca="1">IFERROR(LOOKUP($P715,MOTORISTAS!$D$3:$D$1048576,MOTORISTAS!E$3:E$916),"")</f>
        <v>39669866472</v>
      </c>
      <c r="R715" s="138" t="str">
        <f ca="1">IFERROR(LOOKUP($P715,MOTORISTAS!$D$3:$D$1048576,MOTORISTAS!F$3:F$916),"")</f>
        <v>03304186289</v>
      </c>
      <c r="S715" s="66">
        <v>16760</v>
      </c>
      <c r="T715" s="66" t="s">
        <v>306</v>
      </c>
      <c r="U715" s="79">
        <v>45126.186805555553</v>
      </c>
      <c r="V715" s="66" t="s">
        <v>292</v>
      </c>
      <c r="W715" s="79">
        <v>45126.677083333336</v>
      </c>
      <c r="X715" s="79">
        <v>45126.291666666664</v>
      </c>
      <c r="Y715" s="88">
        <v>45126.581944444442</v>
      </c>
      <c r="Z715" s="81">
        <v>1600</v>
      </c>
      <c r="AA715" s="81"/>
      <c r="AB715" s="81"/>
      <c r="AC715" s="81"/>
      <c r="AD715" s="81">
        <v>1757.6</v>
      </c>
      <c r="AE715" s="81"/>
      <c r="AF715" s="81">
        <v>266.39999999999998</v>
      </c>
      <c r="AG715" s="81">
        <f>Sal_23[[#This Row],[COMPRA]]*12%</f>
        <v>276</v>
      </c>
      <c r="AH715" s="83">
        <v>2300</v>
      </c>
      <c r="AI715" s="66" t="str">
        <f>PROPER(TEXT(Sal_23[[#This Row],[PROGRAMAÇÃO]],"mmm"))</f>
        <v>Jul</v>
      </c>
      <c r="AJ715" s="66">
        <f>YEAR(Sal_23[[#This Row],[PROGRAMAÇÃO]])</f>
        <v>2023</v>
      </c>
      <c r="AK715" s="66"/>
      <c r="AL715" s="66"/>
      <c r="AM715" s="66" t="s">
        <v>2768</v>
      </c>
      <c r="AN715" s="66" t="s">
        <v>2768</v>
      </c>
      <c r="AO715" s="66" t="s">
        <v>2768</v>
      </c>
    </row>
    <row r="716" spans="2:41" x14ac:dyDescent="0.25">
      <c r="B716" s="128" t="s">
        <v>2771</v>
      </c>
      <c r="C71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16" s="79">
        <v>45126.375</v>
      </c>
      <c r="E716" s="44" t="s">
        <v>5559</v>
      </c>
      <c r="F716" s="66">
        <v>20</v>
      </c>
      <c r="G716" s="66" t="s">
        <v>2820</v>
      </c>
      <c r="H716" s="44" t="s">
        <v>2820</v>
      </c>
      <c r="I716" s="299" t="s">
        <v>2821</v>
      </c>
      <c r="J716" s="66" t="s">
        <v>5644</v>
      </c>
      <c r="K716" s="66" t="s">
        <v>5564</v>
      </c>
      <c r="L716" s="66">
        <v>72441</v>
      </c>
      <c r="M716" s="66"/>
      <c r="N716" s="66" t="s">
        <v>2859</v>
      </c>
      <c r="O716" s="66" t="s">
        <v>2860</v>
      </c>
      <c r="P716" s="66" t="s">
        <v>2861</v>
      </c>
      <c r="Q716" s="138" t="str">
        <f ca="1">IFERROR(LOOKUP($P716,MOTORISTAS!$D$3:$D$1048576,MOTORISTAS!E$3:E$916),"")</f>
        <v>01817591878</v>
      </c>
      <c r="R716" s="138" t="str">
        <f ca="1">IFERROR(LOOKUP($P716,MOTORISTAS!$D$3:$D$1048576,MOTORISTAS!F$3:F$916),"")</f>
        <v>00821760640</v>
      </c>
      <c r="S716" s="66">
        <v>16759</v>
      </c>
      <c r="T716" s="66" t="s">
        <v>306</v>
      </c>
      <c r="U716" s="79">
        <v>45126.006944444445</v>
      </c>
      <c r="V716" s="66" t="s">
        <v>292</v>
      </c>
      <c r="W716" s="79">
        <v>45126.544444444444</v>
      </c>
      <c r="X716" s="79">
        <v>45126.09375</v>
      </c>
      <c r="Y716" s="88">
        <v>45126.472222222219</v>
      </c>
      <c r="Z716" s="81">
        <v>1600</v>
      </c>
      <c r="AA716" s="81"/>
      <c r="AB716" s="81"/>
      <c r="AC716" s="81"/>
      <c r="AD716" s="81">
        <v>1757.6</v>
      </c>
      <c r="AE716" s="81"/>
      <c r="AF716" s="81">
        <v>266.39999999999998</v>
      </c>
      <c r="AG716" s="81">
        <f>Sal_23[[#This Row],[COMPRA]]*12%</f>
        <v>276</v>
      </c>
      <c r="AH716" s="83">
        <v>2300</v>
      </c>
      <c r="AI716" s="66" t="str">
        <f>PROPER(TEXT(Sal_23[[#This Row],[PROGRAMAÇÃO]],"mmm"))</f>
        <v>Jul</v>
      </c>
      <c r="AJ716" s="66">
        <f>YEAR(Sal_23[[#This Row],[PROGRAMAÇÃO]])</f>
        <v>2023</v>
      </c>
      <c r="AK716" s="66"/>
      <c r="AL716" s="66"/>
      <c r="AM716" s="66" t="s">
        <v>2768</v>
      </c>
      <c r="AN716" s="66" t="s">
        <v>2768</v>
      </c>
      <c r="AO716" s="66" t="s">
        <v>2768</v>
      </c>
    </row>
    <row r="717" spans="2:41" x14ac:dyDescent="0.25">
      <c r="B717" s="128" t="s">
        <v>2771</v>
      </c>
      <c r="C71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17" s="79">
        <v>45126.375</v>
      </c>
      <c r="E717" s="44" t="s">
        <v>5560</v>
      </c>
      <c r="F717" s="66">
        <v>20</v>
      </c>
      <c r="G717" s="66" t="s">
        <v>2820</v>
      </c>
      <c r="H717" s="44" t="s">
        <v>2820</v>
      </c>
      <c r="I717" s="299" t="s">
        <v>2821</v>
      </c>
      <c r="J717" s="66" t="s">
        <v>5644</v>
      </c>
      <c r="K717" s="66" t="s">
        <v>5564</v>
      </c>
      <c r="L717" s="66">
        <v>72442</v>
      </c>
      <c r="M717" s="66"/>
      <c r="N717" s="66" t="s">
        <v>3028</v>
      </c>
      <c r="O717" s="66" t="s">
        <v>2261</v>
      </c>
      <c r="P717" s="66" t="s">
        <v>3443</v>
      </c>
      <c r="Q717" s="138" t="str">
        <f ca="1">IFERROR(LOOKUP($P717,MOTORISTAS!$D$3:$D$1048576,MOTORISTAS!E$3:E$916),"")</f>
        <v>13990937898</v>
      </c>
      <c r="R717" s="138" t="str">
        <f ca="1">IFERROR(LOOKUP($P717,MOTORISTAS!$D$3:$D$1048576,MOTORISTAS!F$3:F$916),"")</f>
        <v>01825123407</v>
      </c>
      <c r="S717" s="66">
        <v>16758</v>
      </c>
      <c r="T717" s="66" t="s">
        <v>306</v>
      </c>
      <c r="U717" s="79">
        <v>45125.996527777781</v>
      </c>
      <c r="V717" s="66" t="s">
        <v>292</v>
      </c>
      <c r="W717" s="79">
        <v>45126</v>
      </c>
      <c r="X717" s="79">
        <v>45126.09375</v>
      </c>
      <c r="Y717" s="88">
        <v>45126.472222222219</v>
      </c>
      <c r="Z717" s="81">
        <v>1600</v>
      </c>
      <c r="AA717" s="81"/>
      <c r="AB717" s="81"/>
      <c r="AC717" s="81"/>
      <c r="AD717" s="81">
        <v>1757.6</v>
      </c>
      <c r="AE717" s="81"/>
      <c r="AF717" s="81">
        <v>266.39999999999998</v>
      </c>
      <c r="AG717" s="81">
        <f>Sal_23[[#This Row],[COMPRA]]*12%</f>
        <v>276</v>
      </c>
      <c r="AH717" s="83">
        <v>2300</v>
      </c>
      <c r="AI717" s="66" t="str">
        <f>PROPER(TEXT(Sal_23[[#This Row],[PROGRAMAÇÃO]],"mmm"))</f>
        <v>Jul</v>
      </c>
      <c r="AJ717" s="66">
        <f>YEAR(Sal_23[[#This Row],[PROGRAMAÇÃO]])</f>
        <v>2023</v>
      </c>
      <c r="AK717" s="66"/>
      <c r="AL717" s="66"/>
      <c r="AM717" s="66" t="s">
        <v>2768</v>
      </c>
      <c r="AN717" s="66" t="s">
        <v>2768</v>
      </c>
      <c r="AO717" s="66" t="s">
        <v>2768</v>
      </c>
    </row>
    <row r="718" spans="2:41" x14ac:dyDescent="0.25">
      <c r="B718" s="128" t="s">
        <v>2771</v>
      </c>
      <c r="C71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18" s="79">
        <v>45126.458333333336</v>
      </c>
      <c r="E718" s="44" t="s">
        <v>5562</v>
      </c>
      <c r="F718" s="66">
        <v>40</v>
      </c>
      <c r="G718" s="66" t="s">
        <v>2820</v>
      </c>
      <c r="H718" s="44" t="s">
        <v>2820</v>
      </c>
      <c r="I718" s="299" t="s">
        <v>2821</v>
      </c>
      <c r="J718" s="66" t="s">
        <v>5619</v>
      </c>
      <c r="K718" s="66" t="s">
        <v>5564</v>
      </c>
      <c r="L718" s="66">
        <v>108386</v>
      </c>
      <c r="M718" s="66"/>
      <c r="N718" s="66" t="s">
        <v>192</v>
      </c>
      <c r="O718" s="66" t="s">
        <v>193</v>
      </c>
      <c r="P718" s="66" t="s">
        <v>194</v>
      </c>
      <c r="Q718" s="138" t="str">
        <f ca="1">IFERROR(LOOKUP($P718,MOTORISTAS!$D$3:$D$1048576,MOTORISTAS!E$3:E$916),"")</f>
        <v>38529612892</v>
      </c>
      <c r="R718" s="138" t="str">
        <f ca="1">IFERROR(LOOKUP($P718,MOTORISTAS!$D$3:$D$1048576,MOTORISTAS!F$3:F$916),"")</f>
        <v>05021398574</v>
      </c>
      <c r="S718" s="66">
        <v>16761</v>
      </c>
      <c r="T718" s="66" t="s">
        <v>306</v>
      </c>
      <c r="U718" s="79">
        <v>45126.002083333333</v>
      </c>
      <c r="V718" s="66" t="s">
        <v>409</v>
      </c>
      <c r="W718" s="79">
        <v>45127.588888888888</v>
      </c>
      <c r="X718" s="79">
        <v>45126.090277777781</v>
      </c>
      <c r="Y718" s="88">
        <v>45126.666666666664</v>
      </c>
      <c r="Z718" s="81">
        <v>1600</v>
      </c>
      <c r="AA718" s="81"/>
      <c r="AB718" s="81"/>
      <c r="AC718" s="81"/>
      <c r="AD718" s="81">
        <v>1757.6</v>
      </c>
      <c r="AE718" s="81"/>
      <c r="AF718" s="81">
        <v>266.39999999999998</v>
      </c>
      <c r="AG718" s="81">
        <f>Sal_23[[#This Row],[COMPRA]]*12%</f>
        <v>276</v>
      </c>
      <c r="AH718" s="83">
        <v>2300</v>
      </c>
      <c r="AI718" s="66" t="str">
        <f>PROPER(TEXT(Sal_23[[#This Row],[PROGRAMAÇÃO]],"mmm"))</f>
        <v>Jul</v>
      </c>
      <c r="AJ718" s="66">
        <f>YEAR(Sal_23[[#This Row],[PROGRAMAÇÃO]])</f>
        <v>2023</v>
      </c>
      <c r="AK718" s="66"/>
      <c r="AL718" s="66"/>
      <c r="AM718" s="66" t="s">
        <v>2768</v>
      </c>
      <c r="AN718" s="66" t="s">
        <v>2768</v>
      </c>
      <c r="AO718" s="66" t="s">
        <v>2768</v>
      </c>
    </row>
    <row r="719" spans="2:41" x14ac:dyDescent="0.25">
      <c r="B719" s="128" t="s">
        <v>2771</v>
      </c>
      <c r="C71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19" s="79">
        <v>45120.333333333336</v>
      </c>
      <c r="E719" s="44" t="s">
        <v>5569</v>
      </c>
      <c r="F719" s="66">
        <v>20</v>
      </c>
      <c r="G719" s="66" t="s">
        <v>2826</v>
      </c>
      <c r="H719" s="44" t="s">
        <v>2825</v>
      </c>
      <c r="I719" s="299" t="s">
        <v>4012</v>
      </c>
      <c r="J719" s="44">
        <v>6957</v>
      </c>
      <c r="K719" s="66" t="s">
        <v>5590</v>
      </c>
      <c r="L719" s="66">
        <v>108110</v>
      </c>
      <c r="M719" s="66"/>
      <c r="N719" s="66" t="s">
        <v>3028</v>
      </c>
      <c r="O719" s="66" t="s">
        <v>2261</v>
      </c>
      <c r="P719" s="66" t="s">
        <v>3443</v>
      </c>
      <c r="Q719" s="138" t="str">
        <f ca="1">IFERROR(LOOKUP($P719,MOTORISTAS!$D$3:$D$1048576,MOTORISTAS!E$3:E$916),"")</f>
        <v>13990937898</v>
      </c>
      <c r="R719" s="138" t="str">
        <f ca="1">IFERROR(LOOKUP($P719,MOTORISTAS!$D$3:$D$1048576,MOTORISTAS!F$3:F$916),"")</f>
        <v>01825123407</v>
      </c>
      <c r="S719" s="66">
        <v>16715</v>
      </c>
      <c r="T719" s="66" t="s">
        <v>293</v>
      </c>
      <c r="U719" s="79">
        <v>45120</v>
      </c>
      <c r="V719" s="66" t="s">
        <v>292</v>
      </c>
      <c r="W719" s="79">
        <v>45120.713194444441</v>
      </c>
      <c r="X719" s="79">
        <v>45120.104166666664</v>
      </c>
      <c r="Y719" s="88">
        <v>45120.583333333336</v>
      </c>
      <c r="Z719" s="81"/>
      <c r="AA719" s="81"/>
      <c r="AB719" s="81"/>
      <c r="AC719" s="81"/>
      <c r="AD719" s="81"/>
      <c r="AE719" s="81"/>
      <c r="AF719" s="81"/>
      <c r="AG719" s="81">
        <f>Sal_23[[#This Row],[COMPRA]]*12%</f>
        <v>447.91919999999999</v>
      </c>
      <c r="AH719" s="83">
        <v>3732.66</v>
      </c>
      <c r="AI719" s="66" t="str">
        <f>PROPER(TEXT(Sal_23[[#This Row],[PROGRAMAÇÃO]],"mmm"))</f>
        <v>Jul</v>
      </c>
      <c r="AJ719" s="66">
        <f>YEAR(Sal_23[[#This Row],[PROGRAMAÇÃO]])</f>
        <v>2023</v>
      </c>
      <c r="AK719" s="66"/>
      <c r="AL719" s="66"/>
      <c r="AM719" s="66" t="s">
        <v>2768</v>
      </c>
      <c r="AN719" s="66" t="s">
        <v>2768</v>
      </c>
      <c r="AO719" s="66" t="s">
        <v>2768</v>
      </c>
    </row>
    <row r="720" spans="2:41" x14ac:dyDescent="0.25">
      <c r="B720" s="128" t="s">
        <v>2771</v>
      </c>
      <c r="C72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20" s="79">
        <v>45121.333333333336</v>
      </c>
      <c r="E720" s="44" t="s">
        <v>5574</v>
      </c>
      <c r="F720" s="66">
        <v>40</v>
      </c>
      <c r="G720" s="66" t="s">
        <v>2826</v>
      </c>
      <c r="H720" s="44" t="s">
        <v>3195</v>
      </c>
      <c r="I720" s="299" t="s">
        <v>2830</v>
      </c>
      <c r="J720" s="44">
        <v>6961</v>
      </c>
      <c r="K720" s="66" t="s">
        <v>5590</v>
      </c>
      <c r="L720" s="66">
        <v>108256</v>
      </c>
      <c r="M720" s="66"/>
      <c r="N720" s="66" t="s">
        <v>72</v>
      </c>
      <c r="O720" s="66" t="s">
        <v>27</v>
      </c>
      <c r="P720" s="66" t="s">
        <v>69</v>
      </c>
      <c r="Q720" s="138" t="str">
        <f ca="1">IFERROR(LOOKUP($P720,MOTORISTAS!$D$3:$D$1048576,MOTORISTAS!E$3:E$916),"")</f>
        <v>07968457866</v>
      </c>
      <c r="R720" s="138" t="str">
        <f ca="1">IFERROR(LOOKUP($P720,MOTORISTAS!$D$3:$D$1048576,MOTORISTAS!F$3:F$916),"")</f>
        <v>03264365790</v>
      </c>
      <c r="S720" s="66">
        <v>16725</v>
      </c>
      <c r="T720" s="66" t="s">
        <v>293</v>
      </c>
      <c r="U720" s="79">
        <v>45121.291666666664</v>
      </c>
      <c r="V720" s="66" t="s">
        <v>292</v>
      </c>
      <c r="W720" s="79">
        <v>45121.595138888886</v>
      </c>
      <c r="X720" s="79">
        <v>45121.409722222219</v>
      </c>
      <c r="Y720" s="88">
        <v>45121.444444444445</v>
      </c>
      <c r="Z720" s="81">
        <v>2300</v>
      </c>
      <c r="AA720" s="81"/>
      <c r="AB720" s="81"/>
      <c r="AC720" s="81"/>
      <c r="AD720" s="81"/>
      <c r="AE720" s="81"/>
      <c r="AF720" s="81"/>
      <c r="AG720" s="81">
        <f>Sal_23[[#This Row],[COMPRA]]*12%</f>
        <v>0</v>
      </c>
      <c r="AH720" s="83"/>
      <c r="AI720" s="66" t="str">
        <f>PROPER(TEXT(Sal_23[[#This Row],[PROGRAMAÇÃO]],"mmm"))</f>
        <v>Jul</v>
      </c>
      <c r="AJ720" s="66">
        <f>YEAR(Sal_23[[#This Row],[PROGRAMAÇÃO]])</f>
        <v>2023</v>
      </c>
      <c r="AK720" s="66"/>
      <c r="AL720" s="66"/>
      <c r="AM720" s="66" t="s">
        <v>2768</v>
      </c>
      <c r="AN720" s="66" t="s">
        <v>2768</v>
      </c>
      <c r="AO720" s="66" t="s">
        <v>2768</v>
      </c>
    </row>
    <row r="721" spans="2:41" x14ac:dyDescent="0.25">
      <c r="B721" s="128" t="s">
        <v>2771</v>
      </c>
      <c r="C72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21" s="79">
        <v>45121.333333333336</v>
      </c>
      <c r="E721" s="44" t="s">
        <v>5575</v>
      </c>
      <c r="F721" s="66">
        <v>40</v>
      </c>
      <c r="G721" s="66" t="s">
        <v>2826</v>
      </c>
      <c r="H721" s="44" t="s">
        <v>1674</v>
      </c>
      <c r="I721" s="299" t="s">
        <v>2829</v>
      </c>
      <c r="J721" s="44">
        <v>7006</v>
      </c>
      <c r="K721" s="66" t="s">
        <v>5590</v>
      </c>
      <c r="L721" s="66">
        <v>108255</v>
      </c>
      <c r="M721" s="66">
        <v>108254</v>
      </c>
      <c r="N721" s="66" t="s">
        <v>106</v>
      </c>
      <c r="O721" s="66" t="s">
        <v>107</v>
      </c>
      <c r="P721" s="66" t="s">
        <v>108</v>
      </c>
      <c r="Q721" s="138" t="str">
        <f ca="1">IFERROR(LOOKUP($P721,MOTORISTAS!$D$3:$D$1048576,MOTORISTAS!E$3:E$916),"")</f>
        <v>34927982840</v>
      </c>
      <c r="R721" s="138" t="str">
        <f ca="1">IFERROR(LOOKUP($P721,MOTORISTAS!$D$3:$D$1048576,MOTORISTAS!F$3:F$916),"")</f>
        <v>03500129879</v>
      </c>
      <c r="S721" s="66">
        <v>16724</v>
      </c>
      <c r="T721" s="66" t="s">
        <v>293</v>
      </c>
      <c r="U721" s="79">
        <v>45121.291666666664</v>
      </c>
      <c r="V721" s="66" t="s">
        <v>292</v>
      </c>
      <c r="W721" s="79">
        <v>45122.40347222222</v>
      </c>
      <c r="X721" s="79">
        <v>45121.597222222219</v>
      </c>
      <c r="Y721" s="88">
        <v>45121.708333333336</v>
      </c>
      <c r="Z721" s="81"/>
      <c r="AA721" s="81"/>
      <c r="AB721" s="81"/>
      <c r="AC721" s="81"/>
      <c r="AD721" s="81">
        <v>3472.48</v>
      </c>
      <c r="AE721" s="81"/>
      <c r="AF721" s="81">
        <v>621.6</v>
      </c>
      <c r="AG721" s="81">
        <f>Sal_23[[#This Row],[COMPRA]]*12%</f>
        <v>558.28319999999997</v>
      </c>
      <c r="AH721" s="83">
        <v>4652.3599999999997</v>
      </c>
      <c r="AI721" s="66" t="str">
        <f>PROPER(TEXT(Sal_23[[#This Row],[PROGRAMAÇÃO]],"mmm"))</f>
        <v>Jul</v>
      </c>
      <c r="AJ721" s="66">
        <f>YEAR(Sal_23[[#This Row],[PROGRAMAÇÃO]])</f>
        <v>2023</v>
      </c>
      <c r="AK721" s="66"/>
      <c r="AL721" s="66"/>
      <c r="AM721" s="66" t="s">
        <v>2768</v>
      </c>
      <c r="AN721" s="66" t="s">
        <v>2768</v>
      </c>
      <c r="AO721" s="66" t="s">
        <v>2768</v>
      </c>
    </row>
    <row r="722" spans="2:41" x14ac:dyDescent="0.25">
      <c r="B722" s="128" t="s">
        <v>2771</v>
      </c>
      <c r="C72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22" s="79">
        <v>45121.333333333336</v>
      </c>
      <c r="E722" s="44" t="s">
        <v>5576</v>
      </c>
      <c r="F722" s="66">
        <v>40</v>
      </c>
      <c r="G722" s="66" t="s">
        <v>2826</v>
      </c>
      <c r="H722" s="44" t="s">
        <v>1674</v>
      </c>
      <c r="I722" s="299" t="s">
        <v>2829</v>
      </c>
      <c r="J722" s="44">
        <v>6955</v>
      </c>
      <c r="K722" s="66" t="s">
        <v>5590</v>
      </c>
      <c r="L722" s="66">
        <v>108209</v>
      </c>
      <c r="M722" s="66">
        <v>108210</v>
      </c>
      <c r="N722" s="66" t="s">
        <v>2389</v>
      </c>
      <c r="O722" s="66" t="s">
        <v>2390</v>
      </c>
      <c r="P722" s="66" t="s">
        <v>892</v>
      </c>
      <c r="Q722" s="138" t="str">
        <f ca="1">IFERROR(LOOKUP($P722,MOTORISTAS!$D$3:$D$1048576,MOTORISTAS!E$3:E$916),"")</f>
        <v>55283063968</v>
      </c>
      <c r="R722" s="138" t="str">
        <f ca="1">IFERROR(LOOKUP($P722,MOTORISTAS!$D$3:$D$1048576,MOTORISTAS!F$3:F$916),"")</f>
        <v>02537032407</v>
      </c>
      <c r="S722" s="66">
        <v>16726</v>
      </c>
      <c r="T722" s="66" t="s">
        <v>293</v>
      </c>
      <c r="U722" s="79">
        <v>45120.958333333336</v>
      </c>
      <c r="V722" s="66" t="s">
        <v>292</v>
      </c>
      <c r="W722" s="79">
        <v>45121.595833333333</v>
      </c>
      <c r="X722" s="79">
        <v>45121.15625</v>
      </c>
      <c r="Y722" s="88">
        <v>45121.409722222219</v>
      </c>
      <c r="Z722" s="81"/>
      <c r="AA722" s="81"/>
      <c r="AB722" s="81"/>
      <c r="AC722" s="81"/>
      <c r="AD722" s="81">
        <v>3472.48</v>
      </c>
      <c r="AE722" s="81"/>
      <c r="AF722" s="81">
        <v>621.6</v>
      </c>
      <c r="AG722" s="81">
        <f>Sal_23[[#This Row],[COMPRA]]*12%</f>
        <v>558.28319999999997</v>
      </c>
      <c r="AH722" s="83">
        <v>4652.3599999999997</v>
      </c>
      <c r="AI722" s="66" t="str">
        <f>PROPER(TEXT(Sal_23[[#This Row],[PROGRAMAÇÃO]],"mmm"))</f>
        <v>Jul</v>
      </c>
      <c r="AJ722" s="66">
        <f>YEAR(Sal_23[[#This Row],[PROGRAMAÇÃO]])</f>
        <v>2023</v>
      </c>
      <c r="AK722" s="66"/>
      <c r="AL722" s="66"/>
      <c r="AM722" s="66" t="s">
        <v>2768</v>
      </c>
      <c r="AN722" s="66" t="s">
        <v>2768</v>
      </c>
      <c r="AO722" s="66" t="s">
        <v>2768</v>
      </c>
    </row>
    <row r="723" spans="2:41" x14ac:dyDescent="0.25">
      <c r="B723" s="128" t="s">
        <v>2771</v>
      </c>
      <c r="C72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23" s="79">
        <v>45121.333333333336</v>
      </c>
      <c r="E723" s="44" t="s">
        <v>5577</v>
      </c>
      <c r="F723" s="66">
        <v>40</v>
      </c>
      <c r="G723" s="66" t="s">
        <v>2826</v>
      </c>
      <c r="H723" s="44" t="s">
        <v>1674</v>
      </c>
      <c r="I723" s="299" t="s">
        <v>2829</v>
      </c>
      <c r="J723" s="44">
        <v>6948</v>
      </c>
      <c r="K723" s="66" t="s">
        <v>5590</v>
      </c>
      <c r="L723" s="66">
        <v>108208</v>
      </c>
      <c r="M723" s="66">
        <v>108213</v>
      </c>
      <c r="N723" s="66" t="s">
        <v>178</v>
      </c>
      <c r="O723" s="66" t="s">
        <v>112</v>
      </c>
      <c r="P723" s="66" t="s">
        <v>180</v>
      </c>
      <c r="Q723" s="138" t="str">
        <f ca="1">IFERROR(LOOKUP($P723,MOTORISTAS!$D$3:$D$1048576,MOTORISTAS!E$3:E$916),"")</f>
        <v>18990500869</v>
      </c>
      <c r="R723" s="138" t="str">
        <f ca="1">IFERROR(LOOKUP($P723,MOTORISTAS!$D$3:$D$1048576,MOTORISTAS!F$3:F$916),"")</f>
        <v>04640435232</v>
      </c>
      <c r="S723" s="66">
        <v>16727</v>
      </c>
      <c r="T723" s="66" t="s">
        <v>293</v>
      </c>
      <c r="U723" s="79">
        <v>45121.291666666664</v>
      </c>
      <c r="V723" s="66" t="s">
        <v>292</v>
      </c>
      <c r="W723" s="66" t="s">
        <v>5616</v>
      </c>
      <c r="X723" s="79">
        <v>45121.5</v>
      </c>
      <c r="Y723" s="88">
        <v>45121.625</v>
      </c>
      <c r="Z723" s="81"/>
      <c r="AA723" s="81"/>
      <c r="AB723" s="81"/>
      <c r="AC723" s="81"/>
      <c r="AD723" s="81">
        <v>3472.48</v>
      </c>
      <c r="AE723" s="81"/>
      <c r="AF723" s="81">
        <v>621.6</v>
      </c>
      <c r="AG723" s="81">
        <f>Sal_23[[#This Row],[COMPRA]]*12%</f>
        <v>558.28319999999997</v>
      </c>
      <c r="AH723" s="83">
        <v>4652.3599999999997</v>
      </c>
      <c r="AI723" s="66" t="str">
        <f>PROPER(TEXT(Sal_23[[#This Row],[PROGRAMAÇÃO]],"mmm"))</f>
        <v>Jul</v>
      </c>
      <c r="AJ723" s="66">
        <f>YEAR(Sal_23[[#This Row],[PROGRAMAÇÃO]])</f>
        <v>2023</v>
      </c>
      <c r="AK723" s="66"/>
      <c r="AL723" s="66"/>
      <c r="AM723" s="66" t="s">
        <v>2768</v>
      </c>
      <c r="AN723" s="66" t="s">
        <v>2768</v>
      </c>
      <c r="AO723" s="66" t="s">
        <v>2768</v>
      </c>
    </row>
    <row r="724" spans="2:41" x14ac:dyDescent="0.25">
      <c r="B724" s="128" t="s">
        <v>2771</v>
      </c>
      <c r="C72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24" s="79">
        <v>45121.333333333336</v>
      </c>
      <c r="E724" s="44" t="s">
        <v>5568</v>
      </c>
      <c r="F724" s="66">
        <v>20</v>
      </c>
      <c r="G724" s="66" t="s">
        <v>2826</v>
      </c>
      <c r="H724" s="44" t="s">
        <v>3440</v>
      </c>
      <c r="I724" s="299" t="s">
        <v>3253</v>
      </c>
      <c r="J724" s="44">
        <v>6951</v>
      </c>
      <c r="K724" s="66" t="s">
        <v>5590</v>
      </c>
      <c r="L724" s="66">
        <v>119218</v>
      </c>
      <c r="M724" s="66"/>
      <c r="N724" s="66" t="s">
        <v>3040</v>
      </c>
      <c r="O724" s="66" t="s">
        <v>3041</v>
      </c>
      <c r="P724" s="66" t="s">
        <v>3042</v>
      </c>
      <c r="Q724" s="138" t="str">
        <f ca="1">IFERROR(LOOKUP($P724,MOTORISTAS!$D$3:$D$1048576,MOTORISTAS!E$3:E$916),"")</f>
        <v>19279658883</v>
      </c>
      <c r="R724" s="138" t="str">
        <f ca="1">IFERROR(LOOKUP($P724,MOTORISTAS!$D$3:$D$1048576,MOTORISTAS!F$3:F$916),"")</f>
        <v>01301319672</v>
      </c>
      <c r="S724" s="66">
        <v>16723</v>
      </c>
      <c r="T724" s="66" t="s">
        <v>293</v>
      </c>
      <c r="U724" s="79">
        <v>45120.958333333336</v>
      </c>
      <c r="V724" s="66" t="s">
        <v>292</v>
      </c>
      <c r="W724" s="79">
        <v>45121.479861111111</v>
      </c>
      <c r="X724" s="79">
        <v>45121.1875</v>
      </c>
      <c r="Y724" s="88">
        <v>45121.319444444445</v>
      </c>
      <c r="Z724" s="81">
        <v>2300</v>
      </c>
      <c r="AA724" s="81"/>
      <c r="AB724" s="81"/>
      <c r="AC724" s="81"/>
      <c r="AD724" s="81"/>
      <c r="AE724" s="81"/>
      <c r="AF724" s="81"/>
      <c r="AG724" s="81">
        <f>Sal_23[[#This Row],[COMPRA]]*12%</f>
        <v>0</v>
      </c>
      <c r="AH724" s="83"/>
      <c r="AI724" s="66" t="str">
        <f>PROPER(TEXT(Sal_23[[#This Row],[PROGRAMAÇÃO]],"mmm"))</f>
        <v>Jul</v>
      </c>
      <c r="AJ724" s="66">
        <f>YEAR(Sal_23[[#This Row],[PROGRAMAÇÃO]])</f>
        <v>2023</v>
      </c>
      <c r="AK724" s="66"/>
      <c r="AL724" s="66"/>
      <c r="AM724" s="66" t="s">
        <v>2768</v>
      </c>
      <c r="AN724" s="66" t="s">
        <v>2768</v>
      </c>
      <c r="AO724" s="66" t="s">
        <v>2768</v>
      </c>
    </row>
    <row r="725" spans="2:41" x14ac:dyDescent="0.25">
      <c r="B725" s="128" t="s">
        <v>2771</v>
      </c>
      <c r="C72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25" s="79">
        <v>45124.333333333336</v>
      </c>
      <c r="E725" s="44" t="s">
        <v>5578</v>
      </c>
      <c r="F725" s="66">
        <v>40</v>
      </c>
      <c r="G725" s="66" t="s">
        <v>2826</v>
      </c>
      <c r="H725" s="44" t="s">
        <v>1674</v>
      </c>
      <c r="I725" s="299" t="s">
        <v>2829</v>
      </c>
      <c r="J725" s="44">
        <v>6812</v>
      </c>
      <c r="K725" s="66" t="s">
        <v>5590</v>
      </c>
      <c r="L725" s="66">
        <v>108166</v>
      </c>
      <c r="M725" s="66">
        <v>108167</v>
      </c>
      <c r="N725" s="66" t="s">
        <v>31</v>
      </c>
      <c r="O725" s="66" t="s">
        <v>32</v>
      </c>
      <c r="P725" s="66" t="s">
        <v>3176</v>
      </c>
      <c r="Q725" s="138" t="str">
        <f ca="1">IFERROR(LOOKUP($P725,MOTORISTAS!$D$3:$D$1048576,MOTORISTAS!E$3:E$916),"")</f>
        <v>09776430856</v>
      </c>
      <c r="R725" s="138" t="str">
        <f ca="1">IFERROR(LOOKUP($P725,MOTORISTAS!$D$3:$D$1048576,MOTORISTAS!F$3:F$916),"")</f>
        <v>01258979905</v>
      </c>
      <c r="S725" s="66">
        <v>16734</v>
      </c>
      <c r="T725" s="66" t="s">
        <v>293</v>
      </c>
      <c r="U725" s="79">
        <v>45124.208333333336</v>
      </c>
      <c r="V725" s="66" t="s">
        <v>292</v>
      </c>
      <c r="W725" s="79">
        <v>45126.54583333333</v>
      </c>
      <c r="X725" s="79">
        <v>45124.451388888891</v>
      </c>
      <c r="Y725" s="88">
        <v>45124.642361111109</v>
      </c>
      <c r="Z725" s="81"/>
      <c r="AA725" s="81"/>
      <c r="AB725" s="81"/>
      <c r="AC725" s="81"/>
      <c r="AD725" s="81">
        <v>3472.48</v>
      </c>
      <c r="AE725" s="81"/>
      <c r="AF725" s="81">
        <v>621.6</v>
      </c>
      <c r="AG725" s="81">
        <f>Sal_23[[#This Row],[COMPRA]]*12%</f>
        <v>558.28319999999997</v>
      </c>
      <c r="AH725" s="83">
        <v>4652.3599999999997</v>
      </c>
      <c r="AI725" s="66" t="str">
        <f>PROPER(TEXT(Sal_23[[#This Row],[PROGRAMAÇÃO]],"mmm"))</f>
        <v>Jul</v>
      </c>
      <c r="AJ725" s="66">
        <f>YEAR(Sal_23[[#This Row],[PROGRAMAÇÃO]])</f>
        <v>2023</v>
      </c>
      <c r="AK725" s="66"/>
      <c r="AL725" s="66"/>
      <c r="AM725" s="66" t="s">
        <v>2768</v>
      </c>
      <c r="AN725" s="66" t="s">
        <v>2768</v>
      </c>
      <c r="AO725" s="66" t="s">
        <v>2768</v>
      </c>
    </row>
    <row r="726" spans="2:41" x14ac:dyDescent="0.25">
      <c r="B726" s="128" t="s">
        <v>2771</v>
      </c>
      <c r="C72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26" s="79">
        <v>45124.333333333336</v>
      </c>
      <c r="E726" s="44" t="s">
        <v>5579</v>
      </c>
      <c r="F726" s="66">
        <v>40</v>
      </c>
      <c r="G726" s="66" t="s">
        <v>2826</v>
      </c>
      <c r="H726" s="44" t="s">
        <v>1674</v>
      </c>
      <c r="I726" s="299" t="s">
        <v>2829</v>
      </c>
      <c r="J726" s="44">
        <v>7024</v>
      </c>
      <c r="K726" s="66" t="s">
        <v>5590</v>
      </c>
      <c r="L726" s="66">
        <v>108168</v>
      </c>
      <c r="M726" s="66">
        <v>108169</v>
      </c>
      <c r="N726" s="66" t="s">
        <v>68</v>
      </c>
      <c r="O726" s="66" t="s">
        <v>36</v>
      </c>
      <c r="P726" s="66" t="s">
        <v>206</v>
      </c>
      <c r="Q726" s="138" t="str">
        <f ca="1">IFERROR(LOOKUP($P726,MOTORISTAS!$D$3:$D$1048576,MOTORISTAS!E$3:E$916),"")</f>
        <v>09085263425</v>
      </c>
      <c r="R726" s="138" t="str">
        <f ca="1">IFERROR(LOOKUP($P726,MOTORISTAS!$D$3:$D$1048576,MOTORISTAS!F$3:F$916),"")</f>
        <v>04557705505</v>
      </c>
      <c r="S726" s="66">
        <v>16733</v>
      </c>
      <c r="T726" s="66" t="s">
        <v>293</v>
      </c>
      <c r="U726" s="79">
        <v>45124.208333333336</v>
      </c>
      <c r="V726" s="66" t="s">
        <v>292</v>
      </c>
      <c r="W726" s="79">
        <v>45125.493055555555</v>
      </c>
      <c r="X726" s="79">
        <v>45124.395833333336</v>
      </c>
      <c r="Y726" s="88">
        <v>45124.517361111109</v>
      </c>
      <c r="Z726" s="81"/>
      <c r="AA726" s="81"/>
      <c r="AB726" s="81"/>
      <c r="AC726" s="81"/>
      <c r="AD726" s="81">
        <v>3472.48</v>
      </c>
      <c r="AE726" s="81"/>
      <c r="AF726" s="81">
        <v>621.6</v>
      </c>
      <c r="AG726" s="81">
        <f>Sal_23[[#This Row],[COMPRA]]*12%</f>
        <v>558.28319999999997</v>
      </c>
      <c r="AH726" s="83">
        <v>4652.3599999999997</v>
      </c>
      <c r="AI726" s="66" t="str">
        <f>PROPER(TEXT(Sal_23[[#This Row],[PROGRAMAÇÃO]],"mmm"))</f>
        <v>Jul</v>
      </c>
      <c r="AJ726" s="66">
        <f>YEAR(Sal_23[[#This Row],[PROGRAMAÇÃO]])</f>
        <v>2023</v>
      </c>
      <c r="AK726" s="66"/>
      <c r="AL726" s="66"/>
      <c r="AM726" s="66" t="s">
        <v>2768</v>
      </c>
      <c r="AN726" s="66" t="s">
        <v>2768</v>
      </c>
      <c r="AO726" s="66" t="s">
        <v>2768</v>
      </c>
    </row>
    <row r="727" spans="2:41" x14ac:dyDescent="0.25">
      <c r="B727" s="128" t="s">
        <v>2771</v>
      </c>
      <c r="C72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27" s="79">
        <v>45124.333333333336</v>
      </c>
      <c r="E727" s="44" t="s">
        <v>5580</v>
      </c>
      <c r="F727" s="66">
        <v>40</v>
      </c>
      <c r="G727" s="66" t="s">
        <v>2826</v>
      </c>
      <c r="H727" s="44" t="s">
        <v>1674</v>
      </c>
      <c r="I727" s="299" t="s">
        <v>2829</v>
      </c>
      <c r="J727" s="44">
        <v>6808</v>
      </c>
      <c r="K727" s="66" t="s">
        <v>5590</v>
      </c>
      <c r="L727" s="66">
        <v>108070</v>
      </c>
      <c r="M727" s="66">
        <v>108071</v>
      </c>
      <c r="N727" s="66" t="s">
        <v>210</v>
      </c>
      <c r="O727" s="66" t="s">
        <v>211</v>
      </c>
      <c r="P727" s="66" t="s">
        <v>212</v>
      </c>
      <c r="Q727" s="138" t="str">
        <f ca="1">IFERROR(LOOKUP($P727,MOTORISTAS!$D$3:$D$1048576,MOTORISTAS!E$3:E$916),"")</f>
        <v>38029906846</v>
      </c>
      <c r="R727" s="138" t="str">
        <f ca="1">IFERROR(LOOKUP($P727,MOTORISTAS!$D$3:$D$1048576,MOTORISTAS!F$3:F$916),"")</f>
        <v>04946846842</v>
      </c>
      <c r="S727" s="66">
        <v>16737</v>
      </c>
      <c r="T727" s="66" t="s">
        <v>293</v>
      </c>
      <c r="U727" s="79">
        <v>45123.958333333336</v>
      </c>
      <c r="V727" s="66" t="s">
        <v>292</v>
      </c>
      <c r="W727" s="79">
        <v>45126.645138888889</v>
      </c>
      <c r="X727" s="79">
        <v>45124.243055555555</v>
      </c>
      <c r="Y727" s="88">
        <v>45124.559027777781</v>
      </c>
      <c r="Z727" s="81"/>
      <c r="AA727" s="81"/>
      <c r="AB727" s="81"/>
      <c r="AC727" s="81"/>
      <c r="AD727" s="81">
        <v>3472.48</v>
      </c>
      <c r="AE727" s="81"/>
      <c r="AF727" s="81">
        <v>621.6</v>
      </c>
      <c r="AG727" s="81">
        <f>Sal_23[[#This Row],[COMPRA]]*12%</f>
        <v>558.28319999999997</v>
      </c>
      <c r="AH727" s="83">
        <v>4652.3599999999997</v>
      </c>
      <c r="AI727" s="66" t="str">
        <f>PROPER(TEXT(Sal_23[[#This Row],[PROGRAMAÇÃO]],"mmm"))</f>
        <v>Jul</v>
      </c>
      <c r="AJ727" s="66">
        <f>YEAR(Sal_23[[#This Row],[PROGRAMAÇÃO]])</f>
        <v>2023</v>
      </c>
      <c r="AK727" s="66"/>
      <c r="AL727" s="66"/>
      <c r="AM727" s="66" t="s">
        <v>2768</v>
      </c>
      <c r="AN727" s="66" t="s">
        <v>2768</v>
      </c>
      <c r="AO727" s="66" t="s">
        <v>2768</v>
      </c>
    </row>
    <row r="728" spans="2:41" x14ac:dyDescent="0.25">
      <c r="B728" s="128" t="s">
        <v>2771</v>
      </c>
      <c r="C72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28" s="79">
        <v>45124.333333333336</v>
      </c>
      <c r="E728" s="44" t="s">
        <v>5581</v>
      </c>
      <c r="F728" s="66">
        <v>40</v>
      </c>
      <c r="G728" s="66" t="s">
        <v>2826</v>
      </c>
      <c r="H728" s="44" t="s">
        <v>1674</v>
      </c>
      <c r="I728" s="299" t="s">
        <v>2829</v>
      </c>
      <c r="J728" s="66">
        <v>6810</v>
      </c>
      <c r="K728" s="66" t="s">
        <v>5590</v>
      </c>
      <c r="L728" s="66">
        <v>108112</v>
      </c>
      <c r="M728" s="66">
        <v>108113</v>
      </c>
      <c r="N728" s="66" t="s">
        <v>102</v>
      </c>
      <c r="O728" s="66" t="s">
        <v>73</v>
      </c>
      <c r="P728" s="66" t="s">
        <v>2678</v>
      </c>
      <c r="Q728" s="138" t="str">
        <f ca="1">IFERROR(LOOKUP($P728,MOTORISTAS!$D$3:$D$1048576,MOTORISTAS!E$3:E$916),"")</f>
        <v>28386357860</v>
      </c>
      <c r="R728" s="138" t="str">
        <f ca="1">IFERROR(LOOKUP($P728,MOTORISTAS!$D$3:$D$1048576,MOTORISTAS!F$3:F$916),"")</f>
        <v>01042201192</v>
      </c>
      <c r="S728" s="66">
        <v>16738</v>
      </c>
      <c r="T728" s="66" t="s">
        <v>293</v>
      </c>
      <c r="U728" s="79">
        <v>45123.958333333336</v>
      </c>
      <c r="V728" s="66" t="s">
        <v>292</v>
      </c>
      <c r="W728" s="79">
        <v>45125.419444444444</v>
      </c>
      <c r="X728" s="79">
        <v>45124.149305555555</v>
      </c>
      <c r="Y728" s="88">
        <v>45124.559027777781</v>
      </c>
      <c r="Z728" s="81"/>
      <c r="AA728" s="81"/>
      <c r="AB728" s="81"/>
      <c r="AC728" s="81"/>
      <c r="AD728" s="81">
        <v>3472.48</v>
      </c>
      <c r="AE728" s="81"/>
      <c r="AF728" s="81">
        <v>621.6</v>
      </c>
      <c r="AG728" s="81">
        <f>Sal_23[[#This Row],[COMPRA]]*12%</f>
        <v>558.28319999999997</v>
      </c>
      <c r="AH728" s="83">
        <v>4652.3599999999997</v>
      </c>
      <c r="AI728" s="66" t="str">
        <f>PROPER(TEXT(Sal_23[[#This Row],[PROGRAMAÇÃO]],"mmm"))</f>
        <v>Jul</v>
      </c>
      <c r="AJ728" s="66">
        <f>YEAR(Sal_23[[#This Row],[PROGRAMAÇÃO]])</f>
        <v>2023</v>
      </c>
      <c r="AK728" s="66"/>
      <c r="AL728" s="66"/>
      <c r="AM728" s="66" t="s">
        <v>2768</v>
      </c>
      <c r="AN728" s="66" t="s">
        <v>2768</v>
      </c>
      <c r="AO728" s="66" t="s">
        <v>2768</v>
      </c>
    </row>
    <row r="729" spans="2:41" x14ac:dyDescent="0.25">
      <c r="B729" s="128" t="s">
        <v>2771</v>
      </c>
      <c r="C72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29" s="79">
        <v>45124.333333333336</v>
      </c>
      <c r="E729" s="44" t="s">
        <v>5570</v>
      </c>
      <c r="F729" s="66">
        <v>20</v>
      </c>
      <c r="G729" s="66" t="s">
        <v>2826</v>
      </c>
      <c r="H729" s="44" t="s">
        <v>2837</v>
      </c>
      <c r="I729" s="299" t="s">
        <v>2821</v>
      </c>
      <c r="J729" s="66">
        <v>6813</v>
      </c>
      <c r="K729" s="66" t="s">
        <v>5590</v>
      </c>
      <c r="L729" s="66">
        <v>119048</v>
      </c>
      <c r="M729" s="66"/>
      <c r="N729" s="66" t="s">
        <v>3040</v>
      </c>
      <c r="O729" s="66" t="s">
        <v>3041</v>
      </c>
      <c r="P729" s="66" t="s">
        <v>3042</v>
      </c>
      <c r="Q729" s="138" t="str">
        <f ca="1">IFERROR(LOOKUP($P729,MOTORISTAS!$D$3:$D$1048576,MOTORISTAS!E$3:E$916),"")</f>
        <v>19279658883</v>
      </c>
      <c r="R729" s="138" t="str">
        <f ca="1">IFERROR(LOOKUP($P729,MOTORISTAS!$D$3:$D$1048576,MOTORISTAS!F$3:F$916),"")</f>
        <v>01301319672</v>
      </c>
      <c r="S729" s="66">
        <v>16736</v>
      </c>
      <c r="T729" s="66" t="s">
        <v>293</v>
      </c>
      <c r="U729" s="79">
        <v>45124.166666666664</v>
      </c>
      <c r="V729" s="66" t="s">
        <v>292</v>
      </c>
      <c r="W729" s="79">
        <v>45124.477777777778</v>
      </c>
      <c r="X729" s="79">
        <v>45124.270833333336</v>
      </c>
      <c r="Y729" s="88">
        <v>45124.409722222219</v>
      </c>
      <c r="Z729" s="81"/>
      <c r="AA729" s="81"/>
      <c r="AB729" s="81"/>
      <c r="AC729" s="81"/>
      <c r="AD729" s="81"/>
      <c r="AE729" s="81"/>
      <c r="AF729" s="81"/>
      <c r="AG729" s="81">
        <f>Sal_23[[#This Row],[COMPRA]]*12%</f>
        <v>0</v>
      </c>
      <c r="AH729" s="83"/>
      <c r="AI729" s="66" t="str">
        <f>PROPER(TEXT(Sal_23[[#This Row],[PROGRAMAÇÃO]],"mmm"))</f>
        <v>Jul</v>
      </c>
      <c r="AJ729" s="66">
        <f>YEAR(Sal_23[[#This Row],[PROGRAMAÇÃO]])</f>
        <v>2023</v>
      </c>
      <c r="AK729" s="66"/>
      <c r="AL729" s="66"/>
      <c r="AM729" s="66" t="s">
        <v>2768</v>
      </c>
      <c r="AN729" s="66" t="s">
        <v>2768</v>
      </c>
      <c r="AO729" s="66" t="s">
        <v>2768</v>
      </c>
    </row>
    <row r="730" spans="2:41" x14ac:dyDescent="0.25">
      <c r="B730" s="128" t="s">
        <v>2771</v>
      </c>
      <c r="C73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0" s="79">
        <v>45125.333333333336</v>
      </c>
      <c r="E730" s="44" t="s">
        <v>5566</v>
      </c>
      <c r="F730" s="66">
        <v>20</v>
      </c>
      <c r="G730" s="66" t="s">
        <v>2826</v>
      </c>
      <c r="H730" s="44" t="s">
        <v>3105</v>
      </c>
      <c r="I730" s="299" t="s">
        <v>5585</v>
      </c>
      <c r="J730" s="66">
        <v>6936</v>
      </c>
      <c r="K730" s="66" t="s">
        <v>5590</v>
      </c>
      <c r="L730" s="66">
        <v>108214</v>
      </c>
      <c r="M730" s="66"/>
      <c r="N730" s="66" t="s">
        <v>2859</v>
      </c>
      <c r="O730" s="66" t="s">
        <v>4701</v>
      </c>
      <c r="P730" s="66" t="s">
        <v>2861</v>
      </c>
      <c r="Q730" s="138" t="str">
        <f ca="1">IFERROR(LOOKUP($P730,MOTORISTAS!$D$3:$D$1048576,MOTORISTAS!E$3:E$916),"")</f>
        <v>01817591878</v>
      </c>
      <c r="R730" s="138" t="str">
        <f ca="1">IFERROR(LOOKUP($P730,MOTORISTAS!$D$3:$D$1048576,MOTORISTAS!F$3:F$916),"")</f>
        <v>00821760640</v>
      </c>
      <c r="S730" s="66">
        <v>16744</v>
      </c>
      <c r="T730" s="66" t="s">
        <v>293</v>
      </c>
      <c r="U730" s="79">
        <v>45124.92291666667</v>
      </c>
      <c r="V730" s="66" t="s">
        <v>292</v>
      </c>
      <c r="W730" s="79">
        <v>45125.62777777778</v>
      </c>
      <c r="X730" s="79">
        <v>45125.020833333336</v>
      </c>
      <c r="Y730" s="88">
        <v>45125.496527777781</v>
      </c>
      <c r="Z730" s="81"/>
      <c r="AA730" s="81"/>
      <c r="AB730" s="81"/>
      <c r="AC730" s="81"/>
      <c r="AD730" s="81">
        <v>2014.37</v>
      </c>
      <c r="AE730" s="81"/>
      <c r="AF730" s="81">
        <v>266.39999999999998</v>
      </c>
      <c r="AG730" s="81">
        <f>Sal_23[[#This Row],[COMPRA]]*12%</f>
        <v>415.74719999999996</v>
      </c>
      <c r="AH730" s="83">
        <v>3464.56</v>
      </c>
      <c r="AI730" s="66" t="str">
        <f>PROPER(TEXT(Sal_23[[#This Row],[PROGRAMAÇÃO]],"mmm"))</f>
        <v>Jul</v>
      </c>
      <c r="AJ730" s="66">
        <f>YEAR(Sal_23[[#This Row],[PROGRAMAÇÃO]])</f>
        <v>2023</v>
      </c>
      <c r="AK730" s="66"/>
      <c r="AL730" s="66"/>
      <c r="AM730" s="66" t="s">
        <v>2768</v>
      </c>
      <c r="AN730" s="66" t="s">
        <v>2768</v>
      </c>
      <c r="AO730" s="66" t="s">
        <v>2768</v>
      </c>
    </row>
    <row r="731" spans="2:41" x14ac:dyDescent="0.25">
      <c r="B731" s="128" t="s">
        <v>2771</v>
      </c>
      <c r="C73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1" s="79">
        <v>45125.333333333336</v>
      </c>
      <c r="E731" s="44" t="s">
        <v>5567</v>
      </c>
      <c r="F731" s="66">
        <v>20</v>
      </c>
      <c r="G731" s="66" t="s">
        <v>2826</v>
      </c>
      <c r="H731" s="44" t="s">
        <v>2838</v>
      </c>
      <c r="I731" s="299" t="s">
        <v>2828</v>
      </c>
      <c r="J731" s="66">
        <v>6937</v>
      </c>
      <c r="K731" s="66" t="s">
        <v>5590</v>
      </c>
      <c r="L731" s="66">
        <v>108215</v>
      </c>
      <c r="M731" s="66"/>
      <c r="N731" s="66" t="s">
        <v>2498</v>
      </c>
      <c r="O731" s="66" t="s">
        <v>3274</v>
      </c>
      <c r="P731" s="66" t="s">
        <v>2500</v>
      </c>
      <c r="Q731" s="138" t="str">
        <f ca="1">IFERROR(LOOKUP($P731,MOTORISTAS!$D$3:$D$1048576,MOTORISTAS!E$3:E$916),"")</f>
        <v>10838670830</v>
      </c>
      <c r="R731" s="138" t="str">
        <f ca="1">IFERROR(LOOKUP($P731,MOTORISTAS!$D$3:$D$1048576,MOTORISTAS!F$3:F$916),"")</f>
        <v>01808675938</v>
      </c>
      <c r="S731" s="66">
        <v>16746</v>
      </c>
      <c r="T731" s="66" t="s">
        <v>293</v>
      </c>
      <c r="U731" s="79">
        <v>45124.959722222222</v>
      </c>
      <c r="V731" s="66" t="s">
        <v>292</v>
      </c>
      <c r="W731" s="79">
        <v>45125.618750000001</v>
      </c>
      <c r="X731" s="79">
        <v>45125.208333333336</v>
      </c>
      <c r="Y731" s="88">
        <v>45125.479166666664</v>
      </c>
      <c r="Z731" s="81"/>
      <c r="AA731" s="81"/>
      <c r="AB731" s="81"/>
      <c r="AC731" s="81">
        <v>768.4</v>
      </c>
      <c r="AD731" s="81">
        <v>3173.48</v>
      </c>
      <c r="AE731" s="81"/>
      <c r="AF731" s="81">
        <v>469.2</v>
      </c>
      <c r="AG731" s="81">
        <f>Sal_23[[#This Row],[COMPRA]]*12%</f>
        <v>601.46159999999998</v>
      </c>
      <c r="AH731" s="83">
        <v>5012.18</v>
      </c>
      <c r="AI731" s="66" t="str">
        <f>PROPER(TEXT(Sal_23[[#This Row],[PROGRAMAÇÃO]],"mmm"))</f>
        <v>Jul</v>
      </c>
      <c r="AJ731" s="66">
        <f>YEAR(Sal_23[[#This Row],[PROGRAMAÇÃO]])</f>
        <v>2023</v>
      </c>
      <c r="AK731" s="66"/>
      <c r="AL731" s="66"/>
      <c r="AM731" s="66" t="s">
        <v>2768</v>
      </c>
      <c r="AN731" s="66" t="s">
        <v>2768</v>
      </c>
      <c r="AO731" s="66" t="s">
        <v>2768</v>
      </c>
    </row>
    <row r="732" spans="2:41" x14ac:dyDescent="0.25">
      <c r="B732" s="128" t="s">
        <v>2771</v>
      </c>
      <c r="C73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2" s="79">
        <v>45125.333333333336</v>
      </c>
      <c r="E732" s="44" t="s">
        <v>5571</v>
      </c>
      <c r="F732" s="66">
        <v>20</v>
      </c>
      <c r="G732" s="66" t="s">
        <v>2826</v>
      </c>
      <c r="H732" s="44" t="s">
        <v>2837</v>
      </c>
      <c r="I732" s="299" t="s">
        <v>2821</v>
      </c>
      <c r="J732" s="66" t="s">
        <v>5618</v>
      </c>
      <c r="K732" s="66" t="s">
        <v>5590</v>
      </c>
      <c r="L732" s="66">
        <v>118219</v>
      </c>
      <c r="M732" s="66">
        <v>108257</v>
      </c>
      <c r="N732" s="66" t="s">
        <v>2260</v>
      </c>
      <c r="O732" s="66" t="s">
        <v>4572</v>
      </c>
      <c r="P732" s="66" t="s">
        <v>2262</v>
      </c>
      <c r="Q732" s="138" t="str">
        <f ca="1">IFERROR(LOOKUP($P732,MOTORISTAS!$D$3:$D$1048576,MOTORISTAS!E$3:E$916),"")</f>
        <v>39669866472</v>
      </c>
      <c r="R732" s="138" t="str">
        <f ca="1">IFERROR(LOOKUP($P732,MOTORISTAS!$D$3:$D$1048576,MOTORISTAS!F$3:F$916),"")</f>
        <v>03304186289</v>
      </c>
      <c r="S732" s="66" t="s">
        <v>5617</v>
      </c>
      <c r="T732" s="66" t="s">
        <v>293</v>
      </c>
      <c r="U732" s="79">
        <v>45124.980555555558</v>
      </c>
      <c r="V732" s="66" t="s">
        <v>292</v>
      </c>
      <c r="W732" s="79">
        <v>45125.486805555556</v>
      </c>
      <c r="X732" s="79">
        <v>45125.059027777781</v>
      </c>
      <c r="Y732" s="88">
        <v>45125.430555555555</v>
      </c>
      <c r="Z732" s="81">
        <v>1600</v>
      </c>
      <c r="AA732" s="81"/>
      <c r="AB732" s="81"/>
      <c r="AC732" s="81"/>
      <c r="AD732" s="81">
        <v>2018.37</v>
      </c>
      <c r="AE732" s="81"/>
      <c r="AF732" s="81">
        <v>266.39999999999998</v>
      </c>
      <c r="AG732" s="81">
        <f>Sal_23[[#This Row],[COMPRA]]*12%</f>
        <v>311.55959999999999</v>
      </c>
      <c r="AH732" s="83">
        <v>2596.33</v>
      </c>
      <c r="AI732" s="66" t="str">
        <f>PROPER(TEXT(Sal_23[[#This Row],[PROGRAMAÇÃO]],"mmm"))</f>
        <v>Jul</v>
      </c>
      <c r="AJ732" s="66">
        <f>YEAR(Sal_23[[#This Row],[PROGRAMAÇÃO]])</f>
        <v>2023</v>
      </c>
      <c r="AK732" s="66"/>
      <c r="AL732" s="66"/>
      <c r="AM732" s="66" t="s">
        <v>2768</v>
      </c>
      <c r="AN732" s="66" t="s">
        <v>2768</v>
      </c>
      <c r="AO732" s="66" t="s">
        <v>2768</v>
      </c>
    </row>
    <row r="733" spans="2:41" x14ac:dyDescent="0.25">
      <c r="B733" s="128" t="s">
        <v>2771</v>
      </c>
      <c r="C73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3" s="79">
        <v>45125.333333333336</v>
      </c>
      <c r="E733" s="44" t="s">
        <v>5572</v>
      </c>
      <c r="F733" s="66">
        <v>20</v>
      </c>
      <c r="G733" s="66" t="s">
        <v>2826</v>
      </c>
      <c r="H733" s="44" t="s">
        <v>3082</v>
      </c>
      <c r="I733" s="299" t="s">
        <v>3083</v>
      </c>
      <c r="J733" s="66">
        <v>6957</v>
      </c>
      <c r="K733" s="66" t="s">
        <v>5590</v>
      </c>
      <c r="L733" s="66">
        <v>108288</v>
      </c>
      <c r="M733" s="66"/>
      <c r="N733" s="66" t="s">
        <v>3040</v>
      </c>
      <c r="O733" s="66" t="s">
        <v>3041</v>
      </c>
      <c r="P733" s="66" t="s">
        <v>3042</v>
      </c>
      <c r="Q733" s="138" t="str">
        <f ca="1">IFERROR(LOOKUP($P733,MOTORISTAS!$D$3:$D$1048576,MOTORISTAS!E$3:E$916),"")</f>
        <v>19279658883</v>
      </c>
      <c r="R733" s="138" t="str">
        <f ca="1">IFERROR(LOOKUP($P733,MOTORISTAS!$D$3:$D$1048576,MOTORISTAS!F$3:F$916),"")</f>
        <v>01301319672</v>
      </c>
      <c r="S733" s="66">
        <v>16747</v>
      </c>
      <c r="T733" s="66" t="s">
        <v>293</v>
      </c>
      <c r="U733" s="79">
        <v>45124.958333333336</v>
      </c>
      <c r="V733" s="66" t="s">
        <v>292</v>
      </c>
      <c r="W733" s="79">
        <v>45126.51666666667</v>
      </c>
      <c r="X733" s="79">
        <v>45125.052083333336</v>
      </c>
      <c r="Y733" s="88">
        <v>45125.715277777781</v>
      </c>
      <c r="Z733" s="81"/>
      <c r="AA733" s="81"/>
      <c r="AB733" s="81"/>
      <c r="AC733" s="81"/>
      <c r="AD733" s="81">
        <v>2386.86</v>
      </c>
      <c r="AE733" s="81"/>
      <c r="AF733" s="81">
        <v>222</v>
      </c>
      <c r="AG733" s="81">
        <f>Sal_23[[#This Row],[COMPRA]]*12%</f>
        <v>355.75319999999999</v>
      </c>
      <c r="AH733" s="83">
        <v>2964.61</v>
      </c>
      <c r="AI733" s="66" t="str">
        <f>PROPER(TEXT(Sal_23[[#This Row],[PROGRAMAÇÃO]],"mmm"))</f>
        <v>Jul</v>
      </c>
      <c r="AJ733" s="66">
        <f>YEAR(Sal_23[[#This Row],[PROGRAMAÇÃO]])</f>
        <v>2023</v>
      </c>
      <c r="AK733" s="66"/>
      <c r="AL733" s="66"/>
      <c r="AM733" s="66" t="s">
        <v>2768</v>
      </c>
      <c r="AN733" s="66" t="s">
        <v>2768</v>
      </c>
      <c r="AO733" s="66" t="s">
        <v>2768</v>
      </c>
    </row>
    <row r="734" spans="2:41" x14ac:dyDescent="0.25">
      <c r="B734" s="128" t="s">
        <v>2771</v>
      </c>
      <c r="C73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4" s="79">
        <v>45125.333333333336</v>
      </c>
      <c r="E734" s="44" t="s">
        <v>5573</v>
      </c>
      <c r="F734" s="66">
        <v>40</v>
      </c>
      <c r="G734" s="66" t="s">
        <v>2826</v>
      </c>
      <c r="H734" s="44" t="s">
        <v>3074</v>
      </c>
      <c r="I734" s="299" t="s">
        <v>3439</v>
      </c>
      <c r="J734" s="66">
        <v>6811</v>
      </c>
      <c r="K734" s="66" t="s">
        <v>5590</v>
      </c>
      <c r="L734" s="66">
        <v>108165</v>
      </c>
      <c r="M734" s="66"/>
      <c r="N734" s="66" t="s">
        <v>92</v>
      </c>
      <c r="O734" s="66" t="s">
        <v>93</v>
      </c>
      <c r="P734" s="66" t="s">
        <v>94</v>
      </c>
      <c r="Q734" s="138" t="str">
        <f ca="1">IFERROR(LOOKUP($P734,MOTORISTAS!$D$3:$D$1048576,MOTORISTAS!E$3:E$916),"")</f>
        <v>26283419801</v>
      </c>
      <c r="R734" s="138" t="str">
        <f ca="1">IFERROR(LOOKUP($P734,MOTORISTAS!$D$3:$D$1048576,MOTORISTAS!F$3:F$916),"")</f>
        <v>02002046946</v>
      </c>
      <c r="S734" s="66">
        <v>16748</v>
      </c>
      <c r="T734" s="66" t="s">
        <v>293</v>
      </c>
      <c r="U734" s="79">
        <v>45124.931944444441</v>
      </c>
      <c r="V734" s="66" t="s">
        <v>292</v>
      </c>
      <c r="W734" s="79">
        <v>45127.505555555559</v>
      </c>
      <c r="X734" s="79">
        <v>45125.315972222219</v>
      </c>
      <c r="Y734" s="88">
        <v>45125.770833333336</v>
      </c>
      <c r="Z734" s="81"/>
      <c r="AA734" s="81"/>
      <c r="AB734" s="81"/>
      <c r="AC734" s="81"/>
      <c r="AD734" s="81">
        <v>3428.2</v>
      </c>
      <c r="AE734" s="81"/>
      <c r="AF734" s="81">
        <v>250.2</v>
      </c>
      <c r="AG734" s="81">
        <f>Sal_23[[#This Row],[COMPRA]]*12%</f>
        <v>501.59999999999997</v>
      </c>
      <c r="AH734" s="83">
        <v>4180</v>
      </c>
      <c r="AI734" s="66" t="str">
        <f>PROPER(TEXT(Sal_23[[#This Row],[PROGRAMAÇÃO]],"mmm"))</f>
        <v>Jul</v>
      </c>
      <c r="AJ734" s="66">
        <f>YEAR(Sal_23[[#This Row],[PROGRAMAÇÃO]])</f>
        <v>2023</v>
      </c>
      <c r="AK734" s="66"/>
      <c r="AL734" s="66"/>
      <c r="AM734" s="66" t="s">
        <v>2768</v>
      </c>
      <c r="AN734" s="66" t="s">
        <v>2768</v>
      </c>
      <c r="AO734" s="66" t="s">
        <v>2768</v>
      </c>
    </row>
    <row r="735" spans="2:41" x14ac:dyDescent="0.25">
      <c r="B735" s="128" t="s">
        <v>2771</v>
      </c>
      <c r="C73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5" s="79">
        <v>45125.333333333336</v>
      </c>
      <c r="E735" s="44" t="s">
        <v>5582</v>
      </c>
      <c r="F735" s="66">
        <v>40</v>
      </c>
      <c r="G735" s="66" t="s">
        <v>2826</v>
      </c>
      <c r="H735" s="44" t="s">
        <v>1674</v>
      </c>
      <c r="I735" s="299" t="s">
        <v>2829</v>
      </c>
      <c r="J735" s="66">
        <v>6809</v>
      </c>
      <c r="K735" s="66" t="s">
        <v>5590</v>
      </c>
      <c r="L735" s="66">
        <v>108117</v>
      </c>
      <c r="M735" s="66">
        <v>108118</v>
      </c>
      <c r="N735" s="66" t="s">
        <v>2389</v>
      </c>
      <c r="O735" s="66" t="s">
        <v>2390</v>
      </c>
      <c r="P735" s="66" t="s">
        <v>892</v>
      </c>
      <c r="Q735" s="138" t="str">
        <f ca="1">IFERROR(LOOKUP($P735,MOTORISTAS!$D$3:$D$1048576,MOTORISTAS!E$3:E$916),"")</f>
        <v>55283063968</v>
      </c>
      <c r="R735" s="138" t="str">
        <f ca="1">IFERROR(LOOKUP($P735,MOTORISTAS!$D$3:$D$1048576,MOTORISTAS!F$3:F$916),"")</f>
        <v>02537032407</v>
      </c>
      <c r="S735" s="66">
        <v>16751</v>
      </c>
      <c r="T735" s="66" t="s">
        <v>293</v>
      </c>
      <c r="U735" s="79">
        <v>45124.943055555559</v>
      </c>
      <c r="V735" s="66" t="s">
        <v>292</v>
      </c>
      <c r="W735" s="79">
        <v>45125.6875</v>
      </c>
      <c r="X735" s="79">
        <v>45125.125</v>
      </c>
      <c r="Y735" s="88">
        <v>45125.4375</v>
      </c>
      <c r="Z735" s="81"/>
      <c r="AA735" s="81"/>
      <c r="AB735" s="81"/>
      <c r="AC735" s="81"/>
      <c r="AD735" s="81">
        <v>3472.48</v>
      </c>
      <c r="AE735" s="81"/>
      <c r="AF735" s="81">
        <v>621.6</v>
      </c>
      <c r="AG735" s="81">
        <f>Sal_23[[#This Row],[COMPRA]]*12%</f>
        <v>558.28319999999997</v>
      </c>
      <c r="AH735" s="83">
        <v>4652.3599999999997</v>
      </c>
      <c r="AI735" s="66" t="str">
        <f>PROPER(TEXT(Sal_23[[#This Row],[PROGRAMAÇÃO]],"mmm"))</f>
        <v>Jul</v>
      </c>
      <c r="AJ735" s="66">
        <f>YEAR(Sal_23[[#This Row],[PROGRAMAÇÃO]])</f>
        <v>2023</v>
      </c>
      <c r="AK735" s="66"/>
      <c r="AL735" s="66"/>
      <c r="AM735" s="66" t="s">
        <v>2768</v>
      </c>
      <c r="AN735" s="66" t="s">
        <v>2768</v>
      </c>
      <c r="AO735" s="66" t="s">
        <v>2768</v>
      </c>
    </row>
    <row r="736" spans="2:41" x14ac:dyDescent="0.25">
      <c r="B736" s="128" t="s">
        <v>2771</v>
      </c>
      <c r="C73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6" s="79">
        <v>45125.333333333336</v>
      </c>
      <c r="E736" s="44" t="s">
        <v>5583</v>
      </c>
      <c r="F736" s="66">
        <v>40</v>
      </c>
      <c r="G736" s="66" t="s">
        <v>2826</v>
      </c>
      <c r="H736" s="44" t="s">
        <v>1674</v>
      </c>
      <c r="I736" s="299" t="s">
        <v>2829</v>
      </c>
      <c r="J736" s="66">
        <v>6807</v>
      </c>
      <c r="K736" s="66" t="s">
        <v>5590</v>
      </c>
      <c r="L736" s="66">
        <v>108126</v>
      </c>
      <c r="M736" s="66">
        <v>108127</v>
      </c>
      <c r="N736" s="66" t="s">
        <v>890</v>
      </c>
      <c r="O736" s="66" t="s">
        <v>179</v>
      </c>
      <c r="P736" s="66" t="s">
        <v>5166</v>
      </c>
      <c r="Q736" s="138" t="str">
        <f ca="1">IFERROR(LOOKUP($P736,MOTORISTAS!$D$3:$D$1048576,MOTORISTAS!E$3:E$916),"")</f>
        <v>43345159830</v>
      </c>
      <c r="R736" s="138" t="str">
        <f ca="1">IFERROR(LOOKUP($P736,MOTORISTAS!$D$3:$D$1048576,MOTORISTAS!F$3:F$916),"")</f>
        <v>05585211593</v>
      </c>
      <c r="S736" s="66">
        <v>16753</v>
      </c>
      <c r="T736" s="66" t="s">
        <v>293</v>
      </c>
      <c r="U736" s="79">
        <v>45124.944444444445</v>
      </c>
      <c r="V736" s="66" t="s">
        <v>292</v>
      </c>
      <c r="W736" s="79">
        <v>45127.48333333333</v>
      </c>
      <c r="X736" s="79">
        <v>45125.333333333336</v>
      </c>
      <c r="Y736" s="88">
        <v>45125.638888888891</v>
      </c>
      <c r="Z736" s="81"/>
      <c r="AA736" s="81"/>
      <c r="AB736" s="81"/>
      <c r="AC736" s="81"/>
      <c r="AD736" s="81">
        <v>3472.48</v>
      </c>
      <c r="AE736" s="81"/>
      <c r="AF736" s="81">
        <v>621.6</v>
      </c>
      <c r="AG736" s="81">
        <f>Sal_23[[#This Row],[COMPRA]]*12%</f>
        <v>558.28319999999997</v>
      </c>
      <c r="AH736" s="83">
        <v>4652.3599999999997</v>
      </c>
      <c r="AI736" s="66" t="str">
        <f>PROPER(TEXT(Sal_23[[#This Row],[PROGRAMAÇÃO]],"mmm"))</f>
        <v>Jul</v>
      </c>
      <c r="AJ736" s="66">
        <f>YEAR(Sal_23[[#This Row],[PROGRAMAÇÃO]])</f>
        <v>2023</v>
      </c>
      <c r="AK736" s="66"/>
      <c r="AL736" s="66"/>
      <c r="AM736" s="66" t="s">
        <v>2768</v>
      </c>
      <c r="AN736" s="66" t="s">
        <v>2768</v>
      </c>
      <c r="AO736" s="66" t="s">
        <v>2768</v>
      </c>
    </row>
    <row r="737" spans="2:41" x14ac:dyDescent="0.25">
      <c r="B737" s="128" t="s">
        <v>2771</v>
      </c>
      <c r="C73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7" s="79">
        <v>45125.333333333336</v>
      </c>
      <c r="E737" s="44" t="s">
        <v>5584</v>
      </c>
      <c r="F737" s="66">
        <v>40</v>
      </c>
      <c r="G737" s="66" t="s">
        <v>2826</v>
      </c>
      <c r="H737" s="44" t="s">
        <v>1674</v>
      </c>
      <c r="I737" s="299" t="s">
        <v>2829</v>
      </c>
      <c r="J737" s="66">
        <v>6889</v>
      </c>
      <c r="K737" s="66" t="s">
        <v>5590</v>
      </c>
      <c r="L737" s="66">
        <v>108207</v>
      </c>
      <c r="M737" s="66">
        <v>108217</v>
      </c>
      <c r="N737" s="66" t="s">
        <v>1961</v>
      </c>
      <c r="O737" s="66" t="s">
        <v>1962</v>
      </c>
      <c r="P737" s="66" t="s">
        <v>1482</v>
      </c>
      <c r="Q737" s="138" t="str">
        <f ca="1">IFERROR(LOOKUP($P737,MOTORISTAS!$D$3:$D$1048576,MOTORISTAS!E$3:E$916),"")</f>
        <v>38329597857</v>
      </c>
      <c r="R737" s="138" t="str">
        <f ca="1">IFERROR(LOOKUP($P737,MOTORISTAS!$D$3:$D$1048576,MOTORISTAS!F$3:F$916),"")</f>
        <v>04956762510</v>
      </c>
      <c r="S737" s="66">
        <v>16754</v>
      </c>
      <c r="T737" s="66" t="s">
        <v>293</v>
      </c>
      <c r="U737" s="79">
        <v>45124.96875</v>
      </c>
      <c r="V737" s="66" t="s">
        <v>292</v>
      </c>
      <c r="W737" s="79">
        <v>45125</v>
      </c>
      <c r="X737" s="79">
        <v>45125.333333333336</v>
      </c>
      <c r="Y737" s="88">
        <v>45125.680555555555</v>
      </c>
      <c r="Z737" s="81"/>
      <c r="AA737" s="81"/>
      <c r="AB737" s="81"/>
      <c r="AC737" s="81"/>
      <c r="AD737" s="81">
        <v>3472.48</v>
      </c>
      <c r="AE737" s="81"/>
      <c r="AF737" s="81">
        <v>621.6</v>
      </c>
      <c r="AG737" s="81">
        <f>Sal_23[[#This Row],[COMPRA]]*12%</f>
        <v>558.28319999999997</v>
      </c>
      <c r="AH737" s="83">
        <v>4652.3599999999997</v>
      </c>
      <c r="AI737" s="66" t="str">
        <f>PROPER(TEXT(Sal_23[[#This Row],[PROGRAMAÇÃO]],"mmm"))</f>
        <v>Jul</v>
      </c>
      <c r="AJ737" s="66">
        <f>YEAR(Sal_23[[#This Row],[PROGRAMAÇÃO]])</f>
        <v>2023</v>
      </c>
      <c r="AK737" s="66"/>
      <c r="AL737" s="66"/>
      <c r="AM737" s="66" t="s">
        <v>2768</v>
      </c>
      <c r="AN737" s="66" t="s">
        <v>2768</v>
      </c>
      <c r="AO737" s="66" t="s">
        <v>2768</v>
      </c>
    </row>
    <row r="738" spans="2:41" x14ac:dyDescent="0.25">
      <c r="B738" s="128" t="s">
        <v>2771</v>
      </c>
      <c r="C73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8" s="79">
        <v>45128.333333333336</v>
      </c>
      <c r="E738" s="44" t="s">
        <v>5629</v>
      </c>
      <c r="F738" s="66">
        <v>20</v>
      </c>
      <c r="G738" s="66" t="s">
        <v>2826</v>
      </c>
      <c r="H738" s="44" t="s">
        <v>2825</v>
      </c>
      <c r="I738" s="299" t="s">
        <v>4012</v>
      </c>
      <c r="J738" s="66">
        <v>7224</v>
      </c>
      <c r="K738" s="66" t="s">
        <v>5639</v>
      </c>
      <c r="L738" s="66">
        <v>108350</v>
      </c>
      <c r="M738" s="66"/>
      <c r="N738" s="66" t="s">
        <v>3028</v>
      </c>
      <c r="O738" s="66" t="s">
        <v>2261</v>
      </c>
      <c r="P738" s="66" t="s">
        <v>3443</v>
      </c>
      <c r="Q738" s="138" t="str">
        <f ca="1">IFERROR(LOOKUP($P738,MOTORISTAS!$D$3:$D$1048576,MOTORISTAS!E$3:E$916),"")</f>
        <v>13990937898</v>
      </c>
      <c r="R738" s="138" t="str">
        <f ca="1">IFERROR(LOOKUP($P738,MOTORISTAS!$D$3:$D$1048576,MOTORISTAS!F$3:F$916),"")</f>
        <v>01825123407</v>
      </c>
      <c r="S738" s="66">
        <v>16781</v>
      </c>
      <c r="T738" s="66" t="s">
        <v>293</v>
      </c>
      <c r="U738" s="79">
        <v>45127.989583333336</v>
      </c>
      <c r="V738" s="66" t="s">
        <v>292</v>
      </c>
      <c r="W738" s="79">
        <v>45128.542361111111</v>
      </c>
      <c r="X738" s="79">
        <v>45128.09375</v>
      </c>
      <c r="Y738" s="88">
        <v>45128.4375</v>
      </c>
      <c r="Z738" s="81">
        <v>2000</v>
      </c>
      <c r="AA738" s="81"/>
      <c r="AB738" s="81"/>
      <c r="AC738" s="81"/>
      <c r="AD738" s="81">
        <v>2294.6999999999998</v>
      </c>
      <c r="AE738" s="81"/>
      <c r="AF738" s="81">
        <v>222</v>
      </c>
      <c r="AG738" s="81">
        <f>Sal_23[[#This Row],[COMPRA]]*12%</f>
        <v>447.91919999999999</v>
      </c>
      <c r="AH738" s="83">
        <v>3732.66</v>
      </c>
      <c r="AI738" s="66" t="str">
        <f>PROPER(TEXT(Sal_23[[#This Row],[PROGRAMAÇÃO]],"mmm"))</f>
        <v>Jul</v>
      </c>
      <c r="AJ738" s="66">
        <f>YEAR(Sal_23[[#This Row],[PROGRAMAÇÃO]])</f>
        <v>2023</v>
      </c>
      <c r="AK738" s="66"/>
      <c r="AL738" s="66"/>
      <c r="AM738" s="66" t="s">
        <v>2768</v>
      </c>
      <c r="AN738" s="66" t="s">
        <v>2768</v>
      </c>
      <c r="AO738" s="66" t="s">
        <v>2768</v>
      </c>
    </row>
    <row r="739" spans="2:41" x14ac:dyDescent="0.25">
      <c r="B739" s="128" t="s">
        <v>2771</v>
      </c>
      <c r="C73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39" s="79">
        <v>45128.333333333336</v>
      </c>
      <c r="E739" s="44" t="s">
        <v>5631</v>
      </c>
      <c r="F739" s="66">
        <v>20</v>
      </c>
      <c r="G739" s="66" t="s">
        <v>2826</v>
      </c>
      <c r="H739" s="44" t="s">
        <v>3440</v>
      </c>
      <c r="I739" s="299" t="s">
        <v>3531</v>
      </c>
      <c r="J739" s="66">
        <v>7264</v>
      </c>
      <c r="K739" s="66" t="s">
        <v>5639</v>
      </c>
      <c r="L739" s="66">
        <v>119389</v>
      </c>
      <c r="M739" s="66"/>
      <c r="N739" s="66" t="s">
        <v>2498</v>
      </c>
      <c r="O739" s="66" t="s">
        <v>3274</v>
      </c>
      <c r="P739" s="66" t="s">
        <v>2500</v>
      </c>
      <c r="Q739" s="138" t="str">
        <f ca="1">IFERROR(LOOKUP($P739,MOTORISTAS!$D$3:$D$1048576,MOTORISTAS!E$3:E$916),"")</f>
        <v>10838670830</v>
      </c>
      <c r="R739" s="138" t="str">
        <f ca="1">IFERROR(LOOKUP($P739,MOTORISTAS!$D$3:$D$1048576,MOTORISTAS!F$3:F$916),"")</f>
        <v>01808675938</v>
      </c>
      <c r="S739" s="66">
        <v>16782</v>
      </c>
      <c r="T739" s="66" t="s">
        <v>293</v>
      </c>
      <c r="U739" s="79">
        <v>45127.888194444444</v>
      </c>
      <c r="V739" s="66" t="s">
        <v>292</v>
      </c>
      <c r="W739" s="79">
        <v>45128.59652777778</v>
      </c>
      <c r="X739" s="79">
        <v>45128.145833333336</v>
      </c>
      <c r="Y739" s="88">
        <v>45128.459722222222</v>
      </c>
      <c r="Z739" s="81">
        <v>2300</v>
      </c>
      <c r="AA739" s="81"/>
      <c r="AB739" s="81"/>
      <c r="AC739" s="81"/>
      <c r="AD739" s="81">
        <v>2557.98</v>
      </c>
      <c r="AE739" s="81"/>
      <c r="AF739" s="81">
        <v>372.6</v>
      </c>
      <c r="AG739" s="81">
        <f>Sal_23[[#This Row],[COMPRA]]*12%</f>
        <v>399.62399999999997</v>
      </c>
      <c r="AH739" s="83">
        <v>3330.2</v>
      </c>
      <c r="AI739" s="66" t="str">
        <f>PROPER(TEXT(Sal_23[[#This Row],[PROGRAMAÇÃO]],"mmm"))</f>
        <v>Jul</v>
      </c>
      <c r="AJ739" s="66">
        <f>YEAR(Sal_23[[#This Row],[PROGRAMAÇÃO]])</f>
        <v>2023</v>
      </c>
      <c r="AK739" s="66"/>
      <c r="AL739" s="66"/>
      <c r="AM739" s="66" t="s">
        <v>2768</v>
      </c>
      <c r="AN739" s="66" t="s">
        <v>2768</v>
      </c>
      <c r="AO739" s="66" t="s">
        <v>2768</v>
      </c>
    </row>
    <row r="740" spans="2:41" x14ac:dyDescent="0.25">
      <c r="B740" s="128" t="s">
        <v>2771</v>
      </c>
      <c r="C74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40" s="79">
        <v>45128.333333333336</v>
      </c>
      <c r="E740" s="44" t="s">
        <v>2531</v>
      </c>
      <c r="F740" s="66">
        <v>40</v>
      </c>
      <c r="G740" s="66" t="s">
        <v>2826</v>
      </c>
      <c r="H740" s="44" t="s">
        <v>2836</v>
      </c>
      <c r="I740" s="299" t="s">
        <v>708</v>
      </c>
      <c r="J740" s="66">
        <v>7219</v>
      </c>
      <c r="K740" s="66" t="s">
        <v>5639</v>
      </c>
      <c r="L740" s="66">
        <v>108349</v>
      </c>
      <c r="M740" s="66"/>
      <c r="N740" s="66" t="s">
        <v>2859</v>
      </c>
      <c r="O740" s="66" t="s">
        <v>2860</v>
      </c>
      <c r="P740" s="66" t="s">
        <v>2861</v>
      </c>
      <c r="Q740" s="138" t="str">
        <f ca="1">IFERROR(LOOKUP($P740,MOTORISTAS!$D$3:$D$1048576,MOTORISTAS!E$3:E$916),"")</f>
        <v>01817591878</v>
      </c>
      <c r="R740" s="138" t="str">
        <f ca="1">IFERROR(LOOKUP($P740,MOTORISTAS!$D$3:$D$1048576,MOTORISTAS!F$3:F$916),"")</f>
        <v>00821760640</v>
      </c>
      <c r="S740" s="66">
        <v>16783</v>
      </c>
      <c r="T740" s="66" t="s">
        <v>293</v>
      </c>
      <c r="U740" s="79">
        <v>45128.276388888888</v>
      </c>
      <c r="V740" s="66" t="s">
        <v>3201</v>
      </c>
      <c r="W740" s="79">
        <v>45128.696527777778</v>
      </c>
      <c r="X740" s="79">
        <v>45128.3125</v>
      </c>
      <c r="Y740" s="88">
        <v>45128.520833333336</v>
      </c>
      <c r="Z740" s="81">
        <v>800</v>
      </c>
      <c r="AA740" s="81"/>
      <c r="AB740" s="81"/>
      <c r="AC740" s="81"/>
      <c r="AD740" s="81">
        <v>1621.21</v>
      </c>
      <c r="AE740" s="81"/>
      <c r="AF740" s="81">
        <v>94.8</v>
      </c>
      <c r="AG740" s="81">
        <f>Sal_23[[#This Row],[COMPRA]]*12%</f>
        <v>234</v>
      </c>
      <c r="AH740" s="83">
        <v>1950</v>
      </c>
      <c r="AI740" s="66" t="str">
        <f>PROPER(TEXT(Sal_23[[#This Row],[PROGRAMAÇÃO]],"mmm"))</f>
        <v>Jul</v>
      </c>
      <c r="AJ740" s="66">
        <f>YEAR(Sal_23[[#This Row],[PROGRAMAÇÃO]])</f>
        <v>2023</v>
      </c>
      <c r="AK740" s="66"/>
      <c r="AL740" s="66"/>
      <c r="AM740" s="66" t="s">
        <v>2768</v>
      </c>
      <c r="AN740" s="66" t="s">
        <v>2768</v>
      </c>
      <c r="AO740" s="66" t="s">
        <v>2768</v>
      </c>
    </row>
    <row r="741" spans="2:41" x14ac:dyDescent="0.25">
      <c r="B741" s="128" t="s">
        <v>2771</v>
      </c>
      <c r="C74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41" s="79">
        <v>45128.333333333336</v>
      </c>
      <c r="E741" s="44" t="s">
        <v>5633</v>
      </c>
      <c r="F741" s="66">
        <v>40</v>
      </c>
      <c r="G741" s="66" t="s">
        <v>2826</v>
      </c>
      <c r="H741" s="44" t="s">
        <v>1674</v>
      </c>
      <c r="I741" s="299" t="s">
        <v>2829</v>
      </c>
      <c r="J741" s="66">
        <v>7268</v>
      </c>
      <c r="K741" s="66" t="s">
        <v>5639</v>
      </c>
      <c r="L741" s="66">
        <v>108347</v>
      </c>
      <c r="M741" s="66">
        <v>108348</v>
      </c>
      <c r="N741" s="66" t="s">
        <v>2389</v>
      </c>
      <c r="O741" s="66" t="s">
        <v>2390</v>
      </c>
      <c r="P741" s="66" t="s">
        <v>892</v>
      </c>
      <c r="Q741" s="138" t="str">
        <f ca="1">IFERROR(LOOKUP($P741,MOTORISTAS!$D$3:$D$1048576,MOTORISTAS!E$3:E$916),"")</f>
        <v>55283063968</v>
      </c>
      <c r="R741" s="138" t="str">
        <f ca="1">IFERROR(LOOKUP($P741,MOTORISTAS!$D$3:$D$1048576,MOTORISTAS!F$3:F$916),"")</f>
        <v>02537032407</v>
      </c>
      <c r="S741" s="66">
        <v>16788</v>
      </c>
      <c r="T741" s="66" t="s">
        <v>293</v>
      </c>
      <c r="U741" s="79">
        <v>45128.02847222222</v>
      </c>
      <c r="V741" s="66" t="s">
        <v>292</v>
      </c>
      <c r="W741" s="79">
        <v>45128.65902777778</v>
      </c>
      <c r="X741" s="79">
        <v>45128.201388888891</v>
      </c>
      <c r="Y741" s="88">
        <v>45128.459722222222</v>
      </c>
      <c r="Z741" s="81"/>
      <c r="AA741" s="81"/>
      <c r="AB741" s="81"/>
      <c r="AC741" s="81"/>
      <c r="AD741" s="81">
        <v>3472.48</v>
      </c>
      <c r="AE741" s="81"/>
      <c r="AF741" s="81">
        <v>621.6</v>
      </c>
      <c r="AG741" s="81">
        <f>Sal_23[[#This Row],[COMPRA]]*12%</f>
        <v>558.31919999999991</v>
      </c>
      <c r="AH741" s="83">
        <v>4652.66</v>
      </c>
      <c r="AI741" s="66" t="str">
        <f>PROPER(TEXT(Sal_23[[#This Row],[PROGRAMAÇÃO]],"mmm"))</f>
        <v>Jul</v>
      </c>
      <c r="AJ741" s="66">
        <f>YEAR(Sal_23[[#This Row],[PROGRAMAÇÃO]])</f>
        <v>2023</v>
      </c>
      <c r="AK741" s="66"/>
      <c r="AL741" s="66"/>
      <c r="AM741" s="66" t="s">
        <v>2768</v>
      </c>
      <c r="AN741" s="66" t="s">
        <v>2768</v>
      </c>
      <c r="AO741" s="66" t="s">
        <v>2768</v>
      </c>
    </row>
    <row r="742" spans="2:41" x14ac:dyDescent="0.25">
      <c r="B742" s="128" t="s">
        <v>2771</v>
      </c>
      <c r="C74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42" s="79">
        <v>45128.333333333336</v>
      </c>
      <c r="E742" s="44" t="s">
        <v>5634</v>
      </c>
      <c r="F742" s="66">
        <v>40</v>
      </c>
      <c r="G742" s="66" t="s">
        <v>2826</v>
      </c>
      <c r="H742" s="44" t="s">
        <v>1674</v>
      </c>
      <c r="I742" s="299" t="s">
        <v>2829</v>
      </c>
      <c r="J742" s="66">
        <v>7235</v>
      </c>
      <c r="K742" s="66" t="s">
        <v>5639</v>
      </c>
      <c r="L742" s="66">
        <v>108398</v>
      </c>
      <c r="M742" s="66">
        <v>108399</v>
      </c>
      <c r="N742" s="66" t="s">
        <v>890</v>
      </c>
      <c r="O742" s="66" t="s">
        <v>179</v>
      </c>
      <c r="P742" s="66" t="s">
        <v>5166</v>
      </c>
      <c r="Q742" s="138" t="str">
        <f ca="1">IFERROR(LOOKUP($P742,MOTORISTAS!$D$3:$D$1048576,MOTORISTAS!E$3:E$916),"")</f>
        <v>43345159830</v>
      </c>
      <c r="R742" s="138" t="str">
        <f ca="1">IFERROR(LOOKUP($P742,MOTORISTAS!$D$3:$D$1048576,MOTORISTAS!F$3:F$916),"")</f>
        <v>05585211593</v>
      </c>
      <c r="S742" s="66">
        <v>16787</v>
      </c>
      <c r="T742" s="66" t="s">
        <v>293</v>
      </c>
      <c r="U742" s="79">
        <v>45128.254861111112</v>
      </c>
      <c r="V742" s="66" t="s">
        <v>292</v>
      </c>
      <c r="W742" s="79">
        <v>45129.411111111112</v>
      </c>
      <c r="X742" s="79">
        <v>45128.4375</v>
      </c>
      <c r="Y742" s="88" t="s">
        <v>5697</v>
      </c>
      <c r="Z742" s="81"/>
      <c r="AA742" s="81"/>
      <c r="AB742" s="81"/>
      <c r="AC742" s="81"/>
      <c r="AD742" s="81"/>
      <c r="AE742" s="81"/>
      <c r="AF742" s="81"/>
      <c r="AG742" s="81">
        <f>Sal_23[[#This Row],[COMPRA]]*12%</f>
        <v>558.31919999999991</v>
      </c>
      <c r="AH742" s="83">
        <v>4652.66</v>
      </c>
      <c r="AI742" s="66" t="str">
        <f>PROPER(TEXT(Sal_23[[#This Row],[PROGRAMAÇÃO]],"mmm"))</f>
        <v>Jul</v>
      </c>
      <c r="AJ742" s="66">
        <f>YEAR(Sal_23[[#This Row],[PROGRAMAÇÃO]])</f>
        <v>2023</v>
      </c>
      <c r="AK742" s="66"/>
      <c r="AL742" s="66"/>
      <c r="AM742" s="66" t="s">
        <v>2768</v>
      </c>
      <c r="AN742" s="66" t="s">
        <v>2768</v>
      </c>
      <c r="AO742" s="66" t="s">
        <v>2768</v>
      </c>
    </row>
    <row r="743" spans="2:41" x14ac:dyDescent="0.25">
      <c r="B743" s="128" t="s">
        <v>2771</v>
      </c>
      <c r="C74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43" s="79">
        <v>45128.333333333336</v>
      </c>
      <c r="E743" s="44" t="s">
        <v>5638</v>
      </c>
      <c r="F743" s="66">
        <v>40</v>
      </c>
      <c r="G743" s="66" t="s">
        <v>2826</v>
      </c>
      <c r="H743" s="44" t="s">
        <v>2835</v>
      </c>
      <c r="I743" s="299" t="s">
        <v>2822</v>
      </c>
      <c r="J743" s="66">
        <v>7302</v>
      </c>
      <c r="K743" s="66" t="s">
        <v>5639</v>
      </c>
      <c r="L743" s="66">
        <v>108449</v>
      </c>
      <c r="M743" s="66"/>
      <c r="N743" s="66" t="s">
        <v>5677</v>
      </c>
      <c r="O743" s="66" t="s">
        <v>5678</v>
      </c>
      <c r="P743" s="66" t="s">
        <v>5679</v>
      </c>
      <c r="Q743" s="138" t="str">
        <f ca="1">IFERROR(LOOKUP($P743,MOTORISTAS!$D$3:$D$1048576,MOTORISTAS!E$3:E$916),"")</f>
        <v>05707607803</v>
      </c>
      <c r="R743" s="138" t="str">
        <f ca="1">IFERROR(LOOKUP($P743,MOTORISTAS!$D$3:$D$1048576,MOTORISTAS!F$3:F$916),"")</f>
        <v>01263773843</v>
      </c>
      <c r="S743" s="66">
        <v>16784</v>
      </c>
      <c r="T743" s="66" t="s">
        <v>293</v>
      </c>
      <c r="U743" s="79">
        <v>45128.219444444447</v>
      </c>
      <c r="V743" s="66" t="s">
        <v>292</v>
      </c>
      <c r="W743" s="79">
        <v>45128</v>
      </c>
      <c r="X743" s="79">
        <v>45128.354166666664</v>
      </c>
      <c r="Y743" s="88">
        <v>45128.482638888891</v>
      </c>
      <c r="Z743" s="81">
        <v>2100</v>
      </c>
      <c r="AA743" s="81"/>
      <c r="AB743" s="81"/>
      <c r="AC743" s="81"/>
      <c r="AD743" s="81">
        <v>2449.6999999999998</v>
      </c>
      <c r="AE743" s="81"/>
      <c r="AF743" s="81">
        <v>266.39999999999998</v>
      </c>
      <c r="AG743" s="81">
        <f>Sal_23[[#This Row],[COMPRA]]*12%</f>
        <v>370.37759999999997</v>
      </c>
      <c r="AH743" s="83">
        <v>3086.48</v>
      </c>
      <c r="AI743" s="66" t="str">
        <f>PROPER(TEXT(Sal_23[[#This Row],[PROGRAMAÇÃO]],"mmm"))</f>
        <v>Jul</v>
      </c>
      <c r="AJ743" s="66">
        <f>YEAR(Sal_23[[#This Row],[PROGRAMAÇÃO]])</f>
        <v>2023</v>
      </c>
      <c r="AK743" s="66"/>
      <c r="AL743" s="66"/>
      <c r="AM743" s="66" t="s">
        <v>2768</v>
      </c>
      <c r="AN743" s="66" t="s">
        <v>2768</v>
      </c>
      <c r="AO743" s="66" t="s">
        <v>2768</v>
      </c>
    </row>
    <row r="744" spans="2:41" x14ac:dyDescent="0.25">
      <c r="B744" s="128" t="s">
        <v>2771</v>
      </c>
      <c r="C74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44" s="79">
        <v>45131.333333333336</v>
      </c>
      <c r="E744" s="44" t="s">
        <v>5625</v>
      </c>
      <c r="F744" s="66">
        <v>20</v>
      </c>
      <c r="G744" s="66" t="s">
        <v>2826</v>
      </c>
      <c r="H744" s="44" t="s">
        <v>2827</v>
      </c>
      <c r="I744" s="299" t="s">
        <v>2823</v>
      </c>
      <c r="J744" s="66">
        <v>7287</v>
      </c>
      <c r="K744" s="66" t="s">
        <v>5639</v>
      </c>
      <c r="L744" s="66">
        <v>108315</v>
      </c>
      <c r="M744" s="66"/>
      <c r="N744" s="66" t="s">
        <v>2156</v>
      </c>
      <c r="O744" s="66" t="s">
        <v>2464</v>
      </c>
      <c r="P744" s="66" t="s">
        <v>2158</v>
      </c>
      <c r="Q744" s="138" t="str">
        <f ca="1">IFERROR(LOOKUP($P744,MOTORISTAS!$D$3:$D$1048576,MOTORISTAS!E$3:E$916),"")</f>
        <v>10485530864</v>
      </c>
      <c r="R744" s="138" t="str">
        <f ca="1">IFERROR(LOOKUP($P744,MOTORISTAS!$D$3:$D$1048576,MOTORISTAS!F$3:F$916),"")</f>
        <v>02033192841</v>
      </c>
      <c r="S744" s="66">
        <v>16798</v>
      </c>
      <c r="T744" s="66" t="s">
        <v>293</v>
      </c>
      <c r="U744" s="79">
        <v>45131.209027777775</v>
      </c>
      <c r="V744" s="66" t="s">
        <v>292</v>
      </c>
      <c r="W744" s="79">
        <v>45131.664583333331</v>
      </c>
      <c r="X744" s="79">
        <v>45131.211805555555</v>
      </c>
      <c r="Y744" s="88">
        <v>45131.5</v>
      </c>
      <c r="Z744" s="81">
        <v>3200</v>
      </c>
      <c r="AA744" s="81"/>
      <c r="AB744" s="81"/>
      <c r="AC744" s="81"/>
      <c r="AD744" s="81">
        <v>3484.1</v>
      </c>
      <c r="AE744" s="81"/>
      <c r="AF744" s="81">
        <v>706.8</v>
      </c>
      <c r="AG744" s="81">
        <f>Sal_23[[#This Row],[COMPRA]]*12%</f>
        <v>571.48680000000002</v>
      </c>
      <c r="AH744" s="83">
        <v>4762.3900000000003</v>
      </c>
      <c r="AI744" s="66" t="str">
        <f>PROPER(TEXT(Sal_23[[#This Row],[PROGRAMAÇÃO]],"mmm"))</f>
        <v>Jul</v>
      </c>
      <c r="AJ744" s="66">
        <f>YEAR(Sal_23[[#This Row],[PROGRAMAÇÃO]])</f>
        <v>2023</v>
      </c>
      <c r="AK744" s="66"/>
      <c r="AL744" s="66"/>
      <c r="AM744" s="66" t="s">
        <v>2768</v>
      </c>
      <c r="AN744" s="66" t="s">
        <v>2768</v>
      </c>
      <c r="AO744" s="66" t="s">
        <v>2768</v>
      </c>
    </row>
    <row r="745" spans="2:41" x14ac:dyDescent="0.25">
      <c r="B745" s="128" t="s">
        <v>2771</v>
      </c>
      <c r="C74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45" s="79">
        <v>45131.333333333336</v>
      </c>
      <c r="E745" s="44" t="s">
        <v>5626</v>
      </c>
      <c r="F745" s="66">
        <v>20</v>
      </c>
      <c r="G745" s="66" t="s">
        <v>2826</v>
      </c>
      <c r="H745" s="44" t="s">
        <v>2827</v>
      </c>
      <c r="I745" s="299" t="s">
        <v>2823</v>
      </c>
      <c r="J745" s="66">
        <v>7287</v>
      </c>
      <c r="K745" s="66" t="s">
        <v>5639</v>
      </c>
      <c r="L745" s="66">
        <v>108316</v>
      </c>
      <c r="M745" s="66"/>
      <c r="N745" s="66" t="s">
        <v>3040</v>
      </c>
      <c r="O745" s="66" t="s">
        <v>3041</v>
      </c>
      <c r="P745" s="66" t="s">
        <v>3042</v>
      </c>
      <c r="Q745" s="138" t="str">
        <f ca="1">IFERROR(LOOKUP($P745,MOTORISTAS!$D$3:$D$1048576,MOTORISTAS!E$3:E$916),"")</f>
        <v>19279658883</v>
      </c>
      <c r="R745" s="138" t="str">
        <f ca="1">IFERROR(LOOKUP($P745,MOTORISTAS!$D$3:$D$1048576,MOTORISTAS!F$3:F$916),"")</f>
        <v>01301319672</v>
      </c>
      <c r="S745" s="66">
        <v>16799</v>
      </c>
      <c r="T745" s="66" t="s">
        <v>293</v>
      </c>
      <c r="U745" s="79">
        <v>45131.005555555559</v>
      </c>
      <c r="V745" s="66" t="s">
        <v>292</v>
      </c>
      <c r="W745" s="79">
        <v>45131.604861111111</v>
      </c>
      <c r="X745" s="79">
        <v>45131.166666666664</v>
      </c>
      <c r="Y745" s="88">
        <v>45131.422222222223</v>
      </c>
      <c r="Z745" s="81">
        <v>3200</v>
      </c>
      <c r="AA745" s="81"/>
      <c r="AB745" s="81"/>
      <c r="AC745" s="81"/>
      <c r="AD745" s="81">
        <v>3484.1</v>
      </c>
      <c r="AE745" s="81"/>
      <c r="AF745" s="81">
        <v>706.8</v>
      </c>
      <c r="AG745" s="81">
        <f>Sal_23[[#This Row],[COMPRA]]*12%</f>
        <v>571.48680000000002</v>
      </c>
      <c r="AH745" s="83">
        <v>4762.3900000000003</v>
      </c>
      <c r="AI745" s="66" t="str">
        <f>PROPER(TEXT(Sal_23[[#This Row],[PROGRAMAÇÃO]],"mmm"))</f>
        <v>Jul</v>
      </c>
      <c r="AJ745" s="66">
        <f>YEAR(Sal_23[[#This Row],[PROGRAMAÇÃO]])</f>
        <v>2023</v>
      </c>
      <c r="AK745" s="66"/>
      <c r="AL745" s="66"/>
      <c r="AM745" s="66" t="s">
        <v>2768</v>
      </c>
      <c r="AN745" s="66" t="s">
        <v>2768</v>
      </c>
      <c r="AO745" s="66" t="s">
        <v>2768</v>
      </c>
    </row>
    <row r="746" spans="2:41" x14ac:dyDescent="0.25">
      <c r="B746" s="128" t="s">
        <v>2771</v>
      </c>
      <c r="C74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46" s="79">
        <v>45131.333333333336</v>
      </c>
      <c r="E746" s="44" t="s">
        <v>5632</v>
      </c>
      <c r="F746" s="66">
        <v>40</v>
      </c>
      <c r="G746" s="66" t="s">
        <v>2826</v>
      </c>
      <c r="H746" s="44" t="s">
        <v>3074</v>
      </c>
      <c r="I746" s="299" t="s">
        <v>3532</v>
      </c>
      <c r="J746" s="66">
        <v>7307</v>
      </c>
      <c r="K746" s="66" t="s">
        <v>5639</v>
      </c>
      <c r="L746" s="66">
        <v>108484</v>
      </c>
      <c r="M746" s="66"/>
      <c r="N746" s="66" t="s">
        <v>178</v>
      </c>
      <c r="O746" s="66" t="s">
        <v>112</v>
      </c>
      <c r="P746" s="66" t="s">
        <v>180</v>
      </c>
      <c r="Q746" s="138" t="str">
        <f ca="1">IFERROR(LOOKUP($P746,MOTORISTAS!$D$3:$D$1048576,MOTORISTAS!E$3:E$916),"")</f>
        <v>18990500869</v>
      </c>
      <c r="R746" s="138" t="str">
        <f ca="1">IFERROR(LOOKUP($P746,MOTORISTAS!$D$3:$D$1048576,MOTORISTAS!F$3:F$916),"")</f>
        <v>04640435232</v>
      </c>
      <c r="S746" s="66">
        <v>16803</v>
      </c>
      <c r="T746" s="66" t="s">
        <v>293</v>
      </c>
      <c r="U746" s="79">
        <v>45131.292361111111</v>
      </c>
      <c r="V746" s="66" t="s">
        <v>292</v>
      </c>
      <c r="W746" s="79">
        <v>45132</v>
      </c>
      <c r="X746" s="79">
        <v>45131.458333333336</v>
      </c>
      <c r="Y746" s="88">
        <v>45132.479166666664</v>
      </c>
      <c r="Z746" s="81"/>
      <c r="AA746" s="81"/>
      <c r="AB746" s="81"/>
      <c r="AC746" s="81"/>
      <c r="AD746" s="81">
        <v>3428.2</v>
      </c>
      <c r="AE746" s="81"/>
      <c r="AF746" s="81">
        <v>250.2</v>
      </c>
      <c r="AG746" s="81">
        <f>Sal_23[[#This Row],[COMPRA]]*12%</f>
        <v>501.59999999999997</v>
      </c>
      <c r="AH746" s="83">
        <v>4180</v>
      </c>
      <c r="AI746" s="66" t="str">
        <f>PROPER(TEXT(Sal_23[[#This Row],[PROGRAMAÇÃO]],"mmm"))</f>
        <v>Jul</v>
      </c>
      <c r="AJ746" s="66">
        <f>YEAR(Sal_23[[#This Row],[PROGRAMAÇÃO]])</f>
        <v>2023</v>
      </c>
      <c r="AK746" s="66"/>
      <c r="AL746" s="66"/>
      <c r="AM746" s="66" t="s">
        <v>2768</v>
      </c>
      <c r="AN746" s="66" t="s">
        <v>2768</v>
      </c>
      <c r="AO746" s="66" t="s">
        <v>2768</v>
      </c>
    </row>
    <row r="747" spans="2:41" x14ac:dyDescent="0.25">
      <c r="B747" s="128" t="s">
        <v>2771</v>
      </c>
      <c r="C74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47" s="79">
        <v>45131.333333333336</v>
      </c>
      <c r="E747" s="44" t="s">
        <v>5635</v>
      </c>
      <c r="F747" s="66">
        <v>40</v>
      </c>
      <c r="G747" s="66" t="s">
        <v>2826</v>
      </c>
      <c r="H747" s="44" t="s">
        <v>1674</v>
      </c>
      <c r="I747" s="299" t="s">
        <v>2829</v>
      </c>
      <c r="J747" s="66">
        <v>7239</v>
      </c>
      <c r="K747" s="66" t="s">
        <v>5639</v>
      </c>
      <c r="L747" s="66">
        <v>108494</v>
      </c>
      <c r="M747" s="66">
        <v>108493</v>
      </c>
      <c r="N747" s="66" t="s">
        <v>2389</v>
      </c>
      <c r="O747" s="66" t="s">
        <v>2390</v>
      </c>
      <c r="P747" s="66" t="s">
        <v>892</v>
      </c>
      <c r="Q747" s="138" t="str">
        <f ca="1">IFERROR(LOOKUP($P747,MOTORISTAS!$D$3:$D$1048576,MOTORISTAS!E$3:E$916),"")</f>
        <v>55283063968</v>
      </c>
      <c r="R747" s="138" t="str">
        <f ca="1">IFERROR(LOOKUP($P747,MOTORISTAS!$D$3:$D$1048576,MOTORISTAS!F$3:F$916),"")</f>
        <v>02537032407</v>
      </c>
      <c r="S747" s="66">
        <v>16802</v>
      </c>
      <c r="T747" s="66" t="s">
        <v>293</v>
      </c>
      <c r="U747" s="79">
        <v>45130.254166666666</v>
      </c>
      <c r="V747" s="66" t="s">
        <v>292</v>
      </c>
      <c r="W747" s="79">
        <v>45131.588888888888</v>
      </c>
      <c r="X747" s="79">
        <v>45131.020833333336</v>
      </c>
      <c r="Y747" s="88" t="s">
        <v>5717</v>
      </c>
      <c r="Z747" s="81"/>
      <c r="AA747" s="81"/>
      <c r="AB747" s="81"/>
      <c r="AC747" s="81"/>
      <c r="AD747" s="81">
        <v>3472.48</v>
      </c>
      <c r="AE747" s="81"/>
      <c r="AF747" s="81">
        <v>621.6</v>
      </c>
      <c r="AG747" s="81">
        <f>Sal_23[[#This Row],[COMPRA]]*12%</f>
        <v>558.28319999999997</v>
      </c>
      <c r="AH747" s="83">
        <v>4652.3599999999997</v>
      </c>
      <c r="AI747" s="66" t="str">
        <f>PROPER(TEXT(Sal_23[[#This Row],[PROGRAMAÇÃO]],"mmm"))</f>
        <v>Jul</v>
      </c>
      <c r="AJ747" s="66">
        <f>YEAR(Sal_23[[#This Row],[PROGRAMAÇÃO]])</f>
        <v>2023</v>
      </c>
      <c r="AK747" s="66"/>
      <c r="AL747" s="66"/>
      <c r="AM747" s="66" t="s">
        <v>2768</v>
      </c>
      <c r="AN747" s="66" t="s">
        <v>2768</v>
      </c>
      <c r="AO747" s="66" t="s">
        <v>2768</v>
      </c>
    </row>
    <row r="748" spans="2:41" x14ac:dyDescent="0.25">
      <c r="B748" s="128" t="s">
        <v>2771</v>
      </c>
      <c r="C74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48" s="79">
        <v>45131.333333333336</v>
      </c>
      <c r="E748" s="44" t="s">
        <v>5636</v>
      </c>
      <c r="F748" s="66">
        <v>40</v>
      </c>
      <c r="G748" s="66" t="s">
        <v>2826</v>
      </c>
      <c r="H748" s="44" t="s">
        <v>1674</v>
      </c>
      <c r="I748" s="299" t="s">
        <v>2829</v>
      </c>
      <c r="J748" s="66">
        <v>7275</v>
      </c>
      <c r="K748" s="66" t="s">
        <v>5639</v>
      </c>
      <c r="L748" s="66">
        <v>108482</v>
      </c>
      <c r="M748" s="66">
        <v>108481</v>
      </c>
      <c r="N748" s="66" t="s">
        <v>210</v>
      </c>
      <c r="O748" s="66" t="s">
        <v>211</v>
      </c>
      <c r="P748" s="66" t="s">
        <v>212</v>
      </c>
      <c r="Q748" s="138" t="str">
        <f ca="1">IFERROR(LOOKUP($P748,MOTORISTAS!$D$3:$D$1048576,MOTORISTAS!E$3:E$916),"")</f>
        <v>38029906846</v>
      </c>
      <c r="R748" s="138" t="str">
        <f ca="1">IFERROR(LOOKUP($P748,MOTORISTAS!$D$3:$D$1048576,MOTORISTAS!F$3:F$916),"")</f>
        <v>04946846842</v>
      </c>
      <c r="S748" s="66">
        <v>16800</v>
      </c>
      <c r="T748" s="66" t="s">
        <v>293</v>
      </c>
      <c r="U748" s="79">
        <v>45131.243750000001</v>
      </c>
      <c r="V748" s="66" t="s">
        <v>292</v>
      </c>
      <c r="W748" s="79">
        <v>45132.65347222222</v>
      </c>
      <c r="X748" s="79">
        <v>45131.368055555555</v>
      </c>
      <c r="Y748" s="88">
        <v>45131.527777777781</v>
      </c>
      <c r="Z748" s="81"/>
      <c r="AA748" s="81"/>
      <c r="AB748" s="81"/>
      <c r="AC748" s="81"/>
      <c r="AD748" s="81">
        <v>3472.48</v>
      </c>
      <c r="AE748" s="81"/>
      <c r="AF748" s="81">
        <v>621.6</v>
      </c>
      <c r="AG748" s="81">
        <f>Sal_23[[#This Row],[COMPRA]]*12%</f>
        <v>558.28319999999997</v>
      </c>
      <c r="AH748" s="83">
        <v>4652.3599999999997</v>
      </c>
      <c r="AI748" s="66" t="str">
        <f>PROPER(TEXT(Sal_23[[#This Row],[PROGRAMAÇÃO]],"mmm"))</f>
        <v>Jul</v>
      </c>
      <c r="AJ748" s="66">
        <f>YEAR(Sal_23[[#This Row],[PROGRAMAÇÃO]])</f>
        <v>2023</v>
      </c>
      <c r="AK748" s="66"/>
      <c r="AL748" s="66"/>
      <c r="AM748" s="66" t="s">
        <v>2768</v>
      </c>
      <c r="AN748" s="66" t="s">
        <v>2768</v>
      </c>
      <c r="AO748" s="66" t="s">
        <v>2768</v>
      </c>
    </row>
    <row r="749" spans="2:41" x14ac:dyDescent="0.25">
      <c r="B749" s="128" t="s">
        <v>2771</v>
      </c>
      <c r="C74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49" s="79">
        <v>45131.333333333336</v>
      </c>
      <c r="E749" s="44" t="s">
        <v>5637</v>
      </c>
      <c r="F749" s="66">
        <v>40</v>
      </c>
      <c r="G749" s="66" t="s">
        <v>2826</v>
      </c>
      <c r="H749" s="44" t="s">
        <v>2835</v>
      </c>
      <c r="I749" s="299" t="s">
        <v>2822</v>
      </c>
      <c r="J749" s="66">
        <v>7280</v>
      </c>
      <c r="K749" s="66" t="s">
        <v>5639</v>
      </c>
      <c r="L749" s="66">
        <v>108483</v>
      </c>
      <c r="M749" s="66"/>
      <c r="N749" s="66" t="s">
        <v>5677</v>
      </c>
      <c r="O749" s="66" t="s">
        <v>2686</v>
      </c>
      <c r="P749" s="66" t="s">
        <v>5679</v>
      </c>
      <c r="Q749" s="138" t="str">
        <f ca="1">IFERROR(LOOKUP($P749,MOTORISTAS!$D$3:$D$1048576,MOTORISTAS!E$3:E$916),"")</f>
        <v>05707607803</v>
      </c>
      <c r="R749" s="138" t="str">
        <f ca="1">IFERROR(LOOKUP($P749,MOTORISTAS!$D$3:$D$1048576,MOTORISTAS!F$3:F$916),"")</f>
        <v>01263773843</v>
      </c>
      <c r="S749" s="66">
        <v>16804</v>
      </c>
      <c r="T749" s="66" t="s">
        <v>293</v>
      </c>
      <c r="U749" s="79">
        <v>45131.238888888889</v>
      </c>
      <c r="V749" s="66" t="s">
        <v>292</v>
      </c>
      <c r="W749" s="79">
        <v>45131.59652777778</v>
      </c>
      <c r="X749" s="79">
        <v>45131.350694444445</v>
      </c>
      <c r="Y749" s="88">
        <v>45131.486111111109</v>
      </c>
      <c r="Z749" s="81">
        <v>2100</v>
      </c>
      <c r="AA749" s="81"/>
      <c r="AB749" s="81"/>
      <c r="AC749" s="81"/>
      <c r="AD749" s="81">
        <v>2449.6999999999998</v>
      </c>
      <c r="AE749" s="81"/>
      <c r="AF749" s="81">
        <v>266.39999999999998</v>
      </c>
      <c r="AG749" s="81">
        <f>Sal_23[[#This Row],[COMPRA]]*12%</f>
        <v>370.37759999999997</v>
      </c>
      <c r="AH749" s="83">
        <v>3086.48</v>
      </c>
      <c r="AI749" s="66" t="str">
        <f>PROPER(TEXT(Sal_23[[#This Row],[PROGRAMAÇÃO]],"mmm"))</f>
        <v>Jul</v>
      </c>
      <c r="AJ749" s="66">
        <f>YEAR(Sal_23[[#This Row],[PROGRAMAÇÃO]])</f>
        <v>2023</v>
      </c>
      <c r="AK749" s="66"/>
      <c r="AL749" s="66"/>
      <c r="AM749" s="66" t="s">
        <v>2768</v>
      </c>
      <c r="AN749" s="66" t="s">
        <v>2768</v>
      </c>
      <c r="AO749" s="66" t="s">
        <v>2768</v>
      </c>
    </row>
    <row r="750" spans="2:41" x14ac:dyDescent="0.25">
      <c r="B750" s="128" t="s">
        <v>2771</v>
      </c>
      <c r="C75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50" s="79">
        <v>45131.333333333336</v>
      </c>
      <c r="E750" s="44" t="s">
        <v>5627</v>
      </c>
      <c r="F750" s="66">
        <v>20</v>
      </c>
      <c r="G750" s="66" t="s">
        <v>2837</v>
      </c>
      <c r="H750" s="44" t="s">
        <v>2837</v>
      </c>
      <c r="I750" s="299" t="s">
        <v>2821</v>
      </c>
      <c r="J750" s="66">
        <v>7217</v>
      </c>
      <c r="K750" s="66" t="s">
        <v>5639</v>
      </c>
      <c r="L750" s="66">
        <v>119388</v>
      </c>
      <c r="M750" s="66"/>
      <c r="N750" s="66" t="s">
        <v>3555</v>
      </c>
      <c r="O750" s="66" t="s">
        <v>3554</v>
      </c>
      <c r="P750" s="66" t="s">
        <v>5711</v>
      </c>
      <c r="Q750" s="138" t="str">
        <f ca="1">IFERROR(LOOKUP($P750,MOTORISTAS!$D$3:$D$1048576,MOTORISTAS!E$3:E$916),"")</f>
        <v>81971974668</v>
      </c>
      <c r="R750" s="138" t="str">
        <f ca="1">IFERROR(LOOKUP($P750,MOTORISTAS!$D$3:$D$1048576,MOTORISTAS!F$3:F$916),"")</f>
        <v>00915983171</v>
      </c>
      <c r="S750" s="66">
        <v>16801</v>
      </c>
      <c r="T750" s="66" t="s">
        <v>293</v>
      </c>
      <c r="U750" s="79">
        <v>45129.370833333334</v>
      </c>
      <c r="V750" s="66" t="s">
        <v>292</v>
      </c>
      <c r="W750" s="79">
        <v>45131.55</v>
      </c>
      <c r="X750" s="79">
        <v>45131.25</v>
      </c>
      <c r="Y750" s="88">
        <v>45131.416666666664</v>
      </c>
      <c r="Z750" s="81">
        <v>1600</v>
      </c>
      <c r="AA750" s="81"/>
      <c r="AB750" s="81"/>
      <c r="AC750" s="81"/>
      <c r="AD750" s="81">
        <v>2018.37</v>
      </c>
      <c r="AE750" s="81"/>
      <c r="AF750" s="81">
        <v>266.39999999999998</v>
      </c>
      <c r="AG750" s="81">
        <f>Sal_23[[#This Row],[COMPRA]]*12%</f>
        <v>311.55959999999999</v>
      </c>
      <c r="AH750" s="83">
        <v>2596.33</v>
      </c>
      <c r="AI750" s="66" t="str">
        <f>PROPER(TEXT(Sal_23[[#This Row],[PROGRAMAÇÃO]],"mmm"))</f>
        <v>Jul</v>
      </c>
      <c r="AJ750" s="66">
        <f>YEAR(Sal_23[[#This Row],[PROGRAMAÇÃO]])</f>
        <v>2023</v>
      </c>
      <c r="AK750" s="66"/>
      <c r="AL750" s="66"/>
      <c r="AM750" s="66" t="s">
        <v>2768</v>
      </c>
      <c r="AN750" s="66" t="s">
        <v>2768</v>
      </c>
      <c r="AO750" s="66" t="s">
        <v>2768</v>
      </c>
    </row>
    <row r="751" spans="2:41" x14ac:dyDescent="0.25">
      <c r="B751" s="128" t="s">
        <v>2771</v>
      </c>
      <c r="C75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51" s="79">
        <v>45132.333333333336</v>
      </c>
      <c r="E751" s="44" t="s">
        <v>5628</v>
      </c>
      <c r="F751" s="66">
        <v>20</v>
      </c>
      <c r="G751" s="66" t="s">
        <v>2826</v>
      </c>
      <c r="H751" s="44" t="s">
        <v>3082</v>
      </c>
      <c r="I751" s="299" t="s">
        <v>3083</v>
      </c>
      <c r="J751" s="66">
        <v>7283</v>
      </c>
      <c r="K751" s="66" t="s">
        <v>5639</v>
      </c>
      <c r="L751" s="66">
        <v>108346</v>
      </c>
      <c r="M751" s="66"/>
      <c r="N751" s="66" t="s">
        <v>2156</v>
      </c>
      <c r="O751" s="66" t="s">
        <v>2464</v>
      </c>
      <c r="P751" s="66" t="s">
        <v>2158</v>
      </c>
      <c r="Q751" s="138" t="str">
        <f ca="1">IFERROR(LOOKUP($P751,MOTORISTAS!$D$3:$D$1048576,MOTORISTAS!E$3:E$916),"")</f>
        <v>10485530864</v>
      </c>
      <c r="R751" s="138" t="str">
        <f ca="1">IFERROR(LOOKUP($P751,MOTORISTAS!$D$3:$D$1048576,MOTORISTAS!F$3:F$916),"")</f>
        <v>02033192841</v>
      </c>
      <c r="S751" s="66">
        <v>16828</v>
      </c>
      <c r="T751" s="66" t="s">
        <v>293</v>
      </c>
      <c r="U751" s="79">
        <v>45132.19027777778</v>
      </c>
      <c r="V751" s="66" t="s">
        <v>292</v>
      </c>
      <c r="W751" s="79">
        <v>45132.488194444442</v>
      </c>
      <c r="X751" s="79">
        <v>45132.270833333336</v>
      </c>
      <c r="Y751" s="88">
        <v>45132.413194444445</v>
      </c>
      <c r="Z751" s="81"/>
      <c r="AA751" s="81"/>
      <c r="AB751" s="81"/>
      <c r="AC751" s="81"/>
      <c r="AD751" s="81">
        <v>2386.86</v>
      </c>
      <c r="AE751" s="81"/>
      <c r="AF751" s="81">
        <v>222</v>
      </c>
      <c r="AG751" s="81">
        <f>Sal_23[[#This Row],[COMPRA]]*12%</f>
        <v>355.75319999999999</v>
      </c>
      <c r="AH751" s="83">
        <v>2964.61</v>
      </c>
      <c r="AI751" s="66" t="str">
        <f>PROPER(TEXT(Sal_23[[#This Row],[PROGRAMAÇÃO]],"mmm"))</f>
        <v>Jul</v>
      </c>
      <c r="AJ751" s="66">
        <f>YEAR(Sal_23[[#This Row],[PROGRAMAÇÃO]])</f>
        <v>2023</v>
      </c>
      <c r="AK751" s="66"/>
      <c r="AL751" s="66"/>
      <c r="AM751" s="66" t="s">
        <v>2768</v>
      </c>
      <c r="AN751" s="66" t="s">
        <v>2768</v>
      </c>
      <c r="AO751" s="66" t="s">
        <v>2768</v>
      </c>
    </row>
    <row r="752" spans="2:41" x14ac:dyDescent="0.25">
      <c r="B752" s="128" t="s">
        <v>2771</v>
      </c>
      <c r="C75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52" s="79">
        <v>45132.333333333336</v>
      </c>
      <c r="E752" s="44" t="s">
        <v>5630</v>
      </c>
      <c r="F752" s="66">
        <v>20</v>
      </c>
      <c r="G752" s="66" t="s">
        <v>2826</v>
      </c>
      <c r="H752" s="44" t="s">
        <v>3071</v>
      </c>
      <c r="I752" s="299" t="s">
        <v>3072</v>
      </c>
      <c r="J752" s="66">
        <v>7301</v>
      </c>
      <c r="K752" s="66" t="s">
        <v>5639</v>
      </c>
      <c r="L752" s="66">
        <v>108471</v>
      </c>
      <c r="M752" s="66"/>
      <c r="N752" s="66" t="s">
        <v>3040</v>
      </c>
      <c r="O752" s="66" t="s">
        <v>3041</v>
      </c>
      <c r="P752" s="66" t="s">
        <v>3042</v>
      </c>
      <c r="Q752" s="138" t="str">
        <f ca="1">IFERROR(LOOKUP($P752,MOTORISTAS!$D$3:$D$1048576,MOTORISTAS!E$3:E$916),"")</f>
        <v>19279658883</v>
      </c>
      <c r="R752" s="138" t="str">
        <f ca="1">IFERROR(LOOKUP($P752,MOTORISTAS!$D$3:$D$1048576,MOTORISTAS!F$3:F$916),"")</f>
        <v>01301319672</v>
      </c>
      <c r="S752" s="66">
        <v>16830</v>
      </c>
      <c r="T752" s="66" t="s">
        <v>293</v>
      </c>
      <c r="U752" s="79">
        <v>45132.204861111109</v>
      </c>
      <c r="V752" s="66" t="s">
        <v>292</v>
      </c>
      <c r="W752" s="79">
        <v>45132.642361111109</v>
      </c>
      <c r="X752" s="79">
        <v>45132.3125</v>
      </c>
      <c r="Y752" s="88">
        <v>45132.579861111109</v>
      </c>
      <c r="Z752" s="81"/>
      <c r="AA752" s="81"/>
      <c r="AB752" s="81"/>
      <c r="AC752" s="81">
        <v>600</v>
      </c>
      <c r="AD752" s="81">
        <v>2361.17</v>
      </c>
      <c r="AE752" s="81"/>
      <c r="AF752" s="81">
        <v>343.2</v>
      </c>
      <c r="AG752" s="81">
        <f>Sal_23[[#This Row],[COMPRA]]*12%</f>
        <v>473.5104</v>
      </c>
      <c r="AH752" s="83">
        <v>3945.92</v>
      </c>
      <c r="AI752" s="66" t="str">
        <f>PROPER(TEXT(Sal_23[[#This Row],[PROGRAMAÇÃO]],"mmm"))</f>
        <v>Jul</v>
      </c>
      <c r="AJ752" s="66">
        <f>YEAR(Sal_23[[#This Row],[PROGRAMAÇÃO]])</f>
        <v>2023</v>
      </c>
      <c r="AK752" s="66"/>
      <c r="AL752" s="66"/>
      <c r="AM752" s="66" t="s">
        <v>2768</v>
      </c>
      <c r="AN752" s="66" t="s">
        <v>2768</v>
      </c>
      <c r="AO752" s="66" t="s">
        <v>2768</v>
      </c>
    </row>
    <row r="753" spans="2:41" x14ac:dyDescent="0.25">
      <c r="B753" s="128" t="s">
        <v>2771</v>
      </c>
      <c r="C75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53" s="79">
        <v>45131.333333333336</v>
      </c>
      <c r="E753" s="44" t="s">
        <v>5665</v>
      </c>
      <c r="F753" s="66">
        <v>20</v>
      </c>
      <c r="G753" s="66" t="s">
        <v>2826</v>
      </c>
      <c r="H753" s="44" t="s">
        <v>3113</v>
      </c>
      <c r="I753" s="299" t="s">
        <v>3114</v>
      </c>
      <c r="J753" s="66" t="s">
        <v>5667</v>
      </c>
      <c r="K753" s="66" t="s">
        <v>5639</v>
      </c>
      <c r="L753" s="66">
        <v>1768</v>
      </c>
      <c r="M753" s="66"/>
      <c r="N753" s="66" t="s">
        <v>4084</v>
      </c>
      <c r="O753" s="66" t="s">
        <v>3297</v>
      </c>
      <c r="P753" s="66" t="s">
        <v>4968</v>
      </c>
      <c r="Q753" s="138" t="str">
        <f ca="1">IFERROR(LOOKUP($P753,MOTORISTAS!$D$3:$D$1048576,MOTORISTAS!E$3:E$916),"")</f>
        <v>14679464860</v>
      </c>
      <c r="R753" s="138" t="str">
        <f ca="1">IFERROR(LOOKUP($P753,MOTORISTAS!$D$3:$D$1048576,MOTORISTAS!F$3:F$916),"")</f>
        <v>01993121205</v>
      </c>
      <c r="S753" s="66">
        <v>16807</v>
      </c>
      <c r="T753" s="66" t="s">
        <v>293</v>
      </c>
      <c r="U753" s="79">
        <v>45131.325694444444</v>
      </c>
      <c r="V753" s="66" t="s">
        <v>292</v>
      </c>
      <c r="W753" s="79">
        <v>48420</v>
      </c>
      <c r="X753" s="79">
        <v>45131.462500000001</v>
      </c>
      <c r="Y753" s="88">
        <v>45131.708333333336</v>
      </c>
      <c r="Z753" s="81">
        <v>2350</v>
      </c>
      <c r="AA753" s="81"/>
      <c r="AB753" s="81"/>
      <c r="AC753" s="81"/>
      <c r="AD753" s="81">
        <v>2791.33</v>
      </c>
      <c r="AE753" s="81"/>
      <c r="AF753" s="81">
        <v>385.2</v>
      </c>
      <c r="AG753" s="81">
        <f>Sal_23[[#This Row],[COMPRA]]*12%</f>
        <v>433.1628</v>
      </c>
      <c r="AH753" s="83">
        <v>3609.69</v>
      </c>
      <c r="AI753" s="66" t="str">
        <f>PROPER(TEXT(Sal_23[[#This Row],[PROGRAMAÇÃO]],"mmm"))</f>
        <v>Jul</v>
      </c>
      <c r="AJ753" s="66">
        <f>YEAR(Sal_23[[#This Row],[PROGRAMAÇÃO]])</f>
        <v>2023</v>
      </c>
      <c r="AK753" s="66"/>
      <c r="AL753" s="66"/>
      <c r="AM753" s="66" t="s">
        <v>2768</v>
      </c>
      <c r="AN753" s="66" t="s">
        <v>2768</v>
      </c>
      <c r="AO753" s="66" t="s">
        <v>2768</v>
      </c>
    </row>
    <row r="754" spans="2:41" x14ac:dyDescent="0.25">
      <c r="B754" s="128" t="s">
        <v>2771</v>
      </c>
      <c r="C75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54" s="79">
        <v>45131.333333333336</v>
      </c>
      <c r="E754" s="44" t="s">
        <v>5666</v>
      </c>
      <c r="F754" s="66">
        <v>20</v>
      </c>
      <c r="G754" s="66" t="s">
        <v>2826</v>
      </c>
      <c r="H754" s="44" t="s">
        <v>3116</v>
      </c>
      <c r="I754" s="299" t="s">
        <v>3117</v>
      </c>
      <c r="J754" s="66" t="s">
        <v>5668</v>
      </c>
      <c r="K754" s="66" t="s">
        <v>5639</v>
      </c>
      <c r="L754" s="66">
        <v>1769</v>
      </c>
      <c r="M754" s="66"/>
      <c r="N754" s="66" t="s">
        <v>5696</v>
      </c>
      <c r="O754" s="66" t="s">
        <v>4887</v>
      </c>
      <c r="P754" s="66" t="s">
        <v>5355</v>
      </c>
      <c r="Q754" s="138" t="str">
        <f ca="1">IFERROR(LOOKUP($P754,MOTORISTAS!$D$3:$D$1048576,MOTORISTAS!E$3:E$916),"")</f>
        <v>11698087861</v>
      </c>
      <c r="R754" s="138" t="str">
        <f ca="1">IFERROR(LOOKUP($P754,MOTORISTAS!$D$3:$D$1048576,MOTORISTAS!F$3:F$916),"")</f>
        <v>02452058501</v>
      </c>
      <c r="S754" s="66">
        <v>16808</v>
      </c>
      <c r="T754" s="66" t="s">
        <v>293</v>
      </c>
      <c r="U754" s="79">
        <v>45131.313194444447</v>
      </c>
      <c r="V754" s="66" t="s">
        <v>292</v>
      </c>
      <c r="W754" s="79">
        <v>45132</v>
      </c>
      <c r="X754" s="79">
        <v>45131.607638888891</v>
      </c>
      <c r="Y754" s="88">
        <v>45131.727777777778</v>
      </c>
      <c r="Z754" s="81">
        <v>2200</v>
      </c>
      <c r="AA754" s="81"/>
      <c r="AB754" s="81"/>
      <c r="AC754" s="81"/>
      <c r="AD754" s="81">
        <v>2771.55</v>
      </c>
      <c r="AE754" s="81"/>
      <c r="AF754" s="81">
        <v>266.39999999999998</v>
      </c>
      <c r="AG754" s="81">
        <f>Sal_23[[#This Row],[COMPRA]]*12%</f>
        <v>414.26639999999998</v>
      </c>
      <c r="AH754" s="83">
        <v>3452.22</v>
      </c>
      <c r="AI754" s="66" t="str">
        <f>PROPER(TEXT(Sal_23[[#This Row],[PROGRAMAÇÃO]],"mmm"))</f>
        <v>Jul</v>
      </c>
      <c r="AJ754" s="66">
        <f>YEAR(Sal_23[[#This Row],[PROGRAMAÇÃO]])</f>
        <v>2023</v>
      </c>
      <c r="AK754" s="66"/>
      <c r="AL754" s="66"/>
      <c r="AM754" s="66" t="s">
        <v>2768</v>
      </c>
      <c r="AN754" s="66" t="s">
        <v>2768</v>
      </c>
      <c r="AO754" s="66" t="s">
        <v>2768</v>
      </c>
    </row>
    <row r="755" spans="2:41" x14ac:dyDescent="0.25">
      <c r="B755" s="128" t="s">
        <v>2771</v>
      </c>
      <c r="C75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55" s="79">
        <v>45134.333333333336</v>
      </c>
      <c r="E755" s="44" t="s">
        <v>5734</v>
      </c>
      <c r="F755" s="66">
        <v>20</v>
      </c>
      <c r="G755" s="66" t="s">
        <v>2826</v>
      </c>
      <c r="H755" s="44" t="s">
        <v>2825</v>
      </c>
      <c r="I755" s="299" t="s">
        <v>4012</v>
      </c>
      <c r="J755" s="66">
        <v>7431</v>
      </c>
      <c r="K755" s="66" t="s">
        <v>5751</v>
      </c>
      <c r="L755" s="66">
        <v>108556</v>
      </c>
      <c r="M755" s="66"/>
      <c r="N755" s="66" t="s">
        <v>2933</v>
      </c>
      <c r="O755" s="66" t="s">
        <v>2950</v>
      </c>
      <c r="P755" s="66" t="s">
        <v>2932</v>
      </c>
      <c r="Q755" s="138" t="str">
        <f ca="1">IFERROR(LOOKUP($P755,MOTORISTAS!$D$3:$D$1048576,MOTORISTAS!E$3:E$916),"")</f>
        <v>87607395849</v>
      </c>
      <c r="R755" s="138" t="str">
        <f ca="1">IFERROR(LOOKUP($P755,MOTORISTAS!$D$3:$D$1048576,MOTORISTAS!F$3:F$916),"")</f>
        <v>01842622116</v>
      </c>
      <c r="S755" s="66">
        <v>16876</v>
      </c>
      <c r="T755" s="66" t="s">
        <v>293</v>
      </c>
      <c r="U755" s="79">
        <v>45133.959027777775</v>
      </c>
      <c r="V755" s="66" t="s">
        <v>292</v>
      </c>
      <c r="W755" s="79">
        <v>45134.600694444445</v>
      </c>
      <c r="X755" s="79">
        <v>45134.125</v>
      </c>
      <c r="Y755" s="88">
        <v>45134.5</v>
      </c>
      <c r="Z755" s="81"/>
      <c r="AA755" s="81"/>
      <c r="AB755" s="81"/>
      <c r="AC755" s="81"/>
      <c r="AD755" s="81">
        <v>2294.6999999999998</v>
      </c>
      <c r="AE755" s="81"/>
      <c r="AF755" s="81">
        <v>222</v>
      </c>
      <c r="AG755" s="81">
        <f>Sal_23[[#This Row],[COMPRA]]*12%</f>
        <v>447.91919999999999</v>
      </c>
      <c r="AH755" s="83">
        <v>3732.66</v>
      </c>
      <c r="AI755" s="66" t="str">
        <f>PROPER(TEXT(Sal_23[[#This Row],[PROGRAMAÇÃO]],"mmm"))</f>
        <v>Jul</v>
      </c>
      <c r="AJ755" s="66">
        <f>YEAR(Sal_23[[#This Row],[PROGRAMAÇÃO]])</f>
        <v>2023</v>
      </c>
      <c r="AK755" s="66"/>
      <c r="AL755" s="66"/>
      <c r="AM755" s="66" t="s">
        <v>2768</v>
      </c>
      <c r="AN755" s="66" t="s">
        <v>2768</v>
      </c>
      <c r="AO755" s="66" t="s">
        <v>2768</v>
      </c>
    </row>
    <row r="756" spans="2:41" x14ac:dyDescent="0.25">
      <c r="B756" s="128" t="s">
        <v>2771</v>
      </c>
      <c r="C75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56" s="79">
        <v>45134.333333333336</v>
      </c>
      <c r="E756" s="44" t="s">
        <v>5740</v>
      </c>
      <c r="F756" s="66">
        <v>20</v>
      </c>
      <c r="G756" s="66" t="s">
        <v>2837</v>
      </c>
      <c r="H756" s="44" t="s">
        <v>2837</v>
      </c>
      <c r="I756" s="299" t="s">
        <v>2821</v>
      </c>
      <c r="J756" s="66">
        <v>7440</v>
      </c>
      <c r="K756" s="66" t="s">
        <v>5751</v>
      </c>
      <c r="L756" s="66">
        <v>108591</v>
      </c>
      <c r="M756" s="66"/>
      <c r="N756" s="66" t="s">
        <v>2859</v>
      </c>
      <c r="O756" s="66" t="s">
        <v>2860</v>
      </c>
      <c r="P756" s="66" t="s">
        <v>2861</v>
      </c>
      <c r="Q756" s="138" t="str">
        <f ca="1">IFERROR(LOOKUP($P756,MOTORISTAS!$D$3:$D$1048576,MOTORISTAS!E$3:E$916),"")</f>
        <v>01817591878</v>
      </c>
      <c r="R756" s="138" t="str">
        <f ca="1">IFERROR(LOOKUP($P756,MOTORISTAS!$D$3:$D$1048576,MOTORISTAS!F$3:F$916),"")</f>
        <v>00821760640</v>
      </c>
      <c r="S756" s="66">
        <v>16874</v>
      </c>
      <c r="T756" s="66" t="s">
        <v>293</v>
      </c>
      <c r="U756" s="79">
        <v>45134.013194444444</v>
      </c>
      <c r="V756" s="66" t="s">
        <v>292</v>
      </c>
      <c r="W756" s="79">
        <v>45134</v>
      </c>
      <c r="X756" s="79">
        <v>45134.104166666664</v>
      </c>
      <c r="Y756" s="88">
        <v>45134.423611111109</v>
      </c>
      <c r="Z756" s="81"/>
      <c r="AA756" s="81"/>
      <c r="AB756" s="81"/>
      <c r="AC756" s="81"/>
      <c r="AD756" s="81">
        <v>2018.37</v>
      </c>
      <c r="AE756" s="81"/>
      <c r="AF756" s="81">
        <v>266.39999999999998</v>
      </c>
      <c r="AG756" s="81">
        <f>Sal_23[[#This Row],[COMPRA]]*12%</f>
        <v>311.55959999999999</v>
      </c>
      <c r="AH756" s="83">
        <v>2596.33</v>
      </c>
      <c r="AI756" s="66" t="str">
        <f>PROPER(TEXT(Sal_23[[#This Row],[PROGRAMAÇÃO]],"mmm"))</f>
        <v>Jul</v>
      </c>
      <c r="AJ756" s="66">
        <f>YEAR(Sal_23[[#This Row],[PROGRAMAÇÃO]])</f>
        <v>2023</v>
      </c>
      <c r="AK756" s="66"/>
      <c r="AL756" s="66"/>
      <c r="AM756" s="66" t="s">
        <v>2768</v>
      </c>
      <c r="AN756" s="66" t="s">
        <v>2768</v>
      </c>
      <c r="AO756" s="66" t="s">
        <v>2768</v>
      </c>
    </row>
    <row r="757" spans="2:41" x14ac:dyDescent="0.25">
      <c r="B757" s="128" t="s">
        <v>2771</v>
      </c>
      <c r="C75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57" s="79">
        <v>45134.333333333336</v>
      </c>
      <c r="E757" s="44" t="s">
        <v>5750</v>
      </c>
      <c r="F757" s="66">
        <v>40</v>
      </c>
      <c r="G757" s="66" t="s">
        <v>2826</v>
      </c>
      <c r="H757" s="44" t="s">
        <v>3091</v>
      </c>
      <c r="I757" s="299" t="s">
        <v>5328</v>
      </c>
      <c r="J757" s="66">
        <v>7459</v>
      </c>
      <c r="K757" s="66" t="s">
        <v>5751</v>
      </c>
      <c r="L757" s="66">
        <v>108622</v>
      </c>
      <c r="M757" s="66"/>
      <c r="N757" s="66" t="s">
        <v>2949</v>
      </c>
      <c r="O757" s="66" t="s">
        <v>4701</v>
      </c>
      <c r="P757" s="66" t="s">
        <v>2948</v>
      </c>
      <c r="Q757" s="138" t="str">
        <f ca="1">IFERROR(LOOKUP($P757,MOTORISTAS!$D$3:$D$1048576,MOTORISTAS!E$3:E$916),"")</f>
        <v>16239341843</v>
      </c>
      <c r="R757" s="138" t="str">
        <f ca="1">IFERROR(LOOKUP($P757,MOTORISTAS!$D$3:$D$1048576,MOTORISTAS!F$3:F$916),"")</f>
        <v>01877235038</v>
      </c>
      <c r="S757" s="66">
        <v>16875</v>
      </c>
      <c r="T757" s="66" t="s">
        <v>293</v>
      </c>
      <c r="U757" s="79">
        <v>45133.867361111108</v>
      </c>
      <c r="V757" s="66" t="s">
        <v>292</v>
      </c>
      <c r="W757" s="79">
        <v>45134.644444444442</v>
      </c>
      <c r="X757" s="79">
        <v>45134.229166666664</v>
      </c>
      <c r="Y757" s="88">
        <v>45134.458333333336</v>
      </c>
      <c r="Z757" s="81"/>
      <c r="AA757" s="81"/>
      <c r="AB757" s="81"/>
      <c r="AC757" s="81"/>
      <c r="AD757" s="81">
        <v>2295.9299999999998</v>
      </c>
      <c r="AE757" s="81"/>
      <c r="AF757" s="81">
        <v>313.2</v>
      </c>
      <c r="AG757" s="81">
        <f>Sal_23[[#This Row],[COMPRA]]*12%</f>
        <v>355.79039999999998</v>
      </c>
      <c r="AH757" s="83">
        <v>2964.92</v>
      </c>
      <c r="AI757" s="66" t="str">
        <f>PROPER(TEXT(Sal_23[[#This Row],[PROGRAMAÇÃO]],"mmm"))</f>
        <v>Jul</v>
      </c>
      <c r="AJ757" s="66">
        <f>YEAR(Sal_23[[#This Row],[PROGRAMAÇÃO]])</f>
        <v>2023</v>
      </c>
      <c r="AK757" s="66"/>
      <c r="AL757" s="66"/>
      <c r="AM757" s="66" t="s">
        <v>2768</v>
      </c>
      <c r="AN757" s="66" t="s">
        <v>2768</v>
      </c>
      <c r="AO757" s="66" t="s">
        <v>2768</v>
      </c>
    </row>
    <row r="758" spans="2:41" x14ac:dyDescent="0.25">
      <c r="B758" s="128" t="s">
        <v>2771</v>
      </c>
      <c r="C75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58" s="79">
        <v>45135.333333333336</v>
      </c>
      <c r="E758" s="44" t="s">
        <v>5736</v>
      </c>
      <c r="F758" s="66">
        <v>20</v>
      </c>
      <c r="G758" s="66" t="s">
        <v>2826</v>
      </c>
      <c r="H758" s="44" t="s">
        <v>3440</v>
      </c>
      <c r="I758" s="299" t="s">
        <v>3253</v>
      </c>
      <c r="J758" s="66">
        <v>5895</v>
      </c>
      <c r="K758" s="66" t="s">
        <v>5751</v>
      </c>
      <c r="L758" s="66">
        <v>119807</v>
      </c>
      <c r="M758" s="66"/>
      <c r="N758" s="66" t="s">
        <v>3040</v>
      </c>
      <c r="O758" s="66" t="s">
        <v>3041</v>
      </c>
      <c r="P758" s="66" t="s">
        <v>3042</v>
      </c>
      <c r="Q758" s="138" t="str">
        <f ca="1">IFERROR(LOOKUP($P758,MOTORISTAS!$D$3:$D$1048576,MOTORISTAS!E$3:E$916),"")</f>
        <v>19279658883</v>
      </c>
      <c r="R758" s="138" t="str">
        <f ca="1">IFERROR(LOOKUP($P758,MOTORISTAS!$D$3:$D$1048576,MOTORISTAS!F$3:F$916),"")</f>
        <v>01301319672</v>
      </c>
      <c r="S758" s="66">
        <v>16884</v>
      </c>
      <c r="T758" s="66" t="s">
        <v>293</v>
      </c>
      <c r="U758" s="79">
        <v>45134.895138888889</v>
      </c>
      <c r="V758" s="66" t="s">
        <v>292</v>
      </c>
      <c r="W758" s="79">
        <v>45135.605555555558</v>
      </c>
      <c r="X758" s="79">
        <v>45135</v>
      </c>
      <c r="Y758" s="88">
        <v>45135.46875</v>
      </c>
      <c r="Z758" s="81"/>
      <c r="AA758" s="81"/>
      <c r="AB758" s="81"/>
      <c r="AC758" s="81"/>
      <c r="AD758" s="81">
        <v>2557.98</v>
      </c>
      <c r="AE758" s="81"/>
      <c r="AF758" s="81">
        <v>372.6</v>
      </c>
      <c r="AG758" s="81">
        <f>Sal_23[[#This Row],[COMPRA]]*12%</f>
        <v>399.62399999999997</v>
      </c>
      <c r="AH758" s="83">
        <v>3330.2</v>
      </c>
      <c r="AI758" s="66" t="str">
        <f>PROPER(TEXT(Sal_23[[#This Row],[PROGRAMAÇÃO]],"mmm"))</f>
        <v>Jul</v>
      </c>
      <c r="AJ758" s="66">
        <f>YEAR(Sal_23[[#This Row],[PROGRAMAÇÃO]])</f>
        <v>2023</v>
      </c>
      <c r="AK758" s="66"/>
      <c r="AL758" s="66"/>
      <c r="AM758" s="66" t="s">
        <v>2768</v>
      </c>
      <c r="AN758" s="66" t="s">
        <v>2768</v>
      </c>
      <c r="AO758" s="66" t="s">
        <v>2768</v>
      </c>
    </row>
    <row r="759" spans="2:41" x14ac:dyDescent="0.25">
      <c r="B759" s="128" t="s">
        <v>2771</v>
      </c>
      <c r="C75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59" s="79">
        <v>45135.333333333336</v>
      </c>
      <c r="E759" s="44" t="s">
        <v>5741</v>
      </c>
      <c r="F759" s="66">
        <v>40</v>
      </c>
      <c r="G759" s="66" t="s">
        <v>2826</v>
      </c>
      <c r="H759" s="44" t="s">
        <v>1674</v>
      </c>
      <c r="I759" s="299" t="s">
        <v>2829</v>
      </c>
      <c r="J759" s="66">
        <v>7556</v>
      </c>
      <c r="K759" s="66" t="s">
        <v>5751</v>
      </c>
      <c r="L759" s="66">
        <v>108686</v>
      </c>
      <c r="M759" s="66">
        <v>108687</v>
      </c>
      <c r="N759" s="66" t="s">
        <v>210</v>
      </c>
      <c r="O759" s="66" t="s">
        <v>211</v>
      </c>
      <c r="P759" s="66" t="s">
        <v>212</v>
      </c>
      <c r="Q759" s="138" t="str">
        <f ca="1">IFERROR(LOOKUP($P759,MOTORISTAS!$D$3:$D$1048576,MOTORISTAS!E$3:E$916),"")</f>
        <v>38029906846</v>
      </c>
      <c r="R759" s="138" t="str">
        <f ca="1">IFERROR(LOOKUP($P759,MOTORISTAS!$D$3:$D$1048576,MOTORISTAS!F$3:F$916),"")</f>
        <v>04946846842</v>
      </c>
      <c r="S759" s="66">
        <v>16885</v>
      </c>
      <c r="T759" s="66" t="s">
        <v>293</v>
      </c>
      <c r="U759" s="79">
        <v>45135.080555555556</v>
      </c>
      <c r="V759" s="66" t="s">
        <v>292</v>
      </c>
      <c r="W759" s="79">
        <v>45135.701388888891</v>
      </c>
      <c r="X759" s="79">
        <v>45135.239583333336</v>
      </c>
      <c r="Y759" s="88">
        <v>45135.511111111111</v>
      </c>
      <c r="Z759" s="81"/>
      <c r="AA759" s="81"/>
      <c r="AB759" s="81"/>
      <c r="AC759" s="81"/>
      <c r="AD759" s="81">
        <v>3472.48</v>
      </c>
      <c r="AE759" s="81"/>
      <c r="AF759" s="81">
        <v>621.6</v>
      </c>
      <c r="AG759" s="81">
        <f>Sal_23[[#This Row],[COMPRA]]*12%</f>
        <v>558.28319999999997</v>
      </c>
      <c r="AH759" s="83">
        <v>4652.3599999999997</v>
      </c>
      <c r="AI759" s="66" t="str">
        <f>PROPER(TEXT(Sal_23[[#This Row],[PROGRAMAÇÃO]],"mmm"))</f>
        <v>Jul</v>
      </c>
      <c r="AJ759" s="66">
        <f>YEAR(Sal_23[[#This Row],[PROGRAMAÇÃO]])</f>
        <v>2023</v>
      </c>
      <c r="AK759" s="66"/>
      <c r="AL759" s="66"/>
      <c r="AM759" s="66" t="s">
        <v>2768</v>
      </c>
      <c r="AN759" s="66" t="s">
        <v>2768</v>
      </c>
      <c r="AO759" s="66" t="s">
        <v>2768</v>
      </c>
    </row>
    <row r="760" spans="2:41" x14ac:dyDescent="0.25">
      <c r="B760" s="128" t="s">
        <v>2771</v>
      </c>
      <c r="C76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60" s="79">
        <v>45135.333333333336</v>
      </c>
      <c r="E760" s="44" t="s">
        <v>5742</v>
      </c>
      <c r="F760" s="66">
        <v>40</v>
      </c>
      <c r="G760" s="66" t="s">
        <v>2826</v>
      </c>
      <c r="H760" s="44" t="s">
        <v>1674</v>
      </c>
      <c r="I760" s="299" t="s">
        <v>2829</v>
      </c>
      <c r="J760" s="66">
        <v>7491</v>
      </c>
      <c r="K760" s="66" t="s">
        <v>5751</v>
      </c>
      <c r="L760" s="66">
        <v>108620</v>
      </c>
      <c r="M760" s="66">
        <v>108621</v>
      </c>
      <c r="N760" s="66" t="s">
        <v>92</v>
      </c>
      <c r="O760" s="66" t="s">
        <v>93</v>
      </c>
      <c r="P760" s="66" t="s">
        <v>94</v>
      </c>
      <c r="Q760" s="138" t="str">
        <f ca="1">IFERROR(LOOKUP($P760,MOTORISTAS!$D$3:$D$1048576,MOTORISTAS!E$3:E$916),"")</f>
        <v>26283419801</v>
      </c>
      <c r="R760" s="138" t="str">
        <f ca="1">IFERROR(LOOKUP($P760,MOTORISTAS!$D$3:$D$1048576,MOTORISTAS!F$3:F$916),"")</f>
        <v>02002046946</v>
      </c>
      <c r="S760" s="66">
        <v>16886</v>
      </c>
      <c r="T760" s="66" t="s">
        <v>293</v>
      </c>
      <c r="U760" s="79">
        <v>45134.902083333334</v>
      </c>
      <c r="V760" s="66" t="s">
        <v>292</v>
      </c>
      <c r="W760" s="79">
        <v>45135.722916666666</v>
      </c>
      <c r="X760" s="79">
        <v>45135.072916666664</v>
      </c>
      <c r="Y760" s="88">
        <v>45135.427083333336</v>
      </c>
      <c r="Z760" s="81"/>
      <c r="AA760" s="81"/>
      <c r="AB760" s="81"/>
      <c r="AC760" s="81"/>
      <c r="AD760" s="81">
        <v>3472.48</v>
      </c>
      <c r="AE760" s="81"/>
      <c r="AF760" s="81">
        <v>621.6</v>
      </c>
      <c r="AG760" s="81">
        <v>558.28319999999997</v>
      </c>
      <c r="AH760" s="83">
        <v>4652.3599999999997</v>
      </c>
      <c r="AI760" s="66" t="str">
        <f>PROPER(TEXT(Sal_23[[#This Row],[PROGRAMAÇÃO]],"mmm"))</f>
        <v>Jul</v>
      </c>
      <c r="AJ760" s="66">
        <f>YEAR(Sal_23[[#This Row],[PROGRAMAÇÃO]])</f>
        <v>2023</v>
      </c>
      <c r="AK760" s="66"/>
      <c r="AL760" s="66"/>
      <c r="AM760" s="66" t="s">
        <v>2768</v>
      </c>
      <c r="AN760" s="66" t="s">
        <v>2768</v>
      </c>
      <c r="AO760" s="66" t="s">
        <v>2768</v>
      </c>
    </row>
    <row r="761" spans="2:41" x14ac:dyDescent="0.25">
      <c r="B761" s="128" t="s">
        <v>2771</v>
      </c>
      <c r="C76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61" s="79">
        <v>45135.333333333336</v>
      </c>
      <c r="E761" s="44" t="s">
        <v>5743</v>
      </c>
      <c r="F761" s="66">
        <v>40</v>
      </c>
      <c r="G761" s="66" t="s">
        <v>2826</v>
      </c>
      <c r="H761" s="44" t="s">
        <v>1674</v>
      </c>
      <c r="I761" s="299" t="s">
        <v>2829</v>
      </c>
      <c r="J761" s="66">
        <v>7445</v>
      </c>
      <c r="K761" s="66" t="s">
        <v>5751</v>
      </c>
      <c r="L761" s="66">
        <v>108580</v>
      </c>
      <c r="M761" s="66">
        <v>108582</v>
      </c>
      <c r="N761" s="66" t="s">
        <v>2389</v>
      </c>
      <c r="O761" s="66" t="s">
        <v>2390</v>
      </c>
      <c r="P761" s="66" t="s">
        <v>892</v>
      </c>
      <c r="Q761" s="138" t="str">
        <f ca="1">IFERROR(LOOKUP($P761,MOTORISTAS!$D$3:$D$1048576,MOTORISTAS!E$3:E$916),"")</f>
        <v>55283063968</v>
      </c>
      <c r="R761" s="138" t="str">
        <f ca="1">IFERROR(LOOKUP($P761,MOTORISTAS!$D$3:$D$1048576,MOTORISTAS!F$3:F$916),"")</f>
        <v>02537032407</v>
      </c>
      <c r="S761" s="66">
        <v>16892</v>
      </c>
      <c r="T761" s="66" t="s">
        <v>293</v>
      </c>
      <c r="U761" s="79">
        <v>45134.940972222219</v>
      </c>
      <c r="V761" s="66" t="s">
        <v>292</v>
      </c>
      <c r="W761" s="79">
        <v>45135.631944444445</v>
      </c>
      <c r="X761" s="79">
        <v>45135.118055555555</v>
      </c>
      <c r="Y761" s="88">
        <v>45135.409722222219</v>
      </c>
      <c r="Z761" s="81"/>
      <c r="AA761" s="81"/>
      <c r="AB761" s="81"/>
      <c r="AC761" s="81"/>
      <c r="AD761" s="81">
        <v>3472.48</v>
      </c>
      <c r="AE761" s="81"/>
      <c r="AF761" s="81">
        <v>621.6</v>
      </c>
      <c r="AG761" s="81">
        <v>558.28319999999997</v>
      </c>
      <c r="AH761" s="83">
        <v>4652.3599999999997</v>
      </c>
      <c r="AI761" s="66" t="str">
        <f>PROPER(TEXT(Sal_23[[#This Row],[PROGRAMAÇÃO]],"mmm"))</f>
        <v>Jul</v>
      </c>
      <c r="AJ761" s="66">
        <f>YEAR(Sal_23[[#This Row],[PROGRAMAÇÃO]])</f>
        <v>2023</v>
      </c>
      <c r="AK761" s="66"/>
      <c r="AL761" s="66"/>
      <c r="AM761" s="66" t="s">
        <v>2768</v>
      </c>
      <c r="AN761" s="66" t="s">
        <v>2768</v>
      </c>
      <c r="AO761" s="66" t="s">
        <v>2768</v>
      </c>
    </row>
    <row r="762" spans="2:41" x14ac:dyDescent="0.25">
      <c r="B762" s="128" t="s">
        <v>2771</v>
      </c>
      <c r="C76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62" s="79">
        <v>45135.333333333336</v>
      </c>
      <c r="E762" s="44" t="s">
        <v>5746</v>
      </c>
      <c r="F762" s="66">
        <v>40</v>
      </c>
      <c r="G762" s="66" t="s">
        <v>2826</v>
      </c>
      <c r="H762" s="44" t="s">
        <v>3195</v>
      </c>
      <c r="I762" s="299" t="s">
        <v>2830</v>
      </c>
      <c r="J762" s="66">
        <v>7551</v>
      </c>
      <c r="K762" s="66" t="s">
        <v>5751</v>
      </c>
      <c r="L762" s="66">
        <v>108688</v>
      </c>
      <c r="M762" s="66"/>
      <c r="N762" s="66" t="s">
        <v>31</v>
      </c>
      <c r="O762" s="66" t="s">
        <v>32</v>
      </c>
      <c r="P762" s="66" t="s">
        <v>33</v>
      </c>
      <c r="Q762" s="138" t="str">
        <f ca="1">IFERROR(LOOKUP($P762,MOTORISTAS!$D$3:$D$1048576,MOTORISTAS!E$3:E$916),"")</f>
        <v>09776430856</v>
      </c>
      <c r="R762" s="138" t="str">
        <f ca="1">IFERROR(LOOKUP($P762,MOTORISTAS!$D$3:$D$1048576,MOTORISTAS!F$3:F$916),"")</f>
        <v>01258979905</v>
      </c>
      <c r="S762" s="66">
        <v>16891</v>
      </c>
      <c r="T762" s="66" t="s">
        <v>293</v>
      </c>
      <c r="U762" s="79">
        <v>45135.258333333331</v>
      </c>
      <c r="V762" s="66" t="s">
        <v>292</v>
      </c>
      <c r="W762" s="79">
        <v>45135</v>
      </c>
      <c r="X762" s="79">
        <v>45135.368055555555</v>
      </c>
      <c r="Y762" s="88">
        <v>45135.425000000003</v>
      </c>
      <c r="Z762" s="81"/>
      <c r="AA762" s="81"/>
      <c r="AB762" s="81"/>
      <c r="AC762" s="81"/>
      <c r="AD762" s="81">
        <v>2504.37</v>
      </c>
      <c r="AE762" s="81"/>
      <c r="AF762" s="81">
        <v>371.4</v>
      </c>
      <c r="AG762" s="81">
        <f>Sal_23[[#This Row],[COMPRA]]*12%</f>
        <v>392.15039999999999</v>
      </c>
      <c r="AH762" s="83">
        <v>3267.92</v>
      </c>
      <c r="AI762" s="66" t="str">
        <f>PROPER(TEXT(Sal_23[[#This Row],[PROGRAMAÇÃO]],"mmm"))</f>
        <v>Jul</v>
      </c>
      <c r="AJ762" s="66">
        <f>YEAR(Sal_23[[#This Row],[PROGRAMAÇÃO]])</f>
        <v>2023</v>
      </c>
      <c r="AK762" s="66"/>
      <c r="AL762" s="66"/>
      <c r="AM762" s="66" t="s">
        <v>2768</v>
      </c>
      <c r="AN762" s="66" t="s">
        <v>2768</v>
      </c>
      <c r="AO762" s="66" t="s">
        <v>2768</v>
      </c>
    </row>
    <row r="763" spans="2:41" x14ac:dyDescent="0.25">
      <c r="B763" s="128" t="s">
        <v>2771</v>
      </c>
      <c r="C76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63" s="79">
        <v>45138.333333333336</v>
      </c>
      <c r="E763" s="44" t="s">
        <v>5737</v>
      </c>
      <c r="F763" s="66">
        <v>20</v>
      </c>
      <c r="G763" s="66" t="s">
        <v>2826</v>
      </c>
      <c r="H763" s="44" t="s">
        <v>2827</v>
      </c>
      <c r="I763" s="299" t="s">
        <v>2823</v>
      </c>
      <c r="J763" s="66">
        <v>7466</v>
      </c>
      <c r="K763" s="66" t="s">
        <v>5751</v>
      </c>
      <c r="L763" s="66">
        <v>108626</v>
      </c>
      <c r="M763" s="66"/>
      <c r="N763" s="66" t="s">
        <v>3040</v>
      </c>
      <c r="O763" s="66" t="s">
        <v>3041</v>
      </c>
      <c r="P763" s="66" t="s">
        <v>3042</v>
      </c>
      <c r="Q763" s="138" t="str">
        <f ca="1">IFERROR(LOOKUP($P763,MOTORISTAS!$D$3:$D$1048576,MOTORISTAS!E$3:E$916),"")</f>
        <v>19279658883</v>
      </c>
      <c r="R763" s="138" t="str">
        <f ca="1">IFERROR(LOOKUP($P763,MOTORISTAS!$D$3:$D$1048576,MOTORISTAS!F$3:F$916),"")</f>
        <v>01301319672</v>
      </c>
      <c r="S763" s="66">
        <v>16898</v>
      </c>
      <c r="T763" s="66" t="s">
        <v>293</v>
      </c>
      <c r="U763" s="79">
        <v>45138.031944444447</v>
      </c>
      <c r="V763" s="66" t="s">
        <v>292</v>
      </c>
      <c r="W763" s="79">
        <v>45138</v>
      </c>
      <c r="X763" s="79">
        <v>45138.215277777781</v>
      </c>
      <c r="Y763" s="88">
        <v>45138.333333333336</v>
      </c>
      <c r="Z763" s="81"/>
      <c r="AA763" s="81"/>
      <c r="AB763" s="81"/>
      <c r="AC763" s="81"/>
      <c r="AD763" s="81">
        <v>3484.1</v>
      </c>
      <c r="AE763" s="81"/>
      <c r="AF763" s="81">
        <v>706.8</v>
      </c>
      <c r="AG763" s="81">
        <f>Sal_23[[#This Row],[COMPRA]]*12%</f>
        <v>571.48680000000002</v>
      </c>
      <c r="AH763" s="83">
        <v>4762.3900000000003</v>
      </c>
      <c r="AI763" s="66" t="str">
        <f>PROPER(TEXT(Sal_23[[#This Row],[PROGRAMAÇÃO]],"mmm"))</f>
        <v>Jul</v>
      </c>
      <c r="AJ763" s="66">
        <f>YEAR(Sal_23[[#This Row],[PROGRAMAÇÃO]])</f>
        <v>2023</v>
      </c>
      <c r="AK763" s="66"/>
      <c r="AL763" s="66"/>
      <c r="AM763" s="66" t="s">
        <v>2768</v>
      </c>
      <c r="AN763" s="66" t="s">
        <v>2768</v>
      </c>
      <c r="AO763" s="66" t="s">
        <v>2768</v>
      </c>
    </row>
    <row r="764" spans="2:41" x14ac:dyDescent="0.25">
      <c r="B764" s="128" t="s">
        <v>2771</v>
      </c>
      <c r="C76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64" s="79">
        <v>45138.333333333336</v>
      </c>
      <c r="E764" s="44" t="s">
        <v>5738</v>
      </c>
      <c r="F764" s="66">
        <v>20</v>
      </c>
      <c r="G764" s="66" t="s">
        <v>2826</v>
      </c>
      <c r="H764" s="44" t="s">
        <v>2827</v>
      </c>
      <c r="I764" s="299" t="s">
        <v>2823</v>
      </c>
      <c r="J764" s="66">
        <v>7489</v>
      </c>
      <c r="K764" s="66" t="s">
        <v>5751</v>
      </c>
      <c r="L764" s="66">
        <v>108625</v>
      </c>
      <c r="M764" s="66"/>
      <c r="N764" s="66" t="s">
        <v>5609</v>
      </c>
      <c r="O764" s="66" t="s">
        <v>2946</v>
      </c>
      <c r="P764" s="66" t="s">
        <v>1845</v>
      </c>
      <c r="Q764" s="138" t="str">
        <f ca="1">IFERROR(LOOKUP($P764,MOTORISTAS!$D$3:$D$1048576,MOTORISTAS!E$3:E$916),"")</f>
        <v>05826127805</v>
      </c>
      <c r="R764" s="138" t="str">
        <f ca="1">IFERROR(LOOKUP($P764,MOTORISTAS!$D$3:$D$1048576,MOTORISTAS!F$3:F$916),"")</f>
        <v>02397620357</v>
      </c>
      <c r="S764" s="66">
        <v>16899</v>
      </c>
      <c r="T764" s="66" t="s">
        <v>293</v>
      </c>
      <c r="U764" s="79">
        <v>45137.990277777775</v>
      </c>
      <c r="V764" s="66" t="s">
        <v>292</v>
      </c>
      <c r="W764" s="79">
        <v>45138.583333333336</v>
      </c>
      <c r="X764" s="79">
        <v>45138.243055555555</v>
      </c>
      <c r="Y764" s="88">
        <v>45138.354166666664</v>
      </c>
      <c r="Z764" s="81"/>
      <c r="AA764" s="81"/>
      <c r="AB764" s="81"/>
      <c r="AC764" s="81"/>
      <c r="AD764" s="81">
        <v>3484.1</v>
      </c>
      <c r="AE764" s="81"/>
      <c r="AF764" s="81">
        <v>706.8</v>
      </c>
      <c r="AG764" s="81">
        <v>571.48680000000002</v>
      </c>
      <c r="AH764" s="83">
        <v>4762.3900000000003</v>
      </c>
      <c r="AI764" s="66" t="str">
        <f>PROPER(TEXT(Sal_23[[#This Row],[PROGRAMAÇÃO]],"mmm"))</f>
        <v>Jul</v>
      </c>
      <c r="AJ764" s="66">
        <f>YEAR(Sal_23[[#This Row],[PROGRAMAÇÃO]])</f>
        <v>2023</v>
      </c>
      <c r="AK764" s="66"/>
      <c r="AL764" s="66"/>
      <c r="AM764" s="66" t="s">
        <v>2768</v>
      </c>
      <c r="AN764" s="66" t="s">
        <v>2768</v>
      </c>
      <c r="AO764" s="66" t="s">
        <v>2768</v>
      </c>
    </row>
    <row r="765" spans="2:41" x14ac:dyDescent="0.25">
      <c r="B765" s="128" t="s">
        <v>2771</v>
      </c>
      <c r="C76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65" s="79">
        <v>45138.333333333336</v>
      </c>
      <c r="E765" s="44" t="s">
        <v>5744</v>
      </c>
      <c r="F765" s="66">
        <v>40</v>
      </c>
      <c r="G765" s="66" t="s">
        <v>2826</v>
      </c>
      <c r="H765" s="44" t="s">
        <v>1674</v>
      </c>
      <c r="I765" s="299" t="s">
        <v>2829</v>
      </c>
      <c r="J765" s="66">
        <v>7434</v>
      </c>
      <c r="K765" s="66" t="s">
        <v>5751</v>
      </c>
      <c r="L765" s="66">
        <v>108534</v>
      </c>
      <c r="M765" s="66">
        <v>108535</v>
      </c>
      <c r="N765" s="66" t="s">
        <v>92</v>
      </c>
      <c r="O765" s="66" t="s">
        <v>93</v>
      </c>
      <c r="P765" s="66" t="s">
        <v>94</v>
      </c>
      <c r="Q765" s="138" t="str">
        <f ca="1">IFERROR(LOOKUP($P765,MOTORISTAS!$D$3:$D$1048576,MOTORISTAS!E$3:E$916),"")</f>
        <v>26283419801</v>
      </c>
      <c r="R765" s="138" t="str">
        <f ca="1">IFERROR(LOOKUP($P765,MOTORISTAS!$D$3:$D$1048576,MOTORISTAS!F$3:F$916),"")</f>
        <v>02002046946</v>
      </c>
      <c r="S765" s="66">
        <v>16902</v>
      </c>
      <c r="T765" s="66" t="s">
        <v>293</v>
      </c>
      <c r="U765" s="79">
        <v>45138.258333333331</v>
      </c>
      <c r="V765" s="66" t="s">
        <v>292</v>
      </c>
      <c r="W765" s="79">
        <v>45139.463888888888</v>
      </c>
      <c r="X765" s="79">
        <v>45138.423611111109</v>
      </c>
      <c r="Y765" s="88">
        <v>45138.631944444445</v>
      </c>
      <c r="Z765" s="81"/>
      <c r="AA765" s="81"/>
      <c r="AB765" s="81"/>
      <c r="AC765" s="81"/>
      <c r="AD765" s="81">
        <v>3472.48</v>
      </c>
      <c r="AE765" s="81"/>
      <c r="AF765" s="81">
        <v>621.6</v>
      </c>
      <c r="AG765" s="81">
        <f>Sal_23[[#This Row],[COMPRA]]*12%</f>
        <v>558.28319999999997</v>
      </c>
      <c r="AH765" s="83">
        <v>4652.3599999999997</v>
      </c>
      <c r="AI765" s="66" t="str">
        <f>PROPER(TEXT(Sal_23[[#This Row],[PROGRAMAÇÃO]],"mmm"))</f>
        <v>Jul</v>
      </c>
      <c r="AJ765" s="66">
        <f>YEAR(Sal_23[[#This Row],[PROGRAMAÇÃO]])</f>
        <v>2023</v>
      </c>
      <c r="AK765" s="66"/>
      <c r="AL765" s="66"/>
      <c r="AM765" s="66" t="s">
        <v>2768</v>
      </c>
      <c r="AN765" s="66" t="s">
        <v>2768</v>
      </c>
      <c r="AO765" s="66" t="s">
        <v>2768</v>
      </c>
    </row>
    <row r="766" spans="2:41" x14ac:dyDescent="0.25">
      <c r="B766" s="128" t="s">
        <v>2771</v>
      </c>
      <c r="C76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66" s="79">
        <v>45138.333333333336</v>
      </c>
      <c r="E766" s="44" t="s">
        <v>1966</v>
      </c>
      <c r="F766" s="66">
        <v>40</v>
      </c>
      <c r="G766" s="66" t="s">
        <v>2826</v>
      </c>
      <c r="H766" s="44" t="s">
        <v>1674</v>
      </c>
      <c r="I766" s="299" t="s">
        <v>2829</v>
      </c>
      <c r="J766" s="66">
        <v>7444</v>
      </c>
      <c r="K766" s="66" t="s">
        <v>5751</v>
      </c>
      <c r="L766" s="66">
        <v>108532</v>
      </c>
      <c r="M766" s="66">
        <v>108537</v>
      </c>
      <c r="N766" s="66" t="s">
        <v>31</v>
      </c>
      <c r="O766" s="66" t="s">
        <v>32</v>
      </c>
      <c r="P766" s="66" t="s">
        <v>33</v>
      </c>
      <c r="Q766" s="138" t="str">
        <f ca="1">IFERROR(LOOKUP($P766,MOTORISTAS!$D$3:$D$1048576,MOTORISTAS!E$3:E$916),"")</f>
        <v>09776430856</v>
      </c>
      <c r="R766" s="138" t="str">
        <f ca="1">IFERROR(LOOKUP($P766,MOTORISTAS!$D$3:$D$1048576,MOTORISTAS!F$3:F$916),"")</f>
        <v>01258979905</v>
      </c>
      <c r="S766" s="66">
        <v>16903</v>
      </c>
      <c r="T766" s="66" t="s">
        <v>293</v>
      </c>
      <c r="U766" s="79">
        <v>45138.213194444441</v>
      </c>
      <c r="V766" s="66" t="s">
        <v>292</v>
      </c>
      <c r="W766" s="79">
        <v>45139.630555555559</v>
      </c>
      <c r="X766" s="79">
        <v>45138.423611111109</v>
      </c>
      <c r="Y766" s="88">
        <v>45138.486111111109</v>
      </c>
      <c r="Z766" s="81"/>
      <c r="AA766" s="81"/>
      <c r="AB766" s="81"/>
      <c r="AC766" s="81"/>
      <c r="AD766" s="81">
        <v>3472.48</v>
      </c>
      <c r="AE766" s="81"/>
      <c r="AF766" s="81">
        <v>621.6</v>
      </c>
      <c r="AG766" s="81">
        <f>Sal_23[[#This Row],[COMPRA]]*12%</f>
        <v>558.28319999999997</v>
      </c>
      <c r="AH766" s="83">
        <v>4652.3599999999997</v>
      </c>
      <c r="AI766" s="66" t="str">
        <f>PROPER(TEXT(Sal_23[[#This Row],[PROGRAMAÇÃO]],"mmm"))</f>
        <v>Jul</v>
      </c>
      <c r="AJ766" s="66">
        <f>YEAR(Sal_23[[#This Row],[PROGRAMAÇÃO]])</f>
        <v>2023</v>
      </c>
      <c r="AK766" s="66"/>
      <c r="AL766" s="66"/>
      <c r="AM766" s="66" t="s">
        <v>2768</v>
      </c>
      <c r="AN766" s="66" t="s">
        <v>2768</v>
      </c>
      <c r="AO766" s="66" t="s">
        <v>2768</v>
      </c>
    </row>
    <row r="767" spans="2:41" x14ac:dyDescent="0.25">
      <c r="B767" s="128" t="s">
        <v>2771</v>
      </c>
      <c r="C76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67" s="79">
        <v>45138.333333333336</v>
      </c>
      <c r="E767" s="44" t="s">
        <v>5747</v>
      </c>
      <c r="F767" s="66">
        <v>40</v>
      </c>
      <c r="G767" s="66" t="s">
        <v>2826</v>
      </c>
      <c r="H767" s="44" t="s">
        <v>3195</v>
      </c>
      <c r="I767" s="299" t="s">
        <v>2830</v>
      </c>
      <c r="J767" s="66">
        <v>7439</v>
      </c>
      <c r="K767" s="66" t="s">
        <v>5751</v>
      </c>
      <c r="L767" s="66">
        <v>108529</v>
      </c>
      <c r="M767" s="66"/>
      <c r="N767" s="66" t="s">
        <v>68</v>
      </c>
      <c r="O767" s="66" t="s">
        <v>36</v>
      </c>
      <c r="P767" s="66" t="s">
        <v>206</v>
      </c>
      <c r="Q767" s="138" t="str">
        <f ca="1">IFERROR(LOOKUP($P767,MOTORISTAS!$D$3:$D$1048576,MOTORISTAS!E$3:E$916),"")</f>
        <v>09085263425</v>
      </c>
      <c r="R767" s="138" t="str">
        <f ca="1">IFERROR(LOOKUP($P767,MOTORISTAS!$D$3:$D$1048576,MOTORISTAS!F$3:F$916),"")</f>
        <v>04557705505</v>
      </c>
      <c r="S767" s="66">
        <v>16904</v>
      </c>
      <c r="T767" s="66" t="s">
        <v>293</v>
      </c>
      <c r="U767" s="79">
        <v>45138.181944444441</v>
      </c>
      <c r="V767" s="66" t="s">
        <v>292</v>
      </c>
      <c r="W767" s="79">
        <v>45138</v>
      </c>
      <c r="X767" s="79">
        <v>45138.298611111109</v>
      </c>
      <c r="Y767" s="88">
        <v>45138.482638888891</v>
      </c>
      <c r="Z767" s="81"/>
      <c r="AA767" s="81"/>
      <c r="AB767" s="81"/>
      <c r="AC767" s="81"/>
      <c r="AD767" s="81">
        <v>2504.37</v>
      </c>
      <c r="AE767" s="81"/>
      <c r="AF767" s="81">
        <v>371.4</v>
      </c>
      <c r="AG767" s="81">
        <f>Sal_23[[#This Row],[COMPRA]]*12%</f>
        <v>392.15039999999999</v>
      </c>
      <c r="AH767" s="83">
        <v>3267.92</v>
      </c>
      <c r="AI767" s="66" t="str">
        <f>PROPER(TEXT(Sal_23[[#This Row],[PROGRAMAÇÃO]],"mmm"))</f>
        <v>Jul</v>
      </c>
      <c r="AJ767" s="66">
        <f>YEAR(Sal_23[[#This Row],[PROGRAMAÇÃO]])</f>
        <v>2023</v>
      </c>
      <c r="AK767" s="66"/>
      <c r="AL767" s="66"/>
      <c r="AM767" s="66" t="s">
        <v>2768</v>
      </c>
      <c r="AN767" s="66" t="s">
        <v>2768</v>
      </c>
      <c r="AO767" s="66" t="s">
        <v>2768</v>
      </c>
    </row>
    <row r="768" spans="2:41" x14ac:dyDescent="0.25">
      <c r="B768" s="128" t="s">
        <v>2771</v>
      </c>
      <c r="C76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68" s="79">
        <v>45138.333333333336</v>
      </c>
      <c r="E768" s="44" t="s">
        <v>5748</v>
      </c>
      <c r="F768" s="66">
        <v>40</v>
      </c>
      <c r="G768" s="66" t="s">
        <v>2826</v>
      </c>
      <c r="H768" s="44" t="s">
        <v>4944</v>
      </c>
      <c r="I768" s="299" t="s">
        <v>2822</v>
      </c>
      <c r="J768" s="66">
        <v>7481</v>
      </c>
      <c r="K768" s="66" t="s">
        <v>5751</v>
      </c>
      <c r="L768" s="66">
        <v>108652</v>
      </c>
      <c r="M768" s="66"/>
      <c r="N768" s="66" t="s">
        <v>150</v>
      </c>
      <c r="O768" s="66" t="s">
        <v>151</v>
      </c>
      <c r="P768" s="66" t="s">
        <v>4901</v>
      </c>
      <c r="Q768" s="138" t="str">
        <f ca="1">IFERROR(LOOKUP($P768,MOTORISTAS!$D$3:$D$1048576,MOTORISTAS!E$3:E$916),"")</f>
        <v>25538214842</v>
      </c>
      <c r="R768" s="138" t="str">
        <f ca="1">IFERROR(LOOKUP($P768,MOTORISTAS!$D$3:$D$1048576,MOTORISTAS!F$3:F$916),"")</f>
        <v>01845110101</v>
      </c>
      <c r="S768" s="66">
        <v>16905</v>
      </c>
      <c r="T768" s="66" t="s">
        <v>293</v>
      </c>
      <c r="U768" s="79">
        <v>45138.21597222222</v>
      </c>
      <c r="V768" s="66" t="s">
        <v>292</v>
      </c>
      <c r="W768" s="79">
        <v>45138.710416666669</v>
      </c>
      <c r="X768" s="79">
        <v>45138.325694444444</v>
      </c>
      <c r="Y768" s="88">
        <v>45138.54791666667</v>
      </c>
      <c r="Z768" s="81"/>
      <c r="AA768" s="81"/>
      <c r="AB768" s="81"/>
      <c r="AC768" s="81"/>
      <c r="AD768" s="81">
        <v>2449.6999999999998</v>
      </c>
      <c r="AE768" s="81"/>
      <c r="AF768" s="81">
        <v>266.39999999999998</v>
      </c>
      <c r="AG768" s="81">
        <f>Sal_23[[#This Row],[COMPRA]]*12%</f>
        <v>370.37759999999997</v>
      </c>
      <c r="AH768" s="83">
        <v>3086.48</v>
      </c>
      <c r="AI768" s="66" t="str">
        <f>PROPER(TEXT(Sal_23[[#This Row],[PROGRAMAÇÃO]],"mmm"))</f>
        <v>Jul</v>
      </c>
      <c r="AJ768" s="66">
        <f>YEAR(Sal_23[[#This Row],[PROGRAMAÇÃO]])</f>
        <v>2023</v>
      </c>
      <c r="AK768" s="66"/>
      <c r="AL768" s="66"/>
      <c r="AM768" s="66" t="s">
        <v>2768</v>
      </c>
      <c r="AN768" s="66" t="s">
        <v>2768</v>
      </c>
      <c r="AO768" s="66" t="s">
        <v>2768</v>
      </c>
    </row>
    <row r="769" spans="2:41" x14ac:dyDescent="0.25">
      <c r="B769" s="128" t="s">
        <v>2771</v>
      </c>
      <c r="C76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69" s="79">
        <v>45138.333333333336</v>
      </c>
      <c r="E769" s="44" t="s">
        <v>5749</v>
      </c>
      <c r="F769" s="66">
        <v>40</v>
      </c>
      <c r="G769" s="66" t="s">
        <v>2826</v>
      </c>
      <c r="H769" s="44" t="s">
        <v>4944</v>
      </c>
      <c r="I769" s="299" t="s">
        <v>2822</v>
      </c>
      <c r="J769" s="66">
        <v>7460</v>
      </c>
      <c r="K769" s="66" t="s">
        <v>5751</v>
      </c>
      <c r="L769" s="66">
        <v>108624</v>
      </c>
      <c r="M769" s="66"/>
      <c r="N769" s="66" t="s">
        <v>102</v>
      </c>
      <c r="O769" s="66" t="s">
        <v>73</v>
      </c>
      <c r="P769" s="66" t="s">
        <v>2678</v>
      </c>
      <c r="Q769" s="138" t="str">
        <f ca="1">IFERROR(LOOKUP($P769,MOTORISTAS!$D$3:$D$1048576,MOTORISTAS!E$3:E$916),"")</f>
        <v>28386357860</v>
      </c>
      <c r="R769" s="138" t="str">
        <f ca="1">IFERROR(LOOKUP($P769,MOTORISTAS!$D$3:$D$1048576,MOTORISTAS!F$3:F$916),"")</f>
        <v>01042201192</v>
      </c>
      <c r="S769" s="66">
        <v>16906</v>
      </c>
      <c r="T769" s="66" t="s">
        <v>293</v>
      </c>
      <c r="U769" s="79">
        <v>45138.201388888891</v>
      </c>
      <c r="V769" s="66" t="s">
        <v>292</v>
      </c>
      <c r="W769" s="79">
        <v>45138</v>
      </c>
      <c r="X769" s="79">
        <v>45138.311805555553</v>
      </c>
      <c r="Y769" s="88">
        <v>45138.548611111109</v>
      </c>
      <c r="Z769" s="81"/>
      <c r="AA769" s="81"/>
      <c r="AB769" s="81"/>
      <c r="AC769" s="81"/>
      <c r="AD769" s="81">
        <v>2449.6999999999998</v>
      </c>
      <c r="AE769" s="81"/>
      <c r="AF769" s="81">
        <v>266.39999999999998</v>
      </c>
      <c r="AG769" s="81">
        <f>Sal_23[[#This Row],[COMPRA]]*12%</f>
        <v>370.37759999999997</v>
      </c>
      <c r="AH769" s="83">
        <v>3086.48</v>
      </c>
      <c r="AI769" s="66" t="str">
        <f>PROPER(TEXT(Sal_23[[#This Row],[PROGRAMAÇÃO]],"mmm"))</f>
        <v>Jul</v>
      </c>
      <c r="AJ769" s="66">
        <f>YEAR(Sal_23[[#This Row],[PROGRAMAÇÃO]])</f>
        <v>2023</v>
      </c>
      <c r="AK769" s="66"/>
      <c r="AL769" s="66"/>
      <c r="AM769" s="66" t="s">
        <v>2768</v>
      </c>
      <c r="AN769" s="66" t="s">
        <v>2768</v>
      </c>
      <c r="AO769" s="66" t="s">
        <v>2768</v>
      </c>
    </row>
    <row r="770" spans="2:41" x14ac:dyDescent="0.25">
      <c r="B770" s="128" t="s">
        <v>2771</v>
      </c>
      <c r="C77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70" s="79">
        <v>45139.333333333336</v>
      </c>
      <c r="E770" s="44" t="s">
        <v>5735</v>
      </c>
      <c r="F770" s="66">
        <v>20</v>
      </c>
      <c r="G770" s="66" t="s">
        <v>2826</v>
      </c>
      <c r="H770" s="44" t="s">
        <v>3082</v>
      </c>
      <c r="I770" s="299" t="s">
        <v>3083</v>
      </c>
      <c r="J770" s="66">
        <v>7435</v>
      </c>
      <c r="K770" s="66" t="s">
        <v>5751</v>
      </c>
      <c r="L770" s="66">
        <v>108557</v>
      </c>
      <c r="M770" s="66"/>
      <c r="N770" s="66" t="s">
        <v>2498</v>
      </c>
      <c r="O770" s="66" t="s">
        <v>3274</v>
      </c>
      <c r="P770" s="66" t="s">
        <v>2500</v>
      </c>
      <c r="Q770" s="138" t="str">
        <f ca="1">IFERROR(LOOKUP($P770,MOTORISTAS!$D$3:$D$1048576,MOTORISTAS!E$3:E$916),"")</f>
        <v>10838670830</v>
      </c>
      <c r="R770" s="138" t="str">
        <f ca="1">IFERROR(LOOKUP($P770,MOTORISTAS!$D$3:$D$1048576,MOTORISTAS!F$3:F$916),"")</f>
        <v>01808675938</v>
      </c>
      <c r="S770" s="66">
        <v>16918</v>
      </c>
      <c r="T770" s="66" t="s">
        <v>293</v>
      </c>
      <c r="U770" s="79">
        <v>45138.887499999997</v>
      </c>
      <c r="V770" s="66" t="s">
        <v>292</v>
      </c>
      <c r="W770" s="79">
        <v>45139.673611111109</v>
      </c>
      <c r="X770" s="79">
        <v>45139.3125</v>
      </c>
      <c r="Y770" s="88">
        <v>45139.568749999999</v>
      </c>
      <c r="Z770" s="81"/>
      <c r="AA770" s="81"/>
      <c r="AB770" s="81"/>
      <c r="AC770" s="81"/>
      <c r="AD770" s="81">
        <v>2386.86</v>
      </c>
      <c r="AE770" s="81"/>
      <c r="AF770" s="81">
        <v>222</v>
      </c>
      <c r="AG770" s="81">
        <f>Sal_23[[#This Row],[COMPRA]]*12%</f>
        <v>355.75319999999999</v>
      </c>
      <c r="AH770" s="83">
        <v>2964.61</v>
      </c>
      <c r="AI770" s="66" t="str">
        <f>PROPER(TEXT(Sal_23[[#This Row],[PROGRAMAÇÃO]],"mmm"))</f>
        <v>Ago</v>
      </c>
      <c r="AJ770" s="66">
        <f>YEAR(Sal_23[[#This Row],[PROGRAMAÇÃO]])</f>
        <v>2023</v>
      </c>
      <c r="AK770" s="66"/>
      <c r="AL770" s="66"/>
      <c r="AM770" s="66" t="s">
        <v>2768</v>
      </c>
      <c r="AN770" s="66" t="s">
        <v>2768</v>
      </c>
      <c r="AO770" s="66" t="s">
        <v>2768</v>
      </c>
    </row>
    <row r="771" spans="2:41" x14ac:dyDescent="0.25">
      <c r="B771" s="128" t="s">
        <v>2771</v>
      </c>
      <c r="C77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71" s="79">
        <v>45139.333333333336</v>
      </c>
      <c r="E771" s="44" t="s">
        <v>5739</v>
      </c>
      <c r="F771" s="66">
        <v>20</v>
      </c>
      <c r="G771" s="66" t="s">
        <v>2837</v>
      </c>
      <c r="H771" s="44" t="s">
        <v>2837</v>
      </c>
      <c r="I771" s="299" t="s">
        <v>2821</v>
      </c>
      <c r="J771" s="66">
        <v>7468</v>
      </c>
      <c r="K771" s="66" t="s">
        <v>5751</v>
      </c>
      <c r="L771" s="66">
        <v>119808</v>
      </c>
      <c r="M771" s="66"/>
      <c r="N771" s="66" t="s">
        <v>2260</v>
      </c>
      <c r="O771" s="66" t="s">
        <v>4572</v>
      </c>
      <c r="P771" s="66" t="s">
        <v>2262</v>
      </c>
      <c r="Q771" s="138" t="str">
        <f ca="1">IFERROR(LOOKUP($P771,MOTORISTAS!$D$3:$D$1048576,MOTORISTAS!E$3:E$916),"")</f>
        <v>39669866472</v>
      </c>
      <c r="R771" s="138" t="str">
        <f ca="1">IFERROR(LOOKUP($P771,MOTORISTAS!$D$3:$D$1048576,MOTORISTAS!F$3:F$916),"")</f>
        <v>03304186289</v>
      </c>
      <c r="S771" s="66">
        <v>16919</v>
      </c>
      <c r="T771" s="66" t="s">
        <v>293</v>
      </c>
      <c r="U771" s="79">
        <v>45139.277083333334</v>
      </c>
      <c r="V771" s="66" t="s">
        <v>292</v>
      </c>
      <c r="W771" s="79">
        <v>45139.509027777778</v>
      </c>
      <c r="X771" s="79">
        <v>45139.347222222219</v>
      </c>
      <c r="Y771" s="88">
        <v>45139.451388888891</v>
      </c>
      <c r="Z771" s="81"/>
      <c r="AA771" s="81"/>
      <c r="AB771" s="81"/>
      <c r="AC771" s="81"/>
      <c r="AD771" s="81">
        <v>2018.37</v>
      </c>
      <c r="AE771" s="81"/>
      <c r="AF771" s="81">
        <v>266.39999999999998</v>
      </c>
      <c r="AG771" s="81">
        <f>Sal_23[[#This Row],[COMPRA]]*12%</f>
        <v>311.55959999999999</v>
      </c>
      <c r="AH771" s="83">
        <v>2596.33</v>
      </c>
      <c r="AI771" s="66" t="str">
        <f>PROPER(TEXT(Sal_23[[#This Row],[PROGRAMAÇÃO]],"mmm"))</f>
        <v>Ago</v>
      </c>
      <c r="AJ771" s="66">
        <f>YEAR(Sal_23[[#This Row],[PROGRAMAÇÃO]])</f>
        <v>2023</v>
      </c>
      <c r="AK771" s="66"/>
      <c r="AL771" s="66"/>
      <c r="AM771" s="66" t="s">
        <v>2768</v>
      </c>
      <c r="AN771" s="66" t="s">
        <v>2768</v>
      </c>
      <c r="AO771" s="66" t="s">
        <v>2768</v>
      </c>
    </row>
    <row r="772" spans="2:41" x14ac:dyDescent="0.25">
      <c r="B772" s="128" t="s">
        <v>2771</v>
      </c>
      <c r="C77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72" s="79">
        <v>45139.333333333336</v>
      </c>
      <c r="E772" s="44" t="s">
        <v>5745</v>
      </c>
      <c r="F772" s="66">
        <v>40</v>
      </c>
      <c r="G772" s="66" t="s">
        <v>2826</v>
      </c>
      <c r="H772" s="44" t="s">
        <v>2836</v>
      </c>
      <c r="I772" s="299" t="s">
        <v>708</v>
      </c>
      <c r="J772" s="66">
        <v>5937</v>
      </c>
      <c r="K772" s="66" t="s">
        <v>5751</v>
      </c>
      <c r="L772" s="66">
        <v>108651</v>
      </c>
      <c r="M772" s="66"/>
      <c r="N772" s="66" t="s">
        <v>72</v>
      </c>
      <c r="O772" s="66" t="s">
        <v>27</v>
      </c>
      <c r="P772" s="66" t="s">
        <v>69</v>
      </c>
      <c r="Q772" s="138" t="str">
        <f ca="1">IFERROR(LOOKUP($P772,MOTORISTAS!$D$3:$D$1048576,MOTORISTAS!E$3:E$916),"")</f>
        <v>07968457866</v>
      </c>
      <c r="R772" s="138" t="str">
        <f ca="1">IFERROR(LOOKUP($P772,MOTORISTAS!$D$3:$D$1048576,MOTORISTAS!F$3:F$916),"")</f>
        <v>03264365790</v>
      </c>
      <c r="S772" s="66">
        <v>16924</v>
      </c>
      <c r="T772" s="66" t="s">
        <v>293</v>
      </c>
      <c r="U772" s="79">
        <v>45138.933333333334</v>
      </c>
      <c r="V772" s="66" t="s">
        <v>292</v>
      </c>
      <c r="W772" s="79">
        <v>45141.618055555555</v>
      </c>
      <c r="X772" s="79">
        <v>45139.395833333336</v>
      </c>
      <c r="Y772" s="88">
        <v>45139.652083333334</v>
      </c>
      <c r="Z772" s="81"/>
      <c r="AA772" s="81"/>
      <c r="AB772" s="81"/>
      <c r="AC772" s="81"/>
      <c r="AD772" s="81">
        <v>1855.2</v>
      </c>
      <c r="AE772" s="81"/>
      <c r="AF772" s="81">
        <v>94.8</v>
      </c>
      <c r="AG772" s="81">
        <f>Sal_23[[#This Row],[COMPRA]]*12%</f>
        <v>234</v>
      </c>
      <c r="AH772" s="83">
        <v>1950</v>
      </c>
      <c r="AI772" s="66" t="str">
        <f>PROPER(TEXT(Sal_23[[#This Row],[PROGRAMAÇÃO]],"mmm"))</f>
        <v>Ago</v>
      </c>
      <c r="AJ772" s="66">
        <f>YEAR(Sal_23[[#This Row],[PROGRAMAÇÃO]])</f>
        <v>2023</v>
      </c>
      <c r="AK772" s="66"/>
      <c r="AL772" s="66"/>
      <c r="AM772" s="66" t="s">
        <v>2768</v>
      </c>
      <c r="AN772" s="66" t="s">
        <v>2768</v>
      </c>
      <c r="AO772" s="66" t="s">
        <v>2768</v>
      </c>
    </row>
    <row r="773" spans="2:41" x14ac:dyDescent="0.25">
      <c r="B773" s="128" t="s">
        <v>2771</v>
      </c>
      <c r="C77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73" s="79">
        <v>45138.375</v>
      </c>
      <c r="E773" s="44" t="s">
        <v>5755</v>
      </c>
      <c r="F773" s="66">
        <v>20</v>
      </c>
      <c r="G773" s="66" t="s">
        <v>2820</v>
      </c>
      <c r="H773" s="44" t="s">
        <v>2820</v>
      </c>
      <c r="I773" s="299" t="s">
        <v>2821</v>
      </c>
      <c r="J773" s="66" t="s">
        <v>5805</v>
      </c>
      <c r="K773" s="66" t="s">
        <v>5768</v>
      </c>
      <c r="L773" s="66">
        <v>108833</v>
      </c>
      <c r="M773" s="66"/>
      <c r="N773" s="66" t="s">
        <v>2859</v>
      </c>
      <c r="O773" s="66" t="s">
        <v>2860</v>
      </c>
      <c r="P773" s="288" t="s">
        <v>2861</v>
      </c>
      <c r="Q773" s="138" t="str">
        <f ca="1">IFERROR(LOOKUP($P773,MOTORISTAS!$D$3:$D$1048576,MOTORISTAS!E$3:E$916),"")</f>
        <v>01817591878</v>
      </c>
      <c r="R773" s="138" t="str">
        <f ca="1">IFERROR(LOOKUP($P773,MOTORISTAS!$D$3:$D$1048576,MOTORISTAS!F$3:F$916),"")</f>
        <v>00821760640</v>
      </c>
      <c r="S773" s="66">
        <v>16907</v>
      </c>
      <c r="T773" s="66" t="s">
        <v>306</v>
      </c>
      <c r="U773" s="79">
        <v>45138.020138888889</v>
      </c>
      <c r="V773" s="66" t="s">
        <v>292</v>
      </c>
      <c r="W773" s="79">
        <v>45138.593055555553</v>
      </c>
      <c r="X773" s="79">
        <v>45138.09375</v>
      </c>
      <c r="Y773" s="88">
        <v>45138.5</v>
      </c>
      <c r="Z773" s="81">
        <v>1600</v>
      </c>
      <c r="AA773" s="81"/>
      <c r="AB773" s="81"/>
      <c r="AC773" s="81"/>
      <c r="AD773" s="81">
        <v>1757.6</v>
      </c>
      <c r="AE773" s="81"/>
      <c r="AF773" s="81">
        <v>266.39999999999998</v>
      </c>
      <c r="AG773" s="81">
        <f>Sal_23[[#This Row],[COMPRA]]*12%</f>
        <v>276</v>
      </c>
      <c r="AH773" s="83">
        <v>2300</v>
      </c>
      <c r="AI773" s="66" t="str">
        <f>PROPER(TEXT(Sal_23[[#This Row],[PROGRAMAÇÃO]],"mmm"))</f>
        <v>Jul</v>
      </c>
      <c r="AJ773" s="66">
        <f>YEAR(Sal_23[[#This Row],[PROGRAMAÇÃO]])</f>
        <v>2023</v>
      </c>
      <c r="AK773" s="66"/>
      <c r="AL773" s="66"/>
      <c r="AM773" s="66" t="s">
        <v>2768</v>
      </c>
      <c r="AN773" s="66" t="s">
        <v>2768</v>
      </c>
      <c r="AO773" s="66" t="s">
        <v>2768</v>
      </c>
    </row>
    <row r="774" spans="2:41" x14ac:dyDescent="0.25">
      <c r="B774" s="128" t="s">
        <v>2771</v>
      </c>
      <c r="C77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74" s="79">
        <v>45138.375</v>
      </c>
      <c r="E774" s="44" t="s">
        <v>5758</v>
      </c>
      <c r="F774" s="66">
        <v>20</v>
      </c>
      <c r="G774" s="66" t="s">
        <v>2820</v>
      </c>
      <c r="H774" s="44" t="s">
        <v>2820</v>
      </c>
      <c r="I774" s="299" t="s">
        <v>2821</v>
      </c>
      <c r="J774" s="66" t="s">
        <v>5779</v>
      </c>
      <c r="K774" s="66" t="s">
        <v>5768</v>
      </c>
      <c r="L774" s="66">
        <v>108882</v>
      </c>
      <c r="M774" s="66"/>
      <c r="N774" s="66" t="s">
        <v>3028</v>
      </c>
      <c r="O774" s="66" t="s">
        <v>2261</v>
      </c>
      <c r="P774" s="66" t="s">
        <v>5816</v>
      </c>
      <c r="Q774" s="138" t="str">
        <f ca="1">IFERROR(LOOKUP($P774,MOTORISTAS!$D$3:$D$1048576,MOTORISTAS!E$3:E$916),"")</f>
        <v>13990937898</v>
      </c>
      <c r="R774" s="138" t="str">
        <f ca="1">IFERROR(LOOKUP($P774,MOTORISTAS!$D$3:$D$1048576,MOTORISTAS!F$3:F$916),"")</f>
        <v>01825123407</v>
      </c>
      <c r="S774" s="66">
        <v>16908</v>
      </c>
      <c r="T774" s="66" t="s">
        <v>306</v>
      </c>
      <c r="U774" s="79">
        <v>45138.021527777775</v>
      </c>
      <c r="V774" s="66" t="s">
        <v>292</v>
      </c>
      <c r="W774" s="79">
        <v>45138.633333333331</v>
      </c>
      <c r="X774" s="79">
        <v>45138.09375</v>
      </c>
      <c r="Y774" s="88">
        <v>45138.5</v>
      </c>
      <c r="Z774" s="81">
        <v>1600</v>
      </c>
      <c r="AA774" s="81"/>
      <c r="AB774" s="81"/>
      <c r="AC774" s="81"/>
      <c r="AD774" s="81">
        <v>1757.6</v>
      </c>
      <c r="AE774" s="81"/>
      <c r="AF774" s="81">
        <v>266.39999999999998</v>
      </c>
      <c r="AG774" s="81">
        <f>Sal_23[[#This Row],[COMPRA]]*12%</f>
        <v>276</v>
      </c>
      <c r="AH774" s="83">
        <v>2300</v>
      </c>
      <c r="AI774" s="66" t="str">
        <f>PROPER(TEXT(Sal_23[[#This Row],[PROGRAMAÇÃO]],"mmm"))</f>
        <v>Jul</v>
      </c>
      <c r="AJ774" s="66">
        <f>YEAR(Sal_23[[#This Row],[PROGRAMAÇÃO]])</f>
        <v>2023</v>
      </c>
      <c r="AK774" s="66"/>
      <c r="AL774" s="66"/>
      <c r="AM774" s="66" t="s">
        <v>2768</v>
      </c>
      <c r="AN774" s="66" t="s">
        <v>2768</v>
      </c>
      <c r="AO774" s="66" t="s">
        <v>2768</v>
      </c>
    </row>
    <row r="775" spans="2:41" x14ac:dyDescent="0.25">
      <c r="B775" s="128" t="s">
        <v>2771</v>
      </c>
      <c r="C77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75" s="79">
        <v>45139.458333333336</v>
      </c>
      <c r="E775" s="44" t="s">
        <v>5759</v>
      </c>
      <c r="F775" s="66">
        <v>40</v>
      </c>
      <c r="G775" s="66" t="s">
        <v>2820</v>
      </c>
      <c r="H775" s="44" t="s">
        <v>2820</v>
      </c>
      <c r="I775" s="299" t="s">
        <v>2821</v>
      </c>
      <c r="J775" s="66" t="s">
        <v>5783</v>
      </c>
      <c r="K775" s="66" t="s">
        <v>5768</v>
      </c>
      <c r="L775" s="66">
        <v>108752</v>
      </c>
      <c r="M775" s="66">
        <v>108753</v>
      </c>
      <c r="N775" s="66" t="s">
        <v>2933</v>
      </c>
      <c r="O775" s="66" t="s">
        <v>4701</v>
      </c>
      <c r="P775" s="66" t="s">
        <v>2932</v>
      </c>
      <c r="Q775" s="138" t="str">
        <f ca="1">IFERROR(LOOKUP($P775,MOTORISTAS!$D$3:$D$1048576,MOTORISTAS!E$3:E$916),"")</f>
        <v>87607395849</v>
      </c>
      <c r="R775" s="138" t="str">
        <f ca="1">IFERROR(LOOKUP($P775,MOTORISTAS!$D$3:$D$1048576,MOTORISTAS!F$3:F$916),"")</f>
        <v>01842622116</v>
      </c>
      <c r="S775" s="66" t="s">
        <v>5784</v>
      </c>
      <c r="T775" s="66" t="s">
        <v>306</v>
      </c>
      <c r="U775" s="79">
        <v>45139.018055555556</v>
      </c>
      <c r="V775" s="66" t="s">
        <v>292</v>
      </c>
      <c r="W775" s="79">
        <v>45139.656944444447</v>
      </c>
      <c r="X775" s="79">
        <v>45139.107638888891</v>
      </c>
      <c r="Y775" s="88">
        <v>45139.548611111109</v>
      </c>
      <c r="Z775" s="81">
        <v>1600</v>
      </c>
      <c r="AA775" s="81"/>
      <c r="AB775" s="81"/>
      <c r="AC775" s="81"/>
      <c r="AD775" s="81">
        <v>1757.6</v>
      </c>
      <c r="AE775" s="81"/>
      <c r="AF775" s="81">
        <v>266.39999999999998</v>
      </c>
      <c r="AG775" s="81">
        <f>Sal_23[[#This Row],[COMPRA]]*12%</f>
        <v>276</v>
      </c>
      <c r="AH775" s="83">
        <v>2300</v>
      </c>
      <c r="AI775" s="66" t="str">
        <f>PROPER(TEXT(Sal_23[[#This Row],[PROGRAMAÇÃO]],"mmm"))</f>
        <v>Ago</v>
      </c>
      <c r="AJ775" s="66">
        <f>YEAR(Sal_23[[#This Row],[PROGRAMAÇÃO]])</f>
        <v>2023</v>
      </c>
      <c r="AK775" s="66"/>
      <c r="AL775" s="66"/>
      <c r="AM775" s="66" t="s">
        <v>2768</v>
      </c>
      <c r="AN775" s="66" t="s">
        <v>2768</v>
      </c>
      <c r="AO775" s="66" t="s">
        <v>2768</v>
      </c>
    </row>
    <row r="776" spans="2:41" x14ac:dyDescent="0.25">
      <c r="B776" s="128" t="s">
        <v>2771</v>
      </c>
      <c r="C77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76" s="79">
        <v>45139.375</v>
      </c>
      <c r="E776" s="44" t="s">
        <v>5767</v>
      </c>
      <c r="F776" s="66">
        <v>20</v>
      </c>
      <c r="G776" s="66" t="s">
        <v>2820</v>
      </c>
      <c r="H776" s="44" t="s">
        <v>2820</v>
      </c>
      <c r="I776" s="299" t="s">
        <v>2821</v>
      </c>
      <c r="J776" s="66" t="s">
        <v>5799</v>
      </c>
      <c r="K776" s="66" t="s">
        <v>5768</v>
      </c>
      <c r="L776" s="66">
        <v>66065</v>
      </c>
      <c r="M776" s="66">
        <v>66066</v>
      </c>
      <c r="N776" s="66" t="s">
        <v>3028</v>
      </c>
      <c r="O776" s="66" t="s">
        <v>2261</v>
      </c>
      <c r="P776" s="66" t="s">
        <v>3443</v>
      </c>
      <c r="Q776" s="138" t="str">
        <f ca="1">IFERROR(LOOKUP($P776,MOTORISTAS!$D$3:$D$1048576,MOTORISTAS!E$3:E$916),"")</f>
        <v>13990937898</v>
      </c>
      <c r="R776" s="138" t="str">
        <f ca="1">IFERROR(LOOKUP($P776,MOTORISTAS!$D$3:$D$1048576,MOTORISTAS!F$3:F$916),"")</f>
        <v>01825123407</v>
      </c>
      <c r="S776" s="66">
        <v>16925</v>
      </c>
      <c r="T776" s="66" t="s">
        <v>306</v>
      </c>
      <c r="U776" s="79">
        <v>45138.968055555553</v>
      </c>
      <c r="V776" s="66" t="s">
        <v>409</v>
      </c>
      <c r="W776" s="79">
        <v>45139.63958333333</v>
      </c>
      <c r="X776" s="79">
        <v>45139.076388888891</v>
      </c>
      <c r="Y776" s="88">
        <v>45139.506944444445</v>
      </c>
      <c r="Z776" s="81">
        <v>1600</v>
      </c>
      <c r="AA776" s="81"/>
      <c r="AB776" s="81"/>
      <c r="AC776" s="81"/>
      <c r="AD776" s="81">
        <v>1757.6</v>
      </c>
      <c r="AE776" s="81"/>
      <c r="AF776" s="81">
        <v>266.39999999999998</v>
      </c>
      <c r="AG776" s="81">
        <f>Sal_23[[#This Row],[COMPRA]]*12%</f>
        <v>276</v>
      </c>
      <c r="AH776" s="83">
        <v>2300</v>
      </c>
      <c r="AI776" s="66" t="str">
        <f>PROPER(TEXT(Sal_23[[#This Row],[PROGRAMAÇÃO]],"mmm"))</f>
        <v>Ago</v>
      </c>
      <c r="AJ776" s="66">
        <f>YEAR(Sal_23[[#This Row],[PROGRAMAÇÃO]])</f>
        <v>2023</v>
      </c>
      <c r="AK776" s="66"/>
      <c r="AL776" s="66"/>
      <c r="AM776" s="66" t="s">
        <v>2768</v>
      </c>
      <c r="AN776" s="66" t="s">
        <v>2768</v>
      </c>
      <c r="AO776" s="66" t="s">
        <v>2768</v>
      </c>
    </row>
    <row r="777" spans="2:41" x14ac:dyDescent="0.25">
      <c r="B777" s="128" t="s">
        <v>2771</v>
      </c>
      <c r="C77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77" s="79">
        <v>45139.375</v>
      </c>
      <c r="E777" s="44" t="s">
        <v>5756</v>
      </c>
      <c r="F777" s="66">
        <v>20</v>
      </c>
      <c r="G777" s="66" t="s">
        <v>2820</v>
      </c>
      <c r="H777" s="44" t="s">
        <v>2820</v>
      </c>
      <c r="I777" s="299" t="s">
        <v>2821</v>
      </c>
      <c r="J777" s="66" t="s">
        <v>5805</v>
      </c>
      <c r="K777" s="66" t="s">
        <v>5768</v>
      </c>
      <c r="L777" s="66">
        <v>108834</v>
      </c>
      <c r="M777" s="66"/>
      <c r="N777" s="66" t="s">
        <v>2949</v>
      </c>
      <c r="O777" s="66" t="s">
        <v>2950</v>
      </c>
      <c r="P777" s="66" t="s">
        <v>2948</v>
      </c>
      <c r="Q777" s="138" t="str">
        <f ca="1">IFERROR(LOOKUP($P777,MOTORISTAS!$D$3:$D$1048576,MOTORISTAS!E$3:E$916),"")</f>
        <v>16239341843</v>
      </c>
      <c r="R777" s="138" t="str">
        <f ca="1">IFERROR(LOOKUP($P777,MOTORISTAS!$D$3:$D$1048576,MOTORISTAS!F$3:F$916),"")</f>
        <v>01877235038</v>
      </c>
      <c r="S777" s="66">
        <v>16920</v>
      </c>
      <c r="T777" s="66" t="s">
        <v>306</v>
      </c>
      <c r="U777" s="79">
        <v>45138.996527777781</v>
      </c>
      <c r="V777" s="66" t="s">
        <v>292</v>
      </c>
      <c r="W777" s="79">
        <v>45141.644444444442</v>
      </c>
      <c r="X777" s="79">
        <v>45139.076388888891</v>
      </c>
      <c r="Y777" s="88">
        <v>45139.604166666664</v>
      </c>
      <c r="Z777" s="81">
        <v>1600</v>
      </c>
      <c r="AA777" s="81"/>
      <c r="AB777" s="81"/>
      <c r="AC777" s="81"/>
      <c r="AD777" s="81">
        <v>1757.6</v>
      </c>
      <c r="AE777" s="81"/>
      <c r="AF777" s="81">
        <v>266.39999999999998</v>
      </c>
      <c r="AG777" s="81">
        <f>Sal_23[[#This Row],[COMPRA]]*12%</f>
        <v>276</v>
      </c>
      <c r="AH777" s="83">
        <v>2300</v>
      </c>
      <c r="AI777" s="66" t="str">
        <f>PROPER(TEXT(Sal_23[[#This Row],[PROGRAMAÇÃO]],"mmm"))</f>
        <v>Ago</v>
      </c>
      <c r="AJ777" s="66">
        <f>YEAR(Sal_23[[#This Row],[PROGRAMAÇÃO]])</f>
        <v>2023</v>
      </c>
      <c r="AK777" s="66"/>
      <c r="AL777" s="66"/>
      <c r="AM777" s="66" t="s">
        <v>2768</v>
      </c>
      <c r="AN777" s="66" t="s">
        <v>2768</v>
      </c>
      <c r="AO777" s="66" t="s">
        <v>2768</v>
      </c>
    </row>
    <row r="778" spans="2:41" x14ac:dyDescent="0.25">
      <c r="B778" s="128" t="s">
        <v>2771</v>
      </c>
      <c r="C77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78" s="79">
        <v>45140.458333333336</v>
      </c>
      <c r="E778" s="44" t="s">
        <v>5760</v>
      </c>
      <c r="F778" s="66">
        <v>40</v>
      </c>
      <c r="G778" s="66" t="s">
        <v>2820</v>
      </c>
      <c r="H778" s="44" t="s">
        <v>2820</v>
      </c>
      <c r="I778" s="299" t="s">
        <v>2821</v>
      </c>
      <c r="J778" s="66" t="s">
        <v>5783</v>
      </c>
      <c r="K778" s="66" t="s">
        <v>5768</v>
      </c>
      <c r="L778" s="66">
        <v>108832</v>
      </c>
      <c r="M778" s="66"/>
      <c r="N778" s="66" t="s">
        <v>2859</v>
      </c>
      <c r="O778" s="66" t="s">
        <v>4701</v>
      </c>
      <c r="P778" s="66" t="s">
        <v>2861</v>
      </c>
      <c r="Q778" s="138" t="str">
        <f ca="1">IFERROR(LOOKUP($P778,MOTORISTAS!$D$3:$D$1048576,MOTORISTAS!E$3:E$916),"")</f>
        <v>01817591878</v>
      </c>
      <c r="R778" s="138" t="str">
        <f ca="1">IFERROR(LOOKUP($P778,MOTORISTAS!$D$3:$D$1048576,MOTORISTAS!F$3:F$916),"")</f>
        <v>00821760640</v>
      </c>
      <c r="S778" s="66">
        <v>16930</v>
      </c>
      <c r="T778" s="66" t="s">
        <v>306</v>
      </c>
      <c r="U778" s="79">
        <v>45139.956944444442</v>
      </c>
      <c r="V778" s="66" t="s">
        <v>409</v>
      </c>
      <c r="W778" s="79">
        <v>45140.606944444444</v>
      </c>
      <c r="X778" s="79">
        <v>45140.052083333336</v>
      </c>
      <c r="Y778" s="88">
        <v>45140.46875</v>
      </c>
      <c r="Z778" s="81">
        <v>1600</v>
      </c>
      <c r="AA778" s="81"/>
      <c r="AB778" s="81"/>
      <c r="AC778" s="81"/>
      <c r="AD778" s="81">
        <v>1757.6</v>
      </c>
      <c r="AE778" s="81"/>
      <c r="AF778" s="81">
        <v>266.39999999999998</v>
      </c>
      <c r="AG778" s="81">
        <f>Sal_23[[#This Row],[COMPRA]]*12%</f>
        <v>276</v>
      </c>
      <c r="AH778" s="83">
        <v>2300</v>
      </c>
      <c r="AI778" s="66" t="str">
        <f>PROPER(TEXT(Sal_23[[#This Row],[PROGRAMAÇÃO]],"mmm"))</f>
        <v>Ago</v>
      </c>
      <c r="AJ778" s="66">
        <f>YEAR(Sal_23[[#This Row],[PROGRAMAÇÃO]])</f>
        <v>2023</v>
      </c>
      <c r="AK778" s="66"/>
      <c r="AL778" s="66"/>
      <c r="AM778" s="66" t="s">
        <v>2768</v>
      </c>
      <c r="AN778" s="66" t="s">
        <v>2768</v>
      </c>
      <c r="AO778" s="66" t="s">
        <v>2768</v>
      </c>
    </row>
    <row r="779" spans="2:41" x14ac:dyDescent="0.25">
      <c r="B779" s="128" t="s">
        <v>2771</v>
      </c>
      <c r="C77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79" s="79">
        <v>45140.375</v>
      </c>
      <c r="E779" s="44" t="s">
        <v>5762</v>
      </c>
      <c r="F779" s="66">
        <v>20</v>
      </c>
      <c r="G779" s="66" t="s">
        <v>2820</v>
      </c>
      <c r="H779" s="44" t="s">
        <v>2820</v>
      </c>
      <c r="I779" s="299" t="s">
        <v>2821</v>
      </c>
      <c r="J779" s="66" t="s">
        <v>5807</v>
      </c>
      <c r="K779" s="66" t="s">
        <v>5768</v>
      </c>
      <c r="L779" s="66">
        <v>72775</v>
      </c>
      <c r="M779" s="66"/>
      <c r="N779" s="66" t="s">
        <v>3028</v>
      </c>
      <c r="O779" s="66" t="s">
        <v>2261</v>
      </c>
      <c r="P779" s="66" t="s">
        <v>3443</v>
      </c>
      <c r="Q779" s="138" t="str">
        <f ca="1">IFERROR(LOOKUP($P779,MOTORISTAS!$D$3:$D$1048576,MOTORISTAS!E$3:E$916),"")</f>
        <v>13990937898</v>
      </c>
      <c r="R779" s="138" t="str">
        <f ca="1">IFERROR(LOOKUP($P779,MOTORISTAS!$D$3:$D$1048576,MOTORISTAS!F$3:F$916),"")</f>
        <v>01825123407</v>
      </c>
      <c r="S779" s="66">
        <v>16931</v>
      </c>
      <c r="T779" s="66" t="s">
        <v>306</v>
      </c>
      <c r="U779" s="79">
        <v>45139.946527777778</v>
      </c>
      <c r="V779" s="66" t="s">
        <v>292</v>
      </c>
      <c r="W779" s="79">
        <v>45140.589583333334</v>
      </c>
      <c r="X779" s="79">
        <v>45140.020833333336</v>
      </c>
      <c r="Y779" s="88">
        <v>45140.510416666664</v>
      </c>
      <c r="Z779" s="81">
        <v>1600</v>
      </c>
      <c r="AA779" s="81"/>
      <c r="AB779" s="81"/>
      <c r="AC779" s="81"/>
      <c r="AD779" s="81">
        <v>1757.6</v>
      </c>
      <c r="AE779" s="81"/>
      <c r="AF779" s="81">
        <v>266.39999999999998</v>
      </c>
      <c r="AG779" s="81">
        <f>Sal_23[[#This Row],[COMPRA]]*12%</f>
        <v>276</v>
      </c>
      <c r="AH779" s="83">
        <v>2300</v>
      </c>
      <c r="AI779" s="66" t="str">
        <f>PROPER(TEXT(Sal_23[[#This Row],[PROGRAMAÇÃO]],"mmm"))</f>
        <v>Ago</v>
      </c>
      <c r="AJ779" s="66">
        <f>YEAR(Sal_23[[#This Row],[PROGRAMAÇÃO]])</f>
        <v>2023</v>
      </c>
      <c r="AK779" s="66"/>
      <c r="AL779" s="66"/>
      <c r="AM779" s="66" t="s">
        <v>2768</v>
      </c>
      <c r="AN779" s="66" t="s">
        <v>2768</v>
      </c>
      <c r="AO779" s="66" t="s">
        <v>2768</v>
      </c>
    </row>
    <row r="780" spans="2:41" x14ac:dyDescent="0.25">
      <c r="B780" s="128" t="s">
        <v>2771</v>
      </c>
      <c r="C78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80" s="79">
        <v>45140.375</v>
      </c>
      <c r="E780" s="44" t="s">
        <v>5763</v>
      </c>
      <c r="F780" s="66">
        <v>20</v>
      </c>
      <c r="G780" s="66" t="s">
        <v>2820</v>
      </c>
      <c r="H780" s="44" t="s">
        <v>2820</v>
      </c>
      <c r="I780" s="299" t="s">
        <v>2821</v>
      </c>
      <c r="J780" s="66" t="s">
        <v>5807</v>
      </c>
      <c r="K780" s="66" t="s">
        <v>5768</v>
      </c>
      <c r="L780" s="66">
        <v>72778</v>
      </c>
      <c r="M780" s="66">
        <v>72781</v>
      </c>
      <c r="N780" s="66" t="s">
        <v>2949</v>
      </c>
      <c r="O780" s="66" t="s">
        <v>2950</v>
      </c>
      <c r="P780" s="66" t="s">
        <v>2948</v>
      </c>
      <c r="Q780" s="138" t="str">
        <f ca="1">IFERROR(LOOKUP($P780,MOTORISTAS!$D$3:$D$1048576,MOTORISTAS!E$3:E$916),"")</f>
        <v>16239341843</v>
      </c>
      <c r="R780" s="138" t="str">
        <f ca="1">IFERROR(LOOKUP($P780,MOTORISTAS!$D$3:$D$1048576,MOTORISTAS!F$3:F$916),"")</f>
        <v>01877235038</v>
      </c>
      <c r="S780" s="66">
        <v>16932</v>
      </c>
      <c r="T780" s="66" t="s">
        <v>306</v>
      </c>
      <c r="U780" s="79">
        <v>45139.934027777781</v>
      </c>
      <c r="V780" s="66" t="s">
        <v>292</v>
      </c>
      <c r="W780" s="79">
        <v>45140.636805555558</v>
      </c>
      <c r="X780" s="79">
        <v>45140.020833333336</v>
      </c>
      <c r="Y780" s="88">
        <v>45140.59375</v>
      </c>
      <c r="Z780" s="81">
        <v>1600</v>
      </c>
      <c r="AA780" s="81"/>
      <c r="AB780" s="81"/>
      <c r="AC780" s="81"/>
      <c r="AD780" s="81">
        <v>1757.6</v>
      </c>
      <c r="AE780" s="81"/>
      <c r="AF780" s="81">
        <v>266.39999999999998</v>
      </c>
      <c r="AG780" s="81">
        <f>Sal_23[[#This Row],[COMPRA]]*12%</f>
        <v>276</v>
      </c>
      <c r="AH780" s="83">
        <v>2300</v>
      </c>
      <c r="AI780" s="66" t="str">
        <f>PROPER(TEXT(Sal_23[[#This Row],[PROGRAMAÇÃO]],"mmm"))</f>
        <v>Ago</v>
      </c>
      <c r="AJ780" s="66">
        <f>YEAR(Sal_23[[#This Row],[PROGRAMAÇÃO]])</f>
        <v>2023</v>
      </c>
      <c r="AK780" s="66"/>
      <c r="AL780" s="66"/>
      <c r="AM780" s="66" t="s">
        <v>2768</v>
      </c>
      <c r="AN780" s="66" t="s">
        <v>2768</v>
      </c>
      <c r="AO780" s="66" t="s">
        <v>2768</v>
      </c>
    </row>
    <row r="781" spans="2:41" x14ac:dyDescent="0.25">
      <c r="B781" s="128" t="s">
        <v>2771</v>
      </c>
      <c r="C78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81" s="79">
        <v>45141.458333333336</v>
      </c>
      <c r="E781" s="44" t="s">
        <v>5761</v>
      </c>
      <c r="F781" s="66">
        <v>40</v>
      </c>
      <c r="G781" s="66" t="s">
        <v>2820</v>
      </c>
      <c r="H781" s="44" t="s">
        <v>2820</v>
      </c>
      <c r="I781" s="299" t="s">
        <v>2821</v>
      </c>
      <c r="J781" s="66" t="s">
        <v>5783</v>
      </c>
      <c r="K781" s="66" t="s">
        <v>5768</v>
      </c>
      <c r="L781" s="66">
        <v>108884</v>
      </c>
      <c r="M781" s="66"/>
      <c r="N781" s="66" t="s">
        <v>2859</v>
      </c>
      <c r="O781" s="66" t="s">
        <v>4701</v>
      </c>
      <c r="P781" s="66" t="s">
        <v>2861</v>
      </c>
      <c r="Q781" s="138" t="str">
        <f ca="1">IFERROR(LOOKUP($P781,MOTORISTAS!$D$3:$D$1048576,MOTORISTAS!E$3:E$916),"")</f>
        <v>01817591878</v>
      </c>
      <c r="R781" s="138" t="str">
        <f ca="1">IFERROR(LOOKUP($P781,MOTORISTAS!$D$3:$D$1048576,MOTORISTAS!F$3:F$916),"")</f>
        <v>00821760640</v>
      </c>
      <c r="S781" s="66">
        <v>16951</v>
      </c>
      <c r="T781" s="66" t="s">
        <v>306</v>
      </c>
      <c r="U781" s="79">
        <v>45140.916666666664</v>
      </c>
      <c r="V781" s="66" t="s">
        <v>292</v>
      </c>
      <c r="W781" s="79">
        <v>45142.566666666666</v>
      </c>
      <c r="X781" s="79">
        <v>45141.083333333336</v>
      </c>
      <c r="Y781" s="88">
        <v>45141.541666666664</v>
      </c>
      <c r="Z781" s="81">
        <v>1600</v>
      </c>
      <c r="AA781" s="81"/>
      <c r="AB781" s="81"/>
      <c r="AC781" s="81"/>
      <c r="AD781" s="81">
        <v>1757.6</v>
      </c>
      <c r="AE781" s="81"/>
      <c r="AF781" s="81">
        <v>266.39999999999998</v>
      </c>
      <c r="AG781" s="81">
        <f>Sal_23[[#This Row],[COMPRA]]*12%</f>
        <v>276</v>
      </c>
      <c r="AH781" s="83">
        <v>2300</v>
      </c>
      <c r="AI781" s="66" t="str">
        <f>PROPER(TEXT(Sal_23[[#This Row],[PROGRAMAÇÃO]],"mmm"))</f>
        <v>Ago</v>
      </c>
      <c r="AJ781" s="66">
        <f>YEAR(Sal_23[[#This Row],[PROGRAMAÇÃO]])</f>
        <v>2023</v>
      </c>
      <c r="AK781" s="66"/>
      <c r="AL781" s="66"/>
      <c r="AM781" s="66" t="s">
        <v>2768</v>
      </c>
      <c r="AN781" s="66" t="s">
        <v>2768</v>
      </c>
      <c r="AO781" s="66" t="s">
        <v>2768</v>
      </c>
    </row>
    <row r="782" spans="2:41" x14ac:dyDescent="0.25">
      <c r="B782" s="128" t="s">
        <v>2771</v>
      </c>
      <c r="C78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82" s="79">
        <v>45141.375</v>
      </c>
      <c r="E782" s="44" t="s">
        <v>5764</v>
      </c>
      <c r="F782" s="66">
        <v>20</v>
      </c>
      <c r="G782" s="66" t="s">
        <v>2820</v>
      </c>
      <c r="H782" s="44" t="s">
        <v>2820</v>
      </c>
      <c r="I782" s="299" t="s">
        <v>2821</v>
      </c>
      <c r="J782" s="66" t="s">
        <v>5807</v>
      </c>
      <c r="K782" s="66" t="s">
        <v>5768</v>
      </c>
      <c r="L782" s="66">
        <v>72809</v>
      </c>
      <c r="M782" s="66">
        <v>72810</v>
      </c>
      <c r="N782" s="66" t="s">
        <v>3028</v>
      </c>
      <c r="O782" s="66" t="s">
        <v>2261</v>
      </c>
      <c r="P782" s="66" t="s">
        <v>5816</v>
      </c>
      <c r="Q782" s="138" t="str">
        <f ca="1">IFERROR(LOOKUP($P782,MOTORISTAS!$D$3:$D$1048576,MOTORISTAS!E$3:E$916),"")</f>
        <v>13990937898</v>
      </c>
      <c r="R782" s="138" t="str">
        <f ca="1">IFERROR(LOOKUP($P782,MOTORISTAS!$D$3:$D$1048576,MOTORISTAS!F$3:F$916),"")</f>
        <v>01825123407</v>
      </c>
      <c r="S782" s="66">
        <v>16952</v>
      </c>
      <c r="T782" s="66" t="s">
        <v>306</v>
      </c>
      <c r="U782" s="79">
        <v>45140.916666666664</v>
      </c>
      <c r="V782" s="66" t="s">
        <v>292</v>
      </c>
      <c r="W782" s="79">
        <v>45142.412499999999</v>
      </c>
      <c r="X782" s="79">
        <v>45141.083333333336</v>
      </c>
      <c r="Y782" s="88">
        <v>45141.652777777781</v>
      </c>
      <c r="Z782" s="81">
        <v>1600</v>
      </c>
      <c r="AA782" s="81"/>
      <c r="AB782" s="81"/>
      <c r="AC782" s="81"/>
      <c r="AD782" s="81">
        <v>1757.6</v>
      </c>
      <c r="AE782" s="81"/>
      <c r="AF782" s="81">
        <v>266.39999999999998</v>
      </c>
      <c r="AG782" s="81">
        <f>Sal_23[[#This Row],[COMPRA]]*12%</f>
        <v>276</v>
      </c>
      <c r="AH782" s="83">
        <v>2300</v>
      </c>
      <c r="AI782" s="66" t="str">
        <f>PROPER(TEXT(Sal_23[[#This Row],[PROGRAMAÇÃO]],"mmm"))</f>
        <v>Ago</v>
      </c>
      <c r="AJ782" s="66">
        <f>YEAR(Sal_23[[#This Row],[PROGRAMAÇÃO]])</f>
        <v>2023</v>
      </c>
      <c r="AK782" s="66"/>
      <c r="AL782" s="66"/>
      <c r="AM782" s="66" t="s">
        <v>2768</v>
      </c>
      <c r="AN782" s="66" t="s">
        <v>2768</v>
      </c>
      <c r="AO782" s="66" t="s">
        <v>2768</v>
      </c>
    </row>
    <row r="783" spans="2:41" x14ac:dyDescent="0.25">
      <c r="B783" s="128" t="s">
        <v>2771</v>
      </c>
      <c r="C78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83" s="79">
        <v>45141.375</v>
      </c>
      <c r="E783" s="44" t="s">
        <v>5765</v>
      </c>
      <c r="F783" s="66">
        <v>20</v>
      </c>
      <c r="G783" s="66" t="s">
        <v>2820</v>
      </c>
      <c r="H783" s="44" t="s">
        <v>2820</v>
      </c>
      <c r="I783" s="299" t="s">
        <v>2821</v>
      </c>
      <c r="J783" s="66" t="s">
        <v>5807</v>
      </c>
      <c r="K783" s="66" t="s">
        <v>5768</v>
      </c>
      <c r="L783" s="66">
        <v>72808</v>
      </c>
      <c r="M783" s="66"/>
      <c r="N783" s="66" t="s">
        <v>2949</v>
      </c>
      <c r="O783" s="66" t="s">
        <v>2950</v>
      </c>
      <c r="P783" s="66" t="s">
        <v>2948</v>
      </c>
      <c r="Q783" s="138" t="str">
        <f ca="1">IFERROR(LOOKUP($P783,MOTORISTAS!$D$3:$D$1048576,MOTORISTAS!E$3:E$916),"")</f>
        <v>16239341843</v>
      </c>
      <c r="R783" s="138" t="str">
        <f ca="1">IFERROR(LOOKUP($P783,MOTORISTAS!$D$3:$D$1048576,MOTORISTAS!F$3:F$916),"")</f>
        <v>01877235038</v>
      </c>
      <c r="S783" s="66">
        <v>16953</v>
      </c>
      <c r="T783" s="66" t="s">
        <v>306</v>
      </c>
      <c r="U783" s="79">
        <v>45140.916666666664</v>
      </c>
      <c r="V783" s="66" t="s">
        <v>292</v>
      </c>
      <c r="W783" s="79">
        <v>45141.615277777775</v>
      </c>
      <c r="X783" s="79">
        <v>45141.083333333336</v>
      </c>
      <c r="Y783" s="88">
        <v>45141.5</v>
      </c>
      <c r="Z783" s="81">
        <v>1600</v>
      </c>
      <c r="AA783" s="81"/>
      <c r="AB783" s="81"/>
      <c r="AC783" s="81"/>
      <c r="AD783" s="81">
        <v>1757.6</v>
      </c>
      <c r="AE783" s="81"/>
      <c r="AF783" s="81">
        <v>266.39999999999998</v>
      </c>
      <c r="AG783" s="81">
        <f>Sal_23[[#This Row],[COMPRA]]*12%</f>
        <v>276</v>
      </c>
      <c r="AH783" s="83">
        <v>2300</v>
      </c>
      <c r="AI783" s="66" t="str">
        <f>PROPER(TEXT(Sal_23[[#This Row],[PROGRAMAÇÃO]],"mmm"))</f>
        <v>Ago</v>
      </c>
      <c r="AJ783" s="66">
        <f>YEAR(Sal_23[[#This Row],[PROGRAMAÇÃO]])</f>
        <v>2023</v>
      </c>
      <c r="AK783" s="66"/>
      <c r="AL783" s="66"/>
      <c r="AM783" s="66" t="s">
        <v>2768</v>
      </c>
      <c r="AN783" s="66" t="s">
        <v>2768</v>
      </c>
      <c r="AO783" s="66" t="s">
        <v>2768</v>
      </c>
    </row>
    <row r="784" spans="2:41" x14ac:dyDescent="0.25">
      <c r="B784" s="128" t="s">
        <v>2771</v>
      </c>
      <c r="C78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84" s="79">
        <v>45142.375</v>
      </c>
      <c r="E784" s="44" t="s">
        <v>5766</v>
      </c>
      <c r="F784" s="66">
        <v>20</v>
      </c>
      <c r="G784" s="66" t="s">
        <v>2820</v>
      </c>
      <c r="H784" s="44" t="s">
        <v>2820</v>
      </c>
      <c r="I784" s="299" t="s">
        <v>2821</v>
      </c>
      <c r="J784" s="66" t="s">
        <v>5799</v>
      </c>
      <c r="K784" s="66" t="s">
        <v>5768</v>
      </c>
      <c r="L784" s="66">
        <v>66063</v>
      </c>
      <c r="M784" s="66">
        <v>66064</v>
      </c>
      <c r="N784" s="66" t="s">
        <v>2859</v>
      </c>
      <c r="O784" s="66" t="s">
        <v>4701</v>
      </c>
      <c r="P784" s="66" t="s">
        <v>2861</v>
      </c>
      <c r="Q784" s="138" t="str">
        <f ca="1">IFERROR(LOOKUP($P784,MOTORISTAS!$D$3:$D$1048576,MOTORISTAS!E$3:E$916),"")</f>
        <v>01817591878</v>
      </c>
      <c r="R784" s="138" t="str">
        <f ca="1">IFERROR(LOOKUP($P784,MOTORISTAS!$D$3:$D$1048576,MOTORISTAS!F$3:F$916),"")</f>
        <v>00821760640</v>
      </c>
      <c r="S784" s="66">
        <v>16970</v>
      </c>
      <c r="T784" s="66" t="s">
        <v>306</v>
      </c>
      <c r="U784" s="79">
        <v>45141.902083333334</v>
      </c>
      <c r="V784" s="66" t="s">
        <v>292</v>
      </c>
      <c r="W784" s="79">
        <v>45142.557638888888</v>
      </c>
      <c r="X784" s="79">
        <v>45142.006944444445</v>
      </c>
      <c r="Y784" s="88">
        <v>45142.5</v>
      </c>
      <c r="Z784" s="81">
        <v>1600</v>
      </c>
      <c r="AA784" s="81"/>
      <c r="AB784" s="81"/>
      <c r="AC784" s="81"/>
      <c r="AD784" s="81">
        <v>1757.6</v>
      </c>
      <c r="AE784" s="81"/>
      <c r="AF784" s="81">
        <v>266.39999999999998</v>
      </c>
      <c r="AG784" s="81">
        <f>Sal_23[[#This Row],[COMPRA]]*12%</f>
        <v>276</v>
      </c>
      <c r="AH784" s="83">
        <v>2300</v>
      </c>
      <c r="AI784" s="66" t="str">
        <f>PROPER(TEXT(Sal_23[[#This Row],[PROGRAMAÇÃO]],"mmm"))</f>
        <v>Ago</v>
      </c>
      <c r="AJ784" s="66">
        <f>YEAR(Sal_23[[#This Row],[PROGRAMAÇÃO]])</f>
        <v>2023</v>
      </c>
      <c r="AK784" s="66"/>
      <c r="AL784" s="66"/>
      <c r="AM784" s="66" t="s">
        <v>2768</v>
      </c>
      <c r="AN784" s="66" t="s">
        <v>2768</v>
      </c>
      <c r="AO784" s="66" t="s">
        <v>2768</v>
      </c>
    </row>
    <row r="785" spans="2:41" x14ac:dyDescent="0.25">
      <c r="B785" s="128" t="s">
        <v>2771</v>
      </c>
      <c r="C78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85" s="79">
        <v>45142.375</v>
      </c>
      <c r="E785" s="44" t="s">
        <v>5757</v>
      </c>
      <c r="F785" s="66">
        <v>20</v>
      </c>
      <c r="G785" s="66" t="s">
        <v>2820</v>
      </c>
      <c r="H785" s="44" t="s">
        <v>2820</v>
      </c>
      <c r="I785" s="299" t="s">
        <v>2821</v>
      </c>
      <c r="J785" s="66" t="s">
        <v>5805</v>
      </c>
      <c r="K785" s="66" t="s">
        <v>5768</v>
      </c>
      <c r="L785" s="66">
        <v>108883</v>
      </c>
      <c r="M785" s="66"/>
      <c r="N785" s="66" t="s">
        <v>3028</v>
      </c>
      <c r="O785" s="66" t="s">
        <v>2261</v>
      </c>
      <c r="P785" s="66" t="s">
        <v>5816</v>
      </c>
      <c r="Q785" s="138" t="str">
        <f ca="1">IFERROR(LOOKUP($P785,MOTORISTAS!$D$3:$D$1048576,MOTORISTAS!E$3:E$916),"")</f>
        <v>13990937898</v>
      </c>
      <c r="R785" s="138" t="str">
        <f ca="1">IFERROR(LOOKUP($P785,MOTORISTAS!$D$3:$D$1048576,MOTORISTAS!F$3:F$916),"")</f>
        <v>01825123407</v>
      </c>
      <c r="S785" s="66">
        <v>16921</v>
      </c>
      <c r="T785" s="66" t="s">
        <v>306</v>
      </c>
      <c r="U785" s="79">
        <v>45141.895138888889</v>
      </c>
      <c r="V785" s="66" t="s">
        <v>292</v>
      </c>
      <c r="W785" s="79">
        <v>45142</v>
      </c>
      <c r="X785" s="79">
        <v>45142.006944444445</v>
      </c>
      <c r="Y785" s="88">
        <v>45142.458333333336</v>
      </c>
      <c r="Z785" s="81">
        <v>1600</v>
      </c>
      <c r="AA785" s="81"/>
      <c r="AB785" s="81"/>
      <c r="AC785" s="81"/>
      <c r="AD785" s="81">
        <v>1757.6</v>
      </c>
      <c r="AE785" s="81"/>
      <c r="AF785" s="81">
        <v>266.39999999999998</v>
      </c>
      <c r="AG785" s="81">
        <f>Sal_23[[#This Row],[COMPRA]]*12%</f>
        <v>276</v>
      </c>
      <c r="AH785" s="83">
        <v>2300</v>
      </c>
      <c r="AI785" s="66" t="str">
        <f>PROPER(TEXT(Sal_23[[#This Row],[PROGRAMAÇÃO]],"mmm"))</f>
        <v>Ago</v>
      </c>
      <c r="AJ785" s="66">
        <f>YEAR(Sal_23[[#This Row],[PROGRAMAÇÃO]])</f>
        <v>2023</v>
      </c>
      <c r="AK785" s="66"/>
      <c r="AL785" s="66"/>
      <c r="AM785" s="66" t="s">
        <v>2768</v>
      </c>
      <c r="AN785" s="66" t="s">
        <v>2768</v>
      </c>
      <c r="AO785" s="66" t="s">
        <v>2768</v>
      </c>
    </row>
    <row r="786" spans="2:41" x14ac:dyDescent="0.25">
      <c r="B786" s="128" t="s">
        <v>2771</v>
      </c>
      <c r="C78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86" s="79">
        <v>45149.333333333336</v>
      </c>
      <c r="E786" s="44" t="s">
        <v>5829</v>
      </c>
      <c r="F786" s="66">
        <v>20</v>
      </c>
      <c r="G786" s="66" t="s">
        <v>2837</v>
      </c>
      <c r="H786" s="44" t="s">
        <v>2837</v>
      </c>
      <c r="I786" s="299" t="s">
        <v>2821</v>
      </c>
      <c r="J786" s="66" t="s">
        <v>5929</v>
      </c>
      <c r="K786" s="66" t="s">
        <v>5830</v>
      </c>
      <c r="L786" s="66">
        <v>74769</v>
      </c>
      <c r="M786" s="66"/>
      <c r="N786" s="66" t="s">
        <v>4440</v>
      </c>
      <c r="O786" s="66" t="s">
        <v>4441</v>
      </c>
      <c r="P786" s="66" t="s">
        <v>4442</v>
      </c>
      <c r="Q786" s="138" t="str">
        <f ca="1">IFERROR(LOOKUP($P786,MOTORISTAS!$D$3:$D$1048576,MOTORISTAS!E$3:E$916),"")</f>
        <v>15284965825</v>
      </c>
      <c r="R786" s="138" t="str">
        <f ca="1">IFERROR(LOOKUP($P786,MOTORISTAS!$D$3:$D$1048576,MOTORISTAS!F$3:F$916),"")</f>
        <v>01681109819</v>
      </c>
      <c r="S786" s="66">
        <v>17078</v>
      </c>
      <c r="T786" s="66" t="s">
        <v>306</v>
      </c>
      <c r="U786" s="79">
        <v>45148.922222222223</v>
      </c>
      <c r="V786" s="66" t="s">
        <v>292</v>
      </c>
      <c r="W786" s="79">
        <v>45149</v>
      </c>
      <c r="X786" s="79">
        <v>45149.027777777781</v>
      </c>
      <c r="Y786" s="88">
        <v>45149.416666666664</v>
      </c>
      <c r="Z786" s="81">
        <v>1600</v>
      </c>
      <c r="AA786" s="81"/>
      <c r="AB786" s="81"/>
      <c r="AC786" s="81"/>
      <c r="AD786" s="81">
        <v>1845.6</v>
      </c>
      <c r="AE786" s="81"/>
      <c r="AF786" s="81">
        <v>266.39999999999998</v>
      </c>
      <c r="AG786" s="81">
        <f>Sal_23[[#This Row],[COMPRA]]*12%</f>
        <v>288</v>
      </c>
      <c r="AH786" s="83">
        <v>2400</v>
      </c>
      <c r="AI786" s="66" t="str">
        <f>PROPER(TEXT(Sal_23[[#This Row],[PROGRAMAÇÃO]],"mmm"))</f>
        <v>Ago</v>
      </c>
      <c r="AJ786" s="66">
        <f>YEAR(Sal_23[[#This Row],[PROGRAMAÇÃO]])</f>
        <v>2023</v>
      </c>
      <c r="AK786" s="66"/>
      <c r="AL786" s="66"/>
      <c r="AM786" s="66" t="s">
        <v>2768</v>
      </c>
      <c r="AN786" s="66" t="s">
        <v>2768</v>
      </c>
      <c r="AO786" s="66" t="s">
        <v>2768</v>
      </c>
    </row>
    <row r="787" spans="2:41" x14ac:dyDescent="0.25">
      <c r="B787" s="128" t="s">
        <v>2771</v>
      </c>
      <c r="C78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87" s="79">
        <v>45148.333333333336</v>
      </c>
      <c r="E787" s="44" t="s">
        <v>5851</v>
      </c>
      <c r="F787" s="66">
        <v>20</v>
      </c>
      <c r="G787" s="66" t="s">
        <v>2826</v>
      </c>
      <c r="H787" s="44" t="s">
        <v>2837</v>
      </c>
      <c r="I787" s="299" t="s">
        <v>2821</v>
      </c>
      <c r="J787" s="66">
        <v>8033</v>
      </c>
      <c r="K787" s="66" t="s">
        <v>5847</v>
      </c>
      <c r="L787" s="66">
        <v>109179</v>
      </c>
      <c r="M787" s="66"/>
      <c r="N787" s="66" t="s">
        <v>3028</v>
      </c>
      <c r="O787" s="66" t="s">
        <v>2261</v>
      </c>
      <c r="P787" s="66" t="s">
        <v>5816</v>
      </c>
      <c r="Q787" s="138" t="str">
        <f ca="1">IFERROR(LOOKUP($P787,MOTORISTAS!$D$3:$D$1048576,MOTORISTAS!E$3:E$916),"")</f>
        <v>13990937898</v>
      </c>
      <c r="R787" s="138" t="str">
        <f ca="1">IFERROR(LOOKUP($P787,MOTORISTAS!$D$3:$D$1048576,MOTORISTAS!F$3:F$916),"")</f>
        <v>01825123407</v>
      </c>
      <c r="S787" s="251">
        <v>17028</v>
      </c>
      <c r="T787" s="66" t="s">
        <v>293</v>
      </c>
      <c r="U787" s="79">
        <v>45147.853472222225</v>
      </c>
      <c r="V787" s="66" t="s">
        <v>469</v>
      </c>
      <c r="W787" s="79">
        <v>45148.76458333333</v>
      </c>
      <c r="X787" s="79">
        <v>45147.958333333336</v>
      </c>
      <c r="Y787" s="88">
        <v>45148.395833333336</v>
      </c>
      <c r="Z787" s="81">
        <v>1600</v>
      </c>
      <c r="AA787" s="81"/>
      <c r="AB787" s="81"/>
      <c r="AC787" s="81"/>
      <c r="AD787" s="81"/>
      <c r="AE787" s="81"/>
      <c r="AF787" s="81"/>
      <c r="AG787" s="81">
        <f>Sal_23[[#This Row],[COMPRA]]*12%</f>
        <v>0</v>
      </c>
      <c r="AH787" s="83"/>
      <c r="AI787" s="66" t="str">
        <f>PROPER(TEXT(Sal_23[[#This Row],[PROGRAMAÇÃO]],"mmm"))</f>
        <v>Ago</v>
      </c>
      <c r="AJ787" s="66">
        <f>YEAR(Sal_23[[#This Row],[PROGRAMAÇÃO]])</f>
        <v>2023</v>
      </c>
      <c r="AK787" s="66"/>
      <c r="AL787" s="66"/>
      <c r="AM787" s="66" t="s">
        <v>2768</v>
      </c>
      <c r="AN787" s="66" t="s">
        <v>2768</v>
      </c>
      <c r="AO787" s="66" t="s">
        <v>2768</v>
      </c>
    </row>
    <row r="788" spans="2:41" x14ac:dyDescent="0.25">
      <c r="B788" s="128" t="s">
        <v>2771</v>
      </c>
      <c r="C78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88" s="79">
        <v>45148.333333333336</v>
      </c>
      <c r="E788" s="44" t="s">
        <v>5852</v>
      </c>
      <c r="F788" s="66">
        <v>20</v>
      </c>
      <c r="G788" s="66" t="s">
        <v>2826</v>
      </c>
      <c r="H788" s="44" t="s">
        <v>2837</v>
      </c>
      <c r="I788" s="299" t="s">
        <v>2821</v>
      </c>
      <c r="J788" s="66">
        <v>7995</v>
      </c>
      <c r="K788" s="66" t="s">
        <v>5847</v>
      </c>
      <c r="L788" s="66">
        <v>108990</v>
      </c>
      <c r="M788" s="66"/>
      <c r="N788" s="66" t="s">
        <v>2949</v>
      </c>
      <c r="O788" s="66" t="s">
        <v>2950</v>
      </c>
      <c r="P788" s="66" t="s">
        <v>2948</v>
      </c>
      <c r="Q788" s="138" t="str">
        <f ca="1">IFERROR(LOOKUP($P788,MOTORISTAS!$D$3:$D$1048576,MOTORISTAS!E$3:E$916),"")</f>
        <v>16239341843</v>
      </c>
      <c r="R788" s="138" t="str">
        <f ca="1">IFERROR(LOOKUP($P788,MOTORISTAS!$D$3:$D$1048576,MOTORISTAS!F$3:F$916),"")</f>
        <v>01877235038</v>
      </c>
      <c r="S788" s="251">
        <v>17029</v>
      </c>
      <c r="T788" s="66" t="s">
        <v>293</v>
      </c>
      <c r="U788" s="79">
        <v>45147.862500000003</v>
      </c>
      <c r="V788" s="66" t="s">
        <v>469</v>
      </c>
      <c r="W788" s="79">
        <v>45148.758333333331</v>
      </c>
      <c r="X788" s="79">
        <v>45147.958333333336</v>
      </c>
      <c r="Y788" s="88">
        <v>45148.486111111109</v>
      </c>
      <c r="Z788" s="81">
        <v>1600</v>
      </c>
      <c r="AA788" s="81"/>
      <c r="AB788" s="81"/>
      <c r="AC788" s="81"/>
      <c r="AD788" s="81"/>
      <c r="AE788" s="81"/>
      <c r="AF788" s="81"/>
      <c r="AG788" s="81">
        <f>Sal_23[[#This Row],[COMPRA]]*12%</f>
        <v>0</v>
      </c>
      <c r="AH788" s="83"/>
      <c r="AI788" s="66" t="str">
        <f>PROPER(TEXT(Sal_23[[#This Row],[PROGRAMAÇÃO]],"mmm"))</f>
        <v>Ago</v>
      </c>
      <c r="AJ788" s="66">
        <f>YEAR(Sal_23[[#This Row],[PROGRAMAÇÃO]])</f>
        <v>2023</v>
      </c>
      <c r="AK788" s="66"/>
      <c r="AL788" s="66"/>
      <c r="AM788" s="66" t="s">
        <v>2768</v>
      </c>
      <c r="AN788" s="66" t="s">
        <v>2768</v>
      </c>
      <c r="AO788" s="66" t="s">
        <v>2768</v>
      </c>
    </row>
    <row r="789" spans="2:41" x14ac:dyDescent="0.25">
      <c r="B789" s="128" t="s">
        <v>2771</v>
      </c>
      <c r="C78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89" s="79">
        <v>45148.333333333336</v>
      </c>
      <c r="E789" s="44" t="s">
        <v>5837</v>
      </c>
      <c r="F789" s="66">
        <v>40</v>
      </c>
      <c r="G789" s="66" t="s">
        <v>2826</v>
      </c>
      <c r="H789" s="44" t="s">
        <v>2835</v>
      </c>
      <c r="I789" s="299" t="s">
        <v>2822</v>
      </c>
      <c r="J789" s="66">
        <v>7893</v>
      </c>
      <c r="K789" s="66" t="s">
        <v>5847</v>
      </c>
      <c r="L789" s="66">
        <v>108797</v>
      </c>
      <c r="M789" s="66"/>
      <c r="N789" s="66" t="s">
        <v>4507</v>
      </c>
      <c r="O789" s="66" t="s">
        <v>3388</v>
      </c>
      <c r="P789" s="66" t="s">
        <v>1384</v>
      </c>
      <c r="Q789" s="138" t="str">
        <f ca="1">IFERROR(LOOKUP($P789,MOTORISTAS!$D$3:$D$1048576,MOTORISTAS!E$3:E$916),"")</f>
        <v>37752335800</v>
      </c>
      <c r="R789" s="138" t="str">
        <f ca="1">IFERROR(LOOKUP($P789,MOTORISTAS!$D$3:$D$1048576,MOTORISTAS!F$3:F$916),"")</f>
        <v>04031990855</v>
      </c>
      <c r="S789" s="251">
        <v>17044</v>
      </c>
      <c r="T789" s="66" t="s">
        <v>293</v>
      </c>
      <c r="U789" s="79">
        <v>45148.238194444442</v>
      </c>
      <c r="V789" s="66" t="s">
        <v>469</v>
      </c>
      <c r="W789" s="79">
        <v>45148.563888888886</v>
      </c>
      <c r="X789" s="79">
        <v>45148.381944444445</v>
      </c>
      <c r="Y789" s="88">
        <v>45148.552083333336</v>
      </c>
      <c r="Z789" s="81">
        <v>2100</v>
      </c>
      <c r="AA789" s="81"/>
      <c r="AB789" s="81"/>
      <c r="AC789" s="81"/>
      <c r="AD789" s="81"/>
      <c r="AE789" s="81"/>
      <c r="AF789" s="81"/>
      <c r="AG789" s="81">
        <f>Sal_23[[#This Row],[COMPRA]]*12%</f>
        <v>0</v>
      </c>
      <c r="AH789" s="83"/>
      <c r="AI789" s="66" t="str">
        <f>PROPER(TEXT(Sal_23[[#This Row],[PROGRAMAÇÃO]],"mmm"))</f>
        <v>Ago</v>
      </c>
      <c r="AJ789" s="66">
        <f>YEAR(Sal_23[[#This Row],[PROGRAMAÇÃO]])</f>
        <v>2023</v>
      </c>
      <c r="AK789" s="66"/>
      <c r="AL789" s="66"/>
      <c r="AM789" s="66" t="s">
        <v>2768</v>
      </c>
      <c r="AN789" s="66" t="s">
        <v>2768</v>
      </c>
      <c r="AO789" s="66" t="s">
        <v>2768</v>
      </c>
    </row>
    <row r="790" spans="2:41" x14ac:dyDescent="0.25">
      <c r="B790" s="128" t="s">
        <v>2771</v>
      </c>
      <c r="C79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90" s="79">
        <v>45148.333333333336</v>
      </c>
      <c r="E790" s="44" t="s">
        <v>5838</v>
      </c>
      <c r="F790" s="66">
        <v>40</v>
      </c>
      <c r="G790" s="66" t="s">
        <v>2826</v>
      </c>
      <c r="H790" s="44" t="s">
        <v>2835</v>
      </c>
      <c r="I790" s="299" t="s">
        <v>2822</v>
      </c>
      <c r="J790" s="66">
        <v>7891</v>
      </c>
      <c r="K790" s="66" t="s">
        <v>5847</v>
      </c>
      <c r="L790" s="66">
        <v>108829</v>
      </c>
      <c r="M790" s="66"/>
      <c r="N790" s="66" t="s">
        <v>5677</v>
      </c>
      <c r="O790" s="66" t="s">
        <v>4740</v>
      </c>
      <c r="P790" s="66" t="s">
        <v>4737</v>
      </c>
      <c r="Q790" s="138" t="str">
        <f ca="1">IFERROR(LOOKUP($P790,MOTORISTAS!$D$3:$D$1048576,MOTORISTAS!E$3:E$916),"")</f>
        <v>57271194134</v>
      </c>
      <c r="R790" s="138" t="str">
        <f ca="1">IFERROR(LOOKUP($P790,MOTORISTAS!$D$3:$D$1048576,MOTORISTAS!F$3:F$916),"")</f>
        <v>01939034087</v>
      </c>
      <c r="S790" s="251">
        <v>17067</v>
      </c>
      <c r="T790" s="66" t="s">
        <v>293</v>
      </c>
      <c r="U790" s="79">
        <v>45148.28402777778</v>
      </c>
      <c r="V790" s="66" t="s">
        <v>469</v>
      </c>
      <c r="W790" s="79">
        <v>45148.740277777775</v>
      </c>
      <c r="X790" s="79">
        <v>45148.381944444445</v>
      </c>
      <c r="Y790" s="88">
        <v>45148.552083333336</v>
      </c>
      <c r="Z790" s="81">
        <v>2100</v>
      </c>
      <c r="AA790" s="81"/>
      <c r="AB790" s="81"/>
      <c r="AC790" s="81"/>
      <c r="AD790" s="81"/>
      <c r="AE790" s="81"/>
      <c r="AF790" s="81"/>
      <c r="AG790" s="81">
        <f>Sal_23[[#This Row],[COMPRA]]*12%</f>
        <v>0</v>
      </c>
      <c r="AH790" s="83"/>
      <c r="AI790" s="66" t="str">
        <f>PROPER(TEXT(Sal_23[[#This Row],[PROGRAMAÇÃO]],"mmm"))</f>
        <v>Ago</v>
      </c>
      <c r="AJ790" s="66">
        <f>YEAR(Sal_23[[#This Row],[PROGRAMAÇÃO]])</f>
        <v>2023</v>
      </c>
      <c r="AK790" s="66"/>
      <c r="AL790" s="66"/>
      <c r="AM790" s="66" t="s">
        <v>2768</v>
      </c>
      <c r="AN790" s="66" t="s">
        <v>2768</v>
      </c>
      <c r="AO790" s="66" t="s">
        <v>2768</v>
      </c>
    </row>
    <row r="791" spans="2:41" x14ac:dyDescent="0.25">
      <c r="B791" s="128" t="s">
        <v>2771</v>
      </c>
      <c r="C79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91" s="79">
        <v>45148.333333333336</v>
      </c>
      <c r="E791" s="44" t="s">
        <v>5839</v>
      </c>
      <c r="F791" s="66">
        <v>40</v>
      </c>
      <c r="G791" s="66" t="s">
        <v>2826</v>
      </c>
      <c r="H791" s="44" t="s">
        <v>1674</v>
      </c>
      <c r="I791" s="299" t="s">
        <v>2829</v>
      </c>
      <c r="J791" s="66">
        <v>7997</v>
      </c>
      <c r="K791" s="66" t="s">
        <v>5847</v>
      </c>
      <c r="L791" s="66">
        <v>108923</v>
      </c>
      <c r="M791" s="66">
        <v>108924</v>
      </c>
      <c r="N791" s="66" t="s">
        <v>1729</v>
      </c>
      <c r="O791" s="66"/>
      <c r="P791" s="66" t="s">
        <v>1731</v>
      </c>
      <c r="Q791" s="138" t="str">
        <f ca="1">IFERROR(LOOKUP($P791,MOTORISTAS!$D$3:$D$1048576,MOTORISTAS!E$3:E$916),"")</f>
        <v>03965340824</v>
      </c>
      <c r="R791" s="138" t="str">
        <f ca="1">IFERROR(LOOKUP($P791,MOTORISTAS!$D$3:$D$1048576,MOTORISTAS!F$3:F$916),"")</f>
        <v>01420704735</v>
      </c>
      <c r="S791" s="251">
        <v>17025</v>
      </c>
      <c r="T791" s="66" t="s">
        <v>293</v>
      </c>
      <c r="U791" s="79">
        <v>45147.988194444442</v>
      </c>
      <c r="V791" s="66" t="s">
        <v>469</v>
      </c>
      <c r="W791" s="79">
        <v>45148.743055555555</v>
      </c>
      <c r="X791" s="79">
        <v>45148.173611111109</v>
      </c>
      <c r="Y791" s="88">
        <v>45148.454861111109</v>
      </c>
      <c r="Z791" s="81"/>
      <c r="AA791" s="81"/>
      <c r="AB791" s="81"/>
      <c r="AC791" s="81"/>
      <c r="AD791" s="81">
        <v>3472.48</v>
      </c>
      <c r="AE791" s="81"/>
      <c r="AF791" s="81">
        <v>621.6</v>
      </c>
      <c r="AG791" s="81">
        <f>Sal_23[[#This Row],[COMPRA]]*12%</f>
        <v>558.28319999999997</v>
      </c>
      <c r="AH791" s="83">
        <v>4652.3599999999997</v>
      </c>
      <c r="AI791" s="66" t="str">
        <f>PROPER(TEXT(Sal_23[[#This Row],[PROGRAMAÇÃO]],"mmm"))</f>
        <v>Ago</v>
      </c>
      <c r="AJ791" s="66">
        <f>YEAR(Sal_23[[#This Row],[PROGRAMAÇÃO]])</f>
        <v>2023</v>
      </c>
      <c r="AK791" s="66"/>
      <c r="AL791" s="66"/>
      <c r="AM791" s="66" t="s">
        <v>2768</v>
      </c>
      <c r="AN791" s="66" t="s">
        <v>2768</v>
      </c>
      <c r="AO791" s="66" t="s">
        <v>2768</v>
      </c>
    </row>
    <row r="792" spans="2:41" x14ac:dyDescent="0.25">
      <c r="B792" s="128" t="s">
        <v>2771</v>
      </c>
      <c r="C79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92" s="79">
        <v>45149.333333333336</v>
      </c>
      <c r="E792" s="44" t="s">
        <v>5841</v>
      </c>
      <c r="F792" s="66">
        <v>40</v>
      </c>
      <c r="G792" s="66" t="s">
        <v>2826</v>
      </c>
      <c r="H792" s="44" t="s">
        <v>1674</v>
      </c>
      <c r="I792" s="299" t="s">
        <v>2829</v>
      </c>
      <c r="J792" s="66">
        <v>7999</v>
      </c>
      <c r="K792" s="66" t="s">
        <v>5847</v>
      </c>
      <c r="L792" s="66">
        <v>108885</v>
      </c>
      <c r="M792" s="66">
        <v>108886</v>
      </c>
      <c r="N792" s="66" t="s">
        <v>1729</v>
      </c>
      <c r="O792" s="66" t="s">
        <v>4556</v>
      </c>
      <c r="P792" s="66" t="s">
        <v>1731</v>
      </c>
      <c r="Q792" s="138" t="str">
        <f ca="1">IFERROR(LOOKUP($P792,MOTORISTAS!$D$3:$D$1048576,MOTORISTAS!E$3:E$916),"")</f>
        <v>03965340824</v>
      </c>
      <c r="R792" s="138" t="str">
        <f ca="1">IFERROR(LOOKUP($P792,MOTORISTAS!$D$3:$D$1048576,MOTORISTAS!F$3:F$916),"")</f>
        <v>01420704735</v>
      </c>
      <c r="S792" s="251">
        <v>17062</v>
      </c>
      <c r="T792" s="66" t="s">
        <v>293</v>
      </c>
      <c r="U792" s="79">
        <v>45148.921527777777</v>
      </c>
      <c r="V792" s="66" t="s">
        <v>469</v>
      </c>
      <c r="W792" s="79">
        <v>45149.760416666664</v>
      </c>
      <c r="X792" s="79">
        <v>45149.118055555555</v>
      </c>
      <c r="Y792" s="88">
        <v>45149.402777777781</v>
      </c>
      <c r="Z792" s="81"/>
      <c r="AA792" s="81"/>
      <c r="AB792" s="81"/>
      <c r="AC792" s="81"/>
      <c r="AD792" s="81">
        <v>3472.48</v>
      </c>
      <c r="AE792" s="81"/>
      <c r="AF792" s="81">
        <v>621.6</v>
      </c>
      <c r="AG792" s="81">
        <f>Sal_23[[#This Row],[COMPRA]]*12%</f>
        <v>558.28319999999997</v>
      </c>
      <c r="AH792" s="83">
        <v>4652.3599999999997</v>
      </c>
      <c r="AI792" s="66" t="str">
        <f>PROPER(TEXT(Sal_23[[#This Row],[PROGRAMAÇÃO]],"mmm"))</f>
        <v>Ago</v>
      </c>
      <c r="AJ792" s="66">
        <f>YEAR(Sal_23[[#This Row],[PROGRAMAÇÃO]])</f>
        <v>2023</v>
      </c>
      <c r="AK792" s="66"/>
      <c r="AL792" s="66"/>
      <c r="AM792" s="66" t="s">
        <v>2768</v>
      </c>
      <c r="AN792" s="66" t="s">
        <v>2768</v>
      </c>
      <c r="AO792" s="66" t="s">
        <v>2768</v>
      </c>
    </row>
    <row r="793" spans="2:41" x14ac:dyDescent="0.25">
      <c r="B793" s="128" t="s">
        <v>2771</v>
      </c>
      <c r="C79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93" s="79">
        <v>45149.333333333336</v>
      </c>
      <c r="E793" s="44" t="s">
        <v>5842</v>
      </c>
      <c r="F793" s="66">
        <v>40</v>
      </c>
      <c r="G793" s="66" t="s">
        <v>2826</v>
      </c>
      <c r="H793" s="44" t="s">
        <v>1674</v>
      </c>
      <c r="I793" s="299" t="s">
        <v>2829</v>
      </c>
      <c r="J793" s="66">
        <v>7894</v>
      </c>
      <c r="K793" s="66" t="s">
        <v>5847</v>
      </c>
      <c r="L793" s="66">
        <v>108830</v>
      </c>
      <c r="M793" s="66">
        <v>108831</v>
      </c>
      <c r="N793" s="66" t="s">
        <v>3572</v>
      </c>
      <c r="O793" s="66" t="s">
        <v>2623</v>
      </c>
      <c r="P793" s="66" t="s">
        <v>2624</v>
      </c>
      <c r="Q793" s="138" t="str">
        <f ca="1">IFERROR(LOOKUP($P793,MOTORISTAS!$D$3:$D$1048576,MOTORISTAS!E$3:E$916),"")</f>
        <v>31147992568</v>
      </c>
      <c r="R793" s="138" t="str">
        <f ca="1">IFERROR(LOOKUP($P793,MOTORISTAS!$D$3:$D$1048576,MOTORISTAS!F$3:F$916),"")</f>
        <v>03359999478</v>
      </c>
      <c r="S793" s="251">
        <v>17064</v>
      </c>
      <c r="T793" s="66" t="s">
        <v>293</v>
      </c>
      <c r="U793" s="79">
        <v>45148.912499999999</v>
      </c>
      <c r="V793" s="66" t="s">
        <v>469</v>
      </c>
      <c r="W793" s="79">
        <v>45149.763194444444</v>
      </c>
      <c r="X793" s="79">
        <v>45149.118055555555</v>
      </c>
      <c r="Y793" s="88">
        <v>45149.118055555555</v>
      </c>
      <c r="Z793" s="81"/>
      <c r="AA793" s="81"/>
      <c r="AB793" s="81"/>
      <c r="AC793" s="81"/>
      <c r="AD793" s="81">
        <v>3472.48</v>
      </c>
      <c r="AE793" s="81"/>
      <c r="AF793" s="81">
        <v>621.6</v>
      </c>
      <c r="AG793" s="81">
        <f>Sal_23[[#This Row],[COMPRA]]*12%</f>
        <v>558.28319999999997</v>
      </c>
      <c r="AH793" s="83">
        <v>4652.3599999999997</v>
      </c>
      <c r="AI793" s="66" t="str">
        <f>PROPER(TEXT(Sal_23[[#This Row],[PROGRAMAÇÃO]],"mmm"))</f>
        <v>Ago</v>
      </c>
      <c r="AJ793" s="66">
        <f>YEAR(Sal_23[[#This Row],[PROGRAMAÇÃO]])</f>
        <v>2023</v>
      </c>
      <c r="AK793" s="66"/>
      <c r="AL793" s="66"/>
      <c r="AM793" s="66" t="s">
        <v>2768</v>
      </c>
      <c r="AN793" s="66" t="s">
        <v>2768</v>
      </c>
      <c r="AO793" s="66" t="s">
        <v>2768</v>
      </c>
    </row>
    <row r="794" spans="2:41" x14ac:dyDescent="0.25">
      <c r="B794" s="128" t="s">
        <v>2771</v>
      </c>
      <c r="C79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94" s="79">
        <v>45152.333333333336</v>
      </c>
      <c r="E794" s="44" t="s">
        <v>5843</v>
      </c>
      <c r="F794" s="66">
        <v>40</v>
      </c>
      <c r="G794" s="66" t="s">
        <v>2826</v>
      </c>
      <c r="H794" s="44" t="s">
        <v>1674</v>
      </c>
      <c r="I794" s="299" t="s">
        <v>2829</v>
      </c>
      <c r="J794" s="66">
        <v>7892</v>
      </c>
      <c r="K794" s="66" t="s">
        <v>5847</v>
      </c>
      <c r="L794" s="66">
        <v>108795</v>
      </c>
      <c r="M794" s="66">
        <v>108796</v>
      </c>
      <c r="N794" s="66" t="s">
        <v>1729</v>
      </c>
      <c r="O794" s="66" t="s">
        <v>4556</v>
      </c>
      <c r="P794" s="66" t="s">
        <v>1731</v>
      </c>
      <c r="Q794" s="138" t="str">
        <f ca="1">IFERROR(LOOKUP($P794,MOTORISTAS!$D$3:$D$1048576,MOTORISTAS!E$3:E$916),"")</f>
        <v>03965340824</v>
      </c>
      <c r="R794" s="138" t="str">
        <f ca="1">IFERROR(LOOKUP($P794,MOTORISTAS!$D$3:$D$1048576,MOTORISTAS!F$3:F$916),"")</f>
        <v>01420704735</v>
      </c>
      <c r="S794" s="251">
        <v>17086</v>
      </c>
      <c r="T794" s="66" t="s">
        <v>293</v>
      </c>
      <c r="U794" s="79">
        <v>45152.010416666664</v>
      </c>
      <c r="V794" s="66" t="s">
        <v>469</v>
      </c>
      <c r="W794" s="79">
        <v>45152.743750000001</v>
      </c>
      <c r="X794" s="79">
        <v>45152.197916666664</v>
      </c>
      <c r="Y794" s="88">
        <v>45152.452777777777</v>
      </c>
      <c r="Z794" s="81"/>
      <c r="AA794" s="81"/>
      <c r="AB794" s="81"/>
      <c r="AC794" s="81"/>
      <c r="AD794" s="81">
        <v>3472.48</v>
      </c>
      <c r="AE794" s="81"/>
      <c r="AF794" s="81">
        <v>621.6</v>
      </c>
      <c r="AG794" s="81">
        <f>Sal_23[[#This Row],[COMPRA]]*12%</f>
        <v>558.28319999999997</v>
      </c>
      <c r="AH794" s="83">
        <v>4652.3599999999997</v>
      </c>
      <c r="AI794" s="66" t="str">
        <f>PROPER(TEXT(Sal_23[[#This Row],[PROGRAMAÇÃO]],"mmm"))</f>
        <v>Ago</v>
      </c>
      <c r="AJ794" s="66">
        <f>YEAR(Sal_23[[#This Row],[PROGRAMAÇÃO]])</f>
        <v>2023</v>
      </c>
      <c r="AK794" s="66"/>
      <c r="AL794" s="66"/>
      <c r="AM794" s="66" t="s">
        <v>2768</v>
      </c>
      <c r="AN794" s="66" t="s">
        <v>2768</v>
      </c>
      <c r="AO794" s="66" t="s">
        <v>2768</v>
      </c>
    </row>
    <row r="795" spans="2:41" x14ac:dyDescent="0.25">
      <c r="B795" s="128" t="s">
        <v>2771</v>
      </c>
      <c r="C79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95" s="79">
        <v>45148.333333333336</v>
      </c>
      <c r="E795" s="44" t="s">
        <v>5849</v>
      </c>
      <c r="F795" s="66">
        <v>20</v>
      </c>
      <c r="G795" s="66" t="s">
        <v>2826</v>
      </c>
      <c r="H795" s="44" t="s">
        <v>3105</v>
      </c>
      <c r="I795" s="299" t="s">
        <v>3185</v>
      </c>
      <c r="J795" s="66">
        <v>8034</v>
      </c>
      <c r="K795" s="66" t="s">
        <v>5847</v>
      </c>
      <c r="L795" s="66">
        <v>109178</v>
      </c>
      <c r="M795" s="66"/>
      <c r="N795" s="66" t="s">
        <v>2859</v>
      </c>
      <c r="O795" s="66" t="s">
        <v>2860</v>
      </c>
      <c r="P795" s="66" t="s">
        <v>2861</v>
      </c>
      <c r="Q795" s="138" t="str">
        <f ca="1">IFERROR(LOOKUP($P795,MOTORISTAS!$D$3:$D$1048576,MOTORISTAS!E$3:E$916),"")</f>
        <v>01817591878</v>
      </c>
      <c r="R795" s="138" t="str">
        <f ca="1">IFERROR(LOOKUP($P795,MOTORISTAS!$D$3:$D$1048576,MOTORISTAS!F$3:F$916),"")</f>
        <v>00821760640</v>
      </c>
      <c r="S795" s="251">
        <v>17027</v>
      </c>
      <c r="T795" s="66" t="s">
        <v>293</v>
      </c>
      <c r="U795" s="79">
        <v>45147.902777777781</v>
      </c>
      <c r="V795" s="66" t="s">
        <v>469</v>
      </c>
      <c r="W795" s="79">
        <v>45148.73541666667</v>
      </c>
      <c r="X795" s="79">
        <v>45148.017361111109</v>
      </c>
      <c r="Y795" s="88">
        <v>45148.534722222219</v>
      </c>
      <c r="Z795" s="81"/>
      <c r="AA795" s="81"/>
      <c r="AB795" s="81"/>
      <c r="AC795" s="81"/>
      <c r="AD795" s="81"/>
      <c r="AE795" s="81"/>
      <c r="AF795" s="81"/>
      <c r="AG795" s="81">
        <f>Sal_23[[#This Row],[COMPRA]]*12%</f>
        <v>0</v>
      </c>
      <c r="AH795" s="83"/>
      <c r="AI795" s="66" t="str">
        <f>PROPER(TEXT(Sal_23[[#This Row],[PROGRAMAÇÃO]],"mmm"))</f>
        <v>Ago</v>
      </c>
      <c r="AJ795" s="66">
        <f>YEAR(Sal_23[[#This Row],[PROGRAMAÇÃO]])</f>
        <v>2023</v>
      </c>
      <c r="AK795" s="66"/>
      <c r="AL795" s="66"/>
      <c r="AM795" s="66" t="s">
        <v>2768</v>
      </c>
      <c r="AN795" s="66" t="s">
        <v>2768</v>
      </c>
      <c r="AO795" s="66" t="s">
        <v>2768</v>
      </c>
    </row>
    <row r="796" spans="2:41" x14ac:dyDescent="0.25">
      <c r="B796" s="128" t="s">
        <v>2771</v>
      </c>
      <c r="C79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96" s="79">
        <v>45148.333333333336</v>
      </c>
      <c r="E796" s="44" t="s">
        <v>5853</v>
      </c>
      <c r="F796" s="66">
        <v>20</v>
      </c>
      <c r="G796" s="66" t="s">
        <v>2826</v>
      </c>
      <c r="H796" s="44" t="s">
        <v>2827</v>
      </c>
      <c r="I796" s="299" t="s">
        <v>2823</v>
      </c>
      <c r="J796" s="66">
        <v>8039</v>
      </c>
      <c r="K796" s="66" t="s">
        <v>5847</v>
      </c>
      <c r="L796" s="66">
        <v>108991</v>
      </c>
      <c r="M796" s="66"/>
      <c r="N796" s="66" t="s">
        <v>5609</v>
      </c>
      <c r="O796" s="66" t="s">
        <v>2946</v>
      </c>
      <c r="P796" s="66" t="s">
        <v>1845</v>
      </c>
      <c r="Q796" s="138" t="str">
        <f ca="1">IFERROR(LOOKUP($P796,MOTORISTAS!$D$3:$D$1048576,MOTORISTAS!E$3:E$916),"")</f>
        <v>05826127805</v>
      </c>
      <c r="R796" s="138" t="str">
        <f ca="1">IFERROR(LOOKUP($P796,MOTORISTAS!$D$3:$D$1048576,MOTORISTAS!F$3:F$916),"")</f>
        <v>02397620357</v>
      </c>
      <c r="S796" s="251">
        <v>17038</v>
      </c>
      <c r="T796" s="66" t="s">
        <v>293</v>
      </c>
      <c r="U796" s="79">
        <v>45148.011111111111</v>
      </c>
      <c r="V796" s="66" t="s">
        <v>469</v>
      </c>
      <c r="W796" s="79">
        <v>45148.74722222222</v>
      </c>
      <c r="X796" s="79">
        <v>45148.347222222219</v>
      </c>
      <c r="Y796" s="88">
        <v>45148.502083333333</v>
      </c>
      <c r="Z796" s="81"/>
      <c r="AA796" s="81"/>
      <c r="AB796" s="81"/>
      <c r="AC796" s="81"/>
      <c r="AD796" s="81"/>
      <c r="AE796" s="81"/>
      <c r="AF796" s="81"/>
      <c r="AG796" s="81">
        <f>Sal_23[[#This Row],[COMPRA]]*12%</f>
        <v>0</v>
      </c>
      <c r="AH796" s="83"/>
      <c r="AI796" s="66" t="str">
        <f>PROPER(TEXT(Sal_23[[#This Row],[PROGRAMAÇÃO]],"mmm"))</f>
        <v>Ago</v>
      </c>
      <c r="AJ796" s="66">
        <f>YEAR(Sal_23[[#This Row],[PROGRAMAÇÃO]])</f>
        <v>2023</v>
      </c>
      <c r="AK796" s="66"/>
      <c r="AL796" s="66"/>
      <c r="AM796" s="66" t="s">
        <v>2768</v>
      </c>
      <c r="AN796" s="66" t="s">
        <v>2768</v>
      </c>
      <c r="AO796" s="66" t="s">
        <v>2768</v>
      </c>
    </row>
    <row r="797" spans="2:41" x14ac:dyDescent="0.25">
      <c r="B797" s="128" t="s">
        <v>2909</v>
      </c>
      <c r="C79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97" s="79">
        <v>45148.333333333336</v>
      </c>
      <c r="E797" s="44" t="s">
        <v>5855</v>
      </c>
      <c r="F797" s="66">
        <v>40</v>
      </c>
      <c r="G797" s="66" t="s">
        <v>2826</v>
      </c>
      <c r="H797" s="44" t="s">
        <v>3910</v>
      </c>
      <c r="I797" s="299" t="s">
        <v>3909</v>
      </c>
      <c r="J797" s="66">
        <v>8017</v>
      </c>
      <c r="K797" s="66" t="s">
        <v>5847</v>
      </c>
      <c r="L797" s="66">
        <v>108995</v>
      </c>
      <c r="M797" s="66"/>
      <c r="N797" s="66" t="s">
        <v>87</v>
      </c>
      <c r="O797" s="66" t="s">
        <v>88</v>
      </c>
      <c r="P797" s="66" t="s">
        <v>89</v>
      </c>
      <c r="Q797" s="138" t="str">
        <f ca="1">IFERROR(LOOKUP($P797,MOTORISTAS!$D$3:$D$1048576,MOTORISTAS!E$3:E$916),"")</f>
        <v>00097734527</v>
      </c>
      <c r="R797" s="138" t="str">
        <f ca="1">IFERROR(LOOKUP($P797,MOTORISTAS!$D$3:$D$1048576,MOTORISTAS!F$3:F$916),"")</f>
        <v>03148346870</v>
      </c>
      <c r="S797" s="301">
        <v>17039</v>
      </c>
      <c r="T797" s="66" t="s">
        <v>293</v>
      </c>
      <c r="U797" s="79">
        <v>45148.056250000001</v>
      </c>
      <c r="V797" s="66" t="s">
        <v>469</v>
      </c>
      <c r="W797" s="79"/>
      <c r="X797" s="79">
        <v>45148.20416666667</v>
      </c>
      <c r="Y797" s="88">
        <v>45148.466666666667</v>
      </c>
      <c r="Z797" s="81"/>
      <c r="AA797" s="81"/>
      <c r="AB797" s="81"/>
      <c r="AC797" s="81"/>
      <c r="AD797" s="81">
        <v>2557.9699999999998</v>
      </c>
      <c r="AE797" s="81"/>
      <c r="AF797" s="81"/>
      <c r="AG797" s="81">
        <v>372.6</v>
      </c>
      <c r="AH797" s="83">
        <v>3330.19</v>
      </c>
      <c r="AI797" s="66" t="str">
        <f>PROPER(TEXT(Sal_23[[#This Row],[PROGRAMAÇÃO]],"mmm"))</f>
        <v>Ago</v>
      </c>
      <c r="AJ797" s="66">
        <f>YEAR(Sal_23[[#This Row],[PROGRAMAÇÃO]])</f>
        <v>2023</v>
      </c>
      <c r="AK797" s="66"/>
      <c r="AL797" s="66"/>
      <c r="AM797" s="66"/>
      <c r="AN797" s="66"/>
      <c r="AO797" s="66" t="s">
        <v>2768</v>
      </c>
    </row>
    <row r="798" spans="2:41" x14ac:dyDescent="0.25">
      <c r="B798" s="128" t="s">
        <v>2909</v>
      </c>
      <c r="C79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798" s="79">
        <v>45152.333333333336</v>
      </c>
      <c r="E798" s="44" t="s">
        <v>5856</v>
      </c>
      <c r="F798" s="66">
        <v>40</v>
      </c>
      <c r="G798" s="66" t="s">
        <v>2826</v>
      </c>
      <c r="H798" s="44" t="s">
        <v>3910</v>
      </c>
      <c r="I798" s="299" t="s">
        <v>3909</v>
      </c>
      <c r="J798" s="66">
        <v>8018</v>
      </c>
      <c r="K798" s="66" t="s">
        <v>5847</v>
      </c>
      <c r="L798" s="66">
        <v>109035</v>
      </c>
      <c r="M798" s="66"/>
      <c r="N798" s="66" t="s">
        <v>1661</v>
      </c>
      <c r="O798" s="66" t="s">
        <v>5134</v>
      </c>
      <c r="P798" s="66" t="s">
        <v>1663</v>
      </c>
      <c r="Q798" s="138" t="str">
        <f ca="1">IFERROR(LOOKUP($P798,MOTORISTAS!$D$3:$D$1048576,MOTORISTAS!E$3:E$916),"")</f>
        <v>73350419887</v>
      </c>
      <c r="R798" s="138" t="str">
        <f ca="1">IFERROR(LOOKUP($P798,MOTORISTAS!$D$3:$D$1048576,MOTORISTAS!F$3:F$916),"")</f>
        <v>01449022605</v>
      </c>
      <c r="S798" s="301">
        <v>17040</v>
      </c>
      <c r="T798" s="66" t="s">
        <v>293</v>
      </c>
      <c r="U798" s="79">
        <v>45152.292361111111</v>
      </c>
      <c r="V798" s="66" t="s">
        <v>469</v>
      </c>
      <c r="W798" s="79"/>
      <c r="X798" s="79">
        <v>45152.444444444445</v>
      </c>
      <c r="Y798" s="88">
        <v>45152.729166666664</v>
      </c>
      <c r="Z798" s="81"/>
      <c r="AA798" s="81"/>
      <c r="AB798" s="81"/>
      <c r="AC798" s="81"/>
      <c r="AD798" s="81"/>
      <c r="AE798" s="81"/>
      <c r="AF798" s="81"/>
      <c r="AG798" s="81">
        <f>Sal_23[[#This Row],[COMPRA]]*12%</f>
        <v>0</v>
      </c>
      <c r="AH798" s="83"/>
      <c r="AI798" s="66" t="str">
        <f>PROPER(TEXT(Sal_23[[#This Row],[PROGRAMAÇÃO]],"mmm"))</f>
        <v>Ago</v>
      </c>
      <c r="AJ798" s="66">
        <f>YEAR(Sal_23[[#This Row],[PROGRAMAÇÃO]])</f>
        <v>2023</v>
      </c>
      <c r="AK798" s="66" t="s">
        <v>5962</v>
      </c>
      <c r="AL798" s="66" t="s">
        <v>3602</v>
      </c>
      <c r="AM798" s="66"/>
      <c r="AN798" s="66"/>
      <c r="AO798" s="66" t="s">
        <v>2768</v>
      </c>
    </row>
    <row r="799" spans="2:41" x14ac:dyDescent="0.25">
      <c r="B799" s="128" t="s">
        <v>2909</v>
      </c>
      <c r="C79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799" s="79">
        <v>45149.333333333336</v>
      </c>
      <c r="E799" s="44" t="s">
        <v>5835</v>
      </c>
      <c r="F799" s="66">
        <v>20</v>
      </c>
      <c r="G799" s="66" t="s">
        <v>2826</v>
      </c>
      <c r="H799" s="44" t="s">
        <v>2825</v>
      </c>
      <c r="I799" s="299" t="s">
        <v>4012</v>
      </c>
      <c r="J799" s="66">
        <v>7886</v>
      </c>
      <c r="K799" s="66" t="s">
        <v>5847</v>
      </c>
      <c r="L799" s="66">
        <v>108794</v>
      </c>
      <c r="M799" s="66"/>
      <c r="N799" s="66" t="s">
        <v>3028</v>
      </c>
      <c r="O799" s="66" t="s">
        <v>2261</v>
      </c>
      <c r="P799" s="66" t="s">
        <v>3443</v>
      </c>
      <c r="Q799" s="138" t="str">
        <f ca="1">IFERROR(LOOKUP($P799,MOTORISTAS!$D$3:$D$1048576,MOTORISTAS!E$3:E$916),"")</f>
        <v>13990937898</v>
      </c>
      <c r="R799" s="138" t="str">
        <f ca="1">IFERROR(LOOKUP($P799,MOTORISTAS!$D$3:$D$1048576,MOTORISTAS!F$3:F$916),"")</f>
        <v>01825123407</v>
      </c>
      <c r="S799" s="301">
        <v>17061</v>
      </c>
      <c r="T799" s="66" t="s">
        <v>293</v>
      </c>
      <c r="U799" s="79">
        <v>45148.901388888888</v>
      </c>
      <c r="V799" s="66" t="s">
        <v>469</v>
      </c>
      <c r="W799" s="79"/>
      <c r="X799" s="79">
        <v>45149.000694444447</v>
      </c>
      <c r="Y799" s="88">
        <v>45149.4375</v>
      </c>
      <c r="Z799" s="81"/>
      <c r="AA799" s="81"/>
      <c r="AB799" s="81"/>
      <c r="AC799" s="81"/>
      <c r="AD799" s="81">
        <v>2294.6999999999998</v>
      </c>
      <c r="AE799" s="81">
        <v>768.04</v>
      </c>
      <c r="AF799" s="81">
        <v>222</v>
      </c>
      <c r="AG799" s="81">
        <f>Sal_23[[#This Row],[COMPRA]]*12%</f>
        <v>447.91919999999999</v>
      </c>
      <c r="AH799" s="83">
        <v>3732.66</v>
      </c>
      <c r="AI799" s="66" t="str">
        <f>PROPER(TEXT(Sal_23[[#This Row],[PROGRAMAÇÃO]],"mmm"))</f>
        <v>Ago</v>
      </c>
      <c r="AJ799" s="66">
        <f>YEAR(Sal_23[[#This Row],[PROGRAMAÇÃO]])</f>
        <v>2023</v>
      </c>
      <c r="AK799" s="66"/>
      <c r="AL799" s="66"/>
      <c r="AM799" s="66"/>
      <c r="AN799" s="66"/>
      <c r="AO799" s="66" t="s">
        <v>2768</v>
      </c>
    </row>
    <row r="800" spans="2:41" x14ac:dyDescent="0.25">
      <c r="B800" s="128" t="s">
        <v>2771</v>
      </c>
      <c r="C80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00" s="79">
        <v>45149.333333333336</v>
      </c>
      <c r="E800" s="44" t="s">
        <v>5840</v>
      </c>
      <c r="F800" s="66">
        <v>40</v>
      </c>
      <c r="G800" s="66" t="s">
        <v>2826</v>
      </c>
      <c r="H800" s="44" t="s">
        <v>1674</v>
      </c>
      <c r="I800" s="299" t="s">
        <v>2829</v>
      </c>
      <c r="J800" s="66">
        <v>7998</v>
      </c>
      <c r="K800" s="66" t="s">
        <v>5847</v>
      </c>
      <c r="L800" s="66">
        <v>108925</v>
      </c>
      <c r="M800" s="66">
        <v>108926</v>
      </c>
      <c r="N800" s="66" t="s">
        <v>2622</v>
      </c>
      <c r="O800" s="66"/>
      <c r="P800" s="66" t="s">
        <v>2624</v>
      </c>
      <c r="Q800" s="138" t="str">
        <f ca="1">IFERROR(LOOKUP($P800,MOTORISTAS!$D$3:$D$1048576,MOTORISTAS!E$3:E$916),"")</f>
        <v>31147992568</v>
      </c>
      <c r="R800" s="138" t="str">
        <f ca="1">IFERROR(LOOKUP($P800,MOTORISTAS!$D$3:$D$1048576,MOTORISTAS!F$3:F$916),"")</f>
        <v>03359999478</v>
      </c>
      <c r="S800" s="251">
        <v>17026</v>
      </c>
      <c r="T800" s="66" t="s">
        <v>293</v>
      </c>
      <c r="U800" s="79">
        <v>45147.976388888892</v>
      </c>
      <c r="V800" s="66" t="s">
        <v>469</v>
      </c>
      <c r="W800" s="79">
        <v>45148.743055555555</v>
      </c>
      <c r="X800" s="79">
        <v>45148.173611111109</v>
      </c>
      <c r="Y800" s="88">
        <v>45148.444444444445</v>
      </c>
      <c r="Z800" s="81"/>
      <c r="AA800" s="81"/>
      <c r="AB800" s="81"/>
      <c r="AC800" s="81"/>
      <c r="AD800" s="81">
        <v>3472.48</v>
      </c>
      <c r="AE800" s="81"/>
      <c r="AF800" s="81">
        <v>621.6</v>
      </c>
      <c r="AG800" s="81">
        <v>558.28319999999997</v>
      </c>
      <c r="AH800" s="83">
        <v>4652.3599999999997</v>
      </c>
      <c r="AI800" s="66" t="str">
        <f>PROPER(TEXT(Sal_23[[#This Row],[PROGRAMAÇÃO]],"mmm"))</f>
        <v>Ago</v>
      </c>
      <c r="AJ800" s="66">
        <f>YEAR(Sal_23[[#This Row],[PROGRAMAÇÃO]])</f>
        <v>2023</v>
      </c>
      <c r="AK800" s="66"/>
      <c r="AL800" s="66"/>
      <c r="AM800" s="66" t="s">
        <v>2768</v>
      </c>
      <c r="AN800" s="66" t="s">
        <v>2768</v>
      </c>
      <c r="AO800" s="66" t="s">
        <v>2768</v>
      </c>
    </row>
    <row r="801" spans="2:41" x14ac:dyDescent="0.25">
      <c r="B801" s="128" t="s">
        <v>2771</v>
      </c>
      <c r="C80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01" s="79">
        <v>45149.333333333336</v>
      </c>
      <c r="E801" s="44" t="s">
        <v>5848</v>
      </c>
      <c r="F801" s="66">
        <v>20</v>
      </c>
      <c r="G801" s="66" t="s">
        <v>2826</v>
      </c>
      <c r="H801" s="44" t="s">
        <v>3440</v>
      </c>
      <c r="I801" s="299" t="s">
        <v>3253</v>
      </c>
      <c r="J801" s="66">
        <v>7993</v>
      </c>
      <c r="K801" s="66" t="s">
        <v>5847</v>
      </c>
      <c r="L801" s="66">
        <v>120328</v>
      </c>
      <c r="M801" s="66"/>
      <c r="N801" s="66" t="s">
        <v>2498</v>
      </c>
      <c r="O801" s="66" t="s">
        <v>3041</v>
      </c>
      <c r="P801" s="66" t="s">
        <v>2500</v>
      </c>
      <c r="Q801" s="138" t="str">
        <f ca="1">IFERROR(LOOKUP($P801,MOTORISTAS!$D$3:$D$1048576,MOTORISTAS!E$3:E$916),"")</f>
        <v>10838670830</v>
      </c>
      <c r="R801" s="138" t="str">
        <f ca="1">IFERROR(LOOKUP($P801,MOTORISTAS!$D$3:$D$1048576,MOTORISTAS!F$3:F$916),"")</f>
        <v>01808675938</v>
      </c>
      <c r="S801" s="301">
        <v>17068</v>
      </c>
      <c r="T801" s="66" t="s">
        <v>293</v>
      </c>
      <c r="U801" s="79">
        <v>45148.986805555556</v>
      </c>
      <c r="V801" s="66" t="s">
        <v>469</v>
      </c>
      <c r="W801" s="79">
        <v>45150.462500000001</v>
      </c>
      <c r="X801" s="79">
        <v>45149.138888888891</v>
      </c>
      <c r="Y801" s="88">
        <v>45149.5625</v>
      </c>
      <c r="Z801" s="81"/>
      <c r="AA801" s="81"/>
      <c r="AB801" s="81"/>
      <c r="AC801" s="81"/>
      <c r="AD801" s="81">
        <v>2557.98</v>
      </c>
      <c r="AE801" s="81"/>
      <c r="AF801" s="81">
        <v>372.6</v>
      </c>
      <c r="AG801" s="81">
        <f>Sal_23[[#This Row],[COMPRA]]*12%</f>
        <v>399.62399999999997</v>
      </c>
      <c r="AH801" s="83">
        <v>3330.2</v>
      </c>
      <c r="AI801" s="66" t="str">
        <f>PROPER(TEXT(Sal_23[[#This Row],[PROGRAMAÇÃO]],"mmm"))</f>
        <v>Ago</v>
      </c>
      <c r="AJ801" s="66">
        <f>YEAR(Sal_23[[#This Row],[PROGRAMAÇÃO]])</f>
        <v>2023</v>
      </c>
      <c r="AK801" s="66"/>
      <c r="AL801" s="66"/>
      <c r="AM801" s="66" t="s">
        <v>2768</v>
      </c>
      <c r="AN801" s="66" t="s">
        <v>2768</v>
      </c>
      <c r="AO801" s="66" t="s">
        <v>2768</v>
      </c>
    </row>
    <row r="802" spans="2:41" x14ac:dyDescent="0.25">
      <c r="B802" s="128" t="s">
        <v>2771</v>
      </c>
      <c r="C80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02" s="79">
        <v>45149.333333333336</v>
      </c>
      <c r="E802" s="44" t="s">
        <v>5854</v>
      </c>
      <c r="F802" s="66">
        <v>20</v>
      </c>
      <c r="G802" s="66" t="s">
        <v>2826</v>
      </c>
      <c r="H802" s="44" t="s">
        <v>2827</v>
      </c>
      <c r="I802" s="299" t="s">
        <v>2823</v>
      </c>
      <c r="J802" s="66">
        <v>8016</v>
      </c>
      <c r="K802" s="66" t="s">
        <v>5847</v>
      </c>
      <c r="L802" s="66">
        <v>109128</v>
      </c>
      <c r="M802" s="66"/>
      <c r="N802" s="66" t="s">
        <v>5609</v>
      </c>
      <c r="O802" s="66" t="s">
        <v>2946</v>
      </c>
      <c r="P802" s="66" t="s">
        <v>1845</v>
      </c>
      <c r="Q802" s="138" t="str">
        <f ca="1">IFERROR(LOOKUP($P802,MOTORISTAS!$D$3:$D$1048576,MOTORISTAS!E$3:E$916),"")</f>
        <v>05826127805</v>
      </c>
      <c r="R802" s="138" t="str">
        <f ca="1">IFERROR(LOOKUP($P802,MOTORISTAS!$D$3:$D$1048576,MOTORISTAS!F$3:F$916),"")</f>
        <v>02397620357</v>
      </c>
      <c r="S802" s="251">
        <v>17069</v>
      </c>
      <c r="T802" s="66" t="s">
        <v>293</v>
      </c>
      <c r="U802" s="79">
        <v>45149.027777777781</v>
      </c>
      <c r="V802" s="66" t="s">
        <v>469</v>
      </c>
      <c r="W802" s="79">
        <v>45149.741666666669</v>
      </c>
      <c r="X802" s="79">
        <v>45149.25</v>
      </c>
      <c r="Y802" s="88">
        <v>45149.402777777781</v>
      </c>
      <c r="Z802" s="81"/>
      <c r="AA802" s="81"/>
      <c r="AB802" s="81"/>
      <c r="AC802" s="81"/>
      <c r="AD802" s="81"/>
      <c r="AE802" s="81"/>
      <c r="AF802" s="81"/>
      <c r="AG802" s="81">
        <f>Sal_23[[#This Row],[COMPRA]]*12%</f>
        <v>0</v>
      </c>
      <c r="AH802" s="83"/>
      <c r="AI802" s="66" t="str">
        <f>PROPER(TEXT(Sal_23[[#This Row],[PROGRAMAÇÃO]],"mmm"))</f>
        <v>Ago</v>
      </c>
      <c r="AJ802" s="66">
        <f>YEAR(Sal_23[[#This Row],[PROGRAMAÇÃO]])</f>
        <v>2023</v>
      </c>
      <c r="AK802" s="66"/>
      <c r="AL802" s="66"/>
      <c r="AM802" s="66" t="s">
        <v>2768</v>
      </c>
      <c r="AN802" s="66" t="s">
        <v>2768</v>
      </c>
      <c r="AO802" s="66" t="s">
        <v>2768</v>
      </c>
    </row>
    <row r="803" spans="2:41" x14ac:dyDescent="0.25">
      <c r="B803" s="128" t="s">
        <v>2909</v>
      </c>
      <c r="C80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03" s="79">
        <v>45149.333333333336</v>
      </c>
      <c r="E803" s="44" t="s">
        <v>5857</v>
      </c>
      <c r="F803" s="66">
        <v>40</v>
      </c>
      <c r="G803" s="66" t="s">
        <v>2826</v>
      </c>
      <c r="H803" s="44" t="s">
        <v>3910</v>
      </c>
      <c r="I803" s="299" t="s">
        <v>3909</v>
      </c>
      <c r="J803" s="66">
        <v>8020</v>
      </c>
      <c r="K803" s="66" t="s">
        <v>5847</v>
      </c>
      <c r="L803" s="66">
        <v>120457</v>
      </c>
      <c r="M803" s="66"/>
      <c r="N803" s="66" t="s">
        <v>890</v>
      </c>
      <c r="O803" s="66" t="s">
        <v>179</v>
      </c>
      <c r="P803" s="66" t="s">
        <v>5166</v>
      </c>
      <c r="Q803" s="138" t="str">
        <f ca="1">IFERROR(LOOKUP($P803,MOTORISTAS!$D$3:$D$1048576,MOTORISTAS!E$3:E$916),"")</f>
        <v>43345159830</v>
      </c>
      <c r="R803" s="138" t="str">
        <f ca="1">IFERROR(LOOKUP($P803,MOTORISTAS!$D$3:$D$1048576,MOTORISTAS!F$3:F$916),"")</f>
        <v>05585211593</v>
      </c>
      <c r="S803" s="301">
        <v>17076</v>
      </c>
      <c r="T803" s="66" t="s">
        <v>293</v>
      </c>
      <c r="U803" s="79">
        <v>45149.318749999999</v>
      </c>
      <c r="V803" s="66" t="s">
        <v>469</v>
      </c>
      <c r="W803" s="79"/>
      <c r="X803" s="79">
        <v>45149.470138888886</v>
      </c>
      <c r="Y803" s="88">
        <v>45149.625</v>
      </c>
      <c r="Z803" s="81"/>
      <c r="AA803" s="81"/>
      <c r="AB803" s="81"/>
      <c r="AC803" s="81"/>
      <c r="AD803" s="81">
        <v>2557.9699999999998</v>
      </c>
      <c r="AE803" s="81"/>
      <c r="AF803" s="81">
        <v>372.6</v>
      </c>
      <c r="AG803" s="81">
        <f>Sal_23[[#This Row],[COMPRA]]*12%</f>
        <v>399.62279999999998</v>
      </c>
      <c r="AH803" s="83">
        <v>3330.19</v>
      </c>
      <c r="AI803" s="66" t="str">
        <f>PROPER(TEXT(Sal_23[[#This Row],[PROGRAMAÇÃO]],"mmm"))</f>
        <v>Ago</v>
      </c>
      <c r="AJ803" s="66">
        <f>YEAR(Sal_23[[#This Row],[PROGRAMAÇÃO]])</f>
        <v>2023</v>
      </c>
      <c r="AK803" s="66"/>
      <c r="AL803" s="66"/>
      <c r="AM803" s="66"/>
      <c r="AN803" s="66"/>
      <c r="AO803" s="66" t="s">
        <v>2768</v>
      </c>
    </row>
    <row r="804" spans="2:41" x14ac:dyDescent="0.25">
      <c r="B804" s="128" t="s">
        <v>2909</v>
      </c>
      <c r="C80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04" s="79">
        <v>45149.333333333336</v>
      </c>
      <c r="E804" s="44" t="s">
        <v>5858</v>
      </c>
      <c r="F804" s="66">
        <v>40</v>
      </c>
      <c r="G804" s="66" t="s">
        <v>2826</v>
      </c>
      <c r="H804" s="44" t="s">
        <v>3910</v>
      </c>
      <c r="I804" s="299" t="s">
        <v>3909</v>
      </c>
      <c r="J804" s="66">
        <v>8021</v>
      </c>
      <c r="K804" s="66" t="s">
        <v>5847</v>
      </c>
      <c r="L804" s="66">
        <v>120461</v>
      </c>
      <c r="M804" s="66"/>
      <c r="N804" s="66" t="s">
        <v>178</v>
      </c>
      <c r="O804" s="66" t="s">
        <v>112</v>
      </c>
      <c r="P804" s="66" t="s">
        <v>180</v>
      </c>
      <c r="Q804" s="138" t="str">
        <f ca="1">IFERROR(LOOKUP($P804,MOTORISTAS!$D$3:$D$1048576,MOTORISTAS!E$3:E$916),"")</f>
        <v>18990500869</v>
      </c>
      <c r="R804" s="138" t="str">
        <f ca="1">IFERROR(LOOKUP($P804,MOTORISTAS!$D$3:$D$1048576,MOTORISTAS!F$3:F$916),"")</f>
        <v>04640435232</v>
      </c>
      <c r="S804" s="301">
        <v>17077</v>
      </c>
      <c r="T804" s="66" t="s">
        <v>293</v>
      </c>
      <c r="U804" s="79">
        <v>45148.993750000001</v>
      </c>
      <c r="V804" s="66" t="s">
        <v>469</v>
      </c>
      <c r="W804" s="79"/>
      <c r="X804" s="79">
        <v>45149.145833333336</v>
      </c>
      <c r="Y804" s="88">
        <v>45149.652777777781</v>
      </c>
      <c r="Z804" s="81"/>
      <c r="AA804" s="81"/>
      <c r="AB804" s="81"/>
      <c r="AC804" s="81"/>
      <c r="AD804" s="81">
        <v>2557.9699999999998</v>
      </c>
      <c r="AE804" s="81"/>
      <c r="AF804" s="81">
        <v>372.6</v>
      </c>
      <c r="AG804" s="81">
        <f>Sal_23[[#This Row],[COMPRA]]*12%</f>
        <v>399.62279999999998</v>
      </c>
      <c r="AH804" s="83">
        <v>3330.19</v>
      </c>
      <c r="AI804" s="66" t="str">
        <f>PROPER(TEXT(Sal_23[[#This Row],[PROGRAMAÇÃO]],"mmm"))</f>
        <v>Ago</v>
      </c>
      <c r="AJ804" s="66">
        <f>YEAR(Sal_23[[#This Row],[PROGRAMAÇÃO]])</f>
        <v>2023</v>
      </c>
      <c r="AK804" s="66"/>
      <c r="AL804" s="66"/>
      <c r="AM804" s="66"/>
      <c r="AN804" s="66"/>
      <c r="AO804" s="66" t="s">
        <v>2768</v>
      </c>
    </row>
    <row r="805" spans="2:41" x14ac:dyDescent="0.25">
      <c r="B805" s="128" t="s">
        <v>2909</v>
      </c>
      <c r="C80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05" s="79">
        <v>45148.333333333336</v>
      </c>
      <c r="E805" s="44" t="s">
        <v>5864</v>
      </c>
      <c r="F805" s="66">
        <v>40</v>
      </c>
      <c r="G805" s="66" t="s">
        <v>2826</v>
      </c>
      <c r="H805" s="44" t="s">
        <v>1674</v>
      </c>
      <c r="I805" s="299" t="s">
        <v>2829</v>
      </c>
      <c r="J805" s="66">
        <v>8001</v>
      </c>
      <c r="K805" s="66" t="s">
        <v>5847</v>
      </c>
      <c r="L805" s="66">
        <v>108996</v>
      </c>
      <c r="M805" s="66">
        <v>108997</v>
      </c>
      <c r="N805" s="66" t="s">
        <v>111</v>
      </c>
      <c r="O805" s="66" t="s">
        <v>891</v>
      </c>
      <c r="P805" s="66" t="s">
        <v>113</v>
      </c>
      <c r="Q805" s="138" t="str">
        <f ca="1">IFERROR(LOOKUP($P805,MOTORISTAS!$D$3:$D$1048576,MOTORISTAS!E$3:E$916),"")</f>
        <v>88265951434</v>
      </c>
      <c r="R805" s="138" t="str">
        <f ca="1">IFERROR(LOOKUP($P805,MOTORISTAS!$D$3:$D$1048576,MOTORISTAS!F$3:F$916),"")</f>
        <v>00920373596</v>
      </c>
      <c r="S805" s="301">
        <v>17036</v>
      </c>
      <c r="T805" s="66" t="s">
        <v>293</v>
      </c>
      <c r="U805" s="79">
        <v>45148.354166666664</v>
      </c>
      <c r="V805" s="66" t="s">
        <v>469</v>
      </c>
      <c r="W805" s="79"/>
      <c r="X805" s="79">
        <v>45148.701388888891</v>
      </c>
      <c r="Y805" s="81"/>
      <c r="Z805" s="81"/>
      <c r="AA805" s="81"/>
      <c r="AB805" s="81"/>
      <c r="AC805" s="81"/>
      <c r="AD805" s="81">
        <v>3472.48</v>
      </c>
      <c r="AE805" s="81"/>
      <c r="AF805" s="81">
        <v>621.6</v>
      </c>
      <c r="AG805" s="81">
        <v>558.28319999999997</v>
      </c>
      <c r="AH805" s="83">
        <v>4652.3599999999997</v>
      </c>
      <c r="AI805" s="66" t="str">
        <f>PROPER(TEXT(Sal_23[[#This Row],[PROGRAMAÇÃO]],"mmm"))</f>
        <v>Ago</v>
      </c>
      <c r="AJ805" s="66">
        <f>YEAR(Sal_23[[#This Row],[PROGRAMAÇÃO]])</f>
        <v>2023</v>
      </c>
      <c r="AK805" s="66"/>
      <c r="AL805" s="66"/>
      <c r="AM805" s="66"/>
      <c r="AN805" s="66"/>
      <c r="AO805" s="66" t="s">
        <v>2768</v>
      </c>
    </row>
    <row r="806" spans="2:41" x14ac:dyDescent="0.25">
      <c r="B806" s="128" t="s">
        <v>2771</v>
      </c>
      <c r="C80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06" s="79">
        <v>45152.333333333336</v>
      </c>
      <c r="E806" s="44" t="s">
        <v>5850</v>
      </c>
      <c r="F806" s="66">
        <v>20</v>
      </c>
      <c r="G806" s="66" t="s">
        <v>2826</v>
      </c>
      <c r="H806" s="44" t="s">
        <v>2837</v>
      </c>
      <c r="I806" s="299" t="s">
        <v>2821</v>
      </c>
      <c r="J806" s="66">
        <v>7994</v>
      </c>
      <c r="K806" s="66" t="s">
        <v>5847</v>
      </c>
      <c r="L806" s="66">
        <v>120329</v>
      </c>
      <c r="M806" s="66"/>
      <c r="N806" s="66" t="s">
        <v>3028</v>
      </c>
      <c r="O806" s="66" t="s">
        <v>2261</v>
      </c>
      <c r="P806" s="66" t="s">
        <v>3443</v>
      </c>
      <c r="Q806" s="138" t="str">
        <f ca="1">IFERROR(LOOKUP($P806,MOTORISTAS!$D$3:$D$1048576,MOTORISTAS!E$3:E$916),"")</f>
        <v>13990937898</v>
      </c>
      <c r="R806" s="138" t="str">
        <f ca="1">IFERROR(LOOKUP($P806,MOTORISTAS!$D$3:$D$1048576,MOTORISTAS!F$3:F$916),"")</f>
        <v>01825123407</v>
      </c>
      <c r="S806" s="251">
        <v>17085</v>
      </c>
      <c r="T806" s="66" t="s">
        <v>293</v>
      </c>
      <c r="U806" s="79">
        <v>45152.031944444447</v>
      </c>
      <c r="V806" s="66" t="s">
        <v>469</v>
      </c>
      <c r="W806" s="79">
        <v>45152.629166666666</v>
      </c>
      <c r="X806" s="79">
        <v>45152.135416666664</v>
      </c>
      <c r="Y806" s="88">
        <v>45152.430555555555</v>
      </c>
      <c r="Z806" s="81">
        <v>1600</v>
      </c>
      <c r="AA806" s="81"/>
      <c r="AB806" s="81"/>
      <c r="AC806" s="81"/>
      <c r="AD806" s="81">
        <v>2018.37</v>
      </c>
      <c r="AE806" s="81"/>
      <c r="AF806" s="81">
        <v>266.39999999999998</v>
      </c>
      <c r="AG806" s="81">
        <f>Sal_23[[#This Row],[COMPRA]]*12%</f>
        <v>311.55959999999999</v>
      </c>
      <c r="AH806" s="83">
        <v>2596.33</v>
      </c>
      <c r="AI806" s="66" t="str">
        <f>PROPER(TEXT(Sal_23[[#This Row],[PROGRAMAÇÃO]],"mmm"))</f>
        <v>Ago</v>
      </c>
      <c r="AJ806" s="66">
        <f>YEAR(Sal_23[[#This Row],[PROGRAMAÇÃO]])</f>
        <v>2023</v>
      </c>
      <c r="AK806" s="66"/>
      <c r="AL806" s="66"/>
      <c r="AM806" s="66" t="s">
        <v>2768</v>
      </c>
      <c r="AN806" s="66" t="s">
        <v>2768</v>
      </c>
      <c r="AO806" s="66" t="s">
        <v>2768</v>
      </c>
    </row>
    <row r="807" spans="2:41" x14ac:dyDescent="0.25">
      <c r="B807" s="128" t="s">
        <v>2771</v>
      </c>
      <c r="C80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07" s="79">
        <v>45152.333333333336</v>
      </c>
      <c r="E807" s="44" t="s">
        <v>5836</v>
      </c>
      <c r="F807" s="66">
        <v>20</v>
      </c>
      <c r="G807" s="66" t="s">
        <v>2826</v>
      </c>
      <c r="H807" s="44" t="s">
        <v>3440</v>
      </c>
      <c r="I807" s="299" t="s">
        <v>3253</v>
      </c>
      <c r="J807" s="66">
        <v>8011</v>
      </c>
      <c r="K807" s="66" t="s">
        <v>5847</v>
      </c>
      <c r="L807" s="66" t="s">
        <v>5846</v>
      </c>
      <c r="M807" s="66"/>
      <c r="N807" s="66" t="s">
        <v>3040</v>
      </c>
      <c r="O807" s="66" t="s">
        <v>3041</v>
      </c>
      <c r="P807" s="66" t="s">
        <v>3042</v>
      </c>
      <c r="Q807" s="138" t="str">
        <f ca="1">IFERROR(LOOKUP($P807,MOTORISTAS!$D$3:$D$1048576,MOTORISTAS!E$3:E$916),"")</f>
        <v>19279658883</v>
      </c>
      <c r="R807" s="138" t="str">
        <f ca="1">IFERROR(LOOKUP($P807,MOTORISTAS!$D$3:$D$1048576,MOTORISTAS!F$3:F$916),"")</f>
        <v>01301319672</v>
      </c>
      <c r="S807" s="251">
        <v>17089</v>
      </c>
      <c r="T807" s="66" t="s">
        <v>293</v>
      </c>
      <c r="U807" s="79">
        <v>45152.199305555558</v>
      </c>
      <c r="V807" s="66" t="s">
        <v>469</v>
      </c>
      <c r="W807" s="79">
        <v>45152.790277777778</v>
      </c>
      <c r="X807" s="79">
        <v>45152.375</v>
      </c>
      <c r="Y807" s="88">
        <v>45152.423611111109</v>
      </c>
      <c r="Z807" s="81"/>
      <c r="AA807" s="81"/>
      <c r="AB807" s="81"/>
      <c r="AC807" s="81"/>
      <c r="AD807" s="81">
        <v>2557.98</v>
      </c>
      <c r="AE807" s="81"/>
      <c r="AF807" s="81">
        <v>372.6</v>
      </c>
      <c r="AG807" s="81">
        <v>399.62399999999997</v>
      </c>
      <c r="AH807" s="83">
        <v>3330.2</v>
      </c>
      <c r="AI807" s="66" t="str">
        <f>PROPER(TEXT(Sal_23[[#This Row],[PROGRAMAÇÃO]],"mmm"))</f>
        <v>Ago</v>
      </c>
      <c r="AJ807" s="66">
        <f>YEAR(Sal_23[[#This Row],[PROGRAMAÇÃO]])</f>
        <v>2023</v>
      </c>
      <c r="AK807" s="66" t="s">
        <v>5962</v>
      </c>
      <c r="AL807" s="66" t="s">
        <v>3602</v>
      </c>
      <c r="AM807" s="66" t="s">
        <v>2768</v>
      </c>
      <c r="AN807" s="66" t="s">
        <v>2768</v>
      </c>
      <c r="AO807" s="66" t="s">
        <v>2768</v>
      </c>
    </row>
    <row r="808" spans="2:41" x14ac:dyDescent="0.25">
      <c r="B808" s="128" t="s">
        <v>2909</v>
      </c>
      <c r="C80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08" s="79">
        <v>45152.333333333336</v>
      </c>
      <c r="E808" s="44" t="s">
        <v>5859</v>
      </c>
      <c r="F808" s="66">
        <v>40</v>
      </c>
      <c r="G808" s="66" t="s">
        <v>2826</v>
      </c>
      <c r="H808" s="44" t="s">
        <v>3910</v>
      </c>
      <c r="I808" s="299" t="s">
        <v>3909</v>
      </c>
      <c r="J808" s="66">
        <v>8024</v>
      </c>
      <c r="K808" s="66" t="s">
        <v>5847</v>
      </c>
      <c r="L808" s="66">
        <v>120541</v>
      </c>
      <c r="M808" s="66"/>
      <c r="N808" s="66" t="s">
        <v>4790</v>
      </c>
      <c r="O808" s="66" t="s">
        <v>2930</v>
      </c>
      <c r="P808" s="66" t="s">
        <v>4956</v>
      </c>
      <c r="Q808" s="138" t="str">
        <f ca="1">IFERROR(LOOKUP($P808,MOTORISTAS!$D$3:$D$1048576,MOTORISTAS!E$3:E$916),"")</f>
        <v>27098242802</v>
      </c>
      <c r="R808" s="138" t="str">
        <f ca="1">IFERROR(LOOKUP($P808,MOTORISTAS!$D$3:$D$1048576,MOTORISTAS!F$3:F$916),"")</f>
        <v>03025741371</v>
      </c>
      <c r="S808" s="301">
        <v>17091</v>
      </c>
      <c r="T808" s="66" t="s">
        <v>293</v>
      </c>
      <c r="U808" s="79">
        <v>45150.526388888888</v>
      </c>
      <c r="V808" s="66" t="s">
        <v>469</v>
      </c>
      <c r="W808" s="79"/>
      <c r="X808" s="79">
        <v>45152.21875</v>
      </c>
      <c r="Y808" s="88">
        <v>45152.565972222219</v>
      </c>
      <c r="Z808" s="81"/>
      <c r="AA808" s="81"/>
      <c r="AB808" s="81"/>
      <c r="AC808" s="81"/>
      <c r="AD808" s="81">
        <v>2557.9699999999998</v>
      </c>
      <c r="AE808" s="81"/>
      <c r="AF808" s="81">
        <v>372.6</v>
      </c>
      <c r="AG808" s="81">
        <v>399.62279999999998</v>
      </c>
      <c r="AH808" s="83">
        <v>3330.19</v>
      </c>
      <c r="AI808" s="66" t="str">
        <f>PROPER(TEXT(Sal_23[[#This Row],[PROGRAMAÇÃO]],"mmm"))</f>
        <v>Ago</v>
      </c>
      <c r="AJ808" s="66">
        <f>YEAR(Sal_23[[#This Row],[PROGRAMAÇÃO]])</f>
        <v>2023</v>
      </c>
      <c r="AK808" s="66"/>
      <c r="AL808" s="66"/>
      <c r="AM808" s="66"/>
      <c r="AN808" s="66"/>
      <c r="AO808" s="66" t="s">
        <v>2768</v>
      </c>
    </row>
    <row r="809" spans="2:41" x14ac:dyDescent="0.25">
      <c r="B809" s="128" t="s">
        <v>2909</v>
      </c>
      <c r="C80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09" s="79">
        <v>45152.333333333336</v>
      </c>
      <c r="E809" s="44" t="s">
        <v>5860</v>
      </c>
      <c r="F809" s="66">
        <v>40</v>
      </c>
      <c r="G809" s="66" t="s">
        <v>2826</v>
      </c>
      <c r="H809" s="44" t="s">
        <v>3910</v>
      </c>
      <c r="I809" s="299" t="s">
        <v>3909</v>
      </c>
      <c r="J809" s="66">
        <v>8025</v>
      </c>
      <c r="K809" s="66" t="s">
        <v>5847</v>
      </c>
      <c r="L809" s="66">
        <v>120552</v>
      </c>
      <c r="M809" s="66"/>
      <c r="N809" s="66" t="s">
        <v>1961</v>
      </c>
      <c r="O809" s="66" t="s">
        <v>1962</v>
      </c>
      <c r="P809" s="66" t="s">
        <v>1482</v>
      </c>
      <c r="Q809" s="138" t="str">
        <f ca="1">IFERROR(LOOKUP($P809,MOTORISTAS!$D$3:$D$1048576,MOTORISTAS!E$3:E$916),"")</f>
        <v>38329597857</v>
      </c>
      <c r="R809" s="138" t="str">
        <f ca="1">IFERROR(LOOKUP($P809,MOTORISTAS!$D$3:$D$1048576,MOTORISTAS!F$3:F$916),"")</f>
        <v>04956762510</v>
      </c>
      <c r="S809" s="301">
        <v>17095</v>
      </c>
      <c r="T809" s="66" t="s">
        <v>293</v>
      </c>
      <c r="U809" s="79">
        <v>45152.253472222219</v>
      </c>
      <c r="V809" s="66" t="s">
        <v>469</v>
      </c>
      <c r="W809" s="79"/>
      <c r="X809" s="79">
        <v>45152.430555555555</v>
      </c>
      <c r="Y809" s="88">
        <v>45152.696527777778</v>
      </c>
      <c r="Z809" s="81"/>
      <c r="AA809" s="81"/>
      <c r="AB809" s="81"/>
      <c r="AC809" s="81"/>
      <c r="AD809" s="81">
        <v>2557.9699999999998</v>
      </c>
      <c r="AE809" s="81"/>
      <c r="AF809" s="81">
        <v>372.6</v>
      </c>
      <c r="AG809" s="81">
        <v>399.62279999999998</v>
      </c>
      <c r="AH809" s="83">
        <v>3330.19</v>
      </c>
      <c r="AI809" s="66" t="str">
        <f>PROPER(TEXT(Sal_23[[#This Row],[PROGRAMAÇÃO]],"mmm"))</f>
        <v>Ago</v>
      </c>
      <c r="AJ809" s="66">
        <f>YEAR(Sal_23[[#This Row],[PROGRAMAÇÃO]])</f>
        <v>2023</v>
      </c>
      <c r="AK809" s="66" t="s">
        <v>5961</v>
      </c>
      <c r="AL809" s="66" t="s">
        <v>3643</v>
      </c>
      <c r="AM809" s="66"/>
      <c r="AN809" s="66"/>
      <c r="AO809" s="66" t="s">
        <v>2768</v>
      </c>
    </row>
    <row r="810" spans="2:41" x14ac:dyDescent="0.25">
      <c r="B810" s="128" t="s">
        <v>2909</v>
      </c>
      <c r="C81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10" s="79">
        <v>45152.333333333336</v>
      </c>
      <c r="E810" s="44" t="s">
        <v>5863</v>
      </c>
      <c r="F810" s="66">
        <v>40</v>
      </c>
      <c r="G810" s="66" t="s">
        <v>2826</v>
      </c>
      <c r="H810" s="44" t="s">
        <v>2834</v>
      </c>
      <c r="I810" s="299" t="s">
        <v>2831</v>
      </c>
      <c r="J810" s="66">
        <v>8002</v>
      </c>
      <c r="K810" s="66" t="s">
        <v>5847</v>
      </c>
      <c r="L810" s="66">
        <v>108999</v>
      </c>
      <c r="M810" s="66"/>
      <c r="N810" s="66" t="s">
        <v>890</v>
      </c>
      <c r="O810" s="66" t="s">
        <v>179</v>
      </c>
      <c r="P810" s="66" t="s">
        <v>5166</v>
      </c>
      <c r="Q810" s="138" t="str">
        <f ca="1">IFERROR(LOOKUP($P810,MOTORISTAS!$D$3:$D$1048576,MOTORISTAS!E$3:E$916),"")</f>
        <v>43345159830</v>
      </c>
      <c r="R810" s="138" t="str">
        <f ca="1">IFERROR(LOOKUP($P810,MOTORISTAS!$D$3:$D$1048576,MOTORISTAS!F$3:F$916),"")</f>
        <v>05585211593</v>
      </c>
      <c r="S810" s="301">
        <v>17096</v>
      </c>
      <c r="T810" s="66" t="s">
        <v>293</v>
      </c>
      <c r="U810" s="79">
        <v>45152.261111111111</v>
      </c>
      <c r="V810" s="66" t="s">
        <v>469</v>
      </c>
      <c r="W810" s="79"/>
      <c r="X810" s="79">
        <v>45152.560416666667</v>
      </c>
      <c r="Y810" s="88">
        <v>45152.661111111112</v>
      </c>
      <c r="Z810" s="81"/>
      <c r="AA810" s="81"/>
      <c r="AB810" s="81"/>
      <c r="AC810" s="81"/>
      <c r="AD810" s="81">
        <v>3245.68</v>
      </c>
      <c r="AE810" s="81"/>
      <c r="AF810" s="81">
        <v>596.4</v>
      </c>
      <c r="AG810" s="81">
        <f>Sal_23[[#This Row],[COMPRA]]*12%</f>
        <v>523.91999999999996</v>
      </c>
      <c r="AH810" s="83">
        <v>4366</v>
      </c>
      <c r="AI810" s="66" t="str">
        <f>PROPER(TEXT(Sal_23[[#This Row],[PROGRAMAÇÃO]],"mmm"))</f>
        <v>Ago</v>
      </c>
      <c r="AJ810" s="66">
        <f>YEAR(Sal_23[[#This Row],[PROGRAMAÇÃO]])</f>
        <v>2023</v>
      </c>
      <c r="AK810" s="66" t="s">
        <v>5962</v>
      </c>
      <c r="AL810" s="66" t="s">
        <v>3602</v>
      </c>
      <c r="AM810" s="66"/>
      <c r="AN810" s="66"/>
      <c r="AO810" s="66" t="s">
        <v>2768</v>
      </c>
    </row>
    <row r="811" spans="2:41" x14ac:dyDescent="0.25">
      <c r="B811" s="128" t="s">
        <v>2771</v>
      </c>
      <c r="C81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11" s="79">
        <v>45152.333333333336</v>
      </c>
      <c r="E811" s="44" t="s">
        <v>5865</v>
      </c>
      <c r="F811" s="66">
        <v>40</v>
      </c>
      <c r="G811" s="66" t="s">
        <v>2826</v>
      </c>
      <c r="H811" s="44" t="s">
        <v>1674</v>
      </c>
      <c r="I811" s="299" t="s">
        <v>2829</v>
      </c>
      <c r="J811" s="66">
        <v>8000</v>
      </c>
      <c r="K811" s="66" t="s">
        <v>5847</v>
      </c>
      <c r="L811" s="66">
        <v>109037</v>
      </c>
      <c r="M811" s="66">
        <v>109038</v>
      </c>
      <c r="N811" s="66" t="s">
        <v>890</v>
      </c>
      <c r="O811" s="66" t="s">
        <v>179</v>
      </c>
      <c r="P811" s="66" t="s">
        <v>5166</v>
      </c>
      <c r="Q811" s="138" t="str">
        <f ca="1">IFERROR(LOOKUP($P811,MOTORISTAS!$D$3:$D$1048576,MOTORISTAS!E$3:E$916),"")</f>
        <v>43345159830</v>
      </c>
      <c r="R811" s="138" t="str">
        <f ca="1">IFERROR(LOOKUP($P811,MOTORISTAS!$D$3:$D$1048576,MOTORISTAS!F$3:F$916),"")</f>
        <v>05585211593</v>
      </c>
      <c r="S811" s="251">
        <v>17037</v>
      </c>
      <c r="T811" s="66" t="s">
        <v>293</v>
      </c>
      <c r="U811" s="79">
        <v>45148.289583333331</v>
      </c>
      <c r="V811" s="66" t="s">
        <v>469</v>
      </c>
      <c r="W811" s="79">
        <v>45148.958333333336</v>
      </c>
      <c r="X811" s="79">
        <v>45148.497916666667</v>
      </c>
      <c r="Y811" s="88">
        <v>45148.693749999999</v>
      </c>
      <c r="Z811" s="81"/>
      <c r="AA811" s="81"/>
      <c r="AB811" s="81"/>
      <c r="AC811" s="81"/>
      <c r="AD811" s="81">
        <v>3472.48</v>
      </c>
      <c r="AE811" s="81"/>
      <c r="AF811" s="81">
        <v>621.6</v>
      </c>
      <c r="AG811" s="81">
        <v>558.28319999999997</v>
      </c>
      <c r="AH811" s="83">
        <v>4652.3599999999997</v>
      </c>
      <c r="AI811" s="66" t="str">
        <f>PROPER(TEXT(Sal_23[[#This Row],[PROGRAMAÇÃO]],"mmm"))</f>
        <v>Ago</v>
      </c>
      <c r="AJ811" s="66">
        <f>YEAR(Sal_23[[#This Row],[PROGRAMAÇÃO]])</f>
        <v>2023</v>
      </c>
      <c r="AK811" s="66"/>
      <c r="AL811" s="66"/>
      <c r="AM811" s="66" t="s">
        <v>2768</v>
      </c>
      <c r="AN811" s="66" t="s">
        <v>2768</v>
      </c>
      <c r="AO811" s="66" t="s">
        <v>2768</v>
      </c>
    </row>
    <row r="812" spans="2:41" x14ac:dyDescent="0.25">
      <c r="B812" s="128" t="s">
        <v>2771</v>
      </c>
      <c r="C81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12" s="79">
        <v>45149.333333333336</v>
      </c>
      <c r="E812" s="44" t="s">
        <v>5866</v>
      </c>
      <c r="F812" s="66">
        <v>40</v>
      </c>
      <c r="G812" s="66" t="s">
        <v>2826</v>
      </c>
      <c r="H812" s="44" t="s">
        <v>1674</v>
      </c>
      <c r="I812" s="299" t="s">
        <v>2829</v>
      </c>
      <c r="J812" s="66">
        <v>8019</v>
      </c>
      <c r="K812" s="66" t="s">
        <v>5847</v>
      </c>
      <c r="L812" s="66">
        <v>109086</v>
      </c>
      <c r="M812" s="66">
        <v>109087</v>
      </c>
      <c r="N812" s="66" t="s">
        <v>210</v>
      </c>
      <c r="O812" s="66" t="s">
        <v>211</v>
      </c>
      <c r="P812" s="66" t="s">
        <v>212</v>
      </c>
      <c r="Q812" s="138" t="str">
        <f ca="1">IFERROR(LOOKUP($P812,MOTORISTAS!$D$3:$D$1048576,MOTORISTAS!E$3:E$916),"")</f>
        <v>38029906846</v>
      </c>
      <c r="R812" s="138" t="str">
        <f ca="1">IFERROR(LOOKUP($P812,MOTORISTAS!$D$3:$D$1048576,MOTORISTAS!F$3:F$916),"")</f>
        <v>04946846842</v>
      </c>
      <c r="S812" s="251">
        <v>17070</v>
      </c>
      <c r="T812" s="66" t="s">
        <v>293</v>
      </c>
      <c r="U812" s="79">
        <v>45149.05</v>
      </c>
      <c r="V812" s="66" t="s">
        <v>469</v>
      </c>
      <c r="W812" s="79">
        <v>45149.74722222222</v>
      </c>
      <c r="X812" s="79">
        <v>45149.277777777781</v>
      </c>
      <c r="Y812" s="88">
        <v>45149.529861111114</v>
      </c>
      <c r="Z812" s="81"/>
      <c r="AA812" s="81"/>
      <c r="AB812" s="81"/>
      <c r="AC812" s="81"/>
      <c r="AD812" s="81">
        <v>3472.48</v>
      </c>
      <c r="AE812" s="81"/>
      <c r="AF812" s="81">
        <v>621.6</v>
      </c>
      <c r="AG812" s="81">
        <v>558.28319999999997</v>
      </c>
      <c r="AH812" s="83">
        <v>4652.3599999999997</v>
      </c>
      <c r="AI812" s="66" t="str">
        <f>PROPER(TEXT(Sal_23[[#This Row],[PROGRAMAÇÃO]],"mmm"))</f>
        <v>Ago</v>
      </c>
      <c r="AJ812" s="66">
        <f>YEAR(Sal_23[[#This Row],[PROGRAMAÇÃO]])</f>
        <v>2023</v>
      </c>
      <c r="AK812" s="66"/>
      <c r="AL812" s="66"/>
      <c r="AM812" s="66" t="s">
        <v>2768</v>
      </c>
      <c r="AN812" s="66" t="s">
        <v>2768</v>
      </c>
      <c r="AO812" s="66" t="s">
        <v>2768</v>
      </c>
    </row>
    <row r="813" spans="2:41" x14ac:dyDescent="0.25">
      <c r="B813" s="128" t="s">
        <v>2771</v>
      </c>
      <c r="C81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13" s="79">
        <v>45153.333333333336</v>
      </c>
      <c r="E813" s="44" t="s">
        <v>5844</v>
      </c>
      <c r="F813" s="66">
        <v>40</v>
      </c>
      <c r="G813" s="66" t="s">
        <v>2826</v>
      </c>
      <c r="H813" s="44" t="s">
        <v>1674</v>
      </c>
      <c r="I813" s="299" t="s">
        <v>2829</v>
      </c>
      <c r="J813" s="66">
        <v>7890</v>
      </c>
      <c r="K813" s="66" t="s">
        <v>5847</v>
      </c>
      <c r="L813" s="66">
        <v>108750</v>
      </c>
      <c r="M813" s="66">
        <v>108751</v>
      </c>
      <c r="N813" s="66" t="s">
        <v>210</v>
      </c>
      <c r="O813" s="66" t="s">
        <v>211</v>
      </c>
      <c r="P813" s="66" t="s">
        <v>212</v>
      </c>
      <c r="Q813" s="138" t="str">
        <f ca="1">IFERROR(LOOKUP($P813,MOTORISTAS!$D$3:$D$1048576,MOTORISTAS!E$3:E$916),"")</f>
        <v>38029906846</v>
      </c>
      <c r="R813" s="138" t="str">
        <f ca="1">IFERROR(LOOKUP($P813,MOTORISTAS!$D$3:$D$1048576,MOTORISTAS!F$3:F$916),"")</f>
        <v>04946846842</v>
      </c>
      <c r="S813" s="251">
        <v>17115</v>
      </c>
      <c r="T813" s="66" t="s">
        <v>293</v>
      </c>
      <c r="U813" s="79">
        <v>45152.990277777775</v>
      </c>
      <c r="V813" s="66" t="s">
        <v>469</v>
      </c>
      <c r="W813" s="79">
        <v>45153.667361111111</v>
      </c>
      <c r="X813" s="79">
        <v>45153.217361111114</v>
      </c>
      <c r="Y813" s="88">
        <v>45153.472222222219</v>
      </c>
      <c r="Z813" s="81"/>
      <c r="AA813" s="81"/>
      <c r="AB813" s="81"/>
      <c r="AC813" s="81"/>
      <c r="AD813" s="81">
        <v>3472.48</v>
      </c>
      <c r="AE813" s="81"/>
      <c r="AF813" s="81">
        <v>621.6</v>
      </c>
      <c r="AG813" s="81">
        <v>558.28319999999997</v>
      </c>
      <c r="AH813" s="83">
        <v>4652.3599999999997</v>
      </c>
      <c r="AI813" s="66" t="str">
        <f>PROPER(TEXT(Sal_23[[#This Row],[PROGRAMAÇÃO]],"mmm"))</f>
        <v>Ago</v>
      </c>
      <c r="AJ813" s="66">
        <f>YEAR(Sal_23[[#This Row],[PROGRAMAÇÃO]])</f>
        <v>2023</v>
      </c>
      <c r="AK813" s="66"/>
      <c r="AL813" s="66"/>
      <c r="AM813" s="66" t="s">
        <v>2768</v>
      </c>
      <c r="AN813" s="66" t="s">
        <v>2768</v>
      </c>
      <c r="AO813" s="66" t="s">
        <v>2768</v>
      </c>
    </row>
    <row r="814" spans="2:41" x14ac:dyDescent="0.25">
      <c r="B814" s="128" t="s">
        <v>2771</v>
      </c>
      <c r="C81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14" s="79">
        <v>45153.333333333336</v>
      </c>
      <c r="E814" s="44" t="s">
        <v>5845</v>
      </c>
      <c r="F814" s="66">
        <v>40</v>
      </c>
      <c r="G814" s="66" t="s">
        <v>2826</v>
      </c>
      <c r="H814" s="44" t="s">
        <v>1674</v>
      </c>
      <c r="I814" s="299" t="s">
        <v>2829</v>
      </c>
      <c r="J814" s="66">
        <v>7889</v>
      </c>
      <c r="K814" s="66" t="s">
        <v>5847</v>
      </c>
      <c r="L814" s="66">
        <v>108748</v>
      </c>
      <c r="M814" s="66">
        <v>108749</v>
      </c>
      <c r="N814" s="66" t="s">
        <v>1729</v>
      </c>
      <c r="O814" s="66" t="s">
        <v>4556</v>
      </c>
      <c r="P814" s="66" t="s">
        <v>1731</v>
      </c>
      <c r="Q814" s="138" t="str">
        <f ca="1">IFERROR(LOOKUP($P814,MOTORISTAS!$D$3:$D$1048576,MOTORISTAS!E$3:E$916),"")</f>
        <v>03965340824</v>
      </c>
      <c r="R814" s="138" t="str">
        <f ca="1">IFERROR(LOOKUP($P814,MOTORISTAS!$D$3:$D$1048576,MOTORISTAS!F$3:F$916),"")</f>
        <v>01420704735</v>
      </c>
      <c r="S814" s="251">
        <v>17116</v>
      </c>
      <c r="T814" s="66" t="s">
        <v>293</v>
      </c>
      <c r="U814" s="79">
        <v>45152.947222222225</v>
      </c>
      <c r="V814" s="66" t="s">
        <v>469</v>
      </c>
      <c r="W814" s="79">
        <v>45153.609027777777</v>
      </c>
      <c r="X814" s="79">
        <v>45153.170138888891</v>
      </c>
      <c r="Y814" s="88">
        <v>45153.416666666664</v>
      </c>
      <c r="Z814" s="81"/>
      <c r="AA814" s="81"/>
      <c r="AB814" s="81"/>
      <c r="AC814" s="81"/>
      <c r="AD814" s="81">
        <v>3472.48</v>
      </c>
      <c r="AE814" s="81"/>
      <c r="AF814" s="81">
        <v>621.6</v>
      </c>
      <c r="AG814" s="81">
        <v>558.28319999999997</v>
      </c>
      <c r="AH814" s="83">
        <v>4652.3599999999997</v>
      </c>
      <c r="AI814" s="66" t="str">
        <f>PROPER(TEXT(Sal_23[[#This Row],[PROGRAMAÇÃO]],"mmm"))</f>
        <v>Ago</v>
      </c>
      <c r="AJ814" s="66">
        <f>YEAR(Sal_23[[#This Row],[PROGRAMAÇÃO]])</f>
        <v>2023</v>
      </c>
      <c r="AK814" s="66"/>
      <c r="AL814" s="66"/>
      <c r="AM814" s="66" t="s">
        <v>2768</v>
      </c>
      <c r="AN814" s="66" t="s">
        <v>2768</v>
      </c>
      <c r="AO814" s="66" t="s">
        <v>2768</v>
      </c>
    </row>
    <row r="815" spans="2:41" x14ac:dyDescent="0.25">
      <c r="B815" s="128" t="s">
        <v>3295</v>
      </c>
      <c r="C81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15" s="79">
        <v>45153.333333333336</v>
      </c>
      <c r="E815" s="44" t="s">
        <v>5861</v>
      </c>
      <c r="F815" s="66">
        <v>40</v>
      </c>
      <c r="G815" s="66" t="s">
        <v>2826</v>
      </c>
      <c r="H815" s="44" t="s">
        <v>3910</v>
      </c>
      <c r="I815" s="299" t="s">
        <v>3909</v>
      </c>
      <c r="J815" s="66">
        <v>8023</v>
      </c>
      <c r="K815" s="66" t="s">
        <v>5847</v>
      </c>
      <c r="L815" s="66">
        <v>120518</v>
      </c>
      <c r="M815" s="66"/>
      <c r="N815" s="66" t="s">
        <v>119</v>
      </c>
      <c r="O815" s="66" t="s">
        <v>120</v>
      </c>
      <c r="P815" s="66" t="s">
        <v>5716</v>
      </c>
      <c r="Q815" s="138" t="str">
        <f ca="1">IFERROR(LOOKUP($P815,MOTORISTAS!$D$3:$D$1048576,MOTORISTAS!E$3:E$916),"")</f>
        <v>31684571839</v>
      </c>
      <c r="R815" s="138" t="str">
        <f ca="1">IFERROR(LOOKUP($P815,MOTORISTAS!$D$3:$D$1048576,MOTORISTAS!F$3:F$916),"")</f>
        <v>02434315740</v>
      </c>
      <c r="S815" s="301">
        <v>17117</v>
      </c>
      <c r="T815" s="66" t="s">
        <v>293</v>
      </c>
      <c r="U815" s="79">
        <v>45152.929166666669</v>
      </c>
      <c r="V815" s="66" t="s">
        <v>469</v>
      </c>
      <c r="W815" s="79"/>
      <c r="X815" s="79">
        <v>45153.055555555555</v>
      </c>
      <c r="Y815" s="81"/>
      <c r="Z815" s="81"/>
      <c r="AA815" s="81"/>
      <c r="AB815" s="81"/>
      <c r="AC815" s="81"/>
      <c r="AD815" s="81">
        <v>2557.9699999999998</v>
      </c>
      <c r="AE815" s="81"/>
      <c r="AF815" s="81">
        <v>372.6</v>
      </c>
      <c r="AG815" s="81">
        <v>399.62279999999998</v>
      </c>
      <c r="AH815" s="83">
        <v>3330.19</v>
      </c>
      <c r="AI815" s="66" t="str">
        <f>PROPER(TEXT(Sal_23[[#This Row],[PROGRAMAÇÃO]],"mmm"))</f>
        <v>Ago</v>
      </c>
      <c r="AJ815" s="66">
        <f>YEAR(Sal_23[[#This Row],[PROGRAMAÇÃO]])</f>
        <v>2023</v>
      </c>
      <c r="AK815" s="66"/>
      <c r="AL815" s="66"/>
      <c r="AM815" s="66"/>
      <c r="AN815" s="66"/>
      <c r="AO815" s="66" t="s">
        <v>2768</v>
      </c>
    </row>
    <row r="816" spans="2:41" x14ac:dyDescent="0.25">
      <c r="B816" s="128" t="s">
        <v>3295</v>
      </c>
      <c r="C81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16" s="79">
        <v>45153.333333333336</v>
      </c>
      <c r="E816" s="44" t="s">
        <v>5862</v>
      </c>
      <c r="F816" s="66">
        <v>40</v>
      </c>
      <c r="G816" s="66" t="s">
        <v>2826</v>
      </c>
      <c r="H816" s="44" t="s">
        <v>3910</v>
      </c>
      <c r="I816" s="299" t="s">
        <v>3909</v>
      </c>
      <c r="J816" s="66">
        <v>8035</v>
      </c>
      <c r="K816" s="66" t="s">
        <v>5847</v>
      </c>
      <c r="L816" s="66">
        <v>120564</v>
      </c>
      <c r="M816" s="66"/>
      <c r="N816" s="66" t="s">
        <v>890</v>
      </c>
      <c r="O816" s="66" t="s">
        <v>179</v>
      </c>
      <c r="P816" s="66" t="s">
        <v>5166</v>
      </c>
      <c r="Q816" s="138" t="str">
        <f ca="1">IFERROR(LOOKUP($P816,MOTORISTAS!$D$3:$D$1048576,MOTORISTAS!E$3:E$916),"")</f>
        <v>43345159830</v>
      </c>
      <c r="R816" s="138" t="str">
        <f ca="1">IFERROR(LOOKUP($P816,MOTORISTAS!$D$3:$D$1048576,MOTORISTAS!F$3:F$916),"")</f>
        <v>05585211593</v>
      </c>
      <c r="S816" s="301">
        <v>17118</v>
      </c>
      <c r="T816" s="66" t="s">
        <v>293</v>
      </c>
      <c r="U816" s="79">
        <v>45152.898611111108</v>
      </c>
      <c r="V816" s="66" t="s">
        <v>469</v>
      </c>
      <c r="W816" s="79"/>
      <c r="X816" s="79">
        <v>45153.375</v>
      </c>
      <c r="Y816" s="81"/>
      <c r="Z816" s="81"/>
      <c r="AA816" s="81"/>
      <c r="AB816" s="81"/>
      <c r="AC816" s="81"/>
      <c r="AD816" s="81">
        <v>2557.9699999999998</v>
      </c>
      <c r="AE816" s="81"/>
      <c r="AF816" s="81">
        <v>372.6</v>
      </c>
      <c r="AG816" s="81">
        <v>399.62279999999998</v>
      </c>
      <c r="AH816" s="83">
        <v>3330.19</v>
      </c>
      <c r="AI816" s="66" t="str">
        <f>PROPER(TEXT(Sal_23[[#This Row],[PROGRAMAÇÃO]],"mmm"))</f>
        <v>Ago</v>
      </c>
      <c r="AJ816" s="66">
        <f>YEAR(Sal_23[[#This Row],[PROGRAMAÇÃO]])</f>
        <v>2023</v>
      </c>
      <c r="AK816" s="66"/>
      <c r="AL816" s="66"/>
      <c r="AM816" s="66"/>
      <c r="AN816" s="66"/>
      <c r="AO816" s="66" t="s">
        <v>2768</v>
      </c>
    </row>
    <row r="817" spans="2:41" x14ac:dyDescent="0.25">
      <c r="B817" s="128" t="s">
        <v>2771</v>
      </c>
      <c r="C81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17" s="79">
        <v>45149.333333333336</v>
      </c>
      <c r="E817" s="44" t="s">
        <v>5867</v>
      </c>
      <c r="F817" s="66">
        <v>40</v>
      </c>
      <c r="G817" s="66" t="s">
        <v>2826</v>
      </c>
      <c r="H817" s="44" t="s">
        <v>1674</v>
      </c>
      <c r="I817" s="299" t="s">
        <v>2829</v>
      </c>
      <c r="J817" s="66">
        <v>8022</v>
      </c>
      <c r="K817" s="66" t="s">
        <v>5847</v>
      </c>
      <c r="L817" s="66">
        <v>109088</v>
      </c>
      <c r="M817" s="66">
        <v>109089</v>
      </c>
      <c r="N817" s="66" t="s">
        <v>111</v>
      </c>
      <c r="O817" s="66" t="s">
        <v>5926</v>
      </c>
      <c r="P817" s="66" t="s">
        <v>113</v>
      </c>
      <c r="Q817" s="138" t="str">
        <f ca="1">IFERROR(LOOKUP($P817,MOTORISTAS!$D$3:$D$1048576,MOTORISTAS!E$3:E$916),"")</f>
        <v>88265951434</v>
      </c>
      <c r="R817" s="138" t="str">
        <f ca="1">IFERROR(LOOKUP($P817,MOTORISTAS!$D$3:$D$1048576,MOTORISTAS!F$3:F$916),"")</f>
        <v>00920373596</v>
      </c>
      <c r="S817" s="251">
        <v>17075</v>
      </c>
      <c r="T817" s="66" t="s">
        <v>293</v>
      </c>
      <c r="U817" s="79">
        <v>45149.246527777781</v>
      </c>
      <c r="V817" s="66" t="s">
        <v>469</v>
      </c>
      <c r="W817" s="79">
        <v>45149.97152777778</v>
      </c>
      <c r="X817" s="79">
        <v>45149.4375</v>
      </c>
      <c r="Y817" s="88">
        <v>45149.543749999997</v>
      </c>
      <c r="Z817" s="81"/>
      <c r="AA817" s="81"/>
      <c r="AB817" s="81"/>
      <c r="AC817" s="81"/>
      <c r="AD817" s="81">
        <v>3472.48</v>
      </c>
      <c r="AE817" s="81"/>
      <c r="AF817" s="81">
        <v>621.6</v>
      </c>
      <c r="AG817" s="81">
        <v>558.28319999999997</v>
      </c>
      <c r="AH817" s="83">
        <v>4652.3599999999997</v>
      </c>
      <c r="AI817" s="66" t="str">
        <f>PROPER(TEXT(Sal_23[[#This Row],[PROGRAMAÇÃO]],"mmm"))</f>
        <v>Ago</v>
      </c>
      <c r="AJ817" s="66">
        <f>YEAR(Sal_23[[#This Row],[PROGRAMAÇÃO]])</f>
        <v>2023</v>
      </c>
      <c r="AK817" s="66"/>
      <c r="AL817" s="66"/>
      <c r="AM817" s="66" t="s">
        <v>2768</v>
      </c>
      <c r="AN817" s="66" t="s">
        <v>2768</v>
      </c>
      <c r="AO817" s="66" t="s">
        <v>2768</v>
      </c>
    </row>
    <row r="818" spans="2:41" x14ac:dyDescent="0.25">
      <c r="B818" s="128" t="s">
        <v>2771</v>
      </c>
      <c r="C81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18" s="79">
        <v>45152.333333333336</v>
      </c>
      <c r="E818" s="44" t="s">
        <v>5868</v>
      </c>
      <c r="F818" s="66">
        <v>40</v>
      </c>
      <c r="G818" s="66" t="s">
        <v>2826</v>
      </c>
      <c r="H818" s="44" t="s">
        <v>1674</v>
      </c>
      <c r="I818" s="299" t="s">
        <v>2829</v>
      </c>
      <c r="J818" s="66">
        <v>8036</v>
      </c>
      <c r="K818" s="66" t="s">
        <v>5847</v>
      </c>
      <c r="L818" s="66">
        <v>109188</v>
      </c>
      <c r="M818" s="66">
        <v>109189</v>
      </c>
      <c r="N818" s="66" t="s">
        <v>2622</v>
      </c>
      <c r="O818" s="66" t="s">
        <v>2623</v>
      </c>
      <c r="P818" s="66" t="s">
        <v>2624</v>
      </c>
      <c r="Q818" s="138" t="str">
        <f ca="1">IFERROR(LOOKUP($P818,MOTORISTAS!$D$3:$D$1048576,MOTORISTAS!E$3:E$916),"")</f>
        <v>31147992568</v>
      </c>
      <c r="R818" s="138" t="str">
        <f ca="1">IFERROR(LOOKUP($P818,MOTORISTAS!$D$3:$D$1048576,MOTORISTAS!F$3:F$916),"")</f>
        <v>03359999478</v>
      </c>
      <c r="S818" s="251">
        <v>17088</v>
      </c>
      <c r="T818" s="66" t="s">
        <v>293</v>
      </c>
      <c r="U818" s="79">
        <v>45152.020138888889</v>
      </c>
      <c r="V818" s="66" t="s">
        <v>469</v>
      </c>
      <c r="W818" s="79">
        <v>45152.754861111112</v>
      </c>
      <c r="X818" s="79">
        <v>45152.197916666664</v>
      </c>
      <c r="Y818" s="88">
        <v>45152.566666666666</v>
      </c>
      <c r="Z818" s="81"/>
      <c r="AA818" s="81"/>
      <c r="AB818" s="81"/>
      <c r="AC818" s="81"/>
      <c r="AD818" s="81">
        <v>3472.48</v>
      </c>
      <c r="AE818" s="81"/>
      <c r="AF818" s="81">
        <v>621.6</v>
      </c>
      <c r="AG818" s="81">
        <v>558.28319999999997</v>
      </c>
      <c r="AH818" s="83">
        <v>4652.3599999999997</v>
      </c>
      <c r="AI818" s="66" t="str">
        <f>PROPER(TEXT(Sal_23[[#This Row],[PROGRAMAÇÃO]],"mmm"))</f>
        <v>Ago</v>
      </c>
      <c r="AJ818" s="66">
        <f>YEAR(Sal_23[[#This Row],[PROGRAMAÇÃO]])</f>
        <v>2023</v>
      </c>
      <c r="AK818" s="66"/>
      <c r="AL818" s="66"/>
      <c r="AM818" s="66" t="s">
        <v>2768</v>
      </c>
      <c r="AN818" s="66" t="s">
        <v>2768</v>
      </c>
      <c r="AO818" s="66" t="s">
        <v>2768</v>
      </c>
    </row>
    <row r="819" spans="2:41" x14ac:dyDescent="0.25">
      <c r="B819" s="128" t="s">
        <v>3295</v>
      </c>
      <c r="C81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19" s="79">
        <v>45152.333333333336</v>
      </c>
      <c r="E819" s="44" t="s">
        <v>5923</v>
      </c>
      <c r="F819" s="66">
        <v>20</v>
      </c>
      <c r="G819" s="66" t="s">
        <v>5925</v>
      </c>
      <c r="H819" s="44" t="s">
        <v>3116</v>
      </c>
      <c r="I819" s="299" t="s">
        <v>3117</v>
      </c>
      <c r="J819" s="66" t="s">
        <v>5959</v>
      </c>
      <c r="K819" s="66" t="s">
        <v>5847</v>
      </c>
      <c r="L819" s="66">
        <v>1812</v>
      </c>
      <c r="M819" s="66"/>
      <c r="N819" s="66" t="s">
        <v>2584</v>
      </c>
      <c r="O819" s="66" t="s">
        <v>2585</v>
      </c>
      <c r="P819" s="66" t="s">
        <v>2586</v>
      </c>
      <c r="Q819" s="138" t="str">
        <f ca="1">IFERROR(LOOKUP($P819,MOTORISTAS!$D$3:$D$1048576,MOTORISTAS!E$3:E$916),"")</f>
        <v>08312935860</v>
      </c>
      <c r="R819" s="138" t="str">
        <f ca="1">IFERROR(LOOKUP($P819,MOTORISTAS!$D$3:$D$1048576,MOTORISTAS!F$3:F$916),"")</f>
        <v>03106516083</v>
      </c>
      <c r="S819" s="66" t="s">
        <v>5965</v>
      </c>
      <c r="T819" s="66" t="s">
        <v>293</v>
      </c>
      <c r="U819" s="79">
        <v>45151.904166666667</v>
      </c>
      <c r="V819" s="66" t="s">
        <v>537</v>
      </c>
      <c r="W819" s="79"/>
      <c r="X819" s="79">
        <v>45152.041666666664</v>
      </c>
      <c r="Y819" s="88">
        <v>45152.472222222219</v>
      </c>
      <c r="Z819" s="81"/>
      <c r="AA819" s="81"/>
      <c r="AB819" s="81"/>
      <c r="AC819" s="81"/>
      <c r="AD819" s="81">
        <v>2771.55</v>
      </c>
      <c r="AE819" s="81">
        <v>300</v>
      </c>
      <c r="AF819" s="81">
        <v>266.39999999999998</v>
      </c>
      <c r="AG819" s="81">
        <f>Sal_23[[#This Row],[COMPRA]]*12%</f>
        <v>414.26639999999998</v>
      </c>
      <c r="AH819" s="83">
        <v>3452.22</v>
      </c>
      <c r="AI819" s="66" t="str">
        <f>PROPER(TEXT(Sal_23[[#This Row],[PROGRAMAÇÃO]],"mmm"))</f>
        <v>Ago</v>
      </c>
      <c r="AJ819" s="66">
        <f>YEAR(Sal_23[[#This Row],[PROGRAMAÇÃO]])</f>
        <v>2023</v>
      </c>
      <c r="AK819" s="66"/>
      <c r="AL819" s="66"/>
      <c r="AM819" s="66"/>
      <c r="AN819" s="66"/>
      <c r="AO819" s="66" t="s">
        <v>2768</v>
      </c>
    </row>
    <row r="820" spans="2:41" x14ac:dyDescent="0.25">
      <c r="B820" s="128" t="s">
        <v>3295</v>
      </c>
      <c r="C82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20" s="79">
        <v>45152.333333333336</v>
      </c>
      <c r="E820" s="44" t="s">
        <v>5924</v>
      </c>
      <c r="F820" s="66">
        <v>20</v>
      </c>
      <c r="G820" s="66" t="s">
        <v>5925</v>
      </c>
      <c r="H820" s="44" t="s">
        <v>3113</v>
      </c>
      <c r="I820" s="299" t="s">
        <v>3114</v>
      </c>
      <c r="J820" s="66" t="s">
        <v>5960</v>
      </c>
      <c r="K820" s="66" t="s">
        <v>5847</v>
      </c>
      <c r="L820" s="66">
        <v>1813</v>
      </c>
      <c r="M820" s="66"/>
      <c r="N820" s="66" t="s">
        <v>2156</v>
      </c>
      <c r="O820" s="66" t="s">
        <v>2464</v>
      </c>
      <c r="P820" s="66" t="s">
        <v>2158</v>
      </c>
      <c r="Q820" s="138" t="str">
        <f ca="1">IFERROR(LOOKUP($P820,MOTORISTAS!$D$3:$D$1048576,MOTORISTAS!E$3:E$916),"")</f>
        <v>10485530864</v>
      </c>
      <c r="R820" s="138" t="str">
        <f ca="1">IFERROR(LOOKUP($P820,MOTORISTAS!$D$3:$D$1048576,MOTORISTAS!F$3:F$916),"")</f>
        <v>02033192841</v>
      </c>
      <c r="S820" s="66" t="s">
        <v>5966</v>
      </c>
      <c r="T820" s="66" t="s">
        <v>293</v>
      </c>
      <c r="U820" s="79">
        <v>45152.066666666666</v>
      </c>
      <c r="V820" s="66" t="s">
        <v>537</v>
      </c>
      <c r="W820" s="79"/>
      <c r="X820" s="79">
        <v>45152.25</v>
      </c>
      <c r="Y820" s="88">
        <v>45152.466666666667</v>
      </c>
      <c r="Z820" s="81"/>
      <c r="AA820" s="81"/>
      <c r="AB820" s="81"/>
      <c r="AC820" s="81"/>
      <c r="AD820" s="81">
        <v>2791.33</v>
      </c>
      <c r="AE820" s="81">
        <v>300</v>
      </c>
      <c r="AF820" s="81">
        <v>385.2</v>
      </c>
      <c r="AG820" s="81">
        <f>Sal_23[[#This Row],[COMPRA]]*12%</f>
        <v>433.1628</v>
      </c>
      <c r="AH820" s="83">
        <v>3609.69</v>
      </c>
      <c r="AI820" s="66" t="str">
        <f>PROPER(TEXT(Sal_23[[#This Row],[PROGRAMAÇÃO]],"mmm"))</f>
        <v>Ago</v>
      </c>
      <c r="AJ820" s="66">
        <f>YEAR(Sal_23[[#This Row],[PROGRAMAÇÃO]])</f>
        <v>2023</v>
      </c>
      <c r="AK820" s="66"/>
      <c r="AL820" s="66"/>
      <c r="AM820" s="66"/>
      <c r="AN820" s="66"/>
      <c r="AO820" s="66" t="s">
        <v>2768</v>
      </c>
    </row>
    <row r="821" spans="2:41" x14ac:dyDescent="0.25">
      <c r="B821" s="128" t="s">
        <v>2909</v>
      </c>
      <c r="C82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21" s="79">
        <v>45155.375</v>
      </c>
      <c r="E821" s="44" t="s">
        <v>5909</v>
      </c>
      <c r="F821" s="66">
        <v>20</v>
      </c>
      <c r="G821" s="66" t="s">
        <v>2820</v>
      </c>
      <c r="H821" s="44" t="s">
        <v>2820</v>
      </c>
      <c r="I821" s="299" t="s">
        <v>2821</v>
      </c>
      <c r="J821" s="66">
        <v>8356</v>
      </c>
      <c r="K821" s="66" t="s">
        <v>5914</v>
      </c>
      <c r="L821" s="66">
        <v>109395</v>
      </c>
      <c r="M821" s="66"/>
      <c r="N821" s="66" t="s">
        <v>2859</v>
      </c>
      <c r="O821" s="66" t="s">
        <v>2860</v>
      </c>
      <c r="P821" s="66" t="s">
        <v>2861</v>
      </c>
      <c r="Q821" s="138" t="str">
        <f ca="1">IFERROR(LOOKUP($P821,MOTORISTAS!$D$3:$D$1048576,MOTORISTAS!E$3:E$916),"")</f>
        <v>01817591878</v>
      </c>
      <c r="R821" s="138" t="str">
        <f ca="1">IFERROR(LOOKUP($P821,MOTORISTAS!$D$3:$D$1048576,MOTORISTAS!F$3:F$916),"")</f>
        <v>00821760640</v>
      </c>
      <c r="S821" s="66">
        <v>17147</v>
      </c>
      <c r="T821" s="66" t="s">
        <v>293</v>
      </c>
      <c r="U821" s="79">
        <v>45154.40347222222</v>
      </c>
      <c r="V821" s="66"/>
      <c r="W821" s="79"/>
      <c r="X821" s="79">
        <v>45155.166666666664</v>
      </c>
      <c r="Y821" s="88">
        <v>45155.496527777781</v>
      </c>
      <c r="Z821" s="81"/>
      <c r="AA821" s="81"/>
      <c r="AB821" s="81"/>
      <c r="AC821" s="81"/>
      <c r="AD821" s="81"/>
      <c r="AE821" s="81"/>
      <c r="AF821" s="81"/>
      <c r="AG821" s="81">
        <f>Sal_23[[#This Row],[COMPRA]]*12%</f>
        <v>0</v>
      </c>
      <c r="AH821" s="83"/>
      <c r="AI821" s="66" t="str">
        <f>PROPER(TEXT(Sal_23[[#This Row],[PROGRAMAÇÃO]],"mmm"))</f>
        <v>Ago</v>
      </c>
      <c r="AJ821" s="66">
        <f>YEAR(Sal_23[[#This Row],[PROGRAMAÇÃO]])</f>
        <v>2023</v>
      </c>
      <c r="AK821" s="66"/>
      <c r="AL821" s="66"/>
      <c r="AM821" s="66"/>
      <c r="AN821" s="66"/>
      <c r="AO821" s="66"/>
    </row>
    <row r="822" spans="2:41" x14ac:dyDescent="0.25">
      <c r="B822" s="128" t="s">
        <v>2909</v>
      </c>
      <c r="C82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22" s="79">
        <v>45155.375</v>
      </c>
      <c r="E822" s="44" t="s">
        <v>5910</v>
      </c>
      <c r="F822" s="66">
        <v>20</v>
      </c>
      <c r="G822" s="66" t="s">
        <v>2820</v>
      </c>
      <c r="H822" s="44" t="s">
        <v>2820</v>
      </c>
      <c r="I822" s="299" t="s">
        <v>2821</v>
      </c>
      <c r="J822" s="66">
        <v>8355</v>
      </c>
      <c r="K822" s="66" t="s">
        <v>5914</v>
      </c>
      <c r="L822" s="66">
        <v>109396</v>
      </c>
      <c r="M822" s="66"/>
      <c r="N822" s="66" t="s">
        <v>3028</v>
      </c>
      <c r="O822" s="66" t="s">
        <v>2261</v>
      </c>
      <c r="P822" s="66" t="s">
        <v>5816</v>
      </c>
      <c r="Q822" s="138" t="str">
        <f ca="1">IFERROR(LOOKUP($P822,MOTORISTAS!$D$3:$D$1048576,MOTORISTAS!E$3:E$916),"")</f>
        <v>13990937898</v>
      </c>
      <c r="R822" s="138" t="str">
        <f ca="1">IFERROR(LOOKUP($P822,MOTORISTAS!$D$3:$D$1048576,MOTORISTAS!F$3:F$916),"")</f>
        <v>01825123407</v>
      </c>
      <c r="S822" s="66">
        <v>17148</v>
      </c>
      <c r="T822" s="66" t="s">
        <v>293</v>
      </c>
      <c r="U822" s="79">
        <v>45155.767361111109</v>
      </c>
      <c r="V822" s="66"/>
      <c r="W822" s="79"/>
      <c r="X822" s="79">
        <v>45155.166666666664</v>
      </c>
      <c r="Y822" s="81">
        <v>45155.496527777781</v>
      </c>
      <c r="Z822" s="81"/>
      <c r="AA822" s="81"/>
      <c r="AB822" s="81"/>
      <c r="AC822" s="81"/>
      <c r="AD822" s="81"/>
      <c r="AE822" s="81"/>
      <c r="AF822" s="81"/>
      <c r="AG822" s="81">
        <f>Sal_23[[#This Row],[COMPRA]]*12%</f>
        <v>0</v>
      </c>
      <c r="AH822" s="83"/>
      <c r="AI822" s="66" t="str">
        <f>PROPER(TEXT(Sal_23[[#This Row],[PROGRAMAÇÃO]],"mmm"))</f>
        <v>Ago</v>
      </c>
      <c r="AJ822" s="66">
        <f>YEAR(Sal_23[[#This Row],[PROGRAMAÇÃO]])</f>
        <v>2023</v>
      </c>
      <c r="AK822" s="66"/>
      <c r="AL822" s="66"/>
      <c r="AM822" s="66"/>
      <c r="AN822" s="66"/>
      <c r="AO822" s="66"/>
    </row>
    <row r="823" spans="2:41" x14ac:dyDescent="0.25">
      <c r="B823" s="128" t="s">
        <v>3295</v>
      </c>
      <c r="C82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23" s="79">
        <v>45156.375</v>
      </c>
      <c r="E823" s="44" t="s">
        <v>5908</v>
      </c>
      <c r="F823" s="66">
        <v>20</v>
      </c>
      <c r="G823" s="66" t="s">
        <v>2820</v>
      </c>
      <c r="H823" s="44" t="s">
        <v>2820</v>
      </c>
      <c r="I823" s="299" t="s">
        <v>2821</v>
      </c>
      <c r="J823" s="66">
        <v>8354</v>
      </c>
      <c r="K823" s="66" t="s">
        <v>5914</v>
      </c>
      <c r="L823" s="66">
        <v>109343</v>
      </c>
      <c r="M823" s="66"/>
      <c r="N823" s="66" t="s">
        <v>3028</v>
      </c>
      <c r="O823" s="66" t="s">
        <v>2261</v>
      </c>
      <c r="P823" s="66" t="s">
        <v>5816</v>
      </c>
      <c r="Q823" s="138" t="str">
        <f ca="1">IFERROR(LOOKUP($P823,MOTORISTAS!$D$3:$D$1048576,MOTORISTAS!E$3:E$916),"")</f>
        <v>13990937898</v>
      </c>
      <c r="R823" s="138" t="str">
        <f ca="1">IFERROR(LOOKUP($P823,MOTORISTAS!$D$3:$D$1048576,MOTORISTAS!F$3:F$916),"")</f>
        <v>01825123407</v>
      </c>
      <c r="S823" s="66">
        <v>17168</v>
      </c>
      <c r="T823" s="66" t="s">
        <v>293</v>
      </c>
      <c r="U823" s="79">
        <v>45155.940972222219</v>
      </c>
      <c r="V823" s="66"/>
      <c r="W823" s="79"/>
      <c r="X823" s="79">
        <v>45156.104166666664</v>
      </c>
      <c r="Y823" s="81"/>
      <c r="Z823" s="81"/>
      <c r="AA823" s="81"/>
      <c r="AB823" s="81"/>
      <c r="AC823" s="81"/>
      <c r="AD823" s="81"/>
      <c r="AE823" s="81"/>
      <c r="AF823" s="81"/>
      <c r="AG823" s="81">
        <f>Sal_23[[#This Row],[COMPRA]]*12%</f>
        <v>0</v>
      </c>
      <c r="AH823" s="83"/>
      <c r="AI823" s="66" t="str">
        <f>PROPER(TEXT(Sal_23[[#This Row],[PROGRAMAÇÃO]],"mmm"))</f>
        <v>Ago</v>
      </c>
      <c r="AJ823" s="66">
        <f>YEAR(Sal_23[[#This Row],[PROGRAMAÇÃO]])</f>
        <v>2023</v>
      </c>
      <c r="AK823" s="66"/>
      <c r="AL823" s="66"/>
      <c r="AM823" s="66"/>
      <c r="AN823" s="66"/>
      <c r="AO823" s="66"/>
    </row>
    <row r="824" spans="2:41" x14ac:dyDescent="0.25">
      <c r="B824" s="128" t="s">
        <v>3295</v>
      </c>
      <c r="C82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24" s="79">
        <v>45156.375</v>
      </c>
      <c r="E824" s="44" t="s">
        <v>5911</v>
      </c>
      <c r="F824" s="66">
        <v>20</v>
      </c>
      <c r="G824" s="66" t="s">
        <v>2820</v>
      </c>
      <c r="H824" s="44" t="s">
        <v>2820</v>
      </c>
      <c r="I824" s="299" t="s">
        <v>2821</v>
      </c>
      <c r="J824" s="66">
        <v>8353</v>
      </c>
      <c r="K824" s="66" t="s">
        <v>5914</v>
      </c>
      <c r="L824" s="66">
        <v>120920</v>
      </c>
      <c r="M824" s="66"/>
      <c r="N824" s="66" t="s">
        <v>2949</v>
      </c>
      <c r="O824" s="66" t="s">
        <v>4701</v>
      </c>
      <c r="P824" s="66" t="s">
        <v>2948</v>
      </c>
      <c r="Q824" s="138" t="str">
        <f ca="1">IFERROR(LOOKUP($P824,MOTORISTAS!$D$3:$D$1048576,MOTORISTAS!E$3:E$916),"")</f>
        <v>16239341843</v>
      </c>
      <c r="R824" s="138" t="str">
        <f ca="1">IFERROR(LOOKUP($P824,MOTORISTAS!$D$3:$D$1048576,MOTORISTAS!F$3:F$916),"")</f>
        <v>01877235038</v>
      </c>
      <c r="S824" s="66">
        <v>17169</v>
      </c>
      <c r="T824" s="66" t="s">
        <v>293</v>
      </c>
      <c r="U824" s="79">
        <v>45156.331250000003</v>
      </c>
      <c r="V824" s="66"/>
      <c r="W824" s="79"/>
      <c r="X824" s="79">
        <v>45156.375</v>
      </c>
      <c r="Y824" s="81"/>
      <c r="Z824" s="81"/>
      <c r="AA824" s="81"/>
      <c r="AB824" s="81"/>
      <c r="AC824" s="81"/>
      <c r="AD824" s="81"/>
      <c r="AE824" s="81"/>
      <c r="AF824" s="81"/>
      <c r="AG824" s="81">
        <f>Sal_23[[#This Row],[COMPRA]]*12%</f>
        <v>0</v>
      </c>
      <c r="AH824" s="83"/>
      <c r="AI824" s="66" t="str">
        <f>PROPER(TEXT(Sal_23[[#This Row],[PROGRAMAÇÃO]],"mmm"))</f>
        <v>Ago</v>
      </c>
      <c r="AJ824" s="66">
        <f>YEAR(Sal_23[[#This Row],[PROGRAMAÇÃO]])</f>
        <v>2023</v>
      </c>
      <c r="AK824" s="66"/>
      <c r="AL824" s="66"/>
      <c r="AM824" s="66"/>
      <c r="AN824" s="66"/>
      <c r="AO824" s="66"/>
    </row>
    <row r="825" spans="2:41" x14ac:dyDescent="0.25">
      <c r="B825" s="128" t="s">
        <v>2798</v>
      </c>
      <c r="C82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25" s="79">
        <v>45159.375</v>
      </c>
      <c r="E825" s="44" t="s">
        <v>5912</v>
      </c>
      <c r="F825" s="66">
        <v>20</v>
      </c>
      <c r="G825" s="66" t="s">
        <v>2820</v>
      </c>
      <c r="H825" s="44" t="s">
        <v>2820</v>
      </c>
      <c r="I825" s="299" t="s">
        <v>2821</v>
      </c>
      <c r="J825" s="66">
        <v>8352</v>
      </c>
      <c r="K825" s="66" t="s">
        <v>5914</v>
      </c>
      <c r="L825" s="66">
        <v>73157</v>
      </c>
      <c r="M825" s="66"/>
      <c r="N825" s="66" t="s">
        <v>2859</v>
      </c>
      <c r="O825" s="66" t="s">
        <v>2860</v>
      </c>
      <c r="P825" s="66" t="s">
        <v>2861</v>
      </c>
      <c r="Q825" s="138" t="str">
        <f ca="1">IFERROR(LOOKUP($P825,MOTORISTAS!$D$3:$D$1048576,MOTORISTAS!E$3:E$916),"")</f>
        <v>01817591878</v>
      </c>
      <c r="R825" s="138" t="str">
        <f ca="1">IFERROR(LOOKUP($P825,MOTORISTAS!$D$3:$D$1048576,MOTORISTAS!F$3:F$916),"")</f>
        <v>00821760640</v>
      </c>
      <c r="S825" s="66">
        <v>17180</v>
      </c>
      <c r="T825" s="66" t="s">
        <v>293</v>
      </c>
      <c r="U825" s="79">
        <v>45159.015277777777</v>
      </c>
      <c r="V825" s="66"/>
      <c r="W825" s="79"/>
      <c r="X825" s="79"/>
      <c r="Y825" s="81"/>
      <c r="Z825" s="81"/>
      <c r="AA825" s="81"/>
      <c r="AB825" s="81"/>
      <c r="AC825" s="81"/>
      <c r="AD825" s="81"/>
      <c r="AE825" s="81"/>
      <c r="AF825" s="81"/>
      <c r="AG825" s="81">
        <f>Sal_23[[#This Row],[COMPRA]]*12%</f>
        <v>0</v>
      </c>
      <c r="AH825" s="83"/>
      <c r="AI825" s="66" t="str">
        <f>PROPER(TEXT(Sal_23[[#This Row],[PROGRAMAÇÃO]],"mmm"))</f>
        <v>Ago</v>
      </c>
      <c r="AJ825" s="66">
        <f>YEAR(Sal_23[[#This Row],[PROGRAMAÇÃO]])</f>
        <v>2023</v>
      </c>
      <c r="AK825" s="66"/>
      <c r="AL825" s="66"/>
      <c r="AM825" s="66"/>
      <c r="AN825" s="66"/>
      <c r="AO825" s="66"/>
    </row>
    <row r="826" spans="2:41" x14ac:dyDescent="0.25">
      <c r="B826" s="128" t="s">
        <v>2798</v>
      </c>
      <c r="C82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26" s="79">
        <v>45159.375</v>
      </c>
      <c r="E826" s="44" t="s">
        <v>5913</v>
      </c>
      <c r="F826" s="66">
        <v>20</v>
      </c>
      <c r="G826" s="66" t="s">
        <v>2820</v>
      </c>
      <c r="H826" s="44" t="s">
        <v>2820</v>
      </c>
      <c r="I826" s="299" t="s">
        <v>2821</v>
      </c>
      <c r="J826" s="66">
        <v>8351</v>
      </c>
      <c r="K826" s="66" t="s">
        <v>5914</v>
      </c>
      <c r="L826" s="66">
        <v>73161</v>
      </c>
      <c r="M826" s="66">
        <v>73163</v>
      </c>
      <c r="N826" s="66" t="s">
        <v>3028</v>
      </c>
      <c r="O826" s="66" t="s">
        <v>2261</v>
      </c>
      <c r="P826" s="66" t="s">
        <v>5816</v>
      </c>
      <c r="Q826" s="138" t="str">
        <f ca="1">IFERROR(LOOKUP($P826,MOTORISTAS!$D$3:$D$1048576,MOTORISTAS!E$3:E$916),"")</f>
        <v>13990937898</v>
      </c>
      <c r="R826" s="138" t="str">
        <f ca="1">IFERROR(LOOKUP($P826,MOTORISTAS!$D$3:$D$1048576,MOTORISTAS!F$3:F$916),"")</f>
        <v>01825123407</v>
      </c>
      <c r="S826" s="66">
        <v>17181</v>
      </c>
      <c r="T826" s="66" t="s">
        <v>293</v>
      </c>
      <c r="U826" s="79">
        <v>45159.04583333333</v>
      </c>
      <c r="V826" s="66"/>
      <c r="W826" s="79"/>
      <c r="X826" s="79"/>
      <c r="Y826" s="81"/>
      <c r="Z826" s="81"/>
      <c r="AA826" s="81"/>
      <c r="AB826" s="81"/>
      <c r="AC826" s="81"/>
      <c r="AD826" s="81"/>
      <c r="AE826" s="81"/>
      <c r="AF826" s="81"/>
      <c r="AG826" s="81">
        <f>Sal_23[[#This Row],[COMPRA]]*12%</f>
        <v>0</v>
      </c>
      <c r="AH826" s="83"/>
      <c r="AI826" s="66" t="str">
        <f>PROPER(TEXT(Sal_23[[#This Row],[PROGRAMAÇÃO]],"mmm"))</f>
        <v>Ago</v>
      </c>
      <c r="AJ826" s="66">
        <f>YEAR(Sal_23[[#This Row],[PROGRAMAÇÃO]])</f>
        <v>2023</v>
      </c>
      <c r="AK826" s="66"/>
      <c r="AL826" s="66"/>
      <c r="AM826" s="66"/>
      <c r="AN826" s="66"/>
      <c r="AO826" s="66"/>
    </row>
    <row r="827" spans="2:41" x14ac:dyDescent="0.25">
      <c r="B827" s="128" t="s">
        <v>2909</v>
      </c>
      <c r="C82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27" s="79">
        <v>45155.333333333336</v>
      </c>
      <c r="E827" s="44" t="s">
        <v>5984</v>
      </c>
      <c r="F827" s="66">
        <v>20</v>
      </c>
      <c r="G827" s="66" t="s">
        <v>2826</v>
      </c>
      <c r="H827" s="44" t="s">
        <v>2827</v>
      </c>
      <c r="I827" s="299" t="s">
        <v>2823</v>
      </c>
      <c r="J827" s="66">
        <v>8381</v>
      </c>
      <c r="K827" s="66" t="s">
        <v>5914</v>
      </c>
      <c r="L827" s="66">
        <v>109303</v>
      </c>
      <c r="M827" s="66"/>
      <c r="N827" s="66" t="s">
        <v>5609</v>
      </c>
      <c r="O827" s="66" t="s">
        <v>2946</v>
      </c>
      <c r="P827" s="66" t="s">
        <v>1845</v>
      </c>
      <c r="Q827" s="138" t="str">
        <f ca="1">IFERROR(LOOKUP($P827,MOTORISTAS!$D$3:$D$1048576,MOTORISTAS!E$3:E$916),"")</f>
        <v>05826127805</v>
      </c>
      <c r="R827" s="138" t="str">
        <f ca="1">IFERROR(LOOKUP($P827,MOTORISTAS!$D$3:$D$1048576,MOTORISTAS!F$3:F$916),"")</f>
        <v>02397620357</v>
      </c>
      <c r="S827" s="66">
        <v>17149</v>
      </c>
      <c r="T827" s="66" t="s">
        <v>293</v>
      </c>
      <c r="U827" s="79">
        <v>45155.216666666667</v>
      </c>
      <c r="V827" s="66" t="s">
        <v>292</v>
      </c>
      <c r="W827" s="79"/>
      <c r="X827" s="79">
        <v>45155.368055555555</v>
      </c>
      <c r="Y827" s="88">
        <v>45155.504861111112</v>
      </c>
      <c r="Z827" s="81"/>
      <c r="AA827" s="81"/>
      <c r="AB827" s="81"/>
      <c r="AC827" s="81"/>
      <c r="AD827" s="81">
        <v>3484.1</v>
      </c>
      <c r="AE827" s="81"/>
      <c r="AF827" s="81">
        <v>706.8</v>
      </c>
      <c r="AG827" s="81">
        <v>571.48680000000002</v>
      </c>
      <c r="AH827" s="83">
        <v>4762.3900000000003</v>
      </c>
      <c r="AI827" s="66" t="str">
        <f>PROPER(TEXT(Sal_23[[#This Row],[PROGRAMAÇÃO]],"mmm"))</f>
        <v>Ago</v>
      </c>
      <c r="AJ827" s="66">
        <f>YEAR(Sal_23[[#This Row],[PROGRAMAÇÃO]])</f>
        <v>2023</v>
      </c>
      <c r="AK827" s="66"/>
      <c r="AL827" s="66"/>
      <c r="AM827" s="66"/>
      <c r="AN827" s="66"/>
      <c r="AO827" s="66"/>
    </row>
    <row r="828" spans="2:41" x14ac:dyDescent="0.25">
      <c r="B828" s="128" t="s">
        <v>3295</v>
      </c>
      <c r="C82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28" s="79">
        <v>45156.333333333336</v>
      </c>
      <c r="E828" s="44" t="s">
        <v>5985</v>
      </c>
      <c r="F828" s="66">
        <v>20</v>
      </c>
      <c r="G828" s="66" t="s">
        <v>2826</v>
      </c>
      <c r="H828" s="44" t="s">
        <v>2827</v>
      </c>
      <c r="I828" s="299" t="s">
        <v>2823</v>
      </c>
      <c r="J828" s="66">
        <v>8380</v>
      </c>
      <c r="K828" s="66" t="s">
        <v>5914</v>
      </c>
      <c r="L828" s="66">
        <v>109304</v>
      </c>
      <c r="M828" s="66"/>
      <c r="N828" s="66" t="s">
        <v>5609</v>
      </c>
      <c r="O828" s="66" t="s">
        <v>2946</v>
      </c>
      <c r="P828" s="66" t="s">
        <v>1845</v>
      </c>
      <c r="Q828" s="138" t="str">
        <f ca="1">IFERROR(LOOKUP($P828,MOTORISTAS!$D$3:$D$1048576,MOTORISTAS!E$3:E$916),"")</f>
        <v>05826127805</v>
      </c>
      <c r="R828" s="138" t="str">
        <f ca="1">IFERROR(LOOKUP($P828,MOTORISTAS!$D$3:$D$1048576,MOTORISTAS!F$3:F$916),"")</f>
        <v>02397620357</v>
      </c>
      <c r="S828" s="66">
        <v>17170</v>
      </c>
      <c r="T828" s="66" t="s">
        <v>293</v>
      </c>
      <c r="U828" s="79">
        <v>45156.042361111111</v>
      </c>
      <c r="V828" s="66" t="s">
        <v>292</v>
      </c>
      <c r="W828" s="79"/>
      <c r="X828" s="79">
        <v>45156.299305555556</v>
      </c>
      <c r="Y828" s="81"/>
      <c r="Z828" s="81"/>
      <c r="AA828" s="81"/>
      <c r="AB828" s="81"/>
      <c r="AC828" s="81"/>
      <c r="AD828" s="81">
        <v>3484.1</v>
      </c>
      <c r="AE828" s="81"/>
      <c r="AF828" s="81">
        <v>706.8</v>
      </c>
      <c r="AG828" s="81">
        <v>571.48680000000002</v>
      </c>
      <c r="AH828" s="83">
        <v>4762.3900000000003</v>
      </c>
      <c r="AI828" s="66" t="str">
        <f>PROPER(TEXT(Sal_23[[#This Row],[PROGRAMAÇÃO]],"mmm"))</f>
        <v>Ago</v>
      </c>
      <c r="AJ828" s="66">
        <f>YEAR(Sal_23[[#This Row],[PROGRAMAÇÃO]])</f>
        <v>2023</v>
      </c>
      <c r="AK828" s="66"/>
      <c r="AL828" s="66"/>
      <c r="AM828" s="66"/>
      <c r="AN828" s="66"/>
      <c r="AO828" s="66"/>
    </row>
    <row r="829" spans="2:41" x14ac:dyDescent="0.25">
      <c r="B829" s="128" t="s">
        <v>3295</v>
      </c>
      <c r="C82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29" s="79">
        <v>45156.333333333336</v>
      </c>
      <c r="E829" s="44" t="s">
        <v>5986</v>
      </c>
      <c r="F829" s="66">
        <v>20</v>
      </c>
      <c r="G829" s="66" t="s">
        <v>2826</v>
      </c>
      <c r="H829" s="44" t="s">
        <v>3440</v>
      </c>
      <c r="I829" s="299" t="s">
        <v>3531</v>
      </c>
      <c r="J829" s="66">
        <v>8377</v>
      </c>
      <c r="K829" s="66" t="s">
        <v>5914</v>
      </c>
      <c r="L829" s="66">
        <v>120730</v>
      </c>
      <c r="M829" s="66"/>
      <c r="N829" s="66" t="s">
        <v>3040</v>
      </c>
      <c r="O829" s="66" t="s">
        <v>3041</v>
      </c>
      <c r="P829" s="66" t="s">
        <v>3042</v>
      </c>
      <c r="Q829" s="138" t="str">
        <f ca="1">IFERROR(LOOKUP($P829,MOTORISTAS!$D$3:$D$1048576,MOTORISTAS!E$3:E$916),"")</f>
        <v>19279658883</v>
      </c>
      <c r="R829" s="138" t="str">
        <f ca="1">IFERROR(LOOKUP($P829,MOTORISTAS!$D$3:$D$1048576,MOTORISTAS!F$3:F$916),"")</f>
        <v>01301319672</v>
      </c>
      <c r="S829" s="66">
        <v>17171</v>
      </c>
      <c r="T829" s="66" t="s">
        <v>293</v>
      </c>
      <c r="U829" s="79">
        <v>45156.055555555555</v>
      </c>
      <c r="V829" s="66" t="s">
        <v>292</v>
      </c>
      <c r="W829" s="79"/>
      <c r="X829" s="79">
        <v>45156.208333333336</v>
      </c>
      <c r="Y829" s="81"/>
      <c r="Z829" s="81"/>
      <c r="AA829" s="81"/>
      <c r="AB829" s="81"/>
      <c r="AC829" s="81"/>
      <c r="AD829" s="81">
        <v>2557.9699999999998</v>
      </c>
      <c r="AE829" s="81"/>
      <c r="AF829" s="81">
        <v>372.6</v>
      </c>
      <c r="AG829" s="81">
        <f>Sal_23[[#This Row],[COMPRA]]*12%</f>
        <v>399.62279999999998</v>
      </c>
      <c r="AH829" s="83">
        <v>3330.19</v>
      </c>
      <c r="AI829" s="66" t="str">
        <f>PROPER(TEXT(Sal_23[[#This Row],[PROGRAMAÇÃO]],"mmm"))</f>
        <v>Ago</v>
      </c>
      <c r="AJ829" s="66">
        <f>YEAR(Sal_23[[#This Row],[PROGRAMAÇÃO]])</f>
        <v>2023</v>
      </c>
      <c r="AK829" s="66"/>
      <c r="AL829" s="66"/>
      <c r="AM829" s="66"/>
      <c r="AN829" s="66"/>
      <c r="AO829" s="66"/>
    </row>
    <row r="830" spans="2:41" x14ac:dyDescent="0.25">
      <c r="B830" s="128" t="s">
        <v>2909</v>
      </c>
      <c r="C83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30" s="79">
        <v>45155.333333333336</v>
      </c>
      <c r="E830" s="44" t="s">
        <v>5987</v>
      </c>
      <c r="F830" s="66">
        <v>20</v>
      </c>
      <c r="G830" s="66" t="s">
        <v>2837</v>
      </c>
      <c r="H830" s="44" t="s">
        <v>2837</v>
      </c>
      <c r="I830" s="299" t="s">
        <v>2821</v>
      </c>
      <c r="J830" s="66">
        <v>8379</v>
      </c>
      <c r="K830" s="66" t="s">
        <v>5914</v>
      </c>
      <c r="L830" s="66">
        <v>109314</v>
      </c>
      <c r="M830" s="66"/>
      <c r="N830" s="66" t="s">
        <v>2584</v>
      </c>
      <c r="O830" s="66" t="s">
        <v>2585</v>
      </c>
      <c r="P830" s="66" t="s">
        <v>2586</v>
      </c>
      <c r="Q830" s="138" t="str">
        <f ca="1">IFERROR(LOOKUP($P830,MOTORISTAS!$D$3:$D$1048576,MOTORISTAS!E$3:E$916),"")</f>
        <v>08312935860</v>
      </c>
      <c r="R830" s="138" t="str">
        <f ca="1">IFERROR(LOOKUP($P830,MOTORISTAS!$D$3:$D$1048576,MOTORISTAS!F$3:F$916),"")</f>
        <v>03106516083</v>
      </c>
      <c r="S830" s="66">
        <v>17150</v>
      </c>
      <c r="T830" s="66" t="s">
        <v>293</v>
      </c>
      <c r="U830" s="79">
        <v>45155.020833333336</v>
      </c>
      <c r="V830" s="66"/>
      <c r="W830" s="79"/>
      <c r="X830" s="79">
        <v>45155.114583333336</v>
      </c>
      <c r="Y830" s="88">
        <v>45155.429861111108</v>
      </c>
      <c r="Z830" s="81"/>
      <c r="AA830" s="81"/>
      <c r="AB830" s="81"/>
      <c r="AC830" s="81"/>
      <c r="AD830" s="81">
        <v>2018.37</v>
      </c>
      <c r="AE830" s="81"/>
      <c r="AF830" s="81">
        <v>266.39999999999998</v>
      </c>
      <c r="AG830" s="81">
        <f>Sal_23[[#This Row],[COMPRA]]*12%</f>
        <v>311.55959999999999</v>
      </c>
      <c r="AH830" s="83">
        <v>2596.33</v>
      </c>
      <c r="AI830" s="66" t="str">
        <f>PROPER(TEXT(Sal_23[[#This Row],[PROGRAMAÇÃO]],"mmm"))</f>
        <v>Ago</v>
      </c>
      <c r="AJ830" s="66">
        <f>YEAR(Sal_23[[#This Row],[PROGRAMAÇÃO]])</f>
        <v>2023</v>
      </c>
      <c r="AK830" s="66"/>
      <c r="AL830" s="66"/>
      <c r="AM830" s="66"/>
      <c r="AN830" s="66"/>
      <c r="AO830" s="66"/>
    </row>
    <row r="831" spans="2:41" x14ac:dyDescent="0.25">
      <c r="B831" s="128" t="s">
        <v>2909</v>
      </c>
      <c r="C83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31" s="79">
        <v>45155.333333333336</v>
      </c>
      <c r="E831" s="44" t="s">
        <v>5988</v>
      </c>
      <c r="F831" s="66">
        <v>20</v>
      </c>
      <c r="G831" s="66" t="s">
        <v>2826</v>
      </c>
      <c r="H831" s="44" t="s">
        <v>2825</v>
      </c>
      <c r="I831" s="299" t="s">
        <v>4012</v>
      </c>
      <c r="J831" s="66">
        <v>8378</v>
      </c>
      <c r="K831" s="66" t="s">
        <v>5914</v>
      </c>
      <c r="L831" s="66">
        <v>109224</v>
      </c>
      <c r="M831" s="66"/>
      <c r="N831" s="66" t="s">
        <v>3040</v>
      </c>
      <c r="O831" s="66" t="s">
        <v>3041</v>
      </c>
      <c r="P831" s="66" t="s">
        <v>3042</v>
      </c>
      <c r="Q831" s="138" t="str">
        <f ca="1">IFERROR(LOOKUP($P831,MOTORISTAS!$D$3:$D$1048576,MOTORISTAS!E$3:E$916),"")</f>
        <v>19279658883</v>
      </c>
      <c r="R831" s="138" t="str">
        <f ca="1">IFERROR(LOOKUP($P831,MOTORISTAS!$D$3:$D$1048576,MOTORISTAS!F$3:F$916),"")</f>
        <v>01301319672</v>
      </c>
      <c r="S831" s="66">
        <v>17151</v>
      </c>
      <c r="T831" s="66" t="s">
        <v>293</v>
      </c>
      <c r="U831" s="79">
        <v>45155.281944444447</v>
      </c>
      <c r="V831" s="66"/>
      <c r="W831" s="79"/>
      <c r="X831" s="79">
        <v>45155.381944444445</v>
      </c>
      <c r="Y831" s="88">
        <v>45139.518750000003</v>
      </c>
      <c r="Z831" s="81"/>
      <c r="AA831" s="81"/>
      <c r="AB831" s="81"/>
      <c r="AC831" s="81"/>
      <c r="AD831" s="81">
        <v>2294.6999999999998</v>
      </c>
      <c r="AE831" s="81">
        <v>768.04</v>
      </c>
      <c r="AF831" s="81">
        <v>222</v>
      </c>
      <c r="AG831" s="81">
        <f>Sal_23[[#This Row],[COMPRA]]*12%</f>
        <v>447.91919999999999</v>
      </c>
      <c r="AH831" s="83">
        <v>3732.66</v>
      </c>
      <c r="AI831" s="66" t="str">
        <f>PROPER(TEXT(Sal_23[[#This Row],[PROGRAMAÇÃO]],"mmm"))</f>
        <v>Ago</v>
      </c>
      <c r="AJ831" s="66">
        <f>YEAR(Sal_23[[#This Row],[PROGRAMAÇÃO]])</f>
        <v>2023</v>
      </c>
      <c r="AK831" s="66"/>
      <c r="AL831" s="66"/>
      <c r="AM831" s="66"/>
      <c r="AN831" s="66"/>
      <c r="AO831" s="66"/>
    </row>
    <row r="832" spans="2:41" x14ac:dyDescent="0.25">
      <c r="B832" s="128" t="s">
        <v>3295</v>
      </c>
      <c r="C83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32" s="79">
        <v>45155.333333333336</v>
      </c>
      <c r="E832" s="44" t="s">
        <v>5989</v>
      </c>
      <c r="F832" s="66">
        <v>40</v>
      </c>
      <c r="G832" s="66" t="s">
        <v>2826</v>
      </c>
      <c r="H832" s="44" t="s">
        <v>2836</v>
      </c>
      <c r="I832" s="299" t="s">
        <v>708</v>
      </c>
      <c r="J832" s="66">
        <v>8359</v>
      </c>
      <c r="K832" s="66" t="s">
        <v>5914</v>
      </c>
      <c r="L832" s="66">
        <v>109260</v>
      </c>
      <c r="M832" s="66"/>
      <c r="N832" s="66" t="s">
        <v>2949</v>
      </c>
      <c r="O832" s="66" t="s">
        <v>4701</v>
      </c>
      <c r="P832" s="66" t="s">
        <v>2948</v>
      </c>
      <c r="Q832" s="138" t="str">
        <f ca="1">IFERROR(LOOKUP($P832,MOTORISTAS!$D$3:$D$1048576,MOTORISTAS!E$3:E$916),"")</f>
        <v>16239341843</v>
      </c>
      <c r="R832" s="138" t="str">
        <f ca="1">IFERROR(LOOKUP($P832,MOTORISTAS!$D$3:$D$1048576,MOTORISTAS!F$3:F$916),"")</f>
        <v>01877235038</v>
      </c>
      <c r="S832" s="66">
        <v>17155</v>
      </c>
      <c r="T832" s="66" t="s">
        <v>293</v>
      </c>
      <c r="U832" s="79">
        <v>45155.309027777781</v>
      </c>
      <c r="V832" s="66"/>
      <c r="W832" s="79"/>
      <c r="X832" s="79">
        <v>45155.375</v>
      </c>
      <c r="Y832" s="81"/>
      <c r="Z832" s="81"/>
      <c r="AA832" s="81"/>
      <c r="AB832" s="81"/>
      <c r="AC832" s="81"/>
      <c r="AD832" s="81">
        <v>1621.21</v>
      </c>
      <c r="AE832" s="81"/>
      <c r="AF832" s="81">
        <v>94.8</v>
      </c>
      <c r="AG832" s="81">
        <f>Sal_23[[#This Row],[COMPRA]]*12%</f>
        <v>234.00119999999998</v>
      </c>
      <c r="AH832" s="83">
        <v>1950.01</v>
      </c>
      <c r="AI832" s="66" t="str">
        <f>PROPER(TEXT(Sal_23[[#This Row],[PROGRAMAÇÃO]],"mmm"))</f>
        <v>Ago</v>
      </c>
      <c r="AJ832" s="66">
        <f>YEAR(Sal_23[[#This Row],[PROGRAMAÇÃO]])</f>
        <v>2023</v>
      </c>
      <c r="AK832" s="66"/>
      <c r="AL832" s="66"/>
      <c r="AM832" s="66"/>
      <c r="AN832" s="66"/>
      <c r="AO832" s="66"/>
    </row>
    <row r="833" spans="2:41" x14ac:dyDescent="0.25">
      <c r="B833" s="128" t="s">
        <v>2798</v>
      </c>
      <c r="C83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33" s="79">
        <v>45159.333333333336</v>
      </c>
      <c r="E833" s="44" t="s">
        <v>4800</v>
      </c>
      <c r="F833" s="66">
        <v>40</v>
      </c>
      <c r="G833" s="66" t="s">
        <v>2826</v>
      </c>
      <c r="H833" s="44" t="s">
        <v>2834</v>
      </c>
      <c r="I833" s="299" t="s">
        <v>2831</v>
      </c>
      <c r="J833" s="66">
        <v>8360</v>
      </c>
      <c r="K833" s="66" t="s">
        <v>5914</v>
      </c>
      <c r="L833" s="66">
        <v>109255</v>
      </c>
      <c r="M833" s="66"/>
      <c r="N833" s="66" t="s">
        <v>2389</v>
      </c>
      <c r="O833" s="66" t="s">
        <v>2390</v>
      </c>
      <c r="P833" s="66" t="s">
        <v>892</v>
      </c>
      <c r="Q833" s="138" t="str">
        <f ca="1">IFERROR(LOOKUP($P833,MOTORISTAS!$D$3:$D$1048576,MOTORISTAS!E$3:E$916),"")</f>
        <v>55283063968</v>
      </c>
      <c r="R833" s="138" t="str">
        <f ca="1">IFERROR(LOOKUP($P833,MOTORISTAS!$D$3:$D$1048576,MOTORISTAS!F$3:F$916),"")</f>
        <v>02537032407</v>
      </c>
      <c r="S833" s="66"/>
      <c r="T833" s="66" t="s">
        <v>293</v>
      </c>
      <c r="U833" s="79">
        <v>45158.945138888892</v>
      </c>
      <c r="V833" s="66"/>
      <c r="W833" s="79"/>
      <c r="X833" s="79"/>
      <c r="Y833" s="81"/>
      <c r="Z833" s="81"/>
      <c r="AA833" s="81"/>
      <c r="AB833" s="81"/>
      <c r="AC833" s="81"/>
      <c r="AD833" s="81"/>
      <c r="AE833" s="81"/>
      <c r="AF833" s="81"/>
      <c r="AG833" s="81">
        <f>Sal_23[[#This Row],[COMPRA]]*12%</f>
        <v>0</v>
      </c>
      <c r="AH833" s="83"/>
      <c r="AI833" s="66" t="str">
        <f>PROPER(TEXT(Sal_23[[#This Row],[PROGRAMAÇÃO]],"mmm"))</f>
        <v>Ago</v>
      </c>
      <c r="AJ833" s="66">
        <f>YEAR(Sal_23[[#This Row],[PROGRAMAÇÃO]])</f>
        <v>2023</v>
      </c>
      <c r="AK833" s="66"/>
      <c r="AL833" s="66"/>
      <c r="AM833" s="66"/>
      <c r="AN833" s="66"/>
      <c r="AO833" s="66"/>
    </row>
    <row r="834" spans="2:41" x14ac:dyDescent="0.25">
      <c r="B834" s="128" t="s">
        <v>2798</v>
      </c>
      <c r="C83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34" s="79">
        <v>45156.333333333336</v>
      </c>
      <c r="E834" s="44" t="s">
        <v>5990</v>
      </c>
      <c r="F834" s="66">
        <v>40</v>
      </c>
      <c r="G834" s="66" t="s">
        <v>2826</v>
      </c>
      <c r="H834" s="44" t="s">
        <v>1674</v>
      </c>
      <c r="I834" s="299" t="s">
        <v>2829</v>
      </c>
      <c r="J834" s="66">
        <v>8358</v>
      </c>
      <c r="K834" s="66" t="s">
        <v>5914</v>
      </c>
      <c r="L834" s="66">
        <v>109256</v>
      </c>
      <c r="M834" s="66">
        <v>109257</v>
      </c>
      <c r="N834" s="66" t="s">
        <v>92</v>
      </c>
      <c r="O834" s="66" t="s">
        <v>93</v>
      </c>
      <c r="P834" s="66" t="s">
        <v>94</v>
      </c>
      <c r="Q834" s="138" t="str">
        <f ca="1">IFERROR(LOOKUP($P834,MOTORISTAS!$D$3:$D$1048576,MOTORISTAS!E$3:E$916),"")</f>
        <v>26283419801</v>
      </c>
      <c r="R834" s="138" t="str">
        <f ca="1">IFERROR(LOOKUP($P834,MOTORISTAS!$D$3:$D$1048576,MOTORISTAS!F$3:F$916),"")</f>
        <v>02002046946</v>
      </c>
      <c r="S834" s="66">
        <v>17172</v>
      </c>
      <c r="T834" s="66" t="s">
        <v>293</v>
      </c>
      <c r="U834" s="79">
        <v>45156.370833333334</v>
      </c>
      <c r="V834" s="66" t="s">
        <v>292</v>
      </c>
      <c r="W834" s="79"/>
      <c r="X834" s="79"/>
      <c r="Y834" s="81"/>
      <c r="Z834" s="81"/>
      <c r="AA834" s="81"/>
      <c r="AB834" s="81"/>
      <c r="AC834" s="81"/>
      <c r="AD834" s="81">
        <v>3472.48</v>
      </c>
      <c r="AE834" s="81">
        <v>621.6</v>
      </c>
      <c r="AF834" s="81"/>
      <c r="AG834" s="81">
        <f>Sal_23[[#This Row],[COMPRA]]*12%</f>
        <v>558.28319999999997</v>
      </c>
      <c r="AH834" s="83">
        <v>4652.3599999999997</v>
      </c>
      <c r="AI834" s="66" t="str">
        <f>PROPER(TEXT(Sal_23[[#This Row],[PROGRAMAÇÃO]],"mmm"))</f>
        <v>Ago</v>
      </c>
      <c r="AJ834" s="66">
        <f>YEAR(Sal_23[[#This Row],[PROGRAMAÇÃO]])</f>
        <v>2023</v>
      </c>
      <c r="AK834" s="66"/>
      <c r="AL834" s="66"/>
      <c r="AM834" s="66"/>
      <c r="AN834" s="66"/>
      <c r="AO834" s="66"/>
    </row>
    <row r="835" spans="2:41" x14ac:dyDescent="0.25">
      <c r="B835" s="128" t="s">
        <v>2798</v>
      </c>
      <c r="C83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35" s="79">
        <v>45159.333333333336</v>
      </c>
      <c r="E835" s="44" t="s">
        <v>4524</v>
      </c>
      <c r="F835" s="66">
        <v>40</v>
      </c>
      <c r="G835" s="66" t="s">
        <v>2826</v>
      </c>
      <c r="H835" s="44" t="s">
        <v>3195</v>
      </c>
      <c r="I835" s="299" t="s">
        <v>2830</v>
      </c>
      <c r="J835" s="66">
        <v>8362</v>
      </c>
      <c r="K835" s="66" t="s">
        <v>5914</v>
      </c>
      <c r="L835" s="66">
        <v>109306</v>
      </c>
      <c r="M835" s="66"/>
      <c r="N835" s="66" t="s">
        <v>890</v>
      </c>
      <c r="O835" s="66" t="s">
        <v>179</v>
      </c>
      <c r="P835" s="66" t="s">
        <v>6088</v>
      </c>
      <c r="Q835" s="138" t="str">
        <f ca="1">IFERROR(LOOKUP($P835,MOTORISTAS!$D$3:$D$1048576,MOTORISTAS!E$3:E$916),"")</f>
        <v>43852832810</v>
      </c>
      <c r="R835" s="138" t="str">
        <f ca="1">IFERROR(LOOKUP($P835,MOTORISTAS!$D$3:$D$1048576,MOTORISTAS!F$3:F$916),"")</f>
        <v>07149840778</v>
      </c>
      <c r="S835" s="66"/>
      <c r="T835" s="66" t="s">
        <v>293</v>
      </c>
      <c r="U835" s="79">
        <v>45159.208333333336</v>
      </c>
      <c r="V835" s="66"/>
      <c r="W835" s="79"/>
      <c r="X835" s="79"/>
      <c r="Y835" s="81"/>
      <c r="Z835" s="81"/>
      <c r="AA835" s="81"/>
      <c r="AB835" s="81"/>
      <c r="AC835" s="81"/>
      <c r="AD835" s="81"/>
      <c r="AE835" s="81"/>
      <c r="AF835" s="81"/>
      <c r="AG835" s="81">
        <f>Sal_23[[#This Row],[COMPRA]]*12%</f>
        <v>0</v>
      </c>
      <c r="AH835" s="83"/>
      <c r="AI835" s="66" t="str">
        <f>PROPER(TEXT(Sal_23[[#This Row],[PROGRAMAÇÃO]],"mmm"))</f>
        <v>Ago</v>
      </c>
      <c r="AJ835" s="66">
        <f>YEAR(Sal_23[[#This Row],[PROGRAMAÇÃO]])</f>
        <v>2023</v>
      </c>
      <c r="AK835" s="66"/>
      <c r="AL835" s="66"/>
      <c r="AM835" s="66"/>
      <c r="AN835" s="66"/>
      <c r="AO835" s="66"/>
    </row>
    <row r="836" spans="2:41" x14ac:dyDescent="0.25">
      <c r="B836" s="128" t="s">
        <v>2909</v>
      </c>
      <c r="C83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36" s="79">
        <v>45157.333333333336</v>
      </c>
      <c r="E836" s="44" t="s">
        <v>5991</v>
      </c>
      <c r="F836" s="66">
        <v>40</v>
      </c>
      <c r="G836" s="66" t="s">
        <v>2826</v>
      </c>
      <c r="H836" s="44" t="s">
        <v>3910</v>
      </c>
      <c r="I836" s="299" t="s">
        <v>3909</v>
      </c>
      <c r="J836" s="66">
        <v>8367</v>
      </c>
      <c r="K836" s="66" t="s">
        <v>5914</v>
      </c>
      <c r="L836" s="66">
        <v>109387</v>
      </c>
      <c r="M836" s="66"/>
      <c r="N836" s="66" t="s">
        <v>3251</v>
      </c>
      <c r="O836" s="66" t="s">
        <v>151</v>
      </c>
      <c r="P836" s="66" t="s">
        <v>2678</v>
      </c>
      <c r="Q836" s="138" t="str">
        <f ca="1">IFERROR(LOOKUP($P836,MOTORISTAS!$D$3:$D$1048576,MOTORISTAS!E$3:E$916),"")</f>
        <v>28386357860</v>
      </c>
      <c r="R836" s="138" t="str">
        <f ca="1">IFERROR(LOOKUP($P836,MOTORISTAS!$D$3:$D$1048576,MOTORISTAS!F$3:F$916),"")</f>
        <v>01042201192</v>
      </c>
      <c r="S836" s="66">
        <v>17152</v>
      </c>
      <c r="T836" s="66" t="s">
        <v>293</v>
      </c>
      <c r="U836" s="79">
        <v>45157.09097222222</v>
      </c>
      <c r="V836" s="66"/>
      <c r="W836" s="79"/>
      <c r="X836" s="79">
        <v>45157.229166666664</v>
      </c>
      <c r="Y836" s="88">
        <v>45157.385416666664</v>
      </c>
      <c r="Z836" s="81"/>
      <c r="AA836" s="81"/>
      <c r="AB836" s="81"/>
      <c r="AC836" s="81"/>
      <c r="AD836" s="81">
        <v>2557.9699999999998</v>
      </c>
      <c r="AE836" s="81"/>
      <c r="AF836" s="81">
        <v>372.6</v>
      </c>
      <c r="AG836" s="81">
        <f>Sal_23[[#This Row],[COMPRA]]*12%</f>
        <v>399.62279999999998</v>
      </c>
      <c r="AH836" s="83">
        <v>3330.19</v>
      </c>
      <c r="AI836" s="66" t="str">
        <f>PROPER(TEXT(Sal_23[[#This Row],[PROGRAMAÇÃO]],"mmm"))</f>
        <v>Ago</v>
      </c>
      <c r="AJ836" s="66">
        <f>YEAR(Sal_23[[#This Row],[PROGRAMAÇÃO]])</f>
        <v>2023</v>
      </c>
      <c r="AK836" s="66"/>
      <c r="AL836" s="66"/>
      <c r="AM836" s="66"/>
      <c r="AN836" s="66"/>
      <c r="AO836" s="66"/>
    </row>
    <row r="837" spans="2:41" x14ac:dyDescent="0.25">
      <c r="B837" s="128" t="s">
        <v>3295</v>
      </c>
      <c r="C83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37" s="79">
        <v>45156.333333333336</v>
      </c>
      <c r="E837" s="44" t="s">
        <v>5992</v>
      </c>
      <c r="F837" s="66">
        <v>40</v>
      </c>
      <c r="G837" s="66" t="s">
        <v>2826</v>
      </c>
      <c r="H837" s="44" t="s">
        <v>3910</v>
      </c>
      <c r="I837" s="299" t="s">
        <v>3909</v>
      </c>
      <c r="J837" s="66">
        <v>8433</v>
      </c>
      <c r="K837" s="66" t="s">
        <v>5914</v>
      </c>
      <c r="L837" s="66">
        <v>121051</v>
      </c>
      <c r="M837" s="66"/>
      <c r="N837" s="66" t="s">
        <v>111</v>
      </c>
      <c r="O837" s="66" t="s">
        <v>891</v>
      </c>
      <c r="P837" s="66" t="s">
        <v>113</v>
      </c>
      <c r="Q837" s="138" t="str">
        <f ca="1">IFERROR(LOOKUP($P837,MOTORISTAS!$D$3:$D$1048576,MOTORISTAS!E$3:E$916),"")</f>
        <v>88265951434</v>
      </c>
      <c r="R837" s="138" t="str">
        <f ca="1">IFERROR(LOOKUP($P837,MOTORISTAS!$D$3:$D$1048576,MOTORISTAS!F$3:F$916),"")</f>
        <v>00920373596</v>
      </c>
      <c r="S837" s="66">
        <v>17153</v>
      </c>
      <c r="T837" s="66" t="s">
        <v>293</v>
      </c>
      <c r="U837" s="79">
        <v>45156.059027777781</v>
      </c>
      <c r="V837" s="66"/>
      <c r="W837" s="79"/>
      <c r="X837" s="79">
        <v>45156.319444444445</v>
      </c>
      <c r="Y837" s="81"/>
      <c r="Z837" s="81"/>
      <c r="AA837" s="81"/>
      <c r="AB837" s="81"/>
      <c r="AC837" s="81"/>
      <c r="AD837" s="81">
        <v>2557.9699999999998</v>
      </c>
      <c r="AE837" s="81"/>
      <c r="AF837" s="81">
        <v>372.6</v>
      </c>
      <c r="AG837" s="81">
        <f>Sal_23[[#This Row],[COMPRA]]*12%</f>
        <v>399.62279999999998</v>
      </c>
      <c r="AH837" s="83">
        <v>3330.19</v>
      </c>
      <c r="AI837" s="66" t="str">
        <f>PROPER(TEXT(Sal_23[[#This Row],[PROGRAMAÇÃO]],"mmm"))</f>
        <v>Ago</v>
      </c>
      <c r="AJ837" s="66">
        <f>YEAR(Sal_23[[#This Row],[PROGRAMAÇÃO]])</f>
        <v>2023</v>
      </c>
      <c r="AK837" s="66"/>
      <c r="AL837" s="66"/>
      <c r="AM837" s="66"/>
      <c r="AN837" s="66"/>
      <c r="AO837" s="66"/>
    </row>
    <row r="838" spans="2:41" x14ac:dyDescent="0.25">
      <c r="B838" s="128" t="s">
        <v>2798</v>
      </c>
      <c r="C83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38" s="79">
        <v>45159.333333333336</v>
      </c>
      <c r="E838" s="44" t="s">
        <v>5993</v>
      </c>
      <c r="F838" s="66">
        <v>40</v>
      </c>
      <c r="G838" s="66" t="s">
        <v>2826</v>
      </c>
      <c r="H838" s="44" t="s">
        <v>3910</v>
      </c>
      <c r="I838" s="299" t="s">
        <v>3909</v>
      </c>
      <c r="J838" s="66">
        <v>8366</v>
      </c>
      <c r="K838" s="66" t="s">
        <v>5914</v>
      </c>
      <c r="L838" s="66">
        <v>120979</v>
      </c>
      <c r="M838" s="66"/>
      <c r="N838" s="66" t="s">
        <v>3251</v>
      </c>
      <c r="O838" s="66" t="s">
        <v>151</v>
      </c>
      <c r="P838" s="66" t="s">
        <v>2678</v>
      </c>
      <c r="Q838" s="138" t="str">
        <f ca="1">IFERROR(LOOKUP($P838,MOTORISTAS!$D$3:$D$1048576,MOTORISTAS!E$3:E$916),"")</f>
        <v>28386357860</v>
      </c>
      <c r="R838" s="138" t="str">
        <f ca="1">IFERROR(LOOKUP($P838,MOTORISTAS!$D$3:$D$1048576,MOTORISTAS!F$3:F$916),"")</f>
        <v>01042201192</v>
      </c>
      <c r="S838" s="66" t="s">
        <v>6074</v>
      </c>
      <c r="T838" s="66" t="s">
        <v>293</v>
      </c>
      <c r="U838" s="79">
        <v>45159.188194444447</v>
      </c>
      <c r="V838" s="66" t="s">
        <v>292</v>
      </c>
      <c r="W838" s="79"/>
      <c r="X838" s="79"/>
      <c r="Y838" s="81"/>
      <c r="Z838" s="81"/>
      <c r="AA838" s="81"/>
      <c r="AB838" s="81"/>
      <c r="AC838" s="81"/>
      <c r="AD838" s="81">
        <v>2557.9699999999998</v>
      </c>
      <c r="AE838" s="81"/>
      <c r="AF838" s="81">
        <v>372.6</v>
      </c>
      <c r="AG838" s="81">
        <f>Sal_23[[#This Row],[COMPRA]]*12%</f>
        <v>399.62279999999998</v>
      </c>
      <c r="AH838" s="83">
        <v>3330.19</v>
      </c>
      <c r="AI838" s="66" t="str">
        <f>PROPER(TEXT(Sal_23[[#This Row],[PROGRAMAÇÃO]],"mmm"))</f>
        <v>Ago</v>
      </c>
      <c r="AJ838" s="66">
        <f>YEAR(Sal_23[[#This Row],[PROGRAMAÇÃO]])</f>
        <v>2023</v>
      </c>
      <c r="AK838" s="66"/>
      <c r="AL838" s="66"/>
      <c r="AM838" s="66"/>
      <c r="AN838" s="66"/>
      <c r="AO838" s="66"/>
    </row>
    <row r="839" spans="2:41" x14ac:dyDescent="0.25">
      <c r="B839" s="128" t="s">
        <v>2798</v>
      </c>
      <c r="C83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39" s="79">
        <v>45159.333333333336</v>
      </c>
      <c r="E839" s="44" t="s">
        <v>5994</v>
      </c>
      <c r="F839" s="66">
        <v>40</v>
      </c>
      <c r="G839" s="66" t="s">
        <v>2826</v>
      </c>
      <c r="H839" s="44" t="s">
        <v>3910</v>
      </c>
      <c r="I839" s="299" t="s">
        <v>3909</v>
      </c>
      <c r="J839" s="66">
        <v>8364</v>
      </c>
      <c r="K839" s="66" t="s">
        <v>5914</v>
      </c>
      <c r="L839" s="66">
        <v>120889</v>
      </c>
      <c r="M839" s="66"/>
      <c r="N839" s="66" t="s">
        <v>6089</v>
      </c>
      <c r="O839" s="66" t="s">
        <v>1962</v>
      </c>
      <c r="P839" s="66" t="s">
        <v>1482</v>
      </c>
      <c r="Q839" s="138" t="str">
        <f ca="1">IFERROR(LOOKUP($P839,MOTORISTAS!$D$3:$D$1048576,MOTORISTAS!E$3:E$916),"")</f>
        <v>38329597857</v>
      </c>
      <c r="R839" s="138" t="str">
        <f ca="1">IFERROR(LOOKUP($P839,MOTORISTAS!$D$3:$D$1048576,MOTORISTAS!F$3:F$916),"")</f>
        <v>04956762510</v>
      </c>
      <c r="S839" s="66">
        <v>17190</v>
      </c>
      <c r="T839" s="66" t="s">
        <v>293</v>
      </c>
      <c r="U839" s="79">
        <v>45159.210416666669</v>
      </c>
      <c r="V839" s="66"/>
      <c r="W839" s="79"/>
      <c r="X839" s="79"/>
      <c r="Y839" s="81"/>
      <c r="Z839" s="81"/>
      <c r="AA839" s="81"/>
      <c r="AB839" s="81"/>
      <c r="AC839" s="81"/>
      <c r="AD839" s="81">
        <v>2557.9699999999998</v>
      </c>
      <c r="AE839" s="81"/>
      <c r="AF839" s="81">
        <v>372.6</v>
      </c>
      <c r="AG839" s="81">
        <f>Sal_23[[#This Row],[COMPRA]]*12%</f>
        <v>399.62279999999998</v>
      </c>
      <c r="AH839" s="83">
        <v>3330.19</v>
      </c>
      <c r="AI839" s="66" t="str">
        <f>PROPER(TEXT(Sal_23[[#This Row],[PROGRAMAÇÃO]],"mmm"))</f>
        <v>Ago</v>
      </c>
      <c r="AJ839" s="66">
        <f>YEAR(Sal_23[[#This Row],[PROGRAMAÇÃO]])</f>
        <v>2023</v>
      </c>
      <c r="AK839" s="66"/>
      <c r="AL839" s="66"/>
      <c r="AM839" s="66"/>
      <c r="AN839" s="66"/>
      <c r="AO839" s="66"/>
    </row>
    <row r="840" spans="2:41" x14ac:dyDescent="0.25">
      <c r="B840" s="128" t="s">
        <v>2798</v>
      </c>
      <c r="C84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40" s="79">
        <v>45160.333333333336</v>
      </c>
      <c r="E840" s="44" t="s">
        <v>5995</v>
      </c>
      <c r="F840" s="66">
        <v>40</v>
      </c>
      <c r="G840" s="66" t="s">
        <v>2826</v>
      </c>
      <c r="H840" s="44" t="s">
        <v>3910</v>
      </c>
      <c r="I840" s="299" t="s">
        <v>3909</v>
      </c>
      <c r="J840" s="66">
        <v>8361</v>
      </c>
      <c r="K840" s="66" t="s">
        <v>5914</v>
      </c>
      <c r="L840" s="66">
        <v>120903</v>
      </c>
      <c r="M840" s="66"/>
      <c r="N840" s="66" t="s">
        <v>890</v>
      </c>
      <c r="O840" s="66" t="s">
        <v>179</v>
      </c>
      <c r="P840" s="66" t="s">
        <v>5166</v>
      </c>
      <c r="Q840" s="138" t="str">
        <f ca="1">IFERROR(LOOKUP($P840,MOTORISTAS!$D$3:$D$1048576,MOTORISTAS!E$3:E$916),"")</f>
        <v>43345159830</v>
      </c>
      <c r="R840" s="138" t="str">
        <f ca="1">IFERROR(LOOKUP($P840,MOTORISTAS!$D$3:$D$1048576,MOTORISTAS!F$3:F$916),"")</f>
        <v>05585211593</v>
      </c>
      <c r="S840" s="66">
        <v>17219</v>
      </c>
      <c r="T840" s="66" t="s">
        <v>293</v>
      </c>
      <c r="U840" s="79">
        <v>45160.229861111111</v>
      </c>
      <c r="V840" s="66"/>
      <c r="W840" s="79"/>
      <c r="X840" s="79"/>
      <c r="Y840" s="81"/>
      <c r="Z840" s="81"/>
      <c r="AA840" s="81"/>
      <c r="AB840" s="81"/>
      <c r="AC840" s="81"/>
      <c r="AD840" s="81">
        <v>2557.9699999999998</v>
      </c>
      <c r="AE840" s="81"/>
      <c r="AF840" s="81">
        <v>372.6</v>
      </c>
      <c r="AG840" s="81">
        <f>Sal_23[[#This Row],[COMPRA]]*12%</f>
        <v>399.62279999999998</v>
      </c>
      <c r="AH840" s="83">
        <v>3330.19</v>
      </c>
      <c r="AI840" s="66" t="str">
        <f>PROPER(TEXT(Sal_23[[#This Row],[PROGRAMAÇÃO]],"mmm"))</f>
        <v>Ago</v>
      </c>
      <c r="AJ840" s="66">
        <f>YEAR(Sal_23[[#This Row],[PROGRAMAÇÃO]])</f>
        <v>2023</v>
      </c>
      <c r="AK840" s="66"/>
      <c r="AL840" s="66"/>
      <c r="AM840" s="66"/>
      <c r="AN840" s="66"/>
      <c r="AO840" s="66"/>
    </row>
    <row r="841" spans="2:41" x14ac:dyDescent="0.25">
      <c r="B841" s="128" t="s">
        <v>2798</v>
      </c>
      <c r="C84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41" s="79">
        <v>45160.333333333336</v>
      </c>
      <c r="E841" s="44" t="s">
        <v>5996</v>
      </c>
      <c r="F841" s="66">
        <v>40</v>
      </c>
      <c r="G841" s="66" t="s">
        <v>2826</v>
      </c>
      <c r="H841" s="44" t="s">
        <v>3910</v>
      </c>
      <c r="I841" s="299" t="s">
        <v>3909</v>
      </c>
      <c r="J841" s="66">
        <v>8363</v>
      </c>
      <c r="K841" s="66" t="s">
        <v>5914</v>
      </c>
      <c r="L841" s="66">
        <v>120898</v>
      </c>
      <c r="M841" s="66"/>
      <c r="N841" s="66" t="s">
        <v>87</v>
      </c>
      <c r="O841" s="66" t="s">
        <v>88</v>
      </c>
      <c r="P841" s="66" t="s">
        <v>89</v>
      </c>
      <c r="Q841" s="138" t="str">
        <f ca="1">IFERROR(LOOKUP($P841,MOTORISTAS!$D$3:$D$1048576,MOTORISTAS!E$3:E$916),"")</f>
        <v>00097734527</v>
      </c>
      <c r="R841" s="138" t="str">
        <f ca="1">IFERROR(LOOKUP($P841,MOTORISTAS!$D$3:$D$1048576,MOTORISTAS!F$3:F$916),"")</f>
        <v>03148346870</v>
      </c>
      <c r="S841" s="66">
        <v>17222</v>
      </c>
      <c r="T841" s="66" t="s">
        <v>293</v>
      </c>
      <c r="U841" s="79">
        <v>45160.268055555556</v>
      </c>
      <c r="V841" s="66"/>
      <c r="W841" s="79"/>
      <c r="X841" s="79"/>
      <c r="Y841" s="81"/>
      <c r="Z841" s="81"/>
      <c r="AA841" s="81"/>
      <c r="AB841" s="81"/>
      <c r="AC841" s="81"/>
      <c r="AD841" s="81">
        <v>2557.9699999999998</v>
      </c>
      <c r="AE841" s="81"/>
      <c r="AF841" s="81">
        <v>372.6</v>
      </c>
      <c r="AG841" s="81">
        <f>Sal_23[[#This Row],[COMPRA]]*12%</f>
        <v>399.62279999999998</v>
      </c>
      <c r="AH841" s="83">
        <v>3330.19</v>
      </c>
      <c r="AI841" s="66" t="str">
        <f>PROPER(TEXT(Sal_23[[#This Row],[PROGRAMAÇÃO]],"mmm"))</f>
        <v>Ago</v>
      </c>
      <c r="AJ841" s="66">
        <f>YEAR(Sal_23[[#This Row],[PROGRAMAÇÃO]])</f>
        <v>2023</v>
      </c>
      <c r="AK841" s="66"/>
      <c r="AL841" s="66"/>
      <c r="AM841" s="66"/>
      <c r="AN841" s="66"/>
      <c r="AO841" s="66"/>
    </row>
    <row r="842" spans="2:41" x14ac:dyDescent="0.25">
      <c r="B842" s="128" t="s">
        <v>2798</v>
      </c>
      <c r="C84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42" s="79">
        <v>45160.333333333336</v>
      </c>
      <c r="E842" s="44" t="s">
        <v>5997</v>
      </c>
      <c r="F842" s="66">
        <v>40</v>
      </c>
      <c r="G842" s="66" t="s">
        <v>2826</v>
      </c>
      <c r="H842" s="44" t="s">
        <v>3910</v>
      </c>
      <c r="I842" s="299" t="s">
        <v>3909</v>
      </c>
      <c r="J842" s="66">
        <v>8365</v>
      </c>
      <c r="K842" s="66" t="s">
        <v>5914</v>
      </c>
      <c r="L842" s="66">
        <v>120896</v>
      </c>
      <c r="M842" s="66"/>
      <c r="N842" s="66" t="s">
        <v>6141</v>
      </c>
      <c r="O842" s="66" t="s">
        <v>4843</v>
      </c>
      <c r="P842" s="66" t="s">
        <v>6142</v>
      </c>
      <c r="Q842" s="138" t="str">
        <f ca="1">IFERROR(LOOKUP($P842,MOTORISTAS!$D$3:$D$1048576,MOTORISTAS!E$3:E$916),"")</f>
        <v>30057628823</v>
      </c>
      <c r="R842" s="138" t="str">
        <f ca="1">IFERROR(LOOKUP($P842,MOTORISTAS!$D$3:$D$1048576,MOTORISTAS!F$3:F$916),"")</f>
        <v>01604075795</v>
      </c>
      <c r="S842" s="66">
        <v>17238</v>
      </c>
      <c r="T842" s="66" t="s">
        <v>293</v>
      </c>
      <c r="U842" s="79">
        <v>45160.932638888888</v>
      </c>
      <c r="V842" s="66"/>
      <c r="W842" s="79"/>
      <c r="X842" s="79"/>
      <c r="Y842" s="81"/>
      <c r="Z842" s="81"/>
      <c r="AA842" s="81"/>
      <c r="AB842" s="81"/>
      <c r="AC842" s="81"/>
      <c r="AD842" s="81">
        <v>2557.9699999999998</v>
      </c>
      <c r="AE842" s="81"/>
      <c r="AF842" s="81">
        <v>372.6</v>
      </c>
      <c r="AG842" s="81">
        <f>Sal_23[[#This Row],[COMPRA]]*12%</f>
        <v>399.62279999999998</v>
      </c>
      <c r="AH842" s="83">
        <v>3330.19</v>
      </c>
      <c r="AI842" s="66" t="str">
        <f>PROPER(TEXT(Sal_23[[#This Row],[PROGRAMAÇÃO]],"mmm"))</f>
        <v>Ago</v>
      </c>
      <c r="AJ842" s="66">
        <f>YEAR(Sal_23[[#This Row],[PROGRAMAÇÃO]])</f>
        <v>2023</v>
      </c>
      <c r="AK842" s="66"/>
      <c r="AL842" s="66"/>
      <c r="AM842" s="66"/>
      <c r="AN842" s="66"/>
      <c r="AO842" s="66"/>
    </row>
    <row r="843" spans="2:41" x14ac:dyDescent="0.25">
      <c r="B843" s="128" t="s">
        <v>2909</v>
      </c>
      <c r="C84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43" s="79">
        <v>44796.375</v>
      </c>
      <c r="E843" s="44" t="s">
        <v>5970</v>
      </c>
      <c r="F843" s="66">
        <v>20</v>
      </c>
      <c r="G843" s="66" t="s">
        <v>2820</v>
      </c>
      <c r="H843" s="44" t="s">
        <v>2820</v>
      </c>
      <c r="I843" s="299" t="s">
        <v>2821</v>
      </c>
      <c r="J843" s="66" t="s">
        <v>6146</v>
      </c>
      <c r="K843" s="66" t="s">
        <v>5978</v>
      </c>
      <c r="L843" s="66">
        <v>109570</v>
      </c>
      <c r="M843" s="66"/>
      <c r="N843" s="66" t="s">
        <v>2949</v>
      </c>
      <c r="O843" s="66" t="s">
        <v>2950</v>
      </c>
      <c r="P843" s="66" t="s">
        <v>2948</v>
      </c>
      <c r="Q843" s="138" t="str">
        <f ca="1">IFERROR(LOOKUP($P843,MOTORISTAS!$D$3:$D$1048576,MOTORISTAS!E$3:E$916),"")</f>
        <v>16239341843</v>
      </c>
      <c r="R843" s="138" t="str">
        <f ca="1">IFERROR(LOOKUP($P843,MOTORISTAS!$D$3:$D$1048576,MOTORISTAS!F$3:F$916),"")</f>
        <v>01877235038</v>
      </c>
      <c r="S843" s="66">
        <v>17239</v>
      </c>
      <c r="T843" s="66" t="s">
        <v>306</v>
      </c>
      <c r="U843" s="79">
        <v>45160.9375</v>
      </c>
      <c r="V843" s="66"/>
      <c r="W843" s="79"/>
      <c r="X843" s="79">
        <v>45161.010416666664</v>
      </c>
      <c r="Y843" s="88">
        <v>45161.493055555555</v>
      </c>
      <c r="Z843" s="81"/>
      <c r="AA843" s="81"/>
      <c r="AB843" s="81"/>
      <c r="AC843" s="81"/>
      <c r="AD843" s="81"/>
      <c r="AE843" s="81"/>
      <c r="AF843" s="81"/>
      <c r="AG843" s="81">
        <f>Sal_23[[#This Row],[COMPRA]]*12%</f>
        <v>0</v>
      </c>
      <c r="AH843" s="83"/>
      <c r="AI843" s="66" t="str">
        <f>PROPER(TEXT(Sal_23[[#This Row],[PROGRAMAÇÃO]],"mmm"))</f>
        <v>Ago</v>
      </c>
      <c r="AJ843" s="66">
        <f>YEAR(Sal_23[[#This Row],[PROGRAMAÇÃO]])</f>
        <v>2022</v>
      </c>
      <c r="AK843" s="66"/>
      <c r="AL843" s="66"/>
      <c r="AM843" s="66"/>
      <c r="AN843" s="66"/>
      <c r="AO843" s="66"/>
    </row>
    <row r="844" spans="2:41" x14ac:dyDescent="0.25">
      <c r="B844" s="128" t="s">
        <v>2909</v>
      </c>
      <c r="C84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44" s="79">
        <v>44796.458333333336</v>
      </c>
      <c r="E844" s="44" t="s">
        <v>5971</v>
      </c>
      <c r="F844" s="66">
        <v>20</v>
      </c>
      <c r="G844" s="66" t="s">
        <v>2820</v>
      </c>
      <c r="H844" s="44" t="s">
        <v>2820</v>
      </c>
      <c r="I844" s="299" t="s">
        <v>2821</v>
      </c>
      <c r="J844" s="66" t="s">
        <v>6146</v>
      </c>
      <c r="K844" s="66" t="s">
        <v>5978</v>
      </c>
      <c r="L844" s="66">
        <v>109572</v>
      </c>
      <c r="M844" s="66"/>
      <c r="N844" s="66" t="s">
        <v>2260</v>
      </c>
      <c r="O844" s="66" t="s">
        <v>4572</v>
      </c>
      <c r="P844" s="66" t="s">
        <v>6155</v>
      </c>
      <c r="Q844" s="138" t="str">
        <f ca="1">IFERROR(LOOKUP($P844,MOTORISTAS!$D$3:$D$1048576,MOTORISTAS!E$3:E$916),"")</f>
        <v>05556926638</v>
      </c>
      <c r="R844" s="138" t="str">
        <f ca="1">IFERROR(LOOKUP($P844,MOTORISTAS!$D$3:$D$1048576,MOTORISTAS!F$3:F$916),"")</f>
        <v>02190719384</v>
      </c>
      <c r="S844" s="66">
        <v>17241</v>
      </c>
      <c r="T844" s="66" t="s">
        <v>306</v>
      </c>
      <c r="U844" s="79">
        <v>45161.197222222225</v>
      </c>
      <c r="V844" s="66"/>
      <c r="W844" s="79"/>
      <c r="X844" s="79">
        <v>45161.284722222219</v>
      </c>
      <c r="Y844" s="88">
        <v>45161.527777777781</v>
      </c>
      <c r="Z844" s="81"/>
      <c r="AA844" s="81"/>
      <c r="AB844" s="81"/>
      <c r="AC844" s="81"/>
      <c r="AD844" s="81"/>
      <c r="AE844" s="81"/>
      <c r="AF844" s="81"/>
      <c r="AG844" s="81">
        <f>Sal_23[[#This Row],[COMPRA]]*12%</f>
        <v>0</v>
      </c>
      <c r="AH844" s="83"/>
      <c r="AI844" s="66" t="str">
        <f>PROPER(TEXT(Sal_23[[#This Row],[PROGRAMAÇÃO]],"mmm"))</f>
        <v>Ago</v>
      </c>
      <c r="AJ844" s="66">
        <f>YEAR(Sal_23[[#This Row],[PROGRAMAÇÃO]])</f>
        <v>2022</v>
      </c>
      <c r="AK844" s="66"/>
      <c r="AL844" s="66"/>
      <c r="AM844" s="66"/>
      <c r="AN844" s="66"/>
      <c r="AO844" s="66"/>
    </row>
    <row r="845" spans="2:41" x14ac:dyDescent="0.25">
      <c r="B845" s="128" t="s">
        <v>2909</v>
      </c>
      <c r="C84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45" s="79">
        <v>44796.375</v>
      </c>
      <c r="E845" s="44" t="s">
        <v>5975</v>
      </c>
      <c r="F845" s="66">
        <v>20</v>
      </c>
      <c r="G845" s="66" t="s">
        <v>2820</v>
      </c>
      <c r="H845" s="44" t="s">
        <v>2820</v>
      </c>
      <c r="I845" s="299" t="s">
        <v>2821</v>
      </c>
      <c r="J845" s="66" t="s">
        <v>6145</v>
      </c>
      <c r="K845" s="66" t="s">
        <v>5978</v>
      </c>
      <c r="L845" s="66">
        <v>73377</v>
      </c>
      <c r="M845" s="66"/>
      <c r="N845" s="66" t="s">
        <v>3028</v>
      </c>
      <c r="O845" s="66" t="s">
        <v>2261</v>
      </c>
      <c r="P845" s="66" t="s">
        <v>5816</v>
      </c>
      <c r="Q845" s="138" t="str">
        <f ca="1">IFERROR(LOOKUP($P845,MOTORISTAS!$D$3:$D$1048576,MOTORISTAS!E$3:E$916),"")</f>
        <v>13990937898</v>
      </c>
      <c r="R845" s="138" t="str">
        <f ca="1">IFERROR(LOOKUP($P845,MOTORISTAS!$D$3:$D$1048576,MOTORISTAS!F$3:F$916),"")</f>
        <v>01825123407</v>
      </c>
      <c r="S845" s="66">
        <v>17240</v>
      </c>
      <c r="T845" s="66" t="s">
        <v>306</v>
      </c>
      <c r="U845" s="79">
        <v>45160.935416666667</v>
      </c>
      <c r="V845" s="66"/>
      <c r="W845" s="79"/>
      <c r="X845" s="79">
        <v>45161.010416666664</v>
      </c>
      <c r="Y845" s="88">
        <v>45161.496527777781</v>
      </c>
      <c r="Z845" s="81"/>
      <c r="AA845" s="81"/>
      <c r="AB845" s="81"/>
      <c r="AC845" s="81"/>
      <c r="AD845" s="81"/>
      <c r="AE845" s="81"/>
      <c r="AF845" s="81"/>
      <c r="AG845" s="81">
        <f>Sal_23[[#This Row],[COMPRA]]*12%</f>
        <v>0</v>
      </c>
      <c r="AH845" s="83"/>
      <c r="AI845" s="66" t="str">
        <f>PROPER(TEXT(Sal_23[[#This Row],[PROGRAMAÇÃO]],"mmm"))</f>
        <v>Ago</v>
      </c>
      <c r="AJ845" s="66">
        <f>YEAR(Sal_23[[#This Row],[PROGRAMAÇÃO]])</f>
        <v>2022</v>
      </c>
      <c r="AK845" s="66"/>
      <c r="AL845" s="66"/>
      <c r="AM845" s="66"/>
      <c r="AN845" s="66"/>
      <c r="AO845" s="66"/>
    </row>
    <row r="846" spans="2:41" x14ac:dyDescent="0.25">
      <c r="B846" s="128" t="s">
        <v>2909</v>
      </c>
      <c r="C84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46" s="79">
        <v>44797.375</v>
      </c>
      <c r="E846" s="44" t="s">
        <v>5973</v>
      </c>
      <c r="F846" s="66">
        <v>20</v>
      </c>
      <c r="G846" s="66" t="s">
        <v>2820</v>
      </c>
      <c r="H846" s="44" t="s">
        <v>2820</v>
      </c>
      <c r="I846" s="299" t="s">
        <v>2821</v>
      </c>
      <c r="J846" s="66" t="s">
        <v>6145</v>
      </c>
      <c r="K846" s="66" t="s">
        <v>5978</v>
      </c>
      <c r="L846" s="66">
        <v>73326</v>
      </c>
      <c r="M846" s="66"/>
      <c r="N846" s="66" t="s">
        <v>2949</v>
      </c>
      <c r="O846" s="66" t="s">
        <v>2950</v>
      </c>
      <c r="P846" s="66" t="s">
        <v>2948</v>
      </c>
      <c r="Q846" s="138" t="str">
        <f ca="1">IFERROR(LOOKUP($P846,MOTORISTAS!$D$3:$D$1048576,MOTORISTAS!E$3:E$916),"")</f>
        <v>16239341843</v>
      </c>
      <c r="R846" s="138" t="str">
        <f ca="1">IFERROR(LOOKUP($P846,MOTORISTAS!$D$3:$D$1048576,MOTORISTAS!F$3:F$916),"")</f>
        <v>01877235038</v>
      </c>
      <c r="S846" s="66">
        <v>17259</v>
      </c>
      <c r="T846" s="66" t="s">
        <v>306</v>
      </c>
      <c r="U846" s="79">
        <v>45161.922222222223</v>
      </c>
      <c r="V846" s="66"/>
      <c r="W846" s="79"/>
      <c r="X846" s="79">
        <v>45162.020833333336</v>
      </c>
      <c r="Y846" s="88">
        <v>45162.486111111109</v>
      </c>
      <c r="Z846" s="81"/>
      <c r="AA846" s="81"/>
      <c r="AB846" s="81"/>
      <c r="AC846" s="81"/>
      <c r="AD846" s="81"/>
      <c r="AE846" s="81"/>
      <c r="AF846" s="81"/>
      <c r="AG846" s="81">
        <f>Sal_23[[#This Row],[COMPRA]]*12%</f>
        <v>0</v>
      </c>
      <c r="AH846" s="83"/>
      <c r="AI846" s="66" t="str">
        <f>PROPER(TEXT(Sal_23[[#This Row],[PROGRAMAÇÃO]],"mmm"))</f>
        <v>Ago</v>
      </c>
      <c r="AJ846" s="66">
        <f>YEAR(Sal_23[[#This Row],[PROGRAMAÇÃO]])</f>
        <v>2022</v>
      </c>
      <c r="AK846" s="66"/>
      <c r="AL846" s="66"/>
      <c r="AM846" s="66"/>
      <c r="AN846" s="66"/>
      <c r="AO846" s="66"/>
    </row>
    <row r="847" spans="2:41" x14ac:dyDescent="0.25">
      <c r="B847" s="128" t="s">
        <v>2909</v>
      </c>
      <c r="C84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47" s="79">
        <v>44797.375</v>
      </c>
      <c r="E847" s="44" t="s">
        <v>5974</v>
      </c>
      <c r="F847" s="66">
        <v>20</v>
      </c>
      <c r="G847" s="66" t="s">
        <v>2820</v>
      </c>
      <c r="H847" s="44" t="s">
        <v>2820</v>
      </c>
      <c r="I847" s="299" t="s">
        <v>2821</v>
      </c>
      <c r="J847" s="66" t="s">
        <v>6145</v>
      </c>
      <c r="K847" s="66" t="s">
        <v>5978</v>
      </c>
      <c r="L847" s="66">
        <v>73328</v>
      </c>
      <c r="M847" s="66"/>
      <c r="N847" s="66" t="s">
        <v>2859</v>
      </c>
      <c r="O847" s="66" t="s">
        <v>2860</v>
      </c>
      <c r="P847" s="66" t="s">
        <v>2861</v>
      </c>
      <c r="Q847" s="138" t="str">
        <f ca="1">IFERROR(LOOKUP($P847,MOTORISTAS!$D$3:$D$1048576,MOTORISTAS!E$3:E$916),"")</f>
        <v>01817591878</v>
      </c>
      <c r="R847" s="138" t="str">
        <f ca="1">IFERROR(LOOKUP($P847,MOTORISTAS!$D$3:$D$1048576,MOTORISTAS!F$3:F$916),"")</f>
        <v>00821760640</v>
      </c>
      <c r="S847" s="66">
        <v>17260</v>
      </c>
      <c r="T847" s="66" t="s">
        <v>306</v>
      </c>
      <c r="U847" s="79">
        <v>45161.938194444447</v>
      </c>
      <c r="V847" s="66"/>
      <c r="W847" s="79"/>
      <c r="X847" s="79">
        <v>45162.041666666664</v>
      </c>
      <c r="Y847" s="88">
        <v>45162.486111111109</v>
      </c>
      <c r="Z847" s="81"/>
      <c r="AA847" s="81"/>
      <c r="AB847" s="81"/>
      <c r="AC847" s="81"/>
      <c r="AD847" s="81"/>
      <c r="AE847" s="81"/>
      <c r="AF847" s="81"/>
      <c r="AG847" s="81">
        <f>Sal_23[[#This Row],[COMPRA]]*12%</f>
        <v>0</v>
      </c>
      <c r="AH847" s="83"/>
      <c r="AI847" s="66" t="str">
        <f>PROPER(TEXT(Sal_23[[#This Row],[PROGRAMAÇÃO]],"mmm"))</f>
        <v>Ago</v>
      </c>
      <c r="AJ847" s="66">
        <f>YEAR(Sal_23[[#This Row],[PROGRAMAÇÃO]])</f>
        <v>2022</v>
      </c>
      <c r="AK847" s="66"/>
      <c r="AL847" s="66"/>
      <c r="AM847" s="66"/>
      <c r="AN847" s="66"/>
      <c r="AO847" s="66"/>
    </row>
    <row r="848" spans="2:41" x14ac:dyDescent="0.25">
      <c r="B848" s="128" t="s">
        <v>2909</v>
      </c>
      <c r="C84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48" s="79">
        <v>44797.458333333336</v>
      </c>
      <c r="E848" s="44" t="s">
        <v>5976</v>
      </c>
      <c r="F848" s="66">
        <v>20</v>
      </c>
      <c r="G848" s="66" t="s">
        <v>2820</v>
      </c>
      <c r="H848" s="44" t="s">
        <v>2820</v>
      </c>
      <c r="I848" s="299" t="s">
        <v>2821</v>
      </c>
      <c r="J848" s="66" t="s">
        <v>6145</v>
      </c>
      <c r="K848" s="66" t="s">
        <v>5978</v>
      </c>
      <c r="L848" s="66">
        <v>73379</v>
      </c>
      <c r="M848" s="66"/>
      <c r="N848" s="66" t="s">
        <v>3028</v>
      </c>
      <c r="O848" s="66" t="s">
        <v>2261</v>
      </c>
      <c r="P848" s="66" t="s">
        <v>3443</v>
      </c>
      <c r="Q848" s="138" t="str">
        <f ca="1">IFERROR(LOOKUP($P848,MOTORISTAS!$D$3:$D$1048576,MOTORISTAS!E$3:E$916),"")</f>
        <v>13990937898</v>
      </c>
      <c r="R848" s="138" t="str">
        <f ca="1">IFERROR(LOOKUP($P848,MOTORISTAS!$D$3:$D$1048576,MOTORISTAS!F$3:F$916),"")</f>
        <v>01825123407</v>
      </c>
      <c r="S848" s="66">
        <v>17261</v>
      </c>
      <c r="T848" s="66" t="s">
        <v>306</v>
      </c>
      <c r="U848" s="79">
        <v>45161.961111111108</v>
      </c>
      <c r="V848" s="66"/>
      <c r="W848" s="79"/>
      <c r="X848" s="79">
        <v>45162.0625</v>
      </c>
      <c r="Y848" s="88">
        <v>45162.545138888891</v>
      </c>
      <c r="Z848" s="81"/>
      <c r="AA848" s="81"/>
      <c r="AB848" s="81"/>
      <c r="AC848" s="81"/>
      <c r="AD848" s="81"/>
      <c r="AE848" s="81"/>
      <c r="AF848" s="81"/>
      <c r="AG848" s="81">
        <f>Sal_23[[#This Row],[COMPRA]]*12%</f>
        <v>0</v>
      </c>
      <c r="AH848" s="83"/>
      <c r="AI848" s="66" t="str">
        <f>PROPER(TEXT(Sal_23[[#This Row],[PROGRAMAÇÃO]],"mmm"))</f>
        <v>Ago</v>
      </c>
      <c r="AJ848" s="66">
        <f>YEAR(Sal_23[[#This Row],[PROGRAMAÇÃO]])</f>
        <v>2022</v>
      </c>
      <c r="AK848" s="66"/>
      <c r="AL848" s="66"/>
      <c r="AM848" s="66"/>
      <c r="AN848" s="66"/>
      <c r="AO848" s="66"/>
    </row>
    <row r="849" spans="2:41" x14ac:dyDescent="0.25">
      <c r="B849" s="128" t="s">
        <v>3295</v>
      </c>
      <c r="C84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49" s="79">
        <v>44798.375</v>
      </c>
      <c r="E849" s="44" t="s">
        <v>5972</v>
      </c>
      <c r="F849" s="66">
        <v>20</v>
      </c>
      <c r="G849" s="66" t="s">
        <v>2820</v>
      </c>
      <c r="H849" s="44" t="s">
        <v>2820</v>
      </c>
      <c r="I849" s="299" t="s">
        <v>2821</v>
      </c>
      <c r="J849" s="66" t="s">
        <v>6079</v>
      </c>
      <c r="K849" s="66" t="s">
        <v>5978</v>
      </c>
      <c r="L849" s="66">
        <v>109571</v>
      </c>
      <c r="M849" s="66"/>
      <c r="N849" s="66" t="s">
        <v>2949</v>
      </c>
      <c r="O849" s="66" t="s">
        <v>2950</v>
      </c>
      <c r="P849" s="66" t="s">
        <v>2948</v>
      </c>
      <c r="Q849" s="138" t="str">
        <f ca="1">IFERROR(LOOKUP($P849,MOTORISTAS!$D$3:$D$1048576,MOTORISTAS!E$3:E$916),"")</f>
        <v>16239341843</v>
      </c>
      <c r="R849" s="138" t="str">
        <f ca="1">IFERROR(LOOKUP($P849,MOTORISTAS!$D$3:$D$1048576,MOTORISTAS!F$3:F$916),"")</f>
        <v>01877235038</v>
      </c>
      <c r="S849" s="66">
        <v>17184</v>
      </c>
      <c r="T849" s="66" t="s">
        <v>306</v>
      </c>
      <c r="U849" s="79">
        <v>45163.177083333336</v>
      </c>
      <c r="V849" s="66"/>
      <c r="W849" s="79"/>
      <c r="X849" s="79">
        <v>45163.211805555555</v>
      </c>
      <c r="Y849" s="81"/>
      <c r="Z849" s="81"/>
      <c r="AA849" s="81"/>
      <c r="AB849" s="81"/>
      <c r="AC849" s="81"/>
      <c r="AD849" s="81"/>
      <c r="AE849" s="81"/>
      <c r="AF849" s="81"/>
      <c r="AG849" s="81">
        <f>Sal_23[[#This Row],[COMPRA]]*12%</f>
        <v>0</v>
      </c>
      <c r="AH849" s="83"/>
      <c r="AI849" s="66" t="str">
        <f>PROPER(TEXT(Sal_23[[#This Row],[PROGRAMAÇÃO]],"mmm"))</f>
        <v>Ago</v>
      </c>
      <c r="AJ849" s="66">
        <f>YEAR(Sal_23[[#This Row],[PROGRAMAÇÃO]])</f>
        <v>2022</v>
      </c>
      <c r="AK849" s="66"/>
      <c r="AL849" s="66"/>
      <c r="AM849" s="66"/>
      <c r="AN849" s="66"/>
      <c r="AO849" s="66"/>
    </row>
    <row r="850" spans="2:41" x14ac:dyDescent="0.25">
      <c r="B850" s="128" t="s">
        <v>3295</v>
      </c>
      <c r="C85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50" s="79">
        <v>44798.375</v>
      </c>
      <c r="E850" s="44" t="s">
        <v>5969</v>
      </c>
      <c r="F850" s="66">
        <v>20</v>
      </c>
      <c r="G850" s="66" t="s">
        <v>2820</v>
      </c>
      <c r="H850" s="44" t="s">
        <v>2820</v>
      </c>
      <c r="I850" s="299" t="s">
        <v>2821</v>
      </c>
      <c r="J850" s="66" t="s">
        <v>6156</v>
      </c>
      <c r="K850" s="66" t="s">
        <v>5978</v>
      </c>
      <c r="L850" s="66">
        <v>109573</v>
      </c>
      <c r="M850" s="66"/>
      <c r="N850" s="66" t="s">
        <v>2859</v>
      </c>
      <c r="O850" s="66" t="s">
        <v>2860</v>
      </c>
      <c r="P850" s="66" t="s">
        <v>2861</v>
      </c>
      <c r="Q850" s="138" t="str">
        <f ca="1">IFERROR(LOOKUP($P850,MOTORISTAS!$D$3:$D$1048576,MOTORISTAS!E$3:E$916),"")</f>
        <v>01817591878</v>
      </c>
      <c r="R850" s="138" t="str">
        <f ca="1">IFERROR(LOOKUP($P850,MOTORISTAS!$D$3:$D$1048576,MOTORISTAS!F$3:F$916),"")</f>
        <v>00821760640</v>
      </c>
      <c r="S850" s="66">
        <v>17269</v>
      </c>
      <c r="T850" s="66" t="s">
        <v>306</v>
      </c>
      <c r="U850" s="79">
        <v>45162.927083333336</v>
      </c>
      <c r="V850" s="66"/>
      <c r="W850" s="79"/>
      <c r="X850" s="79">
        <v>45163.024305555555</v>
      </c>
      <c r="Y850" s="81"/>
      <c r="Z850" s="81"/>
      <c r="AA850" s="81"/>
      <c r="AB850" s="81"/>
      <c r="AC850" s="81"/>
      <c r="AD850" s="81"/>
      <c r="AE850" s="81"/>
      <c r="AF850" s="81"/>
      <c r="AG850" s="81">
        <f>Sal_23[[#This Row],[COMPRA]]*12%</f>
        <v>0</v>
      </c>
      <c r="AH850" s="83"/>
      <c r="AI850" s="66" t="str">
        <f>PROPER(TEXT(Sal_23[[#This Row],[PROGRAMAÇÃO]],"mmm"))</f>
        <v>Ago</v>
      </c>
      <c r="AJ850" s="66">
        <f>YEAR(Sal_23[[#This Row],[PROGRAMAÇÃO]])</f>
        <v>2022</v>
      </c>
      <c r="AK850" s="66"/>
      <c r="AL850" s="66"/>
      <c r="AM850" s="66"/>
      <c r="AN850" s="66"/>
      <c r="AO850" s="66"/>
    </row>
    <row r="851" spans="2:41" x14ac:dyDescent="0.25">
      <c r="B851" s="128" t="s">
        <v>3295</v>
      </c>
      <c r="C85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51" s="79">
        <v>44798.375</v>
      </c>
      <c r="E851" s="44" t="s">
        <v>5977</v>
      </c>
      <c r="F851" s="66">
        <v>20</v>
      </c>
      <c r="G851" s="66" t="s">
        <v>2820</v>
      </c>
      <c r="H851" s="44" t="s">
        <v>2820</v>
      </c>
      <c r="I851" s="299" t="s">
        <v>2821</v>
      </c>
      <c r="J851" s="66" t="s">
        <v>6157</v>
      </c>
      <c r="K851" s="66" t="s">
        <v>5978</v>
      </c>
      <c r="L851" s="66">
        <v>66550</v>
      </c>
      <c r="M851" s="66">
        <v>66551</v>
      </c>
      <c r="N851" s="66"/>
      <c r="O851" s="66"/>
      <c r="P851" s="66"/>
      <c r="Q851" s="138" t="str">
        <f>IFERROR(LOOKUP($P851,MOTORISTAS!$D$3:$D$1048576,MOTORISTAS!E$3:E$916),"")</f>
        <v/>
      </c>
      <c r="R851" s="138" t="str">
        <f>IFERROR(LOOKUP($P851,MOTORISTAS!$D$3:$D$1048576,MOTORISTAS!F$3:F$916),"")</f>
        <v/>
      </c>
      <c r="S851" s="66">
        <v>17270</v>
      </c>
      <c r="T851" s="66" t="s">
        <v>306</v>
      </c>
      <c r="U851" s="79">
        <v>45162.918749999997</v>
      </c>
      <c r="V851" s="66"/>
      <c r="W851" s="79"/>
      <c r="X851" s="79">
        <v>45163.024305555555</v>
      </c>
      <c r="Y851" s="81"/>
      <c r="Z851" s="81"/>
      <c r="AA851" s="81"/>
      <c r="AB851" s="81"/>
      <c r="AC851" s="81"/>
      <c r="AD851" s="81">
        <v>1757.6</v>
      </c>
      <c r="AE851" s="81"/>
      <c r="AF851" s="81">
        <v>266.39999999999998</v>
      </c>
      <c r="AG851" s="81">
        <f>Sal_23[[#This Row],[COMPRA]]*12%</f>
        <v>276</v>
      </c>
      <c r="AH851" s="83">
        <v>2300</v>
      </c>
      <c r="AI851" s="66" t="str">
        <f>PROPER(TEXT(Sal_23[[#This Row],[PROGRAMAÇÃO]],"mmm"))</f>
        <v>Ago</v>
      </c>
      <c r="AJ851" s="66">
        <f>YEAR(Sal_23[[#This Row],[PROGRAMAÇÃO]])</f>
        <v>2022</v>
      </c>
      <c r="AK851" s="66"/>
      <c r="AL851" s="66"/>
      <c r="AM851" s="66"/>
      <c r="AN851" s="66"/>
      <c r="AO851" s="66"/>
    </row>
    <row r="852" spans="2:41" x14ac:dyDescent="0.25">
      <c r="B852" s="128" t="s">
        <v>2798</v>
      </c>
      <c r="C85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52" s="79">
        <v>45162.333333333336</v>
      </c>
      <c r="E852" s="44" t="s">
        <v>6103</v>
      </c>
      <c r="F852" s="66">
        <v>20</v>
      </c>
      <c r="G852" s="66" t="s">
        <v>2826</v>
      </c>
      <c r="H852" s="44" t="s">
        <v>2827</v>
      </c>
      <c r="I852" s="299" t="s">
        <v>2823</v>
      </c>
      <c r="J852" s="66">
        <v>8597</v>
      </c>
      <c r="K852" s="66" t="s">
        <v>6116</v>
      </c>
      <c r="L852" s="66">
        <v>109489</v>
      </c>
      <c r="M852" s="66"/>
      <c r="N852" s="66" t="s">
        <v>2156</v>
      </c>
      <c r="O852" s="66" t="s">
        <v>2464</v>
      </c>
      <c r="P852" s="66" t="s">
        <v>2158</v>
      </c>
      <c r="Q852" s="138" t="str">
        <f ca="1">IFERROR(LOOKUP($P852,MOTORISTAS!$D$3:$D$1048576,MOTORISTAS!E$3:E$916),"")</f>
        <v>10485530864</v>
      </c>
      <c r="R852" s="138" t="str">
        <f ca="1">IFERROR(LOOKUP($P852,MOTORISTAS!$D$3:$D$1048576,MOTORISTAS!F$3:F$916),"")</f>
        <v>02033192841</v>
      </c>
      <c r="S852" s="66">
        <v>17262</v>
      </c>
      <c r="T852" s="66" t="s">
        <v>293</v>
      </c>
      <c r="U852" s="79">
        <v>45161.986805555556</v>
      </c>
      <c r="V852" s="66"/>
      <c r="W852" s="79"/>
      <c r="X852" s="79"/>
      <c r="Y852" s="81"/>
      <c r="Z852" s="81"/>
      <c r="AA852" s="81"/>
      <c r="AB852" s="81"/>
      <c r="AC852" s="81"/>
      <c r="AD852" s="81">
        <v>3484.1</v>
      </c>
      <c r="AE852" s="81"/>
      <c r="AF852" s="81">
        <v>706.8</v>
      </c>
      <c r="AG852" s="81">
        <f>Sal_23[[#This Row],[COMPRA]]*12%</f>
        <v>571.48680000000002</v>
      </c>
      <c r="AH852" s="83">
        <v>4762.3900000000003</v>
      </c>
      <c r="AI852" s="66" t="str">
        <f>PROPER(TEXT(Sal_23[[#This Row],[PROGRAMAÇÃO]],"mmm"))</f>
        <v>Ago</v>
      </c>
      <c r="AJ852" s="66">
        <f>YEAR(Sal_23[[#This Row],[PROGRAMAÇÃO]])</f>
        <v>2023</v>
      </c>
      <c r="AK852" s="66"/>
      <c r="AL852" s="66"/>
      <c r="AM852" s="66"/>
      <c r="AN852" s="66"/>
      <c r="AO852" s="66"/>
    </row>
    <row r="853" spans="2:41" x14ac:dyDescent="0.25">
      <c r="B853" s="128" t="s">
        <v>2798</v>
      </c>
      <c r="C85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53" s="79">
        <v>45163.333333333336</v>
      </c>
      <c r="E853" s="44" t="s">
        <v>6104</v>
      </c>
      <c r="F853" s="66">
        <v>20</v>
      </c>
      <c r="G853" s="66" t="s">
        <v>2826</v>
      </c>
      <c r="H853" s="44" t="s">
        <v>2827</v>
      </c>
      <c r="I853" s="299" t="s">
        <v>2823</v>
      </c>
      <c r="J853" s="66">
        <v>8633</v>
      </c>
      <c r="K853" s="66" t="s">
        <v>6116</v>
      </c>
      <c r="L853" s="66">
        <v>109490</v>
      </c>
      <c r="M853" s="66"/>
      <c r="N853" s="66" t="s">
        <v>5609</v>
      </c>
      <c r="O853" s="66" t="s">
        <v>2946</v>
      </c>
      <c r="P853" s="66" t="s">
        <v>1845</v>
      </c>
      <c r="Q853" s="138" t="str">
        <f ca="1">IFERROR(LOOKUP($P853,MOTORISTAS!$D$3:$D$1048576,MOTORISTAS!E$3:E$916),"")</f>
        <v>05826127805</v>
      </c>
      <c r="R853" s="138" t="str">
        <f ca="1">IFERROR(LOOKUP($P853,MOTORISTAS!$D$3:$D$1048576,MOTORISTAS!F$3:F$916),"")</f>
        <v>02397620357</v>
      </c>
      <c r="S853" s="66">
        <v>17271</v>
      </c>
      <c r="T853" s="66" t="s">
        <v>293</v>
      </c>
      <c r="U853" s="79">
        <v>45163.097222222219</v>
      </c>
      <c r="V853" s="66"/>
      <c r="W853" s="79"/>
      <c r="X853" s="79"/>
      <c r="Y853" s="81"/>
      <c r="Z853" s="81"/>
      <c r="AA853" s="81"/>
      <c r="AB853" s="81"/>
      <c r="AC853" s="81"/>
      <c r="AD853" s="81">
        <v>3484.1</v>
      </c>
      <c r="AE853" s="81"/>
      <c r="AF853" s="81">
        <v>706.8</v>
      </c>
      <c r="AG853" s="81">
        <f>Sal_23[[#This Row],[COMPRA]]*12%</f>
        <v>571.48680000000002</v>
      </c>
      <c r="AH853" s="83">
        <v>4762.3900000000003</v>
      </c>
      <c r="AI853" s="66" t="str">
        <f>PROPER(TEXT(Sal_23[[#This Row],[PROGRAMAÇÃO]],"mmm"))</f>
        <v>Ago</v>
      </c>
      <c r="AJ853" s="66">
        <f>YEAR(Sal_23[[#This Row],[PROGRAMAÇÃO]])</f>
        <v>2023</v>
      </c>
      <c r="AK853" s="66"/>
      <c r="AL853" s="66"/>
      <c r="AM853" s="66"/>
      <c r="AN853" s="66"/>
      <c r="AO853" s="66"/>
    </row>
    <row r="854" spans="2:41" x14ac:dyDescent="0.25">
      <c r="B854" s="128" t="s">
        <v>2798</v>
      </c>
      <c r="C85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54" s="79">
        <v>45162.333333333336</v>
      </c>
      <c r="E854" s="44" t="s">
        <v>6105</v>
      </c>
      <c r="F854" s="66">
        <v>20</v>
      </c>
      <c r="G854" s="66" t="s">
        <v>2826</v>
      </c>
      <c r="H854" s="44" t="s">
        <v>2825</v>
      </c>
      <c r="I854" s="299" t="s">
        <v>4012</v>
      </c>
      <c r="J854" s="66">
        <v>8599</v>
      </c>
      <c r="K854" s="66" t="s">
        <v>6116</v>
      </c>
      <c r="L854" s="66">
        <v>109448</v>
      </c>
      <c r="M854" s="66"/>
      <c r="N854" s="66" t="s">
        <v>2260</v>
      </c>
      <c r="O854" s="66" t="s">
        <v>4572</v>
      </c>
      <c r="P854" s="66" t="s">
        <v>2262</v>
      </c>
      <c r="Q854" s="138" t="str">
        <f ca="1">IFERROR(LOOKUP($P854,MOTORISTAS!$D$3:$D$1048576,MOTORISTAS!E$3:E$916),"")</f>
        <v>39669866472</v>
      </c>
      <c r="R854" s="138" t="str">
        <f ca="1">IFERROR(LOOKUP($P854,MOTORISTAS!$D$3:$D$1048576,MOTORISTAS!F$3:F$916),"")</f>
        <v>03304186289</v>
      </c>
      <c r="S854" s="66">
        <v>17263</v>
      </c>
      <c r="T854" s="66" t="s">
        <v>293</v>
      </c>
      <c r="U854" s="79">
        <v>45161.974999999999</v>
      </c>
      <c r="V854" s="66"/>
      <c r="W854" s="79"/>
      <c r="X854" s="79"/>
      <c r="Y854" s="81"/>
      <c r="Z854" s="81"/>
      <c r="AA854" s="81"/>
      <c r="AB854" s="81"/>
      <c r="AC854" s="81"/>
      <c r="AD854" s="81"/>
      <c r="AE854" s="81"/>
      <c r="AF854" s="81"/>
      <c r="AG854" s="81">
        <f>Sal_23[[#This Row],[COMPRA]]*12%</f>
        <v>0</v>
      </c>
      <c r="AH854" s="83"/>
      <c r="AI854" s="66" t="str">
        <f>PROPER(TEXT(Sal_23[[#This Row],[PROGRAMAÇÃO]],"mmm"))</f>
        <v>Ago</v>
      </c>
      <c r="AJ854" s="66">
        <f>YEAR(Sal_23[[#This Row],[PROGRAMAÇÃO]])</f>
        <v>2023</v>
      </c>
      <c r="AK854" s="66"/>
      <c r="AL854" s="66"/>
      <c r="AM854" s="66"/>
      <c r="AN854" s="66"/>
      <c r="AO854" s="66"/>
    </row>
    <row r="855" spans="2:41" x14ac:dyDescent="0.25">
      <c r="B855" s="128" t="s">
        <v>3295</v>
      </c>
      <c r="C85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55" s="79">
        <v>45166.333333333336</v>
      </c>
      <c r="E855" s="44" t="s">
        <v>6106</v>
      </c>
      <c r="F855" s="66">
        <v>20</v>
      </c>
      <c r="G855" s="66" t="s">
        <v>2826</v>
      </c>
      <c r="H855" s="44" t="s">
        <v>3071</v>
      </c>
      <c r="I855" s="299" t="s">
        <v>3072</v>
      </c>
      <c r="J855" s="66">
        <v>8826</v>
      </c>
      <c r="K855" s="66" t="s">
        <v>6116</v>
      </c>
      <c r="L855" s="66">
        <v>109540</v>
      </c>
      <c r="M855" s="66"/>
      <c r="N855" s="66" t="s">
        <v>72</v>
      </c>
      <c r="O855" s="66" t="s">
        <v>27</v>
      </c>
      <c r="P855" s="66" t="s">
        <v>69</v>
      </c>
      <c r="Q855" s="138" t="str">
        <f ca="1">IFERROR(LOOKUP($P855,MOTORISTAS!$D$3:$D$1048576,MOTORISTAS!E$3:E$916),"")</f>
        <v>07968457866</v>
      </c>
      <c r="R855" s="138" t="str">
        <f ca="1">IFERROR(LOOKUP($P855,MOTORISTAS!$D$3:$D$1048576,MOTORISTAS!F$3:F$916),"")</f>
        <v>03264365790</v>
      </c>
      <c r="S855" s="66">
        <v>17272</v>
      </c>
      <c r="T855" s="66" t="s">
        <v>293</v>
      </c>
      <c r="U855" s="79">
        <v>45166.1875</v>
      </c>
      <c r="V855" s="66"/>
      <c r="W855" s="79"/>
      <c r="X855" s="79">
        <v>45166.3125</v>
      </c>
      <c r="Y855" s="81"/>
      <c r="Z855" s="81"/>
      <c r="AA855" s="81"/>
      <c r="AB855" s="81"/>
      <c r="AC855" s="81"/>
      <c r="AD855" s="81">
        <v>2361.17</v>
      </c>
      <c r="AE855" s="81">
        <v>768.04</v>
      </c>
      <c r="AF855" s="81">
        <v>343.2</v>
      </c>
      <c r="AG855" s="81">
        <f>Sal_23[[#This Row],[COMPRA]]*12%</f>
        <v>473.5104</v>
      </c>
      <c r="AH855" s="83">
        <v>3945.92</v>
      </c>
      <c r="AI855" s="66" t="str">
        <f>PROPER(TEXT(Sal_23[[#This Row],[PROGRAMAÇÃO]],"mmm"))</f>
        <v>Ago</v>
      </c>
      <c r="AJ855" s="66">
        <f>YEAR(Sal_23[[#This Row],[PROGRAMAÇÃO]])</f>
        <v>2023</v>
      </c>
      <c r="AK855" s="66"/>
      <c r="AL855" s="66"/>
      <c r="AM855" s="66"/>
      <c r="AN855" s="66"/>
      <c r="AO855" s="66"/>
    </row>
    <row r="856" spans="2:41" x14ac:dyDescent="0.25">
      <c r="B856" s="128" t="s">
        <v>3295</v>
      </c>
      <c r="C85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56" s="79">
        <v>45166.333333333336</v>
      </c>
      <c r="E856" s="44" t="s">
        <v>6107</v>
      </c>
      <c r="F856" s="66">
        <v>20</v>
      </c>
      <c r="G856" s="66" t="s">
        <v>2826</v>
      </c>
      <c r="H856" s="44" t="s">
        <v>6118</v>
      </c>
      <c r="I856" s="299" t="s">
        <v>5328</v>
      </c>
      <c r="J856" s="66">
        <v>8601</v>
      </c>
      <c r="K856" s="66" t="s">
        <v>6116</v>
      </c>
      <c r="L856" s="66">
        <v>121285</v>
      </c>
      <c r="M856" s="66"/>
      <c r="N856" s="66" t="s">
        <v>2949</v>
      </c>
      <c r="O856" s="66" t="s">
        <v>4701</v>
      </c>
      <c r="P856" s="66" t="s">
        <v>2948</v>
      </c>
      <c r="Q856" s="138" t="str">
        <f ca="1">IFERROR(LOOKUP($P856,MOTORISTAS!$D$3:$D$1048576,MOTORISTAS!E$3:E$916),"")</f>
        <v>16239341843</v>
      </c>
      <c r="R856" s="138" t="str">
        <f ca="1">IFERROR(LOOKUP($P856,MOTORISTAS!$D$3:$D$1048576,MOTORISTAS!F$3:F$916),"")</f>
        <v>01877235038</v>
      </c>
      <c r="S856" s="66">
        <v>17294</v>
      </c>
      <c r="T856" s="66" t="s">
        <v>293</v>
      </c>
      <c r="U856" s="79">
        <v>45166.018750000003</v>
      </c>
      <c r="V856" s="66"/>
      <c r="W856" s="79"/>
      <c r="X856" s="79">
        <v>45166.104166666664</v>
      </c>
      <c r="Y856" s="81"/>
      <c r="Z856" s="81"/>
      <c r="AA856" s="81"/>
      <c r="AB856" s="81"/>
      <c r="AC856" s="81"/>
      <c r="AD856" s="81"/>
      <c r="AE856" s="81"/>
      <c r="AF856" s="81"/>
      <c r="AG856" s="81">
        <f>Sal_23[[#This Row],[COMPRA]]*12%</f>
        <v>0</v>
      </c>
      <c r="AH856" s="83"/>
      <c r="AI856" s="66" t="str">
        <f>PROPER(TEXT(Sal_23[[#This Row],[PROGRAMAÇÃO]],"mmm"))</f>
        <v>Ago</v>
      </c>
      <c r="AJ856" s="66">
        <f>YEAR(Sal_23[[#This Row],[PROGRAMAÇÃO]])</f>
        <v>2023</v>
      </c>
      <c r="AK856" s="66"/>
      <c r="AL856" s="66"/>
      <c r="AM856" s="66"/>
      <c r="AN856" s="66"/>
      <c r="AO856" s="66"/>
    </row>
    <row r="857" spans="2:41" x14ac:dyDescent="0.25">
      <c r="B857" s="128" t="s">
        <v>3295</v>
      </c>
      <c r="C85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57" s="79">
        <v>45167.333333333336</v>
      </c>
      <c r="E857" s="44" t="s">
        <v>6108</v>
      </c>
      <c r="F857" s="66">
        <v>20</v>
      </c>
      <c r="G857" s="66" t="s">
        <v>2826</v>
      </c>
      <c r="H857" s="44" t="s">
        <v>2838</v>
      </c>
      <c r="I857" s="299" t="s">
        <v>2828</v>
      </c>
      <c r="J857" s="66">
        <v>8612</v>
      </c>
      <c r="K857" s="66" t="s">
        <v>6116</v>
      </c>
      <c r="L857" s="66">
        <v>109449</v>
      </c>
      <c r="M857" s="66"/>
      <c r="N857" s="66" t="s">
        <v>2949</v>
      </c>
      <c r="O857" s="66" t="s">
        <v>4701</v>
      </c>
      <c r="P857" s="66" t="s">
        <v>2948</v>
      </c>
      <c r="Q857" s="138" t="str">
        <f ca="1">IFERROR(LOOKUP($P857,MOTORISTAS!$D$3:$D$1048576,MOTORISTAS!E$3:E$916),"")</f>
        <v>16239341843</v>
      </c>
      <c r="R857" s="138" t="str">
        <f ca="1">IFERROR(LOOKUP($P857,MOTORISTAS!$D$3:$D$1048576,MOTORISTAS!F$3:F$916),"")</f>
        <v>01877235038</v>
      </c>
      <c r="S857" s="66">
        <v>17314</v>
      </c>
      <c r="T857" s="66" t="s">
        <v>293</v>
      </c>
      <c r="U857" s="79">
        <v>45166.87222222222</v>
      </c>
      <c r="V857" s="66"/>
      <c r="W857" s="79"/>
      <c r="X857" s="79">
        <v>45167.000694444447</v>
      </c>
      <c r="Y857" s="81"/>
      <c r="Z857" s="81"/>
      <c r="AA857" s="81"/>
      <c r="AB857" s="81"/>
      <c r="AC857" s="81"/>
      <c r="AD857" s="81"/>
      <c r="AE857" s="81"/>
      <c r="AF857" s="81"/>
      <c r="AG857" s="81">
        <f>Sal_23[[#This Row],[COMPRA]]*12%</f>
        <v>0</v>
      </c>
      <c r="AH857" s="83"/>
      <c r="AI857" s="66" t="str">
        <f>PROPER(TEXT(Sal_23[[#This Row],[PROGRAMAÇÃO]],"mmm"))</f>
        <v>Ago</v>
      </c>
      <c r="AJ857" s="66">
        <f>YEAR(Sal_23[[#This Row],[PROGRAMAÇÃO]])</f>
        <v>2023</v>
      </c>
      <c r="AK857" s="66"/>
      <c r="AL857" s="66"/>
      <c r="AM857" s="66"/>
      <c r="AN857" s="66"/>
      <c r="AO857" s="66"/>
    </row>
    <row r="858" spans="2:41" x14ac:dyDescent="0.25">
      <c r="B858" s="128" t="s">
        <v>3295</v>
      </c>
      <c r="C85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58" s="79">
        <v>45163.333333333336</v>
      </c>
      <c r="E858" s="44" t="s">
        <v>3883</v>
      </c>
      <c r="F858" s="66">
        <v>20</v>
      </c>
      <c r="G858" s="66" t="s">
        <v>2826</v>
      </c>
      <c r="H858" s="44" t="s">
        <v>3082</v>
      </c>
      <c r="I858" s="299" t="s">
        <v>3083</v>
      </c>
      <c r="J858" s="66">
        <v>8638</v>
      </c>
      <c r="K858" s="66" t="s">
        <v>6116</v>
      </c>
      <c r="L858" s="66">
        <v>109492</v>
      </c>
      <c r="M858" s="66"/>
      <c r="N858" s="66" t="s">
        <v>3028</v>
      </c>
      <c r="O858" s="66" t="s">
        <v>2261</v>
      </c>
      <c r="P858" s="66" t="s">
        <v>3443</v>
      </c>
      <c r="Q858" s="138" t="str">
        <f ca="1">IFERROR(LOOKUP($P858,MOTORISTAS!$D$3:$D$1048576,MOTORISTAS!E$3:E$916),"")</f>
        <v>13990937898</v>
      </c>
      <c r="R858" s="138" t="str">
        <f ca="1">IFERROR(LOOKUP($P858,MOTORISTAS!$D$3:$D$1048576,MOTORISTAS!F$3:F$916),"")</f>
        <v>01825123407</v>
      </c>
      <c r="S858" s="66">
        <v>17295</v>
      </c>
      <c r="T858" s="66" t="s">
        <v>293</v>
      </c>
      <c r="U858" s="79">
        <v>45166.008333333331</v>
      </c>
      <c r="V858" s="66"/>
      <c r="W858" s="79"/>
      <c r="X858" s="79">
        <v>45166.28125</v>
      </c>
      <c r="Y858" s="81"/>
      <c r="Z858" s="81"/>
      <c r="AA858" s="81"/>
      <c r="AB858" s="81"/>
      <c r="AC858" s="81"/>
      <c r="AD858" s="81"/>
      <c r="AE858" s="81"/>
      <c r="AF858" s="81"/>
      <c r="AG858" s="81">
        <f>Sal_23[[#This Row],[COMPRA]]*12%</f>
        <v>0</v>
      </c>
      <c r="AH858" s="83"/>
      <c r="AI858" s="66" t="str">
        <f>PROPER(TEXT(Sal_23[[#This Row],[PROGRAMAÇÃO]],"mmm"))</f>
        <v>Ago</v>
      </c>
      <c r="AJ858" s="66">
        <f>YEAR(Sal_23[[#This Row],[PROGRAMAÇÃO]])</f>
        <v>2023</v>
      </c>
      <c r="AK858" s="66"/>
      <c r="AL858" s="66"/>
      <c r="AM858" s="66"/>
      <c r="AN858" s="66"/>
      <c r="AO858" s="66"/>
    </row>
    <row r="859" spans="2:41" x14ac:dyDescent="0.25">
      <c r="B859" s="128" t="s">
        <v>3295</v>
      </c>
      <c r="C85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59" s="79">
        <v>45163.333333333336</v>
      </c>
      <c r="E859" s="44" t="s">
        <v>3136</v>
      </c>
      <c r="F859" s="66">
        <v>20</v>
      </c>
      <c r="G859" s="66" t="s">
        <v>2826</v>
      </c>
      <c r="H859" s="44" t="s">
        <v>3440</v>
      </c>
      <c r="I859" s="299" t="s">
        <v>3531</v>
      </c>
      <c r="J859" s="66">
        <v>8616</v>
      </c>
      <c r="K859" s="66" t="s">
        <v>6116</v>
      </c>
      <c r="L859" s="66">
        <v>121284</v>
      </c>
      <c r="M859" s="66"/>
      <c r="N859" s="66" t="s">
        <v>2260</v>
      </c>
      <c r="O859" s="66" t="s">
        <v>4572</v>
      </c>
      <c r="P859" s="66" t="s">
        <v>6155</v>
      </c>
      <c r="Q859" s="138" t="str">
        <f ca="1">IFERROR(LOOKUP($P859,MOTORISTAS!$D$3:$D$1048576,MOTORISTAS!E$3:E$916),"")</f>
        <v>05556926638</v>
      </c>
      <c r="R859" s="138" t="str">
        <f ca="1">IFERROR(LOOKUP($P859,MOTORISTAS!$D$3:$D$1048576,MOTORISTAS!F$3:F$916),"")</f>
        <v>02190719384</v>
      </c>
      <c r="S859" s="66">
        <v>17273</v>
      </c>
      <c r="T859" s="66" t="s">
        <v>293</v>
      </c>
      <c r="U859" s="79"/>
      <c r="V859" s="66"/>
      <c r="W859" s="79"/>
      <c r="X859" s="79">
        <v>45163.232638888891</v>
      </c>
      <c r="Y859" s="81"/>
      <c r="Z859" s="81"/>
      <c r="AA859" s="81"/>
      <c r="AB859" s="81"/>
      <c r="AC859" s="81"/>
      <c r="AD859" s="81"/>
      <c r="AE859" s="81"/>
      <c r="AF859" s="81"/>
      <c r="AG859" s="81">
        <f>Sal_23[[#This Row],[COMPRA]]*12%</f>
        <v>0</v>
      </c>
      <c r="AH859" s="83"/>
      <c r="AI859" s="66" t="str">
        <f>PROPER(TEXT(Sal_23[[#This Row],[PROGRAMAÇÃO]],"mmm"))</f>
        <v>Ago</v>
      </c>
      <c r="AJ859" s="66">
        <f>YEAR(Sal_23[[#This Row],[PROGRAMAÇÃO]])</f>
        <v>2023</v>
      </c>
      <c r="AK859" s="66"/>
      <c r="AL859" s="66"/>
      <c r="AM859" s="66"/>
      <c r="AN859" s="66"/>
      <c r="AO859" s="66"/>
    </row>
    <row r="860" spans="2:41" x14ac:dyDescent="0.25">
      <c r="B860" s="128" t="s">
        <v>3295</v>
      </c>
      <c r="C86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60" s="79">
        <v>45163.333333333336</v>
      </c>
      <c r="E860" s="44" t="s">
        <v>6109</v>
      </c>
      <c r="F860" s="66">
        <v>20</v>
      </c>
      <c r="G860" s="66" t="s">
        <v>2826</v>
      </c>
      <c r="H860" s="44" t="s">
        <v>2837</v>
      </c>
      <c r="I860" s="299" t="s">
        <v>2821</v>
      </c>
      <c r="J860" s="66">
        <v>8618</v>
      </c>
      <c r="K860" s="66" t="s">
        <v>6116</v>
      </c>
      <c r="L860" s="66">
        <v>109491</v>
      </c>
      <c r="M860" s="66"/>
      <c r="N860" s="66" t="s">
        <v>2584</v>
      </c>
      <c r="O860" s="66" t="s">
        <v>2585</v>
      </c>
      <c r="P860" s="66" t="s">
        <v>2586</v>
      </c>
      <c r="Q860" s="138" t="str">
        <f ca="1">IFERROR(LOOKUP($P860,MOTORISTAS!$D$3:$D$1048576,MOTORISTAS!E$3:E$916),"")</f>
        <v>08312935860</v>
      </c>
      <c r="R860" s="138" t="str">
        <f ca="1">IFERROR(LOOKUP($P860,MOTORISTAS!$D$3:$D$1048576,MOTORISTAS!F$3:F$916),"")</f>
        <v>03106516083</v>
      </c>
      <c r="S860" s="66">
        <v>17274</v>
      </c>
      <c r="T860" s="66" t="s">
        <v>293</v>
      </c>
      <c r="U860" s="79">
        <v>45162.953472222223</v>
      </c>
      <c r="V860" s="79">
        <v>45163.041666666664</v>
      </c>
      <c r="W860" s="79"/>
      <c r="X860" s="79">
        <v>45163.041666666664</v>
      </c>
      <c r="Y860" s="88">
        <v>45163.462500000001</v>
      </c>
      <c r="Z860" s="81"/>
      <c r="AA860" s="81"/>
      <c r="AB860" s="81"/>
      <c r="AC860" s="81"/>
      <c r="AD860" s="81"/>
      <c r="AE860" s="81"/>
      <c r="AF860" s="81"/>
      <c r="AG860" s="81">
        <f>Sal_23[[#This Row],[COMPRA]]*12%</f>
        <v>0</v>
      </c>
      <c r="AH860" s="83"/>
      <c r="AI860" s="66" t="str">
        <f>PROPER(TEXT(Sal_23[[#This Row],[PROGRAMAÇÃO]],"mmm"))</f>
        <v>Ago</v>
      </c>
      <c r="AJ860" s="66">
        <f>YEAR(Sal_23[[#This Row],[PROGRAMAÇÃO]])</f>
        <v>2023</v>
      </c>
      <c r="AK860" s="66"/>
      <c r="AL860" s="66"/>
      <c r="AM860" s="66"/>
      <c r="AN860" s="66"/>
      <c r="AO860" s="66"/>
    </row>
    <row r="861" spans="2:41" x14ac:dyDescent="0.25">
      <c r="B861" s="128" t="s">
        <v>3295</v>
      </c>
      <c r="C86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61" s="79">
        <v>45162.333333333336</v>
      </c>
      <c r="E861" s="44" t="s">
        <v>6110</v>
      </c>
      <c r="F861" s="66">
        <v>20</v>
      </c>
      <c r="G861" s="66" t="s">
        <v>2826</v>
      </c>
      <c r="H861" s="44" t="s">
        <v>2837</v>
      </c>
      <c r="I861" s="299" t="s">
        <v>2821</v>
      </c>
      <c r="J861" s="66">
        <v>8606</v>
      </c>
      <c r="K861" s="66" t="s">
        <v>6116</v>
      </c>
      <c r="L861" s="66">
        <v>121297</v>
      </c>
      <c r="M861" s="66"/>
      <c r="N861" s="66" t="s">
        <v>2584</v>
      </c>
      <c r="O861" s="66" t="s">
        <v>2585</v>
      </c>
      <c r="P861" s="66" t="s">
        <v>2586</v>
      </c>
      <c r="Q861" s="138" t="str">
        <f ca="1">IFERROR(LOOKUP($P861,MOTORISTAS!$D$3:$D$1048576,MOTORISTAS!E$3:E$916),"")</f>
        <v>08312935860</v>
      </c>
      <c r="R861" s="138" t="str">
        <f ca="1">IFERROR(LOOKUP($P861,MOTORISTAS!$D$3:$D$1048576,MOTORISTAS!F$3:F$916),"")</f>
        <v>03106516083</v>
      </c>
      <c r="S861" s="66">
        <v>17264</v>
      </c>
      <c r="T861" s="66" t="s">
        <v>293</v>
      </c>
      <c r="U861" s="79"/>
      <c r="V861" s="66"/>
      <c r="W861" s="79"/>
      <c r="X861" s="79">
        <v>45167.330555555556</v>
      </c>
      <c r="Y861" s="81"/>
      <c r="Z861" s="81"/>
      <c r="AA861" s="81"/>
      <c r="AB861" s="81"/>
      <c r="AC861" s="81"/>
      <c r="AD861" s="81"/>
      <c r="AE861" s="81"/>
      <c r="AF861" s="81"/>
      <c r="AG861" s="81">
        <f>Sal_23[[#This Row],[COMPRA]]*12%</f>
        <v>0</v>
      </c>
      <c r="AH861" s="83"/>
      <c r="AI861" s="66" t="str">
        <f>PROPER(TEXT(Sal_23[[#This Row],[PROGRAMAÇÃO]],"mmm"))</f>
        <v>Ago</v>
      </c>
      <c r="AJ861" s="66">
        <f>YEAR(Sal_23[[#This Row],[PROGRAMAÇÃO]])</f>
        <v>2023</v>
      </c>
      <c r="AK861" s="66"/>
      <c r="AL861" s="66"/>
      <c r="AM861" s="66"/>
      <c r="AN861" s="66"/>
      <c r="AO861" s="66"/>
    </row>
    <row r="862" spans="2:41" x14ac:dyDescent="0.25">
      <c r="B862" s="128" t="s">
        <v>3295</v>
      </c>
      <c r="C86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62" s="79">
        <v>45163.333333333336</v>
      </c>
      <c r="E862" s="44" t="s">
        <v>6111</v>
      </c>
      <c r="F862" s="66">
        <v>40</v>
      </c>
      <c r="G862" s="66" t="s">
        <v>2826</v>
      </c>
      <c r="H862" s="44" t="s">
        <v>3195</v>
      </c>
      <c r="I862" s="299" t="s">
        <v>2830</v>
      </c>
      <c r="J862" s="66">
        <v>8629</v>
      </c>
      <c r="K862" s="66" t="s">
        <v>6116</v>
      </c>
      <c r="L862" s="66">
        <v>109598</v>
      </c>
      <c r="M862" s="66"/>
      <c r="N862" s="66" t="s">
        <v>2885</v>
      </c>
      <c r="O862" s="66" t="s">
        <v>891</v>
      </c>
      <c r="P862" s="66" t="s">
        <v>113</v>
      </c>
      <c r="Q862" s="138" t="str">
        <f ca="1">IFERROR(LOOKUP($P862,MOTORISTAS!$D$3:$D$1048576,MOTORISTAS!E$3:E$916),"")</f>
        <v>88265951434</v>
      </c>
      <c r="R862" s="138" t="str">
        <f ca="1">IFERROR(LOOKUP($P862,MOTORISTAS!$D$3:$D$1048576,MOTORISTAS!F$3:F$916),"")</f>
        <v>00920373596</v>
      </c>
      <c r="S862" s="66">
        <v>17285</v>
      </c>
      <c r="T862" s="66" t="s">
        <v>293</v>
      </c>
      <c r="U862" s="79"/>
      <c r="V862" s="66"/>
      <c r="W862" s="79"/>
      <c r="X862" s="79">
        <v>45163.125</v>
      </c>
      <c r="Y862" s="81"/>
      <c r="Z862" s="81"/>
      <c r="AA862" s="81"/>
      <c r="AB862" s="81"/>
      <c r="AC862" s="81"/>
      <c r="AD862" s="81">
        <v>2504.37</v>
      </c>
      <c r="AE862" s="81"/>
      <c r="AF862" s="81">
        <v>371.4</v>
      </c>
      <c r="AG862" s="81">
        <f>Sal_23[[#This Row],[COMPRA]]*12%</f>
        <v>392.15039999999999</v>
      </c>
      <c r="AH862" s="83">
        <v>3267.92</v>
      </c>
      <c r="AI862" s="66" t="str">
        <f>PROPER(TEXT(Sal_23[[#This Row],[PROGRAMAÇÃO]],"mmm"))</f>
        <v>Ago</v>
      </c>
      <c r="AJ862" s="66">
        <f>YEAR(Sal_23[[#This Row],[PROGRAMAÇÃO]])</f>
        <v>2023</v>
      </c>
      <c r="AK862" s="66"/>
      <c r="AL862" s="66"/>
      <c r="AM862" s="66"/>
      <c r="AN862" s="66"/>
      <c r="AO862" s="66"/>
    </row>
    <row r="863" spans="2:41" x14ac:dyDescent="0.25">
      <c r="B863" s="128" t="s">
        <v>3295</v>
      </c>
      <c r="C86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63" s="79">
        <v>45167.333333333336</v>
      </c>
      <c r="E863" s="44" t="s">
        <v>6112</v>
      </c>
      <c r="F863" s="66">
        <v>40</v>
      </c>
      <c r="G863" s="66" t="s">
        <v>2826</v>
      </c>
      <c r="H863" s="44" t="s">
        <v>3195</v>
      </c>
      <c r="I863" s="299" t="s">
        <v>6117</v>
      </c>
      <c r="J863" s="66" t="s">
        <v>6195</v>
      </c>
      <c r="K863" s="66" t="s">
        <v>6116</v>
      </c>
      <c r="L863" s="66">
        <v>109615</v>
      </c>
      <c r="M863" s="66">
        <v>121369</v>
      </c>
      <c r="N863" s="66" t="s">
        <v>155</v>
      </c>
      <c r="O863" s="66" t="s">
        <v>209</v>
      </c>
      <c r="P863" s="66" t="s">
        <v>156</v>
      </c>
      <c r="Q863" s="138" t="str">
        <f ca="1">IFERROR(LOOKUP($P863,MOTORISTAS!$D$3:$D$1048576,MOTORISTAS!E$3:E$916),"")</f>
        <v>09803034863</v>
      </c>
      <c r="R863" s="138" t="str">
        <f ca="1">IFERROR(LOOKUP($P863,MOTORISTAS!$D$3:$D$1048576,MOTORISTAS!F$3:F$916),"")</f>
        <v>01484565209</v>
      </c>
      <c r="S863" s="66" t="s">
        <v>6194</v>
      </c>
      <c r="T863" s="66" t="s">
        <v>293</v>
      </c>
      <c r="U863" s="79"/>
      <c r="V863" s="66"/>
      <c r="W863" s="79"/>
      <c r="X863" s="79"/>
      <c r="Y863" s="81"/>
      <c r="Z863" s="81"/>
      <c r="AA863" s="81"/>
      <c r="AB863" s="81"/>
      <c r="AC863" s="81"/>
      <c r="AD863" s="81"/>
      <c r="AE863" s="81"/>
      <c r="AF863" s="81"/>
      <c r="AG863" s="81">
        <f>Sal_23[[#This Row],[COMPRA]]*12%</f>
        <v>0</v>
      </c>
      <c r="AH863" s="83"/>
      <c r="AI863" s="66" t="str">
        <f>PROPER(TEXT(Sal_23[[#This Row],[PROGRAMAÇÃO]],"mmm"))</f>
        <v>Ago</v>
      </c>
      <c r="AJ863" s="66">
        <f>YEAR(Sal_23[[#This Row],[PROGRAMAÇÃO]])</f>
        <v>2023</v>
      </c>
      <c r="AK863" s="66"/>
      <c r="AL863" s="66"/>
      <c r="AM863" s="66"/>
      <c r="AN863" s="66"/>
      <c r="AO863" s="66"/>
    </row>
    <row r="864" spans="2:41" x14ac:dyDescent="0.25">
      <c r="B864" s="128" t="s">
        <v>3295</v>
      </c>
      <c r="C86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64" s="79">
        <v>45163.333333333336</v>
      </c>
      <c r="E864" s="44" t="s">
        <v>6113</v>
      </c>
      <c r="F864" s="66">
        <v>40</v>
      </c>
      <c r="G864" s="66" t="s">
        <v>2826</v>
      </c>
      <c r="H864" s="44" t="s">
        <v>3441</v>
      </c>
      <c r="I864" s="299" t="s">
        <v>5282</v>
      </c>
      <c r="J864" s="66">
        <v>8593</v>
      </c>
      <c r="K864" s="66" t="s">
        <v>6116</v>
      </c>
      <c r="L864" s="66">
        <v>109534</v>
      </c>
      <c r="M864" s="66">
        <v>109535</v>
      </c>
      <c r="N864" s="66" t="s">
        <v>3178</v>
      </c>
      <c r="O864" s="66" t="s">
        <v>93</v>
      </c>
      <c r="P864" s="66" t="s">
        <v>3300</v>
      </c>
      <c r="Q864" s="138" t="str">
        <f ca="1">IFERROR(LOOKUP($P864,MOTORISTAS!$D$3:$D$1048576,MOTORISTAS!E$3:E$916),"")</f>
        <v>26283419801</v>
      </c>
      <c r="R864" s="138" t="str">
        <f ca="1">IFERROR(LOOKUP($P864,MOTORISTAS!$D$3:$D$1048576,MOTORISTAS!F$3:F$916),"")</f>
        <v>02002046946</v>
      </c>
      <c r="S864" s="66">
        <v>17286</v>
      </c>
      <c r="T864" s="66" t="s">
        <v>293</v>
      </c>
      <c r="U864" s="79"/>
      <c r="V864" s="66"/>
      <c r="W864" s="79"/>
      <c r="X864" s="79">
        <v>45163.336805555555</v>
      </c>
      <c r="Y864" s="81"/>
      <c r="Z864" s="81"/>
      <c r="AA864" s="81"/>
      <c r="AB864" s="81"/>
      <c r="AC864" s="81"/>
      <c r="AD864" s="81">
        <v>2473.38</v>
      </c>
      <c r="AE864" s="81">
        <v>567.70000000000005</v>
      </c>
      <c r="AF864" s="81">
        <v>258</v>
      </c>
      <c r="AG864" s="81">
        <f>Sal_23[[#This Row],[COMPRA]]*12%</f>
        <v>449.87399999999997</v>
      </c>
      <c r="AH864" s="83">
        <v>3748.95</v>
      </c>
      <c r="AI864" s="66" t="str">
        <f>PROPER(TEXT(Sal_23[[#This Row],[PROGRAMAÇÃO]],"mmm"))</f>
        <v>Ago</v>
      </c>
      <c r="AJ864" s="66">
        <f>YEAR(Sal_23[[#This Row],[PROGRAMAÇÃO]])</f>
        <v>2023</v>
      </c>
      <c r="AK864" s="66"/>
      <c r="AL864" s="66"/>
      <c r="AM864" s="66"/>
      <c r="AN864" s="66"/>
      <c r="AO864" s="66"/>
    </row>
    <row r="865" spans="2:41" x14ac:dyDescent="0.25">
      <c r="B865" s="128" t="s">
        <v>3295</v>
      </c>
      <c r="C86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65" s="79">
        <v>45166.333333333336</v>
      </c>
      <c r="E865" s="44" t="s">
        <v>6114</v>
      </c>
      <c r="F865" s="66">
        <v>40</v>
      </c>
      <c r="G865" s="66" t="s">
        <v>2826</v>
      </c>
      <c r="H865" s="44" t="s">
        <v>4944</v>
      </c>
      <c r="I865" s="299" t="s">
        <v>2822</v>
      </c>
      <c r="J865" s="66">
        <v>6330</v>
      </c>
      <c r="K865" s="66" t="s">
        <v>6116</v>
      </c>
      <c r="L865" s="66">
        <v>109578</v>
      </c>
      <c r="M865" s="66"/>
      <c r="N865" s="66" t="s">
        <v>192</v>
      </c>
      <c r="O865" s="66" t="s">
        <v>193</v>
      </c>
      <c r="P865" s="66" t="s">
        <v>194</v>
      </c>
      <c r="Q865" s="138" t="str">
        <f ca="1">IFERROR(LOOKUP($P865,MOTORISTAS!$D$3:$D$1048576,MOTORISTAS!E$3:E$916),"")</f>
        <v>38529612892</v>
      </c>
      <c r="R865" s="138" t="str">
        <f ca="1">IFERROR(LOOKUP($P865,MOTORISTAS!$D$3:$D$1048576,MOTORISTAS!F$3:F$916),"")</f>
        <v>05021398574</v>
      </c>
      <c r="S865" s="66">
        <v>17296</v>
      </c>
      <c r="T865" s="66" t="s">
        <v>293</v>
      </c>
      <c r="U865" s="79"/>
      <c r="V865" s="66"/>
      <c r="W865" s="79"/>
      <c r="X865" s="79">
        <v>45166.340277777781</v>
      </c>
      <c r="Y865" s="81"/>
      <c r="Z865" s="81"/>
      <c r="AA865" s="81"/>
      <c r="AB865" s="81"/>
      <c r="AC865" s="81"/>
      <c r="AD865" s="81">
        <v>2449.6999999999998</v>
      </c>
      <c r="AE865" s="81">
        <v>266.39999999999998</v>
      </c>
      <c r="AF865" s="81"/>
      <c r="AG865" s="81">
        <f>Sal_23[[#This Row],[COMPRA]]*12%</f>
        <v>370.37759999999997</v>
      </c>
      <c r="AH865" s="83">
        <v>3086.48</v>
      </c>
      <c r="AI865" s="66" t="str">
        <f>PROPER(TEXT(Sal_23[[#This Row],[PROGRAMAÇÃO]],"mmm"))</f>
        <v>Ago</v>
      </c>
      <c r="AJ865" s="66">
        <f>YEAR(Sal_23[[#This Row],[PROGRAMAÇÃO]])</f>
        <v>2023</v>
      </c>
      <c r="AK865" s="66"/>
      <c r="AL865" s="66"/>
      <c r="AM865" s="66"/>
      <c r="AN865" s="66"/>
      <c r="AO865" s="66"/>
    </row>
    <row r="866" spans="2:41" x14ac:dyDescent="0.25">
      <c r="B866" s="128" t="s">
        <v>3295</v>
      </c>
      <c r="C86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66" s="79">
        <v>45163.333333333336</v>
      </c>
      <c r="E866" s="44" t="s">
        <v>6115</v>
      </c>
      <c r="F866" s="66">
        <v>40</v>
      </c>
      <c r="G866" s="66" t="s">
        <v>2826</v>
      </c>
      <c r="H866" s="44" t="s">
        <v>3074</v>
      </c>
      <c r="I866" s="299" t="s">
        <v>3532</v>
      </c>
      <c r="J866" s="66">
        <v>8613</v>
      </c>
      <c r="K866" s="66" t="s">
        <v>6116</v>
      </c>
      <c r="L866" s="66">
        <v>109577</v>
      </c>
      <c r="M866" s="66"/>
      <c r="N866" s="66" t="s">
        <v>3168</v>
      </c>
      <c r="O866" s="66" t="s">
        <v>73</v>
      </c>
      <c r="P866" s="66" t="s">
        <v>203</v>
      </c>
      <c r="Q866" s="138" t="str">
        <f ca="1">IFERROR(LOOKUP($P866,MOTORISTAS!$D$3:$D$1048576,MOTORISTAS!E$3:E$916),"")</f>
        <v>10395859816</v>
      </c>
      <c r="R866" s="138" t="str">
        <f ca="1">IFERROR(LOOKUP($P866,MOTORISTAS!$D$3:$D$1048576,MOTORISTAS!F$3:F$916),"")</f>
        <v>01965794851</v>
      </c>
      <c r="S866" s="66">
        <v>17287</v>
      </c>
      <c r="T866" s="66" t="s">
        <v>293</v>
      </c>
      <c r="U866" s="79"/>
      <c r="V866" s="66"/>
      <c r="W866" s="79"/>
      <c r="X866" s="79">
        <v>45163.324305555558</v>
      </c>
      <c r="Y866" s="81"/>
      <c r="Z866" s="81"/>
      <c r="AA866" s="81"/>
      <c r="AB866" s="81"/>
      <c r="AC866" s="81"/>
      <c r="AD866" s="81">
        <v>3428.2</v>
      </c>
      <c r="AE866" s="81">
        <v>0</v>
      </c>
      <c r="AF866" s="81">
        <v>250.2</v>
      </c>
      <c r="AG866" s="81">
        <f>Sal_23[[#This Row],[COMPRA]]*12%</f>
        <v>501.59999999999997</v>
      </c>
      <c r="AH866" s="83">
        <v>4180</v>
      </c>
      <c r="AI866" s="66" t="str">
        <f>PROPER(TEXT(Sal_23[[#This Row],[PROGRAMAÇÃO]],"mmm"))</f>
        <v>Ago</v>
      </c>
      <c r="AJ866" s="66">
        <f>YEAR(Sal_23[[#This Row],[PROGRAMAÇÃO]])</f>
        <v>2023</v>
      </c>
      <c r="AK866" s="66"/>
      <c r="AL866" s="66"/>
      <c r="AM866" s="66"/>
      <c r="AN866" s="66"/>
      <c r="AO866" s="66"/>
    </row>
    <row r="867" spans="2:41" x14ac:dyDescent="0.25">
      <c r="B867" s="128" t="s">
        <v>3295</v>
      </c>
      <c r="C86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67" s="79">
        <v>45167.333333333336</v>
      </c>
      <c r="E867" s="44" t="s">
        <v>6125</v>
      </c>
      <c r="F867" s="66">
        <v>40</v>
      </c>
      <c r="G867" s="66" t="s">
        <v>2826</v>
      </c>
      <c r="H867" s="44" t="s">
        <v>3910</v>
      </c>
      <c r="I867" s="299" t="s">
        <v>3253</v>
      </c>
      <c r="J867" s="66">
        <v>8432</v>
      </c>
      <c r="K867" s="66" t="s">
        <v>6116</v>
      </c>
      <c r="L867" s="66">
        <v>109412</v>
      </c>
      <c r="M867" s="66"/>
      <c r="N867" s="66" t="s">
        <v>150</v>
      </c>
      <c r="O867" s="66" t="s">
        <v>209</v>
      </c>
      <c r="P867" s="66" t="s">
        <v>2678</v>
      </c>
      <c r="Q867" s="138" t="str">
        <f ca="1">IFERROR(LOOKUP($P867,MOTORISTAS!$D$3:$D$1048576,MOTORISTAS!E$3:E$916),"")</f>
        <v>28386357860</v>
      </c>
      <c r="R867" s="138" t="str">
        <f ca="1">IFERROR(LOOKUP($P867,MOTORISTAS!$D$3:$D$1048576,MOTORISTAS!F$3:F$916),"")</f>
        <v>01042201192</v>
      </c>
      <c r="S867" s="66">
        <v>17319</v>
      </c>
      <c r="T867" s="66" t="s">
        <v>293</v>
      </c>
      <c r="U867" s="79"/>
      <c r="V867" s="66"/>
      <c r="W867" s="79"/>
      <c r="X867" s="79">
        <v>45167.270833333336</v>
      </c>
      <c r="Y867" s="81"/>
      <c r="Z867" s="81"/>
      <c r="AA867" s="81"/>
      <c r="AB867" s="81"/>
      <c r="AC867" s="81"/>
      <c r="AD867" s="81"/>
      <c r="AE867" s="81"/>
      <c r="AF867" s="81"/>
      <c r="AG867" s="81">
        <f>Sal_23[[#This Row],[COMPRA]]*12%</f>
        <v>0</v>
      </c>
      <c r="AH867" s="83"/>
      <c r="AI867" s="66" t="str">
        <f>PROPER(TEXT(Sal_23[[#This Row],[PROGRAMAÇÃO]],"mmm"))</f>
        <v>Ago</v>
      </c>
      <c r="AJ867" s="66">
        <f>YEAR(Sal_23[[#This Row],[PROGRAMAÇÃO]])</f>
        <v>2023</v>
      </c>
      <c r="AK867" s="66"/>
      <c r="AL867" s="66"/>
      <c r="AM867" s="66"/>
      <c r="AN867" s="66"/>
      <c r="AO867" s="66"/>
    </row>
    <row r="868" spans="2:41" x14ac:dyDescent="0.25">
      <c r="B868" s="128" t="s">
        <v>2909</v>
      </c>
      <c r="C86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68" s="79">
        <v>45173.375</v>
      </c>
      <c r="E868" s="44" t="s">
        <v>6253</v>
      </c>
      <c r="F868" s="66">
        <v>20</v>
      </c>
      <c r="G868" s="66" t="s">
        <v>2820</v>
      </c>
      <c r="H868" s="44" t="s">
        <v>2820</v>
      </c>
      <c r="I868" s="299" t="s">
        <v>2821</v>
      </c>
      <c r="J868" s="66" t="s">
        <v>6271</v>
      </c>
      <c r="K868" s="66" t="s">
        <v>6259</v>
      </c>
      <c r="L868" s="66">
        <v>73720</v>
      </c>
      <c r="M868" s="66"/>
      <c r="N868" s="66" t="s">
        <v>2859</v>
      </c>
      <c r="O868" s="66" t="s">
        <v>2860</v>
      </c>
      <c r="P868" s="66" t="s">
        <v>2861</v>
      </c>
      <c r="Q868" s="138" t="str">
        <f ca="1">IFERROR(LOOKUP($P868,MOTORISTAS!$D$3:$D$1048576,MOTORISTAS!E$3:E$916),"")</f>
        <v>01817591878</v>
      </c>
      <c r="R868" s="138" t="str">
        <f ca="1">IFERROR(LOOKUP($P868,MOTORISTAS!$D$3:$D$1048576,MOTORISTAS!F$3:F$916),"")</f>
        <v>00821760640</v>
      </c>
      <c r="S868" s="66">
        <v>17372</v>
      </c>
      <c r="T868" s="66" t="s">
        <v>306</v>
      </c>
      <c r="U868" s="79"/>
      <c r="V868" s="66"/>
      <c r="W868" s="79"/>
      <c r="X868" s="79">
        <v>45173.128472222219</v>
      </c>
      <c r="Y868" s="88">
        <v>45173.541666666664</v>
      </c>
      <c r="Z868" s="81"/>
      <c r="AA868" s="81"/>
      <c r="AB868" s="81"/>
      <c r="AC868" s="81"/>
      <c r="AD868" s="81"/>
      <c r="AE868" s="81"/>
      <c r="AF868" s="81"/>
      <c r="AG868" s="81">
        <f>Sal_23[[#This Row],[COMPRA]]*12%</f>
        <v>0</v>
      </c>
      <c r="AH868" s="83"/>
      <c r="AI868" s="66" t="str">
        <f>PROPER(TEXT(Sal_23[[#This Row],[PROGRAMAÇÃO]],"mmm"))</f>
        <v>Set</v>
      </c>
      <c r="AJ868" s="66">
        <f>YEAR(Sal_23[[#This Row],[PROGRAMAÇÃO]])</f>
        <v>2023</v>
      </c>
      <c r="AK868" s="66"/>
      <c r="AL868" s="66"/>
      <c r="AM868" s="66"/>
      <c r="AN868" s="66"/>
      <c r="AO868" s="66"/>
    </row>
    <row r="869" spans="2:41" x14ac:dyDescent="0.25">
      <c r="B869" s="128" t="s">
        <v>2909</v>
      </c>
      <c r="C86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69" s="79">
        <v>45173.375</v>
      </c>
      <c r="E869" s="44" t="s">
        <v>6254</v>
      </c>
      <c r="F869" s="66">
        <v>20</v>
      </c>
      <c r="G869" s="66" t="s">
        <v>2820</v>
      </c>
      <c r="H869" s="44" t="s">
        <v>2820</v>
      </c>
      <c r="I869" s="299" t="s">
        <v>2821</v>
      </c>
      <c r="J869" s="66" t="s">
        <v>6271</v>
      </c>
      <c r="K869" s="66" t="s">
        <v>6259</v>
      </c>
      <c r="L869" s="66">
        <v>73721</v>
      </c>
      <c r="M869" s="66">
        <v>73722</v>
      </c>
      <c r="N869" s="66" t="s">
        <v>3028</v>
      </c>
      <c r="O869" s="66" t="s">
        <v>2261</v>
      </c>
      <c r="P869" s="66" t="s">
        <v>5816</v>
      </c>
      <c r="Q869" s="138" t="str">
        <f ca="1">IFERROR(LOOKUP($P869,MOTORISTAS!$D$3:$D$1048576,MOTORISTAS!E$3:E$916),"")</f>
        <v>13990937898</v>
      </c>
      <c r="R869" s="138" t="str">
        <f ca="1">IFERROR(LOOKUP($P869,MOTORISTAS!$D$3:$D$1048576,MOTORISTAS!F$3:F$916),"")</f>
        <v>01825123407</v>
      </c>
      <c r="S869" s="66">
        <v>17373</v>
      </c>
      <c r="T869" s="66" t="s">
        <v>306</v>
      </c>
      <c r="U869" s="79"/>
      <c r="V869" s="66"/>
      <c r="W869" s="79"/>
      <c r="X869" s="79">
        <v>45173.128472222219</v>
      </c>
      <c r="Y869" s="88">
        <v>45173.541666666664</v>
      </c>
      <c r="Z869" s="81"/>
      <c r="AA869" s="81"/>
      <c r="AB869" s="81"/>
      <c r="AC869" s="81"/>
      <c r="AD869" s="81"/>
      <c r="AE869" s="81"/>
      <c r="AF869" s="81"/>
      <c r="AG869" s="81">
        <f>Sal_23[[#This Row],[COMPRA]]*12%</f>
        <v>0</v>
      </c>
      <c r="AH869" s="83"/>
      <c r="AI869" s="66" t="str">
        <f>PROPER(TEXT(Sal_23[[#This Row],[PROGRAMAÇÃO]],"mmm"))</f>
        <v>Set</v>
      </c>
      <c r="AJ869" s="66">
        <f>YEAR(Sal_23[[#This Row],[PROGRAMAÇÃO]])</f>
        <v>2023</v>
      </c>
      <c r="AK869" s="66"/>
      <c r="AL869" s="66"/>
      <c r="AM869" s="66"/>
      <c r="AN869" s="66"/>
      <c r="AO869" s="66"/>
    </row>
    <row r="870" spans="2:41" x14ac:dyDescent="0.25">
      <c r="B870" s="128" t="s">
        <v>2909</v>
      </c>
      <c r="C87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70" s="79">
        <v>45173.458333333336</v>
      </c>
      <c r="E870" s="44" t="s">
        <v>6257</v>
      </c>
      <c r="F870" s="66">
        <v>40</v>
      </c>
      <c r="G870" s="66" t="s">
        <v>2820</v>
      </c>
      <c r="H870" s="44" t="s">
        <v>2820</v>
      </c>
      <c r="I870" s="299" t="s">
        <v>2821</v>
      </c>
      <c r="J870" s="66" t="s">
        <v>6270</v>
      </c>
      <c r="K870" s="66" t="s">
        <v>6259</v>
      </c>
      <c r="L870" s="66">
        <v>109868</v>
      </c>
      <c r="M870" s="66"/>
      <c r="N870" s="66" t="s">
        <v>192</v>
      </c>
      <c r="O870" s="66" t="s">
        <v>193</v>
      </c>
      <c r="P870" s="66" t="s">
        <v>194</v>
      </c>
      <c r="Q870" s="138" t="str">
        <f ca="1">IFERROR(LOOKUP($P870,MOTORISTAS!$D$3:$D$1048576,MOTORISTAS!E$3:E$916),"")</f>
        <v>38529612892</v>
      </c>
      <c r="R870" s="138" t="str">
        <f ca="1">IFERROR(LOOKUP($P870,MOTORISTAS!$D$3:$D$1048576,MOTORISTAS!F$3:F$916),"")</f>
        <v>05021398574</v>
      </c>
      <c r="S870" s="66">
        <v>17374</v>
      </c>
      <c r="T870" s="66" t="s">
        <v>306</v>
      </c>
      <c r="U870" s="79"/>
      <c r="V870" s="66"/>
      <c r="W870" s="79"/>
      <c r="X870" s="79">
        <v>45173.125</v>
      </c>
      <c r="Y870" s="88">
        <v>45173.597222222219</v>
      </c>
      <c r="Z870" s="81"/>
      <c r="AA870" s="81"/>
      <c r="AB870" s="81"/>
      <c r="AC870" s="81"/>
      <c r="AD870" s="81"/>
      <c r="AE870" s="81"/>
      <c r="AF870" s="81"/>
      <c r="AG870" s="81">
        <f>Sal_23[[#This Row],[COMPRA]]*12%</f>
        <v>0</v>
      </c>
      <c r="AH870" s="83"/>
      <c r="AI870" s="66" t="str">
        <f>PROPER(TEXT(Sal_23[[#This Row],[PROGRAMAÇÃO]],"mmm"))</f>
        <v>Set</v>
      </c>
      <c r="AJ870" s="66">
        <f>YEAR(Sal_23[[#This Row],[PROGRAMAÇÃO]])</f>
        <v>2023</v>
      </c>
      <c r="AK870" s="66"/>
      <c r="AL870" s="66"/>
      <c r="AM870" s="66"/>
      <c r="AN870" s="66"/>
      <c r="AO870" s="66"/>
    </row>
    <row r="871" spans="2:41" x14ac:dyDescent="0.25">
      <c r="B871" s="128" t="s">
        <v>3295</v>
      </c>
      <c r="C87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71" s="79">
        <v>45174.375</v>
      </c>
      <c r="E871" s="44" t="s">
        <v>6255</v>
      </c>
      <c r="F871" s="66">
        <v>20</v>
      </c>
      <c r="G871" s="66" t="s">
        <v>2820</v>
      </c>
      <c r="H871" s="44" t="s">
        <v>2820</v>
      </c>
      <c r="I871" s="299" t="s">
        <v>2821</v>
      </c>
      <c r="J871" s="66"/>
      <c r="K871" s="66" t="s">
        <v>6259</v>
      </c>
      <c r="L871" s="66">
        <v>109943</v>
      </c>
      <c r="M871" s="66"/>
      <c r="N871" s="66" t="s">
        <v>1729</v>
      </c>
      <c r="O871" s="66" t="s">
        <v>2860</v>
      </c>
      <c r="P871" s="66" t="s">
        <v>2861</v>
      </c>
      <c r="Q871" s="138" t="str">
        <f ca="1">IFERROR(LOOKUP($P871,MOTORISTAS!$D$3:$D$1048576,MOTORISTAS!E$3:E$916),"")</f>
        <v>01817591878</v>
      </c>
      <c r="R871" s="138" t="str">
        <f ca="1">IFERROR(LOOKUP($P871,MOTORISTAS!$D$3:$D$1048576,MOTORISTAS!F$3:F$916),"")</f>
        <v>00821760640</v>
      </c>
      <c r="S871" s="66"/>
      <c r="T871" s="66" t="s">
        <v>306</v>
      </c>
      <c r="U871" s="79">
        <v>45175.767361111109</v>
      </c>
      <c r="V871" s="66"/>
      <c r="W871" s="79"/>
      <c r="X871" s="79">
        <v>45176.875</v>
      </c>
      <c r="Y871" s="81"/>
      <c r="Z871" s="81"/>
      <c r="AA871" s="81"/>
      <c r="AB871" s="81"/>
      <c r="AC871" s="81"/>
      <c r="AD871" s="81"/>
      <c r="AE871" s="81"/>
      <c r="AF871" s="81"/>
      <c r="AG871" s="81">
        <f>Sal_23[[#This Row],[COMPRA]]*12%</f>
        <v>0</v>
      </c>
      <c r="AH871" s="83"/>
      <c r="AI871" s="66" t="str">
        <f>PROPER(TEXT(Sal_23[[#This Row],[PROGRAMAÇÃO]],"mmm"))</f>
        <v>Set</v>
      </c>
      <c r="AJ871" s="66">
        <f>YEAR(Sal_23[[#This Row],[PROGRAMAÇÃO]])</f>
        <v>2023</v>
      </c>
      <c r="AK871" s="66"/>
      <c r="AL871" s="66"/>
      <c r="AM871" s="66"/>
      <c r="AN871" s="66"/>
      <c r="AO871" s="66"/>
    </row>
    <row r="872" spans="2:41" x14ac:dyDescent="0.25">
      <c r="B872" s="128" t="s">
        <v>3295</v>
      </c>
      <c r="C87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72" s="79">
        <v>45174.375</v>
      </c>
      <c r="E872" s="44" t="s">
        <v>6256</v>
      </c>
      <c r="F872" s="66">
        <v>20</v>
      </c>
      <c r="G872" s="66" t="s">
        <v>2820</v>
      </c>
      <c r="H872" s="44" t="s">
        <v>2820</v>
      </c>
      <c r="I872" s="299" t="s">
        <v>2821</v>
      </c>
      <c r="J872" s="66"/>
      <c r="K872" s="66" t="s">
        <v>6259</v>
      </c>
      <c r="L872" s="66">
        <v>109944</v>
      </c>
      <c r="M872" s="66"/>
      <c r="N872" s="66" t="s">
        <v>2622</v>
      </c>
      <c r="O872" s="66" t="s">
        <v>2950</v>
      </c>
      <c r="P872" s="66" t="s">
        <v>2948</v>
      </c>
      <c r="Q872" s="138" t="str">
        <f ca="1">IFERROR(LOOKUP($P872,MOTORISTAS!$D$3:$D$1048576,MOTORISTAS!E$3:E$916),"")</f>
        <v>16239341843</v>
      </c>
      <c r="R872" s="138" t="str">
        <f ca="1">IFERROR(LOOKUP($P872,MOTORISTAS!$D$3:$D$1048576,MOTORISTAS!F$3:F$916),"")</f>
        <v>01877235038</v>
      </c>
      <c r="S872" s="66"/>
      <c r="T872" s="66" t="s">
        <v>306</v>
      </c>
      <c r="U872" s="79">
        <v>45175.76666666667</v>
      </c>
      <c r="V872" s="66"/>
      <c r="W872" s="79"/>
      <c r="X872" s="79">
        <v>45176.875</v>
      </c>
      <c r="Y872" s="81"/>
      <c r="Z872" s="81"/>
      <c r="AA872" s="81"/>
      <c r="AB872" s="81"/>
      <c r="AC872" s="81"/>
      <c r="AD872" s="81"/>
      <c r="AE872" s="81"/>
      <c r="AF872" s="81"/>
      <c r="AG872" s="81">
        <f>Sal_23[[#This Row],[COMPRA]]*12%</f>
        <v>0</v>
      </c>
      <c r="AH872" s="83"/>
      <c r="AI872" s="66" t="str">
        <f>PROPER(TEXT(Sal_23[[#This Row],[PROGRAMAÇÃO]],"mmm"))</f>
        <v>Set</v>
      </c>
      <c r="AJ872" s="66">
        <f>YEAR(Sal_23[[#This Row],[PROGRAMAÇÃO]])</f>
        <v>2023</v>
      </c>
      <c r="AK872" s="66"/>
      <c r="AL872" s="66"/>
      <c r="AM872" s="66"/>
      <c r="AN872" s="66"/>
      <c r="AO872" s="66"/>
    </row>
    <row r="873" spans="2:41" x14ac:dyDescent="0.25">
      <c r="B873" s="128" t="s">
        <v>3295</v>
      </c>
      <c r="C87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73" s="79">
        <v>45174.458333333336</v>
      </c>
      <c r="E873" s="44" t="s">
        <v>6258</v>
      </c>
      <c r="F873" s="66">
        <v>40</v>
      </c>
      <c r="G873" s="66" t="s">
        <v>2820</v>
      </c>
      <c r="H873" s="44" t="s">
        <v>2820</v>
      </c>
      <c r="I873" s="299" t="s">
        <v>2821</v>
      </c>
      <c r="J873" s="66"/>
      <c r="K873" s="66" t="s">
        <v>6259</v>
      </c>
      <c r="L873" s="66">
        <v>109901</v>
      </c>
      <c r="M873" s="66"/>
      <c r="N873" s="66" t="s">
        <v>3028</v>
      </c>
      <c r="O873" s="66" t="s">
        <v>2261</v>
      </c>
      <c r="P873" s="66" t="s">
        <v>6349</v>
      </c>
      <c r="Q873" s="138" t="str">
        <f ca="1">IFERROR(LOOKUP($P873,MOTORISTAS!$D$3:$D$1048576,MOTORISTAS!E$3:E$916),"")</f>
        <v>25355344879</v>
      </c>
      <c r="R873" s="138" t="str">
        <f ca="1">IFERROR(LOOKUP($P873,MOTORISTAS!$D$3:$D$1048576,MOTORISTAS!F$3:F$916),"")</f>
        <v>02417540406</v>
      </c>
      <c r="S873" s="66"/>
      <c r="T873" s="66" t="s">
        <v>306</v>
      </c>
      <c r="U873" s="79">
        <v>45175.775694444441</v>
      </c>
      <c r="V873" s="66"/>
      <c r="W873" s="79"/>
      <c r="X873" s="79">
        <v>45176.875</v>
      </c>
      <c r="Y873" s="81"/>
      <c r="Z873" s="81"/>
      <c r="AA873" s="81"/>
      <c r="AB873" s="81"/>
      <c r="AC873" s="81"/>
      <c r="AD873" s="81"/>
      <c r="AE873" s="81"/>
      <c r="AF873" s="81"/>
      <c r="AG873" s="81">
        <f>Sal_23[[#This Row],[COMPRA]]*12%</f>
        <v>0</v>
      </c>
      <c r="AH873" s="83"/>
      <c r="AI873" s="66" t="str">
        <f>PROPER(TEXT(Sal_23[[#This Row],[PROGRAMAÇÃO]],"mmm"))</f>
        <v>Set</v>
      </c>
      <c r="AJ873" s="66">
        <f>YEAR(Sal_23[[#This Row],[PROGRAMAÇÃO]])</f>
        <v>2023</v>
      </c>
      <c r="AK873" s="66"/>
      <c r="AL873" s="66"/>
      <c r="AM873" s="66"/>
      <c r="AN873" s="66"/>
      <c r="AO873" s="66"/>
    </row>
    <row r="874" spans="2:41" x14ac:dyDescent="0.25">
      <c r="B874" s="128" t="s">
        <v>2909</v>
      </c>
      <c r="C87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74" s="79">
        <v>45177.333333333336</v>
      </c>
      <c r="E874" s="44" t="s">
        <v>6303</v>
      </c>
      <c r="F874" s="66">
        <v>20</v>
      </c>
      <c r="G874" s="66" t="s">
        <v>2826</v>
      </c>
      <c r="H874" s="44" t="s">
        <v>2825</v>
      </c>
      <c r="I874" s="299" t="s">
        <v>4012</v>
      </c>
      <c r="J874" s="66">
        <v>8959</v>
      </c>
      <c r="K874" s="66" t="s">
        <v>6327</v>
      </c>
      <c r="L874" s="66">
        <v>109729</v>
      </c>
      <c r="M874" s="66"/>
      <c r="N874" s="66" t="s">
        <v>2156</v>
      </c>
      <c r="O874" s="66" t="s">
        <v>2464</v>
      </c>
      <c r="P874" s="66" t="s">
        <v>2158</v>
      </c>
      <c r="Q874" s="138" t="str">
        <f ca="1">IFERROR(LOOKUP($P874,MOTORISTAS!$D$3:$D$1048576,MOTORISTAS!E$3:E$916),"")</f>
        <v>10485530864</v>
      </c>
      <c r="R874" s="138" t="str">
        <f ca="1">IFERROR(LOOKUP($P874,MOTORISTAS!$D$3:$D$1048576,MOTORISTAS!F$3:F$916),"")</f>
        <v>02033192841</v>
      </c>
      <c r="S874" s="66">
        <v>17432</v>
      </c>
      <c r="T874" s="66" t="s">
        <v>293</v>
      </c>
      <c r="U874" s="79"/>
      <c r="V874" s="66"/>
      <c r="W874" s="79"/>
      <c r="X874" s="79">
        <v>45177.263888888891</v>
      </c>
      <c r="Y874" s="88">
        <v>45177.4375</v>
      </c>
      <c r="Z874" s="81"/>
      <c r="AA874" s="81"/>
      <c r="AB874" s="81"/>
      <c r="AC874" s="81"/>
      <c r="AD874" s="81">
        <v>2294.6999999999998</v>
      </c>
      <c r="AE874" s="81">
        <v>768.04</v>
      </c>
      <c r="AF874" s="81">
        <v>222</v>
      </c>
      <c r="AG874" s="81">
        <f>Sal_23[[#This Row],[COMPRA]]*12%</f>
        <v>447.91919999999999</v>
      </c>
      <c r="AH874" s="83">
        <v>3732.66</v>
      </c>
      <c r="AI874" s="66" t="str">
        <f>PROPER(TEXT(Sal_23[[#This Row],[PROGRAMAÇÃO]],"mmm"))</f>
        <v>Set</v>
      </c>
      <c r="AJ874" s="66">
        <f>YEAR(Sal_23[[#This Row],[PROGRAMAÇÃO]])</f>
        <v>2023</v>
      </c>
      <c r="AK874" s="66"/>
      <c r="AL874" s="66"/>
      <c r="AM874" s="66"/>
      <c r="AN874" s="66"/>
      <c r="AO874" s="66"/>
    </row>
    <row r="875" spans="2:41" x14ac:dyDescent="0.25">
      <c r="B875" s="128" t="s">
        <v>2909</v>
      </c>
      <c r="C87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75" s="79">
        <v>45177.333333333336</v>
      </c>
      <c r="E875" s="44" t="s">
        <v>6309</v>
      </c>
      <c r="F875" s="66">
        <v>20</v>
      </c>
      <c r="G875" s="66" t="s">
        <v>2826</v>
      </c>
      <c r="H875" s="44" t="s">
        <v>3440</v>
      </c>
      <c r="I875" s="299" t="s">
        <v>3253</v>
      </c>
      <c r="J875" s="66">
        <v>9048</v>
      </c>
      <c r="K875" s="66" t="s">
        <v>6327</v>
      </c>
      <c r="L875" s="66">
        <v>121520</v>
      </c>
      <c r="M875" s="66"/>
      <c r="N875" s="66" t="s">
        <v>3040</v>
      </c>
      <c r="O875" s="66" t="s">
        <v>3041</v>
      </c>
      <c r="P875" s="66" t="s">
        <v>3042</v>
      </c>
      <c r="Q875" s="138" t="str">
        <f ca="1">IFERROR(LOOKUP($P875,MOTORISTAS!$D$3:$D$1048576,MOTORISTAS!E$3:E$916),"")</f>
        <v>19279658883</v>
      </c>
      <c r="R875" s="138" t="str">
        <f ca="1">IFERROR(LOOKUP($P875,MOTORISTAS!$D$3:$D$1048576,MOTORISTAS!F$3:F$916),"")</f>
        <v>01301319672</v>
      </c>
      <c r="S875" s="66">
        <v>17433</v>
      </c>
      <c r="T875" s="66" t="s">
        <v>293</v>
      </c>
      <c r="U875" s="79"/>
      <c r="V875" s="66"/>
      <c r="W875" s="79"/>
      <c r="X875" s="79">
        <v>45177.111111111109</v>
      </c>
      <c r="Y875" s="88">
        <v>45177.433333333334</v>
      </c>
      <c r="Z875" s="81"/>
      <c r="AA875" s="81"/>
      <c r="AB875" s="81"/>
      <c r="AC875" s="81"/>
      <c r="AD875" s="81">
        <v>2557.9699999999998</v>
      </c>
      <c r="AE875" s="81"/>
      <c r="AF875" s="81">
        <v>372.6</v>
      </c>
      <c r="AG875" s="81">
        <f>Sal_23[[#This Row],[COMPRA]]*12%</f>
        <v>399.62279999999998</v>
      </c>
      <c r="AH875" s="83">
        <v>3330.19</v>
      </c>
      <c r="AI875" s="66" t="str">
        <f>PROPER(TEXT(Sal_23[[#This Row],[PROGRAMAÇÃO]],"mmm"))</f>
        <v>Set</v>
      </c>
      <c r="AJ875" s="66">
        <f>YEAR(Sal_23[[#This Row],[PROGRAMAÇÃO]])</f>
        <v>2023</v>
      </c>
      <c r="AK875" s="66"/>
      <c r="AL875" s="66"/>
      <c r="AM875" s="66"/>
      <c r="AN875" s="66"/>
      <c r="AO875" s="66"/>
    </row>
    <row r="876" spans="2:41" x14ac:dyDescent="0.25">
      <c r="B876" s="128" t="s">
        <v>3295</v>
      </c>
      <c r="C87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76" s="79">
        <v>45177.333333333336</v>
      </c>
      <c r="E876" s="44" t="s">
        <v>6310</v>
      </c>
      <c r="F876" s="66">
        <v>20</v>
      </c>
      <c r="G876" s="66" t="s">
        <v>2826</v>
      </c>
      <c r="H876" s="44" t="s">
        <v>3091</v>
      </c>
      <c r="I876" s="299" t="s">
        <v>5328</v>
      </c>
      <c r="J876" s="66">
        <v>9017</v>
      </c>
      <c r="K876" s="66" t="s">
        <v>6327</v>
      </c>
      <c r="L876" s="66">
        <v>109769</v>
      </c>
      <c r="M876" s="66"/>
      <c r="N876" s="66" t="s">
        <v>5609</v>
      </c>
      <c r="O876" s="66" t="s">
        <v>2946</v>
      </c>
      <c r="P876" s="66" t="s">
        <v>6337</v>
      </c>
      <c r="Q876" s="138" t="str">
        <f ca="1">IFERROR(LOOKUP($P876,MOTORISTAS!$D$3:$D$1048576,MOTORISTAS!E$3:E$916),"")</f>
        <v>29996305813</v>
      </c>
      <c r="R876" s="138" t="str">
        <f ca="1">IFERROR(LOOKUP($P876,MOTORISTAS!$D$3:$D$1048576,MOTORISTAS!F$3:F$916),"")</f>
        <v>01241701818</v>
      </c>
      <c r="S876" s="66">
        <v>17434</v>
      </c>
      <c r="T876" s="66" t="s">
        <v>293</v>
      </c>
      <c r="U876" s="79"/>
      <c r="V876" s="66"/>
      <c r="W876" s="79"/>
      <c r="X876" s="79">
        <v>45177.256944444445</v>
      </c>
      <c r="Y876" s="81"/>
      <c r="Z876" s="81"/>
      <c r="AA876" s="81"/>
      <c r="AB876" s="81"/>
      <c r="AC876" s="81"/>
      <c r="AD876" s="81">
        <v>2295.9299999999998</v>
      </c>
      <c r="AE876" s="81"/>
      <c r="AF876" s="81">
        <v>313.2</v>
      </c>
      <c r="AG876" s="81">
        <f>Sal_23[[#This Row],[COMPRA]]*12%</f>
        <v>355.79039999999998</v>
      </c>
      <c r="AH876" s="83">
        <v>2964.92</v>
      </c>
      <c r="AI876" s="66" t="str">
        <f>PROPER(TEXT(Sal_23[[#This Row],[PROGRAMAÇÃO]],"mmm"))</f>
        <v>Set</v>
      </c>
      <c r="AJ876" s="66">
        <f>YEAR(Sal_23[[#This Row],[PROGRAMAÇÃO]])</f>
        <v>2023</v>
      </c>
      <c r="AK876" s="66"/>
      <c r="AL876" s="66"/>
      <c r="AM876" s="66"/>
      <c r="AN876" s="66"/>
      <c r="AO876" s="66"/>
    </row>
    <row r="877" spans="2:41" x14ac:dyDescent="0.25">
      <c r="B877" s="128" t="s">
        <v>3295</v>
      </c>
      <c r="C87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NO PRAZO</v>
      </c>
      <c r="D877" s="79">
        <v>45177.333333333336</v>
      </c>
      <c r="E877" s="44" t="s">
        <v>6313</v>
      </c>
      <c r="F877" s="66">
        <v>40</v>
      </c>
      <c r="G877" s="66" t="s">
        <v>2826</v>
      </c>
      <c r="H877" s="44" t="s">
        <v>1674</v>
      </c>
      <c r="I877" s="299" t="s">
        <v>2829</v>
      </c>
      <c r="J877" s="66">
        <v>9102</v>
      </c>
      <c r="K877" s="66" t="s">
        <v>6327</v>
      </c>
      <c r="L877" s="66">
        <v>109686</v>
      </c>
      <c r="M877" s="66">
        <v>109687</v>
      </c>
      <c r="N877" s="66" t="s">
        <v>2622</v>
      </c>
      <c r="O877" s="66" t="s">
        <v>2623</v>
      </c>
      <c r="P877" s="66" t="s">
        <v>2624</v>
      </c>
      <c r="Q877" s="138" t="str">
        <f ca="1">IFERROR(LOOKUP($P877,MOTORISTAS!$D$3:$D$1048576,MOTORISTAS!E$3:E$916),"")</f>
        <v>31147992568</v>
      </c>
      <c r="R877" s="138" t="str">
        <f ca="1">IFERROR(LOOKUP($P877,MOTORISTAS!$D$3:$D$1048576,MOTORISTAS!F$3:F$916),"")</f>
        <v>03359999478</v>
      </c>
      <c r="S877" s="66">
        <v>17436</v>
      </c>
      <c r="T877" s="66" t="s">
        <v>293</v>
      </c>
      <c r="U877" s="79"/>
      <c r="V877" s="66"/>
      <c r="W877" s="79"/>
      <c r="X877" s="79">
        <v>45177.111111111109</v>
      </c>
      <c r="Y877" s="81"/>
      <c r="Z877" s="81"/>
      <c r="AA877" s="81"/>
      <c r="AB877" s="81"/>
      <c r="AC877" s="81"/>
      <c r="AD877" s="81">
        <v>3472.48</v>
      </c>
      <c r="AE877" s="81"/>
      <c r="AF877" s="81">
        <v>621.6</v>
      </c>
      <c r="AG877" s="81">
        <f>Sal_23[[#This Row],[COMPRA]]*12%</f>
        <v>558.28319999999997</v>
      </c>
      <c r="AH877" s="83">
        <v>4652.3599999999997</v>
      </c>
      <c r="AI877" s="66" t="str">
        <f>PROPER(TEXT(Sal_23[[#This Row],[PROGRAMAÇÃO]],"mmm"))</f>
        <v>Set</v>
      </c>
      <c r="AJ877" s="66">
        <f>YEAR(Sal_23[[#This Row],[PROGRAMAÇÃO]])</f>
        <v>2023</v>
      </c>
      <c r="AK877" s="66"/>
      <c r="AL877" s="66"/>
      <c r="AM877" s="66"/>
      <c r="AN877" s="66"/>
      <c r="AO877" s="66"/>
    </row>
    <row r="878" spans="2:41" x14ac:dyDescent="0.25">
      <c r="B878" s="128" t="s">
        <v>2909</v>
      </c>
      <c r="C87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ENTREGUE ATRASADO</v>
      </c>
      <c r="D878" s="79">
        <v>45177.333333333336</v>
      </c>
      <c r="E878" s="44" t="s">
        <v>6318</v>
      </c>
      <c r="F878" s="66">
        <v>40</v>
      </c>
      <c r="G878" s="66" t="s">
        <v>2826</v>
      </c>
      <c r="H878" s="44" t="s">
        <v>3910</v>
      </c>
      <c r="I878" s="299" t="s">
        <v>3909</v>
      </c>
      <c r="J878" s="66">
        <v>8992</v>
      </c>
      <c r="K878" s="66" t="s">
        <v>6327</v>
      </c>
      <c r="L878" s="66">
        <v>121588</v>
      </c>
      <c r="M878" s="66"/>
      <c r="N878" s="66" t="s">
        <v>4735</v>
      </c>
      <c r="O878" s="66" t="s">
        <v>3388</v>
      </c>
      <c r="P878" s="66" t="s">
        <v>4741</v>
      </c>
      <c r="Q878" s="138" t="str">
        <f ca="1">IFERROR(LOOKUP($P878,MOTORISTAS!$D$3:$D$1048576,MOTORISTAS!E$3:E$916),"")</f>
        <v>05499539812</v>
      </c>
      <c r="R878" s="138" t="str">
        <f ca="1">IFERROR(LOOKUP($P878,MOTORISTAS!$D$3:$D$1048576,MOTORISTAS!F$3:F$916),"")</f>
        <v>01862455850</v>
      </c>
      <c r="S878" s="66">
        <v>17438</v>
      </c>
      <c r="T878" s="66" t="s">
        <v>293</v>
      </c>
      <c r="U878" s="79"/>
      <c r="V878" s="66"/>
      <c r="W878" s="79"/>
      <c r="X878" s="79">
        <v>45177.395833333336</v>
      </c>
      <c r="Y878" s="88">
        <v>45177.440972222219</v>
      </c>
      <c r="Z878" s="81"/>
      <c r="AA878" s="81"/>
      <c r="AB878" s="81"/>
      <c r="AC878" s="81"/>
      <c r="AD878" s="81">
        <v>2557.9699999999998</v>
      </c>
      <c r="AE878" s="81"/>
      <c r="AF878" s="81">
        <v>372.6</v>
      </c>
      <c r="AG878" s="81">
        <f>Sal_23[[#This Row],[COMPRA]]*12%</f>
        <v>399.62279999999998</v>
      </c>
      <c r="AH878" s="83">
        <v>3330.19</v>
      </c>
      <c r="AI878" s="66" t="str">
        <f>PROPER(TEXT(Sal_23[[#This Row],[PROGRAMAÇÃO]],"mmm"))</f>
        <v>Set</v>
      </c>
      <c r="AJ878" s="66">
        <f>YEAR(Sal_23[[#This Row],[PROGRAMAÇÃO]])</f>
        <v>2023</v>
      </c>
      <c r="AK878" s="66"/>
      <c r="AL878" s="66"/>
      <c r="AM878" s="66"/>
      <c r="AN878" s="66"/>
      <c r="AO878" s="66"/>
    </row>
    <row r="879" spans="2:41" x14ac:dyDescent="0.25">
      <c r="B879" s="128" t="s">
        <v>5938</v>
      </c>
      <c r="C87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Atrasado</v>
      </c>
      <c r="D879" s="79">
        <v>45177.333333333336</v>
      </c>
      <c r="E879" s="44" t="s">
        <v>6314</v>
      </c>
      <c r="F879" s="66">
        <v>40</v>
      </c>
      <c r="G879" s="66" t="s">
        <v>2826</v>
      </c>
      <c r="H879" s="44" t="s">
        <v>1674</v>
      </c>
      <c r="I879" s="299" t="s">
        <v>2829</v>
      </c>
      <c r="J879" s="66"/>
      <c r="K879" s="66" t="s">
        <v>6327</v>
      </c>
      <c r="L879" s="66">
        <v>109743</v>
      </c>
      <c r="M879" s="66">
        <v>109742</v>
      </c>
      <c r="N879" s="66"/>
      <c r="O879" s="66"/>
      <c r="P879" s="66" t="s">
        <v>203</v>
      </c>
      <c r="Q879" s="138" t="str">
        <f ca="1">IFERROR(LOOKUP($P879,MOTORISTAS!$D$3:$D$1048576,MOTORISTAS!E$3:E$916),"")</f>
        <v>10395859816</v>
      </c>
      <c r="R879" s="138" t="str">
        <f ca="1">IFERROR(LOOKUP($P879,MOTORISTAS!$D$3:$D$1048576,MOTORISTAS!F$3:F$916),"")</f>
        <v>01965794851</v>
      </c>
      <c r="S879" s="66"/>
      <c r="T879" s="66" t="s">
        <v>293</v>
      </c>
      <c r="U879" s="79"/>
      <c r="V879" s="66"/>
      <c r="W879" s="79"/>
      <c r="X879" s="79"/>
      <c r="Y879" s="81"/>
      <c r="Z879" s="81"/>
      <c r="AA879" s="81"/>
      <c r="AB879" s="81"/>
      <c r="AC879" s="81"/>
      <c r="AD879" s="81">
        <v>3472.48</v>
      </c>
      <c r="AE879" s="81"/>
      <c r="AF879" s="81">
        <v>621.6</v>
      </c>
      <c r="AG879" s="81">
        <f>Sal_23[[#This Row],[COMPRA]]*12%</f>
        <v>558.28319999999997</v>
      </c>
      <c r="AH879" s="83">
        <v>4652.3599999999997</v>
      </c>
      <c r="AI879" s="66" t="str">
        <f>PROPER(TEXT(Sal_23[[#This Row],[PROGRAMAÇÃO]],"mmm"))</f>
        <v>Set</v>
      </c>
      <c r="AJ879" s="66">
        <f>YEAR(Sal_23[[#This Row],[PROGRAMAÇÃO]])</f>
        <v>2023</v>
      </c>
      <c r="AK879" s="66"/>
      <c r="AL879" s="66"/>
      <c r="AM879" s="66"/>
      <c r="AN879" s="66"/>
      <c r="AO879" s="66"/>
    </row>
    <row r="880" spans="2:41" x14ac:dyDescent="0.25">
      <c r="B880" s="128" t="s">
        <v>2798</v>
      </c>
      <c r="C88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80" s="79">
        <v>45180.333333333336</v>
      </c>
      <c r="E880" s="44" t="s">
        <v>6304</v>
      </c>
      <c r="F880" s="66">
        <v>20</v>
      </c>
      <c r="G880" s="66" t="s">
        <v>2826</v>
      </c>
      <c r="H880" s="44" t="s">
        <v>2827</v>
      </c>
      <c r="I880" s="299" t="s">
        <v>2823</v>
      </c>
      <c r="J880" s="66">
        <v>9008</v>
      </c>
      <c r="K880" s="66" t="s">
        <v>6327</v>
      </c>
      <c r="L880" s="66">
        <v>109678</v>
      </c>
      <c r="M880" s="66"/>
      <c r="N880" s="66" t="s">
        <v>6353</v>
      </c>
      <c r="O880" s="66" t="s">
        <v>6354</v>
      </c>
      <c r="P880" s="66" t="s">
        <v>1845</v>
      </c>
      <c r="Q880" s="138" t="str">
        <f ca="1">IFERROR(LOOKUP($P880,MOTORISTAS!$D$3:$D$1048576,MOTORISTAS!E$3:E$916),"")</f>
        <v>05826127805</v>
      </c>
      <c r="R880" s="138" t="str">
        <f ca="1">IFERROR(LOOKUP($P880,MOTORISTAS!$D$3:$D$1048576,MOTORISTAS!F$3:F$916),"")</f>
        <v>02397620357</v>
      </c>
      <c r="S880" s="66">
        <v>17456</v>
      </c>
      <c r="T880" s="66" t="s">
        <v>293</v>
      </c>
      <c r="U880" s="79"/>
      <c r="V880" s="66"/>
      <c r="W880" s="79"/>
      <c r="X880" s="79"/>
      <c r="Y880" s="81"/>
      <c r="Z880" s="81"/>
      <c r="AA880" s="81"/>
      <c r="AB880" s="81"/>
      <c r="AC880" s="81"/>
      <c r="AD880" s="81">
        <v>3484.1</v>
      </c>
      <c r="AE880" s="81"/>
      <c r="AF880" s="81">
        <v>706.8</v>
      </c>
      <c r="AG880" s="81">
        <f>Sal_23[[#This Row],[COMPRA]]*12%</f>
        <v>571.48680000000002</v>
      </c>
      <c r="AH880" s="83">
        <v>4762.3900000000003</v>
      </c>
      <c r="AI880" s="66" t="str">
        <f>PROPER(TEXT(Sal_23[[#This Row],[PROGRAMAÇÃO]],"mmm"))</f>
        <v>Set</v>
      </c>
      <c r="AJ880" s="66">
        <f>YEAR(Sal_23[[#This Row],[PROGRAMAÇÃO]])</f>
        <v>2023</v>
      </c>
      <c r="AK880" s="66"/>
      <c r="AL880" s="66"/>
      <c r="AM880" s="66"/>
      <c r="AN880" s="66"/>
      <c r="AO880" s="66"/>
    </row>
    <row r="881" spans="2:41" x14ac:dyDescent="0.25">
      <c r="B881" s="128" t="s">
        <v>2798</v>
      </c>
      <c r="C88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81" s="79">
        <v>45180.333333333336</v>
      </c>
      <c r="E881" s="44" t="s">
        <v>6305</v>
      </c>
      <c r="F881" s="66">
        <v>20</v>
      </c>
      <c r="G881" s="66" t="s">
        <v>2826</v>
      </c>
      <c r="H881" s="44" t="s">
        <v>2827</v>
      </c>
      <c r="I881" s="299" t="s">
        <v>2823</v>
      </c>
      <c r="J881" s="66">
        <v>8947</v>
      </c>
      <c r="K881" s="66" t="s">
        <v>6327</v>
      </c>
      <c r="L881" s="66">
        <v>109677</v>
      </c>
      <c r="M881" s="66"/>
      <c r="N881" s="66" t="s">
        <v>5609</v>
      </c>
      <c r="O881" s="66" t="s">
        <v>2946</v>
      </c>
      <c r="P881" s="66" t="s">
        <v>6337</v>
      </c>
      <c r="Q881" s="138" t="str">
        <f ca="1">IFERROR(LOOKUP($P881,MOTORISTAS!$D$3:$D$1048576,MOTORISTAS!E$3:E$916),"")</f>
        <v>29996305813</v>
      </c>
      <c r="R881" s="138" t="str">
        <f ca="1">IFERROR(LOOKUP($P881,MOTORISTAS!$D$3:$D$1048576,MOTORISTAS!F$3:F$916),"")</f>
        <v>01241701818</v>
      </c>
      <c r="S881" s="66">
        <v>17459</v>
      </c>
      <c r="T881" s="66" t="s">
        <v>293</v>
      </c>
      <c r="U881" s="79"/>
      <c r="V881" s="66"/>
      <c r="W881" s="79"/>
      <c r="X881" s="79"/>
      <c r="Y881" s="81"/>
      <c r="Z881" s="81"/>
      <c r="AA881" s="81"/>
      <c r="AB881" s="81"/>
      <c r="AC881" s="81"/>
      <c r="AD881" s="81">
        <v>3484.1</v>
      </c>
      <c r="AE881" s="81"/>
      <c r="AF881" s="81">
        <v>706.8</v>
      </c>
      <c r="AG881" s="81">
        <f>Sal_23[[#This Row],[COMPRA]]*12%</f>
        <v>571.48680000000002</v>
      </c>
      <c r="AH881" s="83">
        <v>4762.3900000000003</v>
      </c>
      <c r="AI881" s="66" t="str">
        <f>PROPER(TEXT(Sal_23[[#This Row],[PROGRAMAÇÃO]],"mmm"))</f>
        <v>Set</v>
      </c>
      <c r="AJ881" s="66">
        <f>YEAR(Sal_23[[#This Row],[PROGRAMAÇÃO]])</f>
        <v>2023</v>
      </c>
      <c r="AK881" s="66"/>
      <c r="AL881" s="66"/>
      <c r="AM881" s="66"/>
      <c r="AN881" s="66"/>
      <c r="AO881" s="66"/>
    </row>
    <row r="882" spans="2:41" x14ac:dyDescent="0.25">
      <c r="B882" s="128" t="s">
        <v>2798</v>
      </c>
      <c r="C88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82" s="79">
        <v>45180.333333333336</v>
      </c>
      <c r="E882" s="44" t="s">
        <v>6306</v>
      </c>
      <c r="F882" s="66">
        <v>20</v>
      </c>
      <c r="G882" s="66" t="s">
        <v>2826</v>
      </c>
      <c r="H882" s="44" t="s">
        <v>2837</v>
      </c>
      <c r="I882" s="299" t="s">
        <v>2821</v>
      </c>
      <c r="J882" s="66">
        <v>8959</v>
      </c>
      <c r="K882" s="66" t="s">
        <v>6327</v>
      </c>
      <c r="L882" s="66">
        <v>109728</v>
      </c>
      <c r="M882" s="66"/>
      <c r="N882" s="66" t="s">
        <v>2260</v>
      </c>
      <c r="O882" s="66" t="s">
        <v>4572</v>
      </c>
      <c r="P882" s="66" t="s">
        <v>2262</v>
      </c>
      <c r="Q882" s="138" t="str">
        <f ca="1">IFERROR(LOOKUP($P882,MOTORISTAS!$D$3:$D$1048576,MOTORISTAS!E$3:E$916),"")</f>
        <v>39669866472</v>
      </c>
      <c r="R882" s="138" t="str">
        <f ca="1">IFERROR(LOOKUP($P882,MOTORISTAS!$D$3:$D$1048576,MOTORISTAS!F$3:F$916),"")</f>
        <v>03304186289</v>
      </c>
      <c r="S882" s="66">
        <v>17460</v>
      </c>
      <c r="T882" s="66" t="s">
        <v>293</v>
      </c>
      <c r="U882" s="79"/>
      <c r="V882" s="66"/>
      <c r="W882" s="79"/>
      <c r="X882" s="79"/>
      <c r="Y882" s="81"/>
      <c r="Z882" s="81"/>
      <c r="AA882" s="81"/>
      <c r="AB882" s="81"/>
      <c r="AC882" s="81"/>
      <c r="AD882" s="81">
        <v>2018.37</v>
      </c>
      <c r="AE882" s="81"/>
      <c r="AF882" s="81">
        <v>266.39999999999998</v>
      </c>
      <c r="AG882" s="81">
        <f>Sal_23[[#This Row],[COMPRA]]*12%</f>
        <v>311.55959999999999</v>
      </c>
      <c r="AH882" s="83">
        <v>2596.33</v>
      </c>
      <c r="AI882" s="66" t="str">
        <f>PROPER(TEXT(Sal_23[[#This Row],[PROGRAMAÇÃO]],"mmm"))</f>
        <v>Set</v>
      </c>
      <c r="AJ882" s="66">
        <f>YEAR(Sal_23[[#This Row],[PROGRAMAÇÃO]])</f>
        <v>2023</v>
      </c>
      <c r="AK882" s="66"/>
      <c r="AL882" s="66"/>
      <c r="AM882" s="66"/>
      <c r="AN882" s="66"/>
      <c r="AO882" s="66"/>
    </row>
    <row r="883" spans="2:41" x14ac:dyDescent="0.25">
      <c r="B883" s="128" t="s">
        <v>2798</v>
      </c>
      <c r="C88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83" s="79">
        <v>45180.333333333336</v>
      </c>
      <c r="E883" s="44" t="s">
        <v>6308</v>
      </c>
      <c r="F883" s="66">
        <v>20</v>
      </c>
      <c r="G883" s="66" t="s">
        <v>2826</v>
      </c>
      <c r="H883" s="44" t="s">
        <v>2837</v>
      </c>
      <c r="I883" s="299" t="s">
        <v>2821</v>
      </c>
      <c r="J883" s="66">
        <v>9015</v>
      </c>
      <c r="K883" s="66" t="s">
        <v>6327</v>
      </c>
      <c r="L883" s="66">
        <v>121519</v>
      </c>
      <c r="M883" s="66"/>
      <c r="N883" s="66" t="s">
        <v>2859</v>
      </c>
      <c r="O883" s="66" t="s">
        <v>2860</v>
      </c>
      <c r="P883" s="66" t="s">
        <v>2861</v>
      </c>
      <c r="Q883" s="138" t="str">
        <f ca="1">IFERROR(LOOKUP($P883,MOTORISTAS!$D$3:$D$1048576,MOTORISTAS!E$3:E$916),"")</f>
        <v>01817591878</v>
      </c>
      <c r="R883" s="138" t="str">
        <f ca="1">IFERROR(LOOKUP($P883,MOTORISTAS!$D$3:$D$1048576,MOTORISTAS!F$3:F$916),"")</f>
        <v>00821760640</v>
      </c>
      <c r="S883" s="66">
        <v>17461</v>
      </c>
      <c r="T883" s="66" t="s">
        <v>293</v>
      </c>
      <c r="U883" s="79"/>
      <c r="V883" s="66"/>
      <c r="W883" s="79"/>
      <c r="X883" s="79"/>
      <c r="Y883" s="81"/>
      <c r="Z883" s="81"/>
      <c r="AA883" s="81"/>
      <c r="AB883" s="81"/>
      <c r="AC883" s="81"/>
      <c r="AD883" s="81">
        <v>2018.37</v>
      </c>
      <c r="AE883" s="81"/>
      <c r="AF883" s="81">
        <v>266.39999999999998</v>
      </c>
      <c r="AG883" s="81">
        <f>Sal_23[[#This Row],[COMPRA]]*12%</f>
        <v>311.55959999999999</v>
      </c>
      <c r="AH883" s="83">
        <v>2596.33</v>
      </c>
      <c r="AI883" s="66" t="str">
        <f>PROPER(TEXT(Sal_23[[#This Row],[PROGRAMAÇÃO]],"mmm"))</f>
        <v>Set</v>
      </c>
      <c r="AJ883" s="66">
        <f>YEAR(Sal_23[[#This Row],[PROGRAMAÇÃO]])</f>
        <v>2023</v>
      </c>
      <c r="AK883" s="66"/>
      <c r="AL883" s="66"/>
      <c r="AM883" s="66"/>
      <c r="AN883" s="66"/>
      <c r="AO883" s="66"/>
    </row>
    <row r="884" spans="2:41" x14ac:dyDescent="0.25">
      <c r="B884" s="128" t="s">
        <v>2798</v>
      </c>
      <c r="C88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84" s="79">
        <v>45180.333333333336</v>
      </c>
      <c r="E884" s="44" t="s">
        <v>6311</v>
      </c>
      <c r="F884" s="66">
        <v>20</v>
      </c>
      <c r="G884" s="66" t="s">
        <v>2826</v>
      </c>
      <c r="H884" s="44" t="s">
        <v>3082</v>
      </c>
      <c r="I884" s="299" t="s">
        <v>3083</v>
      </c>
      <c r="J884" s="66">
        <v>9099</v>
      </c>
      <c r="K884" s="66" t="s">
        <v>6327</v>
      </c>
      <c r="L884" s="66">
        <v>109824</v>
      </c>
      <c r="M884" s="66"/>
      <c r="N884" s="66" t="s">
        <v>2156</v>
      </c>
      <c r="O884" s="66" t="s">
        <v>2464</v>
      </c>
      <c r="P884" s="66" t="s">
        <v>2158</v>
      </c>
      <c r="Q884" s="138" t="str">
        <f ca="1">IFERROR(LOOKUP($P884,MOTORISTAS!$D$3:$D$1048576,MOTORISTAS!E$3:E$916),"")</f>
        <v>10485530864</v>
      </c>
      <c r="R884" s="138" t="str">
        <f ca="1">IFERROR(LOOKUP($P884,MOTORISTAS!$D$3:$D$1048576,MOTORISTAS!F$3:F$916),"")</f>
        <v>02033192841</v>
      </c>
      <c r="S884" s="66">
        <v>17462</v>
      </c>
      <c r="T884" s="66" t="s">
        <v>293</v>
      </c>
      <c r="U884" s="79"/>
      <c r="V884" s="66"/>
      <c r="W884" s="79"/>
      <c r="X884" s="79"/>
      <c r="Y884" s="81"/>
      <c r="Z884" s="81"/>
      <c r="AA884" s="81"/>
      <c r="AB884" s="81"/>
      <c r="AC884" s="81"/>
      <c r="AD884" s="81">
        <v>2386.86</v>
      </c>
      <c r="AE884" s="81"/>
      <c r="AF884" s="81">
        <v>222</v>
      </c>
      <c r="AG884" s="81">
        <f>Sal_23[[#This Row],[COMPRA]]*12%</f>
        <v>355.75319999999999</v>
      </c>
      <c r="AH884" s="83">
        <v>2964.61</v>
      </c>
      <c r="AI884" s="66" t="str">
        <f>PROPER(TEXT(Sal_23[[#This Row],[PROGRAMAÇÃO]],"mmm"))</f>
        <v>Set</v>
      </c>
      <c r="AJ884" s="66">
        <f>YEAR(Sal_23[[#This Row],[PROGRAMAÇÃO]])</f>
        <v>2023</v>
      </c>
      <c r="AK884" s="66"/>
      <c r="AL884" s="66"/>
      <c r="AM884" s="66"/>
      <c r="AN884" s="66"/>
      <c r="AO884" s="66"/>
    </row>
    <row r="885" spans="2:41" x14ac:dyDescent="0.25">
      <c r="B885" s="128" t="s">
        <v>2798</v>
      </c>
      <c r="C88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85" s="79">
        <v>45180.333333333336</v>
      </c>
      <c r="E885" s="44" t="s">
        <v>6312</v>
      </c>
      <c r="F885" s="66">
        <v>40</v>
      </c>
      <c r="G885" s="66" t="s">
        <v>2826</v>
      </c>
      <c r="H885" s="44" t="s">
        <v>2836</v>
      </c>
      <c r="I885" s="299" t="s">
        <v>708</v>
      </c>
      <c r="J885" s="66">
        <v>9062</v>
      </c>
      <c r="K885" s="66" t="s">
        <v>6327</v>
      </c>
      <c r="L885" s="66">
        <v>109822</v>
      </c>
      <c r="M885" s="66"/>
      <c r="N885" s="66" t="s">
        <v>2949</v>
      </c>
      <c r="O885" s="66" t="s">
        <v>4701</v>
      </c>
      <c r="P885" s="66" t="s">
        <v>2948</v>
      </c>
      <c r="Q885" s="138" t="str">
        <f ca="1">IFERROR(LOOKUP($P885,MOTORISTAS!$D$3:$D$1048576,MOTORISTAS!E$3:E$916),"")</f>
        <v>16239341843</v>
      </c>
      <c r="R885" s="138" t="str">
        <f ca="1">IFERROR(LOOKUP($P885,MOTORISTAS!$D$3:$D$1048576,MOTORISTAS!F$3:F$916),"")</f>
        <v>01877235038</v>
      </c>
      <c r="S885" s="66">
        <v>17464</v>
      </c>
      <c r="T885" s="66" t="s">
        <v>293</v>
      </c>
      <c r="U885" s="79"/>
      <c r="V885" s="66"/>
      <c r="W885" s="79"/>
      <c r="X885" s="79"/>
      <c r="Y885" s="81"/>
      <c r="Z885" s="81"/>
      <c r="AA885" s="81"/>
      <c r="AB885" s="81"/>
      <c r="AC885" s="81"/>
      <c r="AD885" s="81">
        <v>1621.21</v>
      </c>
      <c r="AE885" s="81"/>
      <c r="AF885" s="81">
        <v>94.8</v>
      </c>
      <c r="AG885" s="81">
        <f>Sal_23[[#This Row],[COMPRA]]*12%</f>
        <v>234.00119999999998</v>
      </c>
      <c r="AH885" s="83">
        <v>1950.01</v>
      </c>
      <c r="AI885" s="66" t="str">
        <f>PROPER(TEXT(Sal_23[[#This Row],[PROGRAMAÇÃO]],"mmm"))</f>
        <v>Set</v>
      </c>
      <c r="AJ885" s="66">
        <f>YEAR(Sal_23[[#This Row],[PROGRAMAÇÃO]])</f>
        <v>2023</v>
      </c>
      <c r="AK885" s="66"/>
      <c r="AL885" s="66"/>
      <c r="AM885" s="66"/>
      <c r="AN885" s="66"/>
      <c r="AO885" s="66"/>
    </row>
    <row r="886" spans="2:41" x14ac:dyDescent="0.25">
      <c r="B886" s="128" t="s">
        <v>2798</v>
      </c>
      <c r="C88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86" s="79">
        <v>45180.333333333336</v>
      </c>
      <c r="E886" s="44" t="s">
        <v>6316</v>
      </c>
      <c r="F886" s="66">
        <v>40</v>
      </c>
      <c r="G886" s="66" t="s">
        <v>2826</v>
      </c>
      <c r="H886" s="44" t="s">
        <v>3910</v>
      </c>
      <c r="I886" s="299" t="s">
        <v>3909</v>
      </c>
      <c r="J886" s="66">
        <v>9046</v>
      </c>
      <c r="K886" s="66" t="s">
        <v>6327</v>
      </c>
      <c r="L886" s="66">
        <v>109821</v>
      </c>
      <c r="M886" s="66"/>
      <c r="N886" s="66" t="s">
        <v>178</v>
      </c>
      <c r="O886" s="66" t="s">
        <v>6358</v>
      </c>
      <c r="P886" s="66" t="s">
        <v>6359</v>
      </c>
      <c r="Q886" s="138" t="str">
        <f ca="1">IFERROR(LOOKUP($P886,MOTORISTAS!$D$3:$D$1048576,MOTORISTAS!E$3:E$916),"")</f>
        <v>21356020860</v>
      </c>
      <c r="R886" s="138" t="str">
        <f ca="1">IFERROR(LOOKUP($P886,MOTORISTAS!$D$3:$D$1048576,MOTORISTAS!F$3:F$916),"")</f>
        <v>01261018608</v>
      </c>
      <c r="S886" s="66">
        <v>17466</v>
      </c>
      <c r="T886" s="66" t="s">
        <v>293</v>
      </c>
      <c r="U886" s="79"/>
      <c r="V886" s="66"/>
      <c r="W886" s="79"/>
      <c r="X886" s="79"/>
      <c r="Y886" s="81"/>
      <c r="Z886" s="81"/>
      <c r="AA886" s="81"/>
      <c r="AB886" s="81"/>
      <c r="AC886" s="81"/>
      <c r="AD886" s="81">
        <v>2557.9699999999998</v>
      </c>
      <c r="AE886" s="81"/>
      <c r="AF886" s="81">
        <v>372.6</v>
      </c>
      <c r="AG886" s="81">
        <f>Sal_23[[#This Row],[COMPRA]]*12%</f>
        <v>399.62279999999998</v>
      </c>
      <c r="AH886" s="83">
        <v>3330.19</v>
      </c>
      <c r="AI886" s="66" t="str">
        <f>PROPER(TEXT(Sal_23[[#This Row],[PROGRAMAÇÃO]],"mmm"))</f>
        <v>Set</v>
      </c>
      <c r="AJ886" s="66">
        <f>YEAR(Sal_23[[#This Row],[PROGRAMAÇÃO]])</f>
        <v>2023</v>
      </c>
      <c r="AK886" s="66"/>
      <c r="AL886" s="66"/>
      <c r="AM886" s="66"/>
      <c r="AN886" s="66"/>
      <c r="AO886" s="66"/>
    </row>
    <row r="887" spans="2:41" x14ac:dyDescent="0.25">
      <c r="B887" s="128" t="s">
        <v>2798</v>
      </c>
      <c r="C88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87" s="79">
        <v>45180.333333333336</v>
      </c>
      <c r="E887" s="44" t="s">
        <v>6317</v>
      </c>
      <c r="F887" s="66">
        <v>40</v>
      </c>
      <c r="G887" s="66" t="s">
        <v>2826</v>
      </c>
      <c r="H887" s="44" t="s">
        <v>3910</v>
      </c>
      <c r="I887" s="299" t="s">
        <v>3909</v>
      </c>
      <c r="J887" s="66">
        <v>9023</v>
      </c>
      <c r="K887" s="66" t="s">
        <v>6327</v>
      </c>
      <c r="L887" s="66">
        <v>121526</v>
      </c>
      <c r="M887" s="66"/>
      <c r="N887" s="66" t="s">
        <v>6355</v>
      </c>
      <c r="O887" s="66" t="s">
        <v>6356</v>
      </c>
      <c r="P887" s="66" t="s">
        <v>6357</v>
      </c>
      <c r="Q887" s="138" t="str">
        <f ca="1">IFERROR(LOOKUP($P887,MOTORISTAS!$D$3:$D$1048576,MOTORISTAS!E$3:E$916),"")</f>
        <v>25676961805</v>
      </c>
      <c r="R887" s="138" t="str">
        <f ca="1">IFERROR(LOOKUP($P887,MOTORISTAS!$D$3:$D$1048576,MOTORISTAS!F$3:F$916),"")</f>
        <v>01364436674</v>
      </c>
      <c r="S887" s="66">
        <v>17465</v>
      </c>
      <c r="T887" s="66" t="s">
        <v>293</v>
      </c>
      <c r="U887" s="79"/>
      <c r="V887" s="66"/>
      <c r="W887" s="79"/>
      <c r="X887" s="79"/>
      <c r="Y887" s="81"/>
      <c r="Z887" s="81"/>
      <c r="AA887" s="81"/>
      <c r="AB887" s="81"/>
      <c r="AC887" s="81"/>
      <c r="AD887" s="81">
        <v>2557.9699999999998</v>
      </c>
      <c r="AE887" s="81"/>
      <c r="AF887" s="81">
        <v>372.6</v>
      </c>
      <c r="AG887" s="81">
        <f>Sal_23[[#This Row],[COMPRA]]*12%</f>
        <v>399.62279999999998</v>
      </c>
      <c r="AH887" s="83">
        <v>3330.19</v>
      </c>
      <c r="AI887" s="66" t="str">
        <f>PROPER(TEXT(Sal_23[[#This Row],[PROGRAMAÇÃO]],"mmm"))</f>
        <v>Set</v>
      </c>
      <c r="AJ887" s="66">
        <f>YEAR(Sal_23[[#This Row],[PROGRAMAÇÃO]])</f>
        <v>2023</v>
      </c>
      <c r="AK887" s="66"/>
      <c r="AL887" s="66"/>
      <c r="AM887" s="66"/>
      <c r="AN887" s="66"/>
      <c r="AO887" s="66"/>
    </row>
    <row r="888" spans="2:41" x14ac:dyDescent="0.25">
      <c r="B888" s="128" t="s">
        <v>2798</v>
      </c>
      <c r="C88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88" s="79">
        <v>45180.333333333336</v>
      </c>
      <c r="E888" s="44" t="s">
        <v>6320</v>
      </c>
      <c r="F888" s="66">
        <v>20</v>
      </c>
      <c r="G888" s="66" t="s">
        <v>2826</v>
      </c>
      <c r="H888" s="44" t="s">
        <v>3440</v>
      </c>
      <c r="I888" s="299" t="s">
        <v>3253</v>
      </c>
      <c r="J888" s="66">
        <v>8982</v>
      </c>
      <c r="K888" s="66" t="s">
        <v>6327</v>
      </c>
      <c r="L888" s="66">
        <v>122059</v>
      </c>
      <c r="M888" s="66"/>
      <c r="N888" s="66" t="s">
        <v>3040</v>
      </c>
      <c r="O888" s="66" t="s">
        <v>3041</v>
      </c>
      <c r="P888" s="66" t="s">
        <v>3042</v>
      </c>
      <c r="Q888" s="138" t="str">
        <f ca="1">IFERROR(LOOKUP($P888,MOTORISTAS!$D$3:$D$1048576,MOTORISTAS!E$3:E$916),"")</f>
        <v>19279658883</v>
      </c>
      <c r="R888" s="138" t="str">
        <f ca="1">IFERROR(LOOKUP($P888,MOTORISTAS!$D$3:$D$1048576,MOTORISTAS!F$3:F$916),"")</f>
        <v>01301319672</v>
      </c>
      <c r="S888" s="66">
        <v>17467</v>
      </c>
      <c r="T888" s="66" t="s">
        <v>293</v>
      </c>
      <c r="U888" s="79"/>
      <c r="V888" s="66"/>
      <c r="W888" s="79"/>
      <c r="X888" s="79"/>
      <c r="Y888" s="81"/>
      <c r="Z888" s="81"/>
      <c r="AA888" s="81"/>
      <c r="AB888" s="81"/>
      <c r="AC888" s="81"/>
      <c r="AD888" s="81">
        <v>2557.9699999999998</v>
      </c>
      <c r="AE888" s="81"/>
      <c r="AF888" s="81">
        <v>372.6</v>
      </c>
      <c r="AG888" s="81">
        <f>Sal_23[[#This Row],[COMPRA]]*12%</f>
        <v>399.62279999999998</v>
      </c>
      <c r="AH888" s="83">
        <v>3330.19</v>
      </c>
      <c r="AI888" s="66" t="str">
        <f>PROPER(TEXT(Sal_23[[#This Row],[PROGRAMAÇÃO]],"mmm"))</f>
        <v>Set</v>
      </c>
      <c r="AJ888" s="66">
        <f>YEAR(Sal_23[[#This Row],[PROGRAMAÇÃO]])</f>
        <v>2023</v>
      </c>
      <c r="AK888" s="66"/>
      <c r="AL888" s="66"/>
      <c r="AM888" s="66"/>
      <c r="AN888" s="66"/>
      <c r="AO888" s="66"/>
    </row>
    <row r="889" spans="2:41" x14ac:dyDescent="0.25">
      <c r="B889" s="128" t="s">
        <v>2798</v>
      </c>
      <c r="C88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89" s="79">
        <v>45180.333333333336</v>
      </c>
      <c r="E889" s="44" t="s">
        <v>4536</v>
      </c>
      <c r="F889" s="66">
        <v>20</v>
      </c>
      <c r="G889" s="66" t="s">
        <v>2826</v>
      </c>
      <c r="H889" s="44" t="s">
        <v>2825</v>
      </c>
      <c r="I889" s="299" t="s">
        <v>4012</v>
      </c>
      <c r="J889" s="66"/>
      <c r="K889" s="66" t="s">
        <v>6327</v>
      </c>
      <c r="L889" s="66">
        <v>109946</v>
      </c>
      <c r="M889" s="66"/>
      <c r="N889" s="66" t="s">
        <v>3028</v>
      </c>
      <c r="O889" s="66" t="s">
        <v>2261</v>
      </c>
      <c r="P889" s="66" t="s">
        <v>6349</v>
      </c>
      <c r="Q889" s="138" t="str">
        <f ca="1">IFERROR(LOOKUP($P889,MOTORISTAS!$D$3:$D$1048576,MOTORISTAS!E$3:E$916),"")</f>
        <v>25355344879</v>
      </c>
      <c r="R889" s="138" t="str">
        <f ca="1">IFERROR(LOOKUP($P889,MOTORISTAS!$D$3:$D$1048576,MOTORISTAS!F$3:F$916),"")</f>
        <v>02417540406</v>
      </c>
      <c r="S889" s="66">
        <v>17468</v>
      </c>
      <c r="T889" s="66" t="s">
        <v>293</v>
      </c>
      <c r="U889" s="79"/>
      <c r="V889" s="66"/>
      <c r="W889" s="79"/>
      <c r="X889" s="79"/>
      <c r="Y889" s="81"/>
      <c r="Z889" s="81"/>
      <c r="AA889" s="81"/>
      <c r="AB889" s="81"/>
      <c r="AC889" s="81"/>
      <c r="AD889" s="81">
        <v>2294.6999999999998</v>
      </c>
      <c r="AE889" s="81">
        <v>768.04</v>
      </c>
      <c r="AF889" s="81">
        <v>222</v>
      </c>
      <c r="AG889" s="81">
        <f>Sal_23[[#This Row],[COMPRA]]*12%</f>
        <v>447.91919999999999</v>
      </c>
      <c r="AH889" s="83">
        <v>3732.66</v>
      </c>
      <c r="AI889" s="66" t="str">
        <f>PROPER(TEXT(Sal_23[[#This Row],[PROGRAMAÇÃO]],"mmm"))</f>
        <v>Set</v>
      </c>
      <c r="AJ889" s="66">
        <f>YEAR(Sal_23[[#This Row],[PROGRAMAÇÃO]])</f>
        <v>2023</v>
      </c>
      <c r="AK889" s="66"/>
      <c r="AL889" s="66"/>
      <c r="AM889" s="66"/>
      <c r="AN889" s="66"/>
      <c r="AO889" s="66"/>
    </row>
    <row r="890" spans="2:41" x14ac:dyDescent="0.25">
      <c r="B890" s="128" t="s">
        <v>2798</v>
      </c>
      <c r="C890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90" s="79">
        <v>45180.333333333336</v>
      </c>
      <c r="E890" s="44" t="s">
        <v>6323</v>
      </c>
      <c r="F890" s="66">
        <v>20</v>
      </c>
      <c r="G890" s="66" t="s">
        <v>2826</v>
      </c>
      <c r="H890" s="44" t="s">
        <v>3071</v>
      </c>
      <c r="I890" s="299" t="s">
        <v>3072</v>
      </c>
      <c r="J890" s="66">
        <v>9052</v>
      </c>
      <c r="K890" s="66" t="s">
        <v>6327</v>
      </c>
      <c r="L890" s="66">
        <v>109945</v>
      </c>
      <c r="M890" s="66"/>
      <c r="N890" s="66" t="s">
        <v>6355</v>
      </c>
      <c r="O890" s="66" t="s">
        <v>6356</v>
      </c>
      <c r="P890" s="66" t="s">
        <v>6357</v>
      </c>
      <c r="Q890" s="138" t="str">
        <f ca="1">IFERROR(LOOKUP($P890,MOTORISTAS!$D$3:$D$1048576,MOTORISTAS!E$3:E$916),"")</f>
        <v>25676961805</v>
      </c>
      <c r="R890" s="138" t="str">
        <f ca="1">IFERROR(LOOKUP($P890,MOTORISTAS!$D$3:$D$1048576,MOTORISTAS!F$3:F$916),"")</f>
        <v>01364436674</v>
      </c>
      <c r="S890" s="66">
        <v>17469</v>
      </c>
      <c r="T890" s="66" t="s">
        <v>293</v>
      </c>
      <c r="U890" s="79"/>
      <c r="V890" s="66"/>
      <c r="W890" s="79"/>
      <c r="X890" s="79"/>
      <c r="Y890" s="81"/>
      <c r="Z890" s="81"/>
      <c r="AA890" s="81"/>
      <c r="AB890" s="81"/>
      <c r="AC890" s="81"/>
      <c r="AD890" s="81">
        <v>2361.17</v>
      </c>
      <c r="AE890" s="81">
        <v>768.04</v>
      </c>
      <c r="AF890" s="81">
        <v>343.2</v>
      </c>
      <c r="AG890" s="81">
        <f>Sal_23[[#This Row],[COMPRA]]*12%</f>
        <v>473.5104</v>
      </c>
      <c r="AH890" s="83">
        <v>3945.92</v>
      </c>
      <c r="AI890" s="66" t="str">
        <f>PROPER(TEXT(Sal_23[[#This Row],[PROGRAMAÇÃO]],"mmm"))</f>
        <v>Set</v>
      </c>
      <c r="AJ890" s="66">
        <f>YEAR(Sal_23[[#This Row],[PROGRAMAÇÃO]])</f>
        <v>2023</v>
      </c>
      <c r="AK890" s="66"/>
      <c r="AL890" s="66"/>
      <c r="AM890" s="66"/>
      <c r="AN890" s="66"/>
      <c r="AO890" s="66"/>
    </row>
    <row r="891" spans="2:41" x14ac:dyDescent="0.25">
      <c r="B891" s="128" t="s">
        <v>2798</v>
      </c>
      <c r="C891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91" s="79">
        <v>45180.333333333336</v>
      </c>
      <c r="E891" s="44" t="s">
        <v>6324</v>
      </c>
      <c r="F891" s="66">
        <v>40</v>
      </c>
      <c r="G891" s="66" t="s">
        <v>2826</v>
      </c>
      <c r="H891" s="44" t="s">
        <v>1674</v>
      </c>
      <c r="I891" s="299" t="s">
        <v>2829</v>
      </c>
      <c r="J891" s="66">
        <v>9054</v>
      </c>
      <c r="K891" s="66" t="s">
        <v>6327</v>
      </c>
      <c r="L891" s="66">
        <v>110002</v>
      </c>
      <c r="M891" s="66">
        <v>110003</v>
      </c>
      <c r="N891" s="66" t="s">
        <v>2622</v>
      </c>
      <c r="O891" s="66" t="s">
        <v>2623</v>
      </c>
      <c r="P891" s="66" t="s">
        <v>2624</v>
      </c>
      <c r="Q891" s="138" t="str">
        <f ca="1">IFERROR(LOOKUP($P891,MOTORISTAS!$D$3:$D$1048576,MOTORISTAS!E$3:E$916),"")</f>
        <v>31147992568</v>
      </c>
      <c r="R891" s="138" t="str">
        <f ca="1">IFERROR(LOOKUP($P891,MOTORISTAS!$D$3:$D$1048576,MOTORISTAS!F$3:F$916),"")</f>
        <v>03359999478</v>
      </c>
      <c r="S891" s="66">
        <v>17471</v>
      </c>
      <c r="T891" s="66" t="s">
        <v>293</v>
      </c>
      <c r="U891" s="79"/>
      <c r="V891" s="66"/>
      <c r="W891" s="79"/>
      <c r="X891" s="79"/>
      <c r="Y891" s="81"/>
      <c r="Z891" s="81"/>
      <c r="AA891" s="81"/>
      <c r="AB891" s="81"/>
      <c r="AC891" s="81"/>
      <c r="AD891" s="81">
        <v>3472.48</v>
      </c>
      <c r="AE891" s="81"/>
      <c r="AF891" s="81">
        <v>621.6</v>
      </c>
      <c r="AG891" s="81">
        <f>Sal_23[[#This Row],[COMPRA]]*12%</f>
        <v>558.28319999999997</v>
      </c>
      <c r="AH891" s="83">
        <v>4652.3599999999997</v>
      </c>
      <c r="AI891" s="66" t="str">
        <f>PROPER(TEXT(Sal_23[[#This Row],[PROGRAMAÇÃO]],"mmm"))</f>
        <v>Set</v>
      </c>
      <c r="AJ891" s="66">
        <f>YEAR(Sal_23[[#This Row],[PROGRAMAÇÃO]])</f>
        <v>2023</v>
      </c>
      <c r="AK891" s="66"/>
      <c r="AL891" s="66"/>
      <c r="AM891" s="66"/>
      <c r="AN891" s="66"/>
      <c r="AO891" s="66"/>
    </row>
    <row r="892" spans="2:41" x14ac:dyDescent="0.25">
      <c r="B892" s="128" t="s">
        <v>2798</v>
      </c>
      <c r="C892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92" s="79">
        <v>45180.333333333336</v>
      </c>
      <c r="E892" s="44" t="s">
        <v>6325</v>
      </c>
      <c r="F892" s="66">
        <v>40</v>
      </c>
      <c r="G892" s="66" t="s">
        <v>2826</v>
      </c>
      <c r="H892" s="44" t="s">
        <v>1674</v>
      </c>
      <c r="I892" s="299" t="s">
        <v>2829</v>
      </c>
      <c r="J892" s="66">
        <v>8938</v>
      </c>
      <c r="K892" s="66" t="s">
        <v>6327</v>
      </c>
      <c r="L892" s="66">
        <v>109932</v>
      </c>
      <c r="M892" s="66">
        <v>109933</v>
      </c>
      <c r="N892" s="66" t="s">
        <v>1729</v>
      </c>
      <c r="O892" s="66" t="s">
        <v>4556</v>
      </c>
      <c r="P892" s="66" t="s">
        <v>1731</v>
      </c>
      <c r="Q892" s="138" t="str">
        <f ca="1">IFERROR(LOOKUP($P892,MOTORISTAS!$D$3:$D$1048576,MOTORISTAS!E$3:E$916),"")</f>
        <v>03965340824</v>
      </c>
      <c r="R892" s="138" t="str">
        <f ca="1">IFERROR(LOOKUP($P892,MOTORISTAS!$D$3:$D$1048576,MOTORISTAS!F$3:F$916),"")</f>
        <v>01420704735</v>
      </c>
      <c r="S892" s="66">
        <v>17472</v>
      </c>
      <c r="T892" s="66" t="s">
        <v>293</v>
      </c>
      <c r="U892" s="79"/>
      <c r="V892" s="66"/>
      <c r="W892" s="79"/>
      <c r="X892" s="79"/>
      <c r="Y892" s="81"/>
      <c r="Z892" s="81"/>
      <c r="AA892" s="81"/>
      <c r="AB892" s="81"/>
      <c r="AC892" s="81"/>
      <c r="AD892" s="81">
        <v>3472.48</v>
      </c>
      <c r="AE892" s="81"/>
      <c r="AF892" s="81">
        <v>621.6</v>
      </c>
      <c r="AG892" s="81">
        <f>Sal_23[[#This Row],[COMPRA]]*12%</f>
        <v>558.28319999999997</v>
      </c>
      <c r="AH892" s="83">
        <v>4652.3599999999997</v>
      </c>
      <c r="AI892" s="66" t="str">
        <f>PROPER(TEXT(Sal_23[[#This Row],[PROGRAMAÇÃO]],"mmm"))</f>
        <v>Set</v>
      </c>
      <c r="AJ892" s="66">
        <f>YEAR(Sal_23[[#This Row],[PROGRAMAÇÃO]])</f>
        <v>2023</v>
      </c>
      <c r="AK892" s="66"/>
      <c r="AL892" s="66"/>
      <c r="AM892" s="66"/>
      <c r="AN892" s="66"/>
      <c r="AO892" s="66"/>
    </row>
    <row r="893" spans="2:41" x14ac:dyDescent="0.25">
      <c r="B893" s="128" t="s">
        <v>2798</v>
      </c>
      <c r="C893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93" s="79">
        <v>45180.333333333336</v>
      </c>
      <c r="E893" s="44" t="s">
        <v>6326</v>
      </c>
      <c r="F893" s="66">
        <v>40</v>
      </c>
      <c r="G893" s="66" t="s">
        <v>2826</v>
      </c>
      <c r="H893" s="44" t="s">
        <v>1674</v>
      </c>
      <c r="I893" s="299" t="s">
        <v>2829</v>
      </c>
      <c r="J893" s="66">
        <v>9018</v>
      </c>
      <c r="K893" s="66" t="s">
        <v>6327</v>
      </c>
      <c r="L893" s="66">
        <v>109905</v>
      </c>
      <c r="M893" s="66">
        <v>109906</v>
      </c>
      <c r="N893" s="66" t="s">
        <v>150</v>
      </c>
      <c r="O893" s="66" t="s">
        <v>151</v>
      </c>
      <c r="P893" s="66" t="s">
        <v>2678</v>
      </c>
      <c r="Q893" s="138" t="str">
        <f ca="1">IFERROR(LOOKUP($P893,MOTORISTAS!$D$3:$D$1048576,MOTORISTAS!E$3:E$916),"")</f>
        <v>28386357860</v>
      </c>
      <c r="R893" s="138" t="str">
        <f ca="1">IFERROR(LOOKUP($P893,MOTORISTAS!$D$3:$D$1048576,MOTORISTAS!F$3:F$916),"")</f>
        <v>01042201192</v>
      </c>
      <c r="S893" s="66">
        <v>17473</v>
      </c>
      <c r="T893" s="66" t="s">
        <v>293</v>
      </c>
      <c r="U893" s="79"/>
      <c r="V893" s="66"/>
      <c r="W893" s="79"/>
      <c r="X893" s="79"/>
      <c r="Y893" s="81"/>
      <c r="Z893" s="81"/>
      <c r="AA893" s="81"/>
      <c r="AB893" s="81"/>
      <c r="AC893" s="81"/>
      <c r="AD893" s="81">
        <v>3472.48</v>
      </c>
      <c r="AE893" s="81"/>
      <c r="AF893" s="81">
        <v>621.6</v>
      </c>
      <c r="AG893" s="81">
        <f>Sal_23[[#This Row],[COMPRA]]*12%</f>
        <v>558.28319999999997</v>
      </c>
      <c r="AH893" s="83">
        <v>4652.3599999999997</v>
      </c>
      <c r="AI893" s="66" t="str">
        <f>PROPER(TEXT(Sal_23[[#This Row],[PROGRAMAÇÃO]],"mmm"))</f>
        <v>Set</v>
      </c>
      <c r="AJ893" s="66">
        <f>YEAR(Sal_23[[#This Row],[PROGRAMAÇÃO]])</f>
        <v>2023</v>
      </c>
      <c r="AK893" s="66"/>
      <c r="AL893" s="66"/>
      <c r="AM893" s="66"/>
      <c r="AN893" s="66"/>
      <c r="AO893" s="66"/>
    </row>
    <row r="894" spans="2:41" x14ac:dyDescent="0.25">
      <c r="B894" s="128" t="s">
        <v>3288</v>
      </c>
      <c r="C894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94" s="79">
        <v>45181.333333333336</v>
      </c>
      <c r="E894" s="44" t="s">
        <v>6307</v>
      </c>
      <c r="F894" s="66">
        <v>20</v>
      </c>
      <c r="G894" s="66" t="s">
        <v>2826</v>
      </c>
      <c r="H894" s="44" t="s">
        <v>2837</v>
      </c>
      <c r="I894" s="299" t="s">
        <v>2821</v>
      </c>
      <c r="J894" s="66"/>
      <c r="K894" s="66" t="s">
        <v>6327</v>
      </c>
      <c r="L894" s="66">
        <v>109768</v>
      </c>
      <c r="M894" s="66">
        <v>121650</v>
      </c>
      <c r="N894" s="66"/>
      <c r="O894" s="66"/>
      <c r="P894" s="66"/>
      <c r="Q894" s="138" t="str">
        <f>IFERROR(LOOKUP($P894,MOTORISTAS!$D$3:$D$1048576,MOTORISTAS!E$3:E$916),"")</f>
        <v/>
      </c>
      <c r="R894" s="138" t="str">
        <f>IFERROR(LOOKUP($P894,MOTORISTAS!$D$3:$D$1048576,MOTORISTAS!F$3:F$916),"")</f>
        <v/>
      </c>
      <c r="S894" s="66"/>
      <c r="T894" s="66"/>
      <c r="U894" s="79"/>
      <c r="V894" s="66"/>
      <c r="W894" s="79"/>
      <c r="X894" s="79"/>
      <c r="Y894" s="81"/>
      <c r="Z894" s="81"/>
      <c r="AA894" s="81"/>
      <c r="AB894" s="81"/>
      <c r="AC894" s="81"/>
      <c r="AD894" s="81"/>
      <c r="AE894" s="81"/>
      <c r="AF894" s="81"/>
      <c r="AG894" s="81">
        <f>Sal_23[[#This Row],[COMPRA]]*12%</f>
        <v>0</v>
      </c>
      <c r="AH894" s="83"/>
      <c r="AI894" s="66" t="str">
        <f>PROPER(TEXT(Sal_23[[#This Row],[PROGRAMAÇÃO]],"mmm"))</f>
        <v>Set</v>
      </c>
      <c r="AJ894" s="66">
        <f>YEAR(Sal_23[[#This Row],[PROGRAMAÇÃO]])</f>
        <v>2023</v>
      </c>
      <c r="AK894" s="66"/>
      <c r="AL894" s="66"/>
      <c r="AM894" s="66"/>
      <c r="AN894" s="66"/>
      <c r="AO894" s="66"/>
    </row>
    <row r="895" spans="2:41" x14ac:dyDescent="0.25">
      <c r="B895" s="128" t="s">
        <v>3288</v>
      </c>
      <c r="C895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95" s="79">
        <v>45181.333333333336</v>
      </c>
      <c r="E895" s="44" t="s">
        <v>6315</v>
      </c>
      <c r="F895" s="66">
        <v>40</v>
      </c>
      <c r="G895" s="66" t="s">
        <v>2826</v>
      </c>
      <c r="H895" s="44" t="s">
        <v>3910</v>
      </c>
      <c r="I895" s="299" t="s">
        <v>3909</v>
      </c>
      <c r="J895" s="66"/>
      <c r="K895" s="66" t="s">
        <v>6327</v>
      </c>
      <c r="L895" s="66">
        <v>109781</v>
      </c>
      <c r="M895" s="66"/>
      <c r="N895" s="66"/>
      <c r="O895" s="66"/>
      <c r="P895" s="66"/>
      <c r="Q895" s="138" t="str">
        <f>IFERROR(LOOKUP($P895,MOTORISTAS!$D$3:$D$1048576,MOTORISTAS!E$3:E$916),"")</f>
        <v/>
      </c>
      <c r="R895" s="138" t="str">
        <f>IFERROR(LOOKUP($P895,MOTORISTAS!$D$3:$D$1048576,MOTORISTAS!F$3:F$916),"")</f>
        <v/>
      </c>
      <c r="S895" s="66"/>
      <c r="T895" s="66" t="s">
        <v>293</v>
      </c>
      <c r="U895" s="79"/>
      <c r="V895" s="66"/>
      <c r="W895" s="79"/>
      <c r="X895" s="79"/>
      <c r="Y895" s="81"/>
      <c r="Z895" s="81"/>
      <c r="AA895" s="81"/>
      <c r="AB895" s="81"/>
      <c r="AC895" s="81"/>
      <c r="AD895" s="81">
        <v>2557.9699999999998</v>
      </c>
      <c r="AE895" s="81"/>
      <c r="AF895" s="81">
        <v>372.6</v>
      </c>
      <c r="AG895" s="81">
        <f>Sal_23[[#This Row],[COMPRA]]*12%</f>
        <v>399.62279999999998</v>
      </c>
      <c r="AH895" s="83">
        <v>3330.19</v>
      </c>
      <c r="AI895" s="66" t="str">
        <f>PROPER(TEXT(Sal_23[[#This Row],[PROGRAMAÇÃO]],"mmm"))</f>
        <v>Set</v>
      </c>
      <c r="AJ895" s="66">
        <f>YEAR(Sal_23[[#This Row],[PROGRAMAÇÃO]])</f>
        <v>2023</v>
      </c>
      <c r="AK895" s="66"/>
      <c r="AL895" s="66"/>
      <c r="AM895" s="66"/>
      <c r="AN895" s="66"/>
      <c r="AO895" s="66"/>
    </row>
    <row r="896" spans="2:41" x14ac:dyDescent="0.25">
      <c r="B896" s="128" t="s">
        <v>3288</v>
      </c>
      <c r="C896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96" s="79">
        <v>45181.333333333336</v>
      </c>
      <c r="E896" s="44" t="s">
        <v>6319</v>
      </c>
      <c r="F896" s="66">
        <v>20</v>
      </c>
      <c r="G896" s="66" t="s">
        <v>2826</v>
      </c>
      <c r="H896" s="44" t="s">
        <v>2837</v>
      </c>
      <c r="I896" s="299" t="s">
        <v>2821</v>
      </c>
      <c r="J896" s="66"/>
      <c r="K896" s="66" t="s">
        <v>6327</v>
      </c>
      <c r="L896" s="66">
        <v>109957</v>
      </c>
      <c r="M896" s="66">
        <v>122060</v>
      </c>
      <c r="N896" s="66"/>
      <c r="O896" s="66"/>
      <c r="P896" s="66"/>
      <c r="Q896" s="138" t="str">
        <f>IFERROR(LOOKUP($P896,MOTORISTAS!$D$3:$D$1048576,MOTORISTAS!E$3:E$916),"")</f>
        <v/>
      </c>
      <c r="R896" s="138" t="str">
        <f>IFERROR(LOOKUP($P896,MOTORISTAS!$D$3:$D$1048576,MOTORISTAS!F$3:F$916),"")</f>
        <v/>
      </c>
      <c r="S896" s="66"/>
      <c r="T896" s="66" t="s">
        <v>293</v>
      </c>
      <c r="U896" s="79"/>
      <c r="V896" s="66"/>
      <c r="W896" s="79"/>
      <c r="X896" s="79"/>
      <c r="Y896" s="81"/>
      <c r="Z896" s="81"/>
      <c r="AA896" s="81"/>
      <c r="AB896" s="81"/>
      <c r="AC896" s="81"/>
      <c r="AD896" s="81"/>
      <c r="AE896" s="81"/>
      <c r="AF896" s="81"/>
      <c r="AG896" s="81">
        <f>Sal_23[[#This Row],[COMPRA]]*12%</f>
        <v>0</v>
      </c>
      <c r="AH896" s="83"/>
      <c r="AI896" s="66" t="str">
        <f>PROPER(TEXT(Sal_23[[#This Row],[PROGRAMAÇÃO]],"mmm"))</f>
        <v>Set</v>
      </c>
      <c r="AJ896" s="66">
        <f>YEAR(Sal_23[[#This Row],[PROGRAMAÇÃO]])</f>
        <v>2023</v>
      </c>
      <c r="AK896" s="66"/>
      <c r="AL896" s="66"/>
      <c r="AM896" s="66"/>
      <c r="AN896" s="66"/>
      <c r="AO896" s="66"/>
    </row>
    <row r="897" spans="2:41" x14ac:dyDescent="0.25">
      <c r="B897" s="128" t="s">
        <v>3288</v>
      </c>
      <c r="C897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97" s="79">
        <v>45181.333333333336</v>
      </c>
      <c r="E897" s="44" t="s">
        <v>4467</v>
      </c>
      <c r="F897" s="66">
        <v>20</v>
      </c>
      <c r="G897" s="66" t="s">
        <v>2826</v>
      </c>
      <c r="H897" s="44" t="s">
        <v>2827</v>
      </c>
      <c r="I897" s="299" t="s">
        <v>2823</v>
      </c>
      <c r="J897" s="66"/>
      <c r="K897" s="66" t="s">
        <v>6327</v>
      </c>
      <c r="L897" s="66">
        <v>110031</v>
      </c>
      <c r="M897" s="66"/>
      <c r="N897" s="66"/>
      <c r="O897" s="66"/>
      <c r="P897" s="66"/>
      <c r="Q897" s="138" t="str">
        <f>IFERROR(LOOKUP($P897,MOTORISTAS!$D$3:$D$1048576,MOTORISTAS!E$3:E$916),"")</f>
        <v/>
      </c>
      <c r="R897" s="138" t="str">
        <f>IFERROR(LOOKUP($P897,MOTORISTAS!$D$3:$D$1048576,MOTORISTAS!F$3:F$916),"")</f>
        <v/>
      </c>
      <c r="S897" s="66"/>
      <c r="T897" s="66" t="s">
        <v>293</v>
      </c>
      <c r="U897" s="79"/>
      <c r="V897" s="66"/>
      <c r="W897" s="79"/>
      <c r="X897" s="79"/>
      <c r="Y897" s="81"/>
      <c r="Z897" s="81"/>
      <c r="AA897" s="81"/>
      <c r="AB897" s="81"/>
      <c r="AC897" s="81"/>
      <c r="AD897" s="81">
        <v>3484.1</v>
      </c>
      <c r="AE897" s="81"/>
      <c r="AF897" s="81">
        <v>706.8</v>
      </c>
      <c r="AG897" s="81">
        <f>Sal_23[[#This Row],[COMPRA]]*12%</f>
        <v>571.48680000000002</v>
      </c>
      <c r="AH897" s="83">
        <v>4762.3900000000003</v>
      </c>
      <c r="AI897" s="66" t="str">
        <f>PROPER(TEXT(Sal_23[[#This Row],[PROGRAMAÇÃO]],"mmm"))</f>
        <v>Set</v>
      </c>
      <c r="AJ897" s="66">
        <f>YEAR(Sal_23[[#This Row],[PROGRAMAÇÃO]])</f>
        <v>2023</v>
      </c>
      <c r="AK897" s="66"/>
      <c r="AL897" s="66"/>
      <c r="AM897" s="66"/>
      <c r="AN897" s="66"/>
      <c r="AO897" s="66"/>
    </row>
    <row r="898" spans="2:41" x14ac:dyDescent="0.25">
      <c r="B898" s="128" t="s">
        <v>3288</v>
      </c>
      <c r="C898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98" s="79">
        <v>45181.333333333336</v>
      </c>
      <c r="E898" s="44" t="s">
        <v>6321</v>
      </c>
      <c r="F898" s="66">
        <v>20</v>
      </c>
      <c r="G898" s="66" t="s">
        <v>2826</v>
      </c>
      <c r="H898" s="44" t="s">
        <v>2827</v>
      </c>
      <c r="I898" s="299" t="s">
        <v>2823</v>
      </c>
      <c r="J898" s="66"/>
      <c r="K898" s="66" t="s">
        <v>6327</v>
      </c>
      <c r="L898" s="66">
        <v>110032</v>
      </c>
      <c r="M898" s="66"/>
      <c r="N898" s="66"/>
      <c r="O898" s="66"/>
      <c r="P898" s="66"/>
      <c r="Q898" s="138" t="str">
        <f>IFERROR(LOOKUP($P898,MOTORISTAS!$D$3:$D$1048576,MOTORISTAS!E$3:E$916),"")</f>
        <v/>
      </c>
      <c r="R898" s="138" t="str">
        <f>IFERROR(LOOKUP($P898,MOTORISTAS!$D$3:$D$1048576,MOTORISTAS!F$3:F$916),"")</f>
        <v/>
      </c>
      <c r="S898" s="66"/>
      <c r="T898" s="66" t="s">
        <v>293</v>
      </c>
      <c r="U898" s="79"/>
      <c r="V898" s="66"/>
      <c r="W898" s="79"/>
      <c r="X898" s="79"/>
      <c r="Y898" s="81"/>
      <c r="Z898" s="81"/>
      <c r="AA898" s="81"/>
      <c r="AB898" s="81"/>
      <c r="AC898" s="81"/>
      <c r="AD898" s="81">
        <v>3484.1</v>
      </c>
      <c r="AE898" s="81"/>
      <c r="AF898" s="81">
        <v>706.8</v>
      </c>
      <c r="AG898" s="81">
        <f>Sal_23[[#This Row],[COMPRA]]*12%</f>
        <v>571.48680000000002</v>
      </c>
      <c r="AH898" s="83">
        <v>4762.3900000000003</v>
      </c>
      <c r="AI898" s="66" t="str">
        <f>PROPER(TEXT(Sal_23[[#This Row],[PROGRAMAÇÃO]],"mmm"))</f>
        <v>Set</v>
      </c>
      <c r="AJ898" s="66">
        <f>YEAR(Sal_23[[#This Row],[PROGRAMAÇÃO]])</f>
        <v>2023</v>
      </c>
      <c r="AK898" s="66"/>
      <c r="AL898" s="66"/>
      <c r="AM898" s="66"/>
      <c r="AN898" s="66"/>
      <c r="AO898" s="66"/>
    </row>
    <row r="899" spans="2:41" x14ac:dyDescent="0.25">
      <c r="B899" s="128" t="s">
        <v>3288</v>
      </c>
      <c r="C899" s="66" t="str">
        <f ca="1">IF(AND(Sal_23[[#This Row],[CHEGADA NO CLIENTE]]="",
TODAY()&gt;Sal_23[[#This Row],[PROGRAMAÇÃO]]),
"Em trânsito - Atrasado",
IF(AND(Sal_23[[#This Row],[CHEGADA NO CLIENTE]]="",
TODAY()&lt;=Sal_23[[#This Row],[PROGRAMAÇÃO]]),
"Em trânsito - No prazo",
IF(Sal_23[[#This Row],[CHEGADA NO CLIENTE]]&gt;Sal_23[[#This Row],[PROGRAMAÇÃO]],
"ENTREGUE ATRASADO","ENTREGUE NO PRAZO")))</f>
        <v>Em trânsito - No prazo</v>
      </c>
      <c r="D899" s="79">
        <v>45181.333333333336</v>
      </c>
      <c r="E899" s="44" t="s">
        <v>6322</v>
      </c>
      <c r="F899" s="66">
        <v>20</v>
      </c>
      <c r="G899" s="66" t="s">
        <v>2826</v>
      </c>
      <c r="H899" s="44" t="s">
        <v>3082</v>
      </c>
      <c r="I899" s="299" t="s">
        <v>3083</v>
      </c>
      <c r="J899" s="66"/>
      <c r="K899" s="66" t="s">
        <v>6327</v>
      </c>
      <c r="L899" s="66">
        <v>109902</v>
      </c>
      <c r="M899" s="66"/>
      <c r="N899" s="66"/>
      <c r="O899" s="66"/>
      <c r="P899" s="66"/>
      <c r="Q899" s="138" t="str">
        <f>IFERROR(LOOKUP($P899,MOTORISTAS!$D$3:$D$1048576,MOTORISTAS!E$3:E$916),"")</f>
        <v/>
      </c>
      <c r="R899" s="138" t="str">
        <f>IFERROR(LOOKUP($P899,MOTORISTAS!$D$3:$D$1048576,MOTORISTAS!F$3:F$916),"")</f>
        <v/>
      </c>
      <c r="S899" s="66"/>
      <c r="T899" s="66" t="s">
        <v>293</v>
      </c>
      <c r="U899" s="79"/>
      <c r="V899" s="66"/>
      <c r="W899" s="79"/>
      <c r="X899" s="79"/>
      <c r="Y899" s="81"/>
      <c r="Z899" s="81"/>
      <c r="AA899" s="81"/>
      <c r="AB899" s="81"/>
      <c r="AC899" s="81"/>
      <c r="AD899" s="81"/>
      <c r="AE899" s="81"/>
      <c r="AF899" s="81"/>
      <c r="AG899" s="81">
        <f>Sal_23[[#This Row],[COMPRA]]*12%</f>
        <v>0</v>
      </c>
      <c r="AH899" s="83"/>
      <c r="AI899" s="66" t="str">
        <f>PROPER(TEXT(Sal_23[[#This Row],[PROGRAMAÇÃO]],"mmm"))</f>
        <v>Set</v>
      </c>
      <c r="AJ899" s="66">
        <f>YEAR(Sal_23[[#This Row],[PROGRAMAÇÃO]])</f>
        <v>2023</v>
      </c>
      <c r="AK899" s="66"/>
      <c r="AL899" s="66"/>
      <c r="AM899" s="66"/>
      <c r="AN899" s="66"/>
      <c r="AO899" s="66"/>
    </row>
    <row r="900" spans="2:41" x14ac:dyDescent="0.25">
      <c r="P900"/>
      <c r="Q900" s="124"/>
      <c r="R900" s="124"/>
      <c r="X900" s="32" t="s">
        <v>3695</v>
      </c>
    </row>
    <row r="901" spans="2:41" x14ac:dyDescent="0.25">
      <c r="P901"/>
      <c r="R901" s="124"/>
    </row>
    <row r="902" spans="2:41" x14ac:dyDescent="0.25">
      <c r="P902"/>
    </row>
    <row r="903" spans="2:41" x14ac:dyDescent="0.25">
      <c r="P903"/>
    </row>
    <row r="904" spans="2:41" x14ac:dyDescent="0.25">
      <c r="P904"/>
    </row>
    <row r="905" spans="2:41" x14ac:dyDescent="0.25">
      <c r="P905"/>
    </row>
    <row r="906" spans="2:41" x14ac:dyDescent="0.25">
      <c r="P906"/>
    </row>
    <row r="907" spans="2:41" x14ac:dyDescent="0.25">
      <c r="P907"/>
    </row>
    <row r="908" spans="2:41" x14ac:dyDescent="0.25">
      <c r="P908"/>
    </row>
    <row r="909" spans="2:41" x14ac:dyDescent="0.25">
      <c r="P909"/>
    </row>
    <row r="910" spans="2:41" x14ac:dyDescent="0.25">
      <c r="P910"/>
    </row>
    <row r="911" spans="2:41" x14ac:dyDescent="0.25">
      <c r="P911"/>
    </row>
    <row r="912" spans="2:41" x14ac:dyDescent="0.25">
      <c r="P912"/>
    </row>
    <row r="913" spans="16:16" x14ac:dyDescent="0.25">
      <c r="P913"/>
    </row>
    <row r="914" spans="16:16" x14ac:dyDescent="0.25">
      <c r="P914"/>
    </row>
    <row r="915" spans="16:16" x14ac:dyDescent="0.25">
      <c r="P915"/>
    </row>
    <row r="916" spans="16:16" x14ac:dyDescent="0.25">
      <c r="P916"/>
    </row>
    <row r="917" spans="16:16" x14ac:dyDescent="0.25">
      <c r="P917"/>
    </row>
    <row r="918" spans="16:16" x14ac:dyDescent="0.25">
      <c r="P918"/>
    </row>
    <row r="919" spans="16:16" x14ac:dyDescent="0.25">
      <c r="P919"/>
    </row>
    <row r="920" spans="16:16" x14ac:dyDescent="0.25">
      <c r="P920"/>
    </row>
    <row r="921" spans="16:16" x14ac:dyDescent="0.25">
      <c r="P921"/>
    </row>
    <row r="922" spans="16:16" x14ac:dyDescent="0.25">
      <c r="P922"/>
    </row>
    <row r="923" spans="16:16" x14ac:dyDescent="0.25">
      <c r="P923"/>
    </row>
    <row r="924" spans="16:16" x14ac:dyDescent="0.25">
      <c r="P924"/>
    </row>
    <row r="925" spans="16:16" x14ac:dyDescent="0.25">
      <c r="P925"/>
    </row>
    <row r="926" spans="16:16" x14ac:dyDescent="0.25">
      <c r="P926"/>
    </row>
    <row r="927" spans="16:16" x14ac:dyDescent="0.25">
      <c r="P927"/>
    </row>
    <row r="928" spans="16:16" x14ac:dyDescent="0.25">
      <c r="P928"/>
    </row>
    <row r="929" spans="16:16" x14ac:dyDescent="0.25">
      <c r="P929"/>
    </row>
    <row r="930" spans="16:16" x14ac:dyDescent="0.25">
      <c r="P930"/>
    </row>
    <row r="931" spans="16:16" x14ac:dyDescent="0.25">
      <c r="P931"/>
    </row>
    <row r="932" spans="16:16" x14ac:dyDescent="0.25">
      <c r="P932"/>
    </row>
    <row r="933" spans="16:16" x14ac:dyDescent="0.25">
      <c r="P933"/>
    </row>
    <row r="934" spans="16:16" x14ac:dyDescent="0.25">
      <c r="P934"/>
    </row>
    <row r="935" spans="16:16" x14ac:dyDescent="0.25">
      <c r="P935"/>
    </row>
    <row r="936" spans="16:16" x14ac:dyDescent="0.25">
      <c r="P936"/>
    </row>
    <row r="937" spans="16:16" x14ac:dyDescent="0.25">
      <c r="P937"/>
    </row>
    <row r="938" spans="16:16" x14ac:dyDescent="0.25">
      <c r="P938"/>
    </row>
    <row r="939" spans="16:16" x14ac:dyDescent="0.25">
      <c r="P939"/>
    </row>
    <row r="940" spans="16:16" x14ac:dyDescent="0.25">
      <c r="P940"/>
    </row>
    <row r="941" spans="16:16" x14ac:dyDescent="0.25">
      <c r="P941"/>
    </row>
    <row r="942" spans="16:16" x14ac:dyDescent="0.25">
      <c r="P942"/>
    </row>
    <row r="943" spans="16:16" x14ac:dyDescent="0.25">
      <c r="P943"/>
    </row>
    <row r="944" spans="16:16" x14ac:dyDescent="0.25">
      <c r="P944"/>
    </row>
    <row r="945" spans="16:16" x14ac:dyDescent="0.25">
      <c r="P945"/>
    </row>
    <row r="946" spans="16:16" x14ac:dyDescent="0.25">
      <c r="P946"/>
    </row>
    <row r="947" spans="16:16" x14ac:dyDescent="0.25">
      <c r="P947"/>
    </row>
    <row r="948" spans="16:16" x14ac:dyDescent="0.25">
      <c r="P948"/>
    </row>
    <row r="949" spans="16:16" x14ac:dyDescent="0.25">
      <c r="P949"/>
    </row>
    <row r="950" spans="16:16" x14ac:dyDescent="0.25">
      <c r="P950"/>
    </row>
    <row r="951" spans="16:16" x14ac:dyDescent="0.25">
      <c r="P951"/>
    </row>
    <row r="952" spans="16:16" x14ac:dyDescent="0.25">
      <c r="P952"/>
    </row>
    <row r="953" spans="16:16" x14ac:dyDescent="0.25">
      <c r="P953"/>
    </row>
    <row r="954" spans="16:16" x14ac:dyDescent="0.25">
      <c r="P954"/>
    </row>
    <row r="955" spans="16:16" x14ac:dyDescent="0.25">
      <c r="P955"/>
    </row>
    <row r="956" spans="16:16" x14ac:dyDescent="0.25">
      <c r="P956"/>
    </row>
    <row r="957" spans="16:16" x14ac:dyDescent="0.25">
      <c r="P957"/>
    </row>
    <row r="958" spans="16:16" x14ac:dyDescent="0.25">
      <c r="P958"/>
    </row>
    <row r="959" spans="16:16" x14ac:dyDescent="0.25">
      <c r="P959"/>
    </row>
    <row r="960" spans="16:16" x14ac:dyDescent="0.25">
      <c r="P960"/>
    </row>
    <row r="961" spans="16:16" x14ac:dyDescent="0.25">
      <c r="P961"/>
    </row>
    <row r="962" spans="16:16" x14ac:dyDescent="0.25">
      <c r="P962"/>
    </row>
    <row r="963" spans="16:16" x14ac:dyDescent="0.25">
      <c r="P963"/>
    </row>
    <row r="964" spans="16:16" x14ac:dyDescent="0.25">
      <c r="P964"/>
    </row>
    <row r="965" spans="16:16" x14ac:dyDescent="0.25">
      <c r="P965"/>
    </row>
    <row r="966" spans="16:16" x14ac:dyDescent="0.25">
      <c r="P966"/>
    </row>
    <row r="967" spans="16:16" x14ac:dyDescent="0.25">
      <c r="P967"/>
    </row>
    <row r="968" spans="16:16" x14ac:dyDescent="0.25">
      <c r="P968"/>
    </row>
    <row r="969" spans="16:16" x14ac:dyDescent="0.25">
      <c r="P969"/>
    </row>
    <row r="970" spans="16:16" x14ac:dyDescent="0.25">
      <c r="P970"/>
    </row>
    <row r="971" spans="16:16" x14ac:dyDescent="0.25">
      <c r="P971"/>
    </row>
    <row r="972" spans="16:16" x14ac:dyDescent="0.25">
      <c r="P972"/>
    </row>
    <row r="973" spans="16:16" x14ac:dyDescent="0.25">
      <c r="P973"/>
    </row>
    <row r="974" spans="16:16" x14ac:dyDescent="0.25">
      <c r="P974"/>
    </row>
    <row r="975" spans="16:16" x14ac:dyDescent="0.25">
      <c r="P975"/>
    </row>
    <row r="976" spans="16:16" x14ac:dyDescent="0.25">
      <c r="P976"/>
    </row>
    <row r="977" spans="16:16" x14ac:dyDescent="0.25">
      <c r="P977"/>
    </row>
    <row r="978" spans="16:16" x14ac:dyDescent="0.25">
      <c r="P978"/>
    </row>
    <row r="979" spans="16:16" x14ac:dyDescent="0.25">
      <c r="P979"/>
    </row>
    <row r="980" spans="16:16" x14ac:dyDescent="0.25">
      <c r="P980"/>
    </row>
    <row r="981" spans="16:16" x14ac:dyDescent="0.25">
      <c r="P981"/>
    </row>
    <row r="982" spans="16:16" x14ac:dyDescent="0.25">
      <c r="P982"/>
    </row>
    <row r="983" spans="16:16" x14ac:dyDescent="0.25">
      <c r="P983"/>
    </row>
    <row r="984" spans="16:16" x14ac:dyDescent="0.25">
      <c r="P984"/>
    </row>
    <row r="985" spans="16:16" x14ac:dyDescent="0.25">
      <c r="P985"/>
    </row>
    <row r="986" spans="16:16" x14ac:dyDescent="0.25">
      <c r="P986"/>
    </row>
    <row r="987" spans="16:16" x14ac:dyDescent="0.25">
      <c r="P987"/>
    </row>
    <row r="988" spans="16:16" x14ac:dyDescent="0.25">
      <c r="P988"/>
    </row>
    <row r="989" spans="16:16" x14ac:dyDescent="0.25">
      <c r="P989"/>
    </row>
    <row r="990" spans="16:16" x14ac:dyDescent="0.25">
      <c r="P990"/>
    </row>
    <row r="991" spans="16:16" x14ac:dyDescent="0.25">
      <c r="P991"/>
    </row>
    <row r="992" spans="16:16" x14ac:dyDescent="0.25">
      <c r="P992"/>
    </row>
    <row r="993" spans="16:16" x14ac:dyDescent="0.25">
      <c r="P993"/>
    </row>
    <row r="994" spans="16:16" x14ac:dyDescent="0.25">
      <c r="P994"/>
    </row>
    <row r="995" spans="16:16" x14ac:dyDescent="0.25">
      <c r="P995"/>
    </row>
    <row r="996" spans="16:16" x14ac:dyDescent="0.25">
      <c r="P996"/>
    </row>
    <row r="997" spans="16:16" x14ac:dyDescent="0.25">
      <c r="P997"/>
    </row>
    <row r="998" spans="16:16" x14ac:dyDescent="0.25">
      <c r="P998"/>
    </row>
    <row r="999" spans="16:16" x14ac:dyDescent="0.25">
      <c r="P999"/>
    </row>
    <row r="1000" spans="16:16" x14ac:dyDescent="0.25">
      <c r="P1000"/>
    </row>
    <row r="1001" spans="16:16" x14ac:dyDescent="0.25">
      <c r="P1001"/>
    </row>
    <row r="1002" spans="16:16" x14ac:dyDescent="0.25">
      <c r="P1002"/>
    </row>
    <row r="1003" spans="16:16" x14ac:dyDescent="0.25">
      <c r="P1003"/>
    </row>
    <row r="1004" spans="16:16" x14ac:dyDescent="0.25">
      <c r="P1004"/>
    </row>
    <row r="1005" spans="16:16" x14ac:dyDescent="0.25">
      <c r="P1005"/>
    </row>
    <row r="1006" spans="16:16" x14ac:dyDescent="0.25">
      <c r="P1006"/>
    </row>
    <row r="1007" spans="16:16" x14ac:dyDescent="0.25">
      <c r="P1007"/>
    </row>
    <row r="1008" spans="16:16" x14ac:dyDescent="0.25">
      <c r="P1008"/>
    </row>
    <row r="1009" spans="16:16" x14ac:dyDescent="0.25">
      <c r="P1009"/>
    </row>
    <row r="1010" spans="16:16" x14ac:dyDescent="0.25">
      <c r="P1010"/>
    </row>
    <row r="1011" spans="16:16" x14ac:dyDescent="0.25">
      <c r="P1011"/>
    </row>
    <row r="1012" spans="16:16" x14ac:dyDescent="0.25">
      <c r="P1012"/>
    </row>
    <row r="1013" spans="16:16" x14ac:dyDescent="0.25">
      <c r="P1013"/>
    </row>
    <row r="1014" spans="16:16" x14ac:dyDescent="0.25">
      <c r="P1014"/>
    </row>
    <row r="1015" spans="16:16" x14ac:dyDescent="0.25">
      <c r="P1015"/>
    </row>
    <row r="1016" spans="16:16" x14ac:dyDescent="0.25">
      <c r="P1016"/>
    </row>
    <row r="1017" spans="16:16" x14ac:dyDescent="0.25">
      <c r="P1017"/>
    </row>
    <row r="1018" spans="16:16" x14ac:dyDescent="0.25">
      <c r="P1018"/>
    </row>
    <row r="1019" spans="16:16" x14ac:dyDescent="0.25">
      <c r="P1019"/>
    </row>
    <row r="1020" spans="16:16" x14ac:dyDescent="0.25">
      <c r="P1020"/>
    </row>
    <row r="1021" spans="16:16" x14ac:dyDescent="0.25">
      <c r="P1021"/>
    </row>
    <row r="1022" spans="16:16" x14ac:dyDescent="0.25">
      <c r="P1022"/>
    </row>
    <row r="1023" spans="16:16" x14ac:dyDescent="0.25">
      <c r="P1023"/>
    </row>
    <row r="1024" spans="16:16" x14ac:dyDescent="0.25">
      <c r="P1024"/>
    </row>
    <row r="1025" spans="16:16" x14ac:dyDescent="0.25">
      <c r="P1025"/>
    </row>
    <row r="1026" spans="16:16" x14ac:dyDescent="0.25">
      <c r="P1026"/>
    </row>
    <row r="1027" spans="16:16" x14ac:dyDescent="0.25">
      <c r="P1027"/>
    </row>
    <row r="1028" spans="16:16" x14ac:dyDescent="0.25">
      <c r="P1028"/>
    </row>
    <row r="1029" spans="16:16" x14ac:dyDescent="0.25">
      <c r="P1029"/>
    </row>
    <row r="1030" spans="16:16" x14ac:dyDescent="0.25">
      <c r="P1030"/>
    </row>
    <row r="1031" spans="16:16" x14ac:dyDescent="0.25">
      <c r="P1031"/>
    </row>
    <row r="1032" spans="16:16" x14ac:dyDescent="0.25">
      <c r="P1032"/>
    </row>
    <row r="1033" spans="16:16" x14ac:dyDescent="0.25">
      <c r="P1033"/>
    </row>
    <row r="1034" spans="16:16" x14ac:dyDescent="0.25">
      <c r="P1034"/>
    </row>
    <row r="1035" spans="16:16" x14ac:dyDescent="0.25">
      <c r="P1035"/>
    </row>
    <row r="1036" spans="16:16" x14ac:dyDescent="0.25">
      <c r="P1036"/>
    </row>
    <row r="1037" spans="16:16" x14ac:dyDescent="0.25">
      <c r="P1037"/>
    </row>
    <row r="1038" spans="16:16" x14ac:dyDescent="0.25">
      <c r="P1038"/>
    </row>
    <row r="1039" spans="16:16" x14ac:dyDescent="0.25">
      <c r="P1039"/>
    </row>
    <row r="1040" spans="16:16" x14ac:dyDescent="0.25">
      <c r="P1040"/>
    </row>
    <row r="1041" spans="16:16" x14ac:dyDescent="0.25">
      <c r="P1041"/>
    </row>
    <row r="1042" spans="16:16" x14ac:dyDescent="0.25">
      <c r="P1042"/>
    </row>
    <row r="1043" spans="16:16" x14ac:dyDescent="0.25">
      <c r="P1043"/>
    </row>
    <row r="1044" spans="16:16" x14ac:dyDescent="0.25">
      <c r="P1044"/>
    </row>
    <row r="1045" spans="16:16" x14ac:dyDescent="0.25">
      <c r="P1045"/>
    </row>
    <row r="1046" spans="16:16" x14ac:dyDescent="0.25">
      <c r="P1046"/>
    </row>
    <row r="1047" spans="16:16" x14ac:dyDescent="0.25">
      <c r="P1047"/>
    </row>
    <row r="1048" spans="16:16" x14ac:dyDescent="0.25">
      <c r="P1048"/>
    </row>
    <row r="1049" spans="16:16" x14ac:dyDescent="0.25">
      <c r="P1049"/>
    </row>
    <row r="1050" spans="16:16" x14ac:dyDescent="0.25">
      <c r="P1050"/>
    </row>
    <row r="1051" spans="16:16" x14ac:dyDescent="0.25">
      <c r="P1051"/>
    </row>
    <row r="1052" spans="16:16" x14ac:dyDescent="0.25">
      <c r="P1052"/>
    </row>
    <row r="1053" spans="16:16" x14ac:dyDescent="0.25">
      <c r="P1053"/>
    </row>
    <row r="1054" spans="16:16" x14ac:dyDescent="0.25">
      <c r="P1054"/>
    </row>
    <row r="1055" spans="16:16" x14ac:dyDescent="0.25">
      <c r="P1055"/>
    </row>
    <row r="1056" spans="16:16" x14ac:dyDescent="0.25">
      <c r="P1056"/>
    </row>
    <row r="1057" spans="16:16" x14ac:dyDescent="0.25">
      <c r="P1057"/>
    </row>
    <row r="1058" spans="16:16" x14ac:dyDescent="0.25">
      <c r="P1058"/>
    </row>
    <row r="1059" spans="16:16" x14ac:dyDescent="0.25">
      <c r="P1059"/>
    </row>
    <row r="1060" spans="16:16" x14ac:dyDescent="0.25">
      <c r="P1060"/>
    </row>
    <row r="1061" spans="16:16" x14ac:dyDescent="0.25">
      <c r="P1061"/>
    </row>
    <row r="1062" spans="16:16" x14ac:dyDescent="0.25">
      <c r="P1062"/>
    </row>
    <row r="1063" spans="16:16" x14ac:dyDescent="0.25">
      <c r="P1063"/>
    </row>
    <row r="1064" spans="16:16" x14ac:dyDescent="0.25">
      <c r="P1064"/>
    </row>
    <row r="1065" spans="16:16" x14ac:dyDescent="0.25">
      <c r="P1065"/>
    </row>
    <row r="1066" spans="16:16" x14ac:dyDescent="0.25">
      <c r="P1066"/>
    </row>
    <row r="1067" spans="16:16" x14ac:dyDescent="0.25">
      <c r="P1067"/>
    </row>
    <row r="1068" spans="16:16" x14ac:dyDescent="0.25">
      <c r="P1068"/>
    </row>
    <row r="1069" spans="16:16" x14ac:dyDescent="0.25">
      <c r="P1069"/>
    </row>
    <row r="1070" spans="16:16" x14ac:dyDescent="0.25">
      <c r="P1070"/>
    </row>
    <row r="1071" spans="16:16" x14ac:dyDescent="0.25">
      <c r="P1071"/>
    </row>
    <row r="1072" spans="16:16" x14ac:dyDescent="0.25">
      <c r="P1072"/>
    </row>
    <row r="1073" spans="16:16" x14ac:dyDescent="0.25">
      <c r="P1073"/>
    </row>
    <row r="1074" spans="16:16" x14ac:dyDescent="0.25">
      <c r="P1074"/>
    </row>
    <row r="1075" spans="16:16" x14ac:dyDescent="0.25">
      <c r="P1075"/>
    </row>
    <row r="1076" spans="16:16" x14ac:dyDescent="0.25">
      <c r="P1076"/>
    </row>
    <row r="1077" spans="16:16" x14ac:dyDescent="0.25">
      <c r="P1077"/>
    </row>
    <row r="1078" spans="16:16" x14ac:dyDescent="0.25">
      <c r="P1078"/>
    </row>
    <row r="1079" spans="16:16" x14ac:dyDescent="0.25">
      <c r="P1079"/>
    </row>
    <row r="1080" spans="16:16" x14ac:dyDescent="0.25">
      <c r="P1080"/>
    </row>
    <row r="1081" spans="16:16" x14ac:dyDescent="0.25">
      <c r="P1081"/>
    </row>
    <row r="1082" spans="16:16" x14ac:dyDescent="0.25">
      <c r="P1082"/>
    </row>
    <row r="1083" spans="16:16" x14ac:dyDescent="0.25">
      <c r="P1083"/>
    </row>
    <row r="1084" spans="16:16" x14ac:dyDescent="0.25">
      <c r="P1084"/>
    </row>
    <row r="1085" spans="16:16" x14ac:dyDescent="0.25">
      <c r="P1085"/>
    </row>
    <row r="1086" spans="16:16" x14ac:dyDescent="0.25">
      <c r="P1086"/>
    </row>
    <row r="1087" spans="16:16" x14ac:dyDescent="0.25">
      <c r="P1087"/>
    </row>
    <row r="1088" spans="16:16" x14ac:dyDescent="0.25">
      <c r="P1088"/>
    </row>
    <row r="1089" spans="16:16" x14ac:dyDescent="0.25">
      <c r="P1089"/>
    </row>
    <row r="1090" spans="16:16" x14ac:dyDescent="0.25">
      <c r="P1090"/>
    </row>
    <row r="1091" spans="16:16" x14ac:dyDescent="0.25">
      <c r="P1091"/>
    </row>
    <row r="1092" spans="16:16" x14ac:dyDescent="0.25">
      <c r="P1092"/>
    </row>
    <row r="1093" spans="16:16" x14ac:dyDescent="0.25">
      <c r="P1093"/>
    </row>
    <row r="1094" spans="16:16" x14ac:dyDescent="0.25">
      <c r="P1094"/>
    </row>
    <row r="1095" spans="16:16" x14ac:dyDescent="0.25">
      <c r="P1095"/>
    </row>
    <row r="1096" spans="16:16" x14ac:dyDescent="0.25">
      <c r="P1096"/>
    </row>
    <row r="1097" spans="16:16" x14ac:dyDescent="0.25">
      <c r="P1097"/>
    </row>
    <row r="1098" spans="16:16" x14ac:dyDescent="0.25">
      <c r="P1098"/>
    </row>
    <row r="1099" spans="16:16" x14ac:dyDescent="0.25">
      <c r="P1099"/>
    </row>
    <row r="1100" spans="16:16" x14ac:dyDescent="0.25">
      <c r="P1100"/>
    </row>
    <row r="1101" spans="16:16" x14ac:dyDescent="0.25">
      <c r="P1101"/>
    </row>
    <row r="1102" spans="16:16" x14ac:dyDescent="0.25">
      <c r="P1102"/>
    </row>
    <row r="1103" spans="16:16" x14ac:dyDescent="0.25">
      <c r="P1103"/>
    </row>
    <row r="1104" spans="16:16" x14ac:dyDescent="0.25">
      <c r="P1104"/>
    </row>
    <row r="1105" spans="16:16" x14ac:dyDescent="0.25">
      <c r="P1105"/>
    </row>
    <row r="1106" spans="16:16" x14ac:dyDescent="0.25">
      <c r="P1106"/>
    </row>
    <row r="1107" spans="16:16" x14ac:dyDescent="0.25">
      <c r="P1107"/>
    </row>
    <row r="1108" spans="16:16" x14ac:dyDescent="0.25">
      <c r="P1108"/>
    </row>
    <row r="1109" spans="16:16" x14ac:dyDescent="0.25">
      <c r="P1109"/>
    </row>
    <row r="1110" spans="16:16" x14ac:dyDescent="0.25">
      <c r="P1110"/>
    </row>
    <row r="1111" spans="16:16" x14ac:dyDescent="0.25">
      <c r="P1111"/>
    </row>
    <row r="1112" spans="16:16" x14ac:dyDescent="0.25">
      <c r="P1112"/>
    </row>
    <row r="1113" spans="16:16" x14ac:dyDescent="0.25">
      <c r="P1113"/>
    </row>
    <row r="1114" spans="16:16" x14ac:dyDescent="0.25">
      <c r="P1114"/>
    </row>
    <row r="1115" spans="16:16" x14ac:dyDescent="0.25">
      <c r="P1115"/>
    </row>
    <row r="1116" spans="16:16" x14ac:dyDescent="0.25">
      <c r="P1116"/>
    </row>
    <row r="1117" spans="16:16" x14ac:dyDescent="0.25">
      <c r="P1117"/>
    </row>
    <row r="1118" spans="16:16" x14ac:dyDescent="0.25">
      <c r="P1118"/>
    </row>
    <row r="1119" spans="16:16" x14ac:dyDescent="0.25">
      <c r="P1119"/>
    </row>
    <row r="1120" spans="16:16" x14ac:dyDescent="0.25">
      <c r="P1120"/>
    </row>
    <row r="1121" spans="16:16" x14ac:dyDescent="0.25">
      <c r="P1121"/>
    </row>
    <row r="1122" spans="16:16" x14ac:dyDescent="0.25">
      <c r="P1122"/>
    </row>
    <row r="1123" spans="16:16" x14ac:dyDescent="0.25">
      <c r="P1123"/>
    </row>
    <row r="1124" spans="16:16" x14ac:dyDescent="0.25">
      <c r="P1124"/>
    </row>
    <row r="1125" spans="16:16" x14ac:dyDescent="0.25">
      <c r="P1125"/>
    </row>
    <row r="1126" spans="16:16" x14ac:dyDescent="0.25">
      <c r="P1126"/>
    </row>
    <row r="1127" spans="16:16" x14ac:dyDescent="0.25">
      <c r="P1127"/>
    </row>
    <row r="1128" spans="16:16" x14ac:dyDescent="0.25">
      <c r="P1128"/>
    </row>
    <row r="1129" spans="16:16" x14ac:dyDescent="0.25">
      <c r="P1129"/>
    </row>
    <row r="1130" spans="16:16" x14ac:dyDescent="0.25">
      <c r="P1130"/>
    </row>
    <row r="1131" spans="16:16" x14ac:dyDescent="0.25">
      <c r="P1131"/>
    </row>
    <row r="1132" spans="16:16" x14ac:dyDescent="0.25">
      <c r="P1132"/>
    </row>
    <row r="1133" spans="16:16" x14ac:dyDescent="0.25">
      <c r="P1133"/>
    </row>
    <row r="1134" spans="16:16" x14ac:dyDescent="0.25">
      <c r="P1134"/>
    </row>
    <row r="1135" spans="16:16" x14ac:dyDescent="0.25">
      <c r="P1135"/>
    </row>
    <row r="1136" spans="16:16" x14ac:dyDescent="0.25">
      <c r="P1136"/>
    </row>
    <row r="1137" spans="16:16" x14ac:dyDescent="0.25">
      <c r="P1137"/>
    </row>
    <row r="1138" spans="16:16" x14ac:dyDescent="0.25">
      <c r="P1138"/>
    </row>
    <row r="1139" spans="16:16" x14ac:dyDescent="0.25">
      <c r="P1139"/>
    </row>
    <row r="1140" spans="16:16" x14ac:dyDescent="0.25">
      <c r="P1140"/>
    </row>
    <row r="1141" spans="16:16" x14ac:dyDescent="0.25">
      <c r="P1141"/>
    </row>
    <row r="1142" spans="16:16" x14ac:dyDescent="0.25">
      <c r="P1142"/>
    </row>
    <row r="1143" spans="16:16" x14ac:dyDescent="0.25">
      <c r="P1143"/>
    </row>
    <row r="1144" spans="16:16" x14ac:dyDescent="0.25">
      <c r="P1144"/>
    </row>
    <row r="1145" spans="16:16" x14ac:dyDescent="0.25">
      <c r="P1145"/>
    </row>
    <row r="1146" spans="16:16" x14ac:dyDescent="0.25">
      <c r="P1146"/>
    </row>
    <row r="1147" spans="16:16" x14ac:dyDescent="0.25">
      <c r="P1147"/>
    </row>
    <row r="1148" spans="16:16" x14ac:dyDescent="0.25">
      <c r="P1148"/>
    </row>
    <row r="1149" spans="16:16" x14ac:dyDescent="0.25">
      <c r="P1149"/>
    </row>
    <row r="1150" spans="16:16" x14ac:dyDescent="0.25">
      <c r="P1150"/>
    </row>
    <row r="1151" spans="16:16" x14ac:dyDescent="0.25">
      <c r="P1151"/>
    </row>
    <row r="1152" spans="16:16" x14ac:dyDescent="0.25">
      <c r="P1152"/>
    </row>
    <row r="1153" spans="16:16" x14ac:dyDescent="0.25">
      <c r="P1153"/>
    </row>
    <row r="1154" spans="16:16" x14ac:dyDescent="0.25">
      <c r="P1154"/>
    </row>
    <row r="1155" spans="16:16" x14ac:dyDescent="0.25">
      <c r="P1155"/>
    </row>
    <row r="1156" spans="16:16" x14ac:dyDescent="0.25">
      <c r="P1156"/>
    </row>
    <row r="1157" spans="16:16" x14ac:dyDescent="0.25">
      <c r="P1157"/>
    </row>
    <row r="1158" spans="16:16" x14ac:dyDescent="0.25">
      <c r="P1158"/>
    </row>
    <row r="1159" spans="16:16" x14ac:dyDescent="0.25">
      <c r="P1159"/>
    </row>
    <row r="1160" spans="16:16" x14ac:dyDescent="0.25">
      <c r="P1160"/>
    </row>
    <row r="1161" spans="16:16" x14ac:dyDescent="0.25">
      <c r="P1161"/>
    </row>
    <row r="1162" spans="16:16" x14ac:dyDescent="0.25">
      <c r="P1162"/>
    </row>
    <row r="1163" spans="16:16" x14ac:dyDescent="0.25">
      <c r="P1163"/>
    </row>
    <row r="1164" spans="16:16" x14ac:dyDescent="0.25">
      <c r="P1164"/>
    </row>
    <row r="1165" spans="16:16" x14ac:dyDescent="0.25">
      <c r="P1165"/>
    </row>
    <row r="1166" spans="16:16" x14ac:dyDescent="0.25">
      <c r="P1166"/>
    </row>
    <row r="1167" spans="16:16" x14ac:dyDescent="0.25">
      <c r="P1167"/>
    </row>
    <row r="1168" spans="16:16" x14ac:dyDescent="0.25">
      <c r="P1168"/>
    </row>
    <row r="1169" spans="16:16" x14ac:dyDescent="0.25">
      <c r="P1169"/>
    </row>
    <row r="1170" spans="16:16" x14ac:dyDescent="0.25">
      <c r="P1170"/>
    </row>
    <row r="1171" spans="16:16" x14ac:dyDescent="0.25">
      <c r="P1171"/>
    </row>
    <row r="1172" spans="16:16" x14ac:dyDescent="0.25">
      <c r="P1172"/>
    </row>
    <row r="1173" spans="16:16" x14ac:dyDescent="0.25">
      <c r="P1173"/>
    </row>
    <row r="1174" spans="16:16" x14ac:dyDescent="0.25">
      <c r="P1174"/>
    </row>
    <row r="1175" spans="16:16" x14ac:dyDescent="0.25">
      <c r="P1175"/>
    </row>
    <row r="1176" spans="16:16" x14ac:dyDescent="0.25">
      <c r="P1176"/>
    </row>
    <row r="1177" spans="16:16" x14ac:dyDescent="0.25">
      <c r="P1177"/>
    </row>
    <row r="1178" spans="16:16" x14ac:dyDescent="0.25">
      <c r="P1178"/>
    </row>
    <row r="1179" spans="16:16" x14ac:dyDescent="0.25">
      <c r="P1179"/>
    </row>
    <row r="1180" spans="16:16" x14ac:dyDescent="0.25">
      <c r="P1180"/>
    </row>
    <row r="1181" spans="16:16" x14ac:dyDescent="0.25">
      <c r="P1181"/>
    </row>
    <row r="1182" spans="16:16" x14ac:dyDescent="0.25">
      <c r="P1182"/>
    </row>
    <row r="1183" spans="16:16" x14ac:dyDescent="0.25">
      <c r="P1183"/>
    </row>
    <row r="1184" spans="16:16" x14ac:dyDescent="0.25">
      <c r="P1184"/>
    </row>
    <row r="1185" spans="16:16" x14ac:dyDescent="0.25">
      <c r="P1185"/>
    </row>
    <row r="1186" spans="16:16" x14ac:dyDescent="0.25">
      <c r="P1186"/>
    </row>
    <row r="1187" spans="16:16" x14ac:dyDescent="0.25">
      <c r="P1187"/>
    </row>
    <row r="1188" spans="16:16" x14ac:dyDescent="0.25">
      <c r="P1188"/>
    </row>
    <row r="1189" spans="16:16" x14ac:dyDescent="0.25">
      <c r="P1189"/>
    </row>
    <row r="1190" spans="16:16" x14ac:dyDescent="0.25">
      <c r="P1190"/>
    </row>
    <row r="1191" spans="16:16" x14ac:dyDescent="0.25">
      <c r="P1191"/>
    </row>
    <row r="1192" spans="16:16" x14ac:dyDescent="0.25">
      <c r="P1192"/>
    </row>
    <row r="1193" spans="16:16" x14ac:dyDescent="0.25">
      <c r="P1193"/>
    </row>
    <row r="1194" spans="16:16" x14ac:dyDescent="0.25">
      <c r="P1194"/>
    </row>
    <row r="1195" spans="16:16" x14ac:dyDescent="0.25">
      <c r="P1195"/>
    </row>
    <row r="1196" spans="16:16" x14ac:dyDescent="0.25">
      <c r="P1196"/>
    </row>
    <row r="1197" spans="16:16" x14ac:dyDescent="0.25">
      <c r="P1197"/>
    </row>
    <row r="1198" spans="16:16" x14ac:dyDescent="0.25">
      <c r="P1198"/>
    </row>
    <row r="1199" spans="16:16" x14ac:dyDescent="0.25">
      <c r="P1199"/>
    </row>
    <row r="1200" spans="16:16" x14ac:dyDescent="0.25">
      <c r="P1200"/>
    </row>
    <row r="1201" spans="16:16" x14ac:dyDescent="0.25">
      <c r="P1201"/>
    </row>
    <row r="1202" spans="16:16" x14ac:dyDescent="0.25">
      <c r="P1202"/>
    </row>
    <row r="1203" spans="16:16" x14ac:dyDescent="0.25">
      <c r="P1203"/>
    </row>
    <row r="1204" spans="16:16" x14ac:dyDescent="0.25">
      <c r="P1204"/>
    </row>
    <row r="1205" spans="16:16" x14ac:dyDescent="0.25">
      <c r="P1205"/>
    </row>
    <row r="1206" spans="16:16" x14ac:dyDescent="0.25">
      <c r="P1206"/>
    </row>
    <row r="1207" spans="16:16" x14ac:dyDescent="0.25">
      <c r="P1207"/>
    </row>
    <row r="1208" spans="16:16" x14ac:dyDescent="0.25">
      <c r="P1208"/>
    </row>
    <row r="1209" spans="16:16" x14ac:dyDescent="0.25">
      <c r="P1209"/>
    </row>
    <row r="1210" spans="16:16" x14ac:dyDescent="0.25">
      <c r="P1210"/>
    </row>
    <row r="1211" spans="16:16" x14ac:dyDescent="0.25">
      <c r="P1211"/>
    </row>
    <row r="1212" spans="16:16" x14ac:dyDescent="0.25">
      <c r="P1212"/>
    </row>
    <row r="1213" spans="16:16" x14ac:dyDescent="0.25">
      <c r="P1213"/>
    </row>
    <row r="1214" spans="16:16" x14ac:dyDescent="0.25">
      <c r="P1214"/>
    </row>
    <row r="1215" spans="16:16" x14ac:dyDescent="0.25">
      <c r="P1215"/>
    </row>
    <row r="1216" spans="16:16" x14ac:dyDescent="0.25">
      <c r="P1216"/>
    </row>
    <row r="1217" spans="16:16" x14ac:dyDescent="0.25">
      <c r="P1217"/>
    </row>
    <row r="1218" spans="16:16" x14ac:dyDescent="0.25">
      <c r="P1218"/>
    </row>
    <row r="1219" spans="16:16" x14ac:dyDescent="0.25">
      <c r="P1219"/>
    </row>
    <row r="1220" spans="16:16" x14ac:dyDescent="0.25">
      <c r="P1220"/>
    </row>
    <row r="1221" spans="16:16" x14ac:dyDescent="0.25">
      <c r="P1221"/>
    </row>
    <row r="1222" spans="16:16" x14ac:dyDescent="0.25">
      <c r="P1222"/>
    </row>
    <row r="1223" spans="16:16" x14ac:dyDescent="0.25">
      <c r="P1223"/>
    </row>
    <row r="1224" spans="16:16" x14ac:dyDescent="0.25">
      <c r="P1224"/>
    </row>
    <row r="1225" spans="16:16" x14ac:dyDescent="0.25">
      <c r="P1225"/>
    </row>
    <row r="1226" spans="16:16" x14ac:dyDescent="0.25">
      <c r="P1226"/>
    </row>
    <row r="1227" spans="16:16" x14ac:dyDescent="0.25">
      <c r="P1227"/>
    </row>
    <row r="1228" spans="16:16" x14ac:dyDescent="0.25">
      <c r="P1228"/>
    </row>
    <row r="1229" spans="16:16" x14ac:dyDescent="0.25">
      <c r="P1229"/>
    </row>
    <row r="1230" spans="16:16" x14ac:dyDescent="0.25">
      <c r="P1230"/>
    </row>
    <row r="1231" spans="16:16" x14ac:dyDescent="0.25">
      <c r="P1231"/>
    </row>
    <row r="1232" spans="16:16" x14ac:dyDescent="0.25">
      <c r="P1232"/>
    </row>
    <row r="1233" spans="16:16" x14ac:dyDescent="0.25">
      <c r="P1233"/>
    </row>
    <row r="1234" spans="16:16" x14ac:dyDescent="0.25">
      <c r="P1234"/>
    </row>
    <row r="1235" spans="16:16" x14ac:dyDescent="0.25">
      <c r="P1235"/>
    </row>
    <row r="1236" spans="16:16" x14ac:dyDescent="0.25">
      <c r="P1236"/>
    </row>
    <row r="1237" spans="16:16" x14ac:dyDescent="0.25">
      <c r="P1237"/>
    </row>
    <row r="1238" spans="16:16" x14ac:dyDescent="0.25">
      <c r="P1238"/>
    </row>
    <row r="1239" spans="16:16" x14ac:dyDescent="0.25">
      <c r="P1239"/>
    </row>
    <row r="1240" spans="16:16" x14ac:dyDescent="0.25">
      <c r="P1240"/>
    </row>
    <row r="1241" spans="16:16" x14ac:dyDescent="0.25">
      <c r="P1241"/>
    </row>
    <row r="1242" spans="16:16" x14ac:dyDescent="0.25">
      <c r="P1242"/>
    </row>
    <row r="1243" spans="16:16" x14ac:dyDescent="0.25">
      <c r="P1243"/>
    </row>
    <row r="1244" spans="16:16" x14ac:dyDescent="0.25">
      <c r="P1244"/>
    </row>
    <row r="1245" spans="16:16" x14ac:dyDescent="0.25">
      <c r="P1245"/>
    </row>
    <row r="1246" spans="16:16" x14ac:dyDescent="0.25">
      <c r="P1246"/>
    </row>
    <row r="1247" spans="16:16" x14ac:dyDescent="0.25">
      <c r="P1247"/>
    </row>
    <row r="1248" spans="16:16" x14ac:dyDescent="0.25">
      <c r="P1248"/>
    </row>
    <row r="1249" spans="16:16" x14ac:dyDescent="0.25">
      <c r="P1249"/>
    </row>
    <row r="1250" spans="16:16" x14ac:dyDescent="0.25">
      <c r="P1250"/>
    </row>
    <row r="1251" spans="16:16" x14ac:dyDescent="0.25">
      <c r="P1251"/>
    </row>
    <row r="1252" spans="16:16" x14ac:dyDescent="0.25">
      <c r="P1252"/>
    </row>
    <row r="1253" spans="16:16" x14ac:dyDescent="0.25">
      <c r="P1253"/>
    </row>
    <row r="1254" spans="16:16" x14ac:dyDescent="0.25">
      <c r="P1254"/>
    </row>
    <row r="1255" spans="16:16" x14ac:dyDescent="0.25">
      <c r="P1255"/>
    </row>
    <row r="1256" spans="16:16" x14ac:dyDescent="0.25">
      <c r="P1256"/>
    </row>
    <row r="1257" spans="16:16" x14ac:dyDescent="0.25">
      <c r="P1257"/>
    </row>
    <row r="1258" spans="16:16" x14ac:dyDescent="0.25">
      <c r="P1258"/>
    </row>
    <row r="1259" spans="16:16" x14ac:dyDescent="0.25">
      <c r="P1259"/>
    </row>
    <row r="1260" spans="16:16" x14ac:dyDescent="0.25">
      <c r="P1260"/>
    </row>
    <row r="1261" spans="16:16" x14ac:dyDescent="0.25">
      <c r="P1261"/>
    </row>
    <row r="1262" spans="16:16" x14ac:dyDescent="0.25">
      <c r="P1262"/>
    </row>
    <row r="1263" spans="16:16" x14ac:dyDescent="0.25">
      <c r="P1263"/>
    </row>
    <row r="1264" spans="16:16" x14ac:dyDescent="0.25">
      <c r="P1264"/>
    </row>
    <row r="1265" spans="16:16" x14ac:dyDescent="0.25">
      <c r="P1265"/>
    </row>
    <row r="1266" spans="16:16" x14ac:dyDescent="0.25">
      <c r="P1266"/>
    </row>
    <row r="1267" spans="16:16" x14ac:dyDescent="0.25">
      <c r="P1267"/>
    </row>
    <row r="1268" spans="16:16" x14ac:dyDescent="0.25">
      <c r="P1268"/>
    </row>
    <row r="1269" spans="16:16" x14ac:dyDescent="0.25">
      <c r="P1269"/>
    </row>
    <row r="1270" spans="16:16" x14ac:dyDescent="0.25">
      <c r="P1270"/>
    </row>
    <row r="1271" spans="16:16" x14ac:dyDescent="0.25">
      <c r="P1271"/>
    </row>
    <row r="1272" spans="16:16" x14ac:dyDescent="0.25">
      <c r="P1272"/>
    </row>
    <row r="1273" spans="16:16" x14ac:dyDescent="0.25">
      <c r="P1273"/>
    </row>
    <row r="1274" spans="16:16" x14ac:dyDescent="0.25">
      <c r="P1274"/>
    </row>
    <row r="1275" spans="16:16" x14ac:dyDescent="0.25">
      <c r="P1275"/>
    </row>
    <row r="1276" spans="16:16" x14ac:dyDescent="0.25">
      <c r="P1276"/>
    </row>
    <row r="1277" spans="16:16" x14ac:dyDescent="0.25">
      <c r="P1277"/>
    </row>
    <row r="1278" spans="16:16" x14ac:dyDescent="0.25">
      <c r="P1278"/>
    </row>
    <row r="1279" spans="16:16" x14ac:dyDescent="0.25">
      <c r="P1279"/>
    </row>
    <row r="1280" spans="16:16" x14ac:dyDescent="0.25">
      <c r="P1280"/>
    </row>
    <row r="1281" spans="16:16" x14ac:dyDescent="0.25">
      <c r="P1281"/>
    </row>
    <row r="1282" spans="16:16" x14ac:dyDescent="0.25">
      <c r="P1282"/>
    </row>
    <row r="1283" spans="16:16" x14ac:dyDescent="0.25">
      <c r="P1283"/>
    </row>
    <row r="1284" spans="16:16" x14ac:dyDescent="0.25">
      <c r="P1284"/>
    </row>
    <row r="1285" spans="16:16" x14ac:dyDescent="0.25">
      <c r="P1285"/>
    </row>
    <row r="1286" spans="16:16" x14ac:dyDescent="0.25">
      <c r="P1286"/>
    </row>
    <row r="1287" spans="16:16" x14ac:dyDescent="0.25">
      <c r="P1287"/>
    </row>
    <row r="1288" spans="16:16" x14ac:dyDescent="0.25">
      <c r="P1288"/>
    </row>
    <row r="1289" spans="16:16" x14ac:dyDescent="0.25">
      <c r="P1289"/>
    </row>
    <row r="1290" spans="16:16" x14ac:dyDescent="0.25">
      <c r="P1290"/>
    </row>
    <row r="1291" spans="16:16" x14ac:dyDescent="0.25">
      <c r="P1291"/>
    </row>
    <row r="1292" spans="16:16" x14ac:dyDescent="0.25">
      <c r="P1292"/>
    </row>
    <row r="1293" spans="16:16" x14ac:dyDescent="0.25">
      <c r="P1293"/>
    </row>
    <row r="1294" spans="16:16" x14ac:dyDescent="0.25">
      <c r="P1294"/>
    </row>
    <row r="1295" spans="16:16" x14ac:dyDescent="0.25">
      <c r="P1295"/>
    </row>
    <row r="1296" spans="16:16" x14ac:dyDescent="0.25">
      <c r="P1296"/>
    </row>
    <row r="1297" spans="16:16" x14ac:dyDescent="0.25">
      <c r="P1297"/>
    </row>
    <row r="1298" spans="16:16" x14ac:dyDescent="0.25">
      <c r="P1298"/>
    </row>
    <row r="1299" spans="16:16" x14ac:dyDescent="0.25">
      <c r="P1299"/>
    </row>
    <row r="1300" spans="16:16" x14ac:dyDescent="0.25">
      <c r="P1300"/>
    </row>
    <row r="1301" spans="16:16" x14ac:dyDescent="0.25">
      <c r="P1301"/>
    </row>
    <row r="1302" spans="16:16" x14ac:dyDescent="0.25">
      <c r="P1302"/>
    </row>
    <row r="1303" spans="16:16" x14ac:dyDescent="0.25">
      <c r="P1303"/>
    </row>
    <row r="1304" spans="16:16" x14ac:dyDescent="0.25">
      <c r="P1304"/>
    </row>
    <row r="1305" spans="16:16" x14ac:dyDescent="0.25">
      <c r="P1305"/>
    </row>
    <row r="1306" spans="16:16" x14ac:dyDescent="0.25">
      <c r="P1306"/>
    </row>
    <row r="1307" spans="16:16" x14ac:dyDescent="0.25">
      <c r="P1307"/>
    </row>
    <row r="1308" spans="16:16" x14ac:dyDescent="0.25">
      <c r="P1308"/>
    </row>
    <row r="1309" spans="16:16" x14ac:dyDescent="0.25">
      <c r="P1309"/>
    </row>
    <row r="1310" spans="16:16" x14ac:dyDescent="0.25">
      <c r="P1310"/>
    </row>
    <row r="1311" spans="16:16" x14ac:dyDescent="0.25">
      <c r="P1311"/>
    </row>
    <row r="1312" spans="16:16" x14ac:dyDescent="0.25">
      <c r="P1312"/>
    </row>
    <row r="1313" spans="16:16" x14ac:dyDescent="0.25">
      <c r="P1313"/>
    </row>
    <row r="1314" spans="16:16" x14ac:dyDescent="0.25">
      <c r="P1314"/>
    </row>
    <row r="1315" spans="16:16" x14ac:dyDescent="0.25">
      <c r="P1315"/>
    </row>
    <row r="1316" spans="16:16" x14ac:dyDescent="0.25">
      <c r="P1316"/>
    </row>
    <row r="1317" spans="16:16" x14ac:dyDescent="0.25">
      <c r="P1317"/>
    </row>
    <row r="1318" spans="16:16" x14ac:dyDescent="0.25">
      <c r="P1318"/>
    </row>
    <row r="1319" spans="16:16" x14ac:dyDescent="0.25">
      <c r="P1319"/>
    </row>
    <row r="1320" spans="16:16" x14ac:dyDescent="0.25">
      <c r="P1320"/>
    </row>
    <row r="1321" spans="16:16" x14ac:dyDescent="0.25">
      <c r="P1321"/>
    </row>
    <row r="1322" spans="16:16" x14ac:dyDescent="0.25">
      <c r="P1322"/>
    </row>
    <row r="1323" spans="16:16" x14ac:dyDescent="0.25">
      <c r="P1323"/>
    </row>
    <row r="1324" spans="16:16" x14ac:dyDescent="0.25">
      <c r="P1324"/>
    </row>
    <row r="1325" spans="16:16" x14ac:dyDescent="0.25">
      <c r="P1325"/>
    </row>
    <row r="1326" spans="16:16" x14ac:dyDescent="0.25">
      <c r="P1326"/>
    </row>
    <row r="1327" spans="16:16" x14ac:dyDescent="0.25">
      <c r="P1327"/>
    </row>
    <row r="1328" spans="16:16" x14ac:dyDescent="0.25">
      <c r="P1328"/>
    </row>
    <row r="1329" spans="16:16" x14ac:dyDescent="0.25">
      <c r="P1329"/>
    </row>
    <row r="1330" spans="16:16" x14ac:dyDescent="0.25">
      <c r="P1330"/>
    </row>
    <row r="1331" spans="16:16" x14ac:dyDescent="0.25">
      <c r="P1331"/>
    </row>
    <row r="1332" spans="16:16" x14ac:dyDescent="0.25">
      <c r="P1332"/>
    </row>
    <row r="1333" spans="16:16" x14ac:dyDescent="0.25">
      <c r="P1333"/>
    </row>
    <row r="1334" spans="16:16" x14ac:dyDescent="0.25">
      <c r="P1334"/>
    </row>
    <row r="1335" spans="16:16" x14ac:dyDescent="0.25">
      <c r="P1335"/>
    </row>
    <row r="1336" spans="16:16" x14ac:dyDescent="0.25">
      <c r="P1336"/>
    </row>
    <row r="1337" spans="16:16" x14ac:dyDescent="0.25">
      <c r="P1337"/>
    </row>
    <row r="1338" spans="16:16" x14ac:dyDescent="0.25">
      <c r="P1338"/>
    </row>
    <row r="1339" spans="16:16" x14ac:dyDescent="0.25">
      <c r="P1339"/>
    </row>
    <row r="1340" spans="16:16" x14ac:dyDescent="0.25">
      <c r="P1340"/>
    </row>
    <row r="1341" spans="16:16" x14ac:dyDescent="0.25">
      <c r="P1341"/>
    </row>
    <row r="1342" spans="16:16" x14ac:dyDescent="0.25">
      <c r="P1342"/>
    </row>
    <row r="1343" spans="16:16" x14ac:dyDescent="0.25">
      <c r="P1343"/>
    </row>
    <row r="1344" spans="16:16" x14ac:dyDescent="0.25">
      <c r="P1344"/>
    </row>
    <row r="1345" spans="16:16" x14ac:dyDescent="0.25">
      <c r="P1345"/>
    </row>
    <row r="1346" spans="16:16" x14ac:dyDescent="0.25">
      <c r="P1346"/>
    </row>
    <row r="1347" spans="16:16" x14ac:dyDescent="0.25">
      <c r="P1347"/>
    </row>
    <row r="1348" spans="16:16" x14ac:dyDescent="0.25">
      <c r="P1348"/>
    </row>
    <row r="1349" spans="16:16" x14ac:dyDescent="0.25">
      <c r="P1349"/>
    </row>
    <row r="1350" spans="16:16" x14ac:dyDescent="0.25">
      <c r="P1350"/>
    </row>
    <row r="1351" spans="16:16" x14ac:dyDescent="0.25">
      <c r="P1351"/>
    </row>
    <row r="1352" spans="16:16" x14ac:dyDescent="0.25">
      <c r="P1352"/>
    </row>
    <row r="1353" spans="16:16" x14ac:dyDescent="0.25">
      <c r="P1353"/>
    </row>
    <row r="1354" spans="16:16" x14ac:dyDescent="0.25">
      <c r="P1354"/>
    </row>
    <row r="1355" spans="16:16" x14ac:dyDescent="0.25">
      <c r="P1355"/>
    </row>
    <row r="1356" spans="16:16" x14ac:dyDescent="0.25">
      <c r="P1356"/>
    </row>
    <row r="1357" spans="16:16" x14ac:dyDescent="0.25">
      <c r="P1357"/>
    </row>
    <row r="1358" spans="16:16" x14ac:dyDescent="0.25">
      <c r="P1358"/>
    </row>
    <row r="1359" spans="16:16" x14ac:dyDescent="0.25">
      <c r="P1359"/>
    </row>
    <row r="1360" spans="16:16" x14ac:dyDescent="0.25">
      <c r="P1360"/>
    </row>
    <row r="1361" spans="16:16" x14ac:dyDescent="0.25">
      <c r="P1361"/>
    </row>
    <row r="1362" spans="16:16" x14ac:dyDescent="0.25">
      <c r="P1362"/>
    </row>
    <row r="1363" spans="16:16" x14ac:dyDescent="0.25">
      <c r="P1363"/>
    </row>
    <row r="1364" spans="16:16" x14ac:dyDescent="0.25">
      <c r="P1364"/>
    </row>
    <row r="1365" spans="16:16" x14ac:dyDescent="0.25">
      <c r="P1365"/>
    </row>
    <row r="1366" spans="16:16" x14ac:dyDescent="0.25">
      <c r="P1366"/>
    </row>
    <row r="1367" spans="16:16" x14ac:dyDescent="0.25">
      <c r="P1367"/>
    </row>
    <row r="1368" spans="16:16" x14ac:dyDescent="0.25">
      <c r="P1368"/>
    </row>
    <row r="1369" spans="16:16" x14ac:dyDescent="0.25">
      <c r="P1369"/>
    </row>
    <row r="1370" spans="16:16" x14ac:dyDescent="0.25">
      <c r="P1370"/>
    </row>
    <row r="1371" spans="16:16" x14ac:dyDescent="0.25">
      <c r="P1371"/>
    </row>
    <row r="1372" spans="16:16" x14ac:dyDescent="0.25">
      <c r="P1372"/>
    </row>
    <row r="1373" spans="16:16" x14ac:dyDescent="0.25">
      <c r="P1373"/>
    </row>
    <row r="1374" spans="16:16" x14ac:dyDescent="0.25">
      <c r="P1374"/>
    </row>
    <row r="1375" spans="16:16" x14ac:dyDescent="0.25">
      <c r="P1375"/>
    </row>
    <row r="1376" spans="16:16" x14ac:dyDescent="0.25">
      <c r="P1376"/>
    </row>
    <row r="1377" spans="16:16" x14ac:dyDescent="0.25">
      <c r="P1377"/>
    </row>
    <row r="1378" spans="16:16" x14ac:dyDescent="0.25">
      <c r="P1378"/>
    </row>
    <row r="1379" spans="16:16" x14ac:dyDescent="0.25">
      <c r="P1379"/>
    </row>
    <row r="1380" spans="16:16" x14ac:dyDescent="0.25">
      <c r="P1380"/>
    </row>
    <row r="1381" spans="16:16" x14ac:dyDescent="0.25">
      <c r="P1381"/>
    </row>
    <row r="1382" spans="16:16" x14ac:dyDescent="0.25">
      <c r="P1382"/>
    </row>
    <row r="1383" spans="16:16" x14ac:dyDescent="0.25">
      <c r="P1383"/>
    </row>
    <row r="1384" spans="16:16" x14ac:dyDescent="0.25">
      <c r="P1384"/>
    </row>
    <row r="1385" spans="16:16" x14ac:dyDescent="0.25">
      <c r="P1385"/>
    </row>
    <row r="1386" spans="16:16" x14ac:dyDescent="0.25">
      <c r="P1386"/>
    </row>
    <row r="1387" spans="16:16" x14ac:dyDescent="0.25">
      <c r="P1387"/>
    </row>
    <row r="1388" spans="16:16" x14ac:dyDescent="0.25">
      <c r="P1388"/>
    </row>
    <row r="1389" spans="16:16" x14ac:dyDescent="0.25">
      <c r="P1389"/>
    </row>
    <row r="1390" spans="16:16" x14ac:dyDescent="0.25">
      <c r="P1390"/>
    </row>
    <row r="1391" spans="16:16" x14ac:dyDescent="0.25">
      <c r="P1391"/>
    </row>
    <row r="1392" spans="16:16" x14ac:dyDescent="0.25">
      <c r="P1392"/>
    </row>
    <row r="1393" spans="16:16" x14ac:dyDescent="0.25">
      <c r="P1393"/>
    </row>
    <row r="1394" spans="16:16" x14ac:dyDescent="0.25">
      <c r="P1394"/>
    </row>
    <row r="1395" spans="16:16" x14ac:dyDescent="0.25">
      <c r="P1395"/>
    </row>
    <row r="1396" spans="16:16" x14ac:dyDescent="0.25">
      <c r="P1396"/>
    </row>
    <row r="1397" spans="16:16" x14ac:dyDescent="0.25">
      <c r="P1397"/>
    </row>
    <row r="1398" spans="16:16" x14ac:dyDescent="0.25">
      <c r="P1398"/>
    </row>
    <row r="1399" spans="16:16" x14ac:dyDescent="0.25">
      <c r="P1399"/>
    </row>
    <row r="1400" spans="16:16" x14ac:dyDescent="0.25">
      <c r="P1400"/>
    </row>
    <row r="1401" spans="16:16" x14ac:dyDescent="0.25">
      <c r="P1401"/>
    </row>
    <row r="1402" spans="16:16" x14ac:dyDescent="0.25">
      <c r="P1402"/>
    </row>
    <row r="1403" spans="16:16" x14ac:dyDescent="0.25">
      <c r="P1403"/>
    </row>
    <row r="1404" spans="16:16" x14ac:dyDescent="0.25">
      <c r="P1404"/>
    </row>
    <row r="1405" spans="16:16" x14ac:dyDescent="0.25">
      <c r="P1405"/>
    </row>
    <row r="1406" spans="16:16" x14ac:dyDescent="0.25">
      <c r="P1406"/>
    </row>
    <row r="1407" spans="16:16" x14ac:dyDescent="0.25">
      <c r="P1407"/>
    </row>
    <row r="1408" spans="16:16" x14ac:dyDescent="0.25">
      <c r="P1408"/>
    </row>
    <row r="1409" spans="16:16" x14ac:dyDescent="0.25">
      <c r="P1409"/>
    </row>
    <row r="1410" spans="16:16" x14ac:dyDescent="0.25">
      <c r="P1410"/>
    </row>
    <row r="1411" spans="16:16" x14ac:dyDescent="0.25">
      <c r="P1411"/>
    </row>
    <row r="1412" spans="16:16" x14ac:dyDescent="0.25">
      <c r="P1412"/>
    </row>
    <row r="1413" spans="16:16" x14ac:dyDescent="0.25">
      <c r="P1413"/>
    </row>
    <row r="1414" spans="16:16" x14ac:dyDescent="0.25">
      <c r="P1414"/>
    </row>
    <row r="1415" spans="16:16" x14ac:dyDescent="0.25">
      <c r="P1415"/>
    </row>
    <row r="1416" spans="16:16" x14ac:dyDescent="0.25">
      <c r="P1416"/>
    </row>
    <row r="1417" spans="16:16" x14ac:dyDescent="0.25">
      <c r="P1417"/>
    </row>
    <row r="1418" spans="16:16" x14ac:dyDescent="0.25">
      <c r="P1418"/>
    </row>
    <row r="1419" spans="16:16" x14ac:dyDescent="0.25">
      <c r="P1419"/>
    </row>
    <row r="1420" spans="16:16" x14ac:dyDescent="0.25">
      <c r="P1420"/>
    </row>
    <row r="1421" spans="16:16" x14ac:dyDescent="0.25">
      <c r="P1421"/>
    </row>
    <row r="1422" spans="16:16" x14ac:dyDescent="0.25">
      <c r="P1422"/>
    </row>
    <row r="1423" spans="16:16" x14ac:dyDescent="0.25">
      <c r="P1423"/>
    </row>
    <row r="1424" spans="16:16" x14ac:dyDescent="0.25">
      <c r="P1424"/>
    </row>
    <row r="1425" spans="16:16" x14ac:dyDescent="0.25">
      <c r="P1425"/>
    </row>
    <row r="1426" spans="16:16" x14ac:dyDescent="0.25">
      <c r="P1426"/>
    </row>
    <row r="1427" spans="16:16" x14ac:dyDescent="0.25">
      <c r="P1427"/>
    </row>
    <row r="1428" spans="16:16" x14ac:dyDescent="0.25">
      <c r="P1428"/>
    </row>
    <row r="1429" spans="16:16" x14ac:dyDescent="0.25">
      <c r="P1429"/>
    </row>
    <row r="1430" spans="16:16" x14ac:dyDescent="0.25">
      <c r="P1430"/>
    </row>
    <row r="1431" spans="16:16" x14ac:dyDescent="0.25">
      <c r="P1431"/>
    </row>
    <row r="1432" spans="16:16" x14ac:dyDescent="0.25">
      <c r="P1432"/>
    </row>
    <row r="1433" spans="16:16" x14ac:dyDescent="0.25">
      <c r="P1433"/>
    </row>
    <row r="1434" spans="16:16" x14ac:dyDescent="0.25">
      <c r="P1434"/>
    </row>
    <row r="1435" spans="16:16" x14ac:dyDescent="0.25">
      <c r="P1435"/>
    </row>
    <row r="1436" spans="16:16" x14ac:dyDescent="0.25">
      <c r="P1436"/>
    </row>
    <row r="1437" spans="16:16" x14ac:dyDescent="0.25">
      <c r="P1437"/>
    </row>
    <row r="1438" spans="16:16" x14ac:dyDescent="0.25">
      <c r="P1438"/>
    </row>
    <row r="1439" spans="16:16" x14ac:dyDescent="0.25">
      <c r="P1439"/>
    </row>
    <row r="1440" spans="16:16" x14ac:dyDescent="0.25">
      <c r="P1440"/>
    </row>
    <row r="1441" spans="16:16" x14ac:dyDescent="0.25">
      <c r="P1441"/>
    </row>
    <row r="1442" spans="16:16" x14ac:dyDescent="0.25">
      <c r="P1442"/>
    </row>
    <row r="1443" spans="16:16" x14ac:dyDescent="0.25">
      <c r="P1443"/>
    </row>
    <row r="1444" spans="16:16" x14ac:dyDescent="0.25">
      <c r="P1444"/>
    </row>
    <row r="1445" spans="16:16" x14ac:dyDescent="0.25">
      <c r="P1445"/>
    </row>
    <row r="1446" spans="16:16" x14ac:dyDescent="0.25">
      <c r="P1446"/>
    </row>
    <row r="1447" spans="16:16" x14ac:dyDescent="0.25">
      <c r="P1447"/>
    </row>
    <row r="1448" spans="16:16" x14ac:dyDescent="0.25">
      <c r="P1448"/>
    </row>
    <row r="1449" spans="16:16" x14ac:dyDescent="0.25">
      <c r="P1449"/>
    </row>
    <row r="1450" spans="16:16" x14ac:dyDescent="0.25">
      <c r="P1450"/>
    </row>
    <row r="1451" spans="16:16" x14ac:dyDescent="0.25">
      <c r="P1451"/>
    </row>
    <row r="1452" spans="16:16" x14ac:dyDescent="0.25">
      <c r="P1452"/>
    </row>
    <row r="1453" spans="16:16" x14ac:dyDescent="0.25">
      <c r="P1453"/>
    </row>
    <row r="1454" spans="16:16" x14ac:dyDescent="0.25">
      <c r="P1454"/>
    </row>
    <row r="1455" spans="16:16" x14ac:dyDescent="0.25">
      <c r="P1455"/>
    </row>
    <row r="1456" spans="16:16" x14ac:dyDescent="0.25">
      <c r="P1456"/>
    </row>
    <row r="1457" spans="16:16" x14ac:dyDescent="0.25">
      <c r="P1457"/>
    </row>
    <row r="1458" spans="16:16" x14ac:dyDescent="0.25">
      <c r="P1458"/>
    </row>
    <row r="1459" spans="16:16" x14ac:dyDescent="0.25">
      <c r="P1459"/>
    </row>
    <row r="1460" spans="16:16" x14ac:dyDescent="0.25">
      <c r="P1460"/>
    </row>
    <row r="1461" spans="16:16" x14ac:dyDescent="0.25">
      <c r="P1461"/>
    </row>
    <row r="1462" spans="16:16" x14ac:dyDescent="0.25">
      <c r="P1462"/>
    </row>
    <row r="1463" spans="16:16" x14ac:dyDescent="0.25">
      <c r="P1463"/>
    </row>
    <row r="1464" spans="16:16" x14ac:dyDescent="0.25">
      <c r="P1464"/>
    </row>
    <row r="1465" spans="16:16" x14ac:dyDescent="0.25">
      <c r="P1465"/>
    </row>
    <row r="1466" spans="16:16" x14ac:dyDescent="0.25">
      <c r="P1466"/>
    </row>
    <row r="1467" spans="16:16" x14ac:dyDescent="0.25">
      <c r="P1467"/>
    </row>
    <row r="1468" spans="16:16" x14ac:dyDescent="0.25">
      <c r="P1468"/>
    </row>
    <row r="1469" spans="16:16" x14ac:dyDescent="0.25">
      <c r="P1469"/>
    </row>
    <row r="1470" spans="16:16" x14ac:dyDescent="0.25">
      <c r="P1470"/>
    </row>
    <row r="1471" spans="16:16" x14ac:dyDescent="0.25">
      <c r="P1471"/>
    </row>
    <row r="1472" spans="16:16" x14ac:dyDescent="0.25">
      <c r="P1472"/>
    </row>
    <row r="1473" spans="16:16" x14ac:dyDescent="0.25">
      <c r="P1473"/>
    </row>
    <row r="1474" spans="16:16" x14ac:dyDescent="0.25">
      <c r="P1474"/>
    </row>
    <row r="1475" spans="16:16" x14ac:dyDescent="0.25">
      <c r="P1475"/>
    </row>
    <row r="1476" spans="16:16" x14ac:dyDescent="0.25">
      <c r="P1476"/>
    </row>
    <row r="1477" spans="16:16" x14ac:dyDescent="0.25">
      <c r="P1477"/>
    </row>
    <row r="1478" spans="16:16" x14ac:dyDescent="0.25">
      <c r="P1478"/>
    </row>
    <row r="1479" spans="16:16" x14ac:dyDescent="0.25">
      <c r="P1479"/>
    </row>
    <row r="1480" spans="16:16" x14ac:dyDescent="0.25">
      <c r="P1480"/>
    </row>
    <row r="1481" spans="16:16" x14ac:dyDescent="0.25">
      <c r="P1481"/>
    </row>
    <row r="1482" spans="16:16" x14ac:dyDescent="0.25">
      <c r="P1482"/>
    </row>
    <row r="1483" spans="16:16" x14ac:dyDescent="0.25">
      <c r="P1483"/>
    </row>
    <row r="1484" spans="16:16" x14ac:dyDescent="0.25">
      <c r="P1484"/>
    </row>
    <row r="1485" spans="16:16" x14ac:dyDescent="0.25">
      <c r="P1485"/>
    </row>
    <row r="1486" spans="16:16" x14ac:dyDescent="0.25">
      <c r="P1486"/>
    </row>
    <row r="1487" spans="16:16" x14ac:dyDescent="0.25">
      <c r="P1487"/>
    </row>
    <row r="1488" spans="16:16" x14ac:dyDescent="0.25">
      <c r="P1488"/>
    </row>
    <row r="1489" spans="16:16" x14ac:dyDescent="0.25">
      <c r="P1489"/>
    </row>
    <row r="1490" spans="16:16" x14ac:dyDescent="0.25">
      <c r="P1490"/>
    </row>
    <row r="1491" spans="16:16" x14ac:dyDescent="0.25">
      <c r="P1491"/>
    </row>
    <row r="1492" spans="16:16" x14ac:dyDescent="0.25">
      <c r="P1492"/>
    </row>
    <row r="1493" spans="16:16" x14ac:dyDescent="0.25">
      <c r="P1493"/>
    </row>
    <row r="1494" spans="16:16" x14ac:dyDescent="0.25">
      <c r="P1494"/>
    </row>
    <row r="1495" spans="16:16" x14ac:dyDescent="0.25">
      <c r="P1495"/>
    </row>
    <row r="1496" spans="16:16" x14ac:dyDescent="0.25">
      <c r="P1496"/>
    </row>
    <row r="1497" spans="16:16" x14ac:dyDescent="0.25">
      <c r="P1497"/>
    </row>
    <row r="1498" spans="16:16" x14ac:dyDescent="0.25">
      <c r="P1498"/>
    </row>
    <row r="1499" spans="16:16" x14ac:dyDescent="0.25">
      <c r="P1499"/>
    </row>
    <row r="1500" spans="16:16" x14ac:dyDescent="0.25">
      <c r="P1500"/>
    </row>
    <row r="1501" spans="16:16" x14ac:dyDescent="0.25">
      <c r="P1501"/>
    </row>
    <row r="1502" spans="16:16" x14ac:dyDescent="0.25">
      <c r="P1502"/>
    </row>
    <row r="1503" spans="16:16" x14ac:dyDescent="0.25">
      <c r="P1503"/>
    </row>
    <row r="1504" spans="16:16" x14ac:dyDescent="0.25">
      <c r="P1504"/>
    </row>
    <row r="1505" spans="16:16" x14ac:dyDescent="0.25">
      <c r="P1505"/>
    </row>
    <row r="1506" spans="16:16" x14ac:dyDescent="0.25">
      <c r="P1506"/>
    </row>
    <row r="1507" spans="16:16" x14ac:dyDescent="0.25">
      <c r="P1507"/>
    </row>
    <row r="1508" spans="16:16" x14ac:dyDescent="0.25">
      <c r="P1508"/>
    </row>
    <row r="1509" spans="16:16" x14ac:dyDescent="0.25">
      <c r="P1509"/>
    </row>
    <row r="1510" spans="16:16" x14ac:dyDescent="0.25">
      <c r="P1510"/>
    </row>
    <row r="1511" spans="16:16" x14ac:dyDescent="0.25">
      <c r="P1511"/>
    </row>
    <row r="1512" spans="16:16" x14ac:dyDescent="0.25">
      <c r="P1512"/>
    </row>
    <row r="1513" spans="16:16" x14ac:dyDescent="0.25">
      <c r="P1513"/>
    </row>
    <row r="1514" spans="16:16" x14ac:dyDescent="0.25">
      <c r="P1514"/>
    </row>
    <row r="1515" spans="16:16" x14ac:dyDescent="0.25">
      <c r="P1515"/>
    </row>
    <row r="1516" spans="16:16" x14ac:dyDescent="0.25">
      <c r="P1516"/>
    </row>
    <row r="1517" spans="16:16" x14ac:dyDescent="0.25">
      <c r="P1517"/>
    </row>
    <row r="1518" spans="16:16" x14ac:dyDescent="0.25">
      <c r="P1518"/>
    </row>
    <row r="1519" spans="16:16" x14ac:dyDescent="0.25">
      <c r="P1519"/>
    </row>
    <row r="1520" spans="16:16" x14ac:dyDescent="0.25">
      <c r="P1520"/>
    </row>
    <row r="1521" spans="16:16" x14ac:dyDescent="0.25">
      <c r="P1521"/>
    </row>
    <row r="1522" spans="16:16" x14ac:dyDescent="0.25">
      <c r="P1522"/>
    </row>
    <row r="1523" spans="16:16" x14ac:dyDescent="0.25">
      <c r="P1523"/>
    </row>
    <row r="1524" spans="16:16" x14ac:dyDescent="0.25">
      <c r="P1524"/>
    </row>
    <row r="1525" spans="16:16" x14ac:dyDescent="0.25">
      <c r="P1525"/>
    </row>
    <row r="1526" spans="16:16" x14ac:dyDescent="0.25">
      <c r="P1526"/>
    </row>
    <row r="1527" spans="16:16" x14ac:dyDescent="0.25">
      <c r="P1527"/>
    </row>
    <row r="1528" spans="16:16" x14ac:dyDescent="0.25">
      <c r="P1528"/>
    </row>
    <row r="1529" spans="16:16" x14ac:dyDescent="0.25">
      <c r="P1529"/>
    </row>
    <row r="1530" spans="16:16" x14ac:dyDescent="0.25">
      <c r="P1530"/>
    </row>
    <row r="1531" spans="16:16" x14ac:dyDescent="0.25">
      <c r="P1531"/>
    </row>
    <row r="1532" spans="16:16" x14ac:dyDescent="0.25">
      <c r="P1532"/>
    </row>
    <row r="1533" spans="16:16" x14ac:dyDescent="0.25">
      <c r="P1533"/>
    </row>
    <row r="1534" spans="16:16" x14ac:dyDescent="0.25">
      <c r="P1534"/>
    </row>
    <row r="1535" spans="16:16" x14ac:dyDescent="0.25">
      <c r="P1535"/>
    </row>
    <row r="1536" spans="16:16" x14ac:dyDescent="0.25">
      <c r="P1536"/>
    </row>
    <row r="1537" spans="16:16" x14ac:dyDescent="0.25">
      <c r="P1537"/>
    </row>
    <row r="1538" spans="16:16" x14ac:dyDescent="0.25">
      <c r="P1538"/>
    </row>
    <row r="1539" spans="16:16" x14ac:dyDescent="0.25">
      <c r="P1539"/>
    </row>
    <row r="1540" spans="16:16" x14ac:dyDescent="0.25">
      <c r="P1540"/>
    </row>
    <row r="1541" spans="16:16" x14ac:dyDescent="0.25">
      <c r="P1541"/>
    </row>
    <row r="1542" spans="16:16" x14ac:dyDescent="0.25">
      <c r="P1542"/>
    </row>
    <row r="1543" spans="16:16" x14ac:dyDescent="0.25">
      <c r="P1543"/>
    </row>
    <row r="1544" spans="16:16" x14ac:dyDescent="0.25">
      <c r="P1544"/>
    </row>
    <row r="1545" spans="16:16" x14ac:dyDescent="0.25">
      <c r="P1545"/>
    </row>
    <row r="1546" spans="16:16" x14ac:dyDescent="0.25">
      <c r="P1546"/>
    </row>
    <row r="1547" spans="16:16" x14ac:dyDescent="0.25">
      <c r="P1547"/>
    </row>
    <row r="1548" spans="16:16" x14ac:dyDescent="0.25">
      <c r="P1548"/>
    </row>
    <row r="1549" spans="16:16" x14ac:dyDescent="0.25">
      <c r="P1549"/>
    </row>
    <row r="1550" spans="16:16" x14ac:dyDescent="0.25">
      <c r="P1550"/>
    </row>
    <row r="1551" spans="16:16" x14ac:dyDescent="0.25">
      <c r="P1551"/>
    </row>
    <row r="1552" spans="16:16" x14ac:dyDescent="0.25">
      <c r="P1552"/>
    </row>
    <row r="1553" spans="16:16" x14ac:dyDescent="0.25">
      <c r="P1553"/>
    </row>
  </sheetData>
  <phoneticPr fontId="30" type="noConversion"/>
  <conditionalFormatting sqref="A3:A397">
    <cfRule type="expression" dxfId="2530" priority="2504">
      <formula>$B3="SEM PROGRAMAÇÃO"</formula>
    </cfRule>
    <cfRule type="expression" dxfId="2529" priority="2505">
      <formula>$B3="PROGRAMADO"</formula>
    </cfRule>
    <cfRule type="expression" dxfId="2528" priority="2506">
      <formula>$B3="NO CLIENTE"</formula>
    </cfRule>
    <cfRule type="expression" dxfId="2527" priority="2507">
      <formula>$B3="ENTREGUE"</formula>
    </cfRule>
    <cfRule type="expression" dxfId="2526" priority="2508">
      <formula>$B3="FINALIZADO"</formula>
    </cfRule>
    <cfRule type="expression" dxfId="2525" priority="2509">
      <formula>$B3="DOCUMENTO"</formula>
    </cfRule>
    <cfRule type="expression" dxfId="2524" priority="2510">
      <formula>$B3="CANCELADO"</formula>
    </cfRule>
    <cfRule type="expression" dxfId="2523" priority="2511">
      <formula>$B3="ATRASADO"</formula>
    </cfRule>
    <cfRule type="expression" dxfId="2522" priority="2512">
      <formula>$B3="AGUARDANDO VEÍCULO"</formula>
    </cfRule>
    <cfRule type="expression" dxfId="2521" priority="2513">
      <formula>#REF!="SEM PROGRAMAÇÃO"</formula>
    </cfRule>
    <cfRule type="expression" dxfId="2520" priority="2514">
      <formula>#REF!="PROGRAMADO"</formula>
    </cfRule>
    <cfRule type="expression" dxfId="2519" priority="2515">
      <formula>#REF!="NO CLIENTE"</formula>
    </cfRule>
    <cfRule type="expression" dxfId="2518" priority="2516">
      <formula>#REF!="ENTREGUE"</formula>
    </cfRule>
    <cfRule type="expression" dxfId="2517" priority="2517">
      <formula>#REF!="FINALIZADO"</formula>
    </cfRule>
    <cfRule type="expression" dxfId="2516" priority="2518">
      <formula>#REF!="DOCUMENTO"</formula>
    </cfRule>
    <cfRule type="expression" dxfId="2515" priority="2519">
      <formula>#REF!="CANCELADO"</formula>
    </cfRule>
    <cfRule type="expression" dxfId="2514" priority="2520">
      <formula>#REF!="ATRASADO"</formula>
    </cfRule>
    <cfRule type="expression" dxfId="2513" priority="2521">
      <formula>#REF!="AGUARDANDO VEÍCULO"</formula>
    </cfRule>
    <cfRule type="duplicateValues" dxfId="2512" priority="2522"/>
  </conditionalFormatting>
  <conditionalFormatting sqref="B526:B527 J526:O527 X526:X527 Z526:AO527 AO584:AO586 AM586:AN586 AL586:AL618 AM587:AO618 B657:P657 B658:C659 E658:P659 B660:P662 B663:C664 E663:P664 C665:P665 B665:B669 C666:C669 E666:P673 B670:C673 C674:P675 B674:B677 P676:P677 AC696:AH696 S628:AK636 S619:AO627 S589:T618 S586:AK588 S584:AN585 S528:AO583 S3:AO525 B3:O525 B528:O656 P3:P656 B678:P785 Q3:R784 AL628:AL899 B786:Q899 Q785:Q786 S637:T899 R785:R899">
    <cfRule type="expression" dxfId="2511" priority="2612">
      <formula>$B3="PROGRAMADO"</formula>
    </cfRule>
    <cfRule type="expression" dxfId="2510" priority="2613">
      <formula>$B3="NO CLIENTE"</formula>
    </cfRule>
    <cfRule type="expression" dxfId="2509" priority="2614">
      <formula>$B3="ENTREGUE"</formula>
    </cfRule>
    <cfRule type="expression" dxfId="2508" priority="2615">
      <formula>$B3="FINALIZADO"</formula>
    </cfRule>
    <cfRule type="expression" dxfId="2507" priority="2616">
      <formula>$B3="DOCUMENTO"</formula>
    </cfRule>
    <cfRule type="expression" dxfId="2506" priority="2617">
      <formula>$B3="CANCELADO"</formula>
    </cfRule>
    <cfRule type="expression" dxfId="2505" priority="2618">
      <formula>$B3="ATRASADO"</formula>
    </cfRule>
    <cfRule type="expression" dxfId="2504" priority="2619">
      <formula>$B3="AGUARDANDO VEÍCULO"</formula>
    </cfRule>
  </conditionalFormatting>
  <conditionalFormatting sqref="C665:P665 B526:B527 J526:O527 X526:X527 Z526:AO527 AO584:AO586 AM586:AN586 AL586:AL618 AM587:AO618 B657:P657 B658:C659 E658:P659 B660:P662 B663:C664 E663:P664 B665:B669 C666:C669 E666:P673 B670:C673 C674:P675 B674:B677 P676:P677 AC696:AH696 S628:AK636 S619:AO627 S589:T618 S586:AK588 S584:AN585 S528:AO583 S3:AO525 B3:O525 B528:O656 P3:P656 B678:P785 Q3:R784 AL628:AL899 B786:Q899 Q785:Q786 S637:T899 R785:R899">
    <cfRule type="expression" dxfId="2503" priority="2611">
      <formula>$B3="SEM PROGRAMAÇÃO"</formula>
    </cfRule>
  </conditionalFormatting>
  <conditionalFormatting sqref="C526:F527 U637:Y655 D658:D659 D663:D664 D666:D673 U678:AK695 U696:AB696 AI696:AK696 AM628:AO899 U697:AK899">
    <cfRule type="expression" dxfId="2502" priority="2374">
      <formula>$B526="SEM PROGRAMAÇÃO"</formula>
    </cfRule>
    <cfRule type="expression" dxfId="2501" priority="2375">
      <formula>$B526="PROGRAMADO"</formula>
    </cfRule>
    <cfRule type="expression" dxfId="2500" priority="2376">
      <formula>$B526="NO CLIENTE"</formula>
    </cfRule>
    <cfRule type="expression" dxfId="2499" priority="2377">
      <formula>$B526="ENTREGUE"</formula>
    </cfRule>
    <cfRule type="expression" dxfId="2498" priority="2378">
      <formula>$B526="FINALIZADO"</formula>
    </cfRule>
    <cfRule type="expression" dxfId="2497" priority="2379">
      <formula>$B526="DOCUMENTO"</formula>
    </cfRule>
    <cfRule type="expression" dxfId="2496" priority="2380">
      <formula>$B526="CANCELADO"</formula>
    </cfRule>
    <cfRule type="expression" dxfId="2495" priority="2381">
      <formula>$B526="ATRASADO"</formula>
    </cfRule>
    <cfRule type="expression" dxfId="2494" priority="2382">
      <formula>$B526="AGUARDANDO VEÍCULO"</formula>
    </cfRule>
  </conditionalFormatting>
  <conditionalFormatting sqref="C676:O677">
    <cfRule type="expression" dxfId="2493" priority="1663">
      <formula>$B676="SEM PROGRAMAÇÃO"</formula>
    </cfRule>
    <cfRule type="expression" dxfId="2492" priority="1664">
      <formula>$B676="PROGRAMADO"</formula>
    </cfRule>
    <cfRule type="expression" dxfId="2491" priority="1665">
      <formula>$B676="NO CLIENTE"</formula>
    </cfRule>
    <cfRule type="expression" dxfId="2490" priority="1666">
      <formula>$B676="ENTREGUE"</formula>
    </cfRule>
    <cfRule type="expression" dxfId="2489" priority="1667">
      <formula>$B676="FINALIZADO"</formula>
    </cfRule>
    <cfRule type="expression" dxfId="2488" priority="1668">
      <formula>$B676="DOCUMENTO"</formula>
    </cfRule>
    <cfRule type="expression" dxfId="2487" priority="1669">
      <formula>$B676="CANCELADO"</formula>
    </cfRule>
    <cfRule type="expression" dxfId="2486" priority="1670">
      <formula>$B676="ATRASADO"</formula>
    </cfRule>
    <cfRule type="expression" dxfId="2485" priority="1671">
      <formula>$B676="AGUARDANDO VEÍCULO"</formula>
    </cfRule>
  </conditionalFormatting>
  <conditionalFormatting sqref="E3:E140">
    <cfRule type="expression" dxfId="2484" priority="2670">
      <formula>#REF!="SEM PROGRAMAÇÃO"</formula>
    </cfRule>
    <cfRule type="expression" dxfId="2483" priority="2671">
      <formula>#REF!="PROGRAMADO"</formula>
    </cfRule>
    <cfRule type="expression" dxfId="2482" priority="2672">
      <formula>#REF!="NO CLIENTE"</formula>
    </cfRule>
    <cfRule type="expression" dxfId="2481" priority="2673">
      <formula>#REF!="ENTREGUE"</formula>
    </cfRule>
    <cfRule type="expression" dxfId="2480" priority="2674">
      <formula>#REF!="FINALIZADO"</formula>
    </cfRule>
    <cfRule type="expression" dxfId="2479" priority="2675">
      <formula>#REF!="DOCUMENTO"</formula>
    </cfRule>
    <cfRule type="expression" dxfId="2478" priority="2676">
      <formula>#REF!="CANCELADO"</formula>
    </cfRule>
    <cfRule type="expression" dxfId="2477" priority="2677">
      <formula>#REF!="ATRASADO"</formula>
    </cfRule>
    <cfRule type="expression" dxfId="2476" priority="2678">
      <formula>#REF!="AGUARDANDO VEÍCULO"</formula>
    </cfRule>
  </conditionalFormatting>
  <conditionalFormatting sqref="E249">
    <cfRule type="expression" dxfId="2475" priority="2579">
      <formula>$B249="SEM PROGRAMAÇÃO"</formula>
    </cfRule>
    <cfRule type="expression" dxfId="2474" priority="2580">
      <formula>$B249="PROGRAMADO"</formula>
    </cfRule>
    <cfRule type="expression" dxfId="2473" priority="2581">
      <formula>$B249="NO CLIENTE"</formula>
    </cfRule>
    <cfRule type="expression" dxfId="2472" priority="2582">
      <formula>$B249="ENTREGUE"</formula>
    </cfRule>
    <cfRule type="expression" dxfId="2471" priority="2583">
      <formula>$B249="FINALIZADO"</formula>
    </cfRule>
    <cfRule type="expression" dxfId="2470" priority="2584">
      <formula>$B249="DOCUMENTO"</formula>
    </cfRule>
    <cfRule type="expression" dxfId="2469" priority="2585">
      <formula>$B249="CANCELADO"</formula>
    </cfRule>
    <cfRule type="expression" dxfId="2468" priority="2586">
      <formula>$B249="ATRASADO"</formula>
    </cfRule>
    <cfRule type="expression" dxfId="2467" priority="2587">
      <formula>$B249="AGUARDANDO VEÍCULO"</formula>
    </cfRule>
  </conditionalFormatting>
  <conditionalFormatting sqref="G526:I527">
    <cfRule type="expression" dxfId="2466" priority="2383">
      <formula>$B526="SEM PROGRAMAÇÃO"</formula>
    </cfRule>
    <cfRule type="expression" dxfId="2465" priority="2384">
      <formula>$B526="PROGRAMADO"</formula>
    </cfRule>
    <cfRule type="expression" dxfId="2464" priority="2385">
      <formula>$B526="NO CLIENTE"</formula>
    </cfRule>
    <cfRule type="expression" dxfId="2463" priority="2386">
      <formula>$B526="ENTREGUE"</formula>
    </cfRule>
    <cfRule type="expression" dxfId="2462" priority="2387">
      <formula>$B526="FINALIZADO"</formula>
    </cfRule>
    <cfRule type="expression" dxfId="2461" priority="2388">
      <formula>$B526="DOCUMENTO"</formula>
    </cfRule>
    <cfRule type="expression" dxfId="2460" priority="2389">
      <formula>$B526="CANCELADO"</formula>
    </cfRule>
    <cfRule type="expression" dxfId="2459" priority="2390">
      <formula>$B526="ATRASADO"</formula>
    </cfRule>
    <cfRule type="expression" dxfId="2458" priority="2391">
      <formula>$B526="AGUARDANDO VEÍCULO"</formula>
    </cfRule>
  </conditionalFormatting>
  <conditionalFormatting sqref="J3:J614">
    <cfRule type="duplicateValues" dxfId="2457" priority="4101"/>
  </conditionalFormatting>
  <conditionalFormatting sqref="P3:P657">
    <cfRule type="expression" dxfId="2456" priority="6832">
      <formula>$B21="NO CLIENTE"</formula>
    </cfRule>
    <cfRule type="expression" dxfId="2455" priority="6833">
      <formula>$B21="SEM PROGRAMAÇÃO"</formula>
    </cfRule>
    <cfRule type="expression" dxfId="2454" priority="6834">
      <formula>$B21="PROGRAMADO"</formula>
    </cfRule>
    <cfRule type="expression" dxfId="2453" priority="6835">
      <formula>$B21="PRÉ-STACKING"</formula>
    </cfRule>
    <cfRule type="expression" dxfId="2452" priority="6836">
      <formula>$B21="FINALIZADO"</formula>
    </cfRule>
    <cfRule type="expression" dxfId="2451" priority="6837">
      <formula>$B21="ENTREGUE"</formula>
    </cfRule>
    <cfRule type="expression" dxfId="2450" priority="6838">
      <formula>$B21="EM TRÂNSITO TERMINAL"</formula>
    </cfRule>
    <cfRule type="expression" dxfId="2449" priority="6839">
      <formula>$B21="EM TRÂNSITO CLIENTE"</formula>
    </cfRule>
    <cfRule type="expression" dxfId="2448" priority="6840">
      <formula>$B21="CANCELADO"</formula>
    </cfRule>
    <cfRule type="expression" dxfId="2447" priority="6841">
      <formula>$B21="AGUARDANDO VEÍCULO"</formula>
    </cfRule>
    <cfRule type="expression" dxfId="2446" priority="8060">
      <formula>$B21="SEM PROGRAMAÇÃO"</formula>
    </cfRule>
    <cfRule type="expression" dxfId="2445" priority="8061">
      <formula>$B21="PROGRAMADO"</formula>
    </cfRule>
    <cfRule type="expression" dxfId="2444" priority="8062">
      <formula>$B21="NO CLIENTE"</formula>
    </cfRule>
    <cfRule type="expression" dxfId="2443" priority="8063">
      <formula>$B21="ENTREGUE"</formula>
    </cfRule>
    <cfRule type="expression" dxfId="2442" priority="8064">
      <formula>$B21="FINALIZADO"</formula>
    </cfRule>
    <cfRule type="expression" dxfId="2441" priority="8065">
      <formula>$B21="DOCUMENTO"</formula>
    </cfRule>
    <cfRule type="expression" dxfId="2440" priority="8066">
      <formula>$B21="CANCELADO"</formula>
    </cfRule>
    <cfRule type="expression" dxfId="2439" priority="8067">
      <formula>$B21="ATRASADO"</formula>
    </cfRule>
    <cfRule type="expression" dxfId="2438" priority="8068">
      <formula>$B21="AGUARDANDO VEÍCULO"</formula>
    </cfRule>
    <cfRule type="expression" dxfId="2437" priority="8069">
      <formula>$B7="NO CLIENTE"</formula>
    </cfRule>
    <cfRule type="expression" dxfId="2436" priority="8070">
      <formula>$B7="SEM PROGRAMAÇÃO"</formula>
    </cfRule>
    <cfRule type="expression" dxfId="2435" priority="8071">
      <formula>$B7="PROGRAMADO"</formula>
    </cfRule>
    <cfRule type="expression" dxfId="2434" priority="8072">
      <formula>$B7="PRÉ-STACKING"</formula>
    </cfRule>
    <cfRule type="expression" dxfId="2433" priority="8073">
      <formula>$B7="FINALIZADO"</formula>
    </cfRule>
    <cfRule type="expression" dxfId="2432" priority="8074">
      <formula>$B7="ENTREGUE"</formula>
    </cfRule>
    <cfRule type="expression" dxfId="2431" priority="8075">
      <formula>$B7="EM TRÂNSITO TERMINAL"</formula>
    </cfRule>
    <cfRule type="expression" dxfId="2430" priority="8076">
      <formula>$B7="EM TRÂNSITO CLIENTE"</formula>
    </cfRule>
    <cfRule type="expression" dxfId="2429" priority="8077">
      <formula>$B7="CANCELADO"</formula>
    </cfRule>
    <cfRule type="expression" dxfId="2428" priority="8078">
      <formula>$B7="AGUARDANDO VEÍCULO"</formula>
    </cfRule>
  </conditionalFormatting>
  <conditionalFormatting sqref="P3:P657">
    <cfRule type="expression" dxfId="2427" priority="7993">
      <formula>$B23="NO CLIENTE"</formula>
    </cfRule>
    <cfRule type="expression" dxfId="2426" priority="7994">
      <formula>$B23="SEM PROGRAMAÇÃO"</formula>
    </cfRule>
    <cfRule type="expression" dxfId="2425" priority="7995">
      <formula>$B23="PROGRAMADO"</formula>
    </cfRule>
    <cfRule type="expression" dxfId="2424" priority="7996">
      <formula>$B23="PRÉ-STACKING"</formula>
    </cfRule>
    <cfRule type="expression" dxfId="2423" priority="7997">
      <formula>$B23="FINALIZADO"</formula>
    </cfRule>
    <cfRule type="expression" dxfId="2422" priority="7998">
      <formula>$B23="ENTREGUE"</formula>
    </cfRule>
    <cfRule type="expression" dxfId="2421" priority="7999">
      <formula>$B23="EM TRÂNSITO TERMINAL"</formula>
    </cfRule>
    <cfRule type="expression" dxfId="2420" priority="8000">
      <formula>$B23="EM TRÂNSITO CLIENTE"</formula>
    </cfRule>
    <cfRule type="expression" dxfId="2419" priority="8001">
      <formula>$B23="CANCELADO"</formula>
    </cfRule>
    <cfRule type="expression" dxfId="2418" priority="8002">
      <formula>$B23="AGUARDANDO VEÍCULO"</formula>
    </cfRule>
  </conditionalFormatting>
  <conditionalFormatting sqref="P3:P658 P791 P833:P834 P836:P837">
    <cfRule type="expression" dxfId="2417" priority="7848">
      <formula>$B13="SEM PROGRAMAÇÃO"</formula>
    </cfRule>
    <cfRule type="expression" dxfId="2416" priority="7849">
      <formula>$B13="PROGRAMADO"</formula>
    </cfRule>
    <cfRule type="expression" dxfId="2415" priority="7850">
      <formula>$B13="NO CLIENTE"</formula>
    </cfRule>
    <cfRule type="expression" dxfId="2414" priority="7851">
      <formula>$B13="ENTREGUE"</formula>
    </cfRule>
    <cfRule type="expression" dxfId="2413" priority="7852">
      <formula>$B13="FINALIZADO"</formula>
    </cfRule>
    <cfRule type="expression" dxfId="2412" priority="7853">
      <formula>$B13="DOCUMENTO"</formula>
    </cfRule>
    <cfRule type="expression" dxfId="2411" priority="7854">
      <formula>$B13="CANCELADO"</formula>
    </cfRule>
    <cfRule type="expression" dxfId="2410" priority="7855">
      <formula>$B13="ATRASADO"</formula>
    </cfRule>
    <cfRule type="expression" dxfId="2409" priority="7856">
      <formula>$B13="AGUARDANDO VEÍCULO"</formula>
    </cfRule>
  </conditionalFormatting>
  <conditionalFormatting sqref="P3:P659 P827 P829:P830 P834">
    <cfRule type="expression" dxfId="2408" priority="6823">
      <formula>$B20="SEM PROGRAMAÇÃO"</formula>
    </cfRule>
    <cfRule type="expression" dxfId="2407" priority="6824">
      <formula>$B20="PROGRAMADO"</formula>
    </cfRule>
    <cfRule type="expression" dxfId="2406" priority="6825">
      <formula>$B20="NO CLIENTE"</formula>
    </cfRule>
    <cfRule type="expression" dxfId="2405" priority="6826">
      <formula>$B20="ENTREGUE"</formula>
    </cfRule>
    <cfRule type="expression" dxfId="2404" priority="6827">
      <formula>$B20="FINALIZADO"</formula>
    </cfRule>
    <cfRule type="expression" dxfId="2403" priority="6828">
      <formula>$B20="DOCUMENTO"</formula>
    </cfRule>
    <cfRule type="expression" dxfId="2402" priority="6829">
      <formula>$B20="CANCELADO"</formula>
    </cfRule>
    <cfRule type="expression" dxfId="2401" priority="6830">
      <formula>$B20="ATRASADO"</formula>
    </cfRule>
    <cfRule type="expression" dxfId="2400" priority="6831">
      <formula>$B20="AGUARDANDO VEÍCULO"</formula>
    </cfRule>
  </conditionalFormatting>
  <conditionalFormatting sqref="P658">
    <cfRule type="expression" dxfId="2399" priority="7648">
      <formula>$B668="NO CLIENTE"</formula>
    </cfRule>
    <cfRule type="expression" dxfId="2398" priority="7649">
      <formula>$B668="SEM PROGRAMAÇÃO"</formula>
    </cfRule>
    <cfRule type="expression" dxfId="2397" priority="7650">
      <formula>$B668="PROGRAMADO"</formula>
    </cfRule>
    <cfRule type="expression" dxfId="2396" priority="7651">
      <formula>$B668="PRÉ-STACKING"</formula>
    </cfRule>
    <cfRule type="expression" dxfId="2395" priority="7652">
      <formula>$B668="FINALIZADO"</formula>
    </cfRule>
    <cfRule type="expression" dxfId="2394" priority="7653">
      <formula>$B668="ENTREGUE"</formula>
    </cfRule>
    <cfRule type="expression" dxfId="2393" priority="7654">
      <formula>$B668="EM TRÂNSITO TERMINAL"</formula>
    </cfRule>
    <cfRule type="expression" dxfId="2392" priority="7655">
      <formula>$B668="EM TRÂNSITO CLIENTE"</formula>
    </cfRule>
    <cfRule type="expression" dxfId="2391" priority="7656">
      <formula>$B668="CANCELADO"</formula>
    </cfRule>
    <cfRule type="expression" dxfId="2390" priority="7657">
      <formula>$B668="AGUARDANDO VEÍCULO"</formula>
    </cfRule>
    <cfRule type="expression" dxfId="2389" priority="8370">
      <formula>$B677="SEM PROGRAMAÇÃO"</formula>
    </cfRule>
    <cfRule type="expression" dxfId="2388" priority="8371">
      <formula>$B677="PROGRAMADO"</formula>
    </cfRule>
    <cfRule type="expression" dxfId="2387" priority="8372">
      <formula>$B677="NO CLIENTE"</formula>
    </cfRule>
    <cfRule type="expression" dxfId="2386" priority="8373">
      <formula>$B677="ENTREGUE"</formula>
    </cfRule>
    <cfRule type="expression" dxfId="2385" priority="8374">
      <formula>$B677="FINALIZADO"</formula>
    </cfRule>
    <cfRule type="expression" dxfId="2384" priority="8375">
      <formula>$B677="DOCUMENTO"</formula>
    </cfRule>
    <cfRule type="expression" dxfId="2383" priority="8376">
      <formula>$B677="CANCELADO"</formula>
    </cfRule>
    <cfRule type="expression" dxfId="2382" priority="8377">
      <formula>$B677="ATRASADO"</formula>
    </cfRule>
    <cfRule type="expression" dxfId="2381" priority="8378">
      <formula>$B677="AGUARDANDO VEÍCULO"</formula>
    </cfRule>
    <cfRule type="expression" dxfId="2380" priority="8379">
      <formula>$B669="NO CLIENTE"</formula>
    </cfRule>
    <cfRule type="expression" dxfId="2379" priority="8380">
      <formula>$B669="SEM PROGRAMAÇÃO"</formula>
    </cfRule>
    <cfRule type="expression" dxfId="2378" priority="8381">
      <formula>$B669="PROGRAMADO"</formula>
    </cfRule>
    <cfRule type="expression" dxfId="2377" priority="8382">
      <formula>$B669="PRÉ-STACKING"</formula>
    </cfRule>
    <cfRule type="expression" dxfId="2376" priority="8383">
      <formula>$B669="FINALIZADO"</formula>
    </cfRule>
    <cfRule type="expression" dxfId="2375" priority="8384">
      <formula>$B669="ENTREGUE"</formula>
    </cfRule>
    <cfRule type="expression" dxfId="2374" priority="8385">
      <formula>$B669="EM TRÂNSITO TERMINAL"</formula>
    </cfRule>
    <cfRule type="expression" dxfId="2373" priority="8386">
      <formula>$B669="EM TRÂNSITO CLIENTE"</formula>
    </cfRule>
    <cfRule type="expression" dxfId="2372" priority="8387">
      <formula>$B669="CANCELADO"</formula>
    </cfRule>
    <cfRule type="expression" dxfId="2371" priority="8388">
      <formula>$B669="AGUARDANDO VEÍCULO"</formula>
    </cfRule>
    <cfRule type="expression" dxfId="2370" priority="8484">
      <formula>$B669="SEM PROGRAMAÇÃO"</formula>
    </cfRule>
    <cfRule type="expression" dxfId="2369" priority="8485">
      <formula>$B669="PROGRAMADO"</formula>
    </cfRule>
    <cfRule type="expression" dxfId="2368" priority="8486">
      <formula>$B669="NO CLIENTE"</formula>
    </cfRule>
    <cfRule type="expression" dxfId="2367" priority="8487">
      <formula>$B669="ENTREGUE"</formula>
    </cfRule>
    <cfRule type="expression" dxfId="2366" priority="8488">
      <formula>$B669="FINALIZADO"</formula>
    </cfRule>
    <cfRule type="expression" dxfId="2365" priority="8489">
      <formula>$B669="DOCUMENTO"</formula>
    </cfRule>
    <cfRule type="expression" dxfId="2364" priority="8490">
      <formula>$B669="CANCELADO"</formula>
    </cfRule>
    <cfRule type="expression" dxfId="2363" priority="8491">
      <formula>$B669="ATRASADO"</formula>
    </cfRule>
    <cfRule type="expression" dxfId="2362" priority="8492">
      <formula>$B669="AGUARDANDO VEÍCULO"</formula>
    </cfRule>
    <cfRule type="expression" dxfId="2361" priority="8493">
      <formula>$B662="NO CLIENTE"</formula>
    </cfRule>
    <cfRule type="expression" dxfId="2360" priority="8494">
      <formula>$B662="SEM PROGRAMAÇÃO"</formula>
    </cfRule>
    <cfRule type="expression" dxfId="2359" priority="8495">
      <formula>$B662="PROGRAMADO"</formula>
    </cfRule>
    <cfRule type="expression" dxfId="2358" priority="8496">
      <formula>$B662="PRÉ-STACKING"</formula>
    </cfRule>
    <cfRule type="expression" dxfId="2357" priority="8497">
      <formula>$B662="FINALIZADO"</formula>
    </cfRule>
    <cfRule type="expression" dxfId="2356" priority="8498">
      <formula>$B662="ENTREGUE"</formula>
    </cfRule>
    <cfRule type="expression" dxfId="2355" priority="8499">
      <formula>$B662="EM TRÂNSITO TERMINAL"</formula>
    </cfRule>
    <cfRule type="expression" dxfId="2354" priority="8500">
      <formula>$B662="EM TRÂNSITO CLIENTE"</formula>
    </cfRule>
    <cfRule type="expression" dxfId="2353" priority="8501">
      <formula>$B662="CANCELADO"</formula>
    </cfRule>
    <cfRule type="expression" dxfId="2352" priority="8502">
      <formula>$B662="AGUARDANDO VEÍCULO"</formula>
    </cfRule>
  </conditionalFormatting>
  <conditionalFormatting sqref="P658:P659">
    <cfRule type="expression" dxfId="2351" priority="7857">
      <formula>$B665="NO CLIENTE"</formula>
    </cfRule>
    <cfRule type="expression" dxfId="2350" priority="7858">
      <formula>$B665="SEM PROGRAMAÇÃO"</formula>
    </cfRule>
    <cfRule type="expression" dxfId="2349" priority="7859">
      <formula>$B665="PROGRAMADO"</formula>
    </cfRule>
    <cfRule type="expression" dxfId="2348" priority="7860">
      <formula>$B665="PRÉ-STACKING"</formula>
    </cfRule>
    <cfRule type="expression" dxfId="2347" priority="7861">
      <formula>$B665="FINALIZADO"</formula>
    </cfRule>
    <cfRule type="expression" dxfId="2346" priority="7862">
      <formula>$B665="ENTREGUE"</formula>
    </cfRule>
    <cfRule type="expression" dxfId="2345" priority="7863">
      <formula>$B665="EM TRÂNSITO TERMINAL"</formula>
    </cfRule>
    <cfRule type="expression" dxfId="2344" priority="7864">
      <formula>$B665="EM TRÂNSITO CLIENTE"</formula>
    </cfRule>
    <cfRule type="expression" dxfId="2343" priority="7865">
      <formula>$B665="CANCELADO"</formula>
    </cfRule>
    <cfRule type="expression" dxfId="2342" priority="7866">
      <formula>$B665="AGUARDANDO VEÍCULO"</formula>
    </cfRule>
  </conditionalFormatting>
  <conditionalFormatting sqref="P659">
    <cfRule type="expression" dxfId="2341" priority="6333">
      <formula>$B662="SEM PROGRAMAÇÃO"</formula>
    </cfRule>
    <cfRule type="expression" dxfId="2340" priority="6334">
      <formula>$B662="PROGRAMADO"</formula>
    </cfRule>
    <cfRule type="expression" dxfId="2339" priority="6335">
      <formula>$B662="NO CLIENTE"</formula>
    </cfRule>
    <cfRule type="expression" dxfId="2338" priority="6336">
      <formula>$B662="ENTREGUE"</formula>
    </cfRule>
    <cfRule type="expression" dxfId="2337" priority="6337">
      <formula>$B662="FINALIZADO"</formula>
    </cfRule>
    <cfRule type="expression" dxfId="2336" priority="6338">
      <formula>$B662="DOCUMENTO"</formula>
    </cfRule>
    <cfRule type="expression" dxfId="2335" priority="6339">
      <formula>$B662="CANCELADO"</formula>
    </cfRule>
    <cfRule type="expression" dxfId="2334" priority="6340">
      <formula>$B662="ATRASADO"</formula>
    </cfRule>
    <cfRule type="expression" dxfId="2333" priority="6341">
      <formula>$B662="AGUARDANDO VEÍCULO"</formula>
    </cfRule>
    <cfRule type="expression" dxfId="2332" priority="6342">
      <formula>$B658="NO CLIENTE"</formula>
    </cfRule>
    <cfRule type="expression" dxfId="2331" priority="6343">
      <formula>$B658="SEM PROGRAMAÇÃO"</formula>
    </cfRule>
    <cfRule type="expression" dxfId="2330" priority="6344">
      <formula>$B658="PROGRAMADO"</formula>
    </cfRule>
    <cfRule type="expression" dxfId="2329" priority="6345">
      <formula>$B658="PRÉ-STACKING"</formula>
    </cfRule>
    <cfRule type="expression" dxfId="2328" priority="6346">
      <formula>$B658="FINALIZADO"</formula>
    </cfRule>
    <cfRule type="expression" dxfId="2327" priority="6347">
      <formula>$B658="ENTREGUE"</formula>
    </cfRule>
    <cfRule type="expression" dxfId="2326" priority="6348">
      <formula>$B658="EM TRÂNSITO TERMINAL"</formula>
    </cfRule>
    <cfRule type="expression" dxfId="2325" priority="6349">
      <formula>$B658="EM TRÂNSITO CLIENTE"</formula>
    </cfRule>
    <cfRule type="expression" dxfId="2324" priority="6350">
      <formula>$B658="CANCELADO"</formula>
    </cfRule>
    <cfRule type="expression" dxfId="2323" priority="6351">
      <formula>$B658="AGUARDANDO VEÍCULO"</formula>
    </cfRule>
    <cfRule type="expression" dxfId="2322" priority="8022">
      <formula>$B668="SEM PROGRAMAÇÃO"</formula>
    </cfRule>
    <cfRule type="expression" dxfId="2321" priority="8023">
      <formula>$B668="PROGRAMADO"</formula>
    </cfRule>
    <cfRule type="expression" dxfId="2320" priority="8024">
      <formula>$B668="NO CLIENTE"</formula>
    </cfRule>
    <cfRule type="expression" dxfId="2319" priority="8025">
      <formula>$B668="ENTREGUE"</formula>
    </cfRule>
    <cfRule type="expression" dxfId="2318" priority="8026">
      <formula>$B668="FINALIZADO"</formula>
    </cfRule>
    <cfRule type="expression" dxfId="2317" priority="8027">
      <formula>$B668="DOCUMENTO"</formula>
    </cfRule>
    <cfRule type="expression" dxfId="2316" priority="8028">
      <formula>$B668="CANCELADO"</formula>
    </cfRule>
    <cfRule type="expression" dxfId="2315" priority="8029">
      <formula>$B668="ATRASADO"</formula>
    </cfRule>
    <cfRule type="expression" dxfId="2314" priority="8030">
      <formula>$B668="AGUARDANDO VEÍCULO"</formula>
    </cfRule>
    <cfRule type="expression" dxfId="2313" priority="8031">
      <formula>$B676="NO CLIENTE"</formula>
    </cfRule>
    <cfRule type="expression" dxfId="2312" priority="8032">
      <formula>$B676="SEM PROGRAMAÇÃO"</formula>
    </cfRule>
    <cfRule type="expression" dxfId="2311" priority="8033">
      <formula>$B676="PROGRAMADO"</formula>
    </cfRule>
    <cfRule type="expression" dxfId="2310" priority="8034">
      <formula>$B676="PRÉ-STACKING"</formula>
    </cfRule>
    <cfRule type="expression" dxfId="2309" priority="8035">
      <formula>$B676="FINALIZADO"</formula>
    </cfRule>
    <cfRule type="expression" dxfId="2308" priority="8036">
      <formula>$B676="ENTREGUE"</formula>
    </cfRule>
    <cfRule type="expression" dxfId="2307" priority="8037">
      <formula>$B676="EM TRÂNSITO TERMINAL"</formula>
    </cfRule>
    <cfRule type="expression" dxfId="2306" priority="8038">
      <formula>$B676="EM TRÂNSITO CLIENTE"</formula>
    </cfRule>
    <cfRule type="expression" dxfId="2305" priority="8039">
      <formula>$B676="CANCELADO"</formula>
    </cfRule>
    <cfRule type="expression" dxfId="2304" priority="8040">
      <formula>$B676="AGUARDANDO VEÍCULO"</formula>
    </cfRule>
    <cfRule type="expression" dxfId="2303" priority="8465">
      <formula>$B669="SEM PROGRAMAÇÃO"</formula>
    </cfRule>
    <cfRule type="expression" dxfId="2302" priority="8466">
      <formula>$B669="PROGRAMADO"</formula>
    </cfRule>
    <cfRule type="expression" dxfId="2301" priority="8467">
      <formula>$B669="NO CLIENTE"</formula>
    </cfRule>
    <cfRule type="expression" dxfId="2300" priority="8468">
      <formula>$B669="ENTREGUE"</formula>
    </cfRule>
    <cfRule type="expression" dxfId="2299" priority="8469">
      <formula>$B669="FINALIZADO"</formula>
    </cfRule>
    <cfRule type="expression" dxfId="2298" priority="8470">
      <formula>$B669="DOCUMENTO"</formula>
    </cfRule>
    <cfRule type="expression" dxfId="2297" priority="8471">
      <formula>$B669="CANCELADO"</formula>
    </cfRule>
    <cfRule type="expression" dxfId="2296" priority="8472">
      <formula>$B669="ATRASADO"</formula>
    </cfRule>
    <cfRule type="expression" dxfId="2295" priority="8473">
      <formula>$B669="AGUARDANDO VEÍCULO"</formula>
    </cfRule>
    <cfRule type="expression" dxfId="2294" priority="8474">
      <formula>$B662="NO CLIENTE"</formula>
    </cfRule>
    <cfRule type="expression" dxfId="2293" priority="8475">
      <formula>$B662="SEM PROGRAMAÇÃO"</formula>
    </cfRule>
    <cfRule type="expression" dxfId="2292" priority="8476">
      <formula>$B662="PROGRAMADO"</formula>
    </cfRule>
    <cfRule type="expression" dxfId="2291" priority="8477">
      <formula>$B662="PRÉ-STACKING"</formula>
    </cfRule>
    <cfRule type="expression" dxfId="2290" priority="8478">
      <formula>$B662="FINALIZADO"</formula>
    </cfRule>
    <cfRule type="expression" dxfId="2289" priority="8479">
      <formula>$B662="ENTREGUE"</formula>
    </cfRule>
    <cfRule type="expression" dxfId="2288" priority="8480">
      <formula>$B662="EM TRÂNSITO TERMINAL"</formula>
    </cfRule>
    <cfRule type="expression" dxfId="2287" priority="8481">
      <formula>$B662="EM TRÂNSITO CLIENTE"</formula>
    </cfRule>
    <cfRule type="expression" dxfId="2286" priority="8482">
      <formula>$B662="CANCELADO"</formula>
    </cfRule>
    <cfRule type="expression" dxfId="2285" priority="8483">
      <formula>$B662="AGUARDANDO VEÍCULO"</formula>
    </cfRule>
  </conditionalFormatting>
  <conditionalFormatting sqref="P660:P661">
    <cfRule type="expression" dxfId="2284" priority="8088">
      <formula>$B674="NO CLIENTE"</formula>
    </cfRule>
    <cfRule type="expression" dxfId="2283" priority="8089">
      <formula>$B674="SEM PROGRAMAÇÃO"</formula>
    </cfRule>
    <cfRule type="expression" dxfId="2282" priority="8090">
      <formula>$B674="PROGRAMADO"</formula>
    </cfRule>
    <cfRule type="expression" dxfId="2281" priority="8091">
      <formula>$B674="PRÉ-STACKING"</formula>
    </cfRule>
    <cfRule type="expression" dxfId="2280" priority="8092">
      <formula>$B674="FINALIZADO"</formula>
    </cfRule>
    <cfRule type="expression" dxfId="2279" priority="8093">
      <formula>$B674="ENTREGUE"</formula>
    </cfRule>
    <cfRule type="expression" dxfId="2278" priority="8094">
      <formula>$B674="EM TRÂNSITO TERMINAL"</formula>
    </cfRule>
    <cfRule type="expression" dxfId="2277" priority="8095">
      <formula>$B674="EM TRÂNSITO CLIENTE"</formula>
    </cfRule>
    <cfRule type="expression" dxfId="2276" priority="8096">
      <formula>$B674="CANCELADO"</formula>
    </cfRule>
    <cfRule type="expression" dxfId="2275" priority="8097">
      <formula>$B674="AGUARDANDO VEÍCULO"</formula>
    </cfRule>
  </conditionalFormatting>
  <conditionalFormatting sqref="P660:P664 P706:P714 P724:P774 P794:P798 P780:P792 P801:P805 P829:P831 P870 P885 P893">
    <cfRule type="expression" dxfId="2274" priority="5934">
      <formula>$B655="SEM PROGRAMAÇÃO"</formula>
    </cfRule>
    <cfRule type="expression" dxfId="2273" priority="5935">
      <formula>$B655="PROGRAMADO"</formula>
    </cfRule>
    <cfRule type="expression" dxfId="2272" priority="5936">
      <formula>$B655="NO CLIENTE"</formula>
    </cfRule>
    <cfRule type="expression" dxfId="2271" priority="5937">
      <formula>$B655="ENTREGUE"</formula>
    </cfRule>
    <cfRule type="expression" dxfId="2270" priority="5938">
      <formula>$B655="FINALIZADO"</formula>
    </cfRule>
    <cfRule type="expression" dxfId="2269" priority="5939">
      <formula>$B655="DOCUMENTO"</formula>
    </cfRule>
    <cfRule type="expression" dxfId="2268" priority="5940">
      <formula>$B655="CANCELADO"</formula>
    </cfRule>
    <cfRule type="expression" dxfId="2267" priority="5941">
      <formula>$B655="ATRASADO"</formula>
    </cfRule>
    <cfRule type="expression" dxfId="2266" priority="5942">
      <formula>$B655="AGUARDANDO VEÍCULO"</formula>
    </cfRule>
  </conditionalFormatting>
  <conditionalFormatting sqref="P662">
    <cfRule type="expression" dxfId="2265" priority="8455">
      <formula>$B669="NO CLIENTE"</formula>
    </cfRule>
    <cfRule type="expression" dxfId="2264" priority="8456">
      <formula>$B669="SEM PROGRAMAÇÃO"</formula>
    </cfRule>
    <cfRule type="expression" dxfId="2263" priority="8457">
      <formula>$B669="PROGRAMADO"</formula>
    </cfRule>
    <cfRule type="expression" dxfId="2262" priority="8458">
      <formula>$B669="PRÉ-STACKING"</formula>
    </cfRule>
    <cfRule type="expression" dxfId="2261" priority="8459">
      <formula>$B669="FINALIZADO"</formula>
    </cfRule>
    <cfRule type="expression" dxfId="2260" priority="8460">
      <formula>$B669="ENTREGUE"</formula>
    </cfRule>
    <cfRule type="expression" dxfId="2259" priority="8461">
      <formula>$B669="EM TRÂNSITO TERMINAL"</formula>
    </cfRule>
    <cfRule type="expression" dxfId="2258" priority="8462">
      <formula>$B669="EM TRÂNSITO CLIENTE"</formula>
    </cfRule>
    <cfRule type="expression" dxfId="2257" priority="8463">
      <formula>$B669="CANCELADO"</formula>
    </cfRule>
    <cfRule type="expression" dxfId="2256" priority="8464">
      <formula>$B669="AGUARDANDO VEÍCULO"</formula>
    </cfRule>
  </conditionalFormatting>
  <conditionalFormatting sqref="P663">
    <cfRule type="expression" dxfId="2255" priority="5943">
      <formula>$B659="NO CLIENTE"</formula>
    </cfRule>
    <cfRule type="expression" dxfId="2254" priority="5944">
      <formula>$B659="SEM PROGRAMAÇÃO"</formula>
    </cfRule>
    <cfRule type="expression" dxfId="2253" priority="5945">
      <formula>$B659="PROGRAMADO"</formula>
    </cfRule>
    <cfRule type="expression" dxfId="2252" priority="5946">
      <formula>$B659="PRÉ-STACKING"</formula>
    </cfRule>
    <cfRule type="expression" dxfId="2251" priority="5947">
      <formula>$B659="FINALIZADO"</formula>
    </cfRule>
    <cfRule type="expression" dxfId="2250" priority="5948">
      <formula>$B659="ENTREGUE"</formula>
    </cfRule>
    <cfRule type="expression" dxfId="2249" priority="5949">
      <formula>$B659="EM TRÂNSITO TERMINAL"</formula>
    </cfRule>
    <cfRule type="expression" dxfId="2248" priority="5950">
      <formula>$B659="EM TRÂNSITO CLIENTE"</formula>
    </cfRule>
    <cfRule type="expression" dxfId="2247" priority="5951">
      <formula>$B659="CANCELADO"</formula>
    </cfRule>
    <cfRule type="expression" dxfId="2246" priority="5952">
      <formula>$B659="AGUARDANDO VEÍCULO"</formula>
    </cfRule>
  </conditionalFormatting>
  <conditionalFormatting sqref="P664">
    <cfRule type="expression" dxfId="2245" priority="6772">
      <formula>$B663="NO CLIENTE"</formula>
    </cfRule>
    <cfRule type="expression" dxfId="2244" priority="6773">
      <formula>$B663="SEM PROGRAMAÇÃO"</formula>
    </cfRule>
    <cfRule type="expression" dxfId="2243" priority="6774">
      <formula>$B663="PROGRAMADO"</formula>
    </cfRule>
    <cfRule type="expression" dxfId="2242" priority="6775">
      <formula>$B663="PRÉ-STACKING"</formula>
    </cfRule>
    <cfRule type="expression" dxfId="2241" priority="6776">
      <formula>$B663="FINALIZADO"</formula>
    </cfRule>
    <cfRule type="expression" dxfId="2240" priority="6777">
      <formula>$B663="ENTREGUE"</formula>
    </cfRule>
    <cfRule type="expression" dxfId="2239" priority="6778">
      <formula>$B663="EM TRÂNSITO TERMINAL"</formula>
    </cfRule>
    <cfRule type="expression" dxfId="2238" priority="6779">
      <formula>$B663="EM TRÂNSITO CLIENTE"</formula>
    </cfRule>
    <cfRule type="expression" dxfId="2237" priority="6780">
      <formula>$B663="CANCELADO"</formula>
    </cfRule>
    <cfRule type="expression" dxfId="2236" priority="6781">
      <formula>$B663="AGUARDANDO VEÍCULO"</formula>
    </cfRule>
  </conditionalFormatting>
  <conditionalFormatting sqref="P665">
    <cfRule type="expression" dxfId="2235" priority="1535">
      <formula>$B666="NO CLIENTE"</formula>
    </cfRule>
    <cfRule type="expression" dxfId="2234" priority="1536">
      <formula>$B666="SEM PROGRAMAÇÃO"</formula>
    </cfRule>
    <cfRule type="expression" dxfId="2233" priority="1537">
      <formula>$B666="PROGRAMADO"</formula>
    </cfRule>
    <cfRule type="expression" dxfId="2232" priority="1538">
      <formula>$B666="PRÉ-STACKING"</formula>
    </cfRule>
    <cfRule type="expression" dxfId="2231" priority="1539">
      <formula>$B666="FINALIZADO"</formula>
    </cfRule>
    <cfRule type="expression" dxfId="2230" priority="1540">
      <formula>$B666="ENTREGUE"</formula>
    </cfRule>
    <cfRule type="expression" dxfId="2229" priority="1541">
      <formula>$B666="EM TRÂNSITO TERMINAL"</formula>
    </cfRule>
    <cfRule type="expression" dxfId="2228" priority="1542">
      <formula>$B666="EM TRÂNSITO CLIENTE"</formula>
    </cfRule>
    <cfRule type="expression" dxfId="2227" priority="1543">
      <formula>$B666="CANCELADO"</formula>
    </cfRule>
    <cfRule type="expression" dxfId="2226" priority="1544">
      <formula>$B666="AGUARDANDO VEÍCULO"</formula>
    </cfRule>
    <cfRule type="expression" dxfId="2225" priority="4550">
      <formula>$B655="SEM PROGRAMAÇÃO"</formula>
    </cfRule>
    <cfRule type="expression" dxfId="2224" priority="4551">
      <formula>$B655="PROGRAMADO"</formula>
    </cfRule>
    <cfRule type="expression" dxfId="2223" priority="4552">
      <formula>$B655="NO CLIENTE"</formula>
    </cfRule>
    <cfRule type="expression" dxfId="2222" priority="4553">
      <formula>$B655="ENTREGUE"</formula>
    </cfRule>
    <cfRule type="expression" dxfId="2221" priority="4554">
      <formula>$B655="FINALIZADO"</formula>
    </cfRule>
    <cfRule type="expression" dxfId="2220" priority="4555">
      <formula>$B655="DOCUMENTO"</formula>
    </cfRule>
    <cfRule type="expression" dxfId="2219" priority="4556">
      <formula>$B655="CANCELADO"</formula>
    </cfRule>
    <cfRule type="expression" dxfId="2218" priority="4557">
      <formula>$B655="ATRASADO"</formula>
    </cfRule>
    <cfRule type="expression" dxfId="2217" priority="4558">
      <formula>$B655="AGUARDANDO VEÍCULO"</formula>
    </cfRule>
  </conditionalFormatting>
  <conditionalFormatting sqref="P666:P673">
    <cfRule type="expression" dxfId="2216" priority="4569">
      <formula>$B655="NO CLIENTE"</formula>
    </cfRule>
    <cfRule type="expression" dxfId="2215" priority="4570">
      <formula>$B655="SEM PROGRAMAÇÃO"</formula>
    </cfRule>
    <cfRule type="expression" dxfId="2214" priority="4571">
      <formula>$B655="PROGRAMADO"</formula>
    </cfRule>
    <cfRule type="expression" dxfId="2213" priority="4572">
      <formula>$B655="PRÉ-STACKING"</formula>
    </cfRule>
    <cfRule type="expression" dxfId="2212" priority="4573">
      <formula>$B655="FINALIZADO"</formula>
    </cfRule>
    <cfRule type="expression" dxfId="2211" priority="4574">
      <formula>$B655="ENTREGUE"</formula>
    </cfRule>
    <cfRule type="expression" dxfId="2210" priority="4575">
      <formula>$B655="EM TRÂNSITO TERMINAL"</formula>
    </cfRule>
    <cfRule type="expression" dxfId="2209" priority="4576">
      <formula>$B655="EM TRÂNSITO CLIENTE"</formula>
    </cfRule>
    <cfRule type="expression" dxfId="2208" priority="4577">
      <formula>$B655="CANCELADO"</formula>
    </cfRule>
    <cfRule type="expression" dxfId="2207" priority="4578">
      <formula>$B655="AGUARDANDO VEÍCULO"</formula>
    </cfRule>
  </conditionalFormatting>
  <conditionalFormatting sqref="P667">
    <cfRule type="expression" dxfId="2206" priority="8041">
      <formula>$B668="SEM PROGRAMAÇÃO"</formula>
    </cfRule>
    <cfRule type="expression" dxfId="2205" priority="8042">
      <formula>$B668="PROGRAMADO"</formula>
    </cfRule>
    <cfRule type="expression" dxfId="2204" priority="8043">
      <formula>$B668="NO CLIENTE"</formula>
    </cfRule>
    <cfRule type="expression" dxfId="2203" priority="8044">
      <formula>$B668="ENTREGUE"</formula>
    </cfRule>
    <cfRule type="expression" dxfId="2202" priority="8045">
      <formula>$B668="FINALIZADO"</formula>
    </cfRule>
    <cfRule type="expression" dxfId="2201" priority="8046">
      <formula>$B668="DOCUMENTO"</formula>
    </cfRule>
    <cfRule type="expression" dxfId="2200" priority="8047">
      <formula>$B668="CANCELADO"</formula>
    </cfRule>
    <cfRule type="expression" dxfId="2199" priority="8048">
      <formula>$B668="ATRASADO"</formula>
    </cfRule>
    <cfRule type="expression" dxfId="2198" priority="8049">
      <formula>$B668="AGUARDANDO VEÍCULO"</formula>
    </cfRule>
    <cfRule type="expression" dxfId="2197" priority="8050">
      <formula>$B676="NO CLIENTE"</formula>
    </cfRule>
    <cfRule type="expression" dxfId="2196" priority="8051">
      <formula>$B676="SEM PROGRAMAÇÃO"</formula>
    </cfRule>
    <cfRule type="expression" dxfId="2195" priority="8052">
      <formula>$B676="PROGRAMADO"</formula>
    </cfRule>
    <cfRule type="expression" dxfId="2194" priority="8053">
      <formula>$B676="PRÉ-STACKING"</formula>
    </cfRule>
    <cfRule type="expression" dxfId="2193" priority="8054">
      <formula>$B676="FINALIZADO"</formula>
    </cfRule>
    <cfRule type="expression" dxfId="2192" priority="8055">
      <formula>$B676="ENTREGUE"</formula>
    </cfRule>
    <cfRule type="expression" dxfId="2191" priority="8056">
      <formula>$B676="EM TRÂNSITO TERMINAL"</formula>
    </cfRule>
    <cfRule type="expression" dxfId="2190" priority="8057">
      <formula>$B676="EM TRÂNSITO CLIENTE"</formula>
    </cfRule>
    <cfRule type="expression" dxfId="2189" priority="8058">
      <formula>$B676="CANCELADO"</formula>
    </cfRule>
    <cfRule type="expression" dxfId="2188" priority="8059">
      <formula>$B676="AGUARDANDO VEÍCULO"</formula>
    </cfRule>
  </conditionalFormatting>
  <conditionalFormatting sqref="P668">
    <cfRule type="expression" dxfId="2187" priority="5377">
      <formula>$B675="SEM PROGRAMAÇÃO"</formula>
    </cfRule>
    <cfRule type="expression" dxfId="2186" priority="5378">
      <formula>$B675="PROGRAMADO"</formula>
    </cfRule>
    <cfRule type="expression" dxfId="2185" priority="5379">
      <formula>$B675="NO CLIENTE"</formula>
    </cfRule>
    <cfRule type="expression" dxfId="2184" priority="5380">
      <formula>$B675="ENTREGUE"</formula>
    </cfRule>
    <cfRule type="expression" dxfId="2183" priority="5381">
      <formula>$B675="FINALIZADO"</formula>
    </cfRule>
    <cfRule type="expression" dxfId="2182" priority="5382">
      <formula>$B675="DOCUMENTO"</formula>
    </cfRule>
    <cfRule type="expression" dxfId="2181" priority="5383">
      <formula>$B675="CANCELADO"</formula>
    </cfRule>
    <cfRule type="expression" dxfId="2180" priority="5384">
      <formula>$B675="ATRASADO"</formula>
    </cfRule>
    <cfRule type="expression" dxfId="2179" priority="5385">
      <formula>$B675="AGUARDANDO VEÍCULO"</formula>
    </cfRule>
    <cfRule type="expression" dxfId="2178" priority="5386">
      <formula>$B661="NO CLIENTE"</formula>
    </cfRule>
    <cfRule type="expression" dxfId="2177" priority="5387">
      <formula>$B661="SEM PROGRAMAÇÃO"</formula>
    </cfRule>
    <cfRule type="expression" dxfId="2176" priority="5388">
      <formula>$B661="PROGRAMADO"</formula>
    </cfRule>
    <cfRule type="expression" dxfId="2175" priority="5389">
      <formula>$B661="PRÉ-STACKING"</formula>
    </cfRule>
    <cfRule type="expression" dxfId="2174" priority="5390">
      <formula>$B661="FINALIZADO"</formula>
    </cfRule>
    <cfRule type="expression" dxfId="2173" priority="5391">
      <formula>$B661="ENTREGUE"</formula>
    </cfRule>
    <cfRule type="expression" dxfId="2172" priority="5392">
      <formula>$B661="EM TRÂNSITO TERMINAL"</formula>
    </cfRule>
    <cfRule type="expression" dxfId="2171" priority="5393">
      <formula>$B661="EM TRÂNSITO CLIENTE"</formula>
    </cfRule>
    <cfRule type="expression" dxfId="2170" priority="5394">
      <formula>$B661="CANCELADO"</formula>
    </cfRule>
    <cfRule type="expression" dxfId="2169" priority="5395">
      <formula>$B661="AGUARDANDO VEÍCULO"</formula>
    </cfRule>
  </conditionalFormatting>
  <conditionalFormatting sqref="P669">
    <cfRule type="expression" dxfId="2168" priority="7889">
      <formula>$B677="SEM PROGRAMAÇÃO"</formula>
    </cfRule>
    <cfRule type="expression" dxfId="2167" priority="7890">
      <formula>$B677="PROGRAMADO"</formula>
    </cfRule>
    <cfRule type="expression" dxfId="2166" priority="7891">
      <formula>$B677="NO CLIENTE"</formula>
    </cfRule>
    <cfRule type="expression" dxfId="2165" priority="7892">
      <formula>$B677="ENTREGUE"</formula>
    </cfRule>
    <cfRule type="expression" dxfId="2164" priority="7893">
      <formula>$B677="FINALIZADO"</formula>
    </cfRule>
    <cfRule type="expression" dxfId="2163" priority="7894">
      <formula>$B677="DOCUMENTO"</formula>
    </cfRule>
    <cfRule type="expression" dxfId="2162" priority="7895">
      <formula>$B677="CANCELADO"</formula>
    </cfRule>
    <cfRule type="expression" dxfId="2161" priority="7896">
      <formula>$B677="ATRASADO"</formula>
    </cfRule>
    <cfRule type="expression" dxfId="2160" priority="7897">
      <formula>$B677="AGUARDANDO VEÍCULO"</formula>
    </cfRule>
    <cfRule type="expression" dxfId="2159" priority="7898">
      <formula>$B657="NO CLIENTE"</formula>
    </cfRule>
    <cfRule type="expression" dxfId="2158" priority="7899">
      <formula>$B657="SEM PROGRAMAÇÃO"</formula>
    </cfRule>
    <cfRule type="expression" dxfId="2157" priority="7900">
      <formula>$B657="PROGRAMADO"</formula>
    </cfRule>
    <cfRule type="expression" dxfId="2156" priority="7901">
      <formula>$B657="PRÉ-STACKING"</formula>
    </cfRule>
    <cfRule type="expression" dxfId="2155" priority="7902">
      <formula>$B657="FINALIZADO"</formula>
    </cfRule>
    <cfRule type="expression" dxfId="2154" priority="7903">
      <formula>$B657="ENTREGUE"</formula>
    </cfRule>
    <cfRule type="expression" dxfId="2153" priority="7904">
      <formula>$B657="EM TRÂNSITO TERMINAL"</formula>
    </cfRule>
    <cfRule type="expression" dxfId="2152" priority="7905">
      <formula>$B657="EM TRÂNSITO CLIENTE"</formula>
    </cfRule>
    <cfRule type="expression" dxfId="2151" priority="7906">
      <formula>$B657="CANCELADO"</formula>
    </cfRule>
    <cfRule type="expression" dxfId="2150" priority="7907">
      <formula>$B657="AGUARDANDO VEÍCULO"</formula>
    </cfRule>
  </conditionalFormatting>
  <conditionalFormatting sqref="P670">
    <cfRule type="expression" dxfId="2149" priority="6598">
      <formula>$B664="NO CLIENTE"</formula>
    </cfRule>
    <cfRule type="expression" dxfId="2148" priority="6599">
      <formula>$B664="SEM PROGRAMAÇÃO"</formula>
    </cfRule>
    <cfRule type="expression" dxfId="2147" priority="6600">
      <formula>$B664="PROGRAMADO"</formula>
    </cfRule>
    <cfRule type="expression" dxfId="2146" priority="6601">
      <formula>$B664="PRÉ-STACKING"</formula>
    </cfRule>
    <cfRule type="expression" dxfId="2145" priority="6602">
      <formula>$B664="FINALIZADO"</formula>
    </cfRule>
    <cfRule type="expression" dxfId="2144" priority="6603">
      <formula>$B664="ENTREGUE"</formula>
    </cfRule>
    <cfRule type="expression" dxfId="2143" priority="6604">
      <formula>$B664="EM TRÂNSITO TERMINAL"</formula>
    </cfRule>
    <cfRule type="expression" dxfId="2142" priority="6605">
      <formula>$B664="EM TRÂNSITO CLIENTE"</formula>
    </cfRule>
    <cfRule type="expression" dxfId="2141" priority="6606">
      <formula>$B664="CANCELADO"</formula>
    </cfRule>
    <cfRule type="expression" dxfId="2140" priority="6607">
      <formula>$B664="AGUARDANDO VEÍCULO"</formula>
    </cfRule>
  </conditionalFormatting>
  <conditionalFormatting sqref="P670:P671 P725 P721 P718 P775:P779 P809:P814 P787:P794 P796:P800 P805 P802 P834:P842 P859:P870 P873:P879">
    <cfRule type="expression" dxfId="2139" priority="6589">
      <formula>$B663="SEM PROGRAMAÇÃO"</formula>
    </cfRule>
    <cfRule type="expression" dxfId="2138" priority="6590">
      <formula>$B663="PROGRAMADO"</formula>
    </cfRule>
    <cfRule type="expression" dxfId="2137" priority="6591">
      <formula>$B663="NO CLIENTE"</formula>
    </cfRule>
    <cfRule type="expression" dxfId="2136" priority="6592">
      <formula>$B663="ENTREGUE"</formula>
    </cfRule>
    <cfRule type="expression" dxfId="2135" priority="6593">
      <formula>$B663="FINALIZADO"</formula>
    </cfRule>
    <cfRule type="expression" dxfId="2134" priority="6594">
      <formula>$B663="DOCUMENTO"</formula>
    </cfRule>
    <cfRule type="expression" dxfId="2133" priority="6595">
      <formula>$B663="CANCELADO"</formula>
    </cfRule>
    <cfRule type="expression" dxfId="2132" priority="6596">
      <formula>$B663="ATRASADO"</formula>
    </cfRule>
    <cfRule type="expression" dxfId="2131" priority="6597">
      <formula>$B663="AGUARDANDO VEÍCULO"</formula>
    </cfRule>
  </conditionalFormatting>
  <conditionalFormatting sqref="P671">
    <cfRule type="expression" dxfId="2130" priority="8512">
      <formula>$B670="NO CLIENTE"</formula>
    </cfRule>
    <cfRule type="expression" dxfId="2129" priority="8513">
      <formula>$B670="SEM PROGRAMAÇÃO"</formula>
    </cfRule>
    <cfRule type="expression" dxfId="2128" priority="8514">
      <formula>$B670="PROGRAMADO"</formula>
    </cfRule>
    <cfRule type="expression" dxfId="2127" priority="8515">
      <formula>$B670="PRÉ-STACKING"</formula>
    </cfRule>
    <cfRule type="expression" dxfId="2126" priority="8516">
      <formula>$B670="FINALIZADO"</formula>
    </cfRule>
    <cfRule type="expression" dxfId="2125" priority="8517">
      <formula>$B670="ENTREGUE"</formula>
    </cfRule>
    <cfRule type="expression" dxfId="2124" priority="8518">
      <formula>$B670="EM TRÂNSITO TERMINAL"</formula>
    </cfRule>
    <cfRule type="expression" dxfId="2123" priority="8519">
      <formula>$B670="EM TRÂNSITO CLIENTE"</formula>
    </cfRule>
    <cfRule type="expression" dxfId="2122" priority="8520">
      <formula>$B670="CANCELADO"</formula>
    </cfRule>
    <cfRule type="expression" dxfId="2121" priority="8521">
      <formula>$B670="AGUARDANDO VEÍCULO"</formula>
    </cfRule>
  </conditionalFormatting>
  <conditionalFormatting sqref="P672:P673 P684:P690 P693:P696">
    <cfRule type="expression" dxfId="2120" priority="4185">
      <formula>$B670="SEM PROGRAMAÇÃO"</formula>
    </cfRule>
    <cfRule type="expression" dxfId="2119" priority="4186">
      <formula>$B670="PROGRAMADO"</formula>
    </cfRule>
    <cfRule type="expression" dxfId="2118" priority="4187">
      <formula>$B670="NO CLIENTE"</formula>
    </cfRule>
    <cfRule type="expression" dxfId="2117" priority="4188">
      <formula>$B670="ENTREGUE"</formula>
    </cfRule>
    <cfRule type="expression" dxfId="2116" priority="4189">
      <formula>$B670="FINALIZADO"</formula>
    </cfRule>
    <cfRule type="expression" dxfId="2115" priority="4190">
      <formula>$B670="DOCUMENTO"</formula>
    </cfRule>
    <cfRule type="expression" dxfId="2114" priority="4191">
      <formula>$B670="CANCELADO"</formula>
    </cfRule>
    <cfRule type="expression" dxfId="2113" priority="4192">
      <formula>$B670="ATRASADO"</formula>
    </cfRule>
    <cfRule type="expression" dxfId="2112" priority="4193">
      <formula>$B670="AGUARDANDO VEÍCULO"</formula>
    </cfRule>
    <cfRule type="expression" dxfId="2111" priority="4204">
      <formula>$B671="NO CLIENTE"</formula>
    </cfRule>
    <cfRule type="expression" dxfId="2110" priority="4205">
      <formula>$B671="SEM PROGRAMAÇÃO"</formula>
    </cfRule>
    <cfRule type="expression" dxfId="2109" priority="4206">
      <formula>$B671="PROGRAMADO"</formula>
    </cfRule>
    <cfRule type="expression" dxfId="2108" priority="4207">
      <formula>$B671="PRÉ-STACKING"</formula>
    </cfRule>
    <cfRule type="expression" dxfId="2107" priority="4208">
      <formula>$B671="FINALIZADO"</formula>
    </cfRule>
    <cfRule type="expression" dxfId="2106" priority="4209">
      <formula>$B671="ENTREGUE"</formula>
    </cfRule>
    <cfRule type="expression" dxfId="2105" priority="4210">
      <formula>$B671="EM TRÂNSITO TERMINAL"</formula>
    </cfRule>
    <cfRule type="expression" dxfId="2104" priority="4211">
      <formula>$B671="EM TRÂNSITO CLIENTE"</formula>
    </cfRule>
    <cfRule type="expression" dxfId="2103" priority="4212">
      <formula>$B671="CANCELADO"</formula>
    </cfRule>
    <cfRule type="expression" dxfId="2102" priority="4213">
      <formula>$B671="AGUARDANDO VEÍCULO"</formula>
    </cfRule>
  </conditionalFormatting>
  <conditionalFormatting sqref="P674">
    <cfRule type="expression" dxfId="2101" priority="4636">
      <formula>$B666="SEM PROGRAMAÇÃO"</formula>
    </cfRule>
    <cfRule type="expression" dxfId="2100" priority="4637">
      <formula>$B666="PROGRAMADO"</formula>
    </cfRule>
    <cfRule type="expression" dxfId="2099" priority="4638">
      <formula>$B666="NO CLIENTE"</formula>
    </cfRule>
    <cfRule type="expression" dxfId="2098" priority="4639">
      <formula>$B666="ENTREGUE"</formula>
    </cfRule>
    <cfRule type="expression" dxfId="2097" priority="4640">
      <formula>$B666="FINALIZADO"</formula>
    </cfRule>
    <cfRule type="expression" dxfId="2096" priority="4641">
      <formula>$B666="DOCUMENTO"</formula>
    </cfRule>
    <cfRule type="expression" dxfId="2095" priority="4642">
      <formula>$B666="CANCELADO"</formula>
    </cfRule>
    <cfRule type="expression" dxfId="2094" priority="4643">
      <formula>$B666="ATRASADO"</formula>
    </cfRule>
    <cfRule type="expression" dxfId="2093" priority="4644">
      <formula>$B666="AGUARDANDO VEÍCULO"</formula>
    </cfRule>
    <cfRule type="expression" dxfId="2092" priority="4645">
      <formula>$B655="NO CLIENTE"</formula>
    </cfRule>
    <cfRule type="expression" dxfId="2091" priority="4646">
      <formula>$B655="SEM PROGRAMAÇÃO"</formula>
    </cfRule>
    <cfRule type="expression" dxfId="2090" priority="4647">
      <formula>$B655="PROGRAMADO"</formula>
    </cfRule>
    <cfRule type="expression" dxfId="2089" priority="4648">
      <formula>$B655="PRÉ-STACKING"</formula>
    </cfRule>
    <cfRule type="expression" dxfId="2088" priority="4649">
      <formula>$B655="FINALIZADO"</formula>
    </cfRule>
    <cfRule type="expression" dxfId="2087" priority="4650">
      <formula>$B655="ENTREGUE"</formula>
    </cfRule>
    <cfRule type="expression" dxfId="2086" priority="4651">
      <formula>$B655="EM TRÂNSITO TERMINAL"</formula>
    </cfRule>
    <cfRule type="expression" dxfId="2085" priority="4652">
      <formula>$B655="EM TRÂNSITO CLIENTE"</formula>
    </cfRule>
    <cfRule type="expression" dxfId="2084" priority="4653">
      <formula>$B655="CANCELADO"</formula>
    </cfRule>
    <cfRule type="expression" dxfId="2083" priority="4654">
      <formula>$B655="AGUARDANDO VEÍCULO"</formula>
    </cfRule>
  </conditionalFormatting>
  <conditionalFormatting sqref="P675">
    <cfRule type="expression" dxfId="2082" priority="5159">
      <formula>$B656="NO CLIENTE"</formula>
    </cfRule>
    <cfRule type="expression" dxfId="2081" priority="5160">
      <formula>$B656="SEM PROGRAMAÇÃO"</formula>
    </cfRule>
    <cfRule type="expression" dxfId="2080" priority="5161">
      <formula>$B656="PROGRAMADO"</formula>
    </cfRule>
    <cfRule type="expression" dxfId="2079" priority="5162">
      <formula>$B656="PRÉ-STACKING"</formula>
    </cfRule>
    <cfRule type="expression" dxfId="2078" priority="5163">
      <formula>$B656="FINALIZADO"</formula>
    </cfRule>
    <cfRule type="expression" dxfId="2077" priority="5164">
      <formula>$B656="ENTREGUE"</formula>
    </cfRule>
    <cfRule type="expression" dxfId="2076" priority="5165">
      <formula>$B656="EM TRÂNSITO TERMINAL"</formula>
    </cfRule>
    <cfRule type="expression" dxfId="2075" priority="5166">
      <formula>$B656="EM TRÂNSITO CLIENTE"</formula>
    </cfRule>
    <cfRule type="expression" dxfId="2074" priority="5167">
      <formula>$B656="CANCELADO"</formula>
    </cfRule>
    <cfRule type="expression" dxfId="2073" priority="5168">
      <formula>$B656="AGUARDANDO VEÍCULO"</formula>
    </cfRule>
  </conditionalFormatting>
  <conditionalFormatting sqref="P675:P676 P801:P805 P871:P872 P898 P896 P892">
    <cfRule type="expression" dxfId="2072" priority="5150">
      <formula>$B660="SEM PROGRAMAÇÃO"</formula>
    </cfRule>
    <cfRule type="expression" dxfId="2071" priority="5151">
      <formula>$B660="PROGRAMADO"</formula>
    </cfRule>
    <cfRule type="expression" dxfId="2070" priority="5152">
      <formula>$B660="NO CLIENTE"</formula>
    </cfRule>
    <cfRule type="expression" dxfId="2069" priority="5153">
      <formula>$B660="ENTREGUE"</formula>
    </cfRule>
    <cfRule type="expression" dxfId="2068" priority="5154">
      <formula>$B660="FINALIZADO"</formula>
    </cfRule>
    <cfRule type="expression" dxfId="2067" priority="5155">
      <formula>$B660="DOCUMENTO"</formula>
    </cfRule>
    <cfRule type="expression" dxfId="2066" priority="5156">
      <formula>$B660="CANCELADO"</formula>
    </cfRule>
    <cfRule type="expression" dxfId="2065" priority="5157">
      <formula>$B660="ATRASADO"</formula>
    </cfRule>
    <cfRule type="expression" dxfId="2064" priority="5158">
      <formula>$B660="AGUARDANDO VEÍCULO"</formula>
    </cfRule>
  </conditionalFormatting>
  <conditionalFormatting sqref="P676">
    <cfRule type="expression" dxfId="2063" priority="7591">
      <formula>$B668="NO CLIENTE"</formula>
    </cfRule>
    <cfRule type="expression" dxfId="2062" priority="7592">
      <formula>$B668="SEM PROGRAMAÇÃO"</formula>
    </cfRule>
    <cfRule type="expression" dxfId="2061" priority="7593">
      <formula>$B668="PROGRAMADO"</formula>
    </cfRule>
    <cfRule type="expression" dxfId="2060" priority="7594">
      <formula>$B668="PRÉ-STACKING"</formula>
    </cfRule>
    <cfRule type="expression" dxfId="2059" priority="7595">
      <formula>$B668="FINALIZADO"</formula>
    </cfRule>
    <cfRule type="expression" dxfId="2058" priority="7596">
      <formula>$B668="ENTREGUE"</formula>
    </cfRule>
    <cfRule type="expression" dxfId="2057" priority="7597">
      <formula>$B668="EM TRÂNSITO TERMINAL"</formula>
    </cfRule>
    <cfRule type="expression" dxfId="2056" priority="7598">
      <formula>$B668="EM TRÂNSITO CLIENTE"</formula>
    </cfRule>
    <cfRule type="expression" dxfId="2055" priority="7599">
      <formula>$B668="CANCELADO"</formula>
    </cfRule>
    <cfRule type="expression" dxfId="2054" priority="7600">
      <formula>$B668="AGUARDANDO VEÍCULO"</formula>
    </cfRule>
  </conditionalFormatting>
  <conditionalFormatting sqref="P677">
    <cfRule type="expression" dxfId="2053" priority="7870">
      <formula>$B676="SEM PROGRAMAÇÃO"</formula>
    </cfRule>
    <cfRule type="expression" dxfId="2052" priority="7871">
      <formula>$B676="PROGRAMADO"</formula>
    </cfRule>
    <cfRule type="expression" dxfId="2051" priority="7872">
      <formula>$B676="NO CLIENTE"</formula>
    </cfRule>
    <cfRule type="expression" dxfId="2050" priority="7873">
      <formula>$B676="ENTREGUE"</formula>
    </cfRule>
    <cfRule type="expression" dxfId="2049" priority="7874">
      <formula>$B676="FINALIZADO"</formula>
    </cfRule>
    <cfRule type="expression" dxfId="2048" priority="7875">
      <formula>$B676="DOCUMENTO"</formula>
    </cfRule>
    <cfRule type="expression" dxfId="2047" priority="7876">
      <formula>$B676="CANCELADO"</formula>
    </cfRule>
    <cfRule type="expression" dxfId="2046" priority="7877">
      <formula>$B676="ATRASADO"</formula>
    </cfRule>
    <cfRule type="expression" dxfId="2045" priority="7878">
      <formula>$B676="AGUARDANDO VEÍCULO"</formula>
    </cfRule>
    <cfRule type="expression" dxfId="2044" priority="7879">
      <formula>$B667="NO CLIENTE"</formula>
    </cfRule>
    <cfRule type="expression" dxfId="2043" priority="7880">
      <formula>$B667="SEM PROGRAMAÇÃO"</formula>
    </cfRule>
    <cfRule type="expression" dxfId="2042" priority="7881">
      <formula>$B667="PROGRAMADO"</formula>
    </cfRule>
    <cfRule type="expression" dxfId="2041" priority="7882">
      <formula>$B667="PRÉ-STACKING"</formula>
    </cfRule>
    <cfRule type="expression" dxfId="2040" priority="7883">
      <formula>$B667="FINALIZADO"</formula>
    </cfRule>
    <cfRule type="expression" dxfId="2039" priority="7884">
      <formula>$B667="ENTREGUE"</formula>
    </cfRule>
    <cfRule type="expression" dxfId="2038" priority="7885">
      <formula>$B667="EM TRÂNSITO TERMINAL"</formula>
    </cfRule>
    <cfRule type="expression" dxfId="2037" priority="7886">
      <formula>$B667="EM TRÂNSITO CLIENTE"</formula>
    </cfRule>
    <cfRule type="expression" dxfId="2036" priority="7887">
      <formula>$B667="CANCELADO"</formula>
    </cfRule>
    <cfRule type="expression" dxfId="2035" priority="7888">
      <formula>$B667="AGUARDANDO VEÍCULO"</formula>
    </cfRule>
  </conditionalFormatting>
  <conditionalFormatting sqref="P678:P679">
    <cfRule type="expression" dxfId="2034" priority="8310">
      <formula>$B673="SEM PROGRAMAÇÃO"</formula>
    </cfRule>
    <cfRule type="expression" dxfId="2033" priority="8311">
      <formula>$B673="PROGRAMADO"</formula>
    </cfRule>
    <cfRule type="expression" dxfId="2032" priority="8312">
      <formula>$B673="NO CLIENTE"</formula>
    </cfRule>
    <cfRule type="expression" dxfId="2031" priority="8313">
      <formula>$B673="ENTREGUE"</formula>
    </cfRule>
    <cfRule type="expression" dxfId="2030" priority="8314">
      <formula>$B673="FINALIZADO"</formula>
    </cfRule>
    <cfRule type="expression" dxfId="2029" priority="8315">
      <formula>$B673="DOCUMENTO"</formula>
    </cfRule>
    <cfRule type="expression" dxfId="2028" priority="8316">
      <formula>$B673="CANCELADO"</formula>
    </cfRule>
    <cfRule type="expression" dxfId="2027" priority="8317">
      <formula>$B673="ATRASADO"</formula>
    </cfRule>
    <cfRule type="expression" dxfId="2026" priority="8318">
      <formula>$B673="AGUARDANDO VEÍCULO"</formula>
    </cfRule>
    <cfRule type="expression" dxfId="2025" priority="8319">
      <formula>#REF!="NO CLIENTE"</formula>
    </cfRule>
    <cfRule type="expression" dxfId="2024" priority="8320">
      <formula>#REF!="SEM PROGRAMAÇÃO"</formula>
    </cfRule>
    <cfRule type="expression" dxfId="2023" priority="8321">
      <formula>#REF!="PROGRAMADO"</formula>
    </cfRule>
    <cfRule type="expression" dxfId="2022" priority="8322">
      <formula>#REF!="PRÉ-STACKING"</formula>
    </cfRule>
    <cfRule type="expression" dxfId="2021" priority="8323">
      <formula>#REF!="FINALIZADO"</formula>
    </cfRule>
    <cfRule type="expression" dxfId="2020" priority="8324">
      <formula>#REF!="ENTREGUE"</formula>
    </cfRule>
    <cfRule type="expression" dxfId="2019" priority="8325">
      <formula>#REF!="EM TRÂNSITO TERMINAL"</formula>
    </cfRule>
    <cfRule type="expression" dxfId="2018" priority="8326">
      <formula>#REF!="EM TRÂNSITO CLIENTE"</formula>
    </cfRule>
    <cfRule type="expression" dxfId="2017" priority="8327">
      <formula>#REF!="CANCELADO"</formula>
    </cfRule>
    <cfRule type="expression" dxfId="2016" priority="8328">
      <formula>#REF!="AGUARDANDO VEÍCULO"</formula>
    </cfRule>
  </conditionalFormatting>
  <conditionalFormatting sqref="P679">
    <cfRule type="expression" dxfId="2015" priority="8663">
      <formula>$B680="SEM PROGRAMAÇÃO"</formula>
    </cfRule>
    <cfRule type="expression" dxfId="2014" priority="8664">
      <formula>$B680="PROGRAMADO"</formula>
    </cfRule>
    <cfRule type="expression" dxfId="2013" priority="8665">
      <formula>$B680="NO CLIENTE"</formula>
    </cfRule>
    <cfRule type="expression" dxfId="2012" priority="8666">
      <formula>$B680="ENTREGUE"</formula>
    </cfRule>
    <cfRule type="expression" dxfId="2011" priority="8667">
      <formula>$B680="FINALIZADO"</formula>
    </cfRule>
    <cfRule type="expression" dxfId="2010" priority="8668">
      <formula>$B680="DOCUMENTO"</formula>
    </cfRule>
    <cfRule type="expression" dxfId="2009" priority="8669">
      <formula>$B680="CANCELADO"</formula>
    </cfRule>
    <cfRule type="expression" dxfId="2008" priority="8670">
      <formula>$B680="ATRASADO"</formula>
    </cfRule>
    <cfRule type="expression" dxfId="2007" priority="8671">
      <formula>$B680="AGUARDANDO VEÍCULO"</formula>
    </cfRule>
    <cfRule type="expression" dxfId="2006" priority="8672">
      <formula>$B681="NO CLIENTE"</formula>
    </cfRule>
    <cfRule type="expression" dxfId="2005" priority="8673">
      <formula>$B681="SEM PROGRAMAÇÃO"</formula>
    </cfRule>
    <cfRule type="expression" dxfId="2004" priority="8674">
      <formula>$B681="PROGRAMADO"</formula>
    </cfRule>
    <cfRule type="expression" dxfId="2003" priority="8675">
      <formula>$B681="PRÉ-STACKING"</formula>
    </cfRule>
    <cfRule type="expression" dxfId="2002" priority="8676">
      <formula>$B681="FINALIZADO"</formula>
    </cfRule>
    <cfRule type="expression" dxfId="2001" priority="8677">
      <formula>$B681="ENTREGUE"</formula>
    </cfRule>
    <cfRule type="expression" dxfId="2000" priority="8678">
      <formula>$B681="EM TRÂNSITO TERMINAL"</formula>
    </cfRule>
    <cfRule type="expression" dxfId="1999" priority="8679">
      <formula>$B681="EM TRÂNSITO CLIENTE"</formula>
    </cfRule>
    <cfRule type="expression" dxfId="1998" priority="8680">
      <formula>$B681="CANCELADO"</formula>
    </cfRule>
    <cfRule type="expression" dxfId="1997" priority="8681">
      <formula>$B681="AGUARDANDO VEÍCULO"</formula>
    </cfRule>
  </conditionalFormatting>
  <conditionalFormatting sqref="P680">
    <cfRule type="expression" dxfId="1996" priority="4350">
      <formula>#REF!="SEM PROGRAMAÇÃO"</formula>
    </cfRule>
    <cfRule type="expression" dxfId="1995" priority="4351">
      <formula>#REF!="PROGRAMADO"</formula>
    </cfRule>
    <cfRule type="expression" dxfId="1994" priority="4352">
      <formula>#REF!="NO CLIENTE"</formula>
    </cfRule>
    <cfRule type="expression" dxfId="1993" priority="4353">
      <formula>#REF!="ENTREGUE"</formula>
    </cfRule>
    <cfRule type="expression" dxfId="1992" priority="4354">
      <formula>#REF!="FINALIZADO"</formula>
    </cfRule>
    <cfRule type="expression" dxfId="1991" priority="4355">
      <formula>#REF!="DOCUMENTO"</formula>
    </cfRule>
    <cfRule type="expression" dxfId="1990" priority="4356">
      <formula>#REF!="CANCELADO"</formula>
    </cfRule>
    <cfRule type="expression" dxfId="1989" priority="4357">
      <formula>#REF!="ATRASADO"</formula>
    </cfRule>
    <cfRule type="expression" dxfId="1988" priority="4358">
      <formula>#REF!="AGUARDANDO VEÍCULO"</formula>
    </cfRule>
    <cfRule type="expression" dxfId="1987" priority="4359">
      <formula>$B678="NO CLIENTE"</formula>
    </cfRule>
    <cfRule type="expression" dxfId="1986" priority="4360">
      <formula>$B678="SEM PROGRAMAÇÃO"</formula>
    </cfRule>
    <cfRule type="expression" dxfId="1985" priority="4361">
      <formula>$B678="PROGRAMADO"</formula>
    </cfRule>
    <cfRule type="expression" dxfId="1984" priority="4362">
      <formula>$B678="PRÉ-STACKING"</formula>
    </cfRule>
    <cfRule type="expression" dxfId="1983" priority="4363">
      <formula>$B678="FINALIZADO"</formula>
    </cfRule>
    <cfRule type="expression" dxfId="1982" priority="4364">
      <formula>$B678="ENTREGUE"</formula>
    </cfRule>
    <cfRule type="expression" dxfId="1981" priority="4365">
      <formula>$B678="EM TRÂNSITO TERMINAL"</formula>
    </cfRule>
    <cfRule type="expression" dxfId="1980" priority="4366">
      <formula>$B678="EM TRÂNSITO CLIENTE"</formula>
    </cfRule>
    <cfRule type="expression" dxfId="1979" priority="4367">
      <formula>$B678="CANCELADO"</formula>
    </cfRule>
    <cfRule type="expression" dxfId="1978" priority="4368">
      <formula>$B678="AGUARDANDO VEÍCULO"</formula>
    </cfRule>
  </conditionalFormatting>
  <conditionalFormatting sqref="P681">
    <cfRule type="expression" dxfId="1977" priority="8535">
      <formula>$B678="SEM PROGRAMAÇÃO"</formula>
    </cfRule>
    <cfRule type="expression" dxfId="1976" priority="8536">
      <formula>$B678="PROGRAMADO"</formula>
    </cfRule>
    <cfRule type="expression" dxfId="1975" priority="8537">
      <formula>$B678="NO CLIENTE"</formula>
    </cfRule>
    <cfRule type="expression" dxfId="1974" priority="8538">
      <formula>$B678="ENTREGUE"</formula>
    </cfRule>
    <cfRule type="expression" dxfId="1973" priority="8539">
      <formula>$B678="FINALIZADO"</formula>
    </cfRule>
    <cfRule type="expression" dxfId="1972" priority="8540">
      <formula>$B678="DOCUMENTO"</formula>
    </cfRule>
    <cfRule type="expression" dxfId="1971" priority="8541">
      <formula>$B678="CANCELADO"</formula>
    </cfRule>
    <cfRule type="expression" dxfId="1970" priority="8542">
      <formula>$B678="ATRASADO"</formula>
    </cfRule>
    <cfRule type="expression" dxfId="1969" priority="8543">
      <formula>$B678="AGUARDANDO VEÍCULO"</formula>
    </cfRule>
    <cfRule type="expression" dxfId="1968" priority="8544">
      <formula>$B680="NO CLIENTE"</formula>
    </cfRule>
    <cfRule type="expression" dxfId="1967" priority="8545">
      <formula>$B680="SEM PROGRAMAÇÃO"</formula>
    </cfRule>
    <cfRule type="expression" dxfId="1966" priority="8546">
      <formula>$B680="PROGRAMADO"</formula>
    </cfRule>
    <cfRule type="expression" dxfId="1965" priority="8547">
      <formula>$B680="PRÉ-STACKING"</formula>
    </cfRule>
    <cfRule type="expression" dxfId="1964" priority="8548">
      <formula>$B680="FINALIZADO"</formula>
    </cfRule>
    <cfRule type="expression" dxfId="1963" priority="8549">
      <formula>$B680="ENTREGUE"</formula>
    </cfRule>
    <cfRule type="expression" dxfId="1962" priority="8550">
      <formula>$B680="EM TRÂNSITO TERMINAL"</formula>
    </cfRule>
    <cfRule type="expression" dxfId="1961" priority="8551">
      <formula>$B680="EM TRÂNSITO CLIENTE"</formula>
    </cfRule>
    <cfRule type="expression" dxfId="1960" priority="8552">
      <formula>$B680="CANCELADO"</formula>
    </cfRule>
    <cfRule type="expression" dxfId="1959" priority="8553">
      <formula>$B680="AGUARDANDO VEÍCULO"</formula>
    </cfRule>
  </conditionalFormatting>
  <conditionalFormatting sqref="P682">
    <cfRule type="expression" dxfId="1958" priority="8701">
      <formula>$B681="SEM PROGRAMAÇÃO"</formula>
    </cfRule>
    <cfRule type="expression" dxfId="1957" priority="8702">
      <formula>$B681="PROGRAMADO"</formula>
    </cfRule>
    <cfRule type="expression" dxfId="1956" priority="8703">
      <formula>$B681="NO CLIENTE"</formula>
    </cfRule>
    <cfRule type="expression" dxfId="1955" priority="8704">
      <formula>$B681="ENTREGUE"</formula>
    </cfRule>
    <cfRule type="expression" dxfId="1954" priority="8705">
      <formula>$B681="FINALIZADO"</formula>
    </cfRule>
    <cfRule type="expression" dxfId="1953" priority="8706">
      <formula>$B681="DOCUMENTO"</formula>
    </cfRule>
    <cfRule type="expression" dxfId="1952" priority="8707">
      <formula>$B681="CANCELADO"</formula>
    </cfRule>
    <cfRule type="expression" dxfId="1951" priority="8708">
      <formula>$B681="ATRASADO"</formula>
    </cfRule>
    <cfRule type="expression" dxfId="1950" priority="8709">
      <formula>$B681="AGUARDANDO VEÍCULO"</formula>
    </cfRule>
    <cfRule type="expression" dxfId="1949" priority="8710">
      <formula>$B679="NO CLIENTE"</formula>
    </cfRule>
    <cfRule type="expression" dxfId="1948" priority="8711">
      <formula>$B679="SEM PROGRAMAÇÃO"</formula>
    </cfRule>
    <cfRule type="expression" dxfId="1947" priority="8712">
      <formula>$B679="PROGRAMADO"</formula>
    </cfRule>
    <cfRule type="expression" dxfId="1946" priority="8713">
      <formula>$B679="PRÉ-STACKING"</formula>
    </cfRule>
    <cfRule type="expression" dxfId="1945" priority="8714">
      <formula>$B679="FINALIZADO"</formula>
    </cfRule>
    <cfRule type="expression" dxfId="1944" priority="8715">
      <formula>$B679="ENTREGUE"</formula>
    </cfRule>
    <cfRule type="expression" dxfId="1943" priority="8716">
      <formula>$B679="EM TRÂNSITO TERMINAL"</formula>
    </cfRule>
    <cfRule type="expression" dxfId="1942" priority="8717">
      <formula>$B679="EM TRÂNSITO CLIENTE"</formula>
    </cfRule>
    <cfRule type="expression" dxfId="1941" priority="8718">
      <formula>$B679="CANCELADO"</formula>
    </cfRule>
    <cfRule type="expression" dxfId="1940" priority="8719">
      <formula>$B679="AGUARDANDO VEÍCULO"</formula>
    </cfRule>
  </conditionalFormatting>
  <conditionalFormatting sqref="P683">
    <cfRule type="expression" dxfId="1939" priority="8720">
      <formula>$B679="SEM PROGRAMAÇÃO"</formula>
    </cfRule>
    <cfRule type="expression" dxfId="1938" priority="8721">
      <formula>$B679="PROGRAMADO"</formula>
    </cfRule>
    <cfRule type="expression" dxfId="1937" priority="8722">
      <formula>$B679="NO CLIENTE"</formula>
    </cfRule>
    <cfRule type="expression" dxfId="1936" priority="8723">
      <formula>$B679="ENTREGUE"</formula>
    </cfRule>
    <cfRule type="expression" dxfId="1935" priority="8724">
      <formula>$B679="FINALIZADO"</formula>
    </cfRule>
    <cfRule type="expression" dxfId="1934" priority="8725">
      <formula>$B679="DOCUMENTO"</formula>
    </cfRule>
    <cfRule type="expression" dxfId="1933" priority="8726">
      <formula>$B679="CANCELADO"</formula>
    </cfRule>
    <cfRule type="expression" dxfId="1932" priority="8727">
      <formula>$B679="ATRASADO"</formula>
    </cfRule>
    <cfRule type="expression" dxfId="1931" priority="8728">
      <formula>$B679="AGUARDANDO VEÍCULO"</formula>
    </cfRule>
    <cfRule type="expression" dxfId="1930" priority="8729">
      <formula>$B682="NO CLIENTE"</formula>
    </cfRule>
    <cfRule type="expression" dxfId="1929" priority="8730">
      <formula>$B682="SEM PROGRAMAÇÃO"</formula>
    </cfRule>
    <cfRule type="expression" dxfId="1928" priority="8731">
      <formula>$B682="PROGRAMADO"</formula>
    </cfRule>
    <cfRule type="expression" dxfId="1927" priority="8732">
      <formula>$B682="PRÉ-STACKING"</formula>
    </cfRule>
    <cfRule type="expression" dxfId="1926" priority="8733">
      <formula>$B682="FINALIZADO"</formula>
    </cfRule>
    <cfRule type="expression" dxfId="1925" priority="8734">
      <formula>$B682="ENTREGUE"</formula>
    </cfRule>
    <cfRule type="expression" dxfId="1924" priority="8735">
      <formula>$B682="EM TRÂNSITO TERMINAL"</formula>
    </cfRule>
    <cfRule type="expression" dxfId="1923" priority="8736">
      <formula>$B682="EM TRÂNSITO CLIENTE"</formula>
    </cfRule>
    <cfRule type="expression" dxfId="1922" priority="8737">
      <formula>$B682="CANCELADO"</formula>
    </cfRule>
    <cfRule type="expression" dxfId="1921" priority="8738">
      <formula>$B682="AGUARDANDO VEÍCULO"</formula>
    </cfRule>
  </conditionalFormatting>
  <conditionalFormatting sqref="P689">
    <cfRule type="expression" dxfId="1920" priority="8863">
      <formula>$B700="NO CLIENTE"</formula>
    </cfRule>
    <cfRule type="expression" dxfId="1919" priority="8864">
      <formula>$B700="SEM PROGRAMAÇÃO"</formula>
    </cfRule>
    <cfRule type="expression" dxfId="1918" priority="8865">
      <formula>$B700="PROGRAMADO"</formula>
    </cfRule>
    <cfRule type="expression" dxfId="1917" priority="8866">
      <formula>$B700="PRÉ-STACKING"</formula>
    </cfRule>
    <cfRule type="expression" dxfId="1916" priority="8867">
      <formula>$B700="FINALIZADO"</formula>
    </cfRule>
    <cfRule type="expression" dxfId="1915" priority="8868">
      <formula>$B700="ENTREGUE"</formula>
    </cfRule>
    <cfRule type="expression" dxfId="1914" priority="8869">
      <formula>$B700="EM TRÂNSITO TERMINAL"</formula>
    </cfRule>
    <cfRule type="expression" dxfId="1913" priority="8870">
      <formula>$B700="EM TRÂNSITO CLIENTE"</formula>
    </cfRule>
    <cfRule type="expression" dxfId="1912" priority="8871">
      <formula>$B700="CANCELADO"</formula>
    </cfRule>
    <cfRule type="expression" dxfId="1911" priority="8872">
      <formula>$B700="AGUARDANDO VEÍCULO"</formula>
    </cfRule>
  </conditionalFormatting>
  <conditionalFormatting sqref="P689:P690">
    <cfRule type="expression" dxfId="1910" priority="8854">
      <formula>$B699="SEM PROGRAMAÇÃO"</formula>
    </cfRule>
    <cfRule type="expression" dxfId="1909" priority="8855">
      <formula>$B699="PROGRAMADO"</formula>
    </cfRule>
    <cfRule type="expression" dxfId="1908" priority="8856">
      <formula>$B699="NO CLIENTE"</formula>
    </cfRule>
    <cfRule type="expression" dxfId="1907" priority="8857">
      <formula>$B699="ENTREGUE"</formula>
    </cfRule>
    <cfRule type="expression" dxfId="1906" priority="8858">
      <formula>$B699="FINALIZADO"</formula>
    </cfRule>
    <cfRule type="expression" dxfId="1905" priority="8859">
      <formula>$B699="DOCUMENTO"</formula>
    </cfRule>
    <cfRule type="expression" dxfId="1904" priority="8860">
      <formula>$B699="CANCELADO"</formula>
    </cfRule>
    <cfRule type="expression" dxfId="1903" priority="8861">
      <formula>$B699="ATRASADO"</formula>
    </cfRule>
    <cfRule type="expression" dxfId="1902" priority="8862">
      <formula>$B699="AGUARDANDO VEÍCULO"</formula>
    </cfRule>
  </conditionalFormatting>
  <conditionalFormatting sqref="P690">
    <cfRule type="expression" dxfId="1901" priority="9641">
      <formula>$B696="NO CLIENTE"</formula>
    </cfRule>
    <cfRule type="expression" dxfId="1900" priority="9642">
      <formula>$B696="SEM PROGRAMAÇÃO"</formula>
    </cfRule>
    <cfRule type="expression" dxfId="1899" priority="9643">
      <formula>$B696="PROGRAMADO"</formula>
    </cfRule>
    <cfRule type="expression" dxfId="1898" priority="9644">
      <formula>$B696="PRÉ-STACKING"</formula>
    </cfRule>
    <cfRule type="expression" dxfId="1897" priority="9645">
      <formula>$B696="FINALIZADO"</formula>
    </cfRule>
    <cfRule type="expression" dxfId="1896" priority="9646">
      <formula>$B696="ENTREGUE"</formula>
    </cfRule>
    <cfRule type="expression" dxfId="1895" priority="9647">
      <formula>$B696="EM TRÂNSITO TERMINAL"</formula>
    </cfRule>
    <cfRule type="expression" dxfId="1894" priority="9648">
      <formula>$B696="EM TRÂNSITO CLIENTE"</formula>
    </cfRule>
    <cfRule type="expression" dxfId="1893" priority="9649">
      <formula>$B696="CANCELADO"</formula>
    </cfRule>
    <cfRule type="expression" dxfId="1892" priority="9650">
      <formula>$B696="AGUARDANDO VEÍCULO"</formula>
    </cfRule>
    <cfRule type="expression" dxfId="1891" priority="9670">
      <formula>$B689="SEM PROGRAMAÇÃO"</formula>
    </cfRule>
    <cfRule type="expression" dxfId="1890" priority="9671">
      <formula>$B689="PROGRAMADO"</formula>
    </cfRule>
    <cfRule type="expression" dxfId="1889" priority="9672">
      <formula>$B689="NO CLIENTE"</formula>
    </cfRule>
    <cfRule type="expression" dxfId="1888" priority="9673">
      <formula>$B689="ENTREGUE"</formula>
    </cfRule>
    <cfRule type="expression" dxfId="1887" priority="9674">
      <formula>$B689="FINALIZADO"</formula>
    </cfRule>
    <cfRule type="expression" dxfId="1886" priority="9675">
      <formula>$B689="DOCUMENTO"</formula>
    </cfRule>
    <cfRule type="expression" dxfId="1885" priority="9676">
      <formula>$B689="CANCELADO"</formula>
    </cfRule>
    <cfRule type="expression" dxfId="1884" priority="9677">
      <formula>$B689="ATRASADO"</formula>
    </cfRule>
    <cfRule type="expression" dxfId="1883" priority="9678">
      <formula>$B689="AGUARDANDO VEÍCULO"</formula>
    </cfRule>
    <cfRule type="expression" dxfId="1882" priority="9679">
      <formula>$B696="NO CLIENTE"</formula>
    </cfRule>
    <cfRule type="expression" dxfId="1881" priority="9680">
      <formula>$B696="SEM PROGRAMAÇÃO"</formula>
    </cfRule>
    <cfRule type="expression" dxfId="1880" priority="9681">
      <formula>$B696="PROGRAMADO"</formula>
    </cfRule>
    <cfRule type="expression" dxfId="1879" priority="9682">
      <formula>$B696="PRÉ-STACKING"</formula>
    </cfRule>
    <cfRule type="expression" dxfId="1878" priority="9683">
      <formula>$B696="FINALIZADO"</formula>
    </cfRule>
    <cfRule type="expression" dxfId="1877" priority="9684">
      <formula>$B696="ENTREGUE"</formula>
    </cfRule>
    <cfRule type="expression" dxfId="1876" priority="9685">
      <formula>$B696="EM TRÂNSITO TERMINAL"</formula>
    </cfRule>
    <cfRule type="expression" dxfId="1875" priority="9686">
      <formula>$B696="EM TRÂNSITO CLIENTE"</formula>
    </cfRule>
    <cfRule type="expression" dxfId="1874" priority="9687">
      <formula>$B696="CANCELADO"</formula>
    </cfRule>
    <cfRule type="expression" dxfId="1873" priority="9688">
      <formula>$B696="AGUARDANDO VEÍCULO"</formula>
    </cfRule>
  </conditionalFormatting>
  <conditionalFormatting sqref="P691">
    <cfRule type="expression" dxfId="1872" priority="9384">
      <formula>$B688="SEM PROGRAMAÇÃO"</formula>
    </cfRule>
    <cfRule type="expression" dxfId="1871" priority="9385">
      <formula>$B688="PROGRAMADO"</formula>
    </cfRule>
    <cfRule type="expression" dxfId="1870" priority="9386">
      <formula>$B688="NO CLIENTE"</formula>
    </cfRule>
    <cfRule type="expression" dxfId="1869" priority="9387">
      <formula>$B688="ENTREGUE"</formula>
    </cfRule>
    <cfRule type="expression" dxfId="1868" priority="9388">
      <formula>$B688="FINALIZADO"</formula>
    </cfRule>
    <cfRule type="expression" dxfId="1867" priority="9389">
      <formula>$B688="DOCUMENTO"</formula>
    </cfRule>
    <cfRule type="expression" dxfId="1866" priority="9390">
      <formula>$B688="CANCELADO"</formula>
    </cfRule>
    <cfRule type="expression" dxfId="1865" priority="9391">
      <formula>$B688="ATRASADO"</formula>
    </cfRule>
    <cfRule type="expression" dxfId="1864" priority="9392">
      <formula>$B688="AGUARDANDO VEÍCULO"</formula>
    </cfRule>
    <cfRule type="expression" dxfId="1863" priority="9393">
      <formula>$B705="NO CLIENTE"</formula>
    </cfRule>
    <cfRule type="expression" dxfId="1862" priority="9394">
      <formula>$B705="SEM PROGRAMAÇÃO"</formula>
    </cfRule>
    <cfRule type="expression" dxfId="1861" priority="9395">
      <formula>$B705="PROGRAMADO"</formula>
    </cfRule>
    <cfRule type="expression" dxfId="1860" priority="9396">
      <formula>$B705="PRÉ-STACKING"</formula>
    </cfRule>
    <cfRule type="expression" dxfId="1859" priority="9397">
      <formula>$B705="FINALIZADO"</formula>
    </cfRule>
    <cfRule type="expression" dxfId="1858" priority="9398">
      <formula>$B705="ENTREGUE"</formula>
    </cfRule>
    <cfRule type="expression" dxfId="1857" priority="9399">
      <formula>$B705="EM TRÂNSITO TERMINAL"</formula>
    </cfRule>
    <cfRule type="expression" dxfId="1856" priority="9400">
      <formula>$B705="EM TRÂNSITO CLIENTE"</formula>
    </cfRule>
    <cfRule type="expression" dxfId="1855" priority="9401">
      <formula>$B705="CANCELADO"</formula>
    </cfRule>
    <cfRule type="expression" dxfId="1854" priority="9402">
      <formula>$B705="AGUARDANDO VEÍCULO"</formula>
    </cfRule>
  </conditionalFormatting>
  <conditionalFormatting sqref="P692">
    <cfRule type="expression" dxfId="1853" priority="9267">
      <formula>$B705="SEM PROGRAMAÇÃO"</formula>
    </cfRule>
    <cfRule type="expression" dxfId="1852" priority="9268">
      <formula>$B705="PROGRAMADO"</formula>
    </cfRule>
    <cfRule type="expression" dxfId="1851" priority="9269">
      <formula>$B705="NO CLIENTE"</formula>
    </cfRule>
    <cfRule type="expression" dxfId="1850" priority="9270">
      <formula>$B705="ENTREGUE"</formula>
    </cfRule>
    <cfRule type="expression" dxfId="1849" priority="9271">
      <formula>$B705="FINALIZADO"</formula>
    </cfRule>
    <cfRule type="expression" dxfId="1848" priority="9272">
      <formula>$B705="DOCUMENTO"</formula>
    </cfRule>
    <cfRule type="expression" dxfId="1847" priority="9273">
      <formula>$B705="CANCELADO"</formula>
    </cfRule>
    <cfRule type="expression" dxfId="1846" priority="9274">
      <formula>$B705="ATRASADO"</formula>
    </cfRule>
    <cfRule type="expression" dxfId="1845" priority="9275">
      <formula>$B705="AGUARDANDO VEÍCULO"</formula>
    </cfRule>
    <cfRule type="expression" dxfId="1844" priority="9276">
      <formula>$B691="NO CLIENTE"</formula>
    </cfRule>
    <cfRule type="expression" dxfId="1843" priority="9277">
      <formula>$B691="SEM PROGRAMAÇÃO"</formula>
    </cfRule>
    <cfRule type="expression" dxfId="1842" priority="9278">
      <formula>$B691="PROGRAMADO"</formula>
    </cfRule>
    <cfRule type="expression" dxfId="1841" priority="9279">
      <formula>$B691="PRÉ-STACKING"</formula>
    </cfRule>
    <cfRule type="expression" dxfId="1840" priority="9280">
      <formula>$B691="FINALIZADO"</formula>
    </cfRule>
    <cfRule type="expression" dxfId="1839" priority="9281">
      <formula>$B691="ENTREGUE"</formula>
    </cfRule>
    <cfRule type="expression" dxfId="1838" priority="9282">
      <formula>$B691="EM TRÂNSITO TERMINAL"</formula>
    </cfRule>
    <cfRule type="expression" dxfId="1837" priority="9283">
      <formula>$B691="EM TRÂNSITO CLIENTE"</formula>
    </cfRule>
    <cfRule type="expression" dxfId="1836" priority="9284">
      <formula>$B691="CANCELADO"</formula>
    </cfRule>
    <cfRule type="expression" dxfId="1835" priority="9285">
      <formula>$B691="AGUARDANDO VEÍCULO"</formula>
    </cfRule>
  </conditionalFormatting>
  <conditionalFormatting sqref="P696">
    <cfRule type="expression" dxfId="1834" priority="9365">
      <formula>$B700="SEM PROGRAMAÇÃO"</formula>
    </cfRule>
    <cfRule type="expression" dxfId="1833" priority="9366">
      <formula>$B700="PROGRAMADO"</formula>
    </cfRule>
    <cfRule type="expression" dxfId="1832" priority="9367">
      <formula>$B700="NO CLIENTE"</formula>
    </cfRule>
    <cfRule type="expression" dxfId="1831" priority="9368">
      <formula>$B700="ENTREGUE"</formula>
    </cfRule>
    <cfRule type="expression" dxfId="1830" priority="9369">
      <formula>$B700="FINALIZADO"</formula>
    </cfRule>
    <cfRule type="expression" dxfId="1829" priority="9370">
      <formula>$B700="DOCUMENTO"</formula>
    </cfRule>
    <cfRule type="expression" dxfId="1828" priority="9371">
      <formula>$B700="CANCELADO"</formula>
    </cfRule>
    <cfRule type="expression" dxfId="1827" priority="9372">
      <formula>$B700="ATRASADO"</formula>
    </cfRule>
    <cfRule type="expression" dxfId="1826" priority="9373">
      <formula>$B700="AGUARDANDO VEÍCULO"</formula>
    </cfRule>
    <cfRule type="expression" dxfId="1825" priority="9374">
      <formula>$B689="NO CLIENTE"</formula>
    </cfRule>
    <cfRule type="expression" dxfId="1824" priority="9375">
      <formula>$B689="SEM PROGRAMAÇÃO"</formula>
    </cfRule>
    <cfRule type="expression" dxfId="1823" priority="9376">
      <formula>$B689="PROGRAMADO"</formula>
    </cfRule>
    <cfRule type="expression" dxfId="1822" priority="9377">
      <formula>$B689="PRÉ-STACKING"</formula>
    </cfRule>
    <cfRule type="expression" dxfId="1821" priority="9378">
      <formula>$B689="FINALIZADO"</formula>
    </cfRule>
    <cfRule type="expression" dxfId="1820" priority="9379">
      <formula>$B689="ENTREGUE"</formula>
    </cfRule>
    <cfRule type="expression" dxfId="1819" priority="9380">
      <formula>$B689="EM TRÂNSITO TERMINAL"</formula>
    </cfRule>
    <cfRule type="expression" dxfId="1818" priority="9381">
      <formula>$B689="EM TRÂNSITO CLIENTE"</formula>
    </cfRule>
    <cfRule type="expression" dxfId="1817" priority="9382">
      <formula>$B689="CANCELADO"</formula>
    </cfRule>
    <cfRule type="expression" dxfId="1816" priority="9383">
      <formula>$B689="AGUARDANDO VEÍCULO"</formula>
    </cfRule>
  </conditionalFormatting>
  <conditionalFormatting sqref="P697">
    <cfRule type="expression" dxfId="1815" priority="10240">
      <formula>$B707="NO CLIENTE"</formula>
    </cfRule>
    <cfRule type="expression" dxfId="1814" priority="10241">
      <formula>$B707="SEM PROGRAMAÇÃO"</formula>
    </cfRule>
    <cfRule type="expression" dxfId="1813" priority="10242">
      <formula>$B707="PROGRAMADO"</formula>
    </cfRule>
    <cfRule type="expression" dxfId="1812" priority="10243">
      <formula>$B707="PRÉ-STACKING"</formula>
    </cfRule>
    <cfRule type="expression" dxfId="1811" priority="10244">
      <formula>$B707="FINALIZADO"</formula>
    </cfRule>
    <cfRule type="expression" dxfId="1810" priority="10245">
      <formula>$B707="ENTREGUE"</formula>
    </cfRule>
    <cfRule type="expression" dxfId="1809" priority="10246">
      <formula>$B707="EM TRÂNSITO TERMINAL"</formula>
    </cfRule>
    <cfRule type="expression" dxfId="1808" priority="10247">
      <formula>$B707="EM TRÂNSITO CLIENTE"</formula>
    </cfRule>
    <cfRule type="expression" dxfId="1807" priority="10248">
      <formula>$B707="CANCELADO"</formula>
    </cfRule>
    <cfRule type="expression" dxfId="1806" priority="10249">
      <formula>$B707="AGUARDANDO VEÍCULO"</formula>
    </cfRule>
  </conditionalFormatting>
  <conditionalFormatting sqref="P697:P698 P725 P797 P839 B878:P878 B886:P886 B889:P890">
    <cfRule type="expression" dxfId="1805" priority="10231">
      <formula>$B706="SEM PROGRAMAÇÃO"</formula>
    </cfRule>
    <cfRule type="expression" dxfId="1804" priority="10232">
      <formula>$B706="PROGRAMADO"</formula>
    </cfRule>
    <cfRule type="expression" dxfId="1803" priority="10233">
      <formula>$B706="NO CLIENTE"</formula>
    </cfRule>
    <cfRule type="expression" dxfId="1802" priority="10234">
      <formula>$B706="ENTREGUE"</formula>
    </cfRule>
    <cfRule type="expression" dxfId="1801" priority="10235">
      <formula>$B706="FINALIZADO"</formula>
    </cfRule>
    <cfRule type="expression" dxfId="1800" priority="10236">
      <formula>$B706="DOCUMENTO"</formula>
    </cfRule>
    <cfRule type="expression" dxfId="1799" priority="10237">
      <formula>$B706="CANCELADO"</formula>
    </cfRule>
    <cfRule type="expression" dxfId="1798" priority="10238">
      <formula>$B706="ATRASADO"</formula>
    </cfRule>
    <cfRule type="expression" dxfId="1797" priority="10239">
      <formula>$B706="AGUARDANDO VEÍCULO"</formula>
    </cfRule>
  </conditionalFormatting>
  <conditionalFormatting sqref="P698">
    <cfRule type="expression" dxfId="1796" priority="10278">
      <formula>$B697="NO CLIENTE"</formula>
    </cfRule>
    <cfRule type="expression" dxfId="1795" priority="10279">
      <formula>$B697="SEM PROGRAMAÇÃO"</formula>
    </cfRule>
    <cfRule type="expression" dxfId="1794" priority="10280">
      <formula>$B697="PROGRAMADO"</formula>
    </cfRule>
    <cfRule type="expression" dxfId="1793" priority="10281">
      <formula>$B697="PRÉ-STACKING"</formula>
    </cfRule>
    <cfRule type="expression" dxfId="1792" priority="10282">
      <formula>$B697="FINALIZADO"</formula>
    </cfRule>
    <cfRule type="expression" dxfId="1791" priority="10283">
      <formula>$B697="ENTREGUE"</formula>
    </cfRule>
    <cfRule type="expression" dxfId="1790" priority="10284">
      <formula>$B697="EM TRÂNSITO TERMINAL"</formula>
    </cfRule>
    <cfRule type="expression" dxfId="1789" priority="10285">
      <formula>$B697="EM TRÂNSITO CLIENTE"</formula>
    </cfRule>
    <cfRule type="expression" dxfId="1788" priority="10286">
      <formula>$B697="CANCELADO"</formula>
    </cfRule>
    <cfRule type="expression" dxfId="1787" priority="10287">
      <formula>$B697="AGUARDANDO VEÍCULO"</formula>
    </cfRule>
  </conditionalFormatting>
  <conditionalFormatting sqref="P699">
    <cfRule type="expression" dxfId="1786" priority="9431">
      <formula>$B695="NO CLIENTE"</formula>
    </cfRule>
    <cfRule type="expression" dxfId="1785" priority="9432">
      <formula>$B695="SEM PROGRAMAÇÃO"</formula>
    </cfRule>
    <cfRule type="expression" dxfId="1784" priority="9433">
      <formula>$B695="PROGRAMADO"</formula>
    </cfRule>
    <cfRule type="expression" dxfId="1783" priority="9434">
      <formula>$B695="PRÉ-STACKING"</formula>
    </cfRule>
    <cfRule type="expression" dxfId="1782" priority="9435">
      <formula>$B695="FINALIZADO"</formula>
    </cfRule>
    <cfRule type="expression" dxfId="1781" priority="9436">
      <formula>$B695="ENTREGUE"</formula>
    </cfRule>
    <cfRule type="expression" dxfId="1780" priority="9437">
      <formula>$B695="EM TRÂNSITO TERMINAL"</formula>
    </cfRule>
    <cfRule type="expression" dxfId="1779" priority="9438">
      <formula>$B695="EM TRÂNSITO CLIENTE"</formula>
    </cfRule>
    <cfRule type="expression" dxfId="1778" priority="9439">
      <formula>$B695="CANCELADO"</formula>
    </cfRule>
    <cfRule type="expression" dxfId="1777" priority="9440">
      <formula>$B695="AGUARDANDO VEÍCULO"</formula>
    </cfRule>
  </conditionalFormatting>
  <conditionalFormatting sqref="P699:P701">
    <cfRule type="expression" dxfId="1776" priority="9422">
      <formula>$B694="SEM PROGRAMAÇÃO"</formula>
    </cfRule>
    <cfRule type="expression" dxfId="1775" priority="9423">
      <formula>$B694="PROGRAMADO"</formula>
    </cfRule>
    <cfRule type="expression" dxfId="1774" priority="9424">
      <formula>$B694="NO CLIENTE"</formula>
    </cfRule>
    <cfRule type="expression" dxfId="1773" priority="9425">
      <formula>$B694="ENTREGUE"</formula>
    </cfRule>
    <cfRule type="expression" dxfId="1772" priority="9426">
      <formula>$B694="FINALIZADO"</formula>
    </cfRule>
    <cfRule type="expression" dxfId="1771" priority="9427">
      <formula>$B694="DOCUMENTO"</formula>
    </cfRule>
    <cfRule type="expression" dxfId="1770" priority="9428">
      <formula>$B694="CANCELADO"</formula>
    </cfRule>
    <cfRule type="expression" dxfId="1769" priority="9429">
      <formula>$B694="ATRASADO"</formula>
    </cfRule>
    <cfRule type="expression" dxfId="1768" priority="9430">
      <formula>$B694="AGUARDANDO VEÍCULO"</formula>
    </cfRule>
  </conditionalFormatting>
  <conditionalFormatting sqref="P700 P721:P724 P707 P709:P710 P717 P726:P772 P774 P776:P786 P790:P791 P793:P794 P798 P804:P805 P816 P809 P814 P812 P818 P820 P822 P844 P847:P848 P825:P842 P853:P870 P872">
    <cfRule type="expression" dxfId="1767" priority="10081">
      <formula>$B699="SEM PROGRAMAÇÃO"</formula>
    </cfRule>
    <cfRule type="expression" dxfId="1766" priority="10082">
      <formula>$B699="PROGRAMADO"</formula>
    </cfRule>
    <cfRule type="expression" dxfId="1765" priority="10083">
      <formula>$B699="PRÉ-STACKING"</formula>
    </cfRule>
    <cfRule type="expression" dxfId="1764" priority="10084">
      <formula>$B699="FINALIZADO"</formula>
    </cfRule>
    <cfRule type="expression" dxfId="1763" priority="10085">
      <formula>$B699="ENTREGUE"</formula>
    </cfRule>
    <cfRule type="expression" dxfId="1762" priority="10086">
      <formula>$B699="EM TRÂNSITO TERMINAL"</formula>
    </cfRule>
    <cfRule type="expression" dxfId="1761" priority="10087">
      <formula>$B699="EM TRÂNSITO CLIENTE"</formula>
    </cfRule>
    <cfRule type="expression" dxfId="1760" priority="10088">
      <formula>$B699="CANCELADO"</formula>
    </cfRule>
    <cfRule type="expression" dxfId="1759" priority="10089">
      <formula>$B699="AGUARDANDO VEÍCULO"</formula>
    </cfRule>
  </conditionalFormatting>
  <conditionalFormatting sqref="P701">
    <cfRule type="expression" dxfId="1758" priority="9736">
      <formula>$B690="NO CLIENTE"</formula>
    </cfRule>
    <cfRule type="expression" dxfId="1757" priority="9737">
      <formula>$B690="SEM PROGRAMAÇÃO"</formula>
    </cfRule>
    <cfRule type="expression" dxfId="1756" priority="9738">
      <formula>$B690="PROGRAMADO"</formula>
    </cfRule>
    <cfRule type="expression" dxfId="1755" priority="9739">
      <formula>$B690="PRÉ-STACKING"</formula>
    </cfRule>
    <cfRule type="expression" dxfId="1754" priority="9740">
      <formula>$B690="FINALIZADO"</formula>
    </cfRule>
    <cfRule type="expression" dxfId="1753" priority="9741">
      <formula>$B690="ENTREGUE"</formula>
    </cfRule>
    <cfRule type="expression" dxfId="1752" priority="9742">
      <formula>$B690="EM TRÂNSITO TERMINAL"</formula>
    </cfRule>
    <cfRule type="expression" dxfId="1751" priority="9743">
      <formula>$B690="EM TRÂNSITO CLIENTE"</formula>
    </cfRule>
    <cfRule type="expression" dxfId="1750" priority="9744">
      <formula>$B690="CANCELADO"</formula>
    </cfRule>
    <cfRule type="expression" dxfId="1749" priority="9745">
      <formula>$B690="AGUARDANDO VEÍCULO"</formula>
    </cfRule>
  </conditionalFormatting>
  <conditionalFormatting sqref="P702">
    <cfRule type="expression" dxfId="1748" priority="10052">
      <formula>$B690="SEM PROGRAMAÇÃO"</formula>
    </cfRule>
    <cfRule type="expression" dxfId="1747" priority="10053">
      <formula>$B690="PROGRAMADO"</formula>
    </cfRule>
    <cfRule type="expression" dxfId="1746" priority="10054">
      <formula>$B690="NO CLIENTE"</formula>
    </cfRule>
    <cfRule type="expression" dxfId="1745" priority="10055">
      <formula>$B690="ENTREGUE"</formula>
    </cfRule>
    <cfRule type="expression" dxfId="1744" priority="10056">
      <formula>$B690="FINALIZADO"</formula>
    </cfRule>
    <cfRule type="expression" dxfId="1743" priority="10057">
      <formula>$B690="DOCUMENTO"</formula>
    </cfRule>
    <cfRule type="expression" dxfId="1742" priority="10058">
      <formula>$B690="CANCELADO"</formula>
    </cfRule>
    <cfRule type="expression" dxfId="1741" priority="10059">
      <formula>$B690="ATRASADO"</formula>
    </cfRule>
    <cfRule type="expression" dxfId="1740" priority="10060">
      <formula>$B690="AGUARDANDO VEÍCULO"</formula>
    </cfRule>
    <cfRule type="expression" dxfId="1739" priority="10061">
      <formula>$B701="NO CLIENTE"</formula>
    </cfRule>
    <cfRule type="expression" dxfId="1738" priority="10062">
      <formula>$B701="SEM PROGRAMAÇÃO"</formula>
    </cfRule>
    <cfRule type="expression" dxfId="1737" priority="10063">
      <formula>$B701="PROGRAMADO"</formula>
    </cfRule>
    <cfRule type="expression" dxfId="1736" priority="10064">
      <formula>$B701="PRÉ-STACKING"</formula>
    </cfRule>
    <cfRule type="expression" dxfId="1735" priority="10065">
      <formula>$B701="FINALIZADO"</formula>
    </cfRule>
    <cfRule type="expression" dxfId="1734" priority="10066">
      <formula>$B701="ENTREGUE"</formula>
    </cfRule>
    <cfRule type="expression" dxfId="1733" priority="10067">
      <formula>$B701="EM TRÂNSITO TERMINAL"</formula>
    </cfRule>
    <cfRule type="expression" dxfId="1732" priority="10068">
      <formula>$B701="EM TRÂNSITO CLIENTE"</formula>
    </cfRule>
    <cfRule type="expression" dxfId="1731" priority="10069">
      <formula>$B701="CANCELADO"</formula>
    </cfRule>
    <cfRule type="expression" dxfId="1730" priority="10070">
      <formula>$B701="AGUARDANDO VEÍCULO"</formula>
    </cfRule>
  </conditionalFormatting>
  <conditionalFormatting sqref="P703">
    <cfRule type="expression" dxfId="1729" priority="10259">
      <formula>$B698="NO CLIENTE"</formula>
    </cfRule>
    <cfRule type="expression" dxfId="1728" priority="10260">
      <formula>$B698="SEM PROGRAMAÇÃO"</formula>
    </cfRule>
    <cfRule type="expression" dxfId="1727" priority="10261">
      <formula>$B698="PROGRAMADO"</formula>
    </cfRule>
    <cfRule type="expression" dxfId="1726" priority="10262">
      <formula>$B698="PRÉ-STACKING"</formula>
    </cfRule>
    <cfRule type="expression" dxfId="1725" priority="10263">
      <formula>$B698="FINALIZADO"</formula>
    </cfRule>
    <cfRule type="expression" dxfId="1724" priority="10264">
      <formula>$B698="ENTREGUE"</formula>
    </cfRule>
    <cfRule type="expression" dxfId="1723" priority="10265">
      <formula>$B698="EM TRÂNSITO TERMINAL"</formula>
    </cfRule>
    <cfRule type="expression" dxfId="1722" priority="10266">
      <formula>$B698="EM TRÂNSITO CLIENTE"</formula>
    </cfRule>
    <cfRule type="expression" dxfId="1721" priority="10267">
      <formula>$B698="CANCELADO"</formula>
    </cfRule>
    <cfRule type="expression" dxfId="1720" priority="10268">
      <formula>$B698="AGUARDANDO VEÍCULO"</formula>
    </cfRule>
  </conditionalFormatting>
  <conditionalFormatting sqref="P703:P704 P711:P714 P726:P774 P808 P810 P781:P793 P795:P799 P813 P806 P823 P849 P851 P827:P828 P870 P880 P888:P893">
    <cfRule type="expression" dxfId="1719" priority="10250">
      <formula>$B697="SEM PROGRAMAÇÃO"</formula>
    </cfRule>
    <cfRule type="expression" dxfId="1718" priority="10251">
      <formula>$B697="PROGRAMADO"</formula>
    </cfRule>
    <cfRule type="expression" dxfId="1717" priority="10252">
      <formula>$B697="NO CLIENTE"</formula>
    </cfRule>
    <cfRule type="expression" dxfId="1716" priority="10253">
      <formula>$B697="ENTREGUE"</formula>
    </cfRule>
    <cfRule type="expression" dxfId="1715" priority="10254">
      <formula>$B697="FINALIZADO"</formula>
    </cfRule>
    <cfRule type="expression" dxfId="1714" priority="10255">
      <formula>$B697="DOCUMENTO"</formula>
    </cfRule>
    <cfRule type="expression" dxfId="1713" priority="10256">
      <formula>$B697="CANCELADO"</formula>
    </cfRule>
    <cfRule type="expression" dxfId="1712" priority="10257">
      <formula>$B697="ATRASADO"</formula>
    </cfRule>
    <cfRule type="expression" dxfId="1711" priority="10258">
      <formula>$B697="AGUARDANDO VEÍCULO"</formula>
    </cfRule>
  </conditionalFormatting>
  <conditionalFormatting sqref="P704">
    <cfRule type="expression" dxfId="1710" priority="10530">
      <formula>$B703="NO CLIENTE"</formula>
    </cfRule>
    <cfRule type="expression" dxfId="1709" priority="10531">
      <formula>$B703="SEM PROGRAMAÇÃO"</formula>
    </cfRule>
    <cfRule type="expression" dxfId="1708" priority="10532">
      <formula>$B703="PROGRAMADO"</formula>
    </cfRule>
    <cfRule type="expression" dxfId="1707" priority="10533">
      <formula>$B703="PRÉ-STACKING"</formula>
    </cfRule>
    <cfRule type="expression" dxfId="1706" priority="10534">
      <formula>$B703="FINALIZADO"</formula>
    </cfRule>
    <cfRule type="expression" dxfId="1705" priority="10535">
      <formula>$B703="ENTREGUE"</formula>
    </cfRule>
    <cfRule type="expression" dxfId="1704" priority="10536">
      <formula>$B703="EM TRÂNSITO TERMINAL"</formula>
    </cfRule>
    <cfRule type="expression" dxfId="1703" priority="10537">
      <formula>$B703="EM TRÂNSITO CLIENTE"</formula>
    </cfRule>
    <cfRule type="expression" dxfId="1702" priority="10538">
      <formula>$B703="CANCELADO"</formula>
    </cfRule>
    <cfRule type="expression" dxfId="1701" priority="10539">
      <formula>$B703="AGUARDANDO VEÍCULO"</formula>
    </cfRule>
  </conditionalFormatting>
  <conditionalFormatting sqref="P705">
    <cfRule type="expression" dxfId="1700" priority="8758">
      <formula>$B687="SEM PROGRAMAÇÃO"</formula>
    </cfRule>
    <cfRule type="expression" dxfId="1699" priority="8759">
      <formula>$B687="PROGRAMADO"</formula>
    </cfRule>
    <cfRule type="expression" dxfId="1698" priority="8760">
      <formula>$B687="NO CLIENTE"</formula>
    </cfRule>
    <cfRule type="expression" dxfId="1697" priority="8761">
      <formula>$B687="ENTREGUE"</formula>
    </cfRule>
    <cfRule type="expression" dxfId="1696" priority="8762">
      <formula>$B687="FINALIZADO"</formula>
    </cfRule>
    <cfRule type="expression" dxfId="1695" priority="8763">
      <formula>$B687="DOCUMENTO"</formula>
    </cfRule>
    <cfRule type="expression" dxfId="1694" priority="8764">
      <formula>$B687="CANCELADO"</formula>
    </cfRule>
    <cfRule type="expression" dxfId="1693" priority="8765">
      <formula>$B687="ATRASADO"</formula>
    </cfRule>
    <cfRule type="expression" dxfId="1692" priority="8766">
      <formula>$B687="AGUARDANDO VEÍCULO"</formula>
    </cfRule>
    <cfRule type="expression" dxfId="1691" priority="8767">
      <formula>$B688="NO CLIENTE"</formula>
    </cfRule>
    <cfRule type="expression" dxfId="1690" priority="8768">
      <formula>$B688="SEM PROGRAMAÇÃO"</formula>
    </cfRule>
    <cfRule type="expression" dxfId="1689" priority="8769">
      <formula>$B688="PROGRAMADO"</formula>
    </cfRule>
    <cfRule type="expression" dxfId="1688" priority="8770">
      <formula>$B688="PRÉ-STACKING"</formula>
    </cfRule>
    <cfRule type="expression" dxfId="1687" priority="8771">
      <formula>$B688="FINALIZADO"</formula>
    </cfRule>
    <cfRule type="expression" dxfId="1686" priority="8772">
      <formula>$B688="ENTREGUE"</formula>
    </cfRule>
    <cfRule type="expression" dxfId="1685" priority="8773">
      <formula>$B688="EM TRÂNSITO TERMINAL"</formula>
    </cfRule>
    <cfRule type="expression" dxfId="1684" priority="8774">
      <formula>$B688="EM TRÂNSITO CLIENTE"</formula>
    </cfRule>
    <cfRule type="expression" dxfId="1683" priority="8775">
      <formula>$B688="CANCELADO"</formula>
    </cfRule>
    <cfRule type="expression" dxfId="1682" priority="8776">
      <formula>$B688="AGUARDANDO VEÍCULO"</formula>
    </cfRule>
  </conditionalFormatting>
  <conditionalFormatting sqref="P706">
    <cfRule type="expression" dxfId="1681" priority="9909">
      <formula>$B702="NO CLIENTE"</formula>
    </cfRule>
    <cfRule type="expression" dxfId="1680" priority="9910">
      <formula>$B702="SEM PROGRAMAÇÃO"</formula>
    </cfRule>
    <cfRule type="expression" dxfId="1679" priority="9911">
      <formula>$B702="PROGRAMADO"</formula>
    </cfRule>
    <cfRule type="expression" dxfId="1678" priority="9912">
      <formula>$B702="PRÉ-STACKING"</formula>
    </cfRule>
    <cfRule type="expression" dxfId="1677" priority="9913">
      <formula>$B702="FINALIZADO"</formula>
    </cfRule>
    <cfRule type="expression" dxfId="1676" priority="9914">
      <formula>$B702="ENTREGUE"</formula>
    </cfRule>
    <cfRule type="expression" dxfId="1675" priority="9915">
      <formula>$B702="EM TRÂNSITO TERMINAL"</formula>
    </cfRule>
    <cfRule type="expression" dxfId="1674" priority="9916">
      <formula>$B702="EM TRÂNSITO CLIENTE"</formula>
    </cfRule>
    <cfRule type="expression" dxfId="1673" priority="9917">
      <formula>$B702="CANCELADO"</formula>
    </cfRule>
    <cfRule type="expression" dxfId="1672" priority="9918">
      <formula>$B702="AGUARDANDO VEÍCULO"</formula>
    </cfRule>
  </conditionalFormatting>
  <conditionalFormatting sqref="P700 P721:P724 P707 P709:P710 P717 P726:P772 P774 P776:P786 P790:P791 P793:P794 P798 P804:P805 P816 P809 P814 P812 P818 P820 P822 P844 P847:P848 P825:P842 P853:P870 P872">
    <cfRule type="expression" dxfId="1671" priority="10080">
      <formula>$B699="NO CLIENTE"</formula>
    </cfRule>
  </conditionalFormatting>
  <conditionalFormatting sqref="S526:W527 Y526:Y527">
    <cfRule type="expression" dxfId="1670" priority="2365">
      <formula>$B526="SEM PROGRAMAÇÃO"</formula>
    </cfRule>
    <cfRule type="expression" dxfId="1669" priority="2366">
      <formula>$B526="PROGRAMADO"</formula>
    </cfRule>
    <cfRule type="expression" dxfId="1668" priority="2367">
      <formula>$B526="NO CLIENTE"</formula>
    </cfRule>
    <cfRule type="expression" dxfId="1667" priority="2368">
      <formula>$B526="ENTREGUE"</formula>
    </cfRule>
    <cfRule type="expression" dxfId="1666" priority="2369">
      <formula>$B526="FINALIZADO"</formula>
    </cfRule>
    <cfRule type="expression" dxfId="1665" priority="2370">
      <formula>$B526="DOCUMENTO"</formula>
    </cfRule>
    <cfRule type="expression" dxfId="1664" priority="2371">
      <formula>$B526="CANCELADO"</formula>
    </cfRule>
    <cfRule type="expression" dxfId="1663" priority="2372">
      <formula>$B526="ATRASADO"</formula>
    </cfRule>
    <cfRule type="expression" dxfId="1662" priority="2373">
      <formula>$B526="AGUARDANDO VEÍCULO"</formula>
    </cfRule>
  </conditionalFormatting>
  <conditionalFormatting sqref="U589:AK602 U603:AG603 AI603:AK603 U604:AK618">
    <cfRule type="expression" dxfId="1661" priority="2140">
      <formula>$B589="SEM PROGRAMAÇÃO"</formula>
    </cfRule>
    <cfRule type="expression" dxfId="1660" priority="2141">
      <formula>$B589="PROGRAMADO"</formula>
    </cfRule>
    <cfRule type="expression" dxfId="1659" priority="2142">
      <formula>$B589="NO CLIENTE"</formula>
    </cfRule>
    <cfRule type="expression" dxfId="1658" priority="2143">
      <formula>$B589="ENTREGUE"</formula>
    </cfRule>
    <cfRule type="expression" dxfId="1657" priority="2144">
      <formula>$B589="FINALIZADO"</formula>
    </cfRule>
    <cfRule type="expression" dxfId="1656" priority="2145">
      <formula>$B589="DOCUMENTO"</formula>
    </cfRule>
    <cfRule type="expression" dxfId="1655" priority="2146">
      <formula>$B589="CANCELADO"</formula>
    </cfRule>
    <cfRule type="expression" dxfId="1654" priority="2147">
      <formula>$B589="ATRASADO"</formula>
    </cfRule>
    <cfRule type="expression" dxfId="1653" priority="2148">
      <formula>$B589="AGUARDANDO VEÍCULO"</formula>
    </cfRule>
  </conditionalFormatting>
  <conditionalFormatting sqref="U656:AK664 U665:AG666 AI665:AK666 U667:AK676 U677:AG677 AI677:AK677">
    <cfRule type="expression" dxfId="1652" priority="1496">
      <formula>$B656="SEM PROGRAMAÇÃO"</formula>
    </cfRule>
    <cfRule type="expression" dxfId="1651" priority="1497">
      <formula>$B656="PROGRAMADO"</formula>
    </cfRule>
    <cfRule type="expression" dxfId="1650" priority="1498">
      <formula>$B656="NO CLIENTE"</formula>
    </cfRule>
    <cfRule type="expression" dxfId="1649" priority="1499">
      <formula>$B656="ENTREGUE"</formula>
    </cfRule>
    <cfRule type="expression" dxfId="1648" priority="1500">
      <formula>$B656="FINALIZADO"</formula>
    </cfRule>
    <cfRule type="expression" dxfId="1647" priority="1501">
      <formula>$B656="DOCUMENTO"</formula>
    </cfRule>
    <cfRule type="expression" dxfId="1646" priority="1502">
      <formula>$B656="CANCELADO"</formula>
    </cfRule>
    <cfRule type="expression" dxfId="1645" priority="1503">
      <formula>$B656="ATRASADO"</formula>
    </cfRule>
    <cfRule type="expression" dxfId="1644" priority="1504">
      <formula>$B656="AGUARDANDO VEÍCULO"</formula>
    </cfRule>
  </conditionalFormatting>
  <conditionalFormatting sqref="Z637:AK639 Z640:AG640 AI640:AK640 Z641:AK645 Z646:AG646 AI646:AK646 Z647:AK647 Z648:AG649 AI648:AK649 Z650:AK655">
    <cfRule type="expression" dxfId="1643" priority="1879">
      <formula>$B637="SEM PROGRAMAÇÃO"</formula>
    </cfRule>
    <cfRule type="expression" dxfId="1642" priority="1880">
      <formula>$B637="PROGRAMADO"</formula>
    </cfRule>
    <cfRule type="expression" dxfId="1641" priority="1881">
      <formula>$B637="NO CLIENTE"</formula>
    </cfRule>
    <cfRule type="expression" dxfId="1640" priority="1882">
      <formula>$B637="ENTREGUE"</formula>
    </cfRule>
    <cfRule type="expression" dxfId="1639" priority="1883">
      <formula>$B637="FINALIZADO"</formula>
    </cfRule>
    <cfRule type="expression" dxfId="1638" priority="1884">
      <formula>$B637="DOCUMENTO"</formula>
    </cfRule>
    <cfRule type="expression" dxfId="1637" priority="1885">
      <formula>$B637="CANCELADO"</formula>
    </cfRule>
    <cfRule type="expression" dxfId="1636" priority="1886">
      <formula>$B637="ATRASADO"</formula>
    </cfRule>
    <cfRule type="expression" dxfId="1635" priority="1887">
      <formula>$B637="AGUARDANDO VEÍCULO"</formula>
    </cfRule>
  </conditionalFormatting>
  <conditionalFormatting sqref="AH603">
    <cfRule type="expression" dxfId="1634" priority="1996">
      <formula>$B603="SEM PROGRAMAÇÃO"</formula>
    </cfRule>
    <cfRule type="expression" dxfId="1633" priority="1997">
      <formula>$B603="PROGRAMADO"</formula>
    </cfRule>
    <cfRule type="expression" dxfId="1632" priority="1998">
      <formula>$B603="NO CLIENTE"</formula>
    </cfRule>
    <cfRule type="expression" dxfId="1631" priority="1999">
      <formula>$B603="ENTREGUE"</formula>
    </cfRule>
    <cfRule type="expression" dxfId="1630" priority="2000">
      <formula>$B603="FINALIZADO"</formula>
    </cfRule>
    <cfRule type="expression" dxfId="1629" priority="2001">
      <formula>$B603="DOCUMENTO"</formula>
    </cfRule>
    <cfRule type="expression" dxfId="1628" priority="2002">
      <formula>$B603="CANCELADO"</formula>
    </cfRule>
    <cfRule type="expression" dxfId="1627" priority="2003">
      <formula>$B603="ATRASADO"</formula>
    </cfRule>
    <cfRule type="expression" dxfId="1626" priority="2004">
      <formula>$B603="AGUARDANDO VEÍCULO"</formula>
    </cfRule>
  </conditionalFormatting>
  <conditionalFormatting sqref="AH640">
    <cfRule type="expression" dxfId="1625" priority="1457">
      <formula>$B640="SEM PROGRAMAÇÃO"</formula>
    </cfRule>
    <cfRule type="expression" dxfId="1624" priority="1458">
      <formula>$B640="PROGRAMADO"</formula>
    </cfRule>
    <cfRule type="expression" dxfId="1623" priority="1459">
      <formula>$B640="NO CLIENTE"</formula>
    </cfRule>
    <cfRule type="expression" dxfId="1622" priority="1460">
      <formula>$B640="ENTREGUE"</formula>
    </cfRule>
    <cfRule type="expression" dxfId="1621" priority="1461">
      <formula>$B640="FINALIZADO"</formula>
    </cfRule>
    <cfRule type="expression" dxfId="1620" priority="1462">
      <formula>$B640="DOCUMENTO"</formula>
    </cfRule>
    <cfRule type="expression" dxfId="1619" priority="1463">
      <formula>$B640="CANCELADO"</formula>
    </cfRule>
    <cfRule type="expression" dxfId="1618" priority="1464">
      <formula>$B640="ATRASADO"</formula>
    </cfRule>
    <cfRule type="expression" dxfId="1617" priority="1465">
      <formula>$B640="AGUARDANDO VEÍCULO"</formula>
    </cfRule>
  </conditionalFormatting>
  <conditionalFormatting sqref="AH646">
    <cfRule type="expression" dxfId="1616" priority="1861">
      <formula>$B646="SEM PROGRAMAÇÃO"</formula>
    </cfRule>
    <cfRule type="expression" dxfId="1615" priority="1862">
      <formula>$B646="PROGRAMADO"</formula>
    </cfRule>
    <cfRule type="expression" dxfId="1614" priority="1863">
      <formula>$B646="NO CLIENTE"</formula>
    </cfRule>
    <cfRule type="expression" dxfId="1613" priority="1864">
      <formula>$B646="ENTREGUE"</formula>
    </cfRule>
    <cfRule type="expression" dxfId="1612" priority="1865">
      <formula>$B646="FINALIZADO"</formula>
    </cfRule>
    <cfRule type="expression" dxfId="1611" priority="1866">
      <formula>$B646="DOCUMENTO"</formula>
    </cfRule>
    <cfRule type="expression" dxfId="1610" priority="1867">
      <formula>$B646="CANCELADO"</formula>
    </cfRule>
    <cfRule type="expression" dxfId="1609" priority="1868">
      <formula>$B646="ATRASADO"</formula>
    </cfRule>
    <cfRule type="expression" dxfId="1608" priority="1869">
      <formula>$B646="AGUARDANDO VEÍCULO"</formula>
    </cfRule>
  </conditionalFormatting>
  <conditionalFormatting sqref="AH648:AH649">
    <cfRule type="expression" dxfId="1607" priority="1852">
      <formula>$B648="SEM PROGRAMAÇÃO"</formula>
    </cfRule>
    <cfRule type="expression" dxfId="1606" priority="1853">
      <formula>$B648="PROGRAMADO"</formula>
    </cfRule>
    <cfRule type="expression" dxfId="1605" priority="1854">
      <formula>$B648="NO CLIENTE"</formula>
    </cfRule>
    <cfRule type="expression" dxfId="1604" priority="1855">
      <formula>$B648="ENTREGUE"</formula>
    </cfRule>
    <cfRule type="expression" dxfId="1603" priority="1856">
      <formula>$B648="FINALIZADO"</formula>
    </cfRule>
    <cfRule type="expression" dxfId="1602" priority="1857">
      <formula>$B648="DOCUMENTO"</formula>
    </cfRule>
    <cfRule type="expression" dxfId="1601" priority="1858">
      <formula>$B648="CANCELADO"</formula>
    </cfRule>
    <cfRule type="expression" dxfId="1600" priority="1859">
      <formula>$B648="ATRASADO"</formula>
    </cfRule>
    <cfRule type="expression" dxfId="1599" priority="1860">
      <formula>$B648="AGUARDANDO VEÍCULO"</formula>
    </cfRule>
  </conditionalFormatting>
  <conditionalFormatting sqref="AH665:AH666">
    <cfRule type="expression" dxfId="1598" priority="1448">
      <formula>$B665="SEM PROGRAMAÇÃO"</formula>
    </cfRule>
    <cfRule type="expression" dxfId="1597" priority="1449">
      <formula>$B665="PROGRAMADO"</formula>
    </cfRule>
    <cfRule type="expression" dxfId="1596" priority="1450">
      <formula>$B665="NO CLIENTE"</formula>
    </cfRule>
    <cfRule type="expression" dxfId="1595" priority="1451">
      <formula>$B665="ENTREGUE"</formula>
    </cfRule>
    <cfRule type="expression" dxfId="1594" priority="1452">
      <formula>$B665="FINALIZADO"</formula>
    </cfRule>
    <cfRule type="expression" dxfId="1593" priority="1453">
      <formula>$B665="DOCUMENTO"</formula>
    </cfRule>
    <cfRule type="expression" dxfId="1592" priority="1454">
      <formula>$B665="CANCELADO"</formula>
    </cfRule>
    <cfRule type="expression" dxfId="1591" priority="1455">
      <formula>$B665="ATRASADO"</formula>
    </cfRule>
    <cfRule type="expression" dxfId="1590" priority="1456">
      <formula>$B665="AGUARDANDO VEÍCULO"</formula>
    </cfRule>
  </conditionalFormatting>
  <conditionalFormatting sqref="AH677">
    <cfRule type="expression" dxfId="1589" priority="1421">
      <formula>$B677="SEM PROGRAMAÇÃO"</formula>
    </cfRule>
    <cfRule type="expression" dxfId="1588" priority="1422">
      <formula>$B677="PROGRAMADO"</formula>
    </cfRule>
    <cfRule type="expression" dxfId="1587" priority="1423">
      <formula>$B677="NO CLIENTE"</formula>
    </cfRule>
    <cfRule type="expression" dxfId="1586" priority="1424">
      <formula>$B677="ENTREGUE"</formula>
    </cfRule>
    <cfRule type="expression" dxfId="1585" priority="1425">
      <formula>$B677="FINALIZADO"</formula>
    </cfRule>
    <cfRule type="expression" dxfId="1584" priority="1426">
      <formula>$B677="DOCUMENTO"</formula>
    </cfRule>
    <cfRule type="expression" dxfId="1583" priority="1427">
      <formula>$B677="CANCELADO"</formula>
    </cfRule>
    <cfRule type="expression" dxfId="1582" priority="1428">
      <formula>$B677="ATRASADO"</formula>
    </cfRule>
    <cfRule type="expression" dxfId="1581" priority="1429">
      <formula>$B677="AGUARDANDO VEÍCULO"</formula>
    </cfRule>
  </conditionalFormatting>
  <conditionalFormatting sqref="P715 P796:P800 P807 P819:P820 P870">
    <cfRule type="expression" dxfId="1580" priority="10549">
      <formula>$B707="SEM PROGRAMAÇÃO"</formula>
    </cfRule>
    <cfRule type="expression" dxfId="1579" priority="10550">
      <formula>$B707="PROGRAMADO"</formula>
    </cfRule>
    <cfRule type="expression" dxfId="1578" priority="10551">
      <formula>$B707="PRÉ-STACKING"</formula>
    </cfRule>
    <cfRule type="expression" dxfId="1577" priority="10552">
      <formula>$B707="FINALIZADO"</formula>
    </cfRule>
    <cfRule type="expression" dxfId="1576" priority="10553">
      <formula>$B707="ENTREGUE"</formula>
    </cfRule>
    <cfRule type="expression" dxfId="1575" priority="10554">
      <formula>$B707="EM TRÂNSITO TERMINAL"</formula>
    </cfRule>
    <cfRule type="expression" dxfId="1574" priority="10555">
      <formula>$B707="EM TRÂNSITO CLIENTE"</formula>
    </cfRule>
    <cfRule type="expression" dxfId="1573" priority="10556">
      <formula>$B707="CANCELADO"</formula>
    </cfRule>
    <cfRule type="expression" dxfId="1572" priority="10557">
      <formula>$B707="AGUARDANDO VEÍCULO"</formula>
    </cfRule>
  </conditionalFormatting>
  <conditionalFormatting sqref="P715 P796:P800 P807 P819:P820 P870">
    <cfRule type="expression" dxfId="1571" priority="10595">
      <formula>$B707="NO CLIENTE"</formula>
    </cfRule>
  </conditionalFormatting>
  <conditionalFormatting sqref="P716:P717 P727:P780 P783:P798 P809:P812 P803:P805 P818:P820 P851 P835:P842 P860:P869 P871:P879 P884">
    <cfRule type="expression" dxfId="1570" priority="10663">
      <formula>$B708="SEM PROGRAMAÇÃO"</formula>
    </cfRule>
    <cfRule type="expression" dxfId="1569" priority="10664">
      <formula>$B708="PROGRAMADO"</formula>
    </cfRule>
    <cfRule type="expression" dxfId="1568" priority="10665">
      <formula>$B708="NO CLIENTE"</formula>
    </cfRule>
    <cfRule type="expression" dxfId="1567" priority="10666">
      <formula>$B708="ENTREGUE"</formula>
    </cfRule>
    <cfRule type="expression" dxfId="1566" priority="10667">
      <formula>$B708="FINALIZADO"</formula>
    </cfRule>
    <cfRule type="expression" dxfId="1565" priority="10668">
      <formula>$B708="DOCUMENTO"</formula>
    </cfRule>
    <cfRule type="expression" dxfId="1564" priority="10669">
      <formula>$B708="CANCELADO"</formula>
    </cfRule>
    <cfRule type="expression" dxfId="1563" priority="10670">
      <formula>$B708="ATRASADO"</formula>
    </cfRule>
    <cfRule type="expression" dxfId="1562" priority="10671">
      <formula>$B708="AGUARDANDO VEÍCULO"</formula>
    </cfRule>
  </conditionalFormatting>
  <conditionalFormatting sqref="P708:P710 P722 P793:P798 P817:P820 P850 P884:P885 P892">
    <cfRule type="expression" dxfId="1561" priority="10690">
      <formula>$B704="SEM PROGRAMAÇÃO"</formula>
    </cfRule>
    <cfRule type="expression" dxfId="1560" priority="10691">
      <formula>$B704="PROGRAMADO"</formula>
    </cfRule>
    <cfRule type="expression" dxfId="1559" priority="10692">
      <formula>$B704="NO CLIENTE"</formula>
    </cfRule>
    <cfRule type="expression" dxfId="1558" priority="10693">
      <formula>$B704="ENTREGUE"</formula>
    </cfRule>
    <cfRule type="expression" dxfId="1557" priority="10694">
      <formula>$B704="FINALIZADO"</formula>
    </cfRule>
    <cfRule type="expression" dxfId="1556" priority="10695">
      <formula>$B704="DOCUMENTO"</formula>
    </cfRule>
    <cfRule type="expression" dxfId="1555" priority="10696">
      <formula>$B704="CANCELADO"</formula>
    </cfRule>
    <cfRule type="expression" dxfId="1554" priority="10697">
      <formula>$B704="ATRASADO"</formula>
    </cfRule>
    <cfRule type="expression" dxfId="1553" priority="10698">
      <formula>$B704="AGUARDANDO VEÍCULO"</formula>
    </cfRule>
  </conditionalFormatting>
  <conditionalFormatting sqref="P708 P789 P819 P843 P887:P890">
    <cfRule type="expression" dxfId="1552" priority="10726">
      <formula>$B715="SEM PROGRAMAÇÃO"</formula>
    </cfRule>
    <cfRule type="expression" dxfId="1551" priority="10727">
      <formula>$B715="PROGRAMADO"</formula>
    </cfRule>
    <cfRule type="expression" dxfId="1550" priority="10728">
      <formula>$B715="PRÉ-STACKING"</formula>
    </cfRule>
    <cfRule type="expression" dxfId="1549" priority="10729">
      <formula>$B715="FINALIZADO"</formula>
    </cfRule>
    <cfRule type="expression" dxfId="1548" priority="10730">
      <formula>$B715="ENTREGUE"</formula>
    </cfRule>
    <cfRule type="expression" dxfId="1547" priority="10731">
      <formula>$B715="EM TRÂNSITO TERMINAL"</formula>
    </cfRule>
    <cfRule type="expression" dxfId="1546" priority="10732">
      <formula>$B715="EM TRÂNSITO CLIENTE"</formula>
    </cfRule>
    <cfRule type="expression" dxfId="1545" priority="10733">
      <formula>$B715="CANCELADO"</formula>
    </cfRule>
    <cfRule type="expression" dxfId="1544" priority="10734">
      <formula>$B715="AGUARDANDO VEÍCULO"</formula>
    </cfRule>
  </conditionalFormatting>
  <conditionalFormatting sqref="P713:P714 P824 P850 P871">
    <cfRule type="expression" dxfId="1543" priority="10735">
      <formula>$B711="SEM PROGRAMAÇÃO"</formula>
    </cfRule>
    <cfRule type="expression" dxfId="1542" priority="10736">
      <formula>$B711="PROGRAMADO"</formula>
    </cfRule>
    <cfRule type="expression" dxfId="1541" priority="10737">
      <formula>$B711="PRÉ-STACKING"</formula>
    </cfRule>
    <cfRule type="expression" dxfId="1540" priority="10738">
      <formula>$B711="FINALIZADO"</formula>
    </cfRule>
    <cfRule type="expression" dxfId="1539" priority="10739">
      <formula>$B711="ENTREGUE"</formula>
    </cfRule>
    <cfRule type="expression" dxfId="1538" priority="10740">
      <formula>$B711="EM TRÂNSITO TERMINAL"</formula>
    </cfRule>
    <cfRule type="expression" dxfId="1537" priority="10741">
      <formula>$B711="EM TRÂNSITO CLIENTE"</formula>
    </cfRule>
    <cfRule type="expression" dxfId="1536" priority="10742">
      <formula>$B711="CANCELADO"</formula>
    </cfRule>
    <cfRule type="expression" dxfId="1535" priority="10743">
      <formula>$B711="AGUARDANDO VEÍCULO"</formula>
    </cfRule>
  </conditionalFormatting>
  <conditionalFormatting sqref="P708 P789 P819 P843 P887:P890">
    <cfRule type="expression" dxfId="1534" priority="10755">
      <formula>$B715="NO CLIENTE"</formula>
    </cfRule>
  </conditionalFormatting>
  <conditionalFormatting sqref="P713:P714 P824 P850 P871">
    <cfRule type="expression" dxfId="1533" priority="10756">
      <formula>$B711="NO CLIENTE"</formula>
    </cfRule>
  </conditionalFormatting>
  <conditionalFormatting sqref="P713:P714 P804:P805 P798 P847:P848 B847:O847 P878:P879">
    <cfRule type="expression" dxfId="1532" priority="10759">
      <formula>$B715="SEM PROGRAMAÇÃO"</formula>
    </cfRule>
    <cfRule type="expression" dxfId="1531" priority="10760">
      <formula>$B715="PROGRAMADO"</formula>
    </cfRule>
    <cfRule type="expression" dxfId="1530" priority="10761">
      <formula>$B715="NO CLIENTE"</formula>
    </cfRule>
    <cfRule type="expression" dxfId="1529" priority="10762">
      <formula>$B715="ENTREGUE"</formula>
    </cfRule>
    <cfRule type="expression" dxfId="1528" priority="10763">
      <formula>$B715="FINALIZADO"</formula>
    </cfRule>
    <cfRule type="expression" dxfId="1527" priority="10764">
      <formula>$B715="DOCUMENTO"</formula>
    </cfRule>
    <cfRule type="expression" dxfId="1526" priority="10765">
      <formula>$B715="CANCELADO"</formula>
    </cfRule>
    <cfRule type="expression" dxfId="1525" priority="10766">
      <formula>$B715="ATRASADO"</formula>
    </cfRule>
    <cfRule type="expression" dxfId="1524" priority="10767">
      <formula>$B715="AGUARDANDO VEÍCULO"</formula>
    </cfRule>
  </conditionalFormatting>
  <conditionalFormatting sqref="P711:P714">
    <cfRule type="expression" dxfId="1523" priority="10795">
      <formula>$B703="SEM PROGRAMAÇÃO"</formula>
    </cfRule>
    <cfRule type="expression" dxfId="1522" priority="10796">
      <formula>$B703="PROGRAMADO"</formula>
    </cfRule>
    <cfRule type="expression" dxfId="1521" priority="10797">
      <formula>$B703="NO CLIENTE"</formula>
    </cfRule>
    <cfRule type="expression" dxfId="1520" priority="10798">
      <formula>$B703="ENTREGUE"</formula>
    </cfRule>
    <cfRule type="expression" dxfId="1519" priority="10799">
      <formula>$B703="FINALIZADO"</formula>
    </cfRule>
    <cfRule type="expression" dxfId="1518" priority="10800">
      <formula>$B703="DOCUMENTO"</formula>
    </cfRule>
    <cfRule type="expression" dxfId="1517" priority="10801">
      <formula>$B703="CANCELADO"</formula>
    </cfRule>
    <cfRule type="expression" dxfId="1516" priority="10802">
      <formula>$B703="ATRASADO"</formula>
    </cfRule>
    <cfRule type="expression" dxfId="1515" priority="10803">
      <formula>$B703="AGUARDANDO VEÍCULO"</formula>
    </cfRule>
  </conditionalFormatting>
  <conditionalFormatting sqref="P725 P787:P788">
    <cfRule type="expression" dxfId="1514" priority="10934">
      <formula>$B729="SEM PROGRAMAÇÃO"</formula>
    </cfRule>
    <cfRule type="expression" dxfId="1513" priority="10935">
      <formula>$B729="PROGRAMADO"</formula>
    </cfRule>
    <cfRule type="expression" dxfId="1512" priority="10936">
      <formula>$B729="PRÉ-STACKING"</formula>
    </cfRule>
    <cfRule type="expression" dxfId="1511" priority="10937">
      <formula>$B729="FINALIZADO"</formula>
    </cfRule>
    <cfRule type="expression" dxfId="1510" priority="10938">
      <formula>$B729="ENTREGUE"</formula>
    </cfRule>
    <cfRule type="expression" dxfId="1509" priority="10939">
      <formula>$B729="EM TRÂNSITO TERMINAL"</formula>
    </cfRule>
    <cfRule type="expression" dxfId="1508" priority="10940">
      <formula>$B729="EM TRÂNSITO CLIENTE"</formula>
    </cfRule>
    <cfRule type="expression" dxfId="1507" priority="10941">
      <formula>$B729="CANCELADO"</formula>
    </cfRule>
    <cfRule type="expression" dxfId="1506" priority="10942">
      <formula>$B729="AGUARDANDO VEÍCULO"</formula>
    </cfRule>
  </conditionalFormatting>
  <conditionalFormatting sqref="P711:P714">
    <cfRule type="expression" dxfId="1505" priority="10961">
      <formula>$B707="SEM PROGRAMAÇÃO"</formula>
    </cfRule>
    <cfRule type="expression" dxfId="1504" priority="10962">
      <formula>$B707="PROGRAMADO"</formula>
    </cfRule>
    <cfRule type="expression" dxfId="1503" priority="10963">
      <formula>$B707="NO CLIENTE"</formula>
    </cfRule>
    <cfRule type="expression" dxfId="1502" priority="10964">
      <formula>$B707="ENTREGUE"</formula>
    </cfRule>
    <cfRule type="expression" dxfId="1501" priority="10965">
      <formula>$B707="FINALIZADO"</formula>
    </cfRule>
    <cfRule type="expression" dxfId="1500" priority="10966">
      <formula>$B707="DOCUMENTO"</formula>
    </cfRule>
    <cfRule type="expression" dxfId="1499" priority="10967">
      <formula>$B707="CANCELADO"</formula>
    </cfRule>
    <cfRule type="expression" dxfId="1498" priority="10968">
      <formula>$B707="ATRASADO"</formula>
    </cfRule>
    <cfRule type="expression" dxfId="1497" priority="10969">
      <formula>$B707="AGUARDANDO VEÍCULO"</formula>
    </cfRule>
  </conditionalFormatting>
  <conditionalFormatting sqref="P725 P787:P788">
    <cfRule type="expression" dxfId="1496" priority="10971">
      <formula>$B729="NO CLIENTE"</formula>
    </cfRule>
  </conditionalFormatting>
  <conditionalFormatting sqref="P721:P723 P803 P834">
    <cfRule type="expression" dxfId="1495" priority="11105">
      <formula>$B732="SEM PROGRAMAÇÃO"</formula>
    </cfRule>
    <cfRule type="expression" dxfId="1494" priority="11106">
      <formula>$B732="PROGRAMADO"</formula>
    </cfRule>
    <cfRule type="expression" dxfId="1493" priority="11107">
      <formula>$B732="PRÉ-STACKING"</formula>
    </cfRule>
    <cfRule type="expression" dxfId="1492" priority="11108">
      <formula>$B732="FINALIZADO"</formula>
    </cfRule>
    <cfRule type="expression" dxfId="1491" priority="11109">
      <formula>$B732="ENTREGUE"</formula>
    </cfRule>
    <cfRule type="expression" dxfId="1490" priority="11110">
      <formula>$B732="EM TRÂNSITO TERMINAL"</formula>
    </cfRule>
    <cfRule type="expression" dxfId="1489" priority="11111">
      <formula>$B732="EM TRÂNSITO CLIENTE"</formula>
    </cfRule>
    <cfRule type="expression" dxfId="1488" priority="11112">
      <formula>$B732="CANCELADO"</formula>
    </cfRule>
    <cfRule type="expression" dxfId="1487" priority="11113">
      <formula>$B732="AGUARDANDO VEÍCULO"</formula>
    </cfRule>
  </conditionalFormatting>
  <conditionalFormatting sqref="P721:P723 P803 P834">
    <cfRule type="expression" dxfId="1486" priority="11142">
      <formula>$B732="NO CLIENTE"</formula>
    </cfRule>
  </conditionalFormatting>
  <conditionalFormatting sqref="P729:P774 P785:P797 P801:P805 P837:P842 P852 P862:P870 P873:P879">
    <cfRule type="expression" dxfId="1485" priority="11161">
      <formula>$B719="SEM PROGRAMAÇÃO"</formula>
    </cfRule>
    <cfRule type="expression" dxfId="1484" priority="11162">
      <formula>$B719="PROGRAMADO"</formula>
    </cfRule>
    <cfRule type="expression" dxfId="1483" priority="11163">
      <formula>$B719="PRÉ-STACKING"</formula>
    </cfRule>
    <cfRule type="expression" dxfId="1482" priority="11164">
      <formula>$B719="FINALIZADO"</formula>
    </cfRule>
    <cfRule type="expression" dxfId="1481" priority="11165">
      <formula>$B719="ENTREGUE"</formula>
    </cfRule>
    <cfRule type="expression" dxfId="1480" priority="11166">
      <formula>$B719="EM TRÂNSITO TERMINAL"</formula>
    </cfRule>
    <cfRule type="expression" dxfId="1479" priority="11167">
      <formula>$B719="EM TRÂNSITO CLIENTE"</formula>
    </cfRule>
    <cfRule type="expression" dxfId="1478" priority="11168">
      <formula>$B719="CANCELADO"</formula>
    </cfRule>
    <cfRule type="expression" dxfId="1477" priority="11169">
      <formula>$B719="AGUARDANDO VEÍCULO"</formula>
    </cfRule>
  </conditionalFormatting>
  <conditionalFormatting sqref="P729:P774 P785:P797 P801:P805 P852 P837:P842 P862:P870 P873:P879">
    <cfRule type="expression" dxfId="1476" priority="11170">
      <formula>$B719="NO CLIENTE"</formula>
    </cfRule>
  </conditionalFormatting>
  <conditionalFormatting sqref="P719:P720 P805 P808 P817 P801:P802 P819 P851 P848:P849 P873:P874 P876:P879 B877:B879 P881:P882 P885 P895 B898:P898 B887:P893">
    <cfRule type="expression" dxfId="1475" priority="11181">
      <formula>$B718="SEM PROGRAMAÇÃO"</formula>
    </cfRule>
    <cfRule type="expression" dxfId="1474" priority="11182">
      <formula>$B718="PROGRAMADO"</formula>
    </cfRule>
    <cfRule type="expression" dxfId="1473" priority="11183">
      <formula>$B718="NO CLIENTE"</formula>
    </cfRule>
    <cfRule type="expression" dxfId="1472" priority="11184">
      <formula>$B718="ENTREGUE"</formula>
    </cfRule>
    <cfRule type="expression" dxfId="1471" priority="11185">
      <formula>$B718="FINALIZADO"</formula>
    </cfRule>
    <cfRule type="expression" dxfId="1470" priority="11186">
      <formula>$B718="DOCUMENTO"</formula>
    </cfRule>
    <cfRule type="expression" dxfId="1469" priority="11187">
      <formula>$B718="CANCELADO"</formula>
    </cfRule>
    <cfRule type="expression" dxfId="1468" priority="11188">
      <formula>$B718="ATRASADO"</formula>
    </cfRule>
    <cfRule type="expression" dxfId="1467" priority="11189">
      <formula>$B718="AGUARDANDO VEÍCULO"</formula>
    </cfRule>
  </conditionalFormatting>
  <conditionalFormatting sqref="P720 P829:P830 P832:P833">
    <cfRule type="expression" dxfId="1466" priority="11338">
      <formula>$B734="SEM PROGRAMAÇÃO"</formula>
    </cfRule>
    <cfRule type="expression" dxfId="1465" priority="11339">
      <formula>$B734="PROGRAMADO"</formula>
    </cfRule>
    <cfRule type="expression" dxfId="1464" priority="11340">
      <formula>$B734="PRÉ-STACKING"</formula>
    </cfRule>
    <cfRule type="expression" dxfId="1463" priority="11341">
      <formula>$B734="FINALIZADO"</formula>
    </cfRule>
    <cfRule type="expression" dxfId="1462" priority="11342">
      <formula>$B734="ENTREGUE"</formula>
    </cfRule>
    <cfRule type="expression" dxfId="1461" priority="11343">
      <formula>$B734="EM TRÂNSITO TERMINAL"</formula>
    </cfRule>
    <cfRule type="expression" dxfId="1460" priority="11344">
      <formula>$B734="EM TRÂNSITO CLIENTE"</formula>
    </cfRule>
    <cfRule type="expression" dxfId="1459" priority="11345">
      <formula>$B734="CANCELADO"</formula>
    </cfRule>
    <cfRule type="expression" dxfId="1458" priority="11346">
      <formula>$B734="AGUARDANDO VEÍCULO"</formula>
    </cfRule>
  </conditionalFormatting>
  <conditionalFormatting sqref="P725 P711:P714">
    <cfRule type="expression" dxfId="1457" priority="11347">
      <formula>$B709="SEM PROGRAMAÇÃO"</formula>
    </cfRule>
    <cfRule type="expression" dxfId="1456" priority="11348">
      <formula>$B709="PROGRAMADO"</formula>
    </cfRule>
    <cfRule type="expression" dxfId="1455" priority="11349">
      <formula>$B709="PRÉ-STACKING"</formula>
    </cfRule>
    <cfRule type="expression" dxfId="1454" priority="11350">
      <formula>$B709="FINALIZADO"</formula>
    </cfRule>
    <cfRule type="expression" dxfId="1453" priority="11351">
      <formula>$B709="ENTREGUE"</formula>
    </cfRule>
    <cfRule type="expression" dxfId="1452" priority="11352">
      <formula>$B709="EM TRÂNSITO TERMINAL"</formula>
    </cfRule>
    <cfRule type="expression" dxfId="1451" priority="11353">
      <formula>$B709="EM TRÂNSITO CLIENTE"</formula>
    </cfRule>
    <cfRule type="expression" dxfId="1450" priority="11354">
      <formula>$B709="CANCELADO"</formula>
    </cfRule>
    <cfRule type="expression" dxfId="1449" priority="11355">
      <formula>$B709="AGUARDANDO VEÍCULO"</formula>
    </cfRule>
  </conditionalFormatting>
  <conditionalFormatting sqref="P720 P829:P830 P832:P833">
    <cfRule type="expression" dxfId="1448" priority="11367">
      <formula>$B734="NO CLIENTE"</formula>
    </cfRule>
  </conditionalFormatting>
  <conditionalFormatting sqref="P725 P711:P714">
    <cfRule type="expression" dxfId="1447" priority="11368">
      <formula>$B709="NO CLIENTE"</formula>
    </cfRule>
  </conditionalFormatting>
  <conditionalFormatting sqref="P719 P805 P797 P878:P879">
    <cfRule type="expression" dxfId="1446" priority="11541">
      <formula>$B724="SEM PROGRAMAÇÃO"</formula>
    </cfRule>
    <cfRule type="expression" dxfId="1445" priority="11542">
      <formula>$B724="PROGRAMADO"</formula>
    </cfRule>
    <cfRule type="expression" dxfId="1444" priority="11543">
      <formula>$B724="PRÉ-STACKING"</formula>
    </cfRule>
    <cfRule type="expression" dxfId="1443" priority="11544">
      <formula>$B724="FINALIZADO"</formula>
    </cfRule>
    <cfRule type="expression" dxfId="1442" priority="11545">
      <formula>$B724="ENTREGUE"</formula>
    </cfRule>
    <cfRule type="expression" dxfId="1441" priority="11546">
      <formula>$B724="EM TRÂNSITO TERMINAL"</formula>
    </cfRule>
    <cfRule type="expression" dxfId="1440" priority="11547">
      <formula>$B724="EM TRÂNSITO CLIENTE"</formula>
    </cfRule>
    <cfRule type="expression" dxfId="1439" priority="11548">
      <formula>$B724="CANCELADO"</formula>
    </cfRule>
    <cfRule type="expression" dxfId="1438" priority="11549">
      <formula>$B724="AGUARDANDO VEÍCULO"</formula>
    </cfRule>
  </conditionalFormatting>
  <conditionalFormatting sqref="P719 P805 P797 P878:P879">
    <cfRule type="expression" dxfId="1437" priority="11551">
      <formula>$B724="NO CLIENTE"</formula>
    </cfRule>
  </conditionalFormatting>
  <conditionalFormatting sqref="P714 P795:P798 P811 P817:P820 P826 P849:P850 B849 B848:P848 P846 P829:P842 P854:P870 P875:P879 B879:P879">
    <cfRule type="expression" dxfId="1436" priority="11564">
      <formula>$B712="SEM PROGRAMAÇÃO"</formula>
    </cfRule>
    <cfRule type="expression" dxfId="1435" priority="11565">
      <formula>$B712="PROGRAMADO"</formula>
    </cfRule>
    <cfRule type="expression" dxfId="1434" priority="11566">
      <formula>$B712="NO CLIENTE"</formula>
    </cfRule>
    <cfRule type="expression" dxfId="1433" priority="11567">
      <formula>$B712="ENTREGUE"</formula>
    </cfRule>
    <cfRule type="expression" dxfId="1432" priority="11568">
      <formula>$B712="FINALIZADO"</formula>
    </cfRule>
    <cfRule type="expression" dxfId="1431" priority="11569">
      <formula>$B712="DOCUMENTO"</formula>
    </cfRule>
    <cfRule type="expression" dxfId="1430" priority="11570">
      <formula>$B712="CANCELADO"</formula>
    </cfRule>
    <cfRule type="expression" dxfId="1429" priority="11571">
      <formula>$B712="ATRASADO"</formula>
    </cfRule>
    <cfRule type="expression" dxfId="1428" priority="11572">
      <formula>$B712="AGUARDANDO VEÍCULO"</formula>
    </cfRule>
  </conditionalFormatting>
  <conditionalFormatting sqref="P724 P775:P782 P810 P821:P822 P825:P826 P884 B899:P899">
    <cfRule type="expression" dxfId="1427" priority="11573">
      <formula>$B714="SEM PROGRAMAÇÃO"</formula>
    </cfRule>
    <cfRule type="expression" dxfId="1426" priority="11574">
      <formula>$B714="PROGRAMADO"</formula>
    </cfRule>
    <cfRule type="expression" dxfId="1425" priority="11575">
      <formula>$B714="NO CLIENTE"</formula>
    </cfRule>
    <cfRule type="expression" dxfId="1424" priority="11576">
      <formula>$B714="ENTREGUE"</formula>
    </cfRule>
    <cfRule type="expression" dxfId="1423" priority="11577">
      <formula>$B714="FINALIZADO"</formula>
    </cfRule>
    <cfRule type="expression" dxfId="1422" priority="11578">
      <formula>$B714="DOCUMENTO"</formula>
    </cfRule>
    <cfRule type="expression" dxfId="1421" priority="11579">
      <formula>$B714="CANCELADO"</formula>
    </cfRule>
    <cfRule type="expression" dxfId="1420" priority="11580">
      <formula>$B714="ATRASADO"</formula>
    </cfRule>
    <cfRule type="expression" dxfId="1419" priority="11581">
      <formula>$B714="AGUARDANDO VEÍCULO"</formula>
    </cfRule>
  </conditionalFormatting>
  <conditionalFormatting sqref="P724">
    <cfRule type="expression" dxfId="1418" priority="11582">
      <formula>$B731="SEM PROGRAMAÇÃO"</formula>
    </cfRule>
    <cfRule type="expression" dxfId="1417" priority="11583">
      <formula>$B731="PROGRAMADO"</formula>
    </cfRule>
    <cfRule type="expression" dxfId="1416" priority="11584">
      <formula>$B731="PRÉ-STACKING"</formula>
    </cfRule>
    <cfRule type="expression" dxfId="1415" priority="11585">
      <formula>$B731="FINALIZADO"</formula>
    </cfRule>
    <cfRule type="expression" dxfId="1414" priority="11586">
      <formula>$B731="ENTREGUE"</formula>
    </cfRule>
    <cfRule type="expression" dxfId="1413" priority="11587">
      <formula>$B731="EM TRÂNSITO TERMINAL"</formula>
    </cfRule>
    <cfRule type="expression" dxfId="1412" priority="11588">
      <formula>$B731="EM TRÂNSITO CLIENTE"</formula>
    </cfRule>
    <cfRule type="expression" dxfId="1411" priority="11589">
      <formula>$B731="CANCELADO"</formula>
    </cfRule>
    <cfRule type="expression" dxfId="1410" priority="11590">
      <formula>$B731="AGUARDANDO VEÍCULO"</formula>
    </cfRule>
  </conditionalFormatting>
  <conditionalFormatting sqref="P724">
    <cfRule type="expression" dxfId="1409" priority="11591">
      <formula>$B731="NO CLIENTE"</formula>
    </cfRule>
  </conditionalFormatting>
  <conditionalFormatting sqref="P722:P724">
    <cfRule type="expression" dxfId="1408" priority="11614">
      <formula>$B732="SEM PROGRAMAÇÃO"</formula>
    </cfRule>
    <cfRule type="expression" dxfId="1407" priority="11615">
      <formula>$B732="PROGRAMADO"</formula>
    </cfRule>
    <cfRule type="expression" dxfId="1406" priority="11616">
      <formula>$B732="NO CLIENTE"</formula>
    </cfRule>
    <cfRule type="expression" dxfId="1405" priority="11617">
      <formula>$B732="ENTREGUE"</formula>
    </cfRule>
    <cfRule type="expression" dxfId="1404" priority="11618">
      <formula>$B732="FINALIZADO"</formula>
    </cfRule>
    <cfRule type="expression" dxfId="1403" priority="11619">
      <formula>$B732="DOCUMENTO"</formula>
    </cfRule>
    <cfRule type="expression" dxfId="1402" priority="11620">
      <formula>$B732="CANCELADO"</formula>
    </cfRule>
    <cfRule type="expression" dxfId="1401" priority="11621">
      <formula>$B732="ATRASADO"</formula>
    </cfRule>
    <cfRule type="expression" dxfId="1400" priority="11622">
      <formula>$B732="AGUARDANDO VEÍCULO"</formula>
    </cfRule>
  </conditionalFormatting>
  <conditionalFormatting sqref="P720">
    <cfRule type="expression" dxfId="1399" priority="11768">
      <formula>$B729="SEM PROGRAMAÇÃO"</formula>
    </cfRule>
    <cfRule type="expression" dxfId="1398" priority="11769">
      <formula>$B729="PROGRAMADO"</formula>
    </cfRule>
    <cfRule type="expression" dxfId="1397" priority="11770">
      <formula>$B729="PRÉ-STACKING"</formula>
    </cfRule>
    <cfRule type="expression" dxfId="1396" priority="11771">
      <formula>$B729="FINALIZADO"</formula>
    </cfRule>
    <cfRule type="expression" dxfId="1395" priority="11772">
      <formula>$B729="ENTREGUE"</formula>
    </cfRule>
    <cfRule type="expression" dxfId="1394" priority="11773">
      <formula>$B729="EM TRÂNSITO TERMINAL"</formula>
    </cfRule>
    <cfRule type="expression" dxfId="1393" priority="11774">
      <formula>$B729="EM TRÂNSITO CLIENTE"</formula>
    </cfRule>
    <cfRule type="expression" dxfId="1392" priority="11775">
      <formula>$B729="CANCELADO"</formula>
    </cfRule>
    <cfRule type="expression" dxfId="1391" priority="11776">
      <formula>$B729="AGUARDANDO VEÍCULO"</formula>
    </cfRule>
  </conditionalFormatting>
  <conditionalFormatting sqref="P720">
    <cfRule type="expression" dxfId="1390" priority="11778">
      <formula>$B729="NO CLIENTE"</formula>
    </cfRule>
  </conditionalFormatting>
  <conditionalFormatting sqref="P721 P773:P774 P798 P875 P877 B888:P890">
    <cfRule type="expression" dxfId="1389" priority="11817">
      <formula>$B729="SEM PROGRAMAÇÃO"</formula>
    </cfRule>
    <cfRule type="expression" dxfId="1388" priority="11818">
      <formula>$B729="PROGRAMADO"</formula>
    </cfRule>
    <cfRule type="expression" dxfId="1387" priority="11819">
      <formula>$B729="NO CLIENTE"</formula>
    </cfRule>
    <cfRule type="expression" dxfId="1386" priority="11820">
      <formula>$B729="ENTREGUE"</formula>
    </cfRule>
    <cfRule type="expression" dxfId="1385" priority="11821">
      <formula>$B729="FINALIZADO"</formula>
    </cfRule>
    <cfRule type="expression" dxfId="1384" priority="11822">
      <formula>$B729="DOCUMENTO"</formula>
    </cfRule>
    <cfRule type="expression" dxfId="1383" priority="11823">
      <formula>$B729="CANCELADO"</formula>
    </cfRule>
    <cfRule type="expression" dxfId="1382" priority="11824">
      <formula>$B729="ATRASADO"</formula>
    </cfRule>
    <cfRule type="expression" dxfId="1381" priority="11825">
      <formula>$B729="AGUARDANDO VEÍCULO"</formula>
    </cfRule>
  </conditionalFormatting>
  <conditionalFormatting sqref="P716 P775 P797 P799 P809:P814 P804:P805 P848 P851 P877:P879">
    <cfRule type="expression" dxfId="1380" priority="11838">
      <formula>$B713="SEM PROGRAMAÇÃO"</formula>
    </cfRule>
    <cfRule type="expression" dxfId="1379" priority="11839">
      <formula>$B713="PROGRAMADO"</formula>
    </cfRule>
    <cfRule type="expression" dxfId="1378" priority="11840">
      <formula>$B713="PRÉ-STACKING"</formula>
    </cfRule>
    <cfRule type="expression" dxfId="1377" priority="11841">
      <formula>$B713="FINALIZADO"</formula>
    </cfRule>
    <cfRule type="expression" dxfId="1376" priority="11842">
      <formula>$B713="ENTREGUE"</formula>
    </cfRule>
    <cfRule type="expression" dxfId="1375" priority="11843">
      <formula>$B713="EM TRÂNSITO TERMINAL"</formula>
    </cfRule>
    <cfRule type="expression" dxfId="1374" priority="11844">
      <formula>$B713="EM TRÂNSITO CLIENTE"</formula>
    </cfRule>
    <cfRule type="expression" dxfId="1373" priority="11845">
      <formula>$B713="CANCELADO"</formula>
    </cfRule>
    <cfRule type="expression" dxfId="1372" priority="11846">
      <formula>$B713="AGUARDANDO VEÍCULO"</formula>
    </cfRule>
  </conditionalFormatting>
  <conditionalFormatting sqref="P716 P775 P797 P799 P809:P814 P804:P805 P848 P851 P877:P879">
    <cfRule type="expression" dxfId="1371" priority="11847">
      <formula>$B713="NO CLIENTE"</formula>
    </cfRule>
  </conditionalFormatting>
  <conditionalFormatting sqref="P726:P728 P791:P792 P801 P810 P795">
    <cfRule type="expression" dxfId="1370" priority="11848">
      <formula>$B732="SEM PROGRAMAÇÃO"</formula>
    </cfRule>
    <cfRule type="expression" dxfId="1369" priority="11849">
      <formula>$B732="PROGRAMADO"</formula>
    </cfRule>
    <cfRule type="expression" dxfId="1368" priority="11850">
      <formula>$B732="PRÉ-STACKING"</formula>
    </cfRule>
    <cfRule type="expression" dxfId="1367" priority="11851">
      <formula>$B732="FINALIZADO"</formula>
    </cfRule>
    <cfRule type="expression" dxfId="1366" priority="11852">
      <formula>$B732="ENTREGUE"</formula>
    </cfRule>
    <cfRule type="expression" dxfId="1365" priority="11853">
      <formula>$B732="EM TRÂNSITO TERMINAL"</formula>
    </cfRule>
    <cfRule type="expression" dxfId="1364" priority="11854">
      <formula>$B732="EM TRÂNSITO CLIENTE"</formula>
    </cfRule>
    <cfRule type="expression" dxfId="1363" priority="11855">
      <formula>$B732="CANCELADO"</formula>
    </cfRule>
    <cfRule type="expression" dxfId="1362" priority="11856">
      <formula>$B732="AGUARDANDO VEÍCULO"</formula>
    </cfRule>
  </conditionalFormatting>
  <conditionalFormatting sqref="P726:P728 P791:P792 P801 P810 P795">
    <cfRule type="expression" dxfId="1361" priority="11857">
      <formula>$B732="NO CLIENTE"</formula>
    </cfRule>
  </conditionalFormatting>
  <conditionalFormatting sqref="P715 P806:P812 P819:P820 P823 P870 P880:P883 P887:P896 P899">
    <cfRule type="expression" dxfId="1360" priority="11867">
      <formula>$B703="SEM PROGRAMAÇÃO"</formula>
    </cfRule>
    <cfRule type="expression" dxfId="1359" priority="11868">
      <formula>$B703="PROGRAMADO"</formula>
    </cfRule>
    <cfRule type="expression" dxfId="1358" priority="11869">
      <formula>$B703="NO CLIENTE"</formula>
    </cfRule>
    <cfRule type="expression" dxfId="1357" priority="11870">
      <formula>$B703="ENTREGUE"</formula>
    </cfRule>
    <cfRule type="expression" dxfId="1356" priority="11871">
      <formula>$B703="FINALIZADO"</formula>
    </cfRule>
    <cfRule type="expression" dxfId="1355" priority="11872">
      <formula>$B703="DOCUMENTO"</formula>
    </cfRule>
    <cfRule type="expression" dxfId="1354" priority="11873">
      <formula>$B703="CANCELADO"</formula>
    </cfRule>
    <cfRule type="expression" dxfId="1353" priority="11874">
      <formula>$B703="ATRASADO"</formula>
    </cfRule>
    <cfRule type="expression" dxfId="1352" priority="11875">
      <formula>$B703="AGUARDANDO VEÍCULO"</formula>
    </cfRule>
  </conditionalFormatting>
  <conditionalFormatting sqref="P711:P714 P796:P798 P808 P886">
    <cfRule type="expression" dxfId="1351" priority="11997">
      <formula>$B707="SEM PROGRAMAÇÃO"</formula>
    </cfRule>
    <cfRule type="expression" dxfId="1350" priority="11998">
      <formula>$B707="PROGRAMADO"</formula>
    </cfRule>
    <cfRule type="expression" dxfId="1349" priority="11999">
      <formula>$B707="PRÉ-STACKING"</formula>
    </cfRule>
    <cfRule type="expression" dxfId="1348" priority="12000">
      <formula>$B707="FINALIZADO"</formula>
    </cfRule>
    <cfRule type="expression" dxfId="1347" priority="12001">
      <formula>$B707="ENTREGUE"</formula>
    </cfRule>
    <cfRule type="expression" dxfId="1346" priority="12002">
      <formula>$B707="EM TRÂNSITO TERMINAL"</formula>
    </cfRule>
    <cfRule type="expression" dxfId="1345" priority="12003">
      <formula>$B707="EM TRÂNSITO CLIENTE"</formula>
    </cfRule>
    <cfRule type="expression" dxfId="1344" priority="12004">
      <formula>$B707="CANCELADO"</formula>
    </cfRule>
    <cfRule type="expression" dxfId="1343" priority="12005">
      <formula>$B707="AGUARDANDO VEÍCULO"</formula>
    </cfRule>
  </conditionalFormatting>
  <conditionalFormatting sqref="P711:P714 P796:P798 P808 P886">
    <cfRule type="expression" dxfId="1342" priority="12007">
      <formula>$B707="NO CLIENTE"</formula>
    </cfRule>
  </conditionalFormatting>
  <conditionalFormatting sqref="P723 P797:P798 P816 P802:P812 P823 P880:P882 P899 P886:P894">
    <cfRule type="expression" dxfId="1341" priority="12171">
      <formula>$B710="SEM PROGRAMAÇÃO"</formula>
    </cfRule>
    <cfRule type="expression" dxfId="1340" priority="12172">
      <formula>$B710="PROGRAMADO"</formula>
    </cfRule>
    <cfRule type="expression" dxfId="1339" priority="12173">
      <formula>$B710="NO CLIENTE"</formula>
    </cfRule>
    <cfRule type="expression" dxfId="1338" priority="12174">
      <formula>$B710="ENTREGUE"</formula>
    </cfRule>
    <cfRule type="expression" dxfId="1337" priority="12175">
      <formula>$B710="FINALIZADO"</formula>
    </cfRule>
    <cfRule type="expression" dxfId="1336" priority="12176">
      <formula>$B710="DOCUMENTO"</formula>
    </cfRule>
    <cfRule type="expression" dxfId="1335" priority="12177">
      <formula>$B710="CANCELADO"</formula>
    </cfRule>
    <cfRule type="expression" dxfId="1334" priority="12178">
      <formula>$B710="ATRASADO"</formula>
    </cfRule>
    <cfRule type="expression" dxfId="1333" priority="12179">
      <formula>$B710="AGUARDANDO VEÍCULO"</formula>
    </cfRule>
  </conditionalFormatting>
  <conditionalFormatting sqref="P710 P792 P787:P788">
    <cfRule type="expression" dxfId="1332" priority="12189">
      <formula>$B718="SEM PROGRAMAÇÃO"</formula>
    </cfRule>
    <cfRule type="expression" dxfId="1331" priority="12190">
      <formula>$B718="PROGRAMADO"</formula>
    </cfRule>
    <cfRule type="expression" dxfId="1330" priority="12191">
      <formula>$B718="PRÉ-STACKING"</formula>
    </cfRule>
    <cfRule type="expression" dxfId="1329" priority="12192">
      <formula>$B718="FINALIZADO"</formula>
    </cfRule>
    <cfRule type="expression" dxfId="1328" priority="12193">
      <formula>$B718="ENTREGUE"</formula>
    </cfRule>
    <cfRule type="expression" dxfId="1327" priority="12194">
      <formula>$B718="EM TRÂNSITO TERMINAL"</formula>
    </cfRule>
    <cfRule type="expression" dxfId="1326" priority="12195">
      <formula>$B718="EM TRÂNSITO CLIENTE"</formula>
    </cfRule>
    <cfRule type="expression" dxfId="1325" priority="12196">
      <formula>$B718="CANCELADO"</formula>
    </cfRule>
    <cfRule type="expression" dxfId="1324" priority="12197">
      <formula>$B718="AGUARDANDO VEÍCULO"</formula>
    </cfRule>
  </conditionalFormatting>
  <conditionalFormatting sqref="P710 P792 P787:P788">
    <cfRule type="expression" dxfId="1323" priority="12199">
      <formula>$B718="NO CLIENTE"</formula>
    </cfRule>
  </conditionalFormatting>
  <conditionalFormatting sqref="P726 P799:P805 P852:P858 P884:P885 B895:P895">
    <cfRule type="expression" dxfId="1322" priority="12231">
      <formula>$B710="SEM PROGRAMAÇÃO"</formula>
    </cfRule>
    <cfRule type="expression" dxfId="1321" priority="12232">
      <formula>$B710="PROGRAMADO"</formula>
    </cfRule>
    <cfRule type="expression" dxfId="1320" priority="12233">
      <formula>$B710="NO CLIENTE"</formula>
    </cfRule>
    <cfRule type="expression" dxfId="1319" priority="12234">
      <formula>$B710="ENTREGUE"</formula>
    </cfRule>
    <cfRule type="expression" dxfId="1318" priority="12235">
      <formula>$B710="FINALIZADO"</formula>
    </cfRule>
    <cfRule type="expression" dxfId="1317" priority="12236">
      <formula>$B710="DOCUMENTO"</formula>
    </cfRule>
    <cfRule type="expression" dxfId="1316" priority="12237">
      <formula>$B710="CANCELADO"</formula>
    </cfRule>
    <cfRule type="expression" dxfId="1315" priority="12238">
      <formula>$B710="ATRASADO"</formula>
    </cfRule>
    <cfRule type="expression" dxfId="1314" priority="12239">
      <formula>$B710="AGUARDANDO VEÍCULO"</formula>
    </cfRule>
  </conditionalFormatting>
  <conditionalFormatting sqref="P729:P774 P799:P800 P813:P815 P821:P822 P880:P882 P898 P894">
    <cfRule type="expression" dxfId="1313" priority="12250">
      <formula>$B710="SEM PROGRAMAÇÃO"</formula>
    </cfRule>
    <cfRule type="expression" dxfId="1312" priority="12251">
      <formula>$B710="PROGRAMADO"</formula>
    </cfRule>
    <cfRule type="expression" dxfId="1311" priority="12252">
      <formula>$B710="NO CLIENTE"</formula>
    </cfRule>
    <cfRule type="expression" dxfId="1310" priority="12253">
      <formula>$B710="ENTREGUE"</formula>
    </cfRule>
    <cfRule type="expression" dxfId="1309" priority="12254">
      <formula>$B710="FINALIZADO"</formula>
    </cfRule>
    <cfRule type="expression" dxfId="1308" priority="12255">
      <formula>$B710="DOCUMENTO"</formula>
    </cfRule>
    <cfRule type="expression" dxfId="1307" priority="12256">
      <formula>$B710="CANCELADO"</formula>
    </cfRule>
    <cfRule type="expression" dxfId="1306" priority="12257">
      <formula>$B710="ATRASADO"</formula>
    </cfRule>
    <cfRule type="expression" dxfId="1305" priority="12258">
      <formula>$B710="AGUARDANDO VEÍCULO"</formula>
    </cfRule>
  </conditionalFormatting>
  <conditionalFormatting sqref="P718:P719">
    <cfRule type="expression" dxfId="1304" priority="12270">
      <formula>#REF!="SEM PROGRAMAÇÃO"</formula>
    </cfRule>
    <cfRule type="expression" dxfId="1303" priority="12271">
      <formula>#REF!="PROGRAMADO"</formula>
    </cfRule>
    <cfRule type="expression" dxfId="1302" priority="12272">
      <formula>#REF!="PRÉ-STACKING"</formula>
    </cfRule>
    <cfRule type="expression" dxfId="1301" priority="12273">
      <formula>#REF!="FINALIZADO"</formula>
    </cfRule>
    <cfRule type="expression" dxfId="1300" priority="12274">
      <formula>#REF!="ENTREGUE"</formula>
    </cfRule>
    <cfRule type="expression" dxfId="1299" priority="12275">
      <formula>#REF!="EM TRÂNSITO TERMINAL"</formula>
    </cfRule>
    <cfRule type="expression" dxfId="1298" priority="12276">
      <formula>#REF!="EM TRÂNSITO CLIENTE"</formula>
    </cfRule>
    <cfRule type="expression" dxfId="1297" priority="12277">
      <formula>#REF!="CANCELADO"</formula>
    </cfRule>
    <cfRule type="expression" dxfId="1296" priority="12278">
      <formula>#REF!="AGUARDANDO VEÍCULO"</formula>
    </cfRule>
  </conditionalFormatting>
  <conditionalFormatting sqref="P718:P719 P874:P899">
    <cfRule type="expression" dxfId="1295" priority="12279">
      <formula>#REF!="NO CLIENTE"</formula>
    </cfRule>
  </conditionalFormatting>
  <conditionalFormatting sqref="P712">
    <cfRule type="expression" dxfId="1294" priority="12298">
      <formula>$B709="SEM PROGRAMAÇÃO"</formula>
    </cfRule>
    <cfRule type="expression" dxfId="1293" priority="12299">
      <formula>$B709="PROGRAMADO"</formula>
    </cfRule>
    <cfRule type="expression" dxfId="1292" priority="12300">
      <formula>$B709="PRÉ-STACKING"</formula>
    </cfRule>
    <cfRule type="expression" dxfId="1291" priority="12301">
      <formula>$B709="FINALIZADO"</formula>
    </cfRule>
    <cfRule type="expression" dxfId="1290" priority="12302">
      <formula>$B709="ENTREGUE"</formula>
    </cfRule>
    <cfRule type="expression" dxfId="1289" priority="12303">
      <formula>$B709="EM TRÂNSITO TERMINAL"</formula>
    </cfRule>
    <cfRule type="expression" dxfId="1288" priority="12304">
      <formula>$B709="EM TRÂNSITO CLIENTE"</formula>
    </cfRule>
    <cfRule type="expression" dxfId="1287" priority="12305">
      <formula>$B709="CANCELADO"</formula>
    </cfRule>
    <cfRule type="expression" dxfId="1286" priority="12306">
      <formula>$B709="AGUARDANDO VEÍCULO"</formula>
    </cfRule>
  </conditionalFormatting>
  <conditionalFormatting sqref="P712">
    <cfRule type="expression" dxfId="1285" priority="12307">
      <formula>$B709="NO CLIENTE"</formula>
    </cfRule>
  </conditionalFormatting>
  <conditionalFormatting sqref="P711 P799 P812 P879">
    <cfRule type="expression" dxfId="1284" priority="12462">
      <formula>$B712="SEM PROGRAMAÇÃO"</formula>
    </cfRule>
    <cfRule type="expression" dxfId="1283" priority="12463">
      <formula>$B712="PROGRAMADO"</formula>
    </cfRule>
    <cfRule type="expression" dxfId="1282" priority="12464">
      <formula>$B712="PRÉ-STACKING"</formula>
    </cfRule>
    <cfRule type="expression" dxfId="1281" priority="12465">
      <formula>$B712="FINALIZADO"</formula>
    </cfRule>
    <cfRule type="expression" dxfId="1280" priority="12466">
      <formula>$B712="ENTREGUE"</formula>
    </cfRule>
    <cfRule type="expression" dxfId="1279" priority="12467">
      <formula>$B712="EM TRÂNSITO TERMINAL"</formula>
    </cfRule>
    <cfRule type="expression" dxfId="1278" priority="12468">
      <formula>$B712="EM TRÂNSITO CLIENTE"</formula>
    </cfRule>
    <cfRule type="expression" dxfId="1277" priority="12469">
      <formula>$B712="CANCELADO"</formula>
    </cfRule>
    <cfRule type="expression" dxfId="1276" priority="12470">
      <formula>$B712="AGUARDANDO VEÍCULO"</formula>
    </cfRule>
  </conditionalFormatting>
  <conditionalFormatting sqref="P711 P799 P812 P879">
    <cfRule type="expression" dxfId="1275" priority="12471">
      <formula>$B712="NO CLIENTE"</formula>
    </cfRule>
  </conditionalFormatting>
  <conditionalFormatting sqref="P710 P789:P791 P794 P805 P798 P820 P879">
    <cfRule type="expression" dxfId="1274" priority="12472">
      <formula>$B713="SEM PROGRAMAÇÃO"</formula>
    </cfRule>
    <cfRule type="expression" dxfId="1273" priority="12473">
      <formula>$B713="PROGRAMADO"</formula>
    </cfRule>
    <cfRule type="expression" dxfId="1272" priority="12474">
      <formula>$B713="NO CLIENTE"</formula>
    </cfRule>
    <cfRule type="expression" dxfId="1271" priority="12475">
      <formula>$B713="ENTREGUE"</formula>
    </cfRule>
    <cfRule type="expression" dxfId="1270" priority="12476">
      <formula>$B713="FINALIZADO"</formula>
    </cfRule>
    <cfRule type="expression" dxfId="1269" priority="12477">
      <formula>$B713="DOCUMENTO"</formula>
    </cfRule>
    <cfRule type="expression" dxfId="1268" priority="12478">
      <formula>$B713="CANCELADO"</formula>
    </cfRule>
    <cfRule type="expression" dxfId="1267" priority="12479">
      <formula>$B713="ATRASADO"</formula>
    </cfRule>
    <cfRule type="expression" dxfId="1266" priority="12480">
      <formula>$B713="AGUARDANDO VEÍCULO"</formula>
    </cfRule>
  </conditionalFormatting>
  <conditionalFormatting sqref="P714 P773:P774 P787:P788 P846">
    <cfRule type="expression" dxfId="1265" priority="12602">
      <formula>$B717="SEM PROGRAMAÇÃO"</formula>
    </cfRule>
    <cfRule type="expression" dxfId="1264" priority="12603">
      <formula>$B717="PROGRAMADO"</formula>
    </cfRule>
    <cfRule type="expression" dxfId="1263" priority="12604">
      <formula>$B717="PRÉ-STACKING"</formula>
    </cfRule>
    <cfRule type="expression" dxfId="1262" priority="12605">
      <formula>$B717="FINALIZADO"</formula>
    </cfRule>
    <cfRule type="expression" dxfId="1261" priority="12606">
      <formula>$B717="ENTREGUE"</formula>
    </cfRule>
    <cfRule type="expression" dxfId="1260" priority="12607">
      <formula>$B717="EM TRÂNSITO TERMINAL"</formula>
    </cfRule>
    <cfRule type="expression" dxfId="1259" priority="12608">
      <formula>$B717="EM TRÂNSITO CLIENTE"</formula>
    </cfRule>
    <cfRule type="expression" dxfId="1258" priority="12609">
      <formula>$B717="CANCELADO"</formula>
    </cfRule>
    <cfRule type="expression" dxfId="1257" priority="12610">
      <formula>$B717="AGUARDANDO VEÍCULO"</formula>
    </cfRule>
  </conditionalFormatting>
  <conditionalFormatting sqref="P714 P773:P774 P787:P788 P846">
    <cfRule type="expression" dxfId="1256" priority="12621">
      <formula>$B717="NO CLIENTE"</formula>
    </cfRule>
  </conditionalFormatting>
  <conditionalFormatting sqref="P719:P720 P795 P811:P814 P824:P825 P821 P850 P871:P872 P875:P879 P886 P897:P898 P888:P893">
    <cfRule type="expression" dxfId="1255" priority="12653">
      <formula>$B716="SEM PROGRAMAÇÃO"</formula>
    </cfRule>
    <cfRule type="expression" dxfId="1254" priority="12654">
      <formula>$B716="PROGRAMADO"</formula>
    </cfRule>
    <cfRule type="expression" dxfId="1253" priority="12655">
      <formula>$B716="NO CLIENTE"</formula>
    </cfRule>
    <cfRule type="expression" dxfId="1252" priority="12656">
      <formula>$B716="ENTREGUE"</formula>
    </cfRule>
    <cfRule type="expression" dxfId="1251" priority="12657">
      <formula>$B716="FINALIZADO"</formula>
    </cfRule>
    <cfRule type="expression" dxfId="1250" priority="12658">
      <formula>$B716="DOCUMENTO"</formula>
    </cfRule>
    <cfRule type="expression" dxfId="1249" priority="12659">
      <formula>$B716="CANCELADO"</formula>
    </cfRule>
    <cfRule type="expression" dxfId="1248" priority="12660">
      <formula>$B716="ATRASADO"</formula>
    </cfRule>
    <cfRule type="expression" dxfId="1247" priority="12661">
      <formula>$B716="AGUARDANDO VEÍCULO"</formula>
    </cfRule>
  </conditionalFormatting>
  <conditionalFormatting sqref="L3:M755">
    <cfRule type="duplicateValues" dxfId="1246" priority="13321"/>
  </conditionalFormatting>
  <conditionalFormatting sqref="L756:M772">
    <cfRule type="duplicateValues" dxfId="1245" priority="14880"/>
  </conditionalFormatting>
  <conditionalFormatting sqref="P775:P784 P884:P885 P888:P893">
    <cfRule type="expression" dxfId="1244" priority="15920">
      <formula>$B763="SEM PROGRAMAÇÃO"</formula>
    </cfRule>
    <cfRule type="expression" dxfId="1243" priority="15921">
      <formula>$B763="PROGRAMADO"</formula>
    </cfRule>
    <cfRule type="expression" dxfId="1242" priority="15922">
      <formula>$B763="PRÉ-STACKING"</formula>
    </cfRule>
    <cfRule type="expression" dxfId="1241" priority="15923">
      <formula>$B763="FINALIZADO"</formula>
    </cfRule>
    <cfRule type="expression" dxfId="1240" priority="15924">
      <formula>$B763="ENTREGUE"</formula>
    </cfRule>
    <cfRule type="expression" dxfId="1239" priority="15925">
      <formula>$B763="EM TRÂNSITO TERMINAL"</formula>
    </cfRule>
    <cfRule type="expression" dxfId="1238" priority="15926">
      <formula>$B763="EM TRÂNSITO CLIENTE"</formula>
    </cfRule>
    <cfRule type="expression" dxfId="1237" priority="15927">
      <formula>$B763="CANCELADO"</formula>
    </cfRule>
    <cfRule type="expression" dxfId="1236" priority="15928">
      <formula>$B763="AGUARDANDO VEÍCULO"</formula>
    </cfRule>
  </conditionalFormatting>
  <conditionalFormatting sqref="P775:P784 P884:P885 P888:P893">
    <cfRule type="expression" dxfId="1235" priority="15939">
      <formula>$B763="NO CLIENTE"</formula>
    </cfRule>
  </conditionalFormatting>
  <conditionalFormatting sqref="P799:P800">
    <cfRule type="expression" dxfId="1234" priority="15950">
      <formula>$B767="SEM PROGRAMAÇÃO"</formula>
    </cfRule>
    <cfRule type="expression" dxfId="1233" priority="15951">
      <formula>$B767="PROGRAMADO"</formula>
    </cfRule>
    <cfRule type="expression" dxfId="1232" priority="15952">
      <formula>$B767="NO CLIENTE"</formula>
    </cfRule>
    <cfRule type="expression" dxfId="1231" priority="15953">
      <formula>$B767="ENTREGUE"</formula>
    </cfRule>
    <cfRule type="expression" dxfId="1230" priority="15954">
      <formula>$B767="FINALIZADO"</formula>
    </cfRule>
    <cfRule type="expression" dxfId="1229" priority="15955">
      <formula>$B767="DOCUMENTO"</formula>
    </cfRule>
    <cfRule type="expression" dxfId="1228" priority="15956">
      <formula>$B767="CANCELADO"</formula>
    </cfRule>
    <cfRule type="expression" dxfId="1227" priority="15957">
      <formula>$B767="ATRASADO"</formula>
    </cfRule>
    <cfRule type="expression" dxfId="1226" priority="15958">
      <formula>$B767="AGUARDANDO VEÍCULO"</formula>
    </cfRule>
  </conditionalFormatting>
  <conditionalFormatting sqref="P773 P788 P790">
    <cfRule type="expression" dxfId="1225" priority="16103">
      <formula>$B785="SEM PROGRAMAÇÃO"</formula>
    </cfRule>
    <cfRule type="expression" dxfId="1224" priority="16104">
      <formula>$B785="PROGRAMADO"</formula>
    </cfRule>
    <cfRule type="expression" dxfId="1223" priority="16105">
      <formula>$B785="PRÉ-STACKING"</formula>
    </cfRule>
    <cfRule type="expression" dxfId="1222" priority="16106">
      <formula>$B785="FINALIZADO"</formula>
    </cfRule>
    <cfRule type="expression" dxfId="1221" priority="16107">
      <formula>$B785="ENTREGUE"</formula>
    </cfRule>
    <cfRule type="expression" dxfId="1220" priority="16108">
      <formula>$B785="EM TRÂNSITO TERMINAL"</formula>
    </cfRule>
    <cfRule type="expression" dxfId="1219" priority="16109">
      <formula>$B785="EM TRÂNSITO CLIENTE"</formula>
    </cfRule>
    <cfRule type="expression" dxfId="1218" priority="16110">
      <formula>$B785="CANCELADO"</formula>
    </cfRule>
    <cfRule type="expression" dxfId="1217" priority="16111">
      <formula>$B785="AGUARDANDO VEÍCULO"</formula>
    </cfRule>
  </conditionalFormatting>
  <conditionalFormatting sqref="P773:P774 P792 P787:P788 P838">
    <cfRule type="expression" dxfId="1216" priority="16130">
      <formula>$B780="SEM PROGRAMAÇÃO"</formula>
    </cfRule>
    <cfRule type="expression" dxfId="1215" priority="16131">
      <formula>$B780="PROGRAMADO"</formula>
    </cfRule>
    <cfRule type="expression" dxfId="1214" priority="16132">
      <formula>$B780="NO CLIENTE"</formula>
    </cfRule>
    <cfRule type="expression" dxfId="1213" priority="16133">
      <formula>$B780="ENTREGUE"</formula>
    </cfRule>
    <cfRule type="expression" dxfId="1212" priority="16134">
      <formula>$B780="FINALIZADO"</formula>
    </cfRule>
    <cfRule type="expression" dxfId="1211" priority="16135">
      <formula>$B780="DOCUMENTO"</formula>
    </cfRule>
    <cfRule type="expression" dxfId="1210" priority="16136">
      <formula>$B780="CANCELADO"</formula>
    </cfRule>
    <cfRule type="expression" dxfId="1209" priority="16137">
      <formula>$B780="ATRASADO"</formula>
    </cfRule>
    <cfRule type="expression" dxfId="1208" priority="16138">
      <formula>$B780="AGUARDANDO VEÍCULO"</formula>
    </cfRule>
  </conditionalFormatting>
  <conditionalFormatting sqref="P773 P788 P790">
    <cfRule type="expression" dxfId="1207" priority="16141">
      <formula>$B785="NO CLIENTE"</formula>
    </cfRule>
  </conditionalFormatting>
  <conditionalFormatting sqref="P773:P774 P794 P787:P788 P796 P877 P891">
    <cfRule type="expression" dxfId="1206" priority="16152">
      <formula>$B778="SEM PROGRAMAÇÃO"</formula>
    </cfRule>
    <cfRule type="expression" dxfId="1205" priority="16153">
      <formula>$B778="PROGRAMADO"</formula>
    </cfRule>
    <cfRule type="expression" dxfId="1204" priority="16154">
      <formula>$B778="NO CLIENTE"</formula>
    </cfRule>
    <cfRule type="expression" dxfId="1203" priority="16155">
      <formula>$B778="ENTREGUE"</formula>
    </cfRule>
    <cfRule type="expression" dxfId="1202" priority="16156">
      <formula>$B778="FINALIZADO"</formula>
    </cfRule>
    <cfRule type="expression" dxfId="1201" priority="16157">
      <formula>$B778="DOCUMENTO"</formula>
    </cfRule>
    <cfRule type="expression" dxfId="1200" priority="16158">
      <formula>$B778="CANCELADO"</formula>
    </cfRule>
    <cfRule type="expression" dxfId="1199" priority="16159">
      <formula>$B778="ATRASADO"</formula>
    </cfRule>
    <cfRule type="expression" dxfId="1198" priority="16160">
      <formula>$B778="AGUARDANDO VEÍCULO"</formula>
    </cfRule>
  </conditionalFormatting>
  <conditionalFormatting sqref="P806:P814 P850">
    <cfRule type="expression" dxfId="1197" priority="16411">
      <formula>$B779="SEM PROGRAMAÇÃO"</formula>
    </cfRule>
    <cfRule type="expression" dxfId="1196" priority="16412">
      <formula>$B779="PROGRAMADO"</formula>
    </cfRule>
    <cfRule type="expression" dxfId="1195" priority="16413">
      <formula>$B779="NO CLIENTE"</formula>
    </cfRule>
    <cfRule type="expression" dxfId="1194" priority="16414">
      <formula>$B779="ENTREGUE"</formula>
    </cfRule>
    <cfRule type="expression" dxfId="1193" priority="16415">
      <formula>$B779="FINALIZADO"</formula>
    </cfRule>
    <cfRule type="expression" dxfId="1192" priority="16416">
      <formula>$B779="DOCUMENTO"</formula>
    </cfRule>
    <cfRule type="expression" dxfId="1191" priority="16417">
      <formula>$B779="CANCELADO"</formula>
    </cfRule>
    <cfRule type="expression" dxfId="1190" priority="16418">
      <formula>$B779="ATRASADO"</formula>
    </cfRule>
    <cfRule type="expression" dxfId="1189" priority="16419">
      <formula>$B779="AGUARDANDO VEÍCULO"</formula>
    </cfRule>
  </conditionalFormatting>
  <conditionalFormatting sqref="P807">
    <cfRule type="expression" dxfId="1188" priority="16896">
      <formula>$B778="SEM PROGRAMAÇÃO"</formula>
    </cfRule>
    <cfRule type="expression" dxfId="1187" priority="16897">
      <formula>$B778="PROGRAMADO"</formula>
    </cfRule>
    <cfRule type="expression" dxfId="1186" priority="16898">
      <formula>$B778="PRÉ-STACKING"</formula>
    </cfRule>
    <cfRule type="expression" dxfId="1185" priority="16899">
      <formula>$B778="FINALIZADO"</formula>
    </cfRule>
    <cfRule type="expression" dxfId="1184" priority="16900">
      <formula>$B778="ENTREGUE"</formula>
    </cfRule>
    <cfRule type="expression" dxfId="1183" priority="16901">
      <formula>$B778="EM TRÂNSITO TERMINAL"</formula>
    </cfRule>
    <cfRule type="expression" dxfId="1182" priority="16902">
      <formula>$B778="EM TRÂNSITO CLIENTE"</formula>
    </cfRule>
    <cfRule type="expression" dxfId="1181" priority="16903">
      <formula>$B778="CANCELADO"</formula>
    </cfRule>
    <cfRule type="expression" dxfId="1180" priority="16904">
      <formula>$B778="AGUARDANDO VEÍCULO"</formula>
    </cfRule>
  </conditionalFormatting>
  <conditionalFormatting sqref="P807">
    <cfRule type="expression" dxfId="1179" priority="16915">
      <formula>$B778="NO CLIENTE"</formula>
    </cfRule>
  </conditionalFormatting>
  <conditionalFormatting sqref="P807">
    <cfRule type="expression" dxfId="1178" priority="16926">
      <formula>$B767="SEM PROGRAMAÇÃO"</formula>
    </cfRule>
    <cfRule type="expression" dxfId="1177" priority="16927">
      <formula>$B767="PROGRAMADO"</formula>
    </cfRule>
    <cfRule type="expression" dxfId="1176" priority="16928">
      <formula>$B767="NO CLIENTE"</formula>
    </cfRule>
    <cfRule type="expression" dxfId="1175" priority="16929">
      <formula>$B767="ENTREGUE"</formula>
    </cfRule>
    <cfRule type="expression" dxfId="1174" priority="16930">
      <formula>$B767="FINALIZADO"</formula>
    </cfRule>
    <cfRule type="expression" dxfId="1173" priority="16931">
      <formula>$B767="DOCUMENTO"</formula>
    </cfRule>
    <cfRule type="expression" dxfId="1172" priority="16932">
      <formula>$B767="CANCELADO"</formula>
    </cfRule>
    <cfRule type="expression" dxfId="1171" priority="16933">
      <formula>$B767="ATRASADO"</formula>
    </cfRule>
    <cfRule type="expression" dxfId="1170" priority="16934">
      <formula>$B767="AGUARDANDO VEÍCULO"</formula>
    </cfRule>
  </conditionalFormatting>
  <conditionalFormatting sqref="P789:P792 P797:P798 P877:P879 P892:P893">
    <cfRule type="expression" dxfId="1169" priority="17043">
      <formula>$B793="SEM PROGRAMAÇÃO"</formula>
    </cfRule>
    <cfRule type="expression" dxfId="1168" priority="17044">
      <formula>$B793="PROGRAMADO"</formula>
    </cfRule>
    <cfRule type="expression" dxfId="1167" priority="17045">
      <formula>$B793="NO CLIENTE"</formula>
    </cfRule>
    <cfRule type="expression" dxfId="1166" priority="17046">
      <formula>$B793="ENTREGUE"</formula>
    </cfRule>
    <cfRule type="expression" dxfId="1165" priority="17047">
      <formula>$B793="FINALIZADO"</formula>
    </cfRule>
    <cfRule type="expression" dxfId="1164" priority="17048">
      <formula>$B793="DOCUMENTO"</formula>
    </cfRule>
    <cfRule type="expression" dxfId="1163" priority="17049">
      <formula>$B793="CANCELADO"</formula>
    </cfRule>
    <cfRule type="expression" dxfId="1162" priority="17050">
      <formula>$B793="ATRASADO"</formula>
    </cfRule>
    <cfRule type="expression" dxfId="1161" priority="17051">
      <formula>$B793="AGUARDANDO VEÍCULO"</formula>
    </cfRule>
  </conditionalFormatting>
  <conditionalFormatting sqref="P798 P801 P852:P853 P883 P886:P893 P896">
    <cfRule type="expression" dxfId="1160" priority="17070">
      <formula>$B787="SEM PROGRAMAÇÃO"</formula>
    </cfRule>
    <cfRule type="expression" dxfId="1159" priority="17071">
      <formula>$B787="PROGRAMADO"</formula>
    </cfRule>
    <cfRule type="expression" dxfId="1158" priority="17072">
      <formula>$B787="NO CLIENTE"</formula>
    </cfRule>
    <cfRule type="expression" dxfId="1157" priority="17073">
      <formula>$B787="ENTREGUE"</formula>
    </cfRule>
    <cfRule type="expression" dxfId="1156" priority="17074">
      <formula>$B787="FINALIZADO"</formula>
    </cfRule>
    <cfRule type="expression" dxfId="1155" priority="17075">
      <formula>$B787="DOCUMENTO"</formula>
    </cfRule>
    <cfRule type="expression" dxfId="1154" priority="17076">
      <formula>$B787="CANCELADO"</formula>
    </cfRule>
    <cfRule type="expression" dxfId="1153" priority="17077">
      <formula>$B787="ATRASADO"</formula>
    </cfRule>
    <cfRule type="expression" dxfId="1152" priority="17078">
      <formula>$B787="AGUARDANDO VEÍCULO"</formula>
    </cfRule>
  </conditionalFormatting>
  <conditionalFormatting sqref="P799:P800 P894">
    <cfRule type="expression" dxfId="1151" priority="17097">
      <formula>$B778="SEM PROGRAMAÇÃO"</formula>
    </cfRule>
    <cfRule type="expression" dxfId="1150" priority="17098">
      <formula>$B778="PROGRAMADO"</formula>
    </cfRule>
    <cfRule type="expression" dxfId="1149" priority="17099">
      <formula>$B778="PRÉ-STACKING"</formula>
    </cfRule>
    <cfRule type="expression" dxfId="1148" priority="17100">
      <formula>$B778="FINALIZADO"</formula>
    </cfRule>
    <cfRule type="expression" dxfId="1147" priority="17101">
      <formula>$B778="ENTREGUE"</formula>
    </cfRule>
    <cfRule type="expression" dxfId="1146" priority="17102">
      <formula>$B778="EM TRÂNSITO TERMINAL"</formula>
    </cfRule>
    <cfRule type="expression" dxfId="1145" priority="17103">
      <formula>$B778="EM TRÂNSITO CLIENTE"</formula>
    </cfRule>
    <cfRule type="expression" dxfId="1144" priority="17104">
      <formula>$B778="CANCELADO"</formula>
    </cfRule>
    <cfRule type="expression" dxfId="1143" priority="17105">
      <formula>$B778="AGUARDANDO VEÍCULO"</formula>
    </cfRule>
  </conditionalFormatting>
  <conditionalFormatting sqref="P799:P800 P894">
    <cfRule type="expression" dxfId="1142" priority="17179">
      <formula>$B778="NO CLIENTE"</formula>
    </cfRule>
  </conditionalFormatting>
  <conditionalFormatting sqref="P802 P790 P795 P840">
    <cfRule type="expression" dxfId="1141" priority="17237">
      <formula>$B801="SEM PROGRAMAÇÃO"</formula>
    </cfRule>
    <cfRule type="expression" dxfId="1140" priority="17238">
      <formula>$B801="PROGRAMADO"</formula>
    </cfRule>
    <cfRule type="expression" dxfId="1139" priority="17239">
      <formula>$B801="NO CLIENTE"</formula>
    </cfRule>
    <cfRule type="expression" dxfId="1138" priority="17240">
      <formula>$B801="ENTREGUE"</formula>
    </cfRule>
    <cfRule type="expression" dxfId="1137" priority="17241">
      <formula>$B801="FINALIZADO"</formula>
    </cfRule>
    <cfRule type="expression" dxfId="1136" priority="17242">
      <formula>$B801="DOCUMENTO"</formula>
    </cfRule>
    <cfRule type="expression" dxfId="1135" priority="17243">
      <formula>$B801="CANCELADO"</formula>
    </cfRule>
    <cfRule type="expression" dxfId="1134" priority="17244">
      <formula>$B801="ATRASADO"</formula>
    </cfRule>
    <cfRule type="expression" dxfId="1133" priority="17245">
      <formula>$B801="AGUARDANDO VEÍCULO"</formula>
    </cfRule>
  </conditionalFormatting>
  <conditionalFormatting sqref="P799:P800">
    <cfRule type="expression" dxfId="1132" priority="17284">
      <formula>$B777="SEM PROGRAMAÇÃO"</formula>
    </cfRule>
    <cfRule type="expression" dxfId="1131" priority="17285">
      <formula>$B777="PROGRAMADO"</formula>
    </cfRule>
    <cfRule type="expression" dxfId="1130" priority="17286">
      <formula>$B777="PRÉ-STACKING"</formula>
    </cfRule>
    <cfRule type="expression" dxfId="1129" priority="17287">
      <formula>$B777="FINALIZADO"</formula>
    </cfRule>
    <cfRule type="expression" dxfId="1128" priority="17288">
      <formula>$B777="ENTREGUE"</formula>
    </cfRule>
    <cfRule type="expression" dxfId="1127" priority="17289">
      <formula>$B777="EM TRÂNSITO TERMINAL"</formula>
    </cfRule>
    <cfRule type="expression" dxfId="1126" priority="17290">
      <formula>$B777="EM TRÂNSITO CLIENTE"</formula>
    </cfRule>
    <cfRule type="expression" dxfId="1125" priority="17291">
      <formula>$B777="CANCELADO"</formula>
    </cfRule>
    <cfRule type="expression" dxfId="1124" priority="17292">
      <formula>$B777="AGUARDANDO VEÍCULO"</formula>
    </cfRule>
  </conditionalFormatting>
  <conditionalFormatting sqref="P799:P800">
    <cfRule type="expression" dxfId="1123" priority="17330">
      <formula>$B777="NO CLIENTE"</formula>
    </cfRule>
  </conditionalFormatting>
  <conditionalFormatting sqref="P807 P814 P849 P843:P845 P894">
    <cfRule type="expression" dxfId="1122" priority="17351">
      <formula>$B782="SEM PROGRAMAÇÃO"</formula>
    </cfRule>
    <cfRule type="expression" dxfId="1121" priority="17352">
      <formula>$B782="PROGRAMADO"</formula>
    </cfRule>
    <cfRule type="expression" dxfId="1120" priority="17353">
      <formula>$B782="NO CLIENTE"</formula>
    </cfRule>
    <cfRule type="expression" dxfId="1119" priority="17354">
      <formula>$B782="ENTREGUE"</formula>
    </cfRule>
    <cfRule type="expression" dxfId="1118" priority="17355">
      <formula>$B782="FINALIZADO"</formula>
    </cfRule>
    <cfRule type="expression" dxfId="1117" priority="17356">
      <formula>$B782="DOCUMENTO"</formula>
    </cfRule>
    <cfRule type="expression" dxfId="1116" priority="17357">
      <formula>$B782="CANCELADO"</formula>
    </cfRule>
    <cfRule type="expression" dxfId="1115" priority="17358">
      <formula>$B782="ATRASADO"</formula>
    </cfRule>
    <cfRule type="expression" dxfId="1114" priority="17359">
      <formula>$B782="AGUARDANDO VEÍCULO"</formula>
    </cfRule>
  </conditionalFormatting>
  <conditionalFormatting sqref="P815:P816">
    <cfRule type="expression" dxfId="1113" priority="17369">
      <formula>$B787="SEM PROGRAMAÇÃO"</formula>
    </cfRule>
    <cfRule type="expression" dxfId="1112" priority="17370">
      <formula>$B787="PROGRAMADO"</formula>
    </cfRule>
    <cfRule type="expression" dxfId="1111" priority="17371">
      <formula>$B787="PRÉ-STACKING"</formula>
    </cfRule>
    <cfRule type="expression" dxfId="1110" priority="17372">
      <formula>$B787="FINALIZADO"</formula>
    </cfRule>
    <cfRule type="expression" dxfId="1109" priority="17373">
      <formula>$B787="ENTREGUE"</formula>
    </cfRule>
    <cfRule type="expression" dxfId="1108" priority="17374">
      <formula>$B787="EM TRÂNSITO TERMINAL"</formula>
    </cfRule>
    <cfRule type="expression" dxfId="1107" priority="17375">
      <formula>$B787="EM TRÂNSITO CLIENTE"</formula>
    </cfRule>
    <cfRule type="expression" dxfId="1106" priority="17376">
      <formula>$B787="CANCELADO"</formula>
    </cfRule>
    <cfRule type="expression" dxfId="1105" priority="17377">
      <formula>$B787="AGUARDANDO VEÍCULO"</formula>
    </cfRule>
  </conditionalFormatting>
  <conditionalFormatting sqref="P815:P816">
    <cfRule type="expression" dxfId="1104" priority="17378">
      <formula>$B787="NO CLIENTE"</formula>
    </cfRule>
  </conditionalFormatting>
  <conditionalFormatting sqref="P789:P799 P806:P811 P871:P872">
    <cfRule type="expression" dxfId="1103" priority="17379">
      <formula>$B778="SEM PROGRAMAÇÃO"</formula>
    </cfRule>
    <cfRule type="expression" dxfId="1102" priority="17380">
      <formula>$B778="PROGRAMADO"</formula>
    </cfRule>
    <cfRule type="expression" dxfId="1101" priority="17381">
      <formula>$B778="PRÉ-STACKING"</formula>
    </cfRule>
    <cfRule type="expression" dxfId="1100" priority="17382">
      <formula>$B778="FINALIZADO"</formula>
    </cfRule>
    <cfRule type="expression" dxfId="1099" priority="17383">
      <formula>$B778="ENTREGUE"</formula>
    </cfRule>
    <cfRule type="expression" dxfId="1098" priority="17384">
      <formula>$B778="EM TRÂNSITO TERMINAL"</formula>
    </cfRule>
    <cfRule type="expression" dxfId="1097" priority="17385">
      <formula>$B778="EM TRÂNSITO CLIENTE"</formula>
    </cfRule>
    <cfRule type="expression" dxfId="1096" priority="17386">
      <formula>$B778="CANCELADO"</formula>
    </cfRule>
    <cfRule type="expression" dxfId="1095" priority="17387">
      <formula>$B778="AGUARDANDO VEÍCULO"</formula>
    </cfRule>
  </conditionalFormatting>
  <conditionalFormatting sqref="P789:P799 P806:P811 P871:P872">
    <cfRule type="expression" dxfId="1094" priority="17388">
      <formula>$B778="NO CLIENTE"</formula>
    </cfRule>
  </conditionalFormatting>
  <conditionalFormatting sqref="P798 P821 P849 P845 P870">
    <cfRule type="expression" dxfId="1093" priority="17575">
      <formula>$B800="SEM PROGRAMAÇÃO"</formula>
    </cfRule>
    <cfRule type="expression" dxfId="1092" priority="17576">
      <formula>$B800="PROGRAMADO"</formula>
    </cfRule>
    <cfRule type="expression" dxfId="1091" priority="17577">
      <formula>$B800="PRÉ-STACKING"</formula>
    </cfRule>
    <cfRule type="expression" dxfId="1090" priority="17578">
      <formula>$B800="FINALIZADO"</formula>
    </cfRule>
    <cfRule type="expression" dxfId="1089" priority="17579">
      <formula>$B800="ENTREGUE"</formula>
    </cfRule>
    <cfRule type="expression" dxfId="1088" priority="17580">
      <formula>$B800="EM TRÂNSITO TERMINAL"</formula>
    </cfRule>
    <cfRule type="expression" dxfId="1087" priority="17581">
      <formula>$B800="EM TRÂNSITO CLIENTE"</formula>
    </cfRule>
    <cfRule type="expression" dxfId="1086" priority="17582">
      <formula>$B800="CANCELADO"</formula>
    </cfRule>
    <cfRule type="expression" dxfId="1085" priority="17583">
      <formula>$B800="AGUARDANDO VEÍCULO"</formula>
    </cfRule>
  </conditionalFormatting>
  <conditionalFormatting sqref="P798 P821 P849 P845 P870">
    <cfRule type="expression" dxfId="1084" priority="17584">
      <formula>$B800="NO CLIENTE"</formula>
    </cfRule>
  </conditionalFormatting>
  <conditionalFormatting sqref="P799:P800 P850">
    <cfRule type="expression" dxfId="1083" priority="17594">
      <formula>$B766="SEM PROGRAMAÇÃO"</formula>
    </cfRule>
    <cfRule type="expression" dxfId="1082" priority="17595">
      <formula>$B766="PROGRAMADO"</formula>
    </cfRule>
    <cfRule type="expression" dxfId="1081" priority="17596">
      <formula>$B766="NO CLIENTE"</formula>
    </cfRule>
    <cfRule type="expression" dxfId="1080" priority="17597">
      <formula>$B766="ENTREGUE"</formula>
    </cfRule>
    <cfRule type="expression" dxfId="1079" priority="17598">
      <formula>$B766="FINALIZADO"</formula>
    </cfRule>
    <cfRule type="expression" dxfId="1078" priority="17599">
      <formula>$B766="DOCUMENTO"</formula>
    </cfRule>
    <cfRule type="expression" dxfId="1077" priority="17600">
      <formula>$B766="CANCELADO"</formula>
    </cfRule>
    <cfRule type="expression" dxfId="1076" priority="17601">
      <formula>$B766="ATRASADO"</formula>
    </cfRule>
    <cfRule type="expression" dxfId="1075" priority="17602">
      <formula>$B766="AGUARDANDO VEÍCULO"</formula>
    </cfRule>
  </conditionalFormatting>
  <conditionalFormatting sqref="P814 P821:P822 P880:P882 P893">
    <cfRule type="expression" dxfId="1074" priority="17776">
      <formula>$B799="SEM PROGRAMAÇÃO"</formula>
    </cfRule>
    <cfRule type="expression" dxfId="1073" priority="17777">
      <formula>$B799="PROGRAMADO"</formula>
    </cfRule>
    <cfRule type="expression" dxfId="1072" priority="17778">
      <formula>$B799="PRÉ-STACKING"</formula>
    </cfRule>
    <cfRule type="expression" dxfId="1071" priority="17779">
      <formula>$B799="FINALIZADO"</formula>
    </cfRule>
    <cfRule type="expression" dxfId="1070" priority="17780">
      <formula>$B799="ENTREGUE"</formula>
    </cfRule>
    <cfRule type="expression" dxfId="1069" priority="17781">
      <formula>$B799="EM TRÂNSITO TERMINAL"</formula>
    </cfRule>
    <cfRule type="expression" dxfId="1068" priority="17782">
      <formula>$B799="EM TRÂNSITO CLIENTE"</formula>
    </cfRule>
    <cfRule type="expression" dxfId="1067" priority="17783">
      <formula>$B799="CANCELADO"</formula>
    </cfRule>
    <cfRule type="expression" dxfId="1066" priority="17784">
      <formula>$B799="AGUARDANDO VEÍCULO"</formula>
    </cfRule>
  </conditionalFormatting>
  <conditionalFormatting sqref="P814 P821:P822 P880:P882 P893">
    <cfRule type="expression" dxfId="1065" priority="17786">
      <formula>$B799="NO CLIENTE"</formula>
    </cfRule>
  </conditionalFormatting>
  <conditionalFormatting sqref="P807">
    <cfRule type="expression" dxfId="1064" priority="17862">
      <formula>$B780="SEM PROGRAMAÇÃO"</formula>
    </cfRule>
    <cfRule type="expression" dxfId="1063" priority="17863">
      <formula>$B780="PROGRAMADO"</formula>
    </cfRule>
    <cfRule type="expression" dxfId="1062" priority="17864">
      <formula>$B780="NO CLIENTE"</formula>
    </cfRule>
    <cfRule type="expression" dxfId="1061" priority="17865">
      <formula>$B780="ENTREGUE"</formula>
    </cfRule>
    <cfRule type="expression" dxfId="1060" priority="17866">
      <formula>$B780="FINALIZADO"</formula>
    </cfRule>
    <cfRule type="expression" dxfId="1059" priority="17867">
      <formula>$B780="DOCUMENTO"</formula>
    </cfRule>
    <cfRule type="expression" dxfId="1058" priority="17868">
      <formula>$B780="CANCELADO"</formula>
    </cfRule>
    <cfRule type="expression" dxfId="1057" priority="17869">
      <formula>$B780="ATRASADO"</formula>
    </cfRule>
    <cfRule type="expression" dxfId="1056" priority="17870">
      <formula>$B780="AGUARDANDO VEÍCULO"</formula>
    </cfRule>
  </conditionalFormatting>
  <conditionalFormatting sqref="P792:P800 P809:P814 P824:P826 B846:P846 P843:P844 P897">
    <cfRule type="expression" dxfId="1055" priority="17881">
      <formula>$B772="SEM PROGRAMAÇÃO"</formula>
    </cfRule>
    <cfRule type="expression" dxfId="1054" priority="17882">
      <formula>$B772="PROGRAMADO"</formula>
    </cfRule>
    <cfRule type="expression" dxfId="1053" priority="17883">
      <formula>$B772="NO CLIENTE"</formula>
    </cfRule>
    <cfRule type="expression" dxfId="1052" priority="17884">
      <formula>$B772="ENTREGUE"</formula>
    </cfRule>
    <cfRule type="expression" dxfId="1051" priority="17885">
      <formula>$B772="FINALIZADO"</formula>
    </cfRule>
    <cfRule type="expression" dxfId="1050" priority="17886">
      <formula>$B772="DOCUMENTO"</formula>
    </cfRule>
    <cfRule type="expression" dxfId="1049" priority="17887">
      <formula>$B772="CANCELADO"</formula>
    </cfRule>
    <cfRule type="expression" dxfId="1048" priority="17888">
      <formula>$B772="ATRASADO"</formula>
    </cfRule>
    <cfRule type="expression" dxfId="1047" priority="17889">
      <formula>$B772="AGUARDANDO VEÍCULO"</formula>
    </cfRule>
  </conditionalFormatting>
  <conditionalFormatting sqref="P811:P814 P823 P843:P844">
    <cfRule type="expression" dxfId="1046" priority="17920">
      <formula>$B789="SEM PROGRAMAÇÃO"</formula>
    </cfRule>
    <cfRule type="expression" dxfId="1045" priority="17921">
      <formula>$B789="PROGRAMADO"</formula>
    </cfRule>
    <cfRule type="expression" dxfId="1044" priority="17922">
      <formula>$B789="NO CLIENTE"</formula>
    </cfRule>
    <cfRule type="expression" dxfId="1043" priority="17923">
      <formula>$B789="ENTREGUE"</formula>
    </cfRule>
    <cfRule type="expression" dxfId="1042" priority="17924">
      <formula>$B789="FINALIZADO"</formula>
    </cfRule>
    <cfRule type="expression" dxfId="1041" priority="17925">
      <formula>$B789="DOCUMENTO"</formula>
    </cfRule>
    <cfRule type="expression" dxfId="1040" priority="17926">
      <formula>$B789="CANCELADO"</formula>
    </cfRule>
    <cfRule type="expression" dxfId="1039" priority="17927">
      <formula>$B789="ATRASADO"</formula>
    </cfRule>
    <cfRule type="expression" dxfId="1038" priority="17928">
      <formula>$B789="AGUARDANDO VEÍCULO"</formula>
    </cfRule>
  </conditionalFormatting>
  <conditionalFormatting sqref="P799:P805 P811:P814 P883 P894:P895 P897 B896:P896">
    <cfRule type="expression" dxfId="1037" priority="18001">
      <formula>$B781="SEM PROGRAMAÇÃO"</formula>
    </cfRule>
    <cfRule type="expression" dxfId="1036" priority="18002">
      <formula>$B781="PROGRAMADO"</formula>
    </cfRule>
    <cfRule type="expression" dxfId="1035" priority="18003">
      <formula>$B781="NO CLIENTE"</formula>
    </cfRule>
    <cfRule type="expression" dxfId="1034" priority="18004">
      <formula>$B781="ENTREGUE"</formula>
    </cfRule>
    <cfRule type="expression" dxfId="1033" priority="18005">
      <formula>$B781="FINALIZADO"</formula>
    </cfRule>
    <cfRule type="expression" dxfId="1032" priority="18006">
      <formula>$B781="DOCUMENTO"</formula>
    </cfRule>
    <cfRule type="expression" dxfId="1031" priority="18007">
      <formula>$B781="CANCELADO"</formula>
    </cfRule>
    <cfRule type="expression" dxfId="1030" priority="18008">
      <formula>$B781="ATRASADO"</formula>
    </cfRule>
    <cfRule type="expression" dxfId="1029" priority="18009">
      <formula>$B781="AGUARDANDO VEÍCULO"</formula>
    </cfRule>
  </conditionalFormatting>
  <conditionalFormatting sqref="P788">
    <cfRule type="expression" dxfId="1028" priority="18057">
      <formula>$B787="SEM PROGRAMAÇÃO"</formula>
    </cfRule>
    <cfRule type="expression" dxfId="1027" priority="18058">
      <formula>$B787="PROGRAMADO"</formula>
    </cfRule>
    <cfRule type="expression" dxfId="1026" priority="18059">
      <formula>$B787="PRÉ-STACKING"</formula>
    </cfRule>
    <cfRule type="expression" dxfId="1025" priority="18060">
      <formula>$B787="FINALIZADO"</formula>
    </cfRule>
    <cfRule type="expression" dxfId="1024" priority="18061">
      <formula>$B787="ENTREGUE"</formula>
    </cfRule>
    <cfRule type="expression" dxfId="1023" priority="18062">
      <formula>$B787="EM TRÂNSITO TERMINAL"</formula>
    </cfRule>
    <cfRule type="expression" dxfId="1022" priority="18063">
      <formula>$B787="EM TRÂNSITO CLIENTE"</formula>
    </cfRule>
    <cfRule type="expression" dxfId="1021" priority="18064">
      <formula>$B787="CANCELADO"</formula>
    </cfRule>
    <cfRule type="expression" dxfId="1020" priority="18065">
      <formula>$B787="AGUARDANDO VEÍCULO"</formula>
    </cfRule>
  </conditionalFormatting>
  <conditionalFormatting sqref="P788">
    <cfRule type="expression" dxfId="1019" priority="18075">
      <formula>$B787="NO CLIENTE"</formula>
    </cfRule>
  </conditionalFormatting>
  <conditionalFormatting sqref="P775:P798 P846:P847 P843">
    <cfRule type="expression" dxfId="1018" priority="18097">
      <formula>$B754="SEM PROGRAMAÇÃO"</formula>
    </cfRule>
    <cfRule type="expression" dxfId="1017" priority="18098">
      <formula>$B754="PROGRAMADO"</formula>
    </cfRule>
    <cfRule type="expression" dxfId="1016" priority="18099">
      <formula>$B754="NO CLIENTE"</formula>
    </cfRule>
    <cfRule type="expression" dxfId="1015" priority="18100">
      <formula>$B754="ENTREGUE"</formula>
    </cfRule>
    <cfRule type="expression" dxfId="1014" priority="18101">
      <formula>$B754="FINALIZADO"</formula>
    </cfRule>
    <cfRule type="expression" dxfId="1013" priority="18102">
      <formula>$B754="DOCUMENTO"</formula>
    </cfRule>
    <cfRule type="expression" dxfId="1012" priority="18103">
      <formula>$B754="CANCELADO"</formula>
    </cfRule>
    <cfRule type="expression" dxfId="1011" priority="18104">
      <formula>$B754="ATRASADO"</formula>
    </cfRule>
    <cfRule type="expression" dxfId="1010" priority="18105">
      <formula>$B754="AGUARDANDO VEÍCULO"</formula>
    </cfRule>
  </conditionalFormatting>
  <conditionalFormatting sqref="P795 P799:P805 P815 P852:P859 P894:P895">
    <cfRule type="expression" dxfId="1009" priority="18229">
      <formula>$B778="SEM PROGRAMAÇÃO"</formula>
    </cfRule>
    <cfRule type="expression" dxfId="1008" priority="18230">
      <formula>$B778="PROGRAMADO"</formula>
    </cfRule>
    <cfRule type="expression" dxfId="1007" priority="18231">
      <formula>$B778="NO CLIENTE"</formula>
    </cfRule>
    <cfRule type="expression" dxfId="1006" priority="18232">
      <formula>$B778="ENTREGUE"</formula>
    </cfRule>
    <cfRule type="expression" dxfId="1005" priority="18233">
      <formula>$B778="FINALIZADO"</formula>
    </cfRule>
    <cfRule type="expression" dxfId="1004" priority="18234">
      <formula>$B778="DOCUMENTO"</formula>
    </cfRule>
    <cfRule type="expression" dxfId="1003" priority="18235">
      <formula>$B778="CANCELADO"</formula>
    </cfRule>
    <cfRule type="expression" dxfId="1002" priority="18236">
      <formula>$B778="ATRASADO"</formula>
    </cfRule>
    <cfRule type="expression" dxfId="1001" priority="18237">
      <formula>$B778="AGUARDANDO VEÍCULO"</formula>
    </cfRule>
  </conditionalFormatting>
  <conditionalFormatting sqref="P795 P811 P801:P805">
    <cfRule type="expression" dxfId="1000" priority="18431">
      <formula>$B789="SEM PROGRAMAÇÃO"</formula>
    </cfRule>
    <cfRule type="expression" dxfId="999" priority="18432">
      <formula>$B789="PROGRAMADO"</formula>
    </cfRule>
    <cfRule type="expression" dxfId="998" priority="18433">
      <formula>$B789="PRÉ-STACKING"</formula>
    </cfRule>
    <cfRule type="expression" dxfId="997" priority="18434">
      <formula>$B789="FINALIZADO"</formula>
    </cfRule>
    <cfRule type="expression" dxfId="996" priority="18435">
      <formula>$B789="ENTREGUE"</formula>
    </cfRule>
    <cfRule type="expression" dxfId="995" priority="18436">
      <formula>$B789="EM TRÂNSITO TERMINAL"</formula>
    </cfRule>
    <cfRule type="expression" dxfId="994" priority="18437">
      <formula>$B789="EM TRÂNSITO CLIENTE"</formula>
    </cfRule>
    <cfRule type="expression" dxfId="993" priority="18438">
      <formula>$B789="CANCELADO"</formula>
    </cfRule>
    <cfRule type="expression" dxfId="992" priority="18439">
      <formula>$B789="AGUARDANDO VEÍCULO"</formula>
    </cfRule>
  </conditionalFormatting>
  <conditionalFormatting sqref="P795 P811 P801:P805">
    <cfRule type="expression" dxfId="991" priority="18441">
      <formula>$B789="NO CLIENTE"</formula>
    </cfRule>
  </conditionalFormatting>
  <conditionalFormatting sqref="P792:P796 P798 P802">
    <cfRule type="expression" dxfId="990" priority="18497">
      <formula>$B783="SEM PROGRAMAÇÃO"</formula>
    </cfRule>
    <cfRule type="expression" dxfId="989" priority="18498">
      <formula>$B783="PROGRAMADO"</formula>
    </cfRule>
    <cfRule type="expression" dxfId="988" priority="18499">
      <formula>$B783="PRÉ-STACKING"</formula>
    </cfRule>
    <cfRule type="expression" dxfId="987" priority="18500">
      <formula>$B783="FINALIZADO"</formula>
    </cfRule>
    <cfRule type="expression" dxfId="986" priority="18501">
      <formula>$B783="ENTREGUE"</formula>
    </cfRule>
    <cfRule type="expression" dxfId="985" priority="18502">
      <formula>$B783="EM TRÂNSITO TERMINAL"</formula>
    </cfRule>
    <cfRule type="expression" dxfId="984" priority="18503">
      <formula>$B783="EM TRÂNSITO CLIENTE"</formula>
    </cfRule>
    <cfRule type="expression" dxfId="983" priority="18504">
      <formula>$B783="CANCELADO"</formula>
    </cfRule>
    <cfRule type="expression" dxfId="982" priority="18505">
      <formula>$B783="AGUARDANDO VEÍCULO"</formula>
    </cfRule>
  </conditionalFormatting>
  <conditionalFormatting sqref="P792:P796 P798 P802">
    <cfRule type="expression" dxfId="981" priority="18516">
      <formula>$B783="NO CLIENTE"</formula>
    </cfRule>
  </conditionalFormatting>
  <conditionalFormatting sqref="P807:P808 P819:P820 P844 P878:P879 P889:P893">
    <cfRule type="expression" dxfId="980" priority="18544">
      <formula>$B813="SEM PROGRAMAÇÃO"</formula>
    </cfRule>
    <cfRule type="expression" dxfId="979" priority="18545">
      <formula>$B813="PROGRAMADO"</formula>
    </cfRule>
    <cfRule type="expression" dxfId="978" priority="18546">
      <formula>$B813="NO CLIENTE"</formula>
    </cfRule>
    <cfRule type="expression" dxfId="977" priority="18547">
      <formula>$B813="ENTREGUE"</formula>
    </cfRule>
    <cfRule type="expression" dxfId="976" priority="18548">
      <formula>$B813="FINALIZADO"</formula>
    </cfRule>
    <cfRule type="expression" dxfId="975" priority="18549">
      <formula>$B813="DOCUMENTO"</formula>
    </cfRule>
    <cfRule type="expression" dxfId="974" priority="18550">
      <formula>$B813="CANCELADO"</formula>
    </cfRule>
    <cfRule type="expression" dxfId="973" priority="18551">
      <formula>$B813="ATRASADO"</formula>
    </cfRule>
    <cfRule type="expression" dxfId="972" priority="18552">
      <formula>$B813="AGUARDANDO VEÍCULO"</formula>
    </cfRule>
  </conditionalFormatting>
  <conditionalFormatting sqref="P806:P814">
    <cfRule type="expression" dxfId="971" priority="18808">
      <formula>$B790="SEM PROGRAMAÇÃO"</formula>
    </cfRule>
    <cfRule type="expression" dxfId="970" priority="18809">
      <formula>$B790="PROGRAMADO"</formula>
    </cfRule>
    <cfRule type="expression" dxfId="969" priority="18810">
      <formula>$B790="PRÉ-STACKING"</formula>
    </cfRule>
    <cfRule type="expression" dxfId="968" priority="18811">
      <formula>$B790="FINALIZADO"</formula>
    </cfRule>
    <cfRule type="expression" dxfId="967" priority="18812">
      <formula>$B790="ENTREGUE"</formula>
    </cfRule>
    <cfRule type="expression" dxfId="966" priority="18813">
      <formula>$B790="EM TRÂNSITO TERMINAL"</formula>
    </cfRule>
    <cfRule type="expression" dxfId="965" priority="18814">
      <formula>$B790="EM TRÂNSITO CLIENTE"</formula>
    </cfRule>
    <cfRule type="expression" dxfId="964" priority="18815">
      <formula>$B790="CANCELADO"</formula>
    </cfRule>
    <cfRule type="expression" dxfId="963" priority="18816">
      <formula>$B790="AGUARDANDO VEÍCULO"</formula>
    </cfRule>
  </conditionalFormatting>
  <conditionalFormatting sqref="P806:P814">
    <cfRule type="expression" dxfId="962" priority="18817">
      <formula>$B790="NO CLIENTE"</formula>
    </cfRule>
  </conditionalFormatting>
  <conditionalFormatting sqref="P802">
    <cfRule type="expression" dxfId="961" priority="18938">
      <formula>$B783="SEM PROGRAMAÇÃO"</formula>
    </cfRule>
    <cfRule type="expression" dxfId="960" priority="18939">
      <formula>$B783="PROGRAMADO"</formula>
    </cfRule>
    <cfRule type="expression" dxfId="959" priority="18940">
      <formula>$B783="NO CLIENTE"</formula>
    </cfRule>
    <cfRule type="expression" dxfId="958" priority="18941">
      <formula>$B783="ENTREGUE"</formula>
    </cfRule>
    <cfRule type="expression" dxfId="957" priority="18942">
      <formula>$B783="FINALIZADO"</formula>
    </cfRule>
    <cfRule type="expression" dxfId="956" priority="18943">
      <formula>$B783="DOCUMENTO"</formula>
    </cfRule>
    <cfRule type="expression" dxfId="955" priority="18944">
      <formula>$B783="CANCELADO"</formula>
    </cfRule>
    <cfRule type="expression" dxfId="954" priority="18945">
      <formula>$B783="ATRASADO"</formula>
    </cfRule>
    <cfRule type="expression" dxfId="953" priority="18946">
      <formula>$B783="AGUARDANDO VEÍCULO"</formula>
    </cfRule>
  </conditionalFormatting>
  <conditionalFormatting sqref="P806:P811 P801 P849 P894">
    <cfRule type="expression" dxfId="952" priority="19368">
      <formula>$B777="SEM PROGRAMAÇÃO"</formula>
    </cfRule>
    <cfRule type="expression" dxfId="951" priority="19369">
      <formula>$B777="PROGRAMADO"</formula>
    </cfRule>
    <cfRule type="expression" dxfId="950" priority="19370">
      <formula>$B777="NO CLIENTE"</formula>
    </cfRule>
    <cfRule type="expression" dxfId="949" priority="19371">
      <formula>$B777="ENTREGUE"</formula>
    </cfRule>
    <cfRule type="expression" dxfId="948" priority="19372">
      <formula>$B777="FINALIZADO"</formula>
    </cfRule>
    <cfRule type="expression" dxfId="947" priority="19373">
      <formula>$B777="DOCUMENTO"</formula>
    </cfRule>
    <cfRule type="expression" dxfId="946" priority="19374">
      <formula>$B777="CANCELADO"</formula>
    </cfRule>
    <cfRule type="expression" dxfId="945" priority="19375">
      <formula>$B777="ATRASADO"</formula>
    </cfRule>
    <cfRule type="expression" dxfId="944" priority="19376">
      <formula>$B777="AGUARDANDO VEÍCULO"</formula>
    </cfRule>
  </conditionalFormatting>
  <conditionalFormatting sqref="P813 P850">
    <cfRule type="expression" dxfId="943" priority="19380">
      <formula>$B786="SEM PROGRAMAÇÃO"</formula>
    </cfRule>
    <cfRule type="expression" dxfId="942" priority="19381">
      <formula>$B786="PROGRAMADO"</formula>
    </cfRule>
    <cfRule type="expression" dxfId="941" priority="19382">
      <formula>$B786="PRÉ-STACKING"</formula>
    </cfRule>
    <cfRule type="expression" dxfId="940" priority="19383">
      <formula>$B786="FINALIZADO"</formula>
    </cfRule>
    <cfRule type="expression" dxfId="939" priority="19384">
      <formula>$B786="ENTREGUE"</formula>
    </cfRule>
    <cfRule type="expression" dxfId="938" priority="19385">
      <formula>$B786="EM TRÂNSITO TERMINAL"</formula>
    </cfRule>
    <cfRule type="expression" dxfId="937" priority="19386">
      <formula>$B786="EM TRÂNSITO CLIENTE"</formula>
    </cfRule>
    <cfRule type="expression" dxfId="936" priority="19387">
      <formula>$B786="CANCELADO"</formula>
    </cfRule>
    <cfRule type="expression" dxfId="935" priority="19388">
      <formula>$B786="AGUARDANDO VEÍCULO"</formula>
    </cfRule>
  </conditionalFormatting>
  <conditionalFormatting sqref="P813 P850">
    <cfRule type="expression" dxfId="934" priority="19398">
      <formula>$B786="NO CLIENTE"</formula>
    </cfRule>
  </conditionalFormatting>
  <conditionalFormatting sqref="P789 P831">
    <cfRule type="expression" dxfId="933" priority="19502">
      <formula>$B807="SEM PROGRAMAÇÃO"</formula>
    </cfRule>
    <cfRule type="expression" dxfId="932" priority="19503">
      <formula>$B807="PROGRAMADO"</formula>
    </cfRule>
    <cfRule type="expression" dxfId="931" priority="19504">
      <formula>$B807="PRÉ-STACKING"</formula>
    </cfRule>
    <cfRule type="expression" dxfId="930" priority="19505">
      <formula>$B807="FINALIZADO"</formula>
    </cfRule>
    <cfRule type="expression" dxfId="929" priority="19506">
      <formula>$B807="ENTREGUE"</formula>
    </cfRule>
    <cfRule type="expression" dxfId="928" priority="19507">
      <formula>$B807="EM TRÂNSITO TERMINAL"</formula>
    </cfRule>
    <cfRule type="expression" dxfId="927" priority="19508">
      <formula>$B807="EM TRÂNSITO CLIENTE"</formula>
    </cfRule>
    <cfRule type="expression" dxfId="926" priority="19509">
      <formula>$B807="CANCELADO"</formula>
    </cfRule>
    <cfRule type="expression" dxfId="925" priority="19510">
      <formula>$B807="AGUARDANDO VEÍCULO"</formula>
    </cfRule>
  </conditionalFormatting>
  <conditionalFormatting sqref="P789 P831">
    <cfRule type="expression" dxfId="924" priority="19511">
      <formula>$B807="NO CLIENTE"</formula>
    </cfRule>
  </conditionalFormatting>
  <conditionalFormatting sqref="P810 P817:P820 P883 P895">
    <cfRule type="expression" dxfId="923" priority="19697">
      <formula>$B796="SEM PROGRAMAÇÃO"</formula>
    </cfRule>
    <cfRule type="expression" dxfId="922" priority="19698">
      <formula>$B796="PROGRAMADO"</formula>
    </cfRule>
    <cfRule type="expression" dxfId="921" priority="19699">
      <formula>$B796="PRÉ-STACKING"</formula>
    </cfRule>
    <cfRule type="expression" dxfId="920" priority="19700">
      <formula>$B796="FINALIZADO"</formula>
    </cfRule>
    <cfRule type="expression" dxfId="919" priority="19701">
      <formula>$B796="ENTREGUE"</formula>
    </cfRule>
    <cfRule type="expression" dxfId="918" priority="19702">
      <formula>$B796="EM TRÂNSITO TERMINAL"</formula>
    </cfRule>
    <cfRule type="expression" dxfId="917" priority="19703">
      <formula>$B796="EM TRÂNSITO CLIENTE"</formula>
    </cfRule>
    <cfRule type="expression" dxfId="916" priority="19704">
      <formula>$B796="CANCELADO"</formula>
    </cfRule>
    <cfRule type="expression" dxfId="915" priority="19705">
      <formula>$B796="AGUARDANDO VEÍCULO"</formula>
    </cfRule>
  </conditionalFormatting>
  <conditionalFormatting sqref="P810 P817:P820 P883 P895">
    <cfRule type="expression" dxfId="914" priority="19707">
      <formula>$B796="NO CLIENTE"</formula>
    </cfRule>
  </conditionalFormatting>
  <conditionalFormatting sqref="P799:P800 P897">
    <cfRule type="expression" dxfId="913" priority="19796">
      <formula>$B786="SEM PROGRAMAÇÃO"</formula>
    </cfRule>
    <cfRule type="expression" dxfId="912" priority="19797">
      <formula>$B786="PROGRAMADO"</formula>
    </cfRule>
    <cfRule type="expression" dxfId="911" priority="19798">
      <formula>$B786="PRÉ-STACKING"</formula>
    </cfRule>
    <cfRule type="expression" dxfId="910" priority="19799">
      <formula>$B786="FINALIZADO"</formula>
    </cfRule>
    <cfRule type="expression" dxfId="909" priority="19800">
      <formula>$B786="ENTREGUE"</formula>
    </cfRule>
    <cfRule type="expression" dxfId="908" priority="19801">
      <formula>$B786="EM TRÂNSITO TERMINAL"</formula>
    </cfRule>
    <cfRule type="expression" dxfId="907" priority="19802">
      <formula>$B786="EM TRÂNSITO CLIENTE"</formula>
    </cfRule>
    <cfRule type="expression" dxfId="906" priority="19803">
      <formula>$B786="CANCELADO"</formula>
    </cfRule>
    <cfRule type="expression" dxfId="905" priority="19804">
      <formula>$B786="AGUARDANDO VEÍCULO"</formula>
    </cfRule>
  </conditionalFormatting>
  <conditionalFormatting sqref="P808">
    <cfRule type="expression" dxfId="904" priority="19805">
      <formula>$B795="SEM PROGRAMAÇÃO"</formula>
    </cfRule>
    <cfRule type="expression" dxfId="903" priority="19806">
      <formula>$B795="PROGRAMADO"</formula>
    </cfRule>
    <cfRule type="expression" dxfId="902" priority="19807">
      <formula>$B795="PRÉ-STACKING"</formula>
    </cfRule>
    <cfRule type="expression" dxfId="901" priority="19808">
      <formula>$B795="FINALIZADO"</formula>
    </cfRule>
    <cfRule type="expression" dxfId="900" priority="19809">
      <formula>$B795="ENTREGUE"</formula>
    </cfRule>
    <cfRule type="expression" dxfId="899" priority="19810">
      <formula>$B795="EM TRÂNSITO TERMINAL"</formula>
    </cfRule>
    <cfRule type="expression" dxfId="898" priority="19811">
      <formula>$B795="EM TRÂNSITO CLIENTE"</formula>
    </cfRule>
    <cfRule type="expression" dxfId="897" priority="19812">
      <formula>$B795="CANCELADO"</formula>
    </cfRule>
    <cfRule type="expression" dxfId="896" priority="19813">
      <formula>$B795="AGUARDANDO VEÍCULO"</formula>
    </cfRule>
  </conditionalFormatting>
  <conditionalFormatting sqref="P799:P800 P897">
    <cfRule type="expression" dxfId="895" priority="19814">
      <formula>$B786="NO CLIENTE"</formula>
    </cfRule>
  </conditionalFormatting>
  <conditionalFormatting sqref="P808">
    <cfRule type="expression" dxfId="894" priority="19815">
      <formula>$B795="NO CLIENTE"</formula>
    </cfRule>
  </conditionalFormatting>
  <conditionalFormatting sqref="P802">
    <cfRule type="expression" dxfId="893" priority="20216">
      <formula>$B796="SEM PROGRAMAÇÃO"</formula>
    </cfRule>
    <cfRule type="expression" dxfId="892" priority="20217">
      <formula>$B796="PROGRAMADO"</formula>
    </cfRule>
    <cfRule type="expression" dxfId="891" priority="20218">
      <formula>$B796="PRÉ-STACKING"</formula>
    </cfRule>
    <cfRule type="expression" dxfId="890" priority="20219">
      <formula>$B796="FINALIZADO"</formula>
    </cfRule>
    <cfRule type="expression" dxfId="889" priority="20220">
      <formula>$B796="ENTREGUE"</formula>
    </cfRule>
    <cfRule type="expression" dxfId="888" priority="20221">
      <formula>$B796="EM TRÂNSITO TERMINAL"</formula>
    </cfRule>
    <cfRule type="expression" dxfId="887" priority="20222">
      <formula>$B796="EM TRÂNSITO CLIENTE"</formula>
    </cfRule>
    <cfRule type="expression" dxfId="886" priority="20223">
      <formula>$B796="CANCELADO"</formula>
    </cfRule>
    <cfRule type="expression" dxfId="885" priority="20224">
      <formula>$B796="AGUARDANDO VEÍCULO"</formula>
    </cfRule>
  </conditionalFormatting>
  <conditionalFormatting sqref="P802">
    <cfRule type="expression" dxfId="884" priority="20225">
      <formula>$B796="NO CLIENTE"</formula>
    </cfRule>
  </conditionalFormatting>
  <conditionalFormatting sqref="P800">
    <cfRule type="expression" dxfId="883" priority="20463">
      <formula>$B799="SEM PROGRAMAÇÃO"</formula>
    </cfRule>
    <cfRule type="expression" dxfId="882" priority="20464">
      <formula>$B799="PROGRAMADO"</formula>
    </cfRule>
    <cfRule type="expression" dxfId="881" priority="20465">
      <formula>$B799="NO CLIENTE"</formula>
    </cfRule>
    <cfRule type="expression" dxfId="880" priority="20466">
      <formula>$B799="ENTREGUE"</formula>
    </cfRule>
    <cfRule type="expression" dxfId="879" priority="20467">
      <formula>$B799="FINALIZADO"</formula>
    </cfRule>
    <cfRule type="expression" dxfId="878" priority="20468">
      <formula>$B799="DOCUMENTO"</formula>
    </cfRule>
    <cfRule type="expression" dxfId="877" priority="20469">
      <formula>$B799="CANCELADO"</formula>
    </cfRule>
    <cfRule type="expression" dxfId="876" priority="20470">
      <formula>$B799="ATRASADO"</formula>
    </cfRule>
    <cfRule type="expression" dxfId="875" priority="20471">
      <formula>$B799="AGUARDANDO VEÍCULO"</formula>
    </cfRule>
  </conditionalFormatting>
  <conditionalFormatting sqref="P811:P814">
    <cfRule type="expression" dxfId="874" priority="20513">
      <formula>$B797="SEM PROGRAMAÇÃO"</formula>
    </cfRule>
    <cfRule type="expression" dxfId="873" priority="20514">
      <formula>$B797="PROGRAMADO"</formula>
    </cfRule>
    <cfRule type="expression" dxfId="872" priority="20515">
      <formula>$B797="PRÉ-STACKING"</formula>
    </cfRule>
    <cfRule type="expression" dxfId="871" priority="20516">
      <formula>$B797="FINALIZADO"</formula>
    </cfRule>
    <cfRule type="expression" dxfId="870" priority="20517">
      <formula>$B797="ENTREGUE"</formula>
    </cfRule>
    <cfRule type="expression" dxfId="869" priority="20518">
      <formula>$B797="EM TRÂNSITO TERMINAL"</formula>
    </cfRule>
    <cfRule type="expression" dxfId="868" priority="20519">
      <formula>$B797="EM TRÂNSITO CLIENTE"</formula>
    </cfRule>
    <cfRule type="expression" dxfId="867" priority="20520">
      <formula>$B797="CANCELADO"</formula>
    </cfRule>
    <cfRule type="expression" dxfId="866" priority="20521">
      <formula>$B797="AGUARDANDO VEÍCULO"</formula>
    </cfRule>
  </conditionalFormatting>
  <conditionalFormatting sqref="P811:P814">
    <cfRule type="expression" dxfId="865" priority="20522">
      <formula>$B797="NO CLIENTE"</formula>
    </cfRule>
  </conditionalFormatting>
  <conditionalFormatting sqref="P815:P816">
    <cfRule type="expression" dxfId="864" priority="20578">
      <formula>$B797="SEM PROGRAMAÇÃO"</formula>
    </cfRule>
    <cfRule type="expression" dxfId="863" priority="20579">
      <formula>$B797="PROGRAMADO"</formula>
    </cfRule>
    <cfRule type="expression" dxfId="862" priority="20580">
      <formula>$B797="NO CLIENTE"</formula>
    </cfRule>
    <cfRule type="expression" dxfId="861" priority="20581">
      <formula>$B797="ENTREGUE"</formula>
    </cfRule>
    <cfRule type="expression" dxfId="860" priority="20582">
      <formula>$B797="FINALIZADO"</formula>
    </cfRule>
    <cfRule type="expression" dxfId="859" priority="20583">
      <formula>$B797="DOCUMENTO"</formula>
    </cfRule>
    <cfRule type="expression" dxfId="858" priority="20584">
      <formula>$B797="CANCELADO"</formula>
    </cfRule>
    <cfRule type="expression" dxfId="857" priority="20585">
      <formula>$B797="ATRASADO"</formula>
    </cfRule>
    <cfRule type="expression" dxfId="856" priority="20586">
      <formula>$B797="AGUARDANDO VEÍCULO"</formula>
    </cfRule>
  </conditionalFormatting>
  <conditionalFormatting sqref="P800">
    <cfRule type="expression" dxfId="855" priority="20774">
      <formula>$B791="SEM PROGRAMAÇÃO"</formula>
    </cfRule>
    <cfRule type="expression" dxfId="854" priority="20775">
      <formula>$B791="PROGRAMADO"</formula>
    </cfRule>
    <cfRule type="expression" dxfId="853" priority="20776">
      <formula>$B791="PRÉ-STACKING"</formula>
    </cfRule>
    <cfRule type="expression" dxfId="852" priority="20777">
      <formula>$B791="FINALIZADO"</formula>
    </cfRule>
    <cfRule type="expression" dxfId="851" priority="20778">
      <formula>$B791="ENTREGUE"</formula>
    </cfRule>
    <cfRule type="expression" dxfId="850" priority="20779">
      <formula>$B791="EM TRÂNSITO TERMINAL"</formula>
    </cfRule>
    <cfRule type="expression" dxfId="849" priority="20780">
      <formula>$B791="EM TRÂNSITO CLIENTE"</formula>
    </cfRule>
    <cfRule type="expression" dxfId="848" priority="20781">
      <formula>$B791="CANCELADO"</formula>
    </cfRule>
    <cfRule type="expression" dxfId="847" priority="20782">
      <formula>$B791="AGUARDANDO VEÍCULO"</formula>
    </cfRule>
  </conditionalFormatting>
  <conditionalFormatting sqref="P800">
    <cfRule type="expression" dxfId="846" priority="20783">
      <formula>$B791="NO CLIENTE"</formula>
    </cfRule>
  </conditionalFormatting>
  <conditionalFormatting sqref="P800 P849:P850">
    <cfRule type="expression" dxfId="845" priority="20784">
      <formula>$B771="SEM PROGRAMAÇÃO"</formula>
    </cfRule>
    <cfRule type="expression" dxfId="844" priority="20785">
      <formula>$B771="PROGRAMADO"</formula>
    </cfRule>
    <cfRule type="expression" dxfId="843" priority="20786">
      <formula>$B771="NO CLIENTE"</formula>
    </cfRule>
    <cfRule type="expression" dxfId="842" priority="20787">
      <formula>$B771="ENTREGUE"</formula>
    </cfRule>
    <cfRule type="expression" dxfId="841" priority="20788">
      <formula>$B771="FINALIZADO"</formula>
    </cfRule>
    <cfRule type="expression" dxfId="840" priority="20789">
      <formula>$B771="DOCUMENTO"</formula>
    </cfRule>
    <cfRule type="expression" dxfId="839" priority="20790">
      <formula>$B771="CANCELADO"</formula>
    </cfRule>
    <cfRule type="expression" dxfId="838" priority="20791">
      <formula>$B771="ATRASADO"</formula>
    </cfRule>
    <cfRule type="expression" dxfId="837" priority="20792">
      <formula>$B771="AGUARDANDO VEÍCULO"</formula>
    </cfRule>
  </conditionalFormatting>
  <conditionalFormatting sqref="P797">
    <cfRule type="expression" dxfId="836" priority="20793">
      <formula>$B807="SEM PROGRAMAÇÃO"</formula>
    </cfRule>
    <cfRule type="expression" dxfId="835" priority="20794">
      <formula>$B807="PROGRAMADO"</formula>
    </cfRule>
    <cfRule type="expression" dxfId="834" priority="20795">
      <formula>$B807="NO CLIENTE"</formula>
    </cfRule>
    <cfRule type="expression" dxfId="833" priority="20796">
      <formula>$B807="ENTREGUE"</formula>
    </cfRule>
    <cfRule type="expression" dxfId="832" priority="20797">
      <formula>$B807="FINALIZADO"</formula>
    </cfRule>
    <cfRule type="expression" dxfId="831" priority="20798">
      <formula>$B807="DOCUMENTO"</formula>
    </cfRule>
    <cfRule type="expression" dxfId="830" priority="20799">
      <formula>$B807="CANCELADO"</formula>
    </cfRule>
    <cfRule type="expression" dxfId="829" priority="20800">
      <formula>$B807="ATRASADO"</formula>
    </cfRule>
    <cfRule type="expression" dxfId="828" priority="20801">
      <formula>$B807="AGUARDANDO VEÍCULO"</formula>
    </cfRule>
  </conditionalFormatting>
  <conditionalFormatting sqref="P800 P823">
    <cfRule type="expression" dxfId="827" priority="20802">
      <formula>$B782="SEM PROGRAMAÇÃO"</formula>
    </cfRule>
    <cfRule type="expression" dxfId="826" priority="20803">
      <formula>$B782="PROGRAMADO"</formula>
    </cfRule>
    <cfRule type="expression" dxfId="825" priority="20804">
      <formula>$B782="PRÉ-STACKING"</formula>
    </cfRule>
    <cfRule type="expression" dxfId="824" priority="20805">
      <formula>$B782="FINALIZADO"</formula>
    </cfRule>
    <cfRule type="expression" dxfId="823" priority="20806">
      <formula>$B782="ENTREGUE"</formula>
    </cfRule>
    <cfRule type="expression" dxfId="822" priority="20807">
      <formula>$B782="EM TRÂNSITO TERMINAL"</formula>
    </cfRule>
    <cfRule type="expression" dxfId="821" priority="20808">
      <formula>$B782="EM TRÂNSITO CLIENTE"</formula>
    </cfRule>
    <cfRule type="expression" dxfId="820" priority="20809">
      <formula>$B782="CANCELADO"</formula>
    </cfRule>
    <cfRule type="expression" dxfId="819" priority="20810">
      <formula>$B782="AGUARDANDO VEÍCULO"</formula>
    </cfRule>
  </conditionalFormatting>
  <conditionalFormatting sqref="P800 P823">
    <cfRule type="expression" dxfId="818" priority="20820">
      <formula>$B782="NO CLIENTE"</formula>
    </cfRule>
  </conditionalFormatting>
  <conditionalFormatting sqref="P806:P814">
    <cfRule type="expression" dxfId="817" priority="20830">
      <formula>$B778="SEM PROGRAMAÇÃO"</formula>
    </cfRule>
    <cfRule type="expression" dxfId="816" priority="20831">
      <formula>$B778="PROGRAMADO"</formula>
    </cfRule>
    <cfRule type="expression" dxfId="815" priority="20832">
      <formula>$B778="PRÉ-STACKING"</formula>
    </cfRule>
    <cfRule type="expression" dxfId="814" priority="20833">
      <formula>$B778="FINALIZADO"</formula>
    </cfRule>
    <cfRule type="expression" dxfId="813" priority="20834">
      <formula>$B778="ENTREGUE"</formula>
    </cfRule>
    <cfRule type="expression" dxfId="812" priority="20835">
      <formula>$B778="EM TRÂNSITO TERMINAL"</formula>
    </cfRule>
    <cfRule type="expression" dxfId="811" priority="20836">
      <formula>$B778="EM TRÂNSITO CLIENTE"</formula>
    </cfRule>
    <cfRule type="expression" dxfId="810" priority="20837">
      <formula>$B778="CANCELADO"</formula>
    </cfRule>
    <cfRule type="expression" dxfId="809" priority="20838">
      <formula>$B778="AGUARDANDO VEÍCULO"</formula>
    </cfRule>
  </conditionalFormatting>
  <conditionalFormatting sqref="P806:P814">
    <cfRule type="expression" dxfId="808" priority="20840">
      <formula>$B778="NO CLIENTE"</formula>
    </cfRule>
  </conditionalFormatting>
  <conditionalFormatting sqref="P806:P814">
    <cfRule type="expression" dxfId="807" priority="20860">
      <formula>$B767="SEM PROGRAMAÇÃO"</formula>
    </cfRule>
    <cfRule type="expression" dxfId="806" priority="20861">
      <formula>$B767="PROGRAMADO"</formula>
    </cfRule>
    <cfRule type="expression" dxfId="805" priority="20862">
      <formula>$B767="NO CLIENTE"</formula>
    </cfRule>
    <cfRule type="expression" dxfId="804" priority="20863">
      <formula>$B767="ENTREGUE"</formula>
    </cfRule>
    <cfRule type="expression" dxfId="803" priority="20864">
      <formula>$B767="FINALIZADO"</formula>
    </cfRule>
    <cfRule type="expression" dxfId="802" priority="20865">
      <formula>$B767="DOCUMENTO"</formula>
    </cfRule>
    <cfRule type="expression" dxfId="801" priority="20866">
      <formula>$B767="CANCELADO"</formula>
    </cfRule>
    <cfRule type="expression" dxfId="800" priority="20867">
      <formula>$B767="ATRASADO"</formula>
    </cfRule>
    <cfRule type="expression" dxfId="799" priority="20868">
      <formula>$B767="AGUARDANDO VEÍCULO"</formula>
    </cfRule>
  </conditionalFormatting>
  <conditionalFormatting sqref="P787 P832">
    <cfRule type="expression" dxfId="798" priority="20923">
      <formula>$B800="SEM PROGRAMAÇÃO"</formula>
    </cfRule>
    <cfRule type="expression" dxfId="797" priority="20924">
      <formula>$B800="PROGRAMADO"</formula>
    </cfRule>
    <cfRule type="expression" dxfId="796" priority="20925">
      <formula>$B800="NO CLIENTE"</formula>
    </cfRule>
    <cfRule type="expression" dxfId="795" priority="20926">
      <formula>$B800="ENTREGUE"</formula>
    </cfRule>
    <cfRule type="expression" dxfId="794" priority="20927">
      <formula>$B800="FINALIZADO"</formula>
    </cfRule>
    <cfRule type="expression" dxfId="793" priority="20928">
      <formula>$B800="DOCUMENTO"</formula>
    </cfRule>
    <cfRule type="expression" dxfId="792" priority="20929">
      <formula>$B800="CANCELADO"</formula>
    </cfRule>
    <cfRule type="expression" dxfId="791" priority="20930">
      <formula>$B800="ATRASADO"</formula>
    </cfRule>
    <cfRule type="expression" dxfId="790" priority="20931">
      <formula>$B800="AGUARDANDO VEÍCULO"</formula>
    </cfRule>
  </conditionalFormatting>
  <conditionalFormatting sqref="P806:P814">
    <cfRule type="expression" dxfId="789" priority="20941">
      <formula>$B780="SEM PROGRAMAÇÃO"</formula>
    </cfRule>
    <cfRule type="expression" dxfId="788" priority="20942">
      <formula>$B780="PROGRAMADO"</formula>
    </cfRule>
    <cfRule type="expression" dxfId="787" priority="20943">
      <formula>$B780="NO CLIENTE"</formula>
    </cfRule>
    <cfRule type="expression" dxfId="786" priority="20944">
      <formula>$B780="ENTREGUE"</formula>
    </cfRule>
    <cfRule type="expression" dxfId="785" priority="20945">
      <formula>$B780="FINALIZADO"</formula>
    </cfRule>
    <cfRule type="expression" dxfId="784" priority="20946">
      <formula>$B780="DOCUMENTO"</formula>
    </cfRule>
    <cfRule type="expression" dxfId="783" priority="20947">
      <formula>$B780="CANCELADO"</formula>
    </cfRule>
    <cfRule type="expression" dxfId="782" priority="20948">
      <formula>$B780="ATRASADO"</formula>
    </cfRule>
    <cfRule type="expression" dxfId="781" priority="20949">
      <formula>$B780="AGUARDANDO VEÍCULO"</formula>
    </cfRule>
  </conditionalFormatting>
  <conditionalFormatting sqref="P805">
    <cfRule type="expression" dxfId="780" priority="21116">
      <formula>$B802="SEM PROGRAMAÇÃO"</formula>
    </cfRule>
    <cfRule type="expression" dxfId="779" priority="21117">
      <formula>$B802="PROGRAMADO"</formula>
    </cfRule>
    <cfRule type="expression" dxfId="778" priority="21118">
      <formula>$B802="PRÉ-STACKING"</formula>
    </cfRule>
    <cfRule type="expression" dxfId="777" priority="21119">
      <formula>$B802="FINALIZADO"</formula>
    </cfRule>
    <cfRule type="expression" dxfId="776" priority="21120">
      <formula>$B802="ENTREGUE"</formula>
    </cfRule>
    <cfRule type="expression" dxfId="775" priority="21121">
      <formula>$B802="EM TRÂNSITO TERMINAL"</formula>
    </cfRule>
    <cfRule type="expression" dxfId="774" priority="21122">
      <formula>$B802="EM TRÂNSITO CLIENTE"</formula>
    </cfRule>
    <cfRule type="expression" dxfId="773" priority="21123">
      <formula>$B802="CANCELADO"</formula>
    </cfRule>
    <cfRule type="expression" dxfId="772" priority="21124">
      <formula>$B802="AGUARDANDO VEÍCULO"</formula>
    </cfRule>
  </conditionalFormatting>
  <conditionalFormatting sqref="P805">
    <cfRule type="expression" dxfId="771" priority="21125">
      <formula>$B802="NO CLIENTE"</formula>
    </cfRule>
  </conditionalFormatting>
  <conditionalFormatting sqref="P789:P796 P801 P817:P821 P824:P826 P871:P872 P875:P879 B897:P897">
    <cfRule type="expression" dxfId="770" priority="21258">
      <formula>$B780="SEM PROGRAMAÇÃO"</formula>
    </cfRule>
    <cfRule type="expression" dxfId="769" priority="21259">
      <formula>$B780="PROGRAMADO"</formula>
    </cfRule>
    <cfRule type="expression" dxfId="768" priority="21260">
      <formula>$B780="NO CLIENTE"</formula>
    </cfRule>
    <cfRule type="expression" dxfId="767" priority="21261">
      <formula>$B780="ENTREGUE"</formula>
    </cfRule>
    <cfRule type="expression" dxfId="766" priority="21262">
      <formula>$B780="FINALIZADO"</formula>
    </cfRule>
    <cfRule type="expression" dxfId="765" priority="21263">
      <formula>$B780="DOCUMENTO"</formula>
    </cfRule>
    <cfRule type="expression" dxfId="764" priority="21264">
      <formula>$B780="CANCELADO"</formula>
    </cfRule>
    <cfRule type="expression" dxfId="763" priority="21265">
      <formula>$B780="ATRASADO"</formula>
    </cfRule>
    <cfRule type="expression" dxfId="762" priority="21266">
      <formula>$B780="AGUARDANDO VEÍCULO"</formula>
    </cfRule>
  </conditionalFormatting>
  <conditionalFormatting sqref="P803 P823 P849 P875:P879 P891:P892">
    <cfRule type="expression" dxfId="761" priority="21449">
      <formula>$B798="SEM PROGRAMAÇÃO"</formula>
    </cfRule>
    <cfRule type="expression" dxfId="760" priority="21450">
      <formula>$B798="PROGRAMADO"</formula>
    </cfRule>
    <cfRule type="expression" dxfId="759" priority="21451">
      <formula>$B798="PRÉ-STACKING"</formula>
    </cfRule>
    <cfRule type="expression" dxfId="758" priority="21452">
      <formula>$B798="FINALIZADO"</formula>
    </cfRule>
    <cfRule type="expression" dxfId="757" priority="21453">
      <formula>$B798="ENTREGUE"</formula>
    </cfRule>
    <cfRule type="expression" dxfId="756" priority="21454">
      <formula>$B798="EM TRÂNSITO TERMINAL"</formula>
    </cfRule>
    <cfRule type="expression" dxfId="755" priority="21455">
      <formula>$B798="EM TRÂNSITO CLIENTE"</formula>
    </cfRule>
    <cfRule type="expression" dxfId="754" priority="21456">
      <formula>$B798="CANCELADO"</formula>
    </cfRule>
    <cfRule type="expression" dxfId="753" priority="21457">
      <formula>$B798="AGUARDANDO VEÍCULO"</formula>
    </cfRule>
  </conditionalFormatting>
  <conditionalFormatting sqref="P803 P823 P849 P875:P879 P891:P892">
    <cfRule type="expression" dxfId="752" priority="21467">
      <formula>$B798="NO CLIENTE"</formula>
    </cfRule>
  </conditionalFormatting>
  <conditionalFormatting sqref="P793">
    <cfRule type="expression" dxfId="751" priority="21487">
      <formula>$B802="SEM PROGRAMAÇÃO"</formula>
    </cfRule>
    <cfRule type="expression" dxfId="750" priority="21488">
      <formula>$B802="PROGRAMADO"</formula>
    </cfRule>
    <cfRule type="expression" dxfId="749" priority="21489">
      <formula>$B802="NO CLIENTE"</formula>
    </cfRule>
    <cfRule type="expression" dxfId="748" priority="21490">
      <formula>$B802="ENTREGUE"</formula>
    </cfRule>
    <cfRule type="expression" dxfId="747" priority="21491">
      <formula>$B802="FINALIZADO"</formula>
    </cfRule>
    <cfRule type="expression" dxfId="746" priority="21492">
      <formula>$B802="DOCUMENTO"</formula>
    </cfRule>
    <cfRule type="expression" dxfId="745" priority="21493">
      <formula>$B802="CANCELADO"</formula>
    </cfRule>
    <cfRule type="expression" dxfId="744" priority="21494">
      <formula>$B802="ATRASADO"</formula>
    </cfRule>
    <cfRule type="expression" dxfId="743" priority="21495">
      <formula>$B802="AGUARDANDO VEÍCULO"</formula>
    </cfRule>
  </conditionalFormatting>
  <conditionalFormatting sqref="P796:P798 P816 P814 P800:P801 P803:P805 P841:P842 P866:P870 P873:P879 P889:P893">
    <cfRule type="expression" dxfId="742" priority="21732">
      <formula>$B782="SEM PROGRAMAÇÃO"</formula>
    </cfRule>
    <cfRule type="expression" dxfId="741" priority="21733">
      <formula>$B782="PROGRAMADO"</formula>
    </cfRule>
    <cfRule type="expression" dxfId="740" priority="21734">
      <formula>$B782="NO CLIENTE"</formula>
    </cfRule>
    <cfRule type="expression" dxfId="739" priority="21735">
      <formula>$B782="ENTREGUE"</formula>
    </cfRule>
    <cfRule type="expression" dxfId="738" priority="21736">
      <formula>$B782="FINALIZADO"</formula>
    </cfRule>
    <cfRule type="expression" dxfId="737" priority="21737">
      <formula>$B782="DOCUMENTO"</formula>
    </cfRule>
    <cfRule type="expression" dxfId="736" priority="21738">
      <formula>$B782="CANCELADO"</formula>
    </cfRule>
    <cfRule type="expression" dxfId="735" priority="21739">
      <formula>$B782="ATRASADO"</formula>
    </cfRule>
    <cfRule type="expression" dxfId="734" priority="21740">
      <formula>$B782="AGUARDANDO VEÍCULO"</formula>
    </cfRule>
  </conditionalFormatting>
  <conditionalFormatting sqref="P807">
    <cfRule type="expression" dxfId="733" priority="21796">
      <formula>$B783="SEM PROGRAMAÇÃO"</formula>
    </cfRule>
    <cfRule type="expression" dxfId="732" priority="21797">
      <formula>$B783="PROGRAMADO"</formula>
    </cfRule>
    <cfRule type="expression" dxfId="731" priority="21798">
      <formula>$B783="NO CLIENTE"</formula>
    </cfRule>
    <cfRule type="expression" dxfId="730" priority="21799">
      <formula>$B783="ENTREGUE"</formula>
    </cfRule>
    <cfRule type="expression" dxfId="729" priority="21800">
      <formula>$B783="FINALIZADO"</formula>
    </cfRule>
    <cfRule type="expression" dxfId="728" priority="21801">
      <formula>$B783="DOCUMENTO"</formula>
    </cfRule>
    <cfRule type="expression" dxfId="727" priority="21802">
      <formula>$B783="CANCELADO"</formula>
    </cfRule>
    <cfRule type="expression" dxfId="726" priority="21803">
      <formula>$B783="ATRASADO"</formula>
    </cfRule>
    <cfRule type="expression" dxfId="725" priority="21804">
      <formula>$B783="AGUARDANDO VEÍCULO"</formula>
    </cfRule>
  </conditionalFormatting>
  <conditionalFormatting sqref="P788">
    <cfRule type="expression" dxfId="724" priority="22081">
      <formula>$B779="SEM PROGRAMAÇÃO"</formula>
    </cfRule>
    <cfRule type="expression" dxfId="723" priority="22082">
      <formula>$B779="PROGRAMADO"</formula>
    </cfRule>
    <cfRule type="expression" dxfId="722" priority="22083">
      <formula>$B779="PRÉ-STACKING"</formula>
    </cfRule>
    <cfRule type="expression" dxfId="721" priority="22084">
      <formula>$B779="FINALIZADO"</formula>
    </cfRule>
    <cfRule type="expression" dxfId="720" priority="22085">
      <formula>$B779="ENTREGUE"</formula>
    </cfRule>
    <cfRule type="expression" dxfId="719" priority="22086">
      <formula>$B779="EM TRÂNSITO TERMINAL"</formula>
    </cfRule>
    <cfRule type="expression" dxfId="718" priority="22087">
      <formula>$B779="EM TRÂNSITO CLIENTE"</formula>
    </cfRule>
    <cfRule type="expression" dxfId="717" priority="22088">
      <formula>$B779="CANCELADO"</formula>
    </cfRule>
    <cfRule type="expression" dxfId="716" priority="22089">
      <formula>$B779="AGUARDANDO VEÍCULO"</formula>
    </cfRule>
  </conditionalFormatting>
  <conditionalFormatting sqref="P788">
    <cfRule type="expression" dxfId="715" priority="22091">
      <formula>$B779="NO CLIENTE"</formula>
    </cfRule>
  </conditionalFormatting>
  <conditionalFormatting sqref="P788">
    <cfRule type="expression" dxfId="714" priority="22101">
      <formula>$B768="SEM PROGRAMAÇÃO"</formula>
    </cfRule>
    <cfRule type="expression" dxfId="713" priority="22102">
      <formula>$B768="PROGRAMADO"</formula>
    </cfRule>
    <cfRule type="expression" dxfId="712" priority="22103">
      <formula>$B768="NO CLIENTE"</formula>
    </cfRule>
    <cfRule type="expression" dxfId="711" priority="22104">
      <formula>$B768="ENTREGUE"</formula>
    </cfRule>
    <cfRule type="expression" dxfId="710" priority="22105">
      <formula>$B768="FINALIZADO"</formula>
    </cfRule>
    <cfRule type="expression" dxfId="709" priority="22106">
      <formula>$B768="DOCUMENTO"</formula>
    </cfRule>
    <cfRule type="expression" dxfId="708" priority="22107">
      <formula>$B768="CANCELADO"</formula>
    </cfRule>
    <cfRule type="expression" dxfId="707" priority="22108">
      <formula>$B768="ATRASADO"</formula>
    </cfRule>
    <cfRule type="expression" dxfId="706" priority="22109">
      <formula>$B768="AGUARDANDO VEÍCULO"</formula>
    </cfRule>
  </conditionalFormatting>
  <conditionalFormatting sqref="P793 P799 P835 P831">
    <cfRule type="expression" dxfId="705" priority="22119">
      <formula>$B807="SEM PROGRAMAÇÃO"</formula>
    </cfRule>
    <cfRule type="expression" dxfId="704" priority="22120">
      <formula>$B807="PROGRAMADO"</formula>
    </cfRule>
    <cfRule type="expression" dxfId="703" priority="22121">
      <formula>$B807="NO CLIENTE"</formula>
    </cfRule>
    <cfRule type="expression" dxfId="702" priority="22122">
      <formula>$B807="ENTREGUE"</formula>
    </cfRule>
    <cfRule type="expression" dxfId="701" priority="22123">
      <formula>$B807="FINALIZADO"</formula>
    </cfRule>
    <cfRule type="expression" dxfId="700" priority="22124">
      <formula>$B807="DOCUMENTO"</formula>
    </cfRule>
    <cfRule type="expression" dxfId="699" priority="22125">
      <formula>$B807="CANCELADO"</formula>
    </cfRule>
    <cfRule type="expression" dxfId="698" priority="22126">
      <formula>$B807="ATRASADO"</formula>
    </cfRule>
    <cfRule type="expression" dxfId="697" priority="22127">
      <formula>$B807="AGUARDANDO VEÍCULO"</formula>
    </cfRule>
  </conditionalFormatting>
  <conditionalFormatting sqref="P788">
    <cfRule type="expression" dxfId="696" priority="22137">
      <formula>$B781="SEM PROGRAMAÇÃO"</formula>
    </cfRule>
    <cfRule type="expression" dxfId="695" priority="22138">
      <formula>$B781="PROGRAMADO"</formula>
    </cfRule>
    <cfRule type="expression" dxfId="694" priority="22139">
      <formula>$B781="NO CLIENTE"</formula>
    </cfRule>
    <cfRule type="expression" dxfId="693" priority="22140">
      <formula>$B781="ENTREGUE"</formula>
    </cfRule>
    <cfRule type="expression" dxfId="692" priority="22141">
      <formula>$B781="FINALIZADO"</formula>
    </cfRule>
    <cfRule type="expression" dxfId="691" priority="22142">
      <formula>$B781="DOCUMENTO"</formula>
    </cfRule>
    <cfRule type="expression" dxfId="690" priority="22143">
      <formula>$B781="CANCELADO"</formula>
    </cfRule>
    <cfRule type="expression" dxfId="689" priority="22144">
      <formula>$B781="ATRASADO"</formula>
    </cfRule>
    <cfRule type="expression" dxfId="688" priority="22145">
      <formula>$B781="AGUARDANDO VEÍCULO"</formula>
    </cfRule>
  </conditionalFormatting>
  <conditionalFormatting sqref="P789:P798">
    <cfRule type="expression" dxfId="687" priority="22354">
      <formula>$B767="SEM PROGRAMAÇÃO"</formula>
    </cfRule>
    <cfRule type="expression" dxfId="686" priority="22355">
      <formula>$B767="PROGRAMADO"</formula>
    </cfRule>
    <cfRule type="expression" dxfId="685" priority="22356">
      <formula>$B767="NO CLIENTE"</formula>
    </cfRule>
    <cfRule type="expression" dxfId="684" priority="22357">
      <formula>$B767="ENTREGUE"</formula>
    </cfRule>
    <cfRule type="expression" dxfId="683" priority="22358">
      <formula>$B767="FINALIZADO"</formula>
    </cfRule>
    <cfRule type="expression" dxfId="682" priority="22359">
      <formula>$B767="DOCUMENTO"</formula>
    </cfRule>
    <cfRule type="expression" dxfId="681" priority="22360">
      <formula>$B767="CANCELADO"</formula>
    </cfRule>
    <cfRule type="expression" dxfId="680" priority="22361">
      <formula>$B767="ATRASADO"</formula>
    </cfRule>
    <cfRule type="expression" dxfId="679" priority="22362">
      <formula>$B767="AGUARDANDO VEÍCULO"</formula>
    </cfRule>
  </conditionalFormatting>
  <conditionalFormatting sqref="P815:P816">
    <cfRule type="expression" dxfId="678" priority="22413">
      <formula>$B790="SEM PROGRAMAÇÃO"</formula>
    </cfRule>
    <cfRule type="expression" dxfId="677" priority="22414">
      <formula>$B790="PROGRAMADO"</formula>
    </cfRule>
    <cfRule type="expression" dxfId="676" priority="22415">
      <formula>$B790="NO CLIENTE"</formula>
    </cfRule>
    <cfRule type="expression" dxfId="675" priority="22416">
      <formula>$B790="ENTREGUE"</formula>
    </cfRule>
    <cfRule type="expression" dxfId="674" priority="22417">
      <formula>$B790="FINALIZADO"</formula>
    </cfRule>
    <cfRule type="expression" dxfId="673" priority="22418">
      <formula>$B790="DOCUMENTO"</formula>
    </cfRule>
    <cfRule type="expression" dxfId="672" priority="22419">
      <formula>$B790="CANCELADO"</formula>
    </cfRule>
    <cfRule type="expression" dxfId="671" priority="22420">
      <formula>$B790="ATRASADO"</formula>
    </cfRule>
    <cfRule type="expression" dxfId="670" priority="22421">
      <formula>$B790="AGUARDANDO VEÍCULO"</formula>
    </cfRule>
  </conditionalFormatting>
  <conditionalFormatting sqref="P788">
    <cfRule type="expression" dxfId="669" priority="22614">
      <formula>$B784="SEM PROGRAMAÇÃO"</formula>
    </cfRule>
    <cfRule type="expression" dxfId="668" priority="22615">
      <formula>$B784="PROGRAMADO"</formula>
    </cfRule>
    <cfRule type="expression" dxfId="667" priority="22616">
      <formula>$B784="NO CLIENTE"</formula>
    </cfRule>
    <cfRule type="expression" dxfId="666" priority="22617">
      <formula>$B784="ENTREGUE"</formula>
    </cfRule>
    <cfRule type="expression" dxfId="665" priority="22618">
      <formula>$B784="FINALIZADO"</formula>
    </cfRule>
    <cfRule type="expression" dxfId="664" priority="22619">
      <formula>$B784="DOCUMENTO"</formula>
    </cfRule>
    <cfRule type="expression" dxfId="663" priority="22620">
      <formula>$B784="CANCELADO"</formula>
    </cfRule>
    <cfRule type="expression" dxfId="662" priority="22621">
      <formula>$B784="ATRASADO"</formula>
    </cfRule>
    <cfRule type="expression" dxfId="661" priority="22622">
      <formula>$B784="AGUARDANDO VEÍCULO"</formula>
    </cfRule>
  </conditionalFormatting>
  <conditionalFormatting sqref="P815">
    <cfRule type="expression" dxfId="660" priority="22632">
      <formula>$B809="SEM PROGRAMAÇÃO"</formula>
    </cfRule>
    <cfRule type="expression" dxfId="659" priority="22633">
      <formula>$B809="PROGRAMADO"</formula>
    </cfRule>
    <cfRule type="expression" dxfId="658" priority="22634">
      <formula>$B809="PRÉ-STACKING"</formula>
    </cfRule>
    <cfRule type="expression" dxfId="657" priority="22635">
      <formula>$B809="FINALIZADO"</formula>
    </cfRule>
    <cfRule type="expression" dxfId="656" priority="22636">
      <formula>$B809="ENTREGUE"</formula>
    </cfRule>
    <cfRule type="expression" dxfId="655" priority="22637">
      <formula>$B809="EM TRÂNSITO TERMINAL"</formula>
    </cfRule>
    <cfRule type="expression" dxfId="654" priority="22638">
      <formula>$B809="EM TRÂNSITO CLIENTE"</formula>
    </cfRule>
    <cfRule type="expression" dxfId="653" priority="22639">
      <formula>$B809="CANCELADO"</formula>
    </cfRule>
    <cfRule type="expression" dxfId="652" priority="22640">
      <formula>$B809="AGUARDANDO VEÍCULO"</formula>
    </cfRule>
  </conditionalFormatting>
  <conditionalFormatting sqref="P815">
    <cfRule type="expression" dxfId="651" priority="22650">
      <formula>$B809="NO CLIENTE"</formula>
    </cfRule>
  </conditionalFormatting>
  <conditionalFormatting sqref="P806:P810 P812:P814 P852:P865 P843:P844 P894:P895 P899">
    <cfRule type="expression" dxfId="650" priority="22986">
      <formula>$B783="SEM PROGRAMAÇÃO"</formula>
    </cfRule>
    <cfRule type="expression" dxfId="649" priority="22987">
      <formula>$B783="PROGRAMADO"</formula>
    </cfRule>
    <cfRule type="expression" dxfId="648" priority="22988">
      <formula>$B783="NO CLIENTE"</formula>
    </cfRule>
    <cfRule type="expression" dxfId="647" priority="22989">
      <formula>$B783="ENTREGUE"</formula>
    </cfRule>
    <cfRule type="expression" dxfId="646" priority="22990">
      <formula>$B783="FINALIZADO"</formula>
    </cfRule>
    <cfRule type="expression" dxfId="645" priority="22991">
      <formula>$B783="DOCUMENTO"</formula>
    </cfRule>
    <cfRule type="expression" dxfId="644" priority="22992">
      <formula>$B783="CANCELADO"</formula>
    </cfRule>
    <cfRule type="expression" dxfId="643" priority="22993">
      <formula>$B783="ATRASADO"</formula>
    </cfRule>
    <cfRule type="expression" dxfId="642" priority="22994">
      <formula>$B783="AGUARDANDO VEÍCULO"</formula>
    </cfRule>
  </conditionalFormatting>
  <conditionalFormatting sqref="P787:P788">
    <cfRule type="expression" dxfId="641" priority="23132">
      <formula>$B806="SEM PROGRAMAÇÃO"</formula>
    </cfRule>
    <cfRule type="expression" dxfId="640" priority="23133">
      <formula>$B806="PROGRAMADO"</formula>
    </cfRule>
    <cfRule type="expression" dxfId="639" priority="23134">
      <formula>$B806="PRÉ-STACKING"</formula>
    </cfRule>
    <cfRule type="expression" dxfId="638" priority="23135">
      <formula>$B806="FINALIZADO"</formula>
    </cfRule>
    <cfRule type="expression" dxfId="637" priority="23136">
      <formula>$B806="ENTREGUE"</formula>
    </cfRule>
    <cfRule type="expression" dxfId="636" priority="23137">
      <formula>$B806="EM TRÂNSITO TERMINAL"</formula>
    </cfRule>
    <cfRule type="expression" dxfId="635" priority="23138">
      <formula>$B806="EM TRÂNSITO CLIENTE"</formula>
    </cfRule>
    <cfRule type="expression" dxfId="634" priority="23139">
      <formula>$B806="CANCELADO"</formula>
    </cfRule>
    <cfRule type="expression" dxfId="633" priority="23140">
      <formula>$B806="AGUARDANDO VEÍCULO"</formula>
    </cfRule>
  </conditionalFormatting>
  <conditionalFormatting sqref="P787:P788">
    <cfRule type="expression" dxfId="632" priority="23150">
      <formula>$B806="NO CLIENTE"</formula>
    </cfRule>
  </conditionalFormatting>
  <conditionalFormatting sqref="P808:P809">
    <cfRule type="expression" dxfId="631" priority="23188">
      <formula>$B787="SEM PROGRAMAÇÃO"</formula>
    </cfRule>
    <cfRule type="expression" dxfId="630" priority="23189">
      <formula>$B787="PROGRAMADO"</formula>
    </cfRule>
    <cfRule type="expression" dxfId="629" priority="23190">
      <formula>$B787="NO CLIENTE"</formula>
    </cfRule>
    <cfRule type="expression" dxfId="628" priority="23191">
      <formula>$B787="ENTREGUE"</formula>
    </cfRule>
    <cfRule type="expression" dxfId="627" priority="23192">
      <formula>$B787="FINALIZADO"</formula>
    </cfRule>
    <cfRule type="expression" dxfId="626" priority="23193">
      <formula>$B787="DOCUMENTO"</formula>
    </cfRule>
    <cfRule type="expression" dxfId="625" priority="23194">
      <formula>$B787="CANCELADO"</formula>
    </cfRule>
    <cfRule type="expression" dxfId="624" priority="23195">
      <formula>$B787="ATRASADO"</formula>
    </cfRule>
    <cfRule type="expression" dxfId="623" priority="23196">
      <formula>$B787="AGUARDANDO VEÍCULO"</formula>
    </cfRule>
  </conditionalFormatting>
  <conditionalFormatting sqref="P822:P823">
    <cfRule type="expression" dxfId="622" priority="23278">
      <formula>$B788="SEM PROGRAMAÇÃO"</formula>
    </cfRule>
    <cfRule type="expression" dxfId="621" priority="23279">
      <formula>$B788="PROGRAMADO"</formula>
    </cfRule>
    <cfRule type="expression" dxfId="620" priority="23280">
      <formula>$B788="NO CLIENTE"</formula>
    </cfRule>
    <cfRule type="expression" dxfId="619" priority="23281">
      <formula>$B788="ENTREGUE"</formula>
    </cfRule>
    <cfRule type="expression" dxfId="618" priority="23282">
      <formula>$B788="FINALIZADO"</formula>
    </cfRule>
    <cfRule type="expression" dxfId="617" priority="23283">
      <formula>$B788="DOCUMENTO"</formula>
    </cfRule>
    <cfRule type="expression" dxfId="616" priority="23284">
      <formula>$B788="CANCELADO"</formula>
    </cfRule>
    <cfRule type="expression" dxfId="615" priority="23285">
      <formula>$B788="ATRASADO"</formula>
    </cfRule>
    <cfRule type="expression" dxfId="614" priority="23286">
      <formula>$B788="AGUARDANDO VEÍCULO"</formula>
    </cfRule>
  </conditionalFormatting>
  <conditionalFormatting sqref="P824">
    <cfRule type="expression" dxfId="613" priority="23305">
      <formula>$B788="SEM PROGRAMAÇÃO"</formula>
    </cfRule>
    <cfRule type="expression" dxfId="612" priority="23306">
      <formula>$B788="PROGRAMADO"</formula>
    </cfRule>
    <cfRule type="expression" dxfId="611" priority="23307">
      <formula>$B788="NO CLIENTE"</formula>
    </cfRule>
    <cfRule type="expression" dxfId="610" priority="23308">
      <formula>$B788="ENTREGUE"</formula>
    </cfRule>
    <cfRule type="expression" dxfId="609" priority="23309">
      <formula>$B788="FINALIZADO"</formula>
    </cfRule>
    <cfRule type="expression" dxfId="608" priority="23310">
      <formula>$B788="DOCUMENTO"</formula>
    </cfRule>
    <cfRule type="expression" dxfId="607" priority="23311">
      <formula>$B788="CANCELADO"</formula>
    </cfRule>
    <cfRule type="expression" dxfId="606" priority="23312">
      <formula>$B788="ATRASADO"</formula>
    </cfRule>
    <cfRule type="expression" dxfId="605" priority="23313">
      <formula>$B788="AGUARDANDO VEÍCULO"</formula>
    </cfRule>
  </conditionalFormatting>
  <conditionalFormatting sqref="P812:P814">
    <cfRule type="expression" dxfId="604" priority="23332">
      <formula>$B815="SEM PROGRAMAÇÃO"</formula>
    </cfRule>
    <cfRule type="expression" dxfId="603" priority="23333">
      <formula>$B815="PROGRAMADO"</formula>
    </cfRule>
    <cfRule type="expression" dxfId="602" priority="23334">
      <formula>$B815="NO CLIENTE"</formula>
    </cfRule>
    <cfRule type="expression" dxfId="601" priority="23335">
      <formula>$B815="ENTREGUE"</formula>
    </cfRule>
    <cfRule type="expression" dxfId="600" priority="23336">
      <formula>$B815="FINALIZADO"</formula>
    </cfRule>
    <cfRule type="expression" dxfId="599" priority="23337">
      <formula>$B815="DOCUMENTO"</formula>
    </cfRule>
    <cfRule type="expression" dxfId="598" priority="23338">
      <formula>$B815="CANCELADO"</formula>
    </cfRule>
    <cfRule type="expression" dxfId="597" priority="23339">
      <formula>$B815="ATRASADO"</formula>
    </cfRule>
    <cfRule type="expression" dxfId="596" priority="23340">
      <formula>$B815="AGUARDANDO VEÍCULO"</formula>
    </cfRule>
  </conditionalFormatting>
  <conditionalFormatting sqref="P817">
    <cfRule type="expression" dxfId="595" priority="23378">
      <formula>$B812="SEM PROGRAMAÇÃO"</formula>
    </cfRule>
    <cfRule type="expression" dxfId="594" priority="23379">
      <formula>$B812="PROGRAMADO"</formula>
    </cfRule>
    <cfRule type="expression" dxfId="593" priority="23380">
      <formula>$B812="PRÉ-STACKING"</formula>
    </cfRule>
    <cfRule type="expression" dxfId="592" priority="23381">
      <formula>$B812="FINALIZADO"</formula>
    </cfRule>
    <cfRule type="expression" dxfId="591" priority="23382">
      <formula>$B812="ENTREGUE"</formula>
    </cfRule>
    <cfRule type="expression" dxfId="590" priority="23383">
      <formula>$B812="EM TRÂNSITO TERMINAL"</formula>
    </cfRule>
    <cfRule type="expression" dxfId="589" priority="23384">
      <formula>$B812="EM TRÂNSITO CLIENTE"</formula>
    </cfRule>
    <cfRule type="expression" dxfId="588" priority="23385">
      <formula>$B812="CANCELADO"</formula>
    </cfRule>
    <cfRule type="expression" dxfId="587" priority="23386">
      <formula>$B812="AGUARDANDO VEÍCULO"</formula>
    </cfRule>
  </conditionalFormatting>
  <conditionalFormatting sqref="P817">
    <cfRule type="expression" dxfId="586" priority="23387">
      <formula>$B812="NO CLIENTE"</formula>
    </cfRule>
  </conditionalFormatting>
  <conditionalFormatting sqref="P791">
    <cfRule type="expression" dxfId="585" priority="23460">
      <formula>$B813="SEM PROGRAMAÇÃO"</formula>
    </cfRule>
    <cfRule type="expression" dxfId="584" priority="23461">
      <formula>$B813="PROGRAMADO"</formula>
    </cfRule>
    <cfRule type="expression" dxfId="583" priority="23462">
      <formula>$B813="NO CLIENTE"</formula>
    </cfRule>
    <cfRule type="expression" dxfId="582" priority="23463">
      <formula>$B813="ENTREGUE"</formula>
    </cfRule>
    <cfRule type="expression" dxfId="581" priority="23464">
      <formula>$B813="FINALIZADO"</formula>
    </cfRule>
    <cfRule type="expression" dxfId="580" priority="23465">
      <formula>$B813="DOCUMENTO"</formula>
    </cfRule>
    <cfRule type="expression" dxfId="579" priority="23466">
      <formula>$B813="CANCELADO"</formula>
    </cfRule>
    <cfRule type="expression" dxfId="578" priority="23467">
      <formula>$B813="ATRASADO"</formula>
    </cfRule>
    <cfRule type="expression" dxfId="577" priority="23468">
      <formula>$B813="AGUARDANDO VEÍCULO"</formula>
    </cfRule>
  </conditionalFormatting>
  <conditionalFormatting sqref="P801 P835">
    <cfRule type="expression" dxfId="576" priority="23487">
      <formula>$B814="SEM PROGRAMAÇÃO"</formula>
    </cfRule>
    <cfRule type="expression" dxfId="575" priority="23488">
      <formula>$B814="PROGRAMADO"</formula>
    </cfRule>
    <cfRule type="expression" dxfId="574" priority="23489">
      <formula>$B814="PRÉ-STACKING"</formula>
    </cfRule>
    <cfRule type="expression" dxfId="573" priority="23490">
      <formula>$B814="FINALIZADO"</formula>
    </cfRule>
    <cfRule type="expression" dxfId="572" priority="23491">
      <formula>$B814="ENTREGUE"</formula>
    </cfRule>
    <cfRule type="expression" dxfId="571" priority="23492">
      <formula>$B814="EM TRÂNSITO TERMINAL"</formula>
    </cfRule>
    <cfRule type="expression" dxfId="570" priority="23493">
      <formula>$B814="EM TRÂNSITO CLIENTE"</formula>
    </cfRule>
    <cfRule type="expression" dxfId="569" priority="23494">
      <formula>$B814="CANCELADO"</formula>
    </cfRule>
    <cfRule type="expression" dxfId="568" priority="23495">
      <formula>$B814="AGUARDANDO VEÍCULO"</formula>
    </cfRule>
  </conditionalFormatting>
  <conditionalFormatting sqref="P801 P835">
    <cfRule type="expression" dxfId="567" priority="23514">
      <formula>$B814="NO CLIENTE"</formula>
    </cfRule>
  </conditionalFormatting>
  <conditionalFormatting sqref="P813:P814 P845:P849">
    <cfRule type="expression" dxfId="566" priority="23656">
      <formula>$B785="SEM PROGRAMAÇÃO"</formula>
    </cfRule>
    <cfRule type="expression" dxfId="565" priority="23657">
      <formula>$B785="PROGRAMADO"</formula>
    </cfRule>
    <cfRule type="expression" dxfId="564" priority="23658">
      <formula>$B785="NO CLIENTE"</formula>
    </cfRule>
    <cfRule type="expression" dxfId="563" priority="23659">
      <formula>$B785="ENTREGUE"</formula>
    </cfRule>
    <cfRule type="expression" dxfId="562" priority="23660">
      <formula>$B785="FINALIZADO"</formula>
    </cfRule>
    <cfRule type="expression" dxfId="561" priority="23661">
      <formula>$B785="DOCUMENTO"</formula>
    </cfRule>
    <cfRule type="expression" dxfId="560" priority="23662">
      <formula>$B785="CANCELADO"</formula>
    </cfRule>
    <cfRule type="expression" dxfId="559" priority="23663">
      <formula>$B785="ATRASADO"</formula>
    </cfRule>
    <cfRule type="expression" dxfId="558" priority="23664">
      <formula>$B785="AGUARDANDO VEÍCULO"</formula>
    </cfRule>
  </conditionalFormatting>
  <conditionalFormatting sqref="P798 P836">
    <cfRule type="expression" dxfId="557" priority="23692">
      <formula>$B813="SEM PROGRAMAÇÃO"</formula>
    </cfRule>
    <cfRule type="expression" dxfId="556" priority="23693">
      <formula>$B813="PROGRAMADO"</formula>
    </cfRule>
    <cfRule type="expression" dxfId="555" priority="23694">
      <formula>$B813="PRÉ-STACKING"</formula>
    </cfRule>
    <cfRule type="expression" dxfId="554" priority="23695">
      <formula>$B813="FINALIZADO"</formula>
    </cfRule>
    <cfRule type="expression" dxfId="553" priority="23696">
      <formula>$B813="ENTREGUE"</formula>
    </cfRule>
    <cfRule type="expression" dxfId="552" priority="23697">
      <formula>$B813="EM TRÂNSITO TERMINAL"</formula>
    </cfRule>
    <cfRule type="expression" dxfId="551" priority="23698">
      <formula>$B813="EM TRÂNSITO CLIENTE"</formula>
    </cfRule>
    <cfRule type="expression" dxfId="550" priority="23699">
      <formula>$B813="CANCELADO"</formula>
    </cfRule>
    <cfRule type="expression" dxfId="549" priority="23700">
      <formula>$B813="AGUARDANDO VEÍCULO"</formula>
    </cfRule>
  </conditionalFormatting>
  <conditionalFormatting sqref="P798 P836">
    <cfRule type="expression" dxfId="548" priority="23701">
      <formula>$B813="NO CLIENTE"</formula>
    </cfRule>
  </conditionalFormatting>
  <conditionalFormatting sqref="P813:P814 P848:P849">
    <cfRule type="expression" dxfId="547" priority="23729">
      <formula>$B789="SEM PROGRAMAÇÃO"</formula>
    </cfRule>
    <cfRule type="expression" dxfId="546" priority="23730">
      <formula>$B789="PROGRAMADO"</formula>
    </cfRule>
    <cfRule type="expression" dxfId="545" priority="23731">
      <formula>$B789="PRÉ-STACKING"</formula>
    </cfRule>
    <cfRule type="expression" dxfId="544" priority="23732">
      <formula>$B789="FINALIZADO"</formula>
    </cfRule>
    <cfRule type="expression" dxfId="543" priority="23733">
      <formula>$B789="ENTREGUE"</formula>
    </cfRule>
    <cfRule type="expression" dxfId="542" priority="23734">
      <formula>$B789="EM TRÂNSITO TERMINAL"</formula>
    </cfRule>
    <cfRule type="expression" dxfId="541" priority="23735">
      <formula>$B789="EM TRÂNSITO CLIENTE"</formula>
    </cfRule>
    <cfRule type="expression" dxfId="540" priority="23736">
      <formula>$B789="CANCELADO"</formula>
    </cfRule>
    <cfRule type="expression" dxfId="539" priority="23737">
      <formula>$B789="AGUARDANDO VEÍCULO"</formula>
    </cfRule>
  </conditionalFormatting>
  <conditionalFormatting sqref="P813:P814 P848:P849">
    <cfRule type="expression" dxfId="538" priority="23739">
      <formula>$B789="NO CLIENTE"</formula>
    </cfRule>
  </conditionalFormatting>
  <conditionalFormatting sqref="P813:P814">
    <cfRule type="expression" dxfId="537" priority="23749">
      <formula>$B769="SEM PROGRAMAÇÃO"</formula>
    </cfRule>
    <cfRule type="expression" dxfId="536" priority="23750">
      <formula>$B769="PROGRAMADO"</formula>
    </cfRule>
    <cfRule type="expression" dxfId="535" priority="23751">
      <formula>$B769="NO CLIENTE"</formula>
    </cfRule>
    <cfRule type="expression" dxfId="534" priority="23752">
      <formula>$B769="ENTREGUE"</formula>
    </cfRule>
    <cfRule type="expression" dxfId="533" priority="23753">
      <formula>$B769="FINALIZADO"</formula>
    </cfRule>
    <cfRule type="expression" dxfId="532" priority="23754">
      <formula>$B769="DOCUMENTO"</formula>
    </cfRule>
    <cfRule type="expression" dxfId="531" priority="23755">
      <formula>$B769="CANCELADO"</formula>
    </cfRule>
    <cfRule type="expression" dxfId="530" priority="23756">
      <formula>$B769="ATRASADO"</formula>
    </cfRule>
    <cfRule type="expression" dxfId="529" priority="23757">
      <formula>$B769="AGUARDANDO VEÍCULO"</formula>
    </cfRule>
  </conditionalFormatting>
  <conditionalFormatting sqref="P797">
    <cfRule type="expression" dxfId="528" priority="23767">
      <formula>$B814="SEM PROGRAMAÇÃO"</formula>
    </cfRule>
    <cfRule type="expression" dxfId="527" priority="23768">
      <formula>$B814="PROGRAMADO"</formula>
    </cfRule>
    <cfRule type="expression" dxfId="526" priority="23769">
      <formula>$B814="NO CLIENTE"</formula>
    </cfRule>
    <cfRule type="expression" dxfId="525" priority="23770">
      <formula>$B814="ENTREGUE"</formula>
    </cfRule>
    <cfRule type="expression" dxfId="524" priority="23771">
      <formula>$B814="FINALIZADO"</formula>
    </cfRule>
    <cfRule type="expression" dxfId="523" priority="23772">
      <formula>$B814="DOCUMENTO"</formula>
    </cfRule>
    <cfRule type="expression" dxfId="522" priority="23773">
      <formula>$B814="CANCELADO"</formula>
    </cfRule>
    <cfRule type="expression" dxfId="521" priority="23774">
      <formula>$B814="ATRASADO"</formula>
    </cfRule>
    <cfRule type="expression" dxfId="520" priority="23775">
      <formula>$B814="AGUARDANDO VEÍCULO"</formula>
    </cfRule>
  </conditionalFormatting>
  <conditionalFormatting sqref="P813:P814">
    <cfRule type="expression" dxfId="519" priority="23791">
      <formula>$B780="SEM PROGRAMAÇÃO"</formula>
    </cfRule>
    <cfRule type="expression" dxfId="518" priority="23792">
      <formula>$B780="PROGRAMADO"</formula>
    </cfRule>
    <cfRule type="expression" dxfId="517" priority="23793">
      <formula>$B780="PRÉ-STACKING"</formula>
    </cfRule>
    <cfRule type="expression" dxfId="516" priority="23794">
      <formula>$B780="FINALIZADO"</formula>
    </cfRule>
    <cfRule type="expression" dxfId="515" priority="23795">
      <formula>$B780="ENTREGUE"</formula>
    </cfRule>
    <cfRule type="expression" dxfId="514" priority="23796">
      <formula>$B780="EM TRÂNSITO TERMINAL"</formula>
    </cfRule>
    <cfRule type="expression" dxfId="513" priority="23797">
      <formula>$B780="EM TRÂNSITO CLIENTE"</formula>
    </cfRule>
    <cfRule type="expression" dxfId="512" priority="23798">
      <formula>$B780="CANCELADO"</formula>
    </cfRule>
    <cfRule type="expression" dxfId="511" priority="23799">
      <formula>$B780="AGUARDANDO VEÍCULO"</formula>
    </cfRule>
  </conditionalFormatting>
  <conditionalFormatting sqref="P813:P814">
    <cfRule type="expression" dxfId="510" priority="23810">
      <formula>$B780="NO CLIENTE"</formula>
    </cfRule>
  </conditionalFormatting>
  <conditionalFormatting sqref="P813:P814">
    <cfRule type="expression" dxfId="509" priority="23820">
      <formula>$B779="SEM PROGRAMAÇÃO"</formula>
    </cfRule>
    <cfRule type="expression" dxfId="508" priority="23821">
      <formula>$B779="PROGRAMADO"</formula>
    </cfRule>
    <cfRule type="expression" dxfId="507" priority="23822">
      <formula>$B779="PRÉ-STACKING"</formula>
    </cfRule>
    <cfRule type="expression" dxfId="506" priority="23823">
      <formula>$B779="FINALIZADO"</formula>
    </cfRule>
    <cfRule type="expression" dxfId="505" priority="23824">
      <formula>$B779="ENTREGUE"</formula>
    </cfRule>
    <cfRule type="expression" dxfId="504" priority="23825">
      <formula>$B779="EM TRÂNSITO TERMINAL"</formula>
    </cfRule>
    <cfRule type="expression" dxfId="503" priority="23826">
      <formula>$B779="EM TRÂNSITO CLIENTE"</formula>
    </cfRule>
    <cfRule type="expression" dxfId="502" priority="23827">
      <formula>$B779="CANCELADO"</formula>
    </cfRule>
    <cfRule type="expression" dxfId="501" priority="23828">
      <formula>$B779="AGUARDANDO VEÍCULO"</formula>
    </cfRule>
  </conditionalFormatting>
  <conditionalFormatting sqref="P813:P814">
    <cfRule type="expression" dxfId="500" priority="23830">
      <formula>$B779="NO CLIENTE"</formula>
    </cfRule>
  </conditionalFormatting>
  <conditionalFormatting sqref="P813:P814">
    <cfRule type="expression" dxfId="499" priority="23840">
      <formula>$B768="SEM PROGRAMAÇÃO"</formula>
    </cfRule>
    <cfRule type="expression" dxfId="498" priority="23841">
      <formula>$B768="PROGRAMADO"</formula>
    </cfRule>
    <cfRule type="expression" dxfId="497" priority="23842">
      <formula>$B768="NO CLIENTE"</formula>
    </cfRule>
    <cfRule type="expression" dxfId="496" priority="23843">
      <formula>$B768="ENTREGUE"</formula>
    </cfRule>
    <cfRule type="expression" dxfId="495" priority="23844">
      <formula>$B768="FINALIZADO"</formula>
    </cfRule>
    <cfRule type="expression" dxfId="494" priority="23845">
      <formula>$B768="DOCUMENTO"</formula>
    </cfRule>
    <cfRule type="expression" dxfId="493" priority="23846">
      <formula>$B768="CANCELADO"</formula>
    </cfRule>
    <cfRule type="expression" dxfId="492" priority="23847">
      <formula>$B768="ATRASADO"</formula>
    </cfRule>
    <cfRule type="expression" dxfId="491" priority="23848">
      <formula>$B768="AGUARDANDO VEÍCULO"</formula>
    </cfRule>
  </conditionalFormatting>
  <conditionalFormatting sqref="P813:P814">
    <cfRule type="expression" dxfId="490" priority="23858">
      <formula>$B781="SEM PROGRAMAÇÃO"</formula>
    </cfRule>
    <cfRule type="expression" dxfId="489" priority="23859">
      <formula>$B781="PROGRAMADO"</formula>
    </cfRule>
    <cfRule type="expression" dxfId="488" priority="23860">
      <formula>$B781="NO CLIENTE"</formula>
    </cfRule>
    <cfRule type="expression" dxfId="487" priority="23861">
      <formula>$B781="ENTREGUE"</formula>
    </cfRule>
    <cfRule type="expression" dxfId="486" priority="23862">
      <formula>$B781="FINALIZADO"</formula>
    </cfRule>
    <cfRule type="expression" dxfId="485" priority="23863">
      <formula>$B781="DOCUMENTO"</formula>
    </cfRule>
    <cfRule type="expression" dxfId="484" priority="23864">
      <formula>$B781="CANCELADO"</formula>
    </cfRule>
    <cfRule type="expression" dxfId="483" priority="23865">
      <formula>$B781="ATRASADO"</formula>
    </cfRule>
    <cfRule type="expression" dxfId="482" priority="23866">
      <formula>$B781="AGUARDANDO VEÍCULO"</formula>
    </cfRule>
  </conditionalFormatting>
  <conditionalFormatting sqref="P813:P814">
    <cfRule type="expression" dxfId="481" priority="23912">
      <formula>$B784="SEM PROGRAMAÇÃO"</formula>
    </cfRule>
    <cfRule type="expression" dxfId="480" priority="23913">
      <formula>$B784="PROGRAMADO"</formula>
    </cfRule>
    <cfRule type="expression" dxfId="479" priority="23914">
      <formula>$B784="NO CLIENTE"</formula>
    </cfRule>
    <cfRule type="expression" dxfId="478" priority="23915">
      <formula>$B784="ENTREGUE"</formula>
    </cfRule>
    <cfRule type="expression" dxfId="477" priority="23916">
      <formula>$B784="FINALIZADO"</formula>
    </cfRule>
    <cfRule type="expression" dxfId="476" priority="23917">
      <formula>$B784="DOCUMENTO"</formula>
    </cfRule>
    <cfRule type="expression" dxfId="475" priority="23918">
      <formula>$B784="CANCELADO"</formula>
    </cfRule>
    <cfRule type="expression" dxfId="474" priority="23919">
      <formula>$B784="ATRASADO"</formula>
    </cfRule>
    <cfRule type="expression" dxfId="473" priority="23920">
      <formula>$B784="AGUARDANDO VEÍCULO"</formula>
    </cfRule>
  </conditionalFormatting>
  <conditionalFormatting sqref="P796 P832:P833">
    <cfRule type="expression" dxfId="472" priority="23930">
      <formula>$B814="SEM PROGRAMAÇÃO"</formula>
    </cfRule>
    <cfRule type="expression" dxfId="471" priority="23931">
      <formula>$B814="PROGRAMADO"</formula>
    </cfRule>
    <cfRule type="expression" dxfId="470" priority="23932">
      <formula>$B814="NO CLIENTE"</formula>
    </cfRule>
    <cfRule type="expression" dxfId="469" priority="23933">
      <formula>$B814="ENTREGUE"</formula>
    </cfRule>
    <cfRule type="expression" dxfId="468" priority="23934">
      <formula>$B814="FINALIZADO"</formula>
    </cfRule>
    <cfRule type="expression" dxfId="467" priority="23935">
      <formula>$B814="DOCUMENTO"</formula>
    </cfRule>
    <cfRule type="expression" dxfId="466" priority="23936">
      <formula>$B814="CANCELADO"</formula>
    </cfRule>
    <cfRule type="expression" dxfId="465" priority="23937">
      <formula>$B814="ATRASADO"</formula>
    </cfRule>
    <cfRule type="expression" dxfId="464" priority="23938">
      <formula>$B814="AGUARDANDO VEÍCULO"</formula>
    </cfRule>
  </conditionalFormatting>
  <conditionalFormatting sqref="P813:P814">
    <cfRule type="expression" dxfId="463" priority="23948">
      <formula>$B775="SEM PROGRAMAÇÃO"</formula>
    </cfRule>
    <cfRule type="expression" dxfId="462" priority="23949">
      <formula>$B775="PROGRAMADO"</formula>
    </cfRule>
    <cfRule type="expression" dxfId="461" priority="23950">
      <formula>$B775="NO CLIENTE"</formula>
    </cfRule>
    <cfRule type="expression" dxfId="460" priority="23951">
      <formula>$B775="ENTREGUE"</formula>
    </cfRule>
    <cfRule type="expression" dxfId="459" priority="23952">
      <formula>$B775="FINALIZADO"</formula>
    </cfRule>
    <cfRule type="expression" dxfId="458" priority="23953">
      <formula>$B775="DOCUMENTO"</formula>
    </cfRule>
    <cfRule type="expression" dxfId="457" priority="23954">
      <formula>$B775="CANCELADO"</formula>
    </cfRule>
    <cfRule type="expression" dxfId="456" priority="23955">
      <formula>$B775="ATRASADO"</formula>
    </cfRule>
    <cfRule type="expression" dxfId="455" priority="23956">
      <formula>$B775="AGUARDANDO VEÍCULO"</formula>
    </cfRule>
  </conditionalFormatting>
  <conditionalFormatting sqref="P789:P790">
    <cfRule type="expression" dxfId="454" priority="24004">
      <formula>$B813="SEM PROGRAMAÇÃO"</formula>
    </cfRule>
    <cfRule type="expression" dxfId="453" priority="24005">
      <formula>$B813="PROGRAMADO"</formula>
    </cfRule>
    <cfRule type="expression" dxfId="452" priority="24006">
      <formula>$B813="NO CLIENTE"</formula>
    </cfRule>
    <cfRule type="expression" dxfId="451" priority="24007">
      <formula>$B813="ENTREGUE"</formula>
    </cfRule>
    <cfRule type="expression" dxfId="450" priority="24008">
      <formula>$B813="FINALIZADO"</formula>
    </cfRule>
    <cfRule type="expression" dxfId="449" priority="24009">
      <formula>$B813="DOCUMENTO"</formula>
    </cfRule>
    <cfRule type="expression" dxfId="448" priority="24010">
      <formula>$B813="CANCELADO"</formula>
    </cfRule>
    <cfRule type="expression" dxfId="447" priority="24011">
      <formula>$B813="ATRASADO"</formula>
    </cfRule>
    <cfRule type="expression" dxfId="446" priority="24012">
      <formula>$B813="AGUARDANDO VEÍCULO"</formula>
    </cfRule>
  </conditionalFormatting>
  <conditionalFormatting sqref="P788:P789">
    <cfRule type="expression" dxfId="445" priority="24022">
      <formula>$B813="SEM PROGRAMAÇÃO"</formula>
    </cfRule>
    <cfRule type="expression" dxfId="444" priority="24023">
      <formula>$B813="PROGRAMADO"</formula>
    </cfRule>
    <cfRule type="expression" dxfId="443" priority="24024">
      <formula>$B813="NO CLIENTE"</formula>
    </cfRule>
    <cfRule type="expression" dxfId="442" priority="24025">
      <formula>$B813="ENTREGUE"</formula>
    </cfRule>
    <cfRule type="expression" dxfId="441" priority="24026">
      <formula>$B813="FINALIZADO"</formula>
    </cfRule>
    <cfRule type="expression" dxfId="440" priority="24027">
      <formula>$B813="DOCUMENTO"</formula>
    </cfRule>
    <cfRule type="expression" dxfId="439" priority="24028">
      <formula>$B813="CANCELADO"</formula>
    </cfRule>
    <cfRule type="expression" dxfId="438" priority="24029">
      <formula>$B813="ATRASADO"</formula>
    </cfRule>
    <cfRule type="expression" dxfId="437" priority="24030">
      <formula>$B813="AGUARDANDO VEÍCULO"</formula>
    </cfRule>
  </conditionalFormatting>
  <conditionalFormatting sqref="P787:P788">
    <cfRule type="expression" dxfId="436" priority="24050">
      <formula>$B813="SEM PROGRAMAÇÃO"</formula>
    </cfRule>
    <cfRule type="expression" dxfId="435" priority="24051">
      <formula>$B813="PROGRAMADO"</formula>
    </cfRule>
    <cfRule type="expression" dxfId="434" priority="24052">
      <formula>$B813="NO CLIENTE"</formula>
    </cfRule>
    <cfRule type="expression" dxfId="433" priority="24053">
      <formula>$B813="ENTREGUE"</formula>
    </cfRule>
    <cfRule type="expression" dxfId="432" priority="24054">
      <formula>$B813="FINALIZADO"</formula>
    </cfRule>
    <cfRule type="expression" dxfId="431" priority="24055">
      <formula>$B813="DOCUMENTO"</formula>
    </cfRule>
    <cfRule type="expression" dxfId="430" priority="24056">
      <formula>$B813="CANCELADO"</formula>
    </cfRule>
    <cfRule type="expression" dxfId="429" priority="24057">
      <formula>$B813="ATRASADO"</formula>
    </cfRule>
    <cfRule type="expression" dxfId="428" priority="24058">
      <formula>$B813="AGUARDANDO VEÍCULO"</formula>
    </cfRule>
  </conditionalFormatting>
  <conditionalFormatting sqref="P799 P792 P833">
    <cfRule type="expression" dxfId="427" priority="24068">
      <formula>$B807="SEM PROGRAMAÇÃO"</formula>
    </cfRule>
    <cfRule type="expression" dxfId="426" priority="24069">
      <formula>$B807="PROGRAMADO"</formula>
    </cfRule>
    <cfRule type="expression" dxfId="425" priority="24070">
      <formula>$B807="NO CLIENTE"</formula>
    </cfRule>
    <cfRule type="expression" dxfId="424" priority="24071">
      <formula>$B807="ENTREGUE"</formula>
    </cfRule>
    <cfRule type="expression" dxfId="423" priority="24072">
      <formula>$B807="FINALIZADO"</formula>
    </cfRule>
    <cfRule type="expression" dxfId="422" priority="24073">
      <formula>$B807="DOCUMENTO"</formula>
    </cfRule>
    <cfRule type="expression" dxfId="421" priority="24074">
      <formula>$B807="CANCELADO"</formula>
    </cfRule>
    <cfRule type="expression" dxfId="420" priority="24075">
      <formula>$B807="ATRASADO"</formula>
    </cfRule>
    <cfRule type="expression" dxfId="419" priority="24076">
      <formula>$B807="AGUARDANDO VEÍCULO"</formula>
    </cfRule>
  </conditionalFormatting>
  <conditionalFormatting sqref="P813:P814 P801:P805 P848:P850 P894">
    <cfRule type="expression" dxfId="418" priority="24254">
      <formula>$B771="SEM PROGRAMAÇÃO"</formula>
    </cfRule>
    <cfRule type="expression" dxfId="417" priority="24255">
      <formula>$B771="PROGRAMADO"</formula>
    </cfRule>
    <cfRule type="expression" dxfId="416" priority="24256">
      <formula>$B771="NO CLIENTE"</formula>
    </cfRule>
    <cfRule type="expression" dxfId="415" priority="24257">
      <formula>$B771="ENTREGUE"</formula>
    </cfRule>
    <cfRule type="expression" dxfId="414" priority="24258">
      <formula>$B771="FINALIZADO"</formula>
    </cfRule>
    <cfRule type="expression" dxfId="413" priority="24259">
      <formula>$B771="DOCUMENTO"</formula>
    </cfRule>
    <cfRule type="expression" dxfId="412" priority="24260">
      <formula>$B771="CANCELADO"</formula>
    </cfRule>
    <cfRule type="expression" dxfId="411" priority="24261">
      <formula>$B771="ATRASADO"</formula>
    </cfRule>
    <cfRule type="expression" dxfId="410" priority="24262">
      <formula>$B771="AGUARDANDO VEÍCULO"</formula>
    </cfRule>
  </conditionalFormatting>
  <conditionalFormatting sqref="P797 P793:P794">
    <cfRule type="expression" dxfId="409" priority="24272">
      <formula>$B803="SEM PROGRAMAÇÃO"</formula>
    </cfRule>
    <cfRule type="expression" dxfId="408" priority="24273">
      <formula>$B803="PROGRAMADO"</formula>
    </cfRule>
    <cfRule type="expression" dxfId="407" priority="24274">
      <formula>$B803="PRÉ-STACKING"</formula>
    </cfRule>
    <cfRule type="expression" dxfId="406" priority="24275">
      <formula>$B803="FINALIZADO"</formula>
    </cfRule>
    <cfRule type="expression" dxfId="405" priority="24276">
      <formula>$B803="ENTREGUE"</formula>
    </cfRule>
    <cfRule type="expression" dxfId="404" priority="24277">
      <formula>$B803="EM TRÂNSITO TERMINAL"</formula>
    </cfRule>
    <cfRule type="expression" dxfId="403" priority="24278">
      <formula>$B803="EM TRÂNSITO CLIENTE"</formula>
    </cfRule>
    <cfRule type="expression" dxfId="402" priority="24279">
      <formula>$B803="CANCELADO"</formula>
    </cfRule>
    <cfRule type="expression" dxfId="401" priority="24280">
      <formula>$B803="AGUARDANDO VEÍCULO"</formula>
    </cfRule>
  </conditionalFormatting>
  <conditionalFormatting sqref="P797 P793:P794">
    <cfRule type="expression" dxfId="400" priority="24299">
      <formula>$B803="NO CLIENTE"</formula>
    </cfRule>
  </conditionalFormatting>
  <conditionalFormatting sqref="P813 P801:P805 P852:P861 P843:P844">
    <cfRule type="expression" dxfId="399" priority="24322">
      <formula>$B782="SEM PROGRAMAÇÃO"</formula>
    </cfRule>
    <cfRule type="expression" dxfId="398" priority="24323">
      <formula>$B782="PROGRAMADO"</formula>
    </cfRule>
    <cfRule type="expression" dxfId="397" priority="24324">
      <formula>$B782="PRÉ-STACKING"</formula>
    </cfRule>
    <cfRule type="expression" dxfId="396" priority="24325">
      <formula>$B782="FINALIZADO"</formula>
    </cfRule>
    <cfRule type="expression" dxfId="395" priority="24326">
      <formula>$B782="ENTREGUE"</formula>
    </cfRule>
    <cfRule type="expression" dxfId="394" priority="24327">
      <formula>$B782="EM TRÂNSITO TERMINAL"</formula>
    </cfRule>
    <cfRule type="expression" dxfId="393" priority="24328">
      <formula>$B782="EM TRÂNSITO CLIENTE"</formula>
    </cfRule>
    <cfRule type="expression" dxfId="392" priority="24329">
      <formula>$B782="CANCELADO"</formula>
    </cfRule>
    <cfRule type="expression" dxfId="391" priority="24330">
      <formula>$B782="AGUARDANDO VEÍCULO"</formula>
    </cfRule>
  </conditionalFormatting>
  <conditionalFormatting sqref="P813 P801:P805 P852:P861 P843:P844">
    <cfRule type="expression" dxfId="390" priority="24340">
      <formula>$B782="NO CLIENTE"</formula>
    </cfRule>
  </conditionalFormatting>
  <conditionalFormatting sqref="P801:P805 P813:P814 P894">
    <cfRule type="expression" dxfId="389" priority="24351">
      <formula>$B781="SEM PROGRAMAÇÃO"</formula>
    </cfRule>
    <cfRule type="expression" dxfId="388" priority="24352">
      <formula>$B781="PROGRAMADO"</formula>
    </cfRule>
    <cfRule type="expression" dxfId="387" priority="24353">
      <formula>$B781="PRÉ-STACKING"</formula>
    </cfRule>
    <cfRule type="expression" dxfId="386" priority="24354">
      <formula>$B781="FINALIZADO"</formula>
    </cfRule>
    <cfRule type="expression" dxfId="385" priority="24355">
      <formula>$B781="ENTREGUE"</formula>
    </cfRule>
    <cfRule type="expression" dxfId="384" priority="24356">
      <formula>$B781="EM TRÂNSITO TERMINAL"</formula>
    </cfRule>
    <cfRule type="expression" dxfId="383" priority="24357">
      <formula>$B781="EM TRÂNSITO CLIENTE"</formula>
    </cfRule>
    <cfRule type="expression" dxfId="382" priority="24358">
      <formula>$B781="CANCELADO"</formula>
    </cfRule>
    <cfRule type="expression" dxfId="381" priority="24359">
      <formula>$B781="AGUARDANDO VEÍCULO"</formula>
    </cfRule>
  </conditionalFormatting>
  <conditionalFormatting sqref="P801:P805 P813:P814 P894">
    <cfRule type="expression" dxfId="380" priority="24369">
      <formula>$B781="NO CLIENTE"</formula>
    </cfRule>
  </conditionalFormatting>
  <conditionalFormatting sqref="P801:P805 P813:P814 P846:P850">
    <cfRule type="expression" dxfId="379" priority="24390">
      <formula>$B770="SEM PROGRAMAÇÃO"</formula>
    </cfRule>
    <cfRule type="expression" dxfId="378" priority="24391">
      <formula>$B770="PROGRAMADO"</formula>
    </cfRule>
    <cfRule type="expression" dxfId="377" priority="24392">
      <formula>$B770="NO CLIENTE"</formula>
    </cfRule>
    <cfRule type="expression" dxfId="376" priority="24393">
      <formula>$B770="ENTREGUE"</formula>
    </cfRule>
    <cfRule type="expression" dxfId="375" priority="24394">
      <formula>$B770="FINALIZADO"</formula>
    </cfRule>
    <cfRule type="expression" dxfId="374" priority="24395">
      <formula>$B770="DOCUMENTO"</formula>
    </cfRule>
    <cfRule type="expression" dxfId="373" priority="24396">
      <formula>$B770="CANCELADO"</formula>
    </cfRule>
    <cfRule type="expression" dxfId="372" priority="24397">
      <formula>$B770="ATRASADO"</formula>
    </cfRule>
    <cfRule type="expression" dxfId="371" priority="24398">
      <formula>$B770="AGUARDANDO VEÍCULO"</formula>
    </cfRule>
  </conditionalFormatting>
  <conditionalFormatting sqref="P822 P845 P848 P870 P878">
    <cfRule type="expression" dxfId="370" priority="24480">
      <formula>$B823="SEM PROGRAMAÇÃO"</formula>
    </cfRule>
    <cfRule type="expression" dxfId="369" priority="24481">
      <formula>$B823="PROGRAMADO"</formula>
    </cfRule>
    <cfRule type="expression" dxfId="368" priority="24482">
      <formula>$B823="NO CLIENTE"</formula>
    </cfRule>
    <cfRule type="expression" dxfId="367" priority="24483">
      <formula>$B823="ENTREGUE"</formula>
    </cfRule>
    <cfRule type="expression" dxfId="366" priority="24484">
      <formula>$B823="FINALIZADO"</formula>
    </cfRule>
    <cfRule type="expression" dxfId="365" priority="24485">
      <formula>$B823="DOCUMENTO"</formula>
    </cfRule>
    <cfRule type="expression" dxfId="364" priority="24486">
      <formula>$B823="CANCELADO"</formula>
    </cfRule>
    <cfRule type="expression" dxfId="363" priority="24487">
      <formula>$B823="ATRASADO"</formula>
    </cfRule>
    <cfRule type="expression" dxfId="362" priority="24488">
      <formula>$B823="AGUARDANDO VEÍCULO"</formula>
    </cfRule>
  </conditionalFormatting>
  <conditionalFormatting sqref="P850">
    <cfRule type="expression" dxfId="361" priority="24565">
      <formula>$B820="SEM PROGRAMAÇÃO"</formula>
    </cfRule>
    <cfRule type="expression" dxfId="360" priority="24566">
      <formula>$B820="PROGRAMADO"</formula>
    </cfRule>
    <cfRule type="expression" dxfId="359" priority="24567">
      <formula>$B820="PRÉ-STACKING"</formula>
    </cfRule>
    <cfRule type="expression" dxfId="358" priority="24568">
      <formula>$B820="FINALIZADO"</formula>
    </cfRule>
    <cfRule type="expression" dxfId="357" priority="24569">
      <formula>$B820="ENTREGUE"</formula>
    </cfRule>
    <cfRule type="expression" dxfId="356" priority="24570">
      <formula>$B820="EM TRÂNSITO TERMINAL"</formula>
    </cfRule>
    <cfRule type="expression" dxfId="355" priority="24571">
      <formula>$B820="EM TRÂNSITO CLIENTE"</formula>
    </cfRule>
    <cfRule type="expression" dxfId="354" priority="24572">
      <formula>$B820="CANCELADO"</formula>
    </cfRule>
    <cfRule type="expression" dxfId="353" priority="24573">
      <formula>$B820="AGUARDANDO VEÍCULO"</formula>
    </cfRule>
  </conditionalFormatting>
  <conditionalFormatting sqref="P850">
    <cfRule type="expression" dxfId="352" priority="24574">
      <formula>$B820="NO CLIENTE"</formula>
    </cfRule>
  </conditionalFormatting>
  <conditionalFormatting sqref="P824:P826">
    <cfRule type="expression" dxfId="351" priority="25091">
      <formula>$B808="SEM PROGRAMAÇÃO"</formula>
    </cfRule>
    <cfRule type="expression" dxfId="350" priority="25092">
      <formula>$B808="PROGRAMADO"</formula>
    </cfRule>
    <cfRule type="expression" dxfId="349" priority="25093">
      <formula>$B808="PRÉ-STACKING"</formula>
    </cfRule>
    <cfRule type="expression" dxfId="348" priority="25094">
      <formula>$B808="FINALIZADO"</formula>
    </cfRule>
    <cfRule type="expression" dxfId="347" priority="25095">
      <formula>$B808="ENTREGUE"</formula>
    </cfRule>
    <cfRule type="expression" dxfId="346" priority="25096">
      <formula>$B808="EM TRÂNSITO TERMINAL"</formula>
    </cfRule>
    <cfRule type="expression" dxfId="345" priority="25097">
      <formula>$B808="EM TRÂNSITO CLIENTE"</formula>
    </cfRule>
    <cfRule type="expression" dxfId="344" priority="25098">
      <formula>$B808="CANCELADO"</formula>
    </cfRule>
    <cfRule type="expression" dxfId="343" priority="25099">
      <formula>$B808="AGUARDANDO VEÍCULO"</formula>
    </cfRule>
  </conditionalFormatting>
  <conditionalFormatting sqref="P824:P826">
    <cfRule type="expression" dxfId="342" priority="25110">
      <formula>$B808="NO CLIENTE"</formula>
    </cfRule>
  </conditionalFormatting>
  <conditionalFormatting sqref="P845:P848">
    <cfRule type="expression" dxfId="341" priority="25482">
      <formula>$B822="SEM PROGRAMAÇÃO"</formula>
    </cfRule>
    <cfRule type="expression" dxfId="340" priority="25483">
      <formula>$B822="PROGRAMADO"</formula>
    </cfRule>
    <cfRule type="expression" dxfId="339" priority="25484">
      <formula>$B822="PRÉ-STACKING"</formula>
    </cfRule>
    <cfRule type="expression" dxfId="338" priority="25485">
      <formula>$B822="FINALIZADO"</formula>
    </cfRule>
    <cfRule type="expression" dxfId="337" priority="25486">
      <formula>$B822="ENTREGUE"</formula>
    </cfRule>
    <cfRule type="expression" dxfId="336" priority="25487">
      <formula>$B822="EM TRÂNSITO TERMINAL"</formula>
    </cfRule>
    <cfRule type="expression" dxfId="335" priority="25488">
      <formula>$B822="EM TRÂNSITO CLIENTE"</formula>
    </cfRule>
    <cfRule type="expression" dxfId="334" priority="25489">
      <formula>$B822="CANCELADO"</formula>
    </cfRule>
    <cfRule type="expression" dxfId="333" priority="25490">
      <formula>$B822="AGUARDANDO VEÍCULO"</formula>
    </cfRule>
  </conditionalFormatting>
  <conditionalFormatting sqref="P845:P848">
    <cfRule type="expression" dxfId="332" priority="25491">
      <formula>$B822="NO CLIENTE"</formula>
    </cfRule>
  </conditionalFormatting>
  <conditionalFormatting sqref="P829">
    <cfRule type="expression" dxfId="331" priority="25564">
      <formula>$B849="SEM PROGRAMAÇÃO"</formula>
    </cfRule>
    <cfRule type="expression" dxfId="330" priority="25565">
      <formula>$B849="PROGRAMADO"</formula>
    </cfRule>
    <cfRule type="expression" dxfId="329" priority="25566">
      <formula>$B849="NO CLIENTE"</formula>
    </cfRule>
    <cfRule type="expression" dxfId="328" priority="25567">
      <formula>$B849="ENTREGUE"</formula>
    </cfRule>
    <cfRule type="expression" dxfId="327" priority="25568">
      <formula>$B849="FINALIZADO"</formula>
    </cfRule>
    <cfRule type="expression" dxfId="326" priority="25569">
      <formula>$B849="DOCUMENTO"</formula>
    </cfRule>
    <cfRule type="expression" dxfId="325" priority="25570">
      <formula>$B849="CANCELADO"</formula>
    </cfRule>
    <cfRule type="expression" dxfId="324" priority="25571">
      <formula>$B849="ATRASADO"</formula>
    </cfRule>
    <cfRule type="expression" dxfId="323" priority="25572">
      <formula>$B849="AGUARDANDO VEÍCULO"</formula>
    </cfRule>
  </conditionalFormatting>
  <conditionalFormatting sqref="P827">
    <cfRule type="expression" dxfId="322" priority="25672">
      <formula>$B851="SEM PROGRAMAÇÃO"</formula>
    </cfRule>
    <cfRule type="expression" dxfId="321" priority="25673">
      <formula>$B851="PROGRAMADO"</formula>
    </cfRule>
    <cfRule type="expression" dxfId="320" priority="25674">
      <formula>$B851="PRÉ-STACKING"</formula>
    </cfRule>
    <cfRule type="expression" dxfId="319" priority="25675">
      <formula>$B851="FINALIZADO"</formula>
    </cfRule>
    <cfRule type="expression" dxfId="318" priority="25676">
      <formula>$B851="ENTREGUE"</formula>
    </cfRule>
    <cfRule type="expression" dxfId="317" priority="25677">
      <formula>$B851="EM TRÂNSITO TERMINAL"</formula>
    </cfRule>
    <cfRule type="expression" dxfId="316" priority="25678">
      <formula>$B851="EM TRÂNSITO CLIENTE"</formula>
    </cfRule>
    <cfRule type="expression" dxfId="315" priority="25679">
      <formula>$B851="CANCELADO"</formula>
    </cfRule>
    <cfRule type="expression" dxfId="314" priority="25680">
      <formula>$B851="AGUARDANDO VEÍCULO"</formula>
    </cfRule>
  </conditionalFormatting>
  <conditionalFormatting sqref="P827">
    <cfRule type="expression" dxfId="313" priority="25711">
      <formula>$B851="NO CLIENTE"</formula>
    </cfRule>
  </conditionalFormatting>
  <conditionalFormatting sqref="P827:P828">
    <cfRule type="expression" dxfId="312" priority="25776">
      <formula>$B848="SEM PROGRAMAÇÃO"</formula>
    </cfRule>
    <cfRule type="expression" dxfId="311" priority="25777">
      <formula>$B848="PROGRAMADO"</formula>
    </cfRule>
    <cfRule type="expression" dxfId="310" priority="25778">
      <formula>$B848="NO CLIENTE"</formula>
    </cfRule>
    <cfRule type="expression" dxfId="309" priority="25779">
      <formula>$B848="ENTREGUE"</formula>
    </cfRule>
    <cfRule type="expression" dxfId="308" priority="25780">
      <formula>$B848="FINALIZADO"</formula>
    </cfRule>
    <cfRule type="expression" dxfId="307" priority="25781">
      <formula>$B848="DOCUMENTO"</formula>
    </cfRule>
    <cfRule type="expression" dxfId="306" priority="25782">
      <formula>$B848="CANCELADO"</formula>
    </cfRule>
    <cfRule type="expression" dxfId="305" priority="25783">
      <formula>$B848="ATRASADO"</formula>
    </cfRule>
    <cfRule type="expression" dxfId="304" priority="25784">
      <formula>$B848="AGUARDANDO VEÍCULO"</formula>
    </cfRule>
  </conditionalFormatting>
  <conditionalFormatting sqref="P847:P851">
    <cfRule type="expression" dxfId="303" priority="25859">
      <formula>$B821="SEM PROGRAMAÇÃO"</formula>
    </cfRule>
    <cfRule type="expression" dxfId="302" priority="25860">
      <formula>$B821="PROGRAMADO"</formula>
    </cfRule>
    <cfRule type="expression" dxfId="301" priority="25861">
      <formula>$B821="PRÉ-STACKING"</formula>
    </cfRule>
    <cfRule type="expression" dxfId="300" priority="25862">
      <formula>$B821="FINALIZADO"</formula>
    </cfRule>
    <cfRule type="expression" dxfId="299" priority="25863">
      <formula>$B821="ENTREGUE"</formula>
    </cfRule>
    <cfRule type="expression" dxfId="298" priority="25864">
      <formula>$B821="EM TRÂNSITO TERMINAL"</formula>
    </cfRule>
    <cfRule type="expression" dxfId="297" priority="25865">
      <formula>$B821="EM TRÂNSITO CLIENTE"</formula>
    </cfRule>
    <cfRule type="expression" dxfId="296" priority="25866">
      <formula>$B821="CANCELADO"</formula>
    </cfRule>
    <cfRule type="expression" dxfId="295" priority="25867">
      <formula>$B821="AGUARDANDO VEÍCULO"</formula>
    </cfRule>
  </conditionalFormatting>
  <conditionalFormatting sqref="P847:P851">
    <cfRule type="expression" dxfId="294" priority="25896">
      <formula>$B821="NO CLIENTE"</formula>
    </cfRule>
  </conditionalFormatting>
  <conditionalFormatting sqref="P828">
    <cfRule type="expression" dxfId="293" priority="25962">
      <formula>$B851="SEM PROGRAMAÇÃO"</formula>
    </cfRule>
    <cfRule type="expression" dxfId="292" priority="25963">
      <formula>$B851="PROGRAMADO"</formula>
    </cfRule>
    <cfRule type="expression" dxfId="291" priority="25964">
      <formula>$B851="NO CLIENTE"</formula>
    </cfRule>
    <cfRule type="expression" dxfId="290" priority="25965">
      <formula>$B851="ENTREGUE"</formula>
    </cfRule>
    <cfRule type="expression" dxfId="289" priority="25966">
      <formula>$B851="FINALIZADO"</formula>
    </cfRule>
    <cfRule type="expression" dxfId="288" priority="25967">
      <formula>$B851="DOCUMENTO"</formula>
    </cfRule>
    <cfRule type="expression" dxfId="287" priority="25968">
      <formula>$B851="CANCELADO"</formula>
    </cfRule>
    <cfRule type="expression" dxfId="286" priority="25969">
      <formula>$B851="ATRASADO"</formula>
    </cfRule>
    <cfRule type="expression" dxfId="285" priority="25970">
      <formula>$B851="AGUARDANDO VEÍCULO"</formula>
    </cfRule>
  </conditionalFormatting>
  <conditionalFormatting sqref="P845:P848">
    <cfRule type="expression" dxfId="284" priority="25980">
      <formula>$B819="SEM PROGRAMAÇÃO"</formula>
    </cfRule>
    <cfRule type="expression" dxfId="283" priority="25981">
      <formula>$B819="PROGRAMADO"</formula>
    </cfRule>
    <cfRule type="expression" dxfId="282" priority="25982">
      <formula>$B819="NO CLIENTE"</formula>
    </cfRule>
    <cfRule type="expression" dxfId="281" priority="25983">
      <formula>$B819="ENTREGUE"</formula>
    </cfRule>
    <cfRule type="expression" dxfId="280" priority="25984">
      <formula>$B819="FINALIZADO"</formula>
    </cfRule>
    <cfRule type="expression" dxfId="279" priority="25985">
      <formula>$B819="DOCUMENTO"</formula>
    </cfRule>
    <cfRule type="expression" dxfId="278" priority="25986">
      <formula>$B819="CANCELADO"</formula>
    </cfRule>
    <cfRule type="expression" dxfId="277" priority="25987">
      <formula>$B819="ATRASADO"</formula>
    </cfRule>
    <cfRule type="expression" dxfId="276" priority="25988">
      <formula>$B819="AGUARDANDO VEÍCULO"</formula>
    </cfRule>
  </conditionalFormatting>
  <conditionalFormatting sqref="P828">
    <cfRule type="expression" dxfId="275" priority="25989">
      <formula>$B850="SEM PROGRAMAÇÃO"</formula>
    </cfRule>
    <cfRule type="expression" dxfId="274" priority="25990">
      <formula>$B850="PROGRAMADO"</formula>
    </cfRule>
    <cfRule type="expression" dxfId="273" priority="25991">
      <formula>$B850="PRÉ-STACKING"</formula>
    </cfRule>
    <cfRule type="expression" dxfId="272" priority="25992">
      <formula>$B850="FINALIZADO"</formula>
    </cfRule>
    <cfRule type="expression" dxfId="271" priority="25993">
      <formula>$B850="ENTREGUE"</formula>
    </cfRule>
    <cfRule type="expression" dxfId="270" priority="25994">
      <formula>$B850="EM TRÂNSITO TERMINAL"</formula>
    </cfRule>
    <cfRule type="expression" dxfId="269" priority="25995">
      <formula>$B850="EM TRÂNSITO CLIENTE"</formula>
    </cfRule>
    <cfRule type="expression" dxfId="268" priority="25996">
      <formula>$B850="CANCELADO"</formula>
    </cfRule>
    <cfRule type="expression" dxfId="267" priority="25997">
      <formula>$B850="AGUARDANDO VEÍCULO"</formula>
    </cfRule>
  </conditionalFormatting>
  <conditionalFormatting sqref="P828">
    <cfRule type="expression" dxfId="266" priority="26025">
      <formula>$B850="NO CLIENTE"</formula>
    </cfRule>
  </conditionalFormatting>
  <conditionalFormatting sqref="P851">
    <cfRule type="expression" dxfId="265" priority="26038">
      <formula>$B823="SEM PROGRAMAÇÃO"</formula>
    </cfRule>
    <cfRule type="expression" dxfId="264" priority="26039">
      <formula>$B823="PROGRAMADO"</formula>
    </cfRule>
    <cfRule type="expression" dxfId="263" priority="26040">
      <formula>$B823="NO CLIENTE"</formula>
    </cfRule>
    <cfRule type="expression" dxfId="262" priority="26041">
      <formula>$B823="ENTREGUE"</formula>
    </cfRule>
    <cfRule type="expression" dxfId="261" priority="26042">
      <formula>$B823="FINALIZADO"</formula>
    </cfRule>
    <cfRule type="expression" dxfId="260" priority="26043">
      <formula>$B823="DOCUMENTO"</formula>
    </cfRule>
    <cfRule type="expression" dxfId="259" priority="26044">
      <formula>$B823="CANCELADO"</formula>
    </cfRule>
    <cfRule type="expression" dxfId="258" priority="26045">
      <formula>$B823="ATRASADO"</formula>
    </cfRule>
    <cfRule type="expression" dxfId="257" priority="26046">
      <formula>$B823="AGUARDANDO VEÍCULO"</formula>
    </cfRule>
  </conditionalFormatting>
  <conditionalFormatting sqref="P850">
    <cfRule type="expression" dxfId="256" priority="26074">
      <formula>$B818="SEM PROGRAMAÇÃO"</formula>
    </cfRule>
    <cfRule type="expression" dxfId="255" priority="26075">
      <formula>$B818="PROGRAMADO"</formula>
    </cfRule>
    <cfRule type="expression" dxfId="254" priority="26076">
      <formula>$B818="NO CLIENTE"</formula>
    </cfRule>
    <cfRule type="expression" dxfId="253" priority="26077">
      <formula>$B818="ENTREGUE"</formula>
    </cfRule>
    <cfRule type="expression" dxfId="252" priority="26078">
      <formula>$B818="FINALIZADO"</formula>
    </cfRule>
    <cfRule type="expression" dxfId="251" priority="26079">
      <formula>$B818="DOCUMENTO"</formula>
    </cfRule>
    <cfRule type="expression" dxfId="250" priority="26080">
      <formula>$B818="CANCELADO"</formula>
    </cfRule>
    <cfRule type="expression" dxfId="249" priority="26081">
      <formula>$B818="ATRASADO"</formula>
    </cfRule>
    <cfRule type="expression" dxfId="248" priority="26082">
      <formula>$B818="AGUARDANDO VEÍCULO"</formula>
    </cfRule>
  </conditionalFormatting>
  <conditionalFormatting sqref="P850">
    <cfRule type="expression" dxfId="247" priority="26111">
      <formula>$B822="SEM PROGRAMAÇÃO"</formula>
    </cfRule>
    <cfRule type="expression" dxfId="246" priority="26112">
      <formula>$B822="PROGRAMADO"</formula>
    </cfRule>
    <cfRule type="expression" dxfId="245" priority="26113">
      <formula>$B822="PRÉ-STACKING"</formula>
    </cfRule>
    <cfRule type="expression" dxfId="244" priority="26114">
      <formula>$B822="FINALIZADO"</formula>
    </cfRule>
    <cfRule type="expression" dxfId="243" priority="26115">
      <formula>$B822="ENTREGUE"</formula>
    </cfRule>
    <cfRule type="expression" dxfId="242" priority="26116">
      <formula>$B822="EM TRÂNSITO TERMINAL"</formula>
    </cfRule>
    <cfRule type="expression" dxfId="241" priority="26117">
      <formula>$B822="EM TRÂNSITO CLIENTE"</formula>
    </cfRule>
    <cfRule type="expression" dxfId="240" priority="26118">
      <formula>$B822="CANCELADO"</formula>
    </cfRule>
    <cfRule type="expression" dxfId="239" priority="26119">
      <formula>$B822="AGUARDANDO VEÍCULO"</formula>
    </cfRule>
  </conditionalFormatting>
  <conditionalFormatting sqref="P850">
    <cfRule type="expression" dxfId="238" priority="26121">
      <formula>$B822="NO CLIENTE"</formula>
    </cfRule>
  </conditionalFormatting>
  <conditionalFormatting sqref="P850">
    <cfRule type="expression" dxfId="237" priority="26155">
      <formula>$B809="SEM PROGRAMAÇÃO"</formula>
    </cfRule>
    <cfRule type="expression" dxfId="236" priority="26156">
      <formula>$B809="PROGRAMADO"</formula>
    </cfRule>
    <cfRule type="expression" dxfId="235" priority="26157">
      <formula>$B809="NO CLIENTE"</formula>
    </cfRule>
    <cfRule type="expression" dxfId="234" priority="26158">
      <formula>$B809="ENTREGUE"</formula>
    </cfRule>
    <cfRule type="expression" dxfId="233" priority="26159">
      <formula>$B809="FINALIZADO"</formula>
    </cfRule>
    <cfRule type="expression" dxfId="232" priority="26160">
      <formula>$B809="DOCUMENTO"</formula>
    </cfRule>
    <cfRule type="expression" dxfId="231" priority="26161">
      <formula>$B809="CANCELADO"</formula>
    </cfRule>
    <cfRule type="expression" dxfId="230" priority="26162">
      <formula>$B809="ATRASADO"</formula>
    </cfRule>
    <cfRule type="expression" dxfId="229" priority="26163">
      <formula>$B809="AGUARDANDO VEÍCULO"</formula>
    </cfRule>
  </conditionalFormatting>
  <conditionalFormatting sqref="P843:P844">
    <cfRule type="expression" dxfId="228" priority="26182">
      <formula>$B816="SEM PROGRAMAÇÃO"</formula>
    </cfRule>
    <cfRule type="expression" dxfId="227" priority="26183">
      <formula>$B816="PROGRAMADO"</formula>
    </cfRule>
    <cfRule type="expression" dxfId="226" priority="26184">
      <formula>$B816="PRÉ-STACKING"</formula>
    </cfRule>
    <cfRule type="expression" dxfId="225" priority="26185">
      <formula>$B816="FINALIZADO"</formula>
    </cfRule>
    <cfRule type="expression" dxfId="224" priority="26186">
      <formula>$B816="ENTREGUE"</formula>
    </cfRule>
    <cfRule type="expression" dxfId="223" priority="26187">
      <formula>$B816="EM TRÂNSITO TERMINAL"</formula>
    </cfRule>
    <cfRule type="expression" dxfId="222" priority="26188">
      <formula>$B816="EM TRÂNSITO CLIENTE"</formula>
    </cfRule>
    <cfRule type="expression" dxfId="221" priority="26189">
      <formula>$B816="CANCELADO"</formula>
    </cfRule>
    <cfRule type="expression" dxfId="220" priority="26190">
      <formula>$B816="AGUARDANDO VEÍCULO"</formula>
    </cfRule>
  </conditionalFormatting>
  <conditionalFormatting sqref="P843:P844">
    <cfRule type="expression" dxfId="219" priority="26202">
      <formula>$B816="NO CLIENTE"</formula>
    </cfRule>
  </conditionalFormatting>
  <conditionalFormatting sqref="P849">
    <cfRule type="expression" dxfId="218" priority="26224">
      <formula>$B818="SEM PROGRAMAÇÃO"</formula>
    </cfRule>
    <cfRule type="expression" dxfId="217" priority="26225">
      <formula>$B818="PROGRAMADO"</formula>
    </cfRule>
    <cfRule type="expression" dxfId="216" priority="26226">
      <formula>$B818="PRÉ-STACKING"</formula>
    </cfRule>
    <cfRule type="expression" dxfId="215" priority="26227">
      <formula>$B818="FINALIZADO"</formula>
    </cfRule>
    <cfRule type="expression" dxfId="214" priority="26228">
      <formula>$B818="ENTREGUE"</formula>
    </cfRule>
    <cfRule type="expression" dxfId="213" priority="26229">
      <formula>$B818="EM TRÂNSITO TERMINAL"</formula>
    </cfRule>
    <cfRule type="expression" dxfId="212" priority="26230">
      <formula>$B818="EM TRÂNSITO CLIENTE"</formula>
    </cfRule>
    <cfRule type="expression" dxfId="211" priority="26231">
      <formula>$B818="CANCELADO"</formula>
    </cfRule>
    <cfRule type="expression" dxfId="210" priority="26232">
      <formula>$B818="AGUARDANDO VEÍCULO"</formula>
    </cfRule>
  </conditionalFormatting>
  <conditionalFormatting sqref="P849">
    <cfRule type="expression" dxfId="209" priority="26233">
      <formula>$B818="NO CLIENTE"</formula>
    </cfRule>
  </conditionalFormatting>
  <conditionalFormatting sqref="P849">
    <cfRule type="expression" dxfId="208" priority="26243">
      <formula>$B812="SEM PROGRAMAÇÃO"</formula>
    </cfRule>
    <cfRule type="expression" dxfId="207" priority="26244">
      <formula>$B812="PROGRAMADO"</formula>
    </cfRule>
    <cfRule type="expression" dxfId="206" priority="26245">
      <formula>$B812="NO CLIENTE"</formula>
    </cfRule>
    <cfRule type="expression" dxfId="205" priority="26246">
      <formula>$B812="ENTREGUE"</formula>
    </cfRule>
    <cfRule type="expression" dxfId="204" priority="26247">
      <formula>$B812="FINALIZADO"</formula>
    </cfRule>
    <cfRule type="expression" dxfId="203" priority="26248">
      <formula>$B812="DOCUMENTO"</formula>
    </cfRule>
    <cfRule type="expression" dxfId="202" priority="26249">
      <formula>$B812="CANCELADO"</formula>
    </cfRule>
    <cfRule type="expression" dxfId="201" priority="26250">
      <formula>$B812="ATRASADO"</formula>
    </cfRule>
    <cfRule type="expression" dxfId="200" priority="26251">
      <formula>$B812="AGUARDANDO VEÍCULO"</formula>
    </cfRule>
  </conditionalFormatting>
  <conditionalFormatting sqref="P843:P844">
    <cfRule type="expression" dxfId="199" priority="26252">
      <formula>$B810="SEM PROGRAMAÇÃO"</formula>
    </cfRule>
    <cfRule type="expression" dxfId="198" priority="26253">
      <formula>$B810="PROGRAMADO"</formula>
    </cfRule>
    <cfRule type="expression" dxfId="197" priority="26254">
      <formula>$B810="NO CLIENTE"</formula>
    </cfRule>
    <cfRule type="expression" dxfId="196" priority="26255">
      <formula>$B810="ENTREGUE"</formula>
    </cfRule>
    <cfRule type="expression" dxfId="195" priority="26256">
      <formula>$B810="FINALIZADO"</formula>
    </cfRule>
    <cfRule type="expression" dxfId="194" priority="26257">
      <formula>$B810="DOCUMENTO"</formula>
    </cfRule>
    <cfRule type="expression" dxfId="193" priority="26258">
      <formula>$B810="CANCELADO"</formula>
    </cfRule>
    <cfRule type="expression" dxfId="192" priority="26259">
      <formula>$B810="ATRASADO"</formula>
    </cfRule>
    <cfRule type="expression" dxfId="191" priority="26260">
      <formula>$B810="AGUARDANDO VEÍCULO"</formula>
    </cfRule>
  </conditionalFormatting>
  <conditionalFormatting sqref="P827:P828 P830:P832">
    <cfRule type="expression" dxfId="190" priority="26289">
      <formula>$B843="SEM PROGRAMAÇÃO"</formula>
    </cfRule>
    <cfRule type="expression" dxfId="189" priority="26290">
      <formula>$B843="PROGRAMADO"</formula>
    </cfRule>
    <cfRule type="expression" dxfId="188" priority="26291">
      <formula>$B843="NO CLIENTE"</formula>
    </cfRule>
    <cfRule type="expression" dxfId="187" priority="26292">
      <formula>$B843="ENTREGUE"</formula>
    </cfRule>
    <cfRule type="expression" dxfId="186" priority="26293">
      <formula>$B843="FINALIZADO"</formula>
    </cfRule>
    <cfRule type="expression" dxfId="185" priority="26294">
      <formula>$B843="DOCUMENTO"</formula>
    </cfRule>
    <cfRule type="expression" dxfId="184" priority="26295">
      <formula>$B843="CANCELADO"</formula>
    </cfRule>
    <cfRule type="expression" dxfId="183" priority="26296">
      <formula>$B843="ATRASADO"</formula>
    </cfRule>
    <cfRule type="expression" dxfId="182" priority="26297">
      <formula>$B843="AGUARDANDO VEÍCULO"</formula>
    </cfRule>
  </conditionalFormatting>
  <conditionalFormatting sqref="P850">
    <cfRule type="expression" dxfId="181" priority="26371">
      <formula>$B815="SEM PROGRAMAÇÃO"</formula>
    </cfRule>
    <cfRule type="expression" dxfId="180" priority="26372">
      <formula>$B815="PROGRAMADO"</formula>
    </cfRule>
    <cfRule type="expression" dxfId="179" priority="26373">
      <formula>$B815="PRÉ-STACKING"</formula>
    </cfRule>
    <cfRule type="expression" dxfId="178" priority="26374">
      <formula>$B815="FINALIZADO"</formula>
    </cfRule>
    <cfRule type="expression" dxfId="177" priority="26375">
      <formula>$B815="ENTREGUE"</formula>
    </cfRule>
    <cfRule type="expression" dxfId="176" priority="26376">
      <formula>$B815="EM TRÂNSITO TERMINAL"</formula>
    </cfRule>
    <cfRule type="expression" dxfId="175" priority="26377">
      <formula>$B815="EM TRÂNSITO CLIENTE"</formula>
    </cfRule>
    <cfRule type="expression" dxfId="174" priority="26378">
      <formula>$B815="CANCELADO"</formula>
    </cfRule>
    <cfRule type="expression" dxfId="173" priority="26379">
      <formula>$B815="AGUARDANDO VEÍCULO"</formula>
    </cfRule>
  </conditionalFormatting>
  <conditionalFormatting sqref="P850">
    <cfRule type="expression" dxfId="172" priority="26380">
      <formula>$B815="NO CLIENTE"</formula>
    </cfRule>
  </conditionalFormatting>
  <conditionalFormatting sqref="P873:P899">
    <cfRule type="expression" dxfId="171" priority="26429">
      <formula>#REF!="SEM PROGRAMAÇÃO"</formula>
    </cfRule>
    <cfRule type="expression" dxfId="170" priority="26430">
      <formula>#REF!="PROGRAMADO"</formula>
    </cfRule>
    <cfRule type="expression" dxfId="169" priority="26431">
      <formula>#REF!="PRÉ-STACKING"</formula>
    </cfRule>
    <cfRule type="expression" dxfId="168" priority="26432">
      <formula>#REF!="FINALIZADO"</formula>
    </cfRule>
    <cfRule type="expression" dxfId="167" priority="26433">
      <formula>#REF!="ENTREGUE"</formula>
    </cfRule>
    <cfRule type="expression" dxfId="166" priority="26434">
      <formula>#REF!="EM TRÂNSITO TERMINAL"</formula>
    </cfRule>
    <cfRule type="expression" dxfId="165" priority="26435">
      <formula>#REF!="EM TRÂNSITO CLIENTE"</formula>
    </cfRule>
    <cfRule type="expression" dxfId="164" priority="26436">
      <formula>#REF!="CANCELADO"</formula>
    </cfRule>
    <cfRule type="expression" dxfId="163" priority="26437">
      <formula>#REF!="AGUARDANDO VEÍCULO"</formula>
    </cfRule>
  </conditionalFormatting>
  <conditionalFormatting sqref="P873">
    <cfRule type="expression" dxfId="162" priority="26438">
      <formula>#REF!="NO CLIENTE"</formula>
    </cfRule>
  </conditionalFormatting>
  <conditionalFormatting sqref="P898">
    <cfRule type="expression" dxfId="161" priority="26612">
      <formula>$B885="SEM PROGRAMAÇÃO"</formula>
    </cfRule>
    <cfRule type="expression" dxfId="160" priority="26613">
      <formula>$B885="PROGRAMADO"</formula>
    </cfRule>
    <cfRule type="expression" dxfId="159" priority="26614">
      <formula>$B885="PRÉ-STACKING"</formula>
    </cfRule>
    <cfRule type="expression" dxfId="158" priority="26615">
      <formula>$B885="FINALIZADO"</formula>
    </cfRule>
    <cfRule type="expression" dxfId="157" priority="26616">
      <formula>$B885="ENTREGUE"</formula>
    </cfRule>
    <cfRule type="expression" dxfId="156" priority="26617">
      <formula>$B885="EM TRÂNSITO TERMINAL"</formula>
    </cfRule>
    <cfRule type="expression" dxfId="155" priority="26618">
      <formula>$B885="EM TRÂNSITO CLIENTE"</formula>
    </cfRule>
    <cfRule type="expression" dxfId="154" priority="26619">
      <formula>$B885="CANCELADO"</formula>
    </cfRule>
    <cfRule type="expression" dxfId="153" priority="26620">
      <formula>$B885="AGUARDANDO VEÍCULO"</formula>
    </cfRule>
  </conditionalFormatting>
  <conditionalFormatting sqref="P898">
    <cfRule type="expression" dxfId="152" priority="26621">
      <formula>$B885="NO CLIENTE"</formula>
    </cfRule>
  </conditionalFormatting>
  <conditionalFormatting sqref="P894">
    <cfRule type="expression" dxfId="151" priority="26686">
      <formula>$B868="SEM PROGRAMAÇÃO"</formula>
    </cfRule>
    <cfRule type="expression" dxfId="150" priority="26687">
      <formula>$B868="PROGRAMADO"</formula>
    </cfRule>
    <cfRule type="expression" dxfId="149" priority="26688">
      <formula>$B868="PRÉ-STACKING"</formula>
    </cfRule>
    <cfRule type="expression" dxfId="148" priority="26689">
      <formula>$B868="FINALIZADO"</formula>
    </cfRule>
    <cfRule type="expression" dxfId="147" priority="26690">
      <formula>$B868="ENTREGUE"</formula>
    </cfRule>
    <cfRule type="expression" dxfId="146" priority="26691">
      <formula>$B868="EM TRÂNSITO TERMINAL"</formula>
    </cfRule>
    <cfRule type="expression" dxfId="145" priority="26692">
      <formula>$B868="EM TRÂNSITO CLIENTE"</formula>
    </cfRule>
    <cfRule type="expression" dxfId="144" priority="26693">
      <formula>$B868="CANCELADO"</formula>
    </cfRule>
    <cfRule type="expression" dxfId="143" priority="26694">
      <formula>$B868="AGUARDANDO VEÍCULO"</formula>
    </cfRule>
  </conditionalFormatting>
  <conditionalFormatting sqref="P894">
    <cfRule type="expression" dxfId="142" priority="26695">
      <formula>$B868="NO CLIENTE"</formula>
    </cfRule>
  </conditionalFormatting>
  <conditionalFormatting sqref="P896">
    <cfRule type="expression" dxfId="141" priority="27106">
      <formula>$B875="SEM PROGRAMAÇÃO"</formula>
    </cfRule>
    <cfRule type="expression" dxfId="140" priority="27107">
      <formula>$B875="PROGRAMADO"</formula>
    </cfRule>
    <cfRule type="expression" dxfId="139" priority="27108">
      <formula>$B875="PRÉ-STACKING"</formula>
    </cfRule>
    <cfRule type="expression" dxfId="138" priority="27109">
      <formula>$B875="FINALIZADO"</formula>
    </cfRule>
    <cfRule type="expression" dxfId="137" priority="27110">
      <formula>$B875="ENTREGUE"</formula>
    </cfRule>
    <cfRule type="expression" dxfId="136" priority="27111">
      <formula>$B875="EM TRÂNSITO TERMINAL"</formula>
    </cfRule>
    <cfRule type="expression" dxfId="135" priority="27112">
      <formula>$B875="EM TRÂNSITO CLIENTE"</formula>
    </cfRule>
    <cfRule type="expression" dxfId="134" priority="27113">
      <formula>$B875="CANCELADO"</formula>
    </cfRule>
    <cfRule type="expression" dxfId="133" priority="27114">
      <formula>$B875="AGUARDANDO VEÍCULO"</formula>
    </cfRule>
  </conditionalFormatting>
  <conditionalFormatting sqref="P896">
    <cfRule type="expression" dxfId="132" priority="27116">
      <formula>$B875="NO CLIENTE"</formula>
    </cfRule>
  </conditionalFormatting>
  <conditionalFormatting sqref="P883">
    <cfRule type="expression" dxfId="131" priority="27207">
      <formula>#REF!="SEM PROGRAMAÇÃO"</formula>
    </cfRule>
    <cfRule type="expression" dxfId="130" priority="27208">
      <formula>#REF!="PROGRAMADO"</formula>
    </cfRule>
    <cfRule type="expression" dxfId="129" priority="27209">
      <formula>#REF!="NO CLIENTE"</formula>
    </cfRule>
    <cfRule type="expression" dxfId="128" priority="27210">
      <formula>#REF!="ENTREGUE"</formula>
    </cfRule>
    <cfRule type="expression" dxfId="127" priority="27211">
      <formula>#REF!="FINALIZADO"</formula>
    </cfRule>
    <cfRule type="expression" dxfId="126" priority="27212">
      <formula>#REF!="DOCUMENTO"</formula>
    </cfRule>
    <cfRule type="expression" dxfId="125" priority="27213">
      <formula>#REF!="CANCELADO"</formula>
    </cfRule>
    <cfRule type="expression" dxfId="124" priority="27214">
      <formula>#REF!="ATRASADO"</formula>
    </cfRule>
    <cfRule type="expression" dxfId="123" priority="27215">
      <formula>#REF!="AGUARDANDO VEÍCULO"</formula>
    </cfRule>
  </conditionalFormatting>
  <conditionalFormatting sqref="P889:P893">
    <cfRule type="expression" dxfId="122" priority="27728">
      <formula>$B877="SEM PROGRAMAÇÃO"</formula>
    </cfRule>
    <cfRule type="expression" dxfId="121" priority="27729">
      <formula>$B877="PROGRAMADO"</formula>
    </cfRule>
    <cfRule type="expression" dxfId="120" priority="27730">
      <formula>$B877="PRÉ-STACKING"</formula>
    </cfRule>
    <cfRule type="expression" dxfId="119" priority="27731">
      <formula>$B877="FINALIZADO"</formula>
    </cfRule>
    <cfRule type="expression" dxfId="118" priority="27732">
      <formula>$B877="ENTREGUE"</formula>
    </cfRule>
    <cfRule type="expression" dxfId="117" priority="27733">
      <formula>$B877="EM TRÂNSITO TERMINAL"</formula>
    </cfRule>
    <cfRule type="expression" dxfId="116" priority="27734">
      <formula>$B877="EM TRÂNSITO CLIENTE"</formula>
    </cfRule>
    <cfRule type="expression" dxfId="115" priority="27735">
      <formula>$B877="CANCELADO"</formula>
    </cfRule>
    <cfRule type="expression" dxfId="114" priority="27736">
      <formula>$B877="AGUARDANDO VEÍCULO"</formula>
    </cfRule>
  </conditionalFormatting>
  <conditionalFormatting sqref="P889:P893">
    <cfRule type="expression" dxfId="113" priority="27737">
      <formula>$B877="NO CLIENTE"</formula>
    </cfRule>
  </conditionalFormatting>
  <conditionalFormatting sqref="P878">
    <cfRule type="expression" dxfId="112" priority="27927">
      <formula>$B894="SEM PROGRAMAÇÃO"</formula>
    </cfRule>
    <cfRule type="expression" dxfId="111" priority="27928">
      <formula>$B894="PROGRAMADO"</formula>
    </cfRule>
    <cfRule type="expression" dxfId="110" priority="27929">
      <formula>$B894="NO CLIENTE"</formula>
    </cfRule>
    <cfRule type="expression" dxfId="109" priority="27930">
      <formula>$B894="ENTREGUE"</formula>
    </cfRule>
    <cfRule type="expression" dxfId="108" priority="27931">
      <formula>$B894="FINALIZADO"</formula>
    </cfRule>
    <cfRule type="expression" dxfId="107" priority="27932">
      <formula>$B894="DOCUMENTO"</formula>
    </cfRule>
    <cfRule type="expression" dxfId="106" priority="27933">
      <formula>$B894="CANCELADO"</formula>
    </cfRule>
    <cfRule type="expression" dxfId="105" priority="27934">
      <formula>$B894="ATRASADO"</formula>
    </cfRule>
    <cfRule type="expression" dxfId="104" priority="27935">
      <formula>$B894="AGUARDANDO VEÍCULO"</formula>
    </cfRule>
  </conditionalFormatting>
  <conditionalFormatting sqref="P890:P893">
    <cfRule type="expression" dxfId="103" priority="28013">
      <formula>$B895="SEM PROGRAMAÇÃO"</formula>
    </cfRule>
    <cfRule type="expression" dxfId="102" priority="28014">
      <formula>$B895="PROGRAMADO"</formula>
    </cfRule>
    <cfRule type="expression" dxfId="101" priority="28015">
      <formula>$B895="PRÉ-STACKING"</formula>
    </cfRule>
    <cfRule type="expression" dxfId="100" priority="28016">
      <formula>$B895="FINALIZADO"</formula>
    </cfRule>
    <cfRule type="expression" dxfId="99" priority="28017">
      <formula>$B895="ENTREGUE"</formula>
    </cfRule>
    <cfRule type="expression" dxfId="98" priority="28018">
      <formula>$B895="EM TRÂNSITO TERMINAL"</formula>
    </cfRule>
    <cfRule type="expression" dxfId="97" priority="28019">
      <formula>$B895="EM TRÂNSITO CLIENTE"</formula>
    </cfRule>
    <cfRule type="expression" dxfId="96" priority="28020">
      <formula>$B895="CANCELADO"</formula>
    </cfRule>
    <cfRule type="expression" dxfId="95" priority="28021">
      <formula>$B895="AGUARDANDO VEÍCULO"</formula>
    </cfRule>
  </conditionalFormatting>
  <conditionalFormatting sqref="P890:P893">
    <cfRule type="expression" dxfId="94" priority="28023">
      <formula>$B895="NO CLIENTE"</formula>
    </cfRule>
  </conditionalFormatting>
  <conditionalFormatting sqref="B879:P879">
    <cfRule type="expression" dxfId="93" priority="28253">
      <formula>$B896="SEM PROGRAMAÇÃO"</formula>
    </cfRule>
    <cfRule type="expression" dxfId="92" priority="28254">
      <formula>$B896="PROGRAMADO"</formula>
    </cfRule>
    <cfRule type="expression" dxfId="91" priority="28255">
      <formula>$B896="NO CLIENTE"</formula>
    </cfRule>
    <cfRule type="expression" dxfId="90" priority="28256">
      <formula>$B896="ENTREGUE"</formula>
    </cfRule>
    <cfRule type="expression" dxfId="89" priority="28257">
      <formula>$B896="FINALIZADO"</formula>
    </cfRule>
    <cfRule type="expression" dxfId="88" priority="28258">
      <formula>$B896="DOCUMENTO"</formula>
    </cfRule>
    <cfRule type="expression" dxfId="87" priority="28259">
      <formula>$B896="CANCELADO"</formula>
    </cfRule>
    <cfRule type="expression" dxfId="86" priority="28260">
      <formula>$B896="ATRASADO"</formula>
    </cfRule>
    <cfRule type="expression" dxfId="85" priority="28261">
      <formula>$B896="AGUARDANDO VEÍCULO"</formula>
    </cfRule>
  </conditionalFormatting>
  <conditionalFormatting sqref="P879">
    <cfRule type="expression" dxfId="84" priority="28499">
      <formula>$B894="SEM PROGRAMAÇÃO"</formula>
    </cfRule>
    <cfRule type="expression" dxfId="83" priority="28500">
      <formula>$B894="PROGRAMADO"</formula>
    </cfRule>
    <cfRule type="expression" dxfId="82" priority="28501">
      <formula>$B894="NO CLIENTE"</formula>
    </cfRule>
    <cfRule type="expression" dxfId="81" priority="28502">
      <formula>$B894="ENTREGUE"</formula>
    </cfRule>
    <cfRule type="expression" dxfId="80" priority="28503">
      <formula>$B894="FINALIZADO"</formula>
    </cfRule>
    <cfRule type="expression" dxfId="79" priority="28504">
      <formula>$B894="DOCUMENTO"</formula>
    </cfRule>
    <cfRule type="expression" dxfId="78" priority="28505">
      <formula>$B894="CANCELADO"</formula>
    </cfRule>
    <cfRule type="expression" dxfId="77" priority="28506">
      <formula>$B894="ATRASADO"</formula>
    </cfRule>
    <cfRule type="expression" dxfId="76" priority="28507">
      <formula>$B894="AGUARDANDO VEÍCULO"</formula>
    </cfRule>
  </conditionalFormatting>
  <conditionalFormatting sqref="P899">
    <cfRule type="expression" dxfId="75" priority="28573">
      <formula>$B879="SEM PROGRAMAÇÃO"</formula>
    </cfRule>
    <cfRule type="expression" dxfId="74" priority="28574">
      <formula>$B879="PROGRAMADO"</formula>
    </cfRule>
    <cfRule type="expression" dxfId="73" priority="28575">
      <formula>$B879="PRÉ-STACKING"</formula>
    </cfRule>
    <cfRule type="expression" dxfId="72" priority="28576">
      <formula>$B879="FINALIZADO"</formula>
    </cfRule>
    <cfRule type="expression" dxfId="71" priority="28577">
      <formula>$B879="ENTREGUE"</formula>
    </cfRule>
    <cfRule type="expression" dxfId="70" priority="28578">
      <formula>$B879="EM TRÂNSITO TERMINAL"</formula>
    </cfRule>
    <cfRule type="expression" dxfId="69" priority="28579">
      <formula>$B879="EM TRÂNSITO CLIENTE"</formula>
    </cfRule>
    <cfRule type="expression" dxfId="68" priority="28580">
      <formula>$B879="CANCELADO"</formula>
    </cfRule>
    <cfRule type="expression" dxfId="67" priority="28581">
      <formula>$B879="AGUARDANDO VEÍCULO"</formula>
    </cfRule>
  </conditionalFormatting>
  <conditionalFormatting sqref="P899">
    <cfRule type="expression" dxfId="66" priority="28591">
      <formula>$B879="NO CLIENTE"</formula>
    </cfRule>
  </conditionalFormatting>
  <conditionalFormatting sqref="L773:M899">
    <cfRule type="duplicateValues" dxfId="65" priority="28822"/>
  </conditionalFormatting>
  <conditionalFormatting sqref="E3:E899">
    <cfRule type="duplicateValues" dxfId="64" priority="28824"/>
  </conditionalFormatting>
  <conditionalFormatting sqref="S3:S899">
    <cfRule type="duplicateValues" dxfId="63" priority="28826"/>
  </conditionalFormatting>
  <dataValidations xWindow="938" yWindow="554" count="3">
    <dataValidation type="list" allowBlank="1" showInputMessage="1" showErrorMessage="1" sqref="AO3:AO288" xr:uid="{FCB4D3A0-67EC-4A95-A152-AD376A501610}">
      <formula1>"SIM,NÃO"</formula1>
    </dataValidation>
    <dataValidation type="list" allowBlank="1" showInputMessage="1" showErrorMessage="1" sqref="AL3:AL361 AL363:AL899" xr:uid="{6B6438F1-186D-48F6-A5E0-EED52D6D5A7C}">
      <formula1>"Causa desconhecida,Operacional,Documental,Motorista,Reprogramado,Trânsito,Pane elétrica ou mecânica,Causa desconhecida"</formula1>
    </dataValidation>
    <dataValidation type="list" allowBlank="1" showInputMessage="1" showErrorMessage="1" sqref="B3:B361 B363:B899" xr:uid="{99046A0D-03B2-4CB0-9C2D-EA409FDFE02C}">
      <formula1>"AGUARDANDO VEÍCULO,ATRASADO,CANCELADO,DOCUMENTO,ENTREGUE,FINALIZADO,NO CLIENTE,PROGRAMADO,SEM PROGRAMAÇÃO"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xWindow="938" yWindow="554" count="1">
        <x14:dataValidation type="list" errorStyle="warning" allowBlank="1" showInputMessage="1" showErrorMessage="1" errorTitle="ERRO" error="Nome do Motorista Errado" promptTitle="Nome do Motorista" prompt="Insira o Nome do Motorista" xr:uid="{B4087C62-C509-4E47-A778-C0E19973793C}">
          <x14:formula1>
            <xm:f>MOTORISTAS!$D$3:$D$82</xm:f>
          </x14:formula1>
          <xm:sqref>P3:P899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D6DBC-8E5C-408C-B6DA-81A3564F3520}">
  <sheetPr codeName="Planilha4">
    <tabColor rgb="FF00B050"/>
  </sheetPr>
  <dimension ref="A1:CF1976"/>
  <sheetViews>
    <sheetView tabSelected="1" topLeftCell="K1" zoomScaleNormal="100" workbookViewId="0">
      <pane xSplit="4" ySplit="2" topLeftCell="P507" activePane="bottomRight" state="frozen"/>
      <selection activeCell="K1" sqref="K1"/>
      <selection pane="topRight" activeCell="O1" sqref="O1"/>
      <selection pane="bottomLeft" activeCell="K3" sqref="K3"/>
      <selection pane="bottomRight" activeCell="U521" sqref="U521"/>
    </sheetView>
  </sheetViews>
  <sheetFormatPr defaultColWidth="15.42578125" defaultRowHeight="15" x14ac:dyDescent="0.25"/>
  <cols>
    <col min="1" max="1" width="13.85546875" style="84" customWidth="1"/>
    <col min="2" max="2" width="14.85546875" style="67" customWidth="1"/>
    <col min="3" max="3" width="13.5703125" style="91" customWidth="1"/>
    <col min="4" max="4" width="15.85546875" style="84" bestFit="1" customWidth="1"/>
    <col min="5" max="5" width="14.28515625" customWidth="1"/>
    <col min="6" max="6" width="15.28515625" customWidth="1"/>
    <col min="7" max="7" width="12.7109375" customWidth="1"/>
    <col min="8" max="8" width="14.140625" style="84" customWidth="1"/>
    <col min="9" max="9" width="13.85546875" style="84" customWidth="1"/>
    <col min="10" max="10" width="6.42578125" customWidth="1"/>
    <col min="11" max="11" width="9.7109375" bestFit="1" customWidth="1"/>
    <col min="12" max="12" width="16.7109375" customWidth="1"/>
    <col min="13" max="13" width="9.5703125" bestFit="1" customWidth="1"/>
    <col min="14" max="14" width="8" customWidth="1"/>
    <col min="15" max="15" width="16.28515625" style="84" customWidth="1"/>
    <col min="16" max="16" width="29" customWidth="1"/>
    <col min="17" max="18" width="10.7109375" customWidth="1"/>
    <col min="19" max="19" width="34" customWidth="1"/>
    <col min="20" max="21" width="14.140625" customWidth="1"/>
    <col min="22" max="22" width="14.5703125" customWidth="1"/>
    <col min="23" max="24" width="15.42578125" customWidth="1"/>
    <col min="25" max="25" width="16.140625" customWidth="1"/>
    <col min="26" max="26" width="15.140625" customWidth="1"/>
    <col min="27" max="29" width="16.42578125" customWidth="1"/>
    <col min="30" max="30" width="15.85546875" customWidth="1"/>
    <col min="31" max="31" width="15.140625" customWidth="1"/>
    <col min="32" max="32" width="8.7109375" style="84" customWidth="1"/>
    <col min="33" max="33" width="14.5703125" style="84" customWidth="1"/>
    <col min="34" max="34" width="13.28515625" style="84" customWidth="1"/>
    <col min="35" max="35" width="14" customWidth="1"/>
    <col min="36" max="36" width="12.85546875" customWidth="1"/>
    <col min="37" max="37" width="12.140625" customWidth="1"/>
    <col min="38" max="38" width="16.85546875" customWidth="1"/>
    <col min="39" max="39" width="7.85546875" customWidth="1"/>
    <col min="40" max="40" width="13.28515625" style="84" bestFit="1" customWidth="1"/>
    <col min="41" max="42" width="13.28515625" style="84" customWidth="1"/>
    <col min="43" max="43" width="12.28515625" customWidth="1"/>
    <col min="44" max="44" width="11" customWidth="1"/>
    <col min="45" max="45" width="11.5703125" customWidth="1"/>
    <col min="46" max="46" width="14" customWidth="1"/>
    <col min="47" max="47" width="11.28515625" customWidth="1"/>
    <col min="48" max="48" width="10.140625" customWidth="1"/>
    <col min="49" max="49" width="8.28515625" customWidth="1"/>
    <col min="50" max="51" width="14" style="84" customWidth="1"/>
    <col min="52" max="52" width="15.42578125" customWidth="1"/>
    <col min="53" max="53" width="17" bestFit="1" customWidth="1"/>
    <col min="54" max="54" width="12.42578125" customWidth="1"/>
    <col min="55" max="55" width="11.85546875" customWidth="1"/>
    <col min="56" max="56" width="13.7109375" customWidth="1"/>
    <col min="57" max="57" width="11.42578125" customWidth="1"/>
    <col min="58" max="58" width="11.5703125" customWidth="1"/>
    <col min="59" max="59" width="8.28515625" customWidth="1"/>
    <col min="60" max="60" width="12" customWidth="1"/>
    <col min="61" max="61" width="13.5703125" bestFit="1" customWidth="1"/>
    <col min="62" max="62" width="11.5703125" customWidth="1"/>
    <col min="63" max="63" width="10.42578125" customWidth="1"/>
    <col min="64" max="64" width="10.7109375" customWidth="1"/>
    <col min="65" max="65" width="11.42578125" bestFit="1" customWidth="1"/>
    <col min="66" max="66" width="11.140625" customWidth="1"/>
    <col min="67" max="67" width="8.140625" customWidth="1"/>
    <col min="68" max="68" width="8.85546875" customWidth="1"/>
    <col min="69" max="70" width="6.28515625" customWidth="1"/>
    <col min="77" max="77" width="5.85546875" customWidth="1"/>
    <col min="82" max="82" width="8.85546875" bestFit="1" customWidth="1"/>
    <col min="83" max="83" width="6" bestFit="1" customWidth="1"/>
  </cols>
  <sheetData>
    <row r="1" spans="1:84" x14ac:dyDescent="0.25">
      <c r="A1" s="186"/>
      <c r="B1" s="188"/>
      <c r="C1" s="187"/>
      <c r="D1" s="186"/>
      <c r="E1" s="186"/>
      <c r="F1" s="186"/>
      <c r="G1" s="186"/>
      <c r="H1" s="186"/>
      <c r="I1" s="186"/>
      <c r="J1" s="189"/>
      <c r="K1" s="189"/>
      <c r="L1" s="189"/>
      <c r="M1" s="189"/>
      <c r="N1" s="190"/>
      <c r="O1" s="189"/>
      <c r="P1" s="190"/>
      <c r="Q1" s="2"/>
      <c r="R1" s="2"/>
      <c r="S1" s="2" t="s">
        <v>6169</v>
      </c>
      <c r="T1" s="190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1"/>
      <c r="AG1" s="1"/>
      <c r="AH1" s="1"/>
      <c r="AI1" s="2"/>
      <c r="AJ1" s="2"/>
      <c r="AK1" s="2"/>
      <c r="AL1" s="2"/>
      <c r="AM1" s="2"/>
      <c r="AN1" s="87"/>
      <c r="AO1" s="322" t="s">
        <v>5705</v>
      </c>
      <c r="AP1" s="323"/>
      <c r="AQ1" s="3"/>
      <c r="AR1" s="3"/>
      <c r="AS1" s="3"/>
      <c r="AT1" s="174" t="s">
        <v>215</v>
      </c>
      <c r="AU1" s="175"/>
      <c r="AV1" s="175"/>
      <c r="AW1" s="175"/>
      <c r="AX1" s="176"/>
      <c r="AY1" s="144" t="s">
        <v>216</v>
      </c>
      <c r="AZ1" s="145"/>
      <c r="BA1" s="145"/>
      <c r="BB1" s="145"/>
      <c r="BC1" s="145"/>
      <c r="BD1" s="145"/>
      <c r="BE1" s="145"/>
      <c r="BF1" s="145"/>
      <c r="BG1" s="145"/>
      <c r="BH1" s="145"/>
      <c r="BI1" s="145"/>
      <c r="BJ1" s="145"/>
      <c r="BK1" s="145"/>
      <c r="BL1" s="145"/>
      <c r="BM1" s="146"/>
      <c r="BN1" s="163" t="s">
        <v>274</v>
      </c>
      <c r="BO1" s="164"/>
      <c r="BP1" s="164"/>
      <c r="BQ1" s="78" t="s">
        <v>2799</v>
      </c>
      <c r="BR1" s="78" t="s">
        <v>2802</v>
      </c>
      <c r="CA1" t="s">
        <v>5821</v>
      </c>
      <c r="CB1" s="108">
        <v>0.12</v>
      </c>
    </row>
    <row r="2" spans="1:84" ht="31.5" customHeight="1" x14ac:dyDescent="0.25">
      <c r="A2" s="193" t="s">
        <v>222</v>
      </c>
      <c r="B2" s="191" t="s">
        <v>273</v>
      </c>
      <c r="C2" s="185" t="s">
        <v>2800</v>
      </c>
      <c r="D2" s="185" t="s">
        <v>217</v>
      </c>
      <c r="E2" s="192" t="s">
        <v>218</v>
      </c>
      <c r="F2" s="193" t="s">
        <v>219</v>
      </c>
      <c r="G2" s="193" t="s">
        <v>220</v>
      </c>
      <c r="H2" s="193" t="s">
        <v>221</v>
      </c>
      <c r="I2" s="193" t="s">
        <v>222</v>
      </c>
      <c r="J2" s="193" t="s">
        <v>223</v>
      </c>
      <c r="K2" s="193" t="s">
        <v>224</v>
      </c>
      <c r="L2" s="193" t="s">
        <v>225</v>
      </c>
      <c r="M2" s="193" t="s">
        <v>226</v>
      </c>
      <c r="N2" s="193" t="s">
        <v>227</v>
      </c>
      <c r="O2" s="193" t="s">
        <v>228</v>
      </c>
      <c r="P2" s="193" t="s">
        <v>229</v>
      </c>
      <c r="Q2" s="157" t="s">
        <v>1</v>
      </c>
      <c r="R2" s="157" t="s">
        <v>2</v>
      </c>
      <c r="S2" s="194" t="s">
        <v>3</v>
      </c>
      <c r="T2" s="195" t="s">
        <v>4</v>
      </c>
      <c r="U2" s="156" t="s">
        <v>5</v>
      </c>
      <c r="V2" s="143" t="s">
        <v>230</v>
      </c>
      <c r="W2" s="143" t="s">
        <v>231</v>
      </c>
      <c r="X2" s="154" t="s">
        <v>232</v>
      </c>
      <c r="Y2" s="154" t="s">
        <v>233</v>
      </c>
      <c r="Z2" s="143" t="s">
        <v>234</v>
      </c>
      <c r="AA2" s="143" t="s">
        <v>235</v>
      </c>
      <c r="AB2" s="169" t="s">
        <v>236</v>
      </c>
      <c r="AC2" s="171" t="s">
        <v>6051</v>
      </c>
      <c r="AD2" s="171" t="s">
        <v>6050</v>
      </c>
      <c r="AE2" s="142" t="s">
        <v>239</v>
      </c>
      <c r="AF2" s="156" t="s">
        <v>240</v>
      </c>
      <c r="AG2" s="157" t="s">
        <v>4840</v>
      </c>
      <c r="AH2" s="156" t="s">
        <v>3950</v>
      </c>
      <c r="AI2" s="157" t="s">
        <v>3651</v>
      </c>
      <c r="AJ2" s="172" t="s">
        <v>243</v>
      </c>
      <c r="AK2" s="14" t="s">
        <v>244</v>
      </c>
      <c r="AL2" s="14" t="s">
        <v>245</v>
      </c>
      <c r="AM2" s="15" t="s">
        <v>246</v>
      </c>
      <c r="AN2" s="14" t="s">
        <v>247</v>
      </c>
      <c r="AO2" s="282" t="s">
        <v>5703</v>
      </c>
      <c r="AP2" s="282" t="s">
        <v>5704</v>
      </c>
      <c r="AQ2" s="139" t="s">
        <v>248</v>
      </c>
      <c r="AR2" s="139" t="s">
        <v>269</v>
      </c>
      <c r="AS2" s="139" t="s">
        <v>249</v>
      </c>
      <c r="AT2" s="177" t="s">
        <v>250</v>
      </c>
      <c r="AU2" s="177" t="s">
        <v>251</v>
      </c>
      <c r="AV2" s="177" t="s">
        <v>252</v>
      </c>
      <c r="AW2" s="177" t="s">
        <v>4428</v>
      </c>
      <c r="AX2" s="173" t="s">
        <v>253</v>
      </c>
      <c r="AY2" s="143" t="s">
        <v>255</v>
      </c>
      <c r="AZ2" s="155" t="s">
        <v>256</v>
      </c>
      <c r="BA2" s="155" t="s">
        <v>257</v>
      </c>
      <c r="BB2" s="154" t="s">
        <v>5827</v>
      </c>
      <c r="BC2" s="154" t="s">
        <v>271</v>
      </c>
      <c r="BD2" s="154" t="s">
        <v>258</v>
      </c>
      <c r="BE2" s="154" t="s">
        <v>272</v>
      </c>
      <c r="BF2" s="154" t="s">
        <v>259</v>
      </c>
      <c r="BG2" s="154" t="s">
        <v>260</v>
      </c>
      <c r="BH2" s="154" t="s">
        <v>261</v>
      </c>
      <c r="BI2" s="154" t="s">
        <v>262</v>
      </c>
      <c r="BJ2" s="154" t="s">
        <v>263</v>
      </c>
      <c r="BK2" s="154" t="s">
        <v>264</v>
      </c>
      <c r="BL2" s="154" t="s">
        <v>265</v>
      </c>
      <c r="BM2" s="154" t="s">
        <v>4429</v>
      </c>
      <c r="BN2" s="247" t="s">
        <v>266</v>
      </c>
      <c r="BO2" s="162" t="s">
        <v>267</v>
      </c>
      <c r="BP2" s="162" t="s">
        <v>268</v>
      </c>
      <c r="BQ2" s="165" t="s">
        <v>281</v>
      </c>
      <c r="BR2" s="165" t="s">
        <v>282</v>
      </c>
      <c r="BY2" s="295"/>
      <c r="BZ2" s="82" t="s">
        <v>4893</v>
      </c>
      <c r="CA2" s="293" t="s">
        <v>4894</v>
      </c>
      <c r="CB2" s="82" t="s">
        <v>4895</v>
      </c>
      <c r="CC2" s="84" t="s">
        <v>262</v>
      </c>
      <c r="CE2" s="291" t="s">
        <v>5798</v>
      </c>
      <c r="CF2" s="82" t="s">
        <v>5820</v>
      </c>
    </row>
    <row r="3" spans="1:84" x14ac:dyDescent="0.25">
      <c r="A3" s="120" t="str">
        <f>Prog_23[[#This Row],[CONTEINER]]</f>
        <v>TCKU7525877</v>
      </c>
      <c r="B3" s="86" t="s">
        <v>2771</v>
      </c>
      <c r="C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" s="85">
        <v>44929.25</v>
      </c>
      <c r="E3" s="66" t="s">
        <v>353</v>
      </c>
      <c r="F3" s="66" t="s">
        <v>354</v>
      </c>
      <c r="G3" s="66">
        <v>8166471</v>
      </c>
      <c r="H3" s="44" t="s">
        <v>2952</v>
      </c>
      <c r="I3" s="44" t="s">
        <v>2953</v>
      </c>
      <c r="J3" s="66" t="s">
        <v>301</v>
      </c>
      <c r="K3" s="66">
        <v>3700</v>
      </c>
      <c r="L3" s="66" t="s">
        <v>2954</v>
      </c>
      <c r="M3" s="66">
        <v>25271</v>
      </c>
      <c r="N3" s="66">
        <v>28971</v>
      </c>
      <c r="O3" s="44">
        <v>656957</v>
      </c>
      <c r="P3" s="66" t="s">
        <v>2955</v>
      </c>
      <c r="Q3" s="66" t="s">
        <v>155</v>
      </c>
      <c r="R3" s="66" t="s">
        <v>209</v>
      </c>
      <c r="S3" s="66" t="s">
        <v>156</v>
      </c>
      <c r="T3" s="138" t="str">
        <f>IFERROR(LOOKUP($S3,MOTORISTAS!$D$3:$D$916,MOTORISTAS!E$3:$E$916),"")</f>
        <v>09803034863</v>
      </c>
      <c r="U3" s="138" t="str">
        <f>IFERROR(LOOKUP($S3,MOTORISTAS!$D$3:$D$916,MOTORISTAS!F$3:$F$916),"")</f>
        <v>01484565209</v>
      </c>
      <c r="V3" s="66" t="s">
        <v>292</v>
      </c>
      <c r="W3" s="79">
        <v>44563.677083333336</v>
      </c>
      <c r="X3" s="79">
        <v>44564.159722222219</v>
      </c>
      <c r="Y3" s="79">
        <v>44929.730555555558</v>
      </c>
      <c r="Z3" s="66" t="s">
        <v>306</v>
      </c>
      <c r="AA3" s="79">
        <v>44930.14166666667</v>
      </c>
      <c r="AB3" s="79">
        <v>44929.791666666664</v>
      </c>
      <c r="AC3" s="79">
        <v>44564.5</v>
      </c>
      <c r="AD3" s="79">
        <v>44567.5</v>
      </c>
      <c r="AE3" s="66" t="s">
        <v>835</v>
      </c>
      <c r="AF3" s="44">
        <v>17749</v>
      </c>
      <c r="AG3" s="254">
        <f>Prog_23[[#This Row],[SAÍDA DO CLIENTE]]-Prog_23[[#This Row],[PROGRAMAÇÃO CLIENTE]]</f>
        <v>0.4805555555576575</v>
      </c>
      <c r="AH3" s="44"/>
      <c r="AI3" s="66"/>
      <c r="AJ3" s="66"/>
      <c r="AK3" s="66"/>
      <c r="AL3" s="66"/>
      <c r="AM3" s="66"/>
      <c r="AN3" s="83"/>
      <c r="AO3" s="83"/>
      <c r="AP3" s="83"/>
      <c r="AQ3" s="66"/>
      <c r="AR3" s="66"/>
      <c r="AS3" s="66"/>
      <c r="AT3" s="81"/>
      <c r="AU3" s="81"/>
      <c r="AV3" s="81"/>
      <c r="AW3" s="81"/>
      <c r="AX3" s="83">
        <f>SUM(Prog_23[[#This Row],[ADIANTAMENTO]]+Prog_23[[#This Row],[SALDO]]+Prog_23[[#This Row],[MARGEM]]+Prog_23[[#This Row],[ESTADIA 1]])</f>
        <v>0</v>
      </c>
      <c r="AY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4310.1788800000004</v>
      </c>
      <c r="AZ3" s="81">
        <v>3491.06</v>
      </c>
      <c r="BA3" s="81">
        <v>57718.879999999997</v>
      </c>
      <c r="BB3" s="81">
        <v>57.718879999999999</v>
      </c>
      <c r="BC3" s="81">
        <v>0</v>
      </c>
      <c r="BD3" s="81">
        <v>761.4</v>
      </c>
      <c r="BE3" s="81"/>
      <c r="BF3" s="81"/>
      <c r="BG3" s="81"/>
      <c r="BH3" s="81"/>
      <c r="BI3" s="81"/>
      <c r="BJ3" s="81"/>
      <c r="BK3" s="81"/>
      <c r="BL3" s="81"/>
      <c r="BM3" s="81"/>
      <c r="BN3" s="66" t="s">
        <v>2768</v>
      </c>
      <c r="BO3" s="66" t="s">
        <v>2768</v>
      </c>
      <c r="BP3" s="66" t="s">
        <v>2768</v>
      </c>
      <c r="BQ3" s="66" t="str">
        <f>PROPER(TEXT(Prog_23[[#This Row],[PROGRAMAÇÃO CLIENTE]],"mmm"))</f>
        <v>Jan</v>
      </c>
      <c r="BR3" s="66">
        <f>YEAR(Prog_23[[#This Row],[PROGRAMAÇÃO CLIENTE]])</f>
        <v>2023</v>
      </c>
      <c r="BY3" s="296" t="s">
        <v>4896</v>
      </c>
      <c r="BZ3" s="256">
        <v>14960</v>
      </c>
      <c r="CA3" s="294">
        <v>924</v>
      </c>
      <c r="CB3" s="257">
        <f>BZ8*CA3</f>
        <v>1849.731031714171</v>
      </c>
      <c r="CC3" s="257"/>
      <c r="CD3">
        <v>3078.01</v>
      </c>
      <c r="CE3" s="292">
        <v>527</v>
      </c>
    </row>
    <row r="4" spans="1:84" x14ac:dyDescent="0.25">
      <c r="A4" s="120" t="str">
        <f>Prog_23[[#This Row],[CONTEINER]]</f>
        <v>HASU4078030</v>
      </c>
      <c r="B4" s="86" t="s">
        <v>2771</v>
      </c>
      <c r="C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" s="85">
        <v>44929.25</v>
      </c>
      <c r="E4" s="66" t="s">
        <v>353</v>
      </c>
      <c r="F4" s="66" t="s">
        <v>354</v>
      </c>
      <c r="G4" s="66">
        <v>8166471</v>
      </c>
      <c r="H4" s="44" t="s">
        <v>2952</v>
      </c>
      <c r="I4" s="44" t="s">
        <v>2956</v>
      </c>
      <c r="J4" s="66" t="s">
        <v>301</v>
      </c>
      <c r="K4" s="66">
        <v>3860</v>
      </c>
      <c r="L4" s="66" t="s">
        <v>2957</v>
      </c>
      <c r="M4" s="66">
        <v>25271</v>
      </c>
      <c r="N4" s="66">
        <v>29131</v>
      </c>
      <c r="O4" s="44">
        <v>656931</v>
      </c>
      <c r="P4" s="66" t="s">
        <v>2955</v>
      </c>
      <c r="Q4" s="66" t="s">
        <v>102</v>
      </c>
      <c r="R4" s="66" t="s">
        <v>27</v>
      </c>
      <c r="S4" s="66" t="s">
        <v>206</v>
      </c>
      <c r="T4" s="138" t="str">
        <f>IFERROR(LOOKUP($S4,MOTORISTAS!$D$3:$D$916,MOTORISTAS!E$3:$E$916),"")</f>
        <v>09085263425</v>
      </c>
      <c r="U4" s="138" t="str">
        <f>IFERROR(LOOKUP($S4,MOTORISTAS!$D$3:$D$916,MOTORISTAS!F$3:$F$916),"")</f>
        <v>04557705505</v>
      </c>
      <c r="V4" s="66" t="s">
        <v>292</v>
      </c>
      <c r="W4" s="79">
        <v>44928.493055555555</v>
      </c>
      <c r="X4" s="79">
        <v>44929.15625</v>
      </c>
      <c r="Y4" s="79">
        <v>44929.413194444445</v>
      </c>
      <c r="Z4" s="66" t="s">
        <v>306</v>
      </c>
      <c r="AA4" s="79">
        <v>44929.820833333331</v>
      </c>
      <c r="AB4" s="79">
        <v>44929.791666666664</v>
      </c>
      <c r="AC4" s="79">
        <v>44564.5</v>
      </c>
      <c r="AD4" s="79">
        <v>44567.5</v>
      </c>
      <c r="AE4" s="66" t="s">
        <v>835</v>
      </c>
      <c r="AF4" s="44">
        <v>14738</v>
      </c>
      <c r="AG4" s="254">
        <f>Prog_23[[#This Row],[SAÍDA DO CLIENTE]]-Prog_23[[#This Row],[PROGRAMAÇÃO CLIENTE]]</f>
        <v>0.16319444444525288</v>
      </c>
      <c r="AH4" s="44"/>
      <c r="AI4" s="66"/>
      <c r="AJ4" s="66"/>
      <c r="AK4" s="66"/>
      <c r="AL4" s="66"/>
      <c r="AM4" s="66"/>
      <c r="AN4" s="83"/>
      <c r="AO4" s="83"/>
      <c r="AP4" s="83"/>
      <c r="AQ4" s="66"/>
      <c r="AR4" s="66"/>
      <c r="AS4" s="66"/>
      <c r="AT4" s="81"/>
      <c r="AU4" s="81"/>
      <c r="AV4" s="81"/>
      <c r="AW4" s="81"/>
      <c r="AX4" s="83">
        <f>SUM(Prog_23[[#This Row],[ADIANTAMENTO]]+Prog_23[[#This Row],[SALDO]]+Prog_23[[#This Row],[MARGEM]]+Prog_23[[#This Row],[ESTADIA 1]])</f>
        <v>0</v>
      </c>
      <c r="AY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4310.1788800000004</v>
      </c>
      <c r="AZ4" s="81">
        <v>3491.06</v>
      </c>
      <c r="BA4" s="81">
        <v>57718.879999999997</v>
      </c>
      <c r="BB4" s="81">
        <v>57.718879999999999</v>
      </c>
      <c r="BC4" s="81">
        <v>0</v>
      </c>
      <c r="BD4" s="81">
        <v>761.4</v>
      </c>
      <c r="BE4" s="81"/>
      <c r="BF4" s="81"/>
      <c r="BG4" s="81"/>
      <c r="BH4" s="81"/>
      <c r="BI4" s="81"/>
      <c r="BJ4" s="81"/>
      <c r="BK4" s="81"/>
      <c r="BL4" s="81"/>
      <c r="BM4" s="81"/>
      <c r="BN4" s="66" t="s">
        <v>2768</v>
      </c>
      <c r="BO4" s="66" t="s">
        <v>2768</v>
      </c>
      <c r="BP4" s="66" t="s">
        <v>2768</v>
      </c>
      <c r="BQ4" s="66" t="str">
        <f>PROPER(TEXT(Prog_23[[#This Row],[PROGRAMAÇÃO CLIENTE]],"mmm"))</f>
        <v>Jan</v>
      </c>
      <c r="BR4" s="66">
        <f>YEAR(Prog_23[[#This Row],[PROGRAMAÇÃO CLIENTE]])</f>
        <v>2023</v>
      </c>
      <c r="BY4" s="296" t="s">
        <v>4897</v>
      </c>
      <c r="BZ4" s="297"/>
      <c r="CA4" s="294">
        <v>2248</v>
      </c>
      <c r="CB4" s="257">
        <f>BZ8*CA4</f>
        <v>4500.2114278067711</v>
      </c>
      <c r="CC4" s="257"/>
      <c r="CD4">
        <v>8284.59</v>
      </c>
      <c r="CE4" s="292">
        <v>528</v>
      </c>
    </row>
    <row r="5" spans="1:84" x14ac:dyDescent="0.25">
      <c r="A5" s="120" t="str">
        <f>Prog_23[[#This Row],[CONTEINER]]</f>
        <v>PONU7512874</v>
      </c>
      <c r="B5" s="86" t="s">
        <v>2771</v>
      </c>
      <c r="C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" s="85">
        <v>44929.25</v>
      </c>
      <c r="E5" s="66" t="s">
        <v>353</v>
      </c>
      <c r="F5" s="66" t="s">
        <v>354</v>
      </c>
      <c r="G5" s="66">
        <v>8166471</v>
      </c>
      <c r="H5" s="44" t="s">
        <v>2952</v>
      </c>
      <c r="I5" s="44" t="s">
        <v>2958</v>
      </c>
      <c r="J5" s="66" t="s">
        <v>301</v>
      </c>
      <c r="K5" s="66">
        <v>3940</v>
      </c>
      <c r="L5" s="66" t="s">
        <v>2959</v>
      </c>
      <c r="M5" s="66">
        <v>25271</v>
      </c>
      <c r="N5" s="66">
        <v>29211</v>
      </c>
      <c r="O5" s="44">
        <v>656936</v>
      </c>
      <c r="P5" s="66" t="s">
        <v>2955</v>
      </c>
      <c r="Q5" s="66" t="s">
        <v>31</v>
      </c>
      <c r="R5" s="66" t="s">
        <v>32</v>
      </c>
      <c r="S5" s="66" t="s">
        <v>33</v>
      </c>
      <c r="T5" s="138" t="str">
        <f>IFERROR(LOOKUP($S5,MOTORISTAS!$D$3:$D$916,MOTORISTAS!E$3:$E$916),"")</f>
        <v>09776430856</v>
      </c>
      <c r="U5" s="138" t="str">
        <f>IFERROR(LOOKUP($S5,MOTORISTAS!$D$3:$D$916,MOTORISTAS!F$3:$F$916),"")</f>
        <v>01258979905</v>
      </c>
      <c r="V5" s="66" t="s">
        <v>292</v>
      </c>
      <c r="W5" s="79">
        <v>44928.746527777781</v>
      </c>
      <c r="X5" s="79">
        <v>44929.163888888892</v>
      </c>
      <c r="Y5" s="79">
        <v>44564.604166666664</v>
      </c>
      <c r="Z5" s="66" t="s">
        <v>306</v>
      </c>
      <c r="AA5" s="79">
        <v>44929.979861111111</v>
      </c>
      <c r="AB5" s="79">
        <v>44929.791666666664</v>
      </c>
      <c r="AC5" s="79">
        <v>44564.5</v>
      </c>
      <c r="AD5" s="79">
        <v>44567.5</v>
      </c>
      <c r="AE5" s="66" t="s">
        <v>835</v>
      </c>
      <c r="AF5" s="44">
        <v>14743</v>
      </c>
      <c r="AG5" s="254">
        <f>Prog_23[[#This Row],[SAÍDA DO CLIENTE]]-Prog_23[[#This Row],[PROGRAMAÇÃO CLIENTE]]</f>
        <v>-364.64583333333576</v>
      </c>
      <c r="AH5" s="44"/>
      <c r="AI5" s="66"/>
      <c r="AJ5" s="66"/>
      <c r="AK5" s="66"/>
      <c r="AL5" s="66"/>
      <c r="AM5" s="66"/>
      <c r="AN5" s="83"/>
      <c r="AO5" s="83"/>
      <c r="AP5" s="83"/>
      <c r="AQ5" s="66"/>
      <c r="AR5" s="66"/>
      <c r="AS5" s="66"/>
      <c r="AT5" s="81"/>
      <c r="AU5" s="81"/>
      <c r="AV5" s="81"/>
      <c r="AW5" s="81"/>
      <c r="AX5" s="83">
        <f>SUM(Prog_23[[#This Row],[ADIANTAMENTO]]+Prog_23[[#This Row],[SALDO]]+Prog_23[[#This Row],[MARGEM]]+Prog_23[[#This Row],[ESTADIA 1]])</f>
        <v>0</v>
      </c>
      <c r="AY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4310.1788800000004</v>
      </c>
      <c r="AZ5" s="81">
        <v>3491.06</v>
      </c>
      <c r="BA5" s="81">
        <v>57718.879999999997</v>
      </c>
      <c r="BB5" s="81">
        <v>57.718879999999999</v>
      </c>
      <c r="BC5" s="81">
        <v>0</v>
      </c>
      <c r="BD5" s="81">
        <v>761.4</v>
      </c>
      <c r="BE5" s="81"/>
      <c r="BF5" s="81"/>
      <c r="BG5" s="81"/>
      <c r="BH5" s="81"/>
      <c r="BI5" s="81"/>
      <c r="BJ5" s="81"/>
      <c r="BK5" s="81"/>
      <c r="BL5" s="81"/>
      <c r="BM5" s="81"/>
      <c r="BN5" s="66" t="s">
        <v>2768</v>
      </c>
      <c r="BO5" s="66" t="s">
        <v>2768</v>
      </c>
      <c r="BP5" s="66" t="s">
        <v>2768</v>
      </c>
      <c r="BQ5" s="66" t="str">
        <f>PROPER(TEXT(Prog_23[[#This Row],[PROGRAMAÇÃO CLIENTE]],"mmm"))</f>
        <v>Jan</v>
      </c>
      <c r="BR5" s="66">
        <f>YEAR(Prog_23[[#This Row],[PROGRAMAÇÃO CLIENTE]])</f>
        <v>2023</v>
      </c>
      <c r="BY5" s="296" t="s">
        <v>4898</v>
      </c>
      <c r="BZ5" s="297"/>
      <c r="CA5" s="294">
        <v>2802</v>
      </c>
      <c r="CB5" s="257">
        <f>BZ8*CA5</f>
        <v>5609.2492974708948</v>
      </c>
      <c r="CC5" s="257"/>
      <c r="CD5">
        <v>0</v>
      </c>
      <c r="CE5" s="292">
        <v>529</v>
      </c>
    </row>
    <row r="6" spans="1:84" x14ac:dyDescent="0.25">
      <c r="A6" s="120" t="str">
        <f>Prog_23[[#This Row],[CONTEINER]]</f>
        <v>DFSU7090329</v>
      </c>
      <c r="B6" s="86" t="s">
        <v>2771</v>
      </c>
      <c r="C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6" s="85">
        <v>44929.25</v>
      </c>
      <c r="E6" s="66" t="s">
        <v>353</v>
      </c>
      <c r="F6" s="66" t="s">
        <v>354</v>
      </c>
      <c r="G6" s="66">
        <v>8166471</v>
      </c>
      <c r="H6" s="44" t="s">
        <v>2952</v>
      </c>
      <c r="I6" s="44" t="s">
        <v>2960</v>
      </c>
      <c r="J6" s="66" t="s">
        <v>301</v>
      </c>
      <c r="K6" s="66">
        <v>3800</v>
      </c>
      <c r="L6" s="66" t="s">
        <v>2961</v>
      </c>
      <c r="M6" s="66">
        <v>25271</v>
      </c>
      <c r="N6" s="66">
        <v>29071</v>
      </c>
      <c r="O6" s="44">
        <v>656934</v>
      </c>
      <c r="P6" s="66" t="s">
        <v>2955</v>
      </c>
      <c r="Q6" s="66" t="s">
        <v>106</v>
      </c>
      <c r="R6" s="66" t="s">
        <v>107</v>
      </c>
      <c r="S6" s="66" t="s">
        <v>108</v>
      </c>
      <c r="T6" s="138" t="str">
        <f>IFERROR(LOOKUP($S6,MOTORISTAS!$D$3:$D$916,MOTORISTAS!E$3:$E$916),"")</f>
        <v>34927982840</v>
      </c>
      <c r="U6" s="138" t="str">
        <f>IFERROR(LOOKUP($S6,MOTORISTAS!$D$3:$D$916,MOTORISTAS!F$3:$F$916),"")</f>
        <v>03500129879</v>
      </c>
      <c r="V6" s="66" t="s">
        <v>292</v>
      </c>
      <c r="W6" s="79">
        <v>44928.4375</v>
      </c>
      <c r="X6" s="79">
        <v>44929.15625</v>
      </c>
      <c r="Y6" s="79">
        <v>44564.486111111109</v>
      </c>
      <c r="Z6" s="66" t="s">
        <v>306</v>
      </c>
      <c r="AA6" s="79">
        <v>44929.827777777777</v>
      </c>
      <c r="AB6" s="79">
        <v>44929.791666666664</v>
      </c>
      <c r="AC6" s="79">
        <v>44564.5</v>
      </c>
      <c r="AD6" s="79">
        <v>44567.5</v>
      </c>
      <c r="AE6" s="66" t="s">
        <v>835</v>
      </c>
      <c r="AF6" s="44">
        <v>14740</v>
      </c>
      <c r="AG6" s="254">
        <f>Prog_23[[#This Row],[SAÍDA DO CLIENTE]]-Prog_23[[#This Row],[PROGRAMAÇÃO CLIENTE]]</f>
        <v>-364.76388888889051</v>
      </c>
      <c r="AH6" s="44"/>
      <c r="AI6" s="66"/>
      <c r="AJ6" s="66"/>
      <c r="AK6" s="66"/>
      <c r="AL6" s="66"/>
      <c r="AM6" s="66"/>
      <c r="AN6" s="83"/>
      <c r="AO6" s="83"/>
      <c r="AP6" s="83"/>
      <c r="AQ6" s="66"/>
      <c r="AR6" s="66"/>
      <c r="AS6" s="66"/>
      <c r="AT6" s="81"/>
      <c r="AU6" s="81"/>
      <c r="AV6" s="81"/>
      <c r="AW6" s="81"/>
      <c r="AX6" s="83">
        <f>SUM(Prog_23[[#This Row],[ADIANTAMENTO]]+Prog_23[[#This Row],[SALDO]]+Prog_23[[#This Row],[MARGEM]]+Prog_23[[#This Row],[ESTADIA 1]])</f>
        <v>0</v>
      </c>
      <c r="AY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4310.1788800000004</v>
      </c>
      <c r="AZ6" s="81">
        <v>3491.06</v>
      </c>
      <c r="BA6" s="81">
        <v>57718.879999999997</v>
      </c>
      <c r="BB6" s="81">
        <v>57.718879999999999</v>
      </c>
      <c r="BC6" s="81">
        <v>0</v>
      </c>
      <c r="BD6" s="81">
        <v>761.4</v>
      </c>
      <c r="BE6" s="81"/>
      <c r="BF6" s="81"/>
      <c r="BG6" s="81"/>
      <c r="BH6" s="81"/>
      <c r="BI6" s="81"/>
      <c r="BJ6" s="81"/>
      <c r="BK6" s="81"/>
      <c r="BL6" s="81"/>
      <c r="BM6" s="81"/>
      <c r="BN6" s="66" t="s">
        <v>2768</v>
      </c>
      <c r="BO6" s="66" t="s">
        <v>2768</v>
      </c>
      <c r="BP6" s="66" t="s">
        <v>2768</v>
      </c>
      <c r="BQ6" s="66" t="str">
        <f>PROPER(TEXT(Prog_23[[#This Row],[PROGRAMAÇÃO CLIENTE]],"mmm"))</f>
        <v>Jan</v>
      </c>
      <c r="BR6" s="66">
        <f>YEAR(Prog_23[[#This Row],[PROGRAMAÇÃO CLIENTE]])</f>
        <v>2023</v>
      </c>
      <c r="BY6" s="296" t="s">
        <v>4899</v>
      </c>
      <c r="BZ6" s="297"/>
      <c r="CA6" s="294">
        <v>5</v>
      </c>
      <c r="CB6" s="257">
        <f>BZ8*CA6</f>
        <v>10.009367054730362</v>
      </c>
      <c r="CC6" s="257"/>
      <c r="CE6" s="292">
        <v>530</v>
      </c>
    </row>
    <row r="7" spans="1:84" x14ac:dyDescent="0.25">
      <c r="A7" s="120" t="str">
        <f>Prog_23[[#This Row],[CONTEINER]]</f>
        <v>MSKU9295401</v>
      </c>
      <c r="B7" s="86" t="s">
        <v>2771</v>
      </c>
      <c r="C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7" s="85">
        <v>44929.25</v>
      </c>
      <c r="E7" s="66" t="s">
        <v>353</v>
      </c>
      <c r="F7" s="66" t="s">
        <v>354</v>
      </c>
      <c r="G7" s="66">
        <v>8166471</v>
      </c>
      <c r="H7" s="44" t="s">
        <v>2952</v>
      </c>
      <c r="I7" s="44" t="s">
        <v>2962</v>
      </c>
      <c r="J7" s="66" t="s">
        <v>301</v>
      </c>
      <c r="K7" s="66">
        <v>3880</v>
      </c>
      <c r="L7" s="66" t="s">
        <v>2963</v>
      </c>
      <c r="M7" s="66">
        <v>25271</v>
      </c>
      <c r="N7" s="66">
        <v>29151</v>
      </c>
      <c r="O7" s="44">
        <v>656932</v>
      </c>
      <c r="P7" s="66" t="s">
        <v>2955</v>
      </c>
      <c r="Q7" s="66" t="s">
        <v>150</v>
      </c>
      <c r="R7" s="66" t="s">
        <v>151</v>
      </c>
      <c r="S7" s="66" t="s">
        <v>152</v>
      </c>
      <c r="T7" s="138" t="str">
        <f>IFERROR(LOOKUP($S7,MOTORISTAS!$D$3:$D$916,MOTORISTAS!E$3:$E$916),"")</f>
        <v>05753633803</v>
      </c>
      <c r="U7" s="138" t="str">
        <f>IFERROR(LOOKUP($S7,MOTORISTAS!$D$3:$D$916,MOTORISTAS!F$3:$F$916),"")</f>
        <v>01922497849</v>
      </c>
      <c r="V7" s="66" t="s">
        <v>292</v>
      </c>
      <c r="W7" s="79">
        <v>44928.444444444445</v>
      </c>
      <c r="X7" s="79">
        <v>44929.159722222219</v>
      </c>
      <c r="Y7" s="79">
        <v>44564.444444444445</v>
      </c>
      <c r="Z7" s="66" t="s">
        <v>306</v>
      </c>
      <c r="AA7" s="79">
        <v>44929.851388888892</v>
      </c>
      <c r="AB7" s="79">
        <v>44929.791666666664</v>
      </c>
      <c r="AC7" s="79">
        <v>44564.5</v>
      </c>
      <c r="AD7" s="79">
        <v>44567.5</v>
      </c>
      <c r="AE7" s="66" t="s">
        <v>835</v>
      </c>
      <c r="AF7" s="44">
        <v>14739</v>
      </c>
      <c r="AG7" s="254">
        <f>Prog_23[[#This Row],[SAÍDA DO CLIENTE]]-Prog_23[[#This Row],[PROGRAMAÇÃO CLIENTE]]</f>
        <v>-364.80555555555475</v>
      </c>
      <c r="AH7" s="44"/>
      <c r="AI7" s="66"/>
      <c r="AJ7" s="66"/>
      <c r="AK7" s="66"/>
      <c r="AL7" s="66"/>
      <c r="AM7" s="66"/>
      <c r="AN7" s="83"/>
      <c r="AO7" s="83"/>
      <c r="AP7" s="83"/>
      <c r="AQ7" s="66"/>
      <c r="AR7" s="66"/>
      <c r="AS7" s="66"/>
      <c r="AT7" s="81"/>
      <c r="AU7" s="81"/>
      <c r="AV7" s="81"/>
      <c r="AW7" s="81"/>
      <c r="AX7" s="83">
        <f>SUM(Prog_23[[#This Row],[ADIANTAMENTO]]+Prog_23[[#This Row],[SALDO]]+Prog_23[[#This Row],[MARGEM]]+Prog_23[[#This Row],[ESTADIA 1]])</f>
        <v>0</v>
      </c>
      <c r="AY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4310.1788800000004</v>
      </c>
      <c r="AZ7" s="81">
        <v>3491.06</v>
      </c>
      <c r="BA7" s="81">
        <v>57718.879999999997</v>
      </c>
      <c r="BB7" s="81">
        <v>57.718879999999999</v>
      </c>
      <c r="BC7" s="81">
        <v>0</v>
      </c>
      <c r="BD7" s="81">
        <v>761.4</v>
      </c>
      <c r="BE7" s="81"/>
      <c r="BF7" s="81"/>
      <c r="BG7" s="81"/>
      <c r="BH7" s="81"/>
      <c r="BI7" s="81"/>
      <c r="BJ7" s="81"/>
      <c r="BK7" s="81"/>
      <c r="BL7" s="81"/>
      <c r="BM7" s="81"/>
      <c r="BN7" s="66" t="s">
        <v>2768</v>
      </c>
      <c r="BO7" s="66" t="s">
        <v>2768</v>
      </c>
      <c r="BP7" s="66" t="s">
        <v>2768</v>
      </c>
      <c r="BQ7" s="66" t="str">
        <f>PROPER(TEXT(Prog_23[[#This Row],[PROGRAMAÇÃO CLIENTE]],"mmm"))</f>
        <v>Jan</v>
      </c>
      <c r="BR7" s="66">
        <f>YEAR(Prog_23[[#This Row],[PROGRAMAÇÃO CLIENTE]])</f>
        <v>2023</v>
      </c>
      <c r="BY7" s="296" t="s">
        <v>4900</v>
      </c>
      <c r="BZ7" s="297"/>
      <c r="CA7" s="294">
        <v>1494</v>
      </c>
      <c r="CB7" s="257">
        <f>BZ8*CA7</f>
        <v>2990.7988759534323</v>
      </c>
      <c r="CC7" s="257"/>
      <c r="CE7" s="292">
        <v>531</v>
      </c>
    </row>
    <row r="8" spans="1:84" x14ac:dyDescent="0.25">
      <c r="A8" s="120" t="str">
        <f>Prog_23[[#This Row],[CONTEINER]]</f>
        <v>SUDU6675551</v>
      </c>
      <c r="B8" s="86" t="s">
        <v>2771</v>
      </c>
      <c r="C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8" s="85">
        <v>44929.5</v>
      </c>
      <c r="E8" s="66" t="s">
        <v>353</v>
      </c>
      <c r="F8" s="66" t="s">
        <v>354</v>
      </c>
      <c r="G8" s="66">
        <v>8166466</v>
      </c>
      <c r="H8" s="44" t="s">
        <v>2964</v>
      </c>
      <c r="I8" s="44" t="s">
        <v>2965</v>
      </c>
      <c r="J8" s="66" t="s">
        <v>301</v>
      </c>
      <c r="K8" s="66">
        <v>3950</v>
      </c>
      <c r="L8" s="66" t="s">
        <v>2966</v>
      </c>
      <c r="M8" s="66">
        <v>25271</v>
      </c>
      <c r="N8" s="66">
        <v>29221</v>
      </c>
      <c r="O8" s="44">
        <v>656978</v>
      </c>
      <c r="P8" s="66" t="s">
        <v>2955</v>
      </c>
      <c r="Q8" s="66" t="s">
        <v>72</v>
      </c>
      <c r="R8" s="66" t="s">
        <v>73</v>
      </c>
      <c r="S8" s="66" t="s">
        <v>203</v>
      </c>
      <c r="T8" s="138" t="str">
        <f>IFERROR(LOOKUP($S8,MOTORISTAS!$D$3:$D$916,MOTORISTAS!E$3:$E$916),"")</f>
        <v>10395859816</v>
      </c>
      <c r="U8" s="138" t="str">
        <f>IFERROR(LOOKUP($S8,MOTORISTAS!$D$3:$D$916,MOTORISTAS!F$3:$F$916),"")</f>
        <v>01965794851</v>
      </c>
      <c r="V8" s="66" t="s">
        <v>292</v>
      </c>
      <c r="W8" s="79">
        <v>44928.461805555555</v>
      </c>
      <c r="X8" s="79">
        <v>44929.322916666664</v>
      </c>
      <c r="Y8" s="79">
        <v>44929.833333333336</v>
      </c>
      <c r="Z8" s="66" t="s">
        <v>306</v>
      </c>
      <c r="AA8" s="79">
        <v>44930.15902777778</v>
      </c>
      <c r="AB8" s="79">
        <v>44929.791666666664</v>
      </c>
      <c r="AC8" s="79">
        <v>44564.5</v>
      </c>
      <c r="AD8" s="79">
        <v>44567.5</v>
      </c>
      <c r="AE8" s="66" t="s">
        <v>835</v>
      </c>
      <c r="AF8" s="44">
        <v>14750</v>
      </c>
      <c r="AG8" s="254">
        <f>Prog_23[[#This Row],[SAÍDA DO CLIENTE]]-Prog_23[[#This Row],[PROGRAMAÇÃO CLIENTE]]</f>
        <v>0.33333333333575865</v>
      </c>
      <c r="AH8" s="44"/>
      <c r="AI8" s="66"/>
      <c r="AJ8" s="66"/>
      <c r="AK8" s="66"/>
      <c r="AL8" s="66"/>
      <c r="AM8" s="66"/>
      <c r="AN8" s="83"/>
      <c r="AO8" s="83"/>
      <c r="AP8" s="83"/>
      <c r="AQ8" s="66"/>
      <c r="AR8" s="66"/>
      <c r="AS8" s="66"/>
      <c r="AT8" s="81"/>
      <c r="AU8" s="81"/>
      <c r="AV8" s="81"/>
      <c r="AW8" s="81"/>
      <c r="AX8" s="83">
        <f>SUM(Prog_23[[#This Row],[ADIANTAMENTO]]+Prog_23[[#This Row],[SALDO]]+Prog_23[[#This Row],[MARGEM]]+Prog_23[[#This Row],[ESTADIA 1]])</f>
        <v>0</v>
      </c>
      <c r="AY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8" s="81">
        <v>3491.06</v>
      </c>
      <c r="BA8" s="81"/>
      <c r="BB8" s="81">
        <v>0</v>
      </c>
      <c r="BC8" s="81">
        <f>Prog_23[[#This Row],[VLR NF]]*0.05%</f>
        <v>0</v>
      </c>
      <c r="BD8" s="81">
        <v>761.4</v>
      </c>
      <c r="BE8" s="81"/>
      <c r="BF8" s="81"/>
      <c r="BG8" s="81"/>
      <c r="BH8" s="81"/>
      <c r="BI8" s="81"/>
      <c r="BJ8" s="81"/>
      <c r="BK8" s="81"/>
      <c r="BL8" s="81"/>
      <c r="BM8" s="81"/>
      <c r="BN8" s="66" t="s">
        <v>2768</v>
      </c>
      <c r="BO8" s="66" t="s">
        <v>2768</v>
      </c>
      <c r="BP8" s="66" t="s">
        <v>2768</v>
      </c>
      <c r="BQ8" s="66" t="str">
        <f>PROPER(TEXT(Prog_23[[#This Row],[PROGRAMAÇÃO CLIENTE]],"mmm"))</f>
        <v>Jan</v>
      </c>
      <c r="BR8" s="66">
        <f>YEAR(Prog_23[[#This Row],[PROGRAMAÇÃO CLIENTE]])</f>
        <v>2023</v>
      </c>
      <c r="BZ8" s="257">
        <f>BZ3/CA8</f>
        <v>2.0018734109460725</v>
      </c>
      <c r="CA8">
        <f>SUM(CA3:CA7)</f>
        <v>7473</v>
      </c>
      <c r="CB8" s="257">
        <f>SUM(CB3:CB7)</f>
        <v>14960</v>
      </c>
      <c r="CC8" s="257"/>
      <c r="CD8">
        <f>SUM(CD3:CD7)</f>
        <v>11362.6</v>
      </c>
    </row>
    <row r="9" spans="1:84" x14ac:dyDescent="0.25">
      <c r="A9" s="120" t="str">
        <f>Prog_23[[#This Row],[CONTEINER]]</f>
        <v>MRSU4855021</v>
      </c>
      <c r="B9" s="86" t="s">
        <v>2771</v>
      </c>
      <c r="C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9" s="85">
        <v>44929.5</v>
      </c>
      <c r="E9" s="66" t="s">
        <v>353</v>
      </c>
      <c r="F9" s="66" t="s">
        <v>354</v>
      </c>
      <c r="G9" s="66">
        <v>8166466</v>
      </c>
      <c r="H9" s="44" t="s">
        <v>2964</v>
      </c>
      <c r="I9" s="44" t="s">
        <v>2967</v>
      </c>
      <c r="J9" s="66" t="s">
        <v>301</v>
      </c>
      <c r="K9" s="66">
        <v>3720</v>
      </c>
      <c r="L9" s="66" t="s">
        <v>2968</v>
      </c>
      <c r="M9" s="66">
        <v>25271</v>
      </c>
      <c r="N9" s="66">
        <v>28991</v>
      </c>
      <c r="O9" s="44">
        <v>656935</v>
      </c>
      <c r="P9" s="66" t="s">
        <v>2955</v>
      </c>
      <c r="Q9" s="66" t="s">
        <v>68</v>
      </c>
      <c r="R9" s="66" t="s">
        <v>36</v>
      </c>
      <c r="S9" s="66" t="s">
        <v>69</v>
      </c>
      <c r="T9" s="138" t="str">
        <f>IFERROR(LOOKUP($S9,MOTORISTAS!$D$3:$D$916,MOTORISTAS!E$3:$E$916),"")</f>
        <v>07968457866</v>
      </c>
      <c r="U9" s="138" t="str">
        <f>IFERROR(LOOKUP($S9,MOTORISTAS!$D$3:$D$916,MOTORISTAS!F$3:$F$916),"")</f>
        <v>03264365790</v>
      </c>
      <c r="V9" s="66" t="s">
        <v>292</v>
      </c>
      <c r="W9" s="79">
        <v>44928.4375</v>
      </c>
      <c r="X9" s="79">
        <v>44929.15625</v>
      </c>
      <c r="Y9" s="79">
        <v>44929.5625</v>
      </c>
      <c r="Z9" s="66" t="s">
        <v>306</v>
      </c>
      <c r="AA9" s="79">
        <v>44929.775694444441</v>
      </c>
      <c r="AB9" s="79">
        <v>44929.791666666664</v>
      </c>
      <c r="AC9" s="79">
        <v>44564.5</v>
      </c>
      <c r="AD9" s="79">
        <v>44567.5</v>
      </c>
      <c r="AE9" s="66" t="s">
        <v>835</v>
      </c>
      <c r="AF9" s="44">
        <v>14742</v>
      </c>
      <c r="AG9" s="254">
        <f>Prog_23[[#This Row],[SAÍDA DO CLIENTE]]-Prog_23[[#This Row],[PROGRAMAÇÃO CLIENTE]]</f>
        <v>6.25E-2</v>
      </c>
      <c r="AH9" s="44"/>
      <c r="AI9" s="66"/>
      <c r="AJ9" s="66"/>
      <c r="AK9" s="66"/>
      <c r="AL9" s="66"/>
      <c r="AM9" s="66"/>
      <c r="AN9" s="83"/>
      <c r="AO9" s="83"/>
      <c r="AP9" s="83"/>
      <c r="AQ9" s="66"/>
      <c r="AR9" s="66"/>
      <c r="AS9" s="66"/>
      <c r="AT9" s="81"/>
      <c r="AU9" s="81"/>
      <c r="AV9" s="81"/>
      <c r="AW9" s="81"/>
      <c r="AX9" s="83">
        <f>SUM(Prog_23[[#This Row],[ADIANTAMENTO]]+Prog_23[[#This Row],[SALDO]]+Prog_23[[#This Row],[MARGEM]]+Prog_23[[#This Row],[ESTADIA 1]])</f>
        <v>0</v>
      </c>
      <c r="AY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9" s="81">
        <v>3491.06</v>
      </c>
      <c r="BA9" s="81"/>
      <c r="BB9" s="81">
        <v>0</v>
      </c>
      <c r="BC9" s="81">
        <f>Prog_23[[#This Row],[VLR NF]]*0.05%</f>
        <v>0</v>
      </c>
      <c r="BD9" s="81">
        <v>761.4</v>
      </c>
      <c r="BE9" s="81"/>
      <c r="BF9" s="81"/>
      <c r="BG9" s="81"/>
      <c r="BH9" s="81"/>
      <c r="BI9" s="81"/>
      <c r="BJ9" s="81"/>
      <c r="BK9" s="81"/>
      <c r="BL9" s="81"/>
      <c r="BM9" s="81"/>
      <c r="BN9" s="66" t="s">
        <v>2768</v>
      </c>
      <c r="BO9" s="66" t="s">
        <v>2768</v>
      </c>
      <c r="BP9" s="66" t="s">
        <v>2768</v>
      </c>
      <c r="BQ9" s="66" t="str">
        <f>PROPER(TEXT(Prog_23[[#This Row],[PROGRAMAÇÃO CLIENTE]],"mmm"))</f>
        <v>Jan</v>
      </c>
      <c r="BR9" s="66">
        <f>YEAR(Prog_23[[#This Row],[PROGRAMAÇÃO CLIENTE]])</f>
        <v>2023</v>
      </c>
    </row>
    <row r="10" spans="1:84" x14ac:dyDescent="0.25">
      <c r="A10" s="120" t="str">
        <f>Prog_23[[#This Row],[CONTEINER]]</f>
        <v>TEMU6716220</v>
      </c>
      <c r="B10" s="86" t="s">
        <v>2771</v>
      </c>
      <c r="C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0" s="85">
        <v>44929.5</v>
      </c>
      <c r="E10" s="66" t="s">
        <v>353</v>
      </c>
      <c r="F10" s="66" t="s">
        <v>354</v>
      </c>
      <c r="G10" s="66">
        <v>8166466</v>
      </c>
      <c r="H10" s="44" t="s">
        <v>2964</v>
      </c>
      <c r="I10" s="44" t="s">
        <v>2969</v>
      </c>
      <c r="J10" s="66" t="s">
        <v>301</v>
      </c>
      <c r="K10" s="66">
        <v>3890</v>
      </c>
      <c r="L10" s="66" t="s">
        <v>2970</v>
      </c>
      <c r="M10" s="66">
        <v>25271</v>
      </c>
      <c r="N10" s="66">
        <v>29161</v>
      </c>
      <c r="O10" s="44">
        <v>656980</v>
      </c>
      <c r="P10" s="66" t="s">
        <v>2955</v>
      </c>
      <c r="Q10" s="66" t="s">
        <v>210</v>
      </c>
      <c r="R10" s="66" t="s">
        <v>211</v>
      </c>
      <c r="S10" s="66" t="s">
        <v>212</v>
      </c>
      <c r="T10" s="138" t="str">
        <f>IFERROR(LOOKUP($S10,MOTORISTAS!$D$3:$D$916,MOTORISTAS!E$3:$E$916),"")</f>
        <v>38029906846</v>
      </c>
      <c r="U10" s="138" t="str">
        <f>IFERROR(LOOKUP($S10,MOTORISTAS!$D$3:$D$916,MOTORISTAS!F$3:$F$916),"")</f>
        <v>04946846842</v>
      </c>
      <c r="V10" s="66" t="s">
        <v>292</v>
      </c>
      <c r="W10" s="79">
        <v>44563.875</v>
      </c>
      <c r="X10" s="79">
        <v>44564.25</v>
      </c>
      <c r="Y10" s="79">
        <v>44564.791666666664</v>
      </c>
      <c r="Z10" s="66" t="s">
        <v>306</v>
      </c>
      <c r="AA10" s="79">
        <v>44930.515277777777</v>
      </c>
      <c r="AB10" s="79">
        <v>44929.791666666664</v>
      </c>
      <c r="AC10" s="79">
        <v>44564.5</v>
      </c>
      <c r="AD10" s="79">
        <v>44567.5</v>
      </c>
      <c r="AE10" s="66" t="s">
        <v>835</v>
      </c>
      <c r="AF10" s="44">
        <v>14751</v>
      </c>
      <c r="AG10" s="254">
        <f>Prog_23[[#This Row],[SAÍDA DO CLIENTE]]-Prog_23[[#This Row],[PROGRAMAÇÃO CLIENTE]]</f>
        <v>-364.70833333333576</v>
      </c>
      <c r="AH10" s="44"/>
      <c r="AI10" s="66"/>
      <c r="AJ10" s="66"/>
      <c r="AK10" s="66"/>
      <c r="AL10" s="66"/>
      <c r="AM10" s="66"/>
      <c r="AN10" s="83"/>
      <c r="AO10" s="83"/>
      <c r="AP10" s="83"/>
      <c r="AQ10" s="66"/>
      <c r="AR10" s="66"/>
      <c r="AS10" s="66"/>
      <c r="AT10" s="81"/>
      <c r="AU10" s="81"/>
      <c r="AV10" s="81"/>
      <c r="AW10" s="81"/>
      <c r="AX10" s="83">
        <f>SUM(Prog_23[[#This Row],[ADIANTAMENTO]]+Prog_23[[#This Row],[SALDO]]+Prog_23[[#This Row],[MARGEM]]+Prog_23[[#This Row],[ESTADIA 1]])</f>
        <v>0</v>
      </c>
      <c r="AY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10" s="81">
        <v>3491.06</v>
      </c>
      <c r="BA10" s="81"/>
      <c r="BB10" s="81">
        <v>0</v>
      </c>
      <c r="BC10" s="81">
        <f>Prog_23[[#This Row],[VLR NF]]*0.05%</f>
        <v>0</v>
      </c>
      <c r="BD10" s="81">
        <v>761.4</v>
      </c>
      <c r="BE10" s="81"/>
      <c r="BF10" s="81"/>
      <c r="BG10" s="81"/>
      <c r="BH10" s="81"/>
      <c r="BI10" s="81"/>
      <c r="BJ10" s="81"/>
      <c r="BK10" s="81"/>
      <c r="BL10" s="81"/>
      <c r="BM10" s="81"/>
      <c r="BN10" s="66" t="s">
        <v>2768</v>
      </c>
      <c r="BO10" s="66" t="s">
        <v>2768</v>
      </c>
      <c r="BP10" s="66" t="s">
        <v>2768</v>
      </c>
      <c r="BQ10" s="66" t="str">
        <f>PROPER(TEXT(Prog_23[[#This Row],[PROGRAMAÇÃO CLIENTE]],"mmm"))</f>
        <v>Jan</v>
      </c>
      <c r="BR10" s="66">
        <f>YEAR(Prog_23[[#This Row],[PROGRAMAÇÃO CLIENTE]])</f>
        <v>2023</v>
      </c>
      <c r="CB10" s="289" t="s">
        <v>5822</v>
      </c>
      <c r="CC10" s="289"/>
      <c r="CD10" s="290">
        <v>17000</v>
      </c>
    </row>
    <row r="11" spans="1:84" x14ac:dyDescent="0.25">
      <c r="A11" s="120" t="str">
        <f>Prog_23[[#This Row],[CONTEINER]]</f>
        <v>MSKU8878132</v>
      </c>
      <c r="B11" s="86" t="s">
        <v>2771</v>
      </c>
      <c r="C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1" s="85">
        <v>44929.5</v>
      </c>
      <c r="E11" s="66" t="s">
        <v>353</v>
      </c>
      <c r="F11" s="66" t="s">
        <v>354</v>
      </c>
      <c r="G11" s="66">
        <v>8166466</v>
      </c>
      <c r="H11" s="44" t="s">
        <v>2964</v>
      </c>
      <c r="I11" s="44" t="s">
        <v>2971</v>
      </c>
      <c r="J11" s="66" t="s">
        <v>301</v>
      </c>
      <c r="K11" s="66">
        <v>3880</v>
      </c>
      <c r="L11" s="66" t="s">
        <v>2972</v>
      </c>
      <c r="M11" s="66">
        <v>25271</v>
      </c>
      <c r="N11" s="66">
        <v>29151</v>
      </c>
      <c r="O11" s="44">
        <v>656941</v>
      </c>
      <c r="P11" s="66" t="s">
        <v>2955</v>
      </c>
      <c r="Q11" s="66" t="s">
        <v>119</v>
      </c>
      <c r="R11" s="66" t="s">
        <v>120</v>
      </c>
      <c r="S11" s="66" t="s">
        <v>121</v>
      </c>
      <c r="T11" s="138" t="str">
        <f>IFERROR(LOOKUP($S11,MOTORISTAS!$D$3:$D$916,MOTORISTAS!E$3:$E$916),"")</f>
        <v>34597330801</v>
      </c>
      <c r="U11" s="138" t="str">
        <f>IFERROR(LOOKUP($S11,MOTORISTAS!$D$3:$D$916,MOTORISTAS!F$3:$F$916),"")</f>
        <v>03565076543</v>
      </c>
      <c r="V11" s="66" t="s">
        <v>292</v>
      </c>
      <c r="W11" s="79">
        <v>44563.875</v>
      </c>
      <c r="X11" s="79">
        <v>44564.208333333336</v>
      </c>
      <c r="Y11" s="79">
        <v>44929.611111111109</v>
      </c>
      <c r="Z11" s="66" t="s">
        <v>306</v>
      </c>
      <c r="AA11" s="79">
        <v>44929.989583333336</v>
      </c>
      <c r="AB11" s="79">
        <v>44929.791666666664</v>
      </c>
      <c r="AC11" s="79">
        <v>44564.5</v>
      </c>
      <c r="AD11" s="79">
        <v>44567.5</v>
      </c>
      <c r="AE11" s="66" t="s">
        <v>835</v>
      </c>
      <c r="AF11" s="44">
        <v>14744</v>
      </c>
      <c r="AG11" s="254">
        <f>Prog_23[[#This Row],[SAÍDA DO CLIENTE]]-Prog_23[[#This Row],[PROGRAMAÇÃO CLIENTE]]</f>
        <v>0.11111111110949423</v>
      </c>
      <c r="AH11" s="44"/>
      <c r="AI11" s="66"/>
      <c r="AJ11" s="66"/>
      <c r="AK11" s="66"/>
      <c r="AL11" s="66"/>
      <c r="AM11" s="66"/>
      <c r="AN11" s="83"/>
      <c r="AO11" s="83"/>
      <c r="AP11" s="83"/>
      <c r="AQ11" s="66"/>
      <c r="AR11" s="66"/>
      <c r="AS11" s="66"/>
      <c r="AT11" s="81"/>
      <c r="AU11" s="81"/>
      <c r="AV11" s="81"/>
      <c r="AW11" s="81"/>
      <c r="AX11" s="83">
        <f>SUM(Prog_23[[#This Row],[ADIANTAMENTO]]+Prog_23[[#This Row],[SALDO]]+Prog_23[[#This Row],[MARGEM]]+Prog_23[[#This Row],[ESTADIA 1]])</f>
        <v>0</v>
      </c>
      <c r="AY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11" s="81">
        <v>3491.06</v>
      </c>
      <c r="BA11" s="81"/>
      <c r="BB11" s="81">
        <v>0</v>
      </c>
      <c r="BC11" s="81">
        <f>Prog_23[[#This Row],[VLR NF]]*0.05%</f>
        <v>0</v>
      </c>
      <c r="BD11" s="81">
        <v>761.4</v>
      </c>
      <c r="BE11" s="81"/>
      <c r="BF11" s="81"/>
      <c r="BG11" s="81"/>
      <c r="BH11" s="81"/>
      <c r="BI11" s="81"/>
      <c r="BJ11" s="81"/>
      <c r="BK11" s="81"/>
      <c r="BL11" s="81"/>
      <c r="BM11" s="81"/>
      <c r="BN11" s="66" t="s">
        <v>2768</v>
      </c>
      <c r="BO11" s="66" t="s">
        <v>2768</v>
      </c>
      <c r="BP11" s="66" t="s">
        <v>2768</v>
      </c>
      <c r="BQ11" s="66" t="str">
        <f>PROPER(TEXT(Prog_23[[#This Row],[PROGRAMAÇÃO CLIENTE]],"mmm"))</f>
        <v>Jan</v>
      </c>
      <c r="BR11" s="66">
        <f>YEAR(Prog_23[[#This Row],[PROGRAMAÇÃO CLIENTE]])</f>
        <v>2023</v>
      </c>
    </row>
    <row r="12" spans="1:84" x14ac:dyDescent="0.25">
      <c r="A12" s="120" t="str">
        <f>Prog_23[[#This Row],[CONTEINER]]</f>
        <v>TGHU6796192</v>
      </c>
      <c r="B12" s="86" t="s">
        <v>2771</v>
      </c>
      <c r="C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2" s="85">
        <v>44929.5</v>
      </c>
      <c r="E12" s="66" t="s">
        <v>353</v>
      </c>
      <c r="F12" s="66" t="s">
        <v>354</v>
      </c>
      <c r="G12" s="66">
        <v>8166466</v>
      </c>
      <c r="H12" s="44" t="s">
        <v>2964</v>
      </c>
      <c r="I12" s="44" t="s">
        <v>2973</v>
      </c>
      <c r="J12" s="66" t="s">
        <v>301</v>
      </c>
      <c r="K12" s="66">
        <v>3890</v>
      </c>
      <c r="L12" s="66" t="s">
        <v>2974</v>
      </c>
      <c r="M12" s="66">
        <v>25271</v>
      </c>
      <c r="N12" s="66">
        <v>29161</v>
      </c>
      <c r="O12" s="44">
        <v>656961</v>
      </c>
      <c r="P12" s="66" t="s">
        <v>2955</v>
      </c>
      <c r="Q12" s="66" t="s">
        <v>192</v>
      </c>
      <c r="R12" s="66" t="s">
        <v>193</v>
      </c>
      <c r="S12" s="66" t="s">
        <v>194</v>
      </c>
      <c r="T12" s="138" t="str">
        <f>IFERROR(LOOKUP($S12,MOTORISTAS!$D$3:$D$916,MOTORISTAS!E$3:$E$916),"")</f>
        <v>38529612892</v>
      </c>
      <c r="U12" s="138" t="str">
        <f>IFERROR(LOOKUP($S12,MOTORISTAS!$D$3:$D$916,MOTORISTAS!F$3:$F$916),"")</f>
        <v>05021398574</v>
      </c>
      <c r="V12" s="66" t="s">
        <v>292</v>
      </c>
      <c r="W12" s="79">
        <v>44563.875</v>
      </c>
      <c r="X12" s="79">
        <v>44564.1875</v>
      </c>
      <c r="Y12" s="79">
        <v>44564.722222222219</v>
      </c>
      <c r="Z12" s="66" t="s">
        <v>306</v>
      </c>
      <c r="AA12" s="79">
        <v>44930.15347222222</v>
      </c>
      <c r="AB12" s="79">
        <v>44929.791666666664</v>
      </c>
      <c r="AC12" s="79">
        <v>44564.5</v>
      </c>
      <c r="AD12" s="79">
        <v>44567.5</v>
      </c>
      <c r="AE12" s="66" t="s">
        <v>835</v>
      </c>
      <c r="AF12" s="44">
        <v>14748</v>
      </c>
      <c r="AG12" s="254">
        <f>Prog_23[[#This Row],[SAÍDA DO CLIENTE]]-Prog_23[[#This Row],[PROGRAMAÇÃO CLIENTE]]</f>
        <v>-364.77777777778101</v>
      </c>
      <c r="AH12" s="44"/>
      <c r="AI12" s="66"/>
      <c r="AJ12" s="66"/>
      <c r="AK12" s="66"/>
      <c r="AL12" s="66"/>
      <c r="AM12" s="66"/>
      <c r="AN12" s="83"/>
      <c r="AO12" s="83"/>
      <c r="AP12" s="83"/>
      <c r="AQ12" s="66"/>
      <c r="AR12" s="66"/>
      <c r="AS12" s="66"/>
      <c r="AT12" s="81"/>
      <c r="AU12" s="81"/>
      <c r="AV12" s="81"/>
      <c r="AW12" s="81"/>
      <c r="AX12" s="83">
        <f>SUM(Prog_23[[#This Row],[ADIANTAMENTO]]+Prog_23[[#This Row],[SALDO]]+Prog_23[[#This Row],[MARGEM]]+Prog_23[[#This Row],[ESTADIA 1]])</f>
        <v>0</v>
      </c>
      <c r="AY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12" s="81">
        <v>3491.06</v>
      </c>
      <c r="BA12" s="81"/>
      <c r="BB12" s="81">
        <v>0</v>
      </c>
      <c r="BC12" s="81">
        <f>Prog_23[[#This Row],[VLR NF]]*0.05%</f>
        <v>0</v>
      </c>
      <c r="BD12" s="81">
        <v>761.4</v>
      </c>
      <c r="BE12" s="81"/>
      <c r="BF12" s="81"/>
      <c r="BG12" s="81"/>
      <c r="BH12" s="81"/>
      <c r="BI12" s="81"/>
      <c r="BJ12" s="81"/>
      <c r="BK12" s="81"/>
      <c r="BL12" s="81"/>
      <c r="BM12" s="81"/>
      <c r="BN12" s="66" t="s">
        <v>2768</v>
      </c>
      <c r="BO12" s="66" t="s">
        <v>2768</v>
      </c>
      <c r="BP12" s="66" t="s">
        <v>2768</v>
      </c>
      <c r="BQ12" s="66" t="str">
        <f>PROPER(TEXT(Prog_23[[#This Row],[PROGRAMAÇÃO CLIENTE]],"mmm"))</f>
        <v>Jan</v>
      </c>
      <c r="BR12" s="66">
        <f>YEAR(Prog_23[[#This Row],[PROGRAMAÇÃO CLIENTE]])</f>
        <v>2023</v>
      </c>
    </row>
    <row r="13" spans="1:84" x14ac:dyDescent="0.25">
      <c r="A13" s="120" t="str">
        <f>Prog_23[[#This Row],[CONTEINER]]</f>
        <v>MSKU0844624</v>
      </c>
      <c r="B13" s="86" t="s">
        <v>2771</v>
      </c>
      <c r="C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3" s="85">
        <v>44929.666666666664</v>
      </c>
      <c r="E13" s="66" t="s">
        <v>353</v>
      </c>
      <c r="F13" s="66" t="s">
        <v>354</v>
      </c>
      <c r="G13" s="66">
        <v>8166440</v>
      </c>
      <c r="H13" s="44" t="s">
        <v>2975</v>
      </c>
      <c r="I13" s="44" t="s">
        <v>2976</v>
      </c>
      <c r="J13" s="66" t="s">
        <v>301</v>
      </c>
      <c r="K13" s="66">
        <v>3820</v>
      </c>
      <c r="L13" s="66" t="s">
        <v>2977</v>
      </c>
      <c r="M13" s="66">
        <v>24319</v>
      </c>
      <c r="N13" s="66">
        <v>28139</v>
      </c>
      <c r="O13" s="44">
        <v>657029</v>
      </c>
      <c r="P13" s="66" t="s">
        <v>2955</v>
      </c>
      <c r="Q13" s="66" t="s">
        <v>31</v>
      </c>
      <c r="R13" s="66" t="s">
        <v>32</v>
      </c>
      <c r="S13" s="66" t="s">
        <v>33</v>
      </c>
      <c r="T13" s="138" t="str">
        <f>IFERROR(LOOKUP($S13,MOTORISTAS!$D$3:$D$916,MOTORISTAS!E$3:$E$916),"")</f>
        <v>09776430856</v>
      </c>
      <c r="U13" s="138" t="str">
        <f>IFERROR(LOOKUP($S13,MOTORISTAS!$D$3:$D$916,MOTORISTAS!F$3:$F$916),"")</f>
        <v>01258979905</v>
      </c>
      <c r="V13" s="66" t="s">
        <v>292</v>
      </c>
      <c r="W13" s="79">
        <v>44563.481944444444</v>
      </c>
      <c r="X13" s="79">
        <v>44565.375</v>
      </c>
      <c r="Y13" s="79">
        <v>44930.451388888891</v>
      </c>
      <c r="Z13" s="66" t="s">
        <v>306</v>
      </c>
      <c r="AA13" s="79">
        <v>44930.715277777781</v>
      </c>
      <c r="AB13" s="79">
        <v>44929.791666666664</v>
      </c>
      <c r="AC13" s="79">
        <v>44565.416666666664</v>
      </c>
      <c r="AD13" s="79">
        <v>44567.5</v>
      </c>
      <c r="AE13" s="66" t="s">
        <v>835</v>
      </c>
      <c r="AF13" s="44">
        <v>14759</v>
      </c>
      <c r="AG13" s="254">
        <f>Prog_23[[#This Row],[SAÍDA DO CLIENTE]]-Prog_23[[#This Row],[PROGRAMAÇÃO CLIENTE]]</f>
        <v>0.78472222222626442</v>
      </c>
      <c r="AH13" s="44"/>
      <c r="AI13" s="66"/>
      <c r="AJ13" s="66"/>
      <c r="AK13" s="66"/>
      <c r="AL13" s="66"/>
      <c r="AM13" s="66"/>
      <c r="AN13" s="83"/>
      <c r="AO13" s="83"/>
      <c r="AP13" s="83"/>
      <c r="AQ13" s="66"/>
      <c r="AR13" s="66"/>
      <c r="AS13" s="66"/>
      <c r="AT13" s="81"/>
      <c r="AU13" s="81"/>
      <c r="AV13" s="81"/>
      <c r="AW13" s="81"/>
      <c r="AX13" s="83">
        <f>SUM(Prog_23[[#This Row],[ADIANTAMENTO]]+Prog_23[[#This Row],[SALDO]]+Prog_23[[#This Row],[MARGEM]]+Prog_23[[#This Row],[ESTADIA 1]])</f>
        <v>0</v>
      </c>
      <c r="AY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13" s="81">
        <v>3491.06</v>
      </c>
      <c r="BA13" s="81"/>
      <c r="BB13" s="81">
        <v>0</v>
      </c>
      <c r="BC13" s="81">
        <f>Prog_23[[#This Row],[VLR NF]]*0.05%</f>
        <v>0</v>
      </c>
      <c r="BD13" s="81">
        <v>761.4</v>
      </c>
      <c r="BE13" s="81"/>
      <c r="BF13" s="81"/>
      <c r="BG13" s="81"/>
      <c r="BH13" s="81"/>
      <c r="BI13" s="81"/>
      <c r="BJ13" s="81"/>
      <c r="BK13" s="81"/>
      <c r="BL13" s="81"/>
      <c r="BM13" s="81"/>
      <c r="BN13" s="66" t="s">
        <v>2768</v>
      </c>
      <c r="BO13" s="66" t="s">
        <v>2768</v>
      </c>
      <c r="BP13" s="66" t="s">
        <v>2768</v>
      </c>
      <c r="BQ13" s="66" t="str">
        <f>PROPER(TEXT(Prog_23[[#This Row],[PROGRAMAÇÃO CLIENTE]],"mmm"))</f>
        <v>Jan</v>
      </c>
      <c r="BR13" s="66">
        <f>YEAR(Prog_23[[#This Row],[PROGRAMAÇÃO CLIENTE]])</f>
        <v>2023</v>
      </c>
    </row>
    <row r="14" spans="1:84" x14ac:dyDescent="0.25">
      <c r="A14" s="120" t="str">
        <f>Prog_23[[#This Row],[CONTEINER]]</f>
        <v>MSKU1251393</v>
      </c>
      <c r="B14" s="86" t="s">
        <v>2771</v>
      </c>
      <c r="C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4" s="85">
        <v>44929.666666666664</v>
      </c>
      <c r="E14" s="66" t="s">
        <v>353</v>
      </c>
      <c r="F14" s="66" t="s">
        <v>354</v>
      </c>
      <c r="G14" s="66">
        <v>8166440</v>
      </c>
      <c r="H14" s="44" t="s">
        <v>2975</v>
      </c>
      <c r="I14" s="44" t="s">
        <v>2978</v>
      </c>
      <c r="J14" s="66" t="s">
        <v>301</v>
      </c>
      <c r="K14" s="66">
        <v>3790</v>
      </c>
      <c r="L14" s="66" t="s">
        <v>2979</v>
      </c>
      <c r="M14" s="66">
        <v>24319</v>
      </c>
      <c r="N14" s="66">
        <v>28109</v>
      </c>
      <c r="O14" s="44">
        <v>657003</v>
      </c>
      <c r="P14" s="66" t="s">
        <v>2955</v>
      </c>
      <c r="Q14" s="66" t="s">
        <v>106</v>
      </c>
      <c r="R14" s="66" t="s">
        <v>107</v>
      </c>
      <c r="S14" s="66" t="s">
        <v>108</v>
      </c>
      <c r="T14" s="138" t="str">
        <f>IFERROR(LOOKUP($S14,MOTORISTAS!$D$3:$D$916,MOTORISTAS!E$3:$E$916),"")</f>
        <v>34927982840</v>
      </c>
      <c r="U14" s="138" t="str">
        <f>IFERROR(LOOKUP($S14,MOTORISTAS!$D$3:$D$916,MOTORISTAS!F$3:$F$916),"")</f>
        <v>03500129879</v>
      </c>
      <c r="V14" s="66" t="s">
        <v>292</v>
      </c>
      <c r="W14" s="79">
        <v>44928.583333333336</v>
      </c>
      <c r="X14" s="79">
        <v>44930.208333333336</v>
      </c>
      <c r="Y14" s="79">
        <v>44930.347222222219</v>
      </c>
      <c r="Z14" s="66" t="s">
        <v>306</v>
      </c>
      <c r="AA14" s="79">
        <v>44930.573611111111</v>
      </c>
      <c r="AB14" s="79">
        <v>44929.791666666664</v>
      </c>
      <c r="AC14" s="79">
        <v>44565.416666666664</v>
      </c>
      <c r="AD14" s="79">
        <v>44567.5</v>
      </c>
      <c r="AE14" s="66" t="s">
        <v>835</v>
      </c>
      <c r="AF14" s="44">
        <v>14754</v>
      </c>
      <c r="AG14" s="254">
        <f>Prog_23[[#This Row],[SAÍDA DO CLIENTE]]-Prog_23[[#This Row],[PROGRAMAÇÃO CLIENTE]]</f>
        <v>0.68055555555474712</v>
      </c>
      <c r="AH14" s="44"/>
      <c r="AI14" s="66"/>
      <c r="AJ14" s="66"/>
      <c r="AK14" s="66"/>
      <c r="AL14" s="66"/>
      <c r="AM14" s="66"/>
      <c r="AN14" s="83"/>
      <c r="AO14" s="83"/>
      <c r="AP14" s="83"/>
      <c r="AQ14" s="66"/>
      <c r="AR14" s="66"/>
      <c r="AS14" s="66"/>
      <c r="AT14" s="81"/>
      <c r="AU14" s="81"/>
      <c r="AV14" s="81"/>
      <c r="AW14" s="81"/>
      <c r="AX14" s="83">
        <f>SUM(Prog_23[[#This Row],[ADIANTAMENTO]]+Prog_23[[#This Row],[SALDO]]+Prog_23[[#This Row],[MARGEM]]+Prog_23[[#This Row],[ESTADIA 1]])</f>
        <v>0</v>
      </c>
      <c r="AY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14" s="81">
        <v>3491.06</v>
      </c>
      <c r="BA14" s="81"/>
      <c r="BB14" s="81">
        <v>0</v>
      </c>
      <c r="BC14" s="81">
        <f>Prog_23[[#This Row],[VLR NF]]*0.05%</f>
        <v>0</v>
      </c>
      <c r="BD14" s="81">
        <v>761.4</v>
      </c>
      <c r="BE14" s="81"/>
      <c r="BF14" s="81"/>
      <c r="BG14" s="81"/>
      <c r="BH14" s="81"/>
      <c r="BI14" s="81"/>
      <c r="BJ14" s="81"/>
      <c r="BK14" s="81"/>
      <c r="BL14" s="81"/>
      <c r="BM14" s="81"/>
      <c r="BN14" s="66" t="s">
        <v>2768</v>
      </c>
      <c r="BO14" s="66" t="s">
        <v>2768</v>
      </c>
      <c r="BP14" s="66" t="s">
        <v>2768</v>
      </c>
      <c r="BQ14" s="66" t="str">
        <f>PROPER(TEXT(Prog_23[[#This Row],[PROGRAMAÇÃO CLIENTE]],"mmm"))</f>
        <v>Jan</v>
      </c>
      <c r="BR14" s="66">
        <f>YEAR(Prog_23[[#This Row],[PROGRAMAÇÃO CLIENTE]])</f>
        <v>2023</v>
      </c>
    </row>
    <row r="15" spans="1:84" x14ac:dyDescent="0.25">
      <c r="A15" s="120" t="str">
        <f>Prog_23[[#This Row],[CONTEINER]]</f>
        <v>MRKU6361529</v>
      </c>
      <c r="B15" s="86" t="s">
        <v>2771</v>
      </c>
      <c r="C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5" s="85">
        <v>44929.666666666664</v>
      </c>
      <c r="E15" s="66" t="s">
        <v>353</v>
      </c>
      <c r="F15" s="66" t="s">
        <v>354</v>
      </c>
      <c r="G15" s="66">
        <v>8166440</v>
      </c>
      <c r="H15" s="44" t="s">
        <v>2975</v>
      </c>
      <c r="I15" s="44" t="s">
        <v>2980</v>
      </c>
      <c r="J15" s="66" t="s">
        <v>301</v>
      </c>
      <c r="K15" s="66">
        <v>3810</v>
      </c>
      <c r="L15" s="66" t="s">
        <v>2981</v>
      </c>
      <c r="M15" s="66">
        <v>24319</v>
      </c>
      <c r="N15" s="66">
        <v>28129</v>
      </c>
      <c r="O15" s="44">
        <v>657007</v>
      </c>
      <c r="P15" s="66" t="s">
        <v>2955</v>
      </c>
      <c r="Q15" s="66" t="s">
        <v>150</v>
      </c>
      <c r="R15" s="66" t="s">
        <v>151</v>
      </c>
      <c r="S15" s="66" t="s">
        <v>152</v>
      </c>
      <c r="T15" s="138" t="str">
        <f>IFERROR(LOOKUP($S15,MOTORISTAS!$D$3:$D$916,MOTORISTAS!E$3:$E$916),"")</f>
        <v>05753633803</v>
      </c>
      <c r="U15" s="138" t="str">
        <f>IFERROR(LOOKUP($S15,MOTORISTAS!$D$3:$D$916,MOTORISTAS!F$3:$F$916),"")</f>
        <v>01922497849</v>
      </c>
      <c r="V15" s="66" t="s">
        <v>292</v>
      </c>
      <c r="W15" s="79">
        <v>44928.583333333336</v>
      </c>
      <c r="X15" s="79">
        <v>44930.3</v>
      </c>
      <c r="Y15" s="79">
        <v>44565.40625</v>
      </c>
      <c r="Z15" s="66" t="s">
        <v>306</v>
      </c>
      <c r="AA15" s="79">
        <v>44930.670138888891</v>
      </c>
      <c r="AB15" s="79">
        <v>44929.791666666664</v>
      </c>
      <c r="AC15" s="79">
        <v>44565.416666666664</v>
      </c>
      <c r="AD15" s="79">
        <v>44567.5</v>
      </c>
      <c r="AE15" s="66" t="s">
        <v>835</v>
      </c>
      <c r="AF15" s="44">
        <v>14757</v>
      </c>
      <c r="AG15" s="254">
        <f>Prog_23[[#This Row],[SAÍDA DO CLIENTE]]-Prog_23[[#This Row],[PROGRAMAÇÃO CLIENTE]]</f>
        <v>-364.26041666666424</v>
      </c>
      <c r="AH15" s="44"/>
      <c r="AI15" s="66"/>
      <c r="AJ15" s="66"/>
      <c r="AK15" s="66"/>
      <c r="AL15" s="66"/>
      <c r="AM15" s="66"/>
      <c r="AN15" s="83"/>
      <c r="AO15" s="83"/>
      <c r="AP15" s="83"/>
      <c r="AQ15" s="66"/>
      <c r="AR15" s="66"/>
      <c r="AS15" s="66"/>
      <c r="AT15" s="81"/>
      <c r="AU15" s="81"/>
      <c r="AV15" s="81"/>
      <c r="AW15" s="81"/>
      <c r="AX15" s="83">
        <f>SUM(Prog_23[[#This Row],[ADIANTAMENTO]]+Prog_23[[#This Row],[SALDO]]+Prog_23[[#This Row],[MARGEM]]+Prog_23[[#This Row],[ESTADIA 1]])</f>
        <v>0</v>
      </c>
      <c r="AY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15" s="81">
        <v>3491.06</v>
      </c>
      <c r="BA15" s="81"/>
      <c r="BB15" s="81">
        <v>0</v>
      </c>
      <c r="BC15" s="81">
        <f>Prog_23[[#This Row],[VLR NF]]*0.05%</f>
        <v>0</v>
      </c>
      <c r="BD15" s="81">
        <v>761.4</v>
      </c>
      <c r="BE15" s="81"/>
      <c r="BF15" s="81"/>
      <c r="BG15" s="81"/>
      <c r="BH15" s="81"/>
      <c r="BI15" s="81"/>
      <c r="BJ15" s="81"/>
      <c r="BK15" s="81"/>
      <c r="BL15" s="81"/>
      <c r="BM15" s="81"/>
      <c r="BN15" s="66" t="s">
        <v>2768</v>
      </c>
      <c r="BO15" s="66" t="s">
        <v>2768</v>
      </c>
      <c r="BP15" s="66" t="s">
        <v>2768</v>
      </c>
      <c r="BQ15" s="66" t="str">
        <f>PROPER(TEXT(Prog_23[[#This Row],[PROGRAMAÇÃO CLIENTE]],"mmm"))</f>
        <v>Jan</v>
      </c>
      <c r="BR15" s="66">
        <f>YEAR(Prog_23[[#This Row],[PROGRAMAÇÃO CLIENTE]])</f>
        <v>2023</v>
      </c>
    </row>
    <row r="16" spans="1:84" x14ac:dyDescent="0.25">
      <c r="A16" s="120" t="str">
        <f>Prog_23[[#This Row],[CONTEINER]]</f>
        <v>MRKU5537700</v>
      </c>
      <c r="B16" s="86" t="s">
        <v>2771</v>
      </c>
      <c r="C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" s="85">
        <v>44929.666666666664</v>
      </c>
      <c r="E16" s="66" t="s">
        <v>353</v>
      </c>
      <c r="F16" s="66" t="s">
        <v>354</v>
      </c>
      <c r="G16" s="66">
        <v>8166440</v>
      </c>
      <c r="H16" s="44" t="s">
        <v>2975</v>
      </c>
      <c r="I16" s="44" t="s">
        <v>2982</v>
      </c>
      <c r="J16" s="66" t="s">
        <v>301</v>
      </c>
      <c r="K16" s="66">
        <v>3810</v>
      </c>
      <c r="L16" s="66" t="s">
        <v>2983</v>
      </c>
      <c r="M16" s="66">
        <v>24319</v>
      </c>
      <c r="N16" s="66">
        <v>28129</v>
      </c>
      <c r="O16" s="44">
        <v>657008</v>
      </c>
      <c r="P16" s="66" t="s">
        <v>2955</v>
      </c>
      <c r="Q16" s="66" t="s">
        <v>68</v>
      </c>
      <c r="R16" s="66" t="s">
        <v>36</v>
      </c>
      <c r="S16" s="66" t="s">
        <v>69</v>
      </c>
      <c r="T16" s="138" t="str">
        <f>IFERROR(LOOKUP($S16,MOTORISTAS!$D$3:$D$916,MOTORISTAS!E$3:$E$916),"")</f>
        <v>07968457866</v>
      </c>
      <c r="U16" s="138" t="str">
        <f>IFERROR(LOOKUP($S16,MOTORISTAS!$D$3:$D$916,MOTORISTAS!F$3:$F$916),"")</f>
        <v>03264365790</v>
      </c>
      <c r="V16" s="66" t="s">
        <v>292</v>
      </c>
      <c r="W16" s="79">
        <v>44928.583333333336</v>
      </c>
      <c r="X16" s="79">
        <v>44565.25277777778</v>
      </c>
      <c r="Y16" s="79">
        <v>45020.416666666664</v>
      </c>
      <c r="Z16" s="66" t="s">
        <v>306</v>
      </c>
      <c r="AA16" s="79">
        <v>44930.675694444442</v>
      </c>
      <c r="AB16" s="79">
        <v>44929.791666666664</v>
      </c>
      <c r="AC16" s="79">
        <v>44565.416666666664</v>
      </c>
      <c r="AD16" s="79">
        <v>44567.5</v>
      </c>
      <c r="AE16" s="66" t="s">
        <v>835</v>
      </c>
      <c r="AF16" s="44">
        <v>14758</v>
      </c>
      <c r="AG16" s="254">
        <f>Prog_23[[#This Row],[SAÍDA DO CLIENTE]]-Prog_23[[#This Row],[PROGRAMAÇÃO CLIENTE]]</f>
        <v>90.75</v>
      </c>
      <c r="AH16" s="44"/>
      <c r="AI16" s="66"/>
      <c r="AJ16" s="66"/>
      <c r="AK16" s="66"/>
      <c r="AL16" s="66"/>
      <c r="AM16" s="66"/>
      <c r="AN16" s="83"/>
      <c r="AO16" s="83"/>
      <c r="AP16" s="83"/>
      <c r="AQ16" s="66"/>
      <c r="AR16" s="66"/>
      <c r="AS16" s="66"/>
      <c r="AT16" s="81"/>
      <c r="AU16" s="81"/>
      <c r="AV16" s="81"/>
      <c r="AW16" s="81"/>
      <c r="AX16" s="83">
        <f>SUM(Prog_23[[#This Row],[ADIANTAMENTO]]+Prog_23[[#This Row],[SALDO]]+Prog_23[[#This Row],[MARGEM]]+Prog_23[[#This Row],[ESTADIA 1]])</f>
        <v>0</v>
      </c>
      <c r="AY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16" s="81">
        <v>3491.06</v>
      </c>
      <c r="BA16" s="81"/>
      <c r="BB16" s="81">
        <v>0</v>
      </c>
      <c r="BC16" s="81">
        <f>Prog_23[[#This Row],[VLR NF]]*0.05%</f>
        <v>0</v>
      </c>
      <c r="BD16" s="81">
        <v>761.4</v>
      </c>
      <c r="BE16" s="81"/>
      <c r="BF16" s="81"/>
      <c r="BG16" s="81"/>
      <c r="BH16" s="81"/>
      <c r="BI16" s="81"/>
      <c r="BJ16" s="81"/>
      <c r="BK16" s="81"/>
      <c r="BL16" s="81"/>
      <c r="BM16" s="81"/>
      <c r="BN16" s="66" t="s">
        <v>2768</v>
      </c>
      <c r="BO16" s="66" t="s">
        <v>2768</v>
      </c>
      <c r="BP16" s="66" t="s">
        <v>2768</v>
      </c>
      <c r="BQ16" s="66" t="str">
        <f>PROPER(TEXT(Prog_23[[#This Row],[PROGRAMAÇÃO CLIENTE]],"mmm"))</f>
        <v>Jan</v>
      </c>
      <c r="BR16" s="66">
        <f>YEAR(Prog_23[[#This Row],[PROGRAMAÇÃO CLIENTE]])</f>
        <v>2023</v>
      </c>
    </row>
    <row r="17" spans="1:70" x14ac:dyDescent="0.25">
      <c r="A17" s="120" t="str">
        <f>Prog_23[[#This Row],[CONTEINER]]</f>
        <v>MRSU4031583</v>
      </c>
      <c r="B17" s="86" t="s">
        <v>2771</v>
      </c>
      <c r="C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7" s="85">
        <v>44929.666666666664</v>
      </c>
      <c r="E17" s="66" t="s">
        <v>353</v>
      </c>
      <c r="F17" s="66" t="s">
        <v>354</v>
      </c>
      <c r="G17" s="66">
        <v>8166440</v>
      </c>
      <c r="H17" s="44" t="s">
        <v>2975</v>
      </c>
      <c r="I17" s="44" t="s">
        <v>2984</v>
      </c>
      <c r="J17" s="66" t="s">
        <v>301</v>
      </c>
      <c r="K17" s="66">
        <v>3810</v>
      </c>
      <c r="L17" s="66" t="s">
        <v>2985</v>
      </c>
      <c r="M17" s="66">
        <v>24319</v>
      </c>
      <c r="N17" s="66">
        <v>28129</v>
      </c>
      <c r="O17" s="44">
        <v>657071</v>
      </c>
      <c r="P17" s="66" t="s">
        <v>2955</v>
      </c>
      <c r="Q17" s="66" t="s">
        <v>210</v>
      </c>
      <c r="R17" s="66" t="s">
        <v>211</v>
      </c>
      <c r="S17" s="66" t="s">
        <v>212</v>
      </c>
      <c r="T17" s="138" t="str">
        <f>IFERROR(LOOKUP($S17,MOTORISTAS!$D$3:$D$916,MOTORISTAS!E$3:$E$916),"")</f>
        <v>38029906846</v>
      </c>
      <c r="U17" s="138" t="str">
        <f>IFERROR(LOOKUP($S17,MOTORISTAS!$D$3:$D$916,MOTORISTAS!F$3:$F$916),"")</f>
        <v>04946846842</v>
      </c>
      <c r="V17" s="66" t="s">
        <v>292</v>
      </c>
      <c r="W17" s="79">
        <v>44928.583333333336</v>
      </c>
      <c r="X17" s="79">
        <v>44930.791666666664</v>
      </c>
      <c r="Y17" s="79">
        <v>44930.833333333336</v>
      </c>
      <c r="Z17" s="66" t="s">
        <v>306</v>
      </c>
      <c r="AA17" s="79">
        <v>44931.263888888891</v>
      </c>
      <c r="AB17" s="79">
        <v>44929.791666666664</v>
      </c>
      <c r="AC17" s="79">
        <v>44565.416666666664</v>
      </c>
      <c r="AD17" s="79">
        <v>44567.5</v>
      </c>
      <c r="AE17" s="66" t="s">
        <v>835</v>
      </c>
      <c r="AF17" s="44">
        <v>14766</v>
      </c>
      <c r="AG17" s="254">
        <f>Prog_23[[#This Row],[SAÍDA DO CLIENTE]]-Prog_23[[#This Row],[PROGRAMAÇÃO CLIENTE]]</f>
        <v>1.1666666666715173</v>
      </c>
      <c r="AH17" s="44"/>
      <c r="AI17" s="66"/>
      <c r="AJ17" s="66"/>
      <c r="AK17" s="66"/>
      <c r="AL17" s="66"/>
      <c r="AM17" s="66"/>
      <c r="AN17" s="83"/>
      <c r="AO17" s="83"/>
      <c r="AP17" s="83"/>
      <c r="AQ17" s="66"/>
      <c r="AR17" s="66"/>
      <c r="AS17" s="66"/>
      <c r="AT17" s="81"/>
      <c r="AU17" s="81"/>
      <c r="AV17" s="81"/>
      <c r="AW17" s="81"/>
      <c r="AX17" s="83">
        <f>SUM(Prog_23[[#This Row],[ADIANTAMENTO]]+Prog_23[[#This Row],[SALDO]]+Prog_23[[#This Row],[MARGEM]]+Prog_23[[#This Row],[ESTADIA 1]])</f>
        <v>0</v>
      </c>
      <c r="AY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17" s="81">
        <v>3491.06</v>
      </c>
      <c r="BA17" s="81"/>
      <c r="BB17" s="81">
        <v>0</v>
      </c>
      <c r="BC17" s="81">
        <f>Prog_23[[#This Row],[VLR NF]]*0.05%</f>
        <v>0</v>
      </c>
      <c r="BD17" s="81">
        <v>761.4</v>
      </c>
      <c r="BE17" s="81"/>
      <c r="BF17" s="81"/>
      <c r="BG17" s="81"/>
      <c r="BH17" s="81"/>
      <c r="BI17" s="81"/>
      <c r="BJ17" s="81"/>
      <c r="BK17" s="81"/>
      <c r="BL17" s="81"/>
      <c r="BM17" s="81"/>
      <c r="BN17" s="66" t="s">
        <v>2768</v>
      </c>
      <c r="BO17" s="66" t="s">
        <v>2768</v>
      </c>
      <c r="BP17" s="66" t="s">
        <v>2768</v>
      </c>
      <c r="BQ17" s="66" t="str">
        <f>PROPER(TEXT(Prog_23[[#This Row],[PROGRAMAÇÃO CLIENTE]],"mmm"))</f>
        <v>Jan</v>
      </c>
      <c r="BR17" s="66">
        <f>YEAR(Prog_23[[#This Row],[PROGRAMAÇÃO CLIENTE]])</f>
        <v>2023</v>
      </c>
    </row>
    <row r="18" spans="1:70" x14ac:dyDescent="0.25">
      <c r="A18" s="120" t="str">
        <f>Prog_23[[#This Row],[CONTEINER]]</f>
        <v>GMCU3062134</v>
      </c>
      <c r="B18" s="86" t="s">
        <v>2771</v>
      </c>
      <c r="C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8" s="85">
        <v>44935.291666666664</v>
      </c>
      <c r="E18" s="66" t="s">
        <v>1414</v>
      </c>
      <c r="F18" s="66" t="s">
        <v>2020</v>
      </c>
      <c r="G18" s="66" t="s">
        <v>2986</v>
      </c>
      <c r="H18" s="44">
        <v>66871140</v>
      </c>
      <c r="I18" s="44" t="s">
        <v>2987</v>
      </c>
      <c r="J18" s="66" t="s">
        <v>1418</v>
      </c>
      <c r="K18" s="66">
        <v>3750</v>
      </c>
      <c r="L18" s="66" t="s">
        <v>2988</v>
      </c>
      <c r="M18" s="66">
        <v>19630</v>
      </c>
      <c r="N18" s="66">
        <v>23380</v>
      </c>
      <c r="O18" s="44">
        <v>521802</v>
      </c>
      <c r="P18" s="66" t="s">
        <v>2989</v>
      </c>
      <c r="Q18" s="66" t="s">
        <v>210</v>
      </c>
      <c r="R18" s="66" t="s">
        <v>211</v>
      </c>
      <c r="S18" s="66" t="s">
        <v>212</v>
      </c>
      <c r="T18" s="138" t="str">
        <f>IFERROR(LOOKUP($S18,MOTORISTAS!$D$3:$D$916,MOTORISTAS!E$3:$E$916),"")</f>
        <v>38029906846</v>
      </c>
      <c r="U18" s="138" t="str">
        <f>IFERROR(LOOKUP($S18,MOTORISTAS!$D$3:$D$916,MOTORISTAS!F$3:$F$916),"")</f>
        <v>04946846842</v>
      </c>
      <c r="V18" s="66" t="s">
        <v>1421</v>
      </c>
      <c r="W18" s="79">
        <v>44933.4375</v>
      </c>
      <c r="X18" s="79">
        <v>44935.041666666664</v>
      </c>
      <c r="Y18" s="79">
        <v>44935.583333333336</v>
      </c>
      <c r="Z18" s="66" t="s">
        <v>410</v>
      </c>
      <c r="AA18" s="79">
        <v>44939.128472222219</v>
      </c>
      <c r="AB18" s="79">
        <v>44937.041666666664</v>
      </c>
      <c r="AC18" s="79">
        <v>44936.75</v>
      </c>
      <c r="AD18" s="79">
        <v>44940.5</v>
      </c>
      <c r="AE18" s="66" t="s">
        <v>522</v>
      </c>
      <c r="AF18" s="44">
        <v>986</v>
      </c>
      <c r="AG18" s="254">
        <f>Prog_23[[#This Row],[SAÍDA DO CLIENTE]]-Prog_23[[#This Row],[PROGRAMAÇÃO CLIENTE]]</f>
        <v>0.29166666667151731</v>
      </c>
      <c r="AH18" s="44"/>
      <c r="AI18" s="66"/>
      <c r="AJ18" s="66"/>
      <c r="AK18" s="66" t="s">
        <v>393</v>
      </c>
      <c r="AL18" s="79">
        <v>44936.666666666664</v>
      </c>
      <c r="AM18" s="66"/>
      <c r="AN18" s="83">
        <v>950</v>
      </c>
      <c r="AO18" s="83"/>
      <c r="AP18" s="83"/>
      <c r="AQ18" s="66"/>
      <c r="AR18" s="66"/>
      <c r="AS18" s="66"/>
      <c r="AT18" s="81"/>
      <c r="AU18" s="81"/>
      <c r="AV18" s="81"/>
      <c r="AW18" s="81"/>
      <c r="AX18" s="83">
        <f>SUM(Prog_23[[#This Row],[ADIANTAMENTO]]+Prog_23[[#This Row],[SALDO]]+Prog_23[[#This Row],[MARGEM]]+Prog_23[[#This Row],[ESTADIA 1]])</f>
        <v>0</v>
      </c>
      <c r="AY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17600</v>
      </c>
      <c r="AZ18" s="81">
        <v>15640.2</v>
      </c>
      <c r="BA18" s="81">
        <v>451576.95</v>
      </c>
      <c r="BB18" s="81">
        <v>0</v>
      </c>
      <c r="BC18" s="81">
        <v>0</v>
      </c>
      <c r="BD18" s="81">
        <v>1959.8</v>
      </c>
      <c r="BE18" s="81"/>
      <c r="BF18" s="81"/>
      <c r="BG18" s="81"/>
      <c r="BH18" s="81"/>
      <c r="BI18" s="81"/>
      <c r="BJ18" s="81"/>
      <c r="BK18" s="81"/>
      <c r="BL18" s="81"/>
      <c r="BM18" s="81"/>
      <c r="BN18" s="66" t="s">
        <v>2768</v>
      </c>
      <c r="BO18" s="66" t="s">
        <v>2768</v>
      </c>
      <c r="BP18" s="66" t="s">
        <v>2768</v>
      </c>
      <c r="BQ18" s="66" t="str">
        <f>PROPER(TEXT(Prog_23[[#This Row],[PROGRAMAÇÃO CLIENTE]],"mmm"))</f>
        <v>Jan</v>
      </c>
      <c r="BR18" s="66">
        <f>YEAR(Prog_23[[#This Row],[PROGRAMAÇÃO CLIENTE]])</f>
        <v>2023</v>
      </c>
    </row>
    <row r="19" spans="1:70" x14ac:dyDescent="0.25">
      <c r="A19" s="120" t="str">
        <f>Prog_23[[#This Row],[CONTEINER]]</f>
        <v>TCNU1726930</v>
      </c>
      <c r="B19" s="86" t="s">
        <v>2771</v>
      </c>
      <c r="C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9" s="85">
        <v>44936.375</v>
      </c>
      <c r="E19" s="66" t="s">
        <v>297</v>
      </c>
      <c r="F19" s="66" t="s">
        <v>298</v>
      </c>
      <c r="G19" s="66" t="s">
        <v>2990</v>
      </c>
      <c r="H19" s="44">
        <v>224270523</v>
      </c>
      <c r="I19" s="44" t="s">
        <v>2991</v>
      </c>
      <c r="J19" s="66" t="s">
        <v>301</v>
      </c>
      <c r="K19" s="66">
        <v>3700</v>
      </c>
      <c r="L19" s="66" t="s">
        <v>2992</v>
      </c>
      <c r="M19" s="66">
        <v>19734</v>
      </c>
      <c r="N19" s="66">
        <v>23434</v>
      </c>
      <c r="O19" s="44">
        <v>818761</v>
      </c>
      <c r="P19" s="66" t="s">
        <v>2993</v>
      </c>
      <c r="Q19" s="66" t="s">
        <v>140</v>
      </c>
      <c r="R19" s="66" t="s">
        <v>141</v>
      </c>
      <c r="S19" s="66" t="s">
        <v>2051</v>
      </c>
      <c r="T19" s="138" t="str">
        <f>IFERROR(LOOKUP($S19,MOTORISTAS!$D$3:$D$916,MOTORISTAS!E$3:$E$916),"")</f>
        <v>33913917829</v>
      </c>
      <c r="U19" s="138" t="str">
        <f>IFERROR(LOOKUP($S19,MOTORISTAS!$D$3:$D$916,MOTORISTAS!F$3:$F$916),"")</f>
        <v>03312585500</v>
      </c>
      <c r="V19" s="66" t="s">
        <v>292</v>
      </c>
      <c r="W19" s="79">
        <v>44935.729166666664</v>
      </c>
      <c r="X19" s="79">
        <v>44936.166666666664</v>
      </c>
      <c r="Y19" s="79">
        <v>44936.458333333336</v>
      </c>
      <c r="Z19" s="66" t="s">
        <v>306</v>
      </c>
      <c r="AA19" s="79">
        <v>44936.660416666666</v>
      </c>
      <c r="AB19" s="66"/>
      <c r="AC19" s="79">
        <v>44936.75</v>
      </c>
      <c r="AD19" s="79">
        <v>44939.5</v>
      </c>
      <c r="AE19" s="66" t="s">
        <v>308</v>
      </c>
      <c r="AF19" s="44">
        <v>14807</v>
      </c>
      <c r="AG19" s="254">
        <f>Prog_23[[#This Row],[SAÍDA DO CLIENTE]]-Prog_23[[#This Row],[PROGRAMAÇÃO CLIENTE]]</f>
        <v>8.3333333335758653E-2</v>
      </c>
      <c r="AH19" s="44"/>
      <c r="AI19" s="66"/>
      <c r="AJ19" s="66"/>
      <c r="AK19" s="66"/>
      <c r="AL19" s="66"/>
      <c r="AM19" s="66"/>
      <c r="AN19" s="83"/>
      <c r="AO19" s="83"/>
      <c r="AP19" s="83"/>
      <c r="AQ19" s="66"/>
      <c r="AR19" s="66"/>
      <c r="AS19" s="66"/>
      <c r="AT19" s="81"/>
      <c r="AU19" s="81"/>
      <c r="AV19" s="81"/>
      <c r="AW19" s="81"/>
      <c r="AX19" s="83">
        <f>SUM(Prog_23[[#This Row],[ADIANTAMENTO]]+Prog_23[[#This Row],[SALDO]]+Prog_23[[#This Row],[MARGEM]]+Prog_23[[#This Row],[ESTADIA 1]])</f>
        <v>0</v>
      </c>
      <c r="AY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19" s="81">
        <v>3491.06</v>
      </c>
      <c r="BA19" s="81">
        <v>0</v>
      </c>
      <c r="BB19" s="81">
        <v>0</v>
      </c>
      <c r="BC19" s="81">
        <f>Prog_23[[#This Row],[VLR NF]]*0.05%</f>
        <v>0</v>
      </c>
      <c r="BD19" s="81">
        <v>761.4</v>
      </c>
      <c r="BE19" s="81"/>
      <c r="BF19" s="81"/>
      <c r="BG19" s="81"/>
      <c r="BH19" s="81"/>
      <c r="BI19" s="81"/>
      <c r="BJ19" s="81"/>
      <c r="BK19" s="81"/>
      <c r="BL19" s="81"/>
      <c r="BM19" s="81"/>
      <c r="BN19" s="66" t="s">
        <v>2768</v>
      </c>
      <c r="BO19" s="66" t="s">
        <v>2768</v>
      </c>
      <c r="BP19" s="66" t="s">
        <v>2768</v>
      </c>
      <c r="BQ19" s="66" t="str">
        <f>PROPER(TEXT(Prog_23[[#This Row],[PROGRAMAÇÃO CLIENTE]],"mmm"))</f>
        <v>Jan</v>
      </c>
      <c r="BR19" s="66">
        <f>YEAR(Prog_23[[#This Row],[PROGRAMAÇÃO CLIENTE]])</f>
        <v>2023</v>
      </c>
    </row>
    <row r="20" spans="1:70" x14ac:dyDescent="0.25">
      <c r="A20" s="120" t="str">
        <f>Prog_23[[#This Row],[CONTEINER]]</f>
        <v>MRKU4154707</v>
      </c>
      <c r="B20" s="86" t="s">
        <v>2771</v>
      </c>
      <c r="C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0" s="85">
        <v>44936.458333333336</v>
      </c>
      <c r="E20" s="66" t="s">
        <v>297</v>
      </c>
      <c r="F20" s="66" t="s">
        <v>298</v>
      </c>
      <c r="G20" s="66" t="s">
        <v>2990</v>
      </c>
      <c r="H20" s="44">
        <v>224270523</v>
      </c>
      <c r="I20" s="44" t="s">
        <v>2994</v>
      </c>
      <c r="J20" s="66" t="s">
        <v>301</v>
      </c>
      <c r="K20" s="66">
        <v>3880</v>
      </c>
      <c r="L20" s="66" t="s">
        <v>2995</v>
      </c>
      <c r="M20" s="66">
        <v>19734</v>
      </c>
      <c r="N20" s="66">
        <v>23614</v>
      </c>
      <c r="O20" s="44">
        <v>818762</v>
      </c>
      <c r="P20" s="66" t="s">
        <v>2993</v>
      </c>
      <c r="Q20" s="66" t="s">
        <v>178</v>
      </c>
      <c r="R20" s="66" t="s">
        <v>112</v>
      </c>
      <c r="S20" s="66" t="s">
        <v>180</v>
      </c>
      <c r="T20" s="138" t="str">
        <f>IFERROR(LOOKUP($S20,MOTORISTAS!$D$3:$D$916,MOTORISTAS!E$3:$E$916),"")</f>
        <v>18990500869</v>
      </c>
      <c r="U20" s="138" t="str">
        <f>IFERROR(LOOKUP($S20,MOTORISTAS!$D$3:$D$916,MOTORISTAS!F$3:$F$916),"")</f>
        <v>04640435232</v>
      </c>
      <c r="V20" s="66" t="s">
        <v>292</v>
      </c>
      <c r="W20" s="79">
        <v>44935.760416666664</v>
      </c>
      <c r="X20" s="79">
        <v>44936.166666666664</v>
      </c>
      <c r="Y20" s="79">
        <v>44936.46875</v>
      </c>
      <c r="Z20" s="66" t="s">
        <v>306</v>
      </c>
      <c r="AA20" s="79">
        <v>44936.666666666664</v>
      </c>
      <c r="AB20" s="66"/>
      <c r="AC20" s="79">
        <v>44936.75</v>
      </c>
      <c r="AD20" s="79">
        <v>44939.5</v>
      </c>
      <c r="AE20" s="66" t="s">
        <v>308</v>
      </c>
      <c r="AF20" s="44">
        <v>14808</v>
      </c>
      <c r="AG20" s="254">
        <f>Prog_23[[#This Row],[SAÍDA DO CLIENTE]]-Prog_23[[#This Row],[PROGRAMAÇÃO CLIENTE]]</f>
        <v>1.0416666664241347E-2</v>
      </c>
      <c r="AH20" s="44"/>
      <c r="AI20" s="66"/>
      <c r="AJ20" s="66"/>
      <c r="AK20" s="66"/>
      <c r="AL20" s="66"/>
      <c r="AM20" s="66"/>
      <c r="AN20" s="83"/>
      <c r="AO20" s="83"/>
      <c r="AP20" s="83"/>
      <c r="AQ20" s="66"/>
      <c r="AR20" s="66"/>
      <c r="AS20" s="66"/>
      <c r="AT20" s="81"/>
      <c r="AU20" s="81"/>
      <c r="AV20" s="81"/>
      <c r="AW20" s="81"/>
      <c r="AX20" s="83">
        <f>SUM(Prog_23[[#This Row],[ADIANTAMENTO]]+Prog_23[[#This Row],[SALDO]]+Prog_23[[#This Row],[MARGEM]]+Prog_23[[#This Row],[ESTADIA 1]])</f>
        <v>0</v>
      </c>
      <c r="AY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20" s="81">
        <v>3491.06</v>
      </c>
      <c r="BA20" s="81">
        <v>0</v>
      </c>
      <c r="BB20" s="81">
        <v>0</v>
      </c>
      <c r="BC20" s="81">
        <f>Prog_23[[#This Row],[VLR NF]]*0.05%</f>
        <v>0</v>
      </c>
      <c r="BD20" s="81">
        <v>761.4</v>
      </c>
      <c r="BE20" s="81"/>
      <c r="BF20" s="81"/>
      <c r="BG20" s="81"/>
      <c r="BH20" s="81"/>
      <c r="BI20" s="81"/>
      <c r="BJ20" s="81"/>
      <c r="BK20" s="81"/>
      <c r="BL20" s="81"/>
      <c r="BM20" s="81"/>
      <c r="BN20" s="66" t="s">
        <v>2768</v>
      </c>
      <c r="BO20" s="66" t="s">
        <v>2768</v>
      </c>
      <c r="BP20" s="66" t="s">
        <v>2768</v>
      </c>
      <c r="BQ20" s="66" t="str">
        <f>PROPER(TEXT(Prog_23[[#This Row],[PROGRAMAÇÃO CLIENTE]],"mmm"))</f>
        <v>Jan</v>
      </c>
      <c r="BR20" s="66">
        <f>YEAR(Prog_23[[#This Row],[PROGRAMAÇÃO CLIENTE]])</f>
        <v>2023</v>
      </c>
    </row>
    <row r="21" spans="1:70" x14ac:dyDescent="0.25">
      <c r="A21" s="120" t="str">
        <f>Prog_23[[#This Row],[CONTEINER]]</f>
        <v>CAAU6640494</v>
      </c>
      <c r="B21" s="86" t="s">
        <v>2771</v>
      </c>
      <c r="C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1" s="85">
        <v>44936.541666666664</v>
      </c>
      <c r="E21" s="66" t="s">
        <v>297</v>
      </c>
      <c r="F21" s="66" t="s">
        <v>298</v>
      </c>
      <c r="G21" s="66" t="s">
        <v>2990</v>
      </c>
      <c r="H21" s="44">
        <v>224270523</v>
      </c>
      <c r="I21" s="44" t="s">
        <v>2996</v>
      </c>
      <c r="J21" s="66" t="s">
        <v>301</v>
      </c>
      <c r="K21" s="66">
        <v>3700</v>
      </c>
      <c r="L21" s="66" t="s">
        <v>2997</v>
      </c>
      <c r="M21" s="66">
        <v>19734</v>
      </c>
      <c r="N21" s="66">
        <v>23434</v>
      </c>
      <c r="O21" s="44">
        <v>818780</v>
      </c>
      <c r="P21" s="66" t="s">
        <v>2993</v>
      </c>
      <c r="Q21" s="66" t="s">
        <v>87</v>
      </c>
      <c r="R21" s="66" t="s">
        <v>88</v>
      </c>
      <c r="S21" s="66" t="s">
        <v>89</v>
      </c>
      <c r="T21" s="138" t="str">
        <f>IFERROR(LOOKUP($S21,MOTORISTAS!$D$3:$D$916,MOTORISTAS!E$3:$E$916),"")</f>
        <v>00097734527</v>
      </c>
      <c r="U21" s="138" t="str">
        <f>IFERROR(LOOKUP($S21,MOTORISTAS!$D$3:$D$916,MOTORISTAS!F$3:$F$916),"")</f>
        <v>03148346870</v>
      </c>
      <c r="V21" s="66" t="s">
        <v>292</v>
      </c>
      <c r="W21" s="79">
        <v>44935.875</v>
      </c>
      <c r="X21" s="79">
        <v>44936.166666666664</v>
      </c>
      <c r="Y21" s="79">
        <v>44936.583333333336</v>
      </c>
      <c r="Z21" s="66" t="s">
        <v>306</v>
      </c>
      <c r="AA21" s="79">
        <v>44936.796527777777</v>
      </c>
      <c r="AB21" s="66"/>
      <c r="AC21" s="79">
        <v>44936.75</v>
      </c>
      <c r="AD21" s="79">
        <v>44939.5</v>
      </c>
      <c r="AE21" s="66" t="s">
        <v>308</v>
      </c>
      <c r="AF21" s="44">
        <v>14812</v>
      </c>
      <c r="AG21" s="254">
        <f>Prog_23[[#This Row],[SAÍDA DO CLIENTE]]-Prog_23[[#This Row],[PROGRAMAÇÃO CLIENTE]]</f>
        <v>4.1666666671517305E-2</v>
      </c>
      <c r="AH21" s="44"/>
      <c r="AI21" s="66"/>
      <c r="AJ21" s="66"/>
      <c r="AK21" s="66"/>
      <c r="AL21" s="66"/>
      <c r="AM21" s="66"/>
      <c r="AN21" s="83"/>
      <c r="AO21" s="83"/>
      <c r="AP21" s="83"/>
      <c r="AQ21" s="66"/>
      <c r="AR21" s="66"/>
      <c r="AS21" s="66"/>
      <c r="AT21" s="81"/>
      <c r="AU21" s="81"/>
      <c r="AV21" s="81"/>
      <c r="AW21" s="81"/>
      <c r="AX21" s="83">
        <f>SUM(Prog_23[[#This Row],[ADIANTAMENTO]]+Prog_23[[#This Row],[SALDO]]+Prog_23[[#This Row],[MARGEM]]+Prog_23[[#This Row],[ESTADIA 1]])</f>
        <v>0</v>
      </c>
      <c r="AY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4252.46</v>
      </c>
      <c r="AZ21" s="81">
        <v>3491.06</v>
      </c>
      <c r="BA21" s="81">
        <v>0</v>
      </c>
      <c r="BB21" s="81">
        <v>0</v>
      </c>
      <c r="BC21" s="81">
        <f>Prog_23[[#This Row],[VLR NF]]*0.05%</f>
        <v>0</v>
      </c>
      <c r="BD21" s="81">
        <v>761.4</v>
      </c>
      <c r="BE21" s="81"/>
      <c r="BF21" s="81"/>
      <c r="BG21" s="81"/>
      <c r="BH21" s="81"/>
      <c r="BI21" s="81"/>
      <c r="BJ21" s="81"/>
      <c r="BK21" s="81"/>
      <c r="BL21" s="81"/>
      <c r="BM21" s="81"/>
      <c r="BN21" s="66" t="s">
        <v>2768</v>
      </c>
      <c r="BO21" s="66" t="s">
        <v>2768</v>
      </c>
      <c r="BP21" s="66" t="s">
        <v>2768</v>
      </c>
      <c r="BQ21" s="66" t="str">
        <f>PROPER(TEXT(Prog_23[[#This Row],[PROGRAMAÇÃO CLIENTE]],"mmm"))</f>
        <v>Jan</v>
      </c>
      <c r="BR21" s="66">
        <f>YEAR(Prog_23[[#This Row],[PROGRAMAÇÃO CLIENTE]])</f>
        <v>2023</v>
      </c>
    </row>
    <row r="22" spans="1:70" x14ac:dyDescent="0.25">
      <c r="A22" s="120" t="str">
        <f>Prog_23[[#This Row],[CONTEINER]]</f>
        <v>TCKU7803371</v>
      </c>
      <c r="B22" s="86" t="s">
        <v>2771</v>
      </c>
      <c r="C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2" s="85">
        <v>44936.25</v>
      </c>
      <c r="E22" s="66" t="s">
        <v>353</v>
      </c>
      <c r="F22" s="66" t="s">
        <v>354</v>
      </c>
      <c r="G22" s="66">
        <v>8166386</v>
      </c>
      <c r="H22" s="44">
        <v>224157168</v>
      </c>
      <c r="I22" s="44" t="s">
        <v>2998</v>
      </c>
      <c r="J22" s="66" t="s">
        <v>301</v>
      </c>
      <c r="K22" s="66">
        <v>3700</v>
      </c>
      <c r="L22" s="66" t="s">
        <v>2999</v>
      </c>
      <c r="M22" s="66">
        <v>25685</v>
      </c>
      <c r="N22" s="66">
        <v>29385</v>
      </c>
      <c r="O22" s="44">
        <v>657338</v>
      </c>
      <c r="P22" s="66" t="s">
        <v>2993</v>
      </c>
      <c r="Q22" s="66" t="s">
        <v>72</v>
      </c>
      <c r="R22" s="66" t="s">
        <v>73</v>
      </c>
      <c r="S22" s="66" t="s">
        <v>203</v>
      </c>
      <c r="T22" s="138" t="str">
        <f>IFERROR(LOOKUP($S22,MOTORISTAS!$D$3:$D$916,MOTORISTAS!E$3:$E$916),"")</f>
        <v>10395859816</v>
      </c>
      <c r="U22" s="138" t="str">
        <f>IFERROR(LOOKUP($S22,MOTORISTAS!$D$3:$D$916,MOTORISTAS!F$3:$F$916),"")</f>
        <v>01965794851</v>
      </c>
      <c r="V22" s="66" t="s">
        <v>292</v>
      </c>
      <c r="W22" s="79">
        <v>44935.638888888891</v>
      </c>
      <c r="X22" s="79">
        <v>44935.916666666664</v>
      </c>
      <c r="Y22" s="79">
        <v>44936.347222222219</v>
      </c>
      <c r="Z22" s="66" t="s">
        <v>306</v>
      </c>
      <c r="AA22" s="79">
        <v>44936.720833333333</v>
      </c>
      <c r="AB22" s="66"/>
      <c r="AC22" s="79">
        <v>44937.5</v>
      </c>
      <c r="AD22" s="79">
        <v>44939.5</v>
      </c>
      <c r="AE22" s="66" t="s">
        <v>835</v>
      </c>
      <c r="AF22" s="44">
        <v>14804</v>
      </c>
      <c r="AG22" s="254">
        <f>Prog_23[[#This Row],[SAÍDA DO CLIENTE]]-Prog_23[[#This Row],[PROGRAMAÇÃO CLIENTE]]</f>
        <v>9.7222222218988463E-2</v>
      </c>
      <c r="AH22" s="44"/>
      <c r="AI22" s="66"/>
      <c r="AJ22" s="66"/>
      <c r="AK22" s="66"/>
      <c r="AL22" s="66"/>
      <c r="AM22" s="66"/>
      <c r="AN22" s="83"/>
      <c r="AO22" s="83"/>
      <c r="AP22" s="83"/>
      <c r="AQ22" s="66"/>
      <c r="AR22" s="66"/>
      <c r="AS22" s="66"/>
      <c r="AT22" s="81"/>
      <c r="AU22" s="81"/>
      <c r="AV22" s="81"/>
      <c r="AW22" s="81"/>
      <c r="AX22" s="83">
        <f>SUM(Prog_23[[#This Row],[ADIANTAMENTO]]+Prog_23[[#This Row],[SALDO]]+Prog_23[[#This Row],[MARGEM]]+Prog_23[[#This Row],[ESTADIA 1]])</f>
        <v>0</v>
      </c>
      <c r="AY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2" s="81"/>
      <c r="BA22" s="81"/>
      <c r="BB22" s="81">
        <f>Prog_23[[#This Row],[VLR NF]]*0.1%</f>
        <v>0</v>
      </c>
      <c r="BC22" s="81">
        <f>Prog_23[[#This Row],[VLR NF]]*0.05%</f>
        <v>0</v>
      </c>
      <c r="BD22" s="81">
        <v>0</v>
      </c>
      <c r="BE22" s="81"/>
      <c r="BF22" s="81"/>
      <c r="BG22" s="81"/>
      <c r="BH22" s="81"/>
      <c r="BI22" s="81"/>
      <c r="BJ22" s="81"/>
      <c r="BK22" s="81"/>
      <c r="BL22" s="81"/>
      <c r="BM22" s="81"/>
      <c r="BN22" s="66" t="s">
        <v>2768</v>
      </c>
      <c r="BO22" s="66" t="s">
        <v>2768</v>
      </c>
      <c r="BP22" s="66" t="s">
        <v>2768</v>
      </c>
      <c r="BQ22" s="66" t="str">
        <f>PROPER(TEXT(Prog_23[[#This Row],[PROGRAMAÇÃO CLIENTE]],"mmm"))</f>
        <v>Jan</v>
      </c>
      <c r="BR22" s="66">
        <f>YEAR(Prog_23[[#This Row],[PROGRAMAÇÃO CLIENTE]])</f>
        <v>2023</v>
      </c>
    </row>
    <row r="23" spans="1:70" x14ac:dyDescent="0.25">
      <c r="A23" s="120" t="str">
        <f>Prog_23[[#This Row],[CONTEINER]]</f>
        <v>MSKU1546814</v>
      </c>
      <c r="B23" s="86" t="s">
        <v>2771</v>
      </c>
      <c r="C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" s="85">
        <v>44936.25</v>
      </c>
      <c r="E23" s="66" t="s">
        <v>353</v>
      </c>
      <c r="F23" s="66" t="s">
        <v>354</v>
      </c>
      <c r="G23" s="66">
        <v>8166386</v>
      </c>
      <c r="H23" s="44">
        <v>224157168</v>
      </c>
      <c r="I23" s="44" t="s">
        <v>3000</v>
      </c>
      <c r="J23" s="66" t="s">
        <v>301</v>
      </c>
      <c r="K23" s="66">
        <v>3790</v>
      </c>
      <c r="L23" s="66" t="s">
        <v>3001</v>
      </c>
      <c r="M23" s="66">
        <v>25685</v>
      </c>
      <c r="N23" s="66">
        <v>29475</v>
      </c>
      <c r="O23" s="44">
        <v>657340</v>
      </c>
      <c r="P23" s="66" t="s">
        <v>2993</v>
      </c>
      <c r="Q23" s="66" t="s">
        <v>92</v>
      </c>
      <c r="R23" s="66" t="s">
        <v>93</v>
      </c>
      <c r="S23" s="66" t="s">
        <v>94</v>
      </c>
      <c r="T23" s="138" t="str">
        <f>IFERROR(LOOKUP($S23,MOTORISTAS!$D$3:$D$916,MOTORISTAS!E$3:$E$916),"")</f>
        <v>26283419801</v>
      </c>
      <c r="U23" s="138" t="str">
        <f>IFERROR(LOOKUP($S23,MOTORISTAS!$D$3:$D$916,MOTORISTAS!F$3:$F$916),"")</f>
        <v>02002046946</v>
      </c>
      <c r="V23" s="66" t="s">
        <v>292</v>
      </c>
      <c r="W23" s="79">
        <v>44935.78402777778</v>
      </c>
      <c r="X23" s="79">
        <v>44935.975694444445</v>
      </c>
      <c r="Y23" s="79">
        <v>44936.4375</v>
      </c>
      <c r="Z23" s="66" t="s">
        <v>306</v>
      </c>
      <c r="AA23" s="79">
        <v>44936.627083333333</v>
      </c>
      <c r="AB23" s="66"/>
      <c r="AC23" s="79">
        <v>44937.5</v>
      </c>
      <c r="AD23" s="79">
        <v>44939.5</v>
      </c>
      <c r="AE23" s="66" t="s">
        <v>835</v>
      </c>
      <c r="AF23" s="44">
        <v>14806</v>
      </c>
      <c r="AG23" s="254">
        <f>Prog_23[[#This Row],[SAÍDA DO CLIENTE]]-Prog_23[[#This Row],[PROGRAMAÇÃO CLIENTE]]</f>
        <v>0.1875</v>
      </c>
      <c r="AH23" s="44"/>
      <c r="AI23" s="66"/>
      <c r="AJ23" s="66"/>
      <c r="AK23" s="66"/>
      <c r="AL23" s="66"/>
      <c r="AM23" s="66"/>
      <c r="AN23" s="83"/>
      <c r="AO23" s="83"/>
      <c r="AP23" s="83"/>
      <c r="AQ23" s="66"/>
      <c r="AR23" s="66"/>
      <c r="AS23" s="66"/>
      <c r="AT23" s="81"/>
      <c r="AU23" s="81"/>
      <c r="AV23" s="81"/>
      <c r="AW23" s="81"/>
      <c r="AX23" s="83">
        <f>SUM(Prog_23[[#This Row],[ADIANTAMENTO]]+Prog_23[[#This Row],[SALDO]]+Prog_23[[#This Row],[MARGEM]]+Prog_23[[#This Row],[ESTADIA 1]])</f>
        <v>0</v>
      </c>
      <c r="AY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3" s="81"/>
      <c r="BA23" s="81"/>
      <c r="BB23" s="81">
        <f>Prog_23[[#This Row],[VLR NF]]*0.1%</f>
        <v>0</v>
      </c>
      <c r="BC23" s="81">
        <f>Prog_23[[#This Row],[VLR NF]]*0.05%</f>
        <v>0</v>
      </c>
      <c r="BD23" s="81">
        <v>0</v>
      </c>
      <c r="BE23" s="81"/>
      <c r="BF23" s="81"/>
      <c r="BG23" s="81"/>
      <c r="BH23" s="81"/>
      <c r="BI23" s="81"/>
      <c r="BJ23" s="81"/>
      <c r="BK23" s="81"/>
      <c r="BL23" s="81"/>
      <c r="BM23" s="81"/>
      <c r="BN23" s="66" t="s">
        <v>2768</v>
      </c>
      <c r="BO23" s="66" t="s">
        <v>2768</v>
      </c>
      <c r="BP23" s="66" t="s">
        <v>2768</v>
      </c>
      <c r="BQ23" s="66" t="str">
        <f>PROPER(TEXT(Prog_23[[#This Row],[PROGRAMAÇÃO CLIENTE]],"mmm"))</f>
        <v>Jan</v>
      </c>
      <c r="BR23" s="66">
        <f>YEAR(Prog_23[[#This Row],[PROGRAMAÇÃO CLIENTE]])</f>
        <v>2023</v>
      </c>
    </row>
    <row r="24" spans="1:70" x14ac:dyDescent="0.25">
      <c r="A24" s="120" t="str">
        <f>Prog_23[[#This Row],[CONTEINER]]</f>
        <v>SUDU6786508</v>
      </c>
      <c r="B24" s="86" t="s">
        <v>2771</v>
      </c>
      <c r="C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4" s="85">
        <v>44936.25</v>
      </c>
      <c r="E24" s="66" t="s">
        <v>353</v>
      </c>
      <c r="F24" s="66" t="s">
        <v>354</v>
      </c>
      <c r="G24" s="66">
        <v>8166386</v>
      </c>
      <c r="H24" s="44">
        <v>224157168</v>
      </c>
      <c r="I24" s="44" t="s">
        <v>3002</v>
      </c>
      <c r="J24" s="66" t="s">
        <v>301</v>
      </c>
      <c r="K24" s="66">
        <v>3860</v>
      </c>
      <c r="L24" s="66" t="s">
        <v>3003</v>
      </c>
      <c r="M24" s="66">
        <v>25685</v>
      </c>
      <c r="N24" s="66">
        <v>29545</v>
      </c>
      <c r="O24" s="44">
        <v>657389</v>
      </c>
      <c r="P24" s="66" t="s">
        <v>2993</v>
      </c>
      <c r="Q24" s="66" t="s">
        <v>106</v>
      </c>
      <c r="R24" s="66" t="s">
        <v>107</v>
      </c>
      <c r="S24" s="66" t="s">
        <v>108</v>
      </c>
      <c r="T24" s="138" t="str">
        <f>IFERROR(LOOKUP($S24,MOTORISTAS!$D$3:$D$916,MOTORISTAS!E$3:$E$916),"")</f>
        <v>34927982840</v>
      </c>
      <c r="U24" s="138" t="str">
        <f>IFERROR(LOOKUP($S24,MOTORISTAS!$D$3:$D$916,MOTORISTAS!F$3:$F$916),"")</f>
        <v>03500129879</v>
      </c>
      <c r="V24" s="66" t="s">
        <v>292</v>
      </c>
      <c r="W24" s="79">
        <v>44935.534722222219</v>
      </c>
      <c r="X24" s="79">
        <v>44936.041666666664</v>
      </c>
      <c r="Y24" s="79">
        <v>44936.576388888891</v>
      </c>
      <c r="Z24" s="66" t="s">
        <v>306</v>
      </c>
      <c r="AA24" s="79">
        <v>44936.772916666669</v>
      </c>
      <c r="AB24" s="66"/>
      <c r="AC24" s="79">
        <v>44937.5</v>
      </c>
      <c r="AD24" s="79">
        <v>44939.5</v>
      </c>
      <c r="AE24" s="66" t="s">
        <v>835</v>
      </c>
      <c r="AF24" s="44">
        <v>14811</v>
      </c>
      <c r="AG24" s="254">
        <f>Prog_23[[#This Row],[SAÍDA DO CLIENTE]]-Prog_23[[#This Row],[PROGRAMAÇÃO CLIENTE]]</f>
        <v>0.32638888889050577</v>
      </c>
      <c r="AH24" s="44"/>
      <c r="AI24" s="66"/>
      <c r="AJ24" s="66"/>
      <c r="AK24" s="66"/>
      <c r="AL24" s="66"/>
      <c r="AM24" s="66"/>
      <c r="AN24" s="83"/>
      <c r="AO24" s="83"/>
      <c r="AP24" s="83"/>
      <c r="AQ24" s="66"/>
      <c r="AR24" s="66"/>
      <c r="AS24" s="66"/>
      <c r="AT24" s="81"/>
      <c r="AU24" s="81"/>
      <c r="AV24" s="81"/>
      <c r="AW24" s="81"/>
      <c r="AX24" s="83">
        <f>SUM(Prog_23[[#This Row],[ADIANTAMENTO]]+Prog_23[[#This Row],[SALDO]]+Prog_23[[#This Row],[MARGEM]]+Prog_23[[#This Row],[ESTADIA 1]])</f>
        <v>0</v>
      </c>
      <c r="AY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4" s="81"/>
      <c r="BA24" s="81"/>
      <c r="BB24" s="81">
        <f>Prog_23[[#This Row],[VLR NF]]*0.1%</f>
        <v>0</v>
      </c>
      <c r="BC24" s="81">
        <f>Prog_23[[#This Row],[VLR NF]]*0.05%</f>
        <v>0</v>
      </c>
      <c r="BD24" s="81">
        <v>0</v>
      </c>
      <c r="BE24" s="81"/>
      <c r="BF24" s="81"/>
      <c r="BG24" s="81"/>
      <c r="BH24" s="81"/>
      <c r="BI24" s="81"/>
      <c r="BJ24" s="81"/>
      <c r="BK24" s="81"/>
      <c r="BL24" s="81"/>
      <c r="BM24" s="81"/>
      <c r="BN24" s="66" t="s">
        <v>2768</v>
      </c>
      <c r="BO24" s="66" t="s">
        <v>2768</v>
      </c>
      <c r="BP24" s="66" t="s">
        <v>2768</v>
      </c>
      <c r="BQ24" s="66" t="str">
        <f>PROPER(TEXT(Prog_23[[#This Row],[PROGRAMAÇÃO CLIENTE]],"mmm"))</f>
        <v>Jan</v>
      </c>
      <c r="BR24" s="66">
        <f>YEAR(Prog_23[[#This Row],[PROGRAMAÇÃO CLIENTE]])</f>
        <v>2023</v>
      </c>
    </row>
    <row r="25" spans="1:70" x14ac:dyDescent="0.25">
      <c r="A25" s="120" t="str">
        <f>Prog_23[[#This Row],[CONTEINER]]</f>
        <v>SUDU6829744</v>
      </c>
      <c r="B25" s="86" t="s">
        <v>2771</v>
      </c>
      <c r="C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" s="85">
        <v>44936.25</v>
      </c>
      <c r="E25" s="66" t="s">
        <v>353</v>
      </c>
      <c r="F25" s="66" t="s">
        <v>354</v>
      </c>
      <c r="G25" s="66">
        <v>8166386</v>
      </c>
      <c r="H25" s="44">
        <v>224157168</v>
      </c>
      <c r="I25" s="44" t="s">
        <v>3004</v>
      </c>
      <c r="J25" s="66" t="s">
        <v>301</v>
      </c>
      <c r="K25" s="66">
        <v>3860</v>
      </c>
      <c r="L25" s="66" t="s">
        <v>3005</v>
      </c>
      <c r="M25" s="66">
        <v>25685</v>
      </c>
      <c r="N25" s="66">
        <v>29545</v>
      </c>
      <c r="O25" s="44">
        <v>657339</v>
      </c>
      <c r="P25" s="66" t="s">
        <v>2993</v>
      </c>
      <c r="Q25" s="66" t="s">
        <v>155</v>
      </c>
      <c r="R25" s="66" t="s">
        <v>209</v>
      </c>
      <c r="S25" s="66" t="s">
        <v>156</v>
      </c>
      <c r="T25" s="138" t="str">
        <f>IFERROR(LOOKUP($S25,MOTORISTAS!$D$3:$D$916,MOTORISTAS!E$3:$E$916),"")</f>
        <v>09803034863</v>
      </c>
      <c r="U25" s="138" t="str">
        <f>IFERROR(LOOKUP($S25,MOTORISTAS!$D$3:$D$916,MOTORISTAS!F$3:$F$916),"")</f>
        <v>01484565209</v>
      </c>
      <c r="V25" s="66" t="s">
        <v>292</v>
      </c>
      <c r="W25" s="79">
        <v>44935.786805555559</v>
      </c>
      <c r="X25" s="79">
        <v>44935.975694444445</v>
      </c>
      <c r="Y25" s="79">
        <v>44936.416666666664</v>
      </c>
      <c r="Z25" s="66" t="s">
        <v>306</v>
      </c>
      <c r="AA25" s="79">
        <v>44936.636805555558</v>
      </c>
      <c r="AB25" s="66"/>
      <c r="AC25" s="79">
        <v>44937.5</v>
      </c>
      <c r="AD25" s="79">
        <v>44939.5</v>
      </c>
      <c r="AE25" s="66" t="s">
        <v>835</v>
      </c>
      <c r="AF25" s="44">
        <v>14805</v>
      </c>
      <c r="AG25" s="254">
        <f>Prog_23[[#This Row],[SAÍDA DO CLIENTE]]-Prog_23[[#This Row],[PROGRAMAÇÃO CLIENTE]]</f>
        <v>0.16666666666424135</v>
      </c>
      <c r="AH25" s="44"/>
      <c r="AI25" s="66"/>
      <c r="AJ25" s="66"/>
      <c r="AK25" s="66"/>
      <c r="AL25" s="66"/>
      <c r="AM25" s="66"/>
      <c r="AN25" s="83"/>
      <c r="AO25" s="83"/>
      <c r="AP25" s="83"/>
      <c r="AQ25" s="66"/>
      <c r="AR25" s="66"/>
      <c r="AS25" s="66"/>
      <c r="AT25" s="81"/>
      <c r="AU25" s="81"/>
      <c r="AV25" s="81"/>
      <c r="AW25" s="81"/>
      <c r="AX25" s="83">
        <f>SUM(Prog_23[[#This Row],[ADIANTAMENTO]]+Prog_23[[#This Row],[SALDO]]+Prog_23[[#This Row],[MARGEM]]+Prog_23[[#This Row],[ESTADIA 1]])</f>
        <v>0</v>
      </c>
      <c r="AY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5" s="81"/>
      <c r="BA25" s="81"/>
      <c r="BB25" s="81">
        <f>Prog_23[[#This Row],[VLR NF]]*0.1%</f>
        <v>0</v>
      </c>
      <c r="BC25" s="81">
        <f>Prog_23[[#This Row],[VLR NF]]*0.05%</f>
        <v>0</v>
      </c>
      <c r="BD25" s="81">
        <v>0</v>
      </c>
      <c r="BE25" s="81"/>
      <c r="BF25" s="81"/>
      <c r="BG25" s="81"/>
      <c r="BH25" s="81"/>
      <c r="BI25" s="81"/>
      <c r="BJ25" s="81"/>
      <c r="BK25" s="81"/>
      <c r="BL25" s="81"/>
      <c r="BM25" s="81"/>
      <c r="BN25" s="66" t="s">
        <v>2768</v>
      </c>
      <c r="BO25" s="66" t="s">
        <v>2768</v>
      </c>
      <c r="BP25" s="66" t="s">
        <v>2768</v>
      </c>
      <c r="BQ25" s="66" t="str">
        <f>PROPER(TEXT(Prog_23[[#This Row],[PROGRAMAÇÃO CLIENTE]],"mmm"))</f>
        <v>Jan</v>
      </c>
      <c r="BR25" s="66">
        <f>YEAR(Prog_23[[#This Row],[PROGRAMAÇÃO CLIENTE]])</f>
        <v>2023</v>
      </c>
    </row>
    <row r="26" spans="1:70" x14ac:dyDescent="0.25">
      <c r="A26" s="120" t="str">
        <f>Prog_23[[#This Row],[CONTEINER]]</f>
        <v>MRKU2117730</v>
      </c>
      <c r="B26" s="86" t="s">
        <v>2771</v>
      </c>
      <c r="C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" s="85">
        <v>44936.25</v>
      </c>
      <c r="E26" s="66" t="s">
        <v>353</v>
      </c>
      <c r="F26" s="66" t="s">
        <v>354</v>
      </c>
      <c r="G26" s="66">
        <v>8166386</v>
      </c>
      <c r="H26" s="44">
        <v>224157168</v>
      </c>
      <c r="I26" s="44" t="s">
        <v>3006</v>
      </c>
      <c r="J26" s="66" t="s">
        <v>301</v>
      </c>
      <c r="K26" s="66">
        <v>3880</v>
      </c>
      <c r="L26" s="66" t="s">
        <v>3007</v>
      </c>
      <c r="M26" s="66">
        <v>25685</v>
      </c>
      <c r="N26" s="66">
        <v>29565</v>
      </c>
      <c r="O26" s="44">
        <v>657357</v>
      </c>
      <c r="P26" s="66" t="s">
        <v>2993</v>
      </c>
      <c r="Q26" s="66" t="s">
        <v>150</v>
      </c>
      <c r="R26" s="66" t="s">
        <v>151</v>
      </c>
      <c r="S26" s="66" t="s">
        <v>152</v>
      </c>
      <c r="T26" s="138" t="str">
        <f>IFERROR(LOOKUP($S26,MOTORISTAS!$D$3:$D$916,MOTORISTAS!E$3:$E$916),"")</f>
        <v>05753633803</v>
      </c>
      <c r="U26" s="138" t="str">
        <f>IFERROR(LOOKUP($S26,MOTORISTAS!$D$3:$D$916,MOTORISTAS!F$3:$F$916),"")</f>
        <v>01922497849</v>
      </c>
      <c r="V26" s="66" t="s">
        <v>292</v>
      </c>
      <c r="W26" s="79">
        <v>44935.548611111109</v>
      </c>
      <c r="X26" s="79">
        <v>44935.975694444445</v>
      </c>
      <c r="Y26" s="79">
        <v>44936.479166666664</v>
      </c>
      <c r="Z26" s="66" t="s">
        <v>306</v>
      </c>
      <c r="AA26" s="79">
        <v>44936.722916666666</v>
      </c>
      <c r="AB26" s="66"/>
      <c r="AC26" s="79">
        <v>44937.5</v>
      </c>
      <c r="AD26" s="79">
        <v>44939.5</v>
      </c>
      <c r="AE26" s="66" t="s">
        <v>835</v>
      </c>
      <c r="AF26" s="44">
        <v>14809</v>
      </c>
      <c r="AG26" s="254">
        <f>Prog_23[[#This Row],[SAÍDA DO CLIENTE]]-Prog_23[[#This Row],[PROGRAMAÇÃO CLIENTE]]</f>
        <v>0.22916666666424135</v>
      </c>
      <c r="AH26" s="44"/>
      <c r="AI26" s="66"/>
      <c r="AJ26" s="66"/>
      <c r="AK26" s="66"/>
      <c r="AL26" s="66"/>
      <c r="AM26" s="66"/>
      <c r="AN26" s="83"/>
      <c r="AO26" s="83"/>
      <c r="AP26" s="83"/>
      <c r="AQ26" s="66"/>
      <c r="AR26" s="66"/>
      <c r="AS26" s="66"/>
      <c r="AT26" s="81"/>
      <c r="AU26" s="81"/>
      <c r="AV26" s="81"/>
      <c r="AW26" s="81"/>
      <c r="AX26" s="83">
        <f>SUM(Prog_23[[#This Row],[ADIANTAMENTO]]+Prog_23[[#This Row],[SALDO]]+Prog_23[[#This Row],[MARGEM]]+Prog_23[[#This Row],[ESTADIA 1]])</f>
        <v>0</v>
      </c>
      <c r="AY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6" s="81"/>
      <c r="BA26" s="81"/>
      <c r="BB26" s="81">
        <f>Prog_23[[#This Row],[VLR NF]]*0.1%</f>
        <v>0</v>
      </c>
      <c r="BC26" s="81">
        <f>Prog_23[[#This Row],[VLR NF]]*0.05%</f>
        <v>0</v>
      </c>
      <c r="BD26" s="81">
        <v>0</v>
      </c>
      <c r="BE26" s="81"/>
      <c r="BF26" s="81"/>
      <c r="BG26" s="81"/>
      <c r="BH26" s="81"/>
      <c r="BI26" s="81"/>
      <c r="BJ26" s="81"/>
      <c r="BK26" s="81"/>
      <c r="BL26" s="81"/>
      <c r="BM26" s="81"/>
      <c r="BN26" s="66" t="s">
        <v>2768</v>
      </c>
      <c r="BO26" s="66" t="s">
        <v>2768</v>
      </c>
      <c r="BP26" s="66" t="s">
        <v>2768</v>
      </c>
      <c r="BQ26" s="66" t="str">
        <f>PROPER(TEXT(Prog_23[[#This Row],[PROGRAMAÇÃO CLIENTE]],"mmm"))</f>
        <v>Jan</v>
      </c>
      <c r="BR26" s="66">
        <f>YEAR(Prog_23[[#This Row],[PROGRAMAÇÃO CLIENTE]])</f>
        <v>2023</v>
      </c>
    </row>
    <row r="27" spans="1:70" x14ac:dyDescent="0.25">
      <c r="A27" s="120" t="str">
        <f>Prog_23[[#This Row],[CONTEINER]]</f>
        <v>MRKU4953771</v>
      </c>
      <c r="B27" s="86" t="s">
        <v>2771</v>
      </c>
      <c r="C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7" s="85">
        <v>44936.541666666664</v>
      </c>
      <c r="E27" s="66" t="s">
        <v>353</v>
      </c>
      <c r="F27" s="66" t="s">
        <v>354</v>
      </c>
      <c r="G27" s="66">
        <v>8166395</v>
      </c>
      <c r="H27" s="44">
        <v>224157390</v>
      </c>
      <c r="I27" s="44" t="s">
        <v>3008</v>
      </c>
      <c r="J27" s="66" t="s">
        <v>301</v>
      </c>
      <c r="K27" s="66">
        <v>3810</v>
      </c>
      <c r="L27" s="66" t="s">
        <v>3009</v>
      </c>
      <c r="M27" s="66">
        <v>25685</v>
      </c>
      <c r="N27" s="66">
        <v>29495</v>
      </c>
      <c r="O27" s="44">
        <v>657372</v>
      </c>
      <c r="P27" s="66" t="s">
        <v>2993</v>
      </c>
      <c r="Q27" s="66" t="s">
        <v>102</v>
      </c>
      <c r="R27" s="66" t="s">
        <v>27</v>
      </c>
      <c r="S27" s="66" t="s">
        <v>206</v>
      </c>
      <c r="T27" s="138" t="str">
        <f>IFERROR(LOOKUP($S27,MOTORISTAS!$D$3:$D$916,MOTORISTAS!E$3:$E$916),"")</f>
        <v>09085263425</v>
      </c>
      <c r="U27" s="138" t="str">
        <f>IFERROR(LOOKUP($S27,MOTORISTAS!$D$3:$D$916,MOTORISTAS!F$3:$F$916),"")</f>
        <v>04557705505</v>
      </c>
      <c r="V27" s="66" t="s">
        <v>292</v>
      </c>
      <c r="W27" s="79">
        <v>44935.424305555556</v>
      </c>
      <c r="X27" s="79">
        <v>44935.975694444445</v>
      </c>
      <c r="Y27" s="79">
        <v>44936.552083333336</v>
      </c>
      <c r="Z27" s="66" t="s">
        <v>306</v>
      </c>
      <c r="AA27" s="79">
        <v>44936.759722222225</v>
      </c>
      <c r="AB27" s="66"/>
      <c r="AC27" s="79">
        <v>44937.5</v>
      </c>
      <c r="AD27" s="79">
        <v>44939.5</v>
      </c>
      <c r="AE27" s="66" t="s">
        <v>835</v>
      </c>
      <c r="AF27" s="44">
        <v>14813</v>
      </c>
      <c r="AG27" s="254">
        <f>Prog_23[[#This Row],[SAÍDA DO CLIENTE]]-Prog_23[[#This Row],[PROGRAMAÇÃO CLIENTE]]</f>
        <v>1.0416666671517305E-2</v>
      </c>
      <c r="AH27" s="44"/>
      <c r="AI27" s="66"/>
      <c r="AJ27" s="66"/>
      <c r="AK27" s="66"/>
      <c r="AL27" s="66"/>
      <c r="AM27" s="66"/>
      <c r="AN27" s="83"/>
      <c r="AO27" s="83"/>
      <c r="AP27" s="83"/>
      <c r="AQ27" s="66"/>
      <c r="AR27" s="66"/>
      <c r="AS27" s="66"/>
      <c r="AT27" s="81"/>
      <c r="AU27" s="81"/>
      <c r="AV27" s="81"/>
      <c r="AW27" s="81"/>
      <c r="AX27" s="83">
        <f>SUM(Prog_23[[#This Row],[ADIANTAMENTO]]+Prog_23[[#This Row],[SALDO]]+Prog_23[[#This Row],[MARGEM]]+Prog_23[[#This Row],[ESTADIA 1]])</f>
        <v>0</v>
      </c>
      <c r="AY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7" s="81"/>
      <c r="BA27" s="81"/>
      <c r="BB27" s="81">
        <f>Prog_23[[#This Row],[VLR NF]]*0.1%</f>
        <v>0</v>
      </c>
      <c r="BC27" s="81">
        <f>Prog_23[[#This Row],[VLR NF]]*0.05%</f>
        <v>0</v>
      </c>
      <c r="BD27" s="81">
        <v>0</v>
      </c>
      <c r="BE27" s="81"/>
      <c r="BF27" s="81"/>
      <c r="BG27" s="81"/>
      <c r="BH27" s="81"/>
      <c r="BI27" s="81"/>
      <c r="BJ27" s="81"/>
      <c r="BK27" s="81"/>
      <c r="BL27" s="81"/>
      <c r="BM27" s="81"/>
      <c r="BN27" s="66" t="s">
        <v>2768</v>
      </c>
      <c r="BO27" s="66" t="s">
        <v>2768</v>
      </c>
      <c r="BP27" s="66" t="s">
        <v>2768</v>
      </c>
      <c r="BQ27" s="66" t="str">
        <f>PROPER(TEXT(Prog_23[[#This Row],[PROGRAMAÇÃO CLIENTE]],"mmm"))</f>
        <v>Jan</v>
      </c>
      <c r="BR27" s="66">
        <f>YEAR(Prog_23[[#This Row],[PROGRAMAÇÃO CLIENTE]])</f>
        <v>2023</v>
      </c>
    </row>
    <row r="28" spans="1:70" x14ac:dyDescent="0.25">
      <c r="A28" s="120" t="str">
        <f>Prog_23[[#This Row],[CONTEINER]]</f>
        <v>MRKU2482498</v>
      </c>
      <c r="B28" s="86" t="s">
        <v>2771</v>
      </c>
      <c r="C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" s="85">
        <v>44936.541666666664</v>
      </c>
      <c r="E28" s="66" t="s">
        <v>353</v>
      </c>
      <c r="F28" s="66" t="s">
        <v>354</v>
      </c>
      <c r="G28" s="66">
        <v>8166395</v>
      </c>
      <c r="H28" s="44">
        <v>224157390</v>
      </c>
      <c r="I28" s="44" t="s">
        <v>3010</v>
      </c>
      <c r="J28" s="66" t="s">
        <v>301</v>
      </c>
      <c r="K28" s="66">
        <v>3880</v>
      </c>
      <c r="L28" s="66" t="s">
        <v>3011</v>
      </c>
      <c r="M28" s="66">
        <v>25685</v>
      </c>
      <c r="N28" s="66">
        <v>29565</v>
      </c>
      <c r="O28" s="44">
        <v>657403</v>
      </c>
      <c r="P28" s="66" t="s">
        <v>2993</v>
      </c>
      <c r="Q28" s="66" t="s">
        <v>31</v>
      </c>
      <c r="R28" s="66" t="s">
        <v>32</v>
      </c>
      <c r="S28" s="66" t="s">
        <v>33</v>
      </c>
      <c r="T28" s="138" t="str">
        <f>IFERROR(LOOKUP($S28,MOTORISTAS!$D$3:$D$916,MOTORISTAS!E$3:$E$916),"")</f>
        <v>09776430856</v>
      </c>
      <c r="U28" s="138" t="str">
        <f>IFERROR(LOOKUP($S28,MOTORISTAS!$D$3:$D$916,MOTORISTAS!F$3:$F$916),"")</f>
        <v>01258979905</v>
      </c>
      <c r="V28" s="66" t="s">
        <v>292</v>
      </c>
      <c r="W28" s="79">
        <v>44935.486111111109</v>
      </c>
      <c r="X28" s="79">
        <v>44936.125</v>
      </c>
      <c r="Y28" s="79">
        <v>44936.6875</v>
      </c>
      <c r="Z28" s="66" t="s">
        <v>306</v>
      </c>
      <c r="AA28" s="79">
        <v>44936.892361111109</v>
      </c>
      <c r="AB28" s="66"/>
      <c r="AC28" s="79">
        <v>44937.5</v>
      </c>
      <c r="AD28" s="79">
        <v>44939.5</v>
      </c>
      <c r="AE28" s="66" t="s">
        <v>835</v>
      </c>
      <c r="AF28" s="44">
        <v>14816</v>
      </c>
      <c r="AG28" s="254">
        <f>Prog_23[[#This Row],[SAÍDA DO CLIENTE]]-Prog_23[[#This Row],[PROGRAMAÇÃO CLIENTE]]</f>
        <v>0.14583333333575865</v>
      </c>
      <c r="AH28" s="44"/>
      <c r="AI28" s="66"/>
      <c r="AJ28" s="66"/>
      <c r="AK28" s="66"/>
      <c r="AL28" s="66"/>
      <c r="AM28" s="66"/>
      <c r="AN28" s="83"/>
      <c r="AO28" s="83"/>
      <c r="AP28" s="83"/>
      <c r="AQ28" s="66"/>
      <c r="AR28" s="66"/>
      <c r="AS28" s="66"/>
      <c r="AT28" s="81"/>
      <c r="AU28" s="81"/>
      <c r="AV28" s="81"/>
      <c r="AW28" s="81"/>
      <c r="AX28" s="83">
        <f>SUM(Prog_23[[#This Row],[ADIANTAMENTO]]+Prog_23[[#This Row],[SALDO]]+Prog_23[[#This Row],[MARGEM]]+Prog_23[[#This Row],[ESTADIA 1]])</f>
        <v>0</v>
      </c>
      <c r="AY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8" s="81"/>
      <c r="BA28" s="81"/>
      <c r="BB28" s="81">
        <f>Prog_23[[#This Row],[VLR NF]]*0.1%</f>
        <v>0</v>
      </c>
      <c r="BC28" s="81">
        <f>Prog_23[[#This Row],[VLR NF]]*0.05%</f>
        <v>0</v>
      </c>
      <c r="BD28" s="81">
        <v>0</v>
      </c>
      <c r="BE28" s="81"/>
      <c r="BF28" s="81"/>
      <c r="BG28" s="81"/>
      <c r="BH28" s="81"/>
      <c r="BI28" s="81"/>
      <c r="BJ28" s="81"/>
      <c r="BK28" s="81"/>
      <c r="BL28" s="81"/>
      <c r="BM28" s="81"/>
      <c r="BN28" s="66" t="s">
        <v>2768</v>
      </c>
      <c r="BO28" s="66" t="s">
        <v>2768</v>
      </c>
      <c r="BP28" s="66" t="s">
        <v>2768</v>
      </c>
      <c r="BQ28" s="66" t="str">
        <f>PROPER(TEXT(Prog_23[[#This Row],[PROGRAMAÇÃO CLIENTE]],"mmm"))</f>
        <v>Jan</v>
      </c>
      <c r="BR28" s="66">
        <f>YEAR(Prog_23[[#This Row],[PROGRAMAÇÃO CLIENTE]])</f>
        <v>2023</v>
      </c>
    </row>
    <row r="29" spans="1:70" x14ac:dyDescent="0.25">
      <c r="A29" s="120" t="str">
        <f>Prog_23[[#This Row],[CONTEINER]]</f>
        <v>MVIU0032955</v>
      </c>
      <c r="B29" s="86" t="s">
        <v>2771</v>
      </c>
      <c r="C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9" s="85">
        <v>44936.541666666664</v>
      </c>
      <c r="E29" s="66" t="s">
        <v>353</v>
      </c>
      <c r="F29" s="66" t="s">
        <v>354</v>
      </c>
      <c r="G29" s="66">
        <v>8166395</v>
      </c>
      <c r="H29" s="44">
        <v>224157390</v>
      </c>
      <c r="I29" s="44" t="s">
        <v>3012</v>
      </c>
      <c r="J29" s="66" t="s">
        <v>301</v>
      </c>
      <c r="K29" s="66">
        <v>3350</v>
      </c>
      <c r="L29" s="66" t="s">
        <v>3013</v>
      </c>
      <c r="M29" s="66">
        <v>25685</v>
      </c>
      <c r="N29" s="66">
        <v>29035</v>
      </c>
      <c r="O29" s="44">
        <v>657371</v>
      </c>
      <c r="P29" s="66" t="s">
        <v>2993</v>
      </c>
      <c r="Q29" s="66" t="s">
        <v>68</v>
      </c>
      <c r="R29" s="66" t="s">
        <v>36</v>
      </c>
      <c r="S29" s="66" t="s">
        <v>69</v>
      </c>
      <c r="T29" s="138" t="str">
        <f>IFERROR(LOOKUP($S29,MOTORISTAS!$D$3:$D$916,MOTORISTAS!E$3:$E$916),"")</f>
        <v>07968457866</v>
      </c>
      <c r="U29" s="138" t="str">
        <f>IFERROR(LOOKUP($S29,MOTORISTAS!$D$3:$D$916,MOTORISTAS!F$3:$F$916),"")</f>
        <v>03264365790</v>
      </c>
      <c r="V29" s="66" t="s">
        <v>292</v>
      </c>
      <c r="W29" s="79">
        <v>44935.583333333336</v>
      </c>
      <c r="X29" s="79">
        <v>44935.975694444445</v>
      </c>
      <c r="Y29" s="79">
        <v>44936.493055555555</v>
      </c>
      <c r="Z29" s="66" t="s">
        <v>306</v>
      </c>
      <c r="AA29" s="79">
        <v>44936.720138888886</v>
      </c>
      <c r="AB29" s="66"/>
      <c r="AC29" s="79">
        <v>44937.5</v>
      </c>
      <c r="AD29" s="79">
        <v>44939.5</v>
      </c>
      <c r="AE29" s="66" t="s">
        <v>835</v>
      </c>
      <c r="AF29" s="44">
        <v>14810</v>
      </c>
      <c r="AG29" s="254">
        <f>Prog_23[[#This Row],[SAÍDA DO CLIENTE]]-Prog_23[[#This Row],[PROGRAMAÇÃO CLIENTE]]</f>
        <v>-4.8611111109494232E-2</v>
      </c>
      <c r="AH29" s="44"/>
      <c r="AI29" s="66"/>
      <c r="AJ29" s="66"/>
      <c r="AK29" s="66"/>
      <c r="AL29" s="66"/>
      <c r="AM29" s="66"/>
      <c r="AN29" s="83"/>
      <c r="AO29" s="83"/>
      <c r="AP29" s="83"/>
      <c r="AQ29" s="66"/>
      <c r="AR29" s="66"/>
      <c r="AS29" s="66"/>
      <c r="AT29" s="81"/>
      <c r="AU29" s="81"/>
      <c r="AV29" s="81"/>
      <c r="AW29" s="81"/>
      <c r="AX29" s="83">
        <f>SUM(Prog_23[[#This Row],[ADIANTAMENTO]]+Prog_23[[#This Row],[SALDO]]+Prog_23[[#This Row],[MARGEM]]+Prog_23[[#This Row],[ESTADIA 1]])</f>
        <v>0</v>
      </c>
      <c r="AY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9" s="81"/>
      <c r="BA29" s="81"/>
      <c r="BB29" s="81">
        <f>Prog_23[[#This Row],[VLR NF]]*0.1%</f>
        <v>0</v>
      </c>
      <c r="BC29" s="81">
        <f>Prog_23[[#This Row],[VLR NF]]*0.05%</f>
        <v>0</v>
      </c>
      <c r="BD29" s="81">
        <v>0</v>
      </c>
      <c r="BE29" s="81"/>
      <c r="BF29" s="81"/>
      <c r="BG29" s="81"/>
      <c r="BH29" s="81"/>
      <c r="BI29" s="81"/>
      <c r="BJ29" s="81"/>
      <c r="BK29" s="81"/>
      <c r="BL29" s="81"/>
      <c r="BM29" s="81"/>
      <c r="BN29" s="66" t="s">
        <v>2768</v>
      </c>
      <c r="BO29" s="66" t="s">
        <v>2768</v>
      </c>
      <c r="BP29" s="66" t="s">
        <v>2768</v>
      </c>
      <c r="BQ29" s="66" t="str">
        <f>PROPER(TEXT(Prog_23[[#This Row],[PROGRAMAÇÃO CLIENTE]],"mmm"))</f>
        <v>Jan</v>
      </c>
      <c r="BR29" s="66">
        <f>YEAR(Prog_23[[#This Row],[PROGRAMAÇÃO CLIENTE]])</f>
        <v>2023</v>
      </c>
    </row>
    <row r="30" spans="1:70" x14ac:dyDescent="0.25">
      <c r="A30" s="120" t="str">
        <f>Prog_23[[#This Row],[CONTEINER]]</f>
        <v>MRKU3384942</v>
      </c>
      <c r="B30" s="86" t="s">
        <v>2771</v>
      </c>
      <c r="C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" s="85">
        <v>44936.541666666664</v>
      </c>
      <c r="E30" s="66" t="s">
        <v>353</v>
      </c>
      <c r="F30" s="66" t="s">
        <v>354</v>
      </c>
      <c r="G30" s="66">
        <v>8166395</v>
      </c>
      <c r="H30" s="44">
        <v>224157390</v>
      </c>
      <c r="I30" s="44" t="s">
        <v>3014</v>
      </c>
      <c r="J30" s="66" t="s">
        <v>301</v>
      </c>
      <c r="K30" s="66">
        <v>3790</v>
      </c>
      <c r="L30" s="66" t="s">
        <v>3015</v>
      </c>
      <c r="M30" s="66">
        <v>25685</v>
      </c>
      <c r="N30" s="66">
        <v>29475</v>
      </c>
      <c r="O30" s="44">
        <v>657408</v>
      </c>
      <c r="P30" s="66" t="s">
        <v>2993</v>
      </c>
      <c r="Q30" s="66" t="s">
        <v>2389</v>
      </c>
      <c r="R30" s="66" t="s">
        <v>2390</v>
      </c>
      <c r="S30" s="66" t="s">
        <v>2678</v>
      </c>
      <c r="T30" s="138" t="str">
        <f>IFERROR(LOOKUP($S30,MOTORISTAS!$D$3:$D$916,MOTORISTAS!E$3:$E$916),"")</f>
        <v>28386357860</v>
      </c>
      <c r="U30" s="138" t="str">
        <f>IFERROR(LOOKUP($S30,MOTORISTAS!$D$3:$D$916,MOTORISTAS!F$3:$F$916),"")</f>
        <v>01042201192</v>
      </c>
      <c r="V30" s="66" t="s">
        <v>292</v>
      </c>
      <c r="W30" s="79">
        <v>44935.583333333336</v>
      </c>
      <c r="X30" s="79">
        <v>44936.166666666664</v>
      </c>
      <c r="Y30" s="79">
        <v>44936.763888888891</v>
      </c>
      <c r="Z30" s="66" t="s">
        <v>306</v>
      </c>
      <c r="AA30" s="79">
        <v>44936.980555555558</v>
      </c>
      <c r="AB30" s="66"/>
      <c r="AC30" s="79">
        <v>44937.5</v>
      </c>
      <c r="AD30" s="79">
        <v>44939.5</v>
      </c>
      <c r="AE30" s="66" t="s">
        <v>835</v>
      </c>
      <c r="AF30" s="44">
        <v>14817</v>
      </c>
      <c r="AG30" s="254">
        <f>Prog_23[[#This Row],[SAÍDA DO CLIENTE]]-Prog_23[[#This Row],[PROGRAMAÇÃO CLIENTE]]</f>
        <v>0.22222222222626442</v>
      </c>
      <c r="AH30" s="44"/>
      <c r="AI30" s="66"/>
      <c r="AJ30" s="66"/>
      <c r="AK30" s="66"/>
      <c r="AL30" s="66"/>
      <c r="AM30" s="66"/>
      <c r="AN30" s="83"/>
      <c r="AO30" s="83"/>
      <c r="AP30" s="83"/>
      <c r="AQ30" s="66"/>
      <c r="AR30" s="66"/>
      <c r="AS30" s="66"/>
      <c r="AT30" s="81"/>
      <c r="AU30" s="81"/>
      <c r="AV30" s="81"/>
      <c r="AW30" s="81"/>
      <c r="AX30" s="83">
        <f>SUM(Prog_23[[#This Row],[ADIANTAMENTO]]+Prog_23[[#This Row],[SALDO]]+Prog_23[[#This Row],[MARGEM]]+Prog_23[[#This Row],[ESTADIA 1]])</f>
        <v>0</v>
      </c>
      <c r="AY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0" s="81"/>
      <c r="BA30" s="81"/>
      <c r="BB30" s="81">
        <f>Prog_23[[#This Row],[VLR NF]]*0.1%</f>
        <v>0</v>
      </c>
      <c r="BC30" s="81">
        <f>Prog_23[[#This Row],[VLR NF]]*0.05%</f>
        <v>0</v>
      </c>
      <c r="BD30" s="81">
        <v>0</v>
      </c>
      <c r="BE30" s="81"/>
      <c r="BF30" s="81"/>
      <c r="BG30" s="81"/>
      <c r="BH30" s="81"/>
      <c r="BI30" s="81"/>
      <c r="BJ30" s="81"/>
      <c r="BK30" s="81"/>
      <c r="BL30" s="81"/>
      <c r="BM30" s="81"/>
      <c r="BN30" s="66" t="s">
        <v>2768</v>
      </c>
      <c r="BO30" s="66" t="s">
        <v>2768</v>
      </c>
      <c r="BP30" s="66" t="s">
        <v>2768</v>
      </c>
      <c r="BQ30" s="66" t="str">
        <f>PROPER(TEXT(Prog_23[[#This Row],[PROGRAMAÇÃO CLIENTE]],"mmm"))</f>
        <v>Jan</v>
      </c>
      <c r="BR30" s="66">
        <f>YEAR(Prog_23[[#This Row],[PROGRAMAÇÃO CLIENTE]])</f>
        <v>2023</v>
      </c>
    </row>
    <row r="31" spans="1:70" x14ac:dyDescent="0.25">
      <c r="A31" s="120" t="str">
        <f>Prog_23[[#This Row],[CONTEINER]]</f>
        <v>MSKU8914327</v>
      </c>
      <c r="B31" s="86" t="s">
        <v>2771</v>
      </c>
      <c r="C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" s="85">
        <v>44936.541666666664</v>
      </c>
      <c r="E31" s="66" t="s">
        <v>353</v>
      </c>
      <c r="F31" s="66" t="s">
        <v>354</v>
      </c>
      <c r="G31" s="66">
        <v>8166395</v>
      </c>
      <c r="H31" s="44">
        <v>224157390</v>
      </c>
      <c r="I31" s="44" t="s">
        <v>3016</v>
      </c>
      <c r="J31" s="66" t="s">
        <v>301</v>
      </c>
      <c r="K31" s="66">
        <v>3880</v>
      </c>
      <c r="L31" s="66" t="s">
        <v>3017</v>
      </c>
      <c r="M31" s="66">
        <v>25685</v>
      </c>
      <c r="N31" s="66">
        <v>29565</v>
      </c>
      <c r="O31" s="44">
        <v>657434</v>
      </c>
      <c r="P31" s="66" t="s">
        <v>2993</v>
      </c>
      <c r="Q31" s="66" t="s">
        <v>111</v>
      </c>
      <c r="R31" s="66" t="s">
        <v>891</v>
      </c>
      <c r="S31" s="66" t="s">
        <v>113</v>
      </c>
      <c r="T31" s="138" t="str">
        <f>IFERROR(LOOKUP($S31,MOTORISTAS!$D$3:$D$916,MOTORISTAS!E$3:$E$916),"")</f>
        <v>88265951434</v>
      </c>
      <c r="U31" s="138" t="str">
        <f>IFERROR(LOOKUP($S31,MOTORISTAS!$D$3:$D$916,MOTORISTAS!F$3:$F$916),"")</f>
        <v>00920373596</v>
      </c>
      <c r="V31" s="66" t="s">
        <v>292</v>
      </c>
      <c r="W31" s="79">
        <v>44935.875</v>
      </c>
      <c r="X31" s="79">
        <v>44936.166666666664</v>
      </c>
      <c r="Y31" s="79">
        <v>44936.854166666664</v>
      </c>
      <c r="Z31" s="66" t="s">
        <v>306</v>
      </c>
      <c r="AA31" s="79">
        <v>44937.10833333333</v>
      </c>
      <c r="AB31" s="66"/>
      <c r="AC31" s="79">
        <v>44937.5</v>
      </c>
      <c r="AD31" s="79">
        <v>44939.5</v>
      </c>
      <c r="AE31" s="66" t="s">
        <v>835</v>
      </c>
      <c r="AF31" s="44">
        <v>14818</v>
      </c>
      <c r="AG31" s="254">
        <f>Prog_23[[#This Row],[SAÍDA DO CLIENTE]]-Prog_23[[#This Row],[PROGRAMAÇÃO CLIENTE]]</f>
        <v>0.3125</v>
      </c>
      <c r="AH31" s="44"/>
      <c r="AI31" s="66"/>
      <c r="AJ31" s="66"/>
      <c r="AK31" s="66"/>
      <c r="AL31" s="66"/>
      <c r="AM31" s="66"/>
      <c r="AN31" s="83"/>
      <c r="AO31" s="83"/>
      <c r="AP31" s="83"/>
      <c r="AQ31" s="66"/>
      <c r="AR31" s="66"/>
      <c r="AS31" s="66"/>
      <c r="AT31" s="81"/>
      <c r="AU31" s="81"/>
      <c r="AV31" s="81"/>
      <c r="AW31" s="81"/>
      <c r="AX31" s="83">
        <f>SUM(Prog_23[[#This Row],[ADIANTAMENTO]]+Prog_23[[#This Row],[SALDO]]+Prog_23[[#This Row],[MARGEM]]+Prog_23[[#This Row],[ESTADIA 1]])</f>
        <v>0</v>
      </c>
      <c r="AY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1" s="81"/>
      <c r="BA31" s="81"/>
      <c r="BB31" s="81">
        <f>Prog_23[[#This Row],[VLR NF]]*0.1%</f>
        <v>0</v>
      </c>
      <c r="BC31" s="81">
        <f>Prog_23[[#This Row],[VLR NF]]*0.05%</f>
        <v>0</v>
      </c>
      <c r="BD31" s="81">
        <v>0</v>
      </c>
      <c r="BE31" s="81"/>
      <c r="BF31" s="81"/>
      <c r="BG31" s="81"/>
      <c r="BH31" s="81"/>
      <c r="BI31" s="81"/>
      <c r="BJ31" s="81"/>
      <c r="BK31" s="81"/>
      <c r="BL31" s="81"/>
      <c r="BM31" s="81"/>
      <c r="BN31" s="66" t="s">
        <v>2768</v>
      </c>
      <c r="BO31" s="66" t="s">
        <v>2768</v>
      </c>
      <c r="BP31" s="66" t="s">
        <v>2768</v>
      </c>
      <c r="BQ31" s="66" t="str">
        <f>PROPER(TEXT(Prog_23[[#This Row],[PROGRAMAÇÃO CLIENTE]],"mmm"))</f>
        <v>Jan</v>
      </c>
      <c r="BR31" s="66">
        <f>YEAR(Prog_23[[#This Row],[PROGRAMAÇÃO CLIENTE]])</f>
        <v>2023</v>
      </c>
    </row>
    <row r="32" spans="1:70" x14ac:dyDescent="0.25">
      <c r="A32" s="120" t="str">
        <f>Prog_23[[#This Row],[CONTEINER]]</f>
        <v>MRKU8876631</v>
      </c>
      <c r="B32" s="86" t="s">
        <v>2771</v>
      </c>
      <c r="C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2" s="85">
        <v>44943.291666666664</v>
      </c>
      <c r="E32" s="66" t="s">
        <v>449</v>
      </c>
      <c r="F32" s="66" t="s">
        <v>450</v>
      </c>
      <c r="G32" s="66" t="s">
        <v>2935</v>
      </c>
      <c r="H32" s="44" t="s">
        <v>2936</v>
      </c>
      <c r="I32" s="44" t="s">
        <v>2937</v>
      </c>
      <c r="J32" s="66" t="s">
        <v>288</v>
      </c>
      <c r="K32" s="66">
        <v>2170</v>
      </c>
      <c r="L32" s="66" t="s">
        <v>2938</v>
      </c>
      <c r="M32" s="66"/>
      <c r="N32" s="66">
        <v>2170</v>
      </c>
      <c r="O32" s="44">
        <v>36307</v>
      </c>
      <c r="P32" s="66" t="s">
        <v>2939</v>
      </c>
      <c r="Q32" s="66" t="s">
        <v>2940</v>
      </c>
      <c r="R32" s="66" t="s">
        <v>2941</v>
      </c>
      <c r="S32" s="66" t="s">
        <v>3086</v>
      </c>
      <c r="T32" s="138" t="str">
        <f>IFERROR(LOOKUP($S32,MOTORISTAS!$D$3:$D$916,MOTORISTAS!E$3:$E$916),"")</f>
        <v>16955497839</v>
      </c>
      <c r="U32" s="138" t="str">
        <f>IFERROR(LOOKUP($S32,MOTORISTAS!$D$3:$D$916,MOTORISTAS!F$3:$F$916),"")</f>
        <v>03177639496</v>
      </c>
      <c r="V32" s="66" t="s">
        <v>526</v>
      </c>
      <c r="W32" s="79">
        <v>44942.659722222219</v>
      </c>
      <c r="X32" s="79">
        <v>44943.291666666664</v>
      </c>
      <c r="Y32" s="79">
        <v>44943.75</v>
      </c>
      <c r="Z32" s="66" t="s">
        <v>306</v>
      </c>
      <c r="AA32" s="79">
        <v>44944.35833333333</v>
      </c>
      <c r="AB32" s="79">
        <v>44941.791666666664</v>
      </c>
      <c r="AC32" s="79">
        <v>44943.5</v>
      </c>
      <c r="AD32" s="79">
        <v>44945.75</v>
      </c>
      <c r="AE32" s="66" t="s">
        <v>452</v>
      </c>
      <c r="AF32" s="44">
        <v>991</v>
      </c>
      <c r="AG32" s="254">
        <f>Prog_23[[#This Row],[SAÍDA DO CLIENTE]]-Prog_23[[#This Row],[PROGRAMAÇÃO CLIENTE]]</f>
        <v>0.45833333333575865</v>
      </c>
      <c r="AH32" s="44"/>
      <c r="AI32" s="66"/>
      <c r="AJ32" s="66"/>
      <c r="AK32" s="66"/>
      <c r="AL32" s="66"/>
      <c r="AM32" s="66"/>
      <c r="AN32" s="83"/>
      <c r="AO32" s="83"/>
      <c r="AP32" s="83"/>
      <c r="AQ32" s="66"/>
      <c r="AR32" s="66"/>
      <c r="AS32" s="66"/>
      <c r="AT32" s="81">
        <v>2660</v>
      </c>
      <c r="AU32" s="81">
        <v>1140</v>
      </c>
      <c r="AV32" s="81"/>
      <c r="AW32" s="81"/>
      <c r="AX32" s="83">
        <f>SUM(Prog_23[[#This Row],[ADIANTAMENTO]]+Prog_23[[#This Row],[SALDO]]+Prog_23[[#This Row],[MARGEM]]+Prog_23[[#This Row],[ESTADIA 1]])</f>
        <v>3800</v>
      </c>
      <c r="AY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4878.8207499999999</v>
      </c>
      <c r="AZ32" s="81">
        <v>4035.5</v>
      </c>
      <c r="BA32" s="81">
        <v>177320.75</v>
      </c>
      <c r="BB32" s="81">
        <f>Prog_23[[#This Row],[VLR NF]]*0.1%</f>
        <v>177.32075</v>
      </c>
      <c r="BC32" s="81">
        <v>0</v>
      </c>
      <c r="BD32" s="81">
        <v>666</v>
      </c>
      <c r="BE32" s="81"/>
      <c r="BF32" s="81"/>
      <c r="BG32" s="81"/>
      <c r="BH32" s="81"/>
      <c r="BI32" s="81"/>
      <c r="BJ32" s="81"/>
      <c r="BK32" s="81"/>
      <c r="BL32" s="81"/>
      <c r="BM32" s="81"/>
      <c r="BN32" s="66" t="s">
        <v>2768</v>
      </c>
      <c r="BO32" s="66"/>
      <c r="BP32" s="66"/>
      <c r="BQ32" s="66" t="str">
        <f>PROPER(TEXT(Prog_23[[#This Row],[PROGRAMAÇÃO CLIENTE]],"mmm"))</f>
        <v>Jan</v>
      </c>
      <c r="BR32" s="66">
        <f>YEAR(Prog_23[[#This Row],[PROGRAMAÇÃO CLIENTE]])</f>
        <v>2023</v>
      </c>
    </row>
    <row r="33" spans="1:70" x14ac:dyDescent="0.25">
      <c r="A33" s="120" t="str">
        <f>Prog_23[[#This Row],[CONTEINER]]</f>
        <v>HASU1185857</v>
      </c>
      <c r="B33" s="86" t="s">
        <v>2771</v>
      </c>
      <c r="C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3" s="85">
        <v>44943.291666666664</v>
      </c>
      <c r="E33" s="66" t="s">
        <v>449</v>
      </c>
      <c r="F33" s="66" t="s">
        <v>450</v>
      </c>
      <c r="G33" s="66" t="s">
        <v>2942</v>
      </c>
      <c r="H33" s="44" t="s">
        <v>2943</v>
      </c>
      <c r="I33" s="44" t="s">
        <v>2944</v>
      </c>
      <c r="J33" s="66" t="s">
        <v>288</v>
      </c>
      <c r="K33" s="66">
        <v>2230</v>
      </c>
      <c r="L33" s="66" t="s">
        <v>2945</v>
      </c>
      <c r="M33" s="66"/>
      <c r="N33" s="66">
        <v>2230</v>
      </c>
      <c r="O33" s="44">
        <v>36303</v>
      </c>
      <c r="P33" s="66" t="s">
        <v>2939</v>
      </c>
      <c r="Q33" s="66" t="s">
        <v>2940</v>
      </c>
      <c r="R33" s="66" t="s">
        <v>2946</v>
      </c>
      <c r="S33" s="66" t="s">
        <v>3086</v>
      </c>
      <c r="T33" s="138" t="str">
        <f>IFERROR(LOOKUP($S33,MOTORISTAS!$D$3:$D$916,MOTORISTAS!E$3:$E$916),"")</f>
        <v>16955497839</v>
      </c>
      <c r="U33" s="138" t="str">
        <f>IFERROR(LOOKUP($S33,MOTORISTAS!$D$3:$D$916,MOTORISTAS!F$3:$F$916),"")</f>
        <v>03177639496</v>
      </c>
      <c r="V33" s="66" t="s">
        <v>526</v>
      </c>
      <c r="W33" s="79">
        <v>44942.659722222219</v>
      </c>
      <c r="X33" s="79">
        <v>44943.291666666664</v>
      </c>
      <c r="Y33" s="79">
        <v>44943.75</v>
      </c>
      <c r="Z33" s="66" t="s">
        <v>306</v>
      </c>
      <c r="AA33" s="79">
        <v>44944.300694444442</v>
      </c>
      <c r="AB33" s="79">
        <v>44941.791666666664</v>
      </c>
      <c r="AC33" s="79">
        <v>44943.5</v>
      </c>
      <c r="AD33" s="79">
        <v>44945.75</v>
      </c>
      <c r="AE33" s="66" t="s">
        <v>452</v>
      </c>
      <c r="AF33" s="44">
        <v>992</v>
      </c>
      <c r="AG33" s="254">
        <f>Prog_23[[#This Row],[SAÍDA DO CLIENTE]]-Prog_23[[#This Row],[PROGRAMAÇÃO CLIENTE]]</f>
        <v>0.45833333333575865</v>
      </c>
      <c r="AH33" s="44"/>
      <c r="AI33" s="66"/>
      <c r="AJ33" s="66"/>
      <c r="AK33" s="66"/>
      <c r="AL33" s="66"/>
      <c r="AM33" s="66"/>
      <c r="AN33" s="83"/>
      <c r="AO33" s="83"/>
      <c r="AP33" s="83"/>
      <c r="AQ33" s="66"/>
      <c r="AR33" s="66"/>
      <c r="AS33" s="66"/>
      <c r="AT33" s="81">
        <v>2660</v>
      </c>
      <c r="AU33" s="81">
        <v>1140</v>
      </c>
      <c r="AV33" s="81"/>
      <c r="AW33" s="81"/>
      <c r="AX33" s="83">
        <f>SUM(Prog_23[[#This Row],[ADIANTAMENTO]]+Prog_23[[#This Row],[SALDO]]+Prog_23[[#This Row],[MARGEM]]+Prog_23[[#This Row],[ESTADIA 1]])</f>
        <v>3800</v>
      </c>
      <c r="AY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4829.3449799999999</v>
      </c>
      <c r="AZ33" s="81">
        <v>4035.5</v>
      </c>
      <c r="BA33" s="81">
        <v>127844.98</v>
      </c>
      <c r="BB33" s="81">
        <f>Prog_23[[#This Row],[VLR NF]]*0.1%</f>
        <v>127.84497999999999</v>
      </c>
      <c r="BC33" s="81">
        <v>0</v>
      </c>
      <c r="BD33" s="81">
        <v>666</v>
      </c>
      <c r="BE33" s="81"/>
      <c r="BF33" s="81"/>
      <c r="BG33" s="81"/>
      <c r="BH33" s="81"/>
      <c r="BI33" s="81"/>
      <c r="BJ33" s="81"/>
      <c r="BK33" s="81"/>
      <c r="BL33" s="81"/>
      <c r="BM33" s="81"/>
      <c r="BN33" s="66" t="s">
        <v>2768</v>
      </c>
      <c r="BO33" s="66"/>
      <c r="BP33" s="66"/>
      <c r="BQ33" s="66" t="str">
        <f>PROPER(TEXT(Prog_23[[#This Row],[PROGRAMAÇÃO CLIENTE]],"mmm"))</f>
        <v>Jan</v>
      </c>
      <c r="BR33" s="66">
        <f>YEAR(Prog_23[[#This Row],[PROGRAMAÇÃO CLIENTE]])</f>
        <v>2023</v>
      </c>
    </row>
    <row r="34" spans="1:70" x14ac:dyDescent="0.25">
      <c r="A34" s="120" t="str">
        <f>Prog_23[[#This Row],[CONTEINER]]</f>
        <v>MRSU3144902</v>
      </c>
      <c r="B34" s="86" t="s">
        <v>2771</v>
      </c>
      <c r="C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4" s="85">
        <v>44943.541666666664</v>
      </c>
      <c r="E34" s="66" t="s">
        <v>353</v>
      </c>
      <c r="F34" s="66" t="s">
        <v>354</v>
      </c>
      <c r="G34" s="66">
        <v>8166455</v>
      </c>
      <c r="H34" s="44">
        <v>224158320</v>
      </c>
      <c r="I34" s="44" t="s">
        <v>3401</v>
      </c>
      <c r="J34" s="66" t="s">
        <v>301</v>
      </c>
      <c r="K34" s="66">
        <v>3810</v>
      </c>
      <c r="L34" s="66" t="s">
        <v>3402</v>
      </c>
      <c r="M34" s="66">
        <v>25334</v>
      </c>
      <c r="N34" s="66">
        <f>SUM(Prog_23[[#This Row],[TARA]]+Prog_23[[#This Row],[PESO]])</f>
        <v>29144</v>
      </c>
      <c r="O34" s="44">
        <v>658040</v>
      </c>
      <c r="P34" s="66" t="s">
        <v>3399</v>
      </c>
      <c r="Q34" s="66" t="s">
        <v>92</v>
      </c>
      <c r="R34" s="66" t="s">
        <v>93</v>
      </c>
      <c r="S34" s="66" t="s">
        <v>94</v>
      </c>
      <c r="T34" s="138" t="str">
        <f>IFERROR(LOOKUP($S34,MOTORISTAS!$D$3:$D$916,MOTORISTAS!E$3:$E$916),"")</f>
        <v>26283419801</v>
      </c>
      <c r="U34" s="138" t="str">
        <f>IFERROR(LOOKUP($S34,MOTORISTAS!$D$3:$D$916,MOTORISTAS!F$3:$F$916),"")</f>
        <v>02002046946</v>
      </c>
      <c r="V34" s="66" t="s">
        <v>292</v>
      </c>
      <c r="W34" s="79">
        <v>44942.834027777775</v>
      </c>
      <c r="X34" s="79">
        <v>44943.083333333336</v>
      </c>
      <c r="Y34" s="79">
        <v>44943.444444444445</v>
      </c>
      <c r="Z34" s="66" t="s">
        <v>306</v>
      </c>
      <c r="AA34" s="79">
        <v>44943.282638888886</v>
      </c>
      <c r="AB34" s="79">
        <v>44942.541666666664</v>
      </c>
      <c r="AC34" s="79">
        <v>44944.5</v>
      </c>
      <c r="AD34" s="79">
        <v>44946.5</v>
      </c>
      <c r="AE34" s="66" t="s">
        <v>835</v>
      </c>
      <c r="AF34" s="44">
        <v>14865</v>
      </c>
      <c r="AG34" s="254">
        <f>Prog_23[[#This Row],[SAÍDA DO CLIENTE]]-Prog_23[[#This Row],[PROGRAMAÇÃO CLIENTE]]</f>
        <v>-9.7222222218988463E-2</v>
      </c>
      <c r="AH34" s="44"/>
      <c r="AI34" s="66"/>
      <c r="AJ34" s="66"/>
      <c r="AK34" s="66"/>
      <c r="AL34" s="66"/>
      <c r="AM34" s="66"/>
      <c r="AN34" s="83"/>
      <c r="AO34" s="83"/>
      <c r="AP34" s="83"/>
      <c r="AQ34" s="66"/>
      <c r="AR34" s="66"/>
      <c r="AS34" s="66"/>
      <c r="AT34" s="81"/>
      <c r="AU34" s="81"/>
      <c r="AV34" s="81"/>
      <c r="AW34" s="81"/>
      <c r="AX34" s="83">
        <f>SUM(Prog_23[[#This Row],[ADIANTAMENTO]]+Prog_23[[#This Row],[SALDO]]+Prog_23[[#This Row],[MARGEM]]+Prog_23[[#This Row],[ESTADIA 1]])</f>
        <v>0</v>
      </c>
      <c r="AY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5056.6257400000004</v>
      </c>
      <c r="AZ34" s="81">
        <v>3491.06</v>
      </c>
      <c r="BA34" s="81">
        <v>39165.74</v>
      </c>
      <c r="BB34" s="81">
        <f>Prog_23[[#This Row],[VLR NF]]*0.1%</f>
        <v>39.16574</v>
      </c>
      <c r="BC34" s="81">
        <v>0</v>
      </c>
      <c r="BD34" s="81">
        <v>761.4</v>
      </c>
      <c r="BE34" s="81"/>
      <c r="BF34" s="81"/>
      <c r="BG34" s="81"/>
      <c r="BH34" s="81"/>
      <c r="BI34" s="81"/>
      <c r="BJ34" s="81"/>
      <c r="BK34" s="81"/>
      <c r="BL34" s="81"/>
      <c r="BM34" s="81">
        <f t="shared" ref="BM34:BM39" si="0">85*9</f>
        <v>765</v>
      </c>
      <c r="BN34" s="66"/>
      <c r="BO34" s="66"/>
      <c r="BP34" s="66"/>
      <c r="BQ34" s="66" t="str">
        <f>PROPER(TEXT(Prog_23[[#This Row],[PROGRAMAÇÃO CLIENTE]],"mmm"))</f>
        <v>Jan</v>
      </c>
      <c r="BR34" s="66">
        <f>YEAR(Prog_23[[#This Row],[PROGRAMAÇÃO CLIENTE]])</f>
        <v>2023</v>
      </c>
    </row>
    <row r="35" spans="1:70" x14ac:dyDescent="0.25">
      <c r="A35" s="120" t="str">
        <f>Prog_23[[#This Row],[CONTEINER]]</f>
        <v>MSKU8707464</v>
      </c>
      <c r="B35" s="86" t="s">
        <v>2771</v>
      </c>
      <c r="C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5" s="85">
        <v>44943.541666666664</v>
      </c>
      <c r="E35" s="66" t="s">
        <v>353</v>
      </c>
      <c r="F35" s="66" t="s">
        <v>354</v>
      </c>
      <c r="G35" s="66">
        <v>8166455</v>
      </c>
      <c r="H35" s="44">
        <v>224158320</v>
      </c>
      <c r="I35" s="44" t="s">
        <v>3403</v>
      </c>
      <c r="J35" s="66" t="s">
        <v>301</v>
      </c>
      <c r="K35" s="66">
        <v>3880</v>
      </c>
      <c r="L35" s="66" t="s">
        <v>3404</v>
      </c>
      <c r="M35" s="66">
        <v>26644</v>
      </c>
      <c r="N35" s="66">
        <f>SUM(Prog_23[[#This Row],[TARA]]+Prog_23[[#This Row],[PESO]])</f>
        <v>30524</v>
      </c>
      <c r="O35" s="44">
        <v>658036</v>
      </c>
      <c r="P35" s="66" t="s">
        <v>3399</v>
      </c>
      <c r="Q35" s="66" t="s">
        <v>106</v>
      </c>
      <c r="R35" s="66" t="s">
        <v>107</v>
      </c>
      <c r="S35" s="66" t="s">
        <v>108</v>
      </c>
      <c r="T35" s="138" t="str">
        <f>IFERROR(LOOKUP($S35,MOTORISTAS!$D$3:$D$916,MOTORISTAS!E$3:$E$916),"")</f>
        <v>34927982840</v>
      </c>
      <c r="U35" s="138" t="str">
        <f>IFERROR(LOOKUP($S35,MOTORISTAS!$D$3:$D$916,MOTORISTAS!F$3:$F$916),"")</f>
        <v>03500129879</v>
      </c>
      <c r="V35" s="66" t="s">
        <v>292</v>
      </c>
      <c r="W35" s="79">
        <v>44942.75277777778</v>
      </c>
      <c r="X35" s="79">
        <v>44943.063888888886</v>
      </c>
      <c r="Y35" s="79">
        <v>44943.362500000003</v>
      </c>
      <c r="Z35" s="66" t="s">
        <v>306</v>
      </c>
      <c r="AA35" s="79">
        <v>44943.630555555559</v>
      </c>
      <c r="AB35" s="79">
        <v>44942.541666666664</v>
      </c>
      <c r="AC35" s="79">
        <v>44944.5</v>
      </c>
      <c r="AD35" s="79">
        <v>44946.5</v>
      </c>
      <c r="AE35" s="66" t="s">
        <v>835</v>
      </c>
      <c r="AF35" s="44">
        <v>14863</v>
      </c>
      <c r="AG35" s="254">
        <f>Prog_23[[#This Row],[SAÍDA DO CLIENTE]]-Prog_23[[#This Row],[PROGRAMAÇÃO CLIENTE]]</f>
        <v>-0.17916666666133096</v>
      </c>
      <c r="AH35" s="44"/>
      <c r="AI35" s="66"/>
      <c r="AJ35" s="66"/>
      <c r="AK35" s="66"/>
      <c r="AL35" s="66"/>
      <c r="AM35" s="66"/>
      <c r="AN35" s="83"/>
      <c r="AO35" s="83"/>
      <c r="AP35" s="83"/>
      <c r="AQ35" s="66"/>
      <c r="AR35" s="66"/>
      <c r="AS35" s="66"/>
      <c r="AT35" s="81"/>
      <c r="AU35" s="81"/>
      <c r="AV35" s="81"/>
      <c r="AW35" s="81"/>
      <c r="AX35" s="83">
        <f>SUM(Prog_23[[#This Row],[ADIANTAMENTO]]+Prog_23[[#This Row],[SALDO]]+Prog_23[[#This Row],[MARGEM]]+Prog_23[[#This Row],[ESTADIA 1]])</f>
        <v>0</v>
      </c>
      <c r="AY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5059.0011400000003</v>
      </c>
      <c r="AZ35" s="81">
        <v>3491.06</v>
      </c>
      <c r="BA35" s="81">
        <v>41541.14</v>
      </c>
      <c r="BB35" s="81">
        <f>Prog_23[[#This Row],[VLR NF]]*0.1%</f>
        <v>41.541139999999999</v>
      </c>
      <c r="BC35" s="81">
        <v>0</v>
      </c>
      <c r="BD35" s="81">
        <v>761.4</v>
      </c>
      <c r="BE35" s="81"/>
      <c r="BF35" s="81"/>
      <c r="BG35" s="81"/>
      <c r="BH35" s="81"/>
      <c r="BI35" s="81"/>
      <c r="BJ35" s="81"/>
      <c r="BK35" s="81"/>
      <c r="BL35" s="81"/>
      <c r="BM35" s="81">
        <f t="shared" si="0"/>
        <v>765</v>
      </c>
      <c r="BN35" s="66"/>
      <c r="BO35" s="66"/>
      <c r="BP35" s="66"/>
      <c r="BQ35" s="66" t="str">
        <f>PROPER(TEXT(Prog_23[[#This Row],[PROGRAMAÇÃO CLIENTE]],"mmm"))</f>
        <v>Jan</v>
      </c>
      <c r="BR35" s="66">
        <f>YEAR(Prog_23[[#This Row],[PROGRAMAÇÃO CLIENTE]])</f>
        <v>2023</v>
      </c>
    </row>
    <row r="36" spans="1:70" x14ac:dyDescent="0.25">
      <c r="A36" s="120" t="str">
        <f>Prog_23[[#This Row],[CONTEINER]]</f>
        <v>MSKU0241446</v>
      </c>
      <c r="B36" s="86" t="s">
        <v>2771</v>
      </c>
      <c r="C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6" s="85">
        <v>44943.541666666664</v>
      </c>
      <c r="E36" s="66" t="s">
        <v>353</v>
      </c>
      <c r="F36" s="66" t="s">
        <v>354</v>
      </c>
      <c r="G36" s="66">
        <v>8166455</v>
      </c>
      <c r="H36" s="44">
        <v>224158320</v>
      </c>
      <c r="I36" s="44" t="s">
        <v>3405</v>
      </c>
      <c r="J36" s="66" t="s">
        <v>301</v>
      </c>
      <c r="K36" s="66">
        <v>3880</v>
      </c>
      <c r="L36" s="66" t="s">
        <v>3406</v>
      </c>
      <c r="M36" s="66">
        <v>23565</v>
      </c>
      <c r="N36" s="66">
        <f>SUM(Prog_23[[#This Row],[TARA]]+Prog_23[[#This Row],[PESO]])</f>
        <v>27445</v>
      </c>
      <c r="O36" s="44">
        <v>658037</v>
      </c>
      <c r="P36" s="66" t="s">
        <v>3399</v>
      </c>
      <c r="Q36" s="66" t="s">
        <v>210</v>
      </c>
      <c r="R36" s="66" t="s">
        <v>1968</v>
      </c>
      <c r="S36" s="66" t="s">
        <v>212</v>
      </c>
      <c r="T36" s="138" t="str">
        <f>IFERROR(LOOKUP($S36,MOTORISTAS!$D$3:$D$916,MOTORISTAS!E$3:$E$916),"")</f>
        <v>38029906846</v>
      </c>
      <c r="U36" s="138" t="str">
        <f>IFERROR(LOOKUP($S36,MOTORISTAS!$D$3:$D$916,MOTORISTAS!F$3:$F$916),"")</f>
        <v>04946846842</v>
      </c>
      <c r="V36" s="66" t="s">
        <v>292</v>
      </c>
      <c r="W36" s="79">
        <v>44942.981944444444</v>
      </c>
      <c r="X36" s="79">
        <v>44943.208333333336</v>
      </c>
      <c r="Y36" s="79">
        <v>44943.486111111109</v>
      </c>
      <c r="Z36" s="66" t="s">
        <v>306</v>
      </c>
      <c r="AA36" s="79">
        <v>44943.643750000003</v>
      </c>
      <c r="AB36" s="79">
        <v>44942.541666666664</v>
      </c>
      <c r="AC36" s="79">
        <v>44944.5</v>
      </c>
      <c r="AD36" s="79">
        <v>44946.5</v>
      </c>
      <c r="AE36" s="66" t="s">
        <v>835</v>
      </c>
      <c r="AF36" s="44">
        <v>14864</v>
      </c>
      <c r="AG36" s="254">
        <f>Prog_23[[#This Row],[SAÍDA DO CLIENTE]]-Prog_23[[#This Row],[PROGRAMAÇÃO CLIENTE]]</f>
        <v>-5.5555555554747116E-2</v>
      </c>
      <c r="AH36" s="44"/>
      <c r="AI36" s="66"/>
      <c r="AJ36" s="66"/>
      <c r="AK36" s="66"/>
      <c r="AL36" s="66"/>
      <c r="AM36" s="66"/>
      <c r="AN36" s="83"/>
      <c r="AO36" s="83"/>
      <c r="AP36" s="83"/>
      <c r="AQ36" s="66"/>
      <c r="AR36" s="66"/>
      <c r="AS36" s="66"/>
      <c r="AT36" s="81"/>
      <c r="AU36" s="81"/>
      <c r="AV36" s="81"/>
      <c r="AW36" s="81"/>
      <c r="AX36" s="83">
        <f>SUM(Prog_23[[#This Row],[ADIANTAMENTO]]+Prog_23[[#This Row],[SALDO]]+Prog_23[[#This Row],[MARGEM]]+Prog_23[[#This Row],[ESTADIA 1]])</f>
        <v>0</v>
      </c>
      <c r="AY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5051.6659300000001</v>
      </c>
      <c r="AZ36" s="81">
        <v>3491.06</v>
      </c>
      <c r="BA36" s="81">
        <v>34205.93</v>
      </c>
      <c r="BB36" s="81">
        <f>Prog_23[[#This Row],[VLR NF]]*0.1%</f>
        <v>34.205930000000002</v>
      </c>
      <c r="BC36" s="81">
        <v>0</v>
      </c>
      <c r="BD36" s="81">
        <v>761.4</v>
      </c>
      <c r="BE36" s="81"/>
      <c r="BF36" s="81"/>
      <c r="BG36" s="81"/>
      <c r="BH36" s="81"/>
      <c r="BI36" s="81"/>
      <c r="BJ36" s="81"/>
      <c r="BK36" s="81"/>
      <c r="BL36" s="81"/>
      <c r="BM36" s="81">
        <f t="shared" si="0"/>
        <v>765</v>
      </c>
      <c r="BN36" s="66"/>
      <c r="BO36" s="66"/>
      <c r="BP36" s="66"/>
      <c r="BQ36" s="66" t="str">
        <f>PROPER(TEXT(Prog_23[[#This Row],[PROGRAMAÇÃO CLIENTE]],"mmm"))</f>
        <v>Jan</v>
      </c>
      <c r="BR36" s="66">
        <f>YEAR(Prog_23[[#This Row],[PROGRAMAÇÃO CLIENTE]])</f>
        <v>2023</v>
      </c>
    </row>
    <row r="37" spans="1:70" x14ac:dyDescent="0.25">
      <c r="A37" s="120" t="str">
        <f>Prog_23[[#This Row],[CONTEINER]]</f>
        <v>MRKU3236610</v>
      </c>
      <c r="B37" s="86" t="s">
        <v>2771</v>
      </c>
      <c r="C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7" s="85">
        <v>44943.541666666664</v>
      </c>
      <c r="E37" s="66" t="s">
        <v>353</v>
      </c>
      <c r="F37" s="66" t="s">
        <v>354</v>
      </c>
      <c r="G37" s="66">
        <v>8166455</v>
      </c>
      <c r="H37" s="44">
        <v>224158320</v>
      </c>
      <c r="I37" s="44" t="s">
        <v>3407</v>
      </c>
      <c r="J37" s="66" t="s">
        <v>301</v>
      </c>
      <c r="K37" s="66">
        <v>3880</v>
      </c>
      <c r="L37" s="66" t="s">
        <v>3408</v>
      </c>
      <c r="M37" s="66">
        <v>25008</v>
      </c>
      <c r="N37" s="66">
        <f>SUM(Prog_23[[#This Row],[TARA]]+Prog_23[[#This Row],[PESO]])</f>
        <v>28888</v>
      </c>
      <c r="O37" s="44">
        <v>658166</v>
      </c>
      <c r="P37" s="66" t="s">
        <v>3399</v>
      </c>
      <c r="Q37" s="66" t="s">
        <v>155</v>
      </c>
      <c r="R37" s="66" t="s">
        <v>209</v>
      </c>
      <c r="S37" s="66" t="s">
        <v>156</v>
      </c>
      <c r="T37" s="138" t="str">
        <f>IFERROR(LOOKUP($S37,MOTORISTAS!$D$3:$D$916,MOTORISTAS!E$3:$E$916),"")</f>
        <v>09803034863</v>
      </c>
      <c r="U37" s="138" t="str">
        <f>IFERROR(LOOKUP($S37,MOTORISTAS!$D$3:$D$916,MOTORISTAS!F$3:$F$916),"")</f>
        <v>01484565209</v>
      </c>
      <c r="V37" s="66" t="s">
        <v>292</v>
      </c>
      <c r="W37" s="79">
        <v>44942.773611111108</v>
      </c>
      <c r="X37" s="79">
        <v>44943.75</v>
      </c>
      <c r="Y37" s="79">
        <v>44944.104166666664</v>
      </c>
      <c r="Z37" s="66" t="s">
        <v>306</v>
      </c>
      <c r="AA37" s="79">
        <v>44944.356249999997</v>
      </c>
      <c r="AB37" s="79">
        <v>44942.541666666664</v>
      </c>
      <c r="AC37" s="79">
        <v>44944.5</v>
      </c>
      <c r="AD37" s="79">
        <v>44946.5</v>
      </c>
      <c r="AE37" s="66" t="s">
        <v>835</v>
      </c>
      <c r="AF37" s="44">
        <v>14875</v>
      </c>
      <c r="AG37" s="254">
        <f>Prog_23[[#This Row],[SAÍDA DO CLIENTE]]-Prog_23[[#This Row],[PROGRAMAÇÃO CLIENTE]]</f>
        <v>0.5625</v>
      </c>
      <c r="AH37" s="44"/>
      <c r="AI37" s="66"/>
      <c r="AJ37" s="66"/>
      <c r="AK37" s="66"/>
      <c r="AL37" s="66"/>
      <c r="AM37" s="66"/>
      <c r="AN37" s="83"/>
      <c r="AO37" s="83"/>
      <c r="AP37" s="83"/>
      <c r="AQ37" s="66"/>
      <c r="AR37" s="66"/>
      <c r="AS37" s="66"/>
      <c r="AT37" s="81"/>
      <c r="AU37" s="81"/>
      <c r="AV37" s="81"/>
      <c r="AW37" s="81"/>
      <c r="AX37" s="83">
        <f>SUM(Prog_23[[#This Row],[ADIANTAMENTO]]+Prog_23[[#This Row],[SALDO]]+Prog_23[[#This Row],[MARGEM]]+Prog_23[[#This Row],[ESTADIA 1]])</f>
        <v>0</v>
      </c>
      <c r="AY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5056.9701699999996</v>
      </c>
      <c r="AZ37" s="81">
        <v>3491.06</v>
      </c>
      <c r="BA37" s="81">
        <v>39510.17</v>
      </c>
      <c r="BB37" s="81">
        <f>Prog_23[[#This Row],[VLR NF]]*0.1%</f>
        <v>39.510170000000002</v>
      </c>
      <c r="BC37" s="81">
        <v>0</v>
      </c>
      <c r="BD37" s="81">
        <v>761.4</v>
      </c>
      <c r="BE37" s="81"/>
      <c r="BF37" s="81"/>
      <c r="BG37" s="81"/>
      <c r="BH37" s="81"/>
      <c r="BI37" s="81"/>
      <c r="BJ37" s="81"/>
      <c r="BK37" s="81"/>
      <c r="BL37" s="81"/>
      <c r="BM37" s="81">
        <f t="shared" si="0"/>
        <v>765</v>
      </c>
      <c r="BN37" s="66"/>
      <c r="BO37" s="66"/>
      <c r="BP37" s="66"/>
      <c r="BQ37" s="66" t="str">
        <f>PROPER(TEXT(Prog_23[[#This Row],[PROGRAMAÇÃO CLIENTE]],"mmm"))</f>
        <v>Jan</v>
      </c>
      <c r="BR37" s="66">
        <f>YEAR(Prog_23[[#This Row],[PROGRAMAÇÃO CLIENTE]])</f>
        <v>2023</v>
      </c>
    </row>
    <row r="38" spans="1:70" x14ac:dyDescent="0.25">
      <c r="A38" s="120" t="str">
        <f>Prog_23[[#This Row],[CONTEINER]]</f>
        <v>PONU7950000</v>
      </c>
      <c r="B38" s="86" t="s">
        <v>2771</v>
      </c>
      <c r="C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8" s="85">
        <v>44943.541666666664</v>
      </c>
      <c r="E38" s="66" t="s">
        <v>353</v>
      </c>
      <c r="F38" s="66" t="s">
        <v>354</v>
      </c>
      <c r="G38" s="66">
        <v>8166455</v>
      </c>
      <c r="H38" s="44">
        <v>224158320</v>
      </c>
      <c r="I38" s="44" t="s">
        <v>3409</v>
      </c>
      <c r="J38" s="66" t="s">
        <v>301</v>
      </c>
      <c r="K38" s="66">
        <v>3940</v>
      </c>
      <c r="L38" s="66" t="s">
        <v>3410</v>
      </c>
      <c r="M38" s="66">
        <v>25735</v>
      </c>
      <c r="N38" s="66">
        <f>SUM(Prog_23[[#This Row],[TARA]]+Prog_23[[#This Row],[PESO]])</f>
        <v>29675</v>
      </c>
      <c r="O38" s="44">
        <v>658059</v>
      </c>
      <c r="P38" s="66" t="s">
        <v>3399</v>
      </c>
      <c r="Q38" s="66" t="s">
        <v>3168</v>
      </c>
      <c r="R38" s="66" t="s">
        <v>27</v>
      </c>
      <c r="S38" s="66" t="s">
        <v>206</v>
      </c>
      <c r="T38" s="138" t="str">
        <f>IFERROR(LOOKUP($S38,MOTORISTAS!$D$3:$D$916,MOTORISTAS!E$3:$E$916),"")</f>
        <v>09085263425</v>
      </c>
      <c r="U38" s="138" t="str">
        <f>IFERROR(LOOKUP($S38,MOTORISTAS!$D$3:$D$916,MOTORISTAS!F$3:$F$916),"")</f>
        <v>04557705505</v>
      </c>
      <c r="V38" s="66" t="s">
        <v>292</v>
      </c>
      <c r="W38" s="79">
        <v>44942.777777777781</v>
      </c>
      <c r="X38" s="79">
        <v>44943.503472222219</v>
      </c>
      <c r="Y38" s="79">
        <v>44943.6875</v>
      </c>
      <c r="Z38" s="66" t="s">
        <v>306</v>
      </c>
      <c r="AA38" s="79">
        <v>44943.894444444442</v>
      </c>
      <c r="AB38" s="79">
        <v>44942.541666666664</v>
      </c>
      <c r="AC38" s="79">
        <v>44944.5</v>
      </c>
      <c r="AD38" s="79">
        <v>44946.5</v>
      </c>
      <c r="AE38" s="66" t="s">
        <v>835</v>
      </c>
      <c r="AF38" s="44">
        <v>14873</v>
      </c>
      <c r="AG38" s="254">
        <f>Prog_23[[#This Row],[SAÍDA DO CLIENTE]]-Prog_23[[#This Row],[PROGRAMAÇÃO CLIENTE]]</f>
        <v>0.14583333333575865</v>
      </c>
      <c r="AH38" s="44"/>
      <c r="AI38" s="66"/>
      <c r="AJ38" s="66"/>
      <c r="AK38" s="66"/>
      <c r="AL38" s="66"/>
      <c r="AM38" s="66"/>
      <c r="AN38" s="83"/>
      <c r="AO38" s="83"/>
      <c r="AP38" s="83"/>
      <c r="AQ38" s="66"/>
      <c r="AR38" s="66"/>
      <c r="AS38" s="66"/>
      <c r="AT38" s="81"/>
      <c r="AU38" s="81"/>
      <c r="AV38" s="81"/>
      <c r="AW38" s="81"/>
      <c r="AX38" s="83">
        <f>SUM(Prog_23[[#This Row],[ADIANTAMENTO]]+Prog_23[[#This Row],[SALDO]]+Prog_23[[#This Row],[MARGEM]]+Prog_23[[#This Row],[ESTADIA 1]])</f>
        <v>0</v>
      </c>
      <c r="AY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5058.2624599999999</v>
      </c>
      <c r="AZ38" s="81">
        <v>3491.06</v>
      </c>
      <c r="BA38" s="81">
        <v>40802.46</v>
      </c>
      <c r="BB38" s="81">
        <f>Prog_23[[#This Row],[VLR NF]]*0.1%</f>
        <v>40.802460000000004</v>
      </c>
      <c r="BC38" s="81">
        <v>0</v>
      </c>
      <c r="BD38" s="81">
        <v>761.4</v>
      </c>
      <c r="BE38" s="81"/>
      <c r="BF38" s="81"/>
      <c r="BG38" s="81"/>
      <c r="BH38" s="81"/>
      <c r="BI38" s="81"/>
      <c r="BJ38" s="81"/>
      <c r="BK38" s="81"/>
      <c r="BL38" s="81"/>
      <c r="BM38" s="81">
        <f t="shared" si="0"/>
        <v>765</v>
      </c>
      <c r="BN38" s="66"/>
      <c r="BO38" s="66"/>
      <c r="BP38" s="66"/>
      <c r="BQ38" s="66" t="str">
        <f>PROPER(TEXT(Prog_23[[#This Row],[PROGRAMAÇÃO CLIENTE]],"mmm"))</f>
        <v>Jan</v>
      </c>
      <c r="BR38" s="66">
        <f>YEAR(Prog_23[[#This Row],[PROGRAMAÇÃO CLIENTE]])</f>
        <v>2023</v>
      </c>
    </row>
    <row r="39" spans="1:70" x14ac:dyDescent="0.25">
      <c r="A39" s="120" t="str">
        <f>Prog_23[[#This Row],[CONTEINER]]</f>
        <v>MSKU1515109</v>
      </c>
      <c r="B39" s="86" t="s">
        <v>2771</v>
      </c>
      <c r="C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9" s="85">
        <v>44943.541666666664</v>
      </c>
      <c r="E39" s="66" t="s">
        <v>353</v>
      </c>
      <c r="F39" s="66" t="s">
        <v>354</v>
      </c>
      <c r="G39" s="66">
        <v>8166455</v>
      </c>
      <c r="H39" s="44">
        <v>224158320</v>
      </c>
      <c r="I39" s="44" t="s">
        <v>3411</v>
      </c>
      <c r="J39" s="66" t="s">
        <v>301</v>
      </c>
      <c r="K39" s="66">
        <v>3790</v>
      </c>
      <c r="L39" s="66" t="s">
        <v>3412</v>
      </c>
      <c r="M39" s="66">
        <v>25735</v>
      </c>
      <c r="N39" s="66">
        <f>SUM(Prog_23[[#This Row],[TARA]]+Prog_23[[#This Row],[PESO]])</f>
        <v>29525</v>
      </c>
      <c r="O39" s="44">
        <v>658060</v>
      </c>
      <c r="P39" s="66" t="s">
        <v>3399</v>
      </c>
      <c r="Q39" s="66" t="s">
        <v>31</v>
      </c>
      <c r="R39" s="66" t="s">
        <v>32</v>
      </c>
      <c r="S39" s="66" t="s">
        <v>33</v>
      </c>
      <c r="T39" s="138" t="str">
        <f>IFERROR(LOOKUP($S39,MOTORISTAS!$D$3:$D$916,MOTORISTAS!E$3:$E$916),"")</f>
        <v>09776430856</v>
      </c>
      <c r="U39" s="138" t="str">
        <f>IFERROR(LOOKUP($S39,MOTORISTAS!$D$3:$D$916,MOTORISTAS!F$3:$F$916),"")</f>
        <v>01258979905</v>
      </c>
      <c r="V39" s="66" t="s">
        <v>292</v>
      </c>
      <c r="W39" s="79">
        <v>44942.782638888886</v>
      </c>
      <c r="X39" s="79">
        <v>48230.496527777781</v>
      </c>
      <c r="Y39" s="79">
        <v>44943.578472222223</v>
      </c>
      <c r="Z39" s="66" t="s">
        <v>306</v>
      </c>
      <c r="AA39" s="79">
        <v>44943.863194444442</v>
      </c>
      <c r="AB39" s="79">
        <v>44942.541666666664</v>
      </c>
      <c r="AC39" s="79">
        <v>44944.5</v>
      </c>
      <c r="AD39" s="79">
        <v>44946.5</v>
      </c>
      <c r="AE39" s="66" t="s">
        <v>835</v>
      </c>
      <c r="AF39" s="44">
        <v>14868</v>
      </c>
      <c r="AG39" s="254">
        <f>Prog_23[[#This Row],[SAÍDA DO CLIENTE]]-Prog_23[[#This Row],[PROGRAMAÇÃO CLIENTE]]</f>
        <v>3.680555555911269E-2</v>
      </c>
      <c r="AH39" s="44"/>
      <c r="AI39" s="66"/>
      <c r="AJ39" s="66"/>
      <c r="AK39" s="66"/>
      <c r="AL39" s="66"/>
      <c r="AM39" s="66"/>
      <c r="AN39" s="83"/>
      <c r="AO39" s="83"/>
      <c r="AP39" s="83"/>
      <c r="AQ39" s="66"/>
      <c r="AR39" s="66"/>
      <c r="AS39" s="66"/>
      <c r="AT39" s="81"/>
      <c r="AU39" s="81"/>
      <c r="AV39" s="81"/>
      <c r="AW39" s="81"/>
      <c r="AX39" s="83">
        <f>SUM(Prog_23[[#This Row],[ADIANTAMENTO]]+Prog_23[[#This Row],[SALDO]]+Prog_23[[#This Row],[MARGEM]]+Prog_23[[#This Row],[ESTADIA 1]])</f>
        <v>0</v>
      </c>
      <c r="AY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5058.2624599999999</v>
      </c>
      <c r="AZ39" s="81">
        <v>3491.06</v>
      </c>
      <c r="BA39" s="81">
        <v>40802.46</v>
      </c>
      <c r="BB39" s="81">
        <f>Prog_23[[#This Row],[VLR NF]]*0.1%</f>
        <v>40.802460000000004</v>
      </c>
      <c r="BC39" s="81">
        <v>0</v>
      </c>
      <c r="BD39" s="81">
        <v>761.4</v>
      </c>
      <c r="BE39" s="81"/>
      <c r="BF39" s="81"/>
      <c r="BG39" s="81"/>
      <c r="BH39" s="81"/>
      <c r="BI39" s="81"/>
      <c r="BJ39" s="81"/>
      <c r="BK39" s="81"/>
      <c r="BL39" s="81"/>
      <c r="BM39" s="81">
        <f t="shared" si="0"/>
        <v>765</v>
      </c>
      <c r="BN39" s="66"/>
      <c r="BO39" s="66"/>
      <c r="BP39" s="66"/>
      <c r="BQ39" s="66" t="str">
        <f>PROPER(TEXT(Prog_23[[#This Row],[PROGRAMAÇÃO CLIENTE]],"mmm"))</f>
        <v>Jan</v>
      </c>
      <c r="BR39" s="66">
        <f>YEAR(Prog_23[[#This Row],[PROGRAMAÇÃO CLIENTE]])</f>
        <v>2023</v>
      </c>
    </row>
    <row r="40" spans="1:70" x14ac:dyDescent="0.25">
      <c r="A40" s="120" t="str">
        <f>Prog_23[[#This Row],[CONTEINER]]</f>
        <v>MRKU3439768 </v>
      </c>
      <c r="B40" s="86" t="s">
        <v>2771</v>
      </c>
      <c r="C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0" s="85">
        <v>44944.25</v>
      </c>
      <c r="E40" s="66" t="s">
        <v>353</v>
      </c>
      <c r="F40" s="66" t="s">
        <v>354</v>
      </c>
      <c r="G40" s="66">
        <v>8166397</v>
      </c>
      <c r="H40" s="44">
        <v>224158076</v>
      </c>
      <c r="I40" s="44" t="s">
        <v>3389</v>
      </c>
      <c r="J40" s="66" t="s">
        <v>301</v>
      </c>
      <c r="K40" s="66">
        <v>3880</v>
      </c>
      <c r="L40" s="66" t="s">
        <v>3390</v>
      </c>
      <c r="M40" s="66">
        <v>25685</v>
      </c>
      <c r="N40" s="66">
        <f>SUM(Prog_23[[#This Row],[TARA]]+Prog_23[[#This Row],[PESO]])</f>
        <v>29565</v>
      </c>
      <c r="O40" s="44">
        <v>658189</v>
      </c>
      <c r="P40" s="66" t="s">
        <v>3399</v>
      </c>
      <c r="Q40" s="66" t="s">
        <v>92</v>
      </c>
      <c r="R40" s="66" t="s">
        <v>93</v>
      </c>
      <c r="S40" s="66" t="s">
        <v>94</v>
      </c>
      <c r="T40" s="138" t="str">
        <f>IFERROR(LOOKUP($S40,MOTORISTAS!$D$3:$D$916,MOTORISTAS!E$3:$E$916),"")</f>
        <v>26283419801</v>
      </c>
      <c r="U40" s="138" t="str">
        <f>IFERROR(LOOKUP($S40,MOTORISTAS!$D$3:$D$916,MOTORISTAS!F$3:$F$916),"")</f>
        <v>02002046946</v>
      </c>
      <c r="V40" s="66" t="s">
        <v>292</v>
      </c>
      <c r="W40" s="79">
        <v>44943.823611111111</v>
      </c>
      <c r="X40" s="79">
        <v>44944.291666666664</v>
      </c>
      <c r="Y40" s="79">
        <v>44944.416666666664</v>
      </c>
      <c r="Z40" s="66" t="s">
        <v>306</v>
      </c>
      <c r="AA40" s="79" t="s">
        <v>3434</v>
      </c>
      <c r="AB40" s="79">
        <v>44942.541666666664</v>
      </c>
      <c r="AC40" s="79">
        <v>44944.5</v>
      </c>
      <c r="AD40" s="79">
        <v>44946.5</v>
      </c>
      <c r="AE40" s="66" t="s">
        <v>835</v>
      </c>
      <c r="AF40" s="44">
        <v>14882</v>
      </c>
      <c r="AG40" s="254">
        <f>Prog_23[[#This Row],[SAÍDA DO CLIENTE]]-Prog_23[[#This Row],[PROGRAMAÇÃO CLIENTE]]</f>
        <v>0.16666666666424135</v>
      </c>
      <c r="AH40" s="44"/>
      <c r="AI40" s="66"/>
      <c r="AJ40" s="66"/>
      <c r="AK40" s="66"/>
      <c r="AL40" s="66"/>
      <c r="AM40" s="66"/>
      <c r="AN40" s="83"/>
      <c r="AO40" s="83"/>
      <c r="AP40" s="83"/>
      <c r="AQ40" s="66"/>
      <c r="AR40" s="66"/>
      <c r="AS40" s="66"/>
      <c r="AT40" s="81"/>
      <c r="AU40" s="81"/>
      <c r="AV40" s="81"/>
      <c r="AW40" s="81"/>
      <c r="AX40" s="83">
        <f>SUM(Prog_23[[#This Row],[ADIANTAMENTO]]+Prog_23[[#This Row],[SALDO]]+Prog_23[[#This Row],[MARGEM]]+Prog_23[[#This Row],[ESTADIA 1]])</f>
        <v>0</v>
      </c>
      <c r="AY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5058.4783200000002</v>
      </c>
      <c r="AZ40" s="81">
        <v>3491.06</v>
      </c>
      <c r="BA40" s="81">
        <v>41018.32</v>
      </c>
      <c r="BB40" s="81">
        <f>Prog_23[[#This Row],[VLR NF]]*0.1%</f>
        <v>41.018320000000003</v>
      </c>
      <c r="BC40" s="81">
        <v>0</v>
      </c>
      <c r="BD40" s="81">
        <v>761.4</v>
      </c>
      <c r="BE40" s="81"/>
      <c r="BF40" s="81"/>
      <c r="BG40" s="81"/>
      <c r="BH40" s="81"/>
      <c r="BI40" s="81"/>
      <c r="BJ40" s="81"/>
      <c r="BK40" s="81"/>
      <c r="BL40" s="81"/>
      <c r="BM40" s="81">
        <f t="shared" ref="BM40:BM43" si="1">85*9</f>
        <v>765</v>
      </c>
      <c r="BN40" s="66"/>
      <c r="BO40" s="66"/>
      <c r="BP40" s="66"/>
      <c r="BQ40" s="66" t="str">
        <f>PROPER(TEXT(Prog_23[[#This Row],[PROGRAMAÇÃO CLIENTE]],"mmm"))</f>
        <v>Jan</v>
      </c>
      <c r="BR40" s="66">
        <f>YEAR(Prog_23[[#This Row],[PROGRAMAÇÃO CLIENTE]])</f>
        <v>2023</v>
      </c>
    </row>
    <row r="41" spans="1:70" x14ac:dyDescent="0.25">
      <c r="A41" s="120" t="str">
        <f>Prog_23[[#This Row],[CONTEINER]]</f>
        <v>MRKU3202800 </v>
      </c>
      <c r="B41" s="86" t="s">
        <v>2771</v>
      </c>
      <c r="C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1" s="85">
        <v>44944.25</v>
      </c>
      <c r="E41" s="66" t="s">
        <v>353</v>
      </c>
      <c r="F41" s="66" t="s">
        <v>354</v>
      </c>
      <c r="G41" s="66">
        <v>8166397</v>
      </c>
      <c r="H41" s="44">
        <v>224158076</v>
      </c>
      <c r="I41" s="44" t="s">
        <v>3391</v>
      </c>
      <c r="J41" s="66" t="s">
        <v>301</v>
      </c>
      <c r="K41" s="66">
        <v>3790</v>
      </c>
      <c r="L41" s="66" t="s">
        <v>3392</v>
      </c>
      <c r="M41" s="66">
        <v>25685</v>
      </c>
      <c r="N41" s="66">
        <f>SUM(Prog_23[[#This Row],[TARA]]+Prog_23[[#This Row],[PESO]])</f>
        <v>29475</v>
      </c>
      <c r="O41" s="44">
        <v>658191</v>
      </c>
      <c r="P41" s="66" t="s">
        <v>3399</v>
      </c>
      <c r="Q41" s="66" t="s">
        <v>106</v>
      </c>
      <c r="R41" s="66" t="s">
        <v>107</v>
      </c>
      <c r="S41" s="66" t="s">
        <v>108</v>
      </c>
      <c r="T41" s="138" t="str">
        <f>IFERROR(LOOKUP($S41,MOTORISTAS!$D$3:$D$916,MOTORISTAS!E$3:$E$916),"")</f>
        <v>34927982840</v>
      </c>
      <c r="U41" s="138" t="str">
        <f>IFERROR(LOOKUP($S41,MOTORISTAS!$D$3:$D$916,MOTORISTAS!F$3:$F$916),"")</f>
        <v>03500129879</v>
      </c>
      <c r="V41" s="66" t="s">
        <v>292</v>
      </c>
      <c r="W41" s="79">
        <v>44943.814583333333</v>
      </c>
      <c r="X41" s="79">
        <v>48231.333333333336</v>
      </c>
      <c r="Y41" s="79">
        <v>44944.4375</v>
      </c>
      <c r="Z41" s="66" t="s">
        <v>306</v>
      </c>
      <c r="AA41" s="79">
        <v>44944.666666666664</v>
      </c>
      <c r="AB41" s="79">
        <v>44942.541666666664</v>
      </c>
      <c r="AC41" s="79">
        <v>44944.5</v>
      </c>
      <c r="AD41" s="79">
        <v>44946.5</v>
      </c>
      <c r="AE41" s="66" t="s">
        <v>835</v>
      </c>
      <c r="AF41" s="44">
        <v>14881</v>
      </c>
      <c r="AG41" s="254">
        <f>Prog_23[[#This Row],[SAÍDA DO CLIENTE]]-Prog_23[[#This Row],[PROGRAMAÇÃO CLIENTE]]</f>
        <v>0.1875</v>
      </c>
      <c r="AH41" s="44"/>
      <c r="AI41" s="66"/>
      <c r="AJ41" s="66"/>
      <c r="AK41" s="66"/>
      <c r="AL41" s="66"/>
      <c r="AM41" s="66"/>
      <c r="AN41" s="83"/>
      <c r="AO41" s="83"/>
      <c r="AP41" s="83"/>
      <c r="AQ41" s="66"/>
      <c r="AR41" s="66"/>
      <c r="AS41" s="66"/>
      <c r="AT41" s="81"/>
      <c r="AU41" s="81"/>
      <c r="AV41" s="81"/>
      <c r="AW41" s="81"/>
      <c r="AX41" s="83">
        <f>SUM(Prog_23[[#This Row],[ADIANTAMENTO]]+Prog_23[[#This Row],[SALDO]]+Prog_23[[#This Row],[MARGEM]]+Prog_23[[#This Row],[ESTADIA 1]])</f>
        <v>0</v>
      </c>
      <c r="AY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5058.4783200000002</v>
      </c>
      <c r="AZ41" s="81">
        <v>3491.06</v>
      </c>
      <c r="BA41" s="81">
        <v>41018.32</v>
      </c>
      <c r="BB41" s="81">
        <f>Prog_23[[#This Row],[VLR NF]]*0.1%</f>
        <v>41.018320000000003</v>
      </c>
      <c r="BC41" s="81">
        <v>0</v>
      </c>
      <c r="BD41" s="81">
        <v>761.4</v>
      </c>
      <c r="BE41" s="81"/>
      <c r="BF41" s="81"/>
      <c r="BG41" s="81"/>
      <c r="BH41" s="81"/>
      <c r="BI41" s="81"/>
      <c r="BJ41" s="81"/>
      <c r="BK41" s="81"/>
      <c r="BL41" s="81"/>
      <c r="BM41" s="81">
        <f t="shared" si="1"/>
        <v>765</v>
      </c>
      <c r="BN41" s="66"/>
      <c r="BO41" s="66"/>
      <c r="BP41" s="66"/>
      <c r="BQ41" s="66" t="str">
        <f>PROPER(TEXT(Prog_23[[#This Row],[PROGRAMAÇÃO CLIENTE]],"mmm"))</f>
        <v>Jan</v>
      </c>
      <c r="BR41" s="66">
        <f>YEAR(Prog_23[[#This Row],[PROGRAMAÇÃO CLIENTE]])</f>
        <v>2023</v>
      </c>
    </row>
    <row r="42" spans="1:70" x14ac:dyDescent="0.25">
      <c r="A42" s="120" t="str">
        <f>Prog_23[[#This Row],[CONTEINER]]</f>
        <v>HASU4789589 </v>
      </c>
      <c r="B42" s="86" t="s">
        <v>2771</v>
      </c>
      <c r="C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2" s="85">
        <v>44944.25</v>
      </c>
      <c r="E42" s="66" t="s">
        <v>353</v>
      </c>
      <c r="F42" s="66" t="s">
        <v>354</v>
      </c>
      <c r="G42" s="66">
        <v>8166397</v>
      </c>
      <c r="H42" s="44">
        <v>224158076</v>
      </c>
      <c r="I42" s="44" t="s">
        <v>3393</v>
      </c>
      <c r="J42" s="66" t="s">
        <v>301</v>
      </c>
      <c r="K42" s="66">
        <v>3860</v>
      </c>
      <c r="L42" s="66" t="s">
        <v>3394</v>
      </c>
      <c r="M42" s="66">
        <v>25685</v>
      </c>
      <c r="N42" s="66">
        <f>SUM(Prog_23[[#This Row],[TARA]]+Prog_23[[#This Row],[PESO]])</f>
        <v>29545</v>
      </c>
      <c r="O42" s="44">
        <v>658181</v>
      </c>
      <c r="P42" s="66" t="s">
        <v>3399</v>
      </c>
      <c r="Q42" s="66" t="s">
        <v>150</v>
      </c>
      <c r="R42" s="66" t="s">
        <v>151</v>
      </c>
      <c r="S42" s="66" t="s">
        <v>3400</v>
      </c>
      <c r="T42" s="138" t="str">
        <f>IFERROR(LOOKUP($S42,MOTORISTAS!$D$3:$D$916,MOTORISTAS!E$3:$E$916),"")</f>
        <v>20600725812</v>
      </c>
      <c r="U42" s="138" t="str">
        <f>IFERROR(LOOKUP($S42,MOTORISTAS!$D$3:$D$916,MOTORISTAS!F$3:$F$916),"")</f>
        <v>02694762946</v>
      </c>
      <c r="V42" s="66" t="s">
        <v>292</v>
      </c>
      <c r="W42" s="79">
        <v>44943.826388888891</v>
      </c>
      <c r="X42" s="79">
        <v>44944.055555555555</v>
      </c>
      <c r="Y42" s="79">
        <v>44944.354166666664</v>
      </c>
      <c r="Z42" s="66" t="s">
        <v>306</v>
      </c>
      <c r="AA42" s="79">
        <v>44944.59097222222</v>
      </c>
      <c r="AB42" s="79">
        <v>44942.541666666664</v>
      </c>
      <c r="AC42" s="79">
        <v>44944.5</v>
      </c>
      <c r="AD42" s="79">
        <v>44946.5</v>
      </c>
      <c r="AE42" s="66" t="s">
        <v>835</v>
      </c>
      <c r="AF42" s="44">
        <v>14878</v>
      </c>
      <c r="AG42" s="254">
        <f>Prog_23[[#This Row],[SAÍDA DO CLIENTE]]-Prog_23[[#This Row],[PROGRAMAÇÃO CLIENTE]]</f>
        <v>0.10416666666424135</v>
      </c>
      <c r="AH42" s="44"/>
      <c r="AI42" s="66"/>
      <c r="AJ42" s="66"/>
      <c r="AK42" s="66"/>
      <c r="AL42" s="66"/>
      <c r="AM42" s="66"/>
      <c r="AN42" s="83"/>
      <c r="AO42" s="83"/>
      <c r="AP42" s="83"/>
      <c r="AQ42" s="66"/>
      <c r="AR42" s="66"/>
      <c r="AS42" s="66"/>
      <c r="AT42" s="81"/>
      <c r="AU42" s="81"/>
      <c r="AV42" s="81"/>
      <c r="AW42" s="81"/>
      <c r="AX42" s="83">
        <f>SUM(Prog_23[[#This Row],[ADIANTAMENTO]]+Prog_23[[#This Row],[SALDO]]+Prog_23[[#This Row],[MARGEM]]+Prog_23[[#This Row],[ESTADIA 1]])</f>
        <v>0</v>
      </c>
      <c r="AY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5058.4783200000002</v>
      </c>
      <c r="AZ42" s="81">
        <v>3491.06</v>
      </c>
      <c r="BA42" s="81">
        <v>41018.32</v>
      </c>
      <c r="BB42" s="81">
        <f>Prog_23[[#This Row],[VLR NF]]*0.1%</f>
        <v>41.018320000000003</v>
      </c>
      <c r="BC42" s="81">
        <v>0</v>
      </c>
      <c r="BD42" s="81">
        <v>761.4</v>
      </c>
      <c r="BE42" s="81"/>
      <c r="BF42" s="81"/>
      <c r="BG42" s="81"/>
      <c r="BH42" s="81"/>
      <c r="BI42" s="81"/>
      <c r="BJ42" s="81"/>
      <c r="BK42" s="81"/>
      <c r="BL42" s="81"/>
      <c r="BM42" s="81">
        <f t="shared" si="1"/>
        <v>765</v>
      </c>
      <c r="BN42" s="66"/>
      <c r="BO42" s="66"/>
      <c r="BP42" s="66"/>
      <c r="BQ42" s="66" t="str">
        <f>PROPER(TEXT(Prog_23[[#This Row],[PROGRAMAÇÃO CLIENTE]],"mmm"))</f>
        <v>Jan</v>
      </c>
      <c r="BR42" s="66">
        <f>YEAR(Prog_23[[#This Row],[PROGRAMAÇÃO CLIENTE]])</f>
        <v>2023</v>
      </c>
    </row>
    <row r="43" spans="1:70" x14ac:dyDescent="0.25">
      <c r="A43" s="120" t="str">
        <f>Prog_23[[#This Row],[CONTEINER]]</f>
        <v>TLLU5987418 </v>
      </c>
      <c r="B43" s="86" t="s">
        <v>2771</v>
      </c>
      <c r="C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3" s="85">
        <v>44944.25</v>
      </c>
      <c r="E43" s="66" t="s">
        <v>353</v>
      </c>
      <c r="F43" s="66" t="s">
        <v>354</v>
      </c>
      <c r="G43" s="66">
        <v>8166397</v>
      </c>
      <c r="H43" s="44">
        <v>224158076</v>
      </c>
      <c r="I43" s="44" t="s">
        <v>3395</v>
      </c>
      <c r="J43" s="66" t="s">
        <v>301</v>
      </c>
      <c r="K43" s="66">
        <v>3700</v>
      </c>
      <c r="L43" s="66" t="s">
        <v>3396</v>
      </c>
      <c r="M43" s="66">
        <v>25685</v>
      </c>
      <c r="N43" s="66">
        <f>SUM(Prog_23[[#This Row],[TARA]]+Prog_23[[#This Row],[PESO]])</f>
        <v>29385</v>
      </c>
      <c r="O43" s="44">
        <v>658201</v>
      </c>
      <c r="P43" s="66" t="s">
        <v>3399</v>
      </c>
      <c r="Q43" s="66" t="s">
        <v>31</v>
      </c>
      <c r="R43" s="66" t="s">
        <v>32</v>
      </c>
      <c r="S43" s="66" t="s">
        <v>33</v>
      </c>
      <c r="T43" s="138" t="str">
        <f>IFERROR(LOOKUP($S43,MOTORISTAS!$D$3:$D$916,MOTORISTAS!E$3:$E$916),"")</f>
        <v>09776430856</v>
      </c>
      <c r="U43" s="138" t="str">
        <f>IFERROR(LOOKUP($S43,MOTORISTAS!$D$3:$D$916,MOTORISTAS!F$3:$F$916),"")</f>
        <v>01258979905</v>
      </c>
      <c r="V43" s="66" t="s">
        <v>292</v>
      </c>
      <c r="W43" s="79">
        <v>44943.962500000001</v>
      </c>
      <c r="X43" s="79">
        <v>44944.354166666664</v>
      </c>
      <c r="Y43" s="79">
        <v>44944.472222222219</v>
      </c>
      <c r="Z43" s="66" t="s">
        <v>306</v>
      </c>
      <c r="AA43" s="79">
        <v>44944.739583333336</v>
      </c>
      <c r="AB43" s="79">
        <v>44942.541666666664</v>
      </c>
      <c r="AC43" s="79">
        <v>44944.5</v>
      </c>
      <c r="AD43" s="79">
        <v>44946.5</v>
      </c>
      <c r="AE43" s="66" t="s">
        <v>835</v>
      </c>
      <c r="AF43" s="44">
        <v>14883</v>
      </c>
      <c r="AG43" s="254">
        <f>Prog_23[[#This Row],[SAÍDA DO CLIENTE]]-Prog_23[[#This Row],[PROGRAMAÇÃO CLIENTE]]</f>
        <v>0.22222222221898846</v>
      </c>
      <c r="AH43" s="44"/>
      <c r="AI43" s="66"/>
      <c r="AJ43" s="66"/>
      <c r="AK43" s="66"/>
      <c r="AL43" s="66"/>
      <c r="AM43" s="66"/>
      <c r="AN43" s="83"/>
      <c r="AO43" s="83"/>
      <c r="AP43" s="83"/>
      <c r="AQ43" s="66"/>
      <c r="AR43" s="66"/>
      <c r="AS43" s="66"/>
      <c r="AT43" s="81"/>
      <c r="AU43" s="81"/>
      <c r="AV43" s="81"/>
      <c r="AW43" s="81"/>
      <c r="AX43" s="83">
        <f>SUM(Prog_23[[#This Row],[ADIANTAMENTO]]+Prog_23[[#This Row],[SALDO]]+Prog_23[[#This Row],[MARGEM]]+Prog_23[[#This Row],[ESTADIA 1]])</f>
        <v>0</v>
      </c>
      <c r="AY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5058.4783200000002</v>
      </c>
      <c r="AZ43" s="81">
        <v>3491.06</v>
      </c>
      <c r="BA43" s="81">
        <v>41018.32</v>
      </c>
      <c r="BB43" s="81">
        <f>Prog_23[[#This Row],[VLR NF]]*0.1%</f>
        <v>41.018320000000003</v>
      </c>
      <c r="BC43" s="81">
        <v>0</v>
      </c>
      <c r="BD43" s="81">
        <v>761.4</v>
      </c>
      <c r="BE43" s="81"/>
      <c r="BF43" s="81"/>
      <c r="BG43" s="81"/>
      <c r="BH43" s="81"/>
      <c r="BI43" s="81"/>
      <c r="BJ43" s="81"/>
      <c r="BK43" s="81"/>
      <c r="BL43" s="81"/>
      <c r="BM43" s="81">
        <f t="shared" si="1"/>
        <v>765</v>
      </c>
      <c r="BN43" s="66"/>
      <c r="BO43" s="66"/>
      <c r="BP43" s="66"/>
      <c r="BQ43" s="66" t="str">
        <f>PROPER(TEXT(Prog_23[[#This Row],[PROGRAMAÇÃO CLIENTE]],"mmm"))</f>
        <v>Jan</v>
      </c>
      <c r="BR43" s="66">
        <f>YEAR(Prog_23[[#This Row],[PROGRAMAÇÃO CLIENTE]])</f>
        <v>2023</v>
      </c>
    </row>
    <row r="44" spans="1:70" x14ac:dyDescent="0.25">
      <c r="A44" s="120" t="str">
        <f>Prog_23[[#This Row],[CONTEINER]]</f>
        <v>TCKU6980726</v>
      </c>
      <c r="B44" s="86" t="s">
        <v>2771</v>
      </c>
      <c r="C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4" s="85">
        <v>44944.25</v>
      </c>
      <c r="E44" s="66" t="s">
        <v>353</v>
      </c>
      <c r="F44" s="66" t="s">
        <v>354</v>
      </c>
      <c r="G44" s="66">
        <v>8166397</v>
      </c>
      <c r="H44" s="44">
        <v>224158076</v>
      </c>
      <c r="I44" s="44" t="s">
        <v>3397</v>
      </c>
      <c r="J44" s="66" t="s">
        <v>301</v>
      </c>
      <c r="K44" s="66">
        <v>3700</v>
      </c>
      <c r="L44" s="66" t="s">
        <v>3398</v>
      </c>
      <c r="M44" s="66">
        <v>25685</v>
      </c>
      <c r="N44" s="66">
        <f>SUM(Prog_23[[#This Row],[TARA]]+Prog_23[[#This Row],[PESO]])</f>
        <v>29385</v>
      </c>
      <c r="O44" s="44">
        <v>658231</v>
      </c>
      <c r="P44" s="66" t="s">
        <v>3399</v>
      </c>
      <c r="Q44" s="66" t="s">
        <v>72</v>
      </c>
      <c r="R44" s="66" t="s">
        <v>73</v>
      </c>
      <c r="S44" s="66" t="s">
        <v>203</v>
      </c>
      <c r="T44" s="138" t="str">
        <f>IFERROR(LOOKUP($S44,MOTORISTAS!$D$3:$D$916,MOTORISTAS!E$3:$E$916),"")</f>
        <v>10395859816</v>
      </c>
      <c r="U44" s="138" t="str">
        <f>IFERROR(LOOKUP($S44,MOTORISTAS!$D$3:$D$916,MOTORISTAS!F$3:$F$916),"")</f>
        <v>01965794851</v>
      </c>
      <c r="V44" s="66" t="s">
        <v>292</v>
      </c>
      <c r="W44" s="79">
        <v>44943.836111111108</v>
      </c>
      <c r="X44" s="79">
        <v>44944.486111111109</v>
      </c>
      <c r="Y44" s="79">
        <v>44944.583333333336</v>
      </c>
      <c r="Z44" s="66" t="s">
        <v>306</v>
      </c>
      <c r="AA44" s="79">
        <v>44944.863194444442</v>
      </c>
      <c r="AB44" s="79">
        <v>44942.541666666664</v>
      </c>
      <c r="AC44" s="79">
        <v>44944.5</v>
      </c>
      <c r="AD44" s="79">
        <v>44946.5</v>
      </c>
      <c r="AE44" s="66" t="s">
        <v>835</v>
      </c>
      <c r="AF44" s="44">
        <v>14884</v>
      </c>
      <c r="AG44" s="254">
        <f>Prog_23[[#This Row],[SAÍDA DO CLIENTE]]-Prog_23[[#This Row],[PROGRAMAÇÃO CLIENTE]]</f>
        <v>0.33333333333575865</v>
      </c>
      <c r="AH44" s="44"/>
      <c r="AI44" s="66"/>
      <c r="AJ44" s="66"/>
      <c r="AK44" s="66"/>
      <c r="AL44" s="66"/>
      <c r="AM44" s="66"/>
      <c r="AN44" s="83"/>
      <c r="AO44" s="83"/>
      <c r="AP44" s="83"/>
      <c r="AQ44" s="66"/>
      <c r="AR44" s="66"/>
      <c r="AS44" s="66"/>
      <c r="AT44" s="81"/>
      <c r="AU44" s="81"/>
      <c r="AV44" s="81"/>
      <c r="AW44" s="81"/>
      <c r="AX44" s="83">
        <f>SUM(Prog_23[[#This Row],[ADIANTAMENTO]]+Prog_23[[#This Row],[SALDO]]+Prog_23[[#This Row],[MARGEM]]+Prog_23[[#This Row],[ESTADIA 1]])</f>
        <v>0</v>
      </c>
      <c r="AY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5058.4783200000002</v>
      </c>
      <c r="AZ44" s="81">
        <v>3491.06</v>
      </c>
      <c r="BA44" s="81">
        <v>41018.32</v>
      </c>
      <c r="BB44" s="81">
        <f>Prog_23[[#This Row],[VLR NF]]*0.1%</f>
        <v>41.018320000000003</v>
      </c>
      <c r="BC44" s="81">
        <v>0</v>
      </c>
      <c r="BD44" s="81">
        <v>761.4</v>
      </c>
      <c r="BE44" s="81"/>
      <c r="BF44" s="81"/>
      <c r="BG44" s="81"/>
      <c r="BH44" s="81"/>
      <c r="BI44" s="81"/>
      <c r="BJ44" s="81"/>
      <c r="BK44" s="81"/>
      <c r="BL44" s="81"/>
      <c r="BM44" s="81">
        <f>85*9</f>
        <v>765</v>
      </c>
      <c r="BN44" s="66"/>
      <c r="BO44" s="66"/>
      <c r="BP44" s="66"/>
      <c r="BQ44" s="66" t="str">
        <f>PROPER(TEXT(Prog_23[[#This Row],[PROGRAMAÇÃO CLIENTE]],"mmm"))</f>
        <v>Jan</v>
      </c>
      <c r="BR44" s="66">
        <f>YEAR(Prog_23[[#This Row],[PROGRAMAÇÃO CLIENTE]])</f>
        <v>2023</v>
      </c>
    </row>
    <row r="45" spans="1:70" x14ac:dyDescent="0.25">
      <c r="A45" s="120" t="str">
        <f>Prog_23[[#This Row],[CONTEINER]]</f>
        <v>FANU1864565</v>
      </c>
      <c r="B45" s="86" t="s">
        <v>2771</v>
      </c>
      <c r="C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5" s="85">
        <v>44944.291666666664</v>
      </c>
      <c r="E45" s="66" t="s">
        <v>2059</v>
      </c>
      <c r="F45" s="66" t="s">
        <v>2060</v>
      </c>
      <c r="G45" s="66" t="s">
        <v>3306</v>
      </c>
      <c r="H45" s="44">
        <v>60537112</v>
      </c>
      <c r="I45" s="44" t="s">
        <v>3307</v>
      </c>
      <c r="J45" s="66" t="s">
        <v>301</v>
      </c>
      <c r="K45" s="66">
        <v>3680</v>
      </c>
      <c r="L45" s="66" t="s">
        <v>3308</v>
      </c>
      <c r="M45" s="66">
        <v>25223</v>
      </c>
      <c r="N45" s="66">
        <f>SUM(Prog_23[[#This Row],[TARA]]+Prog_23[[#This Row],[PESO]])</f>
        <v>28903</v>
      </c>
      <c r="O45" s="44">
        <v>1547133</v>
      </c>
      <c r="P45" s="66" t="s">
        <v>3309</v>
      </c>
      <c r="Q45" s="66" t="s">
        <v>210</v>
      </c>
      <c r="R45" s="66" t="s">
        <v>3310</v>
      </c>
      <c r="S45" s="66" t="s">
        <v>212</v>
      </c>
      <c r="T45" s="138" t="str">
        <f>IFERROR(LOOKUP($S45,MOTORISTAS!$D$3:$D$916,MOTORISTAS!E$3:$E$916),"")</f>
        <v>38029906846</v>
      </c>
      <c r="U45" s="138" t="str">
        <f>IFERROR(LOOKUP($S45,MOTORISTAS!$D$3:$D$916,MOTORISTAS!F$3:$F$916),"")</f>
        <v>04946846842</v>
      </c>
      <c r="V45" s="66" t="s">
        <v>292</v>
      </c>
      <c r="W45" s="79">
        <v>44943.943055555559</v>
      </c>
      <c r="X45" s="79">
        <v>44944.270833333336</v>
      </c>
      <c r="Y45" s="79">
        <v>44944.5</v>
      </c>
      <c r="Z45" s="66" t="s">
        <v>293</v>
      </c>
      <c r="AA45" s="79">
        <v>44944.898611111108</v>
      </c>
      <c r="AB45" s="79">
        <v>44944.291666666664</v>
      </c>
      <c r="AC45" s="79">
        <v>44944.5</v>
      </c>
      <c r="AD45" s="79">
        <v>44946.5</v>
      </c>
      <c r="AE45" s="66" t="s">
        <v>418</v>
      </c>
      <c r="AF45" s="44">
        <v>14879</v>
      </c>
      <c r="AG45" s="254">
        <f>Prog_23[[#This Row],[SAÍDA DO CLIENTE]]-Prog_23[[#This Row],[PROGRAMAÇÃO CLIENTE]]</f>
        <v>0.20833333333575865</v>
      </c>
      <c r="AH45" s="44"/>
      <c r="AI45" s="66"/>
      <c r="AJ45" s="66"/>
      <c r="AK45" s="66"/>
      <c r="AL45" s="66"/>
      <c r="AM45" s="66"/>
      <c r="AN45" s="83"/>
      <c r="AO45" s="83"/>
      <c r="AP45" s="83"/>
      <c r="AQ45" s="66"/>
      <c r="AR45" s="66"/>
      <c r="AS45" s="66"/>
      <c r="AT45" s="81">
        <v>468.9</v>
      </c>
      <c r="AU45" s="81"/>
      <c r="AV45" s="81"/>
      <c r="AW45" s="81"/>
      <c r="AX45" s="83">
        <f>SUM(Prog_23[[#This Row],[ADIANTAMENTO]]+Prog_23[[#This Row],[SALDO]]+Prog_23[[#This Row],[MARGEM]]+Prog_23[[#This Row],[ESTADIA 1]])</f>
        <v>468.9</v>
      </c>
      <c r="AY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4429.7431200000001</v>
      </c>
      <c r="AZ45" s="81">
        <v>3431.1</v>
      </c>
      <c r="BA45" s="81">
        <v>179743.12</v>
      </c>
      <c r="BB45" s="81">
        <f>Prog_23[[#This Row],[VLR NF]]*0.1%</f>
        <v>179.74312</v>
      </c>
      <c r="BC45" s="81">
        <v>0</v>
      </c>
      <c r="BD45" s="81">
        <v>468.9</v>
      </c>
      <c r="BE45" s="81"/>
      <c r="BF45" s="81"/>
      <c r="BG45" s="81"/>
      <c r="BH45" s="81"/>
      <c r="BI45" s="81"/>
      <c r="BJ45" s="81"/>
      <c r="BK45" s="81"/>
      <c r="BL45" s="81">
        <v>350</v>
      </c>
      <c r="BM45" s="81">
        <v>0</v>
      </c>
      <c r="BN45" s="66" t="s">
        <v>2768</v>
      </c>
      <c r="BO45" s="66"/>
      <c r="BP45" s="66"/>
      <c r="BQ45" s="66" t="str">
        <f>PROPER(TEXT(Prog_23[[#This Row],[PROGRAMAÇÃO CLIENTE]],"mmm"))</f>
        <v>Jan</v>
      </c>
      <c r="BR45" s="66">
        <f>YEAR(Prog_23[[#This Row],[PROGRAMAÇÃO CLIENTE]])</f>
        <v>2023</v>
      </c>
    </row>
    <row r="46" spans="1:70" x14ac:dyDescent="0.25">
      <c r="A46" s="120" t="str">
        <f>Prog_23[[#This Row],[CONTEINER]]</f>
        <v>BEAU5897737</v>
      </c>
      <c r="B46" s="86" t="s">
        <v>2771</v>
      </c>
      <c r="C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6" s="85">
        <v>44945.291666666664</v>
      </c>
      <c r="E46" s="66" t="s">
        <v>353</v>
      </c>
      <c r="F46" s="66" t="s">
        <v>354</v>
      </c>
      <c r="G46" s="66">
        <v>8902364</v>
      </c>
      <c r="H46" s="44">
        <v>223959380</v>
      </c>
      <c r="I46" s="44" t="s">
        <v>3366</v>
      </c>
      <c r="J46" s="66" t="s">
        <v>301</v>
      </c>
      <c r="K46" s="66">
        <v>3700</v>
      </c>
      <c r="L46" s="66" t="s">
        <v>3367</v>
      </c>
      <c r="M46" s="66">
        <v>25641</v>
      </c>
      <c r="N46" s="66">
        <f>SUM(Prog_23[[#This Row],[TARA]]+Prog_23[[#This Row],[PESO]])</f>
        <v>29341</v>
      </c>
      <c r="O46" s="44">
        <v>658362</v>
      </c>
      <c r="P46" s="66" t="s">
        <v>3382</v>
      </c>
      <c r="Q46" s="66" t="s">
        <v>2877</v>
      </c>
      <c r="R46" s="66" t="s">
        <v>2878</v>
      </c>
      <c r="S46" s="66" t="s">
        <v>2917</v>
      </c>
      <c r="T46" s="138" t="str">
        <f>IFERROR(LOOKUP($S46,MOTORISTAS!$D$3:$D$916,MOTORISTAS!E$3:$E$916),"")</f>
        <v>31066093890</v>
      </c>
      <c r="U46" s="138" t="str">
        <f>IFERROR(LOOKUP($S46,MOTORISTAS!$D$3:$D$916,MOTORISTAS!F$3:$F$916),"")</f>
        <v>01819349701</v>
      </c>
      <c r="V46" s="66" t="s">
        <v>292</v>
      </c>
      <c r="W46" s="79">
        <v>44944.77847222222</v>
      </c>
      <c r="X46" s="79">
        <v>44945.395833333336</v>
      </c>
      <c r="Y46" s="79">
        <v>44945.708333333336</v>
      </c>
      <c r="Z46" s="66" t="s">
        <v>306</v>
      </c>
      <c r="AA46" s="79">
        <v>44945.99722222222</v>
      </c>
      <c r="AB46" s="79">
        <v>44942.791666666664</v>
      </c>
      <c r="AC46" s="79">
        <v>44945.5</v>
      </c>
      <c r="AD46" s="79">
        <v>44947.5</v>
      </c>
      <c r="AE46" s="66" t="s">
        <v>590</v>
      </c>
      <c r="AF46" s="44">
        <v>14898</v>
      </c>
      <c r="AG46" s="254">
        <f>Prog_23[[#This Row],[SAÍDA DO CLIENTE]]-Prog_23[[#This Row],[PROGRAMAÇÃO CLIENTE]]</f>
        <v>0.41666666667151731</v>
      </c>
      <c r="AH46" s="44"/>
      <c r="AI46" s="66"/>
      <c r="AJ46" s="66"/>
      <c r="AK46" s="66"/>
      <c r="AL46" s="66"/>
      <c r="AM46" s="66"/>
      <c r="AN46" s="83"/>
      <c r="AO46" s="83"/>
      <c r="AP46" s="83"/>
      <c r="AQ46" s="66"/>
      <c r="AR46" s="66"/>
      <c r="AS46" s="66"/>
      <c r="AT46" s="81">
        <v>2240</v>
      </c>
      <c r="AU46" s="81">
        <v>617.1</v>
      </c>
      <c r="AV46" s="81"/>
      <c r="AW46" s="81"/>
      <c r="AX46" s="83">
        <f>SUM(Prog_23[[#This Row],[ADIANTAMENTO]]+Prog_23[[#This Row],[SALDO]]+Prog_23[[#This Row],[MARGEM]]+Prog_23[[#This Row],[ESTADIA 1]])</f>
        <v>2857.1</v>
      </c>
      <c r="AY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5068.3886000000002</v>
      </c>
      <c r="AZ46" s="81">
        <v>3491.06</v>
      </c>
      <c r="BA46" s="81">
        <v>50928.6</v>
      </c>
      <c r="BB46" s="81">
        <f>Prog_23[[#This Row],[VLR NF]]*0.1%</f>
        <v>50.928600000000003</v>
      </c>
      <c r="BC46" s="81">
        <v>0</v>
      </c>
      <c r="BD46" s="81">
        <v>761.4</v>
      </c>
      <c r="BE46" s="81"/>
      <c r="BF46" s="81"/>
      <c r="BG46" s="81"/>
      <c r="BH46" s="81"/>
      <c r="BI46" s="81"/>
      <c r="BJ46" s="81"/>
      <c r="BK46" s="81"/>
      <c r="BL46" s="81"/>
      <c r="BM46" s="81">
        <f t="shared" ref="BM46:BM53" si="2">85*9</f>
        <v>765</v>
      </c>
      <c r="BN46" s="66"/>
      <c r="BO46" s="66"/>
      <c r="BP46" s="66"/>
      <c r="BQ46" s="66" t="str">
        <f>PROPER(TEXT(Prog_23[[#This Row],[PROGRAMAÇÃO CLIENTE]],"mmm"))</f>
        <v>Jan</v>
      </c>
      <c r="BR46" s="66">
        <f>YEAR(Prog_23[[#This Row],[PROGRAMAÇÃO CLIENTE]])</f>
        <v>2023</v>
      </c>
    </row>
    <row r="47" spans="1:70" x14ac:dyDescent="0.25">
      <c r="A47" s="120" t="str">
        <f>Prog_23[[#This Row],[CONTEINER]]</f>
        <v xml:space="preserve">SUDU8539826 </v>
      </c>
      <c r="B47" s="86" t="s">
        <v>2771</v>
      </c>
      <c r="C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7" s="85">
        <v>44945.291666666664</v>
      </c>
      <c r="E47" s="66" t="s">
        <v>353</v>
      </c>
      <c r="F47" s="66" t="s">
        <v>354</v>
      </c>
      <c r="G47" s="66">
        <v>8902364</v>
      </c>
      <c r="H47" s="44">
        <v>223959380</v>
      </c>
      <c r="I47" s="44" t="s">
        <v>3368</v>
      </c>
      <c r="J47" s="66" t="s">
        <v>301</v>
      </c>
      <c r="K47" s="66">
        <v>3860</v>
      </c>
      <c r="L47" s="66" t="s">
        <v>3369</v>
      </c>
      <c r="M47" s="66">
        <v>25587</v>
      </c>
      <c r="N47" s="66">
        <f>SUM(Prog_23[[#This Row],[TARA]]+Prog_23[[#This Row],[PESO]])</f>
        <v>29447</v>
      </c>
      <c r="O47" s="44">
        <v>658334</v>
      </c>
      <c r="P47" s="66" t="s">
        <v>3382</v>
      </c>
      <c r="Q47" s="66" t="s">
        <v>2879</v>
      </c>
      <c r="R47" s="66" t="s">
        <v>2880</v>
      </c>
      <c r="S47" s="66" t="s">
        <v>2917</v>
      </c>
      <c r="T47" s="138" t="str">
        <f>IFERROR(LOOKUP($S47,MOTORISTAS!$D$3:$D$916,MOTORISTAS!E$3:$E$916),"")</f>
        <v>31066093890</v>
      </c>
      <c r="U47" s="138" t="str">
        <f>IFERROR(LOOKUP($S47,MOTORISTAS!$D$3:$D$916,MOTORISTAS!F$3:$F$916),"")</f>
        <v>01819349701</v>
      </c>
      <c r="V47" s="66" t="s">
        <v>292</v>
      </c>
      <c r="W47" s="79">
        <v>44944.88958333333</v>
      </c>
      <c r="X47" s="79">
        <v>44945.395833333336</v>
      </c>
      <c r="Y47" s="79">
        <v>44945.708333333336</v>
      </c>
      <c r="Z47" s="66" t="s">
        <v>306</v>
      </c>
      <c r="AA47" s="79">
        <v>44946.005555555559</v>
      </c>
      <c r="AB47" s="79">
        <v>44942.791666666664</v>
      </c>
      <c r="AC47" s="79">
        <v>44945.5</v>
      </c>
      <c r="AD47" s="79">
        <v>44947.5</v>
      </c>
      <c r="AE47" s="66" t="s">
        <v>590</v>
      </c>
      <c r="AF47" s="44">
        <v>14899</v>
      </c>
      <c r="AG47" s="254">
        <f>Prog_23[[#This Row],[SAÍDA DO CLIENTE]]-Prog_23[[#This Row],[PROGRAMAÇÃO CLIENTE]]</f>
        <v>0.41666666667151731</v>
      </c>
      <c r="AH47" s="44"/>
      <c r="AI47" s="66"/>
      <c r="AJ47" s="66"/>
      <c r="AK47" s="66"/>
      <c r="AL47" s="66"/>
      <c r="AM47" s="66"/>
      <c r="AN47" s="83"/>
      <c r="AO47" s="83"/>
      <c r="AP47" s="83"/>
      <c r="AQ47" s="66"/>
      <c r="AR47" s="66"/>
      <c r="AS47" s="66"/>
      <c r="AT47" s="81">
        <v>2240</v>
      </c>
      <c r="AU47" s="81">
        <v>617.1</v>
      </c>
      <c r="AV47" s="81"/>
      <c r="AW47" s="81"/>
      <c r="AX47" s="83">
        <f>SUM(Prog_23[[#This Row],[ADIANTAMENTO]]+Prog_23[[#This Row],[SALDO]]+Prog_23[[#This Row],[MARGEM]]+Prog_23[[#This Row],[ESTADIA 1]])</f>
        <v>2857.1</v>
      </c>
      <c r="AY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5069.4856900000004</v>
      </c>
      <c r="AZ47" s="81">
        <v>3491.06</v>
      </c>
      <c r="BA47" s="81">
        <v>52025.69</v>
      </c>
      <c r="BB47" s="81">
        <f>Prog_23[[#This Row],[VLR NF]]*0.1%</f>
        <v>52.025690000000004</v>
      </c>
      <c r="BC47" s="81">
        <v>0</v>
      </c>
      <c r="BD47" s="81">
        <v>761.4</v>
      </c>
      <c r="BE47" s="81"/>
      <c r="BF47" s="81"/>
      <c r="BG47" s="81"/>
      <c r="BH47" s="81"/>
      <c r="BI47" s="81"/>
      <c r="BJ47" s="81"/>
      <c r="BK47" s="81"/>
      <c r="BL47" s="81"/>
      <c r="BM47" s="81">
        <f t="shared" si="2"/>
        <v>765</v>
      </c>
      <c r="BN47" s="66"/>
      <c r="BO47" s="66"/>
      <c r="BP47" s="66"/>
      <c r="BQ47" s="66" t="str">
        <f>PROPER(TEXT(Prog_23[[#This Row],[PROGRAMAÇÃO CLIENTE]],"mmm"))</f>
        <v>Jan</v>
      </c>
      <c r="BR47" s="66">
        <f>YEAR(Prog_23[[#This Row],[PROGRAMAÇÃO CLIENTE]])</f>
        <v>2023</v>
      </c>
    </row>
    <row r="48" spans="1:70" x14ac:dyDescent="0.25">
      <c r="A48" s="120" t="str">
        <f>Prog_23[[#This Row],[CONTEINER]]</f>
        <v xml:space="preserve">TCLU5135840 </v>
      </c>
      <c r="B48" s="86" t="s">
        <v>2771</v>
      </c>
      <c r="C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8" s="85">
        <v>44945.291666666664</v>
      </c>
      <c r="E48" s="66" t="s">
        <v>353</v>
      </c>
      <c r="F48" s="66" t="s">
        <v>354</v>
      </c>
      <c r="G48" s="66">
        <v>8677412</v>
      </c>
      <c r="H48" s="44">
        <v>64539442</v>
      </c>
      <c r="I48" s="44" t="s">
        <v>3370</v>
      </c>
      <c r="J48" s="66" t="s">
        <v>301</v>
      </c>
      <c r="K48" s="66">
        <v>3840</v>
      </c>
      <c r="L48" s="66" t="s">
        <v>3371</v>
      </c>
      <c r="M48" s="66">
        <v>25302</v>
      </c>
      <c r="N48" s="66">
        <f>SUM(Prog_23[[#This Row],[TARA]]+Prog_23[[#This Row],[PESO]])</f>
        <v>29142</v>
      </c>
      <c r="O48" s="44">
        <v>658365</v>
      </c>
      <c r="P48" s="66" t="s">
        <v>3382</v>
      </c>
      <c r="Q48" s="66" t="s">
        <v>3383</v>
      </c>
      <c r="R48" s="66" t="s">
        <v>3384</v>
      </c>
      <c r="S48" s="66" t="s">
        <v>3385</v>
      </c>
      <c r="T48" s="138" t="str">
        <f>IFERROR(LOOKUP($S48,MOTORISTAS!$D$3:$D$916,MOTORISTAS!E$3:$E$916),"")</f>
        <v>16250459804</v>
      </c>
      <c r="U48" s="138" t="str">
        <f>IFERROR(LOOKUP($S48,MOTORISTAS!$D$3:$D$916,MOTORISTAS!F$3:$F$916),"")</f>
        <v>02012565363</v>
      </c>
      <c r="V48" s="66" t="s">
        <v>537</v>
      </c>
      <c r="W48" s="79">
        <v>44944.958333333336</v>
      </c>
      <c r="X48" s="79">
        <v>44945.333333333336</v>
      </c>
      <c r="Y48" s="79">
        <v>44945.75</v>
      </c>
      <c r="Z48" s="66" t="s">
        <v>293</v>
      </c>
      <c r="AA48" s="79">
        <v>44945.938888888886</v>
      </c>
      <c r="AB48" s="79">
        <v>44945.291666666664</v>
      </c>
      <c r="AC48" s="79">
        <v>44945.5</v>
      </c>
      <c r="AD48" s="79">
        <v>44947.5</v>
      </c>
      <c r="AE48" s="66" t="s">
        <v>590</v>
      </c>
      <c r="AF48" s="44">
        <v>14902</v>
      </c>
      <c r="AG48" s="254">
        <f>Prog_23[[#This Row],[SAÍDA DO CLIENTE]]-Prog_23[[#This Row],[PROGRAMAÇÃO CLIENTE]]</f>
        <v>0.45833333333575865</v>
      </c>
      <c r="AH48" s="44"/>
      <c r="AI48" s="66"/>
      <c r="AJ48" s="66"/>
      <c r="AK48" s="66"/>
      <c r="AL48" s="66"/>
      <c r="AM48" s="66"/>
      <c r="AN48" s="83"/>
      <c r="AO48" s="83"/>
      <c r="AP48" s="83"/>
      <c r="AQ48" s="66"/>
      <c r="AR48" s="66"/>
      <c r="AS48" s="66"/>
      <c r="AT48" s="81">
        <v>2660</v>
      </c>
      <c r="AU48" s="81">
        <v>682.8</v>
      </c>
      <c r="AV48" s="81"/>
      <c r="AW48" s="81"/>
      <c r="AX48" s="83">
        <f>SUM(Prog_23[[#This Row],[ADIANTAMENTO]]+Prog_23[[#This Row],[SALDO]]+Prog_23[[#This Row],[MARGEM]]+Prog_23[[#This Row],[ESTADIA 1]])</f>
        <v>3342.8</v>
      </c>
      <c r="AY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5080.5686699999997</v>
      </c>
      <c r="AZ48" s="81">
        <v>3491.06</v>
      </c>
      <c r="BA48" s="81">
        <v>63108.67</v>
      </c>
      <c r="BB48" s="81">
        <f>Prog_23[[#This Row],[VLR NF]]*0.1%</f>
        <v>63.108669999999996</v>
      </c>
      <c r="BC48" s="81">
        <v>0</v>
      </c>
      <c r="BD48" s="81">
        <v>761.4</v>
      </c>
      <c r="BE48" s="81"/>
      <c r="BF48" s="81"/>
      <c r="BG48" s="81"/>
      <c r="BH48" s="81"/>
      <c r="BI48" s="81"/>
      <c r="BJ48" s="81"/>
      <c r="BK48" s="81"/>
      <c r="BL48" s="81"/>
      <c r="BM48" s="81">
        <f t="shared" si="2"/>
        <v>765</v>
      </c>
      <c r="BN48" s="66"/>
      <c r="BO48" s="66"/>
      <c r="BP48" s="66"/>
      <c r="BQ48" s="66" t="str">
        <f>PROPER(TEXT(Prog_23[[#This Row],[PROGRAMAÇÃO CLIENTE]],"mmm"))</f>
        <v>Jan</v>
      </c>
      <c r="BR48" s="66">
        <f>YEAR(Prog_23[[#This Row],[PROGRAMAÇÃO CLIENTE]])</f>
        <v>2023</v>
      </c>
    </row>
    <row r="49" spans="1:70" x14ac:dyDescent="0.25">
      <c r="A49" s="120" t="str">
        <f>Prog_23[[#This Row],[CONTEINER]]</f>
        <v xml:space="preserve">HLXU8369635 </v>
      </c>
      <c r="B49" s="86" t="s">
        <v>2771</v>
      </c>
      <c r="C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9" s="85">
        <v>44945.291666666664</v>
      </c>
      <c r="E49" s="66" t="s">
        <v>353</v>
      </c>
      <c r="F49" s="66" t="s">
        <v>354</v>
      </c>
      <c r="G49" s="66">
        <v>8901098</v>
      </c>
      <c r="H49" s="44">
        <v>62539430</v>
      </c>
      <c r="I49" s="44" t="s">
        <v>3372</v>
      </c>
      <c r="J49" s="66" t="s">
        <v>301</v>
      </c>
      <c r="K49" s="66">
        <v>3900</v>
      </c>
      <c r="L49" s="66" t="s">
        <v>3373</v>
      </c>
      <c r="M49" s="66">
        <v>25641</v>
      </c>
      <c r="N49" s="66">
        <f>SUM(Prog_23[[#This Row],[TARA]]+Prog_23[[#This Row],[PESO]])</f>
        <v>29541</v>
      </c>
      <c r="O49" s="44">
        <v>658316</v>
      </c>
      <c r="P49" s="66" t="s">
        <v>3382</v>
      </c>
      <c r="Q49" s="66" t="s">
        <v>3386</v>
      </c>
      <c r="R49" s="66" t="s">
        <v>3197</v>
      </c>
      <c r="S49" s="66" t="s">
        <v>3290</v>
      </c>
      <c r="T49" s="138" t="str">
        <f>IFERROR(LOOKUP($S49,MOTORISTAS!$D$3:$D$916,MOTORISTAS!E$3:$E$916),"")</f>
        <v>03044141400</v>
      </c>
      <c r="U49" s="138" t="str">
        <f>IFERROR(LOOKUP($S49,MOTORISTAS!$D$3:$D$916,MOTORISTAS!F$3:$F$916),"")</f>
        <v>00916251144</v>
      </c>
      <c r="V49" s="66" t="s">
        <v>537</v>
      </c>
      <c r="W49" s="79">
        <v>44944.959027777775</v>
      </c>
      <c r="X49" s="79">
        <v>44945.291666666664</v>
      </c>
      <c r="Y49" s="79">
        <v>44945.75</v>
      </c>
      <c r="Z49" s="66" t="s">
        <v>293</v>
      </c>
      <c r="AA49" s="79">
        <v>44946.008333333331</v>
      </c>
      <c r="AB49" s="79">
        <v>44945.291666666664</v>
      </c>
      <c r="AC49" s="79">
        <v>44945.5</v>
      </c>
      <c r="AD49" s="79">
        <v>44947.5</v>
      </c>
      <c r="AE49" s="66" t="s">
        <v>590</v>
      </c>
      <c r="AF49" s="44">
        <v>14895</v>
      </c>
      <c r="AG49" s="254">
        <f>Prog_23[[#This Row],[SAÍDA DO CLIENTE]]-Prog_23[[#This Row],[PROGRAMAÇÃO CLIENTE]]</f>
        <v>0.45833333333575865</v>
      </c>
      <c r="AH49" s="44"/>
      <c r="AI49" s="66"/>
      <c r="AJ49" s="66"/>
      <c r="AK49" s="66"/>
      <c r="AL49" s="66"/>
      <c r="AM49" s="66"/>
      <c r="AN49" s="83"/>
      <c r="AO49" s="83"/>
      <c r="AP49" s="83"/>
      <c r="AQ49" s="66"/>
      <c r="AR49" s="66"/>
      <c r="AS49" s="66"/>
      <c r="AT49" s="81">
        <v>2660</v>
      </c>
      <c r="AU49" s="81">
        <v>682.8</v>
      </c>
      <c r="AV49" s="81"/>
      <c r="AW49" s="81"/>
      <c r="AX49" s="83">
        <f>SUM(Prog_23[[#This Row],[ADIANTAMENTO]]+Prog_23[[#This Row],[SALDO]]+Prog_23[[#This Row],[MARGEM]]+Prog_23[[#This Row],[ESTADIA 1]])</f>
        <v>3342.8</v>
      </c>
      <c r="AY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5089.3591400000005</v>
      </c>
      <c r="AZ49" s="81">
        <v>3491.06</v>
      </c>
      <c r="BA49" s="81">
        <v>71899.14</v>
      </c>
      <c r="BB49" s="81">
        <f>Prog_23[[#This Row],[VLR NF]]*0.1%</f>
        <v>71.899140000000003</v>
      </c>
      <c r="BC49" s="81">
        <v>0</v>
      </c>
      <c r="BD49" s="81">
        <v>761.4</v>
      </c>
      <c r="BE49" s="81"/>
      <c r="BF49" s="81"/>
      <c r="BG49" s="81"/>
      <c r="BH49" s="81"/>
      <c r="BI49" s="81"/>
      <c r="BJ49" s="81"/>
      <c r="BK49" s="81"/>
      <c r="BL49" s="81"/>
      <c r="BM49" s="81">
        <f t="shared" si="2"/>
        <v>765</v>
      </c>
      <c r="BN49" s="66"/>
      <c r="BO49" s="66"/>
      <c r="BP49" s="66"/>
      <c r="BQ49" s="66" t="str">
        <f>PROPER(TEXT(Prog_23[[#This Row],[PROGRAMAÇÃO CLIENTE]],"mmm"))</f>
        <v>Jan</v>
      </c>
      <c r="BR49" s="66">
        <f>YEAR(Prog_23[[#This Row],[PROGRAMAÇÃO CLIENTE]])</f>
        <v>2023</v>
      </c>
    </row>
    <row r="50" spans="1:70" x14ac:dyDescent="0.25">
      <c r="A50" s="120" t="str">
        <f>Prog_23[[#This Row],[CONTEINER]]</f>
        <v xml:space="preserve"> DRYU9566970</v>
      </c>
      <c r="B50" s="86" t="s">
        <v>2771</v>
      </c>
      <c r="C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0" s="85">
        <v>44945.291666666664</v>
      </c>
      <c r="E50" s="66" t="s">
        <v>353</v>
      </c>
      <c r="F50" s="66" t="s">
        <v>354</v>
      </c>
      <c r="G50" s="66">
        <v>8901098</v>
      </c>
      <c r="H50" s="44">
        <v>62539430</v>
      </c>
      <c r="I50" s="44" t="s">
        <v>3374</v>
      </c>
      <c r="J50" s="66" t="s">
        <v>301</v>
      </c>
      <c r="K50" s="66">
        <v>3820</v>
      </c>
      <c r="L50" s="66" t="s">
        <v>3375</v>
      </c>
      <c r="M50" s="66">
        <v>25641</v>
      </c>
      <c r="N50" s="66">
        <f>SUM(Prog_23[[#This Row],[TARA]]+Prog_23[[#This Row],[PESO]])</f>
        <v>29461</v>
      </c>
      <c r="O50" s="44">
        <v>658322</v>
      </c>
      <c r="P50" s="66" t="s">
        <v>3382</v>
      </c>
      <c r="Q50" s="66" t="s">
        <v>210</v>
      </c>
      <c r="R50" s="66" t="s">
        <v>1968</v>
      </c>
      <c r="S50" s="66" t="s">
        <v>212</v>
      </c>
      <c r="T50" s="138" t="str">
        <f>IFERROR(LOOKUP($S50,MOTORISTAS!$D$3:$D$916,MOTORISTAS!E$3:$E$916),"")</f>
        <v>38029906846</v>
      </c>
      <c r="U50" s="138" t="str">
        <f>IFERROR(LOOKUP($S50,MOTORISTAS!$D$3:$D$916,MOTORISTAS!F$3:$F$916),"")</f>
        <v>04946846842</v>
      </c>
      <c r="V50" s="66" t="s">
        <v>537</v>
      </c>
      <c r="W50" s="79">
        <v>44944.958333333336</v>
      </c>
      <c r="X50" s="79">
        <v>44945.291666666664</v>
      </c>
      <c r="Y50" s="79">
        <v>44945.75</v>
      </c>
      <c r="Z50" s="66" t="s">
        <v>293</v>
      </c>
      <c r="AA50" s="79">
        <v>48232.989583333336</v>
      </c>
      <c r="AB50" s="79">
        <v>44945.291666666664</v>
      </c>
      <c r="AC50" s="79">
        <v>44945.5</v>
      </c>
      <c r="AD50" s="79">
        <v>44947.5</v>
      </c>
      <c r="AE50" s="66" t="s">
        <v>590</v>
      </c>
      <c r="AF50" s="44">
        <v>14894</v>
      </c>
      <c r="AG50" s="254">
        <f>Prog_23[[#This Row],[SAÍDA DO CLIENTE]]-Prog_23[[#This Row],[PROGRAMAÇÃO CLIENTE]]</f>
        <v>0.45833333333575865</v>
      </c>
      <c r="AH50" s="44"/>
      <c r="AI50" s="66"/>
      <c r="AJ50" s="66"/>
      <c r="AK50" s="66"/>
      <c r="AL50" s="66"/>
      <c r="AM50" s="66"/>
      <c r="AN50" s="83"/>
      <c r="AO50" s="83"/>
      <c r="AP50" s="83"/>
      <c r="AQ50" s="66"/>
      <c r="AR50" s="66"/>
      <c r="AS50" s="66"/>
      <c r="AT50" s="81">
        <v>132</v>
      </c>
      <c r="AU50" s="81"/>
      <c r="AV50" s="81"/>
      <c r="AW50" s="81"/>
      <c r="AX50" s="83">
        <f>SUM(Prog_23[[#This Row],[ADIANTAMENTO]]+Prog_23[[#This Row],[SALDO]]+Prog_23[[#This Row],[MARGEM]]+Prog_23[[#This Row],[ESTADIA 1]])</f>
        <v>132</v>
      </c>
      <c r="AY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5089.3491400000003</v>
      </c>
      <c r="AZ50" s="81">
        <v>3491.06</v>
      </c>
      <c r="BA50" s="81">
        <v>71889.14</v>
      </c>
      <c r="BB50" s="81">
        <f>Prog_23[[#This Row],[VLR NF]]*0.1%</f>
        <v>71.889139999999998</v>
      </c>
      <c r="BC50" s="81">
        <v>0</v>
      </c>
      <c r="BD50" s="81">
        <v>761.4</v>
      </c>
      <c r="BE50" s="81"/>
      <c r="BF50" s="81"/>
      <c r="BG50" s="81"/>
      <c r="BH50" s="81"/>
      <c r="BI50" s="81"/>
      <c r="BJ50" s="81"/>
      <c r="BK50" s="81"/>
      <c r="BL50" s="81"/>
      <c r="BM50" s="81">
        <f t="shared" si="2"/>
        <v>765</v>
      </c>
      <c r="BN50" s="66"/>
      <c r="BO50" s="66"/>
      <c r="BP50" s="66"/>
      <c r="BQ50" s="66" t="str">
        <f>PROPER(TEXT(Prog_23[[#This Row],[PROGRAMAÇÃO CLIENTE]],"mmm"))</f>
        <v>Jan</v>
      </c>
      <c r="BR50" s="66">
        <f>YEAR(Prog_23[[#This Row],[PROGRAMAÇÃO CLIENTE]])</f>
        <v>2023</v>
      </c>
    </row>
    <row r="51" spans="1:70" x14ac:dyDescent="0.25">
      <c r="A51" s="120" t="str">
        <f>Prog_23[[#This Row],[CONTEINER]]</f>
        <v xml:space="preserve">TCNU8348718 </v>
      </c>
      <c r="B51" s="86" t="s">
        <v>2771</v>
      </c>
      <c r="C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1" s="85">
        <v>44945.291666666664</v>
      </c>
      <c r="E51" s="66" t="s">
        <v>353</v>
      </c>
      <c r="F51" s="66" t="s">
        <v>354</v>
      </c>
      <c r="G51" s="66">
        <v>8467544</v>
      </c>
      <c r="H51" s="44">
        <v>62539556</v>
      </c>
      <c r="I51" s="44" t="s">
        <v>3376</v>
      </c>
      <c r="J51" s="66" t="s">
        <v>301</v>
      </c>
      <c r="K51" s="66">
        <v>3840</v>
      </c>
      <c r="L51" s="66" t="s">
        <v>3377</v>
      </c>
      <c r="M51" s="66">
        <v>26221</v>
      </c>
      <c r="N51" s="66">
        <f>SUM(Prog_23[[#This Row],[TARA]]+Prog_23[[#This Row],[PESO]])</f>
        <v>30061</v>
      </c>
      <c r="O51" s="44">
        <v>658315</v>
      </c>
      <c r="P51" s="66" t="s">
        <v>3382</v>
      </c>
      <c r="Q51" s="66" t="s">
        <v>2912</v>
      </c>
      <c r="R51" s="66" t="s">
        <v>2913</v>
      </c>
      <c r="S51" s="66" t="s">
        <v>2914</v>
      </c>
      <c r="T51" s="138" t="str">
        <f>IFERROR(LOOKUP($S51,MOTORISTAS!$D$3:$D$916,MOTORISTAS!E$3:$E$916),"")</f>
        <v>36305564850</v>
      </c>
      <c r="U51" s="138" t="str">
        <f>IFERROR(LOOKUP($S51,MOTORISTAS!$D$3:$D$916,MOTORISTAS!F$3:$F$916),"")</f>
        <v>06043477724</v>
      </c>
      <c r="V51" s="66" t="s">
        <v>537</v>
      </c>
      <c r="W51" s="79">
        <v>44944.9375</v>
      </c>
      <c r="X51" s="79">
        <v>44945.291666666664</v>
      </c>
      <c r="Y51" s="79">
        <v>44945.4375</v>
      </c>
      <c r="Z51" s="66" t="s">
        <v>293</v>
      </c>
      <c r="AA51" s="79">
        <v>44945.898611111108</v>
      </c>
      <c r="AB51" s="79">
        <v>44945.291666666664</v>
      </c>
      <c r="AC51" s="79">
        <v>44945.5</v>
      </c>
      <c r="AD51" s="79">
        <v>44947.5</v>
      </c>
      <c r="AE51" s="66" t="s">
        <v>590</v>
      </c>
      <c r="AF51" s="44">
        <v>14892</v>
      </c>
      <c r="AG51" s="254">
        <f>Prog_23[[#This Row],[SAÍDA DO CLIENTE]]-Prog_23[[#This Row],[PROGRAMAÇÃO CLIENTE]]</f>
        <v>0.14583333333575865</v>
      </c>
      <c r="AH51" s="44"/>
      <c r="AI51" s="66"/>
      <c r="AJ51" s="66"/>
      <c r="AK51" s="66"/>
      <c r="AL51" s="66"/>
      <c r="AM51" s="66"/>
      <c r="AN51" s="83"/>
      <c r="AO51" s="83"/>
      <c r="AP51" s="83"/>
      <c r="AQ51" s="66"/>
      <c r="AR51" s="66"/>
      <c r="AS51" s="66"/>
      <c r="AT51" s="81"/>
      <c r="AU51" s="81">
        <v>3342.8</v>
      </c>
      <c r="AV51" s="81"/>
      <c r="AW51" s="81"/>
      <c r="AX51" s="83">
        <f>SUM(Prog_23[[#This Row],[ADIANTAMENTO]]+Prog_23[[#This Row],[SALDO]]+Prog_23[[#This Row],[MARGEM]]+Prog_23[[#This Row],[ESTADIA 1]])</f>
        <v>3342.8</v>
      </c>
      <c r="AY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5081.9822000000004</v>
      </c>
      <c r="AZ51" s="81">
        <v>3491.06</v>
      </c>
      <c r="BA51" s="81">
        <v>64522.2</v>
      </c>
      <c r="BB51" s="81">
        <f>Prog_23[[#This Row],[VLR NF]]*0.1%</f>
        <v>64.522199999999998</v>
      </c>
      <c r="BC51" s="81">
        <v>0</v>
      </c>
      <c r="BD51" s="81">
        <v>761.4</v>
      </c>
      <c r="BE51" s="81"/>
      <c r="BF51" s="81"/>
      <c r="BG51" s="81"/>
      <c r="BH51" s="81"/>
      <c r="BI51" s="81"/>
      <c r="BJ51" s="81"/>
      <c r="BK51" s="81"/>
      <c r="BL51" s="81"/>
      <c r="BM51" s="81">
        <f t="shared" si="2"/>
        <v>765</v>
      </c>
      <c r="BN51" s="66"/>
      <c r="BO51" s="66"/>
      <c r="BP51" s="66"/>
      <c r="BQ51" s="66" t="str">
        <f>PROPER(TEXT(Prog_23[[#This Row],[PROGRAMAÇÃO CLIENTE]],"mmm"))</f>
        <v>Jan</v>
      </c>
      <c r="BR51" s="66">
        <f>YEAR(Prog_23[[#This Row],[PROGRAMAÇÃO CLIENTE]])</f>
        <v>2023</v>
      </c>
    </row>
    <row r="52" spans="1:70" x14ac:dyDescent="0.25">
      <c r="A52" s="120" t="str">
        <f>Prog_23[[#This Row],[CONTEINER]]</f>
        <v xml:space="preserve">SEGU5693550 </v>
      </c>
      <c r="B52" s="86" t="s">
        <v>2771</v>
      </c>
      <c r="C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2" s="85">
        <v>44945.291666666664</v>
      </c>
      <c r="E52" s="66" t="s">
        <v>353</v>
      </c>
      <c r="F52" s="66" t="s">
        <v>354</v>
      </c>
      <c r="G52" s="66">
        <v>8467544</v>
      </c>
      <c r="H52" s="44">
        <v>62539556</v>
      </c>
      <c r="I52" s="44" t="s">
        <v>3378</v>
      </c>
      <c r="J52" s="66" t="s">
        <v>301</v>
      </c>
      <c r="K52" s="66">
        <v>3830</v>
      </c>
      <c r="L52" s="66" t="s">
        <v>3379</v>
      </c>
      <c r="M52" s="66">
        <v>25799</v>
      </c>
      <c r="N52" s="66">
        <f>SUM(Prog_23[[#This Row],[TARA]]+Prog_23[[#This Row],[PESO]])</f>
        <v>29629</v>
      </c>
      <c r="O52" s="44">
        <v>658314</v>
      </c>
      <c r="P52" s="66" t="s">
        <v>3382</v>
      </c>
      <c r="Q52" s="66" t="s">
        <v>3387</v>
      </c>
      <c r="R52" s="66" t="s">
        <v>141</v>
      </c>
      <c r="S52" s="66" t="s">
        <v>2051</v>
      </c>
      <c r="T52" s="138" t="str">
        <f>IFERROR(LOOKUP($S52,MOTORISTAS!$D$3:$D$916,MOTORISTAS!E$3:$E$916),"")</f>
        <v>33913917829</v>
      </c>
      <c r="U52" s="138" t="str">
        <f>IFERROR(LOOKUP($S52,MOTORISTAS!$D$3:$D$916,MOTORISTAS!F$3:$F$916),"")</f>
        <v>03312585500</v>
      </c>
      <c r="V52" s="66" t="s">
        <v>537</v>
      </c>
      <c r="W52" s="79">
        <v>44944.864583333336</v>
      </c>
      <c r="X52" s="79">
        <v>44945.291666666664</v>
      </c>
      <c r="Y52" s="79">
        <v>44945.4375</v>
      </c>
      <c r="Z52" s="66" t="s">
        <v>293</v>
      </c>
      <c r="AA52" s="79">
        <v>44945.941666666666</v>
      </c>
      <c r="AB52" s="79">
        <v>44945.291666666664</v>
      </c>
      <c r="AC52" s="79">
        <v>44945.5</v>
      </c>
      <c r="AD52" s="79">
        <v>44947.5</v>
      </c>
      <c r="AE52" s="66" t="s">
        <v>590</v>
      </c>
      <c r="AF52" s="44">
        <v>14893</v>
      </c>
      <c r="AG52" s="254">
        <f>Prog_23[[#This Row],[SAÍDA DO CLIENTE]]-Prog_23[[#This Row],[PROGRAMAÇÃO CLIENTE]]</f>
        <v>0.14583333333575865</v>
      </c>
      <c r="AH52" s="44"/>
      <c r="AI52" s="66"/>
      <c r="AJ52" s="66"/>
      <c r="AK52" s="66"/>
      <c r="AL52" s="66"/>
      <c r="AM52" s="66"/>
      <c r="AN52" s="83"/>
      <c r="AO52" s="83"/>
      <c r="AP52" s="83"/>
      <c r="AQ52" s="66"/>
      <c r="AR52" s="66"/>
      <c r="AS52" s="66"/>
      <c r="AT52" s="81"/>
      <c r="AU52" s="81">
        <v>3419</v>
      </c>
      <c r="AV52" s="81"/>
      <c r="AW52" s="81"/>
      <c r="AX52" s="83">
        <f>SUM(Prog_23[[#This Row],[ADIANTAMENTO]]+Prog_23[[#This Row],[SALDO]]+Prog_23[[#This Row],[MARGEM]]+Prog_23[[#This Row],[ESTADIA 1]])</f>
        <v>3419</v>
      </c>
      <c r="AY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5084.3479200000002</v>
      </c>
      <c r="AZ52" s="81">
        <v>3491.06</v>
      </c>
      <c r="BA52" s="81">
        <v>66887.92</v>
      </c>
      <c r="BB52" s="81">
        <f>Prog_23[[#This Row],[VLR NF]]*0.1%</f>
        <v>66.887919999999994</v>
      </c>
      <c r="BC52" s="81">
        <v>0</v>
      </c>
      <c r="BD52" s="81">
        <v>761.4</v>
      </c>
      <c r="BE52" s="81"/>
      <c r="BF52" s="81"/>
      <c r="BG52" s="81"/>
      <c r="BH52" s="81"/>
      <c r="BI52" s="81"/>
      <c r="BJ52" s="81"/>
      <c r="BK52" s="81"/>
      <c r="BL52" s="81"/>
      <c r="BM52" s="81">
        <f t="shared" si="2"/>
        <v>765</v>
      </c>
      <c r="BN52" s="66"/>
      <c r="BO52" s="66"/>
      <c r="BP52" s="66"/>
      <c r="BQ52" s="66" t="str">
        <f>PROPER(TEXT(Prog_23[[#This Row],[PROGRAMAÇÃO CLIENTE]],"mmm"))</f>
        <v>Jan</v>
      </c>
      <c r="BR52" s="66">
        <f>YEAR(Prog_23[[#This Row],[PROGRAMAÇÃO CLIENTE]])</f>
        <v>2023</v>
      </c>
    </row>
    <row r="53" spans="1:70" x14ac:dyDescent="0.25">
      <c r="A53" s="120" t="str">
        <f>Prog_23[[#This Row],[CONTEINER]]</f>
        <v>HLXU8413785</v>
      </c>
      <c r="B53" s="86" t="s">
        <v>2771</v>
      </c>
      <c r="C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53" s="85">
        <v>44945.291666666664</v>
      </c>
      <c r="E53" s="66" t="s">
        <v>353</v>
      </c>
      <c r="F53" s="66" t="s">
        <v>354</v>
      </c>
      <c r="G53" s="66">
        <v>8467544</v>
      </c>
      <c r="H53" s="44">
        <v>62539556</v>
      </c>
      <c r="I53" s="44" t="s">
        <v>3380</v>
      </c>
      <c r="J53" s="66" t="s">
        <v>301</v>
      </c>
      <c r="K53" s="66">
        <v>3900</v>
      </c>
      <c r="L53" s="66" t="s">
        <v>3381</v>
      </c>
      <c r="M53" s="66">
        <v>25587</v>
      </c>
      <c r="N53" s="66">
        <f>SUM(Prog_23[[#This Row],[TARA]]+Prog_23[[#This Row],[PESO]])</f>
        <v>29487</v>
      </c>
      <c r="O53" s="44">
        <v>658428</v>
      </c>
      <c r="P53" s="66" t="s">
        <v>3382</v>
      </c>
      <c r="Q53" s="66" t="s">
        <v>2929</v>
      </c>
      <c r="R53" s="66" t="s">
        <v>3388</v>
      </c>
      <c r="S53" s="66" t="s">
        <v>1384</v>
      </c>
      <c r="T53" s="138" t="str">
        <f>IFERROR(LOOKUP($S53,MOTORISTAS!$D$3:$D$916,MOTORISTAS!E$3:$E$916),"")</f>
        <v>37752335800</v>
      </c>
      <c r="U53" s="138" t="str">
        <f>IFERROR(LOOKUP($S53,MOTORISTAS!$D$3:$D$916,MOTORISTAS!F$3:$F$916),"")</f>
        <v>04031990855</v>
      </c>
      <c r="V53" s="66" t="s">
        <v>292</v>
      </c>
      <c r="W53" s="79">
        <v>44945.606944444444</v>
      </c>
      <c r="X53" s="79">
        <v>44945.625</v>
      </c>
      <c r="Y53" s="79">
        <v>44945.75</v>
      </c>
      <c r="Z53" s="66" t="s">
        <v>293</v>
      </c>
      <c r="AA53" s="79">
        <v>44946.080555555556</v>
      </c>
      <c r="AB53" s="79">
        <v>44945.291666666664</v>
      </c>
      <c r="AC53" s="79">
        <v>44945.5</v>
      </c>
      <c r="AD53" s="79">
        <v>44947.5</v>
      </c>
      <c r="AE53" s="66" t="s">
        <v>590</v>
      </c>
      <c r="AF53" s="44">
        <v>14905</v>
      </c>
      <c r="AG53" s="254">
        <f>Prog_23[[#This Row],[SAÍDA DO CLIENTE]]-Prog_23[[#This Row],[PROGRAMAÇÃO CLIENTE]]</f>
        <v>0.45833333333575865</v>
      </c>
      <c r="AH53" s="44"/>
      <c r="AI53" s="66"/>
      <c r="AJ53" s="66"/>
      <c r="AK53" s="66"/>
      <c r="AL53" s="66"/>
      <c r="AM53" s="66"/>
      <c r="AN53" s="83"/>
      <c r="AO53" s="83"/>
      <c r="AP53" s="83"/>
      <c r="AQ53" s="66"/>
      <c r="AR53" s="66"/>
      <c r="AS53" s="66"/>
      <c r="AT53" s="81">
        <v>2660</v>
      </c>
      <c r="AU53" s="81">
        <v>1009</v>
      </c>
      <c r="AV53" s="81"/>
      <c r="AW53" s="81"/>
      <c r="AX53" s="83">
        <f>SUM(Prog_23[[#This Row],[ADIANTAMENTO]]+Prog_23[[#This Row],[SALDO]]+Prog_23[[#This Row],[MARGEM]]+Prog_23[[#This Row],[ESTADIA 1]])</f>
        <v>3669</v>
      </c>
      <c r="AY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5072.2082600000003</v>
      </c>
      <c r="AZ53" s="81">
        <v>3491.06</v>
      </c>
      <c r="BA53" s="81">
        <v>54748.26</v>
      </c>
      <c r="BB53" s="81">
        <f>Prog_23[[#This Row],[VLR NF]]*0.1%</f>
        <v>54.748260000000002</v>
      </c>
      <c r="BC53" s="81">
        <v>0</v>
      </c>
      <c r="BD53" s="81">
        <v>761.4</v>
      </c>
      <c r="BE53" s="81"/>
      <c r="BF53" s="81"/>
      <c r="BG53" s="81"/>
      <c r="BH53" s="81"/>
      <c r="BI53" s="81"/>
      <c r="BJ53" s="81"/>
      <c r="BK53" s="81"/>
      <c r="BL53" s="81"/>
      <c r="BM53" s="81">
        <f t="shared" si="2"/>
        <v>765</v>
      </c>
      <c r="BN53" s="66"/>
      <c r="BO53" s="66"/>
      <c r="BP53" s="66"/>
      <c r="BQ53" s="66" t="str">
        <f>PROPER(TEXT(Prog_23[[#This Row],[PROGRAMAÇÃO CLIENTE]],"mmm"))</f>
        <v>Jan</v>
      </c>
      <c r="BR53" s="66">
        <f>YEAR(Prog_23[[#This Row],[PROGRAMAÇÃO CLIENTE]])</f>
        <v>2023</v>
      </c>
    </row>
    <row r="54" spans="1:70" x14ac:dyDescent="0.25">
      <c r="A54" s="120" t="str">
        <f>Prog_23[[#This Row],[CONTEINER]]</f>
        <v>UACU5156020</v>
      </c>
      <c r="B54" s="86" t="s">
        <v>2771</v>
      </c>
      <c r="C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4" s="85">
        <v>44956.333333333336</v>
      </c>
      <c r="E54" s="66" t="s">
        <v>353</v>
      </c>
      <c r="F54" s="66" t="s">
        <v>3161</v>
      </c>
      <c r="G54" s="66" t="s">
        <v>3162</v>
      </c>
      <c r="H54" s="44">
        <v>68872001</v>
      </c>
      <c r="I54" s="44" t="s">
        <v>3163</v>
      </c>
      <c r="J54" s="66" t="s">
        <v>301</v>
      </c>
      <c r="K54" s="66">
        <v>3960</v>
      </c>
      <c r="L54" s="66" t="s">
        <v>3164</v>
      </c>
      <c r="M54" s="66">
        <v>8951</v>
      </c>
      <c r="N54" s="66">
        <f>SUM(Prog_23[[#This Row],[TARA]]+Prog_23[[#This Row],[PESO]])</f>
        <v>12911</v>
      </c>
      <c r="O54" s="44" t="s">
        <v>3165</v>
      </c>
      <c r="P54" s="66" t="s">
        <v>3166</v>
      </c>
      <c r="Q54" s="66" t="s">
        <v>3168</v>
      </c>
      <c r="R54" s="66" t="s">
        <v>27</v>
      </c>
      <c r="S54" s="66" t="s">
        <v>206</v>
      </c>
      <c r="T54" s="138" t="str">
        <f>IFERROR(LOOKUP($S54,MOTORISTAS!$D$3:$D$916,MOTORISTAS!E$3:$E$916),"")</f>
        <v>09085263425</v>
      </c>
      <c r="U54" s="138" t="str">
        <f>IFERROR(LOOKUP($S54,MOTORISTAS!$D$3:$D$916,MOTORISTAS!F$3:$F$916),"")</f>
        <v>04557705505</v>
      </c>
      <c r="V54" s="66" t="s">
        <v>292</v>
      </c>
      <c r="W54" s="79">
        <v>44954.31527777778</v>
      </c>
      <c r="X54" s="79">
        <v>44956.3125</v>
      </c>
      <c r="Y54" s="79" t="s">
        <v>3446</v>
      </c>
      <c r="Z54" s="66" t="s">
        <v>306</v>
      </c>
      <c r="AA54" s="79">
        <v>44965.719444444447</v>
      </c>
      <c r="AB54" s="79">
        <v>44964.791666666664</v>
      </c>
      <c r="AC54" s="79">
        <v>44964.75</v>
      </c>
      <c r="AD54" s="79">
        <v>44967.75</v>
      </c>
      <c r="AE54" s="66" t="s">
        <v>716</v>
      </c>
      <c r="AF54" s="44" t="s">
        <v>3167</v>
      </c>
      <c r="AG54" s="254" t="e">
        <f>Prog_23[[#This Row],[SAÍDA DO CLIENTE]]-Prog_23[[#This Row],[PROGRAMAÇÃO CLIENTE]]</f>
        <v>#VALUE!</v>
      </c>
      <c r="AH54" s="44"/>
      <c r="AI54" s="66"/>
      <c r="AJ54" s="66"/>
      <c r="AK54" s="66" t="s">
        <v>309</v>
      </c>
      <c r="AL54" s="79">
        <v>44957.833333333336</v>
      </c>
      <c r="AM54" s="66"/>
      <c r="AN54" s="83">
        <v>950</v>
      </c>
      <c r="AO54" s="83"/>
      <c r="AP54" s="83"/>
      <c r="AQ54" s="66"/>
      <c r="AR54" s="66"/>
      <c r="AS54" s="66"/>
      <c r="AT54" s="81">
        <v>2300</v>
      </c>
      <c r="AU54" s="81"/>
      <c r="AV54" s="81"/>
      <c r="AW54" s="81"/>
      <c r="AX54" s="83">
        <f>SUM(Prog_23[[#This Row],[ADIANTAMENTO]]+Prog_23[[#This Row],[SALDO]]+Prog_23[[#This Row],[MARGEM]]+Prog_23[[#This Row],[ESTADIA 1]])</f>
        <v>2300</v>
      </c>
      <c r="AY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3223.1593699999999</v>
      </c>
      <c r="AZ54" s="81">
        <v>2250</v>
      </c>
      <c r="BA54" s="81">
        <v>352159.37</v>
      </c>
      <c r="BB54" s="81">
        <f>Prog_23[[#This Row],[VLR NF]]*0.1%</f>
        <v>352.15937000000002</v>
      </c>
      <c r="BC54" s="81">
        <v>0</v>
      </c>
      <c r="BD54" s="81">
        <v>321</v>
      </c>
      <c r="BE54" s="81"/>
      <c r="BF54" s="81"/>
      <c r="BG54" s="81"/>
      <c r="BH54" s="81"/>
      <c r="BI54" s="81"/>
      <c r="BJ54" s="81"/>
      <c r="BK54" s="81">
        <v>0</v>
      </c>
      <c r="BL54" s="81">
        <v>300</v>
      </c>
      <c r="BM54" s="81"/>
      <c r="BN54" s="66" t="s">
        <v>2768</v>
      </c>
      <c r="BO54" s="66" t="s">
        <v>2768</v>
      </c>
      <c r="BP54" s="66"/>
      <c r="BQ54" s="66" t="str">
        <f>PROPER(TEXT(Prog_23[[#This Row],[PROGRAMAÇÃO CLIENTE]],"mmm"))</f>
        <v>Jan</v>
      </c>
      <c r="BR54" s="66">
        <f>YEAR(Prog_23[[#This Row],[PROGRAMAÇÃO CLIENTE]])</f>
        <v>2023</v>
      </c>
    </row>
    <row r="55" spans="1:70" x14ac:dyDescent="0.25">
      <c r="A55" s="120" t="str">
        <f>Prog_23[[#This Row],[CONTEINER]]</f>
        <v>TCNU1729292</v>
      </c>
      <c r="B55" s="86" t="s">
        <v>2771</v>
      </c>
      <c r="C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5" s="85">
        <v>44956.541666666664</v>
      </c>
      <c r="E55" s="66" t="s">
        <v>297</v>
      </c>
      <c r="F55" s="66" t="s">
        <v>298</v>
      </c>
      <c r="G55" s="66" t="s">
        <v>3275</v>
      </c>
      <c r="H55" s="44">
        <v>224545006</v>
      </c>
      <c r="I55" s="44" t="s">
        <v>3276</v>
      </c>
      <c r="J55" s="66" t="s">
        <v>301</v>
      </c>
      <c r="K55" s="66">
        <v>3700</v>
      </c>
      <c r="L55" s="66" t="s">
        <v>3277</v>
      </c>
      <c r="M55" s="66">
        <v>22889</v>
      </c>
      <c r="N55" s="66">
        <f>SUM(Prog_23[[#This Row],[TARA]]+Prog_23[[#This Row],[PESO]])</f>
        <v>26589</v>
      </c>
      <c r="O55" s="44">
        <v>825067</v>
      </c>
      <c r="P55" s="66" t="s">
        <v>2904</v>
      </c>
      <c r="Q55" s="66" t="s">
        <v>106</v>
      </c>
      <c r="R55" s="66" t="s">
        <v>107</v>
      </c>
      <c r="S55" s="66" t="s">
        <v>108</v>
      </c>
      <c r="T55" s="138" t="str">
        <f>IFERROR(LOOKUP($S55,MOTORISTAS!$D$3:$D$916,MOTORISTAS!E$3:$E$916),"")</f>
        <v>34927982840</v>
      </c>
      <c r="U55" s="138" t="str">
        <f>IFERROR(LOOKUP($S55,MOTORISTAS!$D$3:$D$916,MOTORISTAS!F$3:$F$916),"")</f>
        <v>03500129879</v>
      </c>
      <c r="V55" s="66" t="s">
        <v>292</v>
      </c>
      <c r="W55" s="79">
        <v>44956.34652777778</v>
      </c>
      <c r="X55" s="79">
        <v>44956.490972222222</v>
      </c>
      <c r="Y55" s="79">
        <v>44956.914583333331</v>
      </c>
      <c r="Z55" s="66" t="s">
        <v>306</v>
      </c>
      <c r="AA55" s="79">
        <v>44957.095833333333</v>
      </c>
      <c r="AB55" s="66" t="s">
        <v>2886</v>
      </c>
      <c r="AC55" s="79">
        <v>44957.5</v>
      </c>
      <c r="AD55" s="79">
        <v>44960.5</v>
      </c>
      <c r="AE55" s="66" t="s">
        <v>3278</v>
      </c>
      <c r="AF55" s="44">
        <v>14974</v>
      </c>
      <c r="AG55" s="254">
        <f>Prog_23[[#This Row],[SAÍDA DO CLIENTE]]-Prog_23[[#This Row],[PROGRAMAÇÃO CLIENTE]]</f>
        <v>0.37291666666715173</v>
      </c>
      <c r="AH55" s="44"/>
      <c r="AI55" s="66"/>
      <c r="AJ55" s="66"/>
      <c r="AK55" s="66"/>
      <c r="AL55" s="66"/>
      <c r="AM55" s="66"/>
      <c r="AN55" s="83"/>
      <c r="AO55" s="83"/>
      <c r="AP55" s="83"/>
      <c r="AQ55" s="66"/>
      <c r="AR55" s="66"/>
      <c r="AS55" s="66"/>
      <c r="AT55" s="81"/>
      <c r="AU55" s="81"/>
      <c r="AV55" s="81"/>
      <c r="AW55" s="81"/>
      <c r="AX55" s="83">
        <f>SUM(Prog_23[[#This Row],[ADIANTAMENTO]]+Prog_23[[#This Row],[SALDO]]+Prog_23[[#This Row],[MARGEM]]+Prog_23[[#This Row],[ESTADIA 1]])</f>
        <v>0</v>
      </c>
      <c r="AY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55" s="81">
        <v>3338.8</v>
      </c>
      <c r="BA55" s="81">
        <v>140144.5</v>
      </c>
      <c r="BB55" s="81">
        <v>0</v>
      </c>
      <c r="BC55" s="81">
        <v>0</v>
      </c>
      <c r="BD55" s="81">
        <v>511.2</v>
      </c>
      <c r="BE55" s="81"/>
      <c r="BF55" s="81"/>
      <c r="BG55" s="81"/>
      <c r="BH55" s="81"/>
      <c r="BI55" s="81"/>
      <c r="BJ55" s="81"/>
      <c r="BK55" s="81"/>
      <c r="BL55" s="81"/>
      <c r="BM55" s="81"/>
      <c r="BN55" s="66" t="s">
        <v>2768</v>
      </c>
      <c r="BO55" s="66"/>
      <c r="BP55" s="66"/>
      <c r="BQ55" s="66" t="str">
        <f>PROPER(TEXT(Prog_23[[#This Row],[PROGRAMAÇÃO CLIENTE]],"mmm"))</f>
        <v>Jan</v>
      </c>
      <c r="BR55" s="66">
        <f>YEAR(Prog_23[[#This Row],[PROGRAMAÇÃO CLIENTE]])</f>
        <v>2023</v>
      </c>
    </row>
    <row r="56" spans="1:70" x14ac:dyDescent="0.25">
      <c r="A56" s="120" t="str">
        <f>Prog_23[[#This Row],[CONTEINER]]</f>
        <v>TGHU8613069</v>
      </c>
      <c r="B56" s="86"/>
      <c r="C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6" s="85">
        <v>44956.25</v>
      </c>
      <c r="E56" s="66" t="s">
        <v>353</v>
      </c>
      <c r="F56" s="66" t="s">
        <v>354</v>
      </c>
      <c r="G56" s="66">
        <v>8166435</v>
      </c>
      <c r="H56" s="44">
        <v>224401553</v>
      </c>
      <c r="I56" s="44" t="s">
        <v>3413</v>
      </c>
      <c r="J56" s="66" t="s">
        <v>301</v>
      </c>
      <c r="K56" s="66">
        <v>3910</v>
      </c>
      <c r="L56" s="66" t="s">
        <v>3414</v>
      </c>
      <c r="M56" s="66"/>
      <c r="N56" s="66">
        <f>SUM(Prog_23[[#This Row],[TARA]]+Prog_23[[#This Row],[PESO]])</f>
        <v>3910</v>
      </c>
      <c r="O56" s="44">
        <v>660017</v>
      </c>
      <c r="P56" s="66" t="s">
        <v>2904</v>
      </c>
      <c r="Q56" s="66" t="s">
        <v>150</v>
      </c>
      <c r="R56" s="66" t="s">
        <v>151</v>
      </c>
      <c r="S56" s="66" t="s">
        <v>152</v>
      </c>
      <c r="T56" s="138" t="str">
        <f>IFERROR(LOOKUP($S56,MOTORISTAS!$D$3:$D$916,MOTORISTAS!E$3:$E$916),"")</f>
        <v>05753633803</v>
      </c>
      <c r="U56" s="138" t="str">
        <f>IFERROR(LOOKUP($S56,MOTORISTAS!$D$3:$D$916,MOTORISTAS!F$3:$F$916),"")</f>
        <v>01922497849</v>
      </c>
      <c r="V56" s="66" t="s">
        <v>292</v>
      </c>
      <c r="W56" s="79">
        <v>44954.372916666667</v>
      </c>
      <c r="X56" s="79">
        <v>44956.25</v>
      </c>
      <c r="Y56" s="79"/>
      <c r="Z56" s="66" t="s">
        <v>306</v>
      </c>
      <c r="AA56" s="79">
        <v>44956.631944444445</v>
      </c>
      <c r="AB56" s="66" t="s">
        <v>2886</v>
      </c>
      <c r="AC56" s="79">
        <v>44959.5</v>
      </c>
      <c r="AD56" s="79">
        <v>44963.5</v>
      </c>
      <c r="AE56" s="66" t="s">
        <v>835</v>
      </c>
      <c r="AF56" s="44">
        <v>14967</v>
      </c>
      <c r="AG56" s="254">
        <f>Prog_23[[#This Row],[SAÍDA DO CLIENTE]]-Prog_23[[#This Row],[PROGRAMAÇÃO CLIENTE]]</f>
        <v>-44956.25</v>
      </c>
      <c r="AH56" s="44"/>
      <c r="AI56" s="66"/>
      <c r="AJ56" s="66"/>
      <c r="AK56" s="66"/>
      <c r="AL56" s="66"/>
      <c r="AM56" s="66"/>
      <c r="AN56" s="83"/>
      <c r="AO56" s="83"/>
      <c r="AP56" s="83"/>
      <c r="AQ56" s="66"/>
      <c r="AR56" s="66"/>
      <c r="AS56" s="66"/>
      <c r="AT56" s="81"/>
      <c r="AU56" s="81"/>
      <c r="AV56" s="81"/>
      <c r="AW56" s="81"/>
      <c r="AX56" s="83">
        <f>SUM(Prog_23[[#This Row],[ADIANTAMENTO]]+Prog_23[[#This Row],[SALDO]]+Prog_23[[#This Row],[MARGEM]]+Prog_23[[#This Row],[ESTADIA 1]])</f>
        <v>0</v>
      </c>
      <c r="AY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5052.2591499999999</v>
      </c>
      <c r="AZ56" s="81">
        <v>3491.06</v>
      </c>
      <c r="BA56" s="81">
        <v>34799.15</v>
      </c>
      <c r="BB56" s="81">
        <f>Prog_23[[#This Row],[VLR NF]]*0.1%</f>
        <v>34.799150000000004</v>
      </c>
      <c r="BC56" s="81">
        <v>0</v>
      </c>
      <c r="BD56" s="81">
        <v>761.4</v>
      </c>
      <c r="BE56" s="81"/>
      <c r="BF56" s="81"/>
      <c r="BG56" s="81"/>
      <c r="BH56" s="81"/>
      <c r="BI56" s="81"/>
      <c r="BJ56" s="81"/>
      <c r="BK56" s="81"/>
      <c r="BL56" s="81"/>
      <c r="BM56" s="81">
        <f t="shared" ref="BM56:BM65" si="3">85*9</f>
        <v>765</v>
      </c>
      <c r="BN56" s="66"/>
      <c r="BO56" s="66"/>
      <c r="BP56" s="66"/>
      <c r="BQ56" s="66" t="str">
        <f>PROPER(TEXT(Prog_23[[#This Row],[PROGRAMAÇÃO CLIENTE]],"mmm"))</f>
        <v>Jan</v>
      </c>
      <c r="BR56" s="66">
        <f>YEAR(Prog_23[[#This Row],[PROGRAMAÇÃO CLIENTE]])</f>
        <v>2023</v>
      </c>
    </row>
    <row r="57" spans="1:70" x14ac:dyDescent="0.25">
      <c r="A57" s="120" t="str">
        <f>Prog_23[[#This Row],[CONTEINER]]</f>
        <v>MRKU3635591</v>
      </c>
      <c r="B57" s="86"/>
      <c r="C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7" s="85">
        <v>44956.25</v>
      </c>
      <c r="E57" s="66" t="s">
        <v>353</v>
      </c>
      <c r="F57" s="66" t="s">
        <v>354</v>
      </c>
      <c r="G57" s="66">
        <v>8166435</v>
      </c>
      <c r="H57" s="44">
        <v>224401553</v>
      </c>
      <c r="I57" s="44" t="s">
        <v>3415</v>
      </c>
      <c r="J57" s="66" t="s">
        <v>301</v>
      </c>
      <c r="K57" s="66">
        <v>3790</v>
      </c>
      <c r="L57" s="66" t="s">
        <v>3416</v>
      </c>
      <c r="M57" s="66"/>
      <c r="N57" s="66">
        <f>SUM(Prog_23[[#This Row],[TARA]]+Prog_23[[#This Row],[PESO]])</f>
        <v>3790</v>
      </c>
      <c r="O57" s="44">
        <v>660016</v>
      </c>
      <c r="P57" s="66" t="s">
        <v>2904</v>
      </c>
      <c r="Q57" s="66" t="s">
        <v>72</v>
      </c>
      <c r="R57" s="66" t="s">
        <v>73</v>
      </c>
      <c r="S57" s="66" t="s">
        <v>203</v>
      </c>
      <c r="T57" s="138" t="str">
        <f>IFERROR(LOOKUP($S57,MOTORISTAS!$D$3:$D$916,MOTORISTAS!E$3:$E$916),"")</f>
        <v>10395859816</v>
      </c>
      <c r="U57" s="138" t="str">
        <f>IFERROR(LOOKUP($S57,MOTORISTAS!$D$3:$D$916,MOTORISTAS!F$3:$F$916),"")</f>
        <v>01965794851</v>
      </c>
      <c r="V57" s="66" t="s">
        <v>292</v>
      </c>
      <c r="W57" s="79">
        <v>44954.373611111114</v>
      </c>
      <c r="X57" s="79">
        <v>44956.25</v>
      </c>
      <c r="Y57" s="79"/>
      <c r="Z57" s="66" t="s">
        <v>306</v>
      </c>
      <c r="AA57" s="79">
        <v>44956.69027777778</v>
      </c>
      <c r="AB57" s="66" t="s">
        <v>2886</v>
      </c>
      <c r="AC57" s="79">
        <v>44959.5</v>
      </c>
      <c r="AD57" s="79">
        <v>44963.5</v>
      </c>
      <c r="AE57" s="66" t="s">
        <v>835</v>
      </c>
      <c r="AF57" s="44">
        <v>14966</v>
      </c>
      <c r="AG57" s="254">
        <f>Prog_23[[#This Row],[SAÍDA DO CLIENTE]]-Prog_23[[#This Row],[PROGRAMAÇÃO CLIENTE]]</f>
        <v>-44956.25</v>
      </c>
      <c r="AH57" s="44"/>
      <c r="AI57" s="66"/>
      <c r="AJ57" s="66"/>
      <c r="AK57" s="66"/>
      <c r="AL57" s="66"/>
      <c r="AM57" s="66"/>
      <c r="AN57" s="83"/>
      <c r="AO57" s="83"/>
      <c r="AP57" s="83"/>
      <c r="AQ57" s="66"/>
      <c r="AR57" s="66"/>
      <c r="AS57" s="66"/>
      <c r="AT57" s="81"/>
      <c r="AU57" s="81"/>
      <c r="AV57" s="81"/>
      <c r="AW57" s="81"/>
      <c r="AX57" s="83">
        <f>SUM(Prog_23[[#This Row],[ADIANTAMENTO]]+Prog_23[[#This Row],[SALDO]]+Prog_23[[#This Row],[MARGEM]]+Prog_23[[#This Row],[ESTADIA 1]])</f>
        <v>0</v>
      </c>
      <c r="AY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5052.2591499999999</v>
      </c>
      <c r="AZ57" s="81">
        <v>3491.06</v>
      </c>
      <c r="BA57" s="81">
        <v>34799.15</v>
      </c>
      <c r="BB57" s="81">
        <f>Prog_23[[#This Row],[VLR NF]]*0.1%</f>
        <v>34.799150000000004</v>
      </c>
      <c r="BC57" s="81">
        <v>0</v>
      </c>
      <c r="BD57" s="81">
        <v>761.4</v>
      </c>
      <c r="BE57" s="81"/>
      <c r="BF57" s="81"/>
      <c r="BG57" s="81"/>
      <c r="BH57" s="81"/>
      <c r="BI57" s="81"/>
      <c r="BJ57" s="81"/>
      <c r="BK57" s="81"/>
      <c r="BL57" s="81"/>
      <c r="BM57" s="81">
        <f t="shared" si="3"/>
        <v>765</v>
      </c>
      <c r="BN57" s="66"/>
      <c r="BO57" s="66"/>
      <c r="BP57" s="66"/>
      <c r="BQ57" s="66" t="str">
        <f>PROPER(TEXT(Prog_23[[#This Row],[PROGRAMAÇÃO CLIENTE]],"mmm"))</f>
        <v>Jan</v>
      </c>
      <c r="BR57" s="66">
        <f>YEAR(Prog_23[[#This Row],[PROGRAMAÇÃO CLIENTE]])</f>
        <v>2023</v>
      </c>
    </row>
    <row r="58" spans="1:70" x14ac:dyDescent="0.25">
      <c r="A58" s="120" t="str">
        <f>Prog_23[[#This Row],[CONTEINER]]</f>
        <v>TCLU5446040</v>
      </c>
      <c r="B58" s="86"/>
      <c r="C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" s="85">
        <v>44956.25</v>
      </c>
      <c r="E58" s="66" t="s">
        <v>353</v>
      </c>
      <c r="F58" s="66" t="s">
        <v>354</v>
      </c>
      <c r="G58" s="66">
        <v>8166435</v>
      </c>
      <c r="H58" s="44">
        <v>224401553</v>
      </c>
      <c r="I58" s="44" t="s">
        <v>3417</v>
      </c>
      <c r="J58" s="66" t="s">
        <v>301</v>
      </c>
      <c r="K58" s="66">
        <v>3840</v>
      </c>
      <c r="L58" s="66" t="s">
        <v>3418</v>
      </c>
      <c r="M58" s="66"/>
      <c r="N58" s="66">
        <f>SUM(Prog_23[[#This Row],[TARA]]+Prog_23[[#This Row],[PESO]])</f>
        <v>3840</v>
      </c>
      <c r="O58" s="44">
        <v>660045</v>
      </c>
      <c r="P58" s="66" t="s">
        <v>2904</v>
      </c>
      <c r="Q58" s="66" t="s">
        <v>155</v>
      </c>
      <c r="R58" s="66" t="s">
        <v>209</v>
      </c>
      <c r="S58" s="66" t="s">
        <v>2908</v>
      </c>
      <c r="T58" s="138" t="str">
        <f>IFERROR(LOOKUP($S58,MOTORISTAS!$D$3:$D$916,MOTORISTAS!E$3:$E$916),"")</f>
        <v>09803034863</v>
      </c>
      <c r="U58" s="138" t="str">
        <f>IFERROR(LOOKUP($S58,MOTORISTAS!$D$3:$D$916,MOTORISTAS!F$3:$F$916),"")</f>
        <v>01484565209</v>
      </c>
      <c r="V58" s="66" t="s">
        <v>292</v>
      </c>
      <c r="W58" s="79">
        <v>44954.330555555556</v>
      </c>
      <c r="X58" s="79"/>
      <c r="Y58" s="79"/>
      <c r="Z58" s="66" t="s">
        <v>306</v>
      </c>
      <c r="AA58" s="79">
        <v>44956.809027777781</v>
      </c>
      <c r="AB58" s="66" t="s">
        <v>2886</v>
      </c>
      <c r="AC58" s="79">
        <v>44959.5</v>
      </c>
      <c r="AD58" s="79">
        <v>44963.5</v>
      </c>
      <c r="AE58" s="66" t="s">
        <v>835</v>
      </c>
      <c r="AF58" s="44">
        <v>14972</v>
      </c>
      <c r="AG58" s="254">
        <f>Prog_23[[#This Row],[SAÍDA DO CLIENTE]]-Prog_23[[#This Row],[PROGRAMAÇÃO CLIENTE]]</f>
        <v>-44956.25</v>
      </c>
      <c r="AH58" s="44"/>
      <c r="AI58" s="66"/>
      <c r="AJ58" s="66"/>
      <c r="AK58" s="66"/>
      <c r="AL58" s="66"/>
      <c r="AM58" s="66"/>
      <c r="AN58" s="83"/>
      <c r="AO58" s="83"/>
      <c r="AP58" s="83"/>
      <c r="AQ58" s="66"/>
      <c r="AR58" s="66"/>
      <c r="AS58" s="66"/>
      <c r="AT58" s="81"/>
      <c r="AU58" s="81"/>
      <c r="AV58" s="81"/>
      <c r="AW58" s="81"/>
      <c r="AX58" s="83">
        <f>SUM(Prog_23[[#This Row],[ADIANTAMENTO]]+Prog_23[[#This Row],[SALDO]]+Prog_23[[#This Row],[MARGEM]]+Prog_23[[#This Row],[ESTADIA 1]])</f>
        <v>0</v>
      </c>
      <c r="AY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5052.2591499999999</v>
      </c>
      <c r="AZ58" s="81">
        <v>3491.06</v>
      </c>
      <c r="BA58" s="81">
        <v>34799.15</v>
      </c>
      <c r="BB58" s="81">
        <f>Prog_23[[#This Row],[VLR NF]]*0.1%</f>
        <v>34.799150000000004</v>
      </c>
      <c r="BC58" s="81">
        <v>0</v>
      </c>
      <c r="BD58" s="81">
        <v>761.4</v>
      </c>
      <c r="BE58" s="81"/>
      <c r="BF58" s="81"/>
      <c r="BG58" s="81"/>
      <c r="BH58" s="81"/>
      <c r="BI58" s="81"/>
      <c r="BJ58" s="81"/>
      <c r="BK58" s="81"/>
      <c r="BL58" s="81"/>
      <c r="BM58" s="81">
        <f t="shared" si="3"/>
        <v>765</v>
      </c>
      <c r="BN58" s="66"/>
      <c r="BO58" s="66"/>
      <c r="BP58" s="66"/>
      <c r="BQ58" s="66" t="str">
        <f>PROPER(TEXT(Prog_23[[#This Row],[PROGRAMAÇÃO CLIENTE]],"mmm"))</f>
        <v>Jan</v>
      </c>
      <c r="BR58" s="66">
        <f>YEAR(Prog_23[[#This Row],[PROGRAMAÇÃO CLIENTE]])</f>
        <v>2023</v>
      </c>
    </row>
    <row r="59" spans="1:70" x14ac:dyDescent="0.25">
      <c r="A59" s="120" t="str">
        <f>Prog_23[[#This Row],[CONTEINER]]</f>
        <v>MRKU4700665</v>
      </c>
      <c r="B59" s="86"/>
      <c r="C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9" s="85">
        <v>44956.25</v>
      </c>
      <c r="E59" s="66" t="s">
        <v>353</v>
      </c>
      <c r="F59" s="66" t="s">
        <v>354</v>
      </c>
      <c r="G59" s="66">
        <v>8166435</v>
      </c>
      <c r="H59" s="44">
        <v>224401553</v>
      </c>
      <c r="I59" s="44" t="s">
        <v>3419</v>
      </c>
      <c r="J59" s="66" t="s">
        <v>301</v>
      </c>
      <c r="K59" s="66">
        <v>3880</v>
      </c>
      <c r="L59" s="66" t="s">
        <v>3420</v>
      </c>
      <c r="M59" s="66"/>
      <c r="N59" s="66">
        <f>SUM(Prog_23[[#This Row],[TARA]]+Prog_23[[#This Row],[PESO]])</f>
        <v>3880</v>
      </c>
      <c r="O59" s="44">
        <v>660020</v>
      </c>
      <c r="P59" s="66" t="s">
        <v>2904</v>
      </c>
      <c r="Q59" s="66" t="s">
        <v>68</v>
      </c>
      <c r="R59" s="66" t="s">
        <v>36</v>
      </c>
      <c r="S59" s="66" t="s">
        <v>69</v>
      </c>
      <c r="T59" s="138" t="str">
        <f>IFERROR(LOOKUP($S59,MOTORISTAS!$D$3:$D$916,MOTORISTAS!E$3:$E$916),"")</f>
        <v>07968457866</v>
      </c>
      <c r="U59" s="138" t="str">
        <f>IFERROR(LOOKUP($S59,MOTORISTAS!$D$3:$D$916,MOTORISTAS!F$3:$F$916),"")</f>
        <v>03264365790</v>
      </c>
      <c r="V59" s="66" t="s">
        <v>292</v>
      </c>
      <c r="W59" s="79">
        <v>44954.323611111111</v>
      </c>
      <c r="X59" s="79">
        <v>44956.25</v>
      </c>
      <c r="Y59" s="79"/>
      <c r="Z59" s="66" t="s">
        <v>306</v>
      </c>
      <c r="AA59" s="79">
        <v>44956.632638888892</v>
      </c>
      <c r="AB59" s="66" t="s">
        <v>2886</v>
      </c>
      <c r="AC59" s="79">
        <v>44959.5</v>
      </c>
      <c r="AD59" s="79">
        <v>44963.5</v>
      </c>
      <c r="AE59" s="66" t="s">
        <v>835</v>
      </c>
      <c r="AF59" s="44">
        <v>14969</v>
      </c>
      <c r="AG59" s="254">
        <f>Prog_23[[#This Row],[SAÍDA DO CLIENTE]]-Prog_23[[#This Row],[PROGRAMAÇÃO CLIENTE]]</f>
        <v>-44956.25</v>
      </c>
      <c r="AH59" s="44"/>
      <c r="AI59" s="66"/>
      <c r="AJ59" s="66"/>
      <c r="AK59" s="66"/>
      <c r="AL59" s="66"/>
      <c r="AM59" s="66"/>
      <c r="AN59" s="83"/>
      <c r="AO59" s="83"/>
      <c r="AP59" s="83"/>
      <c r="AQ59" s="66"/>
      <c r="AR59" s="66"/>
      <c r="AS59" s="66"/>
      <c r="AT59" s="81"/>
      <c r="AU59" s="81"/>
      <c r="AV59" s="81"/>
      <c r="AW59" s="81"/>
      <c r="AX59" s="83">
        <f>SUM(Prog_23[[#This Row],[ADIANTAMENTO]]+Prog_23[[#This Row],[SALDO]]+Prog_23[[#This Row],[MARGEM]]+Prog_23[[#This Row],[ESTADIA 1]])</f>
        <v>0</v>
      </c>
      <c r="AY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5052.2591499999999</v>
      </c>
      <c r="AZ59" s="81">
        <v>3491.06</v>
      </c>
      <c r="BA59" s="81">
        <v>34799.15</v>
      </c>
      <c r="BB59" s="81">
        <f>Prog_23[[#This Row],[VLR NF]]*0.1%</f>
        <v>34.799150000000004</v>
      </c>
      <c r="BC59" s="81">
        <v>0</v>
      </c>
      <c r="BD59" s="81">
        <v>761.4</v>
      </c>
      <c r="BE59" s="81"/>
      <c r="BF59" s="81"/>
      <c r="BG59" s="81"/>
      <c r="BH59" s="81"/>
      <c r="BI59" s="81"/>
      <c r="BJ59" s="81"/>
      <c r="BK59" s="81"/>
      <c r="BL59" s="81"/>
      <c r="BM59" s="81">
        <f t="shared" si="3"/>
        <v>765</v>
      </c>
      <c r="BN59" s="66"/>
      <c r="BO59" s="66"/>
      <c r="BP59" s="66"/>
      <c r="BQ59" s="66" t="str">
        <f>PROPER(TEXT(Prog_23[[#This Row],[PROGRAMAÇÃO CLIENTE]],"mmm"))</f>
        <v>Jan</v>
      </c>
      <c r="BR59" s="66">
        <f>YEAR(Prog_23[[#This Row],[PROGRAMAÇÃO CLIENTE]])</f>
        <v>2023</v>
      </c>
    </row>
    <row r="60" spans="1:70" x14ac:dyDescent="0.25">
      <c r="A60" s="120" t="str">
        <f>Prog_23[[#This Row],[CONTEINER]]</f>
        <v>MRKU5279437</v>
      </c>
      <c r="B60" s="86"/>
      <c r="C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" s="85">
        <v>44956.25</v>
      </c>
      <c r="E60" s="66" t="s">
        <v>353</v>
      </c>
      <c r="F60" s="66" t="s">
        <v>354</v>
      </c>
      <c r="G60" s="66">
        <v>8166435</v>
      </c>
      <c r="H60" s="44">
        <v>224401553</v>
      </c>
      <c r="I60" s="44" t="s">
        <v>3421</v>
      </c>
      <c r="J60" s="66" t="s">
        <v>301</v>
      </c>
      <c r="K60" s="66">
        <v>3810</v>
      </c>
      <c r="L60" s="66" t="s">
        <v>3422</v>
      </c>
      <c r="M60" s="66"/>
      <c r="N60" s="66">
        <f>SUM(Prog_23[[#This Row],[TARA]]+Prog_23[[#This Row],[PESO]])</f>
        <v>3810</v>
      </c>
      <c r="O60" s="44">
        <v>660024</v>
      </c>
      <c r="P60" s="66" t="s">
        <v>2904</v>
      </c>
      <c r="Q60" s="66" t="s">
        <v>3433</v>
      </c>
      <c r="R60" s="66" t="s">
        <v>120</v>
      </c>
      <c r="S60" s="66" t="s">
        <v>121</v>
      </c>
      <c r="T60" s="138" t="str">
        <f>IFERROR(LOOKUP($S60,MOTORISTAS!$D$3:$D$916,MOTORISTAS!E$3:$E$916),"")</f>
        <v>34597330801</v>
      </c>
      <c r="U60" s="138" t="str">
        <f>IFERROR(LOOKUP($S60,MOTORISTAS!$D$3:$D$916,MOTORISTAS!F$3:$F$916),"")</f>
        <v>03565076543</v>
      </c>
      <c r="V60" s="66" t="s">
        <v>292</v>
      </c>
      <c r="W60" s="79">
        <v>44954.418055555558</v>
      </c>
      <c r="X60" s="79"/>
      <c r="Y60" s="79"/>
      <c r="Z60" s="66" t="s">
        <v>306</v>
      </c>
      <c r="AA60" s="79">
        <v>44956.681250000001</v>
      </c>
      <c r="AB60" s="66" t="s">
        <v>2886</v>
      </c>
      <c r="AC60" s="79">
        <v>44959.5</v>
      </c>
      <c r="AD60" s="79">
        <v>44963.5</v>
      </c>
      <c r="AE60" s="66" t="s">
        <v>835</v>
      </c>
      <c r="AF60" s="44">
        <v>14971</v>
      </c>
      <c r="AG60" s="254">
        <f>Prog_23[[#This Row],[SAÍDA DO CLIENTE]]-Prog_23[[#This Row],[PROGRAMAÇÃO CLIENTE]]</f>
        <v>-44956.25</v>
      </c>
      <c r="AH60" s="44"/>
      <c r="AI60" s="66"/>
      <c r="AJ60" s="66"/>
      <c r="AK60" s="66"/>
      <c r="AL60" s="66"/>
      <c r="AM60" s="66"/>
      <c r="AN60" s="83"/>
      <c r="AO60" s="83"/>
      <c r="AP60" s="83"/>
      <c r="AQ60" s="66"/>
      <c r="AR60" s="66"/>
      <c r="AS60" s="66"/>
      <c r="AT60" s="81"/>
      <c r="AU60" s="81"/>
      <c r="AV60" s="81"/>
      <c r="AW60" s="81"/>
      <c r="AX60" s="83">
        <f>SUM(Prog_23[[#This Row],[ADIANTAMENTO]]+Prog_23[[#This Row],[SALDO]]+Prog_23[[#This Row],[MARGEM]]+Prog_23[[#This Row],[ESTADIA 1]])</f>
        <v>0</v>
      </c>
      <c r="AY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5052.2591499999999</v>
      </c>
      <c r="AZ60" s="81">
        <v>3491.06</v>
      </c>
      <c r="BA60" s="81">
        <v>34799.15</v>
      </c>
      <c r="BB60" s="81">
        <f>Prog_23[[#This Row],[VLR NF]]*0.1%</f>
        <v>34.799150000000004</v>
      </c>
      <c r="BC60" s="81">
        <v>0</v>
      </c>
      <c r="BD60" s="81">
        <v>761.4</v>
      </c>
      <c r="BE60" s="81"/>
      <c r="BF60" s="81"/>
      <c r="BG60" s="81"/>
      <c r="BH60" s="81"/>
      <c r="BI60" s="81"/>
      <c r="BJ60" s="81"/>
      <c r="BK60" s="81"/>
      <c r="BL60" s="81"/>
      <c r="BM60" s="81">
        <f t="shared" si="3"/>
        <v>765</v>
      </c>
      <c r="BN60" s="66"/>
      <c r="BO60" s="66"/>
      <c r="BP60" s="66"/>
      <c r="BQ60" s="66" t="str">
        <f>PROPER(TEXT(Prog_23[[#This Row],[PROGRAMAÇÃO CLIENTE]],"mmm"))</f>
        <v>Jan</v>
      </c>
      <c r="BR60" s="66">
        <f>YEAR(Prog_23[[#This Row],[PROGRAMAÇÃO CLIENTE]])</f>
        <v>2023</v>
      </c>
    </row>
    <row r="61" spans="1:70" x14ac:dyDescent="0.25">
      <c r="A61" s="120" t="str">
        <f>Prog_23[[#This Row],[CONTEINER]]</f>
        <v>TCKU6634106</v>
      </c>
      <c r="B61" s="86"/>
      <c r="C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" s="85">
        <v>44956.458333333336</v>
      </c>
      <c r="E61" s="66" t="s">
        <v>353</v>
      </c>
      <c r="F61" s="66" t="s">
        <v>354</v>
      </c>
      <c r="G61" s="66">
        <v>8166437</v>
      </c>
      <c r="H61" s="44">
        <v>224401636</v>
      </c>
      <c r="I61" s="44" t="s">
        <v>3423</v>
      </c>
      <c r="J61" s="66" t="s">
        <v>301</v>
      </c>
      <c r="K61" s="66">
        <v>3700</v>
      </c>
      <c r="L61" s="66" t="s">
        <v>3424</v>
      </c>
      <c r="M61" s="66"/>
      <c r="N61" s="66">
        <f>SUM(Prog_23[[#This Row],[TARA]]+Prog_23[[#This Row],[PESO]])</f>
        <v>3700</v>
      </c>
      <c r="O61" s="44">
        <v>660214</v>
      </c>
      <c r="P61" s="66" t="s">
        <v>2904</v>
      </c>
      <c r="Q61" s="66" t="s">
        <v>2881</v>
      </c>
      <c r="R61" s="66" t="s">
        <v>2882</v>
      </c>
      <c r="S61" s="66" t="s">
        <v>2883</v>
      </c>
      <c r="T61" s="138" t="str">
        <f>IFERROR(LOOKUP($S61,MOTORISTAS!$D$3:$D$916,MOTORISTAS!E$3:$E$916),"")</f>
        <v>29740449808</v>
      </c>
      <c r="U61" s="138" t="str">
        <f>IFERROR(LOOKUP($S61,MOTORISTAS!$D$3:$D$916,MOTORISTAS!F$3:$F$916),"")</f>
        <v>00966188197</v>
      </c>
      <c r="V61" s="66" t="s">
        <v>292</v>
      </c>
      <c r="W61" s="79">
        <v>44954.436805555553</v>
      </c>
      <c r="X61" s="79"/>
      <c r="Y61" s="79"/>
      <c r="Z61" s="66" t="s">
        <v>306</v>
      </c>
      <c r="AA61" s="79">
        <v>44957.689583333333</v>
      </c>
      <c r="AB61" s="66" t="s">
        <v>2886</v>
      </c>
      <c r="AC61" s="79">
        <v>44959.5</v>
      </c>
      <c r="AD61" s="79">
        <v>44963.5</v>
      </c>
      <c r="AE61" s="66" t="s">
        <v>835</v>
      </c>
      <c r="AF61" s="44">
        <v>14978</v>
      </c>
      <c r="AG61" s="254">
        <f>Prog_23[[#This Row],[SAÍDA DO CLIENTE]]-Prog_23[[#This Row],[PROGRAMAÇÃO CLIENTE]]</f>
        <v>-44956.458333333336</v>
      </c>
      <c r="AH61" s="44"/>
      <c r="AI61" s="66"/>
      <c r="AJ61" s="66"/>
      <c r="AK61" s="66"/>
      <c r="AL61" s="66"/>
      <c r="AM61" s="66"/>
      <c r="AN61" s="83"/>
      <c r="AO61" s="83"/>
      <c r="AP61" s="83"/>
      <c r="AQ61" s="66"/>
      <c r="AR61" s="66"/>
      <c r="AS61" s="66"/>
      <c r="AT61" s="81"/>
      <c r="AU61" s="81"/>
      <c r="AV61" s="81"/>
      <c r="AW61" s="81"/>
      <c r="AX61" s="83">
        <f>SUM(Prog_23[[#This Row],[ADIANTAMENTO]]+Prog_23[[#This Row],[SALDO]]+Prog_23[[#This Row],[MARGEM]]+Prog_23[[#This Row],[ESTADIA 1]])</f>
        <v>0</v>
      </c>
      <c r="AY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5052.2591499999999</v>
      </c>
      <c r="AZ61" s="81">
        <v>3491.06</v>
      </c>
      <c r="BA61" s="81">
        <v>34799.15</v>
      </c>
      <c r="BB61" s="81">
        <f>Prog_23[[#This Row],[VLR NF]]*0.1%</f>
        <v>34.799150000000004</v>
      </c>
      <c r="BC61" s="81">
        <v>0</v>
      </c>
      <c r="BD61" s="81">
        <v>761.4</v>
      </c>
      <c r="BE61" s="81"/>
      <c r="BF61" s="81"/>
      <c r="BG61" s="81"/>
      <c r="BH61" s="81"/>
      <c r="BI61" s="81"/>
      <c r="BJ61" s="81"/>
      <c r="BK61" s="81"/>
      <c r="BL61" s="81"/>
      <c r="BM61" s="81">
        <f t="shared" si="3"/>
        <v>765</v>
      </c>
      <c r="BN61" s="66"/>
      <c r="BO61" s="66"/>
      <c r="BP61" s="66"/>
      <c r="BQ61" s="66" t="str">
        <f>PROPER(TEXT(Prog_23[[#This Row],[PROGRAMAÇÃO CLIENTE]],"mmm"))</f>
        <v>Jan</v>
      </c>
      <c r="BR61" s="66">
        <f>YEAR(Prog_23[[#This Row],[PROGRAMAÇÃO CLIENTE]])</f>
        <v>2023</v>
      </c>
    </row>
    <row r="62" spans="1:70" x14ac:dyDescent="0.25">
      <c r="A62" s="120" t="str">
        <f>Prog_23[[#This Row],[CONTEINER]]</f>
        <v>TCNU1474798</v>
      </c>
      <c r="B62" s="86"/>
      <c r="C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" s="85">
        <v>44956.458333333336</v>
      </c>
      <c r="E62" s="66" t="s">
        <v>353</v>
      </c>
      <c r="F62" s="66" t="s">
        <v>354</v>
      </c>
      <c r="G62" s="66">
        <v>8166437</v>
      </c>
      <c r="H62" s="44">
        <v>224401636</v>
      </c>
      <c r="I62" s="44" t="s">
        <v>3425</v>
      </c>
      <c r="J62" s="66" t="s">
        <v>301</v>
      </c>
      <c r="K62" s="66">
        <v>3700</v>
      </c>
      <c r="L62" s="66" t="s">
        <v>3426</v>
      </c>
      <c r="M62" s="66"/>
      <c r="N62" s="66">
        <f>SUM(Prog_23[[#This Row],[TARA]]+Prog_23[[#This Row],[PESO]])</f>
        <v>3700</v>
      </c>
      <c r="O62" s="44">
        <v>660086</v>
      </c>
      <c r="P62" s="66" t="s">
        <v>2904</v>
      </c>
      <c r="Q62" s="66" t="s">
        <v>2881</v>
      </c>
      <c r="R62" s="66" t="s">
        <v>2884</v>
      </c>
      <c r="S62" s="66" t="s">
        <v>2883</v>
      </c>
      <c r="T62" s="138" t="str">
        <f>IFERROR(LOOKUP($S62,MOTORISTAS!$D$3:$D$916,MOTORISTAS!E$3:$E$916),"")</f>
        <v>29740449808</v>
      </c>
      <c r="U62" s="138" t="str">
        <f>IFERROR(LOOKUP($S62,MOTORISTAS!$D$3:$D$916,MOTORISTAS!F$3:$F$916),"")</f>
        <v>00966188197</v>
      </c>
      <c r="V62" s="66" t="s">
        <v>292</v>
      </c>
      <c r="W62" s="79">
        <v>44954.000694444447</v>
      </c>
      <c r="X62" s="79"/>
      <c r="Y62" s="79"/>
      <c r="Z62" s="66" t="s">
        <v>306</v>
      </c>
      <c r="AA62" s="79" t="s">
        <v>3541</v>
      </c>
      <c r="AB62" s="66" t="s">
        <v>2886</v>
      </c>
      <c r="AC62" s="79">
        <v>44959.5</v>
      </c>
      <c r="AD62" s="79">
        <v>44963.5</v>
      </c>
      <c r="AE62" s="66" t="s">
        <v>835</v>
      </c>
      <c r="AF62" s="44">
        <v>14980</v>
      </c>
      <c r="AG62" s="254">
        <f>Prog_23[[#This Row],[SAÍDA DO CLIENTE]]-Prog_23[[#This Row],[PROGRAMAÇÃO CLIENTE]]</f>
        <v>-44956.458333333336</v>
      </c>
      <c r="AH62" s="44"/>
      <c r="AI62" s="66"/>
      <c r="AJ62" s="66"/>
      <c r="AK62" s="66"/>
      <c r="AL62" s="66"/>
      <c r="AM62" s="66"/>
      <c r="AN62" s="83"/>
      <c r="AO62" s="83"/>
      <c r="AP62" s="83"/>
      <c r="AQ62" s="66"/>
      <c r="AR62" s="66"/>
      <c r="AS62" s="66"/>
      <c r="AT62" s="81"/>
      <c r="AU62" s="81"/>
      <c r="AV62" s="81"/>
      <c r="AW62" s="81"/>
      <c r="AX62" s="83">
        <f>SUM(Prog_23[[#This Row],[ADIANTAMENTO]]+Prog_23[[#This Row],[SALDO]]+Prog_23[[#This Row],[MARGEM]]+Prog_23[[#This Row],[ESTADIA 1]])</f>
        <v>0</v>
      </c>
      <c r="AY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5052.2591499999999</v>
      </c>
      <c r="AZ62" s="81">
        <v>3491.06</v>
      </c>
      <c r="BA62" s="81">
        <v>34799.15</v>
      </c>
      <c r="BB62" s="81">
        <f>Prog_23[[#This Row],[VLR NF]]*0.1%</f>
        <v>34.799150000000004</v>
      </c>
      <c r="BC62" s="81">
        <v>0</v>
      </c>
      <c r="BD62" s="81">
        <v>761.4</v>
      </c>
      <c r="BE62" s="81"/>
      <c r="BF62" s="81"/>
      <c r="BG62" s="81"/>
      <c r="BH62" s="81"/>
      <c r="BI62" s="81"/>
      <c r="BJ62" s="81"/>
      <c r="BK62" s="81"/>
      <c r="BL62" s="81"/>
      <c r="BM62" s="81">
        <f t="shared" si="3"/>
        <v>765</v>
      </c>
      <c r="BN62" s="66"/>
      <c r="BO62" s="66"/>
      <c r="BP62" s="66"/>
      <c r="BQ62" s="66" t="str">
        <f>PROPER(TEXT(Prog_23[[#This Row],[PROGRAMAÇÃO CLIENTE]],"mmm"))</f>
        <v>Jan</v>
      </c>
      <c r="BR62" s="66">
        <f>YEAR(Prog_23[[#This Row],[PROGRAMAÇÃO CLIENTE]])</f>
        <v>2023</v>
      </c>
    </row>
    <row r="63" spans="1:70" x14ac:dyDescent="0.25">
      <c r="A63" s="120" t="str">
        <f>Prog_23[[#This Row],[CONTEINER]]</f>
        <v>MSKU1208735</v>
      </c>
      <c r="B63" s="86"/>
      <c r="C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" s="85">
        <v>44956.458333333336</v>
      </c>
      <c r="E63" s="66" t="s">
        <v>353</v>
      </c>
      <c r="F63" s="66" t="s">
        <v>354</v>
      </c>
      <c r="G63" s="66">
        <v>8166437</v>
      </c>
      <c r="H63" s="44">
        <v>224401636</v>
      </c>
      <c r="I63" s="44" t="s">
        <v>3427</v>
      </c>
      <c r="J63" s="66" t="s">
        <v>301</v>
      </c>
      <c r="K63" s="66">
        <v>3790</v>
      </c>
      <c r="L63" s="66" t="s">
        <v>3428</v>
      </c>
      <c r="M63" s="66"/>
      <c r="N63" s="66">
        <f>SUM(Prog_23[[#This Row],[TARA]]+Prog_23[[#This Row],[PESO]])</f>
        <v>3790</v>
      </c>
      <c r="O63" s="44">
        <v>660156</v>
      </c>
      <c r="P63" s="66" t="s">
        <v>2904</v>
      </c>
      <c r="Q63" s="66" t="s">
        <v>2877</v>
      </c>
      <c r="R63" s="66" t="s">
        <v>2878</v>
      </c>
      <c r="S63" s="66" t="s">
        <v>2917</v>
      </c>
      <c r="T63" s="138" t="str">
        <f>IFERROR(LOOKUP($S63,MOTORISTAS!$D$3:$D$916,MOTORISTAS!E$3:$E$916),"")</f>
        <v>31066093890</v>
      </c>
      <c r="U63" s="138" t="str">
        <f>IFERROR(LOOKUP($S63,MOTORISTAS!$D$3:$D$916,MOTORISTAS!F$3:$F$916),"")</f>
        <v>01819349701</v>
      </c>
      <c r="V63" s="66" t="s">
        <v>292</v>
      </c>
      <c r="W63" s="79">
        <v>44954.534722222219</v>
      </c>
      <c r="X63" s="79"/>
      <c r="Y63" s="79"/>
      <c r="Z63" s="66" t="s">
        <v>306</v>
      </c>
      <c r="AA63" s="79">
        <v>44957.69027777778</v>
      </c>
      <c r="AB63" s="66" t="s">
        <v>2886</v>
      </c>
      <c r="AC63" s="79">
        <v>44959.5</v>
      </c>
      <c r="AD63" s="79">
        <v>44963.5</v>
      </c>
      <c r="AE63" s="66" t="s">
        <v>835</v>
      </c>
      <c r="AF63" s="44">
        <v>14981</v>
      </c>
      <c r="AG63" s="254">
        <f>Prog_23[[#This Row],[SAÍDA DO CLIENTE]]-Prog_23[[#This Row],[PROGRAMAÇÃO CLIENTE]]</f>
        <v>-44956.458333333336</v>
      </c>
      <c r="AH63" s="44"/>
      <c r="AI63" s="66"/>
      <c r="AJ63" s="66"/>
      <c r="AK63" s="66"/>
      <c r="AL63" s="66"/>
      <c r="AM63" s="66"/>
      <c r="AN63" s="83"/>
      <c r="AO63" s="83"/>
      <c r="AP63" s="83"/>
      <c r="AQ63" s="66"/>
      <c r="AR63" s="66"/>
      <c r="AS63" s="66"/>
      <c r="AT63" s="81"/>
      <c r="AU63" s="81"/>
      <c r="AV63" s="81"/>
      <c r="AW63" s="81"/>
      <c r="AX63" s="83">
        <f>SUM(Prog_23[[#This Row],[ADIANTAMENTO]]+Prog_23[[#This Row],[SALDO]]+Prog_23[[#This Row],[MARGEM]]+Prog_23[[#This Row],[ESTADIA 1]])</f>
        <v>0</v>
      </c>
      <c r="AY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5052.2591499999999</v>
      </c>
      <c r="AZ63" s="81">
        <v>3491.06</v>
      </c>
      <c r="BA63" s="81">
        <v>34799.15</v>
      </c>
      <c r="BB63" s="81">
        <f>Prog_23[[#This Row],[VLR NF]]*0.1%</f>
        <v>34.799150000000004</v>
      </c>
      <c r="BC63" s="81">
        <v>0</v>
      </c>
      <c r="BD63" s="81">
        <v>761.4</v>
      </c>
      <c r="BE63" s="81"/>
      <c r="BF63" s="81"/>
      <c r="BG63" s="81"/>
      <c r="BH63" s="81"/>
      <c r="BI63" s="81"/>
      <c r="BJ63" s="81"/>
      <c r="BK63" s="81"/>
      <c r="BL63" s="81"/>
      <c r="BM63" s="81">
        <f t="shared" si="3"/>
        <v>765</v>
      </c>
      <c r="BN63" s="66"/>
      <c r="BO63" s="66"/>
      <c r="BP63" s="66"/>
      <c r="BQ63" s="66" t="str">
        <f>PROPER(TEXT(Prog_23[[#This Row],[PROGRAMAÇÃO CLIENTE]],"mmm"))</f>
        <v>Jan</v>
      </c>
      <c r="BR63" s="66">
        <f>YEAR(Prog_23[[#This Row],[PROGRAMAÇÃO CLIENTE]])</f>
        <v>2023</v>
      </c>
    </row>
    <row r="64" spans="1:70" x14ac:dyDescent="0.25">
      <c r="A64" s="120" t="str">
        <f>Prog_23[[#This Row],[CONTEINER]]</f>
        <v>TGBU6664574</v>
      </c>
      <c r="B64" s="86"/>
      <c r="C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" s="85">
        <v>44956.458333333336</v>
      </c>
      <c r="E64" s="66" t="s">
        <v>353</v>
      </c>
      <c r="F64" s="66" t="s">
        <v>354</v>
      </c>
      <c r="G64" s="66">
        <v>8166437</v>
      </c>
      <c r="H64" s="44">
        <v>224401636</v>
      </c>
      <c r="I64" s="44" t="s">
        <v>3429</v>
      </c>
      <c r="J64" s="66" t="s">
        <v>301</v>
      </c>
      <c r="K64" s="66">
        <v>3700</v>
      </c>
      <c r="L64" s="66" t="s">
        <v>3430</v>
      </c>
      <c r="M64" s="66"/>
      <c r="N64" s="66">
        <f>SUM(Prog_23[[#This Row],[TARA]]+Prog_23[[#This Row],[PESO]])</f>
        <v>3700</v>
      </c>
      <c r="O64" s="44">
        <v>660056</v>
      </c>
      <c r="P64" s="66" t="s">
        <v>2904</v>
      </c>
      <c r="Q64" s="66" t="s">
        <v>2879</v>
      </c>
      <c r="R64" s="66" t="s">
        <v>2880</v>
      </c>
      <c r="S64" s="66" t="s">
        <v>2917</v>
      </c>
      <c r="T64" s="138" t="str">
        <f>IFERROR(LOOKUP($S64,MOTORISTAS!$D$3:$D$916,MOTORISTAS!E$3:$E$916),"")</f>
        <v>31066093890</v>
      </c>
      <c r="U64" s="138" t="str">
        <f>IFERROR(LOOKUP($S64,MOTORISTAS!$D$3:$D$916,MOTORISTAS!F$3:$F$916),"")</f>
        <v>01819349701</v>
      </c>
      <c r="V64" s="66" t="s">
        <v>292</v>
      </c>
      <c r="W64" s="79">
        <v>44954.000694444447</v>
      </c>
      <c r="X64" s="79"/>
      <c r="Y64" s="79"/>
      <c r="Z64" s="66" t="s">
        <v>306</v>
      </c>
      <c r="AA64" s="79">
        <v>44957.699305555558</v>
      </c>
      <c r="AB64" s="66" t="s">
        <v>2886</v>
      </c>
      <c r="AC64" s="79">
        <v>44959.5</v>
      </c>
      <c r="AD64" s="79">
        <v>44963.5</v>
      </c>
      <c r="AE64" s="66" t="s">
        <v>835</v>
      </c>
      <c r="AF64" s="44">
        <v>14982</v>
      </c>
      <c r="AG64" s="254">
        <f>Prog_23[[#This Row],[SAÍDA DO CLIENTE]]-Prog_23[[#This Row],[PROGRAMAÇÃO CLIENTE]]</f>
        <v>-44956.458333333336</v>
      </c>
      <c r="AH64" s="44"/>
      <c r="AI64" s="66"/>
      <c r="AJ64" s="66"/>
      <c r="AK64" s="66"/>
      <c r="AL64" s="66"/>
      <c r="AM64" s="66"/>
      <c r="AN64" s="83"/>
      <c r="AO64" s="83"/>
      <c r="AP64" s="83"/>
      <c r="AQ64" s="66"/>
      <c r="AR64" s="66"/>
      <c r="AS64" s="66"/>
      <c r="AT64" s="81"/>
      <c r="AU64" s="81"/>
      <c r="AV64" s="81"/>
      <c r="AW64" s="81"/>
      <c r="AX64" s="83">
        <f>SUM(Prog_23[[#This Row],[ADIANTAMENTO]]+Prog_23[[#This Row],[SALDO]]+Prog_23[[#This Row],[MARGEM]]+Prog_23[[#This Row],[ESTADIA 1]])</f>
        <v>0</v>
      </c>
      <c r="AY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5052.2591499999999</v>
      </c>
      <c r="AZ64" s="81">
        <v>3491.06</v>
      </c>
      <c r="BA64" s="81">
        <v>34799.15</v>
      </c>
      <c r="BB64" s="81">
        <f>Prog_23[[#This Row],[VLR NF]]*0.1%</f>
        <v>34.799150000000004</v>
      </c>
      <c r="BC64" s="81">
        <v>0</v>
      </c>
      <c r="BD64" s="81">
        <v>761.4</v>
      </c>
      <c r="BE64" s="81"/>
      <c r="BF64" s="81"/>
      <c r="BG64" s="81"/>
      <c r="BH64" s="81"/>
      <c r="BI64" s="81"/>
      <c r="BJ64" s="81"/>
      <c r="BK64" s="81"/>
      <c r="BL64" s="81"/>
      <c r="BM64" s="81">
        <f t="shared" si="3"/>
        <v>765</v>
      </c>
      <c r="BN64" s="66"/>
      <c r="BO64" s="66"/>
      <c r="BP64" s="66"/>
      <c r="BQ64" s="66" t="str">
        <f>PROPER(TEXT(Prog_23[[#This Row],[PROGRAMAÇÃO CLIENTE]],"mmm"))</f>
        <v>Jan</v>
      </c>
      <c r="BR64" s="66">
        <f>YEAR(Prog_23[[#This Row],[PROGRAMAÇÃO CLIENTE]])</f>
        <v>2023</v>
      </c>
    </row>
    <row r="65" spans="1:70" x14ac:dyDescent="0.25">
      <c r="A65" s="120" t="str">
        <f>Prog_23[[#This Row],[CONTEINER]]</f>
        <v>CAAU5276618</v>
      </c>
      <c r="B65" s="86"/>
      <c r="C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" s="85">
        <v>44956.458333333336</v>
      </c>
      <c r="E65" s="66" t="s">
        <v>353</v>
      </c>
      <c r="F65" s="66" t="s">
        <v>354</v>
      </c>
      <c r="G65" s="66">
        <v>8166437</v>
      </c>
      <c r="H65" s="44">
        <v>224401636</v>
      </c>
      <c r="I65" s="44" t="s">
        <v>3431</v>
      </c>
      <c r="J65" s="66" t="s">
        <v>301</v>
      </c>
      <c r="K65" s="66">
        <v>3700</v>
      </c>
      <c r="L65" s="66" t="s">
        <v>3432</v>
      </c>
      <c r="M65" s="66"/>
      <c r="N65" s="66">
        <f>SUM(Prog_23[[#This Row],[TARA]]+Prog_23[[#This Row],[PESO]])</f>
        <v>3700</v>
      </c>
      <c r="O65" s="44">
        <v>660039</v>
      </c>
      <c r="P65" s="66" t="s">
        <v>2904</v>
      </c>
      <c r="Q65" s="66" t="s">
        <v>92</v>
      </c>
      <c r="R65" s="66" t="s">
        <v>93</v>
      </c>
      <c r="S65" s="66" t="s">
        <v>94</v>
      </c>
      <c r="T65" s="138" t="str">
        <f>IFERROR(LOOKUP($S65,MOTORISTAS!$D$3:$D$916,MOTORISTAS!E$3:$E$916),"")</f>
        <v>26283419801</v>
      </c>
      <c r="U65" s="138" t="str">
        <f>IFERROR(LOOKUP($S65,MOTORISTAS!$D$3:$D$916,MOTORISTAS!F$3:$F$916),"")</f>
        <v>02002046946</v>
      </c>
      <c r="V65" s="66" t="s">
        <v>292</v>
      </c>
      <c r="W65" s="79">
        <v>44954.325694444444</v>
      </c>
      <c r="X65" s="79"/>
      <c r="Y65" s="79"/>
      <c r="Z65" s="66" t="s">
        <v>306</v>
      </c>
      <c r="AA65" s="79">
        <v>44956.743750000001</v>
      </c>
      <c r="AB65" s="66" t="s">
        <v>2886</v>
      </c>
      <c r="AC65" s="79">
        <v>44959.5</v>
      </c>
      <c r="AD65" s="79">
        <v>44963.5</v>
      </c>
      <c r="AE65" s="66" t="s">
        <v>835</v>
      </c>
      <c r="AF65" s="44">
        <v>14970</v>
      </c>
      <c r="AG65" s="254">
        <f>Prog_23[[#This Row],[SAÍDA DO CLIENTE]]-Prog_23[[#This Row],[PROGRAMAÇÃO CLIENTE]]</f>
        <v>-44956.458333333336</v>
      </c>
      <c r="AH65" s="44"/>
      <c r="AI65" s="66"/>
      <c r="AJ65" s="66"/>
      <c r="AK65" s="66"/>
      <c r="AL65" s="66"/>
      <c r="AM65" s="66"/>
      <c r="AN65" s="83"/>
      <c r="AO65" s="83"/>
      <c r="AP65" s="83"/>
      <c r="AQ65" s="66"/>
      <c r="AR65" s="66"/>
      <c r="AS65" s="66"/>
      <c r="AT65" s="81"/>
      <c r="AU65" s="81"/>
      <c r="AV65" s="81"/>
      <c r="AW65" s="81"/>
      <c r="AX65" s="83">
        <f>SUM(Prog_23[[#This Row],[ADIANTAMENTO]]+Prog_23[[#This Row],[SALDO]]+Prog_23[[#This Row],[MARGEM]]+Prog_23[[#This Row],[ESTADIA 1]])</f>
        <v>0</v>
      </c>
      <c r="AY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5052.2591499999999</v>
      </c>
      <c r="AZ65" s="81">
        <v>3491.06</v>
      </c>
      <c r="BA65" s="81">
        <v>34799.15</v>
      </c>
      <c r="BB65" s="81">
        <f>Prog_23[[#This Row],[VLR NF]]*0.1%</f>
        <v>34.799150000000004</v>
      </c>
      <c r="BC65" s="81">
        <v>0</v>
      </c>
      <c r="BD65" s="81">
        <v>761.4</v>
      </c>
      <c r="BE65" s="81"/>
      <c r="BF65" s="81"/>
      <c r="BG65" s="81"/>
      <c r="BH65" s="81"/>
      <c r="BI65" s="81"/>
      <c r="BJ65" s="81"/>
      <c r="BK65" s="81"/>
      <c r="BL65" s="81"/>
      <c r="BM65" s="81">
        <f t="shared" si="3"/>
        <v>765</v>
      </c>
      <c r="BN65" s="66"/>
      <c r="BO65" s="66"/>
      <c r="BP65" s="66"/>
      <c r="BQ65" s="66" t="str">
        <f>PROPER(TEXT(Prog_23[[#This Row],[PROGRAMAÇÃO CLIENTE]],"mmm"))</f>
        <v>Jan</v>
      </c>
      <c r="BR65" s="66">
        <f>YEAR(Prog_23[[#This Row],[PROGRAMAÇÃO CLIENTE]])</f>
        <v>2023</v>
      </c>
    </row>
    <row r="66" spans="1:70" x14ac:dyDescent="0.25">
      <c r="A66" s="120" t="str">
        <f>Prog_23[[#This Row],[CONTEINER]]</f>
        <v>MRKU2897489</v>
      </c>
      <c r="B66" s="86" t="s">
        <v>2771</v>
      </c>
      <c r="C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66" s="85">
        <v>44957.458333333336</v>
      </c>
      <c r="E66" s="66" t="s">
        <v>353</v>
      </c>
      <c r="F66" s="66" t="s">
        <v>354</v>
      </c>
      <c r="G66" s="66">
        <v>8855398</v>
      </c>
      <c r="H66" s="44" t="s">
        <v>2918</v>
      </c>
      <c r="I66" s="44" t="s">
        <v>2924</v>
      </c>
      <c r="J66" s="66" t="s">
        <v>301</v>
      </c>
      <c r="K66" s="66">
        <v>3790</v>
      </c>
      <c r="L66" s="66" t="s">
        <v>2919</v>
      </c>
      <c r="M66" s="66">
        <v>25521</v>
      </c>
      <c r="N66" s="66">
        <f>SUM(Prog_23[[#This Row],[TARA]]+Prog_23[[#This Row],[PESO]])</f>
        <v>29311</v>
      </c>
      <c r="O66" s="44">
        <v>660523</v>
      </c>
      <c r="P66" s="66" t="s">
        <v>2904</v>
      </c>
      <c r="Q66" s="66" t="s">
        <v>87</v>
      </c>
      <c r="R66" s="66" t="s">
        <v>88</v>
      </c>
      <c r="S66" s="66" t="s">
        <v>2678</v>
      </c>
      <c r="T66" s="138" t="str">
        <f>IFERROR(LOOKUP($S66,MOTORISTAS!$D$3:$D$916,MOTORISTAS!E$3:$E$916),"")</f>
        <v>28386357860</v>
      </c>
      <c r="U66" s="138" t="str">
        <f>IFERROR(LOOKUP($S66,MOTORISTAS!$D$3:$D$916,MOTORISTAS!F$3:$F$916),"")</f>
        <v>01042201192</v>
      </c>
      <c r="V66" s="66" t="s">
        <v>526</v>
      </c>
      <c r="W66" s="79">
        <v>44956.833333333336</v>
      </c>
      <c r="X66" s="79">
        <v>44957.291666666664</v>
      </c>
      <c r="Y66" s="79">
        <v>44957.5</v>
      </c>
      <c r="Z66" s="66" t="s">
        <v>306</v>
      </c>
      <c r="AA66" s="79">
        <v>44957.921527777777</v>
      </c>
      <c r="AB66" s="66" t="s">
        <v>2886</v>
      </c>
      <c r="AC66" s="79">
        <v>44959.5</v>
      </c>
      <c r="AD66" s="79">
        <v>44960.5</v>
      </c>
      <c r="AE66" s="66" t="s">
        <v>1734</v>
      </c>
      <c r="AF66" s="44">
        <v>14988</v>
      </c>
      <c r="AG66" s="254">
        <f>Prog_23[[#This Row],[SAÍDA DO CLIENTE]]-Prog_23[[#This Row],[PROGRAMAÇÃO CLIENTE]]</f>
        <v>4.1666666664241347E-2</v>
      </c>
      <c r="AH66" s="44"/>
      <c r="AI66" s="66"/>
      <c r="AJ66" s="66"/>
      <c r="AK66" s="66"/>
      <c r="AL66" s="66"/>
      <c r="AM66" s="66"/>
      <c r="AN66" s="83"/>
      <c r="AO66" s="83"/>
      <c r="AP66" s="83"/>
      <c r="AQ66" s="66"/>
      <c r="AR66" s="66"/>
      <c r="AS66" s="66"/>
      <c r="AT66" s="81"/>
      <c r="AU66" s="81"/>
      <c r="AV66" s="81"/>
      <c r="AW66" s="81"/>
      <c r="AX66" s="83">
        <f>SUM(Prog_23[[#This Row],[ADIANTAMENTO]]+Prog_23[[#This Row],[SALDO]]+Prog_23[[#This Row],[MARGEM]]+Prog_23[[#This Row],[ESTADIA 1]])</f>
        <v>0</v>
      </c>
      <c r="AY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4293.5703100000001</v>
      </c>
      <c r="AZ66" s="81">
        <v>3491.06</v>
      </c>
      <c r="BA66" s="81">
        <v>41110.31</v>
      </c>
      <c r="BB66" s="81">
        <f>Prog_23[[#This Row],[VLR NF]]*0.1%</f>
        <v>41.110309999999998</v>
      </c>
      <c r="BC66" s="81">
        <v>0</v>
      </c>
      <c r="BD66" s="81">
        <v>761.4</v>
      </c>
      <c r="BE66" s="81"/>
      <c r="BF66" s="81"/>
      <c r="BG66" s="81"/>
      <c r="BH66" s="81"/>
      <c r="BI66" s="81"/>
      <c r="BJ66" s="81"/>
      <c r="BK66" s="81"/>
      <c r="BL66" s="81"/>
      <c r="BM66" s="81"/>
      <c r="BN66" s="66" t="s">
        <v>2768</v>
      </c>
      <c r="BO66" s="66"/>
      <c r="BP66" s="66"/>
      <c r="BQ66" s="66" t="str">
        <f>PROPER(TEXT(Prog_23[[#This Row],[PROGRAMAÇÃO CLIENTE]],"mmm"))</f>
        <v>Jan</v>
      </c>
      <c r="BR66" s="66">
        <f>YEAR(Prog_23[[#This Row],[PROGRAMAÇÃO CLIENTE]])</f>
        <v>2023</v>
      </c>
    </row>
    <row r="67" spans="1:70" x14ac:dyDescent="0.25">
      <c r="A67" s="120" t="str">
        <f>Prog_23[[#This Row],[CONTEINER]]</f>
        <v>TCLU5648308</v>
      </c>
      <c r="B67" s="86" t="s">
        <v>2771</v>
      </c>
      <c r="C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67" s="85">
        <v>44957.458333333336</v>
      </c>
      <c r="E67" s="66" t="s">
        <v>353</v>
      </c>
      <c r="F67" s="66" t="s">
        <v>354</v>
      </c>
      <c r="G67" s="66">
        <v>8855398</v>
      </c>
      <c r="H67" s="44" t="s">
        <v>2918</v>
      </c>
      <c r="I67" s="44" t="s">
        <v>2925</v>
      </c>
      <c r="J67" s="66" t="s">
        <v>301</v>
      </c>
      <c r="K67" s="66">
        <v>3840</v>
      </c>
      <c r="L67" s="66" t="s">
        <v>2920</v>
      </c>
      <c r="M67" s="66">
        <v>25521</v>
      </c>
      <c r="N67" s="66">
        <f>SUM(Prog_23[[#This Row],[TARA]]+Prog_23[[#This Row],[PESO]])</f>
        <v>29361</v>
      </c>
      <c r="O67" s="44">
        <v>660516</v>
      </c>
      <c r="P67" s="66" t="s">
        <v>2904</v>
      </c>
      <c r="Q67" s="66" t="s">
        <v>1961</v>
      </c>
      <c r="R67" s="66" t="s">
        <v>1962</v>
      </c>
      <c r="S67" s="66" t="s">
        <v>1482</v>
      </c>
      <c r="T67" s="138" t="str">
        <f>IFERROR(LOOKUP($S67,MOTORISTAS!$D$3:$D$916,MOTORISTAS!E$3:$E$916),"")</f>
        <v>38329597857</v>
      </c>
      <c r="U67" s="138" t="str">
        <f>IFERROR(LOOKUP($S67,MOTORISTAS!$D$3:$D$916,MOTORISTAS!F$3:$F$916),"")</f>
        <v>04956762510</v>
      </c>
      <c r="V67" s="66" t="s">
        <v>526</v>
      </c>
      <c r="W67" s="79">
        <v>44956.765972222223</v>
      </c>
      <c r="X67" s="79">
        <v>44957.291666666664</v>
      </c>
      <c r="Y67" s="79">
        <v>44957.5</v>
      </c>
      <c r="Z67" s="66" t="s">
        <v>306</v>
      </c>
      <c r="AA67" s="79">
        <v>44957.8</v>
      </c>
      <c r="AB67" s="66" t="s">
        <v>2886</v>
      </c>
      <c r="AC67" s="79">
        <v>44959.5</v>
      </c>
      <c r="AD67" s="79">
        <v>44960.5</v>
      </c>
      <c r="AE67" s="66" t="s">
        <v>1734</v>
      </c>
      <c r="AF67" s="44">
        <v>14985</v>
      </c>
      <c r="AG67" s="254">
        <f>Prog_23[[#This Row],[SAÍDA DO CLIENTE]]-Prog_23[[#This Row],[PROGRAMAÇÃO CLIENTE]]</f>
        <v>4.1666666664241347E-2</v>
      </c>
      <c r="AH67" s="44"/>
      <c r="AI67" s="66"/>
      <c r="AJ67" s="66"/>
      <c r="AK67" s="66"/>
      <c r="AL67" s="66"/>
      <c r="AM67" s="66"/>
      <c r="AN67" s="83"/>
      <c r="AO67" s="83"/>
      <c r="AP67" s="83"/>
      <c r="AQ67" s="66"/>
      <c r="AR67" s="66"/>
      <c r="AS67" s="66"/>
      <c r="AT67" s="81"/>
      <c r="AU67" s="81"/>
      <c r="AV67" s="81"/>
      <c r="AW67" s="81"/>
      <c r="AX67" s="83">
        <f>SUM(Prog_23[[#This Row],[ADIANTAMENTO]]+Prog_23[[#This Row],[SALDO]]+Prog_23[[#This Row],[MARGEM]]+Prog_23[[#This Row],[ESTADIA 1]])</f>
        <v>0</v>
      </c>
      <c r="AY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4293.5703100000001</v>
      </c>
      <c r="AZ67" s="81">
        <v>3491.06</v>
      </c>
      <c r="BA67" s="81">
        <v>41110.31</v>
      </c>
      <c r="BB67" s="81">
        <f>Prog_23[[#This Row],[VLR NF]]*0.1%</f>
        <v>41.110309999999998</v>
      </c>
      <c r="BC67" s="81">
        <v>0</v>
      </c>
      <c r="BD67" s="81">
        <v>761.4</v>
      </c>
      <c r="BE67" s="81"/>
      <c r="BF67" s="81"/>
      <c r="BG67" s="81"/>
      <c r="BH67" s="81"/>
      <c r="BI67" s="81"/>
      <c r="BJ67" s="81"/>
      <c r="BK67" s="81"/>
      <c r="BL67" s="81"/>
      <c r="BM67" s="81"/>
      <c r="BN67" s="66" t="s">
        <v>2768</v>
      </c>
      <c r="BO67" s="66"/>
      <c r="BP67" s="66"/>
      <c r="BQ67" s="66" t="str">
        <f>PROPER(TEXT(Prog_23[[#This Row],[PROGRAMAÇÃO CLIENTE]],"mmm"))</f>
        <v>Jan</v>
      </c>
      <c r="BR67" s="66">
        <f>YEAR(Prog_23[[#This Row],[PROGRAMAÇÃO CLIENTE]])</f>
        <v>2023</v>
      </c>
    </row>
    <row r="68" spans="1:70" x14ac:dyDescent="0.25">
      <c r="A68" s="120" t="str">
        <f>Prog_23[[#This Row],[CONTEINER]]</f>
        <v>TRHU4390375</v>
      </c>
      <c r="B68" s="86" t="s">
        <v>2771</v>
      </c>
      <c r="C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68" s="85">
        <v>44957.458333333336</v>
      </c>
      <c r="E68" s="66" t="s">
        <v>353</v>
      </c>
      <c r="F68" s="66" t="s">
        <v>354</v>
      </c>
      <c r="G68" s="66">
        <v>8855398</v>
      </c>
      <c r="H68" s="44" t="s">
        <v>2918</v>
      </c>
      <c r="I68" s="44" t="s">
        <v>2926</v>
      </c>
      <c r="J68" s="66" t="s">
        <v>301</v>
      </c>
      <c r="K68" s="66">
        <v>3700</v>
      </c>
      <c r="L68" s="66" t="s">
        <v>2921</v>
      </c>
      <c r="M68" s="66">
        <v>25521</v>
      </c>
      <c r="N68" s="66">
        <f>SUM(Prog_23[[#This Row],[TARA]]+Prog_23[[#This Row],[PESO]])</f>
        <v>29221</v>
      </c>
      <c r="O68" s="44">
        <v>660500</v>
      </c>
      <c r="P68" s="66" t="s">
        <v>2904</v>
      </c>
      <c r="Q68" s="66" t="s">
        <v>2389</v>
      </c>
      <c r="R68" s="66" t="s">
        <v>2390</v>
      </c>
      <c r="S68" s="66" t="s">
        <v>892</v>
      </c>
      <c r="T68" s="138" t="str">
        <f>IFERROR(LOOKUP($S68,MOTORISTAS!$D$3:$D$916,MOTORISTAS!E$3:$E$916),"")</f>
        <v>55283063968</v>
      </c>
      <c r="U68" s="138" t="str">
        <f>IFERROR(LOOKUP($S68,MOTORISTAS!$D$3:$D$916,MOTORISTAS!F$3:$F$916),"")</f>
        <v>02537032407</v>
      </c>
      <c r="V68" s="66" t="s">
        <v>526</v>
      </c>
      <c r="W68" s="79">
        <v>44956.833333333336</v>
      </c>
      <c r="X68" s="79">
        <v>44957.291666666664</v>
      </c>
      <c r="Y68" s="79">
        <v>44957.5</v>
      </c>
      <c r="Z68" s="66" t="s">
        <v>306</v>
      </c>
      <c r="AA68" s="79">
        <v>44957.801388888889</v>
      </c>
      <c r="AB68" s="66" t="s">
        <v>2886</v>
      </c>
      <c r="AC68" s="79">
        <v>44959.5</v>
      </c>
      <c r="AD68" s="79">
        <v>44960.5</v>
      </c>
      <c r="AE68" s="66" t="s">
        <v>1734</v>
      </c>
      <c r="AF68" s="44">
        <v>14986</v>
      </c>
      <c r="AG68" s="254">
        <f>Prog_23[[#This Row],[SAÍDA DO CLIENTE]]-Prog_23[[#This Row],[PROGRAMAÇÃO CLIENTE]]</f>
        <v>4.1666666664241347E-2</v>
      </c>
      <c r="AH68" s="44"/>
      <c r="AI68" s="66"/>
      <c r="AJ68" s="66"/>
      <c r="AK68" s="66"/>
      <c r="AL68" s="66"/>
      <c r="AM68" s="66"/>
      <c r="AN68" s="83"/>
      <c r="AO68" s="83"/>
      <c r="AP68" s="83"/>
      <c r="AQ68" s="66"/>
      <c r="AR68" s="66"/>
      <c r="AS68" s="66"/>
      <c r="AT68" s="81"/>
      <c r="AU68" s="81"/>
      <c r="AV68" s="81"/>
      <c r="AW68" s="81"/>
      <c r="AX68" s="83">
        <f>SUM(Prog_23[[#This Row],[ADIANTAMENTO]]+Prog_23[[#This Row],[SALDO]]+Prog_23[[#This Row],[MARGEM]]+Prog_23[[#This Row],[ESTADIA 1]])</f>
        <v>0</v>
      </c>
      <c r="AY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4293.5703100000001</v>
      </c>
      <c r="AZ68" s="81">
        <v>3491.06</v>
      </c>
      <c r="BA68" s="81">
        <v>41110.31</v>
      </c>
      <c r="BB68" s="81">
        <f>Prog_23[[#This Row],[VLR NF]]*0.1%</f>
        <v>41.110309999999998</v>
      </c>
      <c r="BC68" s="81">
        <v>0</v>
      </c>
      <c r="BD68" s="81">
        <v>761.4</v>
      </c>
      <c r="BE68" s="81"/>
      <c r="BF68" s="81"/>
      <c r="BG68" s="81"/>
      <c r="BH68" s="81"/>
      <c r="BI68" s="81"/>
      <c r="BJ68" s="81"/>
      <c r="BK68" s="81"/>
      <c r="BL68" s="81"/>
      <c r="BM68" s="81"/>
      <c r="BN68" s="66" t="s">
        <v>2768</v>
      </c>
      <c r="BO68" s="66"/>
      <c r="BP68" s="66"/>
      <c r="BQ68" s="66" t="str">
        <f>PROPER(TEXT(Prog_23[[#This Row],[PROGRAMAÇÃO CLIENTE]],"mmm"))</f>
        <v>Jan</v>
      </c>
      <c r="BR68" s="66">
        <f>YEAR(Prog_23[[#This Row],[PROGRAMAÇÃO CLIENTE]])</f>
        <v>2023</v>
      </c>
    </row>
    <row r="69" spans="1:70" x14ac:dyDescent="0.25">
      <c r="A69" s="120" t="str">
        <f>Prog_23[[#This Row],[CONTEINER]]</f>
        <v> MSKU8979879</v>
      </c>
      <c r="B69" s="86" t="s">
        <v>2771</v>
      </c>
      <c r="C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69" s="85">
        <v>44957.458333333336</v>
      </c>
      <c r="E69" s="66" t="s">
        <v>353</v>
      </c>
      <c r="F69" s="66" t="s">
        <v>354</v>
      </c>
      <c r="G69" s="66">
        <v>8855398</v>
      </c>
      <c r="H69" s="44" t="s">
        <v>2918</v>
      </c>
      <c r="I69" s="44" t="s">
        <v>2927</v>
      </c>
      <c r="J69" s="66" t="s">
        <v>301</v>
      </c>
      <c r="K69" s="66">
        <v>3880</v>
      </c>
      <c r="L69" s="66" t="s">
        <v>2922</v>
      </c>
      <c r="M69" s="66">
        <v>25521</v>
      </c>
      <c r="N69" s="66">
        <f>SUM(Prog_23[[#This Row],[TARA]]+Prog_23[[#This Row],[PESO]])</f>
        <v>29401</v>
      </c>
      <c r="O69" s="44">
        <v>660457</v>
      </c>
      <c r="P69" s="66" t="s">
        <v>2904</v>
      </c>
      <c r="Q69" s="66" t="s">
        <v>1888</v>
      </c>
      <c r="R69" s="66" t="s">
        <v>1889</v>
      </c>
      <c r="S69" s="66" t="s">
        <v>1890</v>
      </c>
      <c r="T69" s="138" t="str">
        <f>IFERROR(LOOKUP($S69,MOTORISTAS!$D$3:$D$916,MOTORISTAS!E$3:$E$916),"")</f>
        <v>24642512837</v>
      </c>
      <c r="U69" s="138" t="str">
        <f>IFERROR(LOOKUP($S69,MOTORISTAS!$D$3:$D$916,MOTORISTAS!F$3:$F$916),"")</f>
        <v>01595628251</v>
      </c>
      <c r="V69" s="66" t="s">
        <v>292</v>
      </c>
      <c r="W69" s="79">
        <v>44956.772916666669</v>
      </c>
      <c r="X69" s="79">
        <v>44957.291666666664</v>
      </c>
      <c r="Y69" s="79">
        <v>44957.5</v>
      </c>
      <c r="Z69" s="66" t="s">
        <v>306</v>
      </c>
      <c r="AA69" s="79">
        <v>44957.743750000001</v>
      </c>
      <c r="AB69" s="66" t="s">
        <v>2886</v>
      </c>
      <c r="AC69" s="79">
        <v>44959.5</v>
      </c>
      <c r="AD69" s="79">
        <v>44960.5</v>
      </c>
      <c r="AE69" s="66" t="s">
        <v>1734</v>
      </c>
      <c r="AF69" s="44">
        <v>14987</v>
      </c>
      <c r="AG69" s="254">
        <f>Prog_23[[#This Row],[SAÍDA DO CLIENTE]]-Prog_23[[#This Row],[PROGRAMAÇÃO CLIENTE]]</f>
        <v>4.1666666664241347E-2</v>
      </c>
      <c r="AH69" s="44"/>
      <c r="AI69" s="66"/>
      <c r="AJ69" s="66"/>
      <c r="AK69" s="66"/>
      <c r="AL69" s="66"/>
      <c r="AM69" s="66"/>
      <c r="AN69" s="83"/>
      <c r="AO69" s="83"/>
      <c r="AP69" s="83"/>
      <c r="AQ69" s="66"/>
      <c r="AR69" s="66"/>
      <c r="AS69" s="66"/>
      <c r="AT69" s="81"/>
      <c r="AU69" s="81"/>
      <c r="AV69" s="81"/>
      <c r="AW69" s="81"/>
      <c r="AX69" s="83">
        <f>SUM(Prog_23[[#This Row],[ADIANTAMENTO]]+Prog_23[[#This Row],[SALDO]]+Prog_23[[#This Row],[MARGEM]]+Prog_23[[#This Row],[ESTADIA 1]])</f>
        <v>0</v>
      </c>
      <c r="AY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4293.5703100000001</v>
      </c>
      <c r="AZ69" s="81">
        <v>3491.06</v>
      </c>
      <c r="BA69" s="81">
        <v>41110.31</v>
      </c>
      <c r="BB69" s="81">
        <f>Prog_23[[#This Row],[VLR NF]]*0.1%</f>
        <v>41.110309999999998</v>
      </c>
      <c r="BC69" s="81">
        <v>0</v>
      </c>
      <c r="BD69" s="81">
        <v>761.4</v>
      </c>
      <c r="BE69" s="81"/>
      <c r="BF69" s="81"/>
      <c r="BG69" s="81"/>
      <c r="BH69" s="81"/>
      <c r="BI69" s="81"/>
      <c r="BJ69" s="81"/>
      <c r="BK69" s="81"/>
      <c r="BL69" s="81"/>
      <c r="BM69" s="81"/>
      <c r="BN69" s="66" t="s">
        <v>2768</v>
      </c>
      <c r="BO69" s="66"/>
      <c r="BP69" s="66"/>
      <c r="BQ69" s="66" t="str">
        <f>PROPER(TEXT(Prog_23[[#This Row],[PROGRAMAÇÃO CLIENTE]],"mmm"))</f>
        <v>Jan</v>
      </c>
      <c r="BR69" s="66">
        <f>YEAR(Prog_23[[#This Row],[PROGRAMAÇÃO CLIENTE]])</f>
        <v>2023</v>
      </c>
    </row>
    <row r="70" spans="1:70" x14ac:dyDescent="0.25">
      <c r="A70" s="120" t="str">
        <f>Prog_23[[#This Row],[CONTEINER]]</f>
        <v>TRHU4960992 </v>
      </c>
      <c r="B70" s="86" t="s">
        <v>2771</v>
      </c>
      <c r="C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70" s="85">
        <v>44957.458333333336</v>
      </c>
      <c r="E70" s="66" t="s">
        <v>353</v>
      </c>
      <c r="F70" s="66" t="s">
        <v>354</v>
      </c>
      <c r="G70" s="66">
        <v>8855398</v>
      </c>
      <c r="H70" s="44" t="s">
        <v>2918</v>
      </c>
      <c r="I70" s="44" t="s">
        <v>2928</v>
      </c>
      <c r="J70" s="66" t="s">
        <v>301</v>
      </c>
      <c r="K70" s="66">
        <v>3700</v>
      </c>
      <c r="L70" s="66" t="s">
        <v>2923</v>
      </c>
      <c r="M70" s="66">
        <v>25521</v>
      </c>
      <c r="N70" s="66">
        <f>SUM(Prog_23[[#This Row],[TARA]]+Prog_23[[#This Row],[PESO]])</f>
        <v>29221</v>
      </c>
      <c r="O70" s="44">
        <v>660615</v>
      </c>
      <c r="P70" s="66" t="s">
        <v>2904</v>
      </c>
      <c r="Q70" s="66" t="s">
        <v>2929</v>
      </c>
      <c r="R70" s="66" t="s">
        <v>2930</v>
      </c>
      <c r="S70" s="66" t="s">
        <v>1384</v>
      </c>
      <c r="T70" s="138" t="str">
        <f>IFERROR(LOOKUP($S70,MOTORISTAS!$D$3:$D$916,MOTORISTAS!E$3:$E$916),"")</f>
        <v>37752335800</v>
      </c>
      <c r="U70" s="138" t="str">
        <f>IFERROR(LOOKUP($S70,MOTORISTAS!$D$3:$D$916,MOTORISTAS!F$3:$F$916),"")</f>
        <v>04031990855</v>
      </c>
      <c r="V70" s="66" t="s">
        <v>292</v>
      </c>
      <c r="W70" s="79">
        <v>44956.94027777778</v>
      </c>
      <c r="X70" s="79">
        <v>44957.375</v>
      </c>
      <c r="Y70" s="79">
        <v>44957.583333333336</v>
      </c>
      <c r="Z70" s="66" t="s">
        <v>306</v>
      </c>
      <c r="AA70" s="79">
        <v>44957.966666666667</v>
      </c>
      <c r="AB70" s="66" t="s">
        <v>2886</v>
      </c>
      <c r="AC70" s="79">
        <v>44959.5</v>
      </c>
      <c r="AD70" s="79">
        <v>44960.5</v>
      </c>
      <c r="AE70" s="66" t="s">
        <v>1734</v>
      </c>
      <c r="AF70" s="44" t="s">
        <v>2931</v>
      </c>
      <c r="AG70" s="254">
        <f>Prog_23[[#This Row],[SAÍDA DO CLIENTE]]-Prog_23[[#This Row],[PROGRAMAÇÃO CLIENTE]]</f>
        <v>0.125</v>
      </c>
      <c r="AH70" s="44"/>
      <c r="AI70" s="66"/>
      <c r="AJ70" s="66"/>
      <c r="AK70" s="66"/>
      <c r="AL70" s="66"/>
      <c r="AM70" s="66"/>
      <c r="AN70" s="83"/>
      <c r="AO70" s="83"/>
      <c r="AP70" s="83"/>
      <c r="AQ70" s="66"/>
      <c r="AR70" s="66"/>
      <c r="AS70" s="66"/>
      <c r="AT70" s="81"/>
      <c r="AU70" s="81"/>
      <c r="AV70" s="81"/>
      <c r="AW70" s="81"/>
      <c r="AX70" s="83">
        <f>SUM(Prog_23[[#This Row],[ADIANTAMENTO]]+Prog_23[[#This Row],[SALDO]]+Prog_23[[#This Row],[MARGEM]]+Prog_23[[#This Row],[ESTADIA 1]])</f>
        <v>0</v>
      </c>
      <c r="AY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4293.5703100000001</v>
      </c>
      <c r="AZ70" s="81">
        <v>3491.06</v>
      </c>
      <c r="BA70" s="81">
        <v>41110.31</v>
      </c>
      <c r="BB70" s="81">
        <f>Prog_23[[#This Row],[VLR NF]]*0.1%</f>
        <v>41.110309999999998</v>
      </c>
      <c r="BC70" s="81">
        <v>0</v>
      </c>
      <c r="BD70" s="81">
        <v>761.4</v>
      </c>
      <c r="BE70" s="81"/>
      <c r="BF70" s="81"/>
      <c r="BG70" s="81"/>
      <c r="BH70" s="81"/>
      <c r="BI70" s="81"/>
      <c r="BJ70" s="81"/>
      <c r="BK70" s="81"/>
      <c r="BL70" s="81"/>
      <c r="BM70" s="81"/>
      <c r="BN70" s="66" t="s">
        <v>2768</v>
      </c>
      <c r="BO70" s="66"/>
      <c r="BP70" s="66"/>
      <c r="BQ70" s="66" t="str">
        <f>PROPER(TEXT(Prog_23[[#This Row],[PROGRAMAÇÃO CLIENTE]],"mmm"))</f>
        <v>Jan</v>
      </c>
      <c r="BR70" s="66">
        <f>YEAR(Prog_23[[#This Row],[PROGRAMAÇÃO CLIENTE]])</f>
        <v>2023</v>
      </c>
    </row>
    <row r="71" spans="1:70" x14ac:dyDescent="0.25">
      <c r="A71" s="120" t="str">
        <f>Prog_23[[#This Row],[CONTEINER]]</f>
        <v>FANU1912391</v>
      </c>
      <c r="B71" s="86" t="s">
        <v>2771</v>
      </c>
      <c r="C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71" s="85">
        <v>44957.291666666664</v>
      </c>
      <c r="E71" s="66" t="s">
        <v>2059</v>
      </c>
      <c r="F71" s="66" t="s">
        <v>2060</v>
      </c>
      <c r="G71" s="66" t="s">
        <v>3313</v>
      </c>
      <c r="H71" s="44">
        <v>66203771</v>
      </c>
      <c r="I71" s="44" t="s">
        <v>3311</v>
      </c>
      <c r="J71" s="66" t="s">
        <v>301</v>
      </c>
      <c r="K71" s="66">
        <v>3680</v>
      </c>
      <c r="L71" s="66" t="s">
        <v>3312</v>
      </c>
      <c r="M71" s="66">
        <v>25223</v>
      </c>
      <c r="N71" s="66">
        <f>SUM(Prog_23[[#This Row],[TARA]]+Prog_23[[#This Row],[PESO]])</f>
        <v>28903</v>
      </c>
      <c r="O71" s="44">
        <v>1557746</v>
      </c>
      <c r="P71" s="66" t="s">
        <v>3314</v>
      </c>
      <c r="Q71" s="66" t="s">
        <v>31</v>
      </c>
      <c r="R71" s="66" t="s">
        <v>32</v>
      </c>
      <c r="S71" s="66" t="s">
        <v>33</v>
      </c>
      <c r="T71" s="138" t="str">
        <f>IFERROR(LOOKUP($S71,MOTORISTAS!$D$3:$D$916,MOTORISTAS!E$3:$E$916),"")</f>
        <v>09776430856</v>
      </c>
      <c r="U71" s="138" t="str">
        <f>IFERROR(LOOKUP($S71,MOTORISTAS!$D$3:$D$916,MOTORISTAS!F$3:$F$916),"")</f>
        <v>01258979905</v>
      </c>
      <c r="V71" s="66" t="s">
        <v>292</v>
      </c>
      <c r="W71" s="79">
        <v>44956.857638888891</v>
      </c>
      <c r="X71" s="79">
        <v>44957.25</v>
      </c>
      <c r="Y71" s="79">
        <v>44957.5</v>
      </c>
      <c r="Z71" s="66" t="s">
        <v>293</v>
      </c>
      <c r="AA71" s="79">
        <v>44957.902777777781</v>
      </c>
      <c r="AB71" s="79">
        <v>44957.291666666664</v>
      </c>
      <c r="AC71" s="79" t="s">
        <v>3315</v>
      </c>
      <c r="AD71" s="79">
        <v>44960.5</v>
      </c>
      <c r="AE71" s="66" t="s">
        <v>418</v>
      </c>
      <c r="AF71" s="44">
        <v>14983</v>
      </c>
      <c r="AG71" s="254">
        <f>Prog_23[[#This Row],[SAÍDA DO CLIENTE]]-Prog_23[[#This Row],[PROGRAMAÇÃO CLIENTE]]</f>
        <v>0.20833333333575865</v>
      </c>
      <c r="AH71" s="44"/>
      <c r="AI71" s="66"/>
      <c r="AJ71" s="66"/>
      <c r="AK71" s="66"/>
      <c r="AL71" s="66"/>
      <c r="AM71" s="66"/>
      <c r="AN71" s="83"/>
      <c r="AO71" s="83"/>
      <c r="AP71" s="83"/>
      <c r="AQ71" s="66"/>
      <c r="AR71" s="66"/>
      <c r="AS71" s="66"/>
      <c r="AT71" s="81"/>
      <c r="AU71" s="81"/>
      <c r="AV71" s="81"/>
      <c r="AW71" s="81"/>
      <c r="AX71" s="83">
        <f>SUM(Prog_23[[#This Row],[ADIANTAMENTO]]+Prog_23[[#This Row],[SALDO]]+Prog_23[[#This Row],[MARGEM]]+Prog_23[[#This Row],[ESTADIA 1]])</f>
        <v>0</v>
      </c>
      <c r="AY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4128.8883000000005</v>
      </c>
      <c r="AZ71" s="81">
        <v>3131.1</v>
      </c>
      <c r="BA71" s="81">
        <v>178888.3</v>
      </c>
      <c r="BB71" s="81">
        <f>Prog_23[[#This Row],[VLR NF]]*0.1%</f>
        <v>178.88829999999999</v>
      </c>
      <c r="BC71" s="81">
        <v>0</v>
      </c>
      <c r="BD71" s="81">
        <v>468.9</v>
      </c>
      <c r="BE71" s="81"/>
      <c r="BF71" s="81"/>
      <c r="BG71" s="81"/>
      <c r="BH71" s="81"/>
      <c r="BI71" s="81"/>
      <c r="BJ71" s="81"/>
      <c r="BK71" s="81"/>
      <c r="BL71" s="81">
        <v>350</v>
      </c>
      <c r="BM71" s="81"/>
      <c r="BN71" s="66"/>
      <c r="BO71" s="66"/>
      <c r="BP71" s="66"/>
      <c r="BQ71" s="66" t="str">
        <f>PROPER(TEXT(Prog_23[[#This Row],[PROGRAMAÇÃO CLIENTE]],"mmm"))</f>
        <v>Jan</v>
      </c>
      <c r="BR71" s="66">
        <f>YEAR(Prog_23[[#This Row],[PROGRAMAÇÃO CLIENTE]])</f>
        <v>2023</v>
      </c>
    </row>
    <row r="72" spans="1:70" x14ac:dyDescent="0.25">
      <c r="A72" s="120" t="str">
        <f>Prog_23[[#This Row],[CONTEINER]]</f>
        <v> HASU4467638</v>
      </c>
      <c r="B72" s="86" t="s">
        <v>2771</v>
      </c>
      <c r="C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72" s="85">
        <v>44957.25</v>
      </c>
      <c r="E72" s="66" t="s">
        <v>353</v>
      </c>
      <c r="F72" s="66" t="s">
        <v>354</v>
      </c>
      <c r="G72" s="66">
        <v>8844696</v>
      </c>
      <c r="H72" s="44" t="s">
        <v>2865</v>
      </c>
      <c r="I72" s="44" t="s">
        <v>2866</v>
      </c>
      <c r="J72" s="66" t="s">
        <v>301</v>
      </c>
      <c r="K72" s="66">
        <v>3860</v>
      </c>
      <c r="L72" s="66" t="s">
        <v>2871</v>
      </c>
      <c r="M72" s="66">
        <v>25761</v>
      </c>
      <c r="N72" s="66">
        <f>SUM(Prog_23[[#This Row],[TARA]]+Prog_23[[#This Row],[PESO]])</f>
        <v>29621</v>
      </c>
      <c r="O72" s="44">
        <v>660966</v>
      </c>
      <c r="P72" s="66" t="s">
        <v>2876</v>
      </c>
      <c r="Q72" s="66" t="s">
        <v>2877</v>
      </c>
      <c r="R72" s="66" t="s">
        <v>2878</v>
      </c>
      <c r="S72" s="66" t="s">
        <v>2917</v>
      </c>
      <c r="T72" s="138" t="str">
        <f>IFERROR(LOOKUP($S72,MOTORISTAS!$D$3:$D$916,MOTORISTAS!E$3:$E$916),"")</f>
        <v>31066093890</v>
      </c>
      <c r="U72" s="138" t="str">
        <f>IFERROR(LOOKUP($S72,MOTORISTAS!$D$3:$D$916,MOTORISTAS!F$3:$F$916),"")</f>
        <v>01819349701</v>
      </c>
      <c r="V72" s="66" t="s">
        <v>526</v>
      </c>
      <c r="W72" s="66"/>
      <c r="X72" s="79">
        <v>44958.333333333336</v>
      </c>
      <c r="Y72" s="79">
        <v>44958.6875</v>
      </c>
      <c r="Z72" s="66" t="s">
        <v>306</v>
      </c>
      <c r="AA72" s="79">
        <v>44958.927083333336</v>
      </c>
      <c r="AB72" s="66" t="s">
        <v>2886</v>
      </c>
      <c r="AC72" s="79">
        <v>44959.5</v>
      </c>
      <c r="AD72" s="79">
        <v>44960.5</v>
      </c>
      <c r="AE72" s="66" t="s">
        <v>1734</v>
      </c>
      <c r="AF72" s="44" t="s">
        <v>3456</v>
      </c>
      <c r="AG72" s="254">
        <f>Prog_23[[#This Row],[SAÍDA DO CLIENTE]]-Prog_23[[#This Row],[PROGRAMAÇÃO CLIENTE]]</f>
        <v>1.4375</v>
      </c>
      <c r="AH72" s="44"/>
      <c r="AI72" s="66"/>
      <c r="AJ72" s="66"/>
      <c r="AK72" s="66"/>
      <c r="AL72" s="66"/>
      <c r="AM72" s="66"/>
      <c r="AN72" s="83"/>
      <c r="AO72" s="83"/>
      <c r="AP72" s="83"/>
      <c r="AQ72" s="66"/>
      <c r="AR72" s="66"/>
      <c r="AS72" s="66"/>
      <c r="AT72" s="81"/>
      <c r="AU72" s="81"/>
      <c r="AV72" s="81"/>
      <c r="AW72" s="81"/>
      <c r="AX72" s="83">
        <f>SUM(Prog_23[[#This Row],[ADIANTAMENTO]]+Prog_23[[#This Row],[SALDO]]+Prog_23[[#This Row],[MARGEM]]+Prog_23[[#This Row],[ESTADIA 1]])</f>
        <v>0</v>
      </c>
      <c r="AY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4294.6120300000002</v>
      </c>
      <c r="AZ72" s="81">
        <v>3491.06</v>
      </c>
      <c r="BA72" s="81">
        <v>42152.03</v>
      </c>
      <c r="BB72" s="81">
        <f>Prog_23[[#This Row],[VLR NF]]*0.1%</f>
        <v>42.152029999999996</v>
      </c>
      <c r="BC72" s="81">
        <v>0</v>
      </c>
      <c r="BD72" s="81">
        <v>761.4</v>
      </c>
      <c r="BE72" s="81"/>
      <c r="BF72" s="81"/>
      <c r="BG72" s="81"/>
      <c r="BH72" s="81"/>
      <c r="BI72" s="81"/>
      <c r="BJ72" s="81"/>
      <c r="BK72" s="81"/>
      <c r="BL72" s="81"/>
      <c r="BM72" s="81"/>
      <c r="BN72" s="66" t="s">
        <v>2768</v>
      </c>
      <c r="BO72" s="66"/>
      <c r="BP72" s="66"/>
      <c r="BQ72" s="66" t="str">
        <f>PROPER(TEXT(Prog_23[[#This Row],[PROGRAMAÇÃO CLIENTE]],"mmm"))</f>
        <v>Jan</v>
      </c>
      <c r="BR72" s="66">
        <f>YEAR(Prog_23[[#This Row],[PROGRAMAÇÃO CLIENTE]])</f>
        <v>2023</v>
      </c>
    </row>
    <row r="73" spans="1:70" x14ac:dyDescent="0.25">
      <c r="A73" s="120" t="str">
        <f>Prog_23[[#This Row],[CONTEINER]]</f>
        <v> MSKU1923266</v>
      </c>
      <c r="B73" s="86" t="s">
        <v>2771</v>
      </c>
      <c r="C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73" s="85">
        <v>44957.25</v>
      </c>
      <c r="E73" s="66" t="s">
        <v>353</v>
      </c>
      <c r="F73" s="66" t="s">
        <v>354</v>
      </c>
      <c r="G73" s="66">
        <v>8844696</v>
      </c>
      <c r="H73" s="44" t="s">
        <v>2865</v>
      </c>
      <c r="I73" s="44" t="s">
        <v>2867</v>
      </c>
      <c r="J73" s="66" t="s">
        <v>301</v>
      </c>
      <c r="K73" s="66">
        <v>3880</v>
      </c>
      <c r="L73" s="66" t="s">
        <v>2872</v>
      </c>
      <c r="M73" s="66">
        <v>25761</v>
      </c>
      <c r="N73" s="66">
        <f>SUM(Prog_23[[#This Row],[TARA]]+Prog_23[[#This Row],[PESO]])</f>
        <v>29641</v>
      </c>
      <c r="O73" s="44">
        <v>661056</v>
      </c>
      <c r="P73" s="66" t="s">
        <v>2876</v>
      </c>
      <c r="Q73" s="66" t="s">
        <v>2879</v>
      </c>
      <c r="R73" s="66" t="s">
        <v>2880</v>
      </c>
      <c r="S73" s="66" t="s">
        <v>2883</v>
      </c>
      <c r="T73" s="138" t="str">
        <f>IFERROR(LOOKUP($S73,MOTORISTAS!$D$3:$D$916,MOTORISTAS!E$3:$E$916),"")</f>
        <v>29740449808</v>
      </c>
      <c r="U73" s="138" t="str">
        <f>IFERROR(LOOKUP($S73,MOTORISTAS!$D$3:$D$916,MOTORISTAS!F$3:$F$916),"")</f>
        <v>00966188197</v>
      </c>
      <c r="V73" s="66" t="s">
        <v>526</v>
      </c>
      <c r="W73" s="66"/>
      <c r="X73" s="79">
        <v>44958.520833333336</v>
      </c>
      <c r="Y73" s="79">
        <v>44959.263888888891</v>
      </c>
      <c r="Z73" s="66" t="s">
        <v>306</v>
      </c>
      <c r="AA73" s="79">
        <v>44959.838888888888</v>
      </c>
      <c r="AB73" s="66" t="s">
        <v>2886</v>
      </c>
      <c r="AC73" s="79">
        <v>44959.5</v>
      </c>
      <c r="AD73" s="79">
        <v>44960.5</v>
      </c>
      <c r="AE73" s="66" t="s">
        <v>1734</v>
      </c>
      <c r="AF73" s="44">
        <v>15008</v>
      </c>
      <c r="AG73" s="254">
        <f>Prog_23[[#This Row],[SAÍDA DO CLIENTE]]-Prog_23[[#This Row],[PROGRAMAÇÃO CLIENTE]]</f>
        <v>2.0138888888905058</v>
      </c>
      <c r="AH73" s="44"/>
      <c r="AI73" s="66"/>
      <c r="AJ73" s="66"/>
      <c r="AK73" s="66"/>
      <c r="AL73" s="66"/>
      <c r="AM73" s="66"/>
      <c r="AN73" s="83"/>
      <c r="AO73" s="83"/>
      <c r="AP73" s="83"/>
      <c r="AQ73" s="66"/>
      <c r="AR73" s="66"/>
      <c r="AS73" s="66"/>
      <c r="AT73" s="81"/>
      <c r="AU73" s="81"/>
      <c r="AV73" s="81"/>
      <c r="AW73" s="81"/>
      <c r="AX73" s="83">
        <f>SUM(Prog_23[[#This Row],[ADIANTAMENTO]]+Prog_23[[#This Row],[SALDO]]+Prog_23[[#This Row],[MARGEM]]+Prog_23[[#This Row],[ESTADIA 1]])</f>
        <v>0</v>
      </c>
      <c r="AY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4294.6120300000002</v>
      </c>
      <c r="AZ73" s="81">
        <v>3491.06</v>
      </c>
      <c r="BA73" s="81">
        <v>42152.03</v>
      </c>
      <c r="BB73" s="81">
        <f>Prog_23[[#This Row],[VLR NF]]*0.1%</f>
        <v>42.152029999999996</v>
      </c>
      <c r="BC73" s="81">
        <v>0</v>
      </c>
      <c r="BD73" s="81">
        <v>761.4</v>
      </c>
      <c r="BE73" s="81"/>
      <c r="BF73" s="81"/>
      <c r="BG73" s="81"/>
      <c r="BH73" s="81"/>
      <c r="BI73" s="81"/>
      <c r="BJ73" s="81"/>
      <c r="BK73" s="81"/>
      <c r="BL73" s="81"/>
      <c r="BM73" s="81"/>
      <c r="BN73" s="66" t="s">
        <v>2768</v>
      </c>
      <c r="BO73" s="66"/>
      <c r="BP73" s="66"/>
      <c r="BQ73" s="66" t="str">
        <f>PROPER(TEXT(Prog_23[[#This Row],[PROGRAMAÇÃO CLIENTE]],"mmm"))</f>
        <v>Jan</v>
      </c>
      <c r="BR73" s="66">
        <f>YEAR(Prog_23[[#This Row],[PROGRAMAÇÃO CLIENTE]])</f>
        <v>2023</v>
      </c>
    </row>
    <row r="74" spans="1:70" x14ac:dyDescent="0.25">
      <c r="A74" s="120" t="str">
        <f>Prog_23[[#This Row],[CONTEINER]]</f>
        <v> MSKU1651419</v>
      </c>
      <c r="B74" s="86" t="s">
        <v>2771</v>
      </c>
      <c r="C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74" s="85">
        <v>44957.25</v>
      </c>
      <c r="E74" s="66" t="s">
        <v>353</v>
      </c>
      <c r="F74" s="66" t="s">
        <v>354</v>
      </c>
      <c r="G74" s="66">
        <v>8844696</v>
      </c>
      <c r="H74" s="44" t="s">
        <v>2865</v>
      </c>
      <c r="I74" s="44" t="s">
        <v>2868</v>
      </c>
      <c r="J74" s="66" t="s">
        <v>301</v>
      </c>
      <c r="K74" s="66">
        <v>3880</v>
      </c>
      <c r="L74" s="66" t="s">
        <v>2873</v>
      </c>
      <c r="M74" s="66">
        <v>25761</v>
      </c>
      <c r="N74" s="66">
        <f>SUM(Prog_23[[#This Row],[TARA]]+Prog_23[[#This Row],[PESO]])</f>
        <v>29641</v>
      </c>
      <c r="O74" s="44">
        <v>661120</v>
      </c>
      <c r="P74" s="66" t="s">
        <v>2876</v>
      </c>
      <c r="Q74" s="66" t="s">
        <v>2881</v>
      </c>
      <c r="R74" s="66" t="s">
        <v>2882</v>
      </c>
      <c r="S74" s="66" t="s">
        <v>2883</v>
      </c>
      <c r="T74" s="138" t="str">
        <f>IFERROR(LOOKUP($S74,MOTORISTAS!$D$3:$D$916,MOTORISTAS!E$3:$E$916),"")</f>
        <v>29740449808</v>
      </c>
      <c r="U74" s="138" t="str">
        <f>IFERROR(LOOKUP($S74,MOTORISTAS!$D$3:$D$916,MOTORISTAS!F$3:$F$916),"")</f>
        <v>00966188197</v>
      </c>
      <c r="V74" s="66" t="s">
        <v>526</v>
      </c>
      <c r="W74" s="66"/>
      <c r="X74" s="79">
        <v>44958.520833333336</v>
      </c>
      <c r="Y74" s="79">
        <v>44959.263888888891</v>
      </c>
      <c r="Z74" s="66" t="s">
        <v>306</v>
      </c>
      <c r="AA74" s="79">
        <v>44959.879166666666</v>
      </c>
      <c r="AB74" s="66" t="s">
        <v>2886</v>
      </c>
      <c r="AC74" s="79">
        <v>44959.5</v>
      </c>
      <c r="AD74" s="79">
        <v>44960.5</v>
      </c>
      <c r="AE74" s="66" t="s">
        <v>1734</v>
      </c>
      <c r="AF74" s="44">
        <v>15010</v>
      </c>
      <c r="AG74" s="254">
        <f>Prog_23[[#This Row],[SAÍDA DO CLIENTE]]-Prog_23[[#This Row],[PROGRAMAÇÃO CLIENTE]]</f>
        <v>2.0138888888905058</v>
      </c>
      <c r="AH74" s="44"/>
      <c r="AI74" s="66"/>
      <c r="AJ74" s="66"/>
      <c r="AK74" s="66"/>
      <c r="AL74" s="66"/>
      <c r="AM74" s="66"/>
      <c r="AN74" s="83"/>
      <c r="AO74" s="83"/>
      <c r="AP74" s="83"/>
      <c r="AQ74" s="66"/>
      <c r="AR74" s="66"/>
      <c r="AS74" s="66"/>
      <c r="AT74" s="81"/>
      <c r="AU74" s="81"/>
      <c r="AV74" s="81"/>
      <c r="AW74" s="81"/>
      <c r="AX74" s="83">
        <f>SUM(Prog_23[[#This Row],[ADIANTAMENTO]]+Prog_23[[#This Row],[SALDO]]+Prog_23[[#This Row],[MARGEM]]+Prog_23[[#This Row],[ESTADIA 1]])</f>
        <v>0</v>
      </c>
      <c r="AY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4294.6120300000002</v>
      </c>
      <c r="AZ74" s="81">
        <v>3491.06</v>
      </c>
      <c r="BA74" s="81">
        <v>42152.03</v>
      </c>
      <c r="BB74" s="81">
        <f>Prog_23[[#This Row],[VLR NF]]*0.1%</f>
        <v>42.152029999999996</v>
      </c>
      <c r="BC74" s="81">
        <v>0</v>
      </c>
      <c r="BD74" s="81">
        <v>761.4</v>
      </c>
      <c r="BE74" s="81"/>
      <c r="BF74" s="81"/>
      <c r="BG74" s="81"/>
      <c r="BH74" s="81"/>
      <c r="BI74" s="81"/>
      <c r="BJ74" s="81"/>
      <c r="BK74" s="81"/>
      <c r="BL74" s="81"/>
      <c r="BM74" s="81"/>
      <c r="BN74" s="66" t="s">
        <v>2768</v>
      </c>
      <c r="BO74" s="66"/>
      <c r="BP74" s="66"/>
      <c r="BQ74" s="66" t="str">
        <f>PROPER(TEXT(Prog_23[[#This Row],[PROGRAMAÇÃO CLIENTE]],"mmm"))</f>
        <v>Jan</v>
      </c>
      <c r="BR74" s="66">
        <f>YEAR(Prog_23[[#This Row],[PROGRAMAÇÃO CLIENTE]])</f>
        <v>2023</v>
      </c>
    </row>
    <row r="75" spans="1:70" x14ac:dyDescent="0.25">
      <c r="A75" s="120" t="str">
        <f>Prog_23[[#This Row],[CONTEINER]]</f>
        <v> MRKU6499668</v>
      </c>
      <c r="B75" s="86" t="s">
        <v>2771</v>
      </c>
      <c r="C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75" s="85">
        <v>44957.25</v>
      </c>
      <c r="E75" s="66" t="s">
        <v>353</v>
      </c>
      <c r="F75" s="66" t="s">
        <v>354</v>
      </c>
      <c r="G75" s="66">
        <v>8844696</v>
      </c>
      <c r="H75" s="44" t="s">
        <v>2865</v>
      </c>
      <c r="I75" s="44" t="s">
        <v>2869</v>
      </c>
      <c r="J75" s="66" t="s">
        <v>301</v>
      </c>
      <c r="K75" s="66">
        <v>3810</v>
      </c>
      <c r="L75" s="66" t="s">
        <v>2874</v>
      </c>
      <c r="M75" s="66">
        <v>25761</v>
      </c>
      <c r="N75" s="66">
        <f>SUM(Prog_23[[#This Row],[TARA]]+Prog_23[[#This Row],[PESO]])</f>
        <v>29571</v>
      </c>
      <c r="O75" s="44">
        <v>660920</v>
      </c>
      <c r="P75" s="66" t="s">
        <v>2876</v>
      </c>
      <c r="Q75" s="66" t="s">
        <v>2881</v>
      </c>
      <c r="R75" s="66" t="s">
        <v>2884</v>
      </c>
      <c r="S75" s="66" t="s">
        <v>2917</v>
      </c>
      <c r="T75" s="138" t="str">
        <f>IFERROR(LOOKUP($S75,MOTORISTAS!$D$3:$D$916,MOTORISTAS!E$3:$E$916),"")</f>
        <v>31066093890</v>
      </c>
      <c r="U75" s="138" t="str">
        <f>IFERROR(LOOKUP($S75,MOTORISTAS!$D$3:$D$916,MOTORISTAS!F$3:$F$916),"")</f>
        <v>01819349701</v>
      </c>
      <c r="V75" s="66" t="s">
        <v>526</v>
      </c>
      <c r="W75" s="66"/>
      <c r="X75" s="79">
        <v>44958.333333333336</v>
      </c>
      <c r="Y75" s="79">
        <v>44958.6875</v>
      </c>
      <c r="Z75" s="66" t="s">
        <v>306</v>
      </c>
      <c r="AA75" s="79">
        <v>44958.905555555553</v>
      </c>
      <c r="AB75" s="66" t="s">
        <v>2886</v>
      </c>
      <c r="AC75" s="79">
        <v>44959.5</v>
      </c>
      <c r="AD75" s="79">
        <v>44960.5</v>
      </c>
      <c r="AE75" s="66" t="s">
        <v>1734</v>
      </c>
      <c r="AF75" s="44">
        <v>15005</v>
      </c>
      <c r="AG75" s="254">
        <f>Prog_23[[#This Row],[SAÍDA DO CLIENTE]]-Prog_23[[#This Row],[PROGRAMAÇÃO CLIENTE]]</f>
        <v>1.4375</v>
      </c>
      <c r="AH75" s="44"/>
      <c r="AI75" s="66"/>
      <c r="AJ75" s="66"/>
      <c r="AK75" s="66"/>
      <c r="AL75" s="66"/>
      <c r="AM75" s="66"/>
      <c r="AN75" s="83"/>
      <c r="AO75" s="83"/>
      <c r="AP75" s="83"/>
      <c r="AQ75" s="66"/>
      <c r="AR75" s="66"/>
      <c r="AS75" s="66"/>
      <c r="AT75" s="81"/>
      <c r="AU75" s="81"/>
      <c r="AV75" s="81"/>
      <c r="AW75" s="81"/>
      <c r="AX75" s="83">
        <f>SUM(Prog_23[[#This Row],[ADIANTAMENTO]]+Prog_23[[#This Row],[SALDO]]+Prog_23[[#This Row],[MARGEM]]+Prog_23[[#This Row],[ESTADIA 1]])</f>
        <v>0</v>
      </c>
      <c r="AY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4294.6120300000002</v>
      </c>
      <c r="AZ75" s="81">
        <v>3491.06</v>
      </c>
      <c r="BA75" s="81">
        <v>42152.03</v>
      </c>
      <c r="BB75" s="81">
        <f>Prog_23[[#This Row],[VLR NF]]*0.1%</f>
        <v>42.152029999999996</v>
      </c>
      <c r="BC75" s="81">
        <v>0</v>
      </c>
      <c r="BD75" s="81">
        <v>761.4</v>
      </c>
      <c r="BE75" s="81"/>
      <c r="BF75" s="81"/>
      <c r="BG75" s="81"/>
      <c r="BH75" s="81"/>
      <c r="BI75" s="81"/>
      <c r="BJ75" s="81"/>
      <c r="BK75" s="81"/>
      <c r="BL75" s="81"/>
      <c r="BM75" s="81"/>
      <c r="BN75" s="66" t="s">
        <v>2768</v>
      </c>
      <c r="BO75" s="66"/>
      <c r="BP75" s="66"/>
      <c r="BQ75" s="66" t="str">
        <f>PROPER(TEXT(Prog_23[[#This Row],[PROGRAMAÇÃO CLIENTE]],"mmm"))</f>
        <v>Jan</v>
      </c>
      <c r="BR75" s="66">
        <f>YEAR(Prog_23[[#This Row],[PROGRAMAÇÃO CLIENTE]])</f>
        <v>2023</v>
      </c>
    </row>
    <row r="76" spans="1:70" x14ac:dyDescent="0.25">
      <c r="A76" s="120" t="str">
        <f>Prog_23[[#This Row],[CONTEINER]]</f>
        <v>MRSU3545675</v>
      </c>
      <c r="B76" s="86" t="s">
        <v>2771</v>
      </c>
      <c r="C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76" s="85">
        <v>44957.25</v>
      </c>
      <c r="E76" s="66" t="s">
        <v>353</v>
      </c>
      <c r="F76" s="66" t="s">
        <v>354</v>
      </c>
      <c r="G76" s="66">
        <v>8844696</v>
      </c>
      <c r="H76" s="44" t="s">
        <v>2865</v>
      </c>
      <c r="I76" s="44" t="s">
        <v>2870</v>
      </c>
      <c r="J76" s="66" t="s">
        <v>301</v>
      </c>
      <c r="K76" s="66">
        <v>3810</v>
      </c>
      <c r="L76" s="66" t="s">
        <v>2875</v>
      </c>
      <c r="M76" s="66">
        <v>25761</v>
      </c>
      <c r="N76" s="66">
        <f>SUM(Prog_23[[#This Row],[TARA]]+Prog_23[[#This Row],[PESO]])</f>
        <v>29571</v>
      </c>
      <c r="O76" s="44">
        <v>660608</v>
      </c>
      <c r="P76" s="66" t="s">
        <v>2876</v>
      </c>
      <c r="Q76" s="66" t="s">
        <v>2885</v>
      </c>
      <c r="R76" s="66" t="s">
        <v>891</v>
      </c>
      <c r="S76" s="66" t="s">
        <v>113</v>
      </c>
      <c r="T76" s="138" t="str">
        <f>IFERROR(LOOKUP($S76,MOTORISTAS!$D$3:$D$916,MOTORISTAS!E$3:$E$916),"")</f>
        <v>88265951434</v>
      </c>
      <c r="U76" s="138" t="str">
        <f>IFERROR(LOOKUP($S76,MOTORISTAS!$D$3:$D$916,MOTORISTAS!F$3:$F$916),"")</f>
        <v>00920373596</v>
      </c>
      <c r="V76" s="66" t="s">
        <v>526</v>
      </c>
      <c r="W76" s="66"/>
      <c r="X76" s="79">
        <v>44957.25</v>
      </c>
      <c r="Y76" s="79">
        <v>44957.916666666664</v>
      </c>
      <c r="Z76" s="66" t="s">
        <v>306</v>
      </c>
      <c r="AA76" s="79">
        <v>44958.136805555558</v>
      </c>
      <c r="AB76" s="66" t="s">
        <v>2886</v>
      </c>
      <c r="AC76" s="79">
        <v>44959.5</v>
      </c>
      <c r="AD76" s="79">
        <v>44960.5</v>
      </c>
      <c r="AE76" s="66" t="s">
        <v>1734</v>
      </c>
      <c r="AF76" s="44">
        <v>14995</v>
      </c>
      <c r="AG76" s="254">
        <f>Prog_23[[#This Row],[SAÍDA DO CLIENTE]]-Prog_23[[#This Row],[PROGRAMAÇÃO CLIENTE]]</f>
        <v>0.66666666666424135</v>
      </c>
      <c r="AH76" s="44"/>
      <c r="AI76" s="66"/>
      <c r="AJ76" s="66"/>
      <c r="AK76" s="66"/>
      <c r="AL76" s="66"/>
      <c r="AM76" s="66"/>
      <c r="AN76" s="83"/>
      <c r="AO76" s="83"/>
      <c r="AP76" s="83"/>
      <c r="AQ76" s="66"/>
      <c r="AR76" s="66"/>
      <c r="AS76" s="66"/>
      <c r="AT76" s="81"/>
      <c r="AU76" s="81"/>
      <c r="AV76" s="81"/>
      <c r="AW76" s="81"/>
      <c r="AX76" s="83">
        <f>SUM(Prog_23[[#This Row],[ADIANTAMENTO]]+Prog_23[[#This Row],[SALDO]]+Prog_23[[#This Row],[MARGEM]]+Prog_23[[#This Row],[ESTADIA 1]])</f>
        <v>0</v>
      </c>
      <c r="AY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4294.5839100000003</v>
      </c>
      <c r="AZ76" s="81">
        <v>3491.06</v>
      </c>
      <c r="BA76" s="81">
        <v>42123.91</v>
      </c>
      <c r="BB76" s="81">
        <f>Prog_23[[#This Row],[VLR NF]]*0.1%</f>
        <v>42.123910000000002</v>
      </c>
      <c r="BC76" s="81">
        <v>0</v>
      </c>
      <c r="BD76" s="81">
        <v>761.4</v>
      </c>
      <c r="BE76" s="81"/>
      <c r="BF76" s="81"/>
      <c r="BG76" s="81"/>
      <c r="BH76" s="81"/>
      <c r="BI76" s="81"/>
      <c r="BJ76" s="81"/>
      <c r="BK76" s="81"/>
      <c r="BL76" s="81"/>
      <c r="BM76" s="81"/>
      <c r="BN76" s="66" t="s">
        <v>2768</v>
      </c>
      <c r="BO76" s="66"/>
      <c r="BP76" s="66"/>
      <c r="BQ76" s="66" t="str">
        <f>PROPER(TEXT(Prog_23[[#This Row],[PROGRAMAÇÃO CLIENTE]],"mmm"))</f>
        <v>Jan</v>
      </c>
      <c r="BR76" s="66">
        <f>YEAR(Prog_23[[#This Row],[PROGRAMAÇÃO CLIENTE]])</f>
        <v>2023</v>
      </c>
    </row>
    <row r="77" spans="1:70" x14ac:dyDescent="0.25">
      <c r="A77" s="120" t="str">
        <f>Prog_23[[#This Row],[CONTEINER]]</f>
        <v>SEKU4470958 </v>
      </c>
      <c r="B77" s="86" t="s">
        <v>2771</v>
      </c>
      <c r="C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77" s="85">
        <v>44957.375</v>
      </c>
      <c r="E77" s="66" t="s">
        <v>297</v>
      </c>
      <c r="F77" s="66" t="s">
        <v>298</v>
      </c>
      <c r="G77" s="66" t="s">
        <v>2893</v>
      </c>
      <c r="H77" s="44">
        <v>224692771</v>
      </c>
      <c r="I77" s="44" t="s">
        <v>2894</v>
      </c>
      <c r="J77" s="66" t="s">
        <v>301</v>
      </c>
      <c r="K77" s="66">
        <v>3700</v>
      </c>
      <c r="L77" s="66" t="s">
        <v>2899</v>
      </c>
      <c r="M77" s="66">
        <v>22810</v>
      </c>
      <c r="N77" s="66">
        <f>SUM(Prog_23[[#This Row],[TARA]]+Prog_23[[#This Row],[PESO]])</f>
        <v>26510</v>
      </c>
      <c r="O77" s="44">
        <v>825197</v>
      </c>
      <c r="P77" s="66" t="s">
        <v>2904</v>
      </c>
      <c r="Q77" s="66" t="s">
        <v>2905</v>
      </c>
      <c r="R77" s="66" t="s">
        <v>2906</v>
      </c>
      <c r="S77" s="66" t="s">
        <v>2907</v>
      </c>
      <c r="T77" s="138" t="str">
        <f>IFERROR(LOOKUP($S77,MOTORISTAS!$D$3:$D$916,MOTORISTAS!E$3:$E$916),"")</f>
        <v>45616281859</v>
      </c>
      <c r="U77" s="138" t="str">
        <f>IFERROR(LOOKUP($S77,MOTORISTAS!$D$3:$D$916,MOTORISTAS!F$3:$F$916),"")</f>
        <v>06271346573</v>
      </c>
      <c r="V77" s="66" t="s">
        <v>292</v>
      </c>
      <c r="W77" s="79">
        <v>44956.761805555558</v>
      </c>
      <c r="X77" s="79">
        <v>44957.291666666664</v>
      </c>
      <c r="Y77" s="79">
        <v>44957.541666666664</v>
      </c>
      <c r="Z77" s="66" t="s">
        <v>306</v>
      </c>
      <c r="AA77" s="79">
        <v>44957.73333333333</v>
      </c>
      <c r="AB77" s="66" t="s">
        <v>2886</v>
      </c>
      <c r="AC77" s="79">
        <v>44957.5</v>
      </c>
      <c r="AD77" s="79">
        <v>44960.5</v>
      </c>
      <c r="AE77" s="66"/>
      <c r="AF77" s="44" t="s">
        <v>3869</v>
      </c>
      <c r="AG77" s="254">
        <f>Prog_23[[#This Row],[SAÍDA DO CLIENTE]]-Prog_23[[#This Row],[PROGRAMAÇÃO CLIENTE]]</f>
        <v>0.16666666666424135</v>
      </c>
      <c r="AH77" s="44"/>
      <c r="AI77" s="66"/>
      <c r="AJ77" s="66"/>
      <c r="AK77" s="66"/>
      <c r="AL77" s="66"/>
      <c r="AM77" s="66"/>
      <c r="AN77" s="83"/>
      <c r="AO77" s="83"/>
      <c r="AP77" s="83"/>
      <c r="AQ77" s="66"/>
      <c r="AR77" s="66"/>
      <c r="AS77" s="66"/>
      <c r="AT77" s="81"/>
      <c r="AU77" s="81"/>
      <c r="AV77" s="81"/>
      <c r="AW77" s="81"/>
      <c r="AX77" s="83">
        <f>SUM(Prog_23[[#This Row],[ADIANTAMENTO]]+Prog_23[[#This Row],[SALDO]]+Prog_23[[#This Row],[MARGEM]]+Prog_23[[#This Row],[ESTADIA 1]])</f>
        <v>0</v>
      </c>
      <c r="AY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77" s="81">
        <v>3338.8</v>
      </c>
      <c r="BA77" s="81">
        <v>182512</v>
      </c>
      <c r="BB77" s="81"/>
      <c r="BC77" s="81">
        <v>0</v>
      </c>
      <c r="BD77" s="81">
        <v>511.2</v>
      </c>
      <c r="BE77" s="81"/>
      <c r="BF77" s="81"/>
      <c r="BG77" s="81"/>
      <c r="BH77" s="81"/>
      <c r="BI77" s="81"/>
      <c r="BJ77" s="81"/>
      <c r="BK77" s="81"/>
      <c r="BL77" s="81"/>
      <c r="BM77" s="81"/>
      <c r="BN77" s="66" t="s">
        <v>2768</v>
      </c>
      <c r="BO77" s="66"/>
      <c r="BP77" s="66"/>
      <c r="BQ77" s="66" t="str">
        <f>PROPER(TEXT(Prog_23[[#This Row],[PROGRAMAÇÃO CLIENTE]],"mmm"))</f>
        <v>Jan</v>
      </c>
      <c r="BR77" s="66">
        <f>YEAR(Prog_23[[#This Row],[PROGRAMAÇÃO CLIENTE]])</f>
        <v>2023</v>
      </c>
    </row>
    <row r="78" spans="1:70" x14ac:dyDescent="0.25">
      <c r="A78" s="120" t="str">
        <f>Prog_23[[#This Row],[CONTEINER]]</f>
        <v>MRSU6254380 </v>
      </c>
      <c r="B78" s="86" t="s">
        <v>2771</v>
      </c>
      <c r="C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78" s="85">
        <v>44957.458333333336</v>
      </c>
      <c r="E78" s="66" t="s">
        <v>297</v>
      </c>
      <c r="F78" s="66" t="s">
        <v>298</v>
      </c>
      <c r="G78" s="66" t="s">
        <v>2893</v>
      </c>
      <c r="H78" s="44">
        <v>224692771</v>
      </c>
      <c r="I78" s="44" t="s">
        <v>2895</v>
      </c>
      <c r="J78" s="66" t="s">
        <v>301</v>
      </c>
      <c r="K78" s="66">
        <v>3720</v>
      </c>
      <c r="L78" s="66" t="s">
        <v>2900</v>
      </c>
      <c r="M78" s="66">
        <v>19734</v>
      </c>
      <c r="N78" s="66">
        <f>SUM(Prog_23[[#This Row],[TARA]]+Prog_23[[#This Row],[PESO]])</f>
        <v>23454</v>
      </c>
      <c r="O78" s="44">
        <v>825514</v>
      </c>
      <c r="P78" s="66" t="s">
        <v>2904</v>
      </c>
      <c r="Q78" s="66" t="s">
        <v>72</v>
      </c>
      <c r="R78" s="66" t="s">
        <v>73</v>
      </c>
      <c r="S78" s="66" t="s">
        <v>203</v>
      </c>
      <c r="T78" s="138" t="str">
        <f>IFERROR(LOOKUP($S78,MOTORISTAS!$D$3:$D$916,MOTORISTAS!E$3:$E$916),"")</f>
        <v>10395859816</v>
      </c>
      <c r="U78" s="138" t="str">
        <f>IFERROR(LOOKUP($S78,MOTORISTAS!$D$3:$D$916,MOTORISTAS!F$3:$F$916),"")</f>
        <v>01965794851</v>
      </c>
      <c r="V78" s="66" t="s">
        <v>292</v>
      </c>
      <c r="W78" s="79">
        <v>44956.961111111108</v>
      </c>
      <c r="X78" s="79">
        <v>44957.291666666664</v>
      </c>
      <c r="Y78" s="79">
        <v>44957.541666666664</v>
      </c>
      <c r="Z78" s="66" t="s">
        <v>306</v>
      </c>
      <c r="AA78" s="79">
        <v>44957.979861111111</v>
      </c>
      <c r="AB78" s="66" t="s">
        <v>2886</v>
      </c>
      <c r="AC78" s="79">
        <v>44957.5</v>
      </c>
      <c r="AD78" s="79">
        <v>44960.5</v>
      </c>
      <c r="AE78" s="66"/>
      <c r="AF78" s="44" t="s">
        <v>3870</v>
      </c>
      <c r="AG78" s="254">
        <f>Prog_23[[#This Row],[SAÍDA DO CLIENTE]]-Prog_23[[#This Row],[PROGRAMAÇÃO CLIENTE]]</f>
        <v>8.3333333328482695E-2</v>
      </c>
      <c r="AH78" s="44"/>
      <c r="AI78" s="66"/>
      <c r="AJ78" s="66"/>
      <c r="AK78" s="66"/>
      <c r="AL78" s="66"/>
      <c r="AM78" s="66"/>
      <c r="AN78" s="83"/>
      <c r="AO78" s="83"/>
      <c r="AP78" s="83"/>
      <c r="AQ78" s="66"/>
      <c r="AR78" s="66"/>
      <c r="AS78" s="66"/>
      <c r="AT78" s="81"/>
      <c r="AU78" s="81"/>
      <c r="AV78" s="81"/>
      <c r="AW78" s="81"/>
      <c r="AX78" s="83">
        <f>SUM(Prog_23[[#This Row],[ADIANTAMENTO]]+Prog_23[[#This Row],[SALDO]]+Prog_23[[#This Row],[MARGEM]]+Prog_23[[#This Row],[ESTADIA 1]])</f>
        <v>0</v>
      </c>
      <c r="AY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78" s="81">
        <v>3338.8</v>
      </c>
      <c r="BA78" s="81">
        <v>140100</v>
      </c>
      <c r="BB78" s="81"/>
      <c r="BC78" s="81">
        <v>0</v>
      </c>
      <c r="BD78" s="81">
        <v>511.2</v>
      </c>
      <c r="BE78" s="81"/>
      <c r="BF78" s="81"/>
      <c r="BG78" s="81"/>
      <c r="BH78" s="81"/>
      <c r="BI78" s="81"/>
      <c r="BJ78" s="81"/>
      <c r="BK78" s="81"/>
      <c r="BL78" s="81"/>
      <c r="BM78" s="81"/>
      <c r="BN78" s="66" t="s">
        <v>2768</v>
      </c>
      <c r="BO78" s="66"/>
      <c r="BP78" s="66"/>
      <c r="BQ78" s="66" t="str">
        <f>PROPER(TEXT(Prog_23[[#This Row],[PROGRAMAÇÃO CLIENTE]],"mmm"))</f>
        <v>Jan</v>
      </c>
      <c r="BR78" s="66">
        <f>YEAR(Prog_23[[#This Row],[PROGRAMAÇÃO CLIENTE]])</f>
        <v>2023</v>
      </c>
    </row>
    <row r="79" spans="1:70" x14ac:dyDescent="0.25">
      <c r="A79" s="120" t="str">
        <f>Prog_23[[#This Row],[CONTEINER]]</f>
        <v>TCKU7573406</v>
      </c>
      <c r="B79" s="86" t="s">
        <v>2771</v>
      </c>
      <c r="C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79" s="85">
        <v>44957.541666666664</v>
      </c>
      <c r="E79" s="66" t="s">
        <v>297</v>
      </c>
      <c r="F79" s="66" t="s">
        <v>298</v>
      </c>
      <c r="G79" s="66" t="s">
        <v>2893</v>
      </c>
      <c r="H79" s="44">
        <v>224692771</v>
      </c>
      <c r="I79" s="44" t="s">
        <v>2896</v>
      </c>
      <c r="J79" s="66" t="s">
        <v>301</v>
      </c>
      <c r="K79" s="66">
        <v>3700</v>
      </c>
      <c r="L79" s="66" t="s">
        <v>2901</v>
      </c>
      <c r="M79" s="66">
        <v>25469</v>
      </c>
      <c r="N79" s="66">
        <f>SUM(Prog_23[[#This Row],[TARA]]+Prog_23[[#This Row],[PESO]])</f>
        <v>29169</v>
      </c>
      <c r="O79" s="44">
        <v>825492</v>
      </c>
      <c r="P79" s="66" t="s">
        <v>2904</v>
      </c>
      <c r="Q79" s="66" t="s">
        <v>178</v>
      </c>
      <c r="R79" s="66" t="s">
        <v>112</v>
      </c>
      <c r="S79" s="66" t="s">
        <v>180</v>
      </c>
      <c r="T79" s="138" t="str">
        <f>IFERROR(LOOKUP($S79,MOTORISTAS!$D$3:$D$916,MOTORISTAS!E$3:$E$916),"")</f>
        <v>18990500869</v>
      </c>
      <c r="U79" s="138" t="str">
        <f>IFERROR(LOOKUP($S79,MOTORISTAS!$D$3:$D$916,MOTORISTAS!F$3:$F$916),"")</f>
        <v>04640435232</v>
      </c>
      <c r="V79" s="66" t="s">
        <v>292</v>
      </c>
      <c r="W79" s="79">
        <v>44956.963194444441</v>
      </c>
      <c r="X79" s="79">
        <v>44957.291666666664</v>
      </c>
      <c r="Y79" s="79">
        <v>44957.541666666664</v>
      </c>
      <c r="Z79" s="66" t="s">
        <v>306</v>
      </c>
      <c r="AA79" s="79">
        <v>44958.019444444442</v>
      </c>
      <c r="AB79" s="66" t="s">
        <v>2886</v>
      </c>
      <c r="AC79" s="79">
        <v>44957.5</v>
      </c>
      <c r="AD79" s="79">
        <v>44960.5</v>
      </c>
      <c r="AE79" s="66"/>
      <c r="AF79" s="44" t="s">
        <v>3872</v>
      </c>
      <c r="AG79" s="254">
        <f>Prog_23[[#This Row],[SAÍDA DO CLIENTE]]-Prog_23[[#This Row],[PROGRAMAÇÃO CLIENTE]]</f>
        <v>0</v>
      </c>
      <c r="AH79" s="44"/>
      <c r="AI79" s="66"/>
      <c r="AJ79" s="66"/>
      <c r="AK79" s="66"/>
      <c r="AL79" s="66"/>
      <c r="AM79" s="66"/>
      <c r="AN79" s="83"/>
      <c r="AO79" s="83"/>
      <c r="AP79" s="83"/>
      <c r="AQ79" s="66"/>
      <c r="AR79" s="66"/>
      <c r="AS79" s="66"/>
      <c r="AT79" s="81"/>
      <c r="AU79" s="81"/>
      <c r="AV79" s="81"/>
      <c r="AW79" s="81"/>
      <c r="AX79" s="83">
        <f>SUM(Prog_23[[#This Row],[ADIANTAMENTO]]+Prog_23[[#This Row],[SALDO]]+Prog_23[[#This Row],[MARGEM]]+Prog_23[[#This Row],[ESTADIA 1]])</f>
        <v>0</v>
      </c>
      <c r="AY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79" s="81">
        <v>3338.8</v>
      </c>
      <c r="BA79" s="81">
        <v>223385</v>
      </c>
      <c r="BB79" s="81"/>
      <c r="BC79" s="81">
        <v>0</v>
      </c>
      <c r="BD79" s="81">
        <v>511.2</v>
      </c>
      <c r="BE79" s="81"/>
      <c r="BF79" s="81"/>
      <c r="BG79" s="81"/>
      <c r="BH79" s="81"/>
      <c r="BI79" s="81"/>
      <c r="BJ79" s="81"/>
      <c r="BK79" s="81"/>
      <c r="BL79" s="81"/>
      <c r="BM79" s="81"/>
      <c r="BN79" s="66" t="s">
        <v>2768</v>
      </c>
      <c r="BO79" s="66"/>
      <c r="BP79" s="66"/>
      <c r="BQ79" s="66" t="str">
        <f>PROPER(TEXT(Prog_23[[#This Row],[PROGRAMAÇÃO CLIENTE]],"mmm"))</f>
        <v>Jan</v>
      </c>
      <c r="BR79" s="66">
        <f>YEAR(Prog_23[[#This Row],[PROGRAMAÇÃO CLIENTE]])</f>
        <v>2023</v>
      </c>
    </row>
    <row r="80" spans="1:70" x14ac:dyDescent="0.25">
      <c r="A80" s="120" t="str">
        <f>Prog_23[[#This Row],[CONTEINER]]</f>
        <v>MRSU5919769</v>
      </c>
      <c r="B80" s="86" t="s">
        <v>2771</v>
      </c>
      <c r="C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80" s="85">
        <v>44957.541666666664</v>
      </c>
      <c r="E80" s="66" t="s">
        <v>297</v>
      </c>
      <c r="F80" s="66" t="s">
        <v>298</v>
      </c>
      <c r="G80" s="66" t="s">
        <v>2893</v>
      </c>
      <c r="H80" s="44">
        <v>224692771</v>
      </c>
      <c r="I80" s="44" t="s">
        <v>2897</v>
      </c>
      <c r="J80" s="66" t="s">
        <v>301</v>
      </c>
      <c r="K80" s="66">
        <v>3720</v>
      </c>
      <c r="L80" s="66" t="s">
        <v>2902</v>
      </c>
      <c r="M80" s="66">
        <v>24582</v>
      </c>
      <c r="N80" s="66">
        <f>SUM(Prog_23[[#This Row],[TARA]]+Prog_23[[#This Row],[PESO]])</f>
        <v>28302</v>
      </c>
      <c r="O80" s="44">
        <v>825549</v>
      </c>
      <c r="P80" s="66" t="s">
        <v>2904</v>
      </c>
      <c r="Q80" s="66" t="s">
        <v>68</v>
      </c>
      <c r="R80" s="66" t="s">
        <v>36</v>
      </c>
      <c r="S80" s="66" t="s">
        <v>69</v>
      </c>
      <c r="T80" s="138" t="str">
        <f>IFERROR(LOOKUP($S80,MOTORISTAS!$D$3:$D$916,MOTORISTAS!E$3:$E$916),"")</f>
        <v>07968457866</v>
      </c>
      <c r="U80" s="138" t="str">
        <f>IFERROR(LOOKUP($S80,MOTORISTAS!$D$3:$D$916,MOTORISTAS!F$3:$F$916),"")</f>
        <v>03264365790</v>
      </c>
      <c r="V80" s="66" t="s">
        <v>292</v>
      </c>
      <c r="W80" s="79">
        <v>44956.830555555556</v>
      </c>
      <c r="X80" s="79">
        <v>44957.291666666664</v>
      </c>
      <c r="Y80" s="79">
        <v>44957.541666666664</v>
      </c>
      <c r="Z80" s="66" t="s">
        <v>306</v>
      </c>
      <c r="AA80" s="79">
        <v>44957.967361111114</v>
      </c>
      <c r="AB80" s="66" t="s">
        <v>2886</v>
      </c>
      <c r="AC80" s="79">
        <v>44957.5</v>
      </c>
      <c r="AD80" s="79">
        <v>44960.5</v>
      </c>
      <c r="AE80" s="66"/>
      <c r="AF80" s="44" t="s">
        <v>3871</v>
      </c>
      <c r="AG80" s="254">
        <f>Prog_23[[#This Row],[SAÍDA DO CLIENTE]]-Prog_23[[#This Row],[PROGRAMAÇÃO CLIENTE]]</f>
        <v>0</v>
      </c>
      <c r="AH80" s="44"/>
      <c r="AI80" s="66"/>
      <c r="AJ80" s="66"/>
      <c r="AK80" s="66"/>
      <c r="AL80" s="66"/>
      <c r="AM80" s="66"/>
      <c r="AN80" s="83"/>
      <c r="AO80" s="83"/>
      <c r="AP80" s="83"/>
      <c r="AQ80" s="66"/>
      <c r="AR80" s="66"/>
      <c r="AS80" s="66"/>
      <c r="AT80" s="81"/>
      <c r="AU80" s="81"/>
      <c r="AV80" s="81"/>
      <c r="AW80" s="81"/>
      <c r="AX80" s="83">
        <f>SUM(Prog_23[[#This Row],[ADIANTAMENTO]]+Prog_23[[#This Row],[SALDO]]+Prog_23[[#This Row],[MARGEM]]+Prog_23[[#This Row],[ESTADIA 1]])</f>
        <v>0</v>
      </c>
      <c r="AY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80" s="81">
        <v>3338.8</v>
      </c>
      <c r="BA80" s="81">
        <v>210821</v>
      </c>
      <c r="BB80" s="81"/>
      <c r="BC80" s="81">
        <v>0</v>
      </c>
      <c r="BD80" s="81">
        <v>511.2</v>
      </c>
      <c r="BE80" s="81"/>
      <c r="BF80" s="81"/>
      <c r="BG80" s="81"/>
      <c r="BH80" s="81"/>
      <c r="BI80" s="81"/>
      <c r="BJ80" s="81"/>
      <c r="BK80" s="81"/>
      <c r="BL80" s="81"/>
      <c r="BM80" s="81"/>
      <c r="BN80" s="66" t="s">
        <v>2768</v>
      </c>
      <c r="BO80" s="66"/>
      <c r="BP80" s="66"/>
      <c r="BQ80" s="66" t="str">
        <f>PROPER(TEXT(Prog_23[[#This Row],[PROGRAMAÇÃO CLIENTE]],"mmm"))</f>
        <v>Jan</v>
      </c>
      <c r="BR80" s="66">
        <f>YEAR(Prog_23[[#This Row],[PROGRAMAÇÃO CLIENTE]])</f>
        <v>2023</v>
      </c>
    </row>
    <row r="81" spans="1:70" x14ac:dyDescent="0.25">
      <c r="A81" s="120" t="str">
        <f>Prog_23[[#This Row],[CONTEINER]]</f>
        <v>CAAU6638033</v>
      </c>
      <c r="B81" s="86" t="s">
        <v>2771</v>
      </c>
      <c r="C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81" s="85">
        <v>44957.583333333336</v>
      </c>
      <c r="E81" s="66" t="s">
        <v>297</v>
      </c>
      <c r="F81" s="66" t="s">
        <v>298</v>
      </c>
      <c r="G81" s="66" t="s">
        <v>2893</v>
      </c>
      <c r="H81" s="44">
        <v>224692771</v>
      </c>
      <c r="I81" s="44" t="s">
        <v>2898</v>
      </c>
      <c r="J81" s="66" t="s">
        <v>301</v>
      </c>
      <c r="K81" s="66">
        <v>3700</v>
      </c>
      <c r="L81" s="66" t="s">
        <v>2903</v>
      </c>
      <c r="M81" s="66">
        <v>22810</v>
      </c>
      <c r="N81" s="66">
        <f>SUM(Prog_23[[#This Row],[TARA]]+Prog_23[[#This Row],[PESO]])</f>
        <v>26510</v>
      </c>
      <c r="O81" s="44">
        <v>826054</v>
      </c>
      <c r="P81" s="66" t="s">
        <v>2904</v>
      </c>
      <c r="Q81" s="66" t="s">
        <v>155</v>
      </c>
      <c r="R81" s="66" t="s">
        <v>209</v>
      </c>
      <c r="S81" s="66" t="s">
        <v>2908</v>
      </c>
      <c r="T81" s="138" t="str">
        <f>IFERROR(LOOKUP($S81,MOTORISTAS!$D$3:$D$916,MOTORISTAS!E$3:$E$916),"")</f>
        <v>09803034863</v>
      </c>
      <c r="U81" s="138" t="str">
        <f>IFERROR(LOOKUP($S81,MOTORISTAS!$D$3:$D$916,MOTORISTAS!F$3:$F$916),"")</f>
        <v>01484565209</v>
      </c>
      <c r="V81" s="66" t="s">
        <v>292</v>
      </c>
      <c r="W81" s="79">
        <v>44956.913888888892</v>
      </c>
      <c r="X81" s="79">
        <v>44957.354166666664</v>
      </c>
      <c r="Y81" s="79">
        <v>44958.1875</v>
      </c>
      <c r="Z81" s="66" t="s">
        <v>306</v>
      </c>
      <c r="AA81" s="79">
        <v>44958.543749999997</v>
      </c>
      <c r="AB81" s="66" t="s">
        <v>2886</v>
      </c>
      <c r="AC81" s="79">
        <v>44957.5</v>
      </c>
      <c r="AD81" s="79">
        <v>44960.5</v>
      </c>
      <c r="AE81" s="66"/>
      <c r="AF81" s="44" t="s">
        <v>3873</v>
      </c>
      <c r="AG81" s="254">
        <f>Prog_23[[#This Row],[SAÍDA DO CLIENTE]]-Prog_23[[#This Row],[PROGRAMAÇÃO CLIENTE]]</f>
        <v>0.60416666666424135</v>
      </c>
      <c r="AH81" s="44"/>
      <c r="AI81" s="66"/>
      <c r="AJ81" s="66"/>
      <c r="AK81" s="66"/>
      <c r="AL81" s="66"/>
      <c r="AM81" s="66"/>
      <c r="AN81" s="83"/>
      <c r="AO81" s="83"/>
      <c r="AP81" s="83"/>
      <c r="AQ81" s="66"/>
      <c r="AR81" s="66"/>
      <c r="AS81" s="66"/>
      <c r="AT81" s="81"/>
      <c r="AU81" s="81"/>
      <c r="AV81" s="81"/>
      <c r="AW81" s="81"/>
      <c r="AX81" s="83">
        <f>SUM(Prog_23[[#This Row],[ADIANTAMENTO]]+Prog_23[[#This Row],[SALDO]]+Prog_23[[#This Row],[MARGEM]]+Prog_23[[#This Row],[ESTADIA 1]])</f>
        <v>0</v>
      </c>
      <c r="AY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4615</v>
      </c>
      <c r="AZ81" s="81">
        <v>3338.8</v>
      </c>
      <c r="BA81" s="81">
        <v>175040.8</v>
      </c>
      <c r="BB81" s="81"/>
      <c r="BC81" s="81">
        <v>0</v>
      </c>
      <c r="BD81" s="81">
        <v>511.2</v>
      </c>
      <c r="BE81" s="81"/>
      <c r="BF81" s="81"/>
      <c r="BG81" s="81"/>
      <c r="BH81" s="81"/>
      <c r="BI81" s="81"/>
      <c r="BJ81" s="81"/>
      <c r="BK81" s="81"/>
      <c r="BL81" s="81"/>
      <c r="BM81" s="81">
        <f t="shared" ref="BM81" si="4">85*9</f>
        <v>765</v>
      </c>
      <c r="BN81" s="66" t="s">
        <v>2768</v>
      </c>
      <c r="BO81" s="66"/>
      <c r="BP81" s="66"/>
      <c r="BQ81" s="66" t="str">
        <f>PROPER(TEXT(Prog_23[[#This Row],[PROGRAMAÇÃO CLIENTE]],"mmm"))</f>
        <v>Jan</v>
      </c>
      <c r="BR81" s="66">
        <f>YEAR(Prog_23[[#This Row],[PROGRAMAÇÃO CLIENTE]])</f>
        <v>2023</v>
      </c>
    </row>
    <row r="82" spans="1:70" x14ac:dyDescent="0.25">
      <c r="A82" s="120" t="str">
        <f>Prog_23[[#This Row],[CONTEINER]]</f>
        <v>MSDU8097704</v>
      </c>
      <c r="B82" s="86" t="s">
        <v>2771</v>
      </c>
      <c r="C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82" s="85">
        <v>44960.375</v>
      </c>
      <c r="E82" s="66" t="s">
        <v>297</v>
      </c>
      <c r="F82" s="66" t="s">
        <v>298</v>
      </c>
      <c r="G82" s="66" t="s">
        <v>2889</v>
      </c>
      <c r="H82" s="44" t="s">
        <v>2891</v>
      </c>
      <c r="I82" s="44" t="s">
        <v>3169</v>
      </c>
      <c r="J82" s="66" t="s">
        <v>301</v>
      </c>
      <c r="K82" s="66">
        <v>3840</v>
      </c>
      <c r="L82" s="66" t="s">
        <v>3170</v>
      </c>
      <c r="M82" s="66">
        <v>23547</v>
      </c>
      <c r="N82" s="66">
        <f>SUM(Prog_23[[#This Row],[TARA]]+Prog_23[[#This Row],[PESO]])</f>
        <v>27387</v>
      </c>
      <c r="O82" s="44">
        <v>826747</v>
      </c>
      <c r="P82" s="66" t="s">
        <v>2892</v>
      </c>
      <c r="Q82" s="66" t="s">
        <v>72</v>
      </c>
      <c r="R82" s="66" t="s">
        <v>73</v>
      </c>
      <c r="S82" s="66" t="s">
        <v>203</v>
      </c>
      <c r="T82" s="138" t="str">
        <f>IFERROR(LOOKUP($S82,MOTORISTAS!$D$3:$D$916,MOTORISTAS!E$3:$E$916),"")</f>
        <v>10395859816</v>
      </c>
      <c r="U82" s="138" t="str">
        <f>IFERROR(LOOKUP($S82,MOTORISTAS!$D$3:$D$916,MOTORISTAS!F$3:$F$916),"")</f>
        <v>01965794851</v>
      </c>
      <c r="V82" s="66" t="s">
        <v>469</v>
      </c>
      <c r="W82" s="79">
        <v>44959.958333333336</v>
      </c>
      <c r="X82" s="79">
        <v>44960.291666666664</v>
      </c>
      <c r="Y82" s="79">
        <v>44960.506944444445</v>
      </c>
      <c r="Z82" s="66" t="s">
        <v>410</v>
      </c>
      <c r="AA82" s="79">
        <v>44960.75</v>
      </c>
      <c r="AB82" s="79">
        <v>44960.541666666664</v>
      </c>
      <c r="AC82" s="79">
        <v>44963.416666666664</v>
      </c>
      <c r="AD82" s="79">
        <v>44964.5</v>
      </c>
      <c r="AE82" s="66" t="s">
        <v>1995</v>
      </c>
      <c r="AF82" s="44">
        <v>15021</v>
      </c>
      <c r="AG82" s="254">
        <f>Prog_23[[#This Row],[SAÍDA DO CLIENTE]]-Prog_23[[#This Row],[PROGRAMAÇÃO CLIENTE]]</f>
        <v>0.13194444444525288</v>
      </c>
      <c r="AH82" s="44"/>
      <c r="AI82" s="66"/>
      <c r="AJ82" s="66">
        <v>6236506</v>
      </c>
      <c r="AK82" s="66"/>
      <c r="AL82" s="66"/>
      <c r="AM82" s="66"/>
      <c r="AN82" s="83"/>
      <c r="AO82" s="83"/>
      <c r="AP82" s="83"/>
      <c r="AQ82" s="66"/>
      <c r="AR82" s="66"/>
      <c r="AS82" s="66"/>
      <c r="AT82" s="81">
        <v>3200</v>
      </c>
      <c r="AU82" s="81"/>
      <c r="AV82" s="81"/>
      <c r="AW82" s="81"/>
      <c r="AX82" s="83">
        <f>SUM(Prog_23[[#This Row],[ADIANTAMENTO]]+Prog_23[[#This Row],[SALDO]]+Prog_23[[#This Row],[MARGEM]]+Prog_23[[#This Row],[ESTADIA 1]])</f>
        <v>3200</v>
      </c>
      <c r="AY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82" s="81">
        <v>3338.8</v>
      </c>
      <c r="BA82" s="81">
        <v>113737.5</v>
      </c>
      <c r="BB82" s="81">
        <v>0</v>
      </c>
      <c r="BC82" s="81">
        <v>0</v>
      </c>
      <c r="BD82" s="81">
        <v>511.2</v>
      </c>
      <c r="BE82" s="81"/>
      <c r="BF82" s="81"/>
      <c r="BG82" s="81"/>
      <c r="BH82" s="81"/>
      <c r="BI82" s="81"/>
      <c r="BJ82" s="81"/>
      <c r="BK82" s="81"/>
      <c r="BL82" s="81"/>
      <c r="BM82" s="81"/>
      <c r="BN82" s="66" t="s">
        <v>2768</v>
      </c>
      <c r="BO82" s="66" t="s">
        <v>2768</v>
      </c>
      <c r="BP82" s="66" t="s">
        <v>2768</v>
      </c>
      <c r="BQ82" s="66" t="str">
        <f>PROPER(TEXT(Prog_23[[#This Row],[PROGRAMAÇÃO CLIENTE]],"mmm"))</f>
        <v>Fev</v>
      </c>
      <c r="BR82" s="66">
        <f>YEAR(Prog_23[[#This Row],[PROGRAMAÇÃO CLIENTE]])</f>
        <v>2023</v>
      </c>
    </row>
    <row r="83" spans="1:70" x14ac:dyDescent="0.25">
      <c r="A83" s="120" t="str">
        <f>Prog_23[[#This Row],[CONTEINER]]</f>
        <v>MSCU5239308</v>
      </c>
      <c r="B83" s="86" t="s">
        <v>2771</v>
      </c>
      <c r="C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83" s="85">
        <v>44960.458333333336</v>
      </c>
      <c r="E83" s="66" t="s">
        <v>297</v>
      </c>
      <c r="F83" s="66" t="s">
        <v>298</v>
      </c>
      <c r="G83" s="66" t="s">
        <v>2890</v>
      </c>
      <c r="H83" s="44" t="s">
        <v>2891</v>
      </c>
      <c r="I83" s="44" t="s">
        <v>3171</v>
      </c>
      <c r="J83" s="66" t="s">
        <v>301</v>
      </c>
      <c r="K83" s="66">
        <v>3840</v>
      </c>
      <c r="L83" s="66" t="s">
        <v>3172</v>
      </c>
      <c r="M83" s="66">
        <v>23547</v>
      </c>
      <c r="N83" s="66">
        <f>SUM(Prog_23[[#This Row],[TARA]]+Prog_23[[#This Row],[PESO]])</f>
        <v>27387</v>
      </c>
      <c r="O83" s="44">
        <v>826759</v>
      </c>
      <c r="P83" s="66" t="s">
        <v>2892</v>
      </c>
      <c r="Q83" s="66" t="s">
        <v>119</v>
      </c>
      <c r="R83" s="66" t="s">
        <v>120</v>
      </c>
      <c r="S83" s="66" t="s">
        <v>121</v>
      </c>
      <c r="T83" s="138" t="str">
        <f>IFERROR(LOOKUP($S83,MOTORISTAS!$D$3:$D$916,MOTORISTAS!E$3:$E$916),"")</f>
        <v>34597330801</v>
      </c>
      <c r="U83" s="138" t="str">
        <f>IFERROR(LOOKUP($S83,MOTORISTAS!$D$3:$D$916,MOTORISTAS!F$3:$F$916),"")</f>
        <v>03565076543</v>
      </c>
      <c r="V83" s="66" t="s">
        <v>469</v>
      </c>
      <c r="W83" s="79">
        <v>44959.958333333336</v>
      </c>
      <c r="X83" s="79">
        <v>44960.291666666664</v>
      </c>
      <c r="Y83" s="79">
        <v>44960.583333333336</v>
      </c>
      <c r="Z83" s="66" t="s">
        <v>410</v>
      </c>
      <c r="AA83" s="79">
        <v>44961.041666666664</v>
      </c>
      <c r="AB83" s="79">
        <v>44960.541666666664</v>
      </c>
      <c r="AC83" s="79">
        <v>44963.416666666664</v>
      </c>
      <c r="AD83" s="79">
        <v>44964.5</v>
      </c>
      <c r="AE83" s="66" t="s">
        <v>1995</v>
      </c>
      <c r="AF83" s="44">
        <v>15023</v>
      </c>
      <c r="AG83" s="254">
        <f>Prog_23[[#This Row],[SAÍDA DO CLIENTE]]-Prog_23[[#This Row],[PROGRAMAÇÃO CLIENTE]]</f>
        <v>0.125</v>
      </c>
      <c r="AH83" s="44"/>
      <c r="AI83" s="66"/>
      <c r="AJ83" s="66">
        <v>6236512</v>
      </c>
      <c r="AK83" s="66"/>
      <c r="AL83" s="66"/>
      <c r="AM83" s="66"/>
      <c r="AN83" s="83"/>
      <c r="AO83" s="83"/>
      <c r="AP83" s="83"/>
      <c r="AQ83" s="66"/>
      <c r="AR83" s="66"/>
      <c r="AS83" s="66"/>
      <c r="AT83" s="81">
        <v>3200</v>
      </c>
      <c r="AU83" s="81"/>
      <c r="AV83" s="81"/>
      <c r="AW83" s="81"/>
      <c r="AX83" s="83">
        <f>SUM(Prog_23[[#This Row],[ADIANTAMENTO]]+Prog_23[[#This Row],[SALDO]]+Prog_23[[#This Row],[MARGEM]]+Prog_23[[#This Row],[ESTADIA 1]])</f>
        <v>3200</v>
      </c>
      <c r="AY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83" s="81">
        <v>3338.8</v>
      </c>
      <c r="BA83" s="81">
        <v>113737.5</v>
      </c>
      <c r="BB83" s="81">
        <v>0</v>
      </c>
      <c r="BC83" s="81">
        <v>0</v>
      </c>
      <c r="BD83" s="81">
        <v>511.2</v>
      </c>
      <c r="BE83" s="81"/>
      <c r="BF83" s="81"/>
      <c r="BG83" s="81"/>
      <c r="BH83" s="81"/>
      <c r="BI83" s="81"/>
      <c r="BJ83" s="81"/>
      <c r="BK83" s="81"/>
      <c r="BL83" s="81"/>
      <c r="BM83" s="81"/>
      <c r="BN83" s="66" t="s">
        <v>2768</v>
      </c>
      <c r="BO83" s="66" t="s">
        <v>2768</v>
      </c>
      <c r="BP83" s="66" t="s">
        <v>2768</v>
      </c>
      <c r="BQ83" s="66" t="str">
        <f>PROPER(TEXT(Prog_23[[#This Row],[PROGRAMAÇÃO CLIENTE]],"mmm"))</f>
        <v>Fev</v>
      </c>
      <c r="BR83" s="66">
        <f>YEAR(Prog_23[[#This Row],[PROGRAMAÇÃO CLIENTE]])</f>
        <v>2023</v>
      </c>
    </row>
    <row r="84" spans="1:70" x14ac:dyDescent="0.25">
      <c r="A84" s="120" t="str">
        <f>Prog_23[[#This Row],[CONTEINER]]</f>
        <v>TRHU5060059</v>
      </c>
      <c r="B84" s="86" t="s">
        <v>2771</v>
      </c>
      <c r="C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84" s="85">
        <v>44967.375</v>
      </c>
      <c r="E84" s="66" t="s">
        <v>297</v>
      </c>
      <c r="F84" s="66" t="s">
        <v>298</v>
      </c>
      <c r="G84" s="66" t="s">
        <v>3447</v>
      </c>
      <c r="H84" s="44" t="s">
        <v>3305</v>
      </c>
      <c r="I84" s="44" t="s">
        <v>3452</v>
      </c>
      <c r="J84" s="66" t="s">
        <v>301</v>
      </c>
      <c r="K84" s="66">
        <v>3700</v>
      </c>
      <c r="L84" s="66" t="s">
        <v>3453</v>
      </c>
      <c r="M84" s="66">
        <v>23547</v>
      </c>
      <c r="N84" s="66">
        <f>SUM(Prog_23[[#This Row],[TARA]]+Prog_23[[#This Row],[PESO]])</f>
        <v>27247</v>
      </c>
      <c r="O84" s="44">
        <v>828832</v>
      </c>
      <c r="P84" s="66" t="s">
        <v>3448</v>
      </c>
      <c r="Q84" s="66" t="s">
        <v>68</v>
      </c>
      <c r="R84" s="66" t="s">
        <v>36</v>
      </c>
      <c r="S84" s="66" t="s">
        <v>69</v>
      </c>
      <c r="T84" s="138" t="str">
        <f>IFERROR(LOOKUP($S84,MOTORISTAS!$D$3:$D$916,MOTORISTAS!E$3:$E$916),"")</f>
        <v>07968457866</v>
      </c>
      <c r="U84" s="138" t="str">
        <f>IFERROR(LOOKUP($S84,MOTORISTAS!$D$3:$D$916,MOTORISTAS!F$3:$F$916),"")</f>
        <v>03264365790</v>
      </c>
      <c r="V84" s="66" t="s">
        <v>469</v>
      </c>
      <c r="W84" s="79">
        <v>44966.956944444442</v>
      </c>
      <c r="X84" s="79">
        <v>44967.166666666664</v>
      </c>
      <c r="Y84" s="79">
        <v>44967.739583333336</v>
      </c>
      <c r="Z84" s="66" t="s">
        <v>410</v>
      </c>
      <c r="AA84" s="79">
        <v>44970.461111111108</v>
      </c>
      <c r="AB84" s="79">
        <v>44968.541666666664</v>
      </c>
      <c r="AC84" s="79">
        <v>44970.416666666664</v>
      </c>
      <c r="AD84" s="79">
        <v>44972.5</v>
      </c>
      <c r="AE84" s="66" t="s">
        <v>1995</v>
      </c>
      <c r="AF84" s="44">
        <v>15065</v>
      </c>
      <c r="AG84" s="254">
        <f>Prog_23[[#This Row],[SAÍDA DO CLIENTE]]-Prog_23[[#This Row],[PROGRAMAÇÃO CLIENTE]]</f>
        <v>0.36458333333575865</v>
      </c>
      <c r="AH84" s="44"/>
      <c r="AI84" s="66"/>
      <c r="AJ84" s="66"/>
      <c r="AK84" s="66" t="s">
        <v>393</v>
      </c>
      <c r="AL84" s="79">
        <v>44967.875</v>
      </c>
      <c r="AM84" s="66"/>
      <c r="AN84" s="83">
        <v>950</v>
      </c>
      <c r="AO84" s="83"/>
      <c r="AP84" s="83"/>
      <c r="AQ84" s="66"/>
      <c r="AR84" s="66"/>
      <c r="AS84" s="66"/>
      <c r="AT84" s="81">
        <v>3200</v>
      </c>
      <c r="AU84" s="81"/>
      <c r="AV84" s="81"/>
      <c r="AW84" s="81"/>
      <c r="AX84" s="83">
        <f>SUM(Prog_23[[#This Row],[ADIANTAMENTO]]+Prog_23[[#This Row],[SALDO]]+Prog_23[[#This Row],[MARGEM]]+Prog_23[[#This Row],[ESTADIA 1]])</f>
        <v>3200</v>
      </c>
      <c r="AY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84" s="81">
        <v>3338.8</v>
      </c>
      <c r="BA84" s="81">
        <v>119238</v>
      </c>
      <c r="BB84" s="81">
        <v>0</v>
      </c>
      <c r="BC84" s="81">
        <v>0</v>
      </c>
      <c r="BD84" s="81">
        <v>511.2</v>
      </c>
      <c r="BE84" s="81"/>
      <c r="BF84" s="81"/>
      <c r="BG84" s="81"/>
      <c r="BH84" s="81"/>
      <c r="BI84" s="81"/>
      <c r="BJ84" s="81"/>
      <c r="BK84" s="81"/>
      <c r="BL84" s="81"/>
      <c r="BM84" s="81"/>
      <c r="BN84" s="66" t="s">
        <v>2768</v>
      </c>
      <c r="BO84" s="66" t="s">
        <v>2768</v>
      </c>
      <c r="BP84" s="66" t="s">
        <v>2768</v>
      </c>
      <c r="BQ84" s="66" t="str">
        <f>PROPER(TEXT(Prog_23[[#This Row],[PROGRAMAÇÃO CLIENTE]],"mmm"))</f>
        <v>Fev</v>
      </c>
      <c r="BR84" s="66">
        <f>YEAR(Prog_23[[#This Row],[PROGRAMAÇÃO CLIENTE]])</f>
        <v>2023</v>
      </c>
    </row>
    <row r="85" spans="1:70" x14ac:dyDescent="0.25">
      <c r="A85" s="120" t="str">
        <f>Prog_23[[#This Row],[CONTEINER]]</f>
        <v>BMOU6124485</v>
      </c>
      <c r="B85" s="86" t="s">
        <v>2771</v>
      </c>
      <c r="C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85" s="85">
        <v>44967.458333333336</v>
      </c>
      <c r="E85" s="66" t="s">
        <v>297</v>
      </c>
      <c r="F85" s="66" t="s">
        <v>298</v>
      </c>
      <c r="G85" s="66" t="s">
        <v>3451</v>
      </c>
      <c r="H85" s="44" t="s">
        <v>3305</v>
      </c>
      <c r="I85" s="44" t="s">
        <v>3454</v>
      </c>
      <c r="J85" s="66" t="s">
        <v>301</v>
      </c>
      <c r="K85" s="66">
        <v>3850</v>
      </c>
      <c r="L85" s="66" t="s">
        <v>3455</v>
      </c>
      <c r="M85" s="66">
        <v>23547</v>
      </c>
      <c r="N85" s="66">
        <f>SUM(Prog_23[[#This Row],[TARA]]+Prog_23[[#This Row],[PESO]])</f>
        <v>27397</v>
      </c>
      <c r="O85" s="44">
        <v>828830</v>
      </c>
      <c r="P85" s="66" t="s">
        <v>3448</v>
      </c>
      <c r="Q85" s="66" t="s">
        <v>31</v>
      </c>
      <c r="R85" s="66" t="s">
        <v>32</v>
      </c>
      <c r="S85" s="66" t="s">
        <v>33</v>
      </c>
      <c r="T85" s="138" t="str">
        <f>IFERROR(LOOKUP($S85,MOTORISTAS!$D$3:$D$916,MOTORISTAS!E$3:$E$916),"")</f>
        <v>09776430856</v>
      </c>
      <c r="U85" s="138" t="str">
        <f>IFERROR(LOOKUP($S85,MOTORISTAS!$D$3:$D$916,MOTORISTAS!F$3:$F$916),"")</f>
        <v>01258979905</v>
      </c>
      <c r="V85" s="66" t="s">
        <v>469</v>
      </c>
      <c r="W85" s="79">
        <v>44966.956944444442</v>
      </c>
      <c r="X85" s="79">
        <v>44967.322916666664</v>
      </c>
      <c r="Y85" s="79">
        <v>44967.739583333336</v>
      </c>
      <c r="Z85" s="66" t="s">
        <v>410</v>
      </c>
      <c r="AA85" s="79">
        <v>44970.482638888891</v>
      </c>
      <c r="AB85" s="79">
        <v>44968.541666666664</v>
      </c>
      <c r="AC85" s="79">
        <v>44970.416666666664</v>
      </c>
      <c r="AD85" s="79">
        <v>44972.5</v>
      </c>
      <c r="AE85" s="66" t="s">
        <v>1995</v>
      </c>
      <c r="AF85" s="44">
        <v>15066</v>
      </c>
      <c r="AG85" s="254">
        <f>Prog_23[[#This Row],[SAÍDA DO CLIENTE]]-Prog_23[[#This Row],[PROGRAMAÇÃO CLIENTE]]</f>
        <v>0.28125</v>
      </c>
      <c r="AH85" s="44"/>
      <c r="AI85" s="66"/>
      <c r="AJ85" s="66"/>
      <c r="AK85" s="66" t="s">
        <v>393</v>
      </c>
      <c r="AL85" s="79">
        <v>44967.916666666664</v>
      </c>
      <c r="AM85" s="66"/>
      <c r="AN85" s="83">
        <v>950</v>
      </c>
      <c r="AO85" s="83"/>
      <c r="AP85" s="83"/>
      <c r="AQ85" s="66"/>
      <c r="AR85" s="66"/>
      <c r="AS85" s="66"/>
      <c r="AT85" s="81">
        <v>3200</v>
      </c>
      <c r="AU85" s="81"/>
      <c r="AV85" s="81"/>
      <c r="AW85" s="81"/>
      <c r="AX85" s="83">
        <f>SUM(Prog_23[[#This Row],[ADIANTAMENTO]]+Prog_23[[#This Row],[SALDO]]+Prog_23[[#This Row],[MARGEM]]+Prog_23[[#This Row],[ESTADIA 1]])</f>
        <v>3200</v>
      </c>
      <c r="AY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85" s="81">
        <v>3338.8</v>
      </c>
      <c r="BA85" s="81">
        <v>119238</v>
      </c>
      <c r="BB85" s="81">
        <v>0</v>
      </c>
      <c r="BC85" s="81">
        <v>0</v>
      </c>
      <c r="BD85" s="81">
        <v>511.2</v>
      </c>
      <c r="BE85" s="81"/>
      <c r="BF85" s="81"/>
      <c r="BG85" s="81"/>
      <c r="BH85" s="81"/>
      <c r="BI85" s="81"/>
      <c r="BJ85" s="81"/>
      <c r="BK85" s="81"/>
      <c r="BL85" s="81"/>
      <c r="BM85" s="81"/>
      <c r="BN85" s="66" t="s">
        <v>2768</v>
      </c>
      <c r="BO85" s="66" t="s">
        <v>2768</v>
      </c>
      <c r="BP85" s="66" t="s">
        <v>2768</v>
      </c>
      <c r="BQ85" s="66" t="str">
        <f>PROPER(TEXT(Prog_23[[#This Row],[PROGRAMAÇÃO CLIENTE]],"mmm"))</f>
        <v>Fev</v>
      </c>
      <c r="BR85" s="66">
        <f>YEAR(Prog_23[[#This Row],[PROGRAMAÇÃO CLIENTE]])</f>
        <v>2023</v>
      </c>
    </row>
    <row r="86" spans="1:70" x14ac:dyDescent="0.25">
      <c r="A86" s="120" t="str">
        <f>Prog_23[[#This Row],[CONTEINER]]</f>
        <v>HLBU2788642</v>
      </c>
      <c r="B86" s="86" t="s">
        <v>2771</v>
      </c>
      <c r="C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86" s="85">
        <v>44970.291666666664</v>
      </c>
      <c r="E86" s="66" t="s">
        <v>2059</v>
      </c>
      <c r="F86" s="66" t="s">
        <v>2060</v>
      </c>
      <c r="G86" s="66" t="s">
        <v>3445</v>
      </c>
      <c r="H86" s="44">
        <v>69208477</v>
      </c>
      <c r="I86" s="44" t="s">
        <v>3468</v>
      </c>
      <c r="J86" s="66" t="s">
        <v>301</v>
      </c>
      <c r="K86" s="66">
        <v>3900</v>
      </c>
      <c r="L86" s="66" t="s">
        <v>3469</v>
      </c>
      <c r="M86" s="66">
        <v>25639</v>
      </c>
      <c r="N86" s="66">
        <f>SUM(Prog_23[[#This Row],[TARA]]+Prog_23[[#This Row],[PESO]])</f>
        <v>29539</v>
      </c>
      <c r="O86" s="44" t="s">
        <v>3539</v>
      </c>
      <c r="P86" s="66" t="s">
        <v>3569</v>
      </c>
      <c r="Q86" s="66" t="s">
        <v>31</v>
      </c>
      <c r="R86" s="66" t="s">
        <v>32</v>
      </c>
      <c r="S86" s="66" t="s">
        <v>33</v>
      </c>
      <c r="T86" s="138" t="str">
        <f>IFERROR(LOOKUP($S86,MOTORISTAS!$D$3:$D$916,MOTORISTAS!E$3:$E$916),"")</f>
        <v>09776430856</v>
      </c>
      <c r="U86" s="138" t="str">
        <f>IFERROR(LOOKUP($S86,MOTORISTAS!$D$3:$D$916,MOTORISTAS!F$3:$F$916),"")</f>
        <v>01258979905</v>
      </c>
      <c r="V86" s="66" t="s">
        <v>292</v>
      </c>
      <c r="W86" s="79">
        <v>44968.355555555558</v>
      </c>
      <c r="X86" s="79">
        <v>44970.305555555555</v>
      </c>
      <c r="Y86" s="79">
        <v>44971.333333333336</v>
      </c>
      <c r="Z86" s="66" t="s">
        <v>293</v>
      </c>
      <c r="AA86" s="79">
        <v>44980.880555555559</v>
      </c>
      <c r="AB86" s="79">
        <v>44977.791666666664</v>
      </c>
      <c r="AC86" s="79">
        <v>44971.5</v>
      </c>
      <c r="AD86" s="79">
        <v>44981.5</v>
      </c>
      <c r="AE86" s="66" t="s">
        <v>418</v>
      </c>
      <c r="AF86" s="44" t="s">
        <v>3696</v>
      </c>
      <c r="AG86" s="254">
        <f>Prog_23[[#This Row],[SAÍDA DO CLIENTE]]-Prog_23[[#This Row],[PROGRAMAÇÃO CLIENTE]]</f>
        <v>1.0416666666715173</v>
      </c>
      <c r="AH86" s="44"/>
      <c r="AI86" s="66"/>
      <c r="AJ86" s="66" t="s">
        <v>3502</v>
      </c>
      <c r="AK86" s="66" t="s">
        <v>393</v>
      </c>
      <c r="AL86" s="79">
        <v>44971.5</v>
      </c>
      <c r="AM86" s="66"/>
      <c r="AN86" s="83">
        <v>950</v>
      </c>
      <c r="AO86" s="83"/>
      <c r="AP86" s="83"/>
      <c r="AQ86" s="66"/>
      <c r="AR86" s="66"/>
      <c r="AS86" s="66"/>
      <c r="AT86" s="81"/>
      <c r="AU86" s="81"/>
      <c r="AV86" s="81"/>
      <c r="AW86" s="81"/>
      <c r="AX86" s="83">
        <f>SUM(Prog_23[[#This Row],[ADIANTAMENTO]]+Prog_23[[#This Row],[SALDO]]+Prog_23[[#This Row],[MARGEM]]+Prog_23[[#This Row],[ESTADIA 1]])</f>
        <v>0</v>
      </c>
      <c r="AY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4680.48128</v>
      </c>
      <c r="AZ86" s="81">
        <v>3131.1</v>
      </c>
      <c r="BA86" s="81">
        <v>130481.28</v>
      </c>
      <c r="BB86" s="81">
        <f>Prog_23[[#This Row],[VLR NF]]*0.1%</f>
        <v>130.48128</v>
      </c>
      <c r="BC86" s="81">
        <v>0</v>
      </c>
      <c r="BD86" s="81">
        <v>468.9</v>
      </c>
      <c r="BE86" s="81"/>
      <c r="BF86" s="81"/>
      <c r="BG86" s="81"/>
      <c r="BH86" s="81"/>
      <c r="BI86" s="81"/>
      <c r="BJ86" s="81"/>
      <c r="BK86" s="81"/>
      <c r="BL86" s="81">
        <v>350</v>
      </c>
      <c r="BM86" s="81">
        <v>600</v>
      </c>
      <c r="BN86" s="66" t="s">
        <v>2768</v>
      </c>
      <c r="BO86" s="66" t="s">
        <v>2768</v>
      </c>
      <c r="BP86" s="66" t="s">
        <v>2768</v>
      </c>
      <c r="BQ86" s="66" t="str">
        <f>PROPER(TEXT(Prog_23[[#This Row],[PROGRAMAÇÃO CLIENTE]],"mmm"))</f>
        <v>Fev</v>
      </c>
      <c r="BR86" s="66">
        <f>YEAR(Prog_23[[#This Row],[PROGRAMAÇÃO CLIENTE]])</f>
        <v>2023</v>
      </c>
    </row>
    <row r="87" spans="1:70" x14ac:dyDescent="0.25">
      <c r="A87" s="120" t="str">
        <f>Prog_23[[#This Row],[CONTEINER]]</f>
        <v>MRKU5976339</v>
      </c>
      <c r="B87" s="86" t="s">
        <v>2771</v>
      </c>
      <c r="C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87" s="85">
        <v>44971.333333333336</v>
      </c>
      <c r="E87" s="66" t="s">
        <v>297</v>
      </c>
      <c r="F87" s="66" t="s">
        <v>298</v>
      </c>
      <c r="G87" s="66" t="s">
        <v>3435</v>
      </c>
      <c r="H87" s="44">
        <v>224797543</v>
      </c>
      <c r="I87" s="44" t="s">
        <v>3534</v>
      </c>
      <c r="J87" s="66" t="s">
        <v>301</v>
      </c>
      <c r="K87" s="66">
        <v>3810</v>
      </c>
      <c r="L87" s="66" t="s">
        <v>3535</v>
      </c>
      <c r="M87" s="66">
        <v>18411</v>
      </c>
      <c r="N87" s="66">
        <f>SUM(Prog_23[[#This Row],[TARA]]+Prog_23[[#This Row],[PESO]])</f>
        <v>22221</v>
      </c>
      <c r="O87" s="44">
        <v>830013</v>
      </c>
      <c r="P87" s="66" t="s">
        <v>3436</v>
      </c>
      <c r="Q87" s="66" t="s">
        <v>72</v>
      </c>
      <c r="R87" s="66" t="s">
        <v>73</v>
      </c>
      <c r="S87" s="66" t="s">
        <v>203</v>
      </c>
      <c r="T87" s="138" t="str">
        <f>IFERROR(LOOKUP($S87,MOTORISTAS!$D$3:$D$916,MOTORISTAS!E$3:$E$916),"")</f>
        <v>10395859816</v>
      </c>
      <c r="U87" s="138" t="str">
        <f>IFERROR(LOOKUP($S87,MOTORISTAS!$D$3:$D$916,MOTORISTAS!F$3:$F$916),"")</f>
        <v>01965794851</v>
      </c>
      <c r="V87" s="66" t="s">
        <v>409</v>
      </c>
      <c r="W87" s="79">
        <v>44970.629861111112</v>
      </c>
      <c r="X87" s="79">
        <v>44971.125</v>
      </c>
      <c r="Y87" s="79">
        <v>44971.916666666664</v>
      </c>
      <c r="Z87" s="66" t="s">
        <v>306</v>
      </c>
      <c r="AA87" s="79">
        <v>44972.089583333334</v>
      </c>
      <c r="AB87" s="79">
        <v>44970.791666666664</v>
      </c>
      <c r="AC87" s="79">
        <v>44971.708333333336</v>
      </c>
      <c r="AD87" s="79">
        <v>44974.5</v>
      </c>
      <c r="AE87" s="66" t="s">
        <v>3437</v>
      </c>
      <c r="AF87" s="44">
        <v>15075</v>
      </c>
      <c r="AG87" s="254">
        <f>Prog_23[[#This Row],[SAÍDA DO CLIENTE]]-Prog_23[[#This Row],[PROGRAMAÇÃO CLIENTE]]</f>
        <v>0.58333333332848269</v>
      </c>
      <c r="AH87" s="44"/>
      <c r="AI87" s="66"/>
      <c r="AJ87" s="66"/>
      <c r="AK87" s="66"/>
      <c r="AL87" s="66"/>
      <c r="AM87" s="66"/>
      <c r="AN87" s="83"/>
      <c r="AO87" s="83"/>
      <c r="AP87" s="83"/>
      <c r="AQ87" s="66"/>
      <c r="AR87" s="66"/>
      <c r="AS87" s="66"/>
      <c r="AT87" s="81">
        <v>3400</v>
      </c>
      <c r="AU87" s="81"/>
      <c r="AV87" s="81"/>
      <c r="AW87" s="81"/>
      <c r="AX87" s="83">
        <f>SUM(Prog_23[[#This Row],[ADIANTAMENTO]]+Prog_23[[#This Row],[SALDO]]+Prog_23[[#This Row],[MARGEM]]+Prog_23[[#This Row],[ESTADIA 1]])</f>
        <v>3400</v>
      </c>
      <c r="AY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4615</v>
      </c>
      <c r="AZ87" s="81">
        <v>3338.8</v>
      </c>
      <c r="BA87" s="81">
        <v>128466.25</v>
      </c>
      <c r="BB87" s="81">
        <v>0</v>
      </c>
      <c r="BC87" s="81">
        <v>0</v>
      </c>
      <c r="BD87" s="81">
        <v>511.2</v>
      </c>
      <c r="BE87" s="81"/>
      <c r="BF87" s="81"/>
      <c r="BG87" s="81"/>
      <c r="BH87" s="81"/>
      <c r="BI87" s="81"/>
      <c r="BJ87" s="81"/>
      <c r="BK87" s="81"/>
      <c r="BL87" s="81"/>
      <c r="BM87" s="81">
        <f>85*9</f>
        <v>765</v>
      </c>
      <c r="BN87" s="66" t="s">
        <v>2768</v>
      </c>
      <c r="BO87" s="66" t="s">
        <v>2768</v>
      </c>
      <c r="BP87" s="66" t="s">
        <v>2768</v>
      </c>
      <c r="BQ87" s="66" t="str">
        <f>PROPER(TEXT(Prog_23[[#This Row],[PROGRAMAÇÃO CLIENTE]],"mmm"))</f>
        <v>Fev</v>
      </c>
      <c r="BR87" s="66">
        <f>YEAR(Prog_23[[#This Row],[PROGRAMAÇÃO CLIENTE]])</f>
        <v>2023</v>
      </c>
    </row>
    <row r="88" spans="1:70" x14ac:dyDescent="0.25">
      <c r="A88" s="120" t="str">
        <f>Prog_23[[#This Row],[CONTEINER]]</f>
        <v>TEMU8413388</v>
      </c>
      <c r="B88" s="86" t="s">
        <v>2771</v>
      </c>
      <c r="C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88" s="85">
        <v>44972.625</v>
      </c>
      <c r="E88" s="66" t="s">
        <v>2302</v>
      </c>
      <c r="F88" s="66" t="s">
        <v>529</v>
      </c>
      <c r="G88" s="66" t="s">
        <v>3459</v>
      </c>
      <c r="H88" s="44">
        <v>225039232</v>
      </c>
      <c r="I88" s="44" t="s">
        <v>3537</v>
      </c>
      <c r="J88" s="66" t="s">
        <v>2183</v>
      </c>
      <c r="K88" s="66">
        <v>3890</v>
      </c>
      <c r="L88" s="66" t="s">
        <v>3538</v>
      </c>
      <c r="M88" s="66">
        <v>8106</v>
      </c>
      <c r="N88" s="66">
        <f>SUM(Prog_23[[#This Row],[TARA]]+Prog_23[[#This Row],[PESO]])</f>
        <v>11996</v>
      </c>
      <c r="O88" s="44" t="s">
        <v>3536</v>
      </c>
      <c r="P88" s="66" t="s">
        <v>3460</v>
      </c>
      <c r="Q88" s="66" t="s">
        <v>102</v>
      </c>
      <c r="R88" s="66" t="s">
        <v>27</v>
      </c>
      <c r="S88" s="66" t="s">
        <v>206</v>
      </c>
      <c r="T88" s="138" t="str">
        <f>IFERROR(LOOKUP($S88,MOTORISTAS!$D$3:$D$916,MOTORISTAS!E$3:$E$916),"")</f>
        <v>09085263425</v>
      </c>
      <c r="U88" s="138" t="str">
        <f>IFERROR(LOOKUP($S88,MOTORISTAS!$D$3:$D$916,MOTORISTAS!F$3:$F$916),"")</f>
        <v>04557705505</v>
      </c>
      <c r="V88" s="66" t="s">
        <v>292</v>
      </c>
      <c r="W88" s="79">
        <v>44970.723611111112</v>
      </c>
      <c r="X88" s="79">
        <v>44972.55972222222</v>
      </c>
      <c r="Y88" s="79">
        <v>44972.825694444444</v>
      </c>
      <c r="Z88" s="66" t="s">
        <v>306</v>
      </c>
      <c r="AA88" s="79">
        <v>44972.970833333333</v>
      </c>
      <c r="AB88" s="79">
        <v>44970.791666666664</v>
      </c>
      <c r="AC88" s="79">
        <v>44970.5</v>
      </c>
      <c r="AD88" s="79">
        <v>44974.291666666664</v>
      </c>
      <c r="AE88" s="66" t="s">
        <v>452</v>
      </c>
      <c r="AF88" s="44">
        <v>15116</v>
      </c>
      <c r="AG88" s="254">
        <f>Prog_23[[#This Row],[SAÍDA DO CLIENTE]]-Prog_23[[#This Row],[PROGRAMAÇÃO CLIENTE]]</f>
        <v>0.20069444444379769</v>
      </c>
      <c r="AH88" s="44"/>
      <c r="AI88" s="66"/>
      <c r="AJ88" s="66"/>
      <c r="AK88" s="66"/>
      <c r="AL88" s="66"/>
      <c r="AM88" s="66"/>
      <c r="AN88" s="83"/>
      <c r="AO88" s="83"/>
      <c r="AP88" s="83"/>
      <c r="AQ88" s="66" t="s">
        <v>610</v>
      </c>
      <c r="AR88" s="79">
        <v>44970.723611111112</v>
      </c>
      <c r="AS88" s="81">
        <v>500</v>
      </c>
      <c r="AT88" s="81">
        <v>1800</v>
      </c>
      <c r="AU88" s="81"/>
      <c r="AV88" s="81"/>
      <c r="AW88" s="81"/>
      <c r="AX88" s="83">
        <f>SUM(Prog_23[[#This Row],[ADIANTAMENTO]]+Prog_23[[#This Row],[SALDO]]+Prog_23[[#This Row],[MARGEM]]+Prog_23[[#This Row],[ESTADIA 1]])</f>
        <v>1800</v>
      </c>
      <c r="AY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4002.6000349999999</v>
      </c>
      <c r="AZ88" s="81">
        <v>2550</v>
      </c>
      <c r="BA88" s="81">
        <v>615066.68999999994</v>
      </c>
      <c r="BB88" s="81">
        <f>Prog_23[[#This Row],[VLR NF]]*0.1%</f>
        <v>615.06668999999999</v>
      </c>
      <c r="BC88" s="81">
        <f>Prog_23[[#This Row],[VLR NF]]*0.05%</f>
        <v>307.533345</v>
      </c>
      <c r="BD88" s="81">
        <v>415</v>
      </c>
      <c r="BE88" s="81"/>
      <c r="BF88" s="81"/>
      <c r="BG88" s="81"/>
      <c r="BH88" s="81">
        <v>30</v>
      </c>
      <c r="BI88" s="81"/>
      <c r="BJ88" s="81">
        <v>85</v>
      </c>
      <c r="BK88" s="81"/>
      <c r="BL88" s="81"/>
      <c r="BM88" s="81"/>
      <c r="BN88" s="66" t="s">
        <v>2768</v>
      </c>
      <c r="BO88" s="66" t="s">
        <v>2768</v>
      </c>
      <c r="BP88" s="66" t="s">
        <v>2768</v>
      </c>
      <c r="BQ88" s="66" t="str">
        <f>PROPER(TEXT(Prog_23[[#This Row],[PROGRAMAÇÃO CLIENTE]],"mmm"))</f>
        <v>Fev</v>
      </c>
      <c r="BR88" s="66">
        <f>YEAR(Prog_23[[#This Row],[PROGRAMAÇÃO CLIENTE]])</f>
        <v>2023</v>
      </c>
    </row>
    <row r="89" spans="1:70" x14ac:dyDescent="0.25">
      <c r="A89" s="120" t="str">
        <f>Prog_23[[#This Row],[CONTEINER]]</f>
        <v>MRKU6356625</v>
      </c>
      <c r="B89" s="86" t="s">
        <v>2771</v>
      </c>
      <c r="C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89" s="85">
        <v>44972.375</v>
      </c>
      <c r="E89" s="66" t="s">
        <v>297</v>
      </c>
      <c r="F89" s="66" t="s">
        <v>298</v>
      </c>
      <c r="G89" s="66" t="s">
        <v>3449</v>
      </c>
      <c r="H89" s="44" t="s">
        <v>3450</v>
      </c>
      <c r="I89" s="44" t="s">
        <v>3543</v>
      </c>
      <c r="J89" s="66" t="s">
        <v>301</v>
      </c>
      <c r="K89" s="66">
        <v>3810</v>
      </c>
      <c r="L89" s="66" t="s">
        <v>3544</v>
      </c>
      <c r="M89" s="66">
        <v>19734</v>
      </c>
      <c r="N89" s="66">
        <f>SUM(Prog_23[[#This Row],[TARA]]+Prog_23[[#This Row],[PESO]])</f>
        <v>23544</v>
      </c>
      <c r="O89" s="44">
        <v>830421</v>
      </c>
      <c r="P89" s="66" t="s">
        <v>3436</v>
      </c>
      <c r="Q89" s="66" t="s">
        <v>68</v>
      </c>
      <c r="R89" s="66" t="s">
        <v>36</v>
      </c>
      <c r="S89" s="66" t="s">
        <v>69</v>
      </c>
      <c r="T89" s="138" t="str">
        <f>IFERROR(LOOKUP($S89,MOTORISTAS!$D$3:$D$916,MOTORISTAS!E$3:$E$916),"")</f>
        <v>07968457866</v>
      </c>
      <c r="U89" s="138" t="str">
        <f>IFERROR(LOOKUP($S89,MOTORISTAS!$D$3:$D$916,MOTORISTAS!F$3:$F$916),"")</f>
        <v>03264365790</v>
      </c>
      <c r="V89" s="66" t="s">
        <v>292</v>
      </c>
      <c r="W89" s="79">
        <v>44971.674305555556</v>
      </c>
      <c r="X89" s="79">
        <v>44972.152777777781</v>
      </c>
      <c r="Y89" s="79">
        <v>44972.5625</v>
      </c>
      <c r="Z89" s="66" t="s">
        <v>306</v>
      </c>
      <c r="AA89" s="79">
        <v>44972.770138888889</v>
      </c>
      <c r="AB89" s="79">
        <v>44970.791666666664</v>
      </c>
      <c r="AC89" s="79">
        <v>44972.416666666664</v>
      </c>
      <c r="AD89" s="79">
        <v>44974.5</v>
      </c>
      <c r="AE89" s="66" t="s">
        <v>308</v>
      </c>
      <c r="AF89" s="44" t="s">
        <v>3865</v>
      </c>
      <c r="AG89" s="254">
        <f>Prog_23[[#This Row],[SAÍDA DO CLIENTE]]-Prog_23[[#This Row],[PROGRAMAÇÃO CLIENTE]]</f>
        <v>0.1875</v>
      </c>
      <c r="AH89" s="44"/>
      <c r="AI89" s="66"/>
      <c r="AJ89" s="66"/>
      <c r="AK89" s="66"/>
      <c r="AL89" s="66"/>
      <c r="AM89" s="66"/>
      <c r="AN89" s="83"/>
      <c r="AO89" s="83"/>
      <c r="AP89" s="83"/>
      <c r="AQ89" s="66"/>
      <c r="AR89" s="66"/>
      <c r="AS89" s="66"/>
      <c r="AT89" s="81">
        <v>3400</v>
      </c>
      <c r="AU89" s="81"/>
      <c r="AV89" s="81"/>
      <c r="AW89" s="81"/>
      <c r="AX89" s="83">
        <f>SUM(Prog_23[[#This Row],[ADIANTAMENTO]]+Prog_23[[#This Row],[SALDO]]+Prog_23[[#This Row],[MARGEM]]+Prog_23[[#This Row],[ESTADIA 1]])</f>
        <v>3400</v>
      </c>
      <c r="AY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89" s="81">
        <v>3338.8</v>
      </c>
      <c r="BA89" s="81">
        <v>144270</v>
      </c>
      <c r="BB89" s="81">
        <v>0</v>
      </c>
      <c r="BC89" s="81">
        <v>0</v>
      </c>
      <c r="BD89" s="81">
        <v>511.2</v>
      </c>
      <c r="BE89" s="81"/>
      <c r="BF89" s="81"/>
      <c r="BG89" s="81"/>
      <c r="BH89" s="81"/>
      <c r="BI89" s="81"/>
      <c r="BJ89" s="81"/>
      <c r="BK89" s="81"/>
      <c r="BL89" s="81"/>
      <c r="BM89" s="81"/>
      <c r="BN89" s="66" t="s">
        <v>2768</v>
      </c>
      <c r="BO89" s="66" t="s">
        <v>2768</v>
      </c>
      <c r="BP89" s="66" t="s">
        <v>2768</v>
      </c>
      <c r="BQ89" s="66" t="str">
        <f>PROPER(TEXT(Prog_23[[#This Row],[PROGRAMAÇÃO CLIENTE]],"mmm"))</f>
        <v>Fev</v>
      </c>
      <c r="BR89" s="66">
        <f>YEAR(Prog_23[[#This Row],[PROGRAMAÇÃO CLIENTE]])</f>
        <v>2023</v>
      </c>
    </row>
    <row r="90" spans="1:70" x14ac:dyDescent="0.25">
      <c r="A90" s="120" t="str">
        <f>Prog_23[[#This Row],[CONTEINER]]</f>
        <v>MRSU3469132</v>
      </c>
      <c r="B90" s="86" t="s">
        <v>2771</v>
      </c>
      <c r="C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90" s="85">
        <v>44972.458333333336</v>
      </c>
      <c r="E90" s="66" t="s">
        <v>297</v>
      </c>
      <c r="F90" s="66" t="s">
        <v>298</v>
      </c>
      <c r="G90" s="66" t="s">
        <v>3449</v>
      </c>
      <c r="H90" s="44" t="s">
        <v>3450</v>
      </c>
      <c r="I90" s="44" t="s">
        <v>3548</v>
      </c>
      <c r="J90" s="66" t="s">
        <v>301</v>
      </c>
      <c r="K90" s="66">
        <v>3810</v>
      </c>
      <c r="L90" s="66" t="s">
        <v>3549</v>
      </c>
      <c r="M90" s="66">
        <v>19734</v>
      </c>
      <c r="N90" s="66">
        <f>SUM(Prog_23[[#This Row],[TARA]]+Prog_23[[#This Row],[PESO]])</f>
        <v>23544</v>
      </c>
      <c r="O90" s="44">
        <v>830560</v>
      </c>
      <c r="P90" s="66" t="s">
        <v>3436</v>
      </c>
      <c r="Q90" s="66" t="s">
        <v>92</v>
      </c>
      <c r="R90" s="66" t="s">
        <v>93</v>
      </c>
      <c r="S90" s="66" t="s">
        <v>94</v>
      </c>
      <c r="T90" s="138" t="str">
        <f>IFERROR(LOOKUP($S90,MOTORISTAS!$D$3:$D$916,MOTORISTAS!E$3:$E$916),"")</f>
        <v>26283419801</v>
      </c>
      <c r="U90" s="138" t="str">
        <f>IFERROR(LOOKUP($S90,MOTORISTAS!$D$3:$D$916,MOTORISTAS!F$3:$F$916),"")</f>
        <v>02002046946</v>
      </c>
      <c r="V90" s="66" t="s">
        <v>292</v>
      </c>
      <c r="W90" s="79">
        <v>44971.686805555553</v>
      </c>
      <c r="X90" s="79">
        <v>44972.25</v>
      </c>
      <c r="Y90" s="79">
        <v>44972.875</v>
      </c>
      <c r="Z90" s="66" t="s">
        <v>306</v>
      </c>
      <c r="AA90" s="79">
        <v>44973.044444444444</v>
      </c>
      <c r="AB90" s="79">
        <v>44970.791666666664</v>
      </c>
      <c r="AC90" s="79">
        <v>44972.416666666664</v>
      </c>
      <c r="AD90" s="79">
        <v>44974.5</v>
      </c>
      <c r="AE90" s="66" t="s">
        <v>308</v>
      </c>
      <c r="AF90" s="44" t="s">
        <v>3866</v>
      </c>
      <c r="AG90" s="254">
        <f>Prog_23[[#This Row],[SAÍDA DO CLIENTE]]-Prog_23[[#This Row],[PROGRAMAÇÃO CLIENTE]]</f>
        <v>0.41666666666424135</v>
      </c>
      <c r="AH90" s="44"/>
      <c r="AI90" s="66"/>
      <c r="AJ90" s="66"/>
      <c r="AK90" s="66"/>
      <c r="AL90" s="66"/>
      <c r="AM90" s="66"/>
      <c r="AN90" s="83"/>
      <c r="AO90" s="83"/>
      <c r="AP90" s="83"/>
      <c r="AQ90" s="66"/>
      <c r="AR90" s="66"/>
      <c r="AS90" s="66"/>
      <c r="AT90" s="81">
        <v>3400</v>
      </c>
      <c r="AU90" s="81"/>
      <c r="AV90" s="81"/>
      <c r="AW90" s="81"/>
      <c r="AX90" s="83">
        <f>SUM(Prog_23[[#This Row],[ADIANTAMENTO]]+Prog_23[[#This Row],[SALDO]]+Prog_23[[#This Row],[MARGEM]]+Prog_23[[#This Row],[ESTADIA 1]])</f>
        <v>3400</v>
      </c>
      <c r="AY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90" s="81">
        <v>3338.8</v>
      </c>
      <c r="BA90" s="81">
        <v>144270</v>
      </c>
      <c r="BB90" s="81">
        <v>0</v>
      </c>
      <c r="BC90" s="81">
        <v>0</v>
      </c>
      <c r="BD90" s="81">
        <v>511.2</v>
      </c>
      <c r="BE90" s="81"/>
      <c r="BF90" s="81"/>
      <c r="BG90" s="81"/>
      <c r="BH90" s="81"/>
      <c r="BI90" s="81"/>
      <c r="BJ90" s="81"/>
      <c r="BK90" s="81"/>
      <c r="BL90" s="81"/>
      <c r="BM90" s="81"/>
      <c r="BN90" s="66" t="s">
        <v>2768</v>
      </c>
      <c r="BO90" s="66" t="s">
        <v>2768</v>
      </c>
      <c r="BP90" s="66" t="s">
        <v>2768</v>
      </c>
      <c r="BQ90" s="66" t="str">
        <f>PROPER(TEXT(Prog_23[[#This Row],[PROGRAMAÇÃO CLIENTE]],"mmm"))</f>
        <v>Fev</v>
      </c>
      <c r="BR90" s="66">
        <f>YEAR(Prog_23[[#This Row],[PROGRAMAÇÃO CLIENTE]])</f>
        <v>2023</v>
      </c>
    </row>
    <row r="91" spans="1:70" x14ac:dyDescent="0.25">
      <c r="A91" s="120" t="str">
        <f>Prog_23[[#This Row],[CONTEINER]]</f>
        <v>MRSU3399190</v>
      </c>
      <c r="B91" s="86" t="s">
        <v>2771</v>
      </c>
      <c r="C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91" s="85">
        <v>44972.583333333336</v>
      </c>
      <c r="E91" s="66" t="s">
        <v>297</v>
      </c>
      <c r="F91" s="66" t="s">
        <v>298</v>
      </c>
      <c r="G91" s="66" t="s">
        <v>3449</v>
      </c>
      <c r="H91" s="44" t="s">
        <v>3450</v>
      </c>
      <c r="I91" s="44" t="s">
        <v>3550</v>
      </c>
      <c r="J91" s="66" t="s">
        <v>301</v>
      </c>
      <c r="K91" s="66">
        <v>3810</v>
      </c>
      <c r="L91" s="66" t="s">
        <v>3551</v>
      </c>
      <c r="M91" s="66">
        <v>19734</v>
      </c>
      <c r="N91" s="66">
        <f>SUM(Prog_23[[#This Row],[TARA]]+Prog_23[[#This Row],[PESO]])</f>
        <v>23544</v>
      </c>
      <c r="O91" s="44">
        <v>830532</v>
      </c>
      <c r="P91" s="66" t="s">
        <v>3436</v>
      </c>
      <c r="Q91" s="66" t="s">
        <v>150</v>
      </c>
      <c r="R91" s="66" t="s">
        <v>151</v>
      </c>
      <c r="S91" s="66" t="s">
        <v>152</v>
      </c>
      <c r="T91" s="138" t="str">
        <f>IFERROR(LOOKUP($S91,MOTORISTAS!$D$3:$D$916,MOTORISTAS!E$3:$E$916),"")</f>
        <v>05753633803</v>
      </c>
      <c r="U91" s="138" t="str">
        <f>IFERROR(LOOKUP($S91,MOTORISTAS!$D$3:$D$916,MOTORISTAS!F$3:$F$916),"")</f>
        <v>01922497849</v>
      </c>
      <c r="V91" s="66" t="s">
        <v>292</v>
      </c>
      <c r="W91" s="79">
        <v>44971.814583333333</v>
      </c>
      <c r="X91" s="79">
        <v>44972.160416666666</v>
      </c>
      <c r="Y91" s="79">
        <v>44972.722222222219</v>
      </c>
      <c r="Z91" s="66" t="s">
        <v>306</v>
      </c>
      <c r="AA91" s="79">
        <v>44972.915277777778</v>
      </c>
      <c r="AB91" s="79">
        <v>44970.791666666664</v>
      </c>
      <c r="AC91" s="79">
        <v>44972.416666666664</v>
      </c>
      <c r="AD91" s="79">
        <v>44974.5</v>
      </c>
      <c r="AE91" s="66" t="s">
        <v>308</v>
      </c>
      <c r="AF91" s="44" t="s">
        <v>3867</v>
      </c>
      <c r="AG91" s="254">
        <f>Prog_23[[#This Row],[SAÍDA DO CLIENTE]]-Prog_23[[#This Row],[PROGRAMAÇÃO CLIENTE]]</f>
        <v>0.13888888888322981</v>
      </c>
      <c r="AH91" s="44"/>
      <c r="AI91" s="66"/>
      <c r="AJ91" s="66"/>
      <c r="AK91" s="66"/>
      <c r="AL91" s="66"/>
      <c r="AM91" s="66"/>
      <c r="AN91" s="83"/>
      <c r="AO91" s="83"/>
      <c r="AP91" s="83"/>
      <c r="AQ91" s="66"/>
      <c r="AR91" s="66"/>
      <c r="AS91" s="66"/>
      <c r="AT91" s="81">
        <v>3400</v>
      </c>
      <c r="AU91" s="81"/>
      <c r="AV91" s="81"/>
      <c r="AW91" s="81"/>
      <c r="AX91" s="83">
        <f>SUM(Prog_23[[#This Row],[ADIANTAMENTO]]+Prog_23[[#This Row],[SALDO]]+Prog_23[[#This Row],[MARGEM]]+Prog_23[[#This Row],[ESTADIA 1]])</f>
        <v>3400</v>
      </c>
      <c r="AY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91" s="81">
        <v>3338.8</v>
      </c>
      <c r="BA91" s="81">
        <v>144270</v>
      </c>
      <c r="BB91" s="81">
        <v>0</v>
      </c>
      <c r="BC91" s="81">
        <v>0</v>
      </c>
      <c r="BD91" s="81">
        <v>511.2</v>
      </c>
      <c r="BE91" s="81"/>
      <c r="BF91" s="81"/>
      <c r="BG91" s="81"/>
      <c r="BH91" s="81"/>
      <c r="BI91" s="81"/>
      <c r="BJ91" s="81"/>
      <c r="BK91" s="81"/>
      <c r="BL91" s="81"/>
      <c r="BM91" s="81"/>
      <c r="BN91" s="66" t="s">
        <v>2768</v>
      </c>
      <c r="BO91" s="66" t="s">
        <v>2768</v>
      </c>
      <c r="BP91" s="66" t="s">
        <v>2768</v>
      </c>
      <c r="BQ91" s="66" t="str">
        <f>PROPER(TEXT(Prog_23[[#This Row],[PROGRAMAÇÃO CLIENTE]],"mmm"))</f>
        <v>Fev</v>
      </c>
      <c r="BR91" s="66">
        <f>YEAR(Prog_23[[#This Row],[PROGRAMAÇÃO CLIENTE]])</f>
        <v>2023</v>
      </c>
    </row>
    <row r="92" spans="1:70" x14ac:dyDescent="0.25">
      <c r="A92" s="120" t="str">
        <f>Prog_23[[#This Row],[CONTEINER]]</f>
        <v>MRSU3504871</v>
      </c>
      <c r="B92" s="86" t="s">
        <v>2771</v>
      </c>
      <c r="C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92" s="85">
        <v>44972.583333333336</v>
      </c>
      <c r="E92" s="66" t="s">
        <v>297</v>
      </c>
      <c r="F92" s="66" t="s">
        <v>298</v>
      </c>
      <c r="G92" s="66" t="s">
        <v>3449</v>
      </c>
      <c r="H92" s="44" t="s">
        <v>3450</v>
      </c>
      <c r="I92" s="44" t="s">
        <v>3545</v>
      </c>
      <c r="J92" s="66" t="s">
        <v>301</v>
      </c>
      <c r="K92" s="66">
        <v>3810</v>
      </c>
      <c r="L92" s="66" t="s">
        <v>3546</v>
      </c>
      <c r="M92" s="66">
        <v>19253</v>
      </c>
      <c r="N92" s="66">
        <f>SUM(Prog_23[[#This Row],[TARA]]+Prog_23[[#This Row],[PESO]])</f>
        <v>23063</v>
      </c>
      <c r="O92" s="44">
        <v>830582</v>
      </c>
      <c r="P92" s="66" t="s">
        <v>3436</v>
      </c>
      <c r="Q92" s="66" t="s">
        <v>31</v>
      </c>
      <c r="R92" s="66" t="s">
        <v>32</v>
      </c>
      <c r="S92" s="66" t="s">
        <v>33</v>
      </c>
      <c r="T92" s="138" t="str">
        <f>IFERROR(LOOKUP($S92,MOTORISTAS!$D$3:$D$916,MOTORISTAS!E$3:$E$916),"")</f>
        <v>09776430856</v>
      </c>
      <c r="U92" s="138" t="str">
        <f>IFERROR(LOOKUP($S92,MOTORISTAS!$D$3:$D$916,MOTORISTAS!F$3:$F$916),"")</f>
        <v>01258979905</v>
      </c>
      <c r="V92" s="66" t="s">
        <v>292</v>
      </c>
      <c r="W92" s="79">
        <v>44971.597222222219</v>
      </c>
      <c r="X92" s="79">
        <v>44972.291666666664</v>
      </c>
      <c r="Y92" s="79">
        <v>44973.333333333336</v>
      </c>
      <c r="Z92" s="66" t="s">
        <v>306</v>
      </c>
      <c r="AA92" s="79">
        <v>44973.527083333334</v>
      </c>
      <c r="AB92" s="79">
        <v>44970.791666666664</v>
      </c>
      <c r="AC92" s="79">
        <v>44972.416666666664</v>
      </c>
      <c r="AD92" s="79">
        <v>44974.5</v>
      </c>
      <c r="AE92" s="66" t="s">
        <v>308</v>
      </c>
      <c r="AF92" s="44" t="s">
        <v>3868</v>
      </c>
      <c r="AG92" s="254">
        <f>Prog_23[[#This Row],[SAÍDA DO CLIENTE]]-Prog_23[[#This Row],[PROGRAMAÇÃO CLIENTE]]</f>
        <v>0.75</v>
      </c>
      <c r="AH92" s="44"/>
      <c r="AI92" s="66"/>
      <c r="AJ92" s="66"/>
      <c r="AK92" s="66"/>
      <c r="AL92" s="66"/>
      <c r="AM92" s="66"/>
      <c r="AN92" s="83"/>
      <c r="AO92" s="83"/>
      <c r="AP92" s="83"/>
      <c r="AQ92" s="66"/>
      <c r="AR92" s="66"/>
      <c r="AS92" s="66"/>
      <c r="AT92" s="81">
        <v>3400</v>
      </c>
      <c r="AU92" s="81"/>
      <c r="AV92" s="81"/>
      <c r="AW92" s="81"/>
      <c r="AX92" s="83">
        <f>SUM(Prog_23[[#This Row],[ADIANTAMENTO]]+Prog_23[[#This Row],[SALDO]]+Prog_23[[#This Row],[MARGEM]]+Prog_23[[#This Row],[ESTADIA 1]])</f>
        <v>3400</v>
      </c>
      <c r="AY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4955</v>
      </c>
      <c r="AZ92" s="81">
        <v>3338.8</v>
      </c>
      <c r="BA92" s="81">
        <v>152077.20000000001</v>
      </c>
      <c r="BB92" s="81">
        <v>0</v>
      </c>
      <c r="BC92" s="81">
        <v>0</v>
      </c>
      <c r="BD92" s="81">
        <v>511.2</v>
      </c>
      <c r="BE92" s="81"/>
      <c r="BF92" s="81"/>
      <c r="BG92" s="81"/>
      <c r="BH92" s="81"/>
      <c r="BI92" s="81"/>
      <c r="BJ92" s="81"/>
      <c r="BK92" s="81"/>
      <c r="BL92" s="81"/>
      <c r="BM92" s="81">
        <f>85*13</f>
        <v>1105</v>
      </c>
      <c r="BN92" s="66" t="s">
        <v>2768</v>
      </c>
      <c r="BO92" s="66" t="s">
        <v>2768</v>
      </c>
      <c r="BP92" s="66" t="s">
        <v>2768</v>
      </c>
      <c r="BQ92" s="66" t="str">
        <f>PROPER(TEXT(Prog_23[[#This Row],[PROGRAMAÇÃO CLIENTE]],"mmm"))</f>
        <v>Fev</v>
      </c>
      <c r="BR92" s="66">
        <f>YEAR(Prog_23[[#This Row],[PROGRAMAÇÃO CLIENTE]])</f>
        <v>2023</v>
      </c>
    </row>
    <row r="93" spans="1:70" x14ac:dyDescent="0.25">
      <c r="A93" s="120" t="str">
        <f>Prog_23[[#This Row],[CONTEINER]]</f>
        <v>CAIU3310697</v>
      </c>
      <c r="B93" s="86" t="s">
        <v>2771</v>
      </c>
      <c r="C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93" s="85">
        <v>44974.291666666664</v>
      </c>
      <c r="E93" s="66" t="s">
        <v>696</v>
      </c>
      <c r="F93" s="66" t="s">
        <v>697</v>
      </c>
      <c r="G93" s="66" t="s">
        <v>3465</v>
      </c>
      <c r="H93" s="44" t="s">
        <v>3586</v>
      </c>
      <c r="I93" s="44" t="s">
        <v>3463</v>
      </c>
      <c r="J93" s="66" t="s">
        <v>288</v>
      </c>
      <c r="K93" s="66">
        <v>2285</v>
      </c>
      <c r="L93" s="66">
        <v>1279881</v>
      </c>
      <c r="M93" s="66">
        <v>9967</v>
      </c>
      <c r="N93" s="66">
        <f>SUM(Prog_23[[#This Row],[TARA]]+Prog_23[[#This Row],[PESO]])</f>
        <v>12252</v>
      </c>
      <c r="O93" s="44" t="s">
        <v>3466</v>
      </c>
      <c r="P93" s="66" t="s">
        <v>3464</v>
      </c>
      <c r="Q93" s="66" t="s">
        <v>102</v>
      </c>
      <c r="R93" s="66" t="s">
        <v>3246</v>
      </c>
      <c r="S93" s="66" t="s">
        <v>206</v>
      </c>
      <c r="T93" s="138" t="str">
        <f>IFERROR(LOOKUP($S93,MOTORISTAS!$D$3:$D$916,MOTORISTAS!E$3:$E$916),"")</f>
        <v>09085263425</v>
      </c>
      <c r="U93" s="138" t="str">
        <f>IFERROR(LOOKUP($S93,MOTORISTAS!$D$3:$D$916,MOTORISTAS!F$3:$F$916),"")</f>
        <v>04557705505</v>
      </c>
      <c r="V93" s="66" t="s">
        <v>293</v>
      </c>
      <c r="W93" s="79">
        <v>44974.041666666664</v>
      </c>
      <c r="X93" s="79">
        <v>44974.1875</v>
      </c>
      <c r="Y93" s="79">
        <v>44974.354166666664</v>
      </c>
      <c r="Z93" s="66" t="s">
        <v>292</v>
      </c>
      <c r="AA93" s="79">
        <v>44974.436805555553</v>
      </c>
      <c r="AB93" s="79">
        <v>44972.291666666664</v>
      </c>
      <c r="AC93" s="79">
        <v>44978.75</v>
      </c>
      <c r="AD93" s="79">
        <v>44978.75</v>
      </c>
      <c r="AE93" s="66" t="s">
        <v>708</v>
      </c>
      <c r="AF93" s="44" t="s">
        <v>3467</v>
      </c>
      <c r="AG93" s="254">
        <f>Prog_23[[#This Row],[SAÍDA DO CLIENTE]]-Prog_23[[#This Row],[PROGRAMAÇÃO CLIENTE]]</f>
        <v>6.25E-2</v>
      </c>
      <c r="AH93" s="44"/>
      <c r="AI93" s="66"/>
      <c r="AJ93" s="66"/>
      <c r="AK93" s="66"/>
      <c r="AL93" s="66"/>
      <c r="AM93" s="66"/>
      <c r="AN93" s="83"/>
      <c r="AO93" s="83"/>
      <c r="AP93" s="83"/>
      <c r="AQ93" s="66"/>
      <c r="AR93" s="66"/>
      <c r="AS93" s="66"/>
      <c r="AT93" s="81"/>
      <c r="AU93" s="81"/>
      <c r="AV93" s="81"/>
      <c r="AW93" s="81"/>
      <c r="AX93" s="83">
        <f>SUM(Prog_23[[#This Row],[ADIANTAMENTO]]+Prog_23[[#This Row],[SALDO]]+Prog_23[[#This Row],[MARGEM]]+Prog_23[[#This Row],[ESTADIA 1]])</f>
        <v>0</v>
      </c>
      <c r="AY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3447.57</v>
      </c>
      <c r="AZ93" s="81"/>
      <c r="BA93" s="81">
        <v>3447570</v>
      </c>
      <c r="BB93" s="81">
        <f>Prog_23[[#This Row],[VLR NF]]*0.1%</f>
        <v>3447.57</v>
      </c>
      <c r="BC93" s="81">
        <v>0</v>
      </c>
      <c r="BD93" s="81"/>
      <c r="BE93" s="81"/>
      <c r="BF93" s="81"/>
      <c r="BG93" s="81"/>
      <c r="BH93" s="81"/>
      <c r="BI93" s="81"/>
      <c r="BJ93" s="81"/>
      <c r="BK93" s="81"/>
      <c r="BL93" s="81"/>
      <c r="BM93" s="81"/>
      <c r="BN93" s="66" t="s">
        <v>2768</v>
      </c>
      <c r="BO93" s="66"/>
      <c r="BP93" s="66"/>
      <c r="BQ93" s="66" t="str">
        <f>PROPER(TEXT(Prog_23[[#This Row],[PROGRAMAÇÃO CLIENTE]],"mmm"))</f>
        <v>Fev</v>
      </c>
      <c r="BR93" s="66">
        <f>YEAR(Prog_23[[#This Row],[PROGRAMAÇÃO CLIENTE]])</f>
        <v>2023</v>
      </c>
    </row>
    <row r="94" spans="1:70" x14ac:dyDescent="0.25">
      <c r="A94" s="120" t="str">
        <f>Prog_23[[#This Row],[CONTEINER]]</f>
        <v>SUDU7742802</v>
      </c>
      <c r="B94" s="86" t="s">
        <v>2771</v>
      </c>
      <c r="C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94" s="85">
        <v>44977.291666666664</v>
      </c>
      <c r="E94" s="66" t="s">
        <v>3457</v>
      </c>
      <c r="F94" s="66" t="s">
        <v>3458</v>
      </c>
      <c r="G94" s="66" t="s">
        <v>3547</v>
      </c>
      <c r="H94" s="44">
        <v>224998531</v>
      </c>
      <c r="I94" s="44" t="s">
        <v>3587</v>
      </c>
      <c r="J94" s="66" t="s">
        <v>288</v>
      </c>
      <c r="K94" s="66">
        <v>2220</v>
      </c>
      <c r="L94" s="66" t="s">
        <v>3588</v>
      </c>
      <c r="M94" s="66">
        <v>24170</v>
      </c>
      <c r="N94" s="66">
        <f>SUM(Prog_23[[#This Row],[TARA]]+Prog_23[[#This Row],[PESO]])</f>
        <v>26390</v>
      </c>
      <c r="O94" s="44">
        <v>15992</v>
      </c>
      <c r="P94" s="66" t="s">
        <v>3461</v>
      </c>
      <c r="Q94" s="66" t="s">
        <v>210</v>
      </c>
      <c r="R94" s="66" t="s">
        <v>3246</v>
      </c>
      <c r="S94" s="66" t="s">
        <v>212</v>
      </c>
      <c r="T94" s="138" t="str">
        <f>IFERROR(LOOKUP($S94,MOTORISTAS!$D$3:$D$916,MOTORISTAS!E$3:$E$916),"")</f>
        <v>38029906846</v>
      </c>
      <c r="U94" s="138" t="str">
        <f>IFERROR(LOOKUP($S94,MOTORISTAS!$D$3:$D$916,MOTORISTAS!F$3:$F$916),"")</f>
        <v>04946846842</v>
      </c>
      <c r="V94" s="66" t="s">
        <v>3589</v>
      </c>
      <c r="W94" s="79">
        <v>44975.408333333333</v>
      </c>
      <c r="X94" s="79">
        <v>44977.086805555555</v>
      </c>
      <c r="Y94" s="79">
        <v>44977.635416666664</v>
      </c>
      <c r="Z94" s="66" t="s">
        <v>410</v>
      </c>
      <c r="AA94" s="79">
        <v>44977.994444444441</v>
      </c>
      <c r="AB94" s="79">
        <v>44977.791666666664</v>
      </c>
      <c r="AC94" s="79">
        <v>44978.458333333336</v>
      </c>
      <c r="AD94" s="79">
        <v>44977.75</v>
      </c>
      <c r="AE94" s="66" t="s">
        <v>3462</v>
      </c>
      <c r="AF94" s="44" t="s">
        <v>3620</v>
      </c>
      <c r="AG94" s="254">
        <f>Prog_23[[#This Row],[SAÍDA DO CLIENTE]]-Prog_23[[#This Row],[PROGRAMAÇÃO CLIENTE]]</f>
        <v>0.34375</v>
      </c>
      <c r="AH94" s="44"/>
      <c r="AI94" s="66"/>
      <c r="AJ94" s="66"/>
      <c r="AK94" s="66"/>
      <c r="AL94" s="66"/>
      <c r="AM94" s="66"/>
      <c r="AN94" s="83"/>
      <c r="AO94" s="83"/>
      <c r="AP94" s="83"/>
      <c r="AQ94" s="66" t="s">
        <v>3591</v>
      </c>
      <c r="AR94" s="66"/>
      <c r="AS94" s="66"/>
      <c r="AT94" s="81">
        <v>1139.4000000000001</v>
      </c>
      <c r="AU94" s="81"/>
      <c r="AV94" s="81"/>
      <c r="AW94" s="81"/>
      <c r="AX94" s="83">
        <f>SUM(Prog_23[[#This Row],[ADIANTAMENTO]]+Prog_23[[#This Row],[SALDO]]+Prog_23[[#This Row],[MARGEM]]+Prog_23[[#This Row],[ESTADIA 1]])</f>
        <v>1139.4000000000001</v>
      </c>
      <c r="AY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8100</v>
      </c>
      <c r="AZ94" s="81">
        <v>6835.3</v>
      </c>
      <c r="BA94" s="81">
        <v>414254.79</v>
      </c>
      <c r="BB94" s="81">
        <v>0</v>
      </c>
      <c r="BC94" s="81">
        <v>0</v>
      </c>
      <c r="BD94" s="81">
        <v>1264.7</v>
      </c>
      <c r="BE94" s="81"/>
      <c r="BF94" s="81"/>
      <c r="BG94" s="81"/>
      <c r="BH94" s="81"/>
      <c r="BI94" s="81"/>
      <c r="BJ94" s="81"/>
      <c r="BK94" s="81"/>
      <c r="BL94" s="81"/>
      <c r="BM94" s="81"/>
      <c r="BN94" s="66" t="s">
        <v>2768</v>
      </c>
      <c r="BO94" s="66" t="s">
        <v>2768</v>
      </c>
      <c r="BP94" s="66" t="s">
        <v>2768</v>
      </c>
      <c r="BQ94" s="66" t="str">
        <f>PROPER(TEXT(Prog_23[[#This Row],[PROGRAMAÇÃO CLIENTE]],"mmm"))</f>
        <v>Fev</v>
      </c>
      <c r="BR94" s="66">
        <f>YEAR(Prog_23[[#This Row],[PROGRAMAÇÃO CLIENTE]])</f>
        <v>2023</v>
      </c>
    </row>
    <row r="95" spans="1:70" x14ac:dyDescent="0.25">
      <c r="A95" s="120" t="str">
        <f>Prog_23[[#This Row],[CONTEINER]]</f>
        <v>WSCU8790931</v>
      </c>
      <c r="B95" s="86" t="s">
        <v>2771</v>
      </c>
      <c r="C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95" s="85">
        <v>44979.291666666664</v>
      </c>
      <c r="E95" s="66" t="s">
        <v>3559</v>
      </c>
      <c r="F95" s="66" t="s">
        <v>3560</v>
      </c>
      <c r="G95" s="66" t="s">
        <v>3568</v>
      </c>
      <c r="H95" s="44">
        <v>68545946</v>
      </c>
      <c r="I95" s="44" t="s">
        <v>3570</v>
      </c>
      <c r="J95" s="66" t="s">
        <v>301</v>
      </c>
      <c r="K95" s="66">
        <v>3930</v>
      </c>
      <c r="L95" s="66" t="s">
        <v>3578</v>
      </c>
      <c r="M95" s="66">
        <v>3786</v>
      </c>
      <c r="N95" s="66">
        <f>SUM(Prog_23[[#This Row],[TARA]]+Prog_23[[#This Row],[PESO]])</f>
        <v>7716</v>
      </c>
      <c r="O95" s="44">
        <v>192796</v>
      </c>
      <c r="P95" s="66" t="s">
        <v>3569</v>
      </c>
      <c r="Q95" s="66" t="s">
        <v>106</v>
      </c>
      <c r="R95" s="66" t="s">
        <v>107</v>
      </c>
      <c r="S95" s="66" t="s">
        <v>108</v>
      </c>
      <c r="T95" s="138" t="str">
        <f>IFERROR(LOOKUP($S95,MOTORISTAS!$D$3:$D$916,MOTORISTAS!E$3:$E$916),"")</f>
        <v>34927982840</v>
      </c>
      <c r="U95" s="138" t="str">
        <f>IFERROR(LOOKUP($S95,MOTORISTAS!$D$3:$D$916,MOTORISTAS!F$3:$F$916),"")</f>
        <v>03500129879</v>
      </c>
      <c r="V95" s="66" t="s">
        <v>3579</v>
      </c>
      <c r="W95" s="79">
        <v>44974.458333333336</v>
      </c>
      <c r="X95" s="79">
        <v>44979.291666666664</v>
      </c>
      <c r="Y95" s="79">
        <v>44979.361111111109</v>
      </c>
      <c r="Z95" s="66" t="s">
        <v>293</v>
      </c>
      <c r="AA95" s="79">
        <v>44979.506249999999</v>
      </c>
      <c r="AB95" s="79">
        <v>44977.791666666664</v>
      </c>
      <c r="AC95" s="79">
        <v>44979.5</v>
      </c>
      <c r="AD95" s="79">
        <v>44981.5</v>
      </c>
      <c r="AE95" s="66" t="s">
        <v>418</v>
      </c>
      <c r="AF95" s="44">
        <v>15161</v>
      </c>
      <c r="AG95" s="254">
        <f>Prog_23[[#This Row],[SAÍDA DO CLIENTE]]-Prog_23[[#This Row],[PROGRAMAÇÃO CLIENTE]]</f>
        <v>6.9444444445252884E-2</v>
      </c>
      <c r="AH95" s="44"/>
      <c r="AI95" s="66"/>
      <c r="AJ95" s="66"/>
      <c r="AK95" s="66"/>
      <c r="AL95" s="66"/>
      <c r="AM95" s="66"/>
      <c r="AN95" s="83"/>
      <c r="AO95" s="83"/>
      <c r="AP95" s="83"/>
      <c r="AQ95" s="66" t="s">
        <v>610</v>
      </c>
      <c r="AR95" s="79">
        <v>44974.541666666664</v>
      </c>
      <c r="AS95" s="81">
        <v>650</v>
      </c>
      <c r="AT95" s="81">
        <v>3200</v>
      </c>
      <c r="AU95" s="81"/>
      <c r="AV95" s="81"/>
      <c r="AW95" s="81"/>
      <c r="AX95" s="83">
        <f>SUM(Prog_23[[#This Row],[ADIANTAMENTO]]+Prog_23[[#This Row],[SALDO]]+Prog_23[[#This Row],[MARGEM]]+Prog_23[[#This Row],[ESTADIA 1]])</f>
        <v>3200</v>
      </c>
      <c r="AY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4840.3526000000002</v>
      </c>
      <c r="AZ95" s="81">
        <v>3500</v>
      </c>
      <c r="BA95" s="81">
        <v>127568.4</v>
      </c>
      <c r="BB95" s="81">
        <f>Prog_23[[#This Row],[VLR NF]]*0.1%</f>
        <v>127.5684</v>
      </c>
      <c r="BC95" s="81">
        <f>Prog_23[[#This Row],[VLR NF]]*0.05%</f>
        <v>63.784199999999998</v>
      </c>
      <c r="BD95" s="81">
        <v>449</v>
      </c>
      <c r="BE95" s="81"/>
      <c r="BF95" s="81"/>
      <c r="BG95" s="81"/>
      <c r="BH95" s="81"/>
      <c r="BI95" s="81"/>
      <c r="BJ95" s="81"/>
      <c r="BK95" s="81">
        <v>350</v>
      </c>
      <c r="BL95" s="81">
        <v>350</v>
      </c>
      <c r="BM95" s="81"/>
      <c r="BN95" s="66" t="s">
        <v>2768</v>
      </c>
      <c r="BO95" s="66" t="s">
        <v>2768</v>
      </c>
      <c r="BP95" s="66" t="s">
        <v>2768</v>
      </c>
      <c r="BQ95" s="66" t="str">
        <f>PROPER(TEXT(Prog_23[[#This Row],[PROGRAMAÇÃO CLIENTE]],"mmm"))</f>
        <v>Fev</v>
      </c>
      <c r="BR95" s="66">
        <f>YEAR(Prog_23[[#This Row],[PROGRAMAÇÃO CLIENTE]])</f>
        <v>2023</v>
      </c>
    </row>
    <row r="96" spans="1:70" x14ac:dyDescent="0.25">
      <c r="A96" s="120" t="str">
        <f>Prog_23[[#This Row],[CONTEINER]]</f>
        <v>TCNU2744033</v>
      </c>
      <c r="B96" s="86" t="s">
        <v>2771</v>
      </c>
      <c r="C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96" s="85">
        <v>44980.291666666664</v>
      </c>
      <c r="E96" s="66" t="s">
        <v>2059</v>
      </c>
      <c r="F96" s="66" t="s">
        <v>2060</v>
      </c>
      <c r="G96" s="66" t="s">
        <v>3581</v>
      </c>
      <c r="H96" s="44">
        <v>225147054</v>
      </c>
      <c r="I96" s="44" t="s">
        <v>3616</v>
      </c>
      <c r="J96" s="66" t="s">
        <v>301</v>
      </c>
      <c r="K96" s="66">
        <v>3700</v>
      </c>
      <c r="L96" s="66" t="s">
        <v>3617</v>
      </c>
      <c r="M96" s="66">
        <v>24671</v>
      </c>
      <c r="N96" s="66">
        <f>SUM(Prog_23[[#This Row],[TARA]]+Prog_23[[#This Row],[PESO]])</f>
        <v>28371</v>
      </c>
      <c r="O96" s="44">
        <v>1575245</v>
      </c>
      <c r="P96" s="66" t="s">
        <v>3580</v>
      </c>
      <c r="Q96" s="66" t="s">
        <v>31</v>
      </c>
      <c r="R96" s="66" t="s">
        <v>32</v>
      </c>
      <c r="S96" s="66" t="s">
        <v>33</v>
      </c>
      <c r="T96" s="138" t="str">
        <f>IFERROR(LOOKUP($S96,MOTORISTAS!$D$3:$D$916,MOTORISTAS!E$3:$E$916),"")</f>
        <v>09776430856</v>
      </c>
      <c r="U96" s="138" t="str">
        <f>IFERROR(LOOKUP($S96,MOTORISTAS!$D$3:$D$916,MOTORISTAS!F$3:$F$916),"")</f>
        <v>01258979905</v>
      </c>
      <c r="V96" s="66" t="s">
        <v>292</v>
      </c>
      <c r="W96" s="79">
        <v>44979.50277777778</v>
      </c>
      <c r="X96" s="79">
        <v>44980.208333333336</v>
      </c>
      <c r="Y96" s="79">
        <v>44980.666666666664</v>
      </c>
      <c r="Z96" s="66" t="s">
        <v>410</v>
      </c>
      <c r="AA96" s="79">
        <v>44986.734722222223</v>
      </c>
      <c r="AB96" s="79">
        <v>44984.541666666664</v>
      </c>
      <c r="AC96" s="79">
        <v>44984.5</v>
      </c>
      <c r="AD96" s="79">
        <v>44987.75</v>
      </c>
      <c r="AE96" s="66" t="s">
        <v>418</v>
      </c>
      <c r="AF96" s="44" t="s">
        <v>3697</v>
      </c>
      <c r="AG96" s="254">
        <f>Prog_23[[#This Row],[SAÍDA DO CLIENTE]]-Prog_23[[#This Row],[PROGRAMAÇÃO CLIENTE]]</f>
        <v>0.375</v>
      </c>
      <c r="AH96" s="44"/>
      <c r="AI96" s="66"/>
      <c r="AJ96" s="66"/>
      <c r="AK96" s="66" t="s">
        <v>393</v>
      </c>
      <c r="AL96" s="79">
        <v>44980.875</v>
      </c>
      <c r="AM96" s="66"/>
      <c r="AN96" s="83">
        <v>950</v>
      </c>
      <c r="AO96" s="83"/>
      <c r="AP96" s="83"/>
      <c r="AQ96" s="66"/>
      <c r="AR96" s="66"/>
      <c r="AS96" s="66"/>
      <c r="AT96" s="81">
        <v>3200</v>
      </c>
      <c r="AU96" s="81"/>
      <c r="AV96" s="81"/>
      <c r="AW96" s="81"/>
      <c r="AX96" s="83">
        <f>SUM(Prog_23[[#This Row],[ADIANTAMENTO]]+Prog_23[[#This Row],[SALDO]]+Prog_23[[#This Row],[MARGEM]]+Prog_23[[#This Row],[ESTADIA 1]])</f>
        <v>3200</v>
      </c>
      <c r="AY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4384.4586300000001</v>
      </c>
      <c r="AZ96" s="81">
        <v>3122.4</v>
      </c>
      <c r="BA96" s="81">
        <v>184458.63</v>
      </c>
      <c r="BB96" s="81">
        <f>Prog_23[[#This Row],[VLR NF]]*0.1%</f>
        <v>184.45863</v>
      </c>
      <c r="BC96" s="81">
        <v>0</v>
      </c>
      <c r="BD96" s="81">
        <v>477.6</v>
      </c>
      <c r="BE96" s="81"/>
      <c r="BF96" s="81">
        <v>600</v>
      </c>
      <c r="BG96" s="81"/>
      <c r="BH96" s="81"/>
      <c r="BI96" s="81"/>
      <c r="BJ96" s="81"/>
      <c r="BK96" s="81"/>
      <c r="BL96" s="81"/>
      <c r="BM96" s="81"/>
      <c r="BN96" s="66" t="s">
        <v>2768</v>
      </c>
      <c r="BO96" s="66" t="s">
        <v>2768</v>
      </c>
      <c r="BP96" s="66" t="s">
        <v>2768</v>
      </c>
      <c r="BQ96" s="66" t="str">
        <f>PROPER(TEXT(Prog_23[[#This Row],[PROGRAMAÇÃO CLIENTE]],"mmm"))</f>
        <v>Fev</v>
      </c>
      <c r="BR96" s="66">
        <f>YEAR(Prog_23[[#This Row],[PROGRAMAÇÃO CLIENTE]])</f>
        <v>2023</v>
      </c>
    </row>
    <row r="97" spans="1:70" x14ac:dyDescent="0.25">
      <c r="A97" s="120" t="str">
        <f>Prog_23[[#This Row],[CONTEINER]]</f>
        <v>CMAU5547150</v>
      </c>
      <c r="B97" s="86" t="s">
        <v>2771</v>
      </c>
      <c r="C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97" s="85">
        <v>44981.375</v>
      </c>
      <c r="E97" s="66" t="s">
        <v>297</v>
      </c>
      <c r="F97" s="66" t="s">
        <v>298</v>
      </c>
      <c r="G97" s="66" t="s">
        <v>3601</v>
      </c>
      <c r="H97" s="44" t="s">
        <v>3599</v>
      </c>
      <c r="I97" s="44" t="s">
        <v>3630</v>
      </c>
      <c r="J97" s="66" t="s">
        <v>301</v>
      </c>
      <c r="K97" s="66">
        <v>3860</v>
      </c>
      <c r="L97" s="66" t="s">
        <v>3631</v>
      </c>
      <c r="M97" s="66">
        <v>21117</v>
      </c>
      <c r="N97" s="66">
        <f>SUM(Prog_23[[#This Row],[TARA]]+Prog_23[[#This Row],[PESO]])</f>
        <v>24977</v>
      </c>
      <c r="O97" s="44">
        <v>833885</v>
      </c>
      <c r="P97" s="66" t="s">
        <v>3598</v>
      </c>
      <c r="Q97" s="66" t="s">
        <v>210</v>
      </c>
      <c r="R97" s="66" t="s">
        <v>211</v>
      </c>
      <c r="S97" s="66" t="s">
        <v>212</v>
      </c>
      <c r="T97" s="138" t="str">
        <f>IFERROR(LOOKUP($S97,MOTORISTAS!$D$3:$D$916,MOTORISTAS!E$3:$E$916),"")</f>
        <v>38029906846</v>
      </c>
      <c r="U97" s="138" t="str">
        <f>IFERROR(LOOKUP($S97,MOTORISTAS!$D$3:$D$916,MOTORISTAS!F$3:$F$916),"")</f>
        <v>04946846842</v>
      </c>
      <c r="V97" s="66" t="s">
        <v>537</v>
      </c>
      <c r="W97" s="79">
        <v>44980.958333333336</v>
      </c>
      <c r="X97" s="79">
        <v>44981.291666666664</v>
      </c>
      <c r="Y97" s="79">
        <v>44981.791666666664</v>
      </c>
      <c r="Z97" s="66" t="s">
        <v>293</v>
      </c>
      <c r="AA97" s="79">
        <v>44984.872916666667</v>
      </c>
      <c r="AB97" s="79">
        <v>44983.5</v>
      </c>
      <c r="AC97" s="79">
        <v>44984.5</v>
      </c>
      <c r="AD97" s="79">
        <v>44986.5</v>
      </c>
      <c r="AE97" s="66" t="s">
        <v>2743</v>
      </c>
      <c r="AF97" s="44">
        <v>15180</v>
      </c>
      <c r="AG97" s="254">
        <f>Prog_23[[#This Row],[SAÍDA DO CLIENTE]]-Prog_23[[#This Row],[PROGRAMAÇÃO CLIENTE]]</f>
        <v>0.41666666666424135</v>
      </c>
      <c r="AH97" s="44"/>
      <c r="AI97" s="66"/>
      <c r="AJ97" s="66"/>
      <c r="AK97" s="66" t="s">
        <v>393</v>
      </c>
      <c r="AL97" s="79">
        <v>44981.958333333336</v>
      </c>
      <c r="AM97" s="66"/>
      <c r="AN97" s="83">
        <v>950</v>
      </c>
      <c r="AO97" s="83"/>
      <c r="AP97" s="83"/>
      <c r="AQ97" s="66"/>
      <c r="AR97" s="66"/>
      <c r="AS97" s="66"/>
      <c r="AT97" s="81">
        <v>573.1</v>
      </c>
      <c r="AU97" s="81"/>
      <c r="AV97" s="81"/>
      <c r="AW97" s="81"/>
      <c r="AX97" s="83">
        <f>SUM(Prog_23[[#This Row],[ADIANTAMENTO]]+Prog_23[[#This Row],[SALDO]]+Prog_23[[#This Row],[MARGEM]]+Prog_23[[#This Row],[ESTADIA 1]])</f>
        <v>573.1</v>
      </c>
      <c r="AY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4275</v>
      </c>
      <c r="AZ97" s="81">
        <v>3338.8</v>
      </c>
      <c r="BA97" s="81"/>
      <c r="BB97" s="81">
        <f>Prog_23[[#This Row],[VLR NF]]*0.1%</f>
        <v>0</v>
      </c>
      <c r="BC97" s="81">
        <f>Prog_23[[#This Row],[VLR NF]]*0.05%</f>
        <v>0</v>
      </c>
      <c r="BD97" s="81">
        <v>511.2</v>
      </c>
      <c r="BE97" s="81"/>
      <c r="BF97" s="81"/>
      <c r="BG97" s="81"/>
      <c r="BH97" s="81"/>
      <c r="BI97" s="81"/>
      <c r="BJ97" s="81"/>
      <c r="BK97" s="81"/>
      <c r="BL97" s="81"/>
      <c r="BM97" s="81">
        <f>85*5</f>
        <v>425</v>
      </c>
      <c r="BN97" s="66" t="s">
        <v>2768</v>
      </c>
      <c r="BO97" s="66" t="s">
        <v>2768</v>
      </c>
      <c r="BP97" s="66" t="s">
        <v>2768</v>
      </c>
      <c r="BQ97" s="66" t="str">
        <f>PROPER(TEXT(Prog_23[[#This Row],[PROGRAMAÇÃO CLIENTE]],"mmm"))</f>
        <v>Fev</v>
      </c>
      <c r="BR97" s="66">
        <f>YEAR(Prog_23[[#This Row],[PROGRAMAÇÃO CLIENTE]])</f>
        <v>2023</v>
      </c>
    </row>
    <row r="98" spans="1:70" x14ac:dyDescent="0.25">
      <c r="A98" s="120" t="str">
        <f>Prog_23[[#This Row],[CONTEINER]]</f>
        <v>CARU9948010</v>
      </c>
      <c r="B98" s="86" t="s">
        <v>2771</v>
      </c>
      <c r="C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98" s="85">
        <v>44981.375</v>
      </c>
      <c r="E98" s="66" t="s">
        <v>297</v>
      </c>
      <c r="F98" s="66" t="s">
        <v>298</v>
      </c>
      <c r="G98" s="66" t="s">
        <v>3600</v>
      </c>
      <c r="H98" s="44" t="s">
        <v>3599</v>
      </c>
      <c r="I98" s="44" t="s">
        <v>3628</v>
      </c>
      <c r="J98" s="66" t="s">
        <v>301</v>
      </c>
      <c r="K98" s="66">
        <v>3840</v>
      </c>
      <c r="L98" s="66" t="s">
        <v>3629</v>
      </c>
      <c r="M98" s="66">
        <v>23464</v>
      </c>
      <c r="N98" s="66">
        <f>SUM(Prog_23[[#This Row],[TARA]]+Prog_23[[#This Row],[PESO]])</f>
        <v>27304</v>
      </c>
      <c r="O98" s="44">
        <v>833827</v>
      </c>
      <c r="P98" s="66" t="s">
        <v>3598</v>
      </c>
      <c r="Q98" s="66" t="s">
        <v>155</v>
      </c>
      <c r="R98" s="66" t="s">
        <v>209</v>
      </c>
      <c r="S98" s="66" t="s">
        <v>156</v>
      </c>
      <c r="T98" s="138" t="str">
        <f>IFERROR(LOOKUP($S98,MOTORISTAS!$D$3:$D$916,MOTORISTAS!E$3:$E$916),"")</f>
        <v>09803034863</v>
      </c>
      <c r="U98" s="138" t="str">
        <f>IFERROR(LOOKUP($S98,MOTORISTAS!$D$3:$D$916,MOTORISTAS!F$3:$F$916),"")</f>
        <v>01484565209</v>
      </c>
      <c r="V98" s="66" t="s">
        <v>537</v>
      </c>
      <c r="W98" s="79">
        <v>44980.895138888889</v>
      </c>
      <c r="X98" s="79">
        <v>44981.291666666664</v>
      </c>
      <c r="Y98" s="79">
        <v>44981.666666666664</v>
      </c>
      <c r="Z98" s="66" t="s">
        <v>293</v>
      </c>
      <c r="AA98" s="79">
        <v>44984.859722222223</v>
      </c>
      <c r="AB98" s="79">
        <v>44983.5</v>
      </c>
      <c r="AC98" s="79">
        <v>44984.5</v>
      </c>
      <c r="AD98" s="79">
        <v>44986.5</v>
      </c>
      <c r="AE98" s="66" t="s">
        <v>2743</v>
      </c>
      <c r="AF98" s="44">
        <v>15179</v>
      </c>
      <c r="AG98" s="254">
        <f>Prog_23[[#This Row],[SAÍDA DO CLIENTE]]-Prog_23[[#This Row],[PROGRAMAÇÃO CLIENTE]]</f>
        <v>0.29166666666424135</v>
      </c>
      <c r="AH98" s="44"/>
      <c r="AI98" s="66"/>
      <c r="AJ98" s="66"/>
      <c r="AK98" s="66" t="s">
        <v>393</v>
      </c>
      <c r="AL98" s="79">
        <v>44981.830555555556</v>
      </c>
      <c r="AM98" s="66"/>
      <c r="AN98" s="83">
        <v>950</v>
      </c>
      <c r="AO98" s="83"/>
      <c r="AP98" s="83"/>
      <c r="AQ98" s="66"/>
      <c r="AR98" s="66"/>
      <c r="AS98" s="66"/>
      <c r="AT98" s="81">
        <v>3200</v>
      </c>
      <c r="AU98" s="81"/>
      <c r="AV98" s="81"/>
      <c r="AW98" s="81"/>
      <c r="AX98" s="83">
        <f>SUM(Prog_23[[#This Row],[ADIANTAMENTO]]+Prog_23[[#This Row],[SALDO]]+Prog_23[[#This Row],[MARGEM]]+Prog_23[[#This Row],[ESTADIA 1]])</f>
        <v>3200</v>
      </c>
      <c r="AY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4020</v>
      </c>
      <c r="AZ98" s="81">
        <v>3338.8</v>
      </c>
      <c r="BA98" s="81">
        <v>104873.78</v>
      </c>
      <c r="BB98" s="81">
        <v>0</v>
      </c>
      <c r="BC98" s="81">
        <v>0</v>
      </c>
      <c r="BD98" s="81">
        <v>511.2</v>
      </c>
      <c r="BE98" s="81"/>
      <c r="BF98" s="81"/>
      <c r="BG98" s="81"/>
      <c r="BH98" s="81"/>
      <c r="BI98" s="81"/>
      <c r="BJ98" s="81"/>
      <c r="BK98" s="81"/>
      <c r="BL98" s="81"/>
      <c r="BM98" s="81">
        <f>85*2</f>
        <v>170</v>
      </c>
      <c r="BN98" s="66" t="s">
        <v>2768</v>
      </c>
      <c r="BO98" s="66" t="s">
        <v>2768</v>
      </c>
      <c r="BP98" s="66" t="s">
        <v>2768</v>
      </c>
      <c r="BQ98" s="66" t="str">
        <f>PROPER(TEXT(Prog_23[[#This Row],[PROGRAMAÇÃO CLIENTE]],"mmm"))</f>
        <v>Fev</v>
      </c>
      <c r="BR98" s="66">
        <f>YEAR(Prog_23[[#This Row],[PROGRAMAÇÃO CLIENTE]])</f>
        <v>2023</v>
      </c>
    </row>
    <row r="99" spans="1:70" x14ac:dyDescent="0.25">
      <c r="A99" s="120" t="str">
        <f>Prog_23[[#This Row],[CONTEINER]]</f>
        <v>MSKU3085481</v>
      </c>
      <c r="B99" s="86" t="s">
        <v>2771</v>
      </c>
      <c r="C99" s="253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99" s="85">
        <v>44984.166666666664</v>
      </c>
      <c r="E99" s="66" t="s">
        <v>3457</v>
      </c>
      <c r="F99" s="66" t="s">
        <v>3458</v>
      </c>
      <c r="G99" s="66" t="s">
        <v>3615</v>
      </c>
      <c r="H99" s="44" t="s">
        <v>3595</v>
      </c>
      <c r="I99" s="44" t="s">
        <v>3641</v>
      </c>
      <c r="J99" s="66" t="s">
        <v>288</v>
      </c>
      <c r="K99" s="66">
        <v>2300</v>
      </c>
      <c r="L99" s="66" t="s">
        <v>3650</v>
      </c>
      <c r="M99" s="66">
        <v>22700</v>
      </c>
      <c r="N99" s="66">
        <f>SUM(Prog_23[[#This Row],[TARA]]+Prog_23[[#This Row],[PESO]])</f>
        <v>25000</v>
      </c>
      <c r="O99" s="44">
        <v>16019</v>
      </c>
      <c r="P99" s="66" t="s">
        <v>3596</v>
      </c>
      <c r="Q99" s="66" t="s">
        <v>210</v>
      </c>
      <c r="R99" s="66" t="s">
        <v>3246</v>
      </c>
      <c r="S99" s="66" t="s">
        <v>212</v>
      </c>
      <c r="T99" s="138" t="str">
        <f>IFERROR(LOOKUP($S99,MOTORISTAS!$D$3:$D$916,MOTORISTAS!E$3:$E$916),"")</f>
        <v>38029906846</v>
      </c>
      <c r="U99" s="138" t="str">
        <f>IFERROR(LOOKUP($S99,MOTORISTAS!$D$3:$D$916,MOTORISTAS!F$3:$F$916),"")</f>
        <v>04946846842</v>
      </c>
      <c r="V99" s="66" t="s">
        <v>409</v>
      </c>
      <c r="W99" s="79">
        <v>44982.418749999997</v>
      </c>
      <c r="X99" s="79">
        <v>45012.375</v>
      </c>
      <c r="Y99" s="79">
        <v>44984.708333333336</v>
      </c>
      <c r="Z99" s="66" t="s">
        <v>306</v>
      </c>
      <c r="AA99" s="79">
        <v>44985.216666666667</v>
      </c>
      <c r="AB99" s="66" t="s">
        <v>3646</v>
      </c>
      <c r="AC99" s="79">
        <v>44985.75</v>
      </c>
      <c r="AD99" s="79">
        <v>44988.5</v>
      </c>
      <c r="AE99" s="66" t="s">
        <v>3597</v>
      </c>
      <c r="AF99" s="44" t="s">
        <v>3647</v>
      </c>
      <c r="AG99" s="254">
        <f>Prog_23[[#This Row],[SAÍDA DO CLIENTE]]-Prog_23[[#This Row],[PROGRAMAÇÃO CLIENTE]]</f>
        <v>0.54166666667151731</v>
      </c>
      <c r="AH99" s="44"/>
      <c r="AI99" s="66"/>
      <c r="AJ99" s="66" t="s">
        <v>3502</v>
      </c>
      <c r="AK99" s="66"/>
      <c r="AL99" s="66"/>
      <c r="AM99" s="66"/>
      <c r="AN99" s="83"/>
      <c r="AO99" s="83"/>
      <c r="AP99" s="83"/>
      <c r="AQ99" s="66"/>
      <c r="AR99" s="66"/>
      <c r="AS99" s="66"/>
      <c r="AT99" s="81">
        <v>1139.4000000000001</v>
      </c>
      <c r="AU99" s="81"/>
      <c r="AV99" s="81"/>
      <c r="AW99" s="81"/>
      <c r="AX99" s="83">
        <f>SUM(Prog_23[[#This Row],[ADIANTAMENTO]]+Prog_23[[#This Row],[SALDO]]+Prog_23[[#This Row],[MARGEM]]+Prog_23[[#This Row],[ESTADIA 1]])</f>
        <v>1139.4000000000001</v>
      </c>
      <c r="AY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8400</v>
      </c>
      <c r="AZ99" s="81">
        <v>6667</v>
      </c>
      <c r="BA99" s="81">
        <v>349647.12</v>
      </c>
      <c r="BB99" s="81">
        <v>0</v>
      </c>
      <c r="BC99" s="81">
        <v>0</v>
      </c>
      <c r="BD99" s="81">
        <v>1433</v>
      </c>
      <c r="BE99" s="81"/>
      <c r="BF99" s="81"/>
      <c r="BG99" s="81"/>
      <c r="BH99" s="81"/>
      <c r="BI99" s="81"/>
      <c r="BJ99" s="81"/>
      <c r="BK99" s="81"/>
      <c r="BL99" s="81">
        <v>300</v>
      </c>
      <c r="BM99" s="81"/>
      <c r="BN99" s="66" t="s">
        <v>2768</v>
      </c>
      <c r="BO99" s="66" t="s">
        <v>2768</v>
      </c>
      <c r="BP99" s="66" t="s">
        <v>2768</v>
      </c>
      <c r="BQ99" s="66" t="str">
        <f>PROPER(TEXT(Prog_23[[#This Row],[PROGRAMAÇÃO CLIENTE]],"mmm"))</f>
        <v>Fev</v>
      </c>
      <c r="BR99" s="66">
        <f>YEAR(Prog_23[[#This Row],[PROGRAMAÇÃO CLIENTE]])</f>
        <v>2023</v>
      </c>
    </row>
    <row r="100" spans="1:70" x14ac:dyDescent="0.25">
      <c r="A100" s="120" t="str">
        <f>Prog_23[[#This Row],[CONTEINER]]</f>
        <v>MIEU0057669</v>
      </c>
      <c r="B100" s="86" t="s">
        <v>2771</v>
      </c>
      <c r="C1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00" s="85">
        <v>44984.291666666664</v>
      </c>
      <c r="E100" s="66" t="s">
        <v>2059</v>
      </c>
      <c r="F100" s="66" t="s">
        <v>2060</v>
      </c>
      <c r="G100" s="66" t="s">
        <v>3582</v>
      </c>
      <c r="H100" s="44">
        <v>225255647</v>
      </c>
      <c r="I100" s="44" t="s">
        <v>3644</v>
      </c>
      <c r="J100" s="66" t="s">
        <v>301</v>
      </c>
      <c r="K100" s="66">
        <v>3880</v>
      </c>
      <c r="L100" s="66" t="s">
        <v>3645</v>
      </c>
      <c r="M100" s="66">
        <v>25084</v>
      </c>
      <c r="N100" s="66">
        <f>SUM(Prog_23[[#This Row],[TARA]]+Prog_23[[#This Row],[PESO]])</f>
        <v>28964</v>
      </c>
      <c r="O100" s="44">
        <v>1577801</v>
      </c>
      <c r="P100" s="66" t="s">
        <v>3580</v>
      </c>
      <c r="Q100" s="66" t="s">
        <v>102</v>
      </c>
      <c r="R100" s="66" t="s">
        <v>27</v>
      </c>
      <c r="S100" s="66" t="s">
        <v>206</v>
      </c>
      <c r="T100" s="138" t="str">
        <f>IFERROR(LOOKUP($S100,MOTORISTAS!$D$3:$D$916,MOTORISTAS!E$3:$E$916),"")</f>
        <v>09085263425</v>
      </c>
      <c r="U100" s="138" t="str">
        <f>IFERROR(LOOKUP($S100,MOTORISTAS!$D$3:$D$916,MOTORISTAS!F$3:$F$916),"")</f>
        <v>04557705505</v>
      </c>
      <c r="V100" s="66" t="s">
        <v>521</v>
      </c>
      <c r="W100" s="79">
        <v>44982.520833333336</v>
      </c>
      <c r="X100" s="79">
        <v>44984.3125</v>
      </c>
      <c r="Y100" s="79">
        <v>44984.727777777778</v>
      </c>
      <c r="Z100" s="66" t="s">
        <v>410</v>
      </c>
      <c r="AA100" s="79">
        <v>44984.88958333333</v>
      </c>
      <c r="AB100" s="79">
        <v>44984.541666666664</v>
      </c>
      <c r="AC100" s="79">
        <v>44984.5</v>
      </c>
      <c r="AD100" s="79">
        <v>44987.5</v>
      </c>
      <c r="AE100" s="66" t="s">
        <v>418</v>
      </c>
      <c r="AF100" s="44">
        <v>15193</v>
      </c>
      <c r="AG100" s="254">
        <f>Prog_23[[#This Row],[SAÍDA DO CLIENTE]]-Prog_23[[#This Row],[PROGRAMAÇÃO CLIENTE]]</f>
        <v>0.43611111111385981</v>
      </c>
      <c r="AH100" s="44"/>
      <c r="AI100" s="66"/>
      <c r="AJ100" s="66" t="s">
        <v>3502</v>
      </c>
      <c r="AK100" s="66" t="s">
        <v>3648</v>
      </c>
      <c r="AL100" s="66"/>
      <c r="AM100" s="66"/>
      <c r="AN100" s="83"/>
      <c r="AO100" s="83"/>
      <c r="AP100" s="83"/>
      <c r="AQ100" s="66"/>
      <c r="AR100" s="66"/>
      <c r="AS100" s="66"/>
      <c r="AT100" s="81">
        <v>3400</v>
      </c>
      <c r="AU100" s="81"/>
      <c r="AV100" s="81"/>
      <c r="AW100" s="81"/>
      <c r="AX100" s="83">
        <f>SUM(Prog_23[[#This Row],[ADIANTAMENTO]]+Prog_23[[#This Row],[SALDO]]+Prog_23[[#This Row],[MARGEM]]+Prog_23[[#This Row],[ESTADIA 1]])</f>
        <v>3400</v>
      </c>
      <c r="AY1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4672.7427499999994</v>
      </c>
      <c r="AZ100" s="81">
        <v>3243.5</v>
      </c>
      <c r="BA100" s="81">
        <v>122742.75</v>
      </c>
      <c r="BB100" s="81">
        <f>Prog_23[[#This Row],[VLR NF]]*0.1%</f>
        <v>122.74275</v>
      </c>
      <c r="BC100" s="81">
        <v>0</v>
      </c>
      <c r="BD100" s="81">
        <v>356.5</v>
      </c>
      <c r="BE100" s="81"/>
      <c r="BF100" s="81">
        <v>600</v>
      </c>
      <c r="BG100" s="81"/>
      <c r="BH100" s="81"/>
      <c r="BI100" s="81"/>
      <c r="BJ100" s="81"/>
      <c r="BK100" s="81">
        <v>350</v>
      </c>
      <c r="BL100" s="81"/>
      <c r="BM100" s="81"/>
      <c r="BN100" s="66" t="s">
        <v>2768</v>
      </c>
      <c r="BO100" s="66" t="s">
        <v>2768</v>
      </c>
      <c r="BP100" s="66" t="s">
        <v>2768</v>
      </c>
      <c r="BQ100" s="66" t="str">
        <f>PROPER(TEXT(Prog_23[[#This Row],[PROGRAMAÇÃO CLIENTE]],"mmm"))</f>
        <v>Fev</v>
      </c>
      <c r="BR100" s="66">
        <f>YEAR(Prog_23[[#This Row],[PROGRAMAÇÃO CLIENTE]])</f>
        <v>2023</v>
      </c>
    </row>
    <row r="101" spans="1:70" x14ac:dyDescent="0.25">
      <c r="A101" s="120" t="str">
        <f>Prog_23[[#This Row],[CONTEINER]]</f>
        <v>ZCSU5108636</v>
      </c>
      <c r="B101" s="86" t="s">
        <v>2771</v>
      </c>
      <c r="C1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01" s="85">
        <v>44984.291666666664</v>
      </c>
      <c r="E101" s="66" t="s">
        <v>456</v>
      </c>
      <c r="F101" s="66" t="s">
        <v>3593</v>
      </c>
      <c r="G101" s="66"/>
      <c r="H101" s="44" t="s">
        <v>3592</v>
      </c>
      <c r="I101" s="44" t="s">
        <v>3639</v>
      </c>
      <c r="J101" s="66" t="s">
        <v>459</v>
      </c>
      <c r="K101" s="66">
        <v>4680</v>
      </c>
      <c r="L101" s="66" t="s">
        <v>3640</v>
      </c>
      <c r="M101" s="66">
        <v>17847</v>
      </c>
      <c r="N101" s="66">
        <f>SUM(Prog_23[[#This Row],[TARA]]+Prog_23[[#This Row],[PESO]])</f>
        <v>22527</v>
      </c>
      <c r="O101" s="44">
        <v>197961</v>
      </c>
      <c r="P101" s="66" t="s">
        <v>3594</v>
      </c>
      <c r="Q101" s="66" t="s">
        <v>106</v>
      </c>
      <c r="R101" s="66" t="s">
        <v>107</v>
      </c>
      <c r="S101" s="66" t="s">
        <v>108</v>
      </c>
      <c r="T101" s="138" t="str">
        <f>IFERROR(LOOKUP($S101,MOTORISTAS!$D$3:$D$916,MOTORISTAS!E$3:$E$916),"")</f>
        <v>34927982840</v>
      </c>
      <c r="U101" s="138" t="str">
        <f>IFERROR(LOOKUP($S101,MOTORISTAS!$D$3:$D$916,MOTORISTAS!F$3:$F$916),"")</f>
        <v>03500129879</v>
      </c>
      <c r="V101" s="66" t="s">
        <v>292</v>
      </c>
      <c r="W101" s="79">
        <v>44981.886111111111</v>
      </c>
      <c r="X101" s="79">
        <v>44984.333333333336</v>
      </c>
      <c r="Y101" s="79">
        <v>44984.479166666664</v>
      </c>
      <c r="Z101" s="66" t="s">
        <v>410</v>
      </c>
      <c r="AA101" s="79">
        <v>44984.759027777778</v>
      </c>
      <c r="AB101" s="79">
        <v>44984.541666666664</v>
      </c>
      <c r="AC101" s="79">
        <v>44986.5</v>
      </c>
      <c r="AD101" s="79">
        <v>44988.5</v>
      </c>
      <c r="AE101" s="66" t="s">
        <v>452</v>
      </c>
      <c r="AF101" s="44">
        <v>1081</v>
      </c>
      <c r="AG101" s="254">
        <f>Prog_23[[#This Row],[SAÍDA DO CLIENTE]]-Prog_23[[#This Row],[PROGRAMAÇÃO CLIENTE]]</f>
        <v>0.1875</v>
      </c>
      <c r="AH101" s="44"/>
      <c r="AI101" s="66"/>
      <c r="AJ101" s="66" t="s">
        <v>3502</v>
      </c>
      <c r="AK101" s="66" t="s">
        <v>3649</v>
      </c>
      <c r="AL101" s="66"/>
      <c r="AM101" s="66"/>
      <c r="AN101" s="83"/>
      <c r="AO101" s="83"/>
      <c r="AP101" s="83"/>
      <c r="AQ101" s="66"/>
      <c r="AR101" s="66"/>
      <c r="AS101" s="66"/>
      <c r="AT101" s="81">
        <v>4500</v>
      </c>
      <c r="AU101" s="81"/>
      <c r="AV101" s="81"/>
      <c r="AW101" s="81"/>
      <c r="AX101" s="83">
        <f>SUM(Prog_23[[#This Row],[ADIANTAMENTO]]+Prog_23[[#This Row],[SALDO]]+Prog_23[[#This Row],[MARGEM]]+Prog_23[[#This Row],[ESTADIA 1]])</f>
        <v>4500</v>
      </c>
      <c r="AY1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6300</v>
      </c>
      <c r="AZ101" s="81">
        <v>5403.6</v>
      </c>
      <c r="BA101" s="81">
        <v>291525.06</v>
      </c>
      <c r="BB101" s="81">
        <v>0</v>
      </c>
      <c r="BC101" s="81">
        <v>0</v>
      </c>
      <c r="BD101" s="81">
        <v>896.4</v>
      </c>
      <c r="BE101" s="81"/>
      <c r="BF101" s="81"/>
      <c r="BG101" s="81"/>
      <c r="BH101" s="81"/>
      <c r="BI101" s="81"/>
      <c r="BJ101" s="81"/>
      <c r="BK101" s="81"/>
      <c r="BL101" s="81"/>
      <c r="BM101" s="81"/>
      <c r="BN101" s="66" t="s">
        <v>2768</v>
      </c>
      <c r="BO101" s="66" t="s">
        <v>2768</v>
      </c>
      <c r="BP101" s="66" t="s">
        <v>2768</v>
      </c>
      <c r="BQ101" s="66" t="str">
        <f>PROPER(TEXT(Prog_23[[#This Row],[PROGRAMAÇÃO CLIENTE]],"mmm"))</f>
        <v>Fev</v>
      </c>
      <c r="BR101" s="66">
        <f>YEAR(Prog_23[[#This Row],[PROGRAMAÇÃO CLIENTE]])</f>
        <v>2023</v>
      </c>
    </row>
    <row r="102" spans="1:70" x14ac:dyDescent="0.25">
      <c r="A102" s="120" t="str">
        <f>Prog_23[[#This Row],[CONTEINER]]</f>
        <v>MRKU5782122</v>
      </c>
      <c r="B102" s="86" t="s">
        <v>2771</v>
      </c>
      <c r="C1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02" s="85">
        <v>44985.291666666664</v>
      </c>
      <c r="E102" s="66" t="s">
        <v>3557</v>
      </c>
      <c r="F102" s="66" t="s">
        <v>3561</v>
      </c>
      <c r="G102" s="66">
        <v>15</v>
      </c>
      <c r="H102" s="44">
        <v>225260661</v>
      </c>
      <c r="I102" s="44" t="s">
        <v>3653</v>
      </c>
      <c r="J102" s="66" t="s">
        <v>301</v>
      </c>
      <c r="K102" s="66">
        <v>3810</v>
      </c>
      <c r="L102" s="66" t="s">
        <v>3654</v>
      </c>
      <c r="M102" s="66">
        <v>18615</v>
      </c>
      <c r="N102" s="66">
        <f>SUM(Prog_23[[#This Row],[TARA]]+Prog_23[[#This Row],[PESO]])</f>
        <v>22425</v>
      </c>
      <c r="O102" s="44">
        <v>4839</v>
      </c>
      <c r="P102" s="66" t="s">
        <v>3558</v>
      </c>
      <c r="Q102" s="66" t="s">
        <v>102</v>
      </c>
      <c r="R102" s="66" t="s">
        <v>27</v>
      </c>
      <c r="S102" s="66" t="s">
        <v>206</v>
      </c>
      <c r="T102" s="138" t="str">
        <f>IFERROR(LOOKUP($S102,MOTORISTAS!$D$3:$D$916,MOTORISTAS!E$3:$E$916),"")</f>
        <v>09085263425</v>
      </c>
      <c r="U102" s="138" t="str">
        <f>IFERROR(LOOKUP($S102,MOTORISTAS!$D$3:$D$916,MOTORISTAS!F$3:$F$916),"")</f>
        <v>04557705505</v>
      </c>
      <c r="V102" s="66" t="s">
        <v>292</v>
      </c>
      <c r="W102" s="66" t="s">
        <v>3655</v>
      </c>
      <c r="X102" s="79">
        <v>44985.386805555558</v>
      </c>
      <c r="Y102" s="79">
        <v>44985.447222222225</v>
      </c>
      <c r="Z102" s="66" t="s">
        <v>306</v>
      </c>
      <c r="AA102" s="79">
        <v>44985.550694444442</v>
      </c>
      <c r="AB102" s="79">
        <v>44984.541666666664</v>
      </c>
      <c r="AC102" s="79">
        <v>44985.375</v>
      </c>
      <c r="AD102" s="79">
        <v>44987.75</v>
      </c>
      <c r="AE102" s="66" t="s">
        <v>452</v>
      </c>
      <c r="AF102" s="44">
        <v>15209</v>
      </c>
      <c r="AG102" s="254">
        <f>Prog_23[[#This Row],[SAÍDA DO CLIENTE]]-Prog_23[[#This Row],[PROGRAMAÇÃO CLIENTE]]</f>
        <v>0.15555555556056788</v>
      </c>
      <c r="AH102" s="44"/>
      <c r="AI102" s="66" t="s">
        <v>3652</v>
      </c>
      <c r="AJ102" s="66" t="s">
        <v>3502</v>
      </c>
      <c r="AK102" s="66"/>
      <c r="AL102" s="66"/>
      <c r="AM102" s="66"/>
      <c r="AN102" s="83"/>
      <c r="AO102" s="83"/>
      <c r="AP102" s="83"/>
      <c r="AQ102" s="66"/>
      <c r="AR102" s="66"/>
      <c r="AS102" s="66"/>
      <c r="AT102" s="81">
        <v>2200</v>
      </c>
      <c r="AU102" s="81"/>
      <c r="AV102" s="81"/>
      <c r="AW102" s="81"/>
      <c r="AX102" s="83">
        <f>SUM(Prog_23[[#This Row],[ADIANTAMENTO]]+Prog_23[[#This Row],[SALDO]]+Prog_23[[#This Row],[MARGEM]]+Prog_23[[#This Row],[ESTADIA 1]])</f>
        <v>2200</v>
      </c>
      <c r="AY1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4205.5984550000003</v>
      </c>
      <c r="AZ102" s="81">
        <v>2370</v>
      </c>
      <c r="BA102" s="81">
        <v>830398.97</v>
      </c>
      <c r="BB102" s="81">
        <f>Prog_23[[#This Row],[VLR NF]]*0.1%</f>
        <v>830.39896999999996</v>
      </c>
      <c r="BC102" s="81">
        <f>Prog_23[[#This Row],[VLR NF]]*0.05%</f>
        <v>415.19948499999998</v>
      </c>
      <c r="BD102" s="81">
        <v>240</v>
      </c>
      <c r="BE102" s="81"/>
      <c r="BF102" s="81"/>
      <c r="BG102" s="81"/>
      <c r="BH102" s="81"/>
      <c r="BI102" s="81"/>
      <c r="BJ102" s="81"/>
      <c r="BK102" s="81"/>
      <c r="BL102" s="81">
        <v>350</v>
      </c>
      <c r="BM102" s="81"/>
      <c r="BN102" s="66" t="s">
        <v>2768</v>
      </c>
      <c r="BO102" s="66" t="s">
        <v>2768</v>
      </c>
      <c r="BP102" s="66" t="s">
        <v>2768</v>
      </c>
      <c r="BQ102" s="66" t="str">
        <f>PROPER(TEXT(Prog_23[[#This Row],[PROGRAMAÇÃO CLIENTE]],"mmm"))</f>
        <v>Fev</v>
      </c>
      <c r="BR102" s="66">
        <f>YEAR(Prog_23[[#This Row],[PROGRAMAÇÃO CLIENTE]])</f>
        <v>2023</v>
      </c>
    </row>
    <row r="103" spans="1:70" x14ac:dyDescent="0.25">
      <c r="A103" s="120" t="str">
        <f>Prog_23[[#This Row],[CONTEINER]]</f>
        <v>MRKU3377882</v>
      </c>
      <c r="B103" s="86" t="s">
        <v>2771</v>
      </c>
      <c r="C1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03" s="85">
        <v>44986.375</v>
      </c>
      <c r="E103" s="66" t="s">
        <v>297</v>
      </c>
      <c r="F103" s="66" t="s">
        <v>298</v>
      </c>
      <c r="G103" s="66" t="s">
        <v>3621</v>
      </c>
      <c r="H103" s="44" t="s">
        <v>3618</v>
      </c>
      <c r="I103" s="44" t="s">
        <v>3691</v>
      </c>
      <c r="J103" s="66" t="s">
        <v>301</v>
      </c>
      <c r="K103" s="66">
        <v>3790</v>
      </c>
      <c r="L103" s="66" t="s">
        <v>3692</v>
      </c>
      <c r="M103" s="66">
        <v>25469</v>
      </c>
      <c r="N103" s="66">
        <f>SUM(Prog_23[[#This Row],[TARA]]+Prog_23[[#This Row],[PESO]])</f>
        <v>29259</v>
      </c>
      <c r="O103" s="44">
        <v>834873</v>
      </c>
      <c r="P103" s="66" t="s">
        <v>3619</v>
      </c>
      <c r="Q103" s="66" t="s">
        <v>210</v>
      </c>
      <c r="R103" s="66" t="s">
        <v>211</v>
      </c>
      <c r="S103" s="66" t="s">
        <v>212</v>
      </c>
      <c r="T103" s="138" t="str">
        <f>IFERROR(LOOKUP($S103,MOTORISTAS!$D$3:$D$916,MOTORISTAS!E$3:$E$916),"")</f>
        <v>38029906846</v>
      </c>
      <c r="U103" s="138" t="str">
        <f>IFERROR(LOOKUP($S103,MOTORISTAS!$D$3:$D$916,MOTORISTAS!F$3:$F$916),"")</f>
        <v>04946846842</v>
      </c>
      <c r="V103" s="66" t="s">
        <v>409</v>
      </c>
      <c r="W103" s="79">
        <v>44985.775000000001</v>
      </c>
      <c r="X103" s="79">
        <v>44986.25</v>
      </c>
      <c r="Y103" s="79">
        <v>44986.652777777781</v>
      </c>
      <c r="Z103" s="66" t="s">
        <v>306</v>
      </c>
      <c r="AA103" s="79">
        <v>44986.965277777781</v>
      </c>
      <c r="AB103" s="79">
        <v>44985.041666666664</v>
      </c>
      <c r="AC103" s="79">
        <v>44985.625</v>
      </c>
      <c r="AD103" s="79">
        <v>44988.5</v>
      </c>
      <c r="AE103" s="66" t="s">
        <v>308</v>
      </c>
      <c r="AF103" s="44">
        <v>15226</v>
      </c>
      <c r="AG103" s="254">
        <f>Prog_23[[#This Row],[SAÍDA DO CLIENTE]]-Prog_23[[#This Row],[PROGRAMAÇÃO CLIENTE]]</f>
        <v>0.27777777778101154</v>
      </c>
      <c r="AH103" s="44"/>
      <c r="AI103" s="66"/>
      <c r="AJ103" s="66"/>
      <c r="AK103" s="66"/>
      <c r="AL103" s="66"/>
      <c r="AM103" s="66"/>
      <c r="AN103" s="83"/>
      <c r="AO103" s="83"/>
      <c r="AP103" s="83"/>
      <c r="AQ103" s="66"/>
      <c r="AR103" s="66"/>
      <c r="AS103" s="66"/>
      <c r="AT103" s="81">
        <v>573.1</v>
      </c>
      <c r="AU103" s="81"/>
      <c r="AV103" s="81"/>
      <c r="AW103" s="81"/>
      <c r="AX103" s="83">
        <f>SUM(Prog_23[[#This Row],[ADIANTAMENTO]]+Prog_23[[#This Row],[SALDO]]+Prog_23[[#This Row],[MARGEM]]+Prog_23[[#This Row],[ESTADIA 1]])</f>
        <v>573.1</v>
      </c>
      <c r="AY1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103" s="81">
        <v>3338.8</v>
      </c>
      <c r="BA103" s="81">
        <v>228588</v>
      </c>
      <c r="BB103" s="81">
        <v>0</v>
      </c>
      <c r="BC103" s="81">
        <v>0</v>
      </c>
      <c r="BD103" s="81">
        <v>511.2</v>
      </c>
      <c r="BE103" s="81"/>
      <c r="BF103" s="81"/>
      <c r="BG103" s="81"/>
      <c r="BH103" s="81"/>
      <c r="BI103" s="81"/>
      <c r="BJ103" s="81"/>
      <c r="BK103" s="81"/>
      <c r="BL103" s="81"/>
      <c r="BM103" s="81"/>
      <c r="BN103" s="66" t="s">
        <v>2768</v>
      </c>
      <c r="BO103" s="66" t="s">
        <v>2768</v>
      </c>
      <c r="BP103" s="66" t="s">
        <v>2768</v>
      </c>
      <c r="BQ103" s="66" t="str">
        <f>PROPER(TEXT(Prog_23[[#This Row],[PROGRAMAÇÃO CLIENTE]],"mmm"))</f>
        <v>Mar</v>
      </c>
      <c r="BR103" s="66">
        <f>YEAR(Prog_23[[#This Row],[PROGRAMAÇÃO CLIENTE]])</f>
        <v>2023</v>
      </c>
    </row>
    <row r="104" spans="1:70" x14ac:dyDescent="0.25">
      <c r="A104" s="120" t="str">
        <f>Prog_23[[#This Row],[CONTEINER]]</f>
        <v>MRKU5342519</v>
      </c>
      <c r="B104" s="86" t="s">
        <v>2771</v>
      </c>
      <c r="C1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04" s="85">
        <v>44986.458333333336</v>
      </c>
      <c r="E104" s="66" t="s">
        <v>297</v>
      </c>
      <c r="F104" s="66" t="s">
        <v>298</v>
      </c>
      <c r="G104" s="66" t="s">
        <v>3621</v>
      </c>
      <c r="H104" s="44" t="s">
        <v>3618</v>
      </c>
      <c r="I104" s="44" t="s">
        <v>3685</v>
      </c>
      <c r="J104" s="66" t="s">
        <v>301</v>
      </c>
      <c r="K104" s="66">
        <v>3810</v>
      </c>
      <c r="L104" s="66" t="s">
        <v>3686</v>
      </c>
      <c r="M104" s="66">
        <v>19734</v>
      </c>
      <c r="N104" s="66">
        <f>SUM(Prog_23[[#This Row],[TARA]]+Prog_23[[#This Row],[PESO]])</f>
        <v>23544</v>
      </c>
      <c r="O104" s="44">
        <v>834876</v>
      </c>
      <c r="P104" s="66" t="s">
        <v>3619</v>
      </c>
      <c r="Q104" s="66" t="s">
        <v>106</v>
      </c>
      <c r="R104" s="66" t="s">
        <v>107</v>
      </c>
      <c r="S104" s="66" t="s">
        <v>108</v>
      </c>
      <c r="T104" s="138" t="str">
        <f>IFERROR(LOOKUP($S104,MOTORISTAS!$D$3:$D$916,MOTORISTAS!E$3:$E$916),"")</f>
        <v>34927982840</v>
      </c>
      <c r="U104" s="138" t="str">
        <f>IFERROR(LOOKUP($S104,MOTORISTAS!$D$3:$D$916,MOTORISTAS!F$3:$F$916),"")</f>
        <v>03500129879</v>
      </c>
      <c r="V104" s="66" t="s">
        <v>409</v>
      </c>
      <c r="W104" s="79">
        <v>44985.643750000003</v>
      </c>
      <c r="X104" s="79">
        <v>44986.361111111109</v>
      </c>
      <c r="Y104" s="79">
        <v>44986.645833333336</v>
      </c>
      <c r="Z104" s="66" t="s">
        <v>306</v>
      </c>
      <c r="AA104" s="79">
        <v>44987.263194444444</v>
      </c>
      <c r="AB104" s="79">
        <v>44985.041666666664</v>
      </c>
      <c r="AC104" s="79">
        <v>44985.625</v>
      </c>
      <c r="AD104" s="79">
        <v>44988.5</v>
      </c>
      <c r="AE104" s="66" t="s">
        <v>308</v>
      </c>
      <c r="AF104" s="44">
        <v>15225</v>
      </c>
      <c r="AG104" s="254">
        <f>Prog_23[[#This Row],[SAÍDA DO CLIENTE]]-Prog_23[[#This Row],[PROGRAMAÇÃO CLIENTE]]</f>
        <v>0.1875</v>
      </c>
      <c r="AH104" s="44"/>
      <c r="AI104" s="66"/>
      <c r="AJ104" s="66"/>
      <c r="AK104" s="66"/>
      <c r="AL104" s="66"/>
      <c r="AM104" s="66"/>
      <c r="AN104" s="83"/>
      <c r="AO104" s="83"/>
      <c r="AP104" s="83"/>
      <c r="AQ104" s="66"/>
      <c r="AR104" s="66"/>
      <c r="AS104" s="66"/>
      <c r="AT104" s="81">
        <v>3400</v>
      </c>
      <c r="AU104" s="81"/>
      <c r="AV104" s="81"/>
      <c r="AW104" s="81"/>
      <c r="AX104" s="83">
        <f>SUM(Prog_23[[#This Row],[ADIANTAMENTO]]+Prog_23[[#This Row],[SALDO]]+Prog_23[[#This Row],[MARGEM]]+Prog_23[[#This Row],[ESTADIA 1]])</f>
        <v>3400</v>
      </c>
      <c r="AY1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104" s="81">
        <v>3338.8</v>
      </c>
      <c r="BA104" s="81">
        <v>144660</v>
      </c>
      <c r="BB104" s="81">
        <v>0</v>
      </c>
      <c r="BC104" s="81">
        <v>0</v>
      </c>
      <c r="BD104" s="81">
        <v>511.2</v>
      </c>
      <c r="BE104" s="81"/>
      <c r="BF104" s="81"/>
      <c r="BG104" s="81"/>
      <c r="BH104" s="81"/>
      <c r="BI104" s="81"/>
      <c r="BJ104" s="81"/>
      <c r="BK104" s="81"/>
      <c r="BL104" s="81"/>
      <c r="BM104" s="81"/>
      <c r="BN104" s="66" t="s">
        <v>2768</v>
      </c>
      <c r="BO104" s="66" t="s">
        <v>2768</v>
      </c>
      <c r="BP104" s="66" t="s">
        <v>2768</v>
      </c>
      <c r="BQ104" s="66" t="str">
        <f>PROPER(TEXT(Prog_23[[#This Row],[PROGRAMAÇÃO CLIENTE]],"mmm"))</f>
        <v>Mar</v>
      </c>
      <c r="BR104" s="66">
        <f>YEAR(Prog_23[[#This Row],[PROGRAMAÇÃO CLIENTE]])</f>
        <v>2023</v>
      </c>
    </row>
    <row r="105" spans="1:70" x14ac:dyDescent="0.25">
      <c r="A105" s="120" t="str">
        <f>Prog_23[[#This Row],[CONTEINER]]</f>
        <v>MRSU3435981</v>
      </c>
      <c r="B105" s="86" t="s">
        <v>2771</v>
      </c>
      <c r="C1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05" s="85">
        <v>44986.583333333336</v>
      </c>
      <c r="E105" s="66" t="s">
        <v>297</v>
      </c>
      <c r="F105" s="66" t="s">
        <v>298</v>
      </c>
      <c r="G105" s="66" t="s">
        <v>3621</v>
      </c>
      <c r="H105" s="44" t="s">
        <v>3618</v>
      </c>
      <c r="I105" s="44" t="s">
        <v>3689</v>
      </c>
      <c r="J105" s="66" t="s">
        <v>301</v>
      </c>
      <c r="K105" s="66">
        <v>3810</v>
      </c>
      <c r="L105" s="66" t="s">
        <v>3690</v>
      </c>
      <c r="M105" s="66">
        <v>19734</v>
      </c>
      <c r="N105" s="66">
        <f>SUM(Prog_23[[#This Row],[TARA]]+Prog_23[[#This Row],[PESO]])</f>
        <v>23544</v>
      </c>
      <c r="O105" s="44">
        <v>834874</v>
      </c>
      <c r="P105" s="66" t="s">
        <v>3619</v>
      </c>
      <c r="Q105" s="66" t="s">
        <v>102</v>
      </c>
      <c r="R105" s="66" t="s">
        <v>27</v>
      </c>
      <c r="S105" s="66" t="s">
        <v>206</v>
      </c>
      <c r="T105" s="138" t="str">
        <f>IFERROR(LOOKUP($S105,MOTORISTAS!$D$3:$D$916,MOTORISTAS!E$3:$E$916),"")</f>
        <v>09085263425</v>
      </c>
      <c r="U105" s="138" t="str">
        <f>IFERROR(LOOKUP($S105,MOTORISTAS!$D$3:$D$916,MOTORISTAS!F$3:$F$916),"")</f>
        <v>04557705505</v>
      </c>
      <c r="V105" s="66" t="s">
        <v>409</v>
      </c>
      <c r="W105" s="79">
        <v>44985.72152777778</v>
      </c>
      <c r="X105" s="79">
        <v>44986.364583333336</v>
      </c>
      <c r="Y105" s="79">
        <v>44986.746527777781</v>
      </c>
      <c r="Z105" s="66" t="s">
        <v>306</v>
      </c>
      <c r="AA105" s="79">
        <v>44987.013194444444</v>
      </c>
      <c r="AB105" s="79">
        <v>44985.041666666664</v>
      </c>
      <c r="AC105" s="79">
        <v>44985.625</v>
      </c>
      <c r="AD105" s="79">
        <v>44988.5</v>
      </c>
      <c r="AE105" s="66" t="s">
        <v>308</v>
      </c>
      <c r="AF105" s="44">
        <v>15228</v>
      </c>
      <c r="AG105" s="254">
        <f>Prog_23[[#This Row],[SAÍDA DO CLIENTE]]-Prog_23[[#This Row],[PROGRAMAÇÃO CLIENTE]]</f>
        <v>0.16319444444525288</v>
      </c>
      <c r="AH105" s="44"/>
      <c r="AI105" s="66"/>
      <c r="AJ105" s="66"/>
      <c r="AK105" s="66"/>
      <c r="AL105" s="66"/>
      <c r="AM105" s="66"/>
      <c r="AN105" s="83"/>
      <c r="AO105" s="83"/>
      <c r="AP105" s="83"/>
      <c r="AQ105" s="66"/>
      <c r="AR105" s="66"/>
      <c r="AS105" s="66"/>
      <c r="AT105" s="81">
        <v>3400</v>
      </c>
      <c r="AU105" s="81"/>
      <c r="AV105" s="81"/>
      <c r="AW105" s="81"/>
      <c r="AX105" s="83">
        <f>SUM(Prog_23[[#This Row],[ADIANTAMENTO]]+Prog_23[[#This Row],[SALDO]]+Prog_23[[#This Row],[MARGEM]]+Prog_23[[#This Row],[ESTADIA 1]])</f>
        <v>3400</v>
      </c>
      <c r="AY1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105" s="81">
        <v>3338.8</v>
      </c>
      <c r="BA105" s="81">
        <v>144660</v>
      </c>
      <c r="BB105" s="81">
        <v>0</v>
      </c>
      <c r="BC105" s="81">
        <v>0</v>
      </c>
      <c r="BD105" s="81">
        <v>511.2</v>
      </c>
      <c r="BE105" s="81"/>
      <c r="BF105" s="81"/>
      <c r="BG105" s="81"/>
      <c r="BH105" s="81"/>
      <c r="BI105" s="81"/>
      <c r="BJ105" s="81"/>
      <c r="BK105" s="81"/>
      <c r="BL105" s="81"/>
      <c r="BM105" s="81"/>
      <c r="BN105" s="66" t="s">
        <v>2768</v>
      </c>
      <c r="BO105" s="66" t="s">
        <v>2768</v>
      </c>
      <c r="BP105" s="66" t="s">
        <v>2768</v>
      </c>
      <c r="BQ105" s="66" t="str">
        <f>PROPER(TEXT(Prog_23[[#This Row],[PROGRAMAÇÃO CLIENTE]],"mmm"))</f>
        <v>Mar</v>
      </c>
      <c r="BR105" s="66">
        <f>YEAR(Prog_23[[#This Row],[PROGRAMAÇÃO CLIENTE]])</f>
        <v>2023</v>
      </c>
    </row>
    <row r="106" spans="1:70" x14ac:dyDescent="0.25">
      <c r="A106" s="120" t="str">
        <f>Prog_23[[#This Row],[CONTEINER]]</f>
        <v>HASU4078174</v>
      </c>
      <c r="B106" s="86" t="s">
        <v>2771</v>
      </c>
      <c r="C1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06" s="85">
        <v>44986.625</v>
      </c>
      <c r="E106" s="66" t="s">
        <v>297</v>
      </c>
      <c r="F106" s="66" t="s">
        <v>298</v>
      </c>
      <c r="G106" s="66" t="s">
        <v>3621</v>
      </c>
      <c r="H106" s="44" t="s">
        <v>3618</v>
      </c>
      <c r="I106" s="44" t="s">
        <v>3687</v>
      </c>
      <c r="J106" s="66" t="s">
        <v>301</v>
      </c>
      <c r="K106" s="66">
        <v>3860</v>
      </c>
      <c r="L106" s="66" t="s">
        <v>3688</v>
      </c>
      <c r="M106" s="66">
        <v>19734</v>
      </c>
      <c r="N106" s="66">
        <f>SUM(Prog_23[[#This Row],[TARA]]+Prog_23[[#This Row],[PESO]])</f>
        <v>23594</v>
      </c>
      <c r="O106" s="44">
        <v>834875</v>
      </c>
      <c r="P106" s="66" t="s">
        <v>3619</v>
      </c>
      <c r="Q106" s="66" t="s">
        <v>68</v>
      </c>
      <c r="R106" s="66" t="s">
        <v>36</v>
      </c>
      <c r="S106" s="66" t="s">
        <v>69</v>
      </c>
      <c r="T106" s="138" t="str">
        <f>IFERROR(LOOKUP($S106,MOTORISTAS!$D$3:$D$916,MOTORISTAS!E$3:$E$916),"")</f>
        <v>07968457866</v>
      </c>
      <c r="U106" s="138" t="str">
        <f>IFERROR(LOOKUP($S106,MOTORISTAS!$D$3:$D$916,MOTORISTAS!F$3:$F$916),"")</f>
        <v>03264365790</v>
      </c>
      <c r="V106" s="66" t="s">
        <v>409</v>
      </c>
      <c r="W106" s="79">
        <v>44985.709722222222</v>
      </c>
      <c r="X106" s="79">
        <v>44986.625</v>
      </c>
      <c r="Y106" s="79">
        <v>44986.739583333336</v>
      </c>
      <c r="Z106" s="66" t="s">
        <v>306</v>
      </c>
      <c r="AA106" s="79">
        <v>44986.974305555559</v>
      </c>
      <c r="AB106" s="79">
        <v>44985.041666666664</v>
      </c>
      <c r="AC106" s="79">
        <v>44985.625</v>
      </c>
      <c r="AD106" s="79">
        <v>44988.5</v>
      </c>
      <c r="AE106" s="66" t="s">
        <v>308</v>
      </c>
      <c r="AF106" s="44">
        <v>15227</v>
      </c>
      <c r="AG106" s="254">
        <f>Prog_23[[#This Row],[SAÍDA DO CLIENTE]]-Prog_23[[#This Row],[PROGRAMAÇÃO CLIENTE]]</f>
        <v>0.11458333333575865</v>
      </c>
      <c r="AH106" s="44"/>
      <c r="AI106" s="66"/>
      <c r="AJ106" s="66"/>
      <c r="AK106" s="66"/>
      <c r="AL106" s="66"/>
      <c r="AM106" s="66"/>
      <c r="AN106" s="83"/>
      <c r="AO106" s="83"/>
      <c r="AP106" s="83"/>
      <c r="AQ106" s="66"/>
      <c r="AR106" s="66"/>
      <c r="AS106" s="66"/>
      <c r="AT106" s="81">
        <v>3400</v>
      </c>
      <c r="AU106" s="81"/>
      <c r="AV106" s="81"/>
      <c r="AW106" s="81"/>
      <c r="AX106" s="83">
        <f>SUM(Prog_23[[#This Row],[ADIANTAMENTO]]+Prog_23[[#This Row],[SALDO]]+Prog_23[[#This Row],[MARGEM]]+Prog_23[[#This Row],[ESTADIA 1]])</f>
        <v>3400</v>
      </c>
      <c r="AY1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3850</v>
      </c>
      <c r="AZ106" s="81">
        <v>3338.8</v>
      </c>
      <c r="BA106" s="81">
        <v>144660</v>
      </c>
      <c r="BB106" s="81">
        <v>0</v>
      </c>
      <c r="BC106" s="81">
        <v>0</v>
      </c>
      <c r="BD106" s="81">
        <v>511.2</v>
      </c>
      <c r="BE106" s="81"/>
      <c r="BF106" s="81"/>
      <c r="BG106" s="81"/>
      <c r="BH106" s="81"/>
      <c r="BI106" s="81"/>
      <c r="BJ106" s="81"/>
      <c r="BK106" s="81"/>
      <c r="BL106" s="81"/>
      <c r="BM106" s="81"/>
      <c r="BN106" s="66" t="s">
        <v>2768</v>
      </c>
      <c r="BO106" s="66" t="s">
        <v>2768</v>
      </c>
      <c r="BP106" s="66" t="s">
        <v>2768</v>
      </c>
      <c r="BQ106" s="66" t="str">
        <f>PROPER(TEXT(Prog_23[[#This Row],[PROGRAMAÇÃO CLIENTE]],"mmm"))</f>
        <v>Mar</v>
      </c>
      <c r="BR106" s="66">
        <f>YEAR(Prog_23[[#This Row],[PROGRAMAÇÃO CLIENTE]])</f>
        <v>2023</v>
      </c>
    </row>
    <row r="107" spans="1:70" x14ac:dyDescent="0.25">
      <c r="A107" s="120" t="str">
        <f>Prog_23[[#This Row],[CONTEINER]]</f>
        <v>TCKU7410522</v>
      </c>
      <c r="B107" s="86" t="s">
        <v>2771</v>
      </c>
      <c r="C1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07" s="85">
        <v>44986.333333333336</v>
      </c>
      <c r="E107" s="66" t="s">
        <v>2333</v>
      </c>
      <c r="F107" s="66" t="s">
        <v>1639</v>
      </c>
      <c r="G107" s="66" t="s">
        <v>3634</v>
      </c>
      <c r="H107" s="44" t="s">
        <v>3637</v>
      </c>
      <c r="I107" s="44" t="s">
        <v>3636</v>
      </c>
      <c r="J107" s="66" t="s">
        <v>301</v>
      </c>
      <c r="K107" s="66">
        <v>3700</v>
      </c>
      <c r="L107" s="66">
        <v>1506570</v>
      </c>
      <c r="M107" s="66">
        <v>20988</v>
      </c>
      <c r="N107" s="66">
        <f>SUM(Prog_23[[#This Row],[TARA]]+Prog_23[[#This Row],[PESO]])</f>
        <v>24688</v>
      </c>
      <c r="O107" s="44">
        <v>6978</v>
      </c>
      <c r="P107" s="66" t="s">
        <v>3638</v>
      </c>
      <c r="Q107" s="66" t="s">
        <v>92</v>
      </c>
      <c r="R107" s="66" t="s">
        <v>93</v>
      </c>
      <c r="S107" s="66" t="s">
        <v>94</v>
      </c>
      <c r="T107" s="138" t="str">
        <f>IFERROR(LOOKUP($S107,MOTORISTAS!$D$3:$D$916,MOTORISTAS!E$3:$E$916),"")</f>
        <v>26283419801</v>
      </c>
      <c r="U107" s="138" t="str">
        <f>IFERROR(LOOKUP($S107,MOTORISTAS!$D$3:$D$916,MOTORISTAS!F$3:$F$916),"")</f>
        <v>02002046946</v>
      </c>
      <c r="V107" s="66" t="s">
        <v>1805</v>
      </c>
      <c r="W107" s="79">
        <v>44985.434027777781</v>
      </c>
      <c r="X107" s="79">
        <v>44985.916666666664</v>
      </c>
      <c r="Y107" s="79">
        <v>44986.659722222219</v>
      </c>
      <c r="Z107" s="66" t="s">
        <v>409</v>
      </c>
      <c r="AA107" s="79">
        <v>44987.470833333333</v>
      </c>
      <c r="AB107" s="79">
        <v>44986</v>
      </c>
      <c r="AC107" s="79">
        <v>44986</v>
      </c>
      <c r="AD107" s="79">
        <v>44986</v>
      </c>
      <c r="AE107" s="66" t="s">
        <v>708</v>
      </c>
      <c r="AF107" s="44" t="s">
        <v>3656</v>
      </c>
      <c r="AG107" s="254">
        <f>Prog_23[[#This Row],[SAÍDA DO CLIENTE]]-Prog_23[[#This Row],[PROGRAMAÇÃO CLIENTE]]</f>
        <v>0.32638888888322981</v>
      </c>
      <c r="AH107" s="44"/>
      <c r="AI107" s="66"/>
      <c r="AJ107" s="66"/>
      <c r="AK107" s="66"/>
      <c r="AL107" s="66"/>
      <c r="AM107" s="66"/>
      <c r="AN107" s="83"/>
      <c r="AO107" s="83"/>
      <c r="AP107" s="83"/>
      <c r="AQ107" s="66"/>
      <c r="AR107" s="66"/>
      <c r="AS107" s="66"/>
      <c r="AT107" s="81">
        <v>8000</v>
      </c>
      <c r="AU107" s="81"/>
      <c r="AV107" s="81"/>
      <c r="AW107" s="81"/>
      <c r="AX107" s="83">
        <f>SUM(Prog_23[[#This Row],[ADIANTAMENTO]]+Prog_23[[#This Row],[SALDO]]+Prog_23[[#This Row],[MARGEM]]+Prog_23[[#This Row],[ESTADIA 1]])</f>
        <v>8000</v>
      </c>
      <c r="AY1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10950</v>
      </c>
      <c r="AZ107" s="81">
        <v>10603.2</v>
      </c>
      <c r="BA107" s="81">
        <v>477584.68</v>
      </c>
      <c r="BB107" s="81">
        <v>0</v>
      </c>
      <c r="BC107" s="81">
        <v>0</v>
      </c>
      <c r="BD107" s="81">
        <v>346.8</v>
      </c>
      <c r="BE107" s="81"/>
      <c r="BF107" s="81"/>
      <c r="BG107" s="81"/>
      <c r="BH107" s="81"/>
      <c r="BI107" s="81"/>
      <c r="BJ107" s="81"/>
      <c r="BK107" s="81"/>
      <c r="BL107" s="81"/>
      <c r="BM107" s="81"/>
      <c r="BN107" s="66" t="s">
        <v>2768</v>
      </c>
      <c r="BO107" s="66" t="s">
        <v>2768</v>
      </c>
      <c r="BP107" s="66" t="s">
        <v>2768</v>
      </c>
      <c r="BQ107" s="66" t="str">
        <f>PROPER(TEXT(Prog_23[[#This Row],[PROGRAMAÇÃO CLIENTE]],"mmm"))</f>
        <v>Mar</v>
      </c>
      <c r="BR107" s="66">
        <f>YEAR(Prog_23[[#This Row],[PROGRAMAÇÃO CLIENTE]])</f>
        <v>2023</v>
      </c>
    </row>
    <row r="108" spans="1:70" x14ac:dyDescent="0.25">
      <c r="A108" s="120" t="str">
        <f>Prog_23[[#This Row],[CONTEINER]]</f>
        <v>UETU5558656</v>
      </c>
      <c r="B108" s="86" t="s">
        <v>2771</v>
      </c>
      <c r="C1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08" s="85">
        <v>44989.375</v>
      </c>
      <c r="E108" s="66" t="s">
        <v>297</v>
      </c>
      <c r="F108" s="66" t="s">
        <v>298</v>
      </c>
      <c r="G108" s="66" t="s">
        <v>3700</v>
      </c>
      <c r="H108" s="44" t="s">
        <v>3679</v>
      </c>
      <c r="I108" s="44" t="s">
        <v>3724</v>
      </c>
      <c r="J108" s="66" t="s">
        <v>301</v>
      </c>
      <c r="K108" s="66">
        <v>3700</v>
      </c>
      <c r="L108" s="66" t="s">
        <v>3725</v>
      </c>
      <c r="M108" s="66">
        <v>23464</v>
      </c>
      <c r="N108" s="66">
        <f>SUM(Prog_23[[#This Row],[TARA]]+Prog_23[[#This Row],[PESO]])</f>
        <v>27164</v>
      </c>
      <c r="O108" s="44">
        <v>836420</v>
      </c>
      <c r="P108" s="66" t="s">
        <v>3680</v>
      </c>
      <c r="Q108" s="66" t="s">
        <v>31</v>
      </c>
      <c r="R108" s="66" t="s">
        <v>32</v>
      </c>
      <c r="S108" s="66" t="s">
        <v>33</v>
      </c>
      <c r="T108" s="138" t="str">
        <f>IFERROR(LOOKUP($S108,MOTORISTAS!$D$3:$D$916,MOTORISTAS!E$3:$E$916),"")</f>
        <v>09776430856</v>
      </c>
      <c r="U108" s="138" t="str">
        <f>IFERROR(LOOKUP($S108,MOTORISTAS!$D$3:$D$916,MOTORISTAS!F$3:$F$916),"")</f>
        <v>01258979905</v>
      </c>
      <c r="V108" s="66" t="s">
        <v>537</v>
      </c>
      <c r="W108" s="79">
        <v>44988.886111111111</v>
      </c>
      <c r="X108" s="79">
        <v>44989.072916666664</v>
      </c>
      <c r="Y108" s="79">
        <v>44989.659722222219</v>
      </c>
      <c r="Z108" s="66" t="s">
        <v>293</v>
      </c>
      <c r="AA108" s="79">
        <v>44994.407638888886</v>
      </c>
      <c r="AB108" s="79">
        <v>44993.833333333336</v>
      </c>
      <c r="AC108" s="79">
        <v>44992.666666666664</v>
      </c>
      <c r="AD108" s="79">
        <v>44998.375</v>
      </c>
      <c r="AE108" s="66" t="s">
        <v>2743</v>
      </c>
      <c r="AF108" s="44">
        <v>15263</v>
      </c>
      <c r="AG108" s="254">
        <f>Prog_23[[#This Row],[SAÍDA DO CLIENTE]]-Prog_23[[#This Row],[PROGRAMAÇÃO CLIENTE]]</f>
        <v>0.28472222221898846</v>
      </c>
      <c r="AH108" s="44"/>
      <c r="AI108" s="66"/>
      <c r="AJ108" s="66"/>
      <c r="AK108" s="66" t="s">
        <v>393</v>
      </c>
      <c r="AL108" s="79">
        <v>44991.368055555555</v>
      </c>
      <c r="AM108" s="66"/>
      <c r="AN108" s="83">
        <v>950</v>
      </c>
      <c r="AO108" s="83"/>
      <c r="AP108" s="83"/>
      <c r="AQ108" s="66"/>
      <c r="AR108" s="66"/>
      <c r="AS108" s="66"/>
      <c r="AT108" s="81">
        <v>3200</v>
      </c>
      <c r="AU108" s="81"/>
      <c r="AV108" s="81"/>
      <c r="AW108" s="81"/>
      <c r="AX108" s="83">
        <f>SUM(Prog_23[[#This Row],[ADIANTAMENTO]]+Prog_23[[#This Row],[SALDO]]+Prog_23[[#This Row],[MARGEM]]+Prog_23[[#This Row],[ESTADIA 1]])</f>
        <v>3200</v>
      </c>
      <c r="AY1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08" s="81">
        <v>3488.8</v>
      </c>
      <c r="BA108" s="81">
        <v>106312.3</v>
      </c>
      <c r="BB108" s="81">
        <v>0</v>
      </c>
      <c r="BC108" s="81">
        <v>0</v>
      </c>
      <c r="BD108" s="81">
        <v>511.2</v>
      </c>
      <c r="BE108" s="81"/>
      <c r="BF108" s="81"/>
      <c r="BG108" s="81"/>
      <c r="BH108" s="81"/>
      <c r="BI108" s="81"/>
      <c r="BJ108" s="81"/>
      <c r="BK108" s="81"/>
      <c r="BL108" s="81"/>
      <c r="BM108" s="81"/>
      <c r="BN108" s="66" t="s">
        <v>2768</v>
      </c>
      <c r="BO108" s="66" t="s">
        <v>2768</v>
      </c>
      <c r="BP108" s="66" t="s">
        <v>2768</v>
      </c>
      <c r="BQ108" s="66" t="str">
        <f>PROPER(TEXT(Prog_23[[#This Row],[PROGRAMAÇÃO CLIENTE]],"mmm"))</f>
        <v>Mar</v>
      </c>
      <c r="BR108" s="66">
        <f>YEAR(Prog_23[[#This Row],[PROGRAMAÇÃO CLIENTE]])</f>
        <v>2023</v>
      </c>
    </row>
    <row r="109" spans="1:70" x14ac:dyDescent="0.25">
      <c r="A109" s="120" t="str">
        <f>Prog_23[[#This Row],[CONTEINER]]</f>
        <v>CXDU2075118</v>
      </c>
      <c r="B109" s="86" t="s">
        <v>2771</v>
      </c>
      <c r="C1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09" s="85">
        <v>44989.458333333336</v>
      </c>
      <c r="E109" s="66" t="s">
        <v>297</v>
      </c>
      <c r="F109" s="66" t="s">
        <v>298</v>
      </c>
      <c r="G109" s="66" t="s">
        <v>2744</v>
      </c>
      <c r="H109" s="44" t="s">
        <v>3679</v>
      </c>
      <c r="I109" s="44" t="s">
        <v>3727</v>
      </c>
      <c r="J109" s="66" t="s">
        <v>301</v>
      </c>
      <c r="K109" s="66">
        <v>3900</v>
      </c>
      <c r="L109" s="66" t="s">
        <v>3728</v>
      </c>
      <c r="M109" s="66">
        <v>19428</v>
      </c>
      <c r="N109" s="66">
        <f>SUM(Prog_23[[#This Row],[TARA]]+Prog_23[[#This Row],[PESO]])</f>
        <v>23328</v>
      </c>
      <c r="O109" s="44">
        <v>836440</v>
      </c>
      <c r="P109" s="66" t="s">
        <v>3680</v>
      </c>
      <c r="Q109" s="66" t="s">
        <v>72</v>
      </c>
      <c r="R109" s="66" t="s">
        <v>73</v>
      </c>
      <c r="S109" s="66" t="s">
        <v>203</v>
      </c>
      <c r="T109" s="138" t="str">
        <f>IFERROR(LOOKUP($S109,MOTORISTAS!$D$3:$D$916,MOTORISTAS!E$3:$E$916),"")</f>
        <v>10395859816</v>
      </c>
      <c r="U109" s="138" t="str">
        <f>IFERROR(LOOKUP($S109,MOTORISTAS!$D$3:$D$916,MOTORISTAS!F$3:$F$916),"")</f>
        <v>01965794851</v>
      </c>
      <c r="V109" s="66" t="s">
        <v>537</v>
      </c>
      <c r="W109" s="79">
        <v>44988.907638888886</v>
      </c>
      <c r="X109" s="79">
        <v>44989.262499999997</v>
      </c>
      <c r="Y109" s="79">
        <v>44989.75</v>
      </c>
      <c r="Z109" s="66" t="s">
        <v>293</v>
      </c>
      <c r="AA109" s="79">
        <v>44993.974999999999</v>
      </c>
      <c r="AB109" s="79">
        <v>44993.833333333336</v>
      </c>
      <c r="AC109" s="79">
        <v>44992.666666666664</v>
      </c>
      <c r="AD109" s="79">
        <v>44998.375</v>
      </c>
      <c r="AE109" s="66" t="s">
        <v>2743</v>
      </c>
      <c r="AF109" s="44">
        <v>15264</v>
      </c>
      <c r="AG109" s="254">
        <f>Prog_23[[#This Row],[SAÍDA DO CLIENTE]]-Prog_23[[#This Row],[PROGRAMAÇÃO CLIENTE]]</f>
        <v>0.29166666666424135</v>
      </c>
      <c r="AH109" s="44"/>
      <c r="AI109" s="66"/>
      <c r="AJ109" s="66"/>
      <c r="AK109" s="66" t="s">
        <v>393</v>
      </c>
      <c r="AL109" s="79">
        <v>44991.368055555555</v>
      </c>
      <c r="AM109" s="66"/>
      <c r="AN109" s="83">
        <v>950</v>
      </c>
      <c r="AO109" s="83"/>
      <c r="AP109" s="83"/>
      <c r="AQ109" s="66"/>
      <c r="AR109" s="66"/>
      <c r="AS109" s="66"/>
      <c r="AT109" s="81">
        <v>3200</v>
      </c>
      <c r="AU109" s="81"/>
      <c r="AV109" s="81"/>
      <c r="AW109" s="81"/>
      <c r="AX109" s="83">
        <f>SUM(Prog_23[[#This Row],[ADIANTAMENTO]]+Prog_23[[#This Row],[SALDO]]+Prog_23[[#This Row],[MARGEM]]+Prog_23[[#This Row],[ESTADIA 1]])</f>
        <v>3200</v>
      </c>
      <c r="AY1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09" s="81">
        <v>3488.8</v>
      </c>
      <c r="BA109" s="81">
        <v>135133.56</v>
      </c>
      <c r="BB109" s="81">
        <v>0</v>
      </c>
      <c r="BC109" s="81">
        <v>0</v>
      </c>
      <c r="BD109" s="81">
        <v>511.2</v>
      </c>
      <c r="BE109" s="81"/>
      <c r="BF109" s="81"/>
      <c r="BG109" s="81"/>
      <c r="BH109" s="81"/>
      <c r="BI109" s="81"/>
      <c r="BJ109" s="81"/>
      <c r="BK109" s="81"/>
      <c r="BL109" s="81"/>
      <c r="BM109" s="81"/>
      <c r="BN109" s="66" t="s">
        <v>2768</v>
      </c>
      <c r="BO109" s="66" t="s">
        <v>2768</v>
      </c>
      <c r="BP109" s="66" t="s">
        <v>2768</v>
      </c>
      <c r="BQ109" s="66" t="str">
        <f>PROPER(TEXT(Prog_23[[#This Row],[PROGRAMAÇÃO CLIENTE]],"mmm"))</f>
        <v>Mar</v>
      </c>
      <c r="BR109" s="66">
        <f>YEAR(Prog_23[[#This Row],[PROGRAMAÇÃO CLIENTE]])</f>
        <v>2023</v>
      </c>
    </row>
    <row r="110" spans="1:70" x14ac:dyDescent="0.25">
      <c r="A110" s="120" t="str">
        <f>Prog_23[[#This Row],[CONTEINER]]</f>
        <v>CXDU1852677</v>
      </c>
      <c r="B110" s="86" t="s">
        <v>2771</v>
      </c>
      <c r="C1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10" s="85">
        <v>44989.541666666664</v>
      </c>
      <c r="E110" s="66" t="s">
        <v>297</v>
      </c>
      <c r="F110" s="66" t="s">
        <v>298</v>
      </c>
      <c r="G110" s="66" t="s">
        <v>3699</v>
      </c>
      <c r="H110" s="44" t="s">
        <v>3679</v>
      </c>
      <c r="I110" s="44" t="s">
        <v>3723</v>
      </c>
      <c r="J110" s="66" t="s">
        <v>301</v>
      </c>
      <c r="K110" s="66">
        <v>3850</v>
      </c>
      <c r="L110" s="66" t="s">
        <v>3726</v>
      </c>
      <c r="M110" s="66">
        <v>23493</v>
      </c>
      <c r="N110" s="66">
        <f>SUM(Prog_23[[#This Row],[TARA]]+Prog_23[[#This Row],[PESO]])</f>
        <v>27343</v>
      </c>
      <c r="O110" s="44">
        <v>836374</v>
      </c>
      <c r="P110" s="66" t="s">
        <v>3680</v>
      </c>
      <c r="Q110" s="66" t="s">
        <v>155</v>
      </c>
      <c r="R110" s="66" t="s">
        <v>209</v>
      </c>
      <c r="S110" s="66" t="s">
        <v>156</v>
      </c>
      <c r="T110" s="138" t="str">
        <f>IFERROR(LOOKUP($S110,MOTORISTAS!$D$3:$D$916,MOTORISTAS!E$3:$E$916),"")</f>
        <v>09803034863</v>
      </c>
      <c r="U110" s="138" t="str">
        <f>IFERROR(LOOKUP($S110,MOTORISTAS!$D$3:$D$916,MOTORISTAS!F$3:$F$916),"")</f>
        <v>01484565209</v>
      </c>
      <c r="V110" s="66" t="s">
        <v>537</v>
      </c>
      <c r="W110" s="79">
        <v>44988.859027777777</v>
      </c>
      <c r="X110" s="79">
        <v>44989.075694444444</v>
      </c>
      <c r="Y110" s="79">
        <v>44989.489583333336</v>
      </c>
      <c r="Z110" s="66" t="s">
        <v>293</v>
      </c>
      <c r="AA110" s="79">
        <v>44995.716666666667</v>
      </c>
      <c r="AB110" s="79">
        <v>44993.833333333336</v>
      </c>
      <c r="AC110" s="79">
        <v>44992.666666666664</v>
      </c>
      <c r="AD110" s="79">
        <v>44998.375</v>
      </c>
      <c r="AE110" s="66" t="s">
        <v>2743</v>
      </c>
      <c r="AF110" s="44">
        <v>15258</v>
      </c>
      <c r="AG110" s="254">
        <f>Prog_23[[#This Row],[SAÍDA DO CLIENTE]]-Prog_23[[#This Row],[PROGRAMAÇÃO CLIENTE]]</f>
        <v>-5.2083333328482695E-2</v>
      </c>
      <c r="AH110" s="44"/>
      <c r="AI110" s="66"/>
      <c r="AJ110" s="66"/>
      <c r="AK110" s="66" t="s">
        <v>393</v>
      </c>
      <c r="AL110" s="79">
        <v>44991.368055555555</v>
      </c>
      <c r="AM110" s="66"/>
      <c r="AN110" s="83">
        <v>950</v>
      </c>
      <c r="AO110" s="83"/>
      <c r="AP110" s="83"/>
      <c r="AQ110" s="66"/>
      <c r="AR110" s="66"/>
      <c r="AS110" s="66"/>
      <c r="AT110" s="81">
        <v>3200</v>
      </c>
      <c r="AU110" s="81"/>
      <c r="AV110" s="81"/>
      <c r="AW110" s="81"/>
      <c r="AX110" s="83">
        <f>SUM(Prog_23[[#This Row],[ADIANTAMENTO]]+Prog_23[[#This Row],[SALDO]]+Prog_23[[#This Row],[MARGEM]]+Prog_23[[#This Row],[ESTADIA 1]])</f>
        <v>3200</v>
      </c>
      <c r="AY1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10" s="81">
        <v>3488.8</v>
      </c>
      <c r="BA110" s="81">
        <v>106144.64</v>
      </c>
      <c r="BB110" s="81">
        <v>0</v>
      </c>
      <c r="BC110" s="81">
        <v>0</v>
      </c>
      <c r="BD110" s="81">
        <v>511.2</v>
      </c>
      <c r="BE110" s="81"/>
      <c r="BF110" s="81"/>
      <c r="BG110" s="81"/>
      <c r="BH110" s="81"/>
      <c r="BI110" s="81"/>
      <c r="BJ110" s="81"/>
      <c r="BK110" s="81"/>
      <c r="BL110" s="81"/>
      <c r="BM110" s="81"/>
      <c r="BN110" s="66" t="s">
        <v>2768</v>
      </c>
      <c r="BO110" s="66" t="s">
        <v>2768</v>
      </c>
      <c r="BP110" s="66" t="s">
        <v>2768</v>
      </c>
      <c r="BQ110" s="66" t="str">
        <f>PROPER(TEXT(Prog_23[[#This Row],[PROGRAMAÇÃO CLIENTE]],"mmm"))</f>
        <v>Mar</v>
      </c>
      <c r="BR110" s="66">
        <f>YEAR(Prog_23[[#This Row],[PROGRAMAÇÃO CLIENTE]])</f>
        <v>2023</v>
      </c>
    </row>
    <row r="111" spans="1:70" x14ac:dyDescent="0.25">
      <c r="A111" s="120" t="str">
        <f>Prog_23[[#This Row],[CONTEINER]]</f>
        <v>CRSU9349453</v>
      </c>
      <c r="B111" s="86" t="s">
        <v>2771</v>
      </c>
      <c r="C1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11" s="85">
        <v>44989.541666666664</v>
      </c>
      <c r="E111" s="66" t="s">
        <v>297</v>
      </c>
      <c r="F111" s="66" t="s">
        <v>298</v>
      </c>
      <c r="G111" s="66" t="s">
        <v>3698</v>
      </c>
      <c r="H111" s="44" t="s">
        <v>3679</v>
      </c>
      <c r="I111" s="44" t="s">
        <v>3729</v>
      </c>
      <c r="J111" s="66" t="s">
        <v>301</v>
      </c>
      <c r="K111" s="66">
        <v>3900</v>
      </c>
      <c r="L111" s="66" t="s">
        <v>3730</v>
      </c>
      <c r="M111" s="66">
        <v>19545</v>
      </c>
      <c r="N111" s="66">
        <f>SUM(Prog_23[[#This Row],[TARA]]+Prog_23[[#This Row],[PESO]])</f>
        <v>23445</v>
      </c>
      <c r="O111" s="44">
        <v>836449</v>
      </c>
      <c r="P111" s="66" t="s">
        <v>3680</v>
      </c>
      <c r="Q111" s="66" t="s">
        <v>210</v>
      </c>
      <c r="R111" s="66" t="s">
        <v>211</v>
      </c>
      <c r="S111" s="66" t="s">
        <v>212</v>
      </c>
      <c r="T111" s="138" t="str">
        <f>IFERROR(LOOKUP($S111,MOTORISTAS!$D$3:$D$916,MOTORISTAS!E$3:$E$916),"")</f>
        <v>38029906846</v>
      </c>
      <c r="U111" s="138" t="str">
        <f>IFERROR(LOOKUP($S111,MOTORISTAS!$D$3:$D$916,MOTORISTAS!F$3:$F$916),"")</f>
        <v>04946846842</v>
      </c>
      <c r="V111" s="66" t="s">
        <v>537</v>
      </c>
      <c r="W111" s="79">
        <v>44988.981249999997</v>
      </c>
      <c r="X111" s="79">
        <v>44989.083333333336</v>
      </c>
      <c r="Y111" s="79">
        <v>44989.854166666664</v>
      </c>
      <c r="Z111" s="66" t="s">
        <v>293</v>
      </c>
      <c r="AA111" s="79">
        <v>44993.972916666666</v>
      </c>
      <c r="AB111" s="79">
        <v>44993.833333333336</v>
      </c>
      <c r="AC111" s="79">
        <v>44992.666666666664</v>
      </c>
      <c r="AD111" s="79">
        <v>44998.375</v>
      </c>
      <c r="AE111" s="66" t="s">
        <v>2743</v>
      </c>
      <c r="AF111" s="44">
        <v>15265</v>
      </c>
      <c r="AG111" s="254">
        <f>Prog_23[[#This Row],[SAÍDA DO CLIENTE]]-Prog_23[[#This Row],[PROGRAMAÇÃO CLIENTE]]</f>
        <v>0.3125</v>
      </c>
      <c r="AH111" s="44"/>
      <c r="AI111" s="66"/>
      <c r="AJ111" s="66"/>
      <c r="AK111" s="66" t="s">
        <v>393</v>
      </c>
      <c r="AL111" s="79">
        <v>44991.368055555555</v>
      </c>
      <c r="AM111" s="66"/>
      <c r="AN111" s="83">
        <v>950</v>
      </c>
      <c r="AO111" s="83"/>
      <c r="AP111" s="83"/>
      <c r="AQ111" s="66"/>
      <c r="AR111" s="66"/>
      <c r="AS111" s="66"/>
      <c r="AT111" s="81">
        <v>573.1</v>
      </c>
      <c r="AU111" s="81"/>
      <c r="AV111" s="81"/>
      <c r="AW111" s="81"/>
      <c r="AX111" s="83">
        <f>SUM(Prog_23[[#This Row],[ADIANTAMENTO]]+Prog_23[[#This Row],[SALDO]]+Prog_23[[#This Row],[MARGEM]]+Prog_23[[#This Row],[ESTADIA 1]])</f>
        <v>573.1</v>
      </c>
      <c r="AY1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11" s="81">
        <v>3488.8</v>
      </c>
      <c r="BA111" s="81">
        <v>135908.46</v>
      </c>
      <c r="BB111" s="81">
        <v>0</v>
      </c>
      <c r="BC111" s="81">
        <v>0</v>
      </c>
      <c r="BD111" s="81">
        <v>511.2</v>
      </c>
      <c r="BE111" s="81"/>
      <c r="BF111" s="81"/>
      <c r="BG111" s="81"/>
      <c r="BH111" s="81"/>
      <c r="BI111" s="81"/>
      <c r="BJ111" s="81"/>
      <c r="BK111" s="81"/>
      <c r="BL111" s="81"/>
      <c r="BM111" s="81"/>
      <c r="BN111" s="66" t="s">
        <v>2768</v>
      </c>
      <c r="BO111" s="66" t="s">
        <v>2768</v>
      </c>
      <c r="BP111" s="66" t="s">
        <v>2768</v>
      </c>
      <c r="BQ111" s="66" t="str">
        <f>PROPER(TEXT(Prog_23[[#This Row],[PROGRAMAÇÃO CLIENTE]],"mmm"))</f>
        <v>Mar</v>
      </c>
      <c r="BR111" s="66">
        <f>YEAR(Prog_23[[#This Row],[PROGRAMAÇÃO CLIENTE]])</f>
        <v>2023</v>
      </c>
    </row>
    <row r="112" spans="1:70" x14ac:dyDescent="0.25">
      <c r="A112" s="120">
        <f>Prog_23[[#This Row],[CONTEINER]]</f>
        <v>0</v>
      </c>
      <c r="B112" s="86" t="s">
        <v>836</v>
      </c>
      <c r="C1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" s="85">
        <v>44991.291666666664</v>
      </c>
      <c r="E112" s="66" t="s">
        <v>2059</v>
      </c>
      <c r="F112" s="66" t="s">
        <v>2060</v>
      </c>
      <c r="G112" s="66" t="s">
        <v>3684</v>
      </c>
      <c r="H112" s="44" t="s">
        <v>3683</v>
      </c>
      <c r="I112" s="44"/>
      <c r="J112" s="66" t="s">
        <v>288</v>
      </c>
      <c r="K112" s="66"/>
      <c r="L112" s="66"/>
      <c r="M112" s="66"/>
      <c r="N112" s="66">
        <f>SUM(Prog_23[[#This Row],[TARA]]+Prog_23[[#This Row],[PESO]])</f>
        <v>0</v>
      </c>
      <c r="O112" s="44"/>
      <c r="P112" s="66" t="s">
        <v>3682</v>
      </c>
      <c r="Q112" s="66" t="s">
        <v>3712</v>
      </c>
      <c r="R112" s="66" t="s">
        <v>3713</v>
      </c>
      <c r="S112" s="66" t="s">
        <v>3714</v>
      </c>
      <c r="T112" s="138" t="str">
        <f>IFERROR(LOOKUP($S112,MOTORISTAS!$D$3:$D$916,MOTORISTAS!E$3:$E$916),"")</f>
        <v>01798714809</v>
      </c>
      <c r="U112" s="138" t="str">
        <f>IFERROR(LOOKUP($S112,MOTORISTAS!$D$3:$D$916,MOTORISTAS!F$3:$F$916),"")</f>
        <v>00755031506</v>
      </c>
      <c r="V112" s="66" t="s">
        <v>293</v>
      </c>
      <c r="W112" s="66"/>
      <c r="X112" s="66"/>
      <c r="Y112" s="66"/>
      <c r="Z112" s="66" t="s">
        <v>410</v>
      </c>
      <c r="AA112" s="66"/>
      <c r="AB112" s="66"/>
      <c r="AC112" s="79">
        <v>44992.75</v>
      </c>
      <c r="AD112" s="79">
        <v>44995.75</v>
      </c>
      <c r="AE112" s="66" t="s">
        <v>2454</v>
      </c>
      <c r="AF112" s="44"/>
      <c r="AG112" s="254">
        <f>Prog_23[[#This Row],[SAÍDA DO CLIENTE]]-Prog_23[[#This Row],[PROGRAMAÇÃO CLIENTE]]</f>
        <v>-44991.291666666664</v>
      </c>
      <c r="AH112" s="44"/>
      <c r="AI112" s="66"/>
      <c r="AJ112" s="66"/>
      <c r="AK112" s="66"/>
      <c r="AL112" s="66"/>
      <c r="AM112" s="66"/>
      <c r="AN112" s="83"/>
      <c r="AO112" s="83"/>
      <c r="AP112" s="83"/>
      <c r="AQ112" s="66"/>
      <c r="AR112" s="66"/>
      <c r="AS112" s="66"/>
      <c r="AT112" s="81"/>
      <c r="AU112" s="81"/>
      <c r="AV112" s="81"/>
      <c r="AW112" s="81"/>
      <c r="AX112" s="83">
        <f>SUM(Prog_23[[#This Row],[ADIANTAMENTO]]+Prog_23[[#This Row],[SALDO]]+Prog_23[[#This Row],[MARGEM]]+Prog_23[[#This Row],[ESTADIA 1]])</f>
        <v>0</v>
      </c>
      <c r="AY1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" s="81"/>
      <c r="BA112" s="81"/>
      <c r="BB112" s="81">
        <f>Prog_23[[#This Row],[VLR NF]]*0.1%</f>
        <v>0</v>
      </c>
      <c r="BC112" s="81">
        <f>Prog_23[[#This Row],[VLR NF]]*0.05%</f>
        <v>0</v>
      </c>
      <c r="BD112" s="81"/>
      <c r="BE112" s="81"/>
      <c r="BF112" s="81"/>
      <c r="BG112" s="81"/>
      <c r="BH112" s="81"/>
      <c r="BI112" s="81"/>
      <c r="BJ112" s="81"/>
      <c r="BK112" s="81"/>
      <c r="BL112" s="81"/>
      <c r="BM112" s="81"/>
      <c r="BN112" s="66"/>
      <c r="BO112" s="66"/>
      <c r="BP112" s="66"/>
      <c r="BQ112" s="66" t="str">
        <f>PROPER(TEXT(Prog_23[[#This Row],[PROGRAMAÇÃO CLIENTE]],"mmm"))</f>
        <v>Mar</v>
      </c>
      <c r="BR112" s="66">
        <f>YEAR(Prog_23[[#This Row],[PROGRAMAÇÃO CLIENTE]])</f>
        <v>2023</v>
      </c>
    </row>
    <row r="113" spans="1:70" x14ac:dyDescent="0.25">
      <c r="A113" s="120" t="str">
        <f>Prog_23[[#This Row],[CONTEINER]]</f>
        <v>BSIU9273641</v>
      </c>
      <c r="B113" s="86" t="s">
        <v>2771</v>
      </c>
      <c r="C1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13" s="85">
        <v>44991.375</v>
      </c>
      <c r="E113" s="66" t="s">
        <v>297</v>
      </c>
      <c r="F113" s="66" t="s">
        <v>298</v>
      </c>
      <c r="G113" s="66" t="s">
        <v>3701</v>
      </c>
      <c r="H113" s="44" t="s">
        <v>3681</v>
      </c>
      <c r="I113" s="44" t="s">
        <v>3733</v>
      </c>
      <c r="J113" s="66" t="s">
        <v>301</v>
      </c>
      <c r="K113" s="66">
        <v>3880</v>
      </c>
      <c r="L113" s="66" t="s">
        <v>3734</v>
      </c>
      <c r="M113" s="66">
        <v>19465</v>
      </c>
      <c r="N113" s="66">
        <f>SUM(Prog_23[[#This Row],[TARA]]+Prog_23[[#This Row],[PESO]])</f>
        <v>23345</v>
      </c>
      <c r="O113" s="44">
        <v>836608</v>
      </c>
      <c r="P113" s="66" t="s">
        <v>3680</v>
      </c>
      <c r="Q113" s="66" t="s">
        <v>3708</v>
      </c>
      <c r="R113" s="66" t="s">
        <v>3709</v>
      </c>
      <c r="S113" s="66" t="s">
        <v>84</v>
      </c>
      <c r="T113" s="138" t="str">
        <f>IFERROR(LOOKUP($S113,MOTORISTAS!$D$3:$D$916,MOTORISTAS!E$3:$E$916),"")</f>
        <v>15921106810</v>
      </c>
      <c r="U113" s="138" t="str">
        <f>IFERROR(LOOKUP($S113,MOTORISTAS!$D$3:$D$916,MOTORISTAS!F$3:$F$916),"")</f>
        <v>02351127968</v>
      </c>
      <c r="V113" s="66" t="s">
        <v>537</v>
      </c>
      <c r="W113" s="79">
        <v>44989.493750000001</v>
      </c>
      <c r="X113" s="79">
        <v>44991.291666666664</v>
      </c>
      <c r="Y113" s="79">
        <v>44991.5</v>
      </c>
      <c r="Z113" s="66" t="s">
        <v>293</v>
      </c>
      <c r="AA113" s="79">
        <v>44993.977083333331</v>
      </c>
      <c r="AB113" s="79">
        <v>44993.833333333336</v>
      </c>
      <c r="AC113" s="79">
        <v>44992.666666666664</v>
      </c>
      <c r="AD113" s="79">
        <v>44998.375</v>
      </c>
      <c r="AE113" s="66" t="s">
        <v>2743</v>
      </c>
      <c r="AF113" s="44">
        <v>15272</v>
      </c>
      <c r="AG113" s="254">
        <f>Prog_23[[#This Row],[SAÍDA DO CLIENTE]]-Prog_23[[#This Row],[PROGRAMAÇÃO CLIENTE]]</f>
        <v>0.125</v>
      </c>
      <c r="AH113" s="44"/>
      <c r="AI113" s="66"/>
      <c r="AJ113" s="66"/>
      <c r="AK113" s="66" t="s">
        <v>393</v>
      </c>
      <c r="AL113" s="79">
        <v>44991.75</v>
      </c>
      <c r="AM113" s="66"/>
      <c r="AN113" s="83">
        <v>950</v>
      </c>
      <c r="AO113" s="83"/>
      <c r="AP113" s="83"/>
      <c r="AQ113" s="66"/>
      <c r="AR113" s="66"/>
      <c r="AS113" s="66"/>
      <c r="AT113" s="81">
        <v>3200</v>
      </c>
      <c r="AU113" s="81"/>
      <c r="AV113" s="81"/>
      <c r="AW113" s="81"/>
      <c r="AX113" s="83">
        <f>SUM(Prog_23[[#This Row],[ADIANTAMENTO]]+Prog_23[[#This Row],[SALDO]]+Prog_23[[#This Row],[MARGEM]]+Prog_23[[#This Row],[ESTADIA 1]])</f>
        <v>3200</v>
      </c>
      <c r="AY1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13" s="81">
        <v>3488.8</v>
      </c>
      <c r="BA113" s="81">
        <v>135593.32</v>
      </c>
      <c r="BB113" s="81">
        <v>0</v>
      </c>
      <c r="BC113" s="81">
        <v>0</v>
      </c>
      <c r="BD113" s="81">
        <v>511.2</v>
      </c>
      <c r="BE113" s="81"/>
      <c r="BF113" s="81"/>
      <c r="BG113" s="81"/>
      <c r="BH113" s="81"/>
      <c r="BI113" s="81"/>
      <c r="BJ113" s="81"/>
      <c r="BK113" s="81"/>
      <c r="BL113" s="81"/>
      <c r="BM113" s="81"/>
      <c r="BN113" s="66" t="s">
        <v>2768</v>
      </c>
      <c r="BO113" s="66" t="s">
        <v>2768</v>
      </c>
      <c r="BP113" s="66" t="s">
        <v>2768</v>
      </c>
      <c r="BQ113" s="66" t="str">
        <f>PROPER(TEXT(Prog_23[[#This Row],[PROGRAMAÇÃO CLIENTE]],"mmm"))</f>
        <v>Mar</v>
      </c>
      <c r="BR113" s="66">
        <f>YEAR(Prog_23[[#This Row],[PROGRAMAÇÃO CLIENTE]])</f>
        <v>2023</v>
      </c>
    </row>
    <row r="114" spans="1:70" x14ac:dyDescent="0.25">
      <c r="A114" s="120" t="str">
        <f>Prog_23[[#This Row],[CONTEINER]]</f>
        <v>APHU7326504</v>
      </c>
      <c r="B114" s="86" t="s">
        <v>2771</v>
      </c>
      <c r="C1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14" s="85">
        <v>44991.458333333336</v>
      </c>
      <c r="E114" s="66" t="s">
        <v>297</v>
      </c>
      <c r="F114" s="66" t="s">
        <v>298</v>
      </c>
      <c r="G114" s="66" t="s">
        <v>3702</v>
      </c>
      <c r="H114" s="44" t="s">
        <v>3681</v>
      </c>
      <c r="I114" s="44" t="s">
        <v>3731</v>
      </c>
      <c r="J114" s="66" t="s">
        <v>301</v>
      </c>
      <c r="K114" s="66">
        <v>3750</v>
      </c>
      <c r="L114" s="66" t="s">
        <v>3732</v>
      </c>
      <c r="M114" s="66">
        <v>19681</v>
      </c>
      <c r="N114" s="66">
        <f>SUM(Prog_23[[#This Row],[TARA]]+Prog_23[[#This Row],[PESO]])</f>
        <v>23431</v>
      </c>
      <c r="O114" s="44">
        <v>836753</v>
      </c>
      <c r="P114" s="66" t="s">
        <v>3680</v>
      </c>
      <c r="Q114" s="66" t="s">
        <v>1729</v>
      </c>
      <c r="R114" s="66" t="s">
        <v>2517</v>
      </c>
      <c r="S114" s="66" t="s">
        <v>1731</v>
      </c>
      <c r="T114" s="138" t="str">
        <f>IFERROR(LOOKUP($S114,MOTORISTAS!$D$3:$D$916,MOTORISTAS!E$3:$E$916),"")</f>
        <v>03965340824</v>
      </c>
      <c r="U114" s="138" t="str">
        <f>IFERROR(LOOKUP($S114,MOTORISTAS!$D$3:$D$916,MOTORISTAS!F$3:$F$916),"")</f>
        <v>01420704735</v>
      </c>
      <c r="V114" s="66" t="s">
        <v>537</v>
      </c>
      <c r="W114" s="79">
        <v>44989.369444444441</v>
      </c>
      <c r="X114" s="79">
        <v>44991.34375</v>
      </c>
      <c r="Y114" s="79">
        <v>44991.652777777781</v>
      </c>
      <c r="Z114" s="66" t="s">
        <v>293</v>
      </c>
      <c r="AA114" s="79">
        <v>44993.856944444444</v>
      </c>
      <c r="AB114" s="79">
        <v>44993.833333333336</v>
      </c>
      <c r="AC114" s="79">
        <v>44992.666666666664</v>
      </c>
      <c r="AD114" s="79">
        <v>44998.375</v>
      </c>
      <c r="AE114" s="66" t="s">
        <v>2743</v>
      </c>
      <c r="AF114" s="44">
        <v>15274</v>
      </c>
      <c r="AG114" s="254">
        <f>Prog_23[[#This Row],[SAÍDA DO CLIENTE]]-Prog_23[[#This Row],[PROGRAMAÇÃO CLIENTE]]</f>
        <v>0.19444444444525288</v>
      </c>
      <c r="AH114" s="44"/>
      <c r="AI114" s="66"/>
      <c r="AJ114" s="66"/>
      <c r="AK114" s="66" t="s">
        <v>393</v>
      </c>
      <c r="AL114" s="79">
        <v>44991.875</v>
      </c>
      <c r="AM114" s="66"/>
      <c r="AN114" s="83">
        <v>950</v>
      </c>
      <c r="AO114" s="83"/>
      <c r="AP114" s="83"/>
      <c r="AQ114" s="66"/>
      <c r="AR114" s="66"/>
      <c r="AS114" s="66"/>
      <c r="AT114" s="81"/>
      <c r="AU114" s="81"/>
      <c r="AV114" s="81"/>
      <c r="AW114" s="81"/>
      <c r="AX114" s="83">
        <f>SUM(Prog_23[[#This Row],[ADIANTAMENTO]]+Prog_23[[#This Row],[SALDO]]+Prog_23[[#This Row],[MARGEM]]+Prog_23[[#This Row],[ESTADIA 1]])</f>
        <v>0</v>
      </c>
      <c r="AY1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14" s="81">
        <v>3488.8</v>
      </c>
      <c r="BA114" s="81">
        <v>137698.96</v>
      </c>
      <c r="BB114" s="81">
        <v>0</v>
      </c>
      <c r="BC114" s="81">
        <v>0</v>
      </c>
      <c r="BD114" s="81">
        <v>511.2</v>
      </c>
      <c r="BE114" s="81"/>
      <c r="BF114" s="81"/>
      <c r="BG114" s="81"/>
      <c r="BH114" s="81"/>
      <c r="BI114" s="81"/>
      <c r="BJ114" s="81"/>
      <c r="BK114" s="81"/>
      <c r="BL114" s="81"/>
      <c r="BM114" s="81"/>
      <c r="BN114" s="66" t="s">
        <v>2768</v>
      </c>
      <c r="BO114" s="66" t="s">
        <v>2768</v>
      </c>
      <c r="BP114" s="66" t="s">
        <v>2768</v>
      </c>
      <c r="BQ114" s="66" t="str">
        <f>PROPER(TEXT(Prog_23[[#This Row],[PROGRAMAÇÃO CLIENTE]],"mmm"))</f>
        <v>Mar</v>
      </c>
      <c r="BR114" s="66">
        <f>YEAR(Prog_23[[#This Row],[PROGRAMAÇÃO CLIENTE]])</f>
        <v>2023</v>
      </c>
    </row>
    <row r="115" spans="1:70" x14ac:dyDescent="0.25">
      <c r="A115" s="120" t="str">
        <f>Prog_23[[#This Row],[CONTEINER]]</f>
        <v>CMAU7638990</v>
      </c>
      <c r="B115" s="86" t="s">
        <v>2771</v>
      </c>
      <c r="C1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15" s="85">
        <v>44991.541666666664</v>
      </c>
      <c r="E115" s="66" t="s">
        <v>297</v>
      </c>
      <c r="F115" s="66" t="s">
        <v>298</v>
      </c>
      <c r="G115" s="66" t="s">
        <v>3703</v>
      </c>
      <c r="H115" s="44" t="s">
        <v>3681</v>
      </c>
      <c r="I115" s="44" t="s">
        <v>3738</v>
      </c>
      <c r="J115" s="66" t="s">
        <v>301</v>
      </c>
      <c r="K115" s="66">
        <v>3700</v>
      </c>
      <c r="L115" s="66" t="s">
        <v>3739</v>
      </c>
      <c r="M115" s="66">
        <v>19744</v>
      </c>
      <c r="N115" s="66">
        <f>SUM(Prog_23[[#This Row],[TARA]]+Prog_23[[#This Row],[PESO]])</f>
        <v>23444</v>
      </c>
      <c r="O115" s="44">
        <v>836803</v>
      </c>
      <c r="P115" s="66" t="s">
        <v>3680</v>
      </c>
      <c r="Q115" s="66" t="s">
        <v>72</v>
      </c>
      <c r="R115" s="66" t="s">
        <v>73</v>
      </c>
      <c r="S115" s="66" t="s">
        <v>203</v>
      </c>
      <c r="T115" s="138" t="str">
        <f>IFERROR(LOOKUP($S115,MOTORISTAS!$D$3:$D$916,MOTORISTAS!E$3:$E$916),"")</f>
        <v>10395859816</v>
      </c>
      <c r="U115" s="138" t="str">
        <f>IFERROR(LOOKUP($S115,MOTORISTAS!$D$3:$D$916,MOTORISTAS!F$3:$F$916),"")</f>
        <v>01965794851</v>
      </c>
      <c r="V115" s="66" t="s">
        <v>537</v>
      </c>
      <c r="W115" s="79">
        <v>44991.43472222222</v>
      </c>
      <c r="X115" s="79">
        <v>44991.708333333336</v>
      </c>
      <c r="Y115" s="79">
        <v>44991.902777777781</v>
      </c>
      <c r="Z115" s="66" t="s">
        <v>293</v>
      </c>
      <c r="AA115" s="79">
        <v>44993.859027777777</v>
      </c>
      <c r="AB115" s="79">
        <v>44993.833333333336</v>
      </c>
      <c r="AC115" s="79">
        <v>44992.666666666664</v>
      </c>
      <c r="AD115" s="79">
        <v>44998.375</v>
      </c>
      <c r="AE115" s="66" t="s">
        <v>2743</v>
      </c>
      <c r="AF115" s="44">
        <v>15284</v>
      </c>
      <c r="AG115" s="254">
        <f>Prog_23[[#This Row],[SAÍDA DO CLIENTE]]-Prog_23[[#This Row],[PROGRAMAÇÃO CLIENTE]]</f>
        <v>0.36111111111677019</v>
      </c>
      <c r="AH115" s="44"/>
      <c r="AI115" s="66"/>
      <c r="AJ115" s="66" t="s">
        <v>3643</v>
      </c>
      <c r="AK115" s="66" t="s">
        <v>393</v>
      </c>
      <c r="AL115" s="79">
        <v>44992.083333333336</v>
      </c>
      <c r="AM115" s="66"/>
      <c r="AN115" s="83">
        <v>950</v>
      </c>
      <c r="AO115" s="83"/>
      <c r="AP115" s="83"/>
      <c r="AQ115" s="66"/>
      <c r="AR115" s="66"/>
      <c r="AS115" s="66"/>
      <c r="AT115" s="81"/>
      <c r="AU115" s="81"/>
      <c r="AV115" s="81"/>
      <c r="AW115" s="81"/>
      <c r="AX115" s="83">
        <f>SUM(Prog_23[[#This Row],[ADIANTAMENTO]]+Prog_23[[#This Row],[SALDO]]+Prog_23[[#This Row],[MARGEM]]+Prog_23[[#This Row],[ESTADIA 1]])</f>
        <v>0</v>
      </c>
      <c r="AY1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15" s="81">
        <v>3488.8</v>
      </c>
      <c r="BA115" s="81">
        <v>138118.5</v>
      </c>
      <c r="BB115" s="81">
        <v>0</v>
      </c>
      <c r="BC115" s="81">
        <v>0</v>
      </c>
      <c r="BD115" s="81">
        <v>511.2</v>
      </c>
      <c r="BE115" s="81"/>
      <c r="BF115" s="81"/>
      <c r="BG115" s="81"/>
      <c r="BH115" s="81"/>
      <c r="BI115" s="81"/>
      <c r="BJ115" s="81"/>
      <c r="BK115" s="81"/>
      <c r="BL115" s="81"/>
      <c r="BM115" s="81"/>
      <c r="BN115" s="66" t="s">
        <v>2768</v>
      </c>
      <c r="BO115" s="66" t="s">
        <v>2768</v>
      </c>
      <c r="BP115" s="66" t="s">
        <v>2768</v>
      </c>
      <c r="BQ115" s="66" t="str">
        <f>PROPER(TEXT(Prog_23[[#This Row],[PROGRAMAÇÃO CLIENTE]],"mmm"))</f>
        <v>Mar</v>
      </c>
      <c r="BR115" s="66">
        <f>YEAR(Prog_23[[#This Row],[PROGRAMAÇÃO CLIENTE]])</f>
        <v>2023</v>
      </c>
    </row>
    <row r="116" spans="1:70" x14ac:dyDescent="0.25">
      <c r="A116" s="120" t="str">
        <f>Prog_23[[#This Row],[CONTEINER]]</f>
        <v>SEKU4328943</v>
      </c>
      <c r="B116" s="86" t="s">
        <v>2771</v>
      </c>
      <c r="C1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16" s="85">
        <v>44991.541666666664</v>
      </c>
      <c r="E116" s="66" t="s">
        <v>297</v>
      </c>
      <c r="F116" s="66" t="s">
        <v>298</v>
      </c>
      <c r="G116" s="66" t="s">
        <v>3704</v>
      </c>
      <c r="H116" s="44" t="s">
        <v>3681</v>
      </c>
      <c r="I116" s="44" t="s">
        <v>3740</v>
      </c>
      <c r="J116" s="66" t="s">
        <v>301</v>
      </c>
      <c r="K116" s="66">
        <v>3700</v>
      </c>
      <c r="L116" s="66" t="s">
        <v>3741</v>
      </c>
      <c r="M116" s="66">
        <v>19553</v>
      </c>
      <c r="N116" s="66">
        <f>SUM(Prog_23[[#This Row],[TARA]]+Prog_23[[#This Row],[PESO]])</f>
        <v>23253</v>
      </c>
      <c r="O116" s="44">
        <v>836787</v>
      </c>
      <c r="P116" s="66" t="s">
        <v>3680</v>
      </c>
      <c r="Q116" s="66" t="s">
        <v>155</v>
      </c>
      <c r="R116" s="66" t="s">
        <v>209</v>
      </c>
      <c r="S116" s="66" t="s">
        <v>156</v>
      </c>
      <c r="T116" s="138" t="str">
        <f>IFERROR(LOOKUP($S116,MOTORISTAS!$D$3:$D$916,MOTORISTAS!E$3:$E$916),"")</f>
        <v>09803034863</v>
      </c>
      <c r="U116" s="138" t="str">
        <f>IFERROR(LOOKUP($S116,MOTORISTAS!$D$3:$D$916,MOTORISTAS!F$3:$F$916),"")</f>
        <v>01484565209</v>
      </c>
      <c r="V116" s="66" t="s">
        <v>537</v>
      </c>
      <c r="W116" s="79">
        <v>44991.447222222225</v>
      </c>
      <c r="X116" s="79">
        <v>44991.640972222223</v>
      </c>
      <c r="Y116" s="79">
        <v>44991.854166666664</v>
      </c>
      <c r="Z116" s="66" t="s">
        <v>293</v>
      </c>
      <c r="AA116" s="79">
        <v>44993.861805555556</v>
      </c>
      <c r="AB116" s="79">
        <v>44993.833333333336</v>
      </c>
      <c r="AC116" s="79">
        <v>44992.666666666664</v>
      </c>
      <c r="AD116" s="79">
        <v>44998.375</v>
      </c>
      <c r="AE116" s="66" t="s">
        <v>2743</v>
      </c>
      <c r="AF116" s="44">
        <v>15281</v>
      </c>
      <c r="AG116" s="254">
        <f>Prog_23[[#This Row],[SAÍDA DO CLIENTE]]-Prog_23[[#This Row],[PROGRAMAÇÃO CLIENTE]]</f>
        <v>0.3125</v>
      </c>
      <c r="AH116" s="44"/>
      <c r="AI116" s="66"/>
      <c r="AJ116" s="66" t="s">
        <v>3602</v>
      </c>
      <c r="AK116" s="66" t="s">
        <v>393</v>
      </c>
      <c r="AL116" s="79">
        <v>44992.041666666664</v>
      </c>
      <c r="AM116" s="66"/>
      <c r="AN116" s="83">
        <v>950</v>
      </c>
      <c r="AO116" s="83"/>
      <c r="AP116" s="83"/>
      <c r="AQ116" s="66"/>
      <c r="AR116" s="66"/>
      <c r="AS116" s="66"/>
      <c r="AT116" s="81"/>
      <c r="AU116" s="81"/>
      <c r="AV116" s="81"/>
      <c r="AW116" s="81"/>
      <c r="AX116" s="83">
        <f>SUM(Prog_23[[#This Row],[ADIANTAMENTO]]+Prog_23[[#This Row],[SALDO]]+Prog_23[[#This Row],[MARGEM]]+Prog_23[[#This Row],[ESTADIA 1]])</f>
        <v>0</v>
      </c>
      <c r="AY1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16" s="81">
        <v>3488.8</v>
      </c>
      <c r="BA116" s="81">
        <v>134732.22</v>
      </c>
      <c r="BB116" s="81">
        <v>0</v>
      </c>
      <c r="BC116" s="81">
        <v>0</v>
      </c>
      <c r="BD116" s="81">
        <v>511.2</v>
      </c>
      <c r="BE116" s="81"/>
      <c r="BF116" s="81"/>
      <c r="BG116" s="81"/>
      <c r="BH116" s="81"/>
      <c r="BI116" s="81"/>
      <c r="BJ116" s="81"/>
      <c r="BK116" s="81"/>
      <c r="BL116" s="81"/>
      <c r="BM116" s="81"/>
      <c r="BN116" s="66" t="s">
        <v>2768</v>
      </c>
      <c r="BO116" s="66" t="s">
        <v>2768</v>
      </c>
      <c r="BP116" s="66" t="s">
        <v>2768</v>
      </c>
      <c r="BQ116" s="66" t="str">
        <f>PROPER(TEXT(Prog_23[[#This Row],[PROGRAMAÇÃO CLIENTE]],"mmm"))</f>
        <v>Mar</v>
      </c>
      <c r="BR116" s="66">
        <f>YEAR(Prog_23[[#This Row],[PROGRAMAÇÃO CLIENTE]])</f>
        <v>2023</v>
      </c>
    </row>
    <row r="117" spans="1:70" x14ac:dyDescent="0.25">
      <c r="A117" s="120" t="str">
        <f>Prog_23[[#This Row],[CONTEINER]]</f>
        <v>CMAU9312513</v>
      </c>
      <c r="B117" s="86" t="s">
        <v>2771</v>
      </c>
      <c r="C1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17" s="85">
        <v>44992.375</v>
      </c>
      <c r="E117" s="66" t="s">
        <v>297</v>
      </c>
      <c r="F117" s="66" t="s">
        <v>298</v>
      </c>
      <c r="G117" s="66" t="s">
        <v>3705</v>
      </c>
      <c r="H117" s="44" t="s">
        <v>3681</v>
      </c>
      <c r="I117" s="44" t="s">
        <v>3743</v>
      </c>
      <c r="J117" s="66" t="s">
        <v>301</v>
      </c>
      <c r="K117" s="66">
        <v>3700</v>
      </c>
      <c r="L117" s="66" t="s">
        <v>3746</v>
      </c>
      <c r="M117" s="66">
        <v>19553</v>
      </c>
      <c r="N117" s="66">
        <f>SUM(Prog_23[[#This Row],[TARA]]+Prog_23[[#This Row],[PESO]])</f>
        <v>23253</v>
      </c>
      <c r="O117" s="44">
        <v>837136</v>
      </c>
      <c r="P117" s="66" t="s">
        <v>3680</v>
      </c>
      <c r="Q117" s="66" t="s">
        <v>178</v>
      </c>
      <c r="R117" s="66" t="s">
        <v>112</v>
      </c>
      <c r="S117" s="66" t="s">
        <v>180</v>
      </c>
      <c r="T117" s="138" t="str">
        <f>IFERROR(LOOKUP($S117,MOTORISTAS!$D$3:$D$916,MOTORISTAS!E$3:$E$916),"")</f>
        <v>18990500869</v>
      </c>
      <c r="U117" s="138" t="str">
        <f>IFERROR(LOOKUP($S117,MOTORISTAS!$D$3:$D$916,MOTORISTAS!F$3:$F$916),"")</f>
        <v>04640435232</v>
      </c>
      <c r="V117" s="66" t="s">
        <v>537</v>
      </c>
      <c r="W117" s="79">
        <v>44991.850694444445</v>
      </c>
      <c r="X117" s="79">
        <v>44992.3125</v>
      </c>
      <c r="Y117" s="79">
        <v>44993.395833333336</v>
      </c>
      <c r="Z117" s="66" t="s">
        <v>293</v>
      </c>
      <c r="AA117" s="66" t="s">
        <v>3799</v>
      </c>
      <c r="AB117" s="79">
        <v>44993.833333333336</v>
      </c>
      <c r="AC117" s="79">
        <v>44992.666666666664</v>
      </c>
      <c r="AD117" s="79">
        <v>44998.375</v>
      </c>
      <c r="AE117" s="66" t="s">
        <v>2743</v>
      </c>
      <c r="AF117" s="44">
        <v>15316</v>
      </c>
      <c r="AG117" s="254">
        <f>Prog_23[[#This Row],[SAÍDA DO CLIENTE]]-Prog_23[[#This Row],[PROGRAMAÇÃO CLIENTE]]</f>
        <v>1.0208333333357587</v>
      </c>
      <c r="AH117" s="44"/>
      <c r="AI117" s="66"/>
      <c r="AJ117" s="66"/>
      <c r="AK117" s="66" t="s">
        <v>393</v>
      </c>
      <c r="AL117" s="79">
        <v>44993.645833333336</v>
      </c>
      <c r="AM117" s="66"/>
      <c r="AN117" s="83">
        <v>950</v>
      </c>
      <c r="AO117" s="83"/>
      <c r="AP117" s="83"/>
      <c r="AQ117" s="66"/>
      <c r="AR117" s="66"/>
      <c r="AS117" s="66"/>
      <c r="AT117" s="81">
        <v>3400</v>
      </c>
      <c r="AU117" s="81"/>
      <c r="AV117" s="81">
        <v>400</v>
      </c>
      <c r="AW117" s="81"/>
      <c r="AX117" s="83">
        <f>SUM(Prog_23[[#This Row],[ADIANTAMENTO]]+Prog_23[[#This Row],[SALDO]]+Prog_23[[#This Row],[MARGEM]]+Prog_23[[#This Row],[ESTADIA 1]])</f>
        <v>3800</v>
      </c>
      <c r="AY1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5640.5</v>
      </c>
      <c r="AZ117" s="81">
        <v>3488.8</v>
      </c>
      <c r="BA117" s="81">
        <v>136574.07999999999</v>
      </c>
      <c r="BB117" s="81">
        <v>0</v>
      </c>
      <c r="BC117" s="81">
        <v>0</v>
      </c>
      <c r="BD117" s="81">
        <v>511.2</v>
      </c>
      <c r="BE117" s="81"/>
      <c r="BF117" s="81"/>
      <c r="BG117" s="81"/>
      <c r="BH117" s="81"/>
      <c r="BI117" s="81"/>
      <c r="BJ117" s="81"/>
      <c r="BK117" s="81"/>
      <c r="BL117" s="81"/>
      <c r="BM117" s="81">
        <f>85*19.3</f>
        <v>1640.5</v>
      </c>
      <c r="BN117" s="66" t="s">
        <v>2768</v>
      </c>
      <c r="BO117" s="66" t="s">
        <v>2768</v>
      </c>
      <c r="BP117" s="66" t="s">
        <v>2768</v>
      </c>
      <c r="BQ117" s="66" t="str">
        <f>PROPER(TEXT(Prog_23[[#This Row],[PROGRAMAÇÃO CLIENTE]],"mmm"))</f>
        <v>Mar</v>
      </c>
      <c r="BR117" s="66">
        <f>YEAR(Prog_23[[#This Row],[PROGRAMAÇÃO CLIENTE]])</f>
        <v>2023</v>
      </c>
    </row>
    <row r="118" spans="1:70" x14ac:dyDescent="0.25">
      <c r="A118" s="120" t="str">
        <f>Prog_23[[#This Row],[CONTEINER]]</f>
        <v>APHU7302924</v>
      </c>
      <c r="B118" s="86" t="s">
        <v>2771</v>
      </c>
      <c r="C1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18" s="85">
        <v>44992.541666666664</v>
      </c>
      <c r="E118" s="66" t="s">
        <v>297</v>
      </c>
      <c r="F118" s="66" t="s">
        <v>298</v>
      </c>
      <c r="G118" s="66" t="s">
        <v>3706</v>
      </c>
      <c r="H118" s="44" t="s">
        <v>3681</v>
      </c>
      <c r="I118" s="44" t="s">
        <v>3744</v>
      </c>
      <c r="J118" s="66" t="s">
        <v>301</v>
      </c>
      <c r="K118" s="66">
        <v>3750</v>
      </c>
      <c r="L118" s="66" t="s">
        <v>3745</v>
      </c>
      <c r="M118" s="66">
        <v>19704</v>
      </c>
      <c r="N118" s="66">
        <f>SUM(Prog_23[[#This Row],[TARA]]+Prog_23[[#This Row],[PESO]])</f>
        <v>23454</v>
      </c>
      <c r="O118" s="44">
        <v>837484</v>
      </c>
      <c r="P118" s="66" t="s">
        <v>3680</v>
      </c>
      <c r="Q118" s="66" t="s">
        <v>111</v>
      </c>
      <c r="R118" s="66" t="s">
        <v>891</v>
      </c>
      <c r="S118" s="66" t="s">
        <v>113</v>
      </c>
      <c r="T118" s="138" t="str">
        <f>IFERROR(LOOKUP($S118,MOTORISTAS!$D$3:$D$916,MOTORISTAS!E$3:$E$916),"")</f>
        <v>88265951434</v>
      </c>
      <c r="U118" s="138" t="str">
        <f>IFERROR(LOOKUP($S118,MOTORISTAS!$D$3:$D$916,MOTORISTAS!F$3:$F$916),"")</f>
        <v>00920373596</v>
      </c>
      <c r="V118" s="66" t="s">
        <v>537</v>
      </c>
      <c r="W118" s="79">
        <v>44991.988888888889</v>
      </c>
      <c r="X118" s="79">
        <v>44992.645833333336</v>
      </c>
      <c r="Y118" s="79">
        <v>44993.802083333336</v>
      </c>
      <c r="Z118" s="66" t="s">
        <v>293</v>
      </c>
      <c r="AA118" s="79">
        <v>44994.02847222222</v>
      </c>
      <c r="AB118" s="79">
        <v>44993.833333333336</v>
      </c>
      <c r="AC118" s="79">
        <v>44992.666666666664</v>
      </c>
      <c r="AD118" s="79">
        <v>44998.375</v>
      </c>
      <c r="AE118" s="66" t="s">
        <v>2743</v>
      </c>
      <c r="AF118" s="44">
        <v>15322</v>
      </c>
      <c r="AG118" s="254">
        <f>Prog_23[[#This Row],[SAÍDA DO CLIENTE]]-Prog_23[[#This Row],[PROGRAMAÇÃO CLIENTE]]</f>
        <v>1.2604166666715173</v>
      </c>
      <c r="AH118" s="44"/>
      <c r="AI118" s="66"/>
      <c r="AJ118" s="66" t="s">
        <v>3643</v>
      </c>
      <c r="AK118" s="66"/>
      <c r="AL118" s="66"/>
      <c r="AM118" s="66"/>
      <c r="AN118" s="83"/>
      <c r="AO118" s="83"/>
      <c r="AP118" s="83"/>
      <c r="AQ118" s="66"/>
      <c r="AR118" s="66"/>
      <c r="AS118" s="66"/>
      <c r="AT118" s="81">
        <v>3400</v>
      </c>
      <c r="AU118" s="81"/>
      <c r="AV118" s="81">
        <v>400</v>
      </c>
      <c r="AW118" s="81"/>
      <c r="AX118" s="83">
        <f>SUM(Prog_23[[#This Row],[ADIANTAMENTO]]+Prog_23[[#This Row],[SALDO]]+Prog_23[[#This Row],[MARGEM]]+Prog_23[[#This Row],[ESTADIA 1]])</f>
        <v>3800</v>
      </c>
      <c r="AY1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5870</v>
      </c>
      <c r="AZ118" s="81">
        <v>3488.8</v>
      </c>
      <c r="BA118" s="81">
        <v>137468.81</v>
      </c>
      <c r="BB118" s="81">
        <v>0</v>
      </c>
      <c r="BC118" s="81">
        <v>0</v>
      </c>
      <c r="BD118" s="81">
        <v>511.2</v>
      </c>
      <c r="BE118" s="81"/>
      <c r="BF118" s="81"/>
      <c r="BG118" s="81"/>
      <c r="BH118" s="81"/>
      <c r="BI118" s="81"/>
      <c r="BJ118" s="81"/>
      <c r="BK118" s="81"/>
      <c r="BL118" s="81"/>
      <c r="BM118" s="81">
        <f>85*22</f>
        <v>1870</v>
      </c>
      <c r="BN118" s="66" t="s">
        <v>2768</v>
      </c>
      <c r="BO118" s="66" t="s">
        <v>2768</v>
      </c>
      <c r="BP118" s="66" t="s">
        <v>2768</v>
      </c>
      <c r="BQ118" s="66" t="str">
        <f>PROPER(TEXT(Prog_23[[#This Row],[PROGRAMAÇÃO CLIENTE]],"mmm"))</f>
        <v>Mar</v>
      </c>
      <c r="BR118" s="66">
        <f>YEAR(Prog_23[[#This Row],[PROGRAMAÇÃO CLIENTE]])</f>
        <v>2023</v>
      </c>
    </row>
    <row r="119" spans="1:70" x14ac:dyDescent="0.25">
      <c r="A119" s="120" t="str">
        <f>Prog_23[[#This Row],[CONTEINER]]</f>
        <v>TCKU6618358</v>
      </c>
      <c r="B119" s="86" t="s">
        <v>2771</v>
      </c>
      <c r="C119" s="253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19" s="85">
        <v>44993.291666666664</v>
      </c>
      <c r="E119" s="66" t="s">
        <v>2059</v>
      </c>
      <c r="F119" s="66" t="s">
        <v>2060</v>
      </c>
      <c r="G119" s="66" t="s">
        <v>3736</v>
      </c>
      <c r="H119" s="44">
        <v>225256185</v>
      </c>
      <c r="I119" s="44" t="s">
        <v>3773</v>
      </c>
      <c r="J119" s="66" t="s">
        <v>301</v>
      </c>
      <c r="K119" s="66">
        <v>3800</v>
      </c>
      <c r="L119" s="66" t="s">
        <v>3774</v>
      </c>
      <c r="M119" s="66">
        <v>25117</v>
      </c>
      <c r="N119" s="66">
        <f>SUM(Prog_23[[#This Row],[TARA]]+Prog_23[[#This Row],[PESO]])</f>
        <v>28917</v>
      </c>
      <c r="O119" s="44" t="s">
        <v>3783</v>
      </c>
      <c r="P119" s="66" t="s">
        <v>3761</v>
      </c>
      <c r="Q119" s="66" t="s">
        <v>31</v>
      </c>
      <c r="R119" s="66" t="s">
        <v>32</v>
      </c>
      <c r="S119" s="66" t="s">
        <v>33</v>
      </c>
      <c r="T119" s="138" t="str">
        <f>IFERROR(LOOKUP($S119,MOTORISTAS!$D$3:$D$916,MOTORISTAS!E$3:$E$916),"")</f>
        <v>09776430856</v>
      </c>
      <c r="U119" s="138" t="str">
        <f>IFERROR(LOOKUP($S119,MOTORISTAS!$D$3:$D$916,MOTORISTAS!F$3:$F$916),"")</f>
        <v>01258979905</v>
      </c>
      <c r="V119" s="66" t="s">
        <v>292</v>
      </c>
      <c r="W119" s="79">
        <v>44992.961805555555</v>
      </c>
      <c r="X119" s="79">
        <v>44993.373611111114</v>
      </c>
      <c r="Y119" s="79">
        <v>44993.697916666664</v>
      </c>
      <c r="Z119" s="66" t="s">
        <v>410</v>
      </c>
      <c r="AA119" s="79">
        <v>44997.911111111112</v>
      </c>
      <c r="AB119" s="79">
        <v>44996.291666666664</v>
      </c>
      <c r="AC119" s="79">
        <v>44995.5</v>
      </c>
      <c r="AD119" s="79">
        <v>45000.75</v>
      </c>
      <c r="AE119" s="66" t="s">
        <v>418</v>
      </c>
      <c r="AF119" s="44">
        <v>15321</v>
      </c>
      <c r="AG119" s="254">
        <f>Prog_23[[#This Row],[SAÍDA DO CLIENTE]]-Prog_23[[#This Row],[PROGRAMAÇÃO CLIENTE]]</f>
        <v>0.40625</v>
      </c>
      <c r="AH119" s="44"/>
      <c r="AI119" s="66" t="s">
        <v>3777</v>
      </c>
      <c r="AJ119" s="66" t="s">
        <v>3643</v>
      </c>
      <c r="AK119" s="66" t="s">
        <v>393</v>
      </c>
      <c r="AL119" s="79">
        <v>44993.916666666664</v>
      </c>
      <c r="AM119" s="66"/>
      <c r="AN119" s="83">
        <v>950</v>
      </c>
      <c r="AO119" s="83"/>
      <c r="AP119" s="83"/>
      <c r="AQ119" s="66" t="s">
        <v>610</v>
      </c>
      <c r="AR119" s="81"/>
      <c r="AS119" s="81">
        <v>120</v>
      </c>
      <c r="AT119" s="81">
        <v>3400</v>
      </c>
      <c r="AU119" s="81"/>
      <c r="AV119" s="81"/>
      <c r="AW119" s="81"/>
      <c r="AX119" s="83">
        <f>SUM(Prog_23[[#This Row],[ADIANTAMENTO]]+Prog_23[[#This Row],[SALDO]]+Prog_23[[#This Row],[MARGEM]]+Prog_23[[#This Row],[ESTADIA 1]])</f>
        <v>3400</v>
      </c>
      <c r="AY1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4356.2027400000006</v>
      </c>
      <c r="AZ119" s="81">
        <v>3122.4</v>
      </c>
      <c r="BA119" s="81">
        <v>156202.74</v>
      </c>
      <c r="BB119" s="81">
        <f>Prog_23[[#This Row],[VLR NF]]*0.1%</f>
        <v>156.20274000000001</v>
      </c>
      <c r="BC119" s="81">
        <v>0</v>
      </c>
      <c r="BD119" s="81">
        <v>477.6</v>
      </c>
      <c r="BE119" s="81"/>
      <c r="BF119" s="81">
        <v>600</v>
      </c>
      <c r="BG119" s="81"/>
      <c r="BH119" s="81"/>
      <c r="BI119" s="81"/>
      <c r="BJ119" s="81"/>
      <c r="BK119" s="81"/>
      <c r="BL119" s="81"/>
      <c r="BM119" s="81"/>
      <c r="BN119" s="66" t="s">
        <v>2768</v>
      </c>
      <c r="BO119" s="66" t="s">
        <v>2768</v>
      </c>
      <c r="BP119" s="66" t="s">
        <v>2768</v>
      </c>
      <c r="BQ119" s="66" t="str">
        <f>PROPER(TEXT(Prog_23[[#This Row],[PROGRAMAÇÃO CLIENTE]],"mmm"))</f>
        <v>Mar</v>
      </c>
      <c r="BR119" s="66">
        <f>YEAR(Prog_23[[#This Row],[PROGRAMAÇÃO CLIENTE]])</f>
        <v>2023</v>
      </c>
    </row>
    <row r="120" spans="1:70" x14ac:dyDescent="0.25">
      <c r="A120" s="120" t="str">
        <f>Prog_23[[#This Row],[CONTEINER]]</f>
        <v>GESU6324927</v>
      </c>
      <c r="B120" s="86" t="s">
        <v>2771</v>
      </c>
      <c r="C1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20" s="85">
        <v>44998.3125</v>
      </c>
      <c r="E120" s="66" t="s">
        <v>3790</v>
      </c>
      <c r="F120" s="66" t="s">
        <v>529</v>
      </c>
      <c r="G120" s="66"/>
      <c r="H120" s="44">
        <v>68215601</v>
      </c>
      <c r="I120" s="66" t="s">
        <v>3800</v>
      </c>
      <c r="J120" s="66" t="s">
        <v>301</v>
      </c>
      <c r="K120" s="66">
        <v>3830</v>
      </c>
      <c r="L120" s="66" t="s">
        <v>3801</v>
      </c>
      <c r="M120" s="66">
        <v>11864</v>
      </c>
      <c r="N120" s="66">
        <f>SUM(Prog_23[[#This Row],[TARA]]+Prog_23[[#This Row],[PESO]])</f>
        <v>15694</v>
      </c>
      <c r="O120" s="44" t="s">
        <v>3802</v>
      </c>
      <c r="P120" s="66" t="s">
        <v>3788</v>
      </c>
      <c r="Q120" s="66" t="s">
        <v>150</v>
      </c>
      <c r="R120" s="66" t="s">
        <v>151</v>
      </c>
      <c r="S120" s="66" t="s">
        <v>152</v>
      </c>
      <c r="T120" s="138" t="str">
        <f>IFERROR(LOOKUP($S120,MOTORISTAS!$D$3:$D$916,MOTORISTAS!E$3:$E$916),"")</f>
        <v>05753633803</v>
      </c>
      <c r="U120" s="138" t="str">
        <f>IFERROR(LOOKUP($S120,MOTORISTAS!$D$3:$D$916,MOTORISTAS!F$3:$F$916),"")</f>
        <v>01922497849</v>
      </c>
      <c r="V120" s="66" t="s">
        <v>537</v>
      </c>
      <c r="W120" s="79">
        <v>44996.397916666669</v>
      </c>
      <c r="X120" s="79">
        <v>44998.249305555553</v>
      </c>
      <c r="Y120" s="79">
        <v>44998.472222222219</v>
      </c>
      <c r="Z120" s="66" t="s">
        <v>410</v>
      </c>
      <c r="AA120" s="79">
        <v>44998.619444444441</v>
      </c>
      <c r="AB120" s="79">
        <v>44996.041666666664</v>
      </c>
      <c r="AC120" s="79">
        <v>44998.5</v>
      </c>
      <c r="AD120" s="79">
        <v>45000</v>
      </c>
      <c r="AE120" s="66" t="s">
        <v>3789</v>
      </c>
      <c r="AF120" s="44">
        <v>15362</v>
      </c>
      <c r="AG120" s="254">
        <f>Prog_23[[#This Row],[SAÍDA DO CLIENTE]]-Prog_23[[#This Row],[PROGRAMAÇÃO CLIENTE]]</f>
        <v>0.15972222221898846</v>
      </c>
      <c r="AH120" s="66" t="s">
        <v>3952</v>
      </c>
      <c r="AI120" s="66"/>
      <c r="AJ120" s="66"/>
      <c r="AK120" s="66"/>
      <c r="AL120" s="66"/>
      <c r="AM120" s="66"/>
      <c r="AN120" s="83"/>
      <c r="AO120" s="83"/>
      <c r="AP120" s="83"/>
      <c r="AQ120" s="66"/>
      <c r="AR120" s="66"/>
      <c r="AS120" s="66"/>
      <c r="AT120" s="81">
        <v>1800</v>
      </c>
      <c r="AU120" s="81"/>
      <c r="AV120" s="81"/>
      <c r="AW120" s="81"/>
      <c r="AX120" s="83">
        <f>SUM(Prog_23[[#This Row],[ADIANTAMENTO]]+Prog_23[[#This Row],[SALDO]]+Prog_23[[#This Row],[MARGEM]]+Prog_23[[#This Row],[ESTADIA 1]])</f>
        <v>1800</v>
      </c>
      <c r="AY1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3244.5389800000003</v>
      </c>
      <c r="AZ120" s="81">
        <v>2070</v>
      </c>
      <c r="BA120" s="81">
        <v>584538.98</v>
      </c>
      <c r="BB120" s="81">
        <f>Prog_23[[#This Row],[VLR NF]]*0.1%</f>
        <v>584.53898000000004</v>
      </c>
      <c r="BC120" s="81">
        <v>0</v>
      </c>
      <c r="BD120" s="81">
        <v>240</v>
      </c>
      <c r="BE120" s="81"/>
      <c r="BF120" s="81"/>
      <c r="BG120" s="81"/>
      <c r="BH120" s="81"/>
      <c r="BI120" s="81"/>
      <c r="BJ120" s="81"/>
      <c r="BK120" s="81">
        <v>350</v>
      </c>
      <c r="BL120" s="81"/>
      <c r="BM120" s="81"/>
      <c r="BN120" s="66" t="s">
        <v>2768</v>
      </c>
      <c r="BO120" s="66" t="s">
        <v>2768</v>
      </c>
      <c r="BP120" s="66" t="s">
        <v>2768</v>
      </c>
      <c r="BQ120" s="66" t="str">
        <f>PROPER(TEXT(Prog_23[[#This Row],[PROGRAMAÇÃO CLIENTE]],"mmm"))</f>
        <v>Mar</v>
      </c>
      <c r="BR120" s="66">
        <f>YEAR(Prog_23[[#This Row],[PROGRAMAÇÃO CLIENTE]])</f>
        <v>2023</v>
      </c>
    </row>
    <row r="121" spans="1:70" x14ac:dyDescent="0.25">
      <c r="A121" s="120" t="str">
        <f>Prog_23[[#This Row],[CONTEINER]]</f>
        <v>TLLU2320123</v>
      </c>
      <c r="B121" s="86" t="s">
        <v>2771</v>
      </c>
      <c r="C1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21" s="85">
        <v>44999.291666666664</v>
      </c>
      <c r="E121" s="66" t="s">
        <v>2059</v>
      </c>
      <c r="F121" s="66" t="s">
        <v>2060</v>
      </c>
      <c r="G121" s="66" t="s">
        <v>3737</v>
      </c>
      <c r="H121" s="44" t="s">
        <v>3683</v>
      </c>
      <c r="I121" s="44" t="s">
        <v>3821</v>
      </c>
      <c r="J121" s="66" t="s">
        <v>288</v>
      </c>
      <c r="K121" s="66">
        <v>2100</v>
      </c>
      <c r="L121" s="66" t="s">
        <v>3822</v>
      </c>
      <c r="M121" s="66">
        <v>12147</v>
      </c>
      <c r="N121" s="66">
        <f>SUM(Prog_23[[#This Row],[TARA]]+Prog_23[[#This Row],[PESO]])</f>
        <v>14247</v>
      </c>
      <c r="O121" s="44" t="s">
        <v>3840</v>
      </c>
      <c r="P121" s="66" t="s">
        <v>3735</v>
      </c>
      <c r="Q121" s="66" t="s">
        <v>72</v>
      </c>
      <c r="R121" s="66" t="s">
        <v>3246</v>
      </c>
      <c r="S121" s="66" t="s">
        <v>203</v>
      </c>
      <c r="T121" s="138" t="str">
        <f>IFERROR(LOOKUP($S121,MOTORISTAS!$D$3:$D$916,MOTORISTAS!E$3:$E$916),"")</f>
        <v>10395859816</v>
      </c>
      <c r="U121" s="138" t="str">
        <f>IFERROR(LOOKUP($S121,MOTORISTAS!$D$3:$D$916,MOTORISTAS!F$3:$F$916),"")</f>
        <v>01965794851</v>
      </c>
      <c r="V121" s="66" t="s">
        <v>293</v>
      </c>
      <c r="W121" s="79">
        <v>44998.964583333334</v>
      </c>
      <c r="X121" s="79">
        <v>44999.125</v>
      </c>
      <c r="Y121" s="79">
        <v>44999.614583333336</v>
      </c>
      <c r="Z121" s="66" t="s">
        <v>410</v>
      </c>
      <c r="AA121" s="79">
        <v>44999.841666666667</v>
      </c>
      <c r="AB121" s="79">
        <v>44998.791666666664</v>
      </c>
      <c r="AC121" s="79">
        <v>44999.75</v>
      </c>
      <c r="AD121" s="79">
        <v>45002.75</v>
      </c>
      <c r="AE121" s="66" t="s">
        <v>2454</v>
      </c>
      <c r="AF121" s="44" t="s">
        <v>3841</v>
      </c>
      <c r="AG121" s="254">
        <f>Prog_23[[#This Row],[SAÍDA DO CLIENTE]]-Prog_23[[#This Row],[PROGRAMAÇÃO CLIENTE]]</f>
        <v>0.32291666667151731</v>
      </c>
      <c r="AH121" s="44"/>
      <c r="AI121" s="66"/>
      <c r="AJ121" s="66"/>
      <c r="AK121" s="66" t="s">
        <v>3838</v>
      </c>
      <c r="AL121" s="66"/>
      <c r="AM121" s="66"/>
      <c r="AN121" s="83"/>
      <c r="AO121" s="83"/>
      <c r="AP121" s="83"/>
      <c r="AQ121" s="66"/>
      <c r="AR121" s="66"/>
      <c r="AS121" s="66"/>
      <c r="AT121" s="81">
        <v>3400</v>
      </c>
      <c r="AU121" s="81"/>
      <c r="AV121" s="81"/>
      <c r="AW121" s="81"/>
      <c r="AX121" s="83">
        <f>SUM(Prog_23[[#This Row],[ADIANTAMENTO]]+Prog_23[[#This Row],[SALDO]]+Prog_23[[#This Row],[MARGEM]]+Prog_23[[#This Row],[ESTADIA 1]])</f>
        <v>3400</v>
      </c>
      <c r="AY1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4017.7777500000002</v>
      </c>
      <c r="AZ121" s="81">
        <v>3122.4</v>
      </c>
      <c r="BA121" s="81">
        <v>67777.75</v>
      </c>
      <c r="BB121" s="81">
        <f>Prog_23[[#This Row],[VLR NF]]*0.1%</f>
        <v>67.777749999999997</v>
      </c>
      <c r="BC121" s="81">
        <v>0</v>
      </c>
      <c r="BD121" s="81">
        <v>477.6</v>
      </c>
      <c r="BE121" s="81"/>
      <c r="BF121" s="81"/>
      <c r="BG121" s="81"/>
      <c r="BH121" s="81"/>
      <c r="BI121" s="81"/>
      <c r="BJ121" s="81"/>
      <c r="BK121" s="81"/>
      <c r="BL121" s="81">
        <v>350</v>
      </c>
      <c r="BM121" s="81"/>
      <c r="BN121" s="66" t="s">
        <v>2768</v>
      </c>
      <c r="BO121" s="66" t="s">
        <v>2768</v>
      </c>
      <c r="BP121" s="66" t="s">
        <v>2768</v>
      </c>
      <c r="BQ121" s="66" t="str">
        <f>PROPER(TEXT(Prog_23[[#This Row],[PROGRAMAÇÃO CLIENTE]],"mmm"))</f>
        <v>Mar</v>
      </c>
      <c r="BR121" s="66">
        <f>YEAR(Prog_23[[#This Row],[PROGRAMAÇÃO CLIENTE]])</f>
        <v>2023</v>
      </c>
    </row>
    <row r="122" spans="1:70" x14ac:dyDescent="0.25">
      <c r="A122" s="120" t="str">
        <f>Prog_23[[#This Row],[CONTEINER]]</f>
        <v>MRSU3140580</v>
      </c>
      <c r="B122" s="86" t="s">
        <v>2771</v>
      </c>
      <c r="C1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22" s="85">
        <v>44999.354166666664</v>
      </c>
      <c r="E122" s="66" t="s">
        <v>3770</v>
      </c>
      <c r="F122" s="66" t="s">
        <v>3561</v>
      </c>
      <c r="G122" s="66"/>
      <c r="H122" s="44">
        <v>225578388</v>
      </c>
      <c r="I122" s="44" t="s">
        <v>3823</v>
      </c>
      <c r="J122" s="66" t="s">
        <v>301</v>
      </c>
      <c r="K122" s="66">
        <v>3810</v>
      </c>
      <c r="L122" s="66" t="s">
        <v>3824</v>
      </c>
      <c r="M122" s="66">
        <v>13347</v>
      </c>
      <c r="N122" s="66">
        <f>SUM(Prog_23[[#This Row],[TARA]]+Prog_23[[#This Row],[PESO]])</f>
        <v>17157</v>
      </c>
      <c r="O122" s="44">
        <v>388</v>
      </c>
      <c r="P122" s="66" t="s">
        <v>3769</v>
      </c>
      <c r="Q122" s="66" t="s">
        <v>150</v>
      </c>
      <c r="R122" s="66" t="s">
        <v>151</v>
      </c>
      <c r="S122" s="66" t="s">
        <v>152</v>
      </c>
      <c r="T122" s="138" t="str">
        <f>IFERROR(LOOKUP($S122,MOTORISTAS!$D$3:$D$916,MOTORISTAS!E$3:$E$916),"")</f>
        <v>05753633803</v>
      </c>
      <c r="U122" s="138" t="str">
        <f>IFERROR(LOOKUP($S122,MOTORISTAS!$D$3:$D$916,MOTORISTAS!F$3:$F$916),"")</f>
        <v>01922497849</v>
      </c>
      <c r="V122" s="66" t="s">
        <v>292</v>
      </c>
      <c r="W122" s="79">
        <v>44998.852777777778</v>
      </c>
      <c r="X122" s="79">
        <v>44999.34375</v>
      </c>
      <c r="Y122" s="79">
        <v>44999.479166666664</v>
      </c>
      <c r="Z122" s="66" t="s">
        <v>306</v>
      </c>
      <c r="AA122" s="79">
        <v>44999.763888888891</v>
      </c>
      <c r="AB122" s="79">
        <v>44998.791666666664</v>
      </c>
      <c r="AC122" s="79">
        <v>44999.416666666664</v>
      </c>
      <c r="AD122" s="79">
        <v>45001.75</v>
      </c>
      <c r="AE122" s="66" t="s">
        <v>452</v>
      </c>
      <c r="AF122" s="44">
        <v>15377</v>
      </c>
      <c r="AG122" s="254">
        <f>Prog_23[[#This Row],[SAÍDA DO CLIENTE]]-Prog_23[[#This Row],[PROGRAMAÇÃO CLIENTE]]</f>
        <v>0.125</v>
      </c>
      <c r="AH122" s="44"/>
      <c r="AI122" s="66"/>
      <c r="AJ122" s="66"/>
      <c r="AK122" s="66"/>
      <c r="AL122" s="66"/>
      <c r="AM122" s="66"/>
      <c r="AN122" s="83"/>
      <c r="AO122" s="83"/>
      <c r="AP122" s="83"/>
      <c r="AQ122" s="66"/>
      <c r="AR122" s="66"/>
      <c r="AS122" s="66"/>
      <c r="AT122" s="81">
        <v>2200</v>
      </c>
      <c r="AU122" s="81"/>
      <c r="AV122" s="81"/>
      <c r="AW122" s="81"/>
      <c r="AX122" s="83">
        <f>SUM(Prog_23[[#This Row],[ADIANTAMENTO]]+Prog_23[[#This Row],[SALDO]]+Prog_23[[#This Row],[MARGEM]]+Prog_23[[#This Row],[ESTADIA 1]])</f>
        <v>2200</v>
      </c>
      <c r="AY1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3328.6479649999997</v>
      </c>
      <c r="AZ122" s="81">
        <v>2370</v>
      </c>
      <c r="BA122" s="81">
        <v>245765.31</v>
      </c>
      <c r="BB122" s="81">
        <f>Prog_23[[#This Row],[VLR NF]]*0.1%</f>
        <v>245.76531</v>
      </c>
      <c r="BC122" s="81">
        <f>Prog_23[[#This Row],[VLR NF]]*0.05%</f>
        <v>122.882655</v>
      </c>
      <c r="BD122" s="81">
        <v>240</v>
      </c>
      <c r="BE122" s="81"/>
      <c r="BF122" s="81"/>
      <c r="BG122" s="81"/>
      <c r="BH122" s="81"/>
      <c r="BI122" s="81"/>
      <c r="BJ122" s="81"/>
      <c r="BK122" s="81"/>
      <c r="BL122" s="81">
        <v>350</v>
      </c>
      <c r="BM122" s="81"/>
      <c r="BN122" s="66" t="s">
        <v>2768</v>
      </c>
      <c r="BO122" s="66" t="s">
        <v>2768</v>
      </c>
      <c r="BP122" s="66" t="s">
        <v>2768</v>
      </c>
      <c r="BQ122" s="66" t="str">
        <f>PROPER(TEXT(Prog_23[[#This Row],[PROGRAMAÇÃO CLIENTE]],"mmm"))</f>
        <v>Mar</v>
      </c>
      <c r="BR122" s="66">
        <f>YEAR(Prog_23[[#This Row],[PROGRAMAÇÃO CLIENTE]])</f>
        <v>2023</v>
      </c>
    </row>
    <row r="123" spans="1:70" x14ac:dyDescent="0.25">
      <c r="A123" s="120">
        <f>Prog_23[[#This Row],[CONTEINER]]</f>
        <v>0</v>
      </c>
      <c r="B123" s="86" t="s">
        <v>836</v>
      </c>
      <c r="C1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" s="85">
        <v>44999.583333333336</v>
      </c>
      <c r="E123" s="66" t="s">
        <v>3770</v>
      </c>
      <c r="F123" s="66" t="s">
        <v>3561</v>
      </c>
      <c r="G123" s="66"/>
      <c r="H123" s="44">
        <v>225323916</v>
      </c>
      <c r="I123" s="44"/>
      <c r="J123" s="66" t="s">
        <v>301</v>
      </c>
      <c r="K123" s="66"/>
      <c r="L123" s="66"/>
      <c r="M123" s="66"/>
      <c r="N123" s="66">
        <f>SUM(Prog_23[[#This Row],[TARA]]+Prog_23[[#This Row],[PESO]])</f>
        <v>0</v>
      </c>
      <c r="O123" s="44"/>
      <c r="P123" s="66" t="s">
        <v>3769</v>
      </c>
      <c r="Q123" s="66"/>
      <c r="R123" s="66"/>
      <c r="S123" s="66"/>
      <c r="T123" s="138" t="str">
        <f>IFERROR(LOOKUP($S123,MOTORISTAS!$D$3:$D$916,MOTORISTAS!E$3:$E$916),"")</f>
        <v/>
      </c>
      <c r="U123" s="138" t="str">
        <f>IFERROR(LOOKUP($S123,MOTORISTAS!$D$3:$D$916,MOTORISTAS!F$3:$F$916),"")</f>
        <v/>
      </c>
      <c r="V123" s="66"/>
      <c r="W123" s="66"/>
      <c r="X123" s="66"/>
      <c r="Y123" s="66"/>
      <c r="Z123" s="66" t="s">
        <v>306</v>
      </c>
      <c r="AA123" s="66"/>
      <c r="AB123" s="66"/>
      <c r="AC123" s="79">
        <v>44997.5</v>
      </c>
      <c r="AD123" s="79">
        <v>45001.75</v>
      </c>
      <c r="AE123" s="66" t="s">
        <v>452</v>
      </c>
      <c r="AF123" s="44"/>
      <c r="AG123" s="254">
        <f>Prog_23[[#This Row],[SAÍDA DO CLIENTE]]-Prog_23[[#This Row],[PROGRAMAÇÃO CLIENTE]]</f>
        <v>-44999.583333333336</v>
      </c>
      <c r="AH123" s="44"/>
      <c r="AI123" s="66"/>
      <c r="AJ123" s="66"/>
      <c r="AK123" s="66"/>
      <c r="AL123" s="66"/>
      <c r="AM123" s="66"/>
      <c r="AN123" s="83"/>
      <c r="AO123" s="83"/>
      <c r="AP123" s="83"/>
      <c r="AQ123" s="66"/>
      <c r="AR123" s="66"/>
      <c r="AS123" s="66"/>
      <c r="AT123" s="81"/>
      <c r="AU123" s="81"/>
      <c r="AV123" s="81"/>
      <c r="AW123" s="81"/>
      <c r="AX123" s="83">
        <f>SUM(Prog_23[[#This Row],[ADIANTAMENTO]]+Prog_23[[#This Row],[SALDO]]+Prog_23[[#This Row],[MARGEM]]+Prog_23[[#This Row],[ESTADIA 1]])</f>
        <v>0</v>
      </c>
      <c r="AY1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" s="81"/>
      <c r="BA123" s="81"/>
      <c r="BB123" s="81">
        <f>Prog_23[[#This Row],[VLR NF]]*0.1%</f>
        <v>0</v>
      </c>
      <c r="BC123" s="81">
        <f>Prog_23[[#This Row],[VLR NF]]*0.05%</f>
        <v>0</v>
      </c>
      <c r="BD123" s="81"/>
      <c r="BE123" s="81"/>
      <c r="BF123" s="81"/>
      <c r="BG123" s="81"/>
      <c r="BH123" s="81"/>
      <c r="BI123" s="81"/>
      <c r="BJ123" s="81"/>
      <c r="BK123" s="81"/>
      <c r="BL123" s="81"/>
      <c r="BM123" s="81"/>
      <c r="BN123" s="66"/>
      <c r="BO123" s="66"/>
      <c r="BP123" s="66"/>
      <c r="BQ123" s="66" t="str">
        <f>PROPER(TEXT(Prog_23[[#This Row],[PROGRAMAÇÃO CLIENTE]],"mmm"))</f>
        <v>Mar</v>
      </c>
      <c r="BR123" s="66">
        <f>YEAR(Prog_23[[#This Row],[PROGRAMAÇÃO CLIENTE]])</f>
        <v>2023</v>
      </c>
    </row>
    <row r="124" spans="1:70" x14ac:dyDescent="0.25">
      <c r="A124" s="120" t="str">
        <f>Prog_23[[#This Row],[CONTEINER]]</f>
        <v>TRHU6302408</v>
      </c>
      <c r="B124" s="86" t="s">
        <v>2771</v>
      </c>
      <c r="C1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24" s="85">
        <v>44999.375</v>
      </c>
      <c r="E124" s="66" t="s">
        <v>297</v>
      </c>
      <c r="F124" s="66" t="s">
        <v>298</v>
      </c>
      <c r="G124" s="66" t="s">
        <v>3786</v>
      </c>
      <c r="H124" s="44" t="s">
        <v>3784</v>
      </c>
      <c r="I124" s="44" t="s">
        <v>3825</v>
      </c>
      <c r="J124" s="66" t="s">
        <v>301</v>
      </c>
      <c r="K124" s="66">
        <v>3700</v>
      </c>
      <c r="L124" s="66" t="s">
        <v>3826</v>
      </c>
      <c r="M124" s="66">
        <v>19734</v>
      </c>
      <c r="N124" s="66">
        <f>SUM(Prog_23[[#This Row],[TARA]]+Prog_23[[#This Row],[PESO]])</f>
        <v>23434</v>
      </c>
      <c r="O124" s="44">
        <v>839364</v>
      </c>
      <c r="P124" s="66" t="s">
        <v>3785</v>
      </c>
      <c r="Q124" s="66" t="s">
        <v>3708</v>
      </c>
      <c r="R124" s="66" t="s">
        <v>3709</v>
      </c>
      <c r="S124" s="66" t="s">
        <v>84</v>
      </c>
      <c r="T124" s="138" t="str">
        <f>IFERROR(LOOKUP($S124,MOTORISTAS!$D$3:$D$916,MOTORISTAS!E$3:$E$916),"")</f>
        <v>15921106810</v>
      </c>
      <c r="U124" s="138" t="str">
        <f>IFERROR(LOOKUP($S124,MOTORISTAS!$D$3:$D$916,MOTORISTAS!F$3:$F$916),"")</f>
        <v>02351127968</v>
      </c>
      <c r="V124" s="66" t="s">
        <v>292</v>
      </c>
      <c r="W124" s="79">
        <v>44998.886805555558</v>
      </c>
      <c r="X124" s="79">
        <v>44999.208333333336</v>
      </c>
      <c r="Y124" s="79">
        <v>44999.569444444445</v>
      </c>
      <c r="Z124" s="66" t="s">
        <v>306</v>
      </c>
      <c r="AA124" s="79">
        <v>44999.8125</v>
      </c>
      <c r="AB124" s="79">
        <v>44999.041666666664</v>
      </c>
      <c r="AC124" s="79">
        <v>44999.625</v>
      </c>
      <c r="AD124" s="79">
        <v>45002.75</v>
      </c>
      <c r="AE124" s="66" t="s">
        <v>308</v>
      </c>
      <c r="AF124" s="44">
        <v>15376</v>
      </c>
      <c r="AG124" s="254">
        <f>Prog_23[[#This Row],[SAÍDA DO CLIENTE]]-Prog_23[[#This Row],[PROGRAMAÇÃO CLIENTE]]</f>
        <v>0.19444444444525288</v>
      </c>
      <c r="AH124" s="44"/>
      <c r="AI124" s="66"/>
      <c r="AJ124" s="66"/>
      <c r="AK124" s="66"/>
      <c r="AL124" s="66"/>
      <c r="AM124" s="66"/>
      <c r="AN124" s="83"/>
      <c r="AO124" s="83"/>
      <c r="AP124" s="83"/>
      <c r="AQ124" s="66"/>
      <c r="AR124" s="66"/>
      <c r="AS124" s="66"/>
      <c r="AT124" s="81">
        <v>3200</v>
      </c>
      <c r="AU124" s="81"/>
      <c r="AV124" s="81"/>
      <c r="AW124" s="81"/>
      <c r="AX124" s="83">
        <f>SUM(Prog_23[[#This Row],[ADIANTAMENTO]]+Prog_23[[#This Row],[SALDO]]+Prog_23[[#This Row],[MARGEM]]+Prog_23[[#This Row],[ESTADIA 1]])</f>
        <v>3200</v>
      </c>
      <c r="AY1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24" s="81">
        <v>3488.8</v>
      </c>
      <c r="BA124" s="81">
        <v>146640</v>
      </c>
      <c r="BB124" s="81">
        <v>0</v>
      </c>
      <c r="BC124" s="81">
        <v>0</v>
      </c>
      <c r="BD124" s="81">
        <v>511.2</v>
      </c>
      <c r="BE124" s="81"/>
      <c r="BF124" s="81"/>
      <c r="BG124" s="81"/>
      <c r="BH124" s="81"/>
      <c r="BI124" s="81"/>
      <c r="BJ124" s="81"/>
      <c r="BK124" s="81"/>
      <c r="BL124" s="81">
        <v>250</v>
      </c>
      <c r="BM124" s="81"/>
      <c r="BN124" s="66" t="s">
        <v>2768</v>
      </c>
      <c r="BO124" s="66" t="s">
        <v>2768</v>
      </c>
      <c r="BP124" s="66" t="s">
        <v>2768</v>
      </c>
      <c r="BQ124" s="66" t="str">
        <f>PROPER(TEXT(Prog_23[[#This Row],[PROGRAMAÇÃO CLIENTE]],"mmm"))</f>
        <v>Mar</v>
      </c>
      <c r="BR124" s="66">
        <f>YEAR(Prog_23[[#This Row],[PROGRAMAÇÃO CLIENTE]])</f>
        <v>2023</v>
      </c>
    </row>
    <row r="125" spans="1:70" x14ac:dyDescent="0.25">
      <c r="A125" s="120" t="str">
        <f>Prog_23[[#This Row],[CONTEINER]]</f>
        <v>MRKU4257583</v>
      </c>
      <c r="B125" s="86" t="s">
        <v>2771</v>
      </c>
      <c r="C1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25" s="85">
        <v>44999.458333333336</v>
      </c>
      <c r="E125" s="66" t="s">
        <v>297</v>
      </c>
      <c r="F125" s="66" t="s">
        <v>298</v>
      </c>
      <c r="G125" s="66" t="s">
        <v>3786</v>
      </c>
      <c r="H125" s="44" t="s">
        <v>3784</v>
      </c>
      <c r="I125" s="44" t="s">
        <v>3827</v>
      </c>
      <c r="J125" s="66" t="s">
        <v>301</v>
      </c>
      <c r="K125" s="66">
        <v>3790</v>
      </c>
      <c r="L125" s="66" t="s">
        <v>3828</v>
      </c>
      <c r="M125" s="66">
        <v>19734</v>
      </c>
      <c r="N125" s="66">
        <f>SUM(Prog_23[[#This Row],[TARA]]+Prog_23[[#This Row],[PESO]])</f>
        <v>23524</v>
      </c>
      <c r="O125" s="44">
        <v>839359</v>
      </c>
      <c r="P125" s="66" t="s">
        <v>3785</v>
      </c>
      <c r="Q125" s="66" t="s">
        <v>210</v>
      </c>
      <c r="R125" s="66" t="s">
        <v>211</v>
      </c>
      <c r="S125" s="66" t="s">
        <v>212</v>
      </c>
      <c r="T125" s="138" t="str">
        <f>IFERROR(LOOKUP($S125,MOTORISTAS!$D$3:$D$916,MOTORISTAS!E$3:$E$916),"")</f>
        <v>38029906846</v>
      </c>
      <c r="U125" s="138" t="str">
        <f>IFERROR(LOOKUP($S125,MOTORISTAS!$D$3:$D$916,MOTORISTAS!F$3:$F$916),"")</f>
        <v>04946846842</v>
      </c>
      <c r="V125" s="66" t="s">
        <v>292</v>
      </c>
      <c r="W125" s="79">
        <v>44998.997916666667</v>
      </c>
      <c r="X125" s="79">
        <v>44999.208333333336</v>
      </c>
      <c r="Y125" s="79">
        <v>44999.5625</v>
      </c>
      <c r="Z125" s="66" t="s">
        <v>306</v>
      </c>
      <c r="AA125" s="79">
        <v>44999.787499999999</v>
      </c>
      <c r="AB125" s="79">
        <v>44999.041666666664</v>
      </c>
      <c r="AC125" s="79">
        <v>44999.625</v>
      </c>
      <c r="AD125" s="79">
        <v>45002.75</v>
      </c>
      <c r="AE125" s="66" t="s">
        <v>308</v>
      </c>
      <c r="AF125" s="44">
        <v>15375</v>
      </c>
      <c r="AG125" s="254">
        <f>Prog_23[[#This Row],[SAÍDA DO CLIENTE]]-Prog_23[[#This Row],[PROGRAMAÇÃO CLIENTE]]</f>
        <v>0.10416666666424135</v>
      </c>
      <c r="AH125" s="44"/>
      <c r="AI125" s="66"/>
      <c r="AJ125" s="66"/>
      <c r="AK125" s="66"/>
      <c r="AL125" s="66"/>
      <c r="AM125" s="66"/>
      <c r="AN125" s="83"/>
      <c r="AO125" s="83"/>
      <c r="AP125" s="83"/>
      <c r="AQ125" s="66"/>
      <c r="AR125" s="66"/>
      <c r="AS125" s="66"/>
      <c r="AT125" s="81">
        <v>3200</v>
      </c>
      <c r="AU125" s="81"/>
      <c r="AV125" s="81"/>
      <c r="AW125" s="81"/>
      <c r="AX125" s="83">
        <f>SUM(Prog_23[[#This Row],[ADIANTAMENTO]]+Prog_23[[#This Row],[SALDO]]+Prog_23[[#This Row],[MARGEM]]+Prog_23[[#This Row],[ESTADIA 1]])</f>
        <v>3200</v>
      </c>
      <c r="AY1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25" s="81">
        <v>3488.8</v>
      </c>
      <c r="BA125" s="81">
        <v>146640</v>
      </c>
      <c r="BB125" s="81">
        <v>0</v>
      </c>
      <c r="BC125" s="81">
        <v>0</v>
      </c>
      <c r="BD125" s="81">
        <v>511.2</v>
      </c>
      <c r="BE125" s="81"/>
      <c r="BF125" s="81"/>
      <c r="BG125" s="81"/>
      <c r="BH125" s="81"/>
      <c r="BI125" s="81"/>
      <c r="BJ125" s="81"/>
      <c r="BK125" s="81"/>
      <c r="BL125" s="81">
        <v>250</v>
      </c>
      <c r="BM125" s="81"/>
      <c r="BN125" s="66" t="s">
        <v>2768</v>
      </c>
      <c r="BO125" s="66" t="s">
        <v>2768</v>
      </c>
      <c r="BP125" s="66" t="s">
        <v>2768</v>
      </c>
      <c r="BQ125" s="66" t="str">
        <f>PROPER(TEXT(Prog_23[[#This Row],[PROGRAMAÇÃO CLIENTE]],"mmm"))</f>
        <v>Mar</v>
      </c>
      <c r="BR125" s="66">
        <f>YEAR(Prog_23[[#This Row],[PROGRAMAÇÃO CLIENTE]])</f>
        <v>2023</v>
      </c>
    </row>
    <row r="126" spans="1:70" x14ac:dyDescent="0.25">
      <c r="A126" s="120" t="str">
        <f>Prog_23[[#This Row],[CONTEINER]]</f>
        <v>MRKU5889960</v>
      </c>
      <c r="B126" s="86" t="s">
        <v>2771</v>
      </c>
      <c r="C1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26" s="85">
        <v>44999.541666666664</v>
      </c>
      <c r="E126" s="66" t="s">
        <v>297</v>
      </c>
      <c r="F126" s="66" t="s">
        <v>298</v>
      </c>
      <c r="G126" s="66" t="s">
        <v>3786</v>
      </c>
      <c r="H126" s="44" t="s">
        <v>3784</v>
      </c>
      <c r="I126" s="44" t="s">
        <v>3829</v>
      </c>
      <c r="J126" s="66" t="s">
        <v>301</v>
      </c>
      <c r="K126" s="66">
        <v>3810</v>
      </c>
      <c r="L126" s="66" t="s">
        <v>3830</v>
      </c>
      <c r="M126" s="66">
        <v>19734</v>
      </c>
      <c r="N126" s="66">
        <f>SUM(Prog_23[[#This Row],[TARA]]+Prog_23[[#This Row],[PESO]])</f>
        <v>23544</v>
      </c>
      <c r="O126" s="44">
        <v>839533</v>
      </c>
      <c r="P126" s="66" t="s">
        <v>3785</v>
      </c>
      <c r="Q126" s="66" t="s">
        <v>87</v>
      </c>
      <c r="R126" s="66" t="s">
        <v>88</v>
      </c>
      <c r="S126" s="66" t="s">
        <v>89</v>
      </c>
      <c r="T126" s="138" t="str">
        <f>IFERROR(LOOKUP($S126,MOTORISTAS!$D$3:$D$916,MOTORISTAS!E$3:$E$916),"")</f>
        <v>00097734527</v>
      </c>
      <c r="U126" s="138" t="str">
        <f>IFERROR(LOOKUP($S126,MOTORISTAS!$D$3:$D$916,MOTORISTAS!F$3:$F$916),"")</f>
        <v>03148346870</v>
      </c>
      <c r="V126" s="66" t="s">
        <v>292</v>
      </c>
      <c r="W126" s="79">
        <v>44998.881944444445</v>
      </c>
      <c r="X126" s="79">
        <v>44999.354166666664</v>
      </c>
      <c r="Y126" s="79">
        <v>44999.8125</v>
      </c>
      <c r="Z126" s="66" t="s">
        <v>306</v>
      </c>
      <c r="AA126" s="79">
        <v>45000.134722222225</v>
      </c>
      <c r="AB126" s="79">
        <v>44999.041666666664</v>
      </c>
      <c r="AC126" s="79">
        <v>44999.625</v>
      </c>
      <c r="AD126" s="79">
        <v>45002.75</v>
      </c>
      <c r="AE126" s="66" t="s">
        <v>308</v>
      </c>
      <c r="AF126" s="44" t="s">
        <v>3847</v>
      </c>
      <c r="AG126" s="254">
        <f>Prog_23[[#This Row],[SAÍDA DO CLIENTE]]-Prog_23[[#This Row],[PROGRAMAÇÃO CLIENTE]]</f>
        <v>0.27083333333575865</v>
      </c>
      <c r="AH126" s="44"/>
      <c r="AI126" s="66"/>
      <c r="AJ126" s="66"/>
      <c r="AK126" s="66"/>
      <c r="AL126" s="66"/>
      <c r="AM126" s="66"/>
      <c r="AN126" s="83"/>
      <c r="AO126" s="83"/>
      <c r="AP126" s="83"/>
      <c r="AQ126" s="66"/>
      <c r="AR126" s="66"/>
      <c r="AS126" s="66"/>
      <c r="AT126" s="81">
        <v>3200</v>
      </c>
      <c r="AU126" s="81"/>
      <c r="AV126" s="81"/>
      <c r="AW126" s="81"/>
      <c r="AX126" s="83">
        <f>SUM(Prog_23[[#This Row],[ADIANTAMENTO]]+Prog_23[[#This Row],[SALDO]]+Prog_23[[#This Row],[MARGEM]]+Prog_23[[#This Row],[ESTADIA 1]])</f>
        <v>3200</v>
      </c>
      <c r="AY1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26" s="81">
        <v>3488.8</v>
      </c>
      <c r="BA126" s="81">
        <v>146640</v>
      </c>
      <c r="BB126" s="81">
        <v>0</v>
      </c>
      <c r="BC126" s="81">
        <v>0</v>
      </c>
      <c r="BD126" s="81">
        <v>511.2</v>
      </c>
      <c r="BE126" s="81"/>
      <c r="BF126" s="81"/>
      <c r="BG126" s="81"/>
      <c r="BH126" s="81"/>
      <c r="BI126" s="81"/>
      <c r="BJ126" s="81"/>
      <c r="BK126" s="81"/>
      <c r="BL126" s="81">
        <v>250</v>
      </c>
      <c r="BM126" s="81"/>
      <c r="BN126" s="66" t="s">
        <v>2768</v>
      </c>
      <c r="BO126" s="66" t="s">
        <v>2768</v>
      </c>
      <c r="BP126" s="66" t="s">
        <v>2768</v>
      </c>
      <c r="BQ126" s="66" t="str">
        <f>PROPER(TEXT(Prog_23[[#This Row],[PROGRAMAÇÃO CLIENTE]],"mmm"))</f>
        <v>Mar</v>
      </c>
      <c r="BR126" s="66">
        <f>YEAR(Prog_23[[#This Row],[PROGRAMAÇÃO CLIENTE]])</f>
        <v>2023</v>
      </c>
    </row>
    <row r="127" spans="1:70" x14ac:dyDescent="0.25">
      <c r="A127" s="120" t="str">
        <f>Prog_23[[#This Row],[CONTEINER]]</f>
        <v>MRKU3584088</v>
      </c>
      <c r="B127" s="86" t="s">
        <v>2771</v>
      </c>
      <c r="C1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27" s="85">
        <v>44999.583333333336</v>
      </c>
      <c r="E127" s="66" t="s">
        <v>297</v>
      </c>
      <c r="F127" s="66" t="s">
        <v>298</v>
      </c>
      <c r="G127" s="66" t="s">
        <v>3786</v>
      </c>
      <c r="H127" s="44" t="s">
        <v>3784</v>
      </c>
      <c r="I127" s="44" t="s">
        <v>3831</v>
      </c>
      <c r="J127" s="66" t="s">
        <v>301</v>
      </c>
      <c r="K127" s="66">
        <v>3880</v>
      </c>
      <c r="L127" s="66" t="s">
        <v>3832</v>
      </c>
      <c r="M127" s="66">
        <v>19734</v>
      </c>
      <c r="N127" s="66">
        <f>SUM(Prog_23[[#This Row],[TARA]]+Prog_23[[#This Row],[PESO]])</f>
        <v>23614</v>
      </c>
      <c r="O127" s="44">
        <v>839518</v>
      </c>
      <c r="P127" s="66" t="s">
        <v>3785</v>
      </c>
      <c r="Q127" s="66" t="s">
        <v>178</v>
      </c>
      <c r="R127" s="66" t="s">
        <v>112</v>
      </c>
      <c r="S127" s="66" t="s">
        <v>180</v>
      </c>
      <c r="T127" s="138" t="str">
        <f>IFERROR(LOOKUP($S127,MOTORISTAS!$D$3:$D$916,MOTORISTAS!E$3:$E$916),"")</f>
        <v>18990500869</v>
      </c>
      <c r="U127" s="138" t="str">
        <f>IFERROR(LOOKUP($S127,MOTORISTAS!$D$3:$D$916,MOTORISTAS!F$3:$F$916),"")</f>
        <v>04640435232</v>
      </c>
      <c r="V127" s="66" t="s">
        <v>292</v>
      </c>
      <c r="W127" s="79">
        <v>44998.80972222222</v>
      </c>
      <c r="X127" s="79">
        <v>44999.3125</v>
      </c>
      <c r="Y127" s="79">
        <v>44999.71875</v>
      </c>
      <c r="Z127" s="66" t="s">
        <v>306</v>
      </c>
      <c r="AA127" s="79">
        <v>44999.964583333334</v>
      </c>
      <c r="AB127" s="79">
        <v>44999.041666666664</v>
      </c>
      <c r="AC127" s="79">
        <v>44999.625</v>
      </c>
      <c r="AD127" s="79">
        <v>45002.75</v>
      </c>
      <c r="AE127" s="66" t="s">
        <v>308</v>
      </c>
      <c r="AF127" s="44">
        <v>15379</v>
      </c>
      <c r="AG127" s="254">
        <f>Prog_23[[#This Row],[SAÍDA DO CLIENTE]]-Prog_23[[#This Row],[PROGRAMAÇÃO CLIENTE]]</f>
        <v>0.13541666666424135</v>
      </c>
      <c r="AH127" s="44"/>
      <c r="AI127" s="66"/>
      <c r="AJ127" s="66"/>
      <c r="AK127" s="66"/>
      <c r="AL127" s="66"/>
      <c r="AM127" s="66"/>
      <c r="AN127" s="83"/>
      <c r="AO127" s="83"/>
      <c r="AP127" s="83"/>
      <c r="AQ127" s="66"/>
      <c r="AR127" s="66"/>
      <c r="AS127" s="66"/>
      <c r="AT127" s="81">
        <v>3200</v>
      </c>
      <c r="AU127" s="81"/>
      <c r="AV127" s="81"/>
      <c r="AW127" s="81"/>
      <c r="AX127" s="83">
        <f>SUM(Prog_23[[#This Row],[ADIANTAMENTO]]+Prog_23[[#This Row],[SALDO]]+Prog_23[[#This Row],[MARGEM]]+Prog_23[[#This Row],[ESTADIA 1]])</f>
        <v>3200</v>
      </c>
      <c r="AY1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27" s="81">
        <v>3488.8</v>
      </c>
      <c r="BA127" s="81">
        <v>146640</v>
      </c>
      <c r="BB127" s="81">
        <v>0</v>
      </c>
      <c r="BC127" s="81">
        <v>0</v>
      </c>
      <c r="BD127" s="81">
        <v>511.2</v>
      </c>
      <c r="BE127" s="81"/>
      <c r="BF127" s="81"/>
      <c r="BG127" s="81"/>
      <c r="BH127" s="81"/>
      <c r="BI127" s="81"/>
      <c r="BJ127" s="81"/>
      <c r="BK127" s="81"/>
      <c r="BL127" s="81">
        <v>250</v>
      </c>
      <c r="BM127" s="81"/>
      <c r="BN127" s="66" t="s">
        <v>2768</v>
      </c>
      <c r="BO127" s="66" t="s">
        <v>2768</v>
      </c>
      <c r="BP127" s="66" t="s">
        <v>2768</v>
      </c>
      <c r="BQ127" s="66" t="str">
        <f>PROPER(TEXT(Prog_23[[#This Row],[PROGRAMAÇÃO CLIENTE]],"mmm"))</f>
        <v>Mar</v>
      </c>
      <c r="BR127" s="66">
        <f>YEAR(Prog_23[[#This Row],[PROGRAMAÇÃO CLIENTE]])</f>
        <v>2023</v>
      </c>
    </row>
    <row r="128" spans="1:70" x14ac:dyDescent="0.25">
      <c r="A128" s="120" t="str">
        <f>Prog_23[[#This Row],[CONTEINER]]</f>
        <v>MRKU3320110</v>
      </c>
      <c r="B128" s="86" t="s">
        <v>2771</v>
      </c>
      <c r="C1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28" s="85">
        <v>44999.625</v>
      </c>
      <c r="E128" s="66" t="s">
        <v>297</v>
      </c>
      <c r="F128" s="66" t="s">
        <v>298</v>
      </c>
      <c r="G128" s="66" t="s">
        <v>3786</v>
      </c>
      <c r="H128" s="44" t="s">
        <v>3784</v>
      </c>
      <c r="I128" s="44" t="s">
        <v>3833</v>
      </c>
      <c r="J128" s="66" t="s">
        <v>301</v>
      </c>
      <c r="K128" s="66">
        <v>3790</v>
      </c>
      <c r="L128" s="66" t="s">
        <v>3834</v>
      </c>
      <c r="M128" s="66">
        <v>19734</v>
      </c>
      <c r="N128" s="66">
        <f>SUM(Prog_23[[#This Row],[TARA]]+Prog_23[[#This Row],[PESO]])</f>
        <v>23524</v>
      </c>
      <c r="O128" s="44">
        <v>839541</v>
      </c>
      <c r="P128" s="66" t="s">
        <v>3785</v>
      </c>
      <c r="Q128" s="66" t="s">
        <v>890</v>
      </c>
      <c r="R128" s="66" t="s">
        <v>179</v>
      </c>
      <c r="S128" s="66" t="s">
        <v>2678</v>
      </c>
      <c r="T128" s="138" t="str">
        <f>IFERROR(LOOKUP($S128,MOTORISTAS!$D$3:$D$916,MOTORISTAS!E$3:$E$916),"")</f>
        <v>28386357860</v>
      </c>
      <c r="U128" s="138" t="str">
        <f>IFERROR(LOOKUP($S128,MOTORISTAS!$D$3:$D$916,MOTORISTAS!F$3:$F$916),"")</f>
        <v>01042201192</v>
      </c>
      <c r="V128" s="66" t="s">
        <v>292</v>
      </c>
      <c r="W128" s="66" t="s">
        <v>3837</v>
      </c>
      <c r="X128" s="79">
        <v>44999.354166666664</v>
      </c>
      <c r="Y128" s="79">
        <v>45000.010416666664</v>
      </c>
      <c r="Z128" s="66" t="s">
        <v>306</v>
      </c>
      <c r="AA128" s="79">
        <v>45000.156944444447</v>
      </c>
      <c r="AB128" s="79">
        <v>44999.041666666664</v>
      </c>
      <c r="AC128" s="79">
        <v>44999.625</v>
      </c>
      <c r="AD128" s="79">
        <v>45002.75</v>
      </c>
      <c r="AE128" s="66" t="s">
        <v>308</v>
      </c>
      <c r="AF128" s="44" t="s">
        <v>3848</v>
      </c>
      <c r="AG128" s="254">
        <f>Prog_23[[#This Row],[SAÍDA DO CLIENTE]]-Prog_23[[#This Row],[PROGRAMAÇÃO CLIENTE]]</f>
        <v>0.38541666666424135</v>
      </c>
      <c r="AH128" s="44"/>
      <c r="AI128" s="66"/>
      <c r="AJ128" s="66"/>
      <c r="AK128" s="66"/>
      <c r="AL128" s="66"/>
      <c r="AM128" s="66"/>
      <c r="AN128" s="83"/>
      <c r="AO128" s="83"/>
      <c r="AP128" s="83"/>
      <c r="AQ128" s="66"/>
      <c r="AR128" s="66"/>
      <c r="AS128" s="66"/>
      <c r="AT128" s="81">
        <v>3200</v>
      </c>
      <c r="AU128" s="81"/>
      <c r="AV128" s="81"/>
      <c r="AW128" s="81"/>
      <c r="AX128" s="83">
        <f>SUM(Prog_23[[#This Row],[ADIANTAMENTO]]+Prog_23[[#This Row],[SALDO]]+Prog_23[[#This Row],[MARGEM]]+Prog_23[[#This Row],[ESTADIA 1]])</f>
        <v>3200</v>
      </c>
      <c r="AY1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28" s="81">
        <v>3488.8</v>
      </c>
      <c r="BA128" s="81">
        <v>165660</v>
      </c>
      <c r="BB128" s="81">
        <v>0</v>
      </c>
      <c r="BC128" s="81">
        <v>0</v>
      </c>
      <c r="BD128" s="81">
        <v>511.2</v>
      </c>
      <c r="BE128" s="81"/>
      <c r="BF128" s="81"/>
      <c r="BG128" s="81"/>
      <c r="BH128" s="81"/>
      <c r="BI128" s="81"/>
      <c r="BJ128" s="81"/>
      <c r="BK128" s="81"/>
      <c r="BL128" s="81">
        <v>250</v>
      </c>
      <c r="BM128" s="81"/>
      <c r="BN128" s="66" t="s">
        <v>2768</v>
      </c>
      <c r="BO128" s="66" t="s">
        <v>2768</v>
      </c>
      <c r="BP128" s="66" t="s">
        <v>2768</v>
      </c>
      <c r="BQ128" s="66" t="str">
        <f>PROPER(TEXT(Prog_23[[#This Row],[PROGRAMAÇÃO CLIENTE]],"mmm"))</f>
        <v>Mar</v>
      </c>
      <c r="BR128" s="66">
        <f>YEAR(Prog_23[[#This Row],[PROGRAMAÇÃO CLIENTE]])</f>
        <v>2023</v>
      </c>
    </row>
    <row r="129" spans="1:70" x14ac:dyDescent="0.25">
      <c r="A129" s="120" t="str">
        <f>Prog_23[[#This Row],[CONTEINER]]</f>
        <v>MRSU6302072</v>
      </c>
      <c r="B129" s="86" t="s">
        <v>2771</v>
      </c>
      <c r="C1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29" s="85">
        <v>44999.625</v>
      </c>
      <c r="E129" s="66" t="s">
        <v>297</v>
      </c>
      <c r="F129" s="66" t="s">
        <v>298</v>
      </c>
      <c r="G129" s="66" t="s">
        <v>3786</v>
      </c>
      <c r="H129" s="44" t="s">
        <v>3784</v>
      </c>
      <c r="I129" s="44" t="s">
        <v>3835</v>
      </c>
      <c r="J129" s="66" t="s">
        <v>301</v>
      </c>
      <c r="K129" s="66">
        <v>3720</v>
      </c>
      <c r="L129" s="66" t="s">
        <v>3836</v>
      </c>
      <c r="M129" s="66">
        <v>19734</v>
      </c>
      <c r="N129" s="66">
        <f>SUM(Prog_23[[#This Row],[TARA]]+Prog_23[[#This Row],[PESO]])</f>
        <v>23454</v>
      </c>
      <c r="O129" s="44">
        <v>839551</v>
      </c>
      <c r="P129" s="66" t="s">
        <v>3785</v>
      </c>
      <c r="Q129" s="66" t="s">
        <v>111</v>
      </c>
      <c r="R129" s="66" t="s">
        <v>891</v>
      </c>
      <c r="S129" s="66" t="s">
        <v>113</v>
      </c>
      <c r="T129" s="138" t="str">
        <f>IFERROR(LOOKUP($S129,MOTORISTAS!$D$3:$D$916,MOTORISTAS!E$3:$E$916),"")</f>
        <v>88265951434</v>
      </c>
      <c r="U129" s="138" t="str">
        <f>IFERROR(LOOKUP($S129,MOTORISTAS!$D$3:$D$916,MOTORISTAS!F$3:$F$916),"")</f>
        <v>00920373596</v>
      </c>
      <c r="V129" s="66" t="s">
        <v>292</v>
      </c>
      <c r="W129" s="79">
        <v>44998.925000000003</v>
      </c>
      <c r="X129" s="79">
        <v>44999.375</v>
      </c>
      <c r="Y129" s="79">
        <v>45000.010416666664</v>
      </c>
      <c r="Z129" s="66" t="s">
        <v>306</v>
      </c>
      <c r="AA129" s="79">
        <v>45000.194444444445</v>
      </c>
      <c r="AB129" s="79">
        <v>44999.041666666664</v>
      </c>
      <c r="AC129" s="79">
        <v>44999.625</v>
      </c>
      <c r="AD129" s="79">
        <v>45002.75</v>
      </c>
      <c r="AE129" s="66" t="s">
        <v>308</v>
      </c>
      <c r="AF129" s="44" t="s">
        <v>3849</v>
      </c>
      <c r="AG129" s="254">
        <f>Prog_23[[#This Row],[SAÍDA DO CLIENTE]]-Prog_23[[#This Row],[PROGRAMAÇÃO CLIENTE]]</f>
        <v>0.38541666666424135</v>
      </c>
      <c r="AH129" s="44"/>
      <c r="AI129" s="66"/>
      <c r="AJ129" s="66"/>
      <c r="AK129" s="66"/>
      <c r="AL129" s="66"/>
      <c r="AM129" s="66"/>
      <c r="AN129" s="83"/>
      <c r="AO129" s="83"/>
      <c r="AP129" s="83"/>
      <c r="AQ129" s="66"/>
      <c r="AR129" s="66"/>
      <c r="AS129" s="66"/>
      <c r="AT129" s="81">
        <v>3200</v>
      </c>
      <c r="AU129" s="81"/>
      <c r="AV129" s="81"/>
      <c r="AW129" s="81"/>
      <c r="AX129" s="83">
        <f>SUM(Prog_23[[#This Row],[ADIANTAMENTO]]+Prog_23[[#This Row],[SALDO]]+Prog_23[[#This Row],[MARGEM]]+Prog_23[[#This Row],[ESTADIA 1]])</f>
        <v>3200</v>
      </c>
      <c r="AY1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29" s="81">
        <v>3488.8</v>
      </c>
      <c r="BA129" s="81">
        <v>165660</v>
      </c>
      <c r="BB129" s="81">
        <v>0</v>
      </c>
      <c r="BC129" s="81">
        <v>0</v>
      </c>
      <c r="BD129" s="81">
        <v>511.2</v>
      </c>
      <c r="BE129" s="81"/>
      <c r="BF129" s="81"/>
      <c r="BG129" s="81"/>
      <c r="BH129" s="81"/>
      <c r="BI129" s="81"/>
      <c r="BJ129" s="81"/>
      <c r="BK129" s="81"/>
      <c r="BL129" s="81">
        <v>250</v>
      </c>
      <c r="BM129" s="81"/>
      <c r="BN129" s="66" t="s">
        <v>2768</v>
      </c>
      <c r="BO129" s="66" t="s">
        <v>2768</v>
      </c>
      <c r="BP129" s="66" t="s">
        <v>2768</v>
      </c>
      <c r="BQ129" s="66" t="str">
        <f>PROPER(TEXT(Prog_23[[#This Row],[PROGRAMAÇÃO CLIENTE]],"mmm"))</f>
        <v>Mar</v>
      </c>
      <c r="BR129" s="66">
        <f>YEAR(Prog_23[[#This Row],[PROGRAMAÇÃO CLIENTE]])</f>
        <v>2023</v>
      </c>
    </row>
    <row r="130" spans="1:70" x14ac:dyDescent="0.25">
      <c r="A130" s="120" t="str">
        <f>Prog_23[[#This Row],[CONTEINER]]</f>
        <v>WSCU7895347</v>
      </c>
      <c r="B130" s="86" t="s">
        <v>2771</v>
      </c>
      <c r="C1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30" s="85">
        <v>45005.583333333336</v>
      </c>
      <c r="E130" s="66" t="s">
        <v>297</v>
      </c>
      <c r="F130" s="66" t="s">
        <v>298</v>
      </c>
      <c r="G130" s="66" t="s">
        <v>3843</v>
      </c>
      <c r="H130" s="44" t="s">
        <v>3842</v>
      </c>
      <c r="I130" s="44" t="s">
        <v>3923</v>
      </c>
      <c r="J130" s="66" t="s">
        <v>301</v>
      </c>
      <c r="K130" s="66">
        <v>3940</v>
      </c>
      <c r="L130" s="66" t="s">
        <v>3939</v>
      </c>
      <c r="M130" s="66">
        <v>19318</v>
      </c>
      <c r="N130" s="66">
        <f>SUM(Prog_23[[#This Row],[TARA]]+Prog_23[[#This Row],[PESO]])</f>
        <v>23258</v>
      </c>
      <c r="O130" s="44">
        <v>842027</v>
      </c>
      <c r="P130" s="66" t="s">
        <v>3925</v>
      </c>
      <c r="Q130" s="66" t="s">
        <v>890</v>
      </c>
      <c r="R130" s="66" t="s">
        <v>179</v>
      </c>
      <c r="S130" s="66" t="s">
        <v>2678</v>
      </c>
      <c r="T130" s="138" t="str">
        <f>IFERROR(LOOKUP($S130,MOTORISTAS!$D$3:$D$916,MOTORISTAS!E$3:$E$916),"")</f>
        <v>28386357860</v>
      </c>
      <c r="U130" s="138" t="str">
        <f>IFERROR(LOOKUP($S130,MOTORISTAS!$D$3:$D$916,MOTORISTAS!F$3:$F$916),"")</f>
        <v>01042201192</v>
      </c>
      <c r="V130" s="66" t="s">
        <v>292</v>
      </c>
      <c r="W130" s="79">
        <v>45003.484027777777</v>
      </c>
      <c r="X130" s="79">
        <v>45005.53125</v>
      </c>
      <c r="Y130" s="79">
        <v>45005.854166666664</v>
      </c>
      <c r="Z130" s="66" t="s">
        <v>410</v>
      </c>
      <c r="AA130" s="79">
        <v>45008.033333333333</v>
      </c>
      <c r="AB130" s="79">
        <v>45005.791666666664</v>
      </c>
      <c r="AC130" s="79">
        <v>45006.5</v>
      </c>
      <c r="AD130" s="79">
        <v>45009.75</v>
      </c>
      <c r="AE130" s="66" t="s">
        <v>352</v>
      </c>
      <c r="AF130" s="44">
        <v>15454</v>
      </c>
      <c r="AG130" s="254">
        <f>Prog_23[[#This Row],[SAÍDA DO CLIENTE]]-Prog_23[[#This Row],[PROGRAMAÇÃO CLIENTE]]</f>
        <v>0.27083333332848269</v>
      </c>
      <c r="AH130" s="44"/>
      <c r="AI130" s="66"/>
      <c r="AJ130" s="66"/>
      <c r="AK130" s="66" t="s">
        <v>393</v>
      </c>
      <c r="AL130" s="79">
        <v>45006.041666666664</v>
      </c>
      <c r="AM130" s="66"/>
      <c r="AN130" s="83">
        <v>950</v>
      </c>
      <c r="AO130" s="83"/>
      <c r="AP130" s="83"/>
      <c r="AQ130" s="66"/>
      <c r="AR130" s="66"/>
      <c r="AS130" s="66"/>
      <c r="AT130" s="81">
        <v>3200</v>
      </c>
      <c r="AU130" s="81"/>
      <c r="AV130" s="81"/>
      <c r="AW130" s="81"/>
      <c r="AX130" s="83">
        <f>SUM(Prog_23[[#This Row],[ADIANTAMENTO]]+Prog_23[[#This Row],[SALDO]]+Prog_23[[#This Row],[MARGEM]]+Prog_23[[#This Row],[ESTADIA 1]])</f>
        <v>3200</v>
      </c>
      <c r="AY1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30" s="81">
        <v>3488.8</v>
      </c>
      <c r="BA130" s="81">
        <v>126189.28</v>
      </c>
      <c r="BB130" s="81">
        <v>0</v>
      </c>
      <c r="BC130" s="81">
        <v>0</v>
      </c>
      <c r="BD130" s="81">
        <v>511.2</v>
      </c>
      <c r="BE130" s="81"/>
      <c r="BF130" s="81"/>
      <c r="BG130" s="81"/>
      <c r="BH130" s="81"/>
      <c r="BI130" s="81"/>
      <c r="BJ130" s="81"/>
      <c r="BK130" s="81"/>
      <c r="BL130" s="81"/>
      <c r="BM130" s="81"/>
      <c r="BN130" s="66" t="s">
        <v>2768</v>
      </c>
      <c r="BO130" s="66" t="s">
        <v>2768</v>
      </c>
      <c r="BP130" s="66" t="s">
        <v>2768</v>
      </c>
      <c r="BQ130" s="66" t="str">
        <f>PROPER(TEXT(Prog_23[[#This Row],[PROGRAMAÇÃO CLIENTE]],"mmm"))</f>
        <v>Mar</v>
      </c>
      <c r="BR130" s="66">
        <f>YEAR(Prog_23[[#This Row],[PROGRAMAÇÃO CLIENTE]])</f>
        <v>2023</v>
      </c>
    </row>
    <row r="131" spans="1:70" x14ac:dyDescent="0.25">
      <c r="A131" s="120" t="str">
        <f>Prog_23[[#This Row],[CONTEINER]]</f>
        <v>FCIU9405313</v>
      </c>
      <c r="B131" s="86" t="s">
        <v>2771</v>
      </c>
      <c r="C1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31" s="85">
        <v>45006.333333333336</v>
      </c>
      <c r="E131" s="66" t="s">
        <v>353</v>
      </c>
      <c r="F131" s="66" t="s">
        <v>3161</v>
      </c>
      <c r="G131" s="66" t="s">
        <v>3844</v>
      </c>
      <c r="H131" s="44">
        <v>67883366</v>
      </c>
      <c r="I131" s="44" t="s">
        <v>3922</v>
      </c>
      <c r="J131" s="66" t="s">
        <v>301</v>
      </c>
      <c r="K131" s="66">
        <v>3830</v>
      </c>
      <c r="L131" s="66" t="s">
        <v>3921</v>
      </c>
      <c r="M131" s="66">
        <v>10477</v>
      </c>
      <c r="N131" s="66">
        <f>SUM(Prog_23[[#This Row],[TARA]]+Prog_23[[#This Row],[PESO]])</f>
        <v>14307</v>
      </c>
      <c r="O131" s="44" t="s">
        <v>3924</v>
      </c>
      <c r="P131" s="66" t="s">
        <v>3845</v>
      </c>
      <c r="Q131" s="66" t="s">
        <v>155</v>
      </c>
      <c r="R131" s="66" t="s">
        <v>3246</v>
      </c>
      <c r="S131" s="66" t="s">
        <v>156</v>
      </c>
      <c r="T131" s="138" t="str">
        <f>IFERROR(LOOKUP($S131,MOTORISTAS!$D$3:$D$916,MOTORISTAS!E$3:$E$916),"")</f>
        <v>09803034863</v>
      </c>
      <c r="U131" s="138" t="str">
        <f>IFERROR(LOOKUP($S131,MOTORISTAS!$D$3:$D$916,MOTORISTAS!F$3:$F$916),"")</f>
        <v>01484565209</v>
      </c>
      <c r="V131" s="66" t="s">
        <v>292</v>
      </c>
      <c r="W131" s="79">
        <v>45003.44027777778</v>
      </c>
      <c r="X131" s="79">
        <v>45005.329861111109</v>
      </c>
      <c r="Y131" s="79">
        <v>45005.854166666664</v>
      </c>
      <c r="Z131" s="66" t="s">
        <v>293</v>
      </c>
      <c r="AA131" s="79">
        <v>45006.044444444444</v>
      </c>
      <c r="AB131" s="79">
        <v>45005.791666666664</v>
      </c>
      <c r="AC131" s="79">
        <v>45006.75</v>
      </c>
      <c r="AD131" s="79">
        <v>45009.5</v>
      </c>
      <c r="AE131" s="66" t="s">
        <v>418</v>
      </c>
      <c r="AF131" s="44" t="s">
        <v>3928</v>
      </c>
      <c r="AG131" s="254">
        <f>Prog_23[[#This Row],[SAÍDA DO CLIENTE]]-Prog_23[[#This Row],[PROGRAMAÇÃO CLIENTE]]</f>
        <v>-0.47916666667151731</v>
      </c>
      <c r="AH131" s="44"/>
      <c r="AI131" s="66"/>
      <c r="AJ131" s="66"/>
      <c r="AK131" s="66"/>
      <c r="AL131" s="66"/>
      <c r="AM131" s="66"/>
      <c r="AN131" s="83"/>
      <c r="AO131" s="83"/>
      <c r="AP131" s="83"/>
      <c r="AQ131" s="66"/>
      <c r="AR131" s="66"/>
      <c r="AS131" s="66"/>
      <c r="AT131" s="81">
        <v>2300</v>
      </c>
      <c r="AU131" s="81"/>
      <c r="AV131" s="81"/>
      <c r="AW131" s="81"/>
      <c r="AX131" s="83">
        <f>SUM(Prog_23[[#This Row],[ADIANTAMENTO]]+Prog_23[[#This Row],[SALDO]]+Prog_23[[#This Row],[MARGEM]]+Prog_23[[#This Row],[ESTADIA 1]])</f>
        <v>2300</v>
      </c>
      <c r="AY1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3395.0358799999999</v>
      </c>
      <c r="AZ131" s="81">
        <v>2250</v>
      </c>
      <c r="BA131" s="81">
        <v>199835.88</v>
      </c>
      <c r="BB131" s="81">
        <f>Prog_23[[#This Row],[VLR NF]]*0.1%</f>
        <v>199.83588</v>
      </c>
      <c r="BC131" s="81">
        <v>0</v>
      </c>
      <c r="BD131" s="81">
        <v>385.2</v>
      </c>
      <c r="BE131" s="81"/>
      <c r="BF131" s="81"/>
      <c r="BG131" s="81"/>
      <c r="BH131" s="81"/>
      <c r="BI131" s="81"/>
      <c r="BJ131" s="81"/>
      <c r="BK131" s="81"/>
      <c r="BL131" s="81">
        <v>300</v>
      </c>
      <c r="BM131" s="81">
        <v>260</v>
      </c>
      <c r="BN131" s="66" t="s">
        <v>2768</v>
      </c>
      <c r="BO131" s="66" t="s">
        <v>2768</v>
      </c>
      <c r="BP131" s="66" t="s">
        <v>2768</v>
      </c>
      <c r="BQ131" s="66" t="str">
        <f>PROPER(TEXT(Prog_23[[#This Row],[PROGRAMAÇÃO CLIENTE]],"mmm"))</f>
        <v>Mar</v>
      </c>
      <c r="BR131" s="66">
        <f>YEAR(Prog_23[[#This Row],[PROGRAMAÇÃO CLIENTE]])</f>
        <v>2023</v>
      </c>
    </row>
    <row r="132" spans="1:70" x14ac:dyDescent="0.25">
      <c r="A132" s="120" t="str">
        <f>Prog_23[[#This Row],[CONTEINER]]</f>
        <v>TEMU1319533</v>
      </c>
      <c r="B132" s="86" t="s">
        <v>2771</v>
      </c>
      <c r="C1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32" s="85">
        <v>45005.625</v>
      </c>
      <c r="E132" s="66" t="s">
        <v>2302</v>
      </c>
      <c r="F132" s="66" t="s">
        <v>529</v>
      </c>
      <c r="G132" s="66" t="s">
        <v>3861</v>
      </c>
      <c r="H132" s="44">
        <v>225505686</v>
      </c>
      <c r="I132" s="44" t="s">
        <v>3926</v>
      </c>
      <c r="J132" s="66" t="s">
        <v>288</v>
      </c>
      <c r="K132" s="66">
        <v>2100</v>
      </c>
      <c r="L132" s="66" t="s">
        <v>3927</v>
      </c>
      <c r="M132" s="66">
        <v>3448</v>
      </c>
      <c r="N132" s="66">
        <f>SUM(Prog_23[[#This Row],[TARA]]+Prog_23[[#This Row],[PESO]])</f>
        <v>5548</v>
      </c>
      <c r="O132" s="44" t="s">
        <v>3937</v>
      </c>
      <c r="P132" s="66" t="s">
        <v>3860</v>
      </c>
      <c r="Q132" s="66" t="s">
        <v>2584</v>
      </c>
      <c r="R132" s="66" t="s">
        <v>2585</v>
      </c>
      <c r="S132" s="66" t="s">
        <v>2586</v>
      </c>
      <c r="T132" s="138" t="str">
        <f>IFERROR(LOOKUP($S132,MOTORISTAS!$D$3:$D$916,MOTORISTAS!E$3:$E$916),"")</f>
        <v>08312935860</v>
      </c>
      <c r="U132" s="138" t="str">
        <f>IFERROR(LOOKUP($S132,MOTORISTAS!$D$3:$D$916,MOTORISTAS!F$3:$F$916),"")</f>
        <v>03106516083</v>
      </c>
      <c r="V132" s="66"/>
      <c r="W132" s="66"/>
      <c r="X132" s="79">
        <v>45005.0625</v>
      </c>
      <c r="Y132" s="79">
        <v>45005.552083333336</v>
      </c>
      <c r="Z132" s="66" t="s">
        <v>410</v>
      </c>
      <c r="AA132" s="79">
        <v>45007.119444444441</v>
      </c>
      <c r="AB132" s="79">
        <v>45004.291666666664</v>
      </c>
      <c r="AC132" s="79">
        <v>45005.5</v>
      </c>
      <c r="AD132" s="79">
        <v>45008.5</v>
      </c>
      <c r="AE132" s="66" t="s">
        <v>1405</v>
      </c>
      <c r="AF132" s="44">
        <v>15460</v>
      </c>
      <c r="AG132" s="254">
        <f>Prog_23[[#This Row],[SAÍDA DO CLIENTE]]-Prog_23[[#This Row],[PROGRAMAÇÃO CLIENTE]]</f>
        <v>-7.2916666664241347E-2</v>
      </c>
      <c r="AH132" s="66" t="s">
        <v>3951</v>
      </c>
      <c r="AI132" s="66"/>
      <c r="AJ132" s="66"/>
      <c r="AK132" s="66"/>
      <c r="AL132" s="66"/>
      <c r="AM132" s="66"/>
      <c r="AN132" s="83"/>
      <c r="AO132" s="83"/>
      <c r="AP132" s="83"/>
      <c r="AQ132" s="66"/>
      <c r="AR132" s="66"/>
      <c r="AS132" s="66"/>
      <c r="AT132" s="81">
        <v>2200</v>
      </c>
      <c r="AU132" s="81"/>
      <c r="AV132" s="81"/>
      <c r="AW132" s="81"/>
      <c r="AX132" s="83">
        <f>SUM(Prog_23[[#This Row],[ADIANTAMENTO]]+Prog_23[[#This Row],[SALDO]]+Prog_23[[#This Row],[MARGEM]]+Prog_23[[#This Row],[ESTADIA 1]])</f>
        <v>2200</v>
      </c>
      <c r="AY1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3218.0046400000001</v>
      </c>
      <c r="AZ132" s="81">
        <v>2550</v>
      </c>
      <c r="BA132" s="81">
        <v>144669.76000000001</v>
      </c>
      <c r="BB132" s="81">
        <f>Prog_23[[#This Row],[VLR NF]]*0.1%</f>
        <v>144.66976000000003</v>
      </c>
      <c r="BC132" s="81">
        <f>Prog_23[[#This Row],[VLR NF]]*0.05%</f>
        <v>72.334880000000013</v>
      </c>
      <c r="BD132" s="81">
        <v>336</v>
      </c>
      <c r="BE132" s="81"/>
      <c r="BF132" s="81"/>
      <c r="BG132" s="81"/>
      <c r="BH132" s="81">
        <v>30</v>
      </c>
      <c r="BI132" s="81"/>
      <c r="BJ132" s="81">
        <v>85</v>
      </c>
      <c r="BK132" s="81"/>
      <c r="BL132" s="81"/>
      <c r="BM132" s="81"/>
      <c r="BN132" s="66" t="s">
        <v>2768</v>
      </c>
      <c r="BO132" s="66" t="s">
        <v>2768</v>
      </c>
      <c r="BP132" s="66" t="s">
        <v>2768</v>
      </c>
      <c r="BQ132" s="66" t="str">
        <f>PROPER(TEXT(Prog_23[[#This Row],[PROGRAMAÇÃO CLIENTE]],"mmm"))</f>
        <v>Mar</v>
      </c>
      <c r="BR132" s="66">
        <f>YEAR(Prog_23[[#This Row],[PROGRAMAÇÃO CLIENTE]])</f>
        <v>2023</v>
      </c>
    </row>
    <row r="133" spans="1:70" x14ac:dyDescent="0.25">
      <c r="A133" s="120" t="str">
        <f>Prog_23[[#This Row],[CONTEINER]]</f>
        <v>TOMU2201592</v>
      </c>
      <c r="B133" s="86" t="s">
        <v>2771</v>
      </c>
      <c r="C1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33" s="85">
        <v>45006.333333333336</v>
      </c>
      <c r="E133" s="66" t="s">
        <v>3876</v>
      </c>
      <c r="F133" s="66" t="s">
        <v>3875</v>
      </c>
      <c r="G133" s="66">
        <v>28573</v>
      </c>
      <c r="H133" s="44" t="s">
        <v>3874</v>
      </c>
      <c r="I133" s="44" t="s">
        <v>3916</v>
      </c>
      <c r="J133" s="66" t="s">
        <v>301</v>
      </c>
      <c r="K133" s="66">
        <v>3850</v>
      </c>
      <c r="L133" s="66" t="s">
        <v>3917</v>
      </c>
      <c r="M133" s="66">
        <v>8700</v>
      </c>
      <c r="N133" s="66">
        <f>SUM(Prog_23[[#This Row],[TARA]]+Prog_23[[#This Row],[PESO]])</f>
        <v>12550</v>
      </c>
      <c r="O133" s="44">
        <v>122225</v>
      </c>
      <c r="P133" s="66" t="s">
        <v>3878</v>
      </c>
      <c r="Q133" s="66" t="s">
        <v>92</v>
      </c>
      <c r="R133" s="66" t="s">
        <v>93</v>
      </c>
      <c r="S133" s="66" t="s">
        <v>94</v>
      </c>
      <c r="T133" s="138" t="str">
        <f>IFERROR(LOOKUP($S133,MOTORISTAS!$D$3:$D$916,MOTORISTAS!E$3:$E$916),"")</f>
        <v>26283419801</v>
      </c>
      <c r="U133" s="138" t="str">
        <f>IFERROR(LOOKUP($S133,MOTORISTAS!$D$3:$D$916,MOTORISTAS!F$3:$F$916),"")</f>
        <v>02002046946</v>
      </c>
      <c r="V133" s="66" t="s">
        <v>292</v>
      </c>
      <c r="W133" s="79">
        <v>45003.366666666669</v>
      </c>
      <c r="X133" s="79">
        <v>45006.076388888891</v>
      </c>
      <c r="Y133" s="79">
        <v>45006.430555555555</v>
      </c>
      <c r="Z133" s="66" t="s">
        <v>1569</v>
      </c>
      <c r="AA133" s="79">
        <v>45007.640277777777</v>
      </c>
      <c r="AB133" s="79">
        <v>45005.291666666664</v>
      </c>
      <c r="AC133" s="79">
        <v>45007.5</v>
      </c>
      <c r="AD133" s="66"/>
      <c r="AE133" s="66" t="s">
        <v>3877</v>
      </c>
      <c r="AF133" s="44" t="s">
        <v>3942</v>
      </c>
      <c r="AG133" s="254">
        <f>Prog_23[[#This Row],[SAÍDA DO CLIENTE]]-Prog_23[[#This Row],[PROGRAMAÇÃO CLIENTE]]</f>
        <v>9.7222222218988463E-2</v>
      </c>
      <c r="AH133" s="44"/>
      <c r="AI133" s="66"/>
      <c r="AJ133" s="66"/>
      <c r="AK133" s="66"/>
      <c r="AL133" s="66"/>
      <c r="AM133" s="66"/>
      <c r="AN133" s="83"/>
      <c r="AO133" s="83"/>
      <c r="AP133" s="83"/>
      <c r="AQ133" s="66"/>
      <c r="AR133" s="66"/>
      <c r="AS133" s="66"/>
      <c r="AT133" s="81">
        <v>9000</v>
      </c>
      <c r="AU133" s="81"/>
      <c r="AV133" s="81"/>
      <c r="AW133" s="81"/>
      <c r="AX133" s="83">
        <f>SUM(Prog_23[[#This Row],[ADIANTAMENTO]]+Prog_23[[#This Row],[SALDO]]+Prog_23[[#This Row],[MARGEM]]+Prog_23[[#This Row],[ESTADIA 1]])</f>
        <v>9000</v>
      </c>
      <c r="AY1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11116.91252</v>
      </c>
      <c r="AZ133" s="81">
        <v>8898.7999999999993</v>
      </c>
      <c r="BA133" s="81">
        <v>977562.52</v>
      </c>
      <c r="BB133" s="81">
        <f>Prog_23[[#This Row],[VLR NF]]*0.1%</f>
        <v>977.56252000000006</v>
      </c>
      <c r="BC133" s="81">
        <v>0</v>
      </c>
      <c r="BD133" s="81">
        <v>601.20000000000005</v>
      </c>
      <c r="BE133" s="81"/>
      <c r="BF133" s="81"/>
      <c r="BG133" s="81"/>
      <c r="BH133" s="81"/>
      <c r="BI133" s="81"/>
      <c r="BJ133" s="81">
        <v>639.35</v>
      </c>
      <c r="BK133" s="81"/>
      <c r="BL133" s="81"/>
      <c r="BM133" s="81"/>
      <c r="BN133" s="66" t="s">
        <v>2768</v>
      </c>
      <c r="BO133" s="66" t="s">
        <v>2768</v>
      </c>
      <c r="BP133" s="66" t="s">
        <v>2768</v>
      </c>
      <c r="BQ133" s="66" t="str">
        <f>PROPER(TEXT(Prog_23[[#This Row],[PROGRAMAÇÃO CLIENTE]],"mmm"))</f>
        <v>Mar</v>
      </c>
      <c r="BR133" s="66">
        <f>YEAR(Prog_23[[#This Row],[PROGRAMAÇÃO CLIENTE]])</f>
        <v>2023</v>
      </c>
    </row>
    <row r="134" spans="1:70" x14ac:dyDescent="0.25">
      <c r="A134" s="120" t="str">
        <f>Prog_23[[#This Row],[CONTEINER]]</f>
        <v>TOMU3159537</v>
      </c>
      <c r="B134" s="86" t="s">
        <v>2771</v>
      </c>
      <c r="C1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34" s="85">
        <v>45006.333333333336</v>
      </c>
      <c r="E134" s="66" t="s">
        <v>3876</v>
      </c>
      <c r="F134" s="66" t="s">
        <v>3875</v>
      </c>
      <c r="G134" s="66">
        <v>28578</v>
      </c>
      <c r="H134" s="44" t="s">
        <v>3874</v>
      </c>
      <c r="I134" s="44" t="s">
        <v>3918</v>
      </c>
      <c r="J134" s="66" t="s">
        <v>301</v>
      </c>
      <c r="K134" s="66">
        <v>3750</v>
      </c>
      <c r="L134" s="66" t="s">
        <v>3919</v>
      </c>
      <c r="M134" s="66">
        <v>4870</v>
      </c>
      <c r="N134" s="66">
        <f>SUM(Prog_23[[#This Row],[TARA]]+Prog_23[[#This Row],[PESO]])</f>
        <v>8620</v>
      </c>
      <c r="O134" s="44">
        <v>122237</v>
      </c>
      <c r="P134" s="66" t="s">
        <v>3878</v>
      </c>
      <c r="Q134" s="66" t="s">
        <v>106</v>
      </c>
      <c r="R134" s="66" t="s">
        <v>107</v>
      </c>
      <c r="S134" s="66" t="s">
        <v>108</v>
      </c>
      <c r="T134" s="138" t="str">
        <f>IFERROR(LOOKUP($S134,MOTORISTAS!$D$3:$D$916,MOTORISTAS!E$3:$E$916),"")</f>
        <v>34927982840</v>
      </c>
      <c r="U134" s="138" t="str">
        <f>IFERROR(LOOKUP($S134,MOTORISTAS!$D$3:$D$916,MOTORISTAS!F$3:$F$916),"")</f>
        <v>03500129879</v>
      </c>
      <c r="V134" s="66" t="s">
        <v>292</v>
      </c>
      <c r="W134" s="66" t="s">
        <v>3920</v>
      </c>
      <c r="X134" s="79">
        <v>45005.958333333336</v>
      </c>
      <c r="Y134" s="79">
        <v>45006.430555555555</v>
      </c>
      <c r="Z134" s="66" t="s">
        <v>1569</v>
      </c>
      <c r="AA134" s="79">
        <v>45007.633333333331</v>
      </c>
      <c r="AB134" s="79">
        <v>45005.291666666664</v>
      </c>
      <c r="AC134" s="79">
        <v>45007.5</v>
      </c>
      <c r="AD134" s="66"/>
      <c r="AE134" s="66" t="s">
        <v>3877</v>
      </c>
      <c r="AF134" s="44" t="s">
        <v>3943</v>
      </c>
      <c r="AG134" s="254">
        <f>Prog_23[[#This Row],[SAÍDA DO CLIENTE]]-Prog_23[[#This Row],[PROGRAMAÇÃO CLIENTE]]</f>
        <v>9.7222222218988463E-2</v>
      </c>
      <c r="AH134" s="44"/>
      <c r="AI134" s="66"/>
      <c r="AJ134" s="66"/>
      <c r="AK134" s="66"/>
      <c r="AL134" s="66"/>
      <c r="AM134" s="66"/>
      <c r="AN134" s="83"/>
      <c r="AO134" s="83"/>
      <c r="AP134" s="83"/>
      <c r="AQ134" s="66"/>
      <c r="AR134" s="66"/>
      <c r="AS134" s="66"/>
      <c r="AT134" s="81">
        <v>9000</v>
      </c>
      <c r="AU134" s="81"/>
      <c r="AV134" s="81"/>
      <c r="AW134" s="81"/>
      <c r="AX134" s="83">
        <f>SUM(Prog_23[[#This Row],[ADIANTAMENTO]]+Prog_23[[#This Row],[SALDO]]+Prog_23[[#This Row],[MARGEM]]+Prog_23[[#This Row],[ESTADIA 1]])</f>
        <v>9000</v>
      </c>
      <c r="AY1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10665.906060000001</v>
      </c>
      <c r="AZ134" s="81">
        <v>8898.7999999999993</v>
      </c>
      <c r="BA134" s="81">
        <v>526556.06000000006</v>
      </c>
      <c r="BB134" s="81">
        <f>Prog_23[[#This Row],[VLR NF]]*0.1%</f>
        <v>526.55606000000012</v>
      </c>
      <c r="BC134" s="81">
        <v>0</v>
      </c>
      <c r="BD134" s="81">
        <v>601.20000000000005</v>
      </c>
      <c r="BE134" s="81"/>
      <c r="BF134" s="81"/>
      <c r="BG134" s="81"/>
      <c r="BH134" s="81"/>
      <c r="BI134" s="81"/>
      <c r="BJ134" s="81">
        <v>639.35</v>
      </c>
      <c r="BK134" s="81"/>
      <c r="BL134" s="81"/>
      <c r="BM134" s="81"/>
      <c r="BN134" s="66" t="s">
        <v>2768</v>
      </c>
      <c r="BO134" s="66" t="s">
        <v>2768</v>
      </c>
      <c r="BP134" s="66" t="s">
        <v>2768</v>
      </c>
      <c r="BQ134" s="66" t="str">
        <f>PROPER(TEXT(Prog_23[[#This Row],[PROGRAMAÇÃO CLIENTE]],"mmm"))</f>
        <v>Mar</v>
      </c>
      <c r="BR134" s="66">
        <f>YEAR(Prog_23[[#This Row],[PROGRAMAÇÃO CLIENTE]])</f>
        <v>2023</v>
      </c>
    </row>
    <row r="135" spans="1:70" x14ac:dyDescent="0.25">
      <c r="A135" s="120" t="str">
        <f>Prog_23[[#This Row],[CONTEINER]]</f>
        <v>TOMU4097785</v>
      </c>
      <c r="B135" s="86" t="s">
        <v>2771</v>
      </c>
      <c r="C1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35" s="85">
        <v>45006.333333333336</v>
      </c>
      <c r="E135" s="66" t="s">
        <v>3876</v>
      </c>
      <c r="F135" s="66" t="s">
        <v>3875</v>
      </c>
      <c r="G135" s="66">
        <v>28579</v>
      </c>
      <c r="H135" s="44" t="s">
        <v>3874</v>
      </c>
      <c r="I135" s="44" t="s">
        <v>3914</v>
      </c>
      <c r="J135" s="66" t="s">
        <v>301</v>
      </c>
      <c r="K135" s="66">
        <v>3700</v>
      </c>
      <c r="L135" s="66" t="s">
        <v>3915</v>
      </c>
      <c r="M135" s="66">
        <v>4870</v>
      </c>
      <c r="N135" s="66">
        <f>SUM(Prog_23[[#This Row],[TARA]]+Prog_23[[#This Row],[PESO]])</f>
        <v>8570</v>
      </c>
      <c r="O135" s="44">
        <v>122224</v>
      </c>
      <c r="P135" s="66" t="s">
        <v>3878</v>
      </c>
      <c r="Q135" s="66" t="s">
        <v>72</v>
      </c>
      <c r="R135" s="66" t="s">
        <v>73</v>
      </c>
      <c r="S135" s="66" t="s">
        <v>203</v>
      </c>
      <c r="T135" s="138" t="str">
        <f>IFERROR(LOOKUP($S135,MOTORISTAS!$D$3:$D$916,MOTORISTAS!E$3:$E$916),"")</f>
        <v>10395859816</v>
      </c>
      <c r="U135" s="138" t="str">
        <f>IFERROR(LOOKUP($S135,MOTORISTAS!$D$3:$D$916,MOTORISTAS!F$3:$F$916),"")</f>
        <v>01965794851</v>
      </c>
      <c r="V135" s="66" t="s">
        <v>292</v>
      </c>
      <c r="W135" s="79">
        <v>45003.373611111114</v>
      </c>
      <c r="X135" s="79">
        <v>45006.052083333336</v>
      </c>
      <c r="Y135" s="79">
        <v>45006.430555555555</v>
      </c>
      <c r="Z135" s="66" t="s">
        <v>1569</v>
      </c>
      <c r="AA135" s="79" t="s">
        <v>3948</v>
      </c>
      <c r="AB135" s="79">
        <v>45005.291666666664</v>
      </c>
      <c r="AC135" s="79">
        <v>45007.5</v>
      </c>
      <c r="AD135" s="66"/>
      <c r="AE135" s="66" t="s">
        <v>3877</v>
      </c>
      <c r="AF135" s="44" t="s">
        <v>3944</v>
      </c>
      <c r="AG135" s="254">
        <f>Prog_23[[#This Row],[SAÍDA DO CLIENTE]]-Prog_23[[#This Row],[PROGRAMAÇÃO CLIENTE]]</f>
        <v>9.7222222218988463E-2</v>
      </c>
      <c r="AH135" s="44"/>
      <c r="AI135" s="66"/>
      <c r="AJ135" s="66"/>
      <c r="AK135" s="66"/>
      <c r="AL135" s="66"/>
      <c r="AM135" s="66"/>
      <c r="AN135" s="83"/>
      <c r="AO135" s="83"/>
      <c r="AP135" s="83"/>
      <c r="AQ135" s="66"/>
      <c r="AR135" s="66"/>
      <c r="AS135" s="66"/>
      <c r="AT135" s="81">
        <v>9000</v>
      </c>
      <c r="AU135" s="81"/>
      <c r="AV135" s="81"/>
      <c r="AW135" s="81"/>
      <c r="AX135" s="83">
        <f>SUM(Prog_23[[#This Row],[ADIANTAMENTO]]+Prog_23[[#This Row],[SALDO]]+Prog_23[[#This Row],[MARGEM]]+Prog_23[[#This Row],[ESTADIA 1]])</f>
        <v>9000</v>
      </c>
      <c r="AY1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10665.906060000001</v>
      </c>
      <c r="AZ135" s="81">
        <v>8898.7999999999993</v>
      </c>
      <c r="BA135" s="81">
        <v>526556.06000000006</v>
      </c>
      <c r="BB135" s="81">
        <f>Prog_23[[#This Row],[VLR NF]]*0.1%</f>
        <v>526.55606000000012</v>
      </c>
      <c r="BC135" s="81">
        <v>0</v>
      </c>
      <c r="BD135" s="81">
        <v>601.20000000000005</v>
      </c>
      <c r="BE135" s="81"/>
      <c r="BF135" s="81"/>
      <c r="BG135" s="81"/>
      <c r="BH135" s="81"/>
      <c r="BI135" s="81"/>
      <c r="BJ135" s="81">
        <v>639.35</v>
      </c>
      <c r="BK135" s="81"/>
      <c r="BL135" s="81"/>
      <c r="BM135" s="81"/>
      <c r="BN135" s="66" t="s">
        <v>2768</v>
      </c>
      <c r="BO135" s="66" t="s">
        <v>2768</v>
      </c>
      <c r="BP135" s="66" t="s">
        <v>2768</v>
      </c>
      <c r="BQ135" s="66" t="str">
        <f>PROPER(TEXT(Prog_23[[#This Row],[PROGRAMAÇÃO CLIENTE]],"mmm"))</f>
        <v>Mar</v>
      </c>
      <c r="BR135" s="66">
        <f>YEAR(Prog_23[[#This Row],[PROGRAMAÇÃO CLIENTE]])</f>
        <v>2023</v>
      </c>
    </row>
    <row r="136" spans="1:70" x14ac:dyDescent="0.25">
      <c r="A136" s="120" t="str">
        <f>Prog_23[[#This Row],[CONTEINER]]</f>
        <v>TOMU3158762</v>
      </c>
      <c r="B136" s="86" t="s">
        <v>2771</v>
      </c>
      <c r="C1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36" s="85">
        <v>45006.333333333336</v>
      </c>
      <c r="E136" s="66" t="s">
        <v>3876</v>
      </c>
      <c r="F136" s="66" t="s">
        <v>3875</v>
      </c>
      <c r="G136" s="66">
        <v>28580</v>
      </c>
      <c r="H136" s="44" t="s">
        <v>3874</v>
      </c>
      <c r="I136" s="44" t="s">
        <v>3912</v>
      </c>
      <c r="J136" s="66" t="s">
        <v>301</v>
      </c>
      <c r="K136" s="66">
        <v>3750</v>
      </c>
      <c r="L136" s="66" t="s">
        <v>3913</v>
      </c>
      <c r="M136" s="66">
        <v>4870</v>
      </c>
      <c r="N136" s="66">
        <f>SUM(Prog_23[[#This Row],[TARA]]+Prog_23[[#This Row],[PESO]])</f>
        <v>8620</v>
      </c>
      <c r="O136" s="44">
        <v>122226</v>
      </c>
      <c r="P136" s="66" t="s">
        <v>3878</v>
      </c>
      <c r="Q136" s="66" t="s">
        <v>210</v>
      </c>
      <c r="R136" s="66" t="s">
        <v>211</v>
      </c>
      <c r="S136" s="66" t="s">
        <v>212</v>
      </c>
      <c r="T136" s="138" t="str">
        <f>IFERROR(LOOKUP($S136,MOTORISTAS!$D$3:$D$916,MOTORISTAS!E$3:$E$916),"")</f>
        <v>38029906846</v>
      </c>
      <c r="U136" s="138" t="str">
        <f>IFERROR(LOOKUP($S136,MOTORISTAS!$D$3:$D$916,MOTORISTAS!F$3:$F$916),"")</f>
        <v>04946846842</v>
      </c>
      <c r="V136" s="66" t="s">
        <v>292</v>
      </c>
      <c r="W136" s="79">
        <v>45003.362500000003</v>
      </c>
      <c r="X136" s="79">
        <v>45006.052083333336</v>
      </c>
      <c r="Y136" s="79">
        <v>45006.430555555555</v>
      </c>
      <c r="Z136" s="66" t="s">
        <v>1569</v>
      </c>
      <c r="AA136" s="79">
        <v>45007.636805555558</v>
      </c>
      <c r="AB136" s="79">
        <v>45005.291666666664</v>
      </c>
      <c r="AC136" s="79">
        <v>45007.5</v>
      </c>
      <c r="AD136" s="66"/>
      <c r="AE136" s="66" t="s">
        <v>3877</v>
      </c>
      <c r="AF136" s="44" t="s">
        <v>3945</v>
      </c>
      <c r="AG136" s="254">
        <f>Prog_23[[#This Row],[SAÍDA DO CLIENTE]]-Prog_23[[#This Row],[PROGRAMAÇÃO CLIENTE]]</f>
        <v>9.7222222218988463E-2</v>
      </c>
      <c r="AH136" s="44"/>
      <c r="AI136" s="66"/>
      <c r="AJ136" s="66"/>
      <c r="AK136" s="66"/>
      <c r="AL136" s="66"/>
      <c r="AM136" s="66"/>
      <c r="AN136" s="83"/>
      <c r="AO136" s="83"/>
      <c r="AP136" s="83"/>
      <c r="AQ136" s="66"/>
      <c r="AR136" s="66"/>
      <c r="AS136" s="66"/>
      <c r="AT136" s="81">
        <v>8398.7999999999993</v>
      </c>
      <c r="AU136" s="81">
        <v>601.20000000000005</v>
      </c>
      <c r="AV136" s="81"/>
      <c r="AW136" s="81"/>
      <c r="AX136" s="83">
        <f>SUM(Prog_23[[#This Row],[ADIANTAMENTO]]+Prog_23[[#This Row],[SALDO]]+Prog_23[[#This Row],[MARGEM]]+Prog_23[[#This Row],[ESTADIA 1]])</f>
        <v>9000</v>
      </c>
      <c r="AY1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10665.906060000001</v>
      </c>
      <c r="AZ136" s="81">
        <v>8898.7999999999993</v>
      </c>
      <c r="BA136" s="81">
        <v>526556.06000000006</v>
      </c>
      <c r="BB136" s="81">
        <f>Prog_23[[#This Row],[VLR NF]]*0.1%</f>
        <v>526.55606000000012</v>
      </c>
      <c r="BC136" s="81">
        <v>0</v>
      </c>
      <c r="BD136" s="81">
        <v>601.20000000000005</v>
      </c>
      <c r="BE136" s="81"/>
      <c r="BF136" s="81"/>
      <c r="BG136" s="81"/>
      <c r="BH136" s="81"/>
      <c r="BI136" s="81"/>
      <c r="BJ136" s="81">
        <v>639.35</v>
      </c>
      <c r="BK136" s="81"/>
      <c r="BL136" s="81"/>
      <c r="BM136" s="81"/>
      <c r="BN136" s="66" t="s">
        <v>2768</v>
      </c>
      <c r="BO136" s="66" t="s">
        <v>2768</v>
      </c>
      <c r="BP136" s="66" t="s">
        <v>2768</v>
      </c>
      <c r="BQ136" s="66" t="str">
        <f>PROPER(TEXT(Prog_23[[#This Row],[PROGRAMAÇÃO CLIENTE]],"mmm"))</f>
        <v>Mar</v>
      </c>
      <c r="BR136" s="66">
        <f>YEAR(Prog_23[[#This Row],[PROGRAMAÇÃO CLIENTE]])</f>
        <v>2023</v>
      </c>
    </row>
    <row r="137" spans="1:70" x14ac:dyDescent="0.25">
      <c r="A137" s="120" t="str">
        <f>Prog_23[[#This Row],[CONTEINER]]</f>
        <v>SEKU5509669</v>
      </c>
      <c r="B137" s="86" t="s">
        <v>2771</v>
      </c>
      <c r="C1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37" s="85">
        <v>45007.291666666664</v>
      </c>
      <c r="E137" s="66" t="s">
        <v>2059</v>
      </c>
      <c r="F137" s="66" t="s">
        <v>2060</v>
      </c>
      <c r="G137" s="66" t="s">
        <v>3856</v>
      </c>
      <c r="H137" s="44" t="s">
        <v>3855</v>
      </c>
      <c r="I137" s="44" t="s">
        <v>3935</v>
      </c>
      <c r="J137" s="66" t="s">
        <v>301</v>
      </c>
      <c r="K137" s="66">
        <v>3700</v>
      </c>
      <c r="L137" s="66" t="s">
        <v>3936</v>
      </c>
      <c r="M137" s="66">
        <v>25784</v>
      </c>
      <c r="N137" s="66">
        <f>SUM(Prog_23[[#This Row],[TARA]]+Prog_23[[#This Row],[PESO]])</f>
        <v>29484</v>
      </c>
      <c r="O137" s="44">
        <v>1595717</v>
      </c>
      <c r="P137" s="66" t="s">
        <v>3853</v>
      </c>
      <c r="Q137" s="66" t="s">
        <v>102</v>
      </c>
      <c r="R137" s="66" t="s">
        <v>27</v>
      </c>
      <c r="S137" s="66" t="s">
        <v>206</v>
      </c>
      <c r="T137" s="138" t="str">
        <f>IFERROR(LOOKUP($S137,MOTORISTAS!$D$3:$D$916,MOTORISTAS!E$3:$E$916),"")</f>
        <v>09085263425</v>
      </c>
      <c r="U137" s="138" t="str">
        <f>IFERROR(LOOKUP($S137,MOTORISTAS!$D$3:$D$916,MOTORISTAS!F$3:$F$916),"")</f>
        <v>04557705505</v>
      </c>
      <c r="V137" s="66" t="s">
        <v>537</v>
      </c>
      <c r="W137" s="79">
        <v>45006.693749999999</v>
      </c>
      <c r="X137" s="79">
        <v>45007.072916666664</v>
      </c>
      <c r="Y137" s="79">
        <v>45007.75</v>
      </c>
      <c r="Z137" s="66" t="s">
        <v>293</v>
      </c>
      <c r="AA137" s="79">
        <v>45012.675000000003</v>
      </c>
      <c r="AB137" s="79">
        <v>45009.5</v>
      </c>
      <c r="AC137" s="79">
        <v>45006.708333333336</v>
      </c>
      <c r="AD137" s="79">
        <v>45013.75</v>
      </c>
      <c r="AE137" s="66" t="s">
        <v>3854</v>
      </c>
      <c r="AF137" s="44" t="s">
        <v>3953</v>
      </c>
      <c r="AG137" s="254">
        <f>Prog_23[[#This Row],[SAÍDA DO CLIENTE]]-Prog_23[[#This Row],[PROGRAMAÇÃO CLIENTE]]</f>
        <v>0.45833333333575865</v>
      </c>
      <c r="AH137" s="44"/>
      <c r="AI137" s="66"/>
      <c r="AJ137" s="66"/>
      <c r="AK137" s="66" t="s">
        <v>393</v>
      </c>
      <c r="AL137" s="79">
        <v>45007.916666666664</v>
      </c>
      <c r="AM137" s="66"/>
      <c r="AN137" s="83">
        <v>950</v>
      </c>
      <c r="AO137" s="83"/>
      <c r="AP137" s="83"/>
      <c r="AQ137" s="66"/>
      <c r="AR137" s="81">
        <v>180</v>
      </c>
      <c r="AS137" s="66"/>
      <c r="AT137" s="81">
        <v>3600</v>
      </c>
      <c r="AU137" s="81"/>
      <c r="AV137" s="81"/>
      <c r="AW137" s="81"/>
      <c r="AX137" s="83">
        <f>SUM(Prog_23[[#This Row],[ADIANTAMENTO]]+Prog_23[[#This Row],[SALDO]]+Prog_23[[#This Row],[MARGEM]]+Prog_23[[#This Row],[ESTADIA 1]])</f>
        <v>3600</v>
      </c>
      <c r="AY1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5987.6253500000003</v>
      </c>
      <c r="AZ137" s="81">
        <v>3122.4</v>
      </c>
      <c r="BA137" s="81">
        <v>137625.35</v>
      </c>
      <c r="BB137" s="81">
        <f>Prog_23[[#This Row],[VLR NF]]*0.1%</f>
        <v>137.62535</v>
      </c>
      <c r="BC137" s="81">
        <v>0</v>
      </c>
      <c r="BD137" s="81">
        <v>477.6</v>
      </c>
      <c r="BE137" s="81"/>
      <c r="BF137" s="81">
        <v>600</v>
      </c>
      <c r="BG137" s="81"/>
      <c r="BH137" s="81"/>
      <c r="BI137" s="81"/>
      <c r="BJ137" s="81">
        <v>950</v>
      </c>
      <c r="BK137" s="81">
        <v>350</v>
      </c>
      <c r="BL137" s="81">
        <v>350</v>
      </c>
      <c r="BM137" s="81"/>
      <c r="BN137" s="66" t="s">
        <v>2768</v>
      </c>
      <c r="BO137" s="66" t="s">
        <v>2768</v>
      </c>
      <c r="BP137" s="66" t="s">
        <v>2768</v>
      </c>
      <c r="BQ137" s="66" t="str">
        <f>PROPER(TEXT(Prog_23[[#This Row],[PROGRAMAÇÃO CLIENTE]],"mmm"))</f>
        <v>Mar</v>
      </c>
      <c r="BR137" s="66">
        <f>YEAR(Prog_23[[#This Row],[PROGRAMAÇÃO CLIENTE]])</f>
        <v>2023</v>
      </c>
    </row>
    <row r="138" spans="1:70" x14ac:dyDescent="0.25">
      <c r="A138" s="120" t="str">
        <f>Prog_23[[#This Row],[CONTEINER]]</f>
        <v>GCXU5844985</v>
      </c>
      <c r="B138" s="86" t="s">
        <v>2771</v>
      </c>
      <c r="C1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38" s="85">
        <v>45008.291666666664</v>
      </c>
      <c r="E138" s="66" t="s">
        <v>2059</v>
      </c>
      <c r="F138" s="66" t="s">
        <v>2060</v>
      </c>
      <c r="G138" s="66" t="s">
        <v>3857</v>
      </c>
      <c r="H138" s="44" t="s">
        <v>3855</v>
      </c>
      <c r="I138" s="44" t="s">
        <v>3940</v>
      </c>
      <c r="J138" s="66" t="s">
        <v>301</v>
      </c>
      <c r="K138" s="66">
        <v>3700</v>
      </c>
      <c r="L138" s="66" t="s">
        <v>3941</v>
      </c>
      <c r="M138" s="66">
        <v>25784</v>
      </c>
      <c r="N138" s="66">
        <f>SUM(Prog_23[[#This Row],[TARA]]+Prog_23[[#This Row],[PESO]])</f>
        <v>29484</v>
      </c>
      <c r="O138" s="44">
        <v>1595831</v>
      </c>
      <c r="P138" s="66" t="s">
        <v>3853</v>
      </c>
      <c r="Q138" s="66" t="s">
        <v>155</v>
      </c>
      <c r="R138" s="66" t="s">
        <v>209</v>
      </c>
      <c r="S138" s="66" t="s">
        <v>156</v>
      </c>
      <c r="T138" s="138" t="str">
        <f>IFERROR(LOOKUP($S138,MOTORISTAS!$D$3:$D$916,MOTORISTAS!E$3:$E$916),"")</f>
        <v>09803034863</v>
      </c>
      <c r="U138" s="138" t="str">
        <f>IFERROR(LOOKUP($S138,MOTORISTAS!$D$3:$D$916,MOTORISTAS!F$3:$F$916),"")</f>
        <v>01484565209</v>
      </c>
      <c r="V138" s="66" t="s">
        <v>537</v>
      </c>
      <c r="W138" s="79">
        <v>45007.70416666667</v>
      </c>
      <c r="X138" s="79">
        <v>45008.296527777777</v>
      </c>
      <c r="Y138" s="79">
        <v>45008.625</v>
      </c>
      <c r="Z138" s="66" t="s">
        <v>293</v>
      </c>
      <c r="AA138" s="79">
        <v>45012.196527777778</v>
      </c>
      <c r="AB138" s="79">
        <v>45009.5</v>
      </c>
      <c r="AC138" s="79">
        <v>45006.708333333336</v>
      </c>
      <c r="AD138" s="79">
        <v>45013.75</v>
      </c>
      <c r="AE138" s="66" t="s">
        <v>3854</v>
      </c>
      <c r="AF138" s="44">
        <v>15477</v>
      </c>
      <c r="AG138" s="254">
        <f>Prog_23[[#This Row],[SAÍDA DO CLIENTE]]-Prog_23[[#This Row],[PROGRAMAÇÃO CLIENTE]]</f>
        <v>0.33333333333575865</v>
      </c>
      <c r="AH138" s="44"/>
      <c r="AI138" s="66" t="s">
        <v>3949</v>
      </c>
      <c r="AJ138" s="66" t="s">
        <v>3602</v>
      </c>
      <c r="AK138" s="66" t="s">
        <v>393</v>
      </c>
      <c r="AL138" s="79">
        <v>45008.833333333336</v>
      </c>
      <c r="AM138" s="66"/>
      <c r="AN138" s="83">
        <v>950</v>
      </c>
      <c r="AO138" s="83"/>
      <c r="AP138" s="83"/>
      <c r="AQ138" s="66"/>
      <c r="AR138" s="81">
        <v>180</v>
      </c>
      <c r="AS138" s="66"/>
      <c r="AT138" s="81">
        <v>3600</v>
      </c>
      <c r="AU138" s="81"/>
      <c r="AV138" s="81"/>
      <c r="AW138" s="81"/>
      <c r="AX138" s="83">
        <f>SUM(Prog_23[[#This Row],[ADIANTAMENTO]]+Prog_23[[#This Row],[SALDO]]+Prog_23[[#This Row],[MARGEM]]+Prog_23[[#This Row],[ESTADIA 1]])</f>
        <v>3600</v>
      </c>
      <c r="AY1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5988.1610000000001</v>
      </c>
      <c r="AZ138" s="81">
        <v>3122.4</v>
      </c>
      <c r="BA138" s="81">
        <v>138161</v>
      </c>
      <c r="BB138" s="81">
        <f>Prog_23[[#This Row],[VLR NF]]*0.1%</f>
        <v>138.161</v>
      </c>
      <c r="BC138" s="81">
        <v>0</v>
      </c>
      <c r="BD138" s="81">
        <v>477.6</v>
      </c>
      <c r="BE138" s="81"/>
      <c r="BF138" s="81">
        <v>600</v>
      </c>
      <c r="BG138" s="81"/>
      <c r="BH138" s="81"/>
      <c r="BI138" s="81"/>
      <c r="BJ138" s="81">
        <v>950</v>
      </c>
      <c r="BK138" s="81">
        <v>350</v>
      </c>
      <c r="BL138" s="81">
        <v>350</v>
      </c>
      <c r="BM138" s="81"/>
      <c r="BN138" s="66" t="s">
        <v>2768</v>
      </c>
      <c r="BO138" s="66" t="s">
        <v>2768</v>
      </c>
      <c r="BP138" s="66" t="s">
        <v>2768</v>
      </c>
      <c r="BQ138" s="66" t="str">
        <f>PROPER(TEXT(Prog_23[[#This Row],[PROGRAMAÇÃO CLIENTE]],"mmm"))</f>
        <v>Mar</v>
      </c>
      <c r="BR138" s="66">
        <f>YEAR(Prog_23[[#This Row],[PROGRAMAÇÃO CLIENTE]])</f>
        <v>2023</v>
      </c>
    </row>
    <row r="139" spans="1:70" x14ac:dyDescent="0.25">
      <c r="A139" s="120" t="str">
        <f>Prog_23[[#This Row],[CONTEINER]]</f>
        <v>CAIU3021159</v>
      </c>
      <c r="B139" s="86" t="s">
        <v>2771</v>
      </c>
      <c r="C1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39" s="85">
        <v>45009.291666666664</v>
      </c>
      <c r="E139" s="66" t="s">
        <v>696</v>
      </c>
      <c r="F139" s="66" t="s">
        <v>697</v>
      </c>
      <c r="G139" s="66" t="s">
        <v>3938</v>
      </c>
      <c r="H139" s="44" t="s">
        <v>3933</v>
      </c>
      <c r="I139" s="44" t="s">
        <v>3931</v>
      </c>
      <c r="J139" s="66" t="s">
        <v>288</v>
      </c>
      <c r="K139" s="66">
        <v>2185</v>
      </c>
      <c r="L139" s="66">
        <v>1195227</v>
      </c>
      <c r="M139" s="66">
        <v>8719</v>
      </c>
      <c r="N139" s="66">
        <f>SUM(Prog_23[[#This Row],[TARA]]+Prog_23[[#This Row],[PESO]])</f>
        <v>10904</v>
      </c>
      <c r="O139" s="44" t="s">
        <v>3954</v>
      </c>
      <c r="P139" s="66" t="s">
        <v>3932</v>
      </c>
      <c r="Q139" s="66" t="s">
        <v>72</v>
      </c>
      <c r="R139" s="66" t="s">
        <v>3246</v>
      </c>
      <c r="S139" s="66" t="s">
        <v>203</v>
      </c>
      <c r="T139" s="138" t="str">
        <f>IFERROR(LOOKUP($S139,MOTORISTAS!$D$3:$D$916,MOTORISTAS!E$3:$E$916),"")</f>
        <v>10395859816</v>
      </c>
      <c r="U139" s="138" t="str">
        <f>IFERROR(LOOKUP($S139,MOTORISTAS!$D$3:$D$916,MOTORISTAS!F$3:$F$916),"")</f>
        <v>01965794851</v>
      </c>
      <c r="V139" s="66" t="s">
        <v>293</v>
      </c>
      <c r="W139" s="66"/>
      <c r="X139" s="79">
        <v>45009.270833333336</v>
      </c>
      <c r="Y139" s="79">
        <v>45009.347222222219</v>
      </c>
      <c r="Z139" s="66" t="s">
        <v>469</v>
      </c>
      <c r="AA139" s="79">
        <v>45009.609722222223</v>
      </c>
      <c r="AB139" s="79">
        <v>45009.291666666664</v>
      </c>
      <c r="AC139" s="79">
        <v>45009.291666666664</v>
      </c>
      <c r="AD139" s="79">
        <v>45009.291666666664</v>
      </c>
      <c r="AE139" s="66" t="s">
        <v>708</v>
      </c>
      <c r="AF139" s="44"/>
      <c r="AG139" s="254">
        <f>Prog_23[[#This Row],[SAÍDA DO CLIENTE]]-Prog_23[[#This Row],[PROGRAMAÇÃO CLIENTE]]</f>
        <v>5.5555555554747116E-2</v>
      </c>
      <c r="AH139" s="44"/>
      <c r="AI139" s="66"/>
      <c r="AJ139" s="66"/>
      <c r="AK139" s="66"/>
      <c r="AL139" s="66"/>
      <c r="AM139" s="66"/>
      <c r="AN139" s="83"/>
      <c r="AO139" s="83"/>
      <c r="AP139" s="83"/>
      <c r="AQ139" s="66"/>
      <c r="AR139" s="66"/>
      <c r="AS139" s="66"/>
      <c r="AT139" s="81"/>
      <c r="AU139" s="81"/>
      <c r="AV139" s="81"/>
      <c r="AW139" s="81"/>
      <c r="AX139" s="83">
        <f>SUM(Prog_23[[#This Row],[ADIANTAMENTO]]+Prog_23[[#This Row],[SALDO]]+Prog_23[[#This Row],[MARGEM]]+Prog_23[[#This Row],[ESTADIA 1]])</f>
        <v>0</v>
      </c>
      <c r="AY1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" s="81"/>
      <c r="BA139" s="81"/>
      <c r="BB139" s="81">
        <f>Prog_23[[#This Row],[VLR NF]]*0.1%</f>
        <v>0</v>
      </c>
      <c r="BC139" s="81">
        <f>Prog_23[[#This Row],[VLR NF]]*0.05%</f>
        <v>0</v>
      </c>
      <c r="BD139" s="81"/>
      <c r="BE139" s="81"/>
      <c r="BF139" s="81"/>
      <c r="BG139" s="81"/>
      <c r="BH139" s="81"/>
      <c r="BI139" s="81"/>
      <c r="BJ139" s="81"/>
      <c r="BK139" s="81"/>
      <c r="BL139" s="81"/>
      <c r="BM139" s="81"/>
      <c r="BN139" s="66" t="s">
        <v>2768</v>
      </c>
      <c r="BO139" s="66" t="s">
        <v>2768</v>
      </c>
      <c r="BP139" s="66" t="s">
        <v>2768</v>
      </c>
      <c r="BQ139" s="66" t="str">
        <f>PROPER(TEXT(Prog_23[[#This Row],[PROGRAMAÇÃO CLIENTE]],"mmm"))</f>
        <v>Mar</v>
      </c>
      <c r="BR139" s="66">
        <f>YEAR(Prog_23[[#This Row],[PROGRAMAÇÃO CLIENTE]])</f>
        <v>2023</v>
      </c>
    </row>
    <row r="140" spans="1:70" x14ac:dyDescent="0.25">
      <c r="A140" s="120" t="str">
        <f>Prog_23[[#This Row],[CONTEINER]]</f>
        <v>BMOU6984147</v>
      </c>
      <c r="B140" s="86" t="s">
        <v>2771</v>
      </c>
      <c r="C1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40" s="85">
        <v>45012.333333333336</v>
      </c>
      <c r="E140" s="66" t="s">
        <v>1110</v>
      </c>
      <c r="F140" s="66" t="s">
        <v>1111</v>
      </c>
      <c r="G140" s="66" t="s">
        <v>3965</v>
      </c>
      <c r="H140" s="44" t="s">
        <v>3963</v>
      </c>
      <c r="I140" s="44" t="s">
        <v>3966</v>
      </c>
      <c r="J140" s="66" t="s">
        <v>301</v>
      </c>
      <c r="K140" s="66">
        <v>3850</v>
      </c>
      <c r="L140" s="66" t="s">
        <v>3967</v>
      </c>
      <c r="M140" s="66">
        <v>25920</v>
      </c>
      <c r="N140" s="66">
        <f>SUM(Prog_23[[#This Row],[TARA]]+Prog_23[[#This Row],[PESO]])</f>
        <v>29770</v>
      </c>
      <c r="O140" s="44">
        <v>333228</v>
      </c>
      <c r="P140" s="66" t="s">
        <v>3964</v>
      </c>
      <c r="Q140" s="66" t="s">
        <v>72</v>
      </c>
      <c r="R140" s="66" t="s">
        <v>73</v>
      </c>
      <c r="S140" s="66" t="s">
        <v>203</v>
      </c>
      <c r="T140" s="138" t="str">
        <f>IFERROR(LOOKUP($S140,MOTORISTAS!$D$3:$D$916,MOTORISTAS!E$3:$E$916),"")</f>
        <v>10395859816</v>
      </c>
      <c r="U140" s="138" t="str">
        <f>IFERROR(LOOKUP($S140,MOTORISTAS!$D$3:$D$916,MOTORISTAS!F$3:$F$916),"")</f>
        <v>01965794851</v>
      </c>
      <c r="V140" s="66" t="s">
        <v>537</v>
      </c>
      <c r="W140" s="66"/>
      <c r="X140" s="79">
        <v>45012.3125</v>
      </c>
      <c r="Y140" s="79">
        <v>45012.75</v>
      </c>
      <c r="Z140" s="66" t="s">
        <v>293</v>
      </c>
      <c r="AA140" s="79">
        <v>45012.906944444447</v>
      </c>
      <c r="AB140" s="79">
        <v>45009.75</v>
      </c>
      <c r="AC140" s="79">
        <v>45013.75</v>
      </c>
      <c r="AD140" s="79">
        <v>45013.75</v>
      </c>
      <c r="AE140" s="66" t="s">
        <v>294</v>
      </c>
      <c r="AF140" s="44"/>
      <c r="AG140" s="254">
        <f>Prog_23[[#This Row],[SAÍDA DO CLIENTE]]-Prog_23[[#This Row],[PROGRAMAÇÃO CLIENTE]]</f>
        <v>0.41666666666424135</v>
      </c>
      <c r="AH140" s="44"/>
      <c r="AI140" s="66"/>
      <c r="AJ140" s="66"/>
      <c r="AK140" s="66"/>
      <c r="AL140" s="66"/>
      <c r="AM140" s="66"/>
      <c r="AN140" s="83"/>
      <c r="AO140" s="83"/>
      <c r="AP140" s="83"/>
      <c r="AQ140" s="66"/>
      <c r="AR140" s="66"/>
      <c r="AS140" s="66"/>
      <c r="AT140" s="81"/>
      <c r="AU140" s="81"/>
      <c r="AV140" s="81"/>
      <c r="AW140" s="81"/>
      <c r="AX140" s="83">
        <f>SUM(Prog_23[[#This Row],[ADIANTAMENTO]]+Prog_23[[#This Row],[SALDO]]+Prog_23[[#This Row],[MARGEM]]+Prog_23[[#This Row],[ESTADIA 1]])</f>
        <v>0</v>
      </c>
      <c r="AY1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" s="81"/>
      <c r="BA140" s="81"/>
      <c r="BB140" s="81">
        <f>Prog_23[[#This Row],[VLR NF]]*0.1%</f>
        <v>0</v>
      </c>
      <c r="BC140" s="81">
        <f>Prog_23[[#This Row],[VLR NF]]*0.05%</f>
        <v>0</v>
      </c>
      <c r="BD140" s="81"/>
      <c r="BE140" s="81"/>
      <c r="BF140" s="81"/>
      <c r="BG140" s="81"/>
      <c r="BH140" s="81"/>
      <c r="BI140" s="81"/>
      <c r="BJ140" s="81"/>
      <c r="BK140" s="81"/>
      <c r="BL140" s="81"/>
      <c r="BM140" s="81"/>
      <c r="BN140" s="66" t="s">
        <v>2768</v>
      </c>
      <c r="BO140" s="66" t="s">
        <v>2768</v>
      </c>
      <c r="BP140" s="66" t="s">
        <v>2768</v>
      </c>
      <c r="BQ140" s="66" t="str">
        <f>PROPER(TEXT(Prog_23[[#This Row],[PROGRAMAÇÃO CLIENTE]],"mmm"))</f>
        <v>Mar</v>
      </c>
      <c r="BR140" s="66">
        <f>YEAR(Prog_23[[#This Row],[PROGRAMAÇÃO CLIENTE]])</f>
        <v>2023</v>
      </c>
    </row>
    <row r="141" spans="1:70" x14ac:dyDescent="0.25">
      <c r="A141" s="120" t="str">
        <f>Prog_23[[#This Row],[CONTEINER]]</f>
        <v>MRKU4715670</v>
      </c>
      <c r="B141" s="86" t="s">
        <v>2771</v>
      </c>
      <c r="C1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41" s="85">
        <v>45013.375</v>
      </c>
      <c r="E141" s="66" t="s">
        <v>297</v>
      </c>
      <c r="F141" s="66" t="s">
        <v>298</v>
      </c>
      <c r="G141" s="66" t="s">
        <v>3955</v>
      </c>
      <c r="H141" s="44" t="s">
        <v>3946</v>
      </c>
      <c r="I141" s="44" t="s">
        <v>4016</v>
      </c>
      <c r="J141" s="66" t="s">
        <v>301</v>
      </c>
      <c r="K141" s="66">
        <v>3880</v>
      </c>
      <c r="L141" s="66" t="s">
        <v>4015</v>
      </c>
      <c r="M141" s="66">
        <v>19734</v>
      </c>
      <c r="N141" s="66">
        <f>SUM(Prog_23[[#This Row],[TARA]]+Prog_23[[#This Row],[PESO]])</f>
        <v>23614</v>
      </c>
      <c r="O141" s="44">
        <v>844249</v>
      </c>
      <c r="P141" s="66" t="s">
        <v>3947</v>
      </c>
      <c r="Q141" s="66" t="s">
        <v>1130</v>
      </c>
      <c r="R141" s="66" t="s">
        <v>1131</v>
      </c>
      <c r="S141" s="66" t="s">
        <v>3971</v>
      </c>
      <c r="T141" s="138" t="str">
        <f>IFERROR(LOOKUP($S141,MOTORISTAS!$D$3:$D$916,MOTORISTAS!E$3:$E$916),"")</f>
        <v>32587313813</v>
      </c>
      <c r="U141" s="138" t="str">
        <f>IFERROR(LOOKUP($S141,MOTORISTAS!$D$3:$D$916,MOTORISTAS!F$3:$F$916),"")</f>
        <v>03118222077</v>
      </c>
      <c r="V141" s="66" t="s">
        <v>292</v>
      </c>
      <c r="W141" s="79">
        <v>45012.736111111109</v>
      </c>
      <c r="X141" s="79">
        <v>45013.375</v>
      </c>
      <c r="Y141" s="79">
        <v>45013.621527777781</v>
      </c>
      <c r="Z141" s="66" t="s">
        <v>306</v>
      </c>
      <c r="AA141" s="79">
        <v>45013.845833333333</v>
      </c>
      <c r="AB141" s="79">
        <v>45013.041666666664</v>
      </c>
      <c r="AC141" s="79">
        <v>45013.625</v>
      </c>
      <c r="AD141" s="79">
        <v>45016.5</v>
      </c>
      <c r="AE141" s="66" t="s">
        <v>308</v>
      </c>
      <c r="AF141" s="44">
        <v>15524</v>
      </c>
      <c r="AG141" s="254">
        <f>Prog_23[[#This Row],[SAÍDA DO CLIENTE]]-Prog_23[[#This Row],[PROGRAMAÇÃO CLIENTE]]</f>
        <v>0.24652777778101154</v>
      </c>
      <c r="AH141" s="44"/>
      <c r="AI141" s="66"/>
      <c r="AJ141" s="66"/>
      <c r="AK141" s="66"/>
      <c r="AL141" s="66"/>
      <c r="AM141" s="66"/>
      <c r="AN141" s="83"/>
      <c r="AO141" s="83"/>
      <c r="AP141" s="83"/>
      <c r="AQ141" s="66"/>
      <c r="AR141" s="66"/>
      <c r="AS141" s="66"/>
      <c r="AT141" s="81"/>
      <c r="AU141" s="81"/>
      <c r="AV141" s="81"/>
      <c r="AW141" s="81"/>
      <c r="AX141" s="83">
        <f>SUM(Prog_23[[#This Row],[ADIANTAMENTO]]+Prog_23[[#This Row],[SALDO]]+Prog_23[[#This Row],[MARGEM]]+Prog_23[[#This Row],[ESTADIA 1]])</f>
        <v>0</v>
      </c>
      <c r="AY1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41" s="81">
        <v>3488.8</v>
      </c>
      <c r="BA141" s="81">
        <v>142650</v>
      </c>
      <c r="BB141" s="81">
        <v>0</v>
      </c>
      <c r="BC141" s="81">
        <v>0</v>
      </c>
      <c r="BD141" s="81">
        <v>511.2</v>
      </c>
      <c r="BE141" s="81"/>
      <c r="BF141" s="81"/>
      <c r="BG141" s="81"/>
      <c r="BH141" s="81"/>
      <c r="BI141" s="81"/>
      <c r="BJ141" s="81"/>
      <c r="BK141" s="81"/>
      <c r="BL141" s="81">
        <v>250</v>
      </c>
      <c r="BM141" s="81"/>
      <c r="BN141" s="66" t="s">
        <v>2768</v>
      </c>
      <c r="BO141" s="66" t="s">
        <v>2768</v>
      </c>
      <c r="BP141" s="66" t="s">
        <v>2768</v>
      </c>
      <c r="BQ141" s="66" t="str">
        <f>PROPER(TEXT(Prog_23[[#This Row],[PROGRAMAÇÃO CLIENTE]],"mmm"))</f>
        <v>Mar</v>
      </c>
      <c r="BR141" s="66">
        <f>YEAR(Prog_23[[#This Row],[PROGRAMAÇÃO CLIENTE]])</f>
        <v>2023</v>
      </c>
    </row>
    <row r="142" spans="1:70" x14ac:dyDescent="0.25">
      <c r="A142" s="120" t="str">
        <f>Prog_23[[#This Row],[CONTEINER]]</f>
        <v>TCNU2730636</v>
      </c>
      <c r="B142" s="86" t="s">
        <v>2771</v>
      </c>
      <c r="C1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42" s="85">
        <v>45013.458333333336</v>
      </c>
      <c r="E142" s="66" t="s">
        <v>297</v>
      </c>
      <c r="F142" s="66" t="s">
        <v>298</v>
      </c>
      <c r="G142" s="66" t="s">
        <v>3955</v>
      </c>
      <c r="H142" s="44" t="s">
        <v>3946</v>
      </c>
      <c r="I142" s="44" t="s">
        <v>3991</v>
      </c>
      <c r="J142" s="66" t="s">
        <v>301</v>
      </c>
      <c r="K142" s="66">
        <v>3700</v>
      </c>
      <c r="L142" s="66" t="s">
        <v>3992</v>
      </c>
      <c r="M142" s="66">
        <v>25469</v>
      </c>
      <c r="N142" s="66">
        <f>SUM(Prog_23[[#This Row],[TARA]]+Prog_23[[#This Row],[PESO]])</f>
        <v>29169</v>
      </c>
      <c r="O142" s="44">
        <v>844358</v>
      </c>
      <c r="P142" s="66" t="s">
        <v>3947</v>
      </c>
      <c r="Q142" s="66" t="s">
        <v>3970</v>
      </c>
      <c r="R142" s="66" t="s">
        <v>1137</v>
      </c>
      <c r="S142" s="66" t="s">
        <v>1138</v>
      </c>
      <c r="T142" s="138" t="str">
        <f>IFERROR(LOOKUP($S142,MOTORISTAS!$D$3:$D$916,MOTORISTAS!E$3:$E$916),"")</f>
        <v>33168168874</v>
      </c>
      <c r="U142" s="138" t="str">
        <f>IFERROR(LOOKUP($S142,MOTORISTAS!$D$3:$D$916,MOTORISTAS!F$3:$F$916),"")</f>
        <v>03550963391</v>
      </c>
      <c r="V142" s="66" t="s">
        <v>292</v>
      </c>
      <c r="W142" s="79">
        <v>45012.670138888891</v>
      </c>
      <c r="X142" s="79">
        <v>45013.375</v>
      </c>
      <c r="Y142" s="79">
        <v>45013.625</v>
      </c>
      <c r="Z142" s="66" t="s">
        <v>306</v>
      </c>
      <c r="AA142" s="79">
        <v>45013.850694444445</v>
      </c>
      <c r="AB142" s="79">
        <v>45013.041666666664</v>
      </c>
      <c r="AC142" s="79">
        <v>45013.625</v>
      </c>
      <c r="AD142" s="79">
        <v>45016.5</v>
      </c>
      <c r="AE142" s="66" t="s">
        <v>308</v>
      </c>
      <c r="AF142" s="44">
        <v>15526</v>
      </c>
      <c r="AG142" s="254">
        <f>Prog_23[[#This Row],[SAÍDA DO CLIENTE]]-Prog_23[[#This Row],[PROGRAMAÇÃO CLIENTE]]</f>
        <v>0.16666666666424135</v>
      </c>
      <c r="AH142" s="44"/>
      <c r="AI142" s="66"/>
      <c r="AJ142" s="66"/>
      <c r="AK142" s="66"/>
      <c r="AL142" s="66"/>
      <c r="AM142" s="66"/>
      <c r="AN142" s="83"/>
      <c r="AO142" s="83"/>
      <c r="AP142" s="83"/>
      <c r="AQ142" s="66"/>
      <c r="AR142" s="66"/>
      <c r="AS142" s="66"/>
      <c r="AT142" s="81"/>
      <c r="AU142" s="81"/>
      <c r="AV142" s="81"/>
      <c r="AW142" s="81"/>
      <c r="AX142" s="83">
        <f>SUM(Prog_23[[#This Row],[ADIANTAMENTO]]+Prog_23[[#This Row],[SALDO]]+Prog_23[[#This Row],[MARGEM]]+Prog_23[[#This Row],[ESTADIA 1]])</f>
        <v>0</v>
      </c>
      <c r="AY1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42" s="81">
        <v>3488.8</v>
      </c>
      <c r="BA142" s="81">
        <v>226051</v>
      </c>
      <c r="BB142" s="81">
        <v>0</v>
      </c>
      <c r="BC142" s="81">
        <v>0</v>
      </c>
      <c r="BD142" s="81">
        <v>511.2</v>
      </c>
      <c r="BE142" s="81"/>
      <c r="BF142" s="81"/>
      <c r="BG142" s="81"/>
      <c r="BH142" s="81"/>
      <c r="BI142" s="81"/>
      <c r="BJ142" s="81"/>
      <c r="BK142" s="81"/>
      <c r="BL142" s="81">
        <v>250</v>
      </c>
      <c r="BM142" s="81"/>
      <c r="BN142" s="66" t="s">
        <v>2768</v>
      </c>
      <c r="BO142" s="66" t="s">
        <v>2768</v>
      </c>
      <c r="BP142" s="66" t="s">
        <v>2768</v>
      </c>
      <c r="BQ142" s="66" t="str">
        <f>PROPER(TEXT(Prog_23[[#This Row],[PROGRAMAÇÃO CLIENTE]],"mmm"))</f>
        <v>Mar</v>
      </c>
      <c r="BR142" s="66">
        <f>YEAR(Prog_23[[#This Row],[PROGRAMAÇÃO CLIENTE]])</f>
        <v>2023</v>
      </c>
    </row>
    <row r="143" spans="1:70" x14ac:dyDescent="0.25">
      <c r="A143" s="120" t="str">
        <f>Prog_23[[#This Row],[CONTEINER]]</f>
        <v>MRKU5457415</v>
      </c>
      <c r="B143" s="86" t="s">
        <v>2771</v>
      </c>
      <c r="C1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43" s="85">
        <v>45013.541666666664</v>
      </c>
      <c r="E143" s="66" t="s">
        <v>297</v>
      </c>
      <c r="F143" s="66" t="s">
        <v>298</v>
      </c>
      <c r="G143" s="66" t="s">
        <v>3955</v>
      </c>
      <c r="H143" s="44" t="s">
        <v>3946</v>
      </c>
      <c r="I143" s="44" t="s">
        <v>4017</v>
      </c>
      <c r="J143" s="66" t="s">
        <v>301</v>
      </c>
      <c r="K143" s="66">
        <v>3810</v>
      </c>
      <c r="L143" s="66" t="s">
        <v>4018</v>
      </c>
      <c r="M143" s="66">
        <v>22810</v>
      </c>
      <c r="N143" s="66">
        <f>SUM(Prog_23[[#This Row],[TARA]]+Prog_23[[#This Row],[PESO]])</f>
        <v>26620</v>
      </c>
      <c r="O143" s="44">
        <v>844385</v>
      </c>
      <c r="P143" s="66" t="s">
        <v>3947</v>
      </c>
      <c r="Q143" s="66" t="s">
        <v>3969</v>
      </c>
      <c r="R143" s="66" t="s">
        <v>1744</v>
      </c>
      <c r="S143" s="66" t="s">
        <v>3974</v>
      </c>
      <c r="T143" s="138" t="str">
        <f>IFERROR(LOOKUP($S143,MOTORISTAS!$D$3:$D$916,MOTORISTAS!E$3:$E$916),"")</f>
        <v>87073730404</v>
      </c>
      <c r="U143" s="138" t="str">
        <f>IFERROR(LOOKUP($S143,MOTORISTAS!$D$3:$D$916,MOTORISTAS!F$3:$F$916),"")</f>
        <v>04414696830</v>
      </c>
      <c r="V143" s="66" t="s">
        <v>292</v>
      </c>
      <c r="W143" s="79">
        <v>45012.780555555553</v>
      </c>
      <c r="X143" s="79">
        <v>45013.395833333336</v>
      </c>
      <c r="Y143" s="79">
        <v>45013.75</v>
      </c>
      <c r="Z143" s="66" t="s">
        <v>306</v>
      </c>
      <c r="AA143" s="79">
        <v>45013.987500000003</v>
      </c>
      <c r="AB143" s="79">
        <v>45013.041666666664</v>
      </c>
      <c r="AC143" s="79">
        <v>45013.625</v>
      </c>
      <c r="AD143" s="79">
        <v>45016.5</v>
      </c>
      <c r="AE143" s="66" t="s">
        <v>308</v>
      </c>
      <c r="AF143" s="44">
        <v>15530</v>
      </c>
      <c r="AG143" s="254">
        <f>Prog_23[[#This Row],[SAÍDA DO CLIENTE]]-Prog_23[[#This Row],[PROGRAMAÇÃO CLIENTE]]</f>
        <v>0.20833333333575865</v>
      </c>
      <c r="AH143" s="44"/>
      <c r="AI143" s="66"/>
      <c r="AJ143" s="66"/>
      <c r="AK143" s="66"/>
      <c r="AL143" s="66"/>
      <c r="AM143" s="66"/>
      <c r="AN143" s="83"/>
      <c r="AO143" s="83"/>
      <c r="AP143" s="83"/>
      <c r="AQ143" s="66"/>
      <c r="AR143" s="66"/>
      <c r="AS143" s="66"/>
      <c r="AT143" s="81"/>
      <c r="AU143" s="81"/>
      <c r="AV143" s="81"/>
      <c r="AW143" s="81"/>
      <c r="AX143" s="83">
        <f>SUM(Prog_23[[#This Row],[ADIANTAMENTO]]+Prog_23[[#This Row],[SALDO]]+Prog_23[[#This Row],[MARGEM]]+Prog_23[[#This Row],[ESTADIA 1]])</f>
        <v>0</v>
      </c>
      <c r="AY1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43" s="81">
        <v>3488.8</v>
      </c>
      <c r="BA143" s="81">
        <v>182177.6</v>
      </c>
      <c r="BB143" s="81">
        <v>0</v>
      </c>
      <c r="BC143" s="81">
        <v>0</v>
      </c>
      <c r="BD143" s="81">
        <v>511.2</v>
      </c>
      <c r="BE143" s="81"/>
      <c r="BF143" s="81"/>
      <c r="BG143" s="81"/>
      <c r="BH143" s="81"/>
      <c r="BI143" s="81"/>
      <c r="BJ143" s="81"/>
      <c r="BK143" s="81"/>
      <c r="BL143" s="81">
        <v>250</v>
      </c>
      <c r="BM143" s="81"/>
      <c r="BN143" s="66" t="s">
        <v>2768</v>
      </c>
      <c r="BO143" s="66" t="s">
        <v>2768</v>
      </c>
      <c r="BP143" s="66" t="s">
        <v>2768</v>
      </c>
      <c r="BQ143" s="66" t="str">
        <f>PROPER(TEXT(Prog_23[[#This Row],[PROGRAMAÇÃO CLIENTE]],"mmm"))</f>
        <v>Mar</v>
      </c>
      <c r="BR143" s="66">
        <f>YEAR(Prog_23[[#This Row],[PROGRAMAÇÃO CLIENTE]])</f>
        <v>2023</v>
      </c>
    </row>
    <row r="144" spans="1:70" x14ac:dyDescent="0.25">
      <c r="A144" s="120" t="str">
        <f>Prog_23[[#This Row],[CONTEINER]]</f>
        <v>HASU4815841</v>
      </c>
      <c r="B144" s="86" t="s">
        <v>2771</v>
      </c>
      <c r="C1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44" s="85">
        <v>45013.583333333336</v>
      </c>
      <c r="E144" s="66" t="s">
        <v>297</v>
      </c>
      <c r="F144" s="66" t="s">
        <v>298</v>
      </c>
      <c r="G144" s="66" t="s">
        <v>3955</v>
      </c>
      <c r="H144" s="44" t="s">
        <v>3946</v>
      </c>
      <c r="I144" s="44" t="s">
        <v>4020</v>
      </c>
      <c r="J144" s="66" t="s">
        <v>301</v>
      </c>
      <c r="K144" s="66">
        <v>3860</v>
      </c>
      <c r="L144" s="66" t="s">
        <v>4021</v>
      </c>
      <c r="M144" s="66">
        <v>22810</v>
      </c>
      <c r="N144" s="66">
        <f>SUM(Prog_23[[#This Row],[TARA]]+Prog_23[[#This Row],[PESO]])</f>
        <v>26670</v>
      </c>
      <c r="O144" s="44">
        <v>844404</v>
      </c>
      <c r="P144" s="66" t="s">
        <v>3947</v>
      </c>
      <c r="Q144" s="66" t="s">
        <v>3583</v>
      </c>
      <c r="R144" s="66" t="s">
        <v>3576</v>
      </c>
      <c r="S144" s="66" t="s">
        <v>3577</v>
      </c>
      <c r="T144" s="138" t="str">
        <f>IFERROR(LOOKUP($S144,MOTORISTAS!$D$3:$D$916,MOTORISTAS!E$3:$E$916),"")</f>
        <v>19294729869</v>
      </c>
      <c r="U144" s="138" t="str">
        <f>IFERROR(LOOKUP($S144,MOTORISTAS!$D$3:$D$916,MOTORISTAS!F$3:$F$916),"")</f>
        <v>01008628403</v>
      </c>
      <c r="V144" s="66" t="s">
        <v>292</v>
      </c>
      <c r="W144" s="79">
        <v>45012.915972222225</v>
      </c>
      <c r="X144" s="79">
        <v>45013.479166666664</v>
      </c>
      <c r="Y144" s="79">
        <v>45013.833333333336</v>
      </c>
      <c r="Z144" s="66" t="s">
        <v>306</v>
      </c>
      <c r="AA144" s="79">
        <v>45014.061111111114</v>
      </c>
      <c r="AB144" s="79">
        <v>45013.041666666664</v>
      </c>
      <c r="AC144" s="79">
        <v>45013.625</v>
      </c>
      <c r="AD144" s="79">
        <v>45016.5</v>
      </c>
      <c r="AE144" s="66" t="s">
        <v>308</v>
      </c>
      <c r="AF144" s="44">
        <v>15531</v>
      </c>
      <c r="AG144" s="254">
        <f>Prog_23[[#This Row],[SAÍDA DO CLIENTE]]-Prog_23[[#This Row],[PROGRAMAÇÃO CLIENTE]]</f>
        <v>0.25</v>
      </c>
      <c r="AH144" s="44"/>
      <c r="AI144" s="66"/>
      <c r="AJ144" s="66"/>
      <c r="AK144" s="66"/>
      <c r="AL144" s="66"/>
      <c r="AM144" s="66"/>
      <c r="AN144" s="83"/>
      <c r="AO144" s="83"/>
      <c r="AP144" s="83"/>
      <c r="AQ144" s="66"/>
      <c r="AR144" s="66"/>
      <c r="AS144" s="66"/>
      <c r="AT144" s="81"/>
      <c r="AU144" s="81"/>
      <c r="AV144" s="81"/>
      <c r="AW144" s="81"/>
      <c r="AX144" s="83">
        <f>SUM(Prog_23[[#This Row],[ADIANTAMENTO]]+Prog_23[[#This Row],[SALDO]]+Prog_23[[#This Row],[MARGEM]]+Prog_23[[#This Row],[ESTADIA 1]])</f>
        <v>0</v>
      </c>
      <c r="AY1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44" s="81">
        <v>3488.8</v>
      </c>
      <c r="BA144" s="81">
        <v>182177.6</v>
      </c>
      <c r="BB144" s="81">
        <v>0</v>
      </c>
      <c r="BC144" s="81">
        <v>0</v>
      </c>
      <c r="BD144" s="81">
        <v>511.2</v>
      </c>
      <c r="BE144" s="81"/>
      <c r="BF144" s="81"/>
      <c r="BG144" s="81"/>
      <c r="BH144" s="81"/>
      <c r="BI144" s="81"/>
      <c r="BJ144" s="81"/>
      <c r="BK144" s="81"/>
      <c r="BL144" s="81">
        <v>250</v>
      </c>
      <c r="BM144" s="81"/>
      <c r="BN144" s="66" t="s">
        <v>2768</v>
      </c>
      <c r="BO144" s="66" t="s">
        <v>2768</v>
      </c>
      <c r="BP144" s="66" t="s">
        <v>2768</v>
      </c>
      <c r="BQ144" s="66" t="str">
        <f>PROPER(TEXT(Prog_23[[#This Row],[PROGRAMAÇÃO CLIENTE]],"mmm"))</f>
        <v>Mar</v>
      </c>
      <c r="BR144" s="66">
        <f>YEAR(Prog_23[[#This Row],[PROGRAMAÇÃO CLIENTE]])</f>
        <v>2023</v>
      </c>
    </row>
    <row r="145" spans="1:70" x14ac:dyDescent="0.25">
      <c r="A145" s="120" t="str">
        <f>Prog_23[[#This Row],[CONTEINER]]</f>
        <v>CIPU5036600</v>
      </c>
      <c r="B145" s="86" t="s">
        <v>2771</v>
      </c>
      <c r="C1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45" s="85">
        <v>45013.583333333336</v>
      </c>
      <c r="E145" s="66" t="s">
        <v>297</v>
      </c>
      <c r="F145" s="66" t="s">
        <v>298</v>
      </c>
      <c r="G145" s="66" t="s">
        <v>3955</v>
      </c>
      <c r="H145" s="44" t="s">
        <v>3946</v>
      </c>
      <c r="I145" s="44" t="s">
        <v>4019</v>
      </c>
      <c r="J145" s="66" t="s">
        <v>301</v>
      </c>
      <c r="K145" s="66">
        <v>3700</v>
      </c>
      <c r="L145" s="66" t="s">
        <v>4035</v>
      </c>
      <c r="M145" s="66">
        <v>22810</v>
      </c>
      <c r="N145" s="66">
        <f>SUM(Prog_23[[#This Row],[TARA]]+Prog_23[[#This Row],[PESO]])</f>
        <v>26510</v>
      </c>
      <c r="O145" s="44">
        <v>844394</v>
      </c>
      <c r="P145" s="66" t="s">
        <v>3947</v>
      </c>
      <c r="Q145" s="66" t="s">
        <v>150</v>
      </c>
      <c r="R145" s="66" t="s">
        <v>151</v>
      </c>
      <c r="S145" s="66" t="s">
        <v>152</v>
      </c>
      <c r="T145" s="138" t="str">
        <f>IFERROR(LOOKUP($S145,MOTORISTAS!$D$3:$D$916,MOTORISTAS!E$3:$E$916),"")</f>
        <v>05753633803</v>
      </c>
      <c r="U145" s="138" t="str">
        <f>IFERROR(LOOKUP($S145,MOTORISTAS!$D$3:$D$916,MOTORISTAS!F$3:$F$916),"")</f>
        <v>01922497849</v>
      </c>
      <c r="V145" s="66" t="s">
        <v>292</v>
      </c>
      <c r="W145" s="79">
        <v>45012.783333333333</v>
      </c>
      <c r="X145" s="79">
        <v>45013.494444444441</v>
      </c>
      <c r="Y145" s="79">
        <v>45013.740277777775</v>
      </c>
      <c r="Z145" s="66" t="s">
        <v>306</v>
      </c>
      <c r="AA145" s="79">
        <v>45013.939583333333</v>
      </c>
      <c r="AB145" s="79">
        <v>45013.041666666664</v>
      </c>
      <c r="AC145" s="79">
        <v>45013.625</v>
      </c>
      <c r="AD145" s="79">
        <v>45016.5</v>
      </c>
      <c r="AE145" s="66" t="s">
        <v>308</v>
      </c>
      <c r="AF145" s="44">
        <v>15529</v>
      </c>
      <c r="AG145" s="254">
        <f>Prog_23[[#This Row],[SAÍDA DO CLIENTE]]-Prog_23[[#This Row],[PROGRAMAÇÃO CLIENTE]]</f>
        <v>0.15694444443943212</v>
      </c>
      <c r="AH145" s="44"/>
      <c r="AI145" s="66"/>
      <c r="AJ145" s="66"/>
      <c r="AK145" s="66"/>
      <c r="AL145" s="66"/>
      <c r="AM145" s="66"/>
      <c r="AN145" s="83"/>
      <c r="AO145" s="83"/>
      <c r="AP145" s="83"/>
      <c r="AQ145" s="66"/>
      <c r="AR145" s="66" t="s">
        <v>4973</v>
      </c>
      <c r="AS145" s="66"/>
      <c r="AT145" s="81"/>
      <c r="AU145" s="81"/>
      <c r="AV145" s="81"/>
      <c r="AW145" s="81"/>
      <c r="AX145" s="83">
        <f>SUM(Prog_23[[#This Row],[ADIANTAMENTO]]+Prog_23[[#This Row],[SALDO]]+Prog_23[[#This Row],[MARGEM]]+Prog_23[[#This Row],[ESTADIA 1]])</f>
        <v>0</v>
      </c>
      <c r="AY1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45" s="81">
        <v>3488.8</v>
      </c>
      <c r="BA145" s="81">
        <v>182177.6</v>
      </c>
      <c r="BB145" s="81">
        <v>0</v>
      </c>
      <c r="BC145" s="81">
        <v>0</v>
      </c>
      <c r="BD145" s="81">
        <v>511.2</v>
      </c>
      <c r="BE145" s="81"/>
      <c r="BF145" s="81"/>
      <c r="BG145" s="81"/>
      <c r="BH145" s="81"/>
      <c r="BI145" s="81"/>
      <c r="BJ145" s="81"/>
      <c r="BK145" s="81"/>
      <c r="BL145" s="81">
        <v>250</v>
      </c>
      <c r="BM145" s="81"/>
      <c r="BN145" s="66" t="s">
        <v>2768</v>
      </c>
      <c r="BO145" s="66" t="s">
        <v>2768</v>
      </c>
      <c r="BP145" s="66" t="s">
        <v>2768</v>
      </c>
      <c r="BQ145" s="66" t="str">
        <f>PROPER(TEXT(Prog_23[[#This Row],[PROGRAMAÇÃO CLIENTE]],"mmm"))</f>
        <v>Mar</v>
      </c>
      <c r="BR145" s="66">
        <f>YEAR(Prog_23[[#This Row],[PROGRAMAÇÃO CLIENTE]])</f>
        <v>2023</v>
      </c>
    </row>
    <row r="146" spans="1:70" x14ac:dyDescent="0.25">
      <c r="A146" s="120" t="str">
        <f>Prog_23[[#This Row],[CONTEINER]]</f>
        <v>MRKU2418478</v>
      </c>
      <c r="B146" s="86" t="s">
        <v>2771</v>
      </c>
      <c r="C1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46" s="85">
        <v>45013.625</v>
      </c>
      <c r="E146" s="66" t="s">
        <v>297</v>
      </c>
      <c r="F146" s="66" t="s">
        <v>298</v>
      </c>
      <c r="G146" s="66" t="s">
        <v>3955</v>
      </c>
      <c r="H146" s="44" t="s">
        <v>3946</v>
      </c>
      <c r="I146" s="44" t="s">
        <v>4023</v>
      </c>
      <c r="J146" s="66" t="s">
        <v>301</v>
      </c>
      <c r="K146" s="66">
        <v>3790</v>
      </c>
      <c r="L146" s="66" t="s">
        <v>4024</v>
      </c>
      <c r="M146" s="66">
        <v>22547</v>
      </c>
      <c r="N146" s="66">
        <f>SUM(Prog_23[[#This Row],[TARA]]+Prog_23[[#This Row],[PESO]])</f>
        <v>26337</v>
      </c>
      <c r="O146" s="44">
        <v>844417</v>
      </c>
      <c r="P146" s="66" t="s">
        <v>3947</v>
      </c>
      <c r="Q146" s="66" t="s">
        <v>92</v>
      </c>
      <c r="R146" s="66" t="s">
        <v>93</v>
      </c>
      <c r="S146" s="66" t="s">
        <v>94</v>
      </c>
      <c r="T146" s="138" t="str">
        <f>IFERROR(LOOKUP($S146,MOTORISTAS!$D$3:$D$916,MOTORISTAS!E$3:$E$916),"")</f>
        <v>26283419801</v>
      </c>
      <c r="U146" s="138" t="str">
        <f>IFERROR(LOOKUP($S146,MOTORISTAS!$D$3:$D$916,MOTORISTAS!F$3:$F$916),"")</f>
        <v>02002046946</v>
      </c>
      <c r="V146" s="66" t="s">
        <v>292</v>
      </c>
      <c r="W146" s="79">
        <v>45013.414583333331</v>
      </c>
      <c r="X146" s="79">
        <v>45013.59375</v>
      </c>
      <c r="Y146" s="79">
        <v>45013.979166666664</v>
      </c>
      <c r="Z146" s="66" t="s">
        <v>306</v>
      </c>
      <c r="AA146" s="79">
        <v>45014.165277777778</v>
      </c>
      <c r="AB146" s="79">
        <v>45013.041666666664</v>
      </c>
      <c r="AC146" s="79">
        <v>45013.625</v>
      </c>
      <c r="AD146" s="79">
        <v>45016.5</v>
      </c>
      <c r="AE146" s="66" t="s">
        <v>308</v>
      </c>
      <c r="AF146" s="44">
        <v>15532</v>
      </c>
      <c r="AG146" s="254">
        <f>Prog_23[[#This Row],[SAÍDA DO CLIENTE]]-Prog_23[[#This Row],[PROGRAMAÇÃO CLIENTE]]</f>
        <v>0.35416666666424135</v>
      </c>
      <c r="AH146" s="44"/>
      <c r="AI146" s="66"/>
      <c r="AJ146" s="66"/>
      <c r="AK146" s="66"/>
      <c r="AL146" s="66"/>
      <c r="AM146" s="66"/>
      <c r="AN146" s="83"/>
      <c r="AO146" s="83"/>
      <c r="AP146" s="83"/>
      <c r="AQ146" s="66"/>
      <c r="AR146" s="66" t="s">
        <v>4973</v>
      </c>
      <c r="AS146" s="66"/>
      <c r="AT146" s="81"/>
      <c r="AU146" s="81"/>
      <c r="AV146" s="81"/>
      <c r="AW146" s="81"/>
      <c r="AX146" s="83">
        <f>SUM(Prog_23[[#This Row],[ADIANTAMENTO]]+Prog_23[[#This Row],[SALDO]]+Prog_23[[#This Row],[MARGEM]]+Prog_23[[#This Row],[ESTADIA 1]])</f>
        <v>0</v>
      </c>
      <c r="AY1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46" s="81">
        <v>3488.8</v>
      </c>
      <c r="BA146" s="81">
        <v>186252</v>
      </c>
      <c r="BB146" s="81">
        <v>0</v>
      </c>
      <c r="BC146" s="81">
        <v>0</v>
      </c>
      <c r="BD146" s="81">
        <v>511.2</v>
      </c>
      <c r="BE146" s="81"/>
      <c r="BF146" s="81"/>
      <c r="BG146" s="81"/>
      <c r="BH146" s="81"/>
      <c r="BI146" s="81"/>
      <c r="BJ146" s="81"/>
      <c r="BK146" s="81"/>
      <c r="BL146" s="81">
        <v>250</v>
      </c>
      <c r="BM146" s="81"/>
      <c r="BN146" s="66" t="s">
        <v>2768</v>
      </c>
      <c r="BO146" s="66" t="s">
        <v>2768</v>
      </c>
      <c r="BP146" s="66" t="s">
        <v>2768</v>
      </c>
      <c r="BQ146" s="66" t="str">
        <f>PROPER(TEXT(Prog_23[[#This Row],[PROGRAMAÇÃO CLIENTE]],"mmm"))</f>
        <v>Mar</v>
      </c>
      <c r="BR146" s="66">
        <f>YEAR(Prog_23[[#This Row],[PROGRAMAÇÃO CLIENTE]])</f>
        <v>2023</v>
      </c>
    </row>
    <row r="147" spans="1:70" x14ac:dyDescent="0.25">
      <c r="A147" s="120" t="str">
        <f>Prog_23[[#This Row],[CONTEINER]]</f>
        <v>CMAU4770494</v>
      </c>
      <c r="B147" s="86" t="s">
        <v>2771</v>
      </c>
      <c r="C1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47" s="85">
        <v>45015.3125</v>
      </c>
      <c r="E147" s="66" t="s">
        <v>1980</v>
      </c>
      <c r="F147" s="66" t="s">
        <v>284</v>
      </c>
      <c r="G147" s="66" t="s">
        <v>4034</v>
      </c>
      <c r="H147" s="44" t="s">
        <v>4032</v>
      </c>
      <c r="I147" s="44" t="s">
        <v>4052</v>
      </c>
      <c r="J147" s="66" t="s">
        <v>301</v>
      </c>
      <c r="K147" s="66">
        <v>3860</v>
      </c>
      <c r="L147" s="66" t="s">
        <v>4053</v>
      </c>
      <c r="M147" s="66">
        <v>26347</v>
      </c>
      <c r="N147" s="66">
        <f>SUM(Prog_23[[#This Row],[TARA]]+Prog_23[[#This Row],[PESO]])</f>
        <v>30207</v>
      </c>
      <c r="O147" s="44">
        <v>218197</v>
      </c>
      <c r="P147" s="66" t="s">
        <v>4033</v>
      </c>
      <c r="Q147" s="66" t="s">
        <v>210</v>
      </c>
      <c r="R147" s="66" t="s">
        <v>211</v>
      </c>
      <c r="S147" s="66" t="s">
        <v>212</v>
      </c>
      <c r="T147" s="138" t="str">
        <f>IFERROR(LOOKUP($S147,MOTORISTAS!$D$3:$D$916,MOTORISTAS!E$3:$E$916),"")</f>
        <v>38029906846</v>
      </c>
      <c r="U147" s="138" t="str">
        <f>IFERROR(LOOKUP($S147,MOTORISTAS!$D$3:$D$916,MOTORISTAS!F$3:$F$916),"")</f>
        <v>04946846842</v>
      </c>
      <c r="V147" s="66" t="s">
        <v>537</v>
      </c>
      <c r="W147" s="79">
        <v>45015.020833333336</v>
      </c>
      <c r="X147" s="79">
        <v>45015.25</v>
      </c>
      <c r="Y147" s="79">
        <v>45016.029861111114</v>
      </c>
      <c r="Z147" s="66" t="s">
        <v>293</v>
      </c>
      <c r="AA147" s="66"/>
      <c r="AB147" s="79">
        <v>45014.833333333336</v>
      </c>
      <c r="AC147" s="79">
        <v>45015.75</v>
      </c>
      <c r="AD147" s="79">
        <v>45020.5</v>
      </c>
      <c r="AE147" s="66" t="s">
        <v>294</v>
      </c>
      <c r="AF147" s="44">
        <v>15556</v>
      </c>
      <c r="AG147" s="254">
        <f>Prog_23[[#This Row],[SAÍDA DO CLIENTE]]-Prog_23[[#This Row],[PROGRAMAÇÃO CLIENTE]]</f>
        <v>0.71736111111385981</v>
      </c>
      <c r="AH147" s="44"/>
      <c r="AI147" s="66"/>
      <c r="AJ147" s="66"/>
      <c r="AK147" s="66"/>
      <c r="AL147" s="66"/>
      <c r="AM147" s="66"/>
      <c r="AN147" s="83"/>
      <c r="AO147" s="83"/>
      <c r="AP147" s="83"/>
      <c r="AQ147" s="66"/>
      <c r="AR147" s="66" t="s">
        <v>4973</v>
      </c>
      <c r="AS147" s="66"/>
      <c r="AT147" s="81">
        <v>4200</v>
      </c>
      <c r="AU147" s="81"/>
      <c r="AV147" s="81"/>
      <c r="AW147" s="81"/>
      <c r="AX147" s="83">
        <f>SUM(Prog_23[[#This Row],[ADIANTAMENTO]]+Prog_23[[#This Row],[SALDO]]+Prog_23[[#This Row],[MARGEM]]+Prog_23[[#This Row],[ESTADIA 1]])</f>
        <v>4200</v>
      </c>
      <c r="AY1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" s="81"/>
      <c r="BA147" s="81"/>
      <c r="BB147" s="81">
        <f>Prog_23[[#This Row],[VLR NF]]*0.1%</f>
        <v>0</v>
      </c>
      <c r="BC147" s="81">
        <f>Prog_23[[#This Row],[VLR NF]]*0.05%</f>
        <v>0</v>
      </c>
      <c r="BD147" s="81"/>
      <c r="BE147" s="81"/>
      <c r="BF147" s="81"/>
      <c r="BG147" s="81"/>
      <c r="BH147" s="81"/>
      <c r="BI147" s="81"/>
      <c r="BJ147" s="81"/>
      <c r="BK147" s="81"/>
      <c r="BL147" s="81"/>
      <c r="BM147" s="81"/>
      <c r="BN147" s="66" t="s">
        <v>2768</v>
      </c>
      <c r="BO147" s="66" t="s">
        <v>2768</v>
      </c>
      <c r="BP147" s="66" t="s">
        <v>2768</v>
      </c>
      <c r="BQ147" s="66" t="str">
        <f>PROPER(TEXT(Prog_23[[#This Row],[PROGRAMAÇÃO CLIENTE]],"mmm"))</f>
        <v>Mar</v>
      </c>
      <c r="BR147" s="66">
        <f>YEAR(Prog_23[[#This Row],[PROGRAMAÇÃO CLIENTE]])</f>
        <v>2023</v>
      </c>
    </row>
    <row r="148" spans="1:70" x14ac:dyDescent="0.25">
      <c r="A148" s="120" t="str">
        <f>Prog_23[[#This Row],[CONTEINER]]</f>
        <v>TEMU6850959</v>
      </c>
      <c r="B148" s="86" t="s">
        <v>2771</v>
      </c>
      <c r="C1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48" s="85">
        <v>45015.354166666664</v>
      </c>
      <c r="E148" s="66" t="s">
        <v>1980</v>
      </c>
      <c r="F148" s="66" t="s">
        <v>284</v>
      </c>
      <c r="G148" s="66" t="s">
        <v>4034</v>
      </c>
      <c r="H148" s="44" t="s">
        <v>4032</v>
      </c>
      <c r="I148" s="44" t="s">
        <v>4050</v>
      </c>
      <c r="J148" s="66" t="s">
        <v>301</v>
      </c>
      <c r="K148" s="66">
        <v>3890</v>
      </c>
      <c r="L148" s="66" t="s">
        <v>4054</v>
      </c>
      <c r="M148" s="66">
        <v>26347</v>
      </c>
      <c r="N148" s="66">
        <f>SUM(Prog_23[[#This Row],[TARA]]+Prog_23[[#This Row],[PESO]])</f>
        <v>30237</v>
      </c>
      <c r="O148" s="44">
        <v>218117</v>
      </c>
      <c r="P148" s="66" t="s">
        <v>4033</v>
      </c>
      <c r="Q148" s="66" t="s">
        <v>102</v>
      </c>
      <c r="R148" s="66" t="s">
        <v>27</v>
      </c>
      <c r="S148" s="66" t="s">
        <v>206</v>
      </c>
      <c r="T148" s="138" t="str">
        <f>IFERROR(LOOKUP($S148,MOTORISTAS!$D$3:$D$916,MOTORISTAS!E$3:$E$916),"")</f>
        <v>09085263425</v>
      </c>
      <c r="U148" s="138" t="str">
        <f>IFERROR(LOOKUP($S148,MOTORISTAS!$D$3:$D$916,MOTORISTAS!F$3:$F$916),"")</f>
        <v>04557705505</v>
      </c>
      <c r="V148" s="66" t="s">
        <v>537</v>
      </c>
      <c r="W148" s="79">
        <v>45015.018750000003</v>
      </c>
      <c r="X148" s="79">
        <v>45015.220833333333</v>
      </c>
      <c r="Y148" s="79">
        <v>45015.40347222222</v>
      </c>
      <c r="Z148" s="66" t="s">
        <v>293</v>
      </c>
      <c r="AA148" s="79">
        <v>45015.65902777778</v>
      </c>
      <c r="AB148" s="79">
        <v>45014.833333333336</v>
      </c>
      <c r="AC148" s="79">
        <v>45015.75</v>
      </c>
      <c r="AD148" s="79">
        <v>45020.5</v>
      </c>
      <c r="AE148" s="66" t="s">
        <v>294</v>
      </c>
      <c r="AF148" s="44">
        <v>15552</v>
      </c>
      <c r="AG148" s="254">
        <f>Prog_23[[#This Row],[SAÍDA DO CLIENTE]]-Prog_23[[#This Row],[PROGRAMAÇÃO CLIENTE]]</f>
        <v>4.9305555556202307E-2</v>
      </c>
      <c r="AH148" s="44"/>
      <c r="AI148" s="66"/>
      <c r="AJ148" s="66"/>
      <c r="AK148" s="66"/>
      <c r="AL148" s="66"/>
      <c r="AM148" s="66"/>
      <c r="AN148" s="83"/>
      <c r="AO148" s="83"/>
      <c r="AP148" s="83"/>
      <c r="AQ148" s="66"/>
      <c r="AR148" s="66" t="s">
        <v>4973</v>
      </c>
      <c r="AS148" s="66"/>
      <c r="AT148" s="81">
        <v>4200</v>
      </c>
      <c r="AU148" s="81"/>
      <c r="AV148" s="81"/>
      <c r="AW148" s="81"/>
      <c r="AX148" s="83">
        <f>SUM(Prog_23[[#This Row],[ADIANTAMENTO]]+Prog_23[[#This Row],[SALDO]]+Prog_23[[#This Row],[MARGEM]]+Prog_23[[#This Row],[ESTADIA 1]])</f>
        <v>4200</v>
      </c>
      <c r="AY1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" s="81"/>
      <c r="BA148" s="81"/>
      <c r="BB148" s="81">
        <f>Prog_23[[#This Row],[VLR NF]]*0.1%</f>
        <v>0</v>
      </c>
      <c r="BC148" s="81">
        <f>Prog_23[[#This Row],[VLR NF]]*0.05%</f>
        <v>0</v>
      </c>
      <c r="BD148" s="81"/>
      <c r="BE148" s="81"/>
      <c r="BF148" s="81"/>
      <c r="BG148" s="81"/>
      <c r="BH148" s="81"/>
      <c r="BI148" s="81"/>
      <c r="BJ148" s="81"/>
      <c r="BK148" s="81"/>
      <c r="BL148" s="81"/>
      <c r="BM148" s="81"/>
      <c r="BN148" s="66" t="s">
        <v>2768</v>
      </c>
      <c r="BO148" s="66" t="s">
        <v>2768</v>
      </c>
      <c r="BP148" s="66" t="s">
        <v>2768</v>
      </c>
      <c r="BQ148" s="66" t="str">
        <f>PROPER(TEXT(Prog_23[[#This Row],[PROGRAMAÇÃO CLIENTE]],"mmm"))</f>
        <v>Mar</v>
      </c>
      <c r="BR148" s="66">
        <f>YEAR(Prog_23[[#This Row],[PROGRAMAÇÃO CLIENTE]])</f>
        <v>2023</v>
      </c>
    </row>
    <row r="149" spans="1:70" x14ac:dyDescent="0.25">
      <c r="A149" s="120" t="str">
        <f>Prog_23[[#This Row],[CONTEINER]]</f>
        <v>TGBU6328348</v>
      </c>
      <c r="B149" s="86" t="s">
        <v>2771</v>
      </c>
      <c r="C1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49" s="85">
        <v>45016.416666666664</v>
      </c>
      <c r="E149" s="66" t="s">
        <v>1110</v>
      </c>
      <c r="F149" s="66" t="s">
        <v>1111</v>
      </c>
      <c r="G149" s="66" t="s">
        <v>4047</v>
      </c>
      <c r="H149" s="44" t="s">
        <v>4046</v>
      </c>
      <c r="I149" s="44" t="s">
        <v>4055</v>
      </c>
      <c r="J149" s="66" t="s">
        <v>301</v>
      </c>
      <c r="K149" s="66">
        <v>3700</v>
      </c>
      <c r="L149" s="66" t="s">
        <v>4056</v>
      </c>
      <c r="M149" s="66"/>
      <c r="N149" s="66">
        <f>SUM(Prog_23[[#This Row],[TARA]]+Prog_23[[#This Row],[PESO]])</f>
        <v>3700</v>
      </c>
      <c r="O149" s="44"/>
      <c r="P149" s="66" t="s">
        <v>4033</v>
      </c>
      <c r="Q149" s="66" t="s">
        <v>150</v>
      </c>
      <c r="R149" s="66" t="s">
        <v>151</v>
      </c>
      <c r="S149" s="66" t="s">
        <v>152</v>
      </c>
      <c r="T149" s="138" t="str">
        <f>IFERROR(LOOKUP($S149,MOTORISTAS!$D$3:$D$916,MOTORISTAS!E$3:$E$916),"")</f>
        <v>05753633803</v>
      </c>
      <c r="U149" s="138" t="str">
        <f>IFERROR(LOOKUP($S149,MOTORISTAS!$D$3:$D$916,MOTORISTAS!F$3:$F$916),"")</f>
        <v>01922497849</v>
      </c>
      <c r="V149" s="66" t="s">
        <v>537</v>
      </c>
      <c r="W149" s="79">
        <v>45016.342361111114</v>
      </c>
      <c r="X149" s="79">
        <v>45016.409722222219</v>
      </c>
      <c r="Y149" s="79">
        <v>45016.625</v>
      </c>
      <c r="Z149" s="66" t="s">
        <v>293</v>
      </c>
      <c r="AA149" s="79">
        <v>45018.968055555553</v>
      </c>
      <c r="AB149" s="79">
        <v>45014.833333333336</v>
      </c>
      <c r="AC149" s="79">
        <v>45015.75</v>
      </c>
      <c r="AD149" s="79">
        <v>45020.5</v>
      </c>
      <c r="AE149" s="66" t="s">
        <v>294</v>
      </c>
      <c r="AF149" s="44"/>
      <c r="AG149" s="254">
        <f>Prog_23[[#This Row],[SAÍDA DO CLIENTE]]-Prog_23[[#This Row],[PROGRAMAÇÃO CLIENTE]]</f>
        <v>0.20833333333575865</v>
      </c>
      <c r="AH149" s="44"/>
      <c r="AI149" s="66"/>
      <c r="AJ149" s="66"/>
      <c r="AK149" s="66"/>
      <c r="AL149" s="66"/>
      <c r="AM149" s="66"/>
      <c r="AN149" s="83"/>
      <c r="AO149" s="83"/>
      <c r="AP149" s="83"/>
      <c r="AQ149" s="66"/>
      <c r="AR149" s="66" t="s">
        <v>4973</v>
      </c>
      <c r="AS149" s="66"/>
      <c r="AT149" s="81"/>
      <c r="AU149" s="81"/>
      <c r="AV149" s="81"/>
      <c r="AW149" s="81"/>
      <c r="AX149" s="83">
        <f>SUM(Prog_23[[#This Row],[ADIANTAMENTO]]+Prog_23[[#This Row],[SALDO]]+Prog_23[[#This Row],[MARGEM]]+Prog_23[[#This Row],[ESTADIA 1]])</f>
        <v>0</v>
      </c>
      <c r="AY1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" s="81"/>
      <c r="BA149" s="81"/>
      <c r="BB149" s="81">
        <f>Prog_23[[#This Row],[VLR NF]]*0.1%</f>
        <v>0</v>
      </c>
      <c r="BC149" s="81">
        <f>Prog_23[[#This Row],[VLR NF]]*0.05%</f>
        <v>0</v>
      </c>
      <c r="BD149" s="81"/>
      <c r="BE149" s="81"/>
      <c r="BF149" s="81"/>
      <c r="BG149" s="81"/>
      <c r="BH149" s="81"/>
      <c r="BI149" s="81"/>
      <c r="BJ149" s="81"/>
      <c r="BK149" s="81"/>
      <c r="BL149" s="81"/>
      <c r="BM149" s="81"/>
      <c r="BN149" s="66" t="s">
        <v>2768</v>
      </c>
      <c r="BO149" s="66" t="s">
        <v>2768</v>
      </c>
      <c r="BP149" s="66" t="s">
        <v>2768</v>
      </c>
      <c r="BQ149" s="66" t="str">
        <f>PROPER(TEXT(Prog_23[[#This Row],[PROGRAMAÇÃO CLIENTE]],"mmm"))</f>
        <v>Mar</v>
      </c>
      <c r="BR149" s="66">
        <f>YEAR(Prog_23[[#This Row],[PROGRAMAÇÃO CLIENTE]])</f>
        <v>2023</v>
      </c>
    </row>
    <row r="150" spans="1:70" x14ac:dyDescent="0.25">
      <c r="A150" s="120" t="str">
        <f>Prog_23[[#This Row],[CONTEINER]]</f>
        <v>CRSU9187310</v>
      </c>
      <c r="B150" s="86" t="s">
        <v>2771</v>
      </c>
      <c r="C1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50" s="85">
        <v>45016.416666666664</v>
      </c>
      <c r="E150" s="66" t="s">
        <v>1110</v>
      </c>
      <c r="F150" s="66" t="s">
        <v>1111</v>
      </c>
      <c r="G150" s="66" t="s">
        <v>4047</v>
      </c>
      <c r="H150" s="44" t="s">
        <v>4046</v>
      </c>
      <c r="I150" s="44" t="s">
        <v>4058</v>
      </c>
      <c r="J150" s="66" t="s">
        <v>301</v>
      </c>
      <c r="K150" s="66">
        <v>3900</v>
      </c>
      <c r="L150" s="66" t="s">
        <v>4057</v>
      </c>
      <c r="M150" s="66"/>
      <c r="N150" s="66">
        <f>SUM(Prog_23[[#This Row],[TARA]]+Prog_23[[#This Row],[PESO]])</f>
        <v>3900</v>
      </c>
      <c r="O150" s="44"/>
      <c r="P150" s="66" t="s">
        <v>4033</v>
      </c>
      <c r="Q150" s="66" t="s">
        <v>68</v>
      </c>
      <c r="R150" s="66" t="s">
        <v>36</v>
      </c>
      <c r="S150" s="66" t="s">
        <v>69</v>
      </c>
      <c r="T150" s="138" t="str">
        <f>IFERROR(LOOKUP($S150,MOTORISTAS!$D$3:$D$916,MOTORISTAS!E$3:$E$916),"")</f>
        <v>07968457866</v>
      </c>
      <c r="U150" s="138" t="str">
        <f>IFERROR(LOOKUP($S150,MOTORISTAS!$D$3:$D$916,MOTORISTAS!F$3:$F$916),"")</f>
        <v>03264365790</v>
      </c>
      <c r="V150" s="66" t="s">
        <v>537</v>
      </c>
      <c r="W150" s="79">
        <v>45016.34097222222</v>
      </c>
      <c r="X150" s="79">
        <v>45016.409722222219</v>
      </c>
      <c r="Y150" s="79">
        <v>45016.625</v>
      </c>
      <c r="Z150" s="66" t="s">
        <v>293</v>
      </c>
      <c r="AA150" s="79">
        <v>45019.058333333334</v>
      </c>
      <c r="AB150" s="79">
        <v>45014.833333333336</v>
      </c>
      <c r="AC150" s="79">
        <v>45015.75</v>
      </c>
      <c r="AD150" s="79">
        <v>45020.5</v>
      </c>
      <c r="AE150" s="66" t="s">
        <v>294</v>
      </c>
      <c r="AF150" s="44"/>
      <c r="AG150" s="254">
        <f>Prog_23[[#This Row],[SAÍDA DO CLIENTE]]-Prog_23[[#This Row],[PROGRAMAÇÃO CLIENTE]]</f>
        <v>0.20833333333575865</v>
      </c>
      <c r="AH150" s="44"/>
      <c r="AI150" s="66"/>
      <c r="AJ150" s="66"/>
      <c r="AK150" s="66"/>
      <c r="AL150" s="66"/>
      <c r="AM150" s="66"/>
      <c r="AN150" s="83"/>
      <c r="AO150" s="83"/>
      <c r="AP150" s="83"/>
      <c r="AQ150" s="66"/>
      <c r="AR150" s="66" t="s">
        <v>4973</v>
      </c>
      <c r="AS150" s="66"/>
      <c r="AT150" s="81"/>
      <c r="AU150" s="81"/>
      <c r="AV150" s="81"/>
      <c r="AW150" s="81"/>
      <c r="AX150" s="83">
        <f>SUM(Prog_23[[#This Row],[ADIANTAMENTO]]+Prog_23[[#This Row],[SALDO]]+Prog_23[[#This Row],[MARGEM]]+Prog_23[[#This Row],[ESTADIA 1]])</f>
        <v>0</v>
      </c>
      <c r="AY1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" s="81"/>
      <c r="BA150" s="81"/>
      <c r="BB150" s="81">
        <f>Prog_23[[#This Row],[VLR NF]]*0.1%</f>
        <v>0</v>
      </c>
      <c r="BC150" s="81">
        <f>Prog_23[[#This Row],[VLR NF]]*0.05%</f>
        <v>0</v>
      </c>
      <c r="BD150" s="81"/>
      <c r="BE150" s="81"/>
      <c r="BF150" s="81"/>
      <c r="BG150" s="81"/>
      <c r="BH150" s="81"/>
      <c r="BI150" s="81"/>
      <c r="BJ150" s="81"/>
      <c r="BK150" s="81"/>
      <c r="BL150" s="81"/>
      <c r="BM150" s="81"/>
      <c r="BN150" s="66" t="s">
        <v>2768</v>
      </c>
      <c r="BO150" s="66" t="s">
        <v>2768</v>
      </c>
      <c r="BP150" s="66" t="s">
        <v>2768</v>
      </c>
      <c r="BQ150" s="66" t="str">
        <f>PROPER(TEXT(Prog_23[[#This Row],[PROGRAMAÇÃO CLIENTE]],"mmm"))</f>
        <v>Mar</v>
      </c>
      <c r="BR150" s="66">
        <f>YEAR(Prog_23[[#This Row],[PROGRAMAÇÃO CLIENTE]])</f>
        <v>2023</v>
      </c>
    </row>
    <row r="151" spans="1:70" x14ac:dyDescent="0.25">
      <c r="A151" s="120" t="str">
        <f>Prog_23[[#This Row],[CONTEINER]]</f>
        <v>MRKU4330982</v>
      </c>
      <c r="B151" s="86" t="s">
        <v>2771</v>
      </c>
      <c r="C1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51" s="85">
        <v>45019.416666666664</v>
      </c>
      <c r="E151" s="66" t="s">
        <v>2302</v>
      </c>
      <c r="F151" s="66" t="s">
        <v>529</v>
      </c>
      <c r="G151" s="66">
        <v>34</v>
      </c>
      <c r="H151" s="44">
        <v>225867412</v>
      </c>
      <c r="I151" s="44" t="s">
        <v>4093</v>
      </c>
      <c r="J151" s="66" t="s">
        <v>301</v>
      </c>
      <c r="K151" s="66">
        <v>3880</v>
      </c>
      <c r="L151" s="66" t="s">
        <v>4094</v>
      </c>
      <c r="M151" s="66">
        <v>9389</v>
      </c>
      <c r="N151" s="66">
        <f>SUM(Prog_23[[#This Row],[TARA]]+Prog_23[[#This Row],[PESO]])</f>
        <v>13269</v>
      </c>
      <c r="O151" s="44" t="s">
        <v>4025</v>
      </c>
      <c r="P151" s="66" t="s">
        <v>3960</v>
      </c>
      <c r="Q151" s="66" t="s">
        <v>92</v>
      </c>
      <c r="R151" s="66" t="s">
        <v>93</v>
      </c>
      <c r="S151" s="66" t="s">
        <v>94</v>
      </c>
      <c r="T151" s="138" t="str">
        <f>IFERROR(LOOKUP($S151,MOTORISTAS!$D$3:$D$916,MOTORISTAS!E$3:$E$916),"")</f>
        <v>26283419801</v>
      </c>
      <c r="U151" s="138" t="str">
        <f>IFERROR(LOOKUP($S151,MOTORISTAS!$D$3:$D$916,MOTORISTAS!F$3:$F$916),"")</f>
        <v>02002046946</v>
      </c>
      <c r="V151" s="66" t="s">
        <v>292</v>
      </c>
      <c r="W151" s="79">
        <v>45016.787499999999</v>
      </c>
      <c r="X151" s="79">
        <v>45019.447916666664</v>
      </c>
      <c r="Y151" s="66" t="s">
        <v>4136</v>
      </c>
      <c r="Z151" s="66" t="s">
        <v>306</v>
      </c>
      <c r="AA151" s="79">
        <v>45019.729166666664</v>
      </c>
      <c r="AB151" s="79">
        <v>45019.541666666664</v>
      </c>
      <c r="AC151" s="79">
        <v>45020.375</v>
      </c>
      <c r="AD151" s="79">
        <v>45022.75</v>
      </c>
      <c r="AE151" s="66" t="s">
        <v>3961</v>
      </c>
      <c r="AF151" s="44">
        <v>15586</v>
      </c>
      <c r="AG151" s="254" t="e">
        <f>Prog_23[[#This Row],[SAÍDA DO CLIENTE]]-Prog_23[[#This Row],[PROGRAMAÇÃO CLIENTE]]</f>
        <v>#VALUE!</v>
      </c>
      <c r="AH151" s="44"/>
      <c r="AI151" s="66" t="s">
        <v>4235</v>
      </c>
      <c r="AJ151" s="66" t="s">
        <v>3643</v>
      </c>
      <c r="AK151" s="66"/>
      <c r="AL151" s="66"/>
      <c r="AM151" s="66"/>
      <c r="AN151" s="83"/>
      <c r="AO151" s="83"/>
      <c r="AP151" s="83"/>
      <c r="AQ151" s="66"/>
      <c r="AR151" s="66" t="s">
        <v>4973</v>
      </c>
      <c r="AS151" s="66"/>
      <c r="AT151" s="81">
        <v>2200</v>
      </c>
      <c r="AU151" s="81"/>
      <c r="AV151" s="81"/>
      <c r="AW151" s="81"/>
      <c r="AX151" s="83">
        <f>SUM(Prog_23[[#This Row],[ADIANTAMENTO]]+Prog_23[[#This Row],[SALDO]]+Prog_23[[#This Row],[MARGEM]]+Prog_23[[#This Row],[ESTADIA 1]])</f>
        <v>2200</v>
      </c>
      <c r="AY1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3659.8149699999999</v>
      </c>
      <c r="AZ151" s="81">
        <v>2550</v>
      </c>
      <c r="BA151" s="81">
        <v>471209.98</v>
      </c>
      <c r="BB151" s="81">
        <f>Prog_23[[#This Row],[VLR NF]]*0.1%</f>
        <v>471.20997999999997</v>
      </c>
      <c r="BC151" s="81">
        <f>Prog_23[[#This Row],[VLR NF]]*0.05%</f>
        <v>235.60498999999999</v>
      </c>
      <c r="BD151" s="81">
        <v>288</v>
      </c>
      <c r="BE151" s="81"/>
      <c r="BF151" s="81"/>
      <c r="BG151" s="81"/>
      <c r="BH151" s="81">
        <v>30</v>
      </c>
      <c r="BI151" s="81"/>
      <c r="BJ151" s="81">
        <v>85</v>
      </c>
      <c r="BK151" s="81"/>
      <c r="BL151" s="81"/>
      <c r="BM151" s="81"/>
      <c r="BN151" s="66" t="s">
        <v>2768</v>
      </c>
      <c r="BO151" s="66" t="s">
        <v>2768</v>
      </c>
      <c r="BP151" s="66" t="s">
        <v>2768</v>
      </c>
      <c r="BQ151" s="66" t="str">
        <f>PROPER(TEXT(Prog_23[[#This Row],[PROGRAMAÇÃO CLIENTE]],"mmm"))</f>
        <v>Abr</v>
      </c>
      <c r="BR151" s="66">
        <f>YEAR(Prog_23[[#This Row],[PROGRAMAÇÃO CLIENTE]])</f>
        <v>2023</v>
      </c>
    </row>
    <row r="152" spans="1:70" x14ac:dyDescent="0.25">
      <c r="A152" s="120" t="str">
        <f>Prog_23[[#This Row],[CONTEINER]]</f>
        <v>TCLU2708168</v>
      </c>
      <c r="B152" s="86" t="s">
        <v>2771</v>
      </c>
      <c r="C1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52" s="85">
        <v>45019.291666666664</v>
      </c>
      <c r="E152" s="66" t="s">
        <v>2059</v>
      </c>
      <c r="F152" s="66" t="s">
        <v>2060</v>
      </c>
      <c r="G152" s="66" t="s">
        <v>4059</v>
      </c>
      <c r="H152" s="44">
        <v>226166346</v>
      </c>
      <c r="I152" s="44" t="s">
        <v>4082</v>
      </c>
      <c r="J152" s="66" t="s">
        <v>288</v>
      </c>
      <c r="K152" s="66">
        <v>2200</v>
      </c>
      <c r="L152" s="66" t="s">
        <v>4083</v>
      </c>
      <c r="M152" s="66">
        <v>11291</v>
      </c>
      <c r="N152" s="66">
        <f>SUM(Prog_23[[#This Row],[TARA]]+Prog_23[[#This Row],[PESO]])</f>
        <v>13491</v>
      </c>
      <c r="O152" s="44">
        <v>1604133</v>
      </c>
      <c r="P152" s="66" t="s">
        <v>4049</v>
      </c>
      <c r="Q152" s="66" t="s">
        <v>106</v>
      </c>
      <c r="R152" s="66" t="s">
        <v>3246</v>
      </c>
      <c r="S152" s="66" t="s">
        <v>108</v>
      </c>
      <c r="T152" s="138" t="str">
        <f>IFERROR(LOOKUP($S152,MOTORISTAS!$D$3:$D$916,MOTORISTAS!E$3:$E$916),"")</f>
        <v>34927982840</v>
      </c>
      <c r="U152" s="138" t="str">
        <f>IFERROR(LOOKUP($S152,MOTORISTAS!$D$3:$D$916,MOTORISTAS!F$3:$F$916),"")</f>
        <v>03500129879</v>
      </c>
      <c r="V152" s="66" t="s">
        <v>292</v>
      </c>
      <c r="W152" s="79">
        <v>45016.642361111109</v>
      </c>
      <c r="X152" s="79">
        <v>45019.267361111109</v>
      </c>
      <c r="Y152" s="79">
        <v>45019.552083333336</v>
      </c>
      <c r="Z152" s="66" t="s">
        <v>306</v>
      </c>
      <c r="AA152" s="79">
        <v>45019.713888888888</v>
      </c>
      <c r="AB152" s="79">
        <v>45019.541666666664</v>
      </c>
      <c r="AC152" s="79">
        <v>45020.666666666664</v>
      </c>
      <c r="AD152" s="79">
        <v>45023.666666666664</v>
      </c>
      <c r="AE152" s="66" t="s">
        <v>4062</v>
      </c>
      <c r="AF152" s="44">
        <v>15584</v>
      </c>
      <c r="AG152" s="254">
        <f>Prog_23[[#This Row],[SAÍDA DO CLIENTE]]-Prog_23[[#This Row],[PROGRAMAÇÃO CLIENTE]]</f>
        <v>0.26041666667151731</v>
      </c>
      <c r="AH152" s="44"/>
      <c r="AI152" s="66"/>
      <c r="AJ152" s="66"/>
      <c r="AK152" s="66"/>
      <c r="AL152" s="66"/>
      <c r="AM152" s="66"/>
      <c r="AN152" s="83"/>
      <c r="AO152" s="83"/>
      <c r="AP152" s="83"/>
      <c r="AQ152" s="66"/>
      <c r="AR152" s="66" t="s">
        <v>4973</v>
      </c>
      <c r="AS152" s="66"/>
      <c r="AT152" s="81"/>
      <c r="AU152" s="81"/>
      <c r="AV152" s="81"/>
      <c r="AW152" s="81"/>
      <c r="AX152" s="83">
        <f>SUM(Prog_23[[#This Row],[ADIANTAMENTO]]+Prog_23[[#This Row],[SALDO]]+Prog_23[[#This Row],[MARGEM]]+Prog_23[[#This Row],[ESTADIA 1]])</f>
        <v>0</v>
      </c>
      <c r="AY1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3996.1288599999998</v>
      </c>
      <c r="AZ152" s="81">
        <v>3122.4</v>
      </c>
      <c r="BA152" s="81">
        <v>46128.86</v>
      </c>
      <c r="BB152" s="81">
        <f>Prog_23[[#This Row],[VLR NF]]*0.1%</f>
        <v>46.128860000000003</v>
      </c>
      <c r="BC152" s="81">
        <v>0</v>
      </c>
      <c r="BD152" s="81">
        <v>477.6</v>
      </c>
      <c r="BE152" s="81"/>
      <c r="BF152" s="81"/>
      <c r="BG152" s="81"/>
      <c r="BH152" s="81"/>
      <c r="BI152" s="81"/>
      <c r="BJ152" s="81"/>
      <c r="BK152" s="81"/>
      <c r="BL152" s="81">
        <v>350</v>
      </c>
      <c r="BM152" s="81"/>
      <c r="BN152" s="66" t="s">
        <v>2768</v>
      </c>
      <c r="BO152" s="66" t="s">
        <v>2768</v>
      </c>
      <c r="BP152" s="66" t="s">
        <v>2768</v>
      </c>
      <c r="BQ152" s="66" t="str">
        <f>PROPER(TEXT(Prog_23[[#This Row],[PROGRAMAÇÃO CLIENTE]],"mmm"))</f>
        <v>Abr</v>
      </c>
      <c r="BR152" s="66">
        <f>YEAR(Prog_23[[#This Row],[PROGRAMAÇÃO CLIENTE]])</f>
        <v>2023</v>
      </c>
    </row>
    <row r="153" spans="1:70" x14ac:dyDescent="0.25">
      <c r="A153" s="120" t="str">
        <f>Prog_23[[#This Row],[CONTEINER]]</f>
        <v>GESU6436758</v>
      </c>
      <c r="B153" s="86" t="s">
        <v>2771</v>
      </c>
      <c r="C1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53" s="85">
        <v>45019.375</v>
      </c>
      <c r="E153" s="66" t="s">
        <v>297</v>
      </c>
      <c r="F153" s="66" t="s">
        <v>298</v>
      </c>
      <c r="G153" s="66" t="s">
        <v>4039</v>
      </c>
      <c r="H153" s="44">
        <v>63884599</v>
      </c>
      <c r="I153" s="44" t="s">
        <v>4100</v>
      </c>
      <c r="J153" s="66" t="s">
        <v>301</v>
      </c>
      <c r="K153" s="66">
        <v>3850</v>
      </c>
      <c r="L153" s="66" t="s">
        <v>4101</v>
      </c>
      <c r="M153" s="66">
        <v>23493</v>
      </c>
      <c r="N153" s="66">
        <f>SUM(Prog_23[[#This Row],[TARA]]+Prog_23[[#This Row],[PESO]])</f>
        <v>27343</v>
      </c>
      <c r="O153" s="44">
        <v>846054</v>
      </c>
      <c r="P153" s="66" t="s">
        <v>4036</v>
      </c>
      <c r="Q153" s="66" t="s">
        <v>72</v>
      </c>
      <c r="R153" s="66" t="s">
        <v>73</v>
      </c>
      <c r="S153" s="66" t="s">
        <v>203</v>
      </c>
      <c r="T153" s="138" t="str">
        <f>IFERROR(LOOKUP($S153,MOTORISTAS!$D$3:$D$916,MOTORISTAS!E$3:$E$916),"")</f>
        <v>10395859816</v>
      </c>
      <c r="U153" s="138" t="str">
        <f>IFERROR(LOOKUP($S153,MOTORISTAS!$D$3:$D$916,MOTORISTAS!F$3:$F$916),"")</f>
        <v>01965794851</v>
      </c>
      <c r="V153" s="66" t="s">
        <v>292</v>
      </c>
      <c r="W153" s="79">
        <v>45017.343055555553</v>
      </c>
      <c r="X153" s="79">
        <v>45019.285416666666</v>
      </c>
      <c r="Y153" s="79">
        <v>45019.430555555555</v>
      </c>
      <c r="Z153" s="66" t="s">
        <v>293</v>
      </c>
      <c r="AA153" s="79">
        <v>45019.588194444441</v>
      </c>
      <c r="AB153" s="79">
        <v>45019.291666666664</v>
      </c>
      <c r="AC153" s="79">
        <v>45020.75</v>
      </c>
      <c r="AD153" s="79">
        <v>45023.5</v>
      </c>
      <c r="AE153" s="66" t="s">
        <v>2743</v>
      </c>
      <c r="AF153" s="44">
        <v>15582</v>
      </c>
      <c r="AG153" s="254">
        <f>Prog_23[[#This Row],[SAÍDA DO CLIENTE]]-Prog_23[[#This Row],[PROGRAMAÇÃO CLIENTE]]</f>
        <v>5.5555555554747116E-2</v>
      </c>
      <c r="AH153" s="44"/>
      <c r="AI153" s="66"/>
      <c r="AJ153" s="66"/>
      <c r="AK153" s="66"/>
      <c r="AL153" s="66"/>
      <c r="AM153" s="66"/>
      <c r="AN153" s="83"/>
      <c r="AO153" s="83"/>
      <c r="AP153" s="83"/>
      <c r="AQ153" s="66"/>
      <c r="AR153" s="66" t="s">
        <v>4973</v>
      </c>
      <c r="AS153" s="66"/>
      <c r="AT153" s="81"/>
      <c r="AU153" s="81"/>
      <c r="AV153" s="81"/>
      <c r="AW153" s="81"/>
      <c r="AX153" s="83">
        <f>SUM(Prog_23[[#This Row],[ADIANTAMENTO]]+Prog_23[[#This Row],[SALDO]]+Prog_23[[#This Row],[MARGEM]]+Prog_23[[#This Row],[ESTADIA 1]])</f>
        <v>0</v>
      </c>
      <c r="AY1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53" s="81">
        <v>3488.8</v>
      </c>
      <c r="BA153" s="81">
        <v>103627.55</v>
      </c>
      <c r="BB153" s="81">
        <v>0</v>
      </c>
      <c r="BC153" s="81">
        <v>0</v>
      </c>
      <c r="BD153" s="81">
        <v>511.2</v>
      </c>
      <c r="BE153" s="81"/>
      <c r="BF153" s="81"/>
      <c r="BG153" s="81"/>
      <c r="BH153" s="81"/>
      <c r="BI153" s="81"/>
      <c r="BJ153" s="81"/>
      <c r="BK153" s="81"/>
      <c r="BL153" s="81">
        <v>250</v>
      </c>
      <c r="BM153" s="81"/>
      <c r="BN153" s="66" t="s">
        <v>2768</v>
      </c>
      <c r="BO153" s="66" t="s">
        <v>2768</v>
      </c>
      <c r="BP153" s="66" t="s">
        <v>2768</v>
      </c>
      <c r="BQ153" s="66" t="str">
        <f>PROPER(TEXT(Prog_23[[#This Row],[PROGRAMAÇÃO CLIENTE]],"mmm"))</f>
        <v>Abr</v>
      </c>
      <c r="BR153" s="66">
        <f>YEAR(Prog_23[[#This Row],[PROGRAMAÇÃO CLIENTE]])</f>
        <v>2023</v>
      </c>
    </row>
    <row r="154" spans="1:70" x14ac:dyDescent="0.25">
      <c r="A154" s="120" t="str">
        <f>Prog_23[[#This Row],[CONTEINER]]</f>
        <v>FANU3170985</v>
      </c>
      <c r="B154" s="86" t="s">
        <v>2771</v>
      </c>
      <c r="C1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54" s="85">
        <v>45019.458333333336</v>
      </c>
      <c r="E154" s="66" t="s">
        <v>297</v>
      </c>
      <c r="F154" s="66" t="s">
        <v>298</v>
      </c>
      <c r="G154" s="66" t="s">
        <v>4038</v>
      </c>
      <c r="H154" s="44">
        <v>63884599</v>
      </c>
      <c r="I154" s="44" t="s">
        <v>4098</v>
      </c>
      <c r="J154" s="66" t="s">
        <v>301</v>
      </c>
      <c r="K154" s="66">
        <v>3680</v>
      </c>
      <c r="L154" s="66" t="s">
        <v>4099</v>
      </c>
      <c r="M154" s="66">
        <v>23464</v>
      </c>
      <c r="N154" s="66">
        <f>SUM(Prog_23[[#This Row],[TARA]]+Prog_23[[#This Row],[PESO]])</f>
        <v>27144</v>
      </c>
      <c r="O154" s="44">
        <v>846210</v>
      </c>
      <c r="P154" s="66" t="s">
        <v>4036</v>
      </c>
      <c r="Q154" s="66" t="s">
        <v>31</v>
      </c>
      <c r="R154" s="66" t="s">
        <v>32</v>
      </c>
      <c r="S154" s="66" t="s">
        <v>33</v>
      </c>
      <c r="T154" s="138" t="str">
        <f>IFERROR(LOOKUP($S154,MOTORISTAS!$D$3:$D$916,MOTORISTAS!E$3:$E$916),"")</f>
        <v>09776430856</v>
      </c>
      <c r="U154" s="138" t="str">
        <f>IFERROR(LOOKUP($S154,MOTORISTAS!$D$3:$D$916,MOTORISTAS!F$3:$F$916),"")</f>
        <v>01258979905</v>
      </c>
      <c r="V154" s="66" t="s">
        <v>292</v>
      </c>
      <c r="W154" s="79">
        <v>45017.322916666664</v>
      </c>
      <c r="X154" s="79">
        <v>45019.327777777777</v>
      </c>
      <c r="Y154" s="79">
        <v>45019.708333333336</v>
      </c>
      <c r="Z154" s="66" t="s">
        <v>293</v>
      </c>
      <c r="AA154" s="79">
        <v>45019.934027777781</v>
      </c>
      <c r="AB154" s="79">
        <v>45019.291666666664</v>
      </c>
      <c r="AC154" s="79">
        <v>45020.75</v>
      </c>
      <c r="AD154" s="79">
        <v>45023.5</v>
      </c>
      <c r="AE154" s="66" t="s">
        <v>2743</v>
      </c>
      <c r="AF154" s="44">
        <v>15594</v>
      </c>
      <c r="AG154" s="254">
        <f>Prog_23[[#This Row],[SAÍDA DO CLIENTE]]-Prog_23[[#This Row],[PROGRAMAÇÃO CLIENTE]]</f>
        <v>0.25</v>
      </c>
      <c r="AH154" s="44"/>
      <c r="AI154" s="66"/>
      <c r="AJ154" s="66"/>
      <c r="AK154" s="66"/>
      <c r="AL154" s="66"/>
      <c r="AM154" s="66"/>
      <c r="AN154" s="83"/>
      <c r="AO154" s="83"/>
      <c r="AP154" s="83"/>
      <c r="AQ154" s="66"/>
      <c r="AR154" s="66" t="s">
        <v>4973</v>
      </c>
      <c r="AS154" s="66"/>
      <c r="AT154" s="81"/>
      <c r="AU154" s="81"/>
      <c r="AV154" s="81"/>
      <c r="AW154" s="81"/>
      <c r="AX154" s="83">
        <f>SUM(Prog_23[[#This Row],[ADIANTAMENTO]]+Prog_23[[#This Row],[SALDO]]+Prog_23[[#This Row],[MARGEM]]+Prog_23[[#This Row],[ESTADIA 1]])</f>
        <v>0</v>
      </c>
      <c r="AY1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54" s="81">
        <v>3488.8</v>
      </c>
      <c r="BA154" s="81">
        <v>103792.25</v>
      </c>
      <c r="BB154" s="81">
        <v>0</v>
      </c>
      <c r="BC154" s="81">
        <v>0</v>
      </c>
      <c r="BD154" s="81">
        <v>511.2</v>
      </c>
      <c r="BE154" s="81"/>
      <c r="BF154" s="81"/>
      <c r="BG154" s="81"/>
      <c r="BH154" s="81"/>
      <c r="BI154" s="81"/>
      <c r="BJ154" s="81"/>
      <c r="BK154" s="81"/>
      <c r="BL154" s="81">
        <v>250</v>
      </c>
      <c r="BM154" s="81"/>
      <c r="BN154" s="66" t="s">
        <v>2768</v>
      </c>
      <c r="BO154" s="66" t="s">
        <v>2768</v>
      </c>
      <c r="BP154" s="66" t="s">
        <v>2768</v>
      </c>
      <c r="BQ154" s="66" t="str">
        <f>PROPER(TEXT(Prog_23[[#This Row],[PROGRAMAÇÃO CLIENTE]],"mmm"))</f>
        <v>Abr</v>
      </c>
      <c r="BR154" s="66">
        <f>YEAR(Prog_23[[#This Row],[PROGRAMAÇÃO CLIENTE]])</f>
        <v>2023</v>
      </c>
    </row>
    <row r="155" spans="1:70" x14ac:dyDescent="0.25">
      <c r="A155" s="120" t="str">
        <f>Prog_23[[#This Row],[CONTEINER]]</f>
        <v>TLLU5948833</v>
      </c>
      <c r="B155" s="86" t="s">
        <v>2771</v>
      </c>
      <c r="C1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55" s="85">
        <v>45019.541666666664</v>
      </c>
      <c r="E155" s="66" t="s">
        <v>297</v>
      </c>
      <c r="F155" s="66" t="s">
        <v>298</v>
      </c>
      <c r="G155" s="66" t="s">
        <v>4037</v>
      </c>
      <c r="H155" s="44">
        <v>63884599</v>
      </c>
      <c r="I155" s="44" t="s">
        <v>4102</v>
      </c>
      <c r="J155" s="66" t="s">
        <v>301</v>
      </c>
      <c r="K155" s="66">
        <v>3700</v>
      </c>
      <c r="L155" s="66" t="s">
        <v>4103</v>
      </c>
      <c r="M155" s="66">
        <v>21222</v>
      </c>
      <c r="N155" s="66">
        <f>SUM(Prog_23[[#This Row],[TARA]]+Prog_23[[#This Row],[PESO]])</f>
        <v>24922</v>
      </c>
      <c r="O155" s="44">
        <v>846209</v>
      </c>
      <c r="P155" s="66" t="s">
        <v>4036</v>
      </c>
      <c r="Q155" s="66" t="s">
        <v>155</v>
      </c>
      <c r="R155" s="66" t="s">
        <v>209</v>
      </c>
      <c r="S155" s="66" t="s">
        <v>156</v>
      </c>
      <c r="T155" s="138" t="str">
        <f>IFERROR(LOOKUP($S155,MOTORISTAS!$D$3:$D$916,MOTORISTAS!E$3:$E$916),"")</f>
        <v>09803034863</v>
      </c>
      <c r="U155" s="138" t="str">
        <f>IFERROR(LOOKUP($S155,MOTORISTAS!$D$3:$D$916,MOTORISTAS!F$3:$F$916),"")</f>
        <v>01484565209</v>
      </c>
      <c r="V155" s="66" t="s">
        <v>292</v>
      </c>
      <c r="W155" s="79">
        <v>45017.365277777775</v>
      </c>
      <c r="X155" s="79">
        <v>45019.427083333336</v>
      </c>
      <c r="Y155" s="79">
        <v>45020.027777777781</v>
      </c>
      <c r="Z155" s="66" t="s">
        <v>293</v>
      </c>
      <c r="AA155" s="79">
        <v>45020.309027777781</v>
      </c>
      <c r="AB155" s="79">
        <v>45019.291666666664</v>
      </c>
      <c r="AC155" s="79">
        <v>45020.75</v>
      </c>
      <c r="AD155" s="79">
        <v>45023.5</v>
      </c>
      <c r="AE155" s="66" t="s">
        <v>2743</v>
      </c>
      <c r="AF155" s="44">
        <v>15595</v>
      </c>
      <c r="AG155" s="254">
        <f>Prog_23[[#This Row],[SAÍDA DO CLIENTE]]-Prog_23[[#This Row],[PROGRAMAÇÃO CLIENTE]]</f>
        <v>0.48611111111677019</v>
      </c>
      <c r="AH155" s="44"/>
      <c r="AI155" s="66"/>
      <c r="AJ155" s="66"/>
      <c r="AK155" s="66"/>
      <c r="AL155" s="66"/>
      <c r="AM155" s="66"/>
      <c r="AN155" s="83"/>
      <c r="AO155" s="83"/>
      <c r="AP155" s="83"/>
      <c r="AQ155" s="66"/>
      <c r="AR155" s="66" t="s">
        <v>4973</v>
      </c>
      <c r="AS155" s="66"/>
      <c r="AT155" s="81"/>
      <c r="AU155" s="81"/>
      <c r="AV155" s="81"/>
      <c r="AW155" s="81"/>
      <c r="AX155" s="83">
        <f>SUM(Prog_23[[#This Row],[ADIANTAMENTO]]+Prog_23[[#This Row],[SALDO]]+Prog_23[[#This Row],[MARGEM]]+Prog_23[[#This Row],[ESTADIA 1]])</f>
        <v>0</v>
      </c>
      <c r="AY1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5100</v>
      </c>
      <c r="AZ155" s="81">
        <v>3488.8</v>
      </c>
      <c r="BA155" s="81">
        <v>174347.8</v>
      </c>
      <c r="BB155" s="81">
        <v>0</v>
      </c>
      <c r="BC155" s="81">
        <v>0</v>
      </c>
      <c r="BD155" s="81">
        <v>511.2</v>
      </c>
      <c r="BE155" s="81"/>
      <c r="BF155" s="81"/>
      <c r="BG155" s="81"/>
      <c r="BH155" s="81"/>
      <c r="BI155" s="81"/>
      <c r="BJ155" s="81"/>
      <c r="BK155" s="81"/>
      <c r="BL155" s="81">
        <v>250</v>
      </c>
      <c r="BM155" s="81">
        <f>85*10</f>
        <v>850</v>
      </c>
      <c r="BN155" s="66" t="s">
        <v>2768</v>
      </c>
      <c r="BO155" s="66" t="s">
        <v>2768</v>
      </c>
      <c r="BP155" s="66" t="s">
        <v>2768</v>
      </c>
      <c r="BQ155" s="66" t="str">
        <f>PROPER(TEXT(Prog_23[[#This Row],[PROGRAMAÇÃO CLIENTE]],"mmm"))</f>
        <v>Abr</v>
      </c>
      <c r="BR155" s="66">
        <f>YEAR(Prog_23[[#This Row],[PROGRAMAÇÃO CLIENTE]])</f>
        <v>2023</v>
      </c>
    </row>
    <row r="156" spans="1:70" x14ac:dyDescent="0.25">
      <c r="A156" s="120" t="str">
        <f>Prog_23[[#This Row],[CONTEINER]]</f>
        <v>HLBU2466878</v>
      </c>
      <c r="B156" s="86" t="s">
        <v>2771</v>
      </c>
      <c r="C1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56" s="85">
        <v>45020.375</v>
      </c>
      <c r="E156" s="66" t="s">
        <v>297</v>
      </c>
      <c r="F156" s="66" t="s">
        <v>298</v>
      </c>
      <c r="G156" s="66" t="s">
        <v>4043</v>
      </c>
      <c r="H156" s="44">
        <v>63884599</v>
      </c>
      <c r="I156" s="44" t="s">
        <v>4132</v>
      </c>
      <c r="J156" s="66" t="s">
        <v>301</v>
      </c>
      <c r="K156" s="66">
        <v>3900</v>
      </c>
      <c r="L156" s="66" t="s">
        <v>4133</v>
      </c>
      <c r="M156" s="66">
        <v>23493</v>
      </c>
      <c r="N156" s="66">
        <f>SUM(Prog_23[[#This Row],[TARA]]+Prog_23[[#This Row],[PESO]])</f>
        <v>27393</v>
      </c>
      <c r="O156" s="44">
        <v>846413</v>
      </c>
      <c r="P156" s="66" t="s">
        <v>4036</v>
      </c>
      <c r="Q156" s="66" t="s">
        <v>4106</v>
      </c>
      <c r="R156" s="66" t="s">
        <v>4107</v>
      </c>
      <c r="S156" s="66" t="s">
        <v>4114</v>
      </c>
      <c r="T156" s="138" t="str">
        <f>IFERROR(LOOKUP($S156,MOTORISTAS!$D$3:$D$916,MOTORISTAS!E$3:$E$916),"")</f>
        <v>21381752861</v>
      </c>
      <c r="U156" s="138" t="str">
        <f>IFERROR(LOOKUP($S156,MOTORISTAS!$D$3:$D$916,MOTORISTAS!F$3:$F$916),"")</f>
        <v>01114110481</v>
      </c>
      <c r="V156" s="66" t="s">
        <v>292</v>
      </c>
      <c r="W156" s="79">
        <v>45019.92291666667</v>
      </c>
      <c r="X156" s="79">
        <v>45020.125</v>
      </c>
      <c r="Y156" s="79">
        <v>45020.631944444445</v>
      </c>
      <c r="Z156" s="66" t="s">
        <v>293</v>
      </c>
      <c r="AA156" s="79">
        <v>45020.927083333336</v>
      </c>
      <c r="AB156" s="79">
        <v>45019.291666666664</v>
      </c>
      <c r="AC156" s="79">
        <v>45020.75</v>
      </c>
      <c r="AD156" s="79">
        <v>45023.5</v>
      </c>
      <c r="AE156" s="66" t="s">
        <v>2743</v>
      </c>
      <c r="AF156" s="44">
        <v>15605</v>
      </c>
      <c r="AG156" s="254">
        <f>Prog_23[[#This Row],[SAÍDA DO CLIENTE]]-Prog_23[[#This Row],[PROGRAMAÇÃO CLIENTE]]</f>
        <v>0.25694444444525288</v>
      </c>
      <c r="AH156" s="44"/>
      <c r="AI156" s="66"/>
      <c r="AJ156" s="66"/>
      <c r="AK156" s="66"/>
      <c r="AL156" s="66"/>
      <c r="AM156" s="66"/>
      <c r="AN156" s="83"/>
      <c r="AO156" s="83"/>
      <c r="AP156" s="83"/>
      <c r="AQ156" s="66"/>
      <c r="AR156" s="66" t="s">
        <v>4973</v>
      </c>
      <c r="AS156" s="66"/>
      <c r="AT156" s="81"/>
      <c r="AU156" s="81"/>
      <c r="AV156" s="81"/>
      <c r="AW156" s="81"/>
      <c r="AX156" s="83">
        <f>SUM(Prog_23[[#This Row],[ADIANTAMENTO]]+Prog_23[[#This Row],[SALDO]]+Prog_23[[#This Row],[MARGEM]]+Prog_23[[#This Row],[ESTADIA 1]])</f>
        <v>0</v>
      </c>
      <c r="AY1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56" s="81">
        <v>3488.8</v>
      </c>
      <c r="BA156" s="81">
        <v>103290.93</v>
      </c>
      <c r="BB156" s="81">
        <v>0</v>
      </c>
      <c r="BC156" s="81">
        <v>0</v>
      </c>
      <c r="BD156" s="81">
        <v>511.2</v>
      </c>
      <c r="BE156" s="81"/>
      <c r="BF156" s="81"/>
      <c r="BG156" s="81"/>
      <c r="BH156" s="81"/>
      <c r="BI156" s="81"/>
      <c r="BJ156" s="81"/>
      <c r="BK156" s="81"/>
      <c r="BL156" s="81">
        <v>250</v>
      </c>
      <c r="BM156" s="81"/>
      <c r="BN156" s="66" t="s">
        <v>2768</v>
      </c>
      <c r="BO156" s="66" t="s">
        <v>2768</v>
      </c>
      <c r="BP156" s="66" t="s">
        <v>2768</v>
      </c>
      <c r="BQ156" s="66" t="str">
        <f>PROPER(TEXT(Prog_23[[#This Row],[PROGRAMAÇÃO CLIENTE]],"mmm"))</f>
        <v>Abr</v>
      </c>
      <c r="BR156" s="66">
        <f>YEAR(Prog_23[[#This Row],[PROGRAMAÇÃO CLIENTE]])</f>
        <v>2023</v>
      </c>
    </row>
    <row r="157" spans="1:70" x14ac:dyDescent="0.25">
      <c r="A157" s="120" t="str">
        <f>Prog_23[[#This Row],[CONTEINER]]</f>
        <v>HLBU2668631</v>
      </c>
      <c r="B157" s="86" t="s">
        <v>2771</v>
      </c>
      <c r="C1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57" s="85">
        <v>45020.458333333336</v>
      </c>
      <c r="E157" s="66" t="s">
        <v>297</v>
      </c>
      <c r="F157" s="66" t="s">
        <v>298</v>
      </c>
      <c r="G157" s="66" t="s">
        <v>4042</v>
      </c>
      <c r="H157" s="44">
        <v>63884599</v>
      </c>
      <c r="I157" s="44" t="s">
        <v>4134</v>
      </c>
      <c r="J157" s="66" t="s">
        <v>301</v>
      </c>
      <c r="K157" s="66">
        <v>3900</v>
      </c>
      <c r="L157" s="66" t="s">
        <v>4135</v>
      </c>
      <c r="M157" s="66">
        <v>23493</v>
      </c>
      <c r="N157" s="66">
        <f>SUM(Prog_23[[#This Row],[TARA]]+Prog_23[[#This Row],[PESO]])</f>
        <v>27393</v>
      </c>
      <c r="O157" s="44">
        <v>846412</v>
      </c>
      <c r="P157" s="66" t="s">
        <v>4036</v>
      </c>
      <c r="Q157" s="66" t="s">
        <v>3583</v>
      </c>
      <c r="R157" s="66" t="s">
        <v>3576</v>
      </c>
      <c r="S157" s="66" t="s">
        <v>3577</v>
      </c>
      <c r="T157" s="138" t="str">
        <f>IFERROR(LOOKUP($S157,MOTORISTAS!$D$3:$D$916,MOTORISTAS!E$3:$E$916),"")</f>
        <v>19294729869</v>
      </c>
      <c r="U157" s="138" t="str">
        <f>IFERROR(LOOKUP($S157,MOTORISTAS!$D$3:$D$916,MOTORISTAS!F$3:$F$916),"")</f>
        <v>01008628403</v>
      </c>
      <c r="V157" s="66" t="s">
        <v>292</v>
      </c>
      <c r="W157" s="79">
        <v>45019.94027777778</v>
      </c>
      <c r="X157" s="79">
        <v>45020.125</v>
      </c>
      <c r="Y157" s="79">
        <v>45020.604166666664</v>
      </c>
      <c r="Z157" s="66" t="s">
        <v>293</v>
      </c>
      <c r="AA157" s="79">
        <v>45020.845833333333</v>
      </c>
      <c r="AB157" s="79">
        <v>45019.291666666664</v>
      </c>
      <c r="AC157" s="79">
        <v>45020.75</v>
      </c>
      <c r="AD157" s="79">
        <v>45023.5</v>
      </c>
      <c r="AE157" s="66" t="s">
        <v>2743</v>
      </c>
      <c r="AF157" s="44">
        <v>15602</v>
      </c>
      <c r="AG157" s="254">
        <f>Prog_23[[#This Row],[SAÍDA DO CLIENTE]]-Prog_23[[#This Row],[PROGRAMAÇÃO CLIENTE]]</f>
        <v>0.14583333332848269</v>
      </c>
      <c r="AH157" s="44"/>
      <c r="AI157" s="66"/>
      <c r="AJ157" s="66"/>
      <c r="AK157" s="66"/>
      <c r="AL157" s="66"/>
      <c r="AM157" s="66"/>
      <c r="AN157" s="83"/>
      <c r="AO157" s="83"/>
      <c r="AP157" s="83"/>
      <c r="AQ157" s="66"/>
      <c r="AR157" s="66" t="s">
        <v>4973</v>
      </c>
      <c r="AS157" s="66"/>
      <c r="AT157" s="81"/>
      <c r="AU157" s="81"/>
      <c r="AV157" s="81"/>
      <c r="AW157" s="81"/>
      <c r="AX157" s="83">
        <f>SUM(Prog_23[[#This Row],[ADIANTAMENTO]]+Prog_23[[#This Row],[SALDO]]+Prog_23[[#This Row],[MARGEM]]+Prog_23[[#This Row],[ESTADIA 1]])</f>
        <v>0</v>
      </c>
      <c r="AY1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57" s="81">
        <v>3488.8</v>
      </c>
      <c r="BA157" s="81">
        <v>103290.93</v>
      </c>
      <c r="BB157" s="81">
        <v>0</v>
      </c>
      <c r="BC157" s="81">
        <v>0</v>
      </c>
      <c r="BD157" s="81">
        <v>511.2</v>
      </c>
      <c r="BE157" s="81"/>
      <c r="BF157" s="81"/>
      <c r="BG157" s="81"/>
      <c r="BH157" s="81"/>
      <c r="BI157" s="81"/>
      <c r="BJ157" s="81"/>
      <c r="BK157" s="81"/>
      <c r="BL157" s="81">
        <v>250</v>
      </c>
      <c r="BM157" s="81">
        <v>0</v>
      </c>
      <c r="BN157" s="66" t="s">
        <v>2768</v>
      </c>
      <c r="BO157" s="66" t="s">
        <v>2768</v>
      </c>
      <c r="BP157" s="66" t="s">
        <v>2768</v>
      </c>
      <c r="BQ157" s="66" t="str">
        <f>PROPER(TEXT(Prog_23[[#This Row],[PROGRAMAÇÃO CLIENTE]],"mmm"))</f>
        <v>Abr</v>
      </c>
      <c r="BR157" s="66">
        <f>YEAR(Prog_23[[#This Row],[PROGRAMAÇÃO CLIENTE]])</f>
        <v>2023</v>
      </c>
    </row>
    <row r="158" spans="1:70" x14ac:dyDescent="0.25">
      <c r="A158" s="120" t="str">
        <f>Prog_23[[#This Row],[CONTEINER]]</f>
        <v>HLBU3190911</v>
      </c>
      <c r="B158" s="86" t="s">
        <v>2771</v>
      </c>
      <c r="C1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58" s="85">
        <v>45020.541666666664</v>
      </c>
      <c r="E158" s="66" t="s">
        <v>297</v>
      </c>
      <c r="F158" s="66" t="s">
        <v>298</v>
      </c>
      <c r="G158" s="66" t="s">
        <v>4041</v>
      </c>
      <c r="H158" s="44">
        <v>63884599</v>
      </c>
      <c r="I158" s="44" t="s">
        <v>4130</v>
      </c>
      <c r="J158" s="66" t="s">
        <v>301</v>
      </c>
      <c r="K158" s="66">
        <v>3900</v>
      </c>
      <c r="L158" s="66" t="s">
        <v>4131</v>
      </c>
      <c r="M158" s="66">
        <v>23493</v>
      </c>
      <c r="N158" s="66">
        <f>SUM(Prog_23[[#This Row],[TARA]]+Prog_23[[#This Row],[PESO]])</f>
        <v>27393</v>
      </c>
      <c r="O158" s="44">
        <v>846480</v>
      </c>
      <c r="P158" s="66" t="s">
        <v>4036</v>
      </c>
      <c r="Q158" s="66" t="s">
        <v>1961</v>
      </c>
      <c r="R158" s="66" t="s">
        <v>1962</v>
      </c>
      <c r="S158" s="66" t="s">
        <v>1482</v>
      </c>
      <c r="T158" s="138" t="str">
        <f>IFERROR(LOOKUP($S158,MOTORISTAS!$D$3:$D$916,MOTORISTAS!E$3:$E$916),"")</f>
        <v>38329597857</v>
      </c>
      <c r="U158" s="138" t="str">
        <f>IFERROR(LOOKUP($S158,MOTORISTAS!$D$3:$D$916,MOTORISTAS!F$3:$F$916),"")</f>
        <v>04956762510</v>
      </c>
      <c r="V158" s="66" t="s">
        <v>292</v>
      </c>
      <c r="W158" s="79">
        <v>45019.925000000003</v>
      </c>
      <c r="X158" s="79">
        <v>45020.326388888891</v>
      </c>
      <c r="Y158" s="79">
        <v>45020.6875</v>
      </c>
      <c r="Z158" s="66" t="s">
        <v>293</v>
      </c>
      <c r="AA158" s="79">
        <v>45020.895138888889</v>
      </c>
      <c r="AB158" s="79">
        <v>45019.291666666664</v>
      </c>
      <c r="AC158" s="79">
        <v>45020.75</v>
      </c>
      <c r="AD158" s="79">
        <v>45023.5</v>
      </c>
      <c r="AE158" s="66" t="s">
        <v>2743</v>
      </c>
      <c r="AF158" s="44">
        <v>15604</v>
      </c>
      <c r="AG158" s="254">
        <f>Prog_23[[#This Row],[SAÍDA DO CLIENTE]]-Prog_23[[#This Row],[PROGRAMAÇÃO CLIENTE]]</f>
        <v>0.14583333333575865</v>
      </c>
      <c r="AH158" s="44"/>
      <c r="AI158" s="66"/>
      <c r="AJ158" s="66"/>
      <c r="AK158" s="66"/>
      <c r="AL158" s="66"/>
      <c r="AM158" s="66"/>
      <c r="AN158" s="83"/>
      <c r="AO158" s="83"/>
      <c r="AP158" s="83"/>
      <c r="AQ158" s="66"/>
      <c r="AR158" s="66" t="s">
        <v>4973</v>
      </c>
      <c r="AS158" s="66"/>
      <c r="AT158" s="81"/>
      <c r="AU158" s="81"/>
      <c r="AV158" s="81"/>
      <c r="AW158" s="81"/>
      <c r="AX158" s="83">
        <f>SUM(Prog_23[[#This Row],[ADIANTAMENTO]]+Prog_23[[#This Row],[SALDO]]+Prog_23[[#This Row],[MARGEM]]+Prog_23[[#This Row],[ESTADIA 1]])</f>
        <v>0</v>
      </c>
      <c r="AY1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158" s="81">
        <v>3488.8</v>
      </c>
      <c r="BA158" s="81">
        <v>103290.93</v>
      </c>
      <c r="BB158" s="81">
        <v>0</v>
      </c>
      <c r="BC158" s="81">
        <v>0</v>
      </c>
      <c r="BD158" s="81">
        <v>511.2</v>
      </c>
      <c r="BE158" s="81"/>
      <c r="BF158" s="81"/>
      <c r="BG158" s="81"/>
      <c r="BH158" s="81"/>
      <c r="BI158" s="81"/>
      <c r="BJ158" s="81"/>
      <c r="BK158" s="81"/>
      <c r="BL158" s="81">
        <v>250</v>
      </c>
      <c r="BM158" s="81"/>
      <c r="BN158" s="66" t="s">
        <v>2768</v>
      </c>
      <c r="BO158" s="66" t="s">
        <v>2768</v>
      </c>
      <c r="BP158" s="66" t="s">
        <v>2768</v>
      </c>
      <c r="BQ158" s="66" t="str">
        <f>PROPER(TEXT(Prog_23[[#This Row],[PROGRAMAÇÃO CLIENTE]],"mmm"))</f>
        <v>Abr</v>
      </c>
      <c r="BR158" s="66">
        <f>YEAR(Prog_23[[#This Row],[PROGRAMAÇÃO CLIENTE]])</f>
        <v>2023</v>
      </c>
    </row>
    <row r="159" spans="1:70" x14ac:dyDescent="0.25">
      <c r="A159" s="120" t="str">
        <f>Prog_23[[#This Row],[CONTEINER]]</f>
        <v>DFSU7323159</v>
      </c>
      <c r="B159" s="86" t="s">
        <v>2771</v>
      </c>
      <c r="C1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59" s="85">
        <v>45020.583333333336</v>
      </c>
      <c r="E159" s="66" t="s">
        <v>297</v>
      </c>
      <c r="F159" s="66" t="s">
        <v>298</v>
      </c>
      <c r="G159" s="66" t="s">
        <v>4040</v>
      </c>
      <c r="H159" s="44">
        <v>63884599</v>
      </c>
      <c r="I159" s="44" t="s">
        <v>4128</v>
      </c>
      <c r="J159" s="66" t="s">
        <v>301</v>
      </c>
      <c r="K159" s="66">
        <v>3800</v>
      </c>
      <c r="L159" s="66" t="s">
        <v>4129</v>
      </c>
      <c r="M159" s="66">
        <v>21222</v>
      </c>
      <c r="N159" s="66">
        <f>SUM(Prog_23[[#This Row],[TARA]]+Prog_23[[#This Row],[PESO]])</f>
        <v>25022</v>
      </c>
      <c r="O159" s="44">
        <v>846549</v>
      </c>
      <c r="P159" s="66" t="s">
        <v>4036</v>
      </c>
      <c r="Q159" s="66" t="s">
        <v>87</v>
      </c>
      <c r="R159" s="66" t="s">
        <v>88</v>
      </c>
      <c r="S159" s="66" t="s">
        <v>89</v>
      </c>
      <c r="T159" s="138" t="str">
        <f>IFERROR(LOOKUP($S159,MOTORISTAS!$D$3:$D$916,MOTORISTAS!E$3:$E$916),"")</f>
        <v>00097734527</v>
      </c>
      <c r="U159" s="138" t="str">
        <f>IFERROR(LOOKUP($S159,MOTORISTAS!$D$3:$D$916,MOTORISTAS!F$3:$F$916),"")</f>
        <v>03148346870</v>
      </c>
      <c r="V159" s="66" t="s">
        <v>292</v>
      </c>
      <c r="W159" s="79">
        <v>45019.984722222223</v>
      </c>
      <c r="X159" s="79">
        <v>45020.4375</v>
      </c>
      <c r="Y159" s="79">
        <v>45020.993055555555</v>
      </c>
      <c r="Z159" s="66" t="s">
        <v>293</v>
      </c>
      <c r="AA159" s="79">
        <v>45021.281944444447</v>
      </c>
      <c r="AB159" s="79">
        <v>45019.291666666664</v>
      </c>
      <c r="AC159" s="79">
        <v>45020.75</v>
      </c>
      <c r="AD159" s="79">
        <v>45023.5</v>
      </c>
      <c r="AE159" s="66" t="s">
        <v>2743</v>
      </c>
      <c r="AF159" s="44" t="s">
        <v>4251</v>
      </c>
      <c r="AG159" s="254">
        <f>Prog_23[[#This Row],[SAÍDA DO CLIENTE]]-Prog_23[[#This Row],[PROGRAMAÇÃO CLIENTE]]</f>
        <v>0.40972222221898846</v>
      </c>
      <c r="AH159" s="44"/>
      <c r="AI159" s="66"/>
      <c r="AJ159" s="66"/>
      <c r="AK159" s="66"/>
      <c r="AL159" s="66"/>
      <c r="AM159" s="66"/>
      <c r="AN159" s="83"/>
      <c r="AO159" s="83"/>
      <c r="AP159" s="83"/>
      <c r="AQ159" s="66"/>
      <c r="AR159" s="66" t="s">
        <v>4973</v>
      </c>
      <c r="AS159" s="66"/>
      <c r="AT159" s="81"/>
      <c r="AU159" s="81"/>
      <c r="AV159" s="81"/>
      <c r="AW159" s="81"/>
      <c r="AX159" s="83">
        <f>SUM(Prog_23[[#This Row],[ADIANTAMENTO]]+Prog_23[[#This Row],[SALDO]]+Prog_23[[#This Row],[MARGEM]]+Prog_23[[#This Row],[ESTADIA 1]])</f>
        <v>0</v>
      </c>
      <c r="AY1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4675</v>
      </c>
      <c r="AZ159" s="81">
        <v>3488.8</v>
      </c>
      <c r="BA159" s="81">
        <v>173762.6</v>
      </c>
      <c r="BB159" s="81">
        <v>0</v>
      </c>
      <c r="BC159" s="81">
        <v>0</v>
      </c>
      <c r="BD159" s="81">
        <v>511.2</v>
      </c>
      <c r="BE159" s="81"/>
      <c r="BF159" s="81"/>
      <c r="BG159" s="81"/>
      <c r="BH159" s="81"/>
      <c r="BI159" s="81"/>
      <c r="BJ159" s="81"/>
      <c r="BK159" s="81"/>
      <c r="BL159" s="81">
        <v>250</v>
      </c>
      <c r="BM159" s="81">
        <f>85*5</f>
        <v>425</v>
      </c>
      <c r="BN159" s="66" t="s">
        <v>2768</v>
      </c>
      <c r="BO159" s="66" t="s">
        <v>2768</v>
      </c>
      <c r="BP159" s="66" t="s">
        <v>2768</v>
      </c>
      <c r="BQ159" s="66" t="str">
        <f>PROPER(TEXT(Prog_23[[#This Row],[PROGRAMAÇÃO CLIENTE]],"mmm"))</f>
        <v>Abr</v>
      </c>
      <c r="BR159" s="66">
        <f>YEAR(Prog_23[[#This Row],[PROGRAMAÇÃO CLIENTE]])</f>
        <v>2023</v>
      </c>
    </row>
    <row r="160" spans="1:70" x14ac:dyDescent="0.25">
      <c r="A160" s="120" t="str">
        <f>Prog_23[[#This Row],[CONTEINER]]</f>
        <v>KKFU8016681</v>
      </c>
      <c r="B160" s="86" t="s">
        <v>2771</v>
      </c>
      <c r="C1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0" s="85">
        <v>45020.291666666664</v>
      </c>
      <c r="E160" s="66" t="s">
        <v>4087</v>
      </c>
      <c r="F160" s="66" t="s">
        <v>4096</v>
      </c>
      <c r="G160" s="66" t="s">
        <v>4095</v>
      </c>
      <c r="H160" s="44" t="s">
        <v>4088</v>
      </c>
      <c r="I160" s="44" t="s">
        <v>4089</v>
      </c>
      <c r="J160" s="66" t="s">
        <v>301</v>
      </c>
      <c r="K160" s="66">
        <v>3830</v>
      </c>
      <c r="L160" s="66" t="s">
        <v>4097</v>
      </c>
      <c r="M160" s="66">
        <v>7093</v>
      </c>
      <c r="N160" s="66">
        <f>SUM(Prog_23[[#This Row],[TARA]]+Prog_23[[#This Row],[PESO]])</f>
        <v>10923</v>
      </c>
      <c r="O160" s="44">
        <v>38773</v>
      </c>
      <c r="P160" s="66" t="s">
        <v>4090</v>
      </c>
      <c r="Q160" s="66" t="s">
        <v>210</v>
      </c>
      <c r="R160" s="66" t="s">
        <v>211</v>
      </c>
      <c r="S160" s="66" t="s">
        <v>212</v>
      </c>
      <c r="T160" s="138" t="str">
        <f>IFERROR(LOOKUP($S160,MOTORISTAS!$D$3:$D$916,MOTORISTAS!E$3:$E$916),"")</f>
        <v>38029906846</v>
      </c>
      <c r="U160" s="138" t="str">
        <f>IFERROR(LOOKUP($S160,MOTORISTAS!$D$3:$D$916,MOTORISTAS!F$3:$F$916),"")</f>
        <v>04946846842</v>
      </c>
      <c r="V160" s="66" t="s">
        <v>4091</v>
      </c>
      <c r="W160" s="79">
        <v>45019.5</v>
      </c>
      <c r="X160" s="79">
        <v>45019.958333333336</v>
      </c>
      <c r="Y160" s="79">
        <v>45020.395833333336</v>
      </c>
      <c r="Z160" s="66" t="s">
        <v>292</v>
      </c>
      <c r="AA160" s="79">
        <v>45021.350694444445</v>
      </c>
      <c r="AB160" s="79">
        <v>45020.291666666664</v>
      </c>
      <c r="AC160" s="79">
        <v>45020.291666666664</v>
      </c>
      <c r="AD160" s="79">
        <v>45020.291666666664</v>
      </c>
      <c r="AE160" s="66" t="s">
        <v>708</v>
      </c>
      <c r="AF160" s="44">
        <v>3529</v>
      </c>
      <c r="AG160" s="254">
        <f>Prog_23[[#This Row],[SAÍDA DO CLIENTE]]-Prog_23[[#This Row],[PROGRAMAÇÃO CLIENTE]]</f>
        <v>0.10416666667151731</v>
      </c>
      <c r="AH160" s="44"/>
      <c r="AI160" s="66"/>
      <c r="AJ160" s="66"/>
      <c r="AK160" s="66"/>
      <c r="AL160" s="66"/>
      <c r="AM160" s="66"/>
      <c r="AN160" s="83"/>
      <c r="AO160" s="83"/>
      <c r="AP160" s="83"/>
      <c r="AQ160" s="66"/>
      <c r="AR160" s="66" t="s">
        <v>4973</v>
      </c>
      <c r="AS160" s="66"/>
      <c r="AT160" s="81">
        <v>7016.8</v>
      </c>
      <c r="AU160" s="81">
        <v>1183.2</v>
      </c>
      <c r="AV160" s="81"/>
      <c r="AW160" s="81"/>
      <c r="AX160" s="83">
        <f>SUM(Prog_23[[#This Row],[ADIANTAMENTO]]+Prog_23[[#This Row],[SALDO]]+Prog_23[[#This Row],[MARGEM]]+Prog_23[[#This Row],[ESTADIA 1]])</f>
        <v>8200</v>
      </c>
      <c r="AY1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9000</v>
      </c>
      <c r="AZ160" s="81">
        <v>7402.8</v>
      </c>
      <c r="BA160" s="81">
        <v>499650.79</v>
      </c>
      <c r="BB160" s="81">
        <v>0</v>
      </c>
      <c r="BC160" s="81">
        <v>0</v>
      </c>
      <c r="BD160" s="81">
        <v>1597.2</v>
      </c>
      <c r="BE160" s="81"/>
      <c r="BF160" s="81"/>
      <c r="BG160" s="81"/>
      <c r="BH160" s="81"/>
      <c r="BI160" s="81"/>
      <c r="BJ160" s="81"/>
      <c r="BK160" s="81"/>
      <c r="BL160" s="81">
        <v>0</v>
      </c>
      <c r="BM160" s="81"/>
      <c r="BN160" s="66" t="s">
        <v>2768</v>
      </c>
      <c r="BO160" s="66" t="s">
        <v>2768</v>
      </c>
      <c r="BP160" s="66" t="s">
        <v>2768</v>
      </c>
      <c r="BQ160" s="66" t="str">
        <f>PROPER(TEXT(Prog_23[[#This Row],[PROGRAMAÇÃO CLIENTE]],"mmm"))</f>
        <v>Abr</v>
      </c>
      <c r="BR160" s="66">
        <f>YEAR(Prog_23[[#This Row],[PROGRAMAÇÃO CLIENTE]])</f>
        <v>2023</v>
      </c>
    </row>
    <row r="161" spans="1:70" x14ac:dyDescent="0.25">
      <c r="A161" s="120" t="str">
        <f>Prog_23[[#This Row],[CONTEINER]]</f>
        <v>MRSU5742713</v>
      </c>
      <c r="B161" s="86" t="s">
        <v>2771</v>
      </c>
      <c r="C1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1" s="85">
        <v>45020.416666666664</v>
      </c>
      <c r="E161" s="66" t="s">
        <v>2302</v>
      </c>
      <c r="F161" s="66" t="s">
        <v>529</v>
      </c>
      <c r="G161" s="66">
        <v>334</v>
      </c>
      <c r="H161" s="44">
        <v>226401937</v>
      </c>
      <c r="I161" s="44" t="s">
        <v>4115</v>
      </c>
      <c r="J161" s="66" t="s">
        <v>301</v>
      </c>
      <c r="K161" s="66">
        <v>3720</v>
      </c>
      <c r="L161" s="66" t="s">
        <v>4116</v>
      </c>
      <c r="M161" s="66">
        <v>10052</v>
      </c>
      <c r="N161" s="66">
        <f>SUM(Prog_23[[#This Row],[TARA]]+Prog_23[[#This Row],[PESO]])</f>
        <v>13772</v>
      </c>
      <c r="O161" s="44" t="s">
        <v>4048</v>
      </c>
      <c r="P161" s="66" t="s">
        <v>3960</v>
      </c>
      <c r="Q161" s="66" t="s">
        <v>102</v>
      </c>
      <c r="R161" s="66" t="s">
        <v>27</v>
      </c>
      <c r="S161" s="66" t="s">
        <v>206</v>
      </c>
      <c r="T161" s="138" t="str">
        <f>IFERROR(LOOKUP($S161,MOTORISTAS!$D$3:$D$916,MOTORISTAS!E$3:$E$916),"")</f>
        <v>09085263425</v>
      </c>
      <c r="U161" s="138" t="str">
        <f>IFERROR(LOOKUP($S161,MOTORISTAS!$D$3:$D$916,MOTORISTAS!F$3:$F$916),"")</f>
        <v>04557705505</v>
      </c>
      <c r="V161" s="66" t="s">
        <v>292</v>
      </c>
      <c r="W161" s="79">
        <v>45019.671527777777</v>
      </c>
      <c r="X161" s="79">
        <v>45020.322916666664</v>
      </c>
      <c r="Y161" s="79">
        <v>45020.652777777781</v>
      </c>
      <c r="Z161" s="66" t="s">
        <v>306</v>
      </c>
      <c r="AA161" s="79">
        <v>45020.745138888888</v>
      </c>
      <c r="AB161" s="79">
        <v>45019.541666666664</v>
      </c>
      <c r="AC161" s="79">
        <v>45019.75</v>
      </c>
      <c r="AD161" s="79">
        <v>45022.75</v>
      </c>
      <c r="AE161" s="66" t="s">
        <v>452</v>
      </c>
      <c r="AF161" s="44">
        <v>15603</v>
      </c>
      <c r="AG161" s="254">
        <f>Prog_23[[#This Row],[SAÍDA DO CLIENTE]]-Prog_23[[#This Row],[PROGRAMAÇÃO CLIENTE]]</f>
        <v>0.23611111111677019</v>
      </c>
      <c r="AH161" s="44"/>
      <c r="AI161" s="66"/>
      <c r="AJ161" s="66"/>
      <c r="AK161" s="66"/>
      <c r="AL161" s="66"/>
      <c r="AM161" s="66"/>
      <c r="AN161" s="83"/>
      <c r="AO161" s="83"/>
      <c r="AP161" s="83"/>
      <c r="AQ161" s="66"/>
      <c r="AR161" s="66" t="s">
        <v>4973</v>
      </c>
      <c r="AS161" s="66"/>
      <c r="AT161" s="81">
        <v>2200</v>
      </c>
      <c r="AU161" s="81"/>
      <c r="AV161" s="81"/>
      <c r="AW161" s="81"/>
      <c r="AX161" s="83">
        <f>SUM(Prog_23[[#This Row],[ADIANTAMENTO]]+Prog_23[[#This Row],[SALDO]]+Prog_23[[#This Row],[MARGEM]]+Prog_23[[#This Row],[ESTADIA 1]])</f>
        <v>2200</v>
      </c>
      <c r="AY1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3775.1330500000004</v>
      </c>
      <c r="AZ161" s="81">
        <v>2550</v>
      </c>
      <c r="BA161" s="81">
        <v>548088.69999999995</v>
      </c>
      <c r="BB161" s="81">
        <f>Prog_23[[#This Row],[VLR NF]]*0.1%</f>
        <v>548.08870000000002</v>
      </c>
      <c r="BC161" s="81">
        <f>Prog_23[[#This Row],[VLR NF]]*0.05%</f>
        <v>274.04435000000001</v>
      </c>
      <c r="BD161" s="81">
        <v>288</v>
      </c>
      <c r="BE161" s="81"/>
      <c r="BF161" s="81"/>
      <c r="BG161" s="81"/>
      <c r="BH161" s="81">
        <v>30</v>
      </c>
      <c r="BI161" s="81"/>
      <c r="BJ161" s="81">
        <v>85</v>
      </c>
      <c r="BK161" s="81"/>
      <c r="BL161" s="81"/>
      <c r="BM161" s="81"/>
      <c r="BN161" s="66" t="s">
        <v>2768</v>
      </c>
      <c r="BO161" s="66" t="s">
        <v>2768</v>
      </c>
      <c r="BP161" s="66" t="s">
        <v>2768</v>
      </c>
      <c r="BQ161" s="66" t="str">
        <f>PROPER(TEXT(Prog_23[[#This Row],[PROGRAMAÇÃO CLIENTE]],"mmm"))</f>
        <v>Abr</v>
      </c>
      <c r="BR161" s="66">
        <f>YEAR(Prog_23[[#This Row],[PROGRAMAÇÃO CLIENTE]])</f>
        <v>2023</v>
      </c>
    </row>
    <row r="162" spans="1:70" x14ac:dyDescent="0.25">
      <c r="A162" s="120" t="str">
        <f>Prog_23[[#This Row],[CONTEINER]]</f>
        <v>MRKU5322322</v>
      </c>
      <c r="B162" s="86" t="s">
        <v>2771</v>
      </c>
      <c r="C1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2" s="85">
        <v>45020.291666666664</v>
      </c>
      <c r="E162" s="66" t="s">
        <v>2059</v>
      </c>
      <c r="F162" s="66" t="s">
        <v>2060</v>
      </c>
      <c r="G162" s="66" t="s">
        <v>4060</v>
      </c>
      <c r="H162" s="44">
        <v>226091844</v>
      </c>
      <c r="I162" s="44" t="s">
        <v>4117</v>
      </c>
      <c r="J162" s="66" t="s">
        <v>301</v>
      </c>
      <c r="K162" s="66">
        <v>3810</v>
      </c>
      <c r="L162" s="66" t="s">
        <v>4118</v>
      </c>
      <c r="M162" s="66">
        <v>22995</v>
      </c>
      <c r="N162" s="66">
        <f>SUM(Prog_23[[#This Row],[TARA]]+Prog_23[[#This Row],[PESO]])</f>
        <v>26805</v>
      </c>
      <c r="O162" s="44" t="s">
        <v>4176</v>
      </c>
      <c r="P162" s="66" t="s">
        <v>4049</v>
      </c>
      <c r="Q162" s="66" t="s">
        <v>68</v>
      </c>
      <c r="R162" s="66" t="s">
        <v>36</v>
      </c>
      <c r="S162" s="66" t="s">
        <v>69</v>
      </c>
      <c r="T162" s="138" t="str">
        <f>IFERROR(LOOKUP($S162,MOTORISTAS!$D$3:$D$916,MOTORISTAS!E$3:$E$916),"")</f>
        <v>07968457866</v>
      </c>
      <c r="U162" s="138" t="str">
        <f>IFERROR(LOOKUP($S162,MOTORISTAS!$D$3:$D$916,MOTORISTAS!F$3:$F$916),"")</f>
        <v>03264365790</v>
      </c>
      <c r="V162" s="66" t="s">
        <v>292</v>
      </c>
      <c r="W162" s="79">
        <v>45019.677777777775</v>
      </c>
      <c r="X162" s="79">
        <v>45020.262499999997</v>
      </c>
      <c r="Y162" s="79">
        <v>45021.607638888891</v>
      </c>
      <c r="Z162" s="66" t="s">
        <v>306</v>
      </c>
      <c r="AA162" s="79">
        <v>45021.809027777781</v>
      </c>
      <c r="AB162" s="79">
        <v>45019.541666666664</v>
      </c>
      <c r="AC162" s="79">
        <v>45020.75</v>
      </c>
      <c r="AD162" s="79">
        <v>45023.5</v>
      </c>
      <c r="AE162" s="66" t="s">
        <v>4062</v>
      </c>
      <c r="AF162" s="44">
        <v>15610</v>
      </c>
      <c r="AG162" s="254">
        <f>Prog_23[[#This Row],[SAÍDA DO CLIENTE]]-Prog_23[[#This Row],[PROGRAMAÇÃO CLIENTE]]</f>
        <v>1.3159722222262644</v>
      </c>
      <c r="AH162" s="44"/>
      <c r="AI162" s="66"/>
      <c r="AJ162" s="66"/>
      <c r="AK162" s="66"/>
      <c r="AL162" s="66"/>
      <c r="AM162" s="66"/>
      <c r="AN162" s="83"/>
      <c r="AO162" s="83"/>
      <c r="AP162" s="83"/>
      <c r="AQ162" s="66"/>
      <c r="AR162" s="66" t="s">
        <v>4973</v>
      </c>
      <c r="AS162" s="66"/>
      <c r="AT162" s="81">
        <v>3600</v>
      </c>
      <c r="AU162" s="81"/>
      <c r="AV162" s="81"/>
      <c r="AW162" s="81"/>
      <c r="AX162" s="83">
        <f>SUM(Prog_23[[#This Row],[ADIANTAMENTO]]+Prog_23[[#This Row],[SALDO]]+Prog_23[[#This Row],[MARGEM]]+Prog_23[[#This Row],[ESTADIA 1]])</f>
        <v>3600</v>
      </c>
      <c r="AY1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4972.1765650000007</v>
      </c>
      <c r="AZ162" s="81">
        <v>3122.4</v>
      </c>
      <c r="BA162" s="81">
        <v>148117.71</v>
      </c>
      <c r="BB162" s="81">
        <f>Prog_23[[#This Row],[VLR NF]]*0.1%</f>
        <v>148.11770999999999</v>
      </c>
      <c r="BC162" s="81">
        <f>Prog_23[[#This Row],[VLR NF]]*0.05%</f>
        <v>74.058854999999994</v>
      </c>
      <c r="BD162" s="81">
        <v>477.6</v>
      </c>
      <c r="BE162" s="81"/>
      <c r="BF162" s="81"/>
      <c r="BG162" s="81"/>
      <c r="BH162" s="81"/>
      <c r="BI162" s="81"/>
      <c r="BJ162" s="81">
        <v>800</v>
      </c>
      <c r="BK162" s="81"/>
      <c r="BL162" s="81">
        <v>350</v>
      </c>
      <c r="BM162" s="81"/>
      <c r="BN162" s="66" t="s">
        <v>2768</v>
      </c>
      <c r="BO162" s="66" t="s">
        <v>2768</v>
      </c>
      <c r="BP162" s="66" t="s">
        <v>2768</v>
      </c>
      <c r="BQ162" s="66" t="str">
        <f>PROPER(TEXT(Prog_23[[#This Row],[PROGRAMAÇÃO CLIENTE]],"mmm"))</f>
        <v>Abr</v>
      </c>
      <c r="BR162" s="66">
        <f>YEAR(Prog_23[[#This Row],[PROGRAMAÇÃO CLIENTE]])</f>
        <v>2023</v>
      </c>
    </row>
    <row r="163" spans="1:70" x14ac:dyDescent="0.25">
      <c r="A163" s="120" t="str">
        <f>Prog_23[[#This Row],[CONTEINER]]</f>
        <v>MRKU3984090</v>
      </c>
      <c r="B163" s="86" t="s">
        <v>2771</v>
      </c>
      <c r="C1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3" s="85">
        <v>45021.666666666664</v>
      </c>
      <c r="E163" s="66" t="s">
        <v>2302</v>
      </c>
      <c r="F163" s="66" t="s">
        <v>529</v>
      </c>
      <c r="G163" s="66">
        <v>36</v>
      </c>
      <c r="H163" s="44">
        <v>225867480</v>
      </c>
      <c r="I163" s="44" t="s">
        <v>4174</v>
      </c>
      <c r="J163" s="66" t="s">
        <v>301</v>
      </c>
      <c r="K163" s="66">
        <v>3790</v>
      </c>
      <c r="L163" s="66" t="s">
        <v>4175</v>
      </c>
      <c r="M163" s="66">
        <v>8843</v>
      </c>
      <c r="N163" s="66">
        <f>SUM(Prog_23[[#This Row],[TARA]]+Prog_23[[#This Row],[PESO]])</f>
        <v>12633</v>
      </c>
      <c r="O163" s="44" t="s">
        <v>4092</v>
      </c>
      <c r="P163" s="66" t="s">
        <v>3960</v>
      </c>
      <c r="Q163" s="66" t="s">
        <v>102</v>
      </c>
      <c r="R163" s="66" t="s">
        <v>27</v>
      </c>
      <c r="S163" s="66" t="s">
        <v>206</v>
      </c>
      <c r="T163" s="138" t="str">
        <f>IFERROR(LOOKUP($S163,MOTORISTAS!$D$3:$D$916,MOTORISTAS!E$3:$E$916),"")</f>
        <v>09085263425</v>
      </c>
      <c r="U163" s="138" t="str">
        <f>IFERROR(LOOKUP($S163,MOTORISTAS!$D$3:$D$916,MOTORISTAS!F$3:$F$916),"")</f>
        <v>04557705505</v>
      </c>
      <c r="V163" s="66" t="s">
        <v>526</v>
      </c>
      <c r="W163" s="79">
        <v>45020.602083333331</v>
      </c>
      <c r="X163" s="79">
        <v>45021.635416666664</v>
      </c>
      <c r="Y163" s="79">
        <v>45021.791666666664</v>
      </c>
      <c r="Z163" s="66" t="s">
        <v>306</v>
      </c>
      <c r="AA163" s="79">
        <v>45021.926388888889</v>
      </c>
      <c r="AB163" s="79">
        <v>45019.541666666664</v>
      </c>
      <c r="AC163" s="79">
        <v>45019.75</v>
      </c>
      <c r="AD163" s="79">
        <v>45022.75</v>
      </c>
      <c r="AE163" s="66" t="s">
        <v>3961</v>
      </c>
      <c r="AF163" s="44">
        <v>15623</v>
      </c>
      <c r="AG163" s="254">
        <f>Prog_23[[#This Row],[SAÍDA DO CLIENTE]]-Prog_23[[#This Row],[PROGRAMAÇÃO CLIENTE]]</f>
        <v>0.125</v>
      </c>
      <c r="AH163" s="44"/>
      <c r="AI163" s="66"/>
      <c r="AJ163" s="66"/>
      <c r="AK163" s="66"/>
      <c r="AL163" s="66"/>
      <c r="AM163" s="66"/>
      <c r="AN163" s="83"/>
      <c r="AO163" s="83"/>
      <c r="AP163" s="83"/>
      <c r="AQ163" s="66"/>
      <c r="AR163" s="66" t="s">
        <v>4973</v>
      </c>
      <c r="AS163" s="66"/>
      <c r="AT163" s="81">
        <v>2200</v>
      </c>
      <c r="AU163" s="81"/>
      <c r="AV163" s="81"/>
      <c r="AW163" s="81"/>
      <c r="AX163" s="83">
        <f>SUM(Prog_23[[#This Row],[ADIANTAMENTO]]+Prog_23[[#This Row],[SALDO]]+Prog_23[[#This Row],[MARGEM]]+Prog_23[[#This Row],[ESTADIA 1]])</f>
        <v>2200</v>
      </c>
      <c r="AY1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3342.6633099999999</v>
      </c>
      <c r="AZ163" s="81">
        <v>2550</v>
      </c>
      <c r="BA163" s="81">
        <v>227775.54</v>
      </c>
      <c r="BB163" s="81">
        <f>Prog_23[[#This Row],[VLR NF]]*0.1%</f>
        <v>227.77554000000001</v>
      </c>
      <c r="BC163" s="81">
        <f>Prog_23[[#This Row],[VLR NF]]*0.05%</f>
        <v>113.88777</v>
      </c>
      <c r="BD163" s="81">
        <v>336</v>
      </c>
      <c r="BE163" s="81"/>
      <c r="BF163" s="81"/>
      <c r="BG163" s="81"/>
      <c r="BH163" s="81">
        <v>30</v>
      </c>
      <c r="BI163" s="81"/>
      <c r="BJ163" s="81">
        <v>85</v>
      </c>
      <c r="BK163" s="81"/>
      <c r="BL163" s="81"/>
      <c r="BM163" s="81"/>
      <c r="BN163" s="66" t="s">
        <v>2768</v>
      </c>
      <c r="BO163" s="66" t="s">
        <v>2768</v>
      </c>
      <c r="BP163" s="66" t="s">
        <v>2768</v>
      </c>
      <c r="BQ163" s="66" t="str">
        <f>PROPER(TEXT(Prog_23[[#This Row],[PROGRAMAÇÃO CLIENTE]],"mmm"))</f>
        <v>Abr</v>
      </c>
      <c r="BR163" s="66">
        <f>YEAR(Prog_23[[#This Row],[PROGRAMAÇÃO CLIENTE]])</f>
        <v>2023</v>
      </c>
    </row>
    <row r="164" spans="1:70" x14ac:dyDescent="0.25">
      <c r="A164" s="120" t="str">
        <f>Prog_23[[#This Row],[CONTEINER]]</f>
        <v>MSMU4190498</v>
      </c>
      <c r="B164" s="86" t="s">
        <v>2771</v>
      </c>
      <c r="C1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4" s="85">
        <v>45021.270833333336</v>
      </c>
      <c r="E164" s="66" t="s">
        <v>2549</v>
      </c>
      <c r="F164" s="66" t="s">
        <v>4074</v>
      </c>
      <c r="G164" s="66" t="s">
        <v>4076</v>
      </c>
      <c r="H164" s="44" t="s">
        <v>4075</v>
      </c>
      <c r="I164" s="44" t="s">
        <v>4155</v>
      </c>
      <c r="J164" s="66" t="s">
        <v>301</v>
      </c>
      <c r="K164" s="66">
        <v>3700</v>
      </c>
      <c r="L164" s="66" t="s">
        <v>4200</v>
      </c>
      <c r="M164" s="66">
        <v>25050</v>
      </c>
      <c r="N164" s="66">
        <f>SUM(Prog_23[[#This Row],[TARA]]+Prog_23[[#This Row],[PESO]])</f>
        <v>28750</v>
      </c>
      <c r="O164" s="44">
        <v>14220</v>
      </c>
      <c r="P164" s="66" t="s">
        <v>4081</v>
      </c>
      <c r="Q164" s="66" t="s">
        <v>92</v>
      </c>
      <c r="R164" s="66" t="s">
        <v>93</v>
      </c>
      <c r="S164" s="66" t="s">
        <v>94</v>
      </c>
      <c r="T164" s="138" t="str">
        <f>IFERROR(LOOKUP($S164,MOTORISTAS!$D$3:$D$916,MOTORISTAS!E$3:$E$916),"")</f>
        <v>26283419801</v>
      </c>
      <c r="U164" s="138" t="str">
        <f>IFERROR(LOOKUP($S164,MOTORISTAS!$D$3:$D$916,MOTORISTAS!F$3:$F$916),"")</f>
        <v>02002046946</v>
      </c>
      <c r="V164" s="66" t="s">
        <v>292</v>
      </c>
      <c r="W164" s="79">
        <v>45020.410416666666</v>
      </c>
      <c r="X164" s="79">
        <v>45020.913194444445</v>
      </c>
      <c r="Y164" s="79">
        <v>45021.583333333336</v>
      </c>
      <c r="Z164" s="66" t="s">
        <v>4228</v>
      </c>
      <c r="AA164" s="79">
        <v>45021.895833333336</v>
      </c>
      <c r="AB164" s="66"/>
      <c r="AC164" s="79">
        <v>45027.5</v>
      </c>
      <c r="AD164" s="79">
        <v>45030.5</v>
      </c>
      <c r="AE164" s="66" t="s">
        <v>4080</v>
      </c>
      <c r="AF164" s="44">
        <v>15615</v>
      </c>
      <c r="AG164" s="254">
        <f>Prog_23[[#This Row],[SAÍDA DO CLIENTE]]-Prog_23[[#This Row],[PROGRAMAÇÃO CLIENTE]]</f>
        <v>0.3125</v>
      </c>
      <c r="AH164" s="44"/>
      <c r="AI164" s="66"/>
      <c r="AJ164" s="66"/>
      <c r="AK164" s="66"/>
      <c r="AL164" s="66"/>
      <c r="AM164" s="66"/>
      <c r="AN164" s="83"/>
      <c r="AO164" s="83"/>
      <c r="AP164" s="83"/>
      <c r="AQ164" s="66"/>
      <c r="AR164" s="66" t="s">
        <v>4973</v>
      </c>
      <c r="AS164" s="66"/>
      <c r="AT164" s="81">
        <v>4600</v>
      </c>
      <c r="AU164" s="81">
        <v>1900</v>
      </c>
      <c r="AV164" s="81"/>
      <c r="AW164" s="81"/>
      <c r="AX164" s="83">
        <f>SUM(Prog_23[[#This Row],[ADIANTAMENTO]]+Prog_23[[#This Row],[SALDO]]+Prog_23[[#This Row],[MARGEM]]+Prog_23[[#This Row],[ESTADIA 1]])</f>
        <v>6500</v>
      </c>
      <c r="AY1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8300</v>
      </c>
      <c r="AZ164" s="81">
        <v>6987.4</v>
      </c>
      <c r="BA164" s="81">
        <v>208000</v>
      </c>
      <c r="BB164" s="81">
        <v>0</v>
      </c>
      <c r="BC164" s="81">
        <v>0</v>
      </c>
      <c r="BD164" s="81">
        <v>1312.6</v>
      </c>
      <c r="BE164" s="81"/>
      <c r="BF164" s="81"/>
      <c r="BG164" s="81"/>
      <c r="BH164" s="81"/>
      <c r="BI164" s="81"/>
      <c r="BJ164" s="81"/>
      <c r="BK164" s="81"/>
      <c r="BL164" s="81"/>
      <c r="BM164" s="81"/>
      <c r="BN164" s="66" t="s">
        <v>2768</v>
      </c>
      <c r="BO164" s="66" t="s">
        <v>2768</v>
      </c>
      <c r="BP164" s="66" t="s">
        <v>2768</v>
      </c>
      <c r="BQ164" s="66" t="str">
        <f>PROPER(TEXT(Prog_23[[#This Row],[PROGRAMAÇÃO CLIENTE]],"mmm"))</f>
        <v>Abr</v>
      </c>
      <c r="BR164" s="66">
        <f>YEAR(Prog_23[[#This Row],[PROGRAMAÇÃO CLIENTE]])</f>
        <v>2023</v>
      </c>
    </row>
    <row r="165" spans="1:70" x14ac:dyDescent="0.25">
      <c r="A165" s="120" t="str">
        <f>Prog_23[[#This Row],[CONTEINER]]</f>
        <v>FFAU2035781</v>
      </c>
      <c r="B165" s="86" t="s">
        <v>2771</v>
      </c>
      <c r="C1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5" s="85">
        <v>45021.270833333336</v>
      </c>
      <c r="E165" s="66" t="s">
        <v>2549</v>
      </c>
      <c r="F165" s="66" t="s">
        <v>4074</v>
      </c>
      <c r="G165" s="66" t="s">
        <v>4076</v>
      </c>
      <c r="H165" s="44" t="s">
        <v>4075</v>
      </c>
      <c r="I165" s="44" t="s">
        <v>4157</v>
      </c>
      <c r="J165" s="66" t="s">
        <v>301</v>
      </c>
      <c r="K165" s="66">
        <v>3700</v>
      </c>
      <c r="L165" s="66" t="s">
        <v>4204</v>
      </c>
      <c r="M165" s="66">
        <v>25050</v>
      </c>
      <c r="N165" s="66">
        <f>SUM(Prog_23[[#This Row],[TARA]]+Prog_23[[#This Row],[PESO]])</f>
        <v>28750</v>
      </c>
      <c r="O165" s="44">
        <v>14221</v>
      </c>
      <c r="P165" s="66" t="s">
        <v>4081</v>
      </c>
      <c r="Q165" s="66" t="s">
        <v>106</v>
      </c>
      <c r="R165" s="66" t="s">
        <v>107</v>
      </c>
      <c r="S165" s="66" t="s">
        <v>108</v>
      </c>
      <c r="T165" s="138" t="str">
        <f>IFERROR(LOOKUP($S165,MOTORISTAS!$D$3:$D$916,MOTORISTAS!E$3:$E$916),"")</f>
        <v>34927982840</v>
      </c>
      <c r="U165" s="138" t="str">
        <f>IFERROR(LOOKUP($S165,MOTORISTAS!$D$3:$D$916,MOTORISTAS!F$3:$F$916),"")</f>
        <v>03500129879</v>
      </c>
      <c r="V165" s="66" t="s">
        <v>292</v>
      </c>
      <c r="W165" s="79">
        <v>45020.444444444445</v>
      </c>
      <c r="X165" s="79">
        <v>45020.854166666664</v>
      </c>
      <c r="Y165" s="79">
        <v>45021.511805555558</v>
      </c>
      <c r="Z165" s="66" t="s">
        <v>4228</v>
      </c>
      <c r="AA165" s="79">
        <v>45021.895833333336</v>
      </c>
      <c r="AB165" s="66"/>
      <c r="AC165" s="79">
        <v>45027.5</v>
      </c>
      <c r="AD165" s="79">
        <v>45030.5</v>
      </c>
      <c r="AE165" s="66" t="s">
        <v>4080</v>
      </c>
      <c r="AF165" s="44">
        <v>15613</v>
      </c>
      <c r="AG165" s="254">
        <f>Prog_23[[#This Row],[SAÍDA DO CLIENTE]]-Prog_23[[#This Row],[PROGRAMAÇÃO CLIENTE]]</f>
        <v>0.24097222222189885</v>
      </c>
      <c r="AH165" s="44"/>
      <c r="AI165" s="66"/>
      <c r="AJ165" s="66"/>
      <c r="AK165" s="66"/>
      <c r="AL165" s="66"/>
      <c r="AM165" s="66"/>
      <c r="AN165" s="83"/>
      <c r="AO165" s="83"/>
      <c r="AP165" s="83"/>
      <c r="AQ165" s="66"/>
      <c r="AR165" s="66" t="s">
        <v>4973</v>
      </c>
      <c r="AS165" s="66"/>
      <c r="AT165" s="81">
        <v>4600</v>
      </c>
      <c r="AU165" s="81">
        <v>1900</v>
      </c>
      <c r="AV165" s="81"/>
      <c r="AW165" s="81"/>
      <c r="AX165" s="83">
        <f>SUM(Prog_23[[#This Row],[ADIANTAMENTO]]+Prog_23[[#This Row],[SALDO]]+Prog_23[[#This Row],[MARGEM]]+Prog_23[[#This Row],[ESTADIA 1]])</f>
        <v>6500</v>
      </c>
      <c r="AY1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8300</v>
      </c>
      <c r="AZ165" s="81">
        <v>6987.4</v>
      </c>
      <c r="BA165" s="81">
        <v>208000</v>
      </c>
      <c r="BB165" s="81">
        <v>0</v>
      </c>
      <c r="BC165" s="81">
        <v>0</v>
      </c>
      <c r="BD165" s="81">
        <v>1312.6</v>
      </c>
      <c r="BE165" s="81"/>
      <c r="BF165" s="81"/>
      <c r="BG165" s="81"/>
      <c r="BH165" s="81"/>
      <c r="BI165" s="81"/>
      <c r="BJ165" s="81"/>
      <c r="BK165" s="81"/>
      <c r="BL165" s="81"/>
      <c r="BM165" s="81"/>
      <c r="BN165" s="66" t="s">
        <v>2768</v>
      </c>
      <c r="BO165" s="66" t="s">
        <v>2768</v>
      </c>
      <c r="BP165" s="66" t="s">
        <v>2768</v>
      </c>
      <c r="BQ165" s="66" t="str">
        <f>PROPER(TEXT(Prog_23[[#This Row],[PROGRAMAÇÃO CLIENTE]],"mmm"))</f>
        <v>Abr</v>
      </c>
      <c r="BR165" s="66">
        <f>YEAR(Prog_23[[#This Row],[PROGRAMAÇÃO CLIENTE]])</f>
        <v>2023</v>
      </c>
    </row>
    <row r="166" spans="1:70" x14ac:dyDescent="0.25">
      <c r="A166" s="120" t="str">
        <f>Prog_23[[#This Row],[CONTEINER]]</f>
        <v>TGBU9917552</v>
      </c>
      <c r="B166" s="86" t="s">
        <v>2771</v>
      </c>
      <c r="C1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6" s="85">
        <v>45021.270833333336</v>
      </c>
      <c r="E166" s="66" t="s">
        <v>2549</v>
      </c>
      <c r="F166" s="66" t="s">
        <v>4074</v>
      </c>
      <c r="G166" s="66" t="s">
        <v>4076</v>
      </c>
      <c r="H166" s="44" t="s">
        <v>4075</v>
      </c>
      <c r="I166" s="44" t="s">
        <v>4156</v>
      </c>
      <c r="J166" s="66" t="s">
        <v>301</v>
      </c>
      <c r="K166" s="66">
        <v>3700</v>
      </c>
      <c r="L166" s="66" t="s">
        <v>4205</v>
      </c>
      <c r="M166" s="66">
        <v>25050</v>
      </c>
      <c r="N166" s="66">
        <f>SUM(Prog_23[[#This Row],[TARA]]+Prog_23[[#This Row],[PESO]])</f>
        <v>28750</v>
      </c>
      <c r="O166" s="44">
        <v>14219</v>
      </c>
      <c r="P166" s="66" t="s">
        <v>4081</v>
      </c>
      <c r="Q166" s="66" t="s">
        <v>155</v>
      </c>
      <c r="R166" s="66" t="s">
        <v>209</v>
      </c>
      <c r="S166" s="66" t="s">
        <v>156</v>
      </c>
      <c r="T166" s="138" t="str">
        <f>IFERROR(LOOKUP($S166,MOTORISTAS!$D$3:$D$916,MOTORISTAS!E$3:$E$916),"")</f>
        <v>09803034863</v>
      </c>
      <c r="U166" s="138" t="str">
        <f>IFERROR(LOOKUP($S166,MOTORISTAS!$D$3:$D$916,MOTORISTAS!F$3:$F$916),"")</f>
        <v>01484565209</v>
      </c>
      <c r="V166" s="66" t="s">
        <v>292</v>
      </c>
      <c r="W166" s="79">
        <v>45020.407638888886</v>
      </c>
      <c r="X166" s="79">
        <v>45020.913194444445</v>
      </c>
      <c r="Y166" s="79">
        <v>45021.59375</v>
      </c>
      <c r="Z166" s="66" t="s">
        <v>4228</v>
      </c>
      <c r="AA166" s="79">
        <v>45021.947916666664</v>
      </c>
      <c r="AB166" s="66"/>
      <c r="AC166" s="79">
        <v>45027.5</v>
      </c>
      <c r="AD166" s="79">
        <v>45030.5</v>
      </c>
      <c r="AE166" s="66" t="s">
        <v>4080</v>
      </c>
      <c r="AF166" s="44">
        <v>15617</v>
      </c>
      <c r="AG166" s="254">
        <f>Prog_23[[#This Row],[SAÍDA DO CLIENTE]]-Prog_23[[#This Row],[PROGRAMAÇÃO CLIENTE]]</f>
        <v>0.32291666666424135</v>
      </c>
      <c r="AH166" s="44"/>
      <c r="AI166" s="66"/>
      <c r="AJ166" s="66"/>
      <c r="AK166" s="66"/>
      <c r="AL166" s="66"/>
      <c r="AM166" s="66"/>
      <c r="AN166" s="83"/>
      <c r="AO166" s="83"/>
      <c r="AP166" s="83"/>
      <c r="AQ166" s="66"/>
      <c r="AR166" s="66" t="s">
        <v>4973</v>
      </c>
      <c r="AS166" s="66"/>
      <c r="AT166" s="81">
        <v>4600</v>
      </c>
      <c r="AU166" s="81">
        <v>1900</v>
      </c>
      <c r="AV166" s="81"/>
      <c r="AW166" s="81"/>
      <c r="AX166" s="83">
        <f>SUM(Prog_23[[#This Row],[ADIANTAMENTO]]+Prog_23[[#This Row],[SALDO]]+Prog_23[[#This Row],[MARGEM]]+Prog_23[[#This Row],[ESTADIA 1]])</f>
        <v>6500</v>
      </c>
      <c r="AY1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8300</v>
      </c>
      <c r="AZ166" s="81">
        <v>6987.4</v>
      </c>
      <c r="BA166" s="81">
        <v>208000</v>
      </c>
      <c r="BB166" s="81">
        <v>0</v>
      </c>
      <c r="BC166" s="81">
        <v>0</v>
      </c>
      <c r="BD166" s="81">
        <v>1312.6</v>
      </c>
      <c r="BE166" s="81"/>
      <c r="BF166" s="81"/>
      <c r="BG166" s="81"/>
      <c r="BH166" s="81"/>
      <c r="BI166" s="81"/>
      <c r="BJ166" s="81"/>
      <c r="BK166" s="81"/>
      <c r="BL166" s="81"/>
      <c r="BM166" s="81"/>
      <c r="BN166" s="66" t="s">
        <v>2768</v>
      </c>
      <c r="BO166" s="66" t="s">
        <v>2768</v>
      </c>
      <c r="BP166" s="66" t="s">
        <v>2768</v>
      </c>
      <c r="BQ166" s="66" t="str">
        <f>PROPER(TEXT(Prog_23[[#This Row],[PROGRAMAÇÃO CLIENTE]],"mmm"))</f>
        <v>Abr</v>
      </c>
      <c r="BR166" s="66">
        <f>YEAR(Prog_23[[#This Row],[PROGRAMAÇÃO CLIENTE]])</f>
        <v>2023</v>
      </c>
    </row>
    <row r="167" spans="1:70" x14ac:dyDescent="0.25">
      <c r="A167" s="120" t="str">
        <f>Prog_23[[#This Row],[CONTEINER]]</f>
        <v>TRHU8637519</v>
      </c>
      <c r="B167" s="86" t="s">
        <v>2771</v>
      </c>
      <c r="C1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7" s="85">
        <v>45021.270833333336</v>
      </c>
      <c r="E167" s="66" t="s">
        <v>2549</v>
      </c>
      <c r="F167" s="66" t="s">
        <v>4074</v>
      </c>
      <c r="G167" s="66" t="s">
        <v>4076</v>
      </c>
      <c r="H167" s="44" t="s">
        <v>4075</v>
      </c>
      <c r="I167" s="44" t="s">
        <v>4154</v>
      </c>
      <c r="J167" s="66" t="s">
        <v>301</v>
      </c>
      <c r="K167" s="66">
        <v>3700</v>
      </c>
      <c r="L167" s="66" t="s">
        <v>4199</v>
      </c>
      <c r="M167" s="66">
        <v>25050</v>
      </c>
      <c r="N167" s="66">
        <f>SUM(Prog_23[[#This Row],[TARA]]+Prog_23[[#This Row],[PESO]])</f>
        <v>28750</v>
      </c>
      <c r="O167" s="44">
        <v>14222</v>
      </c>
      <c r="P167" s="66" t="s">
        <v>4081</v>
      </c>
      <c r="Q167" s="66" t="s">
        <v>72</v>
      </c>
      <c r="R167" s="66" t="s">
        <v>73</v>
      </c>
      <c r="S167" s="66" t="s">
        <v>203</v>
      </c>
      <c r="T167" s="138" t="str">
        <f>IFERROR(LOOKUP($S167,MOTORISTAS!$D$3:$D$916,MOTORISTAS!E$3:$E$916),"")</f>
        <v>10395859816</v>
      </c>
      <c r="U167" s="138" t="str">
        <f>IFERROR(LOOKUP($S167,MOTORISTAS!$D$3:$D$916,MOTORISTAS!F$3:$F$916),"")</f>
        <v>01965794851</v>
      </c>
      <c r="V167" s="66" t="s">
        <v>292</v>
      </c>
      <c r="W167" s="79">
        <v>45020.409722222219</v>
      </c>
      <c r="X167" s="79">
        <v>45020.8125</v>
      </c>
      <c r="Y167" s="79">
        <v>45021.444444444445</v>
      </c>
      <c r="Z167" s="66" t="s">
        <v>4228</v>
      </c>
      <c r="AA167" s="79">
        <v>45021.90625</v>
      </c>
      <c r="AB167" s="66"/>
      <c r="AC167" s="79">
        <v>45027.5</v>
      </c>
      <c r="AD167" s="79">
        <v>45030.5</v>
      </c>
      <c r="AE167" s="66" t="s">
        <v>4080</v>
      </c>
      <c r="AF167" s="44">
        <v>15611</v>
      </c>
      <c r="AG167" s="254">
        <f>Prog_23[[#This Row],[SAÍDA DO CLIENTE]]-Prog_23[[#This Row],[PROGRAMAÇÃO CLIENTE]]</f>
        <v>0.17361111110949423</v>
      </c>
      <c r="AH167" s="44"/>
      <c r="AI167" s="66"/>
      <c r="AJ167" s="66"/>
      <c r="AK167" s="66"/>
      <c r="AL167" s="66"/>
      <c r="AM167" s="66"/>
      <c r="AN167" s="83"/>
      <c r="AO167" s="83"/>
      <c r="AP167" s="83"/>
      <c r="AQ167" s="66"/>
      <c r="AR167" s="66" t="s">
        <v>4973</v>
      </c>
      <c r="AS167" s="66"/>
      <c r="AT167" s="81">
        <v>4600</v>
      </c>
      <c r="AU167" s="81">
        <v>1900</v>
      </c>
      <c r="AV167" s="81"/>
      <c r="AW167" s="81"/>
      <c r="AX167" s="83">
        <f>SUM(Prog_23[[#This Row],[ADIANTAMENTO]]+Prog_23[[#This Row],[SALDO]]+Prog_23[[#This Row],[MARGEM]]+Prog_23[[#This Row],[ESTADIA 1]])</f>
        <v>6500</v>
      </c>
      <c r="AY1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8300</v>
      </c>
      <c r="AZ167" s="81">
        <v>6987.4</v>
      </c>
      <c r="BA167" s="81">
        <v>208000</v>
      </c>
      <c r="BB167" s="81">
        <v>0</v>
      </c>
      <c r="BC167" s="81">
        <v>0</v>
      </c>
      <c r="BD167" s="81">
        <v>1312.6</v>
      </c>
      <c r="BE167" s="81"/>
      <c r="BF167" s="81"/>
      <c r="BG167" s="81"/>
      <c r="BH167" s="81"/>
      <c r="BI167" s="81"/>
      <c r="BJ167" s="81"/>
      <c r="BK167" s="81"/>
      <c r="BL167" s="81"/>
      <c r="BM167" s="81"/>
      <c r="BN167" s="66" t="s">
        <v>2768</v>
      </c>
      <c r="BO167" s="66" t="s">
        <v>2768</v>
      </c>
      <c r="BP167" s="66" t="s">
        <v>2768</v>
      </c>
      <c r="BQ167" s="66" t="str">
        <f>PROPER(TEXT(Prog_23[[#This Row],[PROGRAMAÇÃO CLIENTE]],"mmm"))</f>
        <v>Abr</v>
      </c>
      <c r="BR167" s="66">
        <f>YEAR(Prog_23[[#This Row],[PROGRAMAÇÃO CLIENTE]])</f>
        <v>2023</v>
      </c>
    </row>
    <row r="168" spans="1:70" x14ac:dyDescent="0.25">
      <c r="A168" s="120" t="str">
        <f>Prog_23[[#This Row],[CONTEINER]]</f>
        <v>SEGU6803729</v>
      </c>
      <c r="B168" s="86" t="s">
        <v>2771</v>
      </c>
      <c r="C1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8" s="85">
        <v>45021.270833333336</v>
      </c>
      <c r="E168" s="66" t="s">
        <v>2549</v>
      </c>
      <c r="F168" s="66" t="s">
        <v>4074</v>
      </c>
      <c r="G168" s="66" t="s">
        <v>4076</v>
      </c>
      <c r="H168" s="44" t="s">
        <v>4075</v>
      </c>
      <c r="I168" s="44" t="s">
        <v>4153</v>
      </c>
      <c r="J168" s="66" t="s">
        <v>301</v>
      </c>
      <c r="K168" s="66">
        <v>3700</v>
      </c>
      <c r="L168" s="66" t="s">
        <v>4201</v>
      </c>
      <c r="M168" s="66">
        <v>25050</v>
      </c>
      <c r="N168" s="66">
        <f>SUM(Prog_23[[#This Row],[TARA]]+Prog_23[[#This Row],[PESO]])</f>
        <v>28750</v>
      </c>
      <c r="O168" s="44">
        <v>14218</v>
      </c>
      <c r="P168" s="66" t="s">
        <v>4081</v>
      </c>
      <c r="Q168" s="66" t="s">
        <v>31</v>
      </c>
      <c r="R168" s="66" t="s">
        <v>32</v>
      </c>
      <c r="S168" s="66" t="s">
        <v>33</v>
      </c>
      <c r="T168" s="138" t="str">
        <f>IFERROR(LOOKUP($S168,MOTORISTAS!$D$3:$D$916,MOTORISTAS!E$3:$E$916),"")</f>
        <v>09776430856</v>
      </c>
      <c r="U168" s="138" t="str">
        <f>IFERROR(LOOKUP($S168,MOTORISTAS!$D$3:$D$916,MOTORISTAS!F$3:$F$916),"")</f>
        <v>01258979905</v>
      </c>
      <c r="V168" s="66" t="s">
        <v>292</v>
      </c>
      <c r="W168" s="79">
        <v>45020.405555555553</v>
      </c>
      <c r="X168" s="79">
        <v>45020.840277777781</v>
      </c>
      <c r="Y168" s="79">
        <v>45021.512499999997</v>
      </c>
      <c r="Z168" s="66" t="s">
        <v>4228</v>
      </c>
      <c r="AA168" s="79">
        <v>45021.902777777781</v>
      </c>
      <c r="AB168" s="66"/>
      <c r="AC168" s="79">
        <v>45027.5</v>
      </c>
      <c r="AD168" s="79">
        <v>45030.5</v>
      </c>
      <c r="AE168" s="66" t="s">
        <v>4080</v>
      </c>
      <c r="AF168" s="44">
        <v>15612</v>
      </c>
      <c r="AG168" s="254">
        <f>Prog_23[[#This Row],[SAÍDA DO CLIENTE]]-Prog_23[[#This Row],[PROGRAMAÇÃO CLIENTE]]</f>
        <v>0.24166666666133096</v>
      </c>
      <c r="AH168" s="44"/>
      <c r="AI168" s="66"/>
      <c r="AJ168" s="66"/>
      <c r="AK168" s="66"/>
      <c r="AL168" s="66"/>
      <c r="AM168" s="66"/>
      <c r="AN168" s="83"/>
      <c r="AO168" s="83"/>
      <c r="AP168" s="83"/>
      <c r="AQ168" s="66"/>
      <c r="AR168" s="66" t="s">
        <v>4973</v>
      </c>
      <c r="AS168" s="66"/>
      <c r="AT168" s="81">
        <v>4600</v>
      </c>
      <c r="AU168" s="81">
        <v>1900</v>
      </c>
      <c r="AV168" s="81"/>
      <c r="AW168" s="81"/>
      <c r="AX168" s="83">
        <f>SUM(Prog_23[[#This Row],[ADIANTAMENTO]]+Prog_23[[#This Row],[SALDO]]+Prog_23[[#This Row],[MARGEM]]+Prog_23[[#This Row],[ESTADIA 1]])</f>
        <v>6500</v>
      </c>
      <c r="AY1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8300</v>
      </c>
      <c r="AZ168" s="81">
        <v>6987.4</v>
      </c>
      <c r="BA168" s="81">
        <v>208000</v>
      </c>
      <c r="BB168" s="81">
        <v>0</v>
      </c>
      <c r="BC168" s="81">
        <v>0</v>
      </c>
      <c r="BD168" s="81">
        <v>1312.6</v>
      </c>
      <c r="BE168" s="81"/>
      <c r="BF168" s="81"/>
      <c r="BG168" s="81"/>
      <c r="BH168" s="81"/>
      <c r="BI168" s="81"/>
      <c r="BJ168" s="81"/>
      <c r="BK168" s="81"/>
      <c r="BL168" s="81"/>
      <c r="BM168" s="81"/>
      <c r="BN168" s="66" t="s">
        <v>2768</v>
      </c>
      <c r="BO168" s="66" t="s">
        <v>2768</v>
      </c>
      <c r="BP168" s="66" t="s">
        <v>2768</v>
      </c>
      <c r="BQ168" s="66" t="str">
        <f>PROPER(TEXT(Prog_23[[#This Row],[PROGRAMAÇÃO CLIENTE]],"mmm"))</f>
        <v>Abr</v>
      </c>
      <c r="BR168" s="66">
        <f>YEAR(Prog_23[[#This Row],[PROGRAMAÇÃO CLIENTE]])</f>
        <v>2023</v>
      </c>
    </row>
    <row r="169" spans="1:70" x14ac:dyDescent="0.25">
      <c r="A169" s="120" t="str">
        <f>Prog_23[[#This Row],[CONTEINER]]</f>
        <v>TCKU7462629</v>
      </c>
      <c r="B169" s="86" t="s">
        <v>2909</v>
      </c>
      <c r="C1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69" s="85">
        <v>45021.270833333336</v>
      </c>
      <c r="E169" s="66" t="s">
        <v>2549</v>
      </c>
      <c r="F169" s="66" t="s">
        <v>4074</v>
      </c>
      <c r="G169" s="66" t="s">
        <v>4077</v>
      </c>
      <c r="H169" s="44">
        <v>226292981</v>
      </c>
      <c r="I169" s="44" t="s">
        <v>4164</v>
      </c>
      <c r="J169" s="66" t="s">
        <v>301</v>
      </c>
      <c r="K169" s="66">
        <v>3700</v>
      </c>
      <c r="L169" s="66" t="s">
        <v>4216</v>
      </c>
      <c r="M169" s="66">
        <v>25050</v>
      </c>
      <c r="N169" s="66">
        <f>SUM(Prog_23[[#This Row],[TARA]]+Prog_23[[#This Row],[PESO]])</f>
        <v>28750</v>
      </c>
      <c r="O169" s="44">
        <v>14226</v>
      </c>
      <c r="P169" s="66" t="s">
        <v>4078</v>
      </c>
      <c r="Q169" s="66" t="s">
        <v>150</v>
      </c>
      <c r="R169" s="66" t="s">
        <v>151</v>
      </c>
      <c r="S169" s="66" t="s">
        <v>152</v>
      </c>
      <c r="T169" s="138" t="str">
        <f>IFERROR(LOOKUP($S169,MOTORISTAS!$D$3:$D$916,MOTORISTAS!E$3:$E$916),"")</f>
        <v>05753633803</v>
      </c>
      <c r="U169" s="138" t="str">
        <f>IFERROR(LOOKUP($S169,MOTORISTAS!$D$3:$D$916,MOTORISTAS!F$3:$F$916),"")</f>
        <v>01922497849</v>
      </c>
      <c r="V169" s="66" t="s">
        <v>292</v>
      </c>
      <c r="W169" s="79">
        <v>45020.477083333331</v>
      </c>
      <c r="X169" s="79">
        <v>45020.916666666664</v>
      </c>
      <c r="Y169" s="79">
        <v>45021.798611111109</v>
      </c>
      <c r="Z169" s="66" t="s">
        <v>4228</v>
      </c>
      <c r="AA169" s="79">
        <v>45022.277777777781</v>
      </c>
      <c r="AB169" s="66"/>
      <c r="AC169" s="79">
        <v>45027.5</v>
      </c>
      <c r="AD169" s="79">
        <v>45030.5</v>
      </c>
      <c r="AE169" s="66" t="s">
        <v>4079</v>
      </c>
      <c r="AF169" s="44">
        <v>15621</v>
      </c>
      <c r="AG169" s="254">
        <f>Prog_23[[#This Row],[SAÍDA DO CLIENTE]]-Prog_23[[#This Row],[PROGRAMAÇÃO CLIENTE]]</f>
        <v>0.52777777777373558</v>
      </c>
      <c r="AH169" s="44"/>
      <c r="AI169" s="66"/>
      <c r="AJ169" s="66"/>
      <c r="AK169" s="66"/>
      <c r="AL169" s="66"/>
      <c r="AM169" s="66"/>
      <c r="AN169" s="83"/>
      <c r="AO169" s="83"/>
      <c r="AP169" s="83"/>
      <c r="AQ169" s="66"/>
      <c r="AR169" s="66" t="s">
        <v>4973</v>
      </c>
      <c r="AS169" s="66"/>
      <c r="AT169" s="81">
        <v>4600</v>
      </c>
      <c r="AU169" s="81">
        <v>1900</v>
      </c>
      <c r="AV169" s="81"/>
      <c r="AW169" s="81"/>
      <c r="AX169" s="83">
        <f>SUM(Prog_23[[#This Row],[ADIANTAMENTO]]+Prog_23[[#This Row],[SALDO]]+Prog_23[[#This Row],[MARGEM]]+Prog_23[[#This Row],[ESTADIA 1]])</f>
        <v>6500</v>
      </c>
      <c r="AY1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6987.4</v>
      </c>
      <c r="AZ169" s="81">
        <v>6987.4</v>
      </c>
      <c r="BA169" s="81"/>
      <c r="BB169" s="81">
        <f>Prog_23[[#This Row],[VLR NF]]*0.1%</f>
        <v>0</v>
      </c>
      <c r="BC169" s="81">
        <f>Prog_23[[#This Row],[VLR NF]]*0.05%</f>
        <v>0</v>
      </c>
      <c r="BD169" s="81"/>
      <c r="BE169" s="81"/>
      <c r="BF169" s="81"/>
      <c r="BG169" s="81"/>
      <c r="BH169" s="81"/>
      <c r="BI169" s="81"/>
      <c r="BJ169" s="81"/>
      <c r="BK169" s="81"/>
      <c r="BL169" s="81"/>
      <c r="BM169" s="81"/>
      <c r="BN169" s="66" t="s">
        <v>2768</v>
      </c>
      <c r="BO169" s="66" t="s">
        <v>2768</v>
      </c>
      <c r="BP169" s="66"/>
      <c r="BQ169" s="66" t="str">
        <f>PROPER(TEXT(Prog_23[[#This Row],[PROGRAMAÇÃO CLIENTE]],"mmm"))</f>
        <v>Abr</v>
      </c>
      <c r="BR169" s="66">
        <f>YEAR(Prog_23[[#This Row],[PROGRAMAÇÃO CLIENTE]])</f>
        <v>2023</v>
      </c>
    </row>
    <row r="170" spans="1:70" x14ac:dyDescent="0.25">
      <c r="A170" s="120" t="str">
        <f>Prog_23[[#This Row],[CONTEINER]]</f>
        <v>MRSU6005114</v>
      </c>
      <c r="B170" s="86" t="s">
        <v>2909</v>
      </c>
      <c r="C1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70" s="85">
        <v>45021.270833333336</v>
      </c>
      <c r="E170" s="66" t="s">
        <v>2549</v>
      </c>
      <c r="F170" s="66" t="s">
        <v>4074</v>
      </c>
      <c r="G170" s="66" t="s">
        <v>4077</v>
      </c>
      <c r="H170" s="44">
        <v>226292981</v>
      </c>
      <c r="I170" s="44" t="s">
        <v>4169</v>
      </c>
      <c r="J170" s="66" t="s">
        <v>301</v>
      </c>
      <c r="K170" s="66">
        <v>3720</v>
      </c>
      <c r="L170" s="66" t="s">
        <v>4217</v>
      </c>
      <c r="M170" s="66">
        <v>25050</v>
      </c>
      <c r="N170" s="66">
        <f>SUM(Prog_23[[#This Row],[TARA]]+Prog_23[[#This Row],[PESO]])</f>
        <v>28770</v>
      </c>
      <c r="O170" s="44">
        <v>14227</v>
      </c>
      <c r="P170" s="66" t="s">
        <v>4078</v>
      </c>
      <c r="Q170" s="66" t="s">
        <v>4119</v>
      </c>
      <c r="R170" s="66" t="s">
        <v>4124</v>
      </c>
      <c r="S170" s="66" t="s">
        <v>4126</v>
      </c>
      <c r="T170" s="138" t="str">
        <f>IFERROR(LOOKUP($S170,MOTORISTAS!$D$3:$D$916,MOTORISTAS!E$3:$E$916),"")</f>
        <v>88517462815</v>
      </c>
      <c r="U170" s="138" t="str">
        <f>IFERROR(LOOKUP($S170,MOTORISTAS!$D$3:$D$916,MOTORISTAS!F$3:$F$916),"")</f>
        <v>02870990342</v>
      </c>
      <c r="V170" s="66" t="s">
        <v>292</v>
      </c>
      <c r="W170" s="79">
        <v>45020.512499999997</v>
      </c>
      <c r="X170" s="79">
        <v>45020.923611111109</v>
      </c>
      <c r="Y170" s="79">
        <v>45022.291666666664</v>
      </c>
      <c r="Z170" s="66" t="s">
        <v>4228</v>
      </c>
      <c r="AA170" s="79">
        <v>45022.784722222219</v>
      </c>
      <c r="AB170" s="66"/>
      <c r="AC170" s="79">
        <v>45027.5</v>
      </c>
      <c r="AD170" s="79">
        <v>45030.5</v>
      </c>
      <c r="AE170" s="66" t="s">
        <v>4079</v>
      </c>
      <c r="AF170" s="44" t="s">
        <v>4402</v>
      </c>
      <c r="AG170" s="254">
        <f>Prog_23[[#This Row],[SAÍDA DO CLIENTE]]-Prog_23[[#This Row],[PROGRAMAÇÃO CLIENTE]]</f>
        <v>1.0208333333284827</v>
      </c>
      <c r="AH170" s="44"/>
      <c r="AI170" s="66"/>
      <c r="AJ170" s="66"/>
      <c r="AK170" s="66"/>
      <c r="AL170" s="66"/>
      <c r="AM170" s="66"/>
      <c r="AN170" s="83"/>
      <c r="AO170" s="83"/>
      <c r="AP170" s="83"/>
      <c r="AQ170" s="66"/>
      <c r="AR170" s="66" t="s">
        <v>4973</v>
      </c>
      <c r="AS170" s="66"/>
      <c r="AT170" s="81">
        <v>4600</v>
      </c>
      <c r="AU170" s="81">
        <v>1900</v>
      </c>
      <c r="AV170" s="81"/>
      <c r="AW170" s="81">
        <v>400</v>
      </c>
      <c r="AX170" s="83">
        <f>SUM(Prog_23[[#This Row],[ADIANTAMENTO]]+Prog_23[[#This Row],[SALDO]]+Prog_23[[#This Row],[MARGEM]]+Prog_23[[#This Row],[ESTADIA 1]])</f>
        <v>6900</v>
      </c>
      <c r="AY1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6987.4</v>
      </c>
      <c r="AZ170" s="81">
        <v>6987.4</v>
      </c>
      <c r="BA170" s="81"/>
      <c r="BB170" s="81">
        <f>Prog_23[[#This Row],[VLR NF]]*0.1%</f>
        <v>0</v>
      </c>
      <c r="BC170" s="81">
        <f>Prog_23[[#This Row],[VLR NF]]*0.05%</f>
        <v>0</v>
      </c>
      <c r="BD170" s="81"/>
      <c r="BE170" s="81"/>
      <c r="BF170" s="81"/>
      <c r="BG170" s="81"/>
      <c r="BH170" s="81"/>
      <c r="BI170" s="81"/>
      <c r="BJ170" s="81"/>
      <c r="BK170" s="81"/>
      <c r="BL170" s="81"/>
      <c r="BM170" s="81"/>
      <c r="BN170" s="66" t="s">
        <v>2768</v>
      </c>
      <c r="BO170" s="66" t="s">
        <v>2768</v>
      </c>
      <c r="BP170" s="66"/>
      <c r="BQ170" s="66" t="str">
        <f>PROPER(TEXT(Prog_23[[#This Row],[PROGRAMAÇÃO CLIENTE]],"mmm"))</f>
        <v>Abr</v>
      </c>
      <c r="BR170" s="66">
        <f>YEAR(Prog_23[[#This Row],[PROGRAMAÇÃO CLIENTE]])</f>
        <v>2023</v>
      </c>
    </row>
    <row r="171" spans="1:70" x14ac:dyDescent="0.25">
      <c r="A171" s="120" t="str">
        <f>Prog_23[[#This Row],[CONTEINER]]</f>
        <v>GCXU5605743</v>
      </c>
      <c r="B171" s="86" t="s">
        <v>2909</v>
      </c>
      <c r="C1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71" s="85">
        <v>45021.270833333336</v>
      </c>
      <c r="E171" s="66" t="s">
        <v>2549</v>
      </c>
      <c r="F171" s="66" t="s">
        <v>4074</v>
      </c>
      <c r="G171" s="66" t="s">
        <v>4077</v>
      </c>
      <c r="H171" s="44">
        <v>226292981</v>
      </c>
      <c r="I171" s="44" t="s">
        <v>4158</v>
      </c>
      <c r="J171" s="66" t="s">
        <v>301</v>
      </c>
      <c r="K171" s="66">
        <v>3700</v>
      </c>
      <c r="L171" s="66" t="s">
        <v>4222</v>
      </c>
      <c r="M171" s="66">
        <v>25050</v>
      </c>
      <c r="N171" s="66">
        <f>SUM(Prog_23[[#This Row],[TARA]]+Prog_23[[#This Row],[PESO]])</f>
        <v>28750</v>
      </c>
      <c r="O171" s="44">
        <v>14225</v>
      </c>
      <c r="P171" s="66" t="s">
        <v>4078</v>
      </c>
      <c r="Q171" s="66" t="s">
        <v>4120</v>
      </c>
      <c r="R171" s="66" t="s">
        <v>4123</v>
      </c>
      <c r="S171" s="66" t="s">
        <v>4125</v>
      </c>
      <c r="T171" s="138" t="str">
        <f>IFERROR(LOOKUP($S171,MOTORISTAS!$D$3:$D$916,MOTORISTAS!E$3:$E$916),"")</f>
        <v>32653447894</v>
      </c>
      <c r="U171" s="138" t="str">
        <f>IFERROR(LOOKUP($S171,MOTORISTAS!$D$3:$D$916,MOTORISTAS!F$3:$F$916),"")</f>
        <v>04359741930</v>
      </c>
      <c r="V171" s="66" t="s">
        <v>292</v>
      </c>
      <c r="W171" s="79">
        <v>45020.457638888889</v>
      </c>
      <c r="X171" s="79">
        <v>45020.923611111109</v>
      </c>
      <c r="Y171" s="79">
        <v>45022.395833333336</v>
      </c>
      <c r="Z171" s="66" t="s">
        <v>4228</v>
      </c>
      <c r="AA171" s="79">
        <v>45022.784722222219</v>
      </c>
      <c r="AB171" s="66"/>
      <c r="AC171" s="79">
        <v>45027.5</v>
      </c>
      <c r="AD171" s="79">
        <v>45030.5</v>
      </c>
      <c r="AE171" s="66" t="s">
        <v>4079</v>
      </c>
      <c r="AF171" s="44" t="s">
        <v>4403</v>
      </c>
      <c r="AG171" s="254">
        <f>Prog_23[[#This Row],[SAÍDA DO CLIENTE]]-Prog_23[[#This Row],[PROGRAMAÇÃO CLIENTE]]</f>
        <v>1.125</v>
      </c>
      <c r="AH171" s="44"/>
      <c r="AI171" s="66"/>
      <c r="AJ171" s="66"/>
      <c r="AK171" s="66"/>
      <c r="AL171" s="66"/>
      <c r="AM171" s="66"/>
      <c r="AN171" s="83"/>
      <c r="AO171" s="83"/>
      <c r="AP171" s="83"/>
      <c r="AQ171" s="66"/>
      <c r="AR171" s="66" t="s">
        <v>4973</v>
      </c>
      <c r="AS171" s="66"/>
      <c r="AT171" s="81">
        <v>4600</v>
      </c>
      <c r="AU171" s="81">
        <v>1900</v>
      </c>
      <c r="AV171" s="81"/>
      <c r="AW171" s="81">
        <v>400</v>
      </c>
      <c r="AX171" s="83">
        <f>SUM(Prog_23[[#This Row],[ADIANTAMENTO]]+Prog_23[[#This Row],[SALDO]]+Prog_23[[#This Row],[MARGEM]]+Prog_23[[#This Row],[ESTADIA 1]])</f>
        <v>6900</v>
      </c>
      <c r="AY1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6987.4</v>
      </c>
      <c r="AZ171" s="81">
        <v>6987.4</v>
      </c>
      <c r="BA171" s="81"/>
      <c r="BB171" s="81">
        <f>Prog_23[[#This Row],[VLR NF]]*0.1%</f>
        <v>0</v>
      </c>
      <c r="BC171" s="81">
        <f>Prog_23[[#This Row],[VLR NF]]*0.05%</f>
        <v>0</v>
      </c>
      <c r="BD171" s="81"/>
      <c r="BE171" s="81"/>
      <c r="BF171" s="81"/>
      <c r="BG171" s="81"/>
      <c r="BH171" s="81"/>
      <c r="BI171" s="81"/>
      <c r="BJ171" s="81"/>
      <c r="BK171" s="81"/>
      <c r="BL171" s="81"/>
      <c r="BM171" s="81"/>
      <c r="BN171" s="66" t="s">
        <v>2768</v>
      </c>
      <c r="BO171" s="66" t="s">
        <v>2768</v>
      </c>
      <c r="BP171" s="66"/>
      <c r="BQ171" s="66" t="str">
        <f>PROPER(TEXT(Prog_23[[#This Row],[PROGRAMAÇÃO CLIENTE]],"mmm"))</f>
        <v>Abr</v>
      </c>
      <c r="BR171" s="66">
        <f>YEAR(Prog_23[[#This Row],[PROGRAMAÇÃO CLIENTE]])</f>
        <v>2023</v>
      </c>
    </row>
    <row r="172" spans="1:70" x14ac:dyDescent="0.25">
      <c r="A172" s="120" t="str">
        <f>Prog_23[[#This Row],[CONTEINER]]</f>
        <v>TGBU8898817</v>
      </c>
      <c r="B172" s="86" t="s">
        <v>2909</v>
      </c>
      <c r="C1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72" s="85">
        <v>45021.270833333336</v>
      </c>
      <c r="E172" s="66" t="s">
        <v>2549</v>
      </c>
      <c r="F172" s="66" t="s">
        <v>4074</v>
      </c>
      <c r="G172" s="66" t="s">
        <v>4077</v>
      </c>
      <c r="H172" s="44">
        <v>226292981</v>
      </c>
      <c r="I172" s="44" t="s">
        <v>4170</v>
      </c>
      <c r="J172" s="66" t="s">
        <v>301</v>
      </c>
      <c r="K172" s="66">
        <v>3620</v>
      </c>
      <c r="L172" s="66" t="s">
        <v>4218</v>
      </c>
      <c r="M172" s="66">
        <v>25050</v>
      </c>
      <c r="N172" s="66">
        <f>SUM(Prog_23[[#This Row],[TARA]]+Prog_23[[#This Row],[PESO]])</f>
        <v>28670</v>
      </c>
      <c r="O172" s="44">
        <v>14224</v>
      </c>
      <c r="P172" s="66" t="s">
        <v>4078</v>
      </c>
      <c r="Q172" s="66" t="s">
        <v>4121</v>
      </c>
      <c r="R172" s="66" t="s">
        <v>4122</v>
      </c>
      <c r="S172" s="66" t="s">
        <v>4127</v>
      </c>
      <c r="T172" s="138" t="str">
        <f>IFERROR(LOOKUP($S172,MOTORISTAS!$D$3:$D$916,MOTORISTAS!E$3:$E$916),"")</f>
        <v>27550973881</v>
      </c>
      <c r="U172" s="138" t="str">
        <f>IFERROR(LOOKUP($S172,MOTORISTAS!$D$3:$D$916,MOTORISTAS!F$3:$F$916),"")</f>
        <v>02397775096</v>
      </c>
      <c r="V172" s="66" t="s">
        <v>292</v>
      </c>
      <c r="W172" s="79">
        <v>45020.529861111114</v>
      </c>
      <c r="X172" s="79">
        <v>45020.923611111109</v>
      </c>
      <c r="Y172" s="79">
        <v>45022.388888888891</v>
      </c>
      <c r="Z172" s="66" t="s">
        <v>4228</v>
      </c>
      <c r="AA172" s="79">
        <v>45022.784722222219</v>
      </c>
      <c r="AB172" s="66"/>
      <c r="AC172" s="79">
        <v>45027.5</v>
      </c>
      <c r="AD172" s="79">
        <v>45030.5</v>
      </c>
      <c r="AE172" s="66" t="s">
        <v>4079</v>
      </c>
      <c r="AF172" s="44">
        <v>15625</v>
      </c>
      <c r="AG172" s="254">
        <f>Prog_23[[#This Row],[SAÍDA DO CLIENTE]]-Prog_23[[#This Row],[PROGRAMAÇÃO CLIENTE]]</f>
        <v>1.1180555555547471</v>
      </c>
      <c r="AH172" s="44"/>
      <c r="AI172" s="66"/>
      <c r="AJ172" s="66"/>
      <c r="AK172" s="66"/>
      <c r="AL172" s="66"/>
      <c r="AM172" s="66"/>
      <c r="AN172" s="83"/>
      <c r="AO172" s="83"/>
      <c r="AP172" s="83"/>
      <c r="AQ172" s="66"/>
      <c r="AR172" s="66" t="s">
        <v>4973</v>
      </c>
      <c r="AS172" s="66"/>
      <c r="AT172" s="81">
        <v>4600</v>
      </c>
      <c r="AU172" s="81">
        <v>1900</v>
      </c>
      <c r="AV172" s="81"/>
      <c r="AW172" s="81">
        <v>400</v>
      </c>
      <c r="AX172" s="83">
        <f>SUM(Prog_23[[#This Row],[ADIANTAMENTO]]+Prog_23[[#This Row],[SALDO]]+Prog_23[[#This Row],[MARGEM]]+Prog_23[[#This Row],[ESTADIA 1]])</f>
        <v>6900</v>
      </c>
      <c r="AY1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6987.4</v>
      </c>
      <c r="AZ172" s="81">
        <v>6987.4</v>
      </c>
      <c r="BA172" s="81"/>
      <c r="BB172" s="81">
        <f>Prog_23[[#This Row],[VLR NF]]*0.1%</f>
        <v>0</v>
      </c>
      <c r="BC172" s="81">
        <f>Prog_23[[#This Row],[VLR NF]]*0.05%</f>
        <v>0</v>
      </c>
      <c r="BD172" s="81"/>
      <c r="BE172" s="81"/>
      <c r="BF172" s="81"/>
      <c r="BG172" s="81"/>
      <c r="BH172" s="81"/>
      <c r="BI172" s="81"/>
      <c r="BJ172" s="81"/>
      <c r="BK172" s="81"/>
      <c r="BL172" s="81"/>
      <c r="BM172" s="81"/>
      <c r="BN172" s="66" t="s">
        <v>2768</v>
      </c>
      <c r="BO172" s="66" t="s">
        <v>2768</v>
      </c>
      <c r="BP172" s="66"/>
      <c r="BQ172" s="66" t="str">
        <f>PROPER(TEXT(Prog_23[[#This Row],[PROGRAMAÇÃO CLIENTE]],"mmm"))</f>
        <v>Abr</v>
      </c>
      <c r="BR172" s="66">
        <f>YEAR(Prog_23[[#This Row],[PROGRAMAÇÃO CLIENTE]])</f>
        <v>2023</v>
      </c>
    </row>
    <row r="173" spans="1:70" x14ac:dyDescent="0.25">
      <c r="A173" s="120" t="str">
        <f>Prog_23[[#This Row],[CONTEINER]]</f>
        <v>TCKU7409413</v>
      </c>
      <c r="B173" s="86" t="s">
        <v>2909</v>
      </c>
      <c r="C1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73" s="85">
        <v>45021.270833333336</v>
      </c>
      <c r="E173" s="66" t="s">
        <v>2549</v>
      </c>
      <c r="F173" s="66" t="s">
        <v>4074</v>
      </c>
      <c r="G173" s="66" t="s">
        <v>4077</v>
      </c>
      <c r="H173" s="44">
        <v>226292981</v>
      </c>
      <c r="I173" s="44" t="s">
        <v>4159</v>
      </c>
      <c r="J173" s="66" t="s">
        <v>301</v>
      </c>
      <c r="K173" s="66">
        <v>3700</v>
      </c>
      <c r="L173" s="66" t="s">
        <v>4219</v>
      </c>
      <c r="M173" s="66">
        <v>25050</v>
      </c>
      <c r="N173" s="66">
        <f>SUM(Prog_23[[#This Row],[TARA]]+Prog_23[[#This Row],[PESO]])</f>
        <v>28750</v>
      </c>
      <c r="O173" s="44">
        <v>14223</v>
      </c>
      <c r="P173" s="66" t="s">
        <v>4078</v>
      </c>
      <c r="Q173" s="66" t="s">
        <v>2611</v>
      </c>
      <c r="R173" s="66" t="s">
        <v>2612</v>
      </c>
      <c r="S173" s="66" t="s">
        <v>2613</v>
      </c>
      <c r="T173" s="138" t="str">
        <f>IFERROR(LOOKUP($S173,MOTORISTAS!$D$3:$D$916,MOTORISTAS!E$3:$E$916),"")</f>
        <v>31677968800</v>
      </c>
      <c r="U173" s="138" t="str">
        <f>IFERROR(LOOKUP($S173,MOTORISTAS!$D$3:$D$916,MOTORISTAS!F$3:$F$916),"")</f>
        <v>05045192700</v>
      </c>
      <c r="V173" s="66" t="s">
        <v>292</v>
      </c>
      <c r="W173" s="79">
        <v>45020.461111111108</v>
      </c>
      <c r="X173" s="79">
        <v>45020.923611111109</v>
      </c>
      <c r="Y173" s="79">
        <v>45022.388888888891</v>
      </c>
      <c r="Z173" s="66" t="s">
        <v>4228</v>
      </c>
      <c r="AA173" s="79">
        <v>45022.784722222219</v>
      </c>
      <c r="AB173" s="66"/>
      <c r="AC173" s="79">
        <v>45027.5</v>
      </c>
      <c r="AD173" s="79">
        <v>45030.5</v>
      </c>
      <c r="AE173" s="66" t="s">
        <v>4079</v>
      </c>
      <c r="AF173" s="44">
        <v>15626</v>
      </c>
      <c r="AG173" s="254">
        <f>Prog_23[[#This Row],[SAÍDA DO CLIENTE]]-Prog_23[[#This Row],[PROGRAMAÇÃO CLIENTE]]</f>
        <v>1.1180555555547471</v>
      </c>
      <c r="AH173" s="44"/>
      <c r="AI173" s="66"/>
      <c r="AJ173" s="66"/>
      <c r="AK173" s="66"/>
      <c r="AL173" s="66"/>
      <c r="AM173" s="66"/>
      <c r="AN173" s="83"/>
      <c r="AO173" s="83"/>
      <c r="AP173" s="83"/>
      <c r="AQ173" s="66"/>
      <c r="AR173" s="66" t="s">
        <v>4973</v>
      </c>
      <c r="AS173" s="66"/>
      <c r="AT173" s="81">
        <v>4600</v>
      </c>
      <c r="AU173" s="81">
        <v>1900</v>
      </c>
      <c r="AV173" s="81"/>
      <c r="AW173" s="81">
        <v>400</v>
      </c>
      <c r="AX173" s="83">
        <f>SUM(Prog_23[[#This Row],[ADIANTAMENTO]]+Prog_23[[#This Row],[SALDO]]+Prog_23[[#This Row],[MARGEM]]+Prog_23[[#This Row],[ESTADIA 1]])</f>
        <v>6900</v>
      </c>
      <c r="AY1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6987.4</v>
      </c>
      <c r="AZ173" s="81">
        <v>6987.4</v>
      </c>
      <c r="BA173" s="81"/>
      <c r="BB173" s="81">
        <f>Prog_23[[#This Row],[VLR NF]]*0.1%</f>
        <v>0</v>
      </c>
      <c r="BC173" s="81">
        <f>Prog_23[[#This Row],[VLR NF]]*0.05%</f>
        <v>0</v>
      </c>
      <c r="BD173" s="81"/>
      <c r="BE173" s="81"/>
      <c r="BF173" s="81"/>
      <c r="BG173" s="81"/>
      <c r="BH173" s="81"/>
      <c r="BI173" s="81"/>
      <c r="BJ173" s="81"/>
      <c r="BK173" s="81"/>
      <c r="BL173" s="81"/>
      <c r="BM173" s="81"/>
      <c r="BN173" s="66" t="s">
        <v>2768</v>
      </c>
      <c r="BO173" s="66" t="s">
        <v>2768</v>
      </c>
      <c r="BP173" s="66"/>
      <c r="BQ173" s="66" t="str">
        <f>PROPER(TEXT(Prog_23[[#This Row],[PROGRAMAÇÃO CLIENTE]],"mmm"))</f>
        <v>Abr</v>
      </c>
      <c r="BR173" s="66">
        <f>YEAR(Prog_23[[#This Row],[PROGRAMAÇÃO CLIENTE]])</f>
        <v>2023</v>
      </c>
    </row>
    <row r="174" spans="1:70" x14ac:dyDescent="0.25">
      <c r="A174" s="120" t="str">
        <f>Prog_23[[#This Row],[CONTEINER]]</f>
        <v>MRSU6036901</v>
      </c>
      <c r="B174" s="86" t="s">
        <v>2909</v>
      </c>
      <c r="C1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74" s="85">
        <v>45022.291666666664</v>
      </c>
      <c r="E174" s="66" t="s">
        <v>2549</v>
      </c>
      <c r="F174" s="66" t="s">
        <v>4074</v>
      </c>
      <c r="G174" s="66" t="s">
        <v>4077</v>
      </c>
      <c r="H174" s="44">
        <v>226292981</v>
      </c>
      <c r="I174" s="44" t="s">
        <v>4209</v>
      </c>
      <c r="J174" s="66" t="s">
        <v>301</v>
      </c>
      <c r="K174" s="66">
        <v>3720</v>
      </c>
      <c r="L174" s="80" t="s">
        <v>4223</v>
      </c>
      <c r="M174" s="66">
        <v>25050</v>
      </c>
      <c r="N174" s="66">
        <f>SUM(Prog_23[[#This Row],[TARA]]+Prog_23[[#This Row],[PESO]])</f>
        <v>28770</v>
      </c>
      <c r="O174" s="44">
        <v>14230</v>
      </c>
      <c r="P174" s="66" t="s">
        <v>4078</v>
      </c>
      <c r="Q174" s="66" t="s">
        <v>210</v>
      </c>
      <c r="R174" s="66" t="s">
        <v>211</v>
      </c>
      <c r="S174" s="66" t="s">
        <v>212</v>
      </c>
      <c r="T174" s="138" t="str">
        <f>IFERROR(LOOKUP($S174,MOTORISTAS!$D$3:$D$916,MOTORISTAS!E$3:$E$916),"")</f>
        <v>38029906846</v>
      </c>
      <c r="U174" s="138" t="str">
        <f>IFERROR(LOOKUP($S174,MOTORISTAS!$D$3:$D$916,MOTORISTAS!F$3:$F$916),"")</f>
        <v>04946846842</v>
      </c>
      <c r="V174" s="66" t="s">
        <v>292</v>
      </c>
      <c r="W174" s="79">
        <v>45021.474305555559</v>
      </c>
      <c r="X174" s="79">
        <v>45022.000694444447</v>
      </c>
      <c r="Y174" s="79">
        <v>45022.451388888891</v>
      </c>
      <c r="Z174" s="66" t="s">
        <v>4228</v>
      </c>
      <c r="AA174" s="79">
        <v>45022.784722222219</v>
      </c>
      <c r="AB174" s="66"/>
      <c r="AC174" s="79">
        <v>45027.5</v>
      </c>
      <c r="AD174" s="79">
        <v>45030.5</v>
      </c>
      <c r="AE174" s="66" t="s">
        <v>4079</v>
      </c>
      <c r="AF174" s="44">
        <v>15630</v>
      </c>
      <c r="AG174" s="254">
        <f>Prog_23[[#This Row],[SAÍDA DO CLIENTE]]-Prog_23[[#This Row],[PROGRAMAÇÃO CLIENTE]]</f>
        <v>0.15972222222626442</v>
      </c>
      <c r="AH174" s="44"/>
      <c r="AI174" s="66"/>
      <c r="AJ174" s="66"/>
      <c r="AK174" s="66"/>
      <c r="AL174" s="66"/>
      <c r="AM174" s="66"/>
      <c r="AN174" s="83"/>
      <c r="AO174" s="83"/>
      <c r="AP174" s="83"/>
      <c r="AQ174" s="66"/>
      <c r="AR174" s="66" t="s">
        <v>4973</v>
      </c>
      <c r="AS174" s="66"/>
      <c r="AT174" s="81">
        <v>4600</v>
      </c>
      <c r="AU174" s="81">
        <v>1900</v>
      </c>
      <c r="AV174" s="81"/>
      <c r="AW174" s="81"/>
      <c r="AX174" s="83">
        <f>SUM(Prog_23[[#This Row],[ADIANTAMENTO]]+Prog_23[[#This Row],[SALDO]]+Prog_23[[#This Row],[MARGEM]]+Prog_23[[#This Row],[ESTADIA 1]])</f>
        <v>6500</v>
      </c>
      <c r="AY1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6987.4</v>
      </c>
      <c r="AZ174" s="81">
        <v>6987.4</v>
      </c>
      <c r="BA174" s="81"/>
      <c r="BB174" s="81">
        <f>Prog_23[[#This Row],[VLR NF]]*0.1%</f>
        <v>0</v>
      </c>
      <c r="BC174" s="81">
        <f>Prog_23[[#This Row],[VLR NF]]*0.05%</f>
        <v>0</v>
      </c>
      <c r="BD174" s="81"/>
      <c r="BE174" s="81"/>
      <c r="BF174" s="81"/>
      <c r="BG174" s="81"/>
      <c r="BH174" s="81"/>
      <c r="BI174" s="81"/>
      <c r="BJ174" s="81"/>
      <c r="BK174" s="81"/>
      <c r="BL174" s="81"/>
      <c r="BM174" s="81"/>
      <c r="BN174" s="66" t="s">
        <v>2768</v>
      </c>
      <c r="BO174" s="66" t="s">
        <v>2768</v>
      </c>
      <c r="BP174" s="66"/>
      <c r="BQ174" s="66" t="str">
        <f>PROPER(TEXT(Prog_23[[#This Row],[PROGRAMAÇÃO CLIENTE]],"mmm"))</f>
        <v>Abr</v>
      </c>
      <c r="BR174" s="66">
        <f>YEAR(Prog_23[[#This Row],[PROGRAMAÇÃO CLIENTE]])</f>
        <v>2023</v>
      </c>
    </row>
    <row r="175" spans="1:70" x14ac:dyDescent="0.25">
      <c r="A175" s="120" t="str">
        <f>Prog_23[[#This Row],[CONTEINER]]</f>
        <v>MRSU5261359</v>
      </c>
      <c r="B175" s="86" t="s">
        <v>2909</v>
      </c>
      <c r="C175" s="253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75" s="85">
        <v>45022.291666666664</v>
      </c>
      <c r="E175" s="66" t="s">
        <v>2549</v>
      </c>
      <c r="F175" s="66" t="s">
        <v>4074</v>
      </c>
      <c r="G175" s="66" t="s">
        <v>4077</v>
      </c>
      <c r="H175" s="44">
        <v>226292981</v>
      </c>
      <c r="I175" s="44" t="s">
        <v>4206</v>
      </c>
      <c r="J175" s="66" t="s">
        <v>301</v>
      </c>
      <c r="K175" s="66">
        <v>3720</v>
      </c>
      <c r="L175" s="80" t="s">
        <v>4232</v>
      </c>
      <c r="M175" s="66">
        <v>25050</v>
      </c>
      <c r="N175" s="66">
        <f>SUM(Prog_23[[#This Row],[TARA]]+Prog_23[[#This Row],[PESO]])</f>
        <v>28770</v>
      </c>
      <c r="O175" s="44">
        <v>14231</v>
      </c>
      <c r="P175" s="66" t="s">
        <v>4078</v>
      </c>
      <c r="Q175" s="66" t="s">
        <v>87</v>
      </c>
      <c r="R175" s="66" t="s">
        <v>88</v>
      </c>
      <c r="S175" s="66" t="s">
        <v>89</v>
      </c>
      <c r="T175" s="138" t="str">
        <f>IFERROR(LOOKUP($S175,MOTORISTAS!$D$3:$D$916,MOTORISTAS!E$3:$E$916),"")</f>
        <v>00097734527</v>
      </c>
      <c r="U175" s="138" t="str">
        <f>IFERROR(LOOKUP($S175,MOTORISTAS!$D$3:$D$916,MOTORISTAS!F$3:$F$916),"")</f>
        <v>03148346870</v>
      </c>
      <c r="V175" s="66" t="s">
        <v>292</v>
      </c>
      <c r="W175" s="79">
        <v>45021.520833333336</v>
      </c>
      <c r="X175" s="79">
        <v>45022.493055555555</v>
      </c>
      <c r="Y175" s="79">
        <v>45022.729166666664</v>
      </c>
      <c r="Z175" s="66" t="s">
        <v>4228</v>
      </c>
      <c r="AA175" s="79">
        <v>45024.333333333336</v>
      </c>
      <c r="AB175" s="66"/>
      <c r="AC175" s="79">
        <v>45027.5</v>
      </c>
      <c r="AD175" s="79">
        <v>45030.5</v>
      </c>
      <c r="AE175" s="66" t="s">
        <v>4079</v>
      </c>
      <c r="AF175" s="44">
        <v>15637</v>
      </c>
      <c r="AG175" s="254">
        <f>Prog_23[[#This Row],[SAÍDA DO CLIENTE]]-Prog_23[[#This Row],[PROGRAMAÇÃO CLIENTE]]</f>
        <v>0.4375</v>
      </c>
      <c r="AH175" s="44"/>
      <c r="AI175" s="66"/>
      <c r="AJ175" s="66" t="s">
        <v>3643</v>
      </c>
      <c r="AK175" s="66"/>
      <c r="AL175" s="66"/>
      <c r="AM175" s="66"/>
      <c r="AN175" s="83"/>
      <c r="AO175" s="83"/>
      <c r="AP175" s="83"/>
      <c r="AQ175" s="66"/>
      <c r="AR175" s="66" t="s">
        <v>4973</v>
      </c>
      <c r="AS175" s="66"/>
      <c r="AT175" s="81">
        <v>4600</v>
      </c>
      <c r="AU175" s="81">
        <v>1900</v>
      </c>
      <c r="AV175" s="81"/>
      <c r="AW175" s="81"/>
      <c r="AX175" s="83">
        <f>SUM(Prog_23[[#This Row],[ADIANTAMENTO]]+Prog_23[[#This Row],[SALDO]]+Prog_23[[#This Row],[MARGEM]]+Prog_23[[#This Row],[ESTADIA 1]])</f>
        <v>6500</v>
      </c>
      <c r="AY1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6987.4</v>
      </c>
      <c r="AZ175" s="81">
        <v>6987.4</v>
      </c>
      <c r="BA175" s="81"/>
      <c r="BB175" s="81">
        <f>Prog_23[[#This Row],[VLR NF]]*0.1%</f>
        <v>0</v>
      </c>
      <c r="BC175" s="81">
        <f>Prog_23[[#This Row],[VLR NF]]*0.05%</f>
        <v>0</v>
      </c>
      <c r="BD175" s="81"/>
      <c r="BE175" s="81"/>
      <c r="BF175" s="81"/>
      <c r="BG175" s="81"/>
      <c r="BH175" s="81"/>
      <c r="BI175" s="81"/>
      <c r="BJ175" s="81"/>
      <c r="BK175" s="81"/>
      <c r="BL175" s="81"/>
      <c r="BM175" s="81"/>
      <c r="BN175" s="66" t="s">
        <v>2768</v>
      </c>
      <c r="BO175" s="66" t="s">
        <v>2768</v>
      </c>
      <c r="BP175" s="66"/>
      <c r="BQ175" s="66" t="str">
        <f>PROPER(TEXT(Prog_23[[#This Row],[PROGRAMAÇÃO CLIENTE]],"mmm"))</f>
        <v>Abr</v>
      </c>
      <c r="BR175" s="66">
        <f>YEAR(Prog_23[[#This Row],[PROGRAMAÇÃO CLIENTE]])</f>
        <v>2023</v>
      </c>
    </row>
    <row r="176" spans="1:70" x14ac:dyDescent="0.25">
      <c r="A176" s="120" t="str">
        <f>Prog_23[[#This Row],[CONTEINER]]</f>
        <v>MRSU3913268</v>
      </c>
      <c r="B176" s="86" t="s">
        <v>2909</v>
      </c>
      <c r="C1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76" s="85">
        <v>45022.291666666664</v>
      </c>
      <c r="E176" s="66" t="s">
        <v>2549</v>
      </c>
      <c r="F176" s="66" t="s">
        <v>4074</v>
      </c>
      <c r="G176" s="66" t="s">
        <v>4077</v>
      </c>
      <c r="H176" s="44">
        <v>226292981</v>
      </c>
      <c r="I176" s="44" t="s">
        <v>4207</v>
      </c>
      <c r="J176" s="66" t="s">
        <v>301</v>
      </c>
      <c r="K176" s="66">
        <v>3810</v>
      </c>
      <c r="L176" s="80" t="s">
        <v>4225</v>
      </c>
      <c r="M176" s="66">
        <v>25050</v>
      </c>
      <c r="N176" s="66">
        <f>SUM(Prog_23[[#This Row],[TARA]]+Prog_23[[#This Row],[PESO]])</f>
        <v>28860</v>
      </c>
      <c r="O176" s="44">
        <v>14232</v>
      </c>
      <c r="P176" s="66" t="s">
        <v>4078</v>
      </c>
      <c r="Q176" s="66" t="s">
        <v>4177</v>
      </c>
      <c r="R176" s="66" t="s">
        <v>4178</v>
      </c>
      <c r="S176" s="66" t="s">
        <v>4179</v>
      </c>
      <c r="T176" s="138" t="str">
        <f>IFERROR(LOOKUP($S176,MOTORISTAS!$D$3:$D$916,MOTORISTAS!E$3:$E$916),"")</f>
        <v>09799207878</v>
      </c>
      <c r="U176" s="138" t="str">
        <f>IFERROR(LOOKUP($S176,MOTORISTAS!$D$3:$D$916,MOTORISTAS!F$3:$F$916),"")</f>
        <v>01746281465</v>
      </c>
      <c r="V176" s="66" t="s">
        <v>292</v>
      </c>
      <c r="W176" s="79">
        <v>45021.59652777778</v>
      </c>
      <c r="X176" s="79">
        <v>45022.25</v>
      </c>
      <c r="Y176" s="79">
        <v>45022.552083333336</v>
      </c>
      <c r="Z176" s="66" t="s">
        <v>4228</v>
      </c>
      <c r="AA176" s="79">
        <v>45024.416666666664</v>
      </c>
      <c r="AB176" s="66"/>
      <c r="AC176" s="79">
        <v>45027.5</v>
      </c>
      <c r="AD176" s="79">
        <v>45030.5</v>
      </c>
      <c r="AE176" s="66" t="s">
        <v>4079</v>
      </c>
      <c r="AF176" s="44">
        <v>15635</v>
      </c>
      <c r="AG176" s="254">
        <f>Prog_23[[#This Row],[SAÍDA DO CLIENTE]]-Prog_23[[#This Row],[PROGRAMAÇÃO CLIENTE]]</f>
        <v>0.26041666667151731</v>
      </c>
      <c r="AH176" s="44"/>
      <c r="AI176" s="66"/>
      <c r="AJ176" s="66"/>
      <c r="AK176" s="66"/>
      <c r="AL176" s="66"/>
      <c r="AM176" s="66"/>
      <c r="AN176" s="83"/>
      <c r="AO176" s="83"/>
      <c r="AP176" s="83"/>
      <c r="AQ176" s="66"/>
      <c r="AR176" s="66" t="s">
        <v>4973</v>
      </c>
      <c r="AS176" s="66"/>
      <c r="AT176" s="81">
        <v>4600</v>
      </c>
      <c r="AU176" s="81">
        <v>1900</v>
      </c>
      <c r="AV176" s="81"/>
      <c r="AW176" s="81"/>
      <c r="AX176" s="83">
        <f>SUM(Prog_23[[#This Row],[ADIANTAMENTO]]+Prog_23[[#This Row],[SALDO]]+Prog_23[[#This Row],[MARGEM]]+Prog_23[[#This Row],[ESTADIA 1]])</f>
        <v>6500</v>
      </c>
      <c r="AY1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6987.4</v>
      </c>
      <c r="AZ176" s="81">
        <v>6987.4</v>
      </c>
      <c r="BA176" s="81"/>
      <c r="BB176" s="81">
        <f>Prog_23[[#This Row],[VLR NF]]*0.1%</f>
        <v>0</v>
      </c>
      <c r="BC176" s="81">
        <f>Prog_23[[#This Row],[VLR NF]]*0.05%</f>
        <v>0</v>
      </c>
      <c r="BD176" s="81"/>
      <c r="BE176" s="81"/>
      <c r="BF176" s="81"/>
      <c r="BG176" s="81"/>
      <c r="BH176" s="81"/>
      <c r="BI176" s="81"/>
      <c r="BJ176" s="81"/>
      <c r="BK176" s="81"/>
      <c r="BL176" s="81"/>
      <c r="BM176" s="81"/>
      <c r="BN176" s="66" t="s">
        <v>2768</v>
      </c>
      <c r="BO176" s="66" t="s">
        <v>2768</v>
      </c>
      <c r="BP176" s="66"/>
      <c r="BQ176" s="66" t="str">
        <f>PROPER(TEXT(Prog_23[[#This Row],[PROGRAMAÇÃO CLIENTE]],"mmm"))</f>
        <v>Abr</v>
      </c>
      <c r="BR176" s="66">
        <f>YEAR(Prog_23[[#This Row],[PROGRAMAÇÃO CLIENTE]])</f>
        <v>2023</v>
      </c>
    </row>
    <row r="177" spans="1:70" x14ac:dyDescent="0.25">
      <c r="A177" s="120" t="str">
        <f>Prog_23[[#This Row],[CONTEINER]]</f>
        <v>MRSU5547743</v>
      </c>
      <c r="B177" s="86" t="s">
        <v>2909</v>
      </c>
      <c r="C1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77" s="85">
        <v>45022.291666666664</v>
      </c>
      <c r="E177" s="66" t="s">
        <v>2549</v>
      </c>
      <c r="F177" s="66" t="s">
        <v>4074</v>
      </c>
      <c r="G177" s="66" t="s">
        <v>4077</v>
      </c>
      <c r="H177" s="44">
        <v>226292981</v>
      </c>
      <c r="I177" s="44" t="s">
        <v>4208</v>
      </c>
      <c r="J177" s="66" t="s">
        <v>301</v>
      </c>
      <c r="K177" s="66">
        <v>3720</v>
      </c>
      <c r="L177" s="80" t="s">
        <v>4226</v>
      </c>
      <c r="M177" s="66">
        <v>25050</v>
      </c>
      <c r="N177" s="66">
        <f>SUM(Prog_23[[#This Row],[TARA]]+Prog_23[[#This Row],[PESO]])</f>
        <v>28770</v>
      </c>
      <c r="O177" s="44">
        <v>14233</v>
      </c>
      <c r="P177" s="66" t="s">
        <v>4078</v>
      </c>
      <c r="Q177" s="66" t="s">
        <v>16</v>
      </c>
      <c r="R177" s="66" t="s">
        <v>17</v>
      </c>
      <c r="S177" s="66" t="s">
        <v>18</v>
      </c>
      <c r="T177" s="138" t="str">
        <f>IFERROR(LOOKUP($S177,MOTORISTAS!$D$3:$D$916,MOTORISTAS!E$3:$E$916),"")</f>
        <v>03300368820</v>
      </c>
      <c r="U177" s="138" t="str">
        <f>IFERROR(LOOKUP($S177,MOTORISTAS!$D$3:$D$916,MOTORISTAS!F$3:$F$916),"")</f>
        <v>02281615982</v>
      </c>
      <c r="V177" s="66" t="s">
        <v>292</v>
      </c>
      <c r="W177" s="79">
        <v>45021.494444444441</v>
      </c>
      <c r="X177" s="79">
        <v>45022.027777777781</v>
      </c>
      <c r="Y177" s="79">
        <v>45022.510416666664</v>
      </c>
      <c r="Z177" s="66" t="s">
        <v>4228</v>
      </c>
      <c r="AA177" s="79">
        <v>45022.875</v>
      </c>
      <c r="AB177" s="66"/>
      <c r="AC177" s="79">
        <v>45027.5</v>
      </c>
      <c r="AD177" s="79">
        <v>45030.5</v>
      </c>
      <c r="AE177" s="66" t="s">
        <v>4079</v>
      </c>
      <c r="AF177" s="44">
        <v>15631</v>
      </c>
      <c r="AG177" s="254">
        <f>Prog_23[[#This Row],[SAÍDA DO CLIENTE]]-Prog_23[[#This Row],[PROGRAMAÇÃO CLIENTE]]</f>
        <v>0.21875</v>
      </c>
      <c r="AH177" s="44"/>
      <c r="AI177" s="66"/>
      <c r="AJ177" s="66"/>
      <c r="AK177" s="66"/>
      <c r="AL177" s="66"/>
      <c r="AM177" s="66"/>
      <c r="AN177" s="83"/>
      <c r="AO177" s="83"/>
      <c r="AP177" s="83"/>
      <c r="AQ177" s="66"/>
      <c r="AR177" s="66" t="s">
        <v>4973</v>
      </c>
      <c r="AS177" s="66"/>
      <c r="AT177" s="81">
        <v>4600</v>
      </c>
      <c r="AU177" s="81">
        <v>1900</v>
      </c>
      <c r="AV177" s="81"/>
      <c r="AW177" s="81"/>
      <c r="AX177" s="83">
        <f>SUM(Prog_23[[#This Row],[ADIANTAMENTO]]+Prog_23[[#This Row],[SALDO]]+Prog_23[[#This Row],[MARGEM]]+Prog_23[[#This Row],[ESTADIA 1]])</f>
        <v>6500</v>
      </c>
      <c r="AY1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6987.4</v>
      </c>
      <c r="AZ177" s="81">
        <v>6987.4</v>
      </c>
      <c r="BA177" s="81"/>
      <c r="BB177" s="81">
        <f>Prog_23[[#This Row],[VLR NF]]*0.1%</f>
        <v>0</v>
      </c>
      <c r="BC177" s="81">
        <f>Prog_23[[#This Row],[VLR NF]]*0.05%</f>
        <v>0</v>
      </c>
      <c r="BD177" s="81"/>
      <c r="BE177" s="81"/>
      <c r="BF177" s="81"/>
      <c r="BG177" s="81"/>
      <c r="BH177" s="81"/>
      <c r="BI177" s="81"/>
      <c r="BJ177" s="81"/>
      <c r="BK177" s="81"/>
      <c r="BL177" s="81"/>
      <c r="BM177" s="81"/>
      <c r="BN177" s="66" t="s">
        <v>2768</v>
      </c>
      <c r="BO177" s="66" t="s">
        <v>2768</v>
      </c>
      <c r="BP177" s="66"/>
      <c r="BQ177" s="66" t="str">
        <f>PROPER(TEXT(Prog_23[[#This Row],[PROGRAMAÇÃO CLIENTE]],"mmm"))</f>
        <v>Abr</v>
      </c>
      <c r="BR177" s="66">
        <f>YEAR(Prog_23[[#This Row],[PROGRAMAÇÃO CLIENTE]])</f>
        <v>2023</v>
      </c>
    </row>
    <row r="178" spans="1:70" x14ac:dyDescent="0.25">
      <c r="A178" s="120" t="str">
        <f>Prog_23[[#This Row],[CONTEINER]]</f>
        <v>MRSU3620803</v>
      </c>
      <c r="B178" s="86" t="s">
        <v>2909</v>
      </c>
      <c r="C1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78" s="85">
        <v>45022.291666666664</v>
      </c>
      <c r="E178" s="66" t="s">
        <v>2549</v>
      </c>
      <c r="F178" s="66" t="s">
        <v>4074</v>
      </c>
      <c r="G178" s="66" t="s">
        <v>4077</v>
      </c>
      <c r="H178" s="44">
        <v>226292981</v>
      </c>
      <c r="I178" s="44" t="s">
        <v>4210</v>
      </c>
      <c r="J178" s="66" t="s">
        <v>301</v>
      </c>
      <c r="K178" s="66">
        <v>3810</v>
      </c>
      <c r="L178" s="80" t="s">
        <v>4227</v>
      </c>
      <c r="M178" s="66">
        <v>25050</v>
      </c>
      <c r="N178" s="66">
        <f>SUM(Prog_23[[#This Row],[TARA]]+Prog_23[[#This Row],[PESO]])</f>
        <v>28860</v>
      </c>
      <c r="O178" s="44">
        <v>14234</v>
      </c>
      <c r="P178" s="66" t="s">
        <v>4078</v>
      </c>
      <c r="Q178" s="66" t="s">
        <v>4180</v>
      </c>
      <c r="R178" s="66" t="s">
        <v>4181</v>
      </c>
      <c r="S178" s="66" t="s">
        <v>4182</v>
      </c>
      <c r="T178" s="138" t="str">
        <f>IFERROR(LOOKUP($S178,MOTORISTAS!$D$3:$D$916,MOTORISTAS!E$3:$E$916),"")</f>
        <v>33400734810</v>
      </c>
      <c r="U178" s="138" t="str">
        <f>IFERROR(LOOKUP($S178,MOTORISTAS!$D$3:$D$916,MOTORISTAS!F$3:$F$916),"")</f>
        <v>03361149430</v>
      </c>
      <c r="V178" s="66" t="s">
        <v>292</v>
      </c>
      <c r="W178" s="79">
        <v>45021.554861111108</v>
      </c>
      <c r="X178" s="79">
        <v>45022.027777777781</v>
      </c>
      <c r="Y178" s="79">
        <v>45022.513888888891</v>
      </c>
      <c r="Z178" s="66" t="s">
        <v>4228</v>
      </c>
      <c r="AA178" s="79">
        <v>45022.875</v>
      </c>
      <c r="AB178" s="66"/>
      <c r="AC178" s="79">
        <v>45027.5</v>
      </c>
      <c r="AD178" s="79">
        <v>45030.5</v>
      </c>
      <c r="AE178" s="66" t="s">
        <v>4079</v>
      </c>
      <c r="AF178" s="44">
        <v>15632</v>
      </c>
      <c r="AG178" s="254">
        <f>Prog_23[[#This Row],[SAÍDA DO CLIENTE]]-Prog_23[[#This Row],[PROGRAMAÇÃO CLIENTE]]</f>
        <v>0.22222222222626442</v>
      </c>
      <c r="AH178" s="44"/>
      <c r="AI178" s="66"/>
      <c r="AJ178" s="66"/>
      <c r="AK178" s="66"/>
      <c r="AL178" s="66"/>
      <c r="AM178" s="66"/>
      <c r="AN178" s="83"/>
      <c r="AO178" s="83"/>
      <c r="AP178" s="83"/>
      <c r="AQ178" s="66"/>
      <c r="AR178" s="66" t="s">
        <v>4973</v>
      </c>
      <c r="AS178" s="66"/>
      <c r="AT178" s="81">
        <v>4600</v>
      </c>
      <c r="AU178" s="81">
        <v>1900</v>
      </c>
      <c r="AV178" s="81"/>
      <c r="AW178" s="81"/>
      <c r="AX178" s="83">
        <f>SUM(Prog_23[[#This Row],[ADIANTAMENTO]]+Prog_23[[#This Row],[SALDO]]+Prog_23[[#This Row],[MARGEM]]+Prog_23[[#This Row],[ESTADIA 1]])</f>
        <v>6500</v>
      </c>
      <c r="AY1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6987.4</v>
      </c>
      <c r="AZ178" s="81">
        <v>6987.4</v>
      </c>
      <c r="BA178" s="81"/>
      <c r="BB178" s="81">
        <f>Prog_23[[#This Row],[VLR NF]]*0.1%</f>
        <v>0</v>
      </c>
      <c r="BC178" s="81">
        <f>Prog_23[[#This Row],[VLR NF]]*0.05%</f>
        <v>0</v>
      </c>
      <c r="BD178" s="81"/>
      <c r="BE178" s="81"/>
      <c r="BF178" s="81"/>
      <c r="BG178" s="81"/>
      <c r="BH178" s="81"/>
      <c r="BI178" s="81"/>
      <c r="BJ178" s="81"/>
      <c r="BK178" s="81"/>
      <c r="BL178" s="81"/>
      <c r="BM178" s="81"/>
      <c r="BN178" s="66" t="s">
        <v>2768</v>
      </c>
      <c r="BO178" s="66" t="s">
        <v>2768</v>
      </c>
      <c r="BP178" s="66"/>
      <c r="BQ178" s="66" t="str">
        <f>PROPER(TEXT(Prog_23[[#This Row],[PROGRAMAÇÃO CLIENTE]],"mmm"))</f>
        <v>Abr</v>
      </c>
      <c r="BR178" s="66">
        <f>YEAR(Prog_23[[#This Row],[PROGRAMAÇÃO CLIENTE]])</f>
        <v>2023</v>
      </c>
    </row>
    <row r="179" spans="1:70" x14ac:dyDescent="0.25">
      <c r="A179" s="120" t="str">
        <f>Prog_23[[#This Row],[CONTEINER]]</f>
        <v>CAIU2612012</v>
      </c>
      <c r="B179" s="86" t="s">
        <v>2771</v>
      </c>
      <c r="C1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79" s="85">
        <v>45026.291666666664</v>
      </c>
      <c r="E179" s="66" t="s">
        <v>2059</v>
      </c>
      <c r="F179" s="66" t="s">
        <v>2060</v>
      </c>
      <c r="G179" s="66" t="s">
        <v>4220</v>
      </c>
      <c r="H179" s="44">
        <v>63553118</v>
      </c>
      <c r="I179" s="44" t="s">
        <v>4239</v>
      </c>
      <c r="J179" s="66" t="s">
        <v>288</v>
      </c>
      <c r="K179" s="66">
        <v>2180</v>
      </c>
      <c r="L179" s="66" t="s">
        <v>4238</v>
      </c>
      <c r="M179" s="66">
        <v>11571</v>
      </c>
      <c r="N179" s="66">
        <f>SUM(Prog_23[[#This Row],[TARA]]+Prog_23[[#This Row],[PESO]])</f>
        <v>13751</v>
      </c>
      <c r="O179" s="44">
        <v>1608638</v>
      </c>
      <c r="P179" s="66" t="s">
        <v>4173</v>
      </c>
      <c r="Q179" s="66" t="s">
        <v>31</v>
      </c>
      <c r="R179" s="66" t="s">
        <v>3246</v>
      </c>
      <c r="S179" s="66" t="s">
        <v>33</v>
      </c>
      <c r="T179" s="138" t="str">
        <f>IFERROR(LOOKUP($S179,MOTORISTAS!$D$3:$D$916,MOTORISTAS!E$3:$E$916),"")</f>
        <v>09776430856</v>
      </c>
      <c r="U179" s="138" t="str">
        <f>IFERROR(LOOKUP($S179,MOTORISTAS!$D$3:$D$916,MOTORISTAS!F$3:$F$916),"")</f>
        <v>01258979905</v>
      </c>
      <c r="V179" s="66" t="s">
        <v>292</v>
      </c>
      <c r="W179" s="79">
        <v>45024.581944444442</v>
      </c>
      <c r="X179" s="79">
        <v>45026.277777777781</v>
      </c>
      <c r="Y179" s="79">
        <v>45026.482638888891</v>
      </c>
      <c r="Z179" s="66" t="s">
        <v>410</v>
      </c>
      <c r="AA179" s="79">
        <v>45026.776388888888</v>
      </c>
      <c r="AB179" s="79">
        <v>45024.541666666664</v>
      </c>
      <c r="AC179" s="79">
        <v>45026.666666666664</v>
      </c>
      <c r="AD179" s="79">
        <v>45028.5</v>
      </c>
      <c r="AE179" s="66" t="s">
        <v>4221</v>
      </c>
      <c r="AF179" s="44">
        <v>15656</v>
      </c>
      <c r="AG179" s="254">
        <f>Prog_23[[#This Row],[SAÍDA DO CLIENTE]]-Prog_23[[#This Row],[PROGRAMAÇÃO CLIENTE]]</f>
        <v>0.19097222222626442</v>
      </c>
      <c r="AH179" s="44" t="s">
        <v>4244</v>
      </c>
      <c r="AI179" s="66"/>
      <c r="AJ179" s="66"/>
      <c r="AK179" s="66"/>
      <c r="AL179" s="66"/>
      <c r="AM179" s="66"/>
      <c r="AN179" s="83"/>
      <c r="AO179" s="83"/>
      <c r="AP179" s="83"/>
      <c r="AQ179" s="66"/>
      <c r="AR179" s="66" t="s">
        <v>4973</v>
      </c>
      <c r="AS179" s="66"/>
      <c r="AT179" s="81">
        <v>3600</v>
      </c>
      <c r="AU179" s="81"/>
      <c r="AV179" s="81"/>
      <c r="AW179" s="81"/>
      <c r="AX179" s="83">
        <f>SUM(Prog_23[[#This Row],[ADIANTAMENTO]]+Prog_23[[#This Row],[SALDO]]+Prog_23[[#This Row],[MARGEM]]+Prog_23[[#This Row],[ESTADIA 1]])</f>
        <v>3600</v>
      </c>
      <c r="AY1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3647.99928</v>
      </c>
      <c r="AZ179" s="81">
        <v>3122.4</v>
      </c>
      <c r="BA179" s="81">
        <v>47999.28</v>
      </c>
      <c r="BB179" s="81">
        <f>Prog_23[[#This Row],[VLR NF]]*0.1%</f>
        <v>47.999279999999999</v>
      </c>
      <c r="BC179" s="81">
        <v>0</v>
      </c>
      <c r="BD179" s="81">
        <v>477.6</v>
      </c>
      <c r="BE179" s="81"/>
      <c r="BF179" s="81"/>
      <c r="BG179" s="81"/>
      <c r="BH179" s="81"/>
      <c r="BI179" s="81"/>
      <c r="BJ179" s="81"/>
      <c r="BK179" s="81"/>
      <c r="BL179" s="81"/>
      <c r="BM179" s="81"/>
      <c r="BN179" s="66" t="s">
        <v>2768</v>
      </c>
      <c r="BO179" s="66"/>
      <c r="BP179" s="66"/>
      <c r="BQ179" s="66" t="str">
        <f>PROPER(TEXT(Prog_23[[#This Row],[PROGRAMAÇÃO CLIENTE]],"mmm"))</f>
        <v>Abr</v>
      </c>
      <c r="BR179" s="66">
        <f>YEAR(Prog_23[[#This Row],[PROGRAMAÇÃO CLIENTE]])</f>
        <v>2023</v>
      </c>
    </row>
    <row r="180" spans="1:70" x14ac:dyDescent="0.25">
      <c r="A180" s="120" t="str">
        <f>Prog_23[[#This Row],[CONTEINER]]</f>
        <v>HLBU2579067</v>
      </c>
      <c r="B180" s="86" t="s">
        <v>2771</v>
      </c>
      <c r="C180" s="253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180" s="85">
        <v>45027.291666666664</v>
      </c>
      <c r="E180" s="66" t="s">
        <v>2391</v>
      </c>
      <c r="F180" s="66" t="s">
        <v>2392</v>
      </c>
      <c r="G180" s="66">
        <v>7121927</v>
      </c>
      <c r="H180" s="44">
        <v>66552912</v>
      </c>
      <c r="I180" s="44" t="s">
        <v>4249</v>
      </c>
      <c r="J180" s="66" t="s">
        <v>301</v>
      </c>
      <c r="K180" s="66">
        <v>3900</v>
      </c>
      <c r="L180" s="66" t="s">
        <v>4273</v>
      </c>
      <c r="M180" s="66">
        <v>25800</v>
      </c>
      <c r="N180" s="66">
        <f>SUM(Prog_23[[#This Row],[TARA]]+Prog_23[[#This Row],[PESO]])</f>
        <v>29700</v>
      </c>
      <c r="O180" s="44">
        <v>10116471</v>
      </c>
      <c r="P180" s="66" t="s">
        <v>4086</v>
      </c>
      <c r="Q180" s="66" t="s">
        <v>106</v>
      </c>
      <c r="R180" s="66" t="s">
        <v>107</v>
      </c>
      <c r="S180" s="66" t="s">
        <v>108</v>
      </c>
      <c r="T180" s="138" t="str">
        <f>IFERROR(LOOKUP($S180,MOTORISTAS!$D$3:$D$916,MOTORISTAS!E$3:$E$916),"")</f>
        <v>34927982840</v>
      </c>
      <c r="U180" s="138" t="str">
        <f>IFERROR(LOOKUP($S180,MOTORISTAS!$D$3:$D$916,MOTORISTAS!F$3:$F$916),"")</f>
        <v>03500129879</v>
      </c>
      <c r="V180" s="66" t="s">
        <v>292</v>
      </c>
      <c r="W180" s="79">
        <v>45026.453472222223</v>
      </c>
      <c r="X180" s="79">
        <v>45027.395833333336</v>
      </c>
      <c r="Y180" s="79">
        <v>45027.743055555555</v>
      </c>
      <c r="Z180" s="66" t="s">
        <v>306</v>
      </c>
      <c r="AA180" s="79">
        <v>45028.525694444441</v>
      </c>
      <c r="AB180" s="79">
        <v>45026.791666666664</v>
      </c>
      <c r="AC180" s="79">
        <v>45027.75</v>
      </c>
      <c r="AD180" s="79">
        <v>45030.75</v>
      </c>
      <c r="AE180" s="66" t="s">
        <v>586</v>
      </c>
      <c r="AF180" s="44">
        <v>1160</v>
      </c>
      <c r="AG180" s="254">
        <f>Prog_23[[#This Row],[SAÍDA DO CLIENTE]]-Prog_23[[#This Row],[PROGRAMAÇÃO CLIENTE]]</f>
        <v>0.45138888889050577</v>
      </c>
      <c r="AH180" s="44"/>
      <c r="AI180" s="66" t="s">
        <v>4265</v>
      </c>
      <c r="AJ180" s="66" t="s">
        <v>3643</v>
      </c>
      <c r="AK180" s="66"/>
      <c r="AL180" s="66"/>
      <c r="AM180" s="66"/>
      <c r="AN180" s="83"/>
      <c r="AO180" s="83"/>
      <c r="AP180" s="83"/>
      <c r="AQ180" s="66"/>
      <c r="AR180" s="66" t="s">
        <v>4973</v>
      </c>
      <c r="AS180" s="66"/>
      <c r="AT180" s="81">
        <v>8000</v>
      </c>
      <c r="AU180" s="81"/>
      <c r="AV180" s="81"/>
      <c r="AW180" s="81"/>
      <c r="AX180" s="83">
        <f>SUM(Prog_23[[#This Row],[ADIANTAMENTO]]+Prog_23[[#This Row],[SALDO]]+Prog_23[[#This Row],[MARGEM]]+Prog_23[[#This Row],[ESTADIA 1]])</f>
        <v>8000</v>
      </c>
      <c r="AY1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11971.411049999999</v>
      </c>
      <c r="AZ180" s="81">
        <v>9250</v>
      </c>
      <c r="BA180" s="81">
        <v>128340.7</v>
      </c>
      <c r="BB180" s="81">
        <f>Prog_23[[#This Row],[VLR NF]]*0.15%</f>
        <v>192.51105000000001</v>
      </c>
      <c r="BC180" s="81">
        <v>0</v>
      </c>
      <c r="BD180" s="81">
        <v>1716.4</v>
      </c>
      <c r="BE180" s="81"/>
      <c r="BF180" s="81">
        <f>Prog_23[[#This Row],[FRETE PESO]]*5%</f>
        <v>462.5</v>
      </c>
      <c r="BG180" s="81"/>
      <c r="BH180" s="81"/>
      <c r="BI180" s="81"/>
      <c r="BJ180" s="81"/>
      <c r="BK180" s="81"/>
      <c r="BL180" s="81">
        <v>350</v>
      </c>
      <c r="BM180" s="81"/>
      <c r="BN180" s="66" t="s">
        <v>2768</v>
      </c>
      <c r="BO180" s="66" t="s">
        <v>2768</v>
      </c>
      <c r="BP180" s="66" t="s">
        <v>2768</v>
      </c>
      <c r="BQ180" s="66" t="str">
        <f>PROPER(TEXT(Prog_23[[#This Row],[PROGRAMAÇÃO CLIENTE]],"mmm"))</f>
        <v>Abr</v>
      </c>
      <c r="BR180" s="66">
        <f>YEAR(Prog_23[[#This Row],[PROGRAMAÇÃO CLIENTE]])</f>
        <v>2023</v>
      </c>
    </row>
    <row r="181" spans="1:70" x14ac:dyDescent="0.25">
      <c r="A181" s="200" t="str">
        <f>Prog_23[[#This Row],[CONTEINER]]</f>
        <v>MRKU3611368</v>
      </c>
      <c r="B181" s="86" t="s">
        <v>2771</v>
      </c>
      <c r="C1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81" s="85">
        <v>45027.583333333336</v>
      </c>
      <c r="E181" s="66" t="s">
        <v>3770</v>
      </c>
      <c r="F181" s="66" t="s">
        <v>3561</v>
      </c>
      <c r="G181" s="66"/>
      <c r="H181" s="44">
        <v>226246113</v>
      </c>
      <c r="I181" s="44" t="s">
        <v>4252</v>
      </c>
      <c r="J181" s="66" t="s">
        <v>301</v>
      </c>
      <c r="K181" s="66">
        <v>3790</v>
      </c>
      <c r="L181" s="66" t="s">
        <v>4253</v>
      </c>
      <c r="M181" s="66">
        <v>20871</v>
      </c>
      <c r="N181" s="66">
        <f>SUM(Prog_23[[#This Row],[TARA]]+Prog_23[[#This Row],[PESO]])</f>
        <v>24661</v>
      </c>
      <c r="O181" s="44">
        <v>397</v>
      </c>
      <c r="P181" s="66" t="s">
        <v>3976</v>
      </c>
      <c r="Q181" s="66" t="s">
        <v>31</v>
      </c>
      <c r="R181" s="66" t="s">
        <v>32</v>
      </c>
      <c r="S181" s="66" t="s">
        <v>33</v>
      </c>
      <c r="T181" s="138" t="str">
        <f>IFERROR(LOOKUP($S181,MOTORISTAS!$D$3:$D$916,MOTORISTAS!E$3:$E$916),"")</f>
        <v>09776430856</v>
      </c>
      <c r="U181" s="138" t="str">
        <f>IFERROR(LOOKUP($S181,MOTORISTAS!$D$3:$D$916,MOTORISTAS!F$3:$F$916),"")</f>
        <v>01258979905</v>
      </c>
      <c r="V181" s="66" t="s">
        <v>292</v>
      </c>
      <c r="W181" s="79">
        <v>45026.45208333333</v>
      </c>
      <c r="X181" s="79">
        <v>45027.508333333331</v>
      </c>
      <c r="Y181" s="79">
        <v>45027.725694444445</v>
      </c>
      <c r="Z181" s="66" t="s">
        <v>306</v>
      </c>
      <c r="AA181" s="79">
        <v>45027.84375</v>
      </c>
      <c r="AB181" s="79">
        <v>45026.791666666664</v>
      </c>
      <c r="AC181" s="79">
        <v>45026.5</v>
      </c>
      <c r="AD181" s="79">
        <v>45029.75</v>
      </c>
      <c r="AE181" s="66" t="s">
        <v>452</v>
      </c>
      <c r="AF181" s="44">
        <v>15673</v>
      </c>
      <c r="AG181" s="254">
        <f>Prog_23[[#This Row],[SAÍDA DO CLIENTE]]-Prog_23[[#This Row],[PROGRAMAÇÃO CLIENTE]]</f>
        <v>0.14236111110949423</v>
      </c>
      <c r="AH181" s="44"/>
      <c r="AI181" s="66"/>
      <c r="AJ181" s="66"/>
      <c r="AK181" s="66"/>
      <c r="AL181" s="66"/>
      <c r="AM181" s="66"/>
      <c r="AN181" s="83"/>
      <c r="AO181" s="83"/>
      <c r="AP181" s="83"/>
      <c r="AQ181" s="66"/>
      <c r="AR181" s="66" t="s">
        <v>4973</v>
      </c>
      <c r="AS181" s="66"/>
      <c r="AT181" s="81">
        <v>2200</v>
      </c>
      <c r="AU181" s="81"/>
      <c r="AV181" s="81"/>
      <c r="AW181" s="81"/>
      <c r="AX181" s="83">
        <f>SUM(Prog_23[[#This Row],[ADIANTAMENTO]]+Prog_23[[#This Row],[SALDO]]+Prog_23[[#This Row],[MARGEM]]+Prog_23[[#This Row],[ESTADIA 1]])</f>
        <v>2200</v>
      </c>
      <c r="AY1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3328.91993</v>
      </c>
      <c r="AZ181" s="81">
        <v>2370</v>
      </c>
      <c r="BA181" s="81">
        <v>245946.62</v>
      </c>
      <c r="BB181" s="81">
        <f>Prog_23[[#This Row],[VLR NF]]*0.1%</f>
        <v>245.94662</v>
      </c>
      <c r="BC181" s="81">
        <f>Prog_23[[#This Row],[VLR NF]]*0.05%</f>
        <v>122.97331</v>
      </c>
      <c r="BD181" s="81">
        <v>240</v>
      </c>
      <c r="BE181" s="81"/>
      <c r="BF181" s="81"/>
      <c r="BG181" s="81"/>
      <c r="BH181" s="81"/>
      <c r="BI181" s="81"/>
      <c r="BJ181" s="81"/>
      <c r="BK181" s="81"/>
      <c r="BL181" s="81">
        <v>350</v>
      </c>
      <c r="BM181" s="81"/>
      <c r="BN181" s="66" t="s">
        <v>2768</v>
      </c>
      <c r="BO181" s="66" t="s">
        <v>2768</v>
      </c>
      <c r="BP181" s="66" t="s">
        <v>2768</v>
      </c>
      <c r="BQ181" s="66" t="str">
        <f>PROPER(TEXT(Prog_23[[#This Row],[PROGRAMAÇÃO CLIENTE]],"mmm"))</f>
        <v>Abr</v>
      </c>
      <c r="BR181" s="66">
        <f>YEAR(Prog_23[[#This Row],[PROGRAMAÇÃO CLIENTE]])</f>
        <v>2023</v>
      </c>
    </row>
    <row r="182" spans="1:70" x14ac:dyDescent="0.25">
      <c r="A182" s="120" t="str">
        <f>Prog_23[[#This Row],[CONTEINER]]</f>
        <v>MRSU5302329</v>
      </c>
      <c r="B182" s="86" t="s">
        <v>2771</v>
      </c>
      <c r="C1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82" s="85">
        <v>45028.270833333336</v>
      </c>
      <c r="E182" s="66" t="s">
        <v>2549</v>
      </c>
      <c r="F182" s="66" t="s">
        <v>4074</v>
      </c>
      <c r="G182" s="66" t="s">
        <v>4224</v>
      </c>
      <c r="H182" s="44">
        <v>226440955</v>
      </c>
      <c r="I182" s="44" t="s">
        <v>4268</v>
      </c>
      <c r="J182" s="66" t="s">
        <v>301</v>
      </c>
      <c r="K182" s="66">
        <v>3720</v>
      </c>
      <c r="L182" s="80" t="s">
        <v>4278</v>
      </c>
      <c r="M182" s="66">
        <v>25030</v>
      </c>
      <c r="N182" s="66">
        <f>SUM(Prog_23[[#This Row],[TARA]]+Prog_23[[#This Row],[PESO]])</f>
        <v>28750</v>
      </c>
      <c r="O182" s="44">
        <v>14240</v>
      </c>
      <c r="P182" s="66" t="s">
        <v>4274</v>
      </c>
      <c r="Q182" s="66" t="s">
        <v>3383</v>
      </c>
      <c r="R182" s="66" t="s">
        <v>4250</v>
      </c>
      <c r="S182" s="66" t="s">
        <v>3385</v>
      </c>
      <c r="T182" s="138" t="str">
        <f>IFERROR(LOOKUP($S182,MOTORISTAS!$D$3:$D$916,MOTORISTAS!E$3:$E$916),"")</f>
        <v>16250459804</v>
      </c>
      <c r="U182" s="138" t="str">
        <f>IFERROR(LOOKUP($S182,MOTORISTAS!$D$3:$D$916,MOTORISTAS!F$3:$F$916),"")</f>
        <v>02012565363</v>
      </c>
      <c r="V182" s="66" t="s">
        <v>409</v>
      </c>
      <c r="W182" s="79">
        <v>45027.569444444445</v>
      </c>
      <c r="X182" s="79">
        <v>45027.90625</v>
      </c>
      <c r="Y182" s="79">
        <v>45028.534722222219</v>
      </c>
      <c r="Z182" s="66" t="s">
        <v>4228</v>
      </c>
      <c r="AA182" s="79">
        <v>45028.916666666664</v>
      </c>
      <c r="AB182" s="66"/>
      <c r="AC182" s="79">
        <v>45030.5</v>
      </c>
      <c r="AD182" s="79">
        <v>45035.5</v>
      </c>
      <c r="AE182" s="66" t="s">
        <v>590</v>
      </c>
      <c r="AF182" s="44">
        <v>15684</v>
      </c>
      <c r="AG182" s="254">
        <f>Prog_23[[#This Row],[SAÍDA DO CLIENTE]]-Prog_23[[#This Row],[PROGRAMAÇÃO CLIENTE]]</f>
        <v>0.26388888888322981</v>
      </c>
      <c r="AH182" s="44"/>
      <c r="AI182" s="66"/>
      <c r="AJ182" s="66"/>
      <c r="AK182" s="66"/>
      <c r="AL182" s="66"/>
      <c r="AM182" s="66"/>
      <c r="AN182" s="83"/>
      <c r="AO182" s="83"/>
      <c r="AP182" s="83"/>
      <c r="AQ182" s="66"/>
      <c r="AR182" s="66" t="s">
        <v>4973</v>
      </c>
      <c r="AS182" s="66"/>
      <c r="AT182" s="81">
        <v>4600</v>
      </c>
      <c r="AU182" s="81">
        <v>1900</v>
      </c>
      <c r="AV182" s="81"/>
      <c r="AW182" s="81"/>
      <c r="AX182" s="83">
        <f>SUM(Prog_23[[#This Row],[ADIANTAMENTO]]+Prog_23[[#This Row],[SALDO]]+Prog_23[[#This Row],[MARGEM]]+Prog_23[[#This Row],[ESTADIA 1]])</f>
        <v>6500</v>
      </c>
      <c r="AY1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8300</v>
      </c>
      <c r="AZ182" s="81">
        <v>6987.4</v>
      </c>
      <c r="BA182" s="81">
        <v>216562.5</v>
      </c>
      <c r="BB182" s="81">
        <v>0</v>
      </c>
      <c r="BC182" s="81">
        <v>0</v>
      </c>
      <c r="BD182" s="81">
        <v>1312.6</v>
      </c>
      <c r="BE182" s="81"/>
      <c r="BF182" s="81"/>
      <c r="BG182" s="81"/>
      <c r="BH182" s="81"/>
      <c r="BI182" s="81"/>
      <c r="BJ182" s="81"/>
      <c r="BK182" s="81"/>
      <c r="BL182" s="81"/>
      <c r="BM182" s="81"/>
      <c r="BN182" s="66" t="s">
        <v>2768</v>
      </c>
      <c r="BO182" s="66" t="s">
        <v>2768</v>
      </c>
      <c r="BP182" s="66" t="s">
        <v>2768</v>
      </c>
      <c r="BQ182" s="66" t="str">
        <f>PROPER(TEXT(Prog_23[[#This Row],[PROGRAMAÇÃO CLIENTE]],"mmm"))</f>
        <v>Abr</v>
      </c>
      <c r="BR182" s="66">
        <f>YEAR(Prog_23[[#This Row],[PROGRAMAÇÃO CLIENTE]])</f>
        <v>2023</v>
      </c>
    </row>
    <row r="183" spans="1:70" x14ac:dyDescent="0.25">
      <c r="A183" s="120" t="str">
        <f>Prog_23[[#This Row],[CONTEINER]]</f>
        <v>MRSU4859829</v>
      </c>
      <c r="B183" s="86" t="s">
        <v>2771</v>
      </c>
      <c r="C1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83" s="85">
        <v>45028.270833333336</v>
      </c>
      <c r="E183" s="66" t="s">
        <v>2549</v>
      </c>
      <c r="F183" s="66" t="s">
        <v>4074</v>
      </c>
      <c r="G183" s="66" t="s">
        <v>4224</v>
      </c>
      <c r="H183" s="44">
        <v>226440955</v>
      </c>
      <c r="I183" s="44" t="s">
        <v>4270</v>
      </c>
      <c r="J183" s="66" t="s">
        <v>301</v>
      </c>
      <c r="K183" s="66">
        <v>3720</v>
      </c>
      <c r="L183" s="80" t="s">
        <v>4277</v>
      </c>
      <c r="M183" s="66">
        <v>25030</v>
      </c>
      <c r="N183" s="66">
        <f>SUM(Prog_23[[#This Row],[TARA]]+Prog_23[[#This Row],[PESO]])</f>
        <v>28750</v>
      </c>
      <c r="O183" s="44">
        <v>14241</v>
      </c>
      <c r="P183" s="66" t="s">
        <v>4274</v>
      </c>
      <c r="Q183" s="66" t="s">
        <v>2879</v>
      </c>
      <c r="R183" s="66" t="s">
        <v>2878</v>
      </c>
      <c r="S183" s="66" t="s">
        <v>2917</v>
      </c>
      <c r="T183" s="138" t="str">
        <f>IFERROR(LOOKUP($S183,MOTORISTAS!$D$3:$D$916,MOTORISTAS!E$3:$E$916),"")</f>
        <v>31066093890</v>
      </c>
      <c r="U183" s="138" t="str">
        <f>IFERROR(LOOKUP($S183,MOTORISTAS!$D$3:$D$916,MOTORISTAS!F$3:$F$916),"")</f>
        <v>01819349701</v>
      </c>
      <c r="V183" s="66" t="s">
        <v>409</v>
      </c>
      <c r="W183" s="79">
        <v>45027.57916666667</v>
      </c>
      <c r="X183" s="79">
        <v>45027.90625</v>
      </c>
      <c r="Y183" s="79">
        <v>45028.534722222219</v>
      </c>
      <c r="Z183" s="66" t="s">
        <v>4228</v>
      </c>
      <c r="AA183" s="79">
        <v>45028.916666666664</v>
      </c>
      <c r="AB183" s="66"/>
      <c r="AC183" s="79">
        <v>45030.5</v>
      </c>
      <c r="AD183" s="79">
        <v>45035.5</v>
      </c>
      <c r="AE183" s="66" t="s">
        <v>590</v>
      </c>
      <c r="AF183" s="44">
        <v>15686</v>
      </c>
      <c r="AG183" s="254">
        <f>Prog_23[[#This Row],[SAÍDA DO CLIENTE]]-Prog_23[[#This Row],[PROGRAMAÇÃO CLIENTE]]</f>
        <v>0.26388888888322981</v>
      </c>
      <c r="AH183" s="44"/>
      <c r="AI183" s="66"/>
      <c r="AJ183" s="66"/>
      <c r="AK183" s="66"/>
      <c r="AL183" s="66"/>
      <c r="AM183" s="66"/>
      <c r="AN183" s="83"/>
      <c r="AO183" s="83"/>
      <c r="AP183" s="83"/>
      <c r="AQ183" s="66"/>
      <c r="AR183" s="66" t="s">
        <v>4973</v>
      </c>
      <c r="AS183" s="66"/>
      <c r="AT183" s="81">
        <v>4600</v>
      </c>
      <c r="AU183" s="81">
        <v>1900</v>
      </c>
      <c r="AV183" s="81"/>
      <c r="AW183" s="81"/>
      <c r="AX183" s="83">
        <f>SUM(Prog_23[[#This Row],[ADIANTAMENTO]]+Prog_23[[#This Row],[SALDO]]+Prog_23[[#This Row],[MARGEM]]+Prog_23[[#This Row],[ESTADIA 1]])</f>
        <v>6500</v>
      </c>
      <c r="AY1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8300</v>
      </c>
      <c r="AZ183" s="81">
        <v>6987.4</v>
      </c>
      <c r="BA183" s="81">
        <v>216562.5</v>
      </c>
      <c r="BB183" s="81">
        <v>0</v>
      </c>
      <c r="BC183" s="81">
        <v>0</v>
      </c>
      <c r="BD183" s="81">
        <v>1312.6</v>
      </c>
      <c r="BE183" s="81"/>
      <c r="BF183" s="81"/>
      <c r="BG183" s="81"/>
      <c r="BH183" s="81"/>
      <c r="BI183" s="81"/>
      <c r="BJ183" s="81"/>
      <c r="BK183" s="81"/>
      <c r="BL183" s="81"/>
      <c r="BM183" s="81"/>
      <c r="BN183" s="66" t="s">
        <v>2768</v>
      </c>
      <c r="BO183" s="66" t="s">
        <v>2768</v>
      </c>
      <c r="BP183" s="66" t="s">
        <v>2768</v>
      </c>
      <c r="BQ183" s="66" t="str">
        <f>PROPER(TEXT(Prog_23[[#This Row],[PROGRAMAÇÃO CLIENTE]],"mmm"))</f>
        <v>Abr</v>
      </c>
      <c r="BR183" s="66">
        <f>YEAR(Prog_23[[#This Row],[PROGRAMAÇÃO CLIENTE]])</f>
        <v>2023</v>
      </c>
    </row>
    <row r="184" spans="1:70" x14ac:dyDescent="0.25">
      <c r="A184" s="120" t="str">
        <f>Prog_23[[#This Row],[CONTEINER]]</f>
        <v>MRKU6315462</v>
      </c>
      <c r="B184" s="86" t="s">
        <v>2771</v>
      </c>
      <c r="C1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84" s="85">
        <v>45028.270833333336</v>
      </c>
      <c r="E184" s="66" t="s">
        <v>2549</v>
      </c>
      <c r="F184" s="66" t="s">
        <v>4074</v>
      </c>
      <c r="G184" s="66" t="s">
        <v>4224</v>
      </c>
      <c r="H184" s="44">
        <v>226440955</v>
      </c>
      <c r="I184" s="44" t="s">
        <v>4269</v>
      </c>
      <c r="J184" s="66" t="s">
        <v>301</v>
      </c>
      <c r="K184" s="66">
        <v>3810</v>
      </c>
      <c r="L184" s="80" t="s">
        <v>4275</v>
      </c>
      <c r="M184" s="66">
        <v>25030</v>
      </c>
      <c r="N184" s="66">
        <f>SUM(Prog_23[[#This Row],[TARA]]+Prog_23[[#This Row],[PESO]])</f>
        <v>28840</v>
      </c>
      <c r="O184" s="44">
        <v>14242</v>
      </c>
      <c r="P184" s="66" t="s">
        <v>4274</v>
      </c>
      <c r="Q184" s="66" t="s">
        <v>210</v>
      </c>
      <c r="R184" s="66" t="s">
        <v>211</v>
      </c>
      <c r="S184" s="66" t="s">
        <v>212</v>
      </c>
      <c r="T184" s="138" t="str">
        <f>IFERROR(LOOKUP($S184,MOTORISTAS!$D$3:$D$916,MOTORISTAS!E$3:$E$916),"")</f>
        <v>38029906846</v>
      </c>
      <c r="U184" s="138" t="str">
        <f>IFERROR(LOOKUP($S184,MOTORISTAS!$D$3:$D$916,MOTORISTAS!F$3:$F$916),"")</f>
        <v>04946846842</v>
      </c>
      <c r="V184" s="66" t="s">
        <v>409</v>
      </c>
      <c r="W184" s="79">
        <v>45027.497916666667</v>
      </c>
      <c r="X184" s="79">
        <v>45028.208333333336</v>
      </c>
      <c r="Y184" s="79">
        <v>45028.458333333336</v>
      </c>
      <c r="Z184" s="66" t="s">
        <v>4228</v>
      </c>
      <c r="AA184" s="79">
        <v>45028.770833333336</v>
      </c>
      <c r="AB184" s="66"/>
      <c r="AC184" s="79">
        <v>45030.5</v>
      </c>
      <c r="AD184" s="79">
        <v>45035.5</v>
      </c>
      <c r="AE184" s="66" t="s">
        <v>590</v>
      </c>
      <c r="AF184" s="44">
        <v>15683</v>
      </c>
      <c r="AG184" s="254">
        <f>Prog_23[[#This Row],[SAÍDA DO CLIENTE]]-Prog_23[[#This Row],[PROGRAMAÇÃO CLIENTE]]</f>
        <v>0.1875</v>
      </c>
      <c r="AH184" s="44"/>
      <c r="AI184" s="66"/>
      <c r="AJ184" s="66"/>
      <c r="AK184" s="66"/>
      <c r="AL184" s="66"/>
      <c r="AM184" s="66"/>
      <c r="AN184" s="83"/>
      <c r="AO184" s="83"/>
      <c r="AP184" s="83"/>
      <c r="AQ184" s="66"/>
      <c r="AR184" s="66" t="s">
        <v>4973</v>
      </c>
      <c r="AS184" s="66"/>
      <c r="AT184" s="81">
        <v>1423.9</v>
      </c>
      <c r="AU184" s="81">
        <v>5076.1000000000004</v>
      </c>
      <c r="AV184" s="81"/>
      <c r="AW184" s="81"/>
      <c r="AX184" s="83">
        <f>SUM(Prog_23[[#This Row],[ADIANTAMENTO]]+Prog_23[[#This Row],[SALDO]]+Prog_23[[#This Row],[MARGEM]]+Prog_23[[#This Row],[ESTADIA 1]])</f>
        <v>6500</v>
      </c>
      <c r="AY1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8300</v>
      </c>
      <c r="AZ184" s="81">
        <v>6987.4</v>
      </c>
      <c r="BA184" s="81">
        <v>216562.5</v>
      </c>
      <c r="BB184" s="81">
        <v>0</v>
      </c>
      <c r="BC184" s="81">
        <v>0</v>
      </c>
      <c r="BD184" s="81">
        <v>1312.6</v>
      </c>
      <c r="BE184" s="81"/>
      <c r="BF184" s="81"/>
      <c r="BG184" s="81"/>
      <c r="BH184" s="81"/>
      <c r="BI184" s="81"/>
      <c r="BJ184" s="81"/>
      <c r="BK184" s="81"/>
      <c r="BL184" s="81"/>
      <c r="BM184" s="81"/>
      <c r="BN184" s="66" t="s">
        <v>2768</v>
      </c>
      <c r="BO184" s="66" t="s">
        <v>2768</v>
      </c>
      <c r="BP184" s="66" t="s">
        <v>2768</v>
      </c>
      <c r="BQ184" s="66" t="str">
        <f>PROPER(TEXT(Prog_23[[#This Row],[PROGRAMAÇÃO CLIENTE]],"mmm"))</f>
        <v>Abr</v>
      </c>
      <c r="BR184" s="66">
        <f>YEAR(Prog_23[[#This Row],[PROGRAMAÇÃO CLIENTE]])</f>
        <v>2023</v>
      </c>
    </row>
    <row r="185" spans="1:70" x14ac:dyDescent="0.25">
      <c r="A185" s="120" t="str">
        <f>Prog_23[[#This Row],[CONTEINER]]</f>
        <v>MSKU6073951</v>
      </c>
      <c r="B185" s="86" t="s">
        <v>2771</v>
      </c>
      <c r="C1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85" s="85">
        <v>45029.791666666664</v>
      </c>
      <c r="E185" s="66" t="s">
        <v>2751</v>
      </c>
      <c r="F185" s="66" t="s">
        <v>2752</v>
      </c>
      <c r="G185" s="66" t="s">
        <v>4163</v>
      </c>
      <c r="H185" s="44" t="s">
        <v>4231</v>
      </c>
      <c r="I185" s="44" t="s">
        <v>4161</v>
      </c>
      <c r="J185" s="66" t="s">
        <v>2183</v>
      </c>
      <c r="K185" s="66">
        <v>3700</v>
      </c>
      <c r="L185" s="66" t="s">
        <v>4162</v>
      </c>
      <c r="M185" s="66">
        <v>22111</v>
      </c>
      <c r="N185" s="66">
        <f>SUM(Prog_23[[#This Row],[TARA]]+Prog_23[[#This Row],[PESO]])</f>
        <v>25811</v>
      </c>
      <c r="O185" s="44"/>
      <c r="P185" s="66" t="s">
        <v>4160</v>
      </c>
      <c r="Q185" s="66" t="s">
        <v>68</v>
      </c>
      <c r="R185" s="66" t="s">
        <v>36</v>
      </c>
      <c r="S185" s="66" t="s">
        <v>69</v>
      </c>
      <c r="T185" s="138" t="str">
        <f>IFERROR(LOOKUP($S185,MOTORISTAS!$D$3:$D$916,MOTORISTAS!E$3:$E$916),"")</f>
        <v>07968457866</v>
      </c>
      <c r="U185" s="138" t="str">
        <f>IFERROR(LOOKUP($S185,MOTORISTAS!$D$3:$D$916,MOTORISTAS!F$3:$F$916),"")</f>
        <v>03264365790</v>
      </c>
      <c r="V185" s="66" t="s">
        <v>306</v>
      </c>
      <c r="W185" s="79">
        <v>45029.701388888891</v>
      </c>
      <c r="X185" s="79">
        <v>45029.784722222219</v>
      </c>
      <c r="Y185" s="79">
        <v>45029.965277777781</v>
      </c>
      <c r="Z185" s="66" t="s">
        <v>292</v>
      </c>
      <c r="AA185" s="79">
        <v>45030.684027777781</v>
      </c>
      <c r="AB185" s="79">
        <v>45029.291666666664</v>
      </c>
      <c r="AC185" s="79">
        <v>45029.291666666664</v>
      </c>
      <c r="AD185" s="79">
        <v>45029.291666666664</v>
      </c>
      <c r="AE185" s="66" t="s">
        <v>708</v>
      </c>
      <c r="AF185" s="44">
        <v>15681</v>
      </c>
      <c r="AG185" s="254">
        <f>Prog_23[[#This Row],[SAÍDA DO CLIENTE]]-Prog_23[[#This Row],[PROGRAMAÇÃO CLIENTE]]</f>
        <v>0.17361111111677019</v>
      </c>
      <c r="AH185" s="44"/>
      <c r="AI185" s="66"/>
      <c r="AJ185" s="66"/>
      <c r="AK185" s="66"/>
      <c r="AL185" s="66"/>
      <c r="AM185" s="66"/>
      <c r="AN185" s="83"/>
      <c r="AO185" s="83"/>
      <c r="AP185" s="83"/>
      <c r="AQ185" s="66"/>
      <c r="AR185" s="66" t="s">
        <v>4973</v>
      </c>
      <c r="AS185" s="66"/>
      <c r="AT185" s="81">
        <v>2200</v>
      </c>
      <c r="AU185" s="81"/>
      <c r="AV185" s="81"/>
      <c r="AW185" s="81"/>
      <c r="AX185" s="83">
        <f>SUM(Prog_23[[#This Row],[ADIANTAMENTO]]+Prog_23[[#This Row],[SALDO]]+Prog_23[[#This Row],[MARGEM]]+Prog_23[[#This Row],[ESTADIA 1]])</f>
        <v>2200</v>
      </c>
      <c r="AY1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4286.5690300000006</v>
      </c>
      <c r="AZ185" s="81">
        <v>3150</v>
      </c>
      <c r="BA185" s="81">
        <v>189719.03</v>
      </c>
      <c r="BB185" s="81">
        <f>Prog_23[[#This Row],[VLR NF]]*0.1%</f>
        <v>189.71903</v>
      </c>
      <c r="BC185" s="81">
        <v>134.86000000000001</v>
      </c>
      <c r="BD185" s="81">
        <v>297.60000000000002</v>
      </c>
      <c r="BE185" s="81"/>
      <c r="BF185" s="81"/>
      <c r="BG185" s="81"/>
      <c r="BH185" s="81"/>
      <c r="BI185" s="81">
        <v>514.39</v>
      </c>
      <c r="BJ185" s="81"/>
      <c r="BK185" s="81"/>
      <c r="BL185" s="81"/>
      <c r="BM185" s="81"/>
      <c r="BN185" s="66" t="s">
        <v>2768</v>
      </c>
      <c r="BO185" s="66"/>
      <c r="BP185" s="66" t="s">
        <v>2768</v>
      </c>
      <c r="BQ185" s="66" t="str">
        <f>PROPER(TEXT(Prog_23[[#This Row],[PROGRAMAÇÃO CLIENTE]],"mmm"))</f>
        <v>Abr</v>
      </c>
      <c r="BR185" s="66">
        <f>YEAR(Prog_23[[#This Row],[PROGRAMAÇÃO CLIENTE]])</f>
        <v>2023</v>
      </c>
    </row>
    <row r="186" spans="1:70" x14ac:dyDescent="0.25">
      <c r="A186" s="201" t="str">
        <f>Prog_23[[#This Row],[CONTEINER]]</f>
        <v>BEAU2171355</v>
      </c>
      <c r="B186" s="86" t="s">
        <v>2771</v>
      </c>
      <c r="C1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86" s="85">
        <v>45030.166666666664</v>
      </c>
      <c r="E186" s="66" t="s">
        <v>3457</v>
      </c>
      <c r="F186" s="66" t="s">
        <v>3458</v>
      </c>
      <c r="G186" s="66" t="s">
        <v>4279</v>
      </c>
      <c r="H186" s="44">
        <v>67885181</v>
      </c>
      <c r="I186" s="44" t="s">
        <v>4280</v>
      </c>
      <c r="J186" s="66" t="s">
        <v>288</v>
      </c>
      <c r="K186" s="66">
        <v>2210</v>
      </c>
      <c r="L186" s="66" t="s">
        <v>4293</v>
      </c>
      <c r="M186" s="66">
        <v>23720</v>
      </c>
      <c r="N186" s="66">
        <f>SUM(Prog_23[[#This Row],[TARA]]+Prog_23[[#This Row],[PESO]])</f>
        <v>25930</v>
      </c>
      <c r="O186" s="44">
        <v>16165</v>
      </c>
      <c r="P186" s="66" t="s">
        <v>4281</v>
      </c>
      <c r="Q186" s="66" t="s">
        <v>102</v>
      </c>
      <c r="R186" s="66" t="s">
        <v>3246</v>
      </c>
      <c r="S186" s="66" t="s">
        <v>206</v>
      </c>
      <c r="T186" s="138" t="str">
        <f>IFERROR(LOOKUP($S186,MOTORISTAS!$D$3:$D$916,MOTORISTAS!E$3:$E$916),"")</f>
        <v>09085263425</v>
      </c>
      <c r="U186" s="138" t="str">
        <f>IFERROR(LOOKUP($S186,MOTORISTAS!$D$3:$D$916,MOTORISTAS!F$3:$F$916),"")</f>
        <v>04557705505</v>
      </c>
      <c r="V186" s="66" t="s">
        <v>292</v>
      </c>
      <c r="W186" s="79">
        <v>45029.493750000001</v>
      </c>
      <c r="X186" s="79">
        <v>45029.892361111109</v>
      </c>
      <c r="Y186" s="79">
        <v>45030.618055555555</v>
      </c>
      <c r="Z186" s="66" t="s">
        <v>410</v>
      </c>
      <c r="AA186" s="79">
        <v>45031.017361111109</v>
      </c>
      <c r="AB186" s="79">
        <v>45030.541666666664</v>
      </c>
      <c r="AC186" s="79">
        <v>45030.5</v>
      </c>
      <c r="AD186" s="79">
        <v>45034.708333333336</v>
      </c>
      <c r="AE186" s="66" t="s">
        <v>4266</v>
      </c>
      <c r="AF186" s="44">
        <v>15707</v>
      </c>
      <c r="AG186" s="254">
        <f>Prog_23[[#This Row],[SAÍDA DO CLIENTE]]-Prog_23[[#This Row],[PROGRAMAÇÃO CLIENTE]]</f>
        <v>0.45138888889050577</v>
      </c>
      <c r="AH186" s="44" t="s">
        <v>4291</v>
      </c>
      <c r="AI186" s="66"/>
      <c r="AJ186" s="66"/>
      <c r="AK186" s="66"/>
      <c r="AL186" s="66"/>
      <c r="AM186" s="66"/>
      <c r="AN186" s="83"/>
      <c r="AO186" s="83"/>
      <c r="AP186" s="83"/>
      <c r="AQ186" s="66"/>
      <c r="AR186" s="66" t="s">
        <v>4973</v>
      </c>
      <c r="AS186" s="66"/>
      <c r="AT186" s="81">
        <v>7000</v>
      </c>
      <c r="AU186" s="81"/>
      <c r="AV186" s="81"/>
      <c r="AW186" s="81"/>
      <c r="AX186" s="83">
        <f>SUM(Prog_23[[#This Row],[ADIANTAMENTO]]+Prog_23[[#This Row],[SALDO]]+Prog_23[[#This Row],[MARGEM]]+Prog_23[[#This Row],[ESTADIA 1]])</f>
        <v>7000</v>
      </c>
      <c r="AY1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8100</v>
      </c>
      <c r="AZ186" s="81">
        <v>6667</v>
      </c>
      <c r="BA186" s="81">
        <v>354703.05</v>
      </c>
      <c r="BB186" s="81">
        <v>0</v>
      </c>
      <c r="BC186" s="81">
        <v>0</v>
      </c>
      <c r="BD186" s="81">
        <v>1433</v>
      </c>
      <c r="BE186" s="81"/>
      <c r="BF186" s="81"/>
      <c r="BG186" s="81"/>
      <c r="BH186" s="81"/>
      <c r="BI186" s="81"/>
      <c r="BJ186" s="81"/>
      <c r="BK186" s="81"/>
      <c r="BL186" s="81"/>
      <c r="BM186" s="81"/>
      <c r="BN186" s="66" t="s">
        <v>2768</v>
      </c>
      <c r="BO186" s="66" t="s">
        <v>2768</v>
      </c>
      <c r="BP186" s="66" t="s">
        <v>2768</v>
      </c>
      <c r="BQ186" s="66" t="str">
        <f>PROPER(TEXT(Prog_23[[#This Row],[PROGRAMAÇÃO CLIENTE]],"mmm"))</f>
        <v>Abr</v>
      </c>
      <c r="BR186" s="66">
        <f>YEAR(Prog_23[[#This Row],[PROGRAMAÇÃO CLIENTE]])</f>
        <v>2023</v>
      </c>
    </row>
    <row r="187" spans="1:70" x14ac:dyDescent="0.25">
      <c r="A187" s="200" t="str">
        <f>Prog_23[[#This Row],[CONTEINER]]</f>
        <v>6 PALLETS</v>
      </c>
      <c r="B187" s="86" t="s">
        <v>2771</v>
      </c>
      <c r="C1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87" s="85">
        <v>45033.625</v>
      </c>
      <c r="E187" s="66" t="s">
        <v>4285</v>
      </c>
      <c r="F187" s="66" t="s">
        <v>4286</v>
      </c>
      <c r="G187" s="66" t="s">
        <v>4290</v>
      </c>
      <c r="H187" s="44" t="s">
        <v>4284</v>
      </c>
      <c r="I187" s="44" t="s">
        <v>4288</v>
      </c>
      <c r="J187" s="66" t="s">
        <v>301</v>
      </c>
      <c r="K187" s="66"/>
      <c r="L187" s="66"/>
      <c r="M187" s="66">
        <v>3487</v>
      </c>
      <c r="N187" s="66">
        <f>SUM(Prog_23[[#This Row],[TARA]]+Prog_23[[#This Row],[PESO]])</f>
        <v>3487</v>
      </c>
      <c r="O187" s="44"/>
      <c r="P187" s="66" t="s">
        <v>4287</v>
      </c>
      <c r="Q187" s="66" t="s">
        <v>4292</v>
      </c>
      <c r="R187" s="66"/>
      <c r="S187" s="66" t="s">
        <v>4289</v>
      </c>
      <c r="T187" s="138" t="str">
        <f>IFERROR(LOOKUP($S187,MOTORISTAS!$D$3:$D$916,MOTORISTAS!E$3:$E$916),"")</f>
        <v>08287130816</v>
      </c>
      <c r="U187" s="138" t="str">
        <f>IFERROR(LOOKUP($S187,MOTORISTAS!$D$3:$D$916,MOTORISTAS!F$3:$F$916),"")</f>
        <v>02884280516</v>
      </c>
      <c r="V187" s="66" t="s">
        <v>1569</v>
      </c>
      <c r="W187" s="79">
        <v>45033.5</v>
      </c>
      <c r="X187" s="79">
        <v>45033.618055555555</v>
      </c>
      <c r="Y187" s="79">
        <v>45033.722222222219</v>
      </c>
      <c r="Z187" s="66" t="s">
        <v>125</v>
      </c>
      <c r="AA187" s="79">
        <v>45033.722222222219</v>
      </c>
      <c r="AB187" s="79">
        <v>45033.75</v>
      </c>
      <c r="AC187" s="79">
        <v>45033.75</v>
      </c>
      <c r="AD187" s="79">
        <v>45033.75</v>
      </c>
      <c r="AE187" s="66" t="s">
        <v>708</v>
      </c>
      <c r="AF187" s="44">
        <v>15711</v>
      </c>
      <c r="AG187" s="254">
        <f>Prog_23[[#This Row],[SAÍDA DO CLIENTE]]-Prog_23[[#This Row],[PROGRAMAÇÃO CLIENTE]]</f>
        <v>9.7222222218988463E-2</v>
      </c>
      <c r="AH187" s="44"/>
      <c r="AI187" s="66"/>
      <c r="AJ187" s="66"/>
      <c r="AK187" s="66"/>
      <c r="AL187" s="66"/>
      <c r="AM187" s="66"/>
      <c r="AN187" s="83"/>
      <c r="AO187" s="83"/>
      <c r="AP187" s="83"/>
      <c r="AQ187" s="66"/>
      <c r="AR187" s="66" t="s">
        <v>4973</v>
      </c>
      <c r="AS187" s="66"/>
      <c r="AT187" s="81">
        <v>2000</v>
      </c>
      <c r="AU187" s="81"/>
      <c r="AV187" s="81"/>
      <c r="AW187" s="81"/>
      <c r="AX187" s="83">
        <f>SUM(Prog_23[[#This Row],[ADIANTAMENTO]]+Prog_23[[#This Row],[SALDO]]+Prog_23[[#This Row],[MARGEM]]+Prog_23[[#This Row],[ESTADIA 1]])</f>
        <v>2000</v>
      </c>
      <c r="AY1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15000</v>
      </c>
      <c r="AZ187" s="81">
        <v>10760</v>
      </c>
      <c r="BA187" s="81">
        <v>262145.02</v>
      </c>
      <c r="BB187" s="81">
        <v>1500</v>
      </c>
      <c r="BC187" s="81">
        <v>500</v>
      </c>
      <c r="BD187" s="81">
        <v>190</v>
      </c>
      <c r="BE187" s="81">
        <v>250</v>
      </c>
      <c r="BF187" s="81"/>
      <c r="BG187" s="81"/>
      <c r="BH187" s="81"/>
      <c r="BI187" s="81">
        <v>1800</v>
      </c>
      <c r="BJ187" s="81"/>
      <c r="BK187" s="81"/>
      <c r="BL187" s="81"/>
      <c r="BM187" s="81"/>
      <c r="BN187" s="66" t="s">
        <v>2768</v>
      </c>
      <c r="BO187" s="66" t="s">
        <v>2768</v>
      </c>
      <c r="BP187" s="66" t="s">
        <v>2768</v>
      </c>
      <c r="BQ187" s="66" t="str">
        <f>PROPER(TEXT(Prog_23[[#This Row],[PROGRAMAÇÃO CLIENTE]],"mmm"))</f>
        <v>Abr</v>
      </c>
      <c r="BR187" s="66">
        <f>YEAR(Prog_23[[#This Row],[PROGRAMAÇÃO CLIENTE]])</f>
        <v>2023</v>
      </c>
    </row>
    <row r="188" spans="1:70" x14ac:dyDescent="0.25">
      <c r="A188" s="200" t="str">
        <f>Prog_23[[#This Row],[CONTEINER]]</f>
        <v>MRSU6191744</v>
      </c>
      <c r="B188" s="86" t="s">
        <v>2771</v>
      </c>
      <c r="C1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88" s="85">
        <v>45034.375</v>
      </c>
      <c r="E188" s="66" t="s">
        <v>297</v>
      </c>
      <c r="F188" s="66" t="s">
        <v>298</v>
      </c>
      <c r="G188" s="66" t="s">
        <v>4294</v>
      </c>
      <c r="H188" s="44">
        <v>226024605</v>
      </c>
      <c r="I188" s="44" t="s">
        <v>4311</v>
      </c>
      <c r="J188" s="66" t="s">
        <v>301</v>
      </c>
      <c r="K188" s="66">
        <v>3720</v>
      </c>
      <c r="L188" s="66" t="s">
        <v>4312</v>
      </c>
      <c r="M188" s="66">
        <v>19734</v>
      </c>
      <c r="N188" s="66">
        <f>SUM(Prog_23[[#This Row],[TARA]]+Prog_23[[#This Row],[PESO]])</f>
        <v>23454</v>
      </c>
      <c r="O188" s="44">
        <v>850716</v>
      </c>
      <c r="P188" s="66" t="s">
        <v>4282</v>
      </c>
      <c r="Q188" s="66" t="s">
        <v>150</v>
      </c>
      <c r="R188" s="66" t="s">
        <v>151</v>
      </c>
      <c r="S188" s="66" t="s">
        <v>152</v>
      </c>
      <c r="T188" s="138" t="str">
        <f>IFERROR(LOOKUP($S188,MOTORISTAS!$D$3:$D$916,MOTORISTAS!E$3:$E$916),"")</f>
        <v>05753633803</v>
      </c>
      <c r="U188" s="138" t="str">
        <f>IFERROR(LOOKUP($S188,MOTORISTAS!$D$3:$D$916,MOTORISTAS!F$3:$F$916),"")</f>
        <v>01922497849</v>
      </c>
      <c r="V188" s="66" t="s">
        <v>292</v>
      </c>
      <c r="W188" s="79">
        <v>45033.604166666664</v>
      </c>
      <c r="X188" s="79">
        <v>45034.166666666664</v>
      </c>
      <c r="Y188" s="79">
        <v>45034.513888888891</v>
      </c>
      <c r="Z188" s="66" t="s">
        <v>410</v>
      </c>
      <c r="AA188" s="79">
        <v>45034.875</v>
      </c>
      <c r="AB188" s="79">
        <v>45034.791666666664</v>
      </c>
      <c r="AC188" s="79">
        <v>45034.75</v>
      </c>
      <c r="AD188" s="79">
        <v>45037.75</v>
      </c>
      <c r="AE188" s="66" t="s">
        <v>308</v>
      </c>
      <c r="AF188" s="44">
        <v>15733</v>
      </c>
      <c r="AG188" s="254">
        <f>Prog_23[[#This Row],[SAÍDA DO CLIENTE]]-Prog_23[[#This Row],[PROGRAMAÇÃO CLIENTE]]</f>
        <v>0.13888888889050577</v>
      </c>
      <c r="AH188" s="44" t="s">
        <v>4337</v>
      </c>
      <c r="AI188" s="66"/>
      <c r="AJ188" s="66"/>
      <c r="AK188" s="66"/>
      <c r="AL188" s="66"/>
      <c r="AM188" s="66"/>
      <c r="AN188" s="83"/>
      <c r="AO188" s="83"/>
      <c r="AP188" s="83"/>
      <c r="AQ188" s="66"/>
      <c r="AR188" s="66" t="s">
        <v>4973</v>
      </c>
      <c r="AS188" s="66"/>
      <c r="AT188" s="81"/>
      <c r="AU188" s="81"/>
      <c r="AV188" s="81"/>
      <c r="AW188" s="81"/>
      <c r="AX188" s="83">
        <f>SUM(Prog_23[[#This Row],[ADIANTAMENTO]]+Prog_23[[#This Row],[SALDO]]+Prog_23[[#This Row],[MARGEM]]+Prog_23[[#This Row],[ESTADIA 1]])</f>
        <v>0</v>
      </c>
      <c r="AY1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88" s="81">
        <v>3488.8</v>
      </c>
      <c r="BA188" s="81">
        <v>135630</v>
      </c>
      <c r="BB188" s="81">
        <v>0</v>
      </c>
      <c r="BC188" s="81">
        <v>0</v>
      </c>
      <c r="BD188" s="81">
        <v>511.2</v>
      </c>
      <c r="BE188" s="81"/>
      <c r="BF188" s="81"/>
      <c r="BG188" s="81"/>
      <c r="BH188" s="81"/>
      <c r="BI188" s="81"/>
      <c r="BJ188" s="81"/>
      <c r="BK188" s="81"/>
      <c r="BL188" s="81"/>
      <c r="BM188" s="81"/>
      <c r="BN188" s="66" t="s">
        <v>2768</v>
      </c>
      <c r="BO188" s="66" t="s">
        <v>2768</v>
      </c>
      <c r="BP188" s="66" t="s">
        <v>2768</v>
      </c>
      <c r="BQ188" s="66" t="str">
        <f>PROPER(TEXT(Prog_23[[#This Row],[PROGRAMAÇÃO CLIENTE]],"mmm"))</f>
        <v>Abr</v>
      </c>
      <c r="BR188" s="66">
        <f>YEAR(Prog_23[[#This Row],[PROGRAMAÇÃO CLIENTE]])</f>
        <v>2023</v>
      </c>
    </row>
    <row r="189" spans="1:70" x14ac:dyDescent="0.25">
      <c r="A189" s="200" t="str">
        <f>Prog_23[[#This Row],[CONTEINER]]</f>
        <v>MRSU5734472</v>
      </c>
      <c r="B189" s="86" t="s">
        <v>2771</v>
      </c>
      <c r="C1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89" s="85">
        <v>45034.458333333336</v>
      </c>
      <c r="E189" s="66" t="s">
        <v>297</v>
      </c>
      <c r="F189" s="66" t="s">
        <v>298</v>
      </c>
      <c r="G189" s="66" t="s">
        <v>4294</v>
      </c>
      <c r="H189" s="44">
        <v>226024605</v>
      </c>
      <c r="I189" s="44" t="s">
        <v>4314</v>
      </c>
      <c r="J189" s="66" t="s">
        <v>301</v>
      </c>
      <c r="K189" s="66">
        <v>3720</v>
      </c>
      <c r="L189" s="66" t="s">
        <v>4315</v>
      </c>
      <c r="M189" s="66">
        <v>19734</v>
      </c>
      <c r="N189" s="66">
        <f>SUM(Prog_23[[#This Row],[TARA]]+Prog_23[[#This Row],[PESO]])</f>
        <v>23454</v>
      </c>
      <c r="O189" s="44">
        <v>850758</v>
      </c>
      <c r="P189" s="66" t="s">
        <v>4282</v>
      </c>
      <c r="Q189" s="66" t="s">
        <v>31</v>
      </c>
      <c r="R189" s="66" t="s">
        <v>32</v>
      </c>
      <c r="S189" s="66" t="s">
        <v>33</v>
      </c>
      <c r="T189" s="138" t="str">
        <f>IFERROR(LOOKUP($S189,MOTORISTAS!$D$3:$D$916,MOTORISTAS!E$3:$E$916),"")</f>
        <v>09776430856</v>
      </c>
      <c r="U189" s="138" t="str">
        <f>IFERROR(LOOKUP($S189,MOTORISTAS!$D$3:$D$916,MOTORISTAS!F$3:$F$916),"")</f>
        <v>01258979905</v>
      </c>
      <c r="V189" s="66" t="s">
        <v>292</v>
      </c>
      <c r="W189" s="79">
        <v>45033.746527777781</v>
      </c>
      <c r="X189" s="79">
        <v>45034.229166666664</v>
      </c>
      <c r="Y189" s="79">
        <v>45034.520833333336</v>
      </c>
      <c r="Z189" s="66" t="s">
        <v>410</v>
      </c>
      <c r="AA189" s="79">
        <v>45034.803472222222</v>
      </c>
      <c r="AB189" s="79">
        <v>45034.791666666664</v>
      </c>
      <c r="AC189" s="79">
        <v>45034.75</v>
      </c>
      <c r="AD189" s="79">
        <v>45037.75</v>
      </c>
      <c r="AE189" s="66" t="s">
        <v>308</v>
      </c>
      <c r="AF189" s="44">
        <v>15732</v>
      </c>
      <c r="AG189" s="254">
        <f>Prog_23[[#This Row],[SAÍDA DO CLIENTE]]-Prog_23[[#This Row],[PROGRAMAÇÃO CLIENTE]]</f>
        <v>6.25E-2</v>
      </c>
      <c r="AH189" s="44" t="s">
        <v>4338</v>
      </c>
      <c r="AI189" s="66"/>
      <c r="AJ189" s="66"/>
      <c r="AK189" s="66"/>
      <c r="AL189" s="66"/>
      <c r="AM189" s="66"/>
      <c r="AN189" s="83"/>
      <c r="AO189" s="83"/>
      <c r="AP189" s="83"/>
      <c r="AQ189" s="66"/>
      <c r="AR189" s="66" t="s">
        <v>4973</v>
      </c>
      <c r="AS189" s="66"/>
      <c r="AT189" s="81"/>
      <c r="AU189" s="81"/>
      <c r="AV189" s="81"/>
      <c r="AW189" s="81"/>
      <c r="AX189" s="83">
        <f>SUM(Prog_23[[#This Row],[ADIANTAMENTO]]+Prog_23[[#This Row],[SALDO]]+Prog_23[[#This Row],[MARGEM]]+Prog_23[[#This Row],[ESTADIA 1]])</f>
        <v>0</v>
      </c>
      <c r="AY1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89" s="81">
        <v>3488.8</v>
      </c>
      <c r="BA189" s="81">
        <v>153570</v>
      </c>
      <c r="BB189" s="81">
        <v>0</v>
      </c>
      <c r="BC189" s="81">
        <v>0</v>
      </c>
      <c r="BD189" s="81">
        <v>511.2</v>
      </c>
      <c r="BE189" s="81"/>
      <c r="BF189" s="81"/>
      <c r="BG189" s="81"/>
      <c r="BH189" s="81"/>
      <c r="BI189" s="81"/>
      <c r="BJ189" s="81"/>
      <c r="BK189" s="81"/>
      <c r="BL189" s="81"/>
      <c r="BM189" s="81"/>
      <c r="BN189" s="66" t="s">
        <v>2768</v>
      </c>
      <c r="BO189" s="66" t="s">
        <v>2768</v>
      </c>
      <c r="BP189" s="66" t="s">
        <v>2768</v>
      </c>
      <c r="BQ189" s="66" t="str">
        <f>PROPER(TEXT(Prog_23[[#This Row],[PROGRAMAÇÃO CLIENTE]],"mmm"))</f>
        <v>Abr</v>
      </c>
      <c r="BR189" s="66">
        <f>YEAR(Prog_23[[#This Row],[PROGRAMAÇÃO CLIENTE]])</f>
        <v>2023</v>
      </c>
    </row>
    <row r="190" spans="1:70" x14ac:dyDescent="0.25">
      <c r="A190" s="201" t="str">
        <f>Prog_23[[#This Row],[CONTEINER]]</f>
        <v>TCKU6923310</v>
      </c>
      <c r="B190" s="86" t="s">
        <v>2771</v>
      </c>
      <c r="C1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90" s="85">
        <v>45034.5</v>
      </c>
      <c r="E190" s="66" t="s">
        <v>297</v>
      </c>
      <c r="F190" s="66" t="s">
        <v>298</v>
      </c>
      <c r="G190" s="66" t="s">
        <v>4294</v>
      </c>
      <c r="H190" s="44">
        <v>226024605</v>
      </c>
      <c r="I190" s="44" t="s">
        <v>4318</v>
      </c>
      <c r="J190" s="66" t="s">
        <v>301</v>
      </c>
      <c r="K190" s="66">
        <v>3800</v>
      </c>
      <c r="L190" s="66" t="s">
        <v>4319</v>
      </c>
      <c r="M190" s="66">
        <v>22547</v>
      </c>
      <c r="N190" s="66">
        <f>SUM(Prog_23[[#This Row],[TARA]]+Prog_23[[#This Row],[PESO]])</f>
        <v>26347</v>
      </c>
      <c r="O190" s="44">
        <v>851020</v>
      </c>
      <c r="P190" s="66" t="s">
        <v>4282</v>
      </c>
      <c r="Q190" s="66" t="s">
        <v>72</v>
      </c>
      <c r="R190" s="66" t="s">
        <v>73</v>
      </c>
      <c r="S190" s="66" t="s">
        <v>203</v>
      </c>
      <c r="T190" s="138" t="str">
        <f>IFERROR(LOOKUP($S190,MOTORISTAS!$D$3:$D$916,MOTORISTAS!E$3:$E$916),"")</f>
        <v>10395859816</v>
      </c>
      <c r="U190" s="138" t="str">
        <f>IFERROR(LOOKUP($S190,MOTORISTAS!$D$3:$D$916,MOTORISTAS!F$3:$F$916),"")</f>
        <v>01965794851</v>
      </c>
      <c r="V190" s="66" t="s">
        <v>292</v>
      </c>
      <c r="W190" s="79">
        <v>45033.833333333336</v>
      </c>
      <c r="X190" s="79">
        <v>45034.384722222225</v>
      </c>
      <c r="Y190" s="79">
        <v>45034.927083333336</v>
      </c>
      <c r="Z190" s="66" t="s">
        <v>410</v>
      </c>
      <c r="AA190" s="79">
        <v>45035.267361111109</v>
      </c>
      <c r="AB190" s="79">
        <v>45034.791666666664</v>
      </c>
      <c r="AC190" s="79">
        <v>45034.75</v>
      </c>
      <c r="AD190" s="79">
        <v>45037.75</v>
      </c>
      <c r="AE190" s="66" t="s">
        <v>308</v>
      </c>
      <c r="AF190" s="44">
        <v>15735</v>
      </c>
      <c r="AG190" s="254">
        <f>Prog_23[[#This Row],[SAÍDA DO CLIENTE]]-Prog_23[[#This Row],[PROGRAMAÇÃO CLIENTE]]</f>
        <v>0.42708333333575865</v>
      </c>
      <c r="AH190" s="44" t="s">
        <v>4336</v>
      </c>
      <c r="AI190" s="66"/>
      <c r="AJ190" s="66"/>
      <c r="AK190" s="66"/>
      <c r="AL190" s="66"/>
      <c r="AM190" s="66"/>
      <c r="AN190" s="83"/>
      <c r="AO190" s="83"/>
      <c r="AP190" s="83"/>
      <c r="AQ190" s="66"/>
      <c r="AR190" s="66" t="s">
        <v>4973</v>
      </c>
      <c r="AS190" s="66"/>
      <c r="AT190" s="81"/>
      <c r="AU190" s="81"/>
      <c r="AV190" s="81"/>
      <c r="AW190" s="81"/>
      <c r="AX190" s="83">
        <f>SUM(Prog_23[[#This Row],[ADIANTAMENTO]]+Prog_23[[#This Row],[SALDO]]+Prog_23[[#This Row],[MARGEM]]+Prog_23[[#This Row],[ESTADIA 1]])</f>
        <v>0</v>
      </c>
      <c r="AY1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4425</v>
      </c>
      <c r="AZ190" s="81">
        <v>3488.8</v>
      </c>
      <c r="BA190" s="81">
        <v>177378</v>
      </c>
      <c r="BB190" s="81">
        <v>0</v>
      </c>
      <c r="BC190" s="81">
        <v>0</v>
      </c>
      <c r="BD190" s="81">
        <v>511.2</v>
      </c>
      <c r="BE190" s="81"/>
      <c r="BF190" s="81"/>
      <c r="BG190" s="81"/>
      <c r="BH190" s="81"/>
      <c r="BI190" s="81"/>
      <c r="BJ190" s="81"/>
      <c r="BK190" s="81"/>
      <c r="BL190" s="81"/>
      <c r="BM190" s="81">
        <f>85*5</f>
        <v>425</v>
      </c>
      <c r="BN190" s="66" t="s">
        <v>2768</v>
      </c>
      <c r="BO190" s="66" t="s">
        <v>2768</v>
      </c>
      <c r="BP190" s="66" t="s">
        <v>2768</v>
      </c>
      <c r="BQ190" s="66" t="str">
        <f>PROPER(TEXT(Prog_23[[#This Row],[PROGRAMAÇÃO CLIENTE]],"mmm"))</f>
        <v>Abr</v>
      </c>
      <c r="BR190" s="66">
        <f>YEAR(Prog_23[[#This Row],[PROGRAMAÇÃO CLIENTE]])</f>
        <v>2023</v>
      </c>
    </row>
    <row r="191" spans="1:70" x14ac:dyDescent="0.25">
      <c r="A191" s="201" t="str">
        <f>Prog_23[[#This Row],[CONTEINER]]</f>
        <v>TRHU4264016</v>
      </c>
      <c r="B191" s="86" t="s">
        <v>2771</v>
      </c>
      <c r="C1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91" s="85">
        <v>45034.541666666664</v>
      </c>
      <c r="E191" s="66" t="s">
        <v>297</v>
      </c>
      <c r="F191" s="66" t="s">
        <v>298</v>
      </c>
      <c r="G191" s="66" t="s">
        <v>4294</v>
      </c>
      <c r="H191" s="44">
        <v>226024605</v>
      </c>
      <c r="I191" s="44" t="s">
        <v>4320</v>
      </c>
      <c r="J191" s="66" t="s">
        <v>301</v>
      </c>
      <c r="K191" s="66">
        <v>3700</v>
      </c>
      <c r="L191" s="66" t="s">
        <v>4321</v>
      </c>
      <c r="M191" s="66">
        <v>22810</v>
      </c>
      <c r="N191" s="66">
        <f>SUM(Prog_23[[#This Row],[TARA]]+Prog_23[[#This Row],[PESO]])</f>
        <v>26510</v>
      </c>
      <c r="O191" s="44">
        <v>851015</v>
      </c>
      <c r="P191" s="66" t="s">
        <v>4282</v>
      </c>
      <c r="Q191" s="66" t="s">
        <v>210</v>
      </c>
      <c r="R191" s="66" t="s">
        <v>211</v>
      </c>
      <c r="S191" s="66" t="s">
        <v>212</v>
      </c>
      <c r="T191" s="138" t="str">
        <f>IFERROR(LOOKUP($S191,MOTORISTAS!$D$3:$D$916,MOTORISTAS!E$3:$E$916),"")</f>
        <v>38029906846</v>
      </c>
      <c r="U191" s="138" t="str">
        <f>IFERROR(LOOKUP($S191,MOTORISTAS!$D$3:$D$916,MOTORISTAS!F$3:$F$916),"")</f>
        <v>04946846842</v>
      </c>
      <c r="V191" s="66" t="s">
        <v>292</v>
      </c>
      <c r="W191" s="79">
        <v>45033.922222222223</v>
      </c>
      <c r="X191" s="79">
        <v>45034.402777777781</v>
      </c>
      <c r="Y191" s="79">
        <v>45034.9375</v>
      </c>
      <c r="Z191" s="66" t="s">
        <v>410</v>
      </c>
      <c r="AA191" s="79">
        <v>45035.320833333331</v>
      </c>
      <c r="AB191" s="79">
        <v>45034.791666666664</v>
      </c>
      <c r="AC191" s="79">
        <v>45034.75</v>
      </c>
      <c r="AD191" s="79">
        <v>45037.75</v>
      </c>
      <c r="AE191" s="66" t="s">
        <v>308</v>
      </c>
      <c r="AF191" s="44">
        <v>15736</v>
      </c>
      <c r="AG191" s="254">
        <f>Prog_23[[#This Row],[SAÍDA DO CLIENTE]]-Prog_23[[#This Row],[PROGRAMAÇÃO CLIENTE]]</f>
        <v>0.39583333333575865</v>
      </c>
      <c r="AH191" s="44" t="s">
        <v>4328</v>
      </c>
      <c r="AI191" s="66"/>
      <c r="AJ191" s="66"/>
      <c r="AK191" s="66"/>
      <c r="AL191" s="66"/>
      <c r="AM191" s="66"/>
      <c r="AN191" s="83"/>
      <c r="AO191" s="83"/>
      <c r="AP191" s="83"/>
      <c r="AQ191" s="66"/>
      <c r="AR191" s="66" t="s">
        <v>4973</v>
      </c>
      <c r="AS191" s="66"/>
      <c r="AT191" s="81"/>
      <c r="AU191" s="81"/>
      <c r="AV191" s="81"/>
      <c r="AW191" s="81"/>
      <c r="AX191" s="83">
        <f>SUM(Prog_23[[#This Row],[ADIANTAMENTO]]+Prog_23[[#This Row],[SALDO]]+Prog_23[[#This Row],[MARGEM]]+Prog_23[[#This Row],[ESTADIA 1]])</f>
        <v>0</v>
      </c>
      <c r="AY1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4365.5</v>
      </c>
      <c r="AZ191" s="81">
        <v>3488.8</v>
      </c>
      <c r="BA191" s="81">
        <v>173795.6</v>
      </c>
      <c r="BB191" s="81">
        <v>0</v>
      </c>
      <c r="BC191" s="81">
        <v>0</v>
      </c>
      <c r="BD191" s="81">
        <v>511.2</v>
      </c>
      <c r="BE191" s="81"/>
      <c r="BF191" s="81"/>
      <c r="BG191" s="81"/>
      <c r="BH191" s="81"/>
      <c r="BI191" s="81"/>
      <c r="BJ191" s="81"/>
      <c r="BK191" s="81"/>
      <c r="BL191" s="81"/>
      <c r="BM191" s="81">
        <f>85*4.3</f>
        <v>365.5</v>
      </c>
      <c r="BN191" s="66" t="s">
        <v>2768</v>
      </c>
      <c r="BO191" s="66" t="s">
        <v>2768</v>
      </c>
      <c r="BP191" s="66" t="s">
        <v>2768</v>
      </c>
      <c r="BQ191" s="66" t="str">
        <f>PROPER(TEXT(Prog_23[[#This Row],[PROGRAMAÇÃO CLIENTE]],"mmm"))</f>
        <v>Abr</v>
      </c>
      <c r="BR191" s="66">
        <f>YEAR(Prog_23[[#This Row],[PROGRAMAÇÃO CLIENTE]])</f>
        <v>2023</v>
      </c>
    </row>
    <row r="192" spans="1:70" x14ac:dyDescent="0.25">
      <c r="A192" s="200" t="str">
        <f>Prog_23[[#This Row],[CONTEINER]]</f>
        <v>MRSU4224324</v>
      </c>
      <c r="B192" s="86" t="s">
        <v>2771</v>
      </c>
      <c r="C1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92" s="85">
        <v>45034.583333333336</v>
      </c>
      <c r="E192" s="66" t="s">
        <v>297</v>
      </c>
      <c r="F192" s="66" t="s">
        <v>298</v>
      </c>
      <c r="G192" s="66" t="s">
        <v>4294</v>
      </c>
      <c r="H192" s="44">
        <v>226024605</v>
      </c>
      <c r="I192" s="44" t="s">
        <v>4322</v>
      </c>
      <c r="J192" s="66" t="s">
        <v>301</v>
      </c>
      <c r="K192" s="66">
        <v>3720</v>
      </c>
      <c r="L192" s="66" t="s">
        <v>4323</v>
      </c>
      <c r="M192" s="66">
        <v>22547</v>
      </c>
      <c r="N192" s="66">
        <f>SUM(Prog_23[[#This Row],[TARA]]+Prog_23[[#This Row],[PESO]])</f>
        <v>26267</v>
      </c>
      <c r="O192" s="44">
        <v>851030</v>
      </c>
      <c r="P192" s="66" t="s">
        <v>4282</v>
      </c>
      <c r="Q192" s="66" t="s">
        <v>92</v>
      </c>
      <c r="R192" s="66" t="s">
        <v>93</v>
      </c>
      <c r="S192" s="66" t="s">
        <v>94</v>
      </c>
      <c r="T192" s="138" t="str">
        <f>IFERROR(LOOKUP($S192,MOTORISTAS!$D$3:$D$916,MOTORISTAS!E$3:$E$916),"")</f>
        <v>26283419801</v>
      </c>
      <c r="U192" s="138" t="str">
        <f>IFERROR(LOOKUP($S192,MOTORISTAS!$D$3:$D$916,MOTORISTAS!F$3:$F$916),"")</f>
        <v>02002046946</v>
      </c>
      <c r="V192" s="66" t="s">
        <v>292</v>
      </c>
      <c r="W192" s="79">
        <v>45033.941666666666</v>
      </c>
      <c r="X192" s="79">
        <v>45034.527777777781</v>
      </c>
      <c r="Y192" s="79">
        <v>45034.958333333336</v>
      </c>
      <c r="Z192" s="66" t="s">
        <v>410</v>
      </c>
      <c r="AA192" s="79">
        <v>45035.400694444441</v>
      </c>
      <c r="AB192" s="79">
        <v>45034.791666666664</v>
      </c>
      <c r="AC192" s="79">
        <v>45034.75</v>
      </c>
      <c r="AD192" s="79">
        <v>45037.75</v>
      </c>
      <c r="AE192" s="66" t="s">
        <v>308</v>
      </c>
      <c r="AF192" s="44">
        <v>15737</v>
      </c>
      <c r="AG192" s="254">
        <f>Prog_23[[#This Row],[SAÍDA DO CLIENTE]]-Prog_23[[#This Row],[PROGRAMAÇÃO CLIENTE]]</f>
        <v>0.375</v>
      </c>
      <c r="AH192" s="44" t="s">
        <v>4329</v>
      </c>
      <c r="AI192" s="66"/>
      <c r="AJ192" s="66"/>
      <c r="AK192" s="66"/>
      <c r="AL192" s="66"/>
      <c r="AM192" s="66"/>
      <c r="AN192" s="83"/>
      <c r="AO192" s="83"/>
      <c r="AP192" s="83"/>
      <c r="AQ192" s="66"/>
      <c r="AR192" s="66" t="s">
        <v>4973</v>
      </c>
      <c r="AS192" s="66"/>
      <c r="AT192" s="81"/>
      <c r="AU192" s="81"/>
      <c r="AV192" s="81"/>
      <c r="AW192" s="81"/>
      <c r="AX192" s="83">
        <f>SUM(Prog_23[[#This Row],[ADIANTAMENTO]]+Prog_23[[#This Row],[SALDO]]+Prog_23[[#This Row],[MARGEM]]+Prog_23[[#This Row],[ESTADIA 1]])</f>
        <v>0</v>
      </c>
      <c r="AY1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4340</v>
      </c>
      <c r="AZ192" s="81">
        <v>3488.8</v>
      </c>
      <c r="BA192" s="81">
        <v>177378</v>
      </c>
      <c r="BB192" s="81">
        <v>0</v>
      </c>
      <c r="BC192" s="81">
        <v>0</v>
      </c>
      <c r="BD192" s="81">
        <v>511.2</v>
      </c>
      <c r="BE192" s="81"/>
      <c r="BF192" s="81"/>
      <c r="BG192" s="81"/>
      <c r="BH192" s="81"/>
      <c r="BI192" s="81"/>
      <c r="BJ192" s="81"/>
      <c r="BK192" s="81"/>
      <c r="BL192" s="81"/>
      <c r="BM192" s="81">
        <f>85*4</f>
        <v>340</v>
      </c>
      <c r="BN192" s="66" t="s">
        <v>2768</v>
      </c>
      <c r="BO192" s="66" t="s">
        <v>2768</v>
      </c>
      <c r="BP192" s="66" t="s">
        <v>2768</v>
      </c>
      <c r="BQ192" s="66" t="str">
        <f>PROPER(TEXT(Prog_23[[#This Row],[PROGRAMAÇÃO CLIENTE]],"mmm"))</f>
        <v>Abr</v>
      </c>
      <c r="BR192" s="66">
        <f>YEAR(Prog_23[[#This Row],[PROGRAMAÇÃO CLIENTE]])</f>
        <v>2023</v>
      </c>
    </row>
    <row r="193" spans="1:70" x14ac:dyDescent="0.25">
      <c r="A193" s="201" t="str">
        <f>Prog_23[[#This Row],[CONTEINER]]</f>
        <v>MRSU5233830</v>
      </c>
      <c r="B193" s="86" t="s">
        <v>2771</v>
      </c>
      <c r="C1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93" s="85">
        <v>45034.625</v>
      </c>
      <c r="E193" s="66" t="s">
        <v>297</v>
      </c>
      <c r="F193" s="66" t="s">
        <v>298</v>
      </c>
      <c r="G193" s="66" t="s">
        <v>4294</v>
      </c>
      <c r="H193" s="44">
        <v>226024605</v>
      </c>
      <c r="I193" s="44" t="s">
        <v>4324</v>
      </c>
      <c r="J193" s="66" t="s">
        <v>301</v>
      </c>
      <c r="K193" s="66">
        <v>3720</v>
      </c>
      <c r="L193" s="66" t="s">
        <v>4325</v>
      </c>
      <c r="M193" s="66">
        <v>22810</v>
      </c>
      <c r="N193" s="66">
        <f>SUM(Prog_23[[#This Row],[TARA]]+Prog_23[[#This Row],[PESO]])</f>
        <v>26530</v>
      </c>
      <c r="O193" s="44">
        <v>851078</v>
      </c>
      <c r="P193" s="66" t="s">
        <v>4282</v>
      </c>
      <c r="Q193" s="66" t="s">
        <v>106</v>
      </c>
      <c r="R193" s="66" t="s">
        <v>107</v>
      </c>
      <c r="S193" s="66" t="s">
        <v>108</v>
      </c>
      <c r="T193" s="138" t="str">
        <f>IFERROR(LOOKUP($S193,MOTORISTAS!$D$3:$D$916,MOTORISTAS!E$3:$E$916),"")</f>
        <v>34927982840</v>
      </c>
      <c r="U193" s="138" t="str">
        <f>IFERROR(LOOKUP($S193,MOTORISTAS!$D$3:$D$916,MOTORISTAS!F$3:$F$916),"")</f>
        <v>03500129879</v>
      </c>
      <c r="V193" s="66" t="s">
        <v>292</v>
      </c>
      <c r="W193" s="79">
        <v>45034.386111111111</v>
      </c>
      <c r="X193" s="79">
        <v>45034.552083333336</v>
      </c>
      <c r="Y193" s="79">
        <v>45035.826388888891</v>
      </c>
      <c r="Z193" s="66" t="s">
        <v>410</v>
      </c>
      <c r="AA193" s="79">
        <v>45035.97152777778</v>
      </c>
      <c r="AB193" s="79">
        <v>45034.791666666664</v>
      </c>
      <c r="AC193" s="79">
        <v>45034.75</v>
      </c>
      <c r="AD193" s="79">
        <v>45037.75</v>
      </c>
      <c r="AE193" s="66" t="s">
        <v>308</v>
      </c>
      <c r="AF193" s="44">
        <v>15749</v>
      </c>
      <c r="AG193" s="254">
        <f>Prog_23[[#This Row],[SAÍDA DO CLIENTE]]-Prog_23[[#This Row],[PROGRAMAÇÃO CLIENTE]]</f>
        <v>1.2013888888905058</v>
      </c>
      <c r="AH193" s="44" t="s">
        <v>4330</v>
      </c>
      <c r="AI193" s="66" t="s">
        <v>4341</v>
      </c>
      <c r="AJ193" s="66"/>
      <c r="AK193" s="66"/>
      <c r="AL193" s="66"/>
      <c r="AM193" s="66"/>
      <c r="AN193" s="83"/>
      <c r="AO193" s="83"/>
      <c r="AP193" s="83"/>
      <c r="AQ193" s="66"/>
      <c r="AR193" s="66" t="s">
        <v>4973</v>
      </c>
      <c r="AS193" s="66"/>
      <c r="AT193" s="81"/>
      <c r="AU193" s="81"/>
      <c r="AV193" s="81"/>
      <c r="AW193" s="81"/>
      <c r="AX193" s="83">
        <f>SUM(Prog_23[[#This Row],[ADIANTAMENTO]]+Prog_23[[#This Row],[SALDO]]+Prog_23[[#This Row],[MARGEM]]+Prog_23[[#This Row],[ESTADIA 1]])</f>
        <v>0</v>
      </c>
      <c r="AY1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6040</v>
      </c>
      <c r="AZ193" s="81">
        <v>3488.8</v>
      </c>
      <c r="BA193" s="81"/>
      <c r="BB193" s="81">
        <v>0</v>
      </c>
      <c r="BC193" s="81">
        <v>0</v>
      </c>
      <c r="BD193" s="81">
        <v>511.2</v>
      </c>
      <c r="BE193" s="81"/>
      <c r="BF193" s="81"/>
      <c r="BG193" s="81"/>
      <c r="BH193" s="81"/>
      <c r="BI193" s="81"/>
      <c r="BJ193" s="81"/>
      <c r="BK193" s="81"/>
      <c r="BL193" s="81"/>
      <c r="BM193" s="81">
        <f>85*24</f>
        <v>2040</v>
      </c>
      <c r="BN193" s="66" t="s">
        <v>2768</v>
      </c>
      <c r="BO193" s="66" t="s">
        <v>2768</v>
      </c>
      <c r="BP193" s="66" t="s">
        <v>2768</v>
      </c>
      <c r="BQ193" s="66" t="str">
        <f>PROPER(TEXT(Prog_23[[#This Row],[PROGRAMAÇÃO CLIENTE]],"mmm"))</f>
        <v>Abr</v>
      </c>
      <c r="BR193" s="66">
        <f>YEAR(Prog_23[[#This Row],[PROGRAMAÇÃO CLIENTE]])</f>
        <v>2023</v>
      </c>
    </row>
    <row r="194" spans="1:70" x14ac:dyDescent="0.25">
      <c r="A194" s="200" t="str">
        <f>Prog_23[[#This Row],[CONTEINER]]</f>
        <v>MRSU6205869</v>
      </c>
      <c r="B194" s="86" t="s">
        <v>2771</v>
      </c>
      <c r="C1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94" s="85">
        <v>45035.375</v>
      </c>
      <c r="E194" s="66" t="s">
        <v>297</v>
      </c>
      <c r="F194" s="66" t="s">
        <v>298</v>
      </c>
      <c r="G194" s="66" t="s">
        <v>4294</v>
      </c>
      <c r="H194" s="44">
        <v>226024605</v>
      </c>
      <c r="I194" s="44" t="s">
        <v>4326</v>
      </c>
      <c r="J194" s="66" t="s">
        <v>301</v>
      </c>
      <c r="K194" s="66">
        <v>3720</v>
      </c>
      <c r="L194" s="66" t="s">
        <v>4327</v>
      </c>
      <c r="M194" s="66">
        <v>19734</v>
      </c>
      <c r="N194" s="66">
        <f>SUM(Prog_23[[#This Row],[TARA]]+Prog_23[[#This Row],[PESO]])</f>
        <v>23454</v>
      </c>
      <c r="O194" s="44">
        <v>851069</v>
      </c>
      <c r="P194" s="66" t="s">
        <v>4282</v>
      </c>
      <c r="Q194" s="66" t="s">
        <v>155</v>
      </c>
      <c r="R194" s="66" t="s">
        <v>209</v>
      </c>
      <c r="S194" s="66" t="s">
        <v>156</v>
      </c>
      <c r="T194" s="138" t="str">
        <f>IFERROR(LOOKUP($S194,MOTORISTAS!$D$3:$D$916,MOTORISTAS!E$3:$E$916),"")</f>
        <v>09803034863</v>
      </c>
      <c r="U194" s="138" t="str">
        <f>IFERROR(LOOKUP($S194,MOTORISTAS!$D$3:$D$916,MOTORISTAS!F$3:$F$916),"")</f>
        <v>01484565209</v>
      </c>
      <c r="V194" s="66" t="s">
        <v>292</v>
      </c>
      <c r="W194" s="79">
        <v>45034.564583333333</v>
      </c>
      <c r="X194" s="79">
        <v>45035.052083333336</v>
      </c>
      <c r="Y194" s="79">
        <v>45035.517361111109</v>
      </c>
      <c r="Z194" s="66" t="s">
        <v>410</v>
      </c>
      <c r="AA194" s="79">
        <v>45035.802083333336</v>
      </c>
      <c r="AB194" s="79">
        <v>45034.791666666664</v>
      </c>
      <c r="AC194" s="79">
        <v>45034.75</v>
      </c>
      <c r="AD194" s="79">
        <v>45037.75</v>
      </c>
      <c r="AE194" s="66" t="s">
        <v>308</v>
      </c>
      <c r="AF194" s="44">
        <v>15746</v>
      </c>
      <c r="AG194" s="254">
        <f>Prog_23[[#This Row],[SAÍDA DO CLIENTE]]-Prog_23[[#This Row],[PROGRAMAÇÃO CLIENTE]]</f>
        <v>0.14236111110949423</v>
      </c>
      <c r="AH194" s="44" t="s">
        <v>4331</v>
      </c>
      <c r="AI194" s="66" t="s">
        <v>4346</v>
      </c>
      <c r="AJ194" s="66"/>
      <c r="AK194" s="66"/>
      <c r="AL194" s="66"/>
      <c r="AM194" s="66"/>
      <c r="AN194" s="83"/>
      <c r="AO194" s="83"/>
      <c r="AP194" s="83"/>
      <c r="AQ194" s="66"/>
      <c r="AR194" s="66" t="s">
        <v>4973</v>
      </c>
      <c r="AS194" s="66"/>
      <c r="AT194" s="81"/>
      <c r="AU194" s="81"/>
      <c r="AV194" s="81"/>
      <c r="AW194" s="81"/>
      <c r="AX194" s="83">
        <f>SUM(Prog_23[[#This Row],[ADIANTAMENTO]]+Prog_23[[#This Row],[SALDO]]+Prog_23[[#This Row],[MARGEM]]+Prog_23[[#This Row],[ESTADIA 1]])</f>
        <v>0</v>
      </c>
      <c r="AY1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194" s="81">
        <v>3488.8</v>
      </c>
      <c r="BA194" s="81">
        <v>136350</v>
      </c>
      <c r="BB194" s="81">
        <v>0</v>
      </c>
      <c r="BC194" s="81">
        <v>0</v>
      </c>
      <c r="BD194" s="81">
        <v>511.2</v>
      </c>
      <c r="BE194" s="81"/>
      <c r="BF194" s="81"/>
      <c r="BG194" s="81"/>
      <c r="BH194" s="81"/>
      <c r="BI194" s="81"/>
      <c r="BJ194" s="81"/>
      <c r="BK194" s="81"/>
      <c r="BL194" s="81"/>
      <c r="BM194" s="81"/>
      <c r="BN194" s="66" t="s">
        <v>2768</v>
      </c>
      <c r="BO194" s="66" t="s">
        <v>2768</v>
      </c>
      <c r="BP194" s="66" t="s">
        <v>2768</v>
      </c>
      <c r="BQ194" s="66" t="str">
        <f>PROPER(TEXT(Prog_23[[#This Row],[PROGRAMAÇÃO CLIENTE]],"mmm"))</f>
        <v>Abr</v>
      </c>
      <c r="BR194" s="66">
        <f>YEAR(Prog_23[[#This Row],[PROGRAMAÇÃO CLIENTE]])</f>
        <v>2023</v>
      </c>
    </row>
    <row r="195" spans="1:70" x14ac:dyDescent="0.25">
      <c r="A195" s="201" t="str">
        <f>Prog_23[[#This Row],[CONTEINER]]</f>
        <v>TCKU6782295</v>
      </c>
      <c r="B195" s="86" t="s">
        <v>2771</v>
      </c>
      <c r="C1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95" s="85">
        <v>45035.458333333336</v>
      </c>
      <c r="E195" s="66" t="s">
        <v>297</v>
      </c>
      <c r="F195" s="66" t="s">
        <v>298</v>
      </c>
      <c r="G195" s="66" t="s">
        <v>4294</v>
      </c>
      <c r="H195" s="44">
        <v>226024605</v>
      </c>
      <c r="I195" s="44" t="s">
        <v>4316</v>
      </c>
      <c r="J195" s="66" t="s">
        <v>301</v>
      </c>
      <c r="K195" s="66">
        <v>3800</v>
      </c>
      <c r="L195" s="66" t="s">
        <v>4317</v>
      </c>
      <c r="M195" s="66">
        <v>19734</v>
      </c>
      <c r="N195" s="66">
        <f>SUM(Prog_23[[#This Row],[TARA]]+Prog_23[[#This Row],[PESO]])</f>
        <v>23534</v>
      </c>
      <c r="O195" s="44">
        <v>851059</v>
      </c>
      <c r="P195" s="66" t="s">
        <v>4282</v>
      </c>
      <c r="Q195" s="66" t="s">
        <v>150</v>
      </c>
      <c r="R195" s="66" t="s">
        <v>151</v>
      </c>
      <c r="S195" s="66" t="s">
        <v>152</v>
      </c>
      <c r="T195" s="138" t="str">
        <f>IFERROR(LOOKUP($S195,MOTORISTAS!$D$3:$D$916,MOTORISTAS!E$3:$E$916),"")</f>
        <v>05753633803</v>
      </c>
      <c r="U195" s="138" t="str">
        <f>IFERROR(LOOKUP($S195,MOTORISTAS!$D$3:$D$916,MOTORISTAS!F$3:$F$916),"")</f>
        <v>01922497849</v>
      </c>
      <c r="V195" s="66" t="s">
        <v>292</v>
      </c>
      <c r="W195" s="79">
        <v>45033.678472222222</v>
      </c>
      <c r="X195" s="79">
        <v>45035.09375</v>
      </c>
      <c r="Y195" s="79">
        <v>45035.826388888891</v>
      </c>
      <c r="Z195" s="66" t="s">
        <v>410</v>
      </c>
      <c r="AA195" s="79">
        <v>45035.98541666667</v>
      </c>
      <c r="AB195" s="79">
        <v>45034.791666666664</v>
      </c>
      <c r="AC195" s="79">
        <v>45034.75</v>
      </c>
      <c r="AD195" s="79">
        <v>45037.75</v>
      </c>
      <c r="AE195" s="66" t="s">
        <v>308</v>
      </c>
      <c r="AF195" s="44">
        <v>15750</v>
      </c>
      <c r="AG195" s="254">
        <f>Prog_23[[#This Row],[SAÍDA DO CLIENTE]]-Prog_23[[#This Row],[PROGRAMAÇÃO CLIENTE]]</f>
        <v>0.36805555555474712</v>
      </c>
      <c r="AH195" s="44" t="s">
        <v>4332</v>
      </c>
      <c r="AI195" s="66" t="s">
        <v>4345</v>
      </c>
      <c r="AJ195" s="66"/>
      <c r="AK195" s="66"/>
      <c r="AL195" s="66"/>
      <c r="AM195" s="66"/>
      <c r="AN195" s="83"/>
      <c r="AO195" s="83"/>
      <c r="AP195" s="83"/>
      <c r="AQ195" s="66"/>
      <c r="AR195" s="66" t="s">
        <v>4973</v>
      </c>
      <c r="AS195" s="66"/>
      <c r="AT195" s="81"/>
      <c r="AU195" s="81"/>
      <c r="AV195" s="81"/>
      <c r="AW195" s="81"/>
      <c r="AX195" s="83">
        <f>SUM(Prog_23[[#This Row],[ADIANTAMENTO]]+Prog_23[[#This Row],[SALDO]]+Prog_23[[#This Row],[MARGEM]]+Prog_23[[#This Row],[ESTADIA 1]])</f>
        <v>0</v>
      </c>
      <c r="AY1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4340</v>
      </c>
      <c r="AZ195" s="81">
        <v>3488.8</v>
      </c>
      <c r="BA195" s="81"/>
      <c r="BB195" s="81">
        <v>0</v>
      </c>
      <c r="BC195" s="81">
        <v>0</v>
      </c>
      <c r="BD195" s="81">
        <v>511.2</v>
      </c>
      <c r="BE195" s="81"/>
      <c r="BF195" s="81"/>
      <c r="BG195" s="81"/>
      <c r="BH195" s="81"/>
      <c r="BI195" s="81"/>
      <c r="BJ195" s="81"/>
      <c r="BK195" s="81"/>
      <c r="BL195" s="81"/>
      <c r="BM195" s="81">
        <f>85*4</f>
        <v>340</v>
      </c>
      <c r="BN195" s="66" t="s">
        <v>2768</v>
      </c>
      <c r="BO195" s="66" t="s">
        <v>2768</v>
      </c>
      <c r="BP195" s="66" t="s">
        <v>2768</v>
      </c>
      <c r="BQ195" s="66" t="str">
        <f>PROPER(TEXT(Prog_23[[#This Row],[PROGRAMAÇÃO CLIENTE]],"mmm"))</f>
        <v>Abr</v>
      </c>
      <c r="BR195" s="66">
        <f>YEAR(Prog_23[[#This Row],[PROGRAMAÇÃO CLIENTE]])</f>
        <v>2023</v>
      </c>
    </row>
    <row r="196" spans="1:70" x14ac:dyDescent="0.25">
      <c r="A196" s="120" t="str">
        <f>Prog_23[[#This Row],[CONTEINER]]</f>
        <v>HLBU8147939</v>
      </c>
      <c r="B196" s="86" t="s">
        <v>2771</v>
      </c>
      <c r="C1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96" s="85">
        <v>45036.291666666664</v>
      </c>
      <c r="E196" s="66" t="s">
        <v>2281</v>
      </c>
      <c r="F196" s="66" t="s">
        <v>2282</v>
      </c>
      <c r="G196" s="66" t="s">
        <v>4347</v>
      </c>
      <c r="H196" s="44">
        <v>68552856</v>
      </c>
      <c r="I196" s="44" t="s">
        <v>4340</v>
      </c>
      <c r="J196" s="66" t="s">
        <v>2292</v>
      </c>
      <c r="K196" s="66">
        <v>4200</v>
      </c>
      <c r="L196" s="66" t="s">
        <v>4366</v>
      </c>
      <c r="M196" s="66">
        <v>25500</v>
      </c>
      <c r="N196" s="66">
        <f>SUM(Prog_23[[#This Row],[TARA]]+Prog_23[[#This Row],[PESO]])</f>
        <v>29700</v>
      </c>
      <c r="O196" s="44" t="s">
        <v>4365</v>
      </c>
      <c r="P196" s="66" t="s">
        <v>4171</v>
      </c>
      <c r="Q196" s="66" t="s">
        <v>210</v>
      </c>
      <c r="R196" s="66" t="s">
        <v>211</v>
      </c>
      <c r="S196" s="66" t="s">
        <v>212</v>
      </c>
      <c r="T196" s="138" t="str">
        <f>IFERROR(LOOKUP($S196,MOTORISTAS!$D$3:$D$916,MOTORISTAS!E$3:$E$916),"")</f>
        <v>38029906846</v>
      </c>
      <c r="U196" s="138" t="str">
        <f>IFERROR(LOOKUP($S196,MOTORISTAS!$D$3:$D$916,MOTORISTAS!F$3:$F$916),"")</f>
        <v>04946846842</v>
      </c>
      <c r="V196" s="66" t="s">
        <v>537</v>
      </c>
      <c r="W196" s="79">
        <v>45035.414583333331</v>
      </c>
      <c r="X196" s="79">
        <v>45036.270833333336</v>
      </c>
      <c r="Y196" s="79">
        <v>45036.760416666664</v>
      </c>
      <c r="Z196" s="66" t="s">
        <v>410</v>
      </c>
      <c r="AA196" s="79">
        <v>45037.025000000001</v>
      </c>
      <c r="AB196" s="79">
        <v>45035.791666666664</v>
      </c>
      <c r="AC196" s="79">
        <v>45035.5</v>
      </c>
      <c r="AD196" s="79">
        <v>45038.5</v>
      </c>
      <c r="AE196" s="66" t="s">
        <v>4172</v>
      </c>
      <c r="AF196" s="44">
        <v>15765</v>
      </c>
      <c r="AG196" s="254">
        <f>Prog_23[[#This Row],[SAÍDA DO CLIENTE]]-Prog_23[[#This Row],[PROGRAMAÇÃO CLIENTE]]</f>
        <v>0.46875</v>
      </c>
      <c r="AH196" s="44" t="s">
        <v>4352</v>
      </c>
      <c r="AI196" s="66"/>
      <c r="AJ196" s="66"/>
      <c r="AK196" s="66"/>
      <c r="AL196" s="66"/>
      <c r="AM196" s="66"/>
      <c r="AN196" s="83"/>
      <c r="AO196" s="83"/>
      <c r="AP196" s="83"/>
      <c r="AQ196" s="66"/>
      <c r="AR196" s="66" t="s">
        <v>4973</v>
      </c>
      <c r="AS196" s="66"/>
      <c r="AT196" s="81"/>
      <c r="AU196" s="81"/>
      <c r="AV196" s="81"/>
      <c r="AW196" s="81"/>
      <c r="AX196" s="83">
        <f>SUM(Prog_23[[#This Row],[ADIANTAMENTO]]+Prog_23[[#This Row],[SALDO]]+Prog_23[[#This Row],[MARGEM]]+Prog_23[[#This Row],[ESTADIA 1]])</f>
        <v>0</v>
      </c>
      <c r="AY1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6938.2163099999998</v>
      </c>
      <c r="AZ196" s="81">
        <v>5580.4</v>
      </c>
      <c r="BA196" s="81">
        <v>88216.31</v>
      </c>
      <c r="BB196" s="81">
        <f>Prog_23[[#This Row],[VLR NF]]*0.1%</f>
        <v>88.216309999999993</v>
      </c>
      <c r="BC196" s="81">
        <v>0</v>
      </c>
      <c r="BD196" s="81">
        <v>1269.5999999999999</v>
      </c>
      <c r="BE196" s="81"/>
      <c r="BF196" s="81"/>
      <c r="BG196" s="81"/>
      <c r="BH196" s="81"/>
      <c r="BI196" s="81"/>
      <c r="BJ196" s="81"/>
      <c r="BK196" s="81"/>
      <c r="BL196" s="81"/>
      <c r="BM196" s="81"/>
      <c r="BN196" s="66" t="s">
        <v>2768</v>
      </c>
      <c r="BO196" s="66" t="s">
        <v>2768</v>
      </c>
      <c r="BP196" s="66" t="s">
        <v>2768</v>
      </c>
      <c r="BQ196" s="66" t="str">
        <f>PROPER(TEXT(Prog_23[[#This Row],[PROGRAMAÇÃO CLIENTE]],"mmm"))</f>
        <v>Abr</v>
      </c>
      <c r="BR196" s="66">
        <f>YEAR(Prog_23[[#This Row],[PROGRAMAÇÃO CLIENTE]])</f>
        <v>2023</v>
      </c>
    </row>
    <row r="197" spans="1:70" x14ac:dyDescent="0.25">
      <c r="A197" s="201" t="str">
        <f>Prog_23[[#This Row],[CONTEINER]]</f>
        <v>2 VOLUMES</v>
      </c>
      <c r="B197" s="86" t="s">
        <v>2771</v>
      </c>
      <c r="C1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97" s="85">
        <v>45036.5</v>
      </c>
      <c r="E197" s="66" t="s">
        <v>4285</v>
      </c>
      <c r="F197" s="66" t="s">
        <v>4286</v>
      </c>
      <c r="G197" s="66" t="s">
        <v>4425</v>
      </c>
      <c r="H197" s="44" t="s">
        <v>4333</v>
      </c>
      <c r="I197" s="44" t="s">
        <v>4348</v>
      </c>
      <c r="J197" s="66" t="s">
        <v>125</v>
      </c>
      <c r="K197" s="66">
        <v>0</v>
      </c>
      <c r="L197" s="66"/>
      <c r="M197" s="66">
        <v>13</v>
      </c>
      <c r="N197" s="66">
        <f>SUM(Prog_23[[#This Row],[TARA]]+Prog_23[[#This Row],[PESO]])</f>
        <v>13</v>
      </c>
      <c r="O197" s="44"/>
      <c r="P197" s="66" t="s">
        <v>4412</v>
      </c>
      <c r="Q197" s="66" t="s">
        <v>4342</v>
      </c>
      <c r="R197" s="66"/>
      <c r="S197" s="66" t="s">
        <v>4343</v>
      </c>
      <c r="T197" s="138" t="str">
        <f>IFERROR(LOOKUP($S197,MOTORISTAS!$D$3:$D$916,MOTORISTAS!E$3:$E$916),"")</f>
        <v>65921666572</v>
      </c>
      <c r="U197" s="138" t="str">
        <f>IFERROR(LOOKUP($S197,MOTORISTAS!$D$3:$D$916,MOTORISTAS!F$3:$F$916),"")</f>
        <v>01775229802</v>
      </c>
      <c r="V197" s="66" t="s">
        <v>4349</v>
      </c>
      <c r="W197" s="79">
        <v>45036.388888888891</v>
      </c>
      <c r="X197" s="79">
        <v>45036.430555555555</v>
      </c>
      <c r="Y197" s="79">
        <v>45036.548611111109</v>
      </c>
      <c r="Z197" s="66" t="s">
        <v>4423</v>
      </c>
      <c r="AA197" s="79">
        <v>45036.625</v>
      </c>
      <c r="AB197" s="85">
        <v>45036.333333333336</v>
      </c>
      <c r="AC197" s="85">
        <v>45036.333333333336</v>
      </c>
      <c r="AD197" s="85">
        <v>45036.333333333336</v>
      </c>
      <c r="AE197" s="66" t="s">
        <v>4344</v>
      </c>
      <c r="AF197" s="44">
        <v>15748</v>
      </c>
      <c r="AG197" s="254">
        <f>Prog_23[[#This Row],[SAÍDA DO CLIENTE]]-Prog_23[[#This Row],[PROGRAMAÇÃO CLIENTE]]</f>
        <v>4.8611111109494232E-2</v>
      </c>
      <c r="AH197" s="44"/>
      <c r="AI197" s="66"/>
      <c r="AJ197" s="66"/>
      <c r="AK197" s="66"/>
      <c r="AL197" s="66"/>
      <c r="AM197" s="66"/>
      <c r="AN197" s="83"/>
      <c r="AO197" s="83"/>
      <c r="AP197" s="83"/>
      <c r="AQ197" s="66"/>
      <c r="AR197" s="66" t="s">
        <v>4973</v>
      </c>
      <c r="AS197" s="66"/>
      <c r="AT197" s="81">
        <v>963.5</v>
      </c>
      <c r="AU197" s="81"/>
      <c r="AV197" s="81"/>
      <c r="AW197" s="81"/>
      <c r="AX197" s="83">
        <f>SUM(Prog_23[[#This Row],[ADIANTAMENTO]]+Prog_23[[#This Row],[SALDO]]+Prog_23[[#This Row],[MARGEM]]+Prog_23[[#This Row],[ESTADIA 1]])</f>
        <v>963.5</v>
      </c>
      <c r="AY1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15173.51</v>
      </c>
      <c r="AZ197" s="81">
        <v>10760</v>
      </c>
      <c r="BA197" s="81">
        <v>2586.0500000000002</v>
      </c>
      <c r="BB197" s="81">
        <v>1500</v>
      </c>
      <c r="BC197" s="81">
        <v>500</v>
      </c>
      <c r="BD197" s="81">
        <v>190</v>
      </c>
      <c r="BE197" s="81">
        <v>250</v>
      </c>
      <c r="BF197" s="81"/>
      <c r="BG197" s="81"/>
      <c r="BH197" s="81"/>
      <c r="BI197" s="81">
        <v>1820.82</v>
      </c>
      <c r="BJ197" s="81">
        <v>152.69</v>
      </c>
      <c r="BK197" s="81"/>
      <c r="BL197" s="81"/>
      <c r="BM197" s="81"/>
      <c r="BN197" s="66" t="s">
        <v>2768</v>
      </c>
      <c r="BO197" s="66" t="s">
        <v>2768</v>
      </c>
      <c r="BP197" s="66" t="s">
        <v>2768</v>
      </c>
      <c r="BQ197" s="66" t="str">
        <f>PROPER(TEXT(Prog_23[[#This Row],[PROGRAMAÇÃO CLIENTE]],"mmm"))</f>
        <v>Abr</v>
      </c>
      <c r="BR197" s="66">
        <f>YEAR(Prog_23[[#This Row],[PROGRAMAÇÃO CLIENTE]])</f>
        <v>2023</v>
      </c>
    </row>
    <row r="198" spans="1:70" x14ac:dyDescent="0.25">
      <c r="A198" s="120">
        <f>Prog_23[[#This Row],[CONTEINER]]</f>
        <v>0</v>
      </c>
      <c r="B198" s="86" t="s">
        <v>836</v>
      </c>
      <c r="C1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8" s="85">
        <v>45034.291666666664</v>
      </c>
      <c r="E198" s="66" t="s">
        <v>3770</v>
      </c>
      <c r="F198" s="66" t="s">
        <v>3561</v>
      </c>
      <c r="G198" s="66"/>
      <c r="H198" s="44">
        <v>225832074</v>
      </c>
      <c r="I198" s="44"/>
      <c r="J198" s="66" t="s">
        <v>301</v>
      </c>
      <c r="K198" s="66"/>
      <c r="L198" s="66"/>
      <c r="M198" s="66"/>
      <c r="N198" s="66">
        <f>SUM(Prog_23[[#This Row],[TARA]]+Prog_23[[#This Row],[PESO]])</f>
        <v>0</v>
      </c>
      <c r="O198" s="44"/>
      <c r="P198" s="66" t="s">
        <v>3820</v>
      </c>
      <c r="Q198" s="66"/>
      <c r="R198" s="66"/>
      <c r="S198" s="66" t="s">
        <v>206</v>
      </c>
      <c r="T198" s="138" t="str">
        <f>IFERROR(LOOKUP($S198,MOTORISTAS!$D$3:$D$916,MOTORISTAS!E$3:$E$916),"")</f>
        <v>09085263425</v>
      </c>
      <c r="U198" s="138" t="str">
        <f>IFERROR(LOOKUP($S198,MOTORISTAS!$D$3:$D$916,MOTORISTAS!F$3:$F$916),"")</f>
        <v>04557705505</v>
      </c>
      <c r="V198" s="66"/>
      <c r="W198" s="66"/>
      <c r="X198" s="66"/>
      <c r="Y198" s="66"/>
      <c r="Z198" s="66" t="s">
        <v>306</v>
      </c>
      <c r="AA198" s="66"/>
      <c r="AB198" s="79"/>
      <c r="AC198" s="79">
        <v>45012.5</v>
      </c>
      <c r="AD198" s="79">
        <v>45015.958333333336</v>
      </c>
      <c r="AE198" s="66" t="s">
        <v>452</v>
      </c>
      <c r="AF198" s="44"/>
      <c r="AG198" s="254">
        <f>Prog_23[[#This Row],[SAÍDA DO CLIENTE]]-Prog_23[[#This Row],[PROGRAMAÇÃO CLIENTE]]</f>
        <v>-45034.291666666664</v>
      </c>
      <c r="AH198" s="44"/>
      <c r="AI198" s="66"/>
      <c r="AJ198" s="66"/>
      <c r="AK198" s="66"/>
      <c r="AL198" s="66"/>
      <c r="AM198" s="66"/>
      <c r="AN198" s="83"/>
      <c r="AO198" s="83"/>
      <c r="AP198" s="83"/>
      <c r="AQ198" s="66"/>
      <c r="AR198" s="66" t="s">
        <v>4973</v>
      </c>
      <c r="AS198" s="66"/>
      <c r="AT198" s="81">
        <v>2200</v>
      </c>
      <c r="AU198" s="81"/>
      <c r="AV198" s="81"/>
      <c r="AW198" s="81"/>
      <c r="AX198" s="83">
        <f>SUM(Prog_23[[#This Row],[ADIANTAMENTO]]+Prog_23[[#This Row],[SALDO]]+Prog_23[[#This Row],[MARGEM]]+Prog_23[[#This Row],[ESTADIA 1]])</f>
        <v>2200</v>
      </c>
      <c r="AY1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2960</v>
      </c>
      <c r="AZ198" s="81">
        <v>2370</v>
      </c>
      <c r="BA198" s="81"/>
      <c r="BB198" s="81">
        <f>Prog_23[[#This Row],[VLR NF]]*0.1%</f>
        <v>0</v>
      </c>
      <c r="BC198" s="81">
        <f>Prog_23[[#This Row],[VLR NF]]*0.05%</f>
        <v>0</v>
      </c>
      <c r="BD198" s="81">
        <v>240</v>
      </c>
      <c r="BE198" s="81"/>
      <c r="BF198" s="81"/>
      <c r="BG198" s="81"/>
      <c r="BH198" s="81"/>
      <c r="BI198" s="81"/>
      <c r="BJ198" s="81"/>
      <c r="BK198" s="81"/>
      <c r="BL198" s="81">
        <v>350</v>
      </c>
      <c r="BM198" s="81"/>
      <c r="BN198" s="66"/>
      <c r="BO198" s="66"/>
      <c r="BP198" s="66"/>
      <c r="BQ198" s="66" t="str">
        <f>PROPER(TEXT(Prog_23[[#This Row],[PROGRAMAÇÃO CLIENTE]],"mmm"))</f>
        <v>Abr</v>
      </c>
      <c r="BR198" s="66">
        <f>YEAR(Prog_23[[#This Row],[PROGRAMAÇÃO CLIENTE]])</f>
        <v>2023</v>
      </c>
    </row>
    <row r="199" spans="1:70" x14ac:dyDescent="0.25">
      <c r="A199" s="201" t="str">
        <f>Prog_23[[#This Row],[CONTEINER]]</f>
        <v>TLLU2237826</v>
      </c>
      <c r="B199" s="86" t="s">
        <v>2771</v>
      </c>
      <c r="C1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199" s="85">
        <v>45041.833333333336</v>
      </c>
      <c r="E199" s="66" t="s">
        <v>4285</v>
      </c>
      <c r="F199" s="66" t="s">
        <v>4286</v>
      </c>
      <c r="G199" s="66" t="s">
        <v>4396</v>
      </c>
      <c r="H199" s="44" t="s">
        <v>4362</v>
      </c>
      <c r="I199" s="44" t="s">
        <v>4361</v>
      </c>
      <c r="J199" s="66" t="s">
        <v>288</v>
      </c>
      <c r="K199" s="66">
        <v>2100</v>
      </c>
      <c r="L199" s="66" t="s">
        <v>4397</v>
      </c>
      <c r="M199" s="249">
        <v>6951</v>
      </c>
      <c r="N199" s="66">
        <f>SUM(Prog_23[[#This Row],[TARA]]+Prog_23[[#This Row],[PESO]])</f>
        <v>9051</v>
      </c>
      <c r="O199" s="44"/>
      <c r="P199" s="66" t="s">
        <v>4363</v>
      </c>
      <c r="Q199" s="66" t="s">
        <v>106</v>
      </c>
      <c r="R199" s="66" t="s">
        <v>3246</v>
      </c>
      <c r="S199" s="66" t="s">
        <v>108</v>
      </c>
      <c r="T199" s="138" t="str">
        <f>IFERROR(LOOKUP($S199,MOTORISTAS!$D$3:$D$916,MOTORISTAS!E$3:$E$916),"")</f>
        <v>34927982840</v>
      </c>
      <c r="U199" s="138" t="str">
        <f>IFERROR(LOOKUP($S199,MOTORISTAS!$D$3:$D$916,MOTORISTAS!F$3:$F$916),"")</f>
        <v>03500129879</v>
      </c>
      <c r="V199" s="66" t="s">
        <v>4398</v>
      </c>
      <c r="W199" s="79">
        <v>45041.729166666664</v>
      </c>
      <c r="X199" s="79">
        <v>45041.819444444445</v>
      </c>
      <c r="Y199" s="79">
        <v>45042.229166666664</v>
      </c>
      <c r="Z199" s="66" t="s">
        <v>292</v>
      </c>
      <c r="AA199" s="79">
        <v>45042.472222222219</v>
      </c>
      <c r="AB199" s="85">
        <v>45041.333333333336</v>
      </c>
      <c r="AC199" s="85">
        <v>45041.333333333336</v>
      </c>
      <c r="AD199" s="85">
        <v>45041.333333333336</v>
      </c>
      <c r="AE199" s="66" t="s">
        <v>708</v>
      </c>
      <c r="AF199" s="44">
        <v>15788</v>
      </c>
      <c r="AG199" s="254">
        <f>Prog_23[[#This Row],[SAÍDA DO CLIENTE]]-Prog_23[[#This Row],[PROGRAMAÇÃO CLIENTE]]</f>
        <v>0.39583333332848269</v>
      </c>
      <c r="AH199" s="44"/>
      <c r="AI199" s="66"/>
      <c r="AJ199" s="66"/>
      <c r="AK199" s="66"/>
      <c r="AL199" s="66"/>
      <c r="AM199" s="66"/>
      <c r="AN199" s="83"/>
      <c r="AO199" s="83"/>
      <c r="AP199" s="83"/>
      <c r="AQ199" s="66"/>
      <c r="AR199" s="66" t="s">
        <v>4973</v>
      </c>
      <c r="AS199" s="66"/>
      <c r="AT199" s="81"/>
      <c r="AU199" s="81"/>
      <c r="AV199" s="81"/>
      <c r="AW199" s="81"/>
      <c r="AX199" s="83">
        <f>SUM(Prog_23[[#This Row],[ADIANTAMENTO]]+Prog_23[[#This Row],[SALDO]]+Prog_23[[#This Row],[MARGEM]]+Prog_23[[#This Row],[ESTADIA 1]])</f>
        <v>0</v>
      </c>
      <c r="AY1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17000</v>
      </c>
      <c r="AZ199" s="81">
        <v>12140</v>
      </c>
      <c r="BA199" s="81">
        <v>555815.37</v>
      </c>
      <c r="BB199" s="81">
        <v>1500</v>
      </c>
      <c r="BC199" s="81">
        <v>500</v>
      </c>
      <c r="BD199" s="81">
        <v>570</v>
      </c>
      <c r="BE199" s="81">
        <v>250</v>
      </c>
      <c r="BF199" s="81"/>
      <c r="BG199" s="81"/>
      <c r="BH199" s="81"/>
      <c r="BI199" s="81">
        <v>2040</v>
      </c>
      <c r="BJ199" s="81"/>
      <c r="BK199" s="81"/>
      <c r="BL199" s="81"/>
      <c r="BM199" s="81"/>
      <c r="BN199" s="66" t="s">
        <v>2768</v>
      </c>
      <c r="BO199" s="66" t="s">
        <v>2768</v>
      </c>
      <c r="BP199" s="66" t="s">
        <v>2768</v>
      </c>
      <c r="BQ199" s="66" t="str">
        <f>PROPER(TEXT(Prog_23[[#This Row],[PROGRAMAÇÃO CLIENTE]],"mmm"))</f>
        <v>Abr</v>
      </c>
      <c r="BR199" s="66">
        <f>YEAR(Prog_23[[#This Row],[PROGRAMAÇÃO CLIENTE]])</f>
        <v>2023</v>
      </c>
    </row>
    <row r="200" spans="1:70" x14ac:dyDescent="0.25">
      <c r="A200" s="201" t="str">
        <f>Prog_23[[#This Row],[CONTEINER]]</f>
        <v>TCKU6612616</v>
      </c>
      <c r="B200" s="86" t="s">
        <v>2771</v>
      </c>
      <c r="C2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00" s="85">
        <v>45041.666666666664</v>
      </c>
      <c r="E200" s="66" t="s">
        <v>2302</v>
      </c>
      <c r="F200" s="66" t="s">
        <v>529</v>
      </c>
      <c r="G200" s="66">
        <v>38</v>
      </c>
      <c r="H200" s="44">
        <v>226402392</v>
      </c>
      <c r="I200" s="44" t="s">
        <v>4367</v>
      </c>
      <c r="J200" s="66" t="s">
        <v>301</v>
      </c>
      <c r="K200" s="66">
        <v>3800</v>
      </c>
      <c r="L200" s="66" t="s">
        <v>4368</v>
      </c>
      <c r="M200" s="66">
        <v>6483</v>
      </c>
      <c r="N200" s="66">
        <f>SUM(Prog_23[[#This Row],[TARA]]+Prog_23[[#This Row],[PESO]])</f>
        <v>10283</v>
      </c>
      <c r="O200" s="44" t="s">
        <v>4357</v>
      </c>
      <c r="P200" s="66" t="s">
        <v>4339</v>
      </c>
      <c r="Q200" s="66" t="s">
        <v>102</v>
      </c>
      <c r="R200" s="66" t="s">
        <v>27</v>
      </c>
      <c r="S200" s="66" t="s">
        <v>206</v>
      </c>
      <c r="T200" s="138" t="str">
        <f>IFERROR(LOOKUP($S200,MOTORISTAS!$D$3:$D$916,MOTORISTAS!E$3:$E$916),"")</f>
        <v>09085263425</v>
      </c>
      <c r="U200" s="138" t="str">
        <f>IFERROR(LOOKUP($S200,MOTORISTAS!$D$3:$D$916,MOTORISTAS!F$3:$F$916),"")</f>
        <v>04557705505</v>
      </c>
      <c r="V200" s="66" t="s">
        <v>292</v>
      </c>
      <c r="W200" s="79">
        <v>45040.409722222219</v>
      </c>
      <c r="X200" s="79">
        <v>45041.572916666664</v>
      </c>
      <c r="Y200" s="79">
        <v>45041.805555555555</v>
      </c>
      <c r="Z200" s="66" t="s">
        <v>306</v>
      </c>
      <c r="AA200" s="79">
        <v>45041.953472222223</v>
      </c>
      <c r="AB200" s="79">
        <v>45040.041666666664</v>
      </c>
      <c r="AC200" s="79">
        <v>45040.5</v>
      </c>
      <c r="AD200" s="79">
        <v>45043</v>
      </c>
      <c r="AE200" s="66" t="s">
        <v>527</v>
      </c>
      <c r="AF200" s="44">
        <v>15802</v>
      </c>
      <c r="AG200" s="254">
        <f>Prog_23[[#This Row],[SAÍDA DO CLIENTE]]-Prog_23[[#This Row],[PROGRAMAÇÃO CLIENTE]]</f>
        <v>0.13888888889050577</v>
      </c>
      <c r="AH200" s="44"/>
      <c r="AI200" s="66"/>
      <c r="AJ200" s="66"/>
      <c r="AK200" s="66"/>
      <c r="AL200" s="66"/>
      <c r="AM200" s="66"/>
      <c r="AN200" s="83"/>
      <c r="AO200" s="83"/>
      <c r="AP200" s="83"/>
      <c r="AQ200" s="66"/>
      <c r="AR200" s="66" t="s">
        <v>4973</v>
      </c>
      <c r="AS200" s="66"/>
      <c r="AT200" s="81">
        <v>2200</v>
      </c>
      <c r="AU200" s="81"/>
      <c r="AV200" s="81"/>
      <c r="AW200" s="81"/>
      <c r="AX200" s="83">
        <f>SUM(Prog_23[[#This Row],[ADIANTAMENTO]]+Prog_23[[#This Row],[SALDO]]+Prog_23[[#This Row],[MARGEM]]+Prog_23[[#This Row],[ESTADIA 1]])</f>
        <v>2200</v>
      </c>
      <c r="AY2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3532.3801750000002</v>
      </c>
      <c r="AZ200" s="81">
        <v>2550</v>
      </c>
      <c r="BA200" s="81">
        <v>354253.45</v>
      </c>
      <c r="BB200" s="81">
        <f>Prog_23[[#This Row],[VLR NF]]*0.1%</f>
        <v>354.25345000000004</v>
      </c>
      <c r="BC200" s="81">
        <f>Prog_23[[#This Row],[VLR NF]]*0.05%</f>
        <v>177.12672500000002</v>
      </c>
      <c r="BD200" s="81">
        <v>336</v>
      </c>
      <c r="BE200" s="81"/>
      <c r="BF200" s="81"/>
      <c r="BG200" s="81"/>
      <c r="BH200" s="81">
        <v>30</v>
      </c>
      <c r="BI200" s="81"/>
      <c r="BJ200" s="81">
        <v>85</v>
      </c>
      <c r="BK200" s="81"/>
      <c r="BL200" s="81"/>
      <c r="BM200" s="81"/>
      <c r="BN200" s="66" t="s">
        <v>2768</v>
      </c>
      <c r="BO200" s="66" t="s">
        <v>2768</v>
      </c>
      <c r="BP200" s="66" t="s">
        <v>2768</v>
      </c>
      <c r="BQ200" s="66" t="str">
        <f>PROPER(TEXT(Prog_23[[#This Row],[PROGRAMAÇÃO CLIENTE]],"mmm"))</f>
        <v>Abr</v>
      </c>
      <c r="BR200" s="66">
        <f>YEAR(Prog_23[[#This Row],[PROGRAMAÇÃO CLIENTE]])</f>
        <v>2023</v>
      </c>
    </row>
    <row r="201" spans="1:70" x14ac:dyDescent="0.25">
      <c r="A201" s="201">
        <f>Prog_23[[#This Row],[CONTEINER]]</f>
        <v>0</v>
      </c>
      <c r="B201" s="86" t="s">
        <v>836</v>
      </c>
      <c r="C2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201" s="85">
        <v>45042.25</v>
      </c>
      <c r="E201" s="66" t="s">
        <v>2549</v>
      </c>
      <c r="F201" s="66" t="s">
        <v>4074</v>
      </c>
      <c r="G201" s="66"/>
      <c r="H201" s="44" t="s">
        <v>4358</v>
      </c>
      <c r="I201" s="44"/>
      <c r="J201" s="66" t="s">
        <v>301</v>
      </c>
      <c r="K201" s="66"/>
      <c r="L201" s="66"/>
      <c r="M201" s="66"/>
      <c r="N201" s="66">
        <f>SUM(Prog_23[[#This Row],[TARA]]+Prog_23[[#This Row],[PESO]])</f>
        <v>0</v>
      </c>
      <c r="O201" s="44"/>
      <c r="P201" s="66" t="s">
        <v>4359</v>
      </c>
      <c r="Q201" s="66"/>
      <c r="R201" s="66"/>
      <c r="S201" s="66"/>
      <c r="T201" s="138" t="str">
        <f>IFERROR(LOOKUP($S201,MOTORISTAS!$D$3:$D$916,MOTORISTAS!E$3:$E$916),"")</f>
        <v/>
      </c>
      <c r="U201" s="138" t="str">
        <f>IFERROR(LOOKUP($S201,MOTORISTAS!$D$3:$D$916,MOTORISTAS!F$3:$F$916),"")</f>
        <v/>
      </c>
      <c r="V201" s="66"/>
      <c r="W201" s="66"/>
      <c r="X201" s="66"/>
      <c r="Y201" s="66"/>
      <c r="Z201" s="66" t="s">
        <v>306</v>
      </c>
      <c r="AA201" s="66"/>
      <c r="AB201" s="66"/>
      <c r="AC201" s="79">
        <v>45048.75</v>
      </c>
      <c r="AD201" s="79">
        <v>45051.666666666664</v>
      </c>
      <c r="AE201" s="66" t="s">
        <v>4360</v>
      </c>
      <c r="AF201" s="44"/>
      <c r="AG201" s="254">
        <f>Prog_23[[#This Row],[SAÍDA DO CLIENTE]]-Prog_23[[#This Row],[PROGRAMAÇÃO CLIENTE]]</f>
        <v>-45042.25</v>
      </c>
      <c r="AH201" s="44"/>
      <c r="AI201" s="66"/>
      <c r="AJ201" s="66"/>
      <c r="AK201" s="66"/>
      <c r="AL201" s="66"/>
      <c r="AM201" s="66"/>
      <c r="AN201" s="83"/>
      <c r="AO201" s="83"/>
      <c r="AP201" s="83"/>
      <c r="AQ201" s="66"/>
      <c r="AR201" s="66" t="s">
        <v>4973</v>
      </c>
      <c r="AS201" s="66"/>
      <c r="AT201" s="81"/>
      <c r="AU201" s="81"/>
      <c r="AV201" s="81"/>
      <c r="AW201" s="81"/>
      <c r="AX201" s="83">
        <f>SUM(Prog_23[[#This Row],[ADIANTAMENTO]]+Prog_23[[#This Row],[SALDO]]+Prog_23[[#This Row],[MARGEM]]+Prog_23[[#This Row],[ESTADIA 1]])</f>
        <v>0</v>
      </c>
      <c r="AY2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01" s="81"/>
      <c r="BA201" s="81"/>
      <c r="BB201" s="81">
        <f>Prog_23[[#This Row],[VLR NF]]*0.1%</f>
        <v>0</v>
      </c>
      <c r="BC201" s="81">
        <f>Prog_23[[#This Row],[VLR NF]]*0.05%</f>
        <v>0</v>
      </c>
      <c r="BD201" s="81"/>
      <c r="BE201" s="81"/>
      <c r="BF201" s="81"/>
      <c r="BG201" s="81"/>
      <c r="BH201" s="81"/>
      <c r="BI201" s="81"/>
      <c r="BJ201" s="81"/>
      <c r="BK201" s="81"/>
      <c r="BL201" s="81"/>
      <c r="BM201" s="81"/>
      <c r="BN201" s="66"/>
      <c r="BO201" s="66"/>
      <c r="BP201" s="66"/>
      <c r="BQ201" s="66" t="str">
        <f>PROPER(TEXT(Prog_23[[#This Row],[PROGRAMAÇÃO CLIENTE]],"mmm"))</f>
        <v>Abr</v>
      </c>
      <c r="BR201" s="66">
        <f>YEAR(Prog_23[[#This Row],[PROGRAMAÇÃO CLIENTE]])</f>
        <v>2023</v>
      </c>
    </row>
    <row r="202" spans="1:70" x14ac:dyDescent="0.25">
      <c r="A202" s="200">
        <f>Prog_23[[#This Row],[CONTEINER]]</f>
        <v>0</v>
      </c>
      <c r="B202" s="86" t="s">
        <v>836</v>
      </c>
      <c r="C2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202" s="85">
        <v>45042.25</v>
      </c>
      <c r="E202" s="66" t="s">
        <v>2549</v>
      </c>
      <c r="F202" s="66" t="s">
        <v>4074</v>
      </c>
      <c r="G202" s="66"/>
      <c r="H202" s="44" t="s">
        <v>4358</v>
      </c>
      <c r="I202" s="44"/>
      <c r="J202" s="66" t="s">
        <v>301</v>
      </c>
      <c r="K202" s="66"/>
      <c r="L202" s="66"/>
      <c r="M202" s="66"/>
      <c r="N202" s="66">
        <f>SUM(Prog_23[[#This Row],[TARA]]+Prog_23[[#This Row],[PESO]])</f>
        <v>0</v>
      </c>
      <c r="O202" s="44"/>
      <c r="P202" s="66" t="s">
        <v>4359</v>
      </c>
      <c r="Q202" s="66"/>
      <c r="R202" s="66"/>
      <c r="S202" s="66"/>
      <c r="T202" s="138" t="str">
        <f>IFERROR(LOOKUP($S202,MOTORISTAS!$D$3:$D$916,MOTORISTAS!E$3:$E$916),"")</f>
        <v/>
      </c>
      <c r="U202" s="138" t="str">
        <f>IFERROR(LOOKUP($S202,MOTORISTAS!$D$3:$D$916,MOTORISTAS!F$3:$F$916),"")</f>
        <v/>
      </c>
      <c r="V202" s="66"/>
      <c r="W202" s="66"/>
      <c r="X202" s="66"/>
      <c r="Y202" s="66"/>
      <c r="Z202" s="66" t="s">
        <v>306</v>
      </c>
      <c r="AA202" s="66"/>
      <c r="AB202" s="66"/>
      <c r="AC202" s="79">
        <v>45048.75</v>
      </c>
      <c r="AD202" s="79">
        <v>45051.666666666664</v>
      </c>
      <c r="AE202" s="66" t="s">
        <v>4360</v>
      </c>
      <c r="AF202" s="44"/>
      <c r="AG202" s="254">
        <f>Prog_23[[#This Row],[SAÍDA DO CLIENTE]]-Prog_23[[#This Row],[PROGRAMAÇÃO CLIENTE]]</f>
        <v>-45042.25</v>
      </c>
      <c r="AH202" s="44"/>
      <c r="AI202" s="66"/>
      <c r="AJ202" s="66"/>
      <c r="AK202" s="66"/>
      <c r="AL202" s="66"/>
      <c r="AM202" s="66"/>
      <c r="AN202" s="83"/>
      <c r="AO202" s="83"/>
      <c r="AP202" s="83"/>
      <c r="AQ202" s="66"/>
      <c r="AR202" s="66" t="s">
        <v>4973</v>
      </c>
      <c r="AS202" s="66"/>
      <c r="AT202" s="81"/>
      <c r="AU202" s="81"/>
      <c r="AV202" s="81"/>
      <c r="AW202" s="81"/>
      <c r="AX202" s="83">
        <f>SUM(Prog_23[[#This Row],[ADIANTAMENTO]]+Prog_23[[#This Row],[SALDO]]+Prog_23[[#This Row],[MARGEM]]+Prog_23[[#This Row],[ESTADIA 1]])</f>
        <v>0</v>
      </c>
      <c r="AY2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02" s="81"/>
      <c r="BA202" s="81"/>
      <c r="BB202" s="81">
        <f>Prog_23[[#This Row],[VLR NF]]*0.1%</f>
        <v>0</v>
      </c>
      <c r="BC202" s="81">
        <f>Prog_23[[#This Row],[VLR NF]]*0.05%</f>
        <v>0</v>
      </c>
      <c r="BD202" s="81"/>
      <c r="BE202" s="81"/>
      <c r="BF202" s="81"/>
      <c r="BG202" s="81"/>
      <c r="BH202" s="81"/>
      <c r="BI202" s="81"/>
      <c r="BJ202" s="81"/>
      <c r="BK202" s="81"/>
      <c r="BL202" s="81"/>
      <c r="BM202" s="81"/>
      <c r="BN202" s="66"/>
      <c r="BO202" s="66"/>
      <c r="BP202" s="66"/>
      <c r="BQ202" s="66" t="str">
        <f>PROPER(TEXT(Prog_23[[#This Row],[PROGRAMAÇÃO CLIENTE]],"mmm"))</f>
        <v>Abr</v>
      </c>
      <c r="BR202" s="66">
        <f>YEAR(Prog_23[[#This Row],[PROGRAMAÇÃO CLIENTE]])</f>
        <v>2023</v>
      </c>
    </row>
    <row r="203" spans="1:70" x14ac:dyDescent="0.25">
      <c r="A203" s="201">
        <f>Prog_23[[#This Row],[CONTEINER]]</f>
        <v>0</v>
      </c>
      <c r="B203" s="86" t="s">
        <v>836</v>
      </c>
      <c r="C2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203" s="85">
        <v>45042.25</v>
      </c>
      <c r="E203" s="66" t="s">
        <v>2549</v>
      </c>
      <c r="F203" s="66" t="s">
        <v>4074</v>
      </c>
      <c r="G203" s="66"/>
      <c r="H203" s="44" t="s">
        <v>4358</v>
      </c>
      <c r="I203" s="44"/>
      <c r="J203" s="66" t="s">
        <v>301</v>
      </c>
      <c r="K203" s="66"/>
      <c r="L203" s="66"/>
      <c r="M203" s="66"/>
      <c r="N203" s="66">
        <f>SUM(Prog_23[[#This Row],[TARA]]+Prog_23[[#This Row],[PESO]])</f>
        <v>0</v>
      </c>
      <c r="O203" s="44"/>
      <c r="P203" s="66" t="s">
        <v>4359</v>
      </c>
      <c r="Q203" s="66"/>
      <c r="R203" s="66"/>
      <c r="S203" s="66"/>
      <c r="T203" s="138" t="str">
        <f>IFERROR(LOOKUP($S203,MOTORISTAS!$D$3:$D$916,MOTORISTAS!E$3:$E$916),"")</f>
        <v/>
      </c>
      <c r="U203" s="138" t="str">
        <f>IFERROR(LOOKUP($S203,MOTORISTAS!$D$3:$D$916,MOTORISTAS!F$3:$F$916),"")</f>
        <v/>
      </c>
      <c r="V203" s="66"/>
      <c r="W203" s="66"/>
      <c r="X203" s="66"/>
      <c r="Y203" s="66"/>
      <c r="Z203" s="66" t="s">
        <v>306</v>
      </c>
      <c r="AA203" s="66"/>
      <c r="AB203" s="66"/>
      <c r="AC203" s="79">
        <v>45048.75</v>
      </c>
      <c r="AD203" s="79">
        <v>45051.666666666664</v>
      </c>
      <c r="AE203" s="66" t="s">
        <v>4360</v>
      </c>
      <c r="AF203" s="44"/>
      <c r="AG203" s="254">
        <f>Prog_23[[#This Row],[SAÍDA DO CLIENTE]]-Prog_23[[#This Row],[PROGRAMAÇÃO CLIENTE]]</f>
        <v>-45042.25</v>
      </c>
      <c r="AH203" s="44"/>
      <c r="AI203" s="66"/>
      <c r="AJ203" s="66"/>
      <c r="AK203" s="66"/>
      <c r="AL203" s="66"/>
      <c r="AM203" s="66"/>
      <c r="AN203" s="83"/>
      <c r="AO203" s="83"/>
      <c r="AP203" s="83"/>
      <c r="AQ203" s="66"/>
      <c r="AR203" s="66" t="s">
        <v>4973</v>
      </c>
      <c r="AS203" s="66"/>
      <c r="AT203" s="81"/>
      <c r="AU203" s="81"/>
      <c r="AV203" s="81"/>
      <c r="AW203" s="81"/>
      <c r="AX203" s="83">
        <f>SUM(Prog_23[[#This Row],[ADIANTAMENTO]]+Prog_23[[#This Row],[SALDO]]+Prog_23[[#This Row],[MARGEM]]+Prog_23[[#This Row],[ESTADIA 1]])</f>
        <v>0</v>
      </c>
      <c r="AY2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03" s="81"/>
      <c r="BA203" s="81"/>
      <c r="BB203" s="81">
        <f>Prog_23[[#This Row],[VLR NF]]*0.1%</f>
        <v>0</v>
      </c>
      <c r="BC203" s="81">
        <f>Prog_23[[#This Row],[VLR NF]]*0.05%</f>
        <v>0</v>
      </c>
      <c r="BD203" s="81"/>
      <c r="BE203" s="81"/>
      <c r="BF203" s="81"/>
      <c r="BG203" s="81"/>
      <c r="BH203" s="81"/>
      <c r="BI203" s="81"/>
      <c r="BJ203" s="81"/>
      <c r="BK203" s="81"/>
      <c r="BL203" s="81"/>
      <c r="BM203" s="81"/>
      <c r="BN203" s="66"/>
      <c r="BO203" s="66"/>
      <c r="BP203" s="66"/>
      <c r="BQ203" s="66" t="str">
        <f>PROPER(TEXT(Prog_23[[#This Row],[PROGRAMAÇÃO CLIENTE]],"mmm"))</f>
        <v>Abr</v>
      </c>
      <c r="BR203" s="66">
        <f>YEAR(Prog_23[[#This Row],[PROGRAMAÇÃO CLIENTE]])</f>
        <v>2023</v>
      </c>
    </row>
    <row r="204" spans="1:70" x14ac:dyDescent="0.25">
      <c r="A204" s="200">
        <f>Prog_23[[#This Row],[CONTEINER]]</f>
        <v>0</v>
      </c>
      <c r="B204" s="86" t="s">
        <v>836</v>
      </c>
      <c r="C2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204" s="85">
        <v>45042.25</v>
      </c>
      <c r="E204" s="66" t="s">
        <v>2549</v>
      </c>
      <c r="F204" s="66" t="s">
        <v>4074</v>
      </c>
      <c r="G204" s="66"/>
      <c r="H204" s="44" t="s">
        <v>4358</v>
      </c>
      <c r="I204" s="44"/>
      <c r="J204" s="66" t="s">
        <v>301</v>
      </c>
      <c r="K204" s="66"/>
      <c r="L204" s="66"/>
      <c r="M204" s="66"/>
      <c r="N204" s="66">
        <f>SUM(Prog_23[[#This Row],[TARA]]+Prog_23[[#This Row],[PESO]])</f>
        <v>0</v>
      </c>
      <c r="O204" s="44"/>
      <c r="P204" s="66" t="s">
        <v>4359</v>
      </c>
      <c r="Q204" s="66"/>
      <c r="R204" s="66"/>
      <c r="S204" s="66"/>
      <c r="T204" s="138" t="str">
        <f>IFERROR(LOOKUP($S204,MOTORISTAS!$D$3:$D$916,MOTORISTAS!E$3:$E$916),"")</f>
        <v/>
      </c>
      <c r="U204" s="138" t="str">
        <f>IFERROR(LOOKUP($S204,MOTORISTAS!$D$3:$D$916,MOTORISTAS!F$3:$F$916),"")</f>
        <v/>
      </c>
      <c r="V204" s="66"/>
      <c r="W204" s="66"/>
      <c r="X204" s="66"/>
      <c r="Y204" s="66"/>
      <c r="Z204" s="66" t="s">
        <v>306</v>
      </c>
      <c r="AA204" s="66"/>
      <c r="AB204" s="66"/>
      <c r="AC204" s="79">
        <v>45048.75</v>
      </c>
      <c r="AD204" s="79">
        <v>45051.666666666664</v>
      </c>
      <c r="AE204" s="66" t="s">
        <v>4360</v>
      </c>
      <c r="AF204" s="44"/>
      <c r="AG204" s="254">
        <f>Prog_23[[#This Row],[SAÍDA DO CLIENTE]]-Prog_23[[#This Row],[PROGRAMAÇÃO CLIENTE]]</f>
        <v>-45042.25</v>
      </c>
      <c r="AH204" s="44"/>
      <c r="AI204" s="66"/>
      <c r="AJ204" s="66"/>
      <c r="AK204" s="66"/>
      <c r="AL204" s="66"/>
      <c r="AM204" s="66"/>
      <c r="AN204" s="83"/>
      <c r="AO204" s="83"/>
      <c r="AP204" s="83"/>
      <c r="AQ204" s="66"/>
      <c r="AR204" s="66" t="s">
        <v>4973</v>
      </c>
      <c r="AS204" s="66"/>
      <c r="AT204" s="81"/>
      <c r="AU204" s="81"/>
      <c r="AV204" s="81"/>
      <c r="AW204" s="81"/>
      <c r="AX204" s="83">
        <f>SUM(Prog_23[[#This Row],[ADIANTAMENTO]]+Prog_23[[#This Row],[SALDO]]+Prog_23[[#This Row],[MARGEM]]+Prog_23[[#This Row],[ESTADIA 1]])</f>
        <v>0</v>
      </c>
      <c r="AY2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04" s="81"/>
      <c r="BA204" s="81"/>
      <c r="BB204" s="81">
        <f>Prog_23[[#This Row],[VLR NF]]*0.1%</f>
        <v>0</v>
      </c>
      <c r="BC204" s="81">
        <f>Prog_23[[#This Row],[VLR NF]]*0.05%</f>
        <v>0</v>
      </c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66"/>
      <c r="BO204" s="66"/>
      <c r="BP204" s="66"/>
      <c r="BQ204" s="66" t="str">
        <f>PROPER(TEXT(Prog_23[[#This Row],[PROGRAMAÇÃO CLIENTE]],"mmm"))</f>
        <v>Abr</v>
      </c>
      <c r="BR204" s="66">
        <f>YEAR(Prog_23[[#This Row],[PROGRAMAÇÃO CLIENTE]])</f>
        <v>2023</v>
      </c>
    </row>
    <row r="205" spans="1:70" x14ac:dyDescent="0.25">
      <c r="A205" s="200" t="str">
        <f>Prog_23[[#This Row],[CONTEINER]]</f>
        <v>TCNU2443066</v>
      </c>
      <c r="B205" s="86" t="s">
        <v>2771</v>
      </c>
      <c r="C2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05" s="85">
        <v>45042.375</v>
      </c>
      <c r="E205" s="66" t="s">
        <v>297</v>
      </c>
      <c r="F205" s="66" t="s">
        <v>298</v>
      </c>
      <c r="G205" s="66" t="s">
        <v>4369</v>
      </c>
      <c r="H205" s="44">
        <v>226937178</v>
      </c>
      <c r="I205" s="44" t="s">
        <v>4404</v>
      </c>
      <c r="J205" s="66" t="s">
        <v>301</v>
      </c>
      <c r="K205" s="66">
        <v>3700</v>
      </c>
      <c r="L205" s="66" t="s">
        <v>4405</v>
      </c>
      <c r="M205" s="66">
        <v>21222</v>
      </c>
      <c r="N205" s="66">
        <f>SUM(Prog_23[[#This Row],[TARA]]+Prog_23[[#This Row],[PESO]])</f>
        <v>24922</v>
      </c>
      <c r="O205" s="44">
        <v>853403</v>
      </c>
      <c r="P205" s="66" t="s">
        <v>4371</v>
      </c>
      <c r="Q205" s="66" t="s">
        <v>150</v>
      </c>
      <c r="R205" s="66" t="s">
        <v>151</v>
      </c>
      <c r="S205" s="66" t="s">
        <v>152</v>
      </c>
      <c r="T205" s="138" t="str">
        <f>IFERROR(LOOKUP($S205,MOTORISTAS!$D$3:$D$916,MOTORISTAS!E$3:$E$916),"")</f>
        <v>05753633803</v>
      </c>
      <c r="U205" s="138" t="str">
        <f>IFERROR(LOOKUP($S205,MOTORISTAS!$D$3:$D$916,MOTORISTAS!F$3:$F$916),"")</f>
        <v>01922497849</v>
      </c>
      <c r="V205" s="66" t="s">
        <v>292</v>
      </c>
      <c r="W205" s="79">
        <v>45041.428472222222</v>
      </c>
      <c r="X205" s="79">
        <v>45042.104166666664</v>
      </c>
      <c r="Y205" s="79">
        <v>45042.770833333336</v>
      </c>
      <c r="Z205" s="66" t="s">
        <v>410</v>
      </c>
      <c r="AA205" s="79">
        <v>45043.197222222225</v>
      </c>
      <c r="AB205" s="79">
        <v>45042.291666666664</v>
      </c>
      <c r="AC205" s="79">
        <v>45042.5</v>
      </c>
      <c r="AD205" s="79">
        <v>45045.5</v>
      </c>
      <c r="AE205" s="66" t="s">
        <v>418</v>
      </c>
      <c r="AF205" s="44">
        <v>15809</v>
      </c>
      <c r="AG205" s="254">
        <f>Prog_23[[#This Row],[SAÍDA DO CLIENTE]]-Prog_23[[#This Row],[PROGRAMAÇÃO CLIENTE]]</f>
        <v>0.39583333333575865</v>
      </c>
      <c r="AH205" s="44" t="s">
        <v>4420</v>
      </c>
      <c r="AI205" s="66" t="s">
        <v>4418</v>
      </c>
      <c r="AJ205" s="66"/>
      <c r="AK205" s="66"/>
      <c r="AL205" s="66"/>
      <c r="AM205" s="66"/>
      <c r="AN205" s="83"/>
      <c r="AO205" s="83"/>
      <c r="AP205" s="83"/>
      <c r="AQ205" s="66"/>
      <c r="AR205" s="66" t="s">
        <v>4973</v>
      </c>
      <c r="AS205" s="66"/>
      <c r="AT205" s="81"/>
      <c r="AU205" s="81"/>
      <c r="AV205" s="81"/>
      <c r="AW205" s="81"/>
      <c r="AX205" s="83">
        <f>SUM(Prog_23[[#This Row],[ADIANTAMENTO]]+Prog_23[[#This Row],[SALDO]]+Prog_23[[#This Row],[MARGEM]]+Prog_23[[#This Row],[ESTADIA 1]])</f>
        <v>0</v>
      </c>
      <c r="AY2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4365.5</v>
      </c>
      <c r="AZ205" s="81">
        <v>3488.8</v>
      </c>
      <c r="BA205" s="81">
        <v>173679</v>
      </c>
      <c r="BB205" s="81">
        <v>0</v>
      </c>
      <c r="BC205" s="81">
        <v>0</v>
      </c>
      <c r="BD205" s="81">
        <v>511.2</v>
      </c>
      <c r="BE205" s="81"/>
      <c r="BF205" s="81"/>
      <c r="BG205" s="81"/>
      <c r="BH205" s="81"/>
      <c r="BI205" s="81"/>
      <c r="BJ205" s="81"/>
      <c r="BK205" s="81"/>
      <c r="BL205" s="81"/>
      <c r="BM205" s="81">
        <f>85*4.3</f>
        <v>365.5</v>
      </c>
      <c r="BN205" s="66" t="s">
        <v>2768</v>
      </c>
      <c r="BO205" s="66" t="s">
        <v>2768</v>
      </c>
      <c r="BP205" s="66" t="s">
        <v>2768</v>
      </c>
      <c r="BQ205" s="66" t="str">
        <f>PROPER(TEXT(Prog_23[[#This Row],[PROGRAMAÇÃO CLIENTE]],"mmm"))</f>
        <v>Abr</v>
      </c>
      <c r="BR205" s="66">
        <f>YEAR(Prog_23[[#This Row],[PROGRAMAÇÃO CLIENTE]])</f>
        <v>2023</v>
      </c>
    </row>
    <row r="206" spans="1:70" x14ac:dyDescent="0.25">
      <c r="A206" s="201" t="str">
        <f>Prog_23[[#This Row],[CONTEINER]]</f>
        <v>MRKU3213786</v>
      </c>
      <c r="B206" s="86" t="s">
        <v>2771</v>
      </c>
      <c r="C2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06" s="85">
        <v>45042.541666666664</v>
      </c>
      <c r="E206" s="66" t="s">
        <v>297</v>
      </c>
      <c r="F206" s="66" t="s">
        <v>298</v>
      </c>
      <c r="G206" s="66" t="s">
        <v>4370</v>
      </c>
      <c r="H206" s="44">
        <v>226937178</v>
      </c>
      <c r="I206" s="44" t="s">
        <v>4415</v>
      </c>
      <c r="J206" s="66" t="s">
        <v>301</v>
      </c>
      <c r="K206" s="66">
        <v>3880</v>
      </c>
      <c r="L206" s="66" t="s">
        <v>4414</v>
      </c>
      <c r="M206" s="66">
        <v>13534</v>
      </c>
      <c r="N206" s="66">
        <f>SUM(Prog_23[[#This Row],[TARA]]+Prog_23[[#This Row],[PESO]])</f>
        <v>17414</v>
      </c>
      <c r="O206" s="44">
        <v>853402</v>
      </c>
      <c r="P206" s="66" t="s">
        <v>4371</v>
      </c>
      <c r="Q206" s="66" t="s">
        <v>210</v>
      </c>
      <c r="R206" s="66" t="s">
        <v>211</v>
      </c>
      <c r="S206" s="66" t="s">
        <v>212</v>
      </c>
      <c r="T206" s="138" t="str">
        <f>IFERROR(LOOKUP($S206,MOTORISTAS!$D$3:$D$916,MOTORISTAS!E$3:$E$916),"")</f>
        <v>38029906846</v>
      </c>
      <c r="U206" s="138" t="str">
        <f>IFERROR(LOOKUP($S206,MOTORISTAS!$D$3:$D$916,MOTORISTAS!F$3:$F$916),"")</f>
        <v>04946846842</v>
      </c>
      <c r="V206" s="66" t="s">
        <v>409</v>
      </c>
      <c r="W206" s="79">
        <v>45042.340277777781</v>
      </c>
      <c r="X206" s="79">
        <v>45042.513888888891</v>
      </c>
      <c r="Y206" s="79">
        <v>45042.999305555553</v>
      </c>
      <c r="Z206" s="66" t="s">
        <v>410</v>
      </c>
      <c r="AA206" s="79">
        <v>45043.179861111108</v>
      </c>
      <c r="AB206" s="79">
        <v>45042.291666666664</v>
      </c>
      <c r="AC206" s="79">
        <v>45042.5</v>
      </c>
      <c r="AD206" s="79">
        <v>45045.5</v>
      </c>
      <c r="AE206" s="66" t="s">
        <v>418</v>
      </c>
      <c r="AF206" s="44">
        <v>15810</v>
      </c>
      <c r="AG206" s="254">
        <f>Prog_23[[#This Row],[SAÍDA DO CLIENTE]]-Prog_23[[#This Row],[PROGRAMAÇÃO CLIENTE]]</f>
        <v>0.45763888888905058</v>
      </c>
      <c r="AH206" s="44" t="s">
        <v>4419</v>
      </c>
      <c r="AI206" s="66"/>
      <c r="AJ206" s="66"/>
      <c r="AK206" s="66"/>
      <c r="AL206" s="66"/>
      <c r="AM206" s="66"/>
      <c r="AN206" s="83"/>
      <c r="AO206" s="83"/>
      <c r="AP206" s="83"/>
      <c r="AQ206" s="66"/>
      <c r="AR206" s="66" t="s">
        <v>4973</v>
      </c>
      <c r="AS206" s="66"/>
      <c r="AT206" s="81"/>
      <c r="AU206" s="81"/>
      <c r="AV206" s="81"/>
      <c r="AW206" s="81"/>
      <c r="AX206" s="83">
        <f>SUM(Prog_23[[#This Row],[ADIANTAMENTO]]+Prog_23[[#This Row],[SALDO]]+Prog_23[[#This Row],[MARGEM]]+Prog_23[[#This Row],[ESTADIA 1]])</f>
        <v>0</v>
      </c>
      <c r="AY2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4510</v>
      </c>
      <c r="AZ206" s="81">
        <v>3488.8</v>
      </c>
      <c r="BA206" s="81">
        <v>88708</v>
      </c>
      <c r="BB206" s="81">
        <v>0</v>
      </c>
      <c r="BC206" s="81">
        <v>0</v>
      </c>
      <c r="BD206" s="81">
        <v>511.2</v>
      </c>
      <c r="BE206" s="81"/>
      <c r="BF206" s="81"/>
      <c r="BG206" s="81"/>
      <c r="BH206" s="81"/>
      <c r="BI206" s="81"/>
      <c r="BJ206" s="81"/>
      <c r="BK206" s="81"/>
      <c r="BL206" s="81"/>
      <c r="BM206" s="81">
        <f>85*6</f>
        <v>510</v>
      </c>
      <c r="BN206" s="66" t="s">
        <v>2768</v>
      </c>
      <c r="BO206" s="66" t="s">
        <v>2768</v>
      </c>
      <c r="BP206" s="66" t="s">
        <v>2768</v>
      </c>
      <c r="BQ206" s="66" t="str">
        <f>PROPER(TEXT(Prog_23[[#This Row],[PROGRAMAÇÃO CLIENTE]],"mmm"))</f>
        <v>Abr</v>
      </c>
      <c r="BR206" s="66">
        <f>YEAR(Prog_23[[#This Row],[PROGRAMAÇÃO CLIENTE]])</f>
        <v>2023</v>
      </c>
    </row>
    <row r="207" spans="1:70" x14ac:dyDescent="0.25">
      <c r="A207" s="200" t="str">
        <f>Prog_23[[#This Row],[CONTEINER]]</f>
        <v>MRSU0074571</v>
      </c>
      <c r="B207" s="86" t="s">
        <v>2771</v>
      </c>
      <c r="C2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07" s="85">
        <v>45043.833333333336</v>
      </c>
      <c r="E207" s="66" t="s">
        <v>4285</v>
      </c>
      <c r="F207" s="66" t="s">
        <v>4286</v>
      </c>
      <c r="G207" s="66" t="s">
        <v>4413</v>
      </c>
      <c r="H207" s="44" t="s">
        <v>4373</v>
      </c>
      <c r="I207" s="44" t="s">
        <v>4372</v>
      </c>
      <c r="J207" s="66" t="s">
        <v>288</v>
      </c>
      <c r="K207" s="66">
        <v>2180</v>
      </c>
      <c r="L207" s="66" t="s">
        <v>4421</v>
      </c>
      <c r="M207" s="66">
        <v>6951</v>
      </c>
      <c r="N207" s="66">
        <f>SUM(Prog_23[[#This Row],[TARA]]+Prog_23[[#This Row],[PESO]])</f>
        <v>9131</v>
      </c>
      <c r="O207" s="44"/>
      <c r="P207" s="66" t="s">
        <v>4339</v>
      </c>
      <c r="Q207" s="66" t="s">
        <v>106</v>
      </c>
      <c r="R207" s="66" t="s">
        <v>3246</v>
      </c>
      <c r="S207" s="66" t="s">
        <v>108</v>
      </c>
      <c r="T207" s="138" t="str">
        <f>IFERROR(LOOKUP($S207,MOTORISTAS!$D$3:$D$916,MOTORISTAS!E$3:$E$916),"")</f>
        <v>34927982840</v>
      </c>
      <c r="U207" s="138" t="str">
        <f>IFERROR(LOOKUP($S207,MOTORISTAS!$D$3:$D$916,MOTORISTAS!F$3:$F$916),"")</f>
        <v>03500129879</v>
      </c>
      <c r="V207" s="66" t="s">
        <v>4398</v>
      </c>
      <c r="W207" s="79">
        <v>45043.520833333336</v>
      </c>
      <c r="X207" s="79">
        <v>45043.822916666664</v>
      </c>
      <c r="Y207" s="79">
        <v>45043.868055555555</v>
      </c>
      <c r="Z207" s="66" t="s">
        <v>292</v>
      </c>
      <c r="AA207" s="79">
        <v>45044.395833333336</v>
      </c>
      <c r="AB207" s="79">
        <v>45043.833333333336</v>
      </c>
      <c r="AC207" s="79">
        <v>45043.833333333336</v>
      </c>
      <c r="AD207" s="79">
        <v>45043.833333333336</v>
      </c>
      <c r="AE207" s="66" t="s">
        <v>4344</v>
      </c>
      <c r="AF207" s="44">
        <v>15796</v>
      </c>
      <c r="AG207" s="254">
        <f>Prog_23[[#This Row],[SAÍDA DO CLIENTE]]-Prog_23[[#This Row],[PROGRAMAÇÃO CLIENTE]]</f>
        <v>3.4722222218988463E-2</v>
      </c>
      <c r="AH207" s="44"/>
      <c r="AI207" s="66"/>
      <c r="AJ207" s="66"/>
      <c r="AK207" s="66"/>
      <c r="AL207" s="66"/>
      <c r="AM207" s="66"/>
      <c r="AN207" s="83"/>
      <c r="AO207" s="83"/>
      <c r="AP207" s="83"/>
      <c r="AQ207" s="66"/>
      <c r="AR207" s="66" t="s">
        <v>4973</v>
      </c>
      <c r="AS207" s="66"/>
      <c r="AT207" s="81"/>
      <c r="AU207" s="81"/>
      <c r="AV207" s="81"/>
      <c r="AW207" s="81"/>
      <c r="AX207" s="83">
        <f>SUM(Prog_23[[#This Row],[ADIANTAMENTO]]+Prog_23[[#This Row],[SALDO]]+Prog_23[[#This Row],[MARGEM]]+Prog_23[[#This Row],[ESTADIA 1]])</f>
        <v>0</v>
      </c>
      <c r="AY2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17000</v>
      </c>
      <c r="AZ207" s="81">
        <v>12140</v>
      </c>
      <c r="BA207" s="81">
        <v>556145.78</v>
      </c>
      <c r="BB207" s="81">
        <v>1500</v>
      </c>
      <c r="BC207" s="81">
        <v>500</v>
      </c>
      <c r="BD207" s="81">
        <v>570</v>
      </c>
      <c r="BE207" s="81">
        <v>250</v>
      </c>
      <c r="BF207" s="81"/>
      <c r="BG207" s="81"/>
      <c r="BH207" s="81"/>
      <c r="BI207" s="81">
        <v>2040</v>
      </c>
      <c r="BJ207" s="81"/>
      <c r="BK207" s="81"/>
      <c r="BL207" s="81"/>
      <c r="BM207" s="81"/>
      <c r="BN207" s="66" t="s">
        <v>2768</v>
      </c>
      <c r="BO207" s="66" t="s">
        <v>2768</v>
      </c>
      <c r="BP207" s="66" t="s">
        <v>2768</v>
      </c>
      <c r="BQ207" s="66" t="str">
        <f>PROPER(TEXT(Prog_23[[#This Row],[PROGRAMAÇÃO CLIENTE]],"mmm"))</f>
        <v>Abr</v>
      </c>
      <c r="BR207" s="66">
        <f>YEAR(Prog_23[[#This Row],[PROGRAMAÇÃO CLIENTE]])</f>
        <v>2023</v>
      </c>
    </row>
    <row r="208" spans="1:70" x14ac:dyDescent="0.25">
      <c r="A208" s="200" t="str">
        <f>Prog_23[[#This Row],[CONTEINER]]</f>
        <v>1 VOLUME</v>
      </c>
      <c r="B208" s="86" t="s">
        <v>2771</v>
      </c>
      <c r="C2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08" s="85">
        <v>45043.625</v>
      </c>
      <c r="E208" s="66" t="s">
        <v>4285</v>
      </c>
      <c r="F208" s="66" t="s">
        <v>4286</v>
      </c>
      <c r="G208" s="66" t="s">
        <v>4410</v>
      </c>
      <c r="H208" s="44" t="s">
        <v>4409</v>
      </c>
      <c r="I208" s="44" t="s">
        <v>4411</v>
      </c>
      <c r="J208" s="66" t="s">
        <v>125</v>
      </c>
      <c r="K208" s="66">
        <v>0</v>
      </c>
      <c r="L208" s="66" t="s">
        <v>4435</v>
      </c>
      <c r="M208" s="66">
        <v>43</v>
      </c>
      <c r="N208" s="66">
        <f>SUM(Prog_23[[#This Row],[TARA]]+Prog_23[[#This Row],[PESO]])</f>
        <v>43</v>
      </c>
      <c r="O208" s="44"/>
      <c r="P208" s="66" t="s">
        <v>4412</v>
      </c>
      <c r="Q208" s="66" t="s">
        <v>4342</v>
      </c>
      <c r="R208" s="66"/>
      <c r="S208" s="66" t="s">
        <v>4343</v>
      </c>
      <c r="T208" s="138" t="str">
        <f>IFERROR(LOOKUP($S208,MOTORISTAS!$D$3:$D$916,MOTORISTAS!E$3:$E$916),"")</f>
        <v>65921666572</v>
      </c>
      <c r="U208" s="138" t="str">
        <f>IFERROR(LOOKUP($S208,MOTORISTAS!$D$3:$D$916,MOTORISTAS!F$3:$F$916),"")</f>
        <v>01775229802</v>
      </c>
      <c r="V208" s="66" t="s">
        <v>4349</v>
      </c>
      <c r="W208" s="79">
        <v>45043.493055555555</v>
      </c>
      <c r="X208" s="79">
        <v>45043.520833333336</v>
      </c>
      <c r="Y208" s="79">
        <v>45043.638888888891</v>
      </c>
      <c r="Z208" s="66" t="s">
        <v>4423</v>
      </c>
      <c r="AA208" s="79">
        <v>45043.638888888891</v>
      </c>
      <c r="AB208" s="79">
        <v>45043.625</v>
      </c>
      <c r="AC208" s="79">
        <v>45043.625</v>
      </c>
      <c r="AD208" s="79">
        <v>45043.625</v>
      </c>
      <c r="AE208" s="66" t="s">
        <v>4344</v>
      </c>
      <c r="AF208" s="44">
        <v>15808</v>
      </c>
      <c r="AG208" s="254">
        <f>Prog_23[[#This Row],[SAÍDA DO CLIENTE]]-Prog_23[[#This Row],[PROGRAMAÇÃO CLIENTE]]</f>
        <v>1.3888888890505768E-2</v>
      </c>
      <c r="AH208" s="44"/>
      <c r="AI208" s="66"/>
      <c r="AJ208" s="66"/>
      <c r="AK208" s="66"/>
      <c r="AL208" s="66"/>
      <c r="AM208" s="66"/>
      <c r="AN208" s="83"/>
      <c r="AO208" s="83"/>
      <c r="AP208" s="83"/>
      <c r="AQ208" s="66"/>
      <c r="AR208" s="66" t="s">
        <v>4973</v>
      </c>
      <c r="AS208" s="66"/>
      <c r="AT208" s="81"/>
      <c r="AU208" s="81"/>
      <c r="AV208" s="81"/>
      <c r="AW208" s="81"/>
      <c r="AX208" s="83">
        <f>SUM(Prog_23[[#This Row],[ADIANTAMENTO]]+Prog_23[[#This Row],[SALDO]]+Prog_23[[#This Row],[MARGEM]]+Prog_23[[#This Row],[ESTADIA 1]])</f>
        <v>0</v>
      </c>
      <c r="AY2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15315.1</v>
      </c>
      <c r="AZ208" s="81">
        <v>10760</v>
      </c>
      <c r="BA208" s="81">
        <v>5980.13</v>
      </c>
      <c r="BB208" s="81">
        <v>1500</v>
      </c>
      <c r="BC208" s="81">
        <v>500</v>
      </c>
      <c r="BD208" s="81">
        <v>190</v>
      </c>
      <c r="BE208" s="81">
        <v>250</v>
      </c>
      <c r="BF208" s="81"/>
      <c r="BG208" s="81"/>
      <c r="BH208" s="81"/>
      <c r="BI208" s="81">
        <v>1837.81</v>
      </c>
      <c r="BJ208" s="81">
        <v>277.29000000000002</v>
      </c>
      <c r="BK208" s="81"/>
      <c r="BL208" s="81"/>
      <c r="BM208" s="81"/>
      <c r="BN208" s="66" t="s">
        <v>2768</v>
      </c>
      <c r="BO208" s="66" t="s">
        <v>2768</v>
      </c>
      <c r="BP208" s="66" t="s">
        <v>2768</v>
      </c>
      <c r="BQ208" s="66" t="str">
        <f>PROPER(TEXT(Prog_23[[#This Row],[PROGRAMAÇÃO CLIENTE]],"mmm"))</f>
        <v>Abr</v>
      </c>
      <c r="BR208" s="66">
        <f>YEAR(Prog_23[[#This Row],[PROGRAMAÇÃO CLIENTE]])</f>
        <v>2023</v>
      </c>
    </row>
    <row r="209" spans="1:70" x14ac:dyDescent="0.25">
      <c r="A209" s="200" t="str">
        <f>Prog_23[[#This Row],[CONTEINER]]</f>
        <v>GESU6874482</v>
      </c>
      <c r="B209" s="86" t="s">
        <v>2771</v>
      </c>
      <c r="C2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209" s="85">
        <v>45044.354166666664</v>
      </c>
      <c r="E209" s="66" t="s">
        <v>1980</v>
      </c>
      <c r="F209" s="66" t="s">
        <v>284</v>
      </c>
      <c r="G209" s="66" t="s">
        <v>4351</v>
      </c>
      <c r="H209" s="44" t="s">
        <v>4350</v>
      </c>
      <c r="I209" s="44" t="s">
        <v>4443</v>
      </c>
      <c r="J209" s="66" t="s">
        <v>301</v>
      </c>
      <c r="K209" s="66">
        <v>3830</v>
      </c>
      <c r="L209" s="66" t="s">
        <v>4456</v>
      </c>
      <c r="M209" s="66">
        <v>26347</v>
      </c>
      <c r="N209" s="66">
        <f>SUM(Prog_23[[#This Row],[TARA]]+Prog_23[[#This Row],[PESO]])</f>
        <v>30177</v>
      </c>
      <c r="O209" s="44"/>
      <c r="P209" s="66" t="s">
        <v>4033</v>
      </c>
      <c r="Q209" s="66" t="s">
        <v>210</v>
      </c>
      <c r="R209" s="66" t="s">
        <v>211</v>
      </c>
      <c r="S209" s="66" t="s">
        <v>212</v>
      </c>
      <c r="T209" s="138" t="str">
        <f>IFERROR(LOOKUP($S209,MOTORISTAS!$D$3:$D$916,MOTORISTAS!E$3:$E$916),"")</f>
        <v>38029906846</v>
      </c>
      <c r="U209" s="138" t="str">
        <f>IFERROR(LOOKUP($S209,MOTORISTAS!$D$3:$D$916,MOTORISTAS!F$3:$F$916),"")</f>
        <v>04946846842</v>
      </c>
      <c r="V209" s="66" t="s">
        <v>293</v>
      </c>
      <c r="W209" s="66"/>
      <c r="X209" s="66"/>
      <c r="Y209" s="79">
        <v>45044.666666666664</v>
      </c>
      <c r="Z209" s="66" t="s">
        <v>293</v>
      </c>
      <c r="AA209" s="66" t="s">
        <v>4457</v>
      </c>
      <c r="AB209" s="79">
        <v>45044.833333333336</v>
      </c>
      <c r="AC209" s="79">
        <v>45048.5</v>
      </c>
      <c r="AD209" s="79">
        <v>45048.5</v>
      </c>
      <c r="AE209" s="66" t="s">
        <v>294</v>
      </c>
      <c r="AF209" s="44">
        <v>15861</v>
      </c>
      <c r="AG209" s="254">
        <f>Prog_23[[#This Row],[SAÍDA DO CLIENTE]]-Prog_23[[#This Row],[PROGRAMAÇÃO CLIENTE]]</f>
        <v>0.3125</v>
      </c>
      <c r="AH209" s="44"/>
      <c r="AI209" s="66"/>
      <c r="AJ209" s="66"/>
      <c r="AK209" s="66"/>
      <c r="AL209" s="66"/>
      <c r="AM209" s="66"/>
      <c r="AN209" s="83"/>
      <c r="AO209" s="83"/>
      <c r="AP209" s="83"/>
      <c r="AQ209" s="66"/>
      <c r="AR209" s="66" t="s">
        <v>4973</v>
      </c>
      <c r="AS209" s="66"/>
      <c r="AT209" s="81">
        <v>4200</v>
      </c>
      <c r="AU209" s="81"/>
      <c r="AV209" s="81"/>
      <c r="AW209" s="81"/>
      <c r="AX209" s="83">
        <f>SUM(Prog_23[[#This Row],[ADIANTAMENTO]]+Prog_23[[#This Row],[SALDO]]+Prog_23[[#This Row],[MARGEM]]+Prog_23[[#This Row],[ESTADIA 1]])</f>
        <v>4200</v>
      </c>
      <c r="AY2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09" s="81"/>
      <c r="BA209" s="81"/>
      <c r="BB209" s="81">
        <f>Prog_23[[#This Row],[VLR NF]]*0.1%</f>
        <v>0</v>
      </c>
      <c r="BC209" s="81">
        <f>Prog_23[[#This Row],[VLR NF]]*0.05%</f>
        <v>0</v>
      </c>
      <c r="BD209" s="81"/>
      <c r="BE209" s="81"/>
      <c r="BF209" s="81"/>
      <c r="BG209" s="81"/>
      <c r="BH209" s="81"/>
      <c r="BI209" s="81"/>
      <c r="BJ209" s="81"/>
      <c r="BK209" s="81"/>
      <c r="BL209" s="81"/>
      <c r="BM209" s="81"/>
      <c r="BN209" s="66"/>
      <c r="BO209" s="66"/>
      <c r="BP209" s="66"/>
      <c r="BQ209" s="66" t="str">
        <f>PROPER(TEXT(Prog_23[[#This Row],[PROGRAMAÇÃO CLIENTE]],"mmm"))</f>
        <v>Abr</v>
      </c>
      <c r="BR209" s="66">
        <f>YEAR(Prog_23[[#This Row],[PROGRAMAÇÃO CLIENTE]])</f>
        <v>2023</v>
      </c>
    </row>
    <row r="210" spans="1:70" x14ac:dyDescent="0.25">
      <c r="A210" s="201" t="str">
        <f>Prog_23[[#This Row],[CONTEINER]]</f>
        <v>MSDU8340007</v>
      </c>
      <c r="B210" s="86" t="s">
        <v>2771</v>
      </c>
      <c r="C2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10" s="85">
        <v>45044.333333333336</v>
      </c>
      <c r="E210" s="66" t="s">
        <v>297</v>
      </c>
      <c r="F210" s="66" t="s">
        <v>298</v>
      </c>
      <c r="G210" s="66" t="s">
        <v>4399</v>
      </c>
      <c r="H210" s="44" t="s">
        <v>4400</v>
      </c>
      <c r="I210" s="44" t="s">
        <v>4445</v>
      </c>
      <c r="J210" s="66" t="s">
        <v>301</v>
      </c>
      <c r="K210" s="66">
        <v>3840</v>
      </c>
      <c r="L210" s="66" t="s">
        <v>4444</v>
      </c>
      <c r="M210" s="66">
        <v>19821</v>
      </c>
      <c r="N210" s="66">
        <f>SUM(Prog_23[[#This Row],[TARA]]+Prog_23[[#This Row],[PESO]])</f>
        <v>23661</v>
      </c>
      <c r="O210" s="44">
        <v>854426</v>
      </c>
      <c r="P210" s="66" t="s">
        <v>4401</v>
      </c>
      <c r="Q210" s="66" t="s">
        <v>72</v>
      </c>
      <c r="R210" s="66" t="s">
        <v>73</v>
      </c>
      <c r="S210" s="66" t="s">
        <v>203</v>
      </c>
      <c r="T210" s="138" t="str">
        <f>IFERROR(LOOKUP($S210,MOTORISTAS!$D$3:$D$916,MOTORISTAS!E$3:$E$916),"")</f>
        <v>10395859816</v>
      </c>
      <c r="U210" s="138" t="str">
        <f>IFERROR(LOOKUP($S210,MOTORISTAS!$D$3:$D$916,MOTORISTAS!F$3:$F$916),"")</f>
        <v>01965794851</v>
      </c>
      <c r="V210" s="66" t="s">
        <v>469</v>
      </c>
      <c r="W210" s="66"/>
      <c r="X210" s="79">
        <v>45044.201388888891</v>
      </c>
      <c r="Y210" s="79">
        <v>45044.645833333336</v>
      </c>
      <c r="Z210" s="66" t="s">
        <v>410</v>
      </c>
      <c r="AA210" s="79">
        <v>45049.166666666664</v>
      </c>
      <c r="AB210" s="79">
        <v>45046.291666666664</v>
      </c>
      <c r="AC210" s="79">
        <v>45044.5</v>
      </c>
      <c r="AD210" s="79">
        <v>45050.5</v>
      </c>
      <c r="AE210" s="66" t="s">
        <v>1391</v>
      </c>
      <c r="AF210" s="44"/>
      <c r="AG210" s="254">
        <f>Prog_23[[#This Row],[SAÍDA DO CLIENTE]]-Prog_23[[#This Row],[PROGRAMAÇÃO CLIENTE]]</f>
        <v>0.3125</v>
      </c>
      <c r="AH210" s="44"/>
      <c r="AI210" s="66"/>
      <c r="AJ210" s="66"/>
      <c r="AK210" s="66" t="s">
        <v>393</v>
      </c>
      <c r="AL210" s="79">
        <v>45044.833333333336</v>
      </c>
      <c r="AM210" s="66"/>
      <c r="AN210" s="83">
        <v>950</v>
      </c>
      <c r="AO210" s="83"/>
      <c r="AP210" s="83"/>
      <c r="AQ210" s="66"/>
      <c r="AR210" s="66" t="s">
        <v>4973</v>
      </c>
      <c r="AS210" s="66"/>
      <c r="AT210" s="81">
        <v>3200</v>
      </c>
      <c r="AU210" s="81"/>
      <c r="AV210" s="81"/>
      <c r="AW210" s="81"/>
      <c r="AX210" s="83">
        <f>SUM(Prog_23[[#This Row],[ADIANTAMENTO]]+Prog_23[[#This Row],[SALDO]]+Prog_23[[#This Row],[MARGEM]]+Prog_23[[#This Row],[ESTADIA 1]])</f>
        <v>3200</v>
      </c>
      <c r="AY2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210" s="81">
        <v>3488.8</v>
      </c>
      <c r="BA210" s="81">
        <v>107320.4</v>
      </c>
      <c r="BB210" s="81">
        <v>0</v>
      </c>
      <c r="BC210" s="81">
        <v>0</v>
      </c>
      <c r="BD210" s="81">
        <v>511.2</v>
      </c>
      <c r="BE210" s="81"/>
      <c r="BF210" s="81"/>
      <c r="BG210" s="81"/>
      <c r="BH210" s="81"/>
      <c r="BI210" s="81"/>
      <c r="BJ210" s="81"/>
      <c r="BK210" s="81"/>
      <c r="BL210" s="81"/>
      <c r="BM210" s="81"/>
      <c r="BN210" s="66" t="s">
        <v>2768</v>
      </c>
      <c r="BO210" s="66" t="s">
        <v>2768</v>
      </c>
      <c r="BP210" s="66" t="s">
        <v>2768</v>
      </c>
      <c r="BQ210" s="66" t="str">
        <f>PROPER(TEXT(Prog_23[[#This Row],[PROGRAMAÇÃO CLIENTE]],"mmm"))</f>
        <v>Abr</v>
      </c>
      <c r="BR210" s="66">
        <f>YEAR(Prog_23[[#This Row],[PROGRAMAÇÃO CLIENTE]])</f>
        <v>2023</v>
      </c>
    </row>
    <row r="211" spans="1:70" x14ac:dyDescent="0.25">
      <c r="A211" s="201" t="str">
        <f>Prog_23[[#This Row],[CONTEINER]]</f>
        <v>TCLU2966060</v>
      </c>
      <c r="B211" s="86" t="s">
        <v>2771</v>
      </c>
      <c r="C2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11" s="85">
        <v>45048.291666666664</v>
      </c>
      <c r="E211" s="66" t="s">
        <v>696</v>
      </c>
      <c r="F211" s="66" t="s">
        <v>697</v>
      </c>
      <c r="G211" s="66"/>
      <c r="H211" s="44" t="s">
        <v>4417</v>
      </c>
      <c r="I211" s="44" t="s">
        <v>4416</v>
      </c>
      <c r="J211" s="66" t="s">
        <v>288</v>
      </c>
      <c r="K211" s="66">
        <v>2230</v>
      </c>
      <c r="L211" s="66">
        <v>1277369</v>
      </c>
      <c r="M211" s="66">
        <v>10295</v>
      </c>
      <c r="N211" s="66">
        <f>SUM(Prog_23[[#This Row],[TARA]]+Prog_23[[#This Row],[PESO]])</f>
        <v>12525</v>
      </c>
      <c r="O211" s="44" t="s">
        <v>4455</v>
      </c>
      <c r="P211" s="66" t="s">
        <v>3964</v>
      </c>
      <c r="Q211" s="66" t="s">
        <v>92</v>
      </c>
      <c r="R211" s="66" t="s">
        <v>3246</v>
      </c>
      <c r="S211" s="66" t="s">
        <v>94</v>
      </c>
      <c r="T211" s="138" t="str">
        <f>IFERROR(LOOKUP($S211,MOTORISTAS!$D$3:$D$916,MOTORISTAS!E$3:$E$916),"")</f>
        <v>26283419801</v>
      </c>
      <c r="U211" s="138" t="str">
        <f>IFERROR(LOOKUP($S211,MOTORISTAS!$D$3:$D$916,MOTORISTAS!F$3:$F$916),"")</f>
        <v>02002046946</v>
      </c>
      <c r="V211" s="66" t="s">
        <v>293</v>
      </c>
      <c r="W211" s="79">
        <v>45048.079861111109</v>
      </c>
      <c r="X211" s="79">
        <v>45048.15625</v>
      </c>
      <c r="Y211" s="66" t="s">
        <v>4459</v>
      </c>
      <c r="Z211" s="66" t="s">
        <v>292</v>
      </c>
      <c r="AA211" s="79">
        <v>45048.439583333333</v>
      </c>
      <c r="AB211" s="79">
        <v>45048.291666666664</v>
      </c>
      <c r="AC211" s="79">
        <v>45048.291666666664</v>
      </c>
      <c r="AD211" s="79">
        <v>45048.291666666664</v>
      </c>
      <c r="AE211" s="66" t="s">
        <v>708</v>
      </c>
      <c r="AF211" s="44"/>
      <c r="AG211" s="254" t="e">
        <f>Prog_23[[#This Row],[SAÍDA DO CLIENTE]]-Prog_23[[#This Row],[PROGRAMAÇÃO CLIENTE]]</f>
        <v>#VALUE!</v>
      </c>
      <c r="AH211" s="44"/>
      <c r="AI211" s="66"/>
      <c r="AJ211" s="66"/>
      <c r="AK211" s="66"/>
      <c r="AL211" s="66"/>
      <c r="AM211" s="66"/>
      <c r="AN211" s="83"/>
      <c r="AO211" s="83"/>
      <c r="AP211" s="83"/>
      <c r="AQ211" s="66"/>
      <c r="AR211" s="66" t="s">
        <v>4973</v>
      </c>
      <c r="AS211" s="66"/>
      <c r="AT211" s="81"/>
      <c r="AU211" s="81"/>
      <c r="AV211" s="81"/>
      <c r="AW211" s="81"/>
      <c r="AX211" s="83">
        <f>SUM(Prog_23[[#This Row],[ADIANTAMENTO]]+Prog_23[[#This Row],[SALDO]]+Prog_23[[#This Row],[MARGEM]]+Prog_23[[#This Row],[ESTADIA 1]])</f>
        <v>0</v>
      </c>
      <c r="AY2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11" s="81"/>
      <c r="BA211" s="81"/>
      <c r="BB211" s="81">
        <f>Prog_23[[#This Row],[VLR NF]]*0.1%</f>
        <v>0</v>
      </c>
      <c r="BC211" s="81">
        <f>Prog_23[[#This Row],[VLR NF]]*0.05%</f>
        <v>0</v>
      </c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66"/>
      <c r="BO211" s="66"/>
      <c r="BP211" s="66"/>
      <c r="BQ211" s="66" t="str">
        <f>PROPER(TEXT(Prog_23[[#This Row],[PROGRAMAÇÃO CLIENTE]],"mmm"))</f>
        <v>Mai</v>
      </c>
      <c r="BR211" s="66">
        <f>YEAR(Prog_23[[#This Row],[PROGRAMAÇÃO CLIENTE]])</f>
        <v>2023</v>
      </c>
    </row>
    <row r="212" spans="1:70" x14ac:dyDescent="0.25">
      <c r="A212" s="200" t="str">
        <f>Prog_23[[#This Row],[CONTEINER]]</f>
        <v>MRKU4884583</v>
      </c>
      <c r="B212" s="86" t="s">
        <v>2771</v>
      </c>
      <c r="C2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12" s="85">
        <v>45050.291666666664</v>
      </c>
      <c r="E212" s="66" t="s">
        <v>4480</v>
      </c>
      <c r="F212" s="66" t="s">
        <v>4491</v>
      </c>
      <c r="G212" s="66" t="s">
        <v>4490</v>
      </c>
      <c r="H212" s="44">
        <v>227189159</v>
      </c>
      <c r="I212" s="44" t="s">
        <v>4485</v>
      </c>
      <c r="J212" s="66" t="s">
        <v>301</v>
      </c>
      <c r="K212" s="66">
        <v>3810</v>
      </c>
      <c r="L212" s="66" t="s">
        <v>4486</v>
      </c>
      <c r="M212" s="66">
        <v>22355</v>
      </c>
      <c r="N212" s="66">
        <f>SUM(Prog_23[[#This Row],[TARA]]+Prog_23[[#This Row],[PESO]])</f>
        <v>26165</v>
      </c>
      <c r="O212" s="44">
        <v>5021</v>
      </c>
      <c r="P212" s="66" t="s">
        <v>4478</v>
      </c>
      <c r="Q212" s="66" t="s">
        <v>31</v>
      </c>
      <c r="R212" s="66" t="s">
        <v>32</v>
      </c>
      <c r="S212" s="66" t="s">
        <v>33</v>
      </c>
      <c r="T212" s="138" t="str">
        <f>IFERROR(LOOKUP($S212,MOTORISTAS!$D$3:$D$916,MOTORISTAS!E$3:$E$916),"")</f>
        <v>09776430856</v>
      </c>
      <c r="U212" s="138" t="str">
        <f>IFERROR(LOOKUP($S212,MOTORISTAS!$D$3:$D$916,MOTORISTAS!F$3:$F$916),"")</f>
        <v>01258979905</v>
      </c>
      <c r="V212" s="66" t="s">
        <v>292</v>
      </c>
      <c r="W212" s="79">
        <v>45049.555555555555</v>
      </c>
      <c r="X212" s="79">
        <v>45050.28125</v>
      </c>
      <c r="Y212" s="79">
        <v>45050.472222222219</v>
      </c>
      <c r="Z212" s="66" t="s">
        <v>410</v>
      </c>
      <c r="AA212" s="79">
        <v>45051.359027777777</v>
      </c>
      <c r="AB212" s="79">
        <v>45049.791666666664</v>
      </c>
      <c r="AC212" s="79">
        <v>45050.416666666664</v>
      </c>
      <c r="AD212" s="79">
        <v>45052.5</v>
      </c>
      <c r="AE212" s="66" t="s">
        <v>4479</v>
      </c>
      <c r="AF212" s="44">
        <v>15887</v>
      </c>
      <c r="AG212" s="254">
        <f>Prog_23[[#This Row],[SAÍDA DO CLIENTE]]-Prog_23[[#This Row],[PROGRAMAÇÃO CLIENTE]]</f>
        <v>0.18055555555474712</v>
      </c>
      <c r="AH212" s="44" t="s">
        <v>4493</v>
      </c>
      <c r="AI212" s="66"/>
      <c r="AJ212" s="66"/>
      <c r="AK212" s="66"/>
      <c r="AL212" s="66"/>
      <c r="AM212" s="66"/>
      <c r="AN212" s="83"/>
      <c r="AO212" s="83"/>
      <c r="AP212" s="83"/>
      <c r="AQ212" s="66"/>
      <c r="AR212" s="66" t="s">
        <v>4973</v>
      </c>
      <c r="AS212" s="66"/>
      <c r="AT212" s="81">
        <v>1600</v>
      </c>
      <c r="AU212" s="81"/>
      <c r="AV212" s="81"/>
      <c r="AW212" s="81"/>
      <c r="AX212" s="83">
        <f>SUM(Prog_23[[#This Row],[ADIANTAMENTO]]+Prog_23[[#This Row],[SALDO]]+Prog_23[[#This Row],[MARGEM]]+Prog_23[[#This Row],[ESTADIA 1]])</f>
        <v>1600</v>
      </c>
      <c r="AY2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4500</v>
      </c>
      <c r="AZ212" s="81">
        <v>4245.6000000000004</v>
      </c>
      <c r="BA212" s="81">
        <v>309216.58</v>
      </c>
      <c r="BB212" s="81">
        <v>0</v>
      </c>
      <c r="BC212" s="81">
        <v>0</v>
      </c>
      <c r="BD212" s="81">
        <v>254.4</v>
      </c>
      <c r="BE212" s="81"/>
      <c r="BF212" s="81"/>
      <c r="BG212" s="81"/>
      <c r="BH212" s="81"/>
      <c r="BI212" s="81"/>
      <c r="BJ212" s="81"/>
      <c r="BK212" s="81"/>
      <c r="BL212" s="81"/>
      <c r="BM212" s="81"/>
      <c r="BN212" s="66" t="s">
        <v>2768</v>
      </c>
      <c r="BO212" s="66" t="s">
        <v>2768</v>
      </c>
      <c r="BP212" s="66" t="s">
        <v>2768</v>
      </c>
      <c r="BQ212" s="66" t="str">
        <f>PROPER(TEXT(Prog_23[[#This Row],[PROGRAMAÇÃO CLIENTE]],"mmm"))</f>
        <v>Mai</v>
      </c>
      <c r="BR212" s="66">
        <f>YEAR(Prog_23[[#This Row],[PROGRAMAÇÃO CLIENTE]])</f>
        <v>2023</v>
      </c>
    </row>
    <row r="213" spans="1:70" x14ac:dyDescent="0.25">
      <c r="A213" s="201" t="str">
        <f>Prog_23[[#This Row],[CONTEINER]]</f>
        <v>2  VOLUMES</v>
      </c>
      <c r="B213" s="86" t="s">
        <v>2771</v>
      </c>
      <c r="C2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13" s="85">
        <v>45050.625</v>
      </c>
      <c r="E213" s="66" t="s">
        <v>4285</v>
      </c>
      <c r="F213" s="66" t="s">
        <v>4286</v>
      </c>
      <c r="G213" s="66" t="s">
        <v>4488</v>
      </c>
      <c r="H213" s="44" t="s">
        <v>4454</v>
      </c>
      <c r="I213" s="44" t="s">
        <v>4494</v>
      </c>
      <c r="J213" s="66" t="s">
        <v>125</v>
      </c>
      <c r="K213" s="66">
        <v>0</v>
      </c>
      <c r="L213" s="66"/>
      <c r="M213" s="66">
        <v>99.8</v>
      </c>
      <c r="N213" s="66">
        <f>SUM(Prog_23[[#This Row],[TARA]]+Prog_23[[#This Row],[PESO]])</f>
        <v>99.8</v>
      </c>
      <c r="O213" s="44"/>
      <c r="P213" s="66" t="s">
        <v>4412</v>
      </c>
      <c r="Q213" s="66" t="s">
        <v>4489</v>
      </c>
      <c r="R213" s="66"/>
      <c r="S213" s="66" t="s">
        <v>4487</v>
      </c>
      <c r="T213" s="138" t="str">
        <f>IFERROR(LOOKUP($S213,MOTORISTAS!$D$3:$D$916,MOTORISTAS!E$3:$E$916),"")</f>
        <v>07829261857</v>
      </c>
      <c r="U213" s="138" t="str">
        <f>IFERROR(LOOKUP($S213,MOTORISTAS!$D$3:$D$916,MOTORISTAS!F$3:$F$916),"")</f>
        <v>02774298358</v>
      </c>
      <c r="V213" s="66" t="s">
        <v>4349</v>
      </c>
      <c r="W213" s="79">
        <v>45050.291666666664</v>
      </c>
      <c r="X213" s="79">
        <v>45050.333333333336</v>
      </c>
      <c r="Y213" s="79">
        <v>45050.4375</v>
      </c>
      <c r="Z213" s="66" t="s">
        <v>4423</v>
      </c>
      <c r="AA213" s="79">
        <v>45050.597916666666</v>
      </c>
      <c r="AB213" s="79">
        <v>45049.5</v>
      </c>
      <c r="AC213" s="79">
        <v>45049.5</v>
      </c>
      <c r="AD213" s="79">
        <v>45049.5</v>
      </c>
      <c r="AE213" s="66" t="s">
        <v>4344</v>
      </c>
      <c r="AF213" s="44">
        <v>15881</v>
      </c>
      <c r="AG213" s="254">
        <f>Prog_23[[#This Row],[SAÍDA DO CLIENTE]]-Prog_23[[#This Row],[PROGRAMAÇÃO CLIENTE]]</f>
        <v>-0.1875</v>
      </c>
      <c r="AH213" s="44"/>
      <c r="AI213" s="66"/>
      <c r="AJ213" s="66"/>
      <c r="AK213" s="66"/>
      <c r="AL213" s="66"/>
      <c r="AM213" s="66"/>
      <c r="AN213" s="83"/>
      <c r="AO213" s="83"/>
      <c r="AP213" s="83"/>
      <c r="AQ213" s="66"/>
      <c r="AR213" s="66" t="s">
        <v>4973</v>
      </c>
      <c r="AS213" s="66"/>
      <c r="AT213" s="81"/>
      <c r="AU213" s="81"/>
      <c r="AV213" s="81"/>
      <c r="AW213" s="81"/>
      <c r="AX213" s="83">
        <f>SUM(Prog_23[[#This Row],[ADIANTAMENTO]]+Prog_23[[#This Row],[SALDO]]+Prog_23[[#This Row],[MARGEM]]+Prog_23[[#This Row],[ESTADIA 1]])</f>
        <v>0</v>
      </c>
      <c r="AY2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13200</v>
      </c>
      <c r="AZ213" s="81">
        <v>10760</v>
      </c>
      <c r="BA213" s="81">
        <v>3752.93</v>
      </c>
      <c r="BB213" s="81">
        <v>1500</v>
      </c>
      <c r="BC213" s="81">
        <v>500</v>
      </c>
      <c r="BD213" s="81">
        <v>190</v>
      </c>
      <c r="BE213" s="81">
        <v>250</v>
      </c>
      <c r="BF213" s="81"/>
      <c r="BG213" s="81"/>
      <c r="BH213" s="81"/>
      <c r="BI213" s="81"/>
      <c r="BJ213" s="81"/>
      <c r="BK213" s="81"/>
      <c r="BL213" s="81"/>
      <c r="BM213" s="81"/>
      <c r="BN213" s="66" t="s">
        <v>2768</v>
      </c>
      <c r="BO213" s="66" t="s">
        <v>2768</v>
      </c>
      <c r="BP213" s="66" t="s">
        <v>2768</v>
      </c>
      <c r="BQ213" s="66" t="str">
        <f>PROPER(TEXT(Prog_23[[#This Row],[PROGRAMAÇÃO CLIENTE]],"mmm"))</f>
        <v>Mai</v>
      </c>
      <c r="BR213" s="66">
        <f>YEAR(Prog_23[[#This Row],[PROGRAMAÇÃO CLIENTE]])</f>
        <v>2023</v>
      </c>
    </row>
    <row r="214" spans="1:70" x14ac:dyDescent="0.25">
      <c r="A214" s="200" t="str">
        <f>Prog_23[[#This Row],[CONTEINER]]</f>
        <v>TGHU6774336</v>
      </c>
      <c r="B214" s="86" t="s">
        <v>2771</v>
      </c>
      <c r="C2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14" s="85">
        <v>45051.416666666664</v>
      </c>
      <c r="E214" s="66" t="s">
        <v>1110</v>
      </c>
      <c r="F214" s="66" t="s">
        <v>1111</v>
      </c>
      <c r="G214" s="66" t="s">
        <v>4460</v>
      </c>
      <c r="H214" s="44" t="s">
        <v>4482</v>
      </c>
      <c r="I214" s="44" t="s">
        <v>4502</v>
      </c>
      <c r="J214" s="66" t="s">
        <v>301</v>
      </c>
      <c r="K214" s="66">
        <v>3910</v>
      </c>
      <c r="L214" s="66" t="s">
        <v>4503</v>
      </c>
      <c r="M214" s="66">
        <v>26080</v>
      </c>
      <c r="N214" s="66">
        <f>SUM(Prog_23[[#This Row],[TARA]]+Prog_23[[#This Row],[PESO]])</f>
        <v>29990</v>
      </c>
      <c r="O214" s="44">
        <v>335987</v>
      </c>
      <c r="P214" s="66" t="s">
        <v>4461</v>
      </c>
      <c r="Q214" s="66" t="s">
        <v>68</v>
      </c>
      <c r="R214" s="66" t="s">
        <v>36</v>
      </c>
      <c r="S214" s="66" t="s">
        <v>69</v>
      </c>
      <c r="T214" s="138" t="str">
        <f>IFERROR(LOOKUP($S214,MOTORISTAS!$D$3:$D$916,MOTORISTAS!E$3:$E$916),"")</f>
        <v>07968457866</v>
      </c>
      <c r="U214" s="138" t="str">
        <f>IFERROR(LOOKUP($S214,MOTORISTAS!$D$3:$D$916,MOTORISTAS!F$3:$F$916),"")</f>
        <v>03264365790</v>
      </c>
      <c r="V214" s="66" t="s">
        <v>537</v>
      </c>
      <c r="W214" s="79">
        <v>45051.336805555555</v>
      </c>
      <c r="X214" s="79">
        <v>45051.397222222222</v>
      </c>
      <c r="Y214" s="79">
        <v>45051.680555555555</v>
      </c>
      <c r="Z214" s="66" t="s">
        <v>293</v>
      </c>
      <c r="AA214" s="79">
        <v>45052.048611111109</v>
      </c>
      <c r="AB214" s="79">
        <v>45054.666666666664</v>
      </c>
      <c r="AC214" s="79">
        <v>45054.666666666664</v>
      </c>
      <c r="AD214" s="79">
        <v>45055.5</v>
      </c>
      <c r="AE214" s="66" t="s">
        <v>294</v>
      </c>
      <c r="AF214" s="44"/>
      <c r="AG214" s="254">
        <f>Prog_23[[#This Row],[SAÍDA DO CLIENTE]]-Prog_23[[#This Row],[PROGRAMAÇÃO CLIENTE]]</f>
        <v>0.26388888889050577</v>
      </c>
      <c r="AH214" s="44"/>
      <c r="AI214" s="66"/>
      <c r="AJ214" s="66"/>
      <c r="AK214" s="66"/>
      <c r="AL214" s="66"/>
      <c r="AM214" s="66"/>
      <c r="AN214" s="83"/>
      <c r="AO214" s="83"/>
      <c r="AP214" s="83"/>
      <c r="AQ214" s="66"/>
      <c r="AR214" s="66" t="s">
        <v>4973</v>
      </c>
      <c r="AS214" s="66"/>
      <c r="AT214" s="81"/>
      <c r="AU214" s="81"/>
      <c r="AV214" s="81"/>
      <c r="AW214" s="81"/>
      <c r="AX214" s="83">
        <f>SUM(Prog_23[[#This Row],[ADIANTAMENTO]]+Prog_23[[#This Row],[SALDO]]+Prog_23[[#This Row],[MARGEM]]+Prog_23[[#This Row],[ESTADIA 1]])</f>
        <v>0</v>
      </c>
      <c r="AY2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14" s="81"/>
      <c r="BA214" s="81"/>
      <c r="BB214" s="81">
        <f>Prog_23[[#This Row],[VLR NF]]*0.1%</f>
        <v>0</v>
      </c>
      <c r="BC214" s="81">
        <f>Prog_23[[#This Row],[VLR NF]]*0.05%</f>
        <v>0</v>
      </c>
      <c r="BD214" s="81"/>
      <c r="BE214" s="81"/>
      <c r="BF214" s="81"/>
      <c r="BG214" s="81"/>
      <c r="BH214" s="81"/>
      <c r="BI214" s="81"/>
      <c r="BJ214" s="81"/>
      <c r="BK214" s="81"/>
      <c r="BL214" s="81"/>
      <c r="BM214" s="81"/>
      <c r="BN214" s="66"/>
      <c r="BO214" s="66"/>
      <c r="BP214" s="66"/>
      <c r="BQ214" s="66" t="str">
        <f>PROPER(TEXT(Prog_23[[#This Row],[PROGRAMAÇÃO CLIENTE]],"mmm"))</f>
        <v>Mai</v>
      </c>
      <c r="BR214" s="66">
        <f>YEAR(Prog_23[[#This Row],[PROGRAMAÇÃO CLIENTE]])</f>
        <v>2023</v>
      </c>
    </row>
    <row r="215" spans="1:70" x14ac:dyDescent="0.25">
      <c r="A215" s="200" t="str">
        <f>Prog_23[[#This Row],[CONTEINER]]</f>
        <v>MSKU1269197</v>
      </c>
      <c r="B215" s="86" t="s">
        <v>2771</v>
      </c>
      <c r="C2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15" s="85">
        <v>45054.666666666664</v>
      </c>
      <c r="E215" s="66" t="s">
        <v>2302</v>
      </c>
      <c r="F215" s="66" t="s">
        <v>529</v>
      </c>
      <c r="G215" s="66">
        <v>37</v>
      </c>
      <c r="H215" s="44">
        <v>227013727</v>
      </c>
      <c r="I215" s="44" t="s">
        <v>4509</v>
      </c>
      <c r="J215" s="66" t="s">
        <v>301</v>
      </c>
      <c r="K215" s="66">
        <v>3880</v>
      </c>
      <c r="L215" s="66" t="s">
        <v>4510</v>
      </c>
      <c r="M215" s="66">
        <v>5766</v>
      </c>
      <c r="N215" s="66">
        <f>SUM(Prog_23[[#This Row],[TARA]]+Prog_23[[#This Row],[PESO]])</f>
        <v>9646</v>
      </c>
      <c r="O215" s="44" t="s">
        <v>4505</v>
      </c>
      <c r="P215" s="66" t="s">
        <v>4426</v>
      </c>
      <c r="Q215" s="66" t="s">
        <v>155</v>
      </c>
      <c r="R215" s="66" t="s">
        <v>209</v>
      </c>
      <c r="S215" s="66" t="s">
        <v>156</v>
      </c>
      <c r="T215" s="138" t="str">
        <f>IFERROR(LOOKUP($S215,MOTORISTAS!$D$3:$D$916,MOTORISTAS!E$3:$E$916),"")</f>
        <v>09803034863</v>
      </c>
      <c r="U215" s="138" t="str">
        <f>IFERROR(LOOKUP($S215,MOTORISTAS!$D$3:$D$916,MOTORISTAS!F$3:$F$916),"")</f>
        <v>01484565209</v>
      </c>
      <c r="V215" s="66" t="s">
        <v>292</v>
      </c>
      <c r="W215" s="79">
        <v>45054.449305555558</v>
      </c>
      <c r="X215" s="79">
        <v>45054.59375</v>
      </c>
      <c r="Y215" s="79">
        <v>45054.760416666664</v>
      </c>
      <c r="Z215" s="66" t="s">
        <v>306</v>
      </c>
      <c r="AA215" s="79">
        <v>45054.895833333336</v>
      </c>
      <c r="AB215" s="79">
        <v>45054.291666666664</v>
      </c>
      <c r="AC215" s="79">
        <v>45054.75</v>
      </c>
      <c r="AD215" s="79">
        <v>45057.75</v>
      </c>
      <c r="AE215" s="66" t="s">
        <v>452</v>
      </c>
      <c r="AF215" s="44">
        <v>15941</v>
      </c>
      <c r="AG215" s="254">
        <f>Prog_23[[#This Row],[SAÍDA DO CLIENTE]]-Prog_23[[#This Row],[PROGRAMAÇÃO CLIENTE]]</f>
        <v>9.375E-2</v>
      </c>
      <c r="AH215" s="44"/>
      <c r="AI215" s="66"/>
      <c r="AJ215" s="66"/>
      <c r="AK215" s="66"/>
      <c r="AL215" s="66"/>
      <c r="AM215" s="66"/>
      <c r="AN215" s="83"/>
      <c r="AO215" s="83"/>
      <c r="AP215" s="83"/>
      <c r="AQ215" s="66"/>
      <c r="AR215" s="66" t="s">
        <v>4973</v>
      </c>
      <c r="AS215" s="66"/>
      <c r="AT215" s="81">
        <v>2200</v>
      </c>
      <c r="AU215" s="81"/>
      <c r="AV215" s="81"/>
      <c r="AW215" s="81"/>
      <c r="AX215" s="83">
        <f>SUM(Prog_23[[#This Row],[ADIANTAMENTO]]+Prog_23[[#This Row],[SALDO]]+Prog_23[[#This Row],[MARGEM]]+Prog_23[[#This Row],[ESTADIA 1]])</f>
        <v>2200</v>
      </c>
      <c r="AY2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3484.6631349999998</v>
      </c>
      <c r="AZ215" s="81">
        <v>2550</v>
      </c>
      <c r="BA215" s="81">
        <v>322442.09000000003</v>
      </c>
      <c r="BB215" s="81">
        <f>Prog_23[[#This Row],[VLR NF]]*0.1%</f>
        <v>322.44209000000001</v>
      </c>
      <c r="BC215" s="81">
        <f>Prog_23[[#This Row],[VLR NF]]*0.05%</f>
        <v>161.221045</v>
      </c>
      <c r="BD215" s="81">
        <v>336</v>
      </c>
      <c r="BE215" s="81"/>
      <c r="BF215" s="81"/>
      <c r="BG215" s="81"/>
      <c r="BH215" s="81">
        <v>30</v>
      </c>
      <c r="BI215" s="81"/>
      <c r="BJ215" s="81">
        <v>85</v>
      </c>
      <c r="BK215" s="81"/>
      <c r="BL215" s="81"/>
      <c r="BM215" s="81"/>
      <c r="BN215" s="66" t="s">
        <v>2768</v>
      </c>
      <c r="BO215" s="66" t="s">
        <v>2768</v>
      </c>
      <c r="BP215" s="66" t="s">
        <v>2768</v>
      </c>
      <c r="BQ215" s="66" t="str">
        <f>PROPER(TEXT(Prog_23[[#This Row],[PROGRAMAÇÃO CLIENTE]],"mmm"))</f>
        <v>Mai</v>
      </c>
      <c r="BR215" s="66">
        <f>YEAR(Prog_23[[#This Row],[PROGRAMAÇÃO CLIENTE]])</f>
        <v>2023</v>
      </c>
    </row>
    <row r="216" spans="1:70" x14ac:dyDescent="0.25">
      <c r="A216" s="200" t="str">
        <f>Prog_23[[#This Row],[CONTEINER]]</f>
        <v>MRSU5240802</v>
      </c>
      <c r="B216" s="86" t="s">
        <v>2771</v>
      </c>
      <c r="C2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16" s="85">
        <v>45055.333333333336</v>
      </c>
      <c r="E216" s="66" t="s">
        <v>2302</v>
      </c>
      <c r="F216" s="66" t="s">
        <v>529</v>
      </c>
      <c r="G216" s="66">
        <v>335</v>
      </c>
      <c r="H216" s="44">
        <v>227194806</v>
      </c>
      <c r="I216" s="44" t="s">
        <v>4548</v>
      </c>
      <c r="J216" s="66" t="s">
        <v>301</v>
      </c>
      <c r="K216" s="66">
        <v>3720</v>
      </c>
      <c r="L216" s="66" t="s">
        <v>4547</v>
      </c>
      <c r="M216" s="66">
        <v>8997</v>
      </c>
      <c r="N216" s="66">
        <f>SUM(Prog_23[[#This Row],[TARA]]+Prog_23[[#This Row],[PESO]])</f>
        <v>12717</v>
      </c>
      <c r="O216" s="44" t="s">
        <v>4545</v>
      </c>
      <c r="P216" s="66" t="s">
        <v>4426</v>
      </c>
      <c r="Q216" s="66" t="s">
        <v>72</v>
      </c>
      <c r="R216" s="66" t="s">
        <v>73</v>
      </c>
      <c r="S216" s="66" t="s">
        <v>203</v>
      </c>
      <c r="T216" s="138" t="str">
        <f>IFERROR(LOOKUP($S216,MOTORISTAS!$D$3:$D$916,MOTORISTAS!E$3:$E$916),"")</f>
        <v>10395859816</v>
      </c>
      <c r="U216" s="138" t="str">
        <f>IFERROR(LOOKUP($S216,MOTORISTAS!$D$3:$D$916,MOTORISTAS!F$3:$F$916),"")</f>
        <v>01965794851</v>
      </c>
      <c r="V216" s="66" t="s">
        <v>409</v>
      </c>
      <c r="W216" s="79">
        <v>45054.85</v>
      </c>
      <c r="X216" s="79">
        <v>45055.319444444445</v>
      </c>
      <c r="Y216" s="79">
        <v>45055.440972222219</v>
      </c>
      <c r="Z216" s="66" t="s">
        <v>306</v>
      </c>
      <c r="AA216" s="79">
        <v>45055.555555555555</v>
      </c>
      <c r="AB216" s="79">
        <v>45054.291666666664</v>
      </c>
      <c r="AC216" s="79">
        <v>45054.75</v>
      </c>
      <c r="AD216" s="79">
        <v>45057.75</v>
      </c>
      <c r="AE216" s="66" t="s">
        <v>452</v>
      </c>
      <c r="AF216" s="44">
        <v>15950</v>
      </c>
      <c r="AG216" s="254">
        <f>Prog_23[[#This Row],[SAÍDA DO CLIENTE]]-Prog_23[[#This Row],[PROGRAMAÇÃO CLIENTE]]</f>
        <v>0.10763888888322981</v>
      </c>
      <c r="AH216" s="44"/>
      <c r="AI216" s="66"/>
      <c r="AJ216" s="66"/>
      <c r="AK216" s="66"/>
      <c r="AL216" s="66"/>
      <c r="AM216" s="66"/>
      <c r="AN216" s="83"/>
      <c r="AO216" s="83"/>
      <c r="AP216" s="83"/>
      <c r="AQ216" s="66"/>
      <c r="AR216" s="66" t="s">
        <v>4973</v>
      </c>
      <c r="AS216" s="66"/>
      <c r="AT216" s="81">
        <v>2200</v>
      </c>
      <c r="AU216" s="81"/>
      <c r="AV216" s="81"/>
      <c r="AW216" s="81"/>
      <c r="AX216" s="83">
        <f>SUM(Prog_23[[#This Row],[ADIANTAMENTO]]+Prog_23[[#This Row],[SALDO]]+Prog_23[[#This Row],[MARGEM]]+Prog_23[[#This Row],[ESTADIA 1]])</f>
        <v>2200</v>
      </c>
      <c r="AY2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3665.1784299999999</v>
      </c>
      <c r="AZ216" s="81">
        <v>2550</v>
      </c>
      <c r="BA216" s="81">
        <v>442785.62</v>
      </c>
      <c r="BB216" s="81">
        <f>Prog_23[[#This Row],[VLR NF]]*0.1%</f>
        <v>442.78561999999999</v>
      </c>
      <c r="BC216" s="81">
        <f>Prog_23[[#This Row],[VLR NF]]*0.05%</f>
        <v>221.39281</v>
      </c>
      <c r="BD216" s="81">
        <v>336</v>
      </c>
      <c r="BE216" s="81"/>
      <c r="BF216" s="81"/>
      <c r="BG216" s="81"/>
      <c r="BH216" s="81">
        <v>30</v>
      </c>
      <c r="BI216" s="81"/>
      <c r="BJ216" s="81">
        <v>85</v>
      </c>
      <c r="BK216" s="81"/>
      <c r="BL216" s="81"/>
      <c r="BM216" s="81"/>
      <c r="BN216" s="66" t="s">
        <v>2768</v>
      </c>
      <c r="BO216" s="66" t="s">
        <v>2768</v>
      </c>
      <c r="BP216" s="66" t="s">
        <v>2768</v>
      </c>
      <c r="BQ216" s="66" t="str">
        <f>PROPER(TEXT(Prog_23[[#This Row],[PROGRAMAÇÃO CLIENTE]],"mmm"))</f>
        <v>Mai</v>
      </c>
      <c r="BR216" s="66">
        <f>YEAR(Prog_23[[#This Row],[PROGRAMAÇÃO CLIENTE]])</f>
        <v>2023</v>
      </c>
    </row>
    <row r="217" spans="1:70" x14ac:dyDescent="0.25">
      <c r="A217" s="201" t="str">
        <f>Prog_23[[#This Row],[CONTEINER]]</f>
        <v>TRHU4489270</v>
      </c>
      <c r="B217" s="86" t="s">
        <v>2771</v>
      </c>
      <c r="C2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17" s="85">
        <v>45055.666666666664</v>
      </c>
      <c r="E217" s="66" t="s">
        <v>2302</v>
      </c>
      <c r="F217" s="66" t="s">
        <v>529</v>
      </c>
      <c r="G217" s="66">
        <v>39</v>
      </c>
      <c r="H217" s="44">
        <v>227121419</v>
      </c>
      <c r="I217" s="44" t="s">
        <v>4533</v>
      </c>
      <c r="J217" s="66" t="s">
        <v>301</v>
      </c>
      <c r="K217" s="66">
        <v>3700</v>
      </c>
      <c r="L217" s="66" t="s">
        <v>4534</v>
      </c>
      <c r="M217" s="66">
        <v>5646</v>
      </c>
      <c r="N217" s="66">
        <f>SUM(Prog_23[[#This Row],[TARA]]+Prog_23[[#This Row],[PESO]])</f>
        <v>9346</v>
      </c>
      <c r="O217" s="44" t="s">
        <v>4535</v>
      </c>
      <c r="P217" s="66" t="s">
        <v>4426</v>
      </c>
      <c r="Q217" s="66" t="s">
        <v>155</v>
      </c>
      <c r="R217" s="66" t="s">
        <v>209</v>
      </c>
      <c r="S217" s="66" t="s">
        <v>156</v>
      </c>
      <c r="T217" s="138" t="str">
        <f>IFERROR(LOOKUP($S217,MOTORISTAS!$D$3:$D$916,MOTORISTAS!E$3:$E$916),"")</f>
        <v>09803034863</v>
      </c>
      <c r="U217" s="138" t="str">
        <f>IFERROR(LOOKUP($S217,MOTORISTAS!$D$3:$D$916,MOTORISTAS!F$3:$F$916),"")</f>
        <v>01484565209</v>
      </c>
      <c r="V217" s="66" t="s">
        <v>292</v>
      </c>
      <c r="W217" s="79">
        <v>45054.770833333336</v>
      </c>
      <c r="X217" s="79">
        <v>45055.609722222223</v>
      </c>
      <c r="Y217" s="79">
        <v>45055.833333333336</v>
      </c>
      <c r="Z217" s="66" t="s">
        <v>306</v>
      </c>
      <c r="AA217" s="79">
        <v>45055.951388888891</v>
      </c>
      <c r="AB217" s="79">
        <v>45054.291666666664</v>
      </c>
      <c r="AC217" s="79">
        <v>45054.75</v>
      </c>
      <c r="AD217" s="79">
        <v>45057.75</v>
      </c>
      <c r="AE217" s="66" t="s">
        <v>527</v>
      </c>
      <c r="AF217" s="44">
        <v>15953</v>
      </c>
      <c r="AG217" s="254">
        <f>Prog_23[[#This Row],[SAÍDA DO CLIENTE]]-Prog_23[[#This Row],[PROGRAMAÇÃO CLIENTE]]</f>
        <v>0.16666666667151731</v>
      </c>
      <c r="AH217" s="44"/>
      <c r="AI217" s="66"/>
      <c r="AJ217" s="66"/>
      <c r="AK217" s="66"/>
      <c r="AL217" s="66"/>
      <c r="AM217" s="66"/>
      <c r="AN217" s="83"/>
      <c r="AO217" s="83"/>
      <c r="AP217" s="83"/>
      <c r="AQ217" s="66" t="s">
        <v>610</v>
      </c>
      <c r="AR217" s="66" t="s">
        <v>4973</v>
      </c>
      <c r="AS217" s="81">
        <v>120</v>
      </c>
      <c r="AT217" s="81">
        <v>2200</v>
      </c>
      <c r="AU217" s="81"/>
      <c r="AV217" s="81"/>
      <c r="AW217" s="81"/>
      <c r="AX217" s="83">
        <f>SUM(Prog_23[[#This Row],[ADIANTAMENTO]]+Prog_23[[#This Row],[SALDO]]+Prog_23[[#This Row],[MARGEM]]+Prog_23[[#This Row],[ESTADIA 1]])</f>
        <v>2200</v>
      </c>
      <c r="AY2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3508.6455550000001</v>
      </c>
      <c r="AZ217" s="81">
        <v>2550</v>
      </c>
      <c r="BA217" s="81">
        <v>338430.37</v>
      </c>
      <c r="BB217" s="81">
        <f>Prog_23[[#This Row],[VLR NF]]*0.1%</f>
        <v>338.43036999999998</v>
      </c>
      <c r="BC217" s="81">
        <f>Prog_23[[#This Row],[VLR NF]]*0.05%</f>
        <v>169.21518499999999</v>
      </c>
      <c r="BD217" s="81">
        <v>336</v>
      </c>
      <c r="BE217" s="81"/>
      <c r="BF217" s="81"/>
      <c r="BG217" s="81"/>
      <c r="BH217" s="81">
        <v>30</v>
      </c>
      <c r="BI217" s="81"/>
      <c r="BJ217" s="81">
        <v>85</v>
      </c>
      <c r="BK217" s="81"/>
      <c r="BL217" s="81"/>
      <c r="BM217" s="81"/>
      <c r="BN217" s="66" t="s">
        <v>2768</v>
      </c>
      <c r="BO217" s="66" t="s">
        <v>2768</v>
      </c>
      <c r="BP217" s="66" t="s">
        <v>2768</v>
      </c>
      <c r="BQ217" s="66" t="str">
        <f>PROPER(TEXT(Prog_23[[#This Row],[PROGRAMAÇÃO CLIENTE]],"mmm"))</f>
        <v>Mai</v>
      </c>
      <c r="BR217" s="66">
        <f>YEAR(Prog_23[[#This Row],[PROGRAMAÇÃO CLIENTE]])</f>
        <v>2023</v>
      </c>
    </row>
    <row r="218" spans="1:70" x14ac:dyDescent="0.25">
      <c r="A218" s="201">
        <f>Prog_23[[#This Row],[CONTEINER]]</f>
        <v>0</v>
      </c>
      <c r="B218" s="86" t="s">
        <v>836</v>
      </c>
      <c r="C2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218" s="44"/>
      <c r="E218" s="66" t="s">
        <v>1110</v>
      </c>
      <c r="F218" s="66" t="s">
        <v>1111</v>
      </c>
      <c r="G218" s="66" t="s">
        <v>4460</v>
      </c>
      <c r="H218" s="44" t="s">
        <v>4482</v>
      </c>
      <c r="I218" s="44"/>
      <c r="J218" s="66" t="s">
        <v>301</v>
      </c>
      <c r="K218" s="66"/>
      <c r="L218" s="66"/>
      <c r="M218" s="66"/>
      <c r="N218" s="66">
        <f>SUM(Prog_23[[#This Row],[TARA]]+Prog_23[[#This Row],[PESO]])</f>
        <v>0</v>
      </c>
      <c r="O218" s="44"/>
      <c r="P218" s="66" t="s">
        <v>4461</v>
      </c>
      <c r="Q218" s="66"/>
      <c r="R218" s="66"/>
      <c r="S218" s="66"/>
      <c r="T218" s="138" t="str">
        <f>IFERROR(LOOKUP($S218,MOTORISTAS!$D$3:$D$916,MOTORISTAS!E$3:$E$916),"")</f>
        <v/>
      </c>
      <c r="U218" s="138" t="str">
        <f>IFERROR(LOOKUP($S218,MOTORISTAS!$D$3:$D$916,MOTORISTAS!F$3:$F$916),"")</f>
        <v/>
      </c>
      <c r="V218" s="66"/>
      <c r="W218" s="66"/>
      <c r="X218" s="66"/>
      <c r="Y218" s="66"/>
      <c r="Z218" s="66" t="s">
        <v>293</v>
      </c>
      <c r="AA218" s="66"/>
      <c r="AB218" s="66"/>
      <c r="AC218" s="79">
        <v>45054.666666666664</v>
      </c>
      <c r="AD218" s="79">
        <v>45055.5</v>
      </c>
      <c r="AE218" s="66" t="s">
        <v>294</v>
      </c>
      <c r="AF218" s="44"/>
      <c r="AG218" s="254">
        <f>Prog_23[[#This Row],[SAÍDA DO CLIENTE]]-Prog_23[[#This Row],[PROGRAMAÇÃO CLIENTE]]</f>
        <v>0</v>
      </c>
      <c r="AH218" s="44"/>
      <c r="AI218" s="66"/>
      <c r="AJ218" s="66"/>
      <c r="AK218" s="66"/>
      <c r="AL218" s="66"/>
      <c r="AM218" s="66"/>
      <c r="AN218" s="83"/>
      <c r="AO218" s="83"/>
      <c r="AP218" s="83"/>
      <c r="AQ218" s="66"/>
      <c r="AR218" s="66" t="s">
        <v>4973</v>
      </c>
      <c r="AS218" s="66"/>
      <c r="AT218" s="81"/>
      <c r="AU218" s="81"/>
      <c r="AV218" s="81"/>
      <c r="AW218" s="81"/>
      <c r="AX218" s="83">
        <f>SUM(Prog_23[[#This Row],[ADIANTAMENTO]]+Prog_23[[#This Row],[SALDO]]+Prog_23[[#This Row],[MARGEM]]+Prog_23[[#This Row],[ESTADIA 1]])</f>
        <v>0</v>
      </c>
      <c r="AY2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18" s="81"/>
      <c r="BA218" s="81"/>
      <c r="BB218" s="81">
        <f>Prog_23[[#This Row],[VLR NF]]*0.1%</f>
        <v>0</v>
      </c>
      <c r="BC218" s="81">
        <f>Prog_23[[#This Row],[VLR NF]]*0.05%</f>
        <v>0</v>
      </c>
      <c r="BD218" s="81"/>
      <c r="BE218" s="81"/>
      <c r="BF218" s="81"/>
      <c r="BG218" s="81"/>
      <c r="BH218" s="81"/>
      <c r="BI218" s="81"/>
      <c r="BJ218" s="81"/>
      <c r="BK218" s="81"/>
      <c r="BL218" s="81"/>
      <c r="BM218" s="81"/>
      <c r="BN218" s="66"/>
      <c r="BO218" s="66"/>
      <c r="BP218" s="66"/>
      <c r="BQ218" s="66" t="str">
        <f>PROPER(TEXT(Prog_23[[#This Row],[PROGRAMAÇÃO CLIENTE]],"mmm"))</f>
        <v>Jan</v>
      </c>
      <c r="BR218" s="66">
        <f>YEAR(Prog_23[[#This Row],[PROGRAMAÇÃO CLIENTE]])</f>
        <v>1900</v>
      </c>
    </row>
    <row r="219" spans="1:70" x14ac:dyDescent="0.25">
      <c r="A219" s="201" t="str">
        <f>Prog_23[[#This Row],[CONTEINER]]</f>
        <v>TOMU4309930</v>
      </c>
      <c r="B219" s="86" t="s">
        <v>2771</v>
      </c>
      <c r="C219" s="253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219" s="85">
        <v>45057.25</v>
      </c>
      <c r="E219" s="66" t="s">
        <v>3876</v>
      </c>
      <c r="F219" s="66" t="s">
        <v>3875</v>
      </c>
      <c r="G219" s="66">
        <v>28581</v>
      </c>
      <c r="H219" s="44" t="s">
        <v>4495</v>
      </c>
      <c r="I219" s="44" t="s">
        <v>4570</v>
      </c>
      <c r="J219" s="66" t="s">
        <v>301</v>
      </c>
      <c r="K219" s="66">
        <v>3700</v>
      </c>
      <c r="L219" s="66" t="s">
        <v>4566</v>
      </c>
      <c r="M219" s="66">
        <v>4870</v>
      </c>
      <c r="N219" s="66">
        <f>SUM(Prog_23[[#This Row],[TARA]]+Prog_23[[#This Row],[PESO]])</f>
        <v>8570</v>
      </c>
      <c r="O219" s="44">
        <v>1381</v>
      </c>
      <c r="P219" s="66" t="s">
        <v>4496</v>
      </c>
      <c r="Q219" s="66" t="s">
        <v>210</v>
      </c>
      <c r="R219" s="66" t="s">
        <v>211</v>
      </c>
      <c r="S219" s="66" t="s">
        <v>212</v>
      </c>
      <c r="T219" s="138" t="str">
        <f>IFERROR(LOOKUP($S219,MOTORISTAS!$D$3:$D$916,MOTORISTAS!E$3:$E$916),"")</f>
        <v>38029906846</v>
      </c>
      <c r="U219" s="138" t="str">
        <f>IFERROR(LOOKUP($S219,MOTORISTAS!$D$3:$D$916,MOTORISTAS!F$3:$F$916),"")</f>
        <v>04946846842</v>
      </c>
      <c r="V219" s="66" t="s">
        <v>292</v>
      </c>
      <c r="W219" s="79">
        <v>45056.362500000003</v>
      </c>
      <c r="X219" s="79">
        <v>45057.385416666664</v>
      </c>
      <c r="Y219" s="79">
        <v>45057.541666666664</v>
      </c>
      <c r="Z219" s="66" t="s">
        <v>1569</v>
      </c>
      <c r="AA219" s="79">
        <v>45063.362500000003</v>
      </c>
      <c r="AB219" s="79">
        <v>45062.291666666664</v>
      </c>
      <c r="AC219" s="79">
        <v>45061.5</v>
      </c>
      <c r="AD219" s="79">
        <v>45065.5</v>
      </c>
      <c r="AE219" s="66" t="s">
        <v>4497</v>
      </c>
      <c r="AF219" s="44">
        <v>1234</v>
      </c>
      <c r="AG219" s="254">
        <f>Prog_23[[#This Row],[SAÍDA DO CLIENTE]]-Prog_23[[#This Row],[PROGRAMAÇÃO CLIENTE]]</f>
        <v>0.29166666666424135</v>
      </c>
      <c r="AH219" s="44"/>
      <c r="AI219" s="66"/>
      <c r="AJ219" s="66" t="s">
        <v>3602</v>
      </c>
      <c r="AK219" s="66" t="s">
        <v>393</v>
      </c>
      <c r="AL219" s="79">
        <v>45058.25</v>
      </c>
      <c r="AM219" s="66"/>
      <c r="AN219" s="83">
        <v>950</v>
      </c>
      <c r="AO219" s="83"/>
      <c r="AP219" s="83"/>
      <c r="AQ219" s="66"/>
      <c r="AR219" s="66" t="s">
        <v>4973</v>
      </c>
      <c r="AS219" s="66"/>
      <c r="AT219" s="81"/>
      <c r="AU219" s="81">
        <v>601.20000000000005</v>
      </c>
      <c r="AV219" s="81"/>
      <c r="AW219" s="81"/>
      <c r="AX219" s="83">
        <f>SUM(Prog_23[[#This Row],[ADIANTAMENTO]]+Prog_23[[#This Row],[SALDO]]+Prog_23[[#This Row],[MARGEM]]+Prog_23[[#This Row],[ESTADIA 1]])</f>
        <v>601.20000000000005</v>
      </c>
      <c r="AY2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10013.60642</v>
      </c>
      <c r="AZ219" s="81">
        <v>9500</v>
      </c>
      <c r="BA219" s="81">
        <v>513606.42</v>
      </c>
      <c r="BB219" s="81">
        <f>Prog_23[[#This Row],[VLR NF]]*0.1%</f>
        <v>513.60641999999996</v>
      </c>
      <c r="BC219" s="81">
        <v>0</v>
      </c>
      <c r="BD219" s="81"/>
      <c r="BE219" s="81"/>
      <c r="BF219" s="81"/>
      <c r="BG219" s="81"/>
      <c r="BH219" s="81"/>
      <c r="BI219" s="81"/>
      <c r="BJ219" s="81"/>
      <c r="BK219" s="81"/>
      <c r="BL219" s="81"/>
      <c r="BM219" s="81"/>
      <c r="BN219" s="66" t="s">
        <v>2768</v>
      </c>
      <c r="BO219" s="66" t="s">
        <v>2768</v>
      </c>
      <c r="BP219" s="66" t="s">
        <v>2768</v>
      </c>
      <c r="BQ219" s="66" t="str">
        <f>PROPER(TEXT(Prog_23[[#This Row],[PROGRAMAÇÃO CLIENTE]],"mmm"))</f>
        <v>Mai</v>
      </c>
      <c r="BR219" s="66">
        <f>YEAR(Prog_23[[#This Row],[PROGRAMAÇÃO CLIENTE]])</f>
        <v>2023</v>
      </c>
    </row>
    <row r="220" spans="1:70" x14ac:dyDescent="0.25">
      <c r="A220" s="200" t="str">
        <f>Prog_23[[#This Row],[CONTEINER]]</f>
        <v>TOMU4305596</v>
      </c>
      <c r="B220" s="86" t="s">
        <v>2771</v>
      </c>
      <c r="C2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20" s="85">
        <v>45057.25</v>
      </c>
      <c r="E220" s="66" t="s">
        <v>3876</v>
      </c>
      <c r="F220" s="66" t="s">
        <v>3875</v>
      </c>
      <c r="G220" s="66">
        <v>28582</v>
      </c>
      <c r="H220" s="44" t="s">
        <v>4495</v>
      </c>
      <c r="I220" s="44" t="s">
        <v>4559</v>
      </c>
      <c r="J220" s="66" t="s">
        <v>301</v>
      </c>
      <c r="K220" s="66">
        <v>3700</v>
      </c>
      <c r="L220" s="66" t="s">
        <v>4568</v>
      </c>
      <c r="M220" s="66">
        <v>5555</v>
      </c>
      <c r="N220" s="66">
        <f>SUM(Prog_23[[#This Row],[TARA]]+Prog_23[[#This Row],[PESO]])</f>
        <v>9255</v>
      </c>
      <c r="O220" s="44">
        <v>1391</v>
      </c>
      <c r="P220" s="66" t="s">
        <v>4496</v>
      </c>
      <c r="Q220" s="66" t="s">
        <v>4553</v>
      </c>
      <c r="R220" s="66" t="s">
        <v>4554</v>
      </c>
      <c r="S220" s="66" t="s">
        <v>4555</v>
      </c>
      <c r="T220" s="138" t="str">
        <f>IFERROR(LOOKUP($S220,MOTORISTAS!$D$3:$D$916,MOTORISTAS!E$3:$E$916),"")</f>
        <v>07018404800</v>
      </c>
      <c r="U220" s="138" t="str">
        <f>IFERROR(LOOKUP($S220,MOTORISTAS!$D$3:$D$916,MOTORISTAS!F$3:$F$916),"")</f>
        <v>02970966448</v>
      </c>
      <c r="V220" s="66" t="s">
        <v>292</v>
      </c>
      <c r="W220" s="79">
        <v>45055.625694444447</v>
      </c>
      <c r="X220" s="79">
        <v>45056.708333333336</v>
      </c>
      <c r="Y220" s="79">
        <v>45057.541666666664</v>
      </c>
      <c r="Z220" s="66" t="s">
        <v>1569</v>
      </c>
      <c r="AA220" s="79">
        <v>45063.365972222222</v>
      </c>
      <c r="AB220" s="79">
        <v>45062.291666666664</v>
      </c>
      <c r="AC220" s="79">
        <v>45061.5</v>
      </c>
      <c r="AD220" s="79">
        <v>45065.5</v>
      </c>
      <c r="AE220" s="66" t="s">
        <v>4497</v>
      </c>
      <c r="AF220" s="44">
        <v>1235</v>
      </c>
      <c r="AG220" s="254">
        <f>Prog_23[[#This Row],[SAÍDA DO CLIENTE]]-Prog_23[[#This Row],[PROGRAMAÇÃO CLIENTE]]</f>
        <v>0.29166666666424135</v>
      </c>
      <c r="AH220" s="44"/>
      <c r="AI220" s="66"/>
      <c r="AJ220" s="66"/>
      <c r="AK220" s="66" t="s">
        <v>393</v>
      </c>
      <c r="AL220" s="79">
        <v>45058.46875</v>
      </c>
      <c r="AM220" s="66"/>
      <c r="AN220" s="83">
        <v>950</v>
      </c>
      <c r="AO220" s="83"/>
      <c r="AP220" s="83"/>
      <c r="AQ220" s="66"/>
      <c r="AR220" s="66" t="s">
        <v>4973</v>
      </c>
      <c r="AS220" s="66"/>
      <c r="AT220" s="81">
        <v>5500</v>
      </c>
      <c r="AU220" s="81">
        <v>2300</v>
      </c>
      <c r="AV220" s="81"/>
      <c r="AW220" s="81"/>
      <c r="AX220" s="83">
        <f>SUM(Prog_23[[#This Row],[ADIANTAMENTO]]+Prog_23[[#This Row],[SALDO]]+Prog_23[[#This Row],[MARGEM]]+Prog_23[[#This Row],[ESTADIA 1]])</f>
        <v>7800</v>
      </c>
      <c r="AY2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10035.548479999999</v>
      </c>
      <c r="AZ220" s="81">
        <v>9500</v>
      </c>
      <c r="BA220" s="81">
        <v>535548.48</v>
      </c>
      <c r="BB220" s="81">
        <f>Prog_23[[#This Row],[VLR NF]]*0.1%</f>
        <v>535.54848000000004</v>
      </c>
      <c r="BC220" s="81">
        <v>0</v>
      </c>
      <c r="BD220" s="81"/>
      <c r="BE220" s="81"/>
      <c r="BF220" s="81"/>
      <c r="BG220" s="81"/>
      <c r="BH220" s="81"/>
      <c r="BI220" s="81"/>
      <c r="BJ220" s="81"/>
      <c r="BK220" s="81"/>
      <c r="BL220" s="81"/>
      <c r="BM220" s="81"/>
      <c r="BN220" s="66" t="s">
        <v>2768</v>
      </c>
      <c r="BO220" s="66" t="s">
        <v>2768</v>
      </c>
      <c r="BP220" s="66" t="s">
        <v>2768</v>
      </c>
      <c r="BQ220" s="66" t="str">
        <f>PROPER(TEXT(Prog_23[[#This Row],[PROGRAMAÇÃO CLIENTE]],"mmm"))</f>
        <v>Mai</v>
      </c>
      <c r="BR220" s="66">
        <f>YEAR(Prog_23[[#This Row],[PROGRAMAÇÃO CLIENTE]])</f>
        <v>2023</v>
      </c>
    </row>
    <row r="221" spans="1:70" x14ac:dyDescent="0.25">
      <c r="A221" s="201" t="str">
        <f>Prog_23[[#This Row],[CONTEINER]]</f>
        <v>TOMU4310550</v>
      </c>
      <c r="B221" s="86" t="s">
        <v>2771</v>
      </c>
      <c r="C2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21" s="85">
        <v>45057.25</v>
      </c>
      <c r="E221" s="66" t="s">
        <v>3876</v>
      </c>
      <c r="F221" s="66" t="s">
        <v>3875</v>
      </c>
      <c r="G221" s="66">
        <v>28583</v>
      </c>
      <c r="H221" s="44" t="s">
        <v>4495</v>
      </c>
      <c r="I221" s="44" t="s">
        <v>4558</v>
      </c>
      <c r="J221" s="66" t="s">
        <v>301</v>
      </c>
      <c r="K221" s="66">
        <v>3700</v>
      </c>
      <c r="L221" s="251" t="s">
        <v>4567</v>
      </c>
      <c r="M221" s="66">
        <v>5555</v>
      </c>
      <c r="N221" s="66">
        <f>SUM(Prog_23[[#This Row],[TARA]]+Prog_23[[#This Row],[PESO]])</f>
        <v>9255</v>
      </c>
      <c r="O221" s="44">
        <v>1385</v>
      </c>
      <c r="P221" s="66" t="s">
        <v>4496</v>
      </c>
      <c r="Q221" s="66" t="s">
        <v>3289</v>
      </c>
      <c r="R221" s="66" t="s">
        <v>4556</v>
      </c>
      <c r="S221" s="66" t="s">
        <v>1731</v>
      </c>
      <c r="T221" s="138" t="str">
        <f>IFERROR(LOOKUP($S221,MOTORISTAS!$D$3:$D$916,MOTORISTAS!E$3:$E$916),"")</f>
        <v>03965340824</v>
      </c>
      <c r="U221" s="138" t="str">
        <f>IFERROR(LOOKUP($S221,MOTORISTAS!$D$3:$D$916,MOTORISTAS!F$3:$F$916),"")</f>
        <v>01420704735</v>
      </c>
      <c r="V221" s="66" t="s">
        <v>292</v>
      </c>
      <c r="W221" s="79">
        <v>45055.616666666669</v>
      </c>
      <c r="X221" s="79">
        <v>45056.708333333336</v>
      </c>
      <c r="Y221" s="79">
        <v>45057.541666666664</v>
      </c>
      <c r="Z221" s="66" t="s">
        <v>1569</v>
      </c>
      <c r="AA221" s="79">
        <v>45063.274305555555</v>
      </c>
      <c r="AB221" s="79">
        <v>45062.291666666664</v>
      </c>
      <c r="AC221" s="79">
        <v>45061.5</v>
      </c>
      <c r="AD221" s="79">
        <v>45065.5</v>
      </c>
      <c r="AE221" s="66" t="s">
        <v>4497</v>
      </c>
      <c r="AF221" s="44">
        <v>1236</v>
      </c>
      <c r="AG221" s="254">
        <f>Prog_23[[#This Row],[SAÍDA DO CLIENTE]]-Prog_23[[#This Row],[PROGRAMAÇÃO CLIENTE]]</f>
        <v>0.29166666666424135</v>
      </c>
      <c r="AH221" s="44"/>
      <c r="AI221" s="66"/>
      <c r="AJ221" s="66"/>
      <c r="AK221" s="66" t="s">
        <v>393</v>
      </c>
      <c r="AL221" s="79">
        <v>45058.46875</v>
      </c>
      <c r="AM221" s="66"/>
      <c r="AN221" s="83">
        <v>950</v>
      </c>
      <c r="AO221" s="83"/>
      <c r="AP221" s="83"/>
      <c r="AQ221" s="66"/>
      <c r="AR221" s="66" t="s">
        <v>4973</v>
      </c>
      <c r="AS221" s="66"/>
      <c r="AT221" s="81">
        <v>5500</v>
      </c>
      <c r="AU221" s="81">
        <v>2300</v>
      </c>
      <c r="AV221" s="81"/>
      <c r="AW221" s="81"/>
      <c r="AX221" s="83">
        <f>SUM(Prog_23[[#This Row],[ADIANTAMENTO]]+Prog_23[[#This Row],[SALDO]]+Prog_23[[#This Row],[MARGEM]]+Prog_23[[#This Row],[ESTADIA 1]])</f>
        <v>7800</v>
      </c>
      <c r="AY2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10035.548479999999</v>
      </c>
      <c r="AZ221" s="81">
        <v>9500</v>
      </c>
      <c r="BA221" s="81">
        <v>535548.48</v>
      </c>
      <c r="BB221" s="81">
        <f>Prog_23[[#This Row],[VLR NF]]*0.1%</f>
        <v>535.54848000000004</v>
      </c>
      <c r="BC221" s="81">
        <v>0</v>
      </c>
      <c r="BD221" s="81"/>
      <c r="BE221" s="81"/>
      <c r="BF221" s="81"/>
      <c r="BG221" s="81"/>
      <c r="BH221" s="81"/>
      <c r="BI221" s="81"/>
      <c r="BJ221" s="81"/>
      <c r="BK221" s="81"/>
      <c r="BL221" s="81"/>
      <c r="BM221" s="81"/>
      <c r="BN221" s="66" t="s">
        <v>2768</v>
      </c>
      <c r="BO221" s="66" t="s">
        <v>2768</v>
      </c>
      <c r="BP221" s="66" t="s">
        <v>2768</v>
      </c>
      <c r="BQ221" s="66" t="str">
        <f>PROPER(TEXT(Prog_23[[#This Row],[PROGRAMAÇÃO CLIENTE]],"mmm"))</f>
        <v>Mai</v>
      </c>
      <c r="BR221" s="66">
        <f>YEAR(Prog_23[[#This Row],[PROGRAMAÇÃO CLIENTE]])</f>
        <v>2023</v>
      </c>
    </row>
    <row r="222" spans="1:70" x14ac:dyDescent="0.25">
      <c r="A222" s="200" t="str">
        <f>Prog_23[[#This Row],[CONTEINER]]</f>
        <v>TOMU4310606</v>
      </c>
      <c r="B222" s="86" t="s">
        <v>2771</v>
      </c>
      <c r="C2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22" s="85">
        <v>45057.25</v>
      </c>
      <c r="E222" s="66" t="s">
        <v>3876</v>
      </c>
      <c r="F222" s="66" t="s">
        <v>3875</v>
      </c>
      <c r="G222" s="66">
        <v>28584</v>
      </c>
      <c r="H222" s="44" t="s">
        <v>4495</v>
      </c>
      <c r="I222" s="44" t="s">
        <v>4560</v>
      </c>
      <c r="J222" s="66" t="s">
        <v>301</v>
      </c>
      <c r="K222" s="66">
        <v>3700</v>
      </c>
      <c r="L222" s="66" t="s">
        <v>4561</v>
      </c>
      <c r="M222" s="66">
        <v>5555</v>
      </c>
      <c r="N222" s="66">
        <f>SUM(Prog_23[[#This Row],[TARA]]+Prog_23[[#This Row],[PESO]])</f>
        <v>9255</v>
      </c>
      <c r="O222" s="44">
        <v>1384</v>
      </c>
      <c r="P222" s="66" t="s">
        <v>4496</v>
      </c>
      <c r="Q222" s="66" t="s">
        <v>2622</v>
      </c>
      <c r="R222" s="66" t="s">
        <v>2623</v>
      </c>
      <c r="S222" s="66" t="s">
        <v>2624</v>
      </c>
      <c r="T222" s="138" t="str">
        <f>IFERROR(LOOKUP($S222,MOTORISTAS!$D$3:$D$916,MOTORISTAS!E$3:$E$916),"")</f>
        <v>31147992568</v>
      </c>
      <c r="U222" s="138" t="str">
        <f>IFERROR(LOOKUP($S222,MOTORISTAS!$D$3:$D$916,MOTORISTAS!F$3:$F$916),"")</f>
        <v>03359999478</v>
      </c>
      <c r="V222" s="66" t="s">
        <v>292</v>
      </c>
      <c r="W222" s="79">
        <v>45055.681944444441</v>
      </c>
      <c r="X222" s="79">
        <v>45056.708333333336</v>
      </c>
      <c r="Y222" s="79">
        <v>45057.541666666664</v>
      </c>
      <c r="Z222" s="66" t="s">
        <v>1569</v>
      </c>
      <c r="AA222" s="79">
        <v>45063.359027777777</v>
      </c>
      <c r="AB222" s="79">
        <v>45062.291666666664</v>
      </c>
      <c r="AC222" s="79">
        <v>45061.5</v>
      </c>
      <c r="AD222" s="79">
        <v>45065.5</v>
      </c>
      <c r="AE222" s="66" t="s">
        <v>4497</v>
      </c>
      <c r="AF222" s="44">
        <v>1237</v>
      </c>
      <c r="AG222" s="254">
        <f>Prog_23[[#This Row],[SAÍDA DO CLIENTE]]-Prog_23[[#This Row],[PROGRAMAÇÃO CLIENTE]]</f>
        <v>0.29166666666424135</v>
      </c>
      <c r="AH222" s="44"/>
      <c r="AI222" s="66"/>
      <c r="AJ222" s="66"/>
      <c r="AK222" s="66" t="s">
        <v>393</v>
      </c>
      <c r="AL222" s="79">
        <v>45058.46875</v>
      </c>
      <c r="AM222" s="66"/>
      <c r="AN222" s="83">
        <v>950</v>
      </c>
      <c r="AO222" s="83"/>
      <c r="AP222" s="83"/>
      <c r="AQ222" s="66"/>
      <c r="AR222" s="66" t="s">
        <v>4973</v>
      </c>
      <c r="AS222" s="66"/>
      <c r="AT222" s="81">
        <v>5500</v>
      </c>
      <c r="AU222" s="81">
        <v>2300</v>
      </c>
      <c r="AV222" s="81"/>
      <c r="AW222" s="81"/>
      <c r="AX222" s="83">
        <f>SUM(Prog_23[[#This Row],[ADIANTAMENTO]]+Prog_23[[#This Row],[SALDO]]+Prog_23[[#This Row],[MARGEM]]+Prog_23[[#This Row],[ESTADIA 1]])</f>
        <v>7800</v>
      </c>
      <c r="AY2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10035.548479999999</v>
      </c>
      <c r="AZ222" s="81">
        <v>9500</v>
      </c>
      <c r="BA222" s="81">
        <v>535548.48</v>
      </c>
      <c r="BB222" s="81">
        <f>Prog_23[[#This Row],[VLR NF]]*0.1%</f>
        <v>535.54848000000004</v>
      </c>
      <c r="BC222" s="81">
        <v>0</v>
      </c>
      <c r="BD222" s="81"/>
      <c r="BE222" s="81"/>
      <c r="BF222" s="81"/>
      <c r="BG222" s="81"/>
      <c r="BH222" s="81"/>
      <c r="BI222" s="81"/>
      <c r="BJ222" s="81"/>
      <c r="BK222" s="81"/>
      <c r="BL222" s="81"/>
      <c r="BM222" s="81"/>
      <c r="BN222" s="66" t="s">
        <v>2768</v>
      </c>
      <c r="BO222" s="66" t="s">
        <v>2768</v>
      </c>
      <c r="BP222" s="66" t="s">
        <v>2768</v>
      </c>
      <c r="BQ222" s="66" t="str">
        <f>PROPER(TEXT(Prog_23[[#This Row],[PROGRAMAÇÃO CLIENTE]],"mmm"))</f>
        <v>Mai</v>
      </c>
      <c r="BR222" s="66">
        <f>YEAR(Prog_23[[#This Row],[PROGRAMAÇÃO CLIENTE]])</f>
        <v>2023</v>
      </c>
    </row>
    <row r="223" spans="1:70" x14ac:dyDescent="0.25">
      <c r="A223" s="201" t="str">
        <f>Prog_23[[#This Row],[CONTEINER]]</f>
        <v>TOMU4309143</v>
      </c>
      <c r="B223" s="86" t="s">
        <v>2771</v>
      </c>
      <c r="C2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23" s="85">
        <v>45057.25</v>
      </c>
      <c r="E223" s="66" t="s">
        <v>3876</v>
      </c>
      <c r="F223" s="66" t="s">
        <v>3875</v>
      </c>
      <c r="G223" s="66">
        <v>29809</v>
      </c>
      <c r="H223" s="44" t="s">
        <v>4495</v>
      </c>
      <c r="I223" s="44" t="s">
        <v>4562</v>
      </c>
      <c r="J223" s="66" t="s">
        <v>301</v>
      </c>
      <c r="K223" s="66">
        <v>3700</v>
      </c>
      <c r="L223" s="251" t="s">
        <v>4565</v>
      </c>
      <c r="M223" s="66">
        <v>4870</v>
      </c>
      <c r="N223" s="66">
        <f>SUM(Prog_23[[#This Row],[TARA]]+Prog_23[[#This Row],[PESO]])</f>
        <v>8570</v>
      </c>
      <c r="O223" s="44">
        <v>1380</v>
      </c>
      <c r="P223" s="66" t="s">
        <v>4496</v>
      </c>
      <c r="Q223" s="66" t="s">
        <v>1961</v>
      </c>
      <c r="R223" s="66" t="s">
        <v>1962</v>
      </c>
      <c r="S223" s="66" t="s">
        <v>892</v>
      </c>
      <c r="T223" s="138" t="str">
        <f>IFERROR(LOOKUP($S223,MOTORISTAS!$D$3:$D$916,MOTORISTAS!E$3:$E$916),"")</f>
        <v>55283063968</v>
      </c>
      <c r="U223" s="138" t="str">
        <f>IFERROR(LOOKUP($S223,MOTORISTAS!$D$3:$D$916,MOTORISTAS!F$3:$F$916),"")</f>
        <v>02537032407</v>
      </c>
      <c r="V223" s="66" t="s">
        <v>292</v>
      </c>
      <c r="W223" s="66" t="s">
        <v>4564</v>
      </c>
      <c r="X223" s="79">
        <v>45057.225694444445</v>
      </c>
      <c r="Y223" s="79">
        <v>45057.541666666664</v>
      </c>
      <c r="Z223" s="66" t="s">
        <v>1569</v>
      </c>
      <c r="AA223" s="79">
        <v>45063.242361111108</v>
      </c>
      <c r="AB223" s="79">
        <v>45062.291666666664</v>
      </c>
      <c r="AC223" s="79">
        <v>45061.5</v>
      </c>
      <c r="AD223" s="79">
        <v>45065.5</v>
      </c>
      <c r="AE223" s="66" t="s">
        <v>4497</v>
      </c>
      <c r="AF223" s="44">
        <v>1238</v>
      </c>
      <c r="AG223" s="254">
        <f>Prog_23[[#This Row],[SAÍDA DO CLIENTE]]-Prog_23[[#This Row],[PROGRAMAÇÃO CLIENTE]]</f>
        <v>0.29166666666424135</v>
      </c>
      <c r="AH223" s="44"/>
      <c r="AI223" s="66"/>
      <c r="AJ223" s="66"/>
      <c r="AK223" s="66" t="s">
        <v>393</v>
      </c>
      <c r="AL223" s="79">
        <v>45058.145833333336</v>
      </c>
      <c r="AM223" s="66"/>
      <c r="AN223" s="83">
        <v>950</v>
      </c>
      <c r="AO223" s="83"/>
      <c r="AP223" s="83"/>
      <c r="AQ223" s="66"/>
      <c r="AR223" s="66" t="s">
        <v>4973</v>
      </c>
      <c r="AS223" s="66"/>
      <c r="AT223" s="81">
        <v>5500</v>
      </c>
      <c r="AU223" s="81">
        <v>2300</v>
      </c>
      <c r="AV223" s="81"/>
      <c r="AW223" s="81"/>
      <c r="AX223" s="83">
        <f>SUM(Prog_23[[#This Row],[ADIANTAMENTO]]+Prog_23[[#This Row],[SALDO]]+Prog_23[[#This Row],[MARGEM]]+Prog_23[[#This Row],[ESTADIA 1]])</f>
        <v>7800</v>
      </c>
      <c r="AY2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10013.60642</v>
      </c>
      <c r="AZ223" s="81">
        <v>9500</v>
      </c>
      <c r="BA223" s="81">
        <v>513606.42</v>
      </c>
      <c r="BB223" s="81">
        <f>Prog_23[[#This Row],[VLR NF]]*0.1%</f>
        <v>513.60641999999996</v>
      </c>
      <c r="BC223" s="81">
        <v>0</v>
      </c>
      <c r="BD223" s="81"/>
      <c r="BE223" s="81"/>
      <c r="BF223" s="81"/>
      <c r="BG223" s="81"/>
      <c r="BH223" s="81"/>
      <c r="BI223" s="81"/>
      <c r="BJ223" s="81"/>
      <c r="BK223" s="81"/>
      <c r="BL223" s="81"/>
      <c r="BM223" s="81"/>
      <c r="BN223" s="66" t="s">
        <v>2768</v>
      </c>
      <c r="BO223" s="66" t="s">
        <v>2768</v>
      </c>
      <c r="BP223" s="66" t="s">
        <v>2768</v>
      </c>
      <c r="BQ223" s="66" t="str">
        <f>PROPER(TEXT(Prog_23[[#This Row],[PROGRAMAÇÃO CLIENTE]],"mmm"))</f>
        <v>Mai</v>
      </c>
      <c r="BR223" s="66">
        <f>YEAR(Prog_23[[#This Row],[PROGRAMAÇÃO CLIENTE]])</f>
        <v>2023</v>
      </c>
    </row>
    <row r="224" spans="1:70" x14ac:dyDescent="0.25">
      <c r="A224" s="200" t="str">
        <f>Prog_23[[#This Row],[CONTEINER]]</f>
        <v>TOMU3152701</v>
      </c>
      <c r="B224" s="86" t="s">
        <v>2771</v>
      </c>
      <c r="C2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24" s="85">
        <v>45057.25</v>
      </c>
      <c r="E224" s="66" t="s">
        <v>3876</v>
      </c>
      <c r="F224" s="66" t="s">
        <v>3875</v>
      </c>
      <c r="G224" s="66">
        <v>29810</v>
      </c>
      <c r="H224" s="44" t="s">
        <v>4495</v>
      </c>
      <c r="I224" s="44" t="s">
        <v>4563</v>
      </c>
      <c r="J224" s="66" t="s">
        <v>301</v>
      </c>
      <c r="K224" s="66">
        <v>3750</v>
      </c>
      <c r="L224" s="251" t="s">
        <v>4569</v>
      </c>
      <c r="M224" s="66">
        <v>4870</v>
      </c>
      <c r="N224" s="66">
        <f>SUM(Prog_23[[#This Row],[TARA]]+Prog_23[[#This Row],[PESO]])</f>
        <v>8620</v>
      </c>
      <c r="O224" s="44">
        <v>1382</v>
      </c>
      <c r="P224" s="66" t="s">
        <v>4496</v>
      </c>
      <c r="Q224" s="66" t="s">
        <v>890</v>
      </c>
      <c r="R224" s="66" t="s">
        <v>179</v>
      </c>
      <c r="S224" s="66" t="s">
        <v>2678</v>
      </c>
      <c r="T224" s="138" t="str">
        <f>IFERROR(LOOKUP($S224,MOTORISTAS!$D$3:$D$916,MOTORISTAS!E$3:$E$916),"")</f>
        <v>28386357860</v>
      </c>
      <c r="U224" s="138" t="str">
        <f>IFERROR(LOOKUP($S224,MOTORISTAS!$D$3:$D$916,MOTORISTAS!F$3:$F$916),"")</f>
        <v>01042201192</v>
      </c>
      <c r="V224" s="66" t="s">
        <v>292</v>
      </c>
      <c r="W224" s="79">
        <v>45055.981944444444</v>
      </c>
      <c r="X224" s="79">
        <v>45057.225694444445</v>
      </c>
      <c r="Y224" s="79">
        <v>45057.541666666664</v>
      </c>
      <c r="Z224" s="66" t="s">
        <v>1569</v>
      </c>
      <c r="AA224" s="79">
        <v>45063.222222222219</v>
      </c>
      <c r="AB224" s="79">
        <v>45062.291666666664</v>
      </c>
      <c r="AC224" s="79">
        <v>45061.5</v>
      </c>
      <c r="AD224" s="79">
        <v>45065.5</v>
      </c>
      <c r="AE224" s="66" t="s">
        <v>4497</v>
      </c>
      <c r="AF224" s="44">
        <v>1239</v>
      </c>
      <c r="AG224" s="254">
        <f>Prog_23[[#This Row],[SAÍDA DO CLIENTE]]-Prog_23[[#This Row],[PROGRAMAÇÃO CLIENTE]]</f>
        <v>0.29166666666424135</v>
      </c>
      <c r="AH224" s="44"/>
      <c r="AI224" s="66"/>
      <c r="AJ224" s="66"/>
      <c r="AK224" s="66" t="s">
        <v>393</v>
      </c>
      <c r="AL224" s="79">
        <v>45058.145833333336</v>
      </c>
      <c r="AM224" s="66"/>
      <c r="AN224" s="83">
        <v>950</v>
      </c>
      <c r="AO224" s="83"/>
      <c r="AP224" s="83"/>
      <c r="AQ224" s="66"/>
      <c r="AR224" s="66" t="s">
        <v>4973</v>
      </c>
      <c r="AS224" s="66"/>
      <c r="AT224" s="81">
        <v>5500</v>
      </c>
      <c r="AU224" s="81">
        <v>2300</v>
      </c>
      <c r="AV224" s="81"/>
      <c r="AW224" s="81"/>
      <c r="AX224" s="83">
        <f>SUM(Prog_23[[#This Row],[ADIANTAMENTO]]+Prog_23[[#This Row],[SALDO]]+Prog_23[[#This Row],[MARGEM]]+Prog_23[[#This Row],[ESTADIA 1]])</f>
        <v>7800</v>
      </c>
      <c r="AY2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10013.60642</v>
      </c>
      <c r="AZ224" s="81">
        <v>9500</v>
      </c>
      <c r="BA224" s="81">
        <v>513606.42</v>
      </c>
      <c r="BB224" s="81">
        <f>Prog_23[[#This Row],[VLR NF]]*0.1%</f>
        <v>513.60641999999996</v>
      </c>
      <c r="BC224" s="81">
        <v>0</v>
      </c>
      <c r="BD224" s="81"/>
      <c r="BE224" s="81"/>
      <c r="BF224" s="81"/>
      <c r="BG224" s="81"/>
      <c r="BH224" s="81"/>
      <c r="BI224" s="81"/>
      <c r="BJ224" s="81"/>
      <c r="BK224" s="81"/>
      <c r="BL224" s="81"/>
      <c r="BM224" s="81"/>
      <c r="BN224" s="66" t="s">
        <v>2768</v>
      </c>
      <c r="BO224" s="66" t="s">
        <v>2768</v>
      </c>
      <c r="BP224" s="66" t="s">
        <v>2768</v>
      </c>
      <c r="BQ224" s="66" t="str">
        <f>PROPER(TEXT(Prog_23[[#This Row],[PROGRAMAÇÃO CLIENTE]],"mmm"))</f>
        <v>Mai</v>
      </c>
      <c r="BR224" s="66">
        <f>YEAR(Prog_23[[#This Row],[PROGRAMAÇÃO CLIENTE]])</f>
        <v>2023</v>
      </c>
    </row>
    <row r="225" spans="1:70" x14ac:dyDescent="0.25">
      <c r="A225" s="200" t="str">
        <f>Prog_23[[#This Row],[CONTEINER]]</f>
        <v>INKU6431455</v>
      </c>
      <c r="B225" s="86" t="s">
        <v>2771</v>
      </c>
      <c r="C225" s="253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225" s="85">
        <v>45058.333333333336</v>
      </c>
      <c r="E225" s="66" t="s">
        <v>297</v>
      </c>
      <c r="F225" s="66" t="s">
        <v>298</v>
      </c>
      <c r="G225" s="66" t="s">
        <v>4552</v>
      </c>
      <c r="H225" s="44" t="s">
        <v>4551</v>
      </c>
      <c r="I225" s="44" t="s">
        <v>4590</v>
      </c>
      <c r="J225" s="66" t="s">
        <v>301</v>
      </c>
      <c r="K225" s="66">
        <v>3890</v>
      </c>
      <c r="L225" s="66" t="s">
        <v>4588</v>
      </c>
      <c r="M225" s="66">
        <v>19806</v>
      </c>
      <c r="N225" s="66">
        <f>SUM(Prog_23[[#This Row],[TARA]]+Prog_23[[#This Row],[PESO]])</f>
        <v>23696</v>
      </c>
      <c r="O225" s="44">
        <v>859272</v>
      </c>
      <c r="P225" s="66" t="s">
        <v>4550</v>
      </c>
      <c r="Q225" s="66" t="s">
        <v>155</v>
      </c>
      <c r="R225" s="66" t="s">
        <v>209</v>
      </c>
      <c r="S225" s="66" t="s">
        <v>156</v>
      </c>
      <c r="T225" s="138" t="str">
        <f>IFERROR(LOOKUP($S225,MOTORISTAS!$D$3:$D$916,MOTORISTAS!E$3:$E$916),"")</f>
        <v>09803034863</v>
      </c>
      <c r="U225" s="138" t="str">
        <f>IFERROR(LOOKUP($S225,MOTORISTAS!$D$3:$D$916,MOTORISTAS!F$3:$F$916),"")</f>
        <v>01484565209</v>
      </c>
      <c r="V225" s="66" t="s">
        <v>292</v>
      </c>
      <c r="W225" s="79">
        <v>45057.838194444441</v>
      </c>
      <c r="X225" s="79">
        <v>45058.356944444444</v>
      </c>
      <c r="Y225" s="79">
        <v>45058.729166666664</v>
      </c>
      <c r="Z225" s="66" t="s">
        <v>410</v>
      </c>
      <c r="AA225" s="79">
        <v>45059.309027777781</v>
      </c>
      <c r="AB225" s="79">
        <v>45059.291666666664</v>
      </c>
      <c r="AC225" s="79">
        <v>45058.5</v>
      </c>
      <c r="AD225" s="79">
        <v>45063.75</v>
      </c>
      <c r="AE225" s="66" t="s">
        <v>352</v>
      </c>
      <c r="AF225" s="44">
        <v>16000</v>
      </c>
      <c r="AG225" s="254">
        <f>Prog_23[[#This Row],[SAÍDA DO CLIENTE]]-Prog_23[[#This Row],[PROGRAMAÇÃO CLIENTE]]</f>
        <v>0.39583333332848269</v>
      </c>
      <c r="AH225" s="44" t="s">
        <v>4598</v>
      </c>
      <c r="AI225" s="66"/>
      <c r="AJ225" s="66" t="s">
        <v>3346</v>
      </c>
      <c r="AK225" s="66"/>
      <c r="AL225" s="66"/>
      <c r="AM225" s="66"/>
      <c r="AN225" s="83"/>
      <c r="AO225" s="83"/>
      <c r="AP225" s="83"/>
      <c r="AQ225" s="66"/>
      <c r="AR225" s="66" t="s">
        <v>4973</v>
      </c>
      <c r="AS225" s="66"/>
      <c r="AT225" s="81"/>
      <c r="AU225" s="81"/>
      <c r="AV225" s="81"/>
      <c r="AW225" s="81"/>
      <c r="AX225" s="83">
        <f>SUM(Prog_23[[#This Row],[ADIANTAMENTO]]+Prog_23[[#This Row],[SALDO]]+Prog_23[[#This Row],[MARGEM]]+Prog_23[[#This Row],[ESTADIA 1]])</f>
        <v>0</v>
      </c>
      <c r="AY2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4340</v>
      </c>
      <c r="AZ225" s="81">
        <v>3488.8</v>
      </c>
      <c r="BA225" s="81">
        <v>119698.6</v>
      </c>
      <c r="BB225" s="81">
        <v>0</v>
      </c>
      <c r="BC225" s="81">
        <v>0</v>
      </c>
      <c r="BD225" s="81">
        <v>511.2</v>
      </c>
      <c r="BE225" s="81"/>
      <c r="BF225" s="81"/>
      <c r="BG225" s="81"/>
      <c r="BH225" s="81"/>
      <c r="BI225" s="81"/>
      <c r="BJ225" s="81"/>
      <c r="BK225" s="81"/>
      <c r="BL225" s="81"/>
      <c r="BM225" s="81">
        <f>85*4</f>
        <v>340</v>
      </c>
      <c r="BN225" s="66" t="s">
        <v>2768</v>
      </c>
      <c r="BO225" s="66" t="s">
        <v>2768</v>
      </c>
      <c r="BP225" s="66" t="s">
        <v>2768</v>
      </c>
      <c r="BQ225" s="66" t="str">
        <f>PROPER(TEXT(Prog_23[[#This Row],[PROGRAMAÇÃO CLIENTE]],"mmm"))</f>
        <v>Mai</v>
      </c>
      <c r="BR225" s="66">
        <f>YEAR(Prog_23[[#This Row],[PROGRAMAÇÃO CLIENTE]])</f>
        <v>2023</v>
      </c>
    </row>
    <row r="226" spans="1:70" x14ac:dyDescent="0.25">
      <c r="A226" s="201">
        <f>Prog_23[[#This Row],[CONTEINER]]</f>
        <v>0</v>
      </c>
      <c r="B226" s="86" t="s">
        <v>836</v>
      </c>
      <c r="C2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226" s="85">
        <v>45058.333333333336</v>
      </c>
      <c r="E226" s="66" t="s">
        <v>3790</v>
      </c>
      <c r="F226" s="66" t="s">
        <v>529</v>
      </c>
      <c r="G226" s="66"/>
      <c r="H226" s="44" t="s">
        <v>4584</v>
      </c>
      <c r="I226" s="44"/>
      <c r="J226" s="66" t="s">
        <v>301</v>
      </c>
      <c r="K226" s="66"/>
      <c r="L226" s="66"/>
      <c r="M226" s="66"/>
      <c r="N226" s="66">
        <f>SUM(Prog_23[[#This Row],[TARA]]+Prog_23[[#This Row],[PESO]])</f>
        <v>0</v>
      </c>
      <c r="O226" s="44"/>
      <c r="P226" s="66" t="s">
        <v>4585</v>
      </c>
      <c r="Q226" s="66"/>
      <c r="R226" s="66"/>
      <c r="S226" s="66"/>
      <c r="T226" s="138" t="str">
        <f>IFERROR(LOOKUP($S226,MOTORISTAS!$D$3:$D$916,MOTORISTAS!E$3:$E$916),"")</f>
        <v/>
      </c>
      <c r="U226" s="138" t="str">
        <f>IFERROR(LOOKUP($S226,MOTORISTAS!$D$3:$D$916,MOTORISTAS!F$3:$F$916),"")</f>
        <v/>
      </c>
      <c r="V226" s="66"/>
      <c r="W226" s="66"/>
      <c r="X226" s="66"/>
      <c r="Y226" s="66"/>
      <c r="Z226" s="66" t="s">
        <v>410</v>
      </c>
      <c r="AA226" s="66"/>
      <c r="AB226" s="66"/>
      <c r="AC226" s="79">
        <v>45061.416666666664</v>
      </c>
      <c r="AD226" s="79">
        <v>45062.708333333336</v>
      </c>
      <c r="AE226" s="66" t="s">
        <v>4586</v>
      </c>
      <c r="AF226" s="44"/>
      <c r="AG226" s="254">
        <f>Prog_23[[#This Row],[SAÍDA DO CLIENTE]]-Prog_23[[#This Row],[PROGRAMAÇÃO CLIENTE]]</f>
        <v>-45058.333333333336</v>
      </c>
      <c r="AH226" s="44"/>
      <c r="AI226" s="66"/>
      <c r="AJ226" s="66"/>
      <c r="AK226" s="66"/>
      <c r="AL226" s="66"/>
      <c r="AM226" s="66"/>
      <c r="AN226" s="83"/>
      <c r="AO226" s="83"/>
      <c r="AP226" s="83"/>
      <c r="AQ226" s="66"/>
      <c r="AR226" s="66" t="s">
        <v>4973</v>
      </c>
      <c r="AS226" s="66"/>
      <c r="AT226" s="81"/>
      <c r="AU226" s="81"/>
      <c r="AV226" s="81"/>
      <c r="AW226" s="81"/>
      <c r="AX226" s="83">
        <f>SUM(Prog_23[[#This Row],[ADIANTAMENTO]]+Prog_23[[#This Row],[SALDO]]+Prog_23[[#This Row],[MARGEM]]+Prog_23[[#This Row],[ESTADIA 1]])</f>
        <v>0</v>
      </c>
      <c r="AY2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26" s="81"/>
      <c r="BA226" s="81"/>
      <c r="BB226" s="81">
        <f>Prog_23[[#This Row],[VLR NF]]*0.1%</f>
        <v>0</v>
      </c>
      <c r="BC226" s="81">
        <f>Prog_23[[#This Row],[VLR NF]]*0.05%</f>
        <v>0</v>
      </c>
      <c r="BD226" s="81"/>
      <c r="BE226" s="81"/>
      <c r="BF226" s="81"/>
      <c r="BG226" s="81"/>
      <c r="BH226" s="81"/>
      <c r="BI226" s="81"/>
      <c r="BJ226" s="81"/>
      <c r="BK226" s="81"/>
      <c r="BL226" s="81"/>
      <c r="BM226" s="81"/>
      <c r="BN226" s="66"/>
      <c r="BO226" s="66"/>
      <c r="BP226" s="66"/>
      <c r="BQ226" s="66" t="str">
        <f>PROPER(TEXT(Prog_23[[#This Row],[PROGRAMAÇÃO CLIENTE]],"mmm"))</f>
        <v>Mai</v>
      </c>
      <c r="BR226" s="66">
        <f>YEAR(Prog_23[[#This Row],[PROGRAMAÇÃO CLIENTE]])</f>
        <v>2023</v>
      </c>
    </row>
    <row r="227" spans="1:70" x14ac:dyDescent="0.25">
      <c r="A227" s="201" t="str">
        <f>Prog_23[[#This Row],[CONTEINER]]</f>
        <v>TEMU6347327</v>
      </c>
      <c r="B227" s="86" t="s">
        <v>2771</v>
      </c>
      <c r="C2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27" s="85">
        <v>45061.416666666664</v>
      </c>
      <c r="E227" s="66" t="s">
        <v>1110</v>
      </c>
      <c r="F227" s="66" t="s">
        <v>1111</v>
      </c>
      <c r="G227" s="66" t="s">
        <v>4577</v>
      </c>
      <c r="H227" s="44" t="s">
        <v>4576</v>
      </c>
      <c r="I227" s="44" t="s">
        <v>4601</v>
      </c>
      <c r="J227" s="66" t="s">
        <v>301</v>
      </c>
      <c r="K227" s="66">
        <v>3820</v>
      </c>
      <c r="L227" s="66" t="s">
        <v>4602</v>
      </c>
      <c r="M227" s="66">
        <v>26140</v>
      </c>
      <c r="N227" s="66">
        <f>SUM(Prog_23[[#This Row],[TARA]]+Prog_23[[#This Row],[PESO]])</f>
        <v>29960</v>
      </c>
      <c r="O227" s="44">
        <v>336490</v>
      </c>
      <c r="P227" s="66" t="s">
        <v>4578</v>
      </c>
      <c r="Q227" s="66" t="s">
        <v>68</v>
      </c>
      <c r="R227" s="66" t="s">
        <v>36</v>
      </c>
      <c r="S227" s="66" t="s">
        <v>69</v>
      </c>
      <c r="T227" s="138" t="str">
        <f>IFERROR(LOOKUP($S227,MOTORISTAS!$D$3:$D$916,MOTORISTAS!E$3:$E$916),"")</f>
        <v>07968457866</v>
      </c>
      <c r="U227" s="138" t="str">
        <f>IFERROR(LOOKUP($S227,MOTORISTAS!$D$3:$D$916,MOTORISTAS!F$3:$F$916),"")</f>
        <v>03264365790</v>
      </c>
      <c r="V227" s="66" t="s">
        <v>293</v>
      </c>
      <c r="W227" s="79">
        <v>45059.379166666666</v>
      </c>
      <c r="X227" s="79">
        <v>45061.288194444445</v>
      </c>
      <c r="Y227" s="79">
        <v>45061.684027777781</v>
      </c>
      <c r="Z227" s="66" t="s">
        <v>293</v>
      </c>
      <c r="AA227" s="79">
        <v>45061.945833333331</v>
      </c>
      <c r="AB227" s="79">
        <v>45061.291666666664</v>
      </c>
      <c r="AC227" s="79">
        <v>45062.5</v>
      </c>
      <c r="AD227" s="79">
        <v>45062.5</v>
      </c>
      <c r="AE227" s="66" t="s">
        <v>294</v>
      </c>
      <c r="AF227" s="44">
        <v>16008</v>
      </c>
      <c r="AG227" s="254">
        <f>Prog_23[[#This Row],[SAÍDA DO CLIENTE]]-Prog_23[[#This Row],[PROGRAMAÇÃO CLIENTE]]</f>
        <v>0.26736111111677019</v>
      </c>
      <c r="AH227" s="44"/>
      <c r="AI227" s="66"/>
      <c r="AJ227" s="66"/>
      <c r="AK227" s="66"/>
      <c r="AL227" s="66"/>
      <c r="AM227" s="66"/>
      <c r="AN227" s="83"/>
      <c r="AO227" s="83"/>
      <c r="AP227" s="83"/>
      <c r="AQ227" s="66"/>
      <c r="AR227" s="66" t="s">
        <v>4973</v>
      </c>
      <c r="AS227" s="66"/>
      <c r="AT227" s="81"/>
      <c r="AU227" s="81"/>
      <c r="AV227" s="81"/>
      <c r="AW227" s="81"/>
      <c r="AX227" s="83">
        <f>SUM(Prog_23[[#This Row],[ADIANTAMENTO]]+Prog_23[[#This Row],[SALDO]]+Prog_23[[#This Row],[MARGEM]]+Prog_23[[#This Row],[ESTADIA 1]])</f>
        <v>0</v>
      </c>
      <c r="AY2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27" s="81"/>
      <c r="BA227" s="81"/>
      <c r="BB227" s="81">
        <f>Prog_23[[#This Row],[VLR NF]]*0.1%</f>
        <v>0</v>
      </c>
      <c r="BC227" s="81">
        <f>Prog_23[[#This Row],[VLR NF]]*0.05%</f>
        <v>0</v>
      </c>
      <c r="BD227" s="81"/>
      <c r="BE227" s="81"/>
      <c r="BF227" s="81"/>
      <c r="BG227" s="81"/>
      <c r="BH227" s="81"/>
      <c r="BI227" s="81"/>
      <c r="BJ227" s="81"/>
      <c r="BK227" s="81"/>
      <c r="BL227" s="81"/>
      <c r="BM227" s="81"/>
      <c r="BN227" s="66"/>
      <c r="BO227" s="66"/>
      <c r="BP227" s="66"/>
      <c r="BQ227" s="66" t="str">
        <f>PROPER(TEXT(Prog_23[[#This Row],[PROGRAMAÇÃO CLIENTE]],"mmm"))</f>
        <v>Mai</v>
      </c>
      <c r="BR227" s="66">
        <f>YEAR(Prog_23[[#This Row],[PROGRAMAÇÃO CLIENTE]])</f>
        <v>2023</v>
      </c>
    </row>
    <row r="228" spans="1:70" x14ac:dyDescent="0.25">
      <c r="A228" s="200" t="str">
        <f>Prog_23[[#This Row],[CONTEINER]]</f>
        <v>MEDU8458902</v>
      </c>
      <c r="B228" s="86" t="s">
        <v>2771</v>
      </c>
      <c r="C2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28" s="85">
        <v>45061.375</v>
      </c>
      <c r="E228" s="66" t="s">
        <v>3790</v>
      </c>
      <c r="F228" s="66" t="s">
        <v>529</v>
      </c>
      <c r="G228" s="66" t="s">
        <v>4596</v>
      </c>
      <c r="H228" s="44" t="s">
        <v>4587</v>
      </c>
      <c r="I228" s="44" t="s">
        <v>4611</v>
      </c>
      <c r="J228" s="66" t="s">
        <v>301</v>
      </c>
      <c r="K228" s="66">
        <v>3940</v>
      </c>
      <c r="L228" s="66" t="s">
        <v>4612</v>
      </c>
      <c r="M228" s="66">
        <v>10049</v>
      </c>
      <c r="N228" s="66">
        <f>SUM(Prog_23[[#This Row],[TARA]]+Prog_23[[#This Row],[PESO]])</f>
        <v>13989</v>
      </c>
      <c r="O228" s="44" t="s">
        <v>4630</v>
      </c>
      <c r="P228" s="66" t="s">
        <v>4585</v>
      </c>
      <c r="Q228" s="66" t="s">
        <v>92</v>
      </c>
      <c r="R228" s="66" t="s">
        <v>93</v>
      </c>
      <c r="S228" s="66" t="s">
        <v>94</v>
      </c>
      <c r="T228" s="138" t="str">
        <f>IFERROR(LOOKUP($S228,MOTORISTAS!$D$3:$D$916,MOTORISTAS!E$3:$E$916),"")</f>
        <v>26283419801</v>
      </c>
      <c r="U228" s="138" t="str">
        <f>IFERROR(LOOKUP($S228,MOTORISTAS!$D$3:$D$916,MOTORISTAS!F$3:$F$916),"")</f>
        <v>02002046946</v>
      </c>
      <c r="V228" s="66" t="s">
        <v>469</v>
      </c>
      <c r="W228" s="79">
        <v>45059.570833333331</v>
      </c>
      <c r="X228" s="79">
        <v>45061.331250000003</v>
      </c>
      <c r="Y228" s="79">
        <v>45061.534722222219</v>
      </c>
      <c r="Z228" s="66" t="s">
        <v>410</v>
      </c>
      <c r="AA228" s="79">
        <v>45061.640972222223</v>
      </c>
      <c r="AB228" s="79">
        <v>45058.541666666664</v>
      </c>
      <c r="AC228" s="79">
        <v>45061.416666666664</v>
      </c>
      <c r="AD228" s="79">
        <v>45062.708333333336</v>
      </c>
      <c r="AE228" s="66" t="s">
        <v>4586</v>
      </c>
      <c r="AF228" s="44" t="s">
        <v>4631</v>
      </c>
      <c r="AG228" s="254">
        <f>Prog_23[[#This Row],[SAÍDA DO CLIENTE]]-Prog_23[[#This Row],[PROGRAMAÇÃO CLIENTE]]</f>
        <v>0.15972222221898846</v>
      </c>
      <c r="AH228" s="44" t="s">
        <v>4613</v>
      </c>
      <c r="AI228" s="66"/>
      <c r="AJ228" s="66"/>
      <c r="AK228" s="66"/>
      <c r="AL228" s="66"/>
      <c r="AM228" s="66"/>
      <c r="AN228" s="83"/>
      <c r="AO228" s="83"/>
      <c r="AP228" s="83"/>
      <c r="AQ228" s="66"/>
      <c r="AR228" s="66" t="s">
        <v>4973</v>
      </c>
      <c r="AS228" s="66"/>
      <c r="AT228" s="81"/>
      <c r="AU228" s="81"/>
      <c r="AV228" s="81"/>
      <c r="AW228" s="81"/>
      <c r="AX228" s="83">
        <f>SUM(Prog_23[[#This Row],[ADIANTAMENTO]]+Prog_23[[#This Row],[SALDO]]+Prog_23[[#This Row],[MARGEM]]+Prog_23[[#This Row],[ESTADIA 1]])</f>
        <v>0</v>
      </c>
      <c r="AY2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932.622435</v>
      </c>
      <c r="AZ228" s="81"/>
      <c r="BA228" s="81">
        <v>621748.29</v>
      </c>
      <c r="BB228" s="81">
        <f>Prog_23[[#This Row],[VLR NF]]*0.1%</f>
        <v>621.74829</v>
      </c>
      <c r="BC228" s="81">
        <f>Prog_23[[#This Row],[VLR NF]]*0.05%</f>
        <v>310.874145</v>
      </c>
      <c r="BD228" s="81"/>
      <c r="BE228" s="81"/>
      <c r="BF228" s="81"/>
      <c r="BG228" s="81"/>
      <c r="BH228" s="81"/>
      <c r="BI228" s="81"/>
      <c r="BJ228" s="81"/>
      <c r="BK228" s="81"/>
      <c r="BL228" s="81"/>
      <c r="BM228" s="81"/>
      <c r="BN228" s="66" t="s">
        <v>2768</v>
      </c>
      <c r="BO228" s="66" t="s">
        <v>2768</v>
      </c>
      <c r="BP228" s="66" t="s">
        <v>2768</v>
      </c>
      <c r="BQ228" s="66" t="str">
        <f>PROPER(TEXT(Prog_23[[#This Row],[PROGRAMAÇÃO CLIENTE]],"mmm"))</f>
        <v>Mai</v>
      </c>
      <c r="BR228" s="66">
        <f>YEAR(Prog_23[[#This Row],[PROGRAMAÇÃO CLIENTE]])</f>
        <v>2023</v>
      </c>
    </row>
    <row r="229" spans="1:70" x14ac:dyDescent="0.25">
      <c r="A229" s="201" t="str">
        <f>Prog_23[[#This Row],[CONTEINER]]</f>
        <v>TOMU3157745</v>
      </c>
      <c r="B229" s="86" t="s">
        <v>2771</v>
      </c>
      <c r="C229" s="253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229" s="85">
        <v>45061.25</v>
      </c>
      <c r="E229" s="66" t="s">
        <v>3876</v>
      </c>
      <c r="F229" s="66" t="s">
        <v>3875</v>
      </c>
      <c r="G229" s="251">
        <v>28571</v>
      </c>
      <c r="H229" s="44" t="s">
        <v>4495</v>
      </c>
      <c r="I229" s="44" t="s">
        <v>4609</v>
      </c>
      <c r="J229" s="66" t="s">
        <v>301</v>
      </c>
      <c r="K229" s="66">
        <v>3750</v>
      </c>
      <c r="L229" s="66" t="s">
        <v>4610</v>
      </c>
      <c r="M229" s="66">
        <v>8340</v>
      </c>
      <c r="N229" s="66">
        <f>SUM(Prog_23[[#This Row],[TARA]]+Prog_23[[#This Row],[PESO]])</f>
        <v>12090</v>
      </c>
      <c r="O229" s="44" t="s">
        <v>4633</v>
      </c>
      <c r="P229" s="66" t="s">
        <v>4496</v>
      </c>
      <c r="Q229" s="66" t="s">
        <v>111</v>
      </c>
      <c r="R229" s="66" t="s">
        <v>891</v>
      </c>
      <c r="S229" s="66" t="s">
        <v>113</v>
      </c>
      <c r="T229" s="138" t="str">
        <f>IFERROR(LOOKUP($S229,MOTORISTAS!$D$3:$D$916,MOTORISTAS!E$3:$E$916),"")</f>
        <v>88265951434</v>
      </c>
      <c r="U229" s="138" t="str">
        <f>IFERROR(LOOKUP($S229,MOTORISTAS!$D$3:$D$916,MOTORISTAS!F$3:$F$916),"")</f>
        <v>00920373596</v>
      </c>
      <c r="V229" s="66" t="s">
        <v>292</v>
      </c>
      <c r="W229" s="79">
        <v>45059.499305555553</v>
      </c>
      <c r="X229" s="79">
        <v>45061.729166666664</v>
      </c>
      <c r="Y229" s="79">
        <v>45062.409722222219</v>
      </c>
      <c r="Z229" s="66" t="s">
        <v>1569</v>
      </c>
      <c r="AA229" s="79">
        <v>45063.10833333333</v>
      </c>
      <c r="AB229" s="79">
        <v>45062.291666666664</v>
      </c>
      <c r="AC229" s="79">
        <v>45061.5</v>
      </c>
      <c r="AD229" s="79">
        <v>45065.5</v>
      </c>
      <c r="AE229" s="66" t="s">
        <v>4497</v>
      </c>
      <c r="AF229" s="44">
        <v>1255</v>
      </c>
      <c r="AG229" s="254">
        <f>Prog_23[[#This Row],[SAÍDA DO CLIENTE]]-Prog_23[[#This Row],[PROGRAMAÇÃO CLIENTE]]</f>
        <v>1.1597222222189885</v>
      </c>
      <c r="AH229" s="44"/>
      <c r="AI229" s="66"/>
      <c r="AJ229" s="66"/>
      <c r="AK229" s="66" t="s">
        <v>125</v>
      </c>
      <c r="AL229" s="66"/>
      <c r="AM229" s="66"/>
      <c r="AN229" s="83"/>
      <c r="AO229" s="83"/>
      <c r="AP229" s="83"/>
      <c r="AQ229" s="66"/>
      <c r="AR229" s="66" t="s">
        <v>4973</v>
      </c>
      <c r="AS229" s="66"/>
      <c r="AT229" s="81">
        <v>5500</v>
      </c>
      <c r="AU229" s="81">
        <v>2300</v>
      </c>
      <c r="AV229" s="81"/>
      <c r="AW229" s="81"/>
      <c r="AX229" s="83">
        <f>SUM(Prog_23[[#This Row],[ADIANTAMENTO]]+Prog_23[[#This Row],[SALDO]]+Prog_23[[#This Row],[MARGEM]]+Prog_23[[#This Row],[ESTADIA 1]])</f>
        <v>7800</v>
      </c>
      <c r="AY2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11114.44274</v>
      </c>
      <c r="AZ229" s="81">
        <v>9500</v>
      </c>
      <c r="BA229" s="81">
        <v>1076295.1599999999</v>
      </c>
      <c r="BB229" s="81">
        <f>Prog_23[[#This Row],[VLR NF]]*0.1%</f>
        <v>1076.2951599999999</v>
      </c>
      <c r="BC229" s="81">
        <f>Prog_23[[#This Row],[VLR NF]]*0.05%</f>
        <v>538.14757999999995</v>
      </c>
      <c r="BD229" s="81"/>
      <c r="BE229" s="81"/>
      <c r="BF229" s="81"/>
      <c r="BG229" s="81"/>
      <c r="BH229" s="81"/>
      <c r="BI229" s="81"/>
      <c r="BJ229" s="81"/>
      <c r="BK229" s="81"/>
      <c r="BL229" s="81"/>
      <c r="BM229" s="81"/>
      <c r="BN229" s="66" t="s">
        <v>2768</v>
      </c>
      <c r="BO229" s="66" t="s">
        <v>2768</v>
      </c>
      <c r="BP229" s="66" t="s">
        <v>2768</v>
      </c>
      <c r="BQ229" s="66" t="str">
        <f>PROPER(TEXT(Prog_23[[#This Row],[PROGRAMAÇÃO CLIENTE]],"mmm"))</f>
        <v>Mai</v>
      </c>
      <c r="BR229" s="66">
        <f>YEAR(Prog_23[[#This Row],[PROGRAMAÇÃO CLIENTE]])</f>
        <v>2023</v>
      </c>
    </row>
    <row r="230" spans="1:70" x14ac:dyDescent="0.25">
      <c r="A230" s="200" t="str">
        <f>Prog_23[[#This Row],[CONTEINER]]</f>
        <v>TOMU4308764</v>
      </c>
      <c r="B230" s="86" t="s">
        <v>2771</v>
      </c>
      <c r="C2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0" s="85">
        <v>45061.25</v>
      </c>
      <c r="E230" s="66" t="s">
        <v>3876</v>
      </c>
      <c r="F230" s="66" t="s">
        <v>3875</v>
      </c>
      <c r="G230" s="251">
        <v>28576</v>
      </c>
      <c r="H230" s="44" t="s">
        <v>4495</v>
      </c>
      <c r="I230" s="44" t="s">
        <v>4607</v>
      </c>
      <c r="J230" s="66" t="s">
        <v>301</v>
      </c>
      <c r="K230" s="66">
        <v>3700</v>
      </c>
      <c r="L230" s="66" t="s">
        <v>4608</v>
      </c>
      <c r="M230" s="66">
        <v>4870</v>
      </c>
      <c r="N230" s="66">
        <f>SUM(Prog_23[[#This Row],[TARA]]+Prog_23[[#This Row],[PESO]])</f>
        <v>8570</v>
      </c>
      <c r="O230" s="44">
        <v>1449</v>
      </c>
      <c r="P230" s="66" t="s">
        <v>4496</v>
      </c>
      <c r="Q230" s="66" t="s">
        <v>4553</v>
      </c>
      <c r="R230" s="66" t="s">
        <v>4554</v>
      </c>
      <c r="S230" s="66" t="s">
        <v>4555</v>
      </c>
      <c r="T230" s="138" t="str">
        <f>IFERROR(LOOKUP($S230,MOTORISTAS!$D$3:$D$916,MOTORISTAS!E$3:$E$916),"")</f>
        <v>07018404800</v>
      </c>
      <c r="U230" s="138" t="str">
        <f>IFERROR(LOOKUP($S230,MOTORISTAS!$D$3:$D$916,MOTORISTAS!F$3:$F$916),"")</f>
        <v>02970966448</v>
      </c>
      <c r="V230" s="66" t="s">
        <v>292</v>
      </c>
      <c r="W230" s="79">
        <v>45059.401388888888</v>
      </c>
      <c r="X230" s="79">
        <v>45060.875</v>
      </c>
      <c r="Y230" s="79">
        <v>45061.361111111109</v>
      </c>
      <c r="Z230" s="66" t="s">
        <v>1569</v>
      </c>
      <c r="AA230" s="79">
        <v>45062.46875</v>
      </c>
      <c r="AB230" s="79">
        <v>45062.291666666664</v>
      </c>
      <c r="AC230" s="79">
        <v>45061.5</v>
      </c>
      <c r="AD230" s="79">
        <v>45065.5</v>
      </c>
      <c r="AE230" s="66" t="s">
        <v>4497</v>
      </c>
      <c r="AF230" s="44">
        <v>1240</v>
      </c>
      <c r="AG230" s="254">
        <f>Prog_23[[#This Row],[SAÍDA DO CLIENTE]]-Prog_23[[#This Row],[PROGRAMAÇÃO CLIENTE]]</f>
        <v>0.11111111110949423</v>
      </c>
      <c r="AH230" s="44"/>
      <c r="AI230" s="66"/>
      <c r="AJ230" s="66"/>
      <c r="AK230" s="66" t="s">
        <v>125</v>
      </c>
      <c r="AL230" s="66"/>
      <c r="AM230" s="66"/>
      <c r="AN230" s="83"/>
      <c r="AO230" s="83"/>
      <c r="AP230" s="83"/>
      <c r="AQ230" s="66"/>
      <c r="AR230" s="66" t="s">
        <v>4973</v>
      </c>
      <c r="AS230" s="66"/>
      <c r="AT230" s="81">
        <v>5500</v>
      </c>
      <c r="AU230" s="81">
        <v>2300</v>
      </c>
      <c r="AV230" s="81"/>
      <c r="AW230" s="81"/>
      <c r="AX230" s="83">
        <f>SUM(Prog_23[[#This Row],[ADIANTAMENTO]]+Prog_23[[#This Row],[SALDO]]+Prog_23[[#This Row],[MARGEM]]+Prog_23[[#This Row],[ESTADIA 1]])</f>
        <v>7800</v>
      </c>
      <c r="AY2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10270.057999999999</v>
      </c>
      <c r="AZ230" s="81">
        <v>9500</v>
      </c>
      <c r="BA230" s="81">
        <v>513372</v>
      </c>
      <c r="BB230" s="81">
        <f>Prog_23[[#This Row],[VLR NF]]*0.1%</f>
        <v>513.37199999999996</v>
      </c>
      <c r="BC230" s="81">
        <f>Prog_23[[#This Row],[VLR NF]]*0.05%</f>
        <v>256.68599999999998</v>
      </c>
      <c r="BD230" s="81"/>
      <c r="BE230" s="81"/>
      <c r="BF230" s="81"/>
      <c r="BG230" s="81"/>
      <c r="BH230" s="81"/>
      <c r="BI230" s="81"/>
      <c r="BJ230" s="81"/>
      <c r="BK230" s="81"/>
      <c r="BL230" s="81"/>
      <c r="BM230" s="81"/>
      <c r="BN230" s="66" t="s">
        <v>2768</v>
      </c>
      <c r="BO230" s="66" t="s">
        <v>2768</v>
      </c>
      <c r="BP230" s="66" t="s">
        <v>2768</v>
      </c>
      <c r="BQ230" s="66" t="str">
        <f>PROPER(TEXT(Prog_23[[#This Row],[PROGRAMAÇÃO CLIENTE]],"mmm"))</f>
        <v>Mai</v>
      </c>
      <c r="BR230" s="66">
        <f>YEAR(Prog_23[[#This Row],[PROGRAMAÇÃO CLIENTE]])</f>
        <v>2023</v>
      </c>
    </row>
    <row r="231" spans="1:70" x14ac:dyDescent="0.25">
      <c r="A231" s="201" t="str">
        <f>Prog_23[[#This Row],[CONTEINER]]</f>
        <v>TOMU3022143</v>
      </c>
      <c r="B231" s="86" t="s">
        <v>2771</v>
      </c>
      <c r="C2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1" s="85">
        <v>45061.25</v>
      </c>
      <c r="E231" s="66" t="s">
        <v>3876</v>
      </c>
      <c r="F231" s="66" t="s">
        <v>3875</v>
      </c>
      <c r="G231" s="251">
        <v>29424</v>
      </c>
      <c r="H231" s="44" t="s">
        <v>4495</v>
      </c>
      <c r="I231" s="44" t="s">
        <v>4604</v>
      </c>
      <c r="J231" s="66" t="s">
        <v>301</v>
      </c>
      <c r="K231" s="66">
        <v>3750</v>
      </c>
      <c r="L231" s="66" t="s">
        <v>4605</v>
      </c>
      <c r="M231" s="66">
        <v>7913</v>
      </c>
      <c r="N231" s="66">
        <f>SUM(Prog_23[[#This Row],[TARA]]+Prog_23[[#This Row],[PESO]])</f>
        <v>11663</v>
      </c>
      <c r="O231" s="44" t="s">
        <v>4629</v>
      </c>
      <c r="P231" s="66" t="s">
        <v>4496</v>
      </c>
      <c r="Q231" s="66" t="s">
        <v>3289</v>
      </c>
      <c r="R231" s="66" t="s">
        <v>4556</v>
      </c>
      <c r="S231" s="66" t="s">
        <v>1731</v>
      </c>
      <c r="T231" s="138" t="str">
        <f>IFERROR(LOOKUP($S231,MOTORISTAS!$D$3:$D$916,MOTORISTAS!E$3:$E$916),"")</f>
        <v>03965340824</v>
      </c>
      <c r="U231" s="138" t="str">
        <f>IFERROR(LOOKUP($S231,MOTORISTAS!$D$3:$D$916,MOTORISTAS!F$3:$F$916),"")</f>
        <v>01420704735</v>
      </c>
      <c r="V231" s="66" t="s">
        <v>292</v>
      </c>
      <c r="W231" s="79">
        <v>45059.383333333331</v>
      </c>
      <c r="X231" s="79">
        <v>45060.875</v>
      </c>
      <c r="Y231" s="79">
        <v>45061.486111111109</v>
      </c>
      <c r="Z231" s="66" t="s">
        <v>1569</v>
      </c>
      <c r="AA231" s="79">
        <v>45062.602083333331</v>
      </c>
      <c r="AB231" s="79">
        <v>45062.291666666664</v>
      </c>
      <c r="AC231" s="79">
        <v>45061.5</v>
      </c>
      <c r="AD231" s="79">
        <v>45065.5</v>
      </c>
      <c r="AE231" s="66" t="s">
        <v>4497</v>
      </c>
      <c r="AF231" s="44">
        <v>1241</v>
      </c>
      <c r="AG231" s="254">
        <f>Prog_23[[#This Row],[SAÍDA DO CLIENTE]]-Prog_23[[#This Row],[PROGRAMAÇÃO CLIENTE]]</f>
        <v>0.23611111110949423</v>
      </c>
      <c r="AH231" s="44"/>
      <c r="AI231" s="66"/>
      <c r="AJ231" s="66"/>
      <c r="AK231" s="66" t="s">
        <v>125</v>
      </c>
      <c r="AL231" s="66"/>
      <c r="AM231" s="66"/>
      <c r="AN231" s="83"/>
      <c r="AO231" s="83"/>
      <c r="AP231" s="83"/>
      <c r="AQ231" s="66"/>
      <c r="AR231" s="66" t="s">
        <v>4973</v>
      </c>
      <c r="AS231" s="66"/>
      <c r="AT231" s="81">
        <v>5500</v>
      </c>
      <c r="AU231" s="81">
        <v>2300</v>
      </c>
      <c r="AV231" s="81"/>
      <c r="AW231" s="81"/>
      <c r="AX231" s="83">
        <f>SUM(Prog_23[[#This Row],[ADIANTAMENTO]]+Prog_23[[#This Row],[SALDO]]+Prog_23[[#This Row],[MARGEM]]+Prog_23[[#This Row],[ESTADIA 1]])</f>
        <v>7800</v>
      </c>
      <c r="AY2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10873.592120000001</v>
      </c>
      <c r="AZ231" s="81">
        <v>9500</v>
      </c>
      <c r="BA231" s="81">
        <v>915728.08</v>
      </c>
      <c r="BB231" s="81">
        <f>Prog_23[[#This Row],[VLR NF]]*0.1%</f>
        <v>915.72807999999998</v>
      </c>
      <c r="BC231" s="81">
        <f>Prog_23[[#This Row],[VLR NF]]*0.05%</f>
        <v>457.86403999999999</v>
      </c>
      <c r="BD231" s="81"/>
      <c r="BE231" s="81"/>
      <c r="BF231" s="81"/>
      <c r="BG231" s="81"/>
      <c r="BH231" s="81"/>
      <c r="BI231" s="81"/>
      <c r="BJ231" s="81"/>
      <c r="BK231" s="81"/>
      <c r="BL231" s="81"/>
      <c r="BM231" s="81"/>
      <c r="BN231" s="66" t="s">
        <v>2768</v>
      </c>
      <c r="BO231" s="66" t="s">
        <v>2768</v>
      </c>
      <c r="BP231" s="66" t="s">
        <v>2768</v>
      </c>
      <c r="BQ231" s="66" t="str">
        <f>PROPER(TEXT(Prog_23[[#This Row],[PROGRAMAÇÃO CLIENTE]],"mmm"))</f>
        <v>Mai</v>
      </c>
      <c r="BR231" s="66">
        <f>YEAR(Prog_23[[#This Row],[PROGRAMAÇÃO CLIENTE]])</f>
        <v>2023</v>
      </c>
    </row>
    <row r="232" spans="1:70" x14ac:dyDescent="0.25">
      <c r="A232" s="200" t="str">
        <f>Prog_23[[#This Row],[CONTEINER]]</f>
        <v>TOMU1794805</v>
      </c>
      <c r="B232" s="86" t="s">
        <v>2771</v>
      </c>
      <c r="C2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2" s="85">
        <v>45061.25</v>
      </c>
      <c r="E232" s="66" t="s">
        <v>3876</v>
      </c>
      <c r="F232" s="66" t="s">
        <v>3875</v>
      </c>
      <c r="G232" s="251">
        <v>29808</v>
      </c>
      <c r="H232" s="44" t="s">
        <v>4495</v>
      </c>
      <c r="I232" s="44" t="s">
        <v>4603</v>
      </c>
      <c r="J232" s="66" t="s">
        <v>301</v>
      </c>
      <c r="K232" s="66">
        <v>3700</v>
      </c>
      <c r="L232" s="66" t="s">
        <v>4606</v>
      </c>
      <c r="M232" s="66">
        <v>8700</v>
      </c>
      <c r="N232" s="66">
        <f>SUM(Prog_23[[#This Row],[TARA]]+Prog_23[[#This Row],[PESO]])</f>
        <v>12400</v>
      </c>
      <c r="O232" s="44">
        <v>1445</v>
      </c>
      <c r="P232" s="66" t="s">
        <v>4496</v>
      </c>
      <c r="Q232" s="66" t="s">
        <v>2622</v>
      </c>
      <c r="R232" s="66" t="s">
        <v>2623</v>
      </c>
      <c r="S232" s="66" t="s">
        <v>2624</v>
      </c>
      <c r="T232" s="138" t="str">
        <f>IFERROR(LOOKUP($S232,MOTORISTAS!$D$3:$D$916,MOTORISTAS!E$3:$E$916),"")</f>
        <v>31147992568</v>
      </c>
      <c r="U232" s="138" t="str">
        <f>IFERROR(LOOKUP($S232,MOTORISTAS!$D$3:$D$916,MOTORISTAS!F$3:$F$916),"")</f>
        <v>03359999478</v>
      </c>
      <c r="V232" s="66" t="s">
        <v>292</v>
      </c>
      <c r="W232" s="79">
        <v>45059.386111111111</v>
      </c>
      <c r="X232" s="79">
        <v>45060.875</v>
      </c>
      <c r="Y232" s="79">
        <v>45061.486111111109</v>
      </c>
      <c r="Z232" s="66" t="s">
        <v>1569</v>
      </c>
      <c r="AA232" s="79">
        <v>45062.693749999999</v>
      </c>
      <c r="AB232" s="79">
        <v>45062.291666666664</v>
      </c>
      <c r="AC232" s="79">
        <v>45061.5</v>
      </c>
      <c r="AD232" s="79">
        <v>45065.5</v>
      </c>
      <c r="AE232" s="66" t="s">
        <v>4497</v>
      </c>
      <c r="AF232" s="44">
        <v>1242</v>
      </c>
      <c r="AG232" s="254">
        <f>Prog_23[[#This Row],[SAÍDA DO CLIENTE]]-Prog_23[[#This Row],[PROGRAMAÇÃO CLIENTE]]</f>
        <v>0.23611111110949423</v>
      </c>
      <c r="AH232" s="44"/>
      <c r="AI232" s="66"/>
      <c r="AJ232" s="66"/>
      <c r="AK232" s="66" t="s">
        <v>125</v>
      </c>
      <c r="AL232" s="66"/>
      <c r="AM232" s="66"/>
      <c r="AN232" s="83"/>
      <c r="AO232" s="83"/>
      <c r="AP232" s="83"/>
      <c r="AQ232" s="66"/>
      <c r="AR232" s="66" t="s">
        <v>4973</v>
      </c>
      <c r="AS232" s="66"/>
      <c r="AT232" s="81">
        <v>5500</v>
      </c>
      <c r="AU232" s="81">
        <v>2300</v>
      </c>
      <c r="AV232" s="81"/>
      <c r="AW232" s="81"/>
      <c r="AX232" s="83">
        <f>SUM(Prog_23[[#This Row],[ADIANTAMENTO]]+Prog_23[[#This Row],[SALDO]]+Prog_23[[#This Row],[MARGEM]]+Prog_23[[#This Row],[ESTADIA 1]])</f>
        <v>7800</v>
      </c>
      <c r="AY2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10929.629059999999</v>
      </c>
      <c r="AZ232" s="81">
        <v>9500</v>
      </c>
      <c r="BA232" s="81">
        <v>953086.04</v>
      </c>
      <c r="BB232" s="81">
        <f>Prog_23[[#This Row],[VLR NF]]*0.1%</f>
        <v>953.08604000000003</v>
      </c>
      <c r="BC232" s="81">
        <f>Prog_23[[#This Row],[VLR NF]]*0.05%</f>
        <v>476.54302000000001</v>
      </c>
      <c r="BD232" s="81"/>
      <c r="BE232" s="81"/>
      <c r="BF232" s="81"/>
      <c r="BG232" s="81"/>
      <c r="BH232" s="81"/>
      <c r="BI232" s="81"/>
      <c r="BJ232" s="81"/>
      <c r="BK232" s="81"/>
      <c r="BL232" s="81"/>
      <c r="BM232" s="81"/>
      <c r="BN232" s="66" t="s">
        <v>2768</v>
      </c>
      <c r="BO232" s="66" t="s">
        <v>2768</v>
      </c>
      <c r="BP232" s="66" t="s">
        <v>2768</v>
      </c>
      <c r="BQ232" s="66" t="str">
        <f>PROPER(TEXT(Prog_23[[#This Row],[PROGRAMAÇÃO CLIENTE]],"mmm"))</f>
        <v>Mai</v>
      </c>
      <c r="BR232" s="66">
        <f>YEAR(Prog_23[[#This Row],[PROGRAMAÇÃO CLIENTE]])</f>
        <v>2023</v>
      </c>
    </row>
    <row r="233" spans="1:70" x14ac:dyDescent="0.25">
      <c r="A233" s="201" t="str">
        <f>Prog_23[[#This Row],[CONTEINER]]</f>
        <v>TOMU4305600</v>
      </c>
      <c r="B233" s="86" t="s">
        <v>2771</v>
      </c>
      <c r="C2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3" s="85">
        <v>45061.25</v>
      </c>
      <c r="E233" s="66" t="s">
        <v>3876</v>
      </c>
      <c r="F233" s="66" t="s">
        <v>3875</v>
      </c>
      <c r="G233" s="251">
        <v>28585</v>
      </c>
      <c r="H233" s="44" t="s">
        <v>4495</v>
      </c>
      <c r="I233" s="44" t="s">
        <v>4599</v>
      </c>
      <c r="J233" s="66" t="s">
        <v>301</v>
      </c>
      <c r="K233" s="66">
        <v>3700</v>
      </c>
      <c r="L233" s="66" t="s">
        <v>4600</v>
      </c>
      <c r="M233" s="66">
        <v>8700</v>
      </c>
      <c r="N233" s="66">
        <f>SUM(Prog_23[[#This Row],[TARA]]+Prog_23[[#This Row],[PESO]])</f>
        <v>12400</v>
      </c>
      <c r="O233" s="44">
        <v>1446</v>
      </c>
      <c r="P233" s="66" t="s">
        <v>4496</v>
      </c>
      <c r="Q233" s="66" t="s">
        <v>4593</v>
      </c>
      <c r="R233" s="66" t="s">
        <v>4592</v>
      </c>
      <c r="S233" s="66" t="s">
        <v>4591</v>
      </c>
      <c r="T233" s="138" t="str">
        <f>IFERROR(LOOKUP($S233,MOTORISTAS!$D$3:$D$916,MOTORISTAS!E$3:$E$916),"")</f>
        <v>12124113828</v>
      </c>
      <c r="U233" s="138" t="str">
        <f>IFERROR(LOOKUP($S233,MOTORISTAS!$D$3:$D$916,MOTORISTAS!F$3:$F$916),"")</f>
        <v>04633245935</v>
      </c>
      <c r="V233" s="66" t="s">
        <v>292</v>
      </c>
      <c r="W233" s="79">
        <v>45058.873611111114</v>
      </c>
      <c r="X233" s="79">
        <v>45060.833333333336</v>
      </c>
      <c r="Y233" s="79">
        <v>45061.319444444445</v>
      </c>
      <c r="Z233" s="66" t="s">
        <v>1569</v>
      </c>
      <c r="AA233" s="79">
        <v>45062.618055555555</v>
      </c>
      <c r="AB233" s="79">
        <v>45062.291666666664</v>
      </c>
      <c r="AC233" s="79">
        <v>45061.5</v>
      </c>
      <c r="AD233" s="79">
        <v>45065.5</v>
      </c>
      <c r="AE233" s="66" t="s">
        <v>4497</v>
      </c>
      <c r="AF233" s="44">
        <v>1243</v>
      </c>
      <c r="AG233" s="254">
        <f>Prog_23[[#This Row],[SAÍDA DO CLIENTE]]-Prog_23[[#This Row],[PROGRAMAÇÃO CLIENTE]]</f>
        <v>6.9444444445252884E-2</v>
      </c>
      <c r="AH233" s="44"/>
      <c r="AI233" s="66"/>
      <c r="AJ233" s="66"/>
      <c r="AK233" s="66" t="s">
        <v>125</v>
      </c>
      <c r="AL233" s="66"/>
      <c r="AM233" s="66"/>
      <c r="AN233" s="83"/>
      <c r="AO233" s="83"/>
      <c r="AP233" s="83"/>
      <c r="AQ233" s="66"/>
      <c r="AR233" s="66" t="s">
        <v>4973</v>
      </c>
      <c r="AS233" s="66"/>
      <c r="AT233" s="81">
        <v>5500</v>
      </c>
      <c r="AU233" s="81">
        <v>2300</v>
      </c>
      <c r="AV233" s="81"/>
      <c r="AW233" s="81"/>
      <c r="AX233" s="83">
        <f>SUM(Prog_23[[#This Row],[ADIANTAMENTO]]+Prog_23[[#This Row],[SALDO]]+Prog_23[[#This Row],[MARGEM]]+Prog_23[[#This Row],[ESTADIA 1]])</f>
        <v>7800</v>
      </c>
      <c r="AY2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10929.629059999999</v>
      </c>
      <c r="AZ233" s="81">
        <v>9500</v>
      </c>
      <c r="BA233" s="81">
        <v>953086.04</v>
      </c>
      <c r="BB233" s="81">
        <f>Prog_23[[#This Row],[VLR NF]]*0.1%</f>
        <v>953.08604000000003</v>
      </c>
      <c r="BC233" s="81">
        <f>Prog_23[[#This Row],[VLR NF]]*0.05%</f>
        <v>476.54302000000001</v>
      </c>
      <c r="BD233" s="81"/>
      <c r="BE233" s="81"/>
      <c r="BF233" s="81"/>
      <c r="BG233" s="81"/>
      <c r="BH233" s="81"/>
      <c r="BI233" s="81"/>
      <c r="BJ233" s="81"/>
      <c r="BK233" s="81"/>
      <c r="BL233" s="81"/>
      <c r="BM233" s="81"/>
      <c r="BN233" s="66" t="s">
        <v>2768</v>
      </c>
      <c r="BO233" s="66" t="s">
        <v>2768</v>
      </c>
      <c r="BP233" s="66" t="s">
        <v>2768</v>
      </c>
      <c r="BQ233" s="66" t="str">
        <f>PROPER(TEXT(Prog_23[[#This Row],[PROGRAMAÇÃO CLIENTE]],"mmm"))</f>
        <v>Mai</v>
      </c>
      <c r="BR233" s="66">
        <f>YEAR(Prog_23[[#This Row],[PROGRAMAÇÃO CLIENTE]])</f>
        <v>2023</v>
      </c>
    </row>
    <row r="234" spans="1:70" x14ac:dyDescent="0.25">
      <c r="A234" s="201" t="str">
        <f>Prog_23[[#This Row],[CONTEINER]]</f>
        <v>SUDU7435299</v>
      </c>
      <c r="B234" s="86" t="s">
        <v>2771</v>
      </c>
      <c r="C2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4" s="85">
        <v>45062.291666666664</v>
      </c>
      <c r="E234" s="66" t="s">
        <v>449</v>
      </c>
      <c r="F234" s="66" t="s">
        <v>450</v>
      </c>
      <c r="G234" s="66" t="s">
        <v>4582</v>
      </c>
      <c r="H234" s="44">
        <v>227435810</v>
      </c>
      <c r="I234" s="44" t="s">
        <v>4615</v>
      </c>
      <c r="J234" s="66" t="s">
        <v>288</v>
      </c>
      <c r="K234" s="66">
        <v>2220</v>
      </c>
      <c r="L234" s="66" t="s">
        <v>4618</v>
      </c>
      <c r="M234" s="66">
        <v>26795</v>
      </c>
      <c r="N234" s="66">
        <f>SUM(Prog_23[[#This Row],[TARA]]+Prog_23[[#This Row],[PESO]])</f>
        <v>29015</v>
      </c>
      <c r="O234" s="44">
        <v>37321</v>
      </c>
      <c r="P234" s="66" t="s">
        <v>4583</v>
      </c>
      <c r="Q234" s="66" t="s">
        <v>68</v>
      </c>
      <c r="R234" s="66" t="s">
        <v>36</v>
      </c>
      <c r="S234" s="66" t="s">
        <v>69</v>
      </c>
      <c r="T234" s="138" t="str">
        <f>IFERROR(LOOKUP($S234,MOTORISTAS!$D$3:$D$916,MOTORISTAS!E$3:$E$916),"")</f>
        <v>07968457866</v>
      </c>
      <c r="U234" s="138" t="str">
        <f>IFERROR(LOOKUP($S234,MOTORISTAS!$D$3:$D$916,MOTORISTAS!F$3:$F$916),"")</f>
        <v>03264365790</v>
      </c>
      <c r="V234" s="66" t="s">
        <v>292</v>
      </c>
      <c r="W234" s="79">
        <v>45061.375</v>
      </c>
      <c r="X234" s="79">
        <v>45062.245833333334</v>
      </c>
      <c r="Y234" s="79">
        <v>45062.690972222219</v>
      </c>
      <c r="Z234" s="66" t="s">
        <v>306</v>
      </c>
      <c r="AA234" s="79">
        <v>45062.95208333333</v>
      </c>
      <c r="AB234" s="79">
        <v>45061.791666666664</v>
      </c>
      <c r="AC234" s="79">
        <v>45061.75</v>
      </c>
      <c r="AD234" s="79">
        <v>45064.75</v>
      </c>
      <c r="AE234" s="66" t="s">
        <v>452</v>
      </c>
      <c r="AF234" s="44">
        <v>1245</v>
      </c>
      <c r="AG234" s="254">
        <f>Prog_23[[#This Row],[SAÍDA DO CLIENTE]]-Prog_23[[#This Row],[PROGRAMAÇÃO CLIENTE]]</f>
        <v>0.39930555555474712</v>
      </c>
      <c r="AH234" s="44"/>
      <c r="AI234" s="66"/>
      <c r="AJ234" s="66"/>
      <c r="AK234" s="66"/>
      <c r="AL234" s="66"/>
      <c r="AM234" s="66"/>
      <c r="AN234" s="83"/>
      <c r="AO234" s="83"/>
      <c r="AP234" s="83"/>
      <c r="AQ234" s="66"/>
      <c r="AR234" s="66" t="s">
        <v>4973</v>
      </c>
      <c r="AS234" s="66"/>
      <c r="AT234" s="81">
        <v>4100</v>
      </c>
      <c r="AU234" s="81"/>
      <c r="AV234" s="81"/>
      <c r="AW234" s="81"/>
      <c r="AX234" s="83">
        <f>SUM(Prog_23[[#This Row],[ADIANTAMENTO]]+Prog_23[[#This Row],[SALDO]]+Prog_23[[#This Row],[MARGEM]]+Prog_23[[#This Row],[ESTADIA 1]])</f>
        <v>4100</v>
      </c>
      <c r="AY2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4820.1252400000003</v>
      </c>
      <c r="AZ234" s="81">
        <v>4035.5</v>
      </c>
      <c r="BA234" s="81">
        <v>118625.24</v>
      </c>
      <c r="BB234" s="81">
        <f>Prog_23[[#This Row],[VLR NF]]*0.1%</f>
        <v>118.62524000000001</v>
      </c>
      <c r="BC234" s="81">
        <v>0</v>
      </c>
      <c r="BD234" s="81">
        <v>666</v>
      </c>
      <c r="BE234" s="81"/>
      <c r="BF234" s="81"/>
      <c r="BG234" s="81"/>
      <c r="BH234" s="81"/>
      <c r="BI234" s="81"/>
      <c r="BJ234" s="81"/>
      <c r="BK234" s="81"/>
      <c r="BL234" s="81"/>
      <c r="BM234" s="81"/>
      <c r="BN234" s="66" t="s">
        <v>2768</v>
      </c>
      <c r="BO234" s="66" t="s">
        <v>2768</v>
      </c>
      <c r="BP234" s="66" t="s">
        <v>2768</v>
      </c>
      <c r="BQ234" s="66" t="str">
        <f>PROPER(TEXT(Prog_23[[#This Row],[PROGRAMAÇÃO CLIENTE]],"mmm"))</f>
        <v>Mai</v>
      </c>
      <c r="BR234" s="66">
        <f>YEAR(Prog_23[[#This Row],[PROGRAMAÇÃO CLIENTE]])</f>
        <v>2023</v>
      </c>
    </row>
    <row r="235" spans="1:70" x14ac:dyDescent="0.25">
      <c r="A235" s="200" t="str">
        <f>Prog_23[[#This Row],[CONTEINER]]</f>
        <v>TGHU1707130</v>
      </c>
      <c r="B235" s="86" t="s">
        <v>2771</v>
      </c>
      <c r="C2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5" s="85">
        <v>45062.291666666664</v>
      </c>
      <c r="E235" s="66" t="s">
        <v>449</v>
      </c>
      <c r="F235" s="66" t="s">
        <v>450</v>
      </c>
      <c r="G235" s="66" t="s">
        <v>4632</v>
      </c>
      <c r="H235" s="44">
        <v>227435609</v>
      </c>
      <c r="I235" s="44" t="s">
        <v>4616</v>
      </c>
      <c r="J235" s="66" t="s">
        <v>288</v>
      </c>
      <c r="K235" s="66">
        <v>2200</v>
      </c>
      <c r="L235" s="66" t="s">
        <v>4617</v>
      </c>
      <c r="M235" s="66">
        <v>26905</v>
      </c>
      <c r="N235" s="66">
        <f>SUM(Prog_23[[#This Row],[TARA]]+Prog_23[[#This Row],[PESO]])</f>
        <v>29105</v>
      </c>
      <c r="O235" s="44">
        <v>37322</v>
      </c>
      <c r="P235" s="66" t="s">
        <v>4583</v>
      </c>
      <c r="Q235" s="66" t="s">
        <v>92</v>
      </c>
      <c r="R235" s="66" t="s">
        <v>93</v>
      </c>
      <c r="S235" s="66" t="s">
        <v>94</v>
      </c>
      <c r="T235" s="138" t="str">
        <f>IFERROR(LOOKUP($S235,MOTORISTAS!$D$3:$D$916,MOTORISTAS!E$3:$E$916),"")</f>
        <v>26283419801</v>
      </c>
      <c r="U235" s="138" t="str">
        <f>IFERROR(LOOKUP($S235,MOTORISTAS!$D$3:$D$916,MOTORISTAS!F$3:$F$916),"")</f>
        <v>02002046946</v>
      </c>
      <c r="V235" s="66" t="s">
        <v>292</v>
      </c>
      <c r="W235" s="66" t="s">
        <v>4619</v>
      </c>
      <c r="X235" s="79">
        <v>45062.231944444444</v>
      </c>
      <c r="Y235" s="79">
        <v>45062.690972222219</v>
      </c>
      <c r="Z235" s="66" t="s">
        <v>306</v>
      </c>
      <c r="AA235" s="79">
        <v>45062.949305555558</v>
      </c>
      <c r="AB235" s="79">
        <v>45061.791666666664</v>
      </c>
      <c r="AC235" s="79">
        <v>45061.75</v>
      </c>
      <c r="AD235" s="79">
        <v>45064.75</v>
      </c>
      <c r="AE235" s="66" t="s">
        <v>452</v>
      </c>
      <c r="AF235" s="44">
        <v>1246</v>
      </c>
      <c r="AG235" s="254">
        <f>Prog_23[[#This Row],[SAÍDA DO CLIENTE]]-Prog_23[[#This Row],[PROGRAMAÇÃO CLIENTE]]</f>
        <v>0.39930555555474712</v>
      </c>
      <c r="AH235" s="44"/>
      <c r="AI235" s="66"/>
      <c r="AJ235" s="66"/>
      <c r="AK235" s="66"/>
      <c r="AL235" s="66"/>
      <c r="AM235" s="66"/>
      <c r="AN235" s="83"/>
      <c r="AO235" s="83"/>
      <c r="AP235" s="83"/>
      <c r="AQ235" s="66"/>
      <c r="AR235" s="66" t="s">
        <v>4973</v>
      </c>
      <c r="AS235" s="66"/>
      <c r="AT235" s="81">
        <v>4100</v>
      </c>
      <c r="AU235" s="81"/>
      <c r="AV235" s="81"/>
      <c r="AW235" s="81"/>
      <c r="AX235" s="83">
        <f>SUM(Prog_23[[#This Row],[ADIANTAMENTO]]+Prog_23[[#This Row],[SALDO]]+Prog_23[[#This Row],[MARGEM]]+Prog_23[[#This Row],[ESTADIA 1]])</f>
        <v>4100</v>
      </c>
      <c r="AY2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4820.0056999999997</v>
      </c>
      <c r="AZ235" s="81">
        <v>4035.5</v>
      </c>
      <c r="BA235" s="81">
        <v>118505.7</v>
      </c>
      <c r="BB235" s="81">
        <f>Prog_23[[#This Row],[VLR NF]]*0.1%</f>
        <v>118.5057</v>
      </c>
      <c r="BC235" s="81">
        <v>0</v>
      </c>
      <c r="BD235" s="81">
        <v>666</v>
      </c>
      <c r="BE235" s="81"/>
      <c r="BF235" s="81"/>
      <c r="BG235" s="81"/>
      <c r="BH235" s="81"/>
      <c r="BI235" s="81"/>
      <c r="BJ235" s="81"/>
      <c r="BK235" s="81"/>
      <c r="BL235" s="81"/>
      <c r="BM235" s="81"/>
      <c r="BN235" s="66" t="s">
        <v>2768</v>
      </c>
      <c r="BO235" s="66" t="s">
        <v>2768</v>
      </c>
      <c r="BP235" s="66" t="s">
        <v>2768</v>
      </c>
      <c r="BQ235" s="66" t="str">
        <f>PROPER(TEXT(Prog_23[[#This Row],[PROGRAMAÇÃO CLIENTE]],"mmm"))</f>
        <v>Mai</v>
      </c>
      <c r="BR235" s="66">
        <f>YEAR(Prog_23[[#This Row],[PROGRAMAÇÃO CLIENTE]])</f>
        <v>2023</v>
      </c>
    </row>
    <row r="236" spans="1:70" x14ac:dyDescent="0.25">
      <c r="A236" s="201" t="str">
        <f>Prog_23[[#This Row],[CONTEINER]]</f>
        <v>MRSU4713243</v>
      </c>
      <c r="B236" s="86" t="s">
        <v>2771</v>
      </c>
      <c r="C2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6" s="85">
        <v>45062.666666666664</v>
      </c>
      <c r="E236" s="66" t="s">
        <v>2302</v>
      </c>
      <c r="F236" s="66" t="s">
        <v>529</v>
      </c>
      <c r="G236" s="66">
        <v>48</v>
      </c>
      <c r="H236" s="44">
        <v>226716431</v>
      </c>
      <c r="I236" s="44" t="s">
        <v>4634</v>
      </c>
      <c r="J236" s="66" t="s">
        <v>301</v>
      </c>
      <c r="K236" s="66">
        <v>3720</v>
      </c>
      <c r="L236" s="66" t="s">
        <v>4635</v>
      </c>
      <c r="M236" s="66">
        <v>6811</v>
      </c>
      <c r="N236" s="66">
        <f>SUM(Prog_23[[#This Row],[TARA]]+Prog_23[[#This Row],[PESO]])</f>
        <v>10531</v>
      </c>
      <c r="O236" s="44" t="s">
        <v>4638</v>
      </c>
      <c r="P236" s="66" t="s">
        <v>4597</v>
      </c>
      <c r="Q236" s="66" t="s">
        <v>102</v>
      </c>
      <c r="R236" s="66" t="s">
        <v>27</v>
      </c>
      <c r="S236" s="66" t="s">
        <v>206</v>
      </c>
      <c r="T236" s="138" t="str">
        <f>IFERROR(LOOKUP($S236,MOTORISTAS!$D$3:$D$916,MOTORISTAS!E$3:$E$916),"")</f>
        <v>09085263425</v>
      </c>
      <c r="U236" s="138" t="str">
        <f>IFERROR(LOOKUP($S236,MOTORISTAS!$D$3:$D$916,MOTORISTAS!F$3:$F$916),"")</f>
        <v>04557705505</v>
      </c>
      <c r="V236" s="66" t="s">
        <v>537</v>
      </c>
      <c r="W236" s="79">
        <v>45061.642361111109</v>
      </c>
      <c r="X236" s="79">
        <v>45062.56527777778</v>
      </c>
      <c r="Y236" s="79">
        <v>45062.802083333336</v>
      </c>
      <c r="Z236" s="66" t="s">
        <v>410</v>
      </c>
      <c r="AA236" s="79">
        <v>45062.893750000003</v>
      </c>
      <c r="AB236" s="79">
        <v>45060.291666666664</v>
      </c>
      <c r="AC236" s="79">
        <v>45061.375</v>
      </c>
      <c r="AD236" s="79">
        <v>45065.5</v>
      </c>
      <c r="AE236" s="66" t="s">
        <v>1405</v>
      </c>
      <c r="AF236" s="44">
        <v>16046</v>
      </c>
      <c r="AG236" s="254">
        <f>Prog_23[[#This Row],[SAÍDA DO CLIENTE]]-Prog_23[[#This Row],[PROGRAMAÇÃO CLIENTE]]</f>
        <v>0.13541666667151731</v>
      </c>
      <c r="AH236" s="44" t="s">
        <v>4639</v>
      </c>
      <c r="AI236" s="66"/>
      <c r="AJ236" s="66"/>
      <c r="AK236" s="66"/>
      <c r="AL236" s="66"/>
      <c r="AM236" s="66"/>
      <c r="AN236" s="83"/>
      <c r="AO236" s="83"/>
      <c r="AP236" s="83"/>
      <c r="AQ236" s="66" t="s">
        <v>309</v>
      </c>
      <c r="AR236" s="79">
        <v>45061.638888888891</v>
      </c>
      <c r="AS236" s="66">
        <v>200</v>
      </c>
      <c r="AT236" s="81">
        <v>2200</v>
      </c>
      <c r="AU236" s="81"/>
      <c r="AV236" s="81"/>
      <c r="AW236" s="81"/>
      <c r="AX236" s="83">
        <f>SUM(Prog_23[[#This Row],[ADIANTAMENTO]]+Prog_23[[#This Row],[SALDO]]+Prog_23[[#This Row],[MARGEM]]+Prog_23[[#This Row],[ESTADIA 1]])</f>
        <v>2200</v>
      </c>
      <c r="AY2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3421.8729699999999</v>
      </c>
      <c r="AZ236" s="81">
        <v>2550</v>
      </c>
      <c r="BA236" s="81">
        <v>420872.97</v>
      </c>
      <c r="BB236" s="81">
        <f>Prog_23[[#This Row],[VLR NF]]*0.1%</f>
        <v>420.87296999999995</v>
      </c>
      <c r="BC236" s="81">
        <v>0</v>
      </c>
      <c r="BD236" s="81">
        <v>336</v>
      </c>
      <c r="BE236" s="81"/>
      <c r="BF236" s="81"/>
      <c r="BG236" s="81"/>
      <c r="BH236" s="81">
        <v>30</v>
      </c>
      <c r="BI236" s="81"/>
      <c r="BJ236" s="81">
        <v>85</v>
      </c>
      <c r="BK236" s="81"/>
      <c r="BL236" s="81"/>
      <c r="BM236" s="81"/>
      <c r="BN236" s="66" t="s">
        <v>2768</v>
      </c>
      <c r="BO236" s="66" t="s">
        <v>2768</v>
      </c>
      <c r="BP236" s="66" t="s">
        <v>2768</v>
      </c>
      <c r="BQ236" s="66" t="str">
        <f>PROPER(TEXT(Prog_23[[#This Row],[PROGRAMAÇÃO CLIENTE]],"mmm"))</f>
        <v>Mai</v>
      </c>
      <c r="BR236" s="66">
        <f>YEAR(Prog_23[[#This Row],[PROGRAMAÇÃO CLIENTE]])</f>
        <v>2023</v>
      </c>
    </row>
    <row r="237" spans="1:70" x14ac:dyDescent="0.25">
      <c r="A237" s="200" t="str">
        <f>Prog_23[[#This Row],[CONTEINER]]</f>
        <v>HASU4453336</v>
      </c>
      <c r="B237" s="86" t="s">
        <v>2771</v>
      </c>
      <c r="C2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7" s="85">
        <v>45063.666666666664</v>
      </c>
      <c r="E237" s="66" t="s">
        <v>2302</v>
      </c>
      <c r="F237" s="66" t="s">
        <v>529</v>
      </c>
      <c r="G237" s="66">
        <v>336</v>
      </c>
      <c r="H237" s="44">
        <v>227481132</v>
      </c>
      <c r="I237" s="44" t="s">
        <v>4651</v>
      </c>
      <c r="J237" s="66" t="s">
        <v>301</v>
      </c>
      <c r="K237" s="66">
        <v>3860</v>
      </c>
      <c r="L237" s="66" t="s">
        <v>4652</v>
      </c>
      <c r="M237" s="66">
        <v>6164</v>
      </c>
      <c r="N237" s="66">
        <f>SUM(Prog_23[[#This Row],[TARA]]+Prog_23[[#This Row],[PESO]])</f>
        <v>10024</v>
      </c>
      <c r="O237" s="44" t="s">
        <v>4637</v>
      </c>
      <c r="P237" s="66" t="s">
        <v>4583</v>
      </c>
      <c r="Q237" s="66" t="s">
        <v>102</v>
      </c>
      <c r="R237" s="66" t="s">
        <v>27</v>
      </c>
      <c r="S237" s="66" t="s">
        <v>206</v>
      </c>
      <c r="T237" s="138" t="str">
        <f>IFERROR(LOOKUP($S237,MOTORISTAS!$D$3:$D$916,MOTORISTAS!E$3:$E$916),"")</f>
        <v>09085263425</v>
      </c>
      <c r="U237" s="138" t="str">
        <f>IFERROR(LOOKUP($S237,MOTORISTAS!$D$3:$D$916,MOTORISTAS!F$3:$F$916),"")</f>
        <v>04557705505</v>
      </c>
      <c r="V237" s="66" t="s">
        <v>4636</v>
      </c>
      <c r="W237" s="79">
        <v>45062.409722222219</v>
      </c>
      <c r="X237" s="79">
        <v>45063.583333333336</v>
      </c>
      <c r="Y237" s="79">
        <v>45063.777777777781</v>
      </c>
      <c r="Z237" s="66" t="s">
        <v>306</v>
      </c>
      <c r="AA237" s="79">
        <v>45064.015972222223</v>
      </c>
      <c r="AB237" s="79">
        <v>45061.791666666664</v>
      </c>
      <c r="AC237" s="79">
        <v>45062.375</v>
      </c>
      <c r="AD237" s="79">
        <v>45064.75</v>
      </c>
      <c r="AE237" s="66" t="s">
        <v>452</v>
      </c>
      <c r="AF237" s="44">
        <v>16060</v>
      </c>
      <c r="AG237" s="254">
        <f>Prog_23[[#This Row],[SAÍDA DO CLIENTE]]-Prog_23[[#This Row],[PROGRAMAÇÃO CLIENTE]]</f>
        <v>0.11111111111677019</v>
      </c>
      <c r="AH237" s="44"/>
      <c r="AI237" s="66"/>
      <c r="AJ237" s="66"/>
      <c r="AK237" s="66"/>
      <c r="AL237" s="66"/>
      <c r="AM237" s="66"/>
      <c r="AN237" s="83"/>
      <c r="AO237" s="83"/>
      <c r="AP237" s="83"/>
      <c r="AQ237" s="66" t="s">
        <v>610</v>
      </c>
      <c r="AR237" s="66"/>
      <c r="AS237" s="81">
        <v>120</v>
      </c>
      <c r="AT237" s="81">
        <v>2200</v>
      </c>
      <c r="AU237" s="81"/>
      <c r="AV237" s="81"/>
      <c r="AW237" s="81"/>
      <c r="AX237" s="83">
        <f>SUM(Prog_23[[#This Row],[ADIANTAMENTO]]+Prog_23[[#This Row],[SALDO]]+Prog_23[[#This Row],[MARGEM]]+Prog_23[[#This Row],[ESTADIA 1]])</f>
        <v>2200</v>
      </c>
      <c r="AY2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3339.1620200000002</v>
      </c>
      <c r="AZ237" s="81">
        <v>2550</v>
      </c>
      <c r="BA237" s="81">
        <v>338162.02</v>
      </c>
      <c r="BB237" s="81">
        <f>Prog_23[[#This Row],[VLR NF]]*0.1%</f>
        <v>338.16202000000004</v>
      </c>
      <c r="BC237" s="81">
        <v>0</v>
      </c>
      <c r="BD237" s="81">
        <v>336</v>
      </c>
      <c r="BE237" s="81"/>
      <c r="BF237" s="81"/>
      <c r="BG237" s="81"/>
      <c r="BH237" s="81">
        <v>30</v>
      </c>
      <c r="BI237" s="81"/>
      <c r="BJ237" s="81">
        <v>85</v>
      </c>
      <c r="BK237" s="81"/>
      <c r="BL237" s="81"/>
      <c r="BM237" s="81"/>
      <c r="BN237" s="66" t="s">
        <v>2768</v>
      </c>
      <c r="BO237" s="66" t="s">
        <v>2768</v>
      </c>
      <c r="BP237" s="66" t="s">
        <v>2768</v>
      </c>
      <c r="BQ237" s="66" t="str">
        <f>PROPER(TEXT(Prog_23[[#This Row],[PROGRAMAÇÃO CLIENTE]],"mmm"))</f>
        <v>Mai</v>
      </c>
      <c r="BR237" s="66">
        <f>YEAR(Prog_23[[#This Row],[PROGRAMAÇÃO CLIENTE]])</f>
        <v>2023</v>
      </c>
    </row>
    <row r="238" spans="1:70" x14ac:dyDescent="0.25">
      <c r="A238" s="201" t="str">
        <f>Prog_23[[#This Row],[CONTEINER]]</f>
        <v>3 PALLETS</v>
      </c>
      <c r="B238" s="86" t="s">
        <v>2771</v>
      </c>
      <c r="C2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8" s="85">
        <v>45063.625</v>
      </c>
      <c r="E238" s="66" t="s">
        <v>4285</v>
      </c>
      <c r="F238" s="66" t="s">
        <v>4286</v>
      </c>
      <c r="G238" s="66" t="s">
        <v>4622</v>
      </c>
      <c r="H238" s="44" t="s">
        <v>4621</v>
      </c>
      <c r="I238" s="44" t="s">
        <v>4654</v>
      </c>
      <c r="J238" s="66" t="s">
        <v>125</v>
      </c>
      <c r="K238" s="66"/>
      <c r="L238" s="66"/>
      <c r="M238" s="66">
        <v>3076</v>
      </c>
      <c r="N238" s="66">
        <f>SUM(Prog_23[[#This Row],[TARA]]+Prog_23[[#This Row],[PESO]])</f>
        <v>3076</v>
      </c>
      <c r="O238" s="44"/>
      <c r="P238" s="66"/>
      <c r="Q238" s="66" t="s">
        <v>4659</v>
      </c>
      <c r="R238" s="66"/>
      <c r="S238" s="66" t="s">
        <v>4660</v>
      </c>
      <c r="T238" s="138" t="str">
        <f>IFERROR(LOOKUP($S238,MOTORISTAS!$D$3:$D$916,MOTORISTAS!E$3:$E$916),"")</f>
        <v>09779535802</v>
      </c>
      <c r="U238" s="138" t="str">
        <f>IFERROR(LOOKUP($S238,MOTORISTAS!$D$3:$D$916,MOTORISTAS!F$3:$F$916),"")</f>
        <v>01600270575</v>
      </c>
      <c r="V238" s="66" t="s">
        <v>772</v>
      </c>
      <c r="W238" s="79">
        <v>45063.422222222223</v>
      </c>
      <c r="X238" s="79">
        <v>45063.597222222219</v>
      </c>
      <c r="Y238" s="79">
        <v>45063.649305555555</v>
      </c>
      <c r="Z238" s="66" t="s">
        <v>4344</v>
      </c>
      <c r="AA238" s="79">
        <v>45063.732638888891</v>
      </c>
      <c r="AB238" s="79">
        <v>45063.732638888891</v>
      </c>
      <c r="AC238" s="79">
        <v>45063.732638888891</v>
      </c>
      <c r="AD238" s="79">
        <v>45063.732638888891</v>
      </c>
      <c r="AE238" s="66" t="s">
        <v>708</v>
      </c>
      <c r="AF238" s="44">
        <v>16027</v>
      </c>
      <c r="AG238" s="254">
        <f>Prog_23[[#This Row],[SAÍDA DO CLIENTE]]-Prog_23[[#This Row],[PROGRAMAÇÃO CLIENTE]]</f>
        <v>2.4305555554747116E-2</v>
      </c>
      <c r="AH238" s="44"/>
      <c r="AI238" s="66"/>
      <c r="AJ238" s="66"/>
      <c r="AK238" s="66"/>
      <c r="AL238" s="66"/>
      <c r="AM238" s="66"/>
      <c r="AN238" s="83"/>
      <c r="AO238" s="83"/>
      <c r="AP238" s="83"/>
      <c r="AQ238" s="66"/>
      <c r="AR238" s="66"/>
      <c r="AS238" s="66"/>
      <c r="AT238" s="81">
        <v>1700</v>
      </c>
      <c r="AU238" s="81"/>
      <c r="AV238" s="81">
        <v>70</v>
      </c>
      <c r="AW238" s="81"/>
      <c r="AX238" s="83">
        <f>SUM(Prog_23[[#This Row],[ADIANTAMENTO]]+Prog_23[[#This Row],[SALDO]]+Prog_23[[#This Row],[MARGEM]]+Prog_23[[#This Row],[ESTADIA 1]])</f>
        <v>1770</v>
      </c>
      <c r="AY2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15000</v>
      </c>
      <c r="AZ238" s="81">
        <v>10760</v>
      </c>
      <c r="BA238" s="81">
        <v>65418.2</v>
      </c>
      <c r="BB238" s="81">
        <v>1500</v>
      </c>
      <c r="BC238" s="81">
        <v>500</v>
      </c>
      <c r="BD238" s="81">
        <v>190</v>
      </c>
      <c r="BE238" s="81"/>
      <c r="BF238" s="81"/>
      <c r="BG238" s="81"/>
      <c r="BH238" s="81">
        <v>250</v>
      </c>
      <c r="BI238" s="81">
        <v>1800</v>
      </c>
      <c r="BJ238" s="81"/>
      <c r="BK238" s="81"/>
      <c r="BL238" s="81"/>
      <c r="BM238" s="81"/>
      <c r="BN238" s="66" t="s">
        <v>2768</v>
      </c>
      <c r="BO238" s="66" t="s">
        <v>2768</v>
      </c>
      <c r="BP238" s="66" t="s">
        <v>2768</v>
      </c>
      <c r="BQ238" s="66" t="str">
        <f>PROPER(TEXT(Prog_23[[#This Row],[PROGRAMAÇÃO CLIENTE]],"mmm"))</f>
        <v>Mai</v>
      </c>
      <c r="BR238" s="66">
        <f>YEAR(Prog_23[[#This Row],[PROGRAMAÇÃO CLIENTE]])</f>
        <v>2023</v>
      </c>
    </row>
    <row r="239" spans="1:70" x14ac:dyDescent="0.25">
      <c r="A239" s="200" t="str">
        <f>Prog_23[[#This Row],[CONTEINER]]</f>
        <v>DFSU6613699</v>
      </c>
      <c r="B239" s="86" t="s">
        <v>2771</v>
      </c>
      <c r="C2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39" s="85">
        <v>45064.375</v>
      </c>
      <c r="E239" s="66" t="s">
        <v>297</v>
      </c>
      <c r="F239" s="66" t="s">
        <v>298</v>
      </c>
      <c r="G239" s="66" t="s">
        <v>4671</v>
      </c>
      <c r="H239" s="44">
        <v>62225319</v>
      </c>
      <c r="I239" s="44" t="s">
        <v>4694</v>
      </c>
      <c r="J239" s="66" t="s">
        <v>301</v>
      </c>
      <c r="K239" s="66">
        <v>3800</v>
      </c>
      <c r="L239" s="66" t="s">
        <v>4697</v>
      </c>
      <c r="M239" s="66">
        <v>19005</v>
      </c>
      <c r="N239" s="66">
        <f>SUM(Prog_23[[#This Row],[TARA]]+Prog_23[[#This Row],[PESO]])</f>
        <v>22805</v>
      </c>
      <c r="O239" s="44">
        <v>861388</v>
      </c>
      <c r="P239" s="66" t="s">
        <v>4614</v>
      </c>
      <c r="Q239" s="66" t="s">
        <v>1961</v>
      </c>
      <c r="R239" s="66" t="s">
        <v>1962</v>
      </c>
      <c r="S239" s="66" t="s">
        <v>1482</v>
      </c>
      <c r="T239" s="138" t="str">
        <f>IFERROR(LOOKUP($S239,MOTORISTAS!$D$3:$D$916,MOTORISTAS!E$3:$E$916),"")</f>
        <v>38329597857</v>
      </c>
      <c r="U239" s="138" t="str">
        <f>IFERROR(LOOKUP($S239,MOTORISTAS!$D$3:$D$916,MOTORISTAS!F$3:$F$916),"")</f>
        <v>04956762510</v>
      </c>
      <c r="V239" s="66" t="s">
        <v>537</v>
      </c>
      <c r="W239" s="79">
        <v>45063.868055555555</v>
      </c>
      <c r="X239" s="79">
        <v>45064.222222222219</v>
      </c>
      <c r="Y239" s="79">
        <v>45064.822916666664</v>
      </c>
      <c r="Z239" s="66" t="s">
        <v>293</v>
      </c>
      <c r="AA239" s="79">
        <v>45070.511805555558</v>
      </c>
      <c r="AB239" s="79">
        <v>45068.791666666664</v>
      </c>
      <c r="AC239" s="79">
        <v>45069.75</v>
      </c>
      <c r="AD239" s="79">
        <v>45073.708333333336</v>
      </c>
      <c r="AE239" s="66" t="s">
        <v>2743</v>
      </c>
      <c r="AF239" s="44">
        <v>16073</v>
      </c>
      <c r="AG239" s="254">
        <f>Prog_23[[#This Row],[SAÍDA DO CLIENTE]]-Prog_23[[#This Row],[PROGRAMAÇÃO CLIENTE]]</f>
        <v>0.44791666666424135</v>
      </c>
      <c r="AH239" s="44"/>
      <c r="AI239" s="66"/>
      <c r="AJ239" s="66"/>
      <c r="AK239" s="66" t="s">
        <v>393</v>
      </c>
      <c r="AL239" s="66"/>
      <c r="AM239" s="66"/>
      <c r="AN239" s="83">
        <v>950</v>
      </c>
      <c r="AO239" s="83"/>
      <c r="AP239" s="83"/>
      <c r="AQ239" s="66"/>
      <c r="AR239" s="66"/>
      <c r="AS239" s="66"/>
      <c r="AT239" s="81"/>
      <c r="AU239" s="81"/>
      <c r="AV239" s="81"/>
      <c r="AW239" s="81"/>
      <c r="AX239" s="83">
        <f>SUM(Prog_23[[#This Row],[ADIANTAMENTO]]+Prog_23[[#This Row],[SALDO]]+Prog_23[[#This Row],[MARGEM]]+Prog_23[[#This Row],[ESTADIA 1]])</f>
        <v>0</v>
      </c>
      <c r="AY2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4675</v>
      </c>
      <c r="AZ239" s="81">
        <v>3488.8</v>
      </c>
      <c r="BA239" s="81">
        <v>126717.1</v>
      </c>
      <c r="BB239" s="81">
        <v>0</v>
      </c>
      <c r="BC239" s="81">
        <v>0</v>
      </c>
      <c r="BD239" s="81">
        <v>511.2</v>
      </c>
      <c r="BE239" s="81"/>
      <c r="BF239" s="81"/>
      <c r="BG239" s="81"/>
      <c r="BH239" s="81"/>
      <c r="BI239" s="81"/>
      <c r="BJ239" s="81"/>
      <c r="BK239" s="81"/>
      <c r="BL239" s="81">
        <v>250</v>
      </c>
      <c r="BM239" s="81">
        <f>85*5</f>
        <v>425</v>
      </c>
      <c r="BN239" s="66" t="s">
        <v>2768</v>
      </c>
      <c r="BO239" s="66" t="s">
        <v>2768</v>
      </c>
      <c r="BP239" s="66" t="s">
        <v>2768</v>
      </c>
      <c r="BQ239" s="66" t="str">
        <f>PROPER(TEXT(Prog_23[[#This Row],[PROGRAMAÇÃO CLIENTE]],"mmm"))</f>
        <v>Mai</v>
      </c>
      <c r="BR239" s="66">
        <f>YEAR(Prog_23[[#This Row],[PROGRAMAÇÃO CLIENTE]])</f>
        <v>2023</v>
      </c>
    </row>
    <row r="240" spans="1:70" x14ac:dyDescent="0.25">
      <c r="A240" s="201" t="str">
        <f>Prog_23[[#This Row],[CONTEINER]]</f>
        <v>TGHU8863411</v>
      </c>
      <c r="B240" s="86" t="s">
        <v>2771</v>
      </c>
      <c r="C2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40" s="85">
        <v>45064.458333333336</v>
      </c>
      <c r="E240" s="66" t="s">
        <v>297</v>
      </c>
      <c r="F240" s="66" t="s">
        <v>298</v>
      </c>
      <c r="G240" s="66" t="s">
        <v>4672</v>
      </c>
      <c r="H240" s="44">
        <v>62225319</v>
      </c>
      <c r="I240" s="44" t="s">
        <v>4695</v>
      </c>
      <c r="J240" s="66" t="s">
        <v>301</v>
      </c>
      <c r="K240" s="66">
        <v>3910</v>
      </c>
      <c r="L240" s="66" t="s">
        <v>4698</v>
      </c>
      <c r="M240" s="66">
        <v>19005</v>
      </c>
      <c r="N240" s="66">
        <f>SUM(Prog_23[[#This Row],[TARA]]+Prog_23[[#This Row],[PESO]])</f>
        <v>22915</v>
      </c>
      <c r="O240" s="44">
        <v>861426</v>
      </c>
      <c r="P240" s="66" t="s">
        <v>4614</v>
      </c>
      <c r="Q240" s="66" t="s">
        <v>890</v>
      </c>
      <c r="R240" s="66" t="s">
        <v>179</v>
      </c>
      <c r="S240" s="66" t="s">
        <v>2678</v>
      </c>
      <c r="T240" s="138" t="str">
        <f>IFERROR(LOOKUP($S240,MOTORISTAS!$D$3:$D$916,MOTORISTAS!E$3:$E$916),"")</f>
        <v>28386357860</v>
      </c>
      <c r="U240" s="138" t="str">
        <f>IFERROR(LOOKUP($S240,MOTORISTAS!$D$3:$D$916,MOTORISTAS!F$3:$F$916),"")</f>
        <v>01042201192</v>
      </c>
      <c r="V240" s="66" t="s">
        <v>537</v>
      </c>
      <c r="W240" s="79">
        <v>45063.875</v>
      </c>
      <c r="X240" s="79">
        <v>45064.416666666664</v>
      </c>
      <c r="Y240" s="79">
        <v>45065.006944444445</v>
      </c>
      <c r="Z240" s="66" t="s">
        <v>293</v>
      </c>
      <c r="AA240" s="79">
        <v>45070.534722222219</v>
      </c>
      <c r="AB240" s="79">
        <v>45068.791666666664</v>
      </c>
      <c r="AC240" s="79">
        <v>45069.75</v>
      </c>
      <c r="AD240" s="79">
        <v>45073.708333333336</v>
      </c>
      <c r="AE240" s="66" t="s">
        <v>2743</v>
      </c>
      <c r="AF240" s="44">
        <v>16074</v>
      </c>
      <c r="AG240" s="254">
        <f>Prog_23[[#This Row],[SAÍDA DO CLIENTE]]-Prog_23[[#This Row],[PROGRAMAÇÃO CLIENTE]]</f>
        <v>0.54861111110949423</v>
      </c>
      <c r="AH240" s="44"/>
      <c r="AI240" s="66"/>
      <c r="AJ240" s="66"/>
      <c r="AK240" s="66" t="s">
        <v>393</v>
      </c>
      <c r="AL240" s="79">
        <v>45065.125</v>
      </c>
      <c r="AM240" s="66"/>
      <c r="AN240" s="83">
        <v>950</v>
      </c>
      <c r="AO240" s="83"/>
      <c r="AP240" s="83"/>
      <c r="AQ240" s="66"/>
      <c r="AR240" s="66"/>
      <c r="AS240" s="66"/>
      <c r="AT240" s="81"/>
      <c r="AU240" s="81"/>
      <c r="AV240" s="81"/>
      <c r="AW240" s="81"/>
      <c r="AX240" s="83">
        <f>SUM(Prog_23[[#This Row],[ADIANTAMENTO]]+Prog_23[[#This Row],[SALDO]]+Prog_23[[#This Row],[MARGEM]]+Prog_23[[#This Row],[ESTADIA 1]])</f>
        <v>0</v>
      </c>
      <c r="AY2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4930</v>
      </c>
      <c r="AZ240" s="81">
        <v>3488.8</v>
      </c>
      <c r="BA240" s="81">
        <v>126717.1</v>
      </c>
      <c r="BB240" s="81">
        <v>0</v>
      </c>
      <c r="BC240" s="81">
        <v>0</v>
      </c>
      <c r="BD240" s="81">
        <v>511.2</v>
      </c>
      <c r="BE240" s="81"/>
      <c r="BF240" s="81"/>
      <c r="BG240" s="81"/>
      <c r="BH240" s="81"/>
      <c r="BI240" s="81"/>
      <c r="BJ240" s="81"/>
      <c r="BK240" s="81"/>
      <c r="BL240" s="81">
        <v>250</v>
      </c>
      <c r="BM240" s="81">
        <f>85*8</f>
        <v>680</v>
      </c>
      <c r="BN240" s="66" t="s">
        <v>2768</v>
      </c>
      <c r="BO240" s="66" t="s">
        <v>2768</v>
      </c>
      <c r="BP240" s="66" t="s">
        <v>2768</v>
      </c>
      <c r="BQ240" s="66" t="str">
        <f>PROPER(TEXT(Prog_23[[#This Row],[PROGRAMAÇÃO CLIENTE]],"mmm"))</f>
        <v>Mai</v>
      </c>
      <c r="BR240" s="66">
        <f>YEAR(Prog_23[[#This Row],[PROGRAMAÇÃO CLIENTE]])</f>
        <v>2023</v>
      </c>
    </row>
    <row r="241" spans="1:70" x14ac:dyDescent="0.25">
      <c r="A241" s="200" t="str">
        <f>Prog_23[[#This Row],[CONTEINER]]</f>
        <v>SKYU8115539</v>
      </c>
      <c r="B241" s="86" t="s">
        <v>2771</v>
      </c>
      <c r="C2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41" s="85">
        <v>45064.583333333336</v>
      </c>
      <c r="E241" s="66" t="s">
        <v>297</v>
      </c>
      <c r="F241" s="66" t="s">
        <v>298</v>
      </c>
      <c r="G241" s="66" t="s">
        <v>4673</v>
      </c>
      <c r="H241" s="44">
        <v>62225319</v>
      </c>
      <c r="I241" s="44" t="s">
        <v>4696</v>
      </c>
      <c r="J241" s="66" t="s">
        <v>301</v>
      </c>
      <c r="K241" s="66">
        <v>3570</v>
      </c>
      <c r="L241" s="66" t="s">
        <v>4699</v>
      </c>
      <c r="M241" s="66">
        <v>19005</v>
      </c>
      <c r="N241" s="66">
        <f>SUM(Prog_23[[#This Row],[TARA]]+Prog_23[[#This Row],[PESO]])</f>
        <v>22575</v>
      </c>
      <c r="O241" s="44">
        <v>861653</v>
      </c>
      <c r="P241" s="66" t="s">
        <v>4614</v>
      </c>
      <c r="Q241" s="66" t="s">
        <v>87</v>
      </c>
      <c r="R241" s="66" t="s">
        <v>88</v>
      </c>
      <c r="S241" s="66" t="s">
        <v>89</v>
      </c>
      <c r="T241" s="138" t="str">
        <f>IFERROR(LOOKUP($S241,MOTORISTAS!$D$3:$D$916,MOTORISTAS!E$3:$E$916),"")</f>
        <v>00097734527</v>
      </c>
      <c r="U241" s="138" t="str">
        <f>IFERROR(LOOKUP($S241,MOTORISTAS!$D$3:$D$916,MOTORISTAS!F$3:$F$916),"")</f>
        <v>03148346870</v>
      </c>
      <c r="V241" s="66" t="s">
        <v>537</v>
      </c>
      <c r="W241" s="79">
        <v>45063.875694444447</v>
      </c>
      <c r="X241" s="79">
        <v>45064.135416666664</v>
      </c>
      <c r="Y241" s="79">
        <v>45065.677083333336</v>
      </c>
      <c r="Z241" s="66" t="s">
        <v>293</v>
      </c>
      <c r="AA241" s="79">
        <v>45070.688888888886</v>
      </c>
      <c r="AB241" s="79">
        <v>45068.791666666664</v>
      </c>
      <c r="AC241" s="79">
        <v>45069.75</v>
      </c>
      <c r="AD241" s="79">
        <v>45073.708333333336</v>
      </c>
      <c r="AE241" s="66" t="s">
        <v>2743</v>
      </c>
      <c r="AF241" s="44">
        <v>16087</v>
      </c>
      <c r="AG241" s="254">
        <f>Prog_23[[#This Row],[SAÍDA DO CLIENTE]]-Prog_23[[#This Row],[PROGRAMAÇÃO CLIENTE]]</f>
        <v>1.09375</v>
      </c>
      <c r="AH241" s="44"/>
      <c r="AI241" s="66"/>
      <c r="AJ241" s="66"/>
      <c r="AK241" s="66" t="s">
        <v>393</v>
      </c>
      <c r="AL241" s="79">
        <v>45066.875</v>
      </c>
      <c r="AM241" s="66"/>
      <c r="AN241" s="83">
        <v>950</v>
      </c>
      <c r="AO241" s="83"/>
      <c r="AP241" s="83"/>
      <c r="AQ241" s="66"/>
      <c r="AR241" s="66"/>
      <c r="AS241" s="66"/>
      <c r="AT241" s="81"/>
      <c r="AU241" s="81"/>
      <c r="AV241" s="81"/>
      <c r="AW241" s="81"/>
      <c r="AX241" s="83">
        <f>SUM(Prog_23[[#This Row],[ADIANTAMENTO]]+Prog_23[[#This Row],[SALDO]]+Prog_23[[#This Row],[MARGEM]]+Prog_23[[#This Row],[ESTADIA 1]])</f>
        <v>0</v>
      </c>
      <c r="AY2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241" s="81">
        <v>3488.8</v>
      </c>
      <c r="BA241" s="81">
        <v>127058.28</v>
      </c>
      <c r="BB241" s="81">
        <v>0</v>
      </c>
      <c r="BC241" s="81">
        <v>0</v>
      </c>
      <c r="BD241" s="81">
        <v>511.2</v>
      </c>
      <c r="BE241" s="81"/>
      <c r="BF241" s="81"/>
      <c r="BG241" s="81"/>
      <c r="BH241" s="81"/>
      <c r="BI241" s="81"/>
      <c r="BJ241" s="81"/>
      <c r="BK241" s="81"/>
      <c r="BL241" s="81">
        <v>250</v>
      </c>
      <c r="BM241" s="81"/>
      <c r="BN241" s="66" t="s">
        <v>2768</v>
      </c>
      <c r="BO241" s="66" t="s">
        <v>2768</v>
      </c>
      <c r="BP241" s="66" t="s">
        <v>2768</v>
      </c>
      <c r="BQ241" s="66" t="str">
        <f>PROPER(TEXT(Prog_23[[#This Row],[PROGRAMAÇÃO CLIENTE]],"mmm"))</f>
        <v>Mai</v>
      </c>
      <c r="BR241" s="66">
        <f>YEAR(Prog_23[[#This Row],[PROGRAMAÇÃO CLIENTE]])</f>
        <v>2023</v>
      </c>
    </row>
    <row r="242" spans="1:70" x14ac:dyDescent="0.25">
      <c r="A242" s="201" t="str">
        <f>Prog_23[[#This Row],[CONTEINER]]</f>
        <v>UACU5827262</v>
      </c>
      <c r="B242" s="86" t="s">
        <v>2771</v>
      </c>
      <c r="C2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42" s="85">
        <v>45065.375</v>
      </c>
      <c r="E242" s="66" t="s">
        <v>297</v>
      </c>
      <c r="F242" s="66" t="s">
        <v>298</v>
      </c>
      <c r="G242" s="66" t="s">
        <v>4674</v>
      </c>
      <c r="H242" s="44">
        <v>62225319</v>
      </c>
      <c r="I242" s="44" t="s">
        <v>4712</v>
      </c>
      <c r="J242" s="66" t="s">
        <v>301</v>
      </c>
      <c r="K242" s="66">
        <v>3800</v>
      </c>
      <c r="L242" s="66" t="s">
        <v>4715</v>
      </c>
      <c r="M242" s="66">
        <v>19005</v>
      </c>
      <c r="N242" s="66">
        <f>SUM(Prog_23[[#This Row],[TARA]]+Prog_23[[#This Row],[PESO]])</f>
        <v>22805</v>
      </c>
      <c r="O242" s="44">
        <v>861837</v>
      </c>
      <c r="P242" s="66" t="s">
        <v>4614</v>
      </c>
      <c r="Q242" s="66" t="s">
        <v>3708</v>
      </c>
      <c r="R242" s="66" t="s">
        <v>4703</v>
      </c>
      <c r="S242" s="66" t="s">
        <v>84</v>
      </c>
      <c r="T242" s="138" t="str">
        <f>IFERROR(LOOKUP($S242,MOTORISTAS!$D$3:$D$916,MOTORISTAS!E$3:$E$916),"")</f>
        <v>15921106810</v>
      </c>
      <c r="U242" s="138" t="str">
        <f>IFERROR(LOOKUP($S242,MOTORISTAS!$D$3:$D$916,MOTORISTAS!F$3:$F$916),"")</f>
        <v>02351127968</v>
      </c>
      <c r="V242" s="66" t="s">
        <v>537</v>
      </c>
      <c r="W242" s="79">
        <v>45064.887499999997</v>
      </c>
      <c r="X242" s="79">
        <v>45065.277777777781</v>
      </c>
      <c r="Y242" s="79">
        <v>45065.805555555555</v>
      </c>
      <c r="Z242" s="66" t="s">
        <v>293</v>
      </c>
      <c r="AA242" s="79">
        <v>45071.583333333336</v>
      </c>
      <c r="AB242" s="79">
        <v>45068.791666666664</v>
      </c>
      <c r="AC242" s="79">
        <v>45069.75</v>
      </c>
      <c r="AD242" s="79">
        <v>45073.708333333336</v>
      </c>
      <c r="AE242" s="66" t="s">
        <v>2743</v>
      </c>
      <c r="AF242" s="44">
        <v>16091</v>
      </c>
      <c r="AG242" s="254">
        <f>Prog_23[[#This Row],[SAÍDA DO CLIENTE]]-Prog_23[[#This Row],[PROGRAMAÇÃO CLIENTE]]</f>
        <v>0.43055555555474712</v>
      </c>
      <c r="AH242" s="44"/>
      <c r="AI242" s="66"/>
      <c r="AJ242" s="66"/>
      <c r="AK242" s="66" t="s">
        <v>393</v>
      </c>
      <c r="AL242" s="79">
        <v>45066.013888888891</v>
      </c>
      <c r="AM242" s="66"/>
      <c r="AN242" s="83">
        <v>950</v>
      </c>
      <c r="AO242" s="83"/>
      <c r="AP242" s="83"/>
      <c r="AQ242" s="66"/>
      <c r="AR242" s="66"/>
      <c r="AS242" s="66"/>
      <c r="AT242" s="81">
        <v>3200</v>
      </c>
      <c r="AU242" s="81"/>
      <c r="AV242" s="81"/>
      <c r="AW242" s="81"/>
      <c r="AX242" s="83">
        <f>SUM(Prog_23[[#This Row],[ADIANTAMENTO]]+Prog_23[[#This Row],[SALDO]]+Prog_23[[#This Row],[MARGEM]]+Prog_23[[#This Row],[ESTADIA 1]])</f>
        <v>3200</v>
      </c>
      <c r="AY2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4675</v>
      </c>
      <c r="AZ242" s="81">
        <v>3488.8</v>
      </c>
      <c r="BA242" s="81">
        <v>127058.28</v>
      </c>
      <c r="BB242" s="81">
        <v>0</v>
      </c>
      <c r="BC242" s="81">
        <v>0</v>
      </c>
      <c r="BD242" s="81">
        <v>511.2</v>
      </c>
      <c r="BE242" s="81"/>
      <c r="BF242" s="81"/>
      <c r="BG242" s="81"/>
      <c r="BH242" s="81"/>
      <c r="BI242" s="81"/>
      <c r="BJ242" s="81"/>
      <c r="BK242" s="81"/>
      <c r="BL242" s="81">
        <v>250</v>
      </c>
      <c r="BM242" s="81">
        <f>85*5</f>
        <v>425</v>
      </c>
      <c r="BN242" s="66" t="s">
        <v>2768</v>
      </c>
      <c r="BO242" s="66" t="s">
        <v>2768</v>
      </c>
      <c r="BP242" s="66" t="s">
        <v>2768</v>
      </c>
      <c r="BQ242" s="66" t="str">
        <f>PROPER(TEXT(Prog_23[[#This Row],[PROGRAMAÇÃO CLIENTE]],"mmm"))</f>
        <v>Mai</v>
      </c>
      <c r="BR242" s="66">
        <f>YEAR(Prog_23[[#This Row],[PROGRAMAÇÃO CLIENTE]])</f>
        <v>2023</v>
      </c>
    </row>
    <row r="243" spans="1:70" x14ac:dyDescent="0.25">
      <c r="A243" s="200" t="str">
        <f>Prog_23[[#This Row],[CONTEINER]]</f>
        <v>UACU5929069</v>
      </c>
      <c r="B243" s="86" t="s">
        <v>2771</v>
      </c>
      <c r="C2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243" s="85">
        <v>45065.458333333336</v>
      </c>
      <c r="E243" s="66" t="s">
        <v>297</v>
      </c>
      <c r="F243" s="66" t="s">
        <v>298</v>
      </c>
      <c r="G243" s="66" t="s">
        <v>4675</v>
      </c>
      <c r="H243" s="44">
        <v>62225319</v>
      </c>
      <c r="I243" s="44" t="s">
        <v>4720</v>
      </c>
      <c r="J243" s="66" t="s">
        <v>301</v>
      </c>
      <c r="K243" s="66">
        <v>3800</v>
      </c>
      <c r="L243" s="66" t="s">
        <v>4721</v>
      </c>
      <c r="M243" s="66">
        <v>19005</v>
      </c>
      <c r="N243" s="66">
        <f>SUM(Prog_23[[#This Row],[TARA]]+Prog_23[[#This Row],[PESO]])</f>
        <v>22805</v>
      </c>
      <c r="O243" s="44">
        <v>861870</v>
      </c>
      <c r="P243" s="66" t="s">
        <v>4614</v>
      </c>
      <c r="Q243" s="66" t="s">
        <v>106</v>
      </c>
      <c r="R243" s="66" t="s">
        <v>107</v>
      </c>
      <c r="S243" s="66" t="s">
        <v>108</v>
      </c>
      <c r="T243" s="138" t="str">
        <f>IFERROR(LOOKUP($S243,MOTORISTAS!$D$3:$D$916,MOTORISTAS!E$3:$E$916),"")</f>
        <v>34927982840</v>
      </c>
      <c r="U243" s="138" t="str">
        <f>IFERROR(LOOKUP($S243,MOTORISTAS!$D$3:$D$916,MOTORISTAS!F$3:$F$916),"")</f>
        <v>03500129879</v>
      </c>
      <c r="V243" s="66" t="s">
        <v>537</v>
      </c>
      <c r="W243" s="79">
        <v>45065.32708333333</v>
      </c>
      <c r="X243" s="79">
        <v>45065.524305555555</v>
      </c>
      <c r="Y243" s="79">
        <v>45065.993055555555</v>
      </c>
      <c r="Z243" s="66" t="s">
        <v>293</v>
      </c>
      <c r="AA243" s="79">
        <v>45071.291666666664</v>
      </c>
      <c r="AB243" s="79">
        <v>45068.791666666664</v>
      </c>
      <c r="AC243" s="79">
        <v>45069.75</v>
      </c>
      <c r="AD243" s="79">
        <v>45073.708333333336</v>
      </c>
      <c r="AE243" s="66" t="s">
        <v>2743</v>
      </c>
      <c r="AF243" s="44">
        <v>16093</v>
      </c>
      <c r="AG243" s="254">
        <f>Prog_23[[#This Row],[SAÍDA DO CLIENTE]]-Prog_23[[#This Row],[PROGRAMAÇÃO CLIENTE]]</f>
        <v>0.53472222221898846</v>
      </c>
      <c r="AH243" s="44"/>
      <c r="AI243" s="66"/>
      <c r="AJ243" s="66"/>
      <c r="AK243" s="66" t="s">
        <v>393</v>
      </c>
      <c r="AL243" s="79">
        <v>45066.161805555559</v>
      </c>
      <c r="AM243" s="66"/>
      <c r="AN243" s="83">
        <v>950</v>
      </c>
      <c r="AO243" s="83"/>
      <c r="AP243" s="83"/>
      <c r="AQ243" s="66"/>
      <c r="AR243" s="66"/>
      <c r="AS243" s="66"/>
      <c r="AT243" s="81"/>
      <c r="AU243" s="81"/>
      <c r="AV243" s="81"/>
      <c r="AW243" s="81"/>
      <c r="AX243" s="83">
        <f>SUM(Prog_23[[#This Row],[ADIANTAMENTO]]+Prog_23[[#This Row],[SALDO]]+Prog_23[[#This Row],[MARGEM]]+Prog_23[[#This Row],[ESTADIA 1]])</f>
        <v>0</v>
      </c>
      <c r="AY2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4845</v>
      </c>
      <c r="AZ243" s="81">
        <v>3488.8</v>
      </c>
      <c r="BA243" s="81">
        <v>127058.28</v>
      </c>
      <c r="BB243" s="81">
        <v>0</v>
      </c>
      <c r="BC243" s="81">
        <v>0</v>
      </c>
      <c r="BD243" s="81">
        <v>511.2</v>
      </c>
      <c r="BE243" s="81"/>
      <c r="BF243" s="81"/>
      <c r="BG243" s="81"/>
      <c r="BH243" s="81"/>
      <c r="BI243" s="81"/>
      <c r="BJ243" s="81"/>
      <c r="BK243" s="81"/>
      <c r="BL243" s="81">
        <v>250</v>
      </c>
      <c r="BM243" s="81">
        <f>85*7</f>
        <v>595</v>
      </c>
      <c r="BN243" s="66" t="s">
        <v>2768</v>
      </c>
      <c r="BO243" s="66" t="s">
        <v>2768</v>
      </c>
      <c r="BP243" s="66" t="s">
        <v>2768</v>
      </c>
      <c r="BQ243" s="66" t="str">
        <f>PROPER(TEXT(Prog_23[[#This Row],[PROGRAMAÇÃO CLIENTE]],"mmm"))</f>
        <v>Mai</v>
      </c>
      <c r="BR243" s="66">
        <f>YEAR(Prog_23[[#This Row],[PROGRAMAÇÃO CLIENTE]])</f>
        <v>2023</v>
      </c>
    </row>
    <row r="244" spans="1:70" x14ac:dyDescent="0.25">
      <c r="A244" s="201" t="str">
        <f>Prog_23[[#This Row],[CONTEINER]]</f>
        <v>TCNU4328800</v>
      </c>
      <c r="B244" s="86" t="s">
        <v>2771</v>
      </c>
      <c r="C2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44" s="85">
        <v>45065.541666666664</v>
      </c>
      <c r="E244" s="66" t="s">
        <v>297</v>
      </c>
      <c r="F244" s="66" t="s">
        <v>298</v>
      </c>
      <c r="G244" s="66" t="s">
        <v>4676</v>
      </c>
      <c r="H244" s="44">
        <v>62225319</v>
      </c>
      <c r="I244" s="44" t="s">
        <v>4713</v>
      </c>
      <c r="J244" s="66" t="s">
        <v>301</v>
      </c>
      <c r="K244" s="66">
        <v>3840</v>
      </c>
      <c r="L244" s="66" t="s">
        <v>4716</v>
      </c>
      <c r="M244" s="66">
        <v>19005</v>
      </c>
      <c r="N244" s="66">
        <f>SUM(Prog_23[[#This Row],[TARA]]+Prog_23[[#This Row],[PESO]])</f>
        <v>22845</v>
      </c>
      <c r="O244" s="44">
        <v>861448</v>
      </c>
      <c r="P244" s="66" t="s">
        <v>4614</v>
      </c>
      <c r="Q244" s="66" t="s">
        <v>2389</v>
      </c>
      <c r="R244" s="66" t="s">
        <v>2390</v>
      </c>
      <c r="S244" s="66" t="s">
        <v>892</v>
      </c>
      <c r="T244" s="138" t="str">
        <f>IFERROR(LOOKUP($S244,MOTORISTAS!$D$3:$D$916,MOTORISTAS!E$3:$E$916),"")</f>
        <v>55283063968</v>
      </c>
      <c r="U244" s="138" t="str">
        <f>IFERROR(LOOKUP($S244,MOTORISTAS!$D$3:$D$916,MOTORISTAS!F$3:$F$916),"")</f>
        <v>02537032407</v>
      </c>
      <c r="V244" s="66" t="s">
        <v>537</v>
      </c>
      <c r="W244" s="79">
        <v>45064.876388888886</v>
      </c>
      <c r="X244" s="79">
        <v>45065.048611111109</v>
      </c>
      <c r="Y244" s="79">
        <v>45065.416666666664</v>
      </c>
      <c r="Z244" s="66" t="s">
        <v>293</v>
      </c>
      <c r="AA244" s="79">
        <v>45070.595833333333</v>
      </c>
      <c r="AB244" s="79">
        <v>45068.791666666664</v>
      </c>
      <c r="AC244" s="79">
        <v>45069.75</v>
      </c>
      <c r="AD244" s="79">
        <v>45073.708333333336</v>
      </c>
      <c r="AE244" s="66" t="s">
        <v>2743</v>
      </c>
      <c r="AF244" s="44">
        <v>16078</v>
      </c>
      <c r="AG244" s="254">
        <v>0</v>
      </c>
      <c r="AH244" s="44"/>
      <c r="AI244" s="66"/>
      <c r="AJ244" s="66"/>
      <c r="AK244" s="66" t="s">
        <v>393</v>
      </c>
      <c r="AL244" s="79">
        <v>45065.583333333336</v>
      </c>
      <c r="AM244" s="66"/>
      <c r="AN244" s="83">
        <v>950</v>
      </c>
      <c r="AO244" s="83"/>
      <c r="AP244" s="83"/>
      <c r="AQ244" s="66"/>
      <c r="AR244" s="66"/>
      <c r="AS244" s="66"/>
      <c r="AT244" s="81"/>
      <c r="AU244" s="81"/>
      <c r="AV244" s="81"/>
      <c r="AW244" s="81"/>
      <c r="AX244" s="83">
        <f>SUM(Prog_23[[#This Row],[ADIANTAMENTO]]+Prog_23[[#This Row],[SALDO]]+Prog_23[[#This Row],[MARGEM]]+Prog_23[[#This Row],[ESTADIA 1]])</f>
        <v>0</v>
      </c>
      <c r="AY2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244" s="81">
        <v>3488.8</v>
      </c>
      <c r="BA244" s="81">
        <v>127058.28</v>
      </c>
      <c r="BB244" s="81">
        <v>0</v>
      </c>
      <c r="BC244" s="81">
        <v>0</v>
      </c>
      <c r="BD244" s="81">
        <v>511.2</v>
      </c>
      <c r="BE244" s="81"/>
      <c r="BF244" s="81"/>
      <c r="BG244" s="81"/>
      <c r="BH244" s="81"/>
      <c r="BI244" s="81"/>
      <c r="BJ244" s="81"/>
      <c r="BK244" s="81"/>
      <c r="BL244" s="81">
        <v>250</v>
      </c>
      <c r="BM244" s="81"/>
      <c r="BN244" s="66" t="s">
        <v>2768</v>
      </c>
      <c r="BO244" s="66" t="s">
        <v>2768</v>
      </c>
      <c r="BP244" s="66" t="s">
        <v>2768</v>
      </c>
      <c r="BQ244" s="66" t="str">
        <f>PROPER(TEXT(Prog_23[[#This Row],[PROGRAMAÇÃO CLIENTE]],"mmm"))</f>
        <v>Mai</v>
      </c>
      <c r="BR244" s="66">
        <f>YEAR(Prog_23[[#This Row],[PROGRAMAÇÃO CLIENTE]])</f>
        <v>2023</v>
      </c>
    </row>
    <row r="245" spans="1:70" x14ac:dyDescent="0.25">
      <c r="A245" s="200" t="str">
        <f>Prog_23[[#This Row],[CONTEINER]]</f>
        <v>BSIU9868125</v>
      </c>
      <c r="B245" s="86" t="s">
        <v>2771</v>
      </c>
      <c r="C2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45" s="85">
        <v>45065.541666666664</v>
      </c>
      <c r="E245" s="66" t="s">
        <v>297</v>
      </c>
      <c r="F245" s="66" t="s">
        <v>298</v>
      </c>
      <c r="G245" s="66" t="s">
        <v>4677</v>
      </c>
      <c r="H245" s="44">
        <v>62225319</v>
      </c>
      <c r="I245" s="44" t="s">
        <v>4714</v>
      </c>
      <c r="J245" s="66" t="s">
        <v>301</v>
      </c>
      <c r="K245" s="66">
        <v>3770</v>
      </c>
      <c r="L245" s="66" t="s">
        <v>4717</v>
      </c>
      <c r="M245" s="66">
        <v>19005</v>
      </c>
      <c r="N245" s="66">
        <f>SUM(Prog_23[[#This Row],[TARA]]+Prog_23[[#This Row],[PESO]])</f>
        <v>22775</v>
      </c>
      <c r="O245" s="44">
        <v>861869</v>
      </c>
      <c r="P245" s="66" t="s">
        <v>4614</v>
      </c>
      <c r="Q245" s="66" t="s">
        <v>111</v>
      </c>
      <c r="R245" s="66" t="s">
        <v>891</v>
      </c>
      <c r="S245" s="66" t="s">
        <v>113</v>
      </c>
      <c r="T245" s="138" t="str">
        <f>IFERROR(LOOKUP($S245,MOTORISTAS!$D$3:$D$916,MOTORISTAS!E$3:$E$916),"")</f>
        <v>88265951434</v>
      </c>
      <c r="U245" s="138" t="str">
        <f>IFERROR(LOOKUP($S245,MOTORISTAS!$D$3:$D$916,MOTORISTAS!F$3:$F$916),"")</f>
        <v>00920373596</v>
      </c>
      <c r="V245" s="66" t="s">
        <v>537</v>
      </c>
      <c r="W245" s="66"/>
      <c r="X245" s="79">
        <v>45065.34375</v>
      </c>
      <c r="Y245" s="79">
        <v>45065.993055555555</v>
      </c>
      <c r="Z245" s="66" t="s">
        <v>293</v>
      </c>
      <c r="AA245" s="79">
        <v>45071.290277777778</v>
      </c>
      <c r="AB245" s="79">
        <v>45068.791666666664</v>
      </c>
      <c r="AC245" s="79">
        <v>45069.75</v>
      </c>
      <c r="AD245" s="79">
        <v>45073.708333333336</v>
      </c>
      <c r="AE245" s="66" t="s">
        <v>2743</v>
      </c>
      <c r="AF245" s="44">
        <v>16094</v>
      </c>
      <c r="AG245" s="254">
        <f>Prog_23[[#This Row],[SAÍDA DO CLIENTE]]-Prog_23[[#This Row],[PROGRAMAÇÃO CLIENTE]]</f>
        <v>0.45138888889050577</v>
      </c>
      <c r="AH245" s="44"/>
      <c r="AI245" s="66"/>
      <c r="AJ245" s="66"/>
      <c r="AK245" s="66" t="s">
        <v>393</v>
      </c>
      <c r="AL245" s="79">
        <v>45066.159722222219</v>
      </c>
      <c r="AM245" s="66"/>
      <c r="AN245" s="83">
        <v>950</v>
      </c>
      <c r="AO245" s="83"/>
      <c r="AP245" s="83"/>
      <c r="AQ245" s="66"/>
      <c r="AR245" s="66"/>
      <c r="AS245" s="66"/>
      <c r="AT245" s="81"/>
      <c r="AU245" s="81"/>
      <c r="AV245" s="81"/>
      <c r="AW245" s="81"/>
      <c r="AX245" s="83">
        <f>SUM(Prog_23[[#This Row],[ADIANTAMENTO]]+Prog_23[[#This Row],[SALDO]]+Prog_23[[#This Row],[MARGEM]]+Prog_23[[#This Row],[ESTADIA 1]])</f>
        <v>0</v>
      </c>
      <c r="AY2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4675</v>
      </c>
      <c r="AZ245" s="81">
        <v>3488.8</v>
      </c>
      <c r="BA245" s="81">
        <v>127058.28</v>
      </c>
      <c r="BB245" s="81">
        <v>0</v>
      </c>
      <c r="BC245" s="81">
        <v>0</v>
      </c>
      <c r="BD245" s="81">
        <v>511.2</v>
      </c>
      <c r="BE245" s="81"/>
      <c r="BF245" s="81"/>
      <c r="BG245" s="81"/>
      <c r="BH245" s="81"/>
      <c r="BI245" s="81"/>
      <c r="BJ245" s="81"/>
      <c r="BK245" s="81"/>
      <c r="BL245" s="81">
        <v>250</v>
      </c>
      <c r="BM245" s="81">
        <f>85*5</f>
        <v>425</v>
      </c>
      <c r="BN245" s="66" t="s">
        <v>2768</v>
      </c>
      <c r="BO245" s="66" t="s">
        <v>2768</v>
      </c>
      <c r="BP245" s="66" t="s">
        <v>2768</v>
      </c>
      <c r="BQ245" s="66" t="str">
        <f>PROPER(TEXT(Prog_23[[#This Row],[PROGRAMAÇÃO CLIENTE]],"mmm"))</f>
        <v>Mai</v>
      </c>
      <c r="BR245" s="66">
        <f>YEAR(Prog_23[[#This Row],[PROGRAMAÇÃO CLIENTE]])</f>
        <v>2023</v>
      </c>
    </row>
    <row r="246" spans="1:70" x14ac:dyDescent="0.25">
      <c r="A246" s="201" t="str">
        <f>Prog_23[[#This Row],[CONTEINER]]</f>
        <v>UACU5070040</v>
      </c>
      <c r="B246" s="86" t="s">
        <v>2771</v>
      </c>
      <c r="C246" s="253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246" s="85">
        <v>45065.583333333336</v>
      </c>
      <c r="E246" s="66" t="s">
        <v>297</v>
      </c>
      <c r="F246" s="66" t="s">
        <v>298</v>
      </c>
      <c r="G246" s="66" t="s">
        <v>4678</v>
      </c>
      <c r="H246" s="44">
        <v>62225319</v>
      </c>
      <c r="I246" s="44" t="s">
        <v>4718</v>
      </c>
      <c r="J246" s="66" t="s">
        <v>301</v>
      </c>
      <c r="K246" s="66">
        <v>3960</v>
      </c>
      <c r="L246" s="66" t="s">
        <v>4719</v>
      </c>
      <c r="M246" s="66">
        <v>19005</v>
      </c>
      <c r="N246" s="66">
        <f>SUM(Prog_23[[#This Row],[TARA]]+Prog_23[[#This Row],[PESO]])</f>
        <v>22965</v>
      </c>
      <c r="O246" s="44">
        <v>862137</v>
      </c>
      <c r="P246" s="66" t="s">
        <v>4614</v>
      </c>
      <c r="Q246" s="66" t="s">
        <v>111</v>
      </c>
      <c r="R246" s="66" t="s">
        <v>891</v>
      </c>
      <c r="S246" s="66" t="s">
        <v>113</v>
      </c>
      <c r="T246" s="138" t="str">
        <f>IFERROR(LOOKUP($S246,MOTORISTAS!$D$3:$D$916,MOTORISTAS!E$3:$E$916),"")</f>
        <v>88265951434</v>
      </c>
      <c r="U246" s="138" t="str">
        <f>IFERROR(LOOKUP($S246,MOTORISTAS!$D$3:$D$916,MOTORISTAS!F$3:$F$916),"")</f>
        <v>00920373596</v>
      </c>
      <c r="V246" s="66" t="s">
        <v>537</v>
      </c>
      <c r="W246" s="79">
        <v>45065.375694444447</v>
      </c>
      <c r="X246" s="79">
        <v>45066.347222222219</v>
      </c>
      <c r="Y246" s="79">
        <v>45066.5</v>
      </c>
      <c r="Z246" s="66" t="s">
        <v>293</v>
      </c>
      <c r="AA246" s="79">
        <v>45071.056250000001</v>
      </c>
      <c r="AB246" s="79">
        <v>45068.791666666664</v>
      </c>
      <c r="AC246" s="79">
        <v>45069.75</v>
      </c>
      <c r="AD246" s="79">
        <v>45073.708333333336</v>
      </c>
      <c r="AE246" s="66" t="s">
        <v>2743</v>
      </c>
      <c r="AF246" s="44">
        <v>16097</v>
      </c>
      <c r="AG246" s="254">
        <v>0</v>
      </c>
      <c r="AH246" s="44"/>
      <c r="AI246" s="66"/>
      <c r="AJ246" s="66"/>
      <c r="AK246" s="66" t="s">
        <v>393</v>
      </c>
      <c r="AL246" s="66"/>
      <c r="AM246" s="66"/>
      <c r="AN246" s="83">
        <v>950</v>
      </c>
      <c r="AO246" s="83"/>
      <c r="AP246" s="83"/>
      <c r="AQ246" s="66"/>
      <c r="AR246" s="66"/>
      <c r="AS246" s="66"/>
      <c r="AT246" s="81"/>
      <c r="AU246" s="81"/>
      <c r="AV246" s="81"/>
      <c r="AW246" s="81"/>
      <c r="AX246" s="83">
        <f>SUM(Prog_23[[#This Row],[ADIANTAMENTO]]+Prog_23[[#This Row],[SALDO]]+Prog_23[[#This Row],[MARGEM]]+Prog_23[[#This Row],[ESTADIA 1]])</f>
        <v>0</v>
      </c>
      <c r="AY2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246" s="81">
        <v>3488.8</v>
      </c>
      <c r="BA246" s="81">
        <v>127600.6</v>
      </c>
      <c r="BB246" s="81">
        <v>0</v>
      </c>
      <c r="BC246" s="81">
        <v>0</v>
      </c>
      <c r="BD246" s="81">
        <v>511.2</v>
      </c>
      <c r="BE246" s="81"/>
      <c r="BF246" s="81"/>
      <c r="BG246" s="81"/>
      <c r="BH246" s="81"/>
      <c r="BI246" s="81"/>
      <c r="BJ246" s="81"/>
      <c r="BK246" s="81"/>
      <c r="BL246" s="81">
        <v>250</v>
      </c>
      <c r="BM246" s="81">
        <v>0</v>
      </c>
      <c r="BN246" s="66" t="s">
        <v>2768</v>
      </c>
      <c r="BO246" s="66" t="s">
        <v>2768</v>
      </c>
      <c r="BP246" s="66" t="s">
        <v>2768</v>
      </c>
      <c r="BQ246" s="66" t="str">
        <f>PROPER(TEXT(Prog_23[[#This Row],[PROGRAMAÇÃO CLIENTE]],"mmm"))</f>
        <v>Mai</v>
      </c>
      <c r="BR246" s="66">
        <f>YEAR(Prog_23[[#This Row],[PROGRAMAÇÃO CLIENTE]])</f>
        <v>2023</v>
      </c>
    </row>
    <row r="247" spans="1:70" x14ac:dyDescent="0.25">
      <c r="A247" s="201" t="str">
        <f>Prog_23[[#This Row],[CONTEINER]]</f>
        <v>UACU5615751</v>
      </c>
      <c r="B247" s="86" t="s">
        <v>2771</v>
      </c>
      <c r="C2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247" s="85">
        <v>45066.375</v>
      </c>
      <c r="E247" s="66" t="s">
        <v>297</v>
      </c>
      <c r="F247" s="66" t="s">
        <v>298</v>
      </c>
      <c r="G247" s="66" t="s">
        <v>4679</v>
      </c>
      <c r="H247" s="44">
        <v>62225319</v>
      </c>
      <c r="I247" s="44" t="s">
        <v>4732</v>
      </c>
      <c r="J247" s="66" t="s">
        <v>301</v>
      </c>
      <c r="K247" s="66">
        <v>3800</v>
      </c>
      <c r="L247" s="66" t="s">
        <v>4733</v>
      </c>
      <c r="M247" s="66">
        <v>19005</v>
      </c>
      <c r="N247" s="66">
        <f>SUM(Prog_23[[#This Row],[TARA]]+Prog_23[[#This Row],[PESO]])</f>
        <v>22805</v>
      </c>
      <c r="O247" s="44">
        <v>862605</v>
      </c>
      <c r="P247" s="66" t="s">
        <v>4614</v>
      </c>
      <c r="Q247" s="66" t="s">
        <v>210</v>
      </c>
      <c r="R247" s="66" t="s">
        <v>211</v>
      </c>
      <c r="S247" s="66" t="s">
        <v>212</v>
      </c>
      <c r="T247" s="138" t="str">
        <f>IFERROR(LOOKUP($S247,MOTORISTAS!$D$3:$D$916,MOTORISTAS!E$3:$E$916),"")</f>
        <v>38029906846</v>
      </c>
      <c r="U247" s="138" t="str">
        <f>IFERROR(LOOKUP($S247,MOTORISTAS!$D$3:$D$916,MOTORISTAS!F$3:$F$916),"")</f>
        <v>04946846842</v>
      </c>
      <c r="V247" s="66" t="s">
        <v>537</v>
      </c>
      <c r="W247" s="79">
        <v>45066.44027777778</v>
      </c>
      <c r="X247" s="79">
        <v>45066.597222222219</v>
      </c>
      <c r="Y247" s="79">
        <v>45066.895833333336</v>
      </c>
      <c r="Z247" s="66" t="s">
        <v>293</v>
      </c>
      <c r="AA247" s="79">
        <v>45071.061805555553</v>
      </c>
      <c r="AB247" s="79">
        <v>45068.791666666664</v>
      </c>
      <c r="AC247" s="79">
        <v>45069.75</v>
      </c>
      <c r="AD247" s="79">
        <v>45073.708333333336</v>
      </c>
      <c r="AE247" s="66" t="s">
        <v>2743</v>
      </c>
      <c r="AF247" s="44">
        <v>16104</v>
      </c>
      <c r="AG247" s="254">
        <f>Prog_23[[#This Row],[SAÍDA DO CLIENTE]]-Prog_23[[#This Row],[PROGRAMAÇÃO CLIENTE]]</f>
        <v>0.52083333333575865</v>
      </c>
      <c r="AH247" s="44"/>
      <c r="AI247" s="66"/>
      <c r="AJ247" s="66"/>
      <c r="AK247" s="66" t="s">
        <v>393</v>
      </c>
      <c r="AL247" s="66"/>
      <c r="AM247" s="66"/>
      <c r="AN247" s="83">
        <v>950</v>
      </c>
      <c r="AO247" s="83"/>
      <c r="AP247" s="83"/>
      <c r="AQ247" s="66"/>
      <c r="AR247" s="66"/>
      <c r="AS247" s="66"/>
      <c r="AT247" s="81">
        <v>573.1</v>
      </c>
      <c r="AU247" s="81"/>
      <c r="AV247" s="81"/>
      <c r="AW247" s="81"/>
      <c r="AX247" s="83">
        <f>SUM(Prog_23[[#This Row],[ADIANTAMENTO]]+Prog_23[[#This Row],[SALDO]]+Prog_23[[#This Row],[MARGEM]]+Prog_23[[#This Row],[ESTADIA 1]])</f>
        <v>573.1</v>
      </c>
      <c r="AY2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4845</v>
      </c>
      <c r="AZ247" s="81">
        <v>3488.8</v>
      </c>
      <c r="BA247" s="81">
        <v>127600.6</v>
      </c>
      <c r="BB247" s="81">
        <v>0</v>
      </c>
      <c r="BC247" s="81">
        <v>0</v>
      </c>
      <c r="BD247" s="81">
        <v>511.2</v>
      </c>
      <c r="BE247" s="81"/>
      <c r="BF247" s="81"/>
      <c r="BG247" s="81"/>
      <c r="BH247" s="81"/>
      <c r="BI247" s="81"/>
      <c r="BJ247" s="81"/>
      <c r="BK247" s="81"/>
      <c r="BL247" s="81">
        <v>250</v>
      </c>
      <c r="BM247" s="81">
        <f>85*7</f>
        <v>595</v>
      </c>
      <c r="BN247" s="66" t="s">
        <v>2768</v>
      </c>
      <c r="BO247" s="66" t="s">
        <v>2768</v>
      </c>
      <c r="BP247" s="66" t="s">
        <v>2768</v>
      </c>
      <c r="BQ247" s="66" t="str">
        <f>PROPER(TEXT(Prog_23[[#This Row],[PROGRAMAÇÃO CLIENTE]],"mmm"))</f>
        <v>Mai</v>
      </c>
      <c r="BR247" s="66">
        <f>YEAR(Prog_23[[#This Row],[PROGRAMAÇÃO CLIENTE]])</f>
        <v>2023</v>
      </c>
    </row>
    <row r="248" spans="1:70" x14ac:dyDescent="0.25">
      <c r="A248" s="200" t="str">
        <f>Prog_23[[#This Row],[CONTEINER]]</f>
        <v>HLBU1633029</v>
      </c>
      <c r="B248" s="86" t="s">
        <v>2771</v>
      </c>
      <c r="C2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248" s="85">
        <v>45066.416666666664</v>
      </c>
      <c r="E248" s="66" t="s">
        <v>297</v>
      </c>
      <c r="F248" s="66" t="s">
        <v>298</v>
      </c>
      <c r="G248" s="66" t="s">
        <v>4680</v>
      </c>
      <c r="H248" s="44">
        <v>62225319</v>
      </c>
      <c r="I248" s="44" t="s">
        <v>4724</v>
      </c>
      <c r="J248" s="66" t="s">
        <v>301</v>
      </c>
      <c r="K248" s="66">
        <v>3900</v>
      </c>
      <c r="L248" s="66" t="s">
        <v>4725</v>
      </c>
      <c r="M248" s="66">
        <v>19005</v>
      </c>
      <c r="N248" s="66">
        <f>SUM(Prog_23[[#This Row],[TARA]]+Prog_23[[#This Row],[PESO]])</f>
        <v>22905</v>
      </c>
      <c r="O248" s="44">
        <v>862521</v>
      </c>
      <c r="P248" s="66" t="s">
        <v>4614</v>
      </c>
      <c r="Q248" s="66" t="s">
        <v>150</v>
      </c>
      <c r="R248" s="66" t="s">
        <v>151</v>
      </c>
      <c r="S248" s="66" t="s">
        <v>152</v>
      </c>
      <c r="T248" s="138" t="str">
        <f>IFERROR(LOOKUP($S248,MOTORISTAS!$D$3:$D$916,MOTORISTAS!E$3:$E$916),"")</f>
        <v>05753633803</v>
      </c>
      <c r="U248" s="138" t="str">
        <f>IFERROR(LOOKUP($S248,MOTORISTAS!$D$3:$D$916,MOTORISTAS!F$3:$F$916),"")</f>
        <v>01922497849</v>
      </c>
      <c r="V248" s="66" t="s">
        <v>537</v>
      </c>
      <c r="W248" s="79">
        <v>45066.366666666669</v>
      </c>
      <c r="X248" s="79">
        <v>45066.511805555558</v>
      </c>
      <c r="Y248" s="79">
        <v>45066.791666666664</v>
      </c>
      <c r="Z248" s="66" t="s">
        <v>293</v>
      </c>
      <c r="AA248" s="66" t="s">
        <v>4837</v>
      </c>
      <c r="AB248" s="79">
        <v>45068.791666666664</v>
      </c>
      <c r="AC248" s="79">
        <v>45069.75</v>
      </c>
      <c r="AD248" s="79">
        <v>45073.708333333336</v>
      </c>
      <c r="AE248" s="66" t="s">
        <v>2743</v>
      </c>
      <c r="AF248" s="44">
        <v>16103</v>
      </c>
      <c r="AG248" s="254">
        <f>Prog_23[[#This Row],[SAÍDA DO CLIENTE]]-Prog_23[[#This Row],[PROGRAMAÇÃO CLIENTE]]</f>
        <v>0.375</v>
      </c>
      <c r="AH248" s="44"/>
      <c r="AI248" s="66"/>
      <c r="AJ248" s="66"/>
      <c r="AK248" s="66" t="s">
        <v>393</v>
      </c>
      <c r="AL248" s="66"/>
      <c r="AM248" s="66"/>
      <c r="AN248" s="83">
        <v>950</v>
      </c>
      <c r="AO248" s="83"/>
      <c r="AP248" s="83"/>
      <c r="AQ248" s="66"/>
      <c r="AR248" s="66"/>
      <c r="AS248" s="66"/>
      <c r="AT248" s="81"/>
      <c r="AU248" s="81"/>
      <c r="AV248" s="81"/>
      <c r="AW248" s="81"/>
      <c r="AX248" s="83">
        <f>SUM(Prog_23[[#This Row],[ADIANTAMENTO]]+Prog_23[[#This Row],[SALDO]]+Prog_23[[#This Row],[MARGEM]]+Prog_23[[#This Row],[ESTADIA 1]])</f>
        <v>0</v>
      </c>
      <c r="AY2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4590</v>
      </c>
      <c r="AZ248" s="81">
        <v>3488.8</v>
      </c>
      <c r="BA248" s="81">
        <v>127600.6</v>
      </c>
      <c r="BB248" s="81">
        <v>0</v>
      </c>
      <c r="BC248" s="81">
        <v>0</v>
      </c>
      <c r="BD248" s="81">
        <v>511.2</v>
      </c>
      <c r="BE248" s="81"/>
      <c r="BF248" s="81"/>
      <c r="BG248" s="81"/>
      <c r="BH248" s="81"/>
      <c r="BI248" s="81"/>
      <c r="BJ248" s="81"/>
      <c r="BK248" s="81"/>
      <c r="BL248" s="81">
        <v>250</v>
      </c>
      <c r="BM248" s="81">
        <f>85*4</f>
        <v>340</v>
      </c>
      <c r="BN248" s="66" t="s">
        <v>2768</v>
      </c>
      <c r="BO248" s="66" t="s">
        <v>2768</v>
      </c>
      <c r="BP248" s="66" t="s">
        <v>2768</v>
      </c>
      <c r="BQ248" s="66" t="str">
        <f>PROPER(TEXT(Prog_23[[#This Row],[PROGRAMAÇÃO CLIENTE]],"mmm"))</f>
        <v>Mai</v>
      </c>
      <c r="BR248" s="66">
        <f>YEAR(Prog_23[[#This Row],[PROGRAMAÇÃO CLIENTE]])</f>
        <v>2023</v>
      </c>
    </row>
    <row r="249" spans="1:70" x14ac:dyDescent="0.25">
      <c r="A249" s="200" t="str">
        <f>Prog_23[[#This Row],[CONTEINER]]</f>
        <v>UACU5536930</v>
      </c>
      <c r="B249" s="86" t="s">
        <v>2771</v>
      </c>
      <c r="C2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49" s="85">
        <v>45069.375</v>
      </c>
      <c r="E249" s="66" t="s">
        <v>297</v>
      </c>
      <c r="F249" s="66" t="s">
        <v>298</v>
      </c>
      <c r="G249" s="66" t="s">
        <v>4681</v>
      </c>
      <c r="H249" s="44">
        <v>62225319</v>
      </c>
      <c r="I249" s="44" t="s">
        <v>4770</v>
      </c>
      <c r="J249" s="66" t="s">
        <v>301</v>
      </c>
      <c r="K249" s="66">
        <v>3970</v>
      </c>
      <c r="L249" s="66" t="s">
        <v>4773</v>
      </c>
      <c r="M249" s="66">
        <v>22222</v>
      </c>
      <c r="N249" s="66">
        <f>SUM(Prog_23[[#This Row],[TARA]]+Prog_23[[#This Row],[PESO]])</f>
        <v>26192</v>
      </c>
      <c r="O249" s="44">
        <v>862842</v>
      </c>
      <c r="P249" s="66" t="s">
        <v>4614</v>
      </c>
      <c r="Q249" s="66" t="s">
        <v>4735</v>
      </c>
      <c r="R249" s="66" t="s">
        <v>4736</v>
      </c>
      <c r="S249" s="66" t="s">
        <v>4737</v>
      </c>
      <c r="T249" s="138" t="str">
        <f>IFERROR(LOOKUP($S249,MOTORISTAS!$D$3:$D$916,MOTORISTAS!E$3:$E$916),"")</f>
        <v>57271194134</v>
      </c>
      <c r="U249" s="138" t="str">
        <f>IFERROR(LOOKUP($S249,MOTORISTAS!$D$3:$D$916,MOTORISTAS!F$3:$F$916),"")</f>
        <v>01939034087</v>
      </c>
      <c r="V249" s="66" t="s">
        <v>537</v>
      </c>
      <c r="W249" s="66"/>
      <c r="X249" s="79">
        <v>45069.333333333336</v>
      </c>
      <c r="Y249" s="79">
        <v>45069.604166666664</v>
      </c>
      <c r="Z249" s="66" t="s">
        <v>293</v>
      </c>
      <c r="AA249" s="79">
        <v>45069.851388888892</v>
      </c>
      <c r="AB249" s="79">
        <v>45068.791666666664</v>
      </c>
      <c r="AC249" s="79">
        <v>45069.75</v>
      </c>
      <c r="AD249" s="79">
        <v>45073.708333333336</v>
      </c>
      <c r="AE249" s="66" t="s">
        <v>2743</v>
      </c>
      <c r="AF249" s="44">
        <v>16127</v>
      </c>
      <c r="AG249" s="254">
        <f>Prog_23[[#This Row],[SAÍDA DO CLIENTE]]-Prog_23[[#This Row],[PROGRAMAÇÃO CLIENTE]]</f>
        <v>0.22916666666424135</v>
      </c>
      <c r="AH249" s="44"/>
      <c r="AI249" s="66"/>
      <c r="AJ249" s="66"/>
      <c r="AK249" s="66"/>
      <c r="AL249" s="66"/>
      <c r="AM249" s="66"/>
      <c r="AN249" s="83"/>
      <c r="AO249" s="83"/>
      <c r="AP249" s="83"/>
      <c r="AQ249" s="66"/>
      <c r="AR249" s="66"/>
      <c r="AS249" s="66"/>
      <c r="AT249" s="81">
        <v>3200</v>
      </c>
      <c r="AU249" s="81"/>
      <c r="AV249" s="81"/>
      <c r="AW249" s="81"/>
      <c r="AX249" s="83">
        <f>SUM(Prog_23[[#This Row],[ADIANTAMENTO]]+Prog_23[[#This Row],[SALDO]]+Prog_23[[#This Row],[MARGEM]]+Prog_23[[#This Row],[ESTADIA 1]])</f>
        <v>3200</v>
      </c>
      <c r="AY2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249" s="81">
        <v>3488.8</v>
      </c>
      <c r="BA249" s="81">
        <v>170042.4</v>
      </c>
      <c r="BB249" s="81">
        <v>0</v>
      </c>
      <c r="BC249" s="81">
        <v>0</v>
      </c>
      <c r="BD249" s="81">
        <v>511.2</v>
      </c>
      <c r="BE249" s="81"/>
      <c r="BF249" s="81"/>
      <c r="BG249" s="81"/>
      <c r="BH249" s="81"/>
      <c r="BI249" s="81"/>
      <c r="BJ249" s="81"/>
      <c r="BK249" s="81"/>
      <c r="BL249" s="81">
        <v>250</v>
      </c>
      <c r="BM249" s="81"/>
      <c r="BN249" s="66" t="s">
        <v>2768</v>
      </c>
      <c r="BO249" s="66" t="s">
        <v>2768</v>
      </c>
      <c r="BP249" s="66" t="s">
        <v>2768</v>
      </c>
      <c r="BQ249" s="66" t="str">
        <f>PROPER(TEXT(Prog_23[[#This Row],[PROGRAMAÇÃO CLIENTE]],"mmm"))</f>
        <v>Mai</v>
      </c>
      <c r="BR249" s="66">
        <f>YEAR(Prog_23[[#This Row],[PROGRAMAÇÃO CLIENTE]])</f>
        <v>2023</v>
      </c>
    </row>
    <row r="250" spans="1:70" x14ac:dyDescent="0.25">
      <c r="A250" s="201" t="str">
        <f>Prog_23[[#This Row],[CONTEINER]]</f>
        <v>FSCU8431410</v>
      </c>
      <c r="B250" s="86" t="s">
        <v>2771</v>
      </c>
      <c r="C2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0" s="85">
        <v>45069.458333333336</v>
      </c>
      <c r="E250" s="66" t="s">
        <v>297</v>
      </c>
      <c r="F250" s="66" t="s">
        <v>298</v>
      </c>
      <c r="G250" s="66" t="s">
        <v>4682</v>
      </c>
      <c r="H250" s="44">
        <v>62225319</v>
      </c>
      <c r="I250" s="44" t="s">
        <v>4771</v>
      </c>
      <c r="J250" s="66" t="s">
        <v>301</v>
      </c>
      <c r="K250" s="66">
        <v>3800</v>
      </c>
      <c r="L250" s="66" t="s">
        <v>4774</v>
      </c>
      <c r="M250" s="66">
        <v>9852</v>
      </c>
      <c r="N250" s="66">
        <f>SUM(Prog_23[[#This Row],[TARA]]+Prog_23[[#This Row],[PESO]])</f>
        <v>13652</v>
      </c>
      <c r="O250" s="44">
        <v>863029</v>
      </c>
      <c r="P250" s="66" t="s">
        <v>4614</v>
      </c>
      <c r="Q250" s="66" t="s">
        <v>2929</v>
      </c>
      <c r="R250" s="66" t="s">
        <v>3388</v>
      </c>
      <c r="S250" s="66" t="s">
        <v>1384</v>
      </c>
      <c r="T250" s="138" t="str">
        <f>IFERROR(LOOKUP($S250,MOTORISTAS!$D$3:$D$916,MOTORISTAS!E$3:$E$916),"")</f>
        <v>37752335800</v>
      </c>
      <c r="U250" s="138" t="str">
        <f>IFERROR(LOOKUP($S250,MOTORISTAS!$D$3:$D$916,MOTORISTAS!F$3:$F$916),"")</f>
        <v>04031990855</v>
      </c>
      <c r="V250" s="66" t="s">
        <v>537</v>
      </c>
      <c r="W250" s="79">
        <v>45068.898611111108</v>
      </c>
      <c r="X250" s="79">
        <v>45069.416666666664</v>
      </c>
      <c r="Y250" s="79">
        <v>45070.958333333336</v>
      </c>
      <c r="Z250" s="66" t="s">
        <v>293</v>
      </c>
      <c r="AA250" s="79">
        <v>45070.253472222219</v>
      </c>
      <c r="AB250" s="79">
        <v>45068.791666666664</v>
      </c>
      <c r="AC250" s="79">
        <v>45069.75</v>
      </c>
      <c r="AD250" s="79">
        <v>45073.708333333336</v>
      </c>
      <c r="AE250" s="66" t="s">
        <v>2743</v>
      </c>
      <c r="AF250" s="44">
        <v>16136</v>
      </c>
      <c r="AG250" s="254">
        <f>Prog_23[[#This Row],[SAÍDA DO CLIENTE]]-Prog_23[[#This Row],[PROGRAMAÇÃO CLIENTE]]</f>
        <v>1.5</v>
      </c>
      <c r="AH250" s="85"/>
      <c r="AI250" s="66"/>
      <c r="AJ250" s="66"/>
      <c r="AK250" s="66"/>
      <c r="AL250" s="66"/>
      <c r="AM250" s="66"/>
      <c r="AN250" s="83"/>
      <c r="AO250" s="83"/>
      <c r="AP250" s="83"/>
      <c r="AQ250" s="66"/>
      <c r="AR250" s="66"/>
      <c r="AS250" s="66"/>
      <c r="AT250" s="81">
        <v>3200</v>
      </c>
      <c r="AU250" s="81"/>
      <c r="AV250" s="81"/>
      <c r="AW250" s="81"/>
      <c r="AX250" s="83">
        <f>SUM(Prog_23[[#This Row],[ADIANTAMENTO]]+Prog_23[[#This Row],[SALDO]]+Prog_23[[#This Row],[MARGEM]]+Prog_23[[#This Row],[ESTADIA 1]])</f>
        <v>3200</v>
      </c>
      <c r="AY2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4845</v>
      </c>
      <c r="AZ250" s="81">
        <v>3488.8</v>
      </c>
      <c r="BA250" s="81">
        <v>115908.6</v>
      </c>
      <c r="BB250" s="81">
        <v>0</v>
      </c>
      <c r="BC250" s="81">
        <v>0</v>
      </c>
      <c r="BD250" s="81">
        <v>511.2</v>
      </c>
      <c r="BE250" s="81"/>
      <c r="BF250" s="81"/>
      <c r="BG250" s="81"/>
      <c r="BH250" s="81"/>
      <c r="BI250" s="81"/>
      <c r="BJ250" s="81"/>
      <c r="BK250" s="81"/>
      <c r="BL250" s="81">
        <v>250</v>
      </c>
      <c r="BM250" s="81">
        <f>85*7</f>
        <v>595</v>
      </c>
      <c r="BN250" s="66" t="s">
        <v>2768</v>
      </c>
      <c r="BO250" s="66" t="s">
        <v>2768</v>
      </c>
      <c r="BP250" s="66" t="s">
        <v>2768</v>
      </c>
      <c r="BQ250" s="66" t="str">
        <f>PROPER(TEXT(Prog_23[[#This Row],[PROGRAMAÇÃO CLIENTE]],"mmm"))</f>
        <v>Mai</v>
      </c>
      <c r="BR250" s="66">
        <f>YEAR(Prog_23[[#This Row],[PROGRAMAÇÃO CLIENTE]])</f>
        <v>2023</v>
      </c>
    </row>
    <row r="251" spans="1:70" x14ac:dyDescent="0.25">
      <c r="A251" s="200" t="str">
        <f>Prog_23[[#This Row],[CONTEINER]]</f>
        <v>TGBU6065766</v>
      </c>
      <c r="B251" s="86" t="s">
        <v>2771</v>
      </c>
      <c r="C2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1" s="85">
        <v>45069.541666666664</v>
      </c>
      <c r="E251" s="66" t="s">
        <v>297</v>
      </c>
      <c r="F251" s="66" t="s">
        <v>298</v>
      </c>
      <c r="G251" s="66" t="s">
        <v>4683</v>
      </c>
      <c r="H251" s="44">
        <v>62225319</v>
      </c>
      <c r="I251" s="44" t="s">
        <v>4772</v>
      </c>
      <c r="J251" s="66" t="s">
        <v>301</v>
      </c>
      <c r="K251" s="66">
        <v>3700</v>
      </c>
      <c r="L251" s="66" t="s">
        <v>4775</v>
      </c>
      <c r="M251" s="66">
        <v>21222</v>
      </c>
      <c r="N251" s="66">
        <f>SUM(Prog_23[[#This Row],[TARA]]+Prog_23[[#This Row],[PESO]])</f>
        <v>24922</v>
      </c>
      <c r="O251" s="44">
        <v>863016</v>
      </c>
      <c r="P251" s="66" t="s">
        <v>4614</v>
      </c>
      <c r="Q251" s="66" t="s">
        <v>4790</v>
      </c>
      <c r="R251" s="66" t="s">
        <v>4740</v>
      </c>
      <c r="S251" s="66" t="s">
        <v>4741</v>
      </c>
      <c r="T251" s="138" t="str">
        <f>IFERROR(LOOKUP($S251,MOTORISTAS!$D$3:$D$916,MOTORISTAS!E$3:$E$916),"")</f>
        <v>05499539812</v>
      </c>
      <c r="U251" s="138" t="str">
        <f>IFERROR(LOOKUP($S251,MOTORISTAS!$D$3:$D$916,MOTORISTAS!F$3:$F$916),"")</f>
        <v>01862455850</v>
      </c>
      <c r="V251" s="66" t="s">
        <v>537</v>
      </c>
      <c r="W251" s="79">
        <v>45068.881249999999</v>
      </c>
      <c r="X251" s="79">
        <v>45069.333333333336</v>
      </c>
      <c r="Y251" s="79">
        <v>45070.854166666664</v>
      </c>
      <c r="Z251" s="66" t="s">
        <v>293</v>
      </c>
      <c r="AA251" s="79">
        <v>45070.061111111114</v>
      </c>
      <c r="AB251" s="79">
        <v>45068.791666666664</v>
      </c>
      <c r="AC251" s="79">
        <v>45069.75</v>
      </c>
      <c r="AD251" s="79">
        <v>45073.708333333336</v>
      </c>
      <c r="AE251" s="66" t="s">
        <v>2743</v>
      </c>
      <c r="AF251" s="44">
        <v>16135</v>
      </c>
      <c r="AG251" s="254">
        <f>Prog_23[[#This Row],[SAÍDA DO CLIENTE]]-Prog_23[[#This Row],[PROGRAMAÇÃO CLIENTE]]</f>
        <v>1.3125</v>
      </c>
      <c r="AH251" s="85"/>
      <c r="AI251" s="66"/>
      <c r="AJ251" s="66"/>
      <c r="AK251" s="66"/>
      <c r="AL251" s="66"/>
      <c r="AM251" s="66"/>
      <c r="AN251" s="83"/>
      <c r="AO251" s="83"/>
      <c r="AP251" s="83"/>
      <c r="AQ251" s="66"/>
      <c r="AR251" s="66"/>
      <c r="AS251" s="66"/>
      <c r="AT251" s="81">
        <v>3200</v>
      </c>
      <c r="AU251" s="81"/>
      <c r="AV251" s="81"/>
      <c r="AW251" s="81"/>
      <c r="AX251" s="83">
        <f>SUM(Prog_23[[#This Row],[ADIANTAMENTO]]+Prog_23[[#This Row],[SALDO]]+Prog_23[[#This Row],[MARGEM]]+Prog_23[[#This Row],[ESTADIA 1]])</f>
        <v>3200</v>
      </c>
      <c r="AY2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4420</v>
      </c>
      <c r="AZ251" s="81">
        <v>3488.8</v>
      </c>
      <c r="BA251" s="81">
        <v>170042.4</v>
      </c>
      <c r="BB251" s="81">
        <v>0</v>
      </c>
      <c r="BC251" s="81">
        <v>0</v>
      </c>
      <c r="BD251" s="81">
        <v>511.2</v>
      </c>
      <c r="BE251" s="81"/>
      <c r="BF251" s="81"/>
      <c r="BG251" s="81"/>
      <c r="BH251" s="81"/>
      <c r="BI251" s="81"/>
      <c r="BJ251" s="81"/>
      <c r="BK251" s="81"/>
      <c r="BL251" s="81">
        <v>250</v>
      </c>
      <c r="BM251" s="81">
        <f>85*2</f>
        <v>170</v>
      </c>
      <c r="BN251" s="66" t="s">
        <v>2768</v>
      </c>
      <c r="BO251" s="66" t="s">
        <v>2768</v>
      </c>
      <c r="BP251" s="66" t="s">
        <v>2768</v>
      </c>
      <c r="BQ251" s="66" t="str">
        <f>PROPER(TEXT(Prog_23[[#This Row],[PROGRAMAÇÃO CLIENTE]],"mmm"))</f>
        <v>Mai</v>
      </c>
      <c r="BR251" s="66">
        <f>YEAR(Prog_23[[#This Row],[PROGRAMAÇÃO CLIENTE]])</f>
        <v>2023</v>
      </c>
    </row>
    <row r="252" spans="1:70" x14ac:dyDescent="0.25">
      <c r="A252" s="201" t="str">
        <f>Prog_23[[#This Row],[CONTEINER]]</f>
        <v>SEKU6316392</v>
      </c>
      <c r="B252" s="86" t="s">
        <v>2771</v>
      </c>
      <c r="C2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2" s="85">
        <v>45069.541666666664</v>
      </c>
      <c r="E252" s="66" t="s">
        <v>297</v>
      </c>
      <c r="F252" s="66" t="s">
        <v>298</v>
      </c>
      <c r="G252" s="66" t="s">
        <v>4684</v>
      </c>
      <c r="H252" s="44">
        <v>62225319</v>
      </c>
      <c r="I252" s="44" t="s">
        <v>4778</v>
      </c>
      <c r="J252" s="66" t="s">
        <v>301</v>
      </c>
      <c r="K252" s="66">
        <v>3700</v>
      </c>
      <c r="L252" s="66" t="s">
        <v>4779</v>
      </c>
      <c r="M252" s="66">
        <v>21222</v>
      </c>
      <c r="N252" s="66">
        <f>SUM(Prog_23[[#This Row],[TARA]]+Prog_23[[#This Row],[PESO]])</f>
        <v>24922</v>
      </c>
      <c r="O252" s="44">
        <v>863045</v>
      </c>
      <c r="P252" s="66" t="s">
        <v>4614</v>
      </c>
      <c r="Q252" s="66" t="s">
        <v>2622</v>
      </c>
      <c r="R252" s="66" t="s">
        <v>2623</v>
      </c>
      <c r="S252" s="66" t="s">
        <v>2624</v>
      </c>
      <c r="T252" s="138" t="str">
        <f>IFERROR(LOOKUP($S252,MOTORISTAS!$D$3:$D$916,MOTORISTAS!E$3:$E$916),"")</f>
        <v>31147992568</v>
      </c>
      <c r="U252" s="138" t="str">
        <f>IFERROR(LOOKUP($S252,MOTORISTAS!$D$3:$D$916,MOTORISTAS!F$3:$F$916),"")</f>
        <v>03359999478</v>
      </c>
      <c r="V252" s="66" t="s">
        <v>537</v>
      </c>
      <c r="W252" s="79">
        <v>45069.352083333331</v>
      </c>
      <c r="X252" s="79">
        <v>45069.541666666664</v>
      </c>
      <c r="Y252" s="79">
        <v>45070.5</v>
      </c>
      <c r="Z252" s="66" t="s">
        <v>293</v>
      </c>
      <c r="AA252" s="79">
        <v>45070.734027777777</v>
      </c>
      <c r="AB252" s="79">
        <v>45068.791666666664</v>
      </c>
      <c r="AC252" s="79">
        <v>45069.75</v>
      </c>
      <c r="AD252" s="79">
        <v>45073.708333333336</v>
      </c>
      <c r="AE252" s="66" t="s">
        <v>2743</v>
      </c>
      <c r="AF252" s="44">
        <v>16156</v>
      </c>
      <c r="AG252" s="254">
        <f>Prog_23[[#This Row],[SAÍDA DO CLIENTE]]-Prog_23[[#This Row],[PROGRAMAÇÃO CLIENTE]]</f>
        <v>0.95833333333575865</v>
      </c>
      <c r="AH252" s="85"/>
      <c r="AI252" s="66"/>
      <c r="AJ252" s="66"/>
      <c r="AK252" s="66"/>
      <c r="AL252" s="66"/>
      <c r="AM252" s="66"/>
      <c r="AN252" s="83"/>
      <c r="AO252" s="83"/>
      <c r="AP252" s="83"/>
      <c r="AQ252" s="66"/>
      <c r="AR252" s="66"/>
      <c r="AS252" s="66"/>
      <c r="AT252" s="81">
        <v>3400</v>
      </c>
      <c r="AU252" s="81"/>
      <c r="AV252" s="81"/>
      <c r="AW252" s="81">
        <v>400</v>
      </c>
      <c r="AX252" s="83">
        <f>SUM(Prog_23[[#This Row],[ADIANTAMENTO]]+Prog_23[[#This Row],[SALDO]]+Prog_23[[#This Row],[MARGEM]]+Prog_23[[#This Row],[ESTADIA 1]])</f>
        <v>3800</v>
      </c>
      <c r="AY2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5780</v>
      </c>
      <c r="AZ252" s="81">
        <v>3488.8</v>
      </c>
      <c r="BA252" s="81">
        <v>170042.4</v>
      </c>
      <c r="BB252" s="81">
        <v>0</v>
      </c>
      <c r="BC252" s="81">
        <v>0</v>
      </c>
      <c r="BD252" s="81">
        <v>511.2</v>
      </c>
      <c r="BE252" s="81"/>
      <c r="BF252" s="81"/>
      <c r="BG252" s="81"/>
      <c r="BH252" s="81"/>
      <c r="BI252" s="81"/>
      <c r="BJ252" s="81"/>
      <c r="BK252" s="81"/>
      <c r="BL252" s="81">
        <v>250</v>
      </c>
      <c r="BM252" s="81">
        <f>85*18</f>
        <v>1530</v>
      </c>
      <c r="BN252" s="66" t="s">
        <v>2768</v>
      </c>
      <c r="BO252" s="66" t="s">
        <v>2768</v>
      </c>
      <c r="BP252" s="66" t="s">
        <v>2768</v>
      </c>
      <c r="BQ252" s="66" t="str">
        <f>PROPER(TEXT(Prog_23[[#This Row],[PROGRAMAÇÃO CLIENTE]],"mmm"))</f>
        <v>Mai</v>
      </c>
      <c r="BR252" s="66">
        <f>YEAR(Prog_23[[#This Row],[PROGRAMAÇÃO CLIENTE]])</f>
        <v>2023</v>
      </c>
    </row>
    <row r="253" spans="1:70" x14ac:dyDescent="0.25">
      <c r="A253" s="200" t="str">
        <f>Prog_23[[#This Row],[CONTEINER]]</f>
        <v>GESU6802796</v>
      </c>
      <c r="B253" s="86" t="s">
        <v>2771</v>
      </c>
      <c r="C2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3" s="85">
        <v>45069.583333333336</v>
      </c>
      <c r="E253" s="66" t="s">
        <v>297</v>
      </c>
      <c r="F253" s="66" t="s">
        <v>298</v>
      </c>
      <c r="G253" s="66" t="s">
        <v>4685</v>
      </c>
      <c r="H253" s="44">
        <v>62225319</v>
      </c>
      <c r="I253" s="44" t="s">
        <v>4781</v>
      </c>
      <c r="J253" s="66" t="s">
        <v>301</v>
      </c>
      <c r="K253" s="66">
        <v>3850</v>
      </c>
      <c r="L253" s="66" t="s">
        <v>4782</v>
      </c>
      <c r="M253" s="66">
        <v>23873</v>
      </c>
      <c r="N253" s="66">
        <f>SUM(Prog_23[[#This Row],[TARA]]+Prog_23[[#This Row],[PESO]])</f>
        <v>27723</v>
      </c>
      <c r="O253" s="44">
        <v>863042</v>
      </c>
      <c r="P253" s="66" t="s">
        <v>4614</v>
      </c>
      <c r="Q253" s="66" t="s">
        <v>210</v>
      </c>
      <c r="R253" s="66" t="s">
        <v>211</v>
      </c>
      <c r="S253" s="66" t="s">
        <v>212</v>
      </c>
      <c r="T253" s="138" t="str">
        <f>IFERROR(LOOKUP($S253,MOTORISTAS!$D$3:$D$916,MOTORISTAS!E$3:$E$916),"")</f>
        <v>38029906846</v>
      </c>
      <c r="U253" s="138" t="str">
        <f>IFERROR(LOOKUP($S253,MOTORISTAS!$D$3:$D$916,MOTORISTAS!F$3:$F$916),"")</f>
        <v>04946846842</v>
      </c>
      <c r="V253" s="66" t="s">
        <v>537</v>
      </c>
      <c r="W253" s="79">
        <v>45069.39166666667</v>
      </c>
      <c r="X253" s="79">
        <v>45069.552083333336</v>
      </c>
      <c r="Y253" s="79">
        <v>45070.5</v>
      </c>
      <c r="Z253" s="66" t="s">
        <v>293</v>
      </c>
      <c r="AA253" s="79">
        <v>45070.65902777778</v>
      </c>
      <c r="AB253" s="79">
        <v>45068.791666666664</v>
      </c>
      <c r="AC253" s="79">
        <v>45069.75</v>
      </c>
      <c r="AD253" s="79">
        <v>45073.708333333336</v>
      </c>
      <c r="AE253" s="66" t="s">
        <v>2743</v>
      </c>
      <c r="AF253" s="44">
        <v>16157</v>
      </c>
      <c r="AG253" s="254">
        <f>Prog_23[[#This Row],[SAÍDA DO CLIENTE]]-Prog_23[[#This Row],[PROGRAMAÇÃO CLIENTE]]</f>
        <v>0.91666666666424135</v>
      </c>
      <c r="AH253" s="85"/>
      <c r="AI253" s="66"/>
      <c r="AJ253" s="66"/>
      <c r="AK253" s="66"/>
      <c r="AL253" s="66"/>
      <c r="AM253" s="66"/>
      <c r="AN253" s="83"/>
      <c r="AO253" s="83"/>
      <c r="AP253" s="83"/>
      <c r="AQ253" s="66"/>
      <c r="AR253" s="66"/>
      <c r="AS253" s="66"/>
      <c r="AT253" s="81">
        <v>0</v>
      </c>
      <c r="AU253" s="81">
        <v>573.1</v>
      </c>
      <c r="AV253" s="81"/>
      <c r="AW253" s="81"/>
      <c r="AX253" s="83">
        <f>SUM(Prog_23[[#This Row],[ADIANTAMENTO]]+Prog_23[[#This Row],[SALDO]]+Prog_23[[#This Row],[MARGEM]]+Prog_23[[#This Row],[ESTADIA 1]])</f>
        <v>573.1</v>
      </c>
      <c r="AY2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5695</v>
      </c>
      <c r="AZ253" s="81">
        <v>3488.8</v>
      </c>
      <c r="BA253" s="81">
        <v>171666</v>
      </c>
      <c r="BB253" s="81">
        <v>0</v>
      </c>
      <c r="BC253" s="81">
        <v>0</v>
      </c>
      <c r="BD253" s="81">
        <v>511.2</v>
      </c>
      <c r="BE253" s="81"/>
      <c r="BF253" s="81"/>
      <c r="BG253" s="81"/>
      <c r="BH253" s="81"/>
      <c r="BI253" s="81"/>
      <c r="BJ253" s="81"/>
      <c r="BK253" s="81"/>
      <c r="BL253" s="81">
        <v>250</v>
      </c>
      <c r="BM253" s="81">
        <f>85*17</f>
        <v>1445</v>
      </c>
      <c r="BN253" s="66" t="s">
        <v>2768</v>
      </c>
      <c r="BO253" s="66" t="s">
        <v>2768</v>
      </c>
      <c r="BP253" s="66" t="s">
        <v>2768</v>
      </c>
      <c r="BQ253" s="66" t="str">
        <f>PROPER(TEXT(Prog_23[[#This Row],[PROGRAMAÇÃO CLIENTE]],"mmm"))</f>
        <v>Mai</v>
      </c>
      <c r="BR253" s="66">
        <f>YEAR(Prog_23[[#This Row],[PROGRAMAÇÃO CLIENTE]])</f>
        <v>2023</v>
      </c>
    </row>
    <row r="254" spans="1:70" x14ac:dyDescent="0.25">
      <c r="A254" s="201" t="str">
        <f>Prog_23[[#This Row],[CONTEINER]]</f>
        <v>TRHU7889579</v>
      </c>
      <c r="B254" s="86" t="s">
        <v>2771</v>
      </c>
      <c r="C2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4" s="85">
        <v>45065.291666666664</v>
      </c>
      <c r="E254" s="66" t="s">
        <v>2333</v>
      </c>
      <c r="F254" s="66" t="s">
        <v>1639</v>
      </c>
      <c r="G254" s="66" t="s">
        <v>4656</v>
      </c>
      <c r="H254" s="44" t="s">
        <v>4653</v>
      </c>
      <c r="I254" s="44" t="s">
        <v>4657</v>
      </c>
      <c r="J254" s="66" t="s">
        <v>301</v>
      </c>
      <c r="K254" s="66">
        <v>3700</v>
      </c>
      <c r="L254" s="66" t="s">
        <v>4688</v>
      </c>
      <c r="M254" s="66">
        <v>21046</v>
      </c>
      <c r="N254" s="66">
        <f>SUM(Prog_23[[#This Row],[TARA]]+Prog_23[[#This Row],[PESO]])</f>
        <v>24746</v>
      </c>
      <c r="O254" s="44" t="s">
        <v>4689</v>
      </c>
      <c r="P254" s="66" t="s">
        <v>4658</v>
      </c>
      <c r="Q254" s="66" t="s">
        <v>92</v>
      </c>
      <c r="R254" s="66" t="s">
        <v>93</v>
      </c>
      <c r="S254" s="66" t="s">
        <v>94</v>
      </c>
      <c r="T254" s="138" t="str">
        <f>IFERROR(LOOKUP($S254,MOTORISTAS!$D$3:$D$916,MOTORISTAS!E$3:$E$916),"")</f>
        <v>26283419801</v>
      </c>
      <c r="U254" s="138" t="str">
        <f>IFERROR(LOOKUP($S254,MOTORISTAS!$D$3:$D$916,MOTORISTAS!F$3:$F$916),"")</f>
        <v>02002046946</v>
      </c>
      <c r="V254" s="66" t="s">
        <v>1805</v>
      </c>
      <c r="W254" s="79">
        <v>45064.458333333336</v>
      </c>
      <c r="X254" s="79">
        <v>45064.882638888892</v>
      </c>
      <c r="Y254" s="79">
        <v>45065.604166666664</v>
      </c>
      <c r="Z254" s="66" t="s">
        <v>469</v>
      </c>
      <c r="AA254" s="79">
        <v>45068.822222222225</v>
      </c>
      <c r="AB254" s="79">
        <v>45047.75</v>
      </c>
      <c r="AC254" s="79">
        <v>45047.75</v>
      </c>
      <c r="AD254" s="79">
        <v>45047.75</v>
      </c>
      <c r="AE254" s="66" t="s">
        <v>4723</v>
      </c>
      <c r="AF254" s="44" t="s">
        <v>4709</v>
      </c>
      <c r="AG254" s="254">
        <f>Prog_23[[#This Row],[SAÍDA DO CLIENTE]]-Prog_23[[#This Row],[PROGRAMAÇÃO CLIENTE]]</f>
        <v>0.3125</v>
      </c>
      <c r="AH254" s="44"/>
      <c r="AI254" s="66"/>
      <c r="AJ254" s="66"/>
      <c r="AK254" s="66"/>
      <c r="AL254" s="66"/>
      <c r="AM254" s="66"/>
      <c r="AN254" s="83"/>
      <c r="AO254" s="83"/>
      <c r="AP254" s="83"/>
      <c r="AQ254" s="66" t="s">
        <v>610</v>
      </c>
      <c r="AR254" s="66"/>
      <c r="AS254" s="81">
        <v>70</v>
      </c>
      <c r="AT254" s="81">
        <v>8000</v>
      </c>
      <c r="AU254" s="81"/>
      <c r="AV254" s="81"/>
      <c r="AW254" s="81"/>
      <c r="AX254" s="83">
        <f>SUM(Prog_23[[#This Row],[ADIANTAMENTO]]+Prog_23[[#This Row],[SALDO]]+Prog_23[[#This Row],[MARGEM]]+Prog_23[[#This Row],[ESTADIA 1]])</f>
        <v>8000</v>
      </c>
      <c r="AY2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10950</v>
      </c>
      <c r="AZ254" s="81">
        <v>8678</v>
      </c>
      <c r="BA254" s="81">
        <v>501735.85</v>
      </c>
      <c r="BB254" s="81">
        <v>0</v>
      </c>
      <c r="BC254" s="81">
        <v>0</v>
      </c>
      <c r="BD254" s="81">
        <v>958</v>
      </c>
      <c r="BE254" s="81"/>
      <c r="BF254" s="81"/>
      <c r="BG254" s="81"/>
      <c r="BH254" s="81"/>
      <c r="BI254" s="81">
        <v>1314</v>
      </c>
      <c r="BJ254" s="81"/>
      <c r="BK254" s="81"/>
      <c r="BL254" s="81"/>
      <c r="BM254" s="81"/>
      <c r="BN254" s="66" t="s">
        <v>2768</v>
      </c>
      <c r="BO254" s="66" t="s">
        <v>2768</v>
      </c>
      <c r="BP254" s="66" t="s">
        <v>2768</v>
      </c>
      <c r="BQ254" s="66" t="str">
        <f>PROPER(TEXT(Prog_23[[#This Row],[PROGRAMAÇÃO CLIENTE]],"mmm"))</f>
        <v>Mai</v>
      </c>
      <c r="BR254" s="66">
        <f>YEAR(Prog_23[[#This Row],[PROGRAMAÇÃO CLIENTE]])</f>
        <v>2023</v>
      </c>
    </row>
    <row r="255" spans="1:70" x14ac:dyDescent="0.25">
      <c r="A255" s="200" t="str">
        <f>Prog_23[[#This Row],[CONTEINER]]</f>
        <v>CMAU5521541</v>
      </c>
      <c r="B255" s="86" t="s">
        <v>2771</v>
      </c>
      <c r="C2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5" s="85">
        <v>45065.333333333336</v>
      </c>
      <c r="E255" s="66" t="s">
        <v>4480</v>
      </c>
      <c r="F255" s="66" t="s">
        <v>4491</v>
      </c>
      <c r="G255" s="66" t="s">
        <v>4661</v>
      </c>
      <c r="H255" s="44" t="s">
        <v>4579</v>
      </c>
      <c r="I255" s="44" t="s">
        <v>4711</v>
      </c>
      <c r="J255" s="66" t="s">
        <v>301</v>
      </c>
      <c r="K255" s="66">
        <v>3860</v>
      </c>
      <c r="L255" s="66" t="s">
        <v>4710</v>
      </c>
      <c r="M255" s="66">
        <v>18432</v>
      </c>
      <c r="N255" s="66">
        <f>SUM(Prog_23[[#This Row],[TARA]]+Prog_23[[#This Row],[PESO]])</f>
        <v>22292</v>
      </c>
      <c r="O255" s="44">
        <v>5048</v>
      </c>
      <c r="P255" s="66" t="s">
        <v>4580</v>
      </c>
      <c r="Q255" s="66" t="s">
        <v>102</v>
      </c>
      <c r="R255" s="66" t="s">
        <v>27</v>
      </c>
      <c r="S255" s="66" t="s">
        <v>206</v>
      </c>
      <c r="T255" s="138" t="str">
        <f>IFERROR(LOOKUP($S255,MOTORISTAS!$D$3:$D$916,MOTORISTAS!E$3:$E$916),"")</f>
        <v>09085263425</v>
      </c>
      <c r="U255" s="138" t="str">
        <f>IFERROR(LOOKUP($S255,MOTORISTAS!$D$3:$D$916,MOTORISTAS!F$3:$F$916),"")</f>
        <v>04557705505</v>
      </c>
      <c r="V255" s="66" t="s">
        <v>537</v>
      </c>
      <c r="W255" s="79">
        <v>45064.763888888891</v>
      </c>
      <c r="X255" s="79">
        <v>45065.304861111108</v>
      </c>
      <c r="Y255" s="79">
        <v>45065.515972222223</v>
      </c>
      <c r="Z255" s="66" t="s">
        <v>293</v>
      </c>
      <c r="AA255" s="79">
        <v>45065.740277777775</v>
      </c>
      <c r="AB255" s="79">
        <v>45065.291666666664</v>
      </c>
      <c r="AC255" s="79">
        <v>45063.416666666664</v>
      </c>
      <c r="AD255" s="79">
        <v>45065.5</v>
      </c>
      <c r="AE255" s="66" t="s">
        <v>4581</v>
      </c>
      <c r="AF255" s="44" t="s">
        <v>4722</v>
      </c>
      <c r="AG255" s="254">
        <f>Prog_23[[#This Row],[SAÍDA DO CLIENTE]]-Prog_23[[#This Row],[PROGRAMAÇÃO CLIENTE]]</f>
        <v>0.18263888888759539</v>
      </c>
      <c r="AH255" s="44"/>
      <c r="AI255" s="66"/>
      <c r="AJ255" s="66"/>
      <c r="AK255" s="66"/>
      <c r="AL255" s="66"/>
      <c r="AM255" s="66"/>
      <c r="AN255" s="83"/>
      <c r="AO255" s="83"/>
      <c r="AP255" s="83"/>
      <c r="AQ255" s="66"/>
      <c r="AR255" s="66"/>
      <c r="AS255" s="66"/>
      <c r="AT255" s="81">
        <v>1600</v>
      </c>
      <c r="AU255" s="81"/>
      <c r="AV255" s="81"/>
      <c r="AW255" s="81"/>
      <c r="AX255" s="83">
        <f>SUM(Prog_23[[#This Row],[ADIANTAMENTO]]+Prog_23[[#This Row],[SALDO]]+Prog_23[[#This Row],[MARGEM]]+Prog_23[[#This Row],[ESTADIA 1]])</f>
        <v>1600</v>
      </c>
      <c r="AY2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4950</v>
      </c>
      <c r="AZ255" s="81">
        <v>4245.6000000000004</v>
      </c>
      <c r="BA255" s="81">
        <v>378527.72</v>
      </c>
      <c r="BB255" s="81">
        <v>0</v>
      </c>
      <c r="BC255" s="81">
        <v>0</v>
      </c>
      <c r="BD255" s="81">
        <v>254.4</v>
      </c>
      <c r="BE255" s="81"/>
      <c r="BF255" s="81"/>
      <c r="BG255" s="81"/>
      <c r="BH255" s="81"/>
      <c r="BI255" s="81"/>
      <c r="BJ255" s="81">
        <v>100</v>
      </c>
      <c r="BK255" s="81"/>
      <c r="BL255" s="81">
        <v>350</v>
      </c>
      <c r="BM255" s="81"/>
      <c r="BN255" s="66" t="s">
        <v>2768</v>
      </c>
      <c r="BO255" s="66" t="s">
        <v>2768</v>
      </c>
      <c r="BP255" s="66" t="s">
        <v>2768</v>
      </c>
      <c r="BQ255" s="66" t="str">
        <f>PROPER(TEXT(Prog_23[[#This Row],[PROGRAMAÇÃO CLIENTE]],"mmm"))</f>
        <v>Mai</v>
      </c>
      <c r="BR255" s="66">
        <f>YEAR(Prog_23[[#This Row],[PROGRAMAÇÃO CLIENTE]])</f>
        <v>2023</v>
      </c>
    </row>
    <row r="256" spans="1:70" x14ac:dyDescent="0.25">
      <c r="A256" s="200" t="str">
        <f>Prog_23[[#This Row],[CONTEINER]]</f>
        <v>TCLU3460306</v>
      </c>
      <c r="B256" s="86" t="s">
        <v>2771</v>
      </c>
      <c r="C2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6" s="85">
        <v>45068.291666666664</v>
      </c>
      <c r="E256" s="66" t="s">
        <v>696</v>
      </c>
      <c r="F256" s="66" t="s">
        <v>697</v>
      </c>
      <c r="G256" s="66" t="s">
        <v>4692</v>
      </c>
      <c r="H256" s="44" t="s">
        <v>4693</v>
      </c>
      <c r="I256" s="44" t="s">
        <v>4690</v>
      </c>
      <c r="J256" s="66" t="s">
        <v>288</v>
      </c>
      <c r="K256" s="66">
        <v>2280</v>
      </c>
      <c r="L256" s="66">
        <v>1372407</v>
      </c>
      <c r="M256" s="66">
        <v>9739</v>
      </c>
      <c r="N256" s="66">
        <f>SUM(Prog_23[[#This Row],[TARA]]+Prog_23[[#This Row],[PESO]])</f>
        <v>12019</v>
      </c>
      <c r="O256" s="44" t="s">
        <v>4734</v>
      </c>
      <c r="P256" s="66" t="s">
        <v>4691</v>
      </c>
      <c r="Q256" s="66" t="s">
        <v>102</v>
      </c>
      <c r="R256" s="66" t="s">
        <v>3246</v>
      </c>
      <c r="S256" s="66" t="s">
        <v>206</v>
      </c>
      <c r="T256" s="138" t="str">
        <f>IFERROR(LOOKUP($S256,MOTORISTAS!$D$3:$D$916,MOTORISTAS!E$3:$E$916),"")</f>
        <v>09085263425</v>
      </c>
      <c r="U256" s="138" t="str">
        <f>IFERROR(LOOKUP($S256,MOTORISTAS!$D$3:$D$916,MOTORISTAS!F$3:$F$916),"")</f>
        <v>04557705505</v>
      </c>
      <c r="V256" s="66" t="s">
        <v>293</v>
      </c>
      <c r="W256" s="79">
        <v>45068.056944444441</v>
      </c>
      <c r="X256" s="79">
        <v>45068.138888888891</v>
      </c>
      <c r="Y256" s="79">
        <v>45068.333333333336</v>
      </c>
      <c r="Z256" s="66" t="s">
        <v>526</v>
      </c>
      <c r="AA256" s="79">
        <v>45068.651388888888</v>
      </c>
      <c r="AB256" s="79">
        <v>45068.333333333336</v>
      </c>
      <c r="AC256" s="79">
        <v>45068.333333333336</v>
      </c>
      <c r="AD256" s="79">
        <v>45068.333333333336</v>
      </c>
      <c r="AE256" s="66" t="s">
        <v>708</v>
      </c>
      <c r="AF256" s="44"/>
      <c r="AG256" s="254">
        <f>Prog_23[[#This Row],[SAÍDA DO CLIENTE]]-Prog_23[[#This Row],[PROGRAMAÇÃO CLIENTE]]</f>
        <v>4.1666666671517305E-2</v>
      </c>
      <c r="AH256" s="44"/>
      <c r="AI256" s="66"/>
      <c r="AJ256" s="66"/>
      <c r="AK256" s="66"/>
      <c r="AL256" s="66"/>
      <c r="AM256" s="66"/>
      <c r="AN256" s="83"/>
      <c r="AO256" s="83"/>
      <c r="AP256" s="83"/>
      <c r="AQ256" s="66"/>
      <c r="AR256" s="66"/>
      <c r="AS256" s="66"/>
      <c r="AT256" s="81"/>
      <c r="AU256" s="81"/>
      <c r="AV256" s="81"/>
      <c r="AW256" s="81"/>
      <c r="AX256" s="83">
        <f>SUM(Prog_23[[#This Row],[ADIANTAMENTO]]+Prog_23[[#This Row],[SALDO]]+Prog_23[[#This Row],[MARGEM]]+Prog_23[[#This Row],[ESTADIA 1]])</f>
        <v>0</v>
      </c>
      <c r="AY256" s="83"/>
      <c r="AZ256" s="81"/>
      <c r="BA256" s="81"/>
      <c r="BB256" s="81">
        <f>Prog_23[[#This Row],[VLR NF]]*0.1%</f>
        <v>0</v>
      </c>
      <c r="BC256" s="81">
        <f>Prog_23[[#This Row],[VLR NF]]*0.05%</f>
        <v>0</v>
      </c>
      <c r="BD256" s="81"/>
      <c r="BE256" s="81"/>
      <c r="BF256" s="81"/>
      <c r="BG256" s="81"/>
      <c r="BH256" s="81"/>
      <c r="BI256" s="81"/>
      <c r="BJ256" s="81"/>
      <c r="BK256" s="81"/>
      <c r="BL256" s="81"/>
      <c r="BM256" s="81"/>
      <c r="BN256" s="66" t="s">
        <v>2768</v>
      </c>
      <c r="BO256" s="66"/>
      <c r="BP256" s="66"/>
      <c r="BQ256" s="66" t="str">
        <f>PROPER(TEXT(Prog_23[[#This Row],[PROGRAMAÇÃO CLIENTE]],"mmm"))</f>
        <v>Mai</v>
      </c>
      <c r="BR256" s="66">
        <f>YEAR(Prog_23[[#This Row],[PROGRAMAÇÃO CLIENTE]])</f>
        <v>2023</v>
      </c>
    </row>
    <row r="257" spans="1:70" x14ac:dyDescent="0.25">
      <c r="A257" s="201" t="str">
        <f>Prog_23[[#This Row],[CONTEINER]]</f>
        <v>TCKU4002337</v>
      </c>
      <c r="B257" s="86" t="s">
        <v>2771</v>
      </c>
      <c r="C2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7" s="85">
        <v>45068.333333333336</v>
      </c>
      <c r="E257" s="66" t="s">
        <v>353</v>
      </c>
      <c r="F257" s="66" t="s">
        <v>4726</v>
      </c>
      <c r="G257" s="66"/>
      <c r="H257" s="44" t="s">
        <v>4730</v>
      </c>
      <c r="I257" s="44" t="s">
        <v>4728</v>
      </c>
      <c r="J257" s="66" t="s">
        <v>2183</v>
      </c>
      <c r="K257" s="66">
        <v>3660</v>
      </c>
      <c r="L257" s="66">
        <v>312672</v>
      </c>
      <c r="M257" s="66">
        <v>19060</v>
      </c>
      <c r="N257" s="66">
        <f>SUM(Prog_23[[#This Row],[TARA]]+Prog_23[[#This Row],[PESO]])</f>
        <v>22720</v>
      </c>
      <c r="O257" s="44">
        <v>53311</v>
      </c>
      <c r="P257" s="66" t="s">
        <v>4814</v>
      </c>
      <c r="Q257" s="66" t="s">
        <v>31</v>
      </c>
      <c r="R257" s="66" t="s">
        <v>32</v>
      </c>
      <c r="S257" s="66" t="s">
        <v>33</v>
      </c>
      <c r="T257" s="138" t="str">
        <f>IFERROR(LOOKUP($S257,MOTORISTAS!$D$3:$D$916,MOTORISTAS!E$3:$E$916),"")</f>
        <v>09776430856</v>
      </c>
      <c r="U257" s="138" t="str">
        <f>IFERROR(LOOKUP($S257,MOTORISTAS!$D$3:$D$916,MOTORISTAS!F$3:$F$916),"")</f>
        <v>01258979905</v>
      </c>
      <c r="V257" s="66" t="s">
        <v>1569</v>
      </c>
      <c r="W257" s="79">
        <v>45066.4375</v>
      </c>
      <c r="X257" s="79">
        <v>45068.229166666664</v>
      </c>
      <c r="Y257" s="79">
        <v>45068.451388888891</v>
      </c>
      <c r="Z257" s="66" t="s">
        <v>409</v>
      </c>
      <c r="AA257" s="79">
        <v>45069.345138888886</v>
      </c>
      <c r="AB257" s="79">
        <v>45068.333333333336</v>
      </c>
      <c r="AC257" s="79">
        <v>45068.333333333336</v>
      </c>
      <c r="AD257" s="79">
        <v>45068.333333333336</v>
      </c>
      <c r="AE257" s="66" t="s">
        <v>708</v>
      </c>
      <c r="AF257" s="44">
        <v>16204</v>
      </c>
      <c r="AG257" s="254">
        <f>Prog_23[[#This Row],[SAÍDA DO CLIENTE]]-Prog_23[[#This Row],[PROGRAMAÇÃO CLIENTE]]</f>
        <v>0.11805555555474712</v>
      </c>
      <c r="AH257" s="44"/>
      <c r="AI257" s="66"/>
      <c r="AJ257" s="66"/>
      <c r="AK257" s="66"/>
      <c r="AL257" s="66"/>
      <c r="AM257" s="66"/>
      <c r="AN257" s="83"/>
      <c r="AO257" s="83"/>
      <c r="AP257" s="83"/>
      <c r="AQ257" s="66"/>
      <c r="AR257" s="66"/>
      <c r="AS257" s="66"/>
      <c r="AT257" s="81">
        <v>3500</v>
      </c>
      <c r="AU257" s="81"/>
      <c r="AV257" s="81"/>
      <c r="AW257" s="81"/>
      <c r="AX257" s="83">
        <f>SUM(Prog_23[[#This Row],[ADIANTAMENTO]]+Prog_23[[#This Row],[SALDO]]+Prog_23[[#This Row],[MARGEM]]+Prog_23[[#This Row],[ESTADIA 1]])</f>
        <v>3500</v>
      </c>
      <c r="AY2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5200</v>
      </c>
      <c r="AZ257" s="81">
        <v>5200</v>
      </c>
      <c r="BA257" s="81"/>
      <c r="BB257" s="81">
        <f>Prog_23[[#This Row],[VLR NF]]*0.1%</f>
        <v>0</v>
      </c>
      <c r="BC257" s="81">
        <f>Prog_23[[#This Row],[VLR NF]]*0.05%</f>
        <v>0</v>
      </c>
      <c r="BD257" s="81"/>
      <c r="BE257" s="81"/>
      <c r="BF257" s="81"/>
      <c r="BG257" s="81"/>
      <c r="BH257" s="81"/>
      <c r="BI257" s="81"/>
      <c r="BJ257" s="81"/>
      <c r="BK257" s="81"/>
      <c r="BL257" s="81"/>
      <c r="BM257" s="81"/>
      <c r="BN257" s="66" t="s">
        <v>2768</v>
      </c>
      <c r="BO257" s="66" t="s">
        <v>2768</v>
      </c>
      <c r="BP257" s="66" t="s">
        <v>2768</v>
      </c>
      <c r="BQ257" s="66" t="str">
        <f>PROPER(TEXT(Prog_23[[#This Row],[PROGRAMAÇÃO CLIENTE]],"mmm"))</f>
        <v>Mai</v>
      </c>
      <c r="BR257" s="66">
        <f>YEAR(Prog_23[[#This Row],[PROGRAMAÇÃO CLIENTE]])</f>
        <v>2023</v>
      </c>
    </row>
    <row r="258" spans="1:70" x14ac:dyDescent="0.25">
      <c r="A258" s="200" t="str">
        <f>Prog_23[[#This Row],[CONTEINER]]</f>
        <v>MSDU4350732</v>
      </c>
      <c r="B258" s="86" t="s">
        <v>2771</v>
      </c>
      <c r="C2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8" s="85">
        <v>45068.333333333336</v>
      </c>
      <c r="E258" s="66" t="s">
        <v>353</v>
      </c>
      <c r="F258" s="66" t="s">
        <v>4726</v>
      </c>
      <c r="G258" s="66"/>
      <c r="H258" s="44" t="s">
        <v>4730</v>
      </c>
      <c r="I258" s="44" t="s">
        <v>4729</v>
      </c>
      <c r="J258" s="66" t="s">
        <v>2183</v>
      </c>
      <c r="K258" s="66">
        <v>3600</v>
      </c>
      <c r="L258" s="66">
        <v>314736</v>
      </c>
      <c r="M258" s="66">
        <v>18680</v>
      </c>
      <c r="N258" s="66">
        <f>SUM(Prog_23[[#This Row],[TARA]]+Prog_23[[#This Row],[PESO]])</f>
        <v>22280</v>
      </c>
      <c r="O258" s="44">
        <v>53311</v>
      </c>
      <c r="P258" s="66" t="s">
        <v>4814</v>
      </c>
      <c r="Q258" s="66" t="s">
        <v>92</v>
      </c>
      <c r="R258" s="66" t="s">
        <v>93</v>
      </c>
      <c r="S258" s="66" t="s">
        <v>94</v>
      </c>
      <c r="T258" s="138" t="str">
        <f>IFERROR(LOOKUP($S258,MOTORISTAS!$D$3:$D$916,MOTORISTAS!E$3:$E$916),"")</f>
        <v>26283419801</v>
      </c>
      <c r="U258" s="138" t="str">
        <f>IFERROR(LOOKUP($S258,MOTORISTAS!$D$3:$D$916,MOTORISTAS!F$3:$F$916),"")</f>
        <v>02002046946</v>
      </c>
      <c r="V258" s="66" t="s">
        <v>1569</v>
      </c>
      <c r="W258" s="79">
        <v>45066.4375</v>
      </c>
      <c r="X258" s="79">
        <v>45068.283333333333</v>
      </c>
      <c r="Y258" s="79">
        <v>45068.496527777781</v>
      </c>
      <c r="Z258" s="66" t="s">
        <v>409</v>
      </c>
      <c r="AA258" s="79">
        <v>45069.349305555559</v>
      </c>
      <c r="AB258" s="79">
        <v>45068.333333333336</v>
      </c>
      <c r="AC258" s="79">
        <v>45068.333333333336</v>
      </c>
      <c r="AD258" s="79">
        <v>45068.333333333336</v>
      </c>
      <c r="AE258" s="66" t="s">
        <v>708</v>
      </c>
      <c r="AF258" s="44">
        <v>16203</v>
      </c>
      <c r="AG258" s="254">
        <f>Prog_23[[#This Row],[SAÍDA DO CLIENTE]]-Prog_23[[#This Row],[PROGRAMAÇÃO CLIENTE]]</f>
        <v>0.16319444444525288</v>
      </c>
      <c r="AH258" s="44"/>
      <c r="AI258" s="66"/>
      <c r="AJ258" s="66"/>
      <c r="AK258" s="66"/>
      <c r="AL258" s="66"/>
      <c r="AM258" s="66"/>
      <c r="AN258" s="83"/>
      <c r="AO258" s="83"/>
      <c r="AP258" s="83"/>
      <c r="AQ258" s="66"/>
      <c r="AR258" s="66"/>
      <c r="AS258" s="66"/>
      <c r="AT258" s="81">
        <v>3500</v>
      </c>
      <c r="AU258" s="81"/>
      <c r="AV258" s="81"/>
      <c r="AW258" s="81"/>
      <c r="AX258" s="83">
        <f>SUM(Prog_23[[#This Row],[ADIANTAMENTO]]+Prog_23[[#This Row],[SALDO]]+Prog_23[[#This Row],[MARGEM]]+Prog_23[[#This Row],[ESTADIA 1]])</f>
        <v>3500</v>
      </c>
      <c r="AY2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5200</v>
      </c>
      <c r="AZ258" s="81">
        <v>5200</v>
      </c>
      <c r="BA258" s="81"/>
      <c r="BB258" s="81">
        <f>Prog_23[[#This Row],[VLR NF]]*0.1%</f>
        <v>0</v>
      </c>
      <c r="BC258" s="81">
        <f>Prog_23[[#This Row],[VLR NF]]*0.05%</f>
        <v>0</v>
      </c>
      <c r="BD258" s="81"/>
      <c r="BE258" s="81"/>
      <c r="BF258" s="81"/>
      <c r="BG258" s="81"/>
      <c r="BH258" s="81"/>
      <c r="BI258" s="81"/>
      <c r="BJ258" s="81"/>
      <c r="BK258" s="81"/>
      <c r="BL258" s="81"/>
      <c r="BM258" s="81"/>
      <c r="BN258" s="66" t="s">
        <v>2768</v>
      </c>
      <c r="BO258" s="66" t="s">
        <v>2768</v>
      </c>
      <c r="BP258" s="66" t="s">
        <v>2768</v>
      </c>
      <c r="BQ258" s="66" t="str">
        <f>PROPER(TEXT(Prog_23[[#This Row],[PROGRAMAÇÃO CLIENTE]],"mmm"))</f>
        <v>Mai</v>
      </c>
      <c r="BR258" s="66">
        <f>YEAR(Prog_23[[#This Row],[PROGRAMAÇÃO CLIENTE]])</f>
        <v>2023</v>
      </c>
    </row>
    <row r="259" spans="1:70" x14ac:dyDescent="0.25">
      <c r="A259" s="201" t="str">
        <f>Prog_23[[#This Row],[CONTEINER]]</f>
        <v>MSDU4504247</v>
      </c>
      <c r="B259" s="86" t="s">
        <v>2771</v>
      </c>
      <c r="C2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59" s="85">
        <v>45068.333333333336</v>
      </c>
      <c r="E259" s="66" t="s">
        <v>353</v>
      </c>
      <c r="F259" s="66" t="s">
        <v>4726</v>
      </c>
      <c r="G259" s="66"/>
      <c r="H259" s="44" t="s">
        <v>4730</v>
      </c>
      <c r="I259" s="44" t="s">
        <v>4727</v>
      </c>
      <c r="J259" s="66" t="s">
        <v>2183</v>
      </c>
      <c r="K259" s="66">
        <v>3540</v>
      </c>
      <c r="L259" s="66" t="s">
        <v>4731</v>
      </c>
      <c r="M259" s="66">
        <v>18690</v>
      </c>
      <c r="N259" s="66">
        <f>SUM(Prog_23[[#This Row],[TARA]]+Prog_23[[#This Row],[PESO]])</f>
        <v>22230</v>
      </c>
      <c r="O259" s="44">
        <v>53311</v>
      </c>
      <c r="P259" s="66" t="s">
        <v>4814</v>
      </c>
      <c r="Q259" s="66" t="s">
        <v>106</v>
      </c>
      <c r="R259" s="66" t="s">
        <v>107</v>
      </c>
      <c r="S259" s="66" t="s">
        <v>108</v>
      </c>
      <c r="T259" s="138" t="str">
        <f>IFERROR(LOOKUP($S259,MOTORISTAS!$D$3:$D$916,MOTORISTAS!E$3:$E$916),"")</f>
        <v>34927982840</v>
      </c>
      <c r="U259" s="138" t="str">
        <f>IFERROR(LOOKUP($S259,MOTORISTAS!$D$3:$D$916,MOTORISTAS!F$3:$F$916),"")</f>
        <v>03500129879</v>
      </c>
      <c r="V259" s="66" t="s">
        <v>1569</v>
      </c>
      <c r="W259" s="79">
        <v>45066.4375</v>
      </c>
      <c r="X259" s="79">
        <v>45068.297222222223</v>
      </c>
      <c r="Y259" s="79">
        <v>45068.510416666664</v>
      </c>
      <c r="Z259" s="66" t="s">
        <v>409</v>
      </c>
      <c r="AA259" s="79">
        <v>45069.356249999997</v>
      </c>
      <c r="AB259" s="79">
        <v>45068.333333333336</v>
      </c>
      <c r="AC259" s="79">
        <v>45068.333333333336</v>
      </c>
      <c r="AD259" s="79">
        <v>45068.333333333336</v>
      </c>
      <c r="AE259" s="66" t="s">
        <v>708</v>
      </c>
      <c r="AF259" s="44">
        <v>16202</v>
      </c>
      <c r="AG259" s="254">
        <f>Prog_23[[#This Row],[SAÍDA DO CLIENTE]]-Prog_23[[#This Row],[PROGRAMAÇÃO CLIENTE]]</f>
        <v>0.17708333332848269</v>
      </c>
      <c r="AH259" s="44"/>
      <c r="AI259" s="66"/>
      <c r="AJ259" s="66"/>
      <c r="AK259" s="66"/>
      <c r="AL259" s="66"/>
      <c r="AM259" s="66"/>
      <c r="AN259" s="83"/>
      <c r="AO259" s="83"/>
      <c r="AP259" s="83"/>
      <c r="AQ259" s="66"/>
      <c r="AR259" s="66"/>
      <c r="AS259" s="66"/>
      <c r="AT259" s="81">
        <v>3500</v>
      </c>
      <c r="AU259" s="81"/>
      <c r="AV259" s="81"/>
      <c r="AW259" s="81"/>
      <c r="AX259" s="83">
        <f>SUM(Prog_23[[#This Row],[ADIANTAMENTO]]+Prog_23[[#This Row],[SALDO]]+Prog_23[[#This Row],[MARGEM]]+Prog_23[[#This Row],[ESTADIA 1]])</f>
        <v>3500</v>
      </c>
      <c r="AY2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5200</v>
      </c>
      <c r="AZ259" s="81">
        <v>5200</v>
      </c>
      <c r="BA259" s="81"/>
      <c r="BB259" s="81">
        <f>Prog_23[[#This Row],[VLR NF]]*0.1%</f>
        <v>0</v>
      </c>
      <c r="BC259" s="81">
        <f>Prog_23[[#This Row],[VLR NF]]*0.05%</f>
        <v>0</v>
      </c>
      <c r="BD259" s="81"/>
      <c r="BE259" s="81"/>
      <c r="BF259" s="81"/>
      <c r="BG259" s="81"/>
      <c r="BH259" s="81"/>
      <c r="BI259" s="81"/>
      <c r="BJ259" s="81"/>
      <c r="BK259" s="81"/>
      <c r="BL259" s="81"/>
      <c r="BM259" s="81"/>
      <c r="BN259" s="66" t="s">
        <v>2768</v>
      </c>
      <c r="BO259" s="66" t="s">
        <v>2768</v>
      </c>
      <c r="BP259" s="66" t="s">
        <v>2768</v>
      </c>
      <c r="BQ259" s="66" t="str">
        <f>PROPER(TEXT(Prog_23[[#This Row],[PROGRAMAÇÃO CLIENTE]],"mmm"))</f>
        <v>Mai</v>
      </c>
      <c r="BR259" s="66">
        <f>YEAR(Prog_23[[#This Row],[PROGRAMAÇÃO CLIENTE]])</f>
        <v>2023</v>
      </c>
    </row>
    <row r="260" spans="1:70" x14ac:dyDescent="0.25">
      <c r="A260" s="201" t="str">
        <f>Prog_23[[#This Row],[CONTEINER]]</f>
        <v>TLLU5839339</v>
      </c>
      <c r="B260" s="86" t="s">
        <v>2771</v>
      </c>
      <c r="C2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0" s="85">
        <v>45069.541666666664</v>
      </c>
      <c r="E260" s="66" t="s">
        <v>2302</v>
      </c>
      <c r="F260" s="66" t="s">
        <v>529</v>
      </c>
      <c r="G260" s="66">
        <v>40</v>
      </c>
      <c r="H260" s="44">
        <v>227592717</v>
      </c>
      <c r="I260" s="44" t="s">
        <v>4776</v>
      </c>
      <c r="J260" s="66" t="s">
        <v>301</v>
      </c>
      <c r="K260" s="66">
        <v>3700</v>
      </c>
      <c r="L260" s="66" t="s">
        <v>4777</v>
      </c>
      <c r="M260" s="66">
        <v>10097</v>
      </c>
      <c r="N260" s="66">
        <f>SUM(Prog_23[[#This Row],[TARA]]+Prog_23[[#This Row],[PESO]])</f>
        <v>13797</v>
      </c>
      <c r="O260" s="44" t="s">
        <v>4783</v>
      </c>
      <c r="P260" s="66" t="s">
        <v>4763</v>
      </c>
      <c r="Q260" s="66" t="s">
        <v>31</v>
      </c>
      <c r="R260" s="66" t="s">
        <v>32</v>
      </c>
      <c r="S260" s="66" t="s">
        <v>33</v>
      </c>
      <c r="T260" s="138" t="str">
        <f>IFERROR(LOOKUP($S260,MOTORISTAS!$D$3:$D$916,MOTORISTAS!E$3:$E$916),"")</f>
        <v>09776430856</v>
      </c>
      <c r="U260" s="138" t="str">
        <f>IFERROR(LOOKUP($S260,MOTORISTAS!$D$3:$D$916,MOTORISTAS!F$3:$F$916),"")</f>
        <v>01258979905</v>
      </c>
      <c r="V260" s="66" t="s">
        <v>409</v>
      </c>
      <c r="W260" s="79">
        <v>45069.345833333333</v>
      </c>
      <c r="X260" s="79">
        <v>45069.451388888891</v>
      </c>
      <c r="Y260" s="79">
        <v>45069.75</v>
      </c>
      <c r="Z260" s="66" t="s">
        <v>306</v>
      </c>
      <c r="AA260" s="79">
        <v>45069.94027777778</v>
      </c>
      <c r="AB260" s="79">
        <v>45068.791666666664</v>
      </c>
      <c r="AC260" s="79">
        <v>45069.4375</v>
      </c>
      <c r="AD260" s="79">
        <v>45071.75</v>
      </c>
      <c r="AE260" s="66" t="s">
        <v>527</v>
      </c>
      <c r="AF260" s="44">
        <v>16130</v>
      </c>
      <c r="AG260" s="254">
        <f>Prog_23[[#This Row],[SAÍDA DO CLIENTE]]-Prog_23[[#This Row],[PROGRAMAÇÃO CLIENTE]]</f>
        <v>0.20833333333575865</v>
      </c>
      <c r="AH260" s="44"/>
      <c r="AI260" s="66"/>
      <c r="AJ260" s="66"/>
      <c r="AK260" s="66"/>
      <c r="AL260" s="66"/>
      <c r="AM260" s="66"/>
      <c r="AN260" s="83"/>
      <c r="AO260" s="83"/>
      <c r="AP260" s="83"/>
      <c r="AQ260" s="66"/>
      <c r="AR260" s="66"/>
      <c r="AS260" s="66"/>
      <c r="AT260" s="81">
        <v>2200</v>
      </c>
      <c r="AU260" s="81"/>
      <c r="AV260" s="81"/>
      <c r="AW260" s="81"/>
      <c r="AX260" s="83">
        <f>SUM(Prog_23[[#This Row],[ADIANTAMENTO]]+Prog_23[[#This Row],[SALDO]]+Prog_23[[#This Row],[MARGEM]]+Prog_23[[#This Row],[ESTADIA 1]])</f>
        <v>2200</v>
      </c>
      <c r="AY2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3911.3089100000002</v>
      </c>
      <c r="AZ260" s="81">
        <v>2550</v>
      </c>
      <c r="BA260" s="81">
        <v>910308.91</v>
      </c>
      <c r="BB260" s="81">
        <f>Prog_23[[#This Row],[VLR NF]]*0.1%</f>
        <v>910.30891000000008</v>
      </c>
      <c r="BC260" s="81">
        <v>0</v>
      </c>
      <c r="BD260" s="81">
        <v>336</v>
      </c>
      <c r="BE260" s="81"/>
      <c r="BF260" s="81"/>
      <c r="BG260" s="81"/>
      <c r="BH260" s="81">
        <v>30</v>
      </c>
      <c r="BI260" s="81"/>
      <c r="BJ260" s="81">
        <v>85</v>
      </c>
      <c r="BK260" s="81"/>
      <c r="BL260" s="81"/>
      <c r="BM260" s="81"/>
      <c r="BN260" s="66" t="s">
        <v>2768</v>
      </c>
      <c r="BO260" s="66" t="s">
        <v>2768</v>
      </c>
      <c r="BP260" s="66" t="s">
        <v>2768</v>
      </c>
      <c r="BQ260" s="66" t="str">
        <f>PROPER(TEXT(Prog_23[[#This Row],[PROGRAMAÇÃO CLIENTE]],"mmm"))</f>
        <v>Mai</v>
      </c>
      <c r="BR260" s="66">
        <f>YEAR(Prog_23[[#This Row],[PROGRAMAÇÃO CLIENTE]])</f>
        <v>2023</v>
      </c>
    </row>
    <row r="261" spans="1:70" x14ac:dyDescent="0.25">
      <c r="A261" s="201" t="str">
        <f>Prog_23[[#This Row],[CONTEINER]]</f>
        <v>MRKU3765260</v>
      </c>
      <c r="B261" s="86" t="s">
        <v>2771</v>
      </c>
      <c r="C2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1" s="85">
        <v>45069.666666666664</v>
      </c>
      <c r="E261" s="66" t="s">
        <v>2302</v>
      </c>
      <c r="F261" s="66" t="s">
        <v>529</v>
      </c>
      <c r="G261" s="66">
        <v>337</v>
      </c>
      <c r="H261" s="44">
        <v>227481842</v>
      </c>
      <c r="I261" s="44" t="s">
        <v>4780</v>
      </c>
      <c r="J261" s="66" t="s">
        <v>301</v>
      </c>
      <c r="K261" s="66">
        <v>3880</v>
      </c>
      <c r="L261" s="66" t="s">
        <v>4784</v>
      </c>
      <c r="M261" s="66">
        <v>6083</v>
      </c>
      <c r="N261" s="66">
        <f>SUM(Prog_23[[#This Row],[TARA]]+Prog_23[[#This Row],[PESO]])</f>
        <v>9963</v>
      </c>
      <c r="O261" s="44" t="s">
        <v>4762</v>
      </c>
      <c r="P261" s="66" t="s">
        <v>4763</v>
      </c>
      <c r="Q261" s="66" t="s">
        <v>92</v>
      </c>
      <c r="R261" s="66" t="s">
        <v>93</v>
      </c>
      <c r="S261" s="66" t="s">
        <v>94</v>
      </c>
      <c r="T261" s="138" t="str">
        <f>IFERROR(LOOKUP($S261,MOTORISTAS!$D$3:$D$916,MOTORISTAS!E$3:$E$916),"")</f>
        <v>26283419801</v>
      </c>
      <c r="U261" s="138" t="str">
        <f>IFERROR(LOOKUP($S261,MOTORISTAS!$D$3:$D$916,MOTORISTAS!F$3:$F$916),"")</f>
        <v>02002046946</v>
      </c>
      <c r="V261" s="66" t="s">
        <v>292</v>
      </c>
      <c r="W261" s="79">
        <v>45069.388888888891</v>
      </c>
      <c r="X261" s="79">
        <v>45069.625</v>
      </c>
      <c r="Y261" s="79">
        <v>45069.833333333336</v>
      </c>
      <c r="Z261" s="66" t="s">
        <v>306</v>
      </c>
      <c r="AA261" s="79">
        <v>45069.967361111114</v>
      </c>
      <c r="AB261" s="79">
        <v>45068.791666666664</v>
      </c>
      <c r="AC261" s="79">
        <v>45069.4375</v>
      </c>
      <c r="AD261" s="79">
        <v>45071.75</v>
      </c>
      <c r="AE261" s="66" t="s">
        <v>452</v>
      </c>
      <c r="AF261" s="44">
        <v>16131</v>
      </c>
      <c r="AG261" s="254">
        <f>Prog_23[[#This Row],[SAÍDA DO CLIENTE]]-Prog_23[[#This Row],[PROGRAMAÇÃO CLIENTE]]</f>
        <v>0.16666666667151731</v>
      </c>
      <c r="AH261" s="44"/>
      <c r="AI261" s="66"/>
      <c r="AJ261" s="66"/>
      <c r="AK261" s="66"/>
      <c r="AL261" s="66"/>
      <c r="AM261" s="66"/>
      <c r="AN261" s="83"/>
      <c r="AO261" s="83"/>
      <c r="AP261" s="83"/>
      <c r="AQ261" s="66"/>
      <c r="AR261" s="66"/>
      <c r="AS261" s="66"/>
      <c r="AT261" s="81">
        <v>2200</v>
      </c>
      <c r="AU261" s="81"/>
      <c r="AV261" s="81"/>
      <c r="AW261" s="81"/>
      <c r="AX261" s="83">
        <f>SUM(Prog_23[[#This Row],[ADIANTAMENTO]]+Prog_23[[#This Row],[SALDO]]+Prog_23[[#This Row],[MARGEM]]+Prog_23[[#This Row],[ESTADIA 1]])</f>
        <v>2200</v>
      </c>
      <c r="AY2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3391.31961</v>
      </c>
      <c r="AZ261" s="81">
        <v>2550</v>
      </c>
      <c r="BA261" s="81">
        <v>390319.61</v>
      </c>
      <c r="BB261" s="81">
        <f>Prog_23[[#This Row],[VLR NF]]*0.1%</f>
        <v>390.31961000000001</v>
      </c>
      <c r="BC261" s="81">
        <v>0</v>
      </c>
      <c r="BD261" s="81">
        <v>336</v>
      </c>
      <c r="BE261" s="81"/>
      <c r="BF261" s="81"/>
      <c r="BG261" s="81"/>
      <c r="BH261" s="81">
        <v>30</v>
      </c>
      <c r="BI261" s="81"/>
      <c r="BJ261" s="81">
        <v>85</v>
      </c>
      <c r="BK261" s="81"/>
      <c r="BL261" s="81"/>
      <c r="BM261" s="81"/>
      <c r="BN261" s="66" t="s">
        <v>2768</v>
      </c>
      <c r="BO261" s="66" t="s">
        <v>2768</v>
      </c>
      <c r="BP261" s="66" t="s">
        <v>2768</v>
      </c>
      <c r="BQ261" s="66" t="str">
        <f>PROPER(TEXT(Prog_23[[#This Row],[PROGRAMAÇÃO CLIENTE]],"mmm"))</f>
        <v>Mai</v>
      </c>
      <c r="BR261" s="66">
        <f>YEAR(Prog_23[[#This Row],[PROGRAMAÇÃO CLIENTE]])</f>
        <v>2023</v>
      </c>
    </row>
    <row r="262" spans="1:70" x14ac:dyDescent="0.25">
      <c r="A262" s="200" t="str">
        <f>Prog_23[[#This Row],[CONTEINER]]</f>
        <v>MRKU7018469</v>
      </c>
      <c r="B262" s="86" t="s">
        <v>2771</v>
      </c>
      <c r="C2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2" s="85">
        <v>45070.708333333336</v>
      </c>
      <c r="E262" s="66" t="s">
        <v>4285</v>
      </c>
      <c r="F262" s="66" t="s">
        <v>4286</v>
      </c>
      <c r="G262" s="66" t="s">
        <v>4768</v>
      </c>
      <c r="H262" s="44" t="s">
        <v>4764</v>
      </c>
      <c r="I262" s="44" t="s">
        <v>4766</v>
      </c>
      <c r="J262" s="66" t="s">
        <v>288</v>
      </c>
      <c r="K262" s="66"/>
      <c r="L262" s="66" t="s">
        <v>4767</v>
      </c>
      <c r="M262" s="66">
        <v>2278</v>
      </c>
      <c r="N262" s="66">
        <f>SUM(Prog_23[[#This Row],[TARA]]+Prog_23[[#This Row],[PESO]])</f>
        <v>2278</v>
      </c>
      <c r="O262" s="44"/>
      <c r="P262" s="66" t="s">
        <v>4765</v>
      </c>
      <c r="Q262" s="66" t="s">
        <v>845</v>
      </c>
      <c r="R262" s="66"/>
      <c r="S262" s="66" t="s">
        <v>847</v>
      </c>
      <c r="T262" s="138" t="str">
        <f>IFERROR(LOOKUP($S262,MOTORISTAS!$D$3:$D$916,MOTORISTAS!E$3:$E$916),"")</f>
        <v>08053454852</v>
      </c>
      <c r="U262" s="138" t="str">
        <f>IFERROR(LOOKUP($S262,MOTORISTAS!$D$3:$D$916,MOTORISTAS!F$3:$F$916),"")</f>
        <v>03409257572</v>
      </c>
      <c r="V262" s="66" t="s">
        <v>4398</v>
      </c>
      <c r="W262" s="79">
        <v>45070.458333333336</v>
      </c>
      <c r="X262" s="79">
        <v>45070.677083333336</v>
      </c>
      <c r="Y262" s="79">
        <v>45070.739583333336</v>
      </c>
      <c r="Z262" s="66" t="s">
        <v>409</v>
      </c>
      <c r="AA262" s="79">
        <v>45071.338194444441</v>
      </c>
      <c r="AB262" s="79">
        <v>45070.708333333336</v>
      </c>
      <c r="AC262" s="79">
        <v>45070.708333333336</v>
      </c>
      <c r="AD262" s="79">
        <v>45070.708333333336</v>
      </c>
      <c r="AE262" s="66" t="s">
        <v>708</v>
      </c>
      <c r="AF262" s="44">
        <v>16117</v>
      </c>
      <c r="AG262" s="254">
        <f>Prog_23[[#This Row],[SAÍDA DO CLIENTE]]-Prog_23[[#This Row],[PROGRAMAÇÃO CLIENTE]]</f>
        <v>3.125E-2</v>
      </c>
      <c r="AH262" s="44"/>
      <c r="AI262" s="66"/>
      <c r="AJ262" s="66"/>
      <c r="AK262" s="66"/>
      <c r="AL262" s="66"/>
      <c r="AM262" s="66"/>
      <c r="AN262" s="83"/>
      <c r="AO262" s="83"/>
      <c r="AP262" s="83"/>
      <c r="AQ262" s="66"/>
      <c r="AR262" s="66"/>
      <c r="AS262" s="66"/>
      <c r="AT262" s="81">
        <v>2500</v>
      </c>
      <c r="AU262" s="81"/>
      <c r="AV262" s="81"/>
      <c r="AW262" s="81"/>
      <c r="AX262" s="83">
        <f>SUM(Prog_23[[#This Row],[ADIANTAMENTO]]+Prog_23[[#This Row],[SALDO]]+Prog_23[[#This Row],[MARGEM]]+Prog_23[[#This Row],[ESTADIA 1]])</f>
        <v>2500</v>
      </c>
      <c r="AY2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17000</v>
      </c>
      <c r="AZ262" s="81">
        <v>12140</v>
      </c>
      <c r="BA262" s="81">
        <v>243564.3</v>
      </c>
      <c r="BB262" s="81">
        <v>1500</v>
      </c>
      <c r="BC262" s="81">
        <v>500</v>
      </c>
      <c r="BD262" s="81">
        <v>570</v>
      </c>
      <c r="BE262" s="81"/>
      <c r="BF262" s="81"/>
      <c r="BG262" s="81"/>
      <c r="BH262" s="81"/>
      <c r="BI262" s="81">
        <v>2040</v>
      </c>
      <c r="BJ262" s="81">
        <v>250</v>
      </c>
      <c r="BK262" s="81"/>
      <c r="BL262" s="81"/>
      <c r="BM262" s="81"/>
      <c r="BN262" s="66" t="s">
        <v>2768</v>
      </c>
      <c r="BO262" s="66" t="s">
        <v>2768</v>
      </c>
      <c r="BP262" s="66" t="s">
        <v>2768</v>
      </c>
      <c r="BQ262" s="66" t="str">
        <f>PROPER(TEXT(Prog_23[[#This Row],[PROGRAMAÇÃO CLIENTE]],"mmm"))</f>
        <v>Mai</v>
      </c>
      <c r="BR262" s="66">
        <f>YEAR(Prog_23[[#This Row],[PROGRAMAÇÃO CLIENTE]])</f>
        <v>2023</v>
      </c>
    </row>
    <row r="263" spans="1:70" x14ac:dyDescent="0.25">
      <c r="A263" s="200" t="str">
        <f>Prog_23[[#This Row],[CONTEINER]]</f>
        <v>MSDU4179949</v>
      </c>
      <c r="B263" s="86" t="s">
        <v>4848</v>
      </c>
      <c r="C2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3" s="85">
        <v>45072.333333333336</v>
      </c>
      <c r="E263" s="66" t="s">
        <v>353</v>
      </c>
      <c r="F263" s="66" t="s">
        <v>4726</v>
      </c>
      <c r="G263" s="66" t="s">
        <v>4822</v>
      </c>
      <c r="H263" s="44" t="s">
        <v>4818</v>
      </c>
      <c r="I263" s="44" t="s">
        <v>4817</v>
      </c>
      <c r="J263" s="66" t="s">
        <v>2183</v>
      </c>
      <c r="K263" s="66">
        <v>3640</v>
      </c>
      <c r="L263" s="66" t="s">
        <v>4819</v>
      </c>
      <c r="M263" s="66">
        <v>14340</v>
      </c>
      <c r="N263" s="66">
        <f>SUM(Prog_23[[#This Row],[TARA]]+Prog_23[[#This Row],[PESO]])</f>
        <v>17980</v>
      </c>
      <c r="O263" s="44">
        <v>53351</v>
      </c>
      <c r="P263" s="66" t="s">
        <v>4823</v>
      </c>
      <c r="Q263" s="66" t="s">
        <v>92</v>
      </c>
      <c r="R263" s="66" t="s">
        <v>93</v>
      </c>
      <c r="S263" s="66" t="s">
        <v>94</v>
      </c>
      <c r="T263" s="138" t="str">
        <f>IFERROR(LOOKUP($S263,MOTORISTAS!$D$3:$D$916,MOTORISTAS!E$3:$E$916),"")</f>
        <v>26283419801</v>
      </c>
      <c r="U263" s="138" t="str">
        <f>IFERROR(LOOKUP($S263,MOTORISTAS!$D$3:$D$916,MOTORISTAS!F$3:$F$916),"")</f>
        <v>02002046946</v>
      </c>
      <c r="V263" s="66" t="s">
        <v>1569</v>
      </c>
      <c r="W263" s="79">
        <v>45071.875</v>
      </c>
      <c r="X263" s="79">
        <v>45072.128472222219</v>
      </c>
      <c r="Y263" s="79">
        <v>45072.53125</v>
      </c>
      <c r="Z263" s="66" t="s">
        <v>409</v>
      </c>
      <c r="AA263" s="79">
        <v>45073.350694444445</v>
      </c>
      <c r="AB263" s="79">
        <v>45072.333333333336</v>
      </c>
      <c r="AC263" s="79">
        <v>45072.333333333336</v>
      </c>
      <c r="AD263" s="79">
        <v>45072.333333333336</v>
      </c>
      <c r="AE263" s="66" t="s">
        <v>708</v>
      </c>
      <c r="AF263" s="44">
        <v>16217</v>
      </c>
      <c r="AG263" s="254">
        <f>Prog_23[[#This Row],[SAÍDA DO CLIENTE]]-Prog_23[[#This Row],[PROGRAMAÇÃO CLIENTE]]</f>
        <v>0.19791666666424135</v>
      </c>
      <c r="AH263" s="44"/>
      <c r="AI263" s="66"/>
      <c r="AJ263" s="66"/>
      <c r="AK263" s="66"/>
      <c r="AL263" s="66"/>
      <c r="AM263" s="66"/>
      <c r="AN263" s="83"/>
      <c r="AO263" s="83"/>
      <c r="AP263" s="83"/>
      <c r="AQ263" s="66"/>
      <c r="AR263" s="66" t="s">
        <v>4973</v>
      </c>
      <c r="AS263" s="66"/>
      <c r="AT263" s="81">
        <v>3500</v>
      </c>
      <c r="AU263" s="81"/>
      <c r="AV263" s="81"/>
      <c r="AW263" s="81"/>
      <c r="AX263" s="83">
        <f>SUM(Prog_23[[#This Row],[ADIANTAMENTO]]+Prog_23[[#This Row],[SALDO]]+Prog_23[[#This Row],[MARGEM]]+Prog_23[[#This Row],[ESTADIA 1]])</f>
        <v>3500</v>
      </c>
      <c r="AY2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63" s="81"/>
      <c r="BA263" s="81"/>
      <c r="BB263" s="81">
        <f>Prog_23[[#This Row],[VLR NF]]*0.1%</f>
        <v>0</v>
      </c>
      <c r="BC263" s="81">
        <f>Prog_23[[#This Row],[VLR NF]]*0.05%</f>
        <v>0</v>
      </c>
      <c r="BD263" s="81"/>
      <c r="BE263" s="81"/>
      <c r="BF263" s="81"/>
      <c r="BG263" s="81"/>
      <c r="BH263" s="81"/>
      <c r="BI263" s="81"/>
      <c r="BJ263" s="81"/>
      <c r="BK263" s="81"/>
      <c r="BL263" s="81"/>
      <c r="BM263" s="81"/>
      <c r="BN263" s="66" t="s">
        <v>2768</v>
      </c>
      <c r="BO263" s="66"/>
      <c r="BP263" s="66" t="s">
        <v>2768</v>
      </c>
      <c r="BQ263" s="66" t="str">
        <f>PROPER(TEXT(Prog_23[[#This Row],[PROGRAMAÇÃO CLIENTE]],"mmm"))</f>
        <v>Mai</v>
      </c>
      <c r="BR263" s="66">
        <f>YEAR(Prog_23[[#This Row],[PROGRAMAÇÃO CLIENTE]])</f>
        <v>2023</v>
      </c>
    </row>
    <row r="264" spans="1:70" x14ac:dyDescent="0.25">
      <c r="A264" s="201" t="str">
        <f>Prog_23[[#This Row],[CONTEINER]]</f>
        <v>MSDU4312368</v>
      </c>
      <c r="B264" s="86" t="s">
        <v>4848</v>
      </c>
      <c r="C2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4" s="85">
        <v>45072.333333333336</v>
      </c>
      <c r="E264" s="66" t="s">
        <v>353</v>
      </c>
      <c r="F264" s="66" t="s">
        <v>4726</v>
      </c>
      <c r="G264" s="66" t="s">
        <v>4822</v>
      </c>
      <c r="H264" s="44" t="s">
        <v>4818</v>
      </c>
      <c r="I264" s="44" t="s">
        <v>4821</v>
      </c>
      <c r="J264" s="66" t="s">
        <v>2183</v>
      </c>
      <c r="K264" s="66">
        <v>3540</v>
      </c>
      <c r="L264" s="66" t="s">
        <v>4820</v>
      </c>
      <c r="M264" s="66">
        <v>12630</v>
      </c>
      <c r="N264" s="66">
        <f>SUM(Prog_23[[#This Row],[TARA]]+Prog_23[[#This Row],[PESO]])</f>
        <v>16170</v>
      </c>
      <c r="O264" s="44">
        <v>53351</v>
      </c>
      <c r="P264" s="66" t="s">
        <v>4823</v>
      </c>
      <c r="Q264" s="66" t="s">
        <v>72</v>
      </c>
      <c r="R264" s="66" t="s">
        <v>73</v>
      </c>
      <c r="S264" s="66" t="s">
        <v>203</v>
      </c>
      <c r="T264" s="138" t="str">
        <f>IFERROR(LOOKUP($S264,MOTORISTAS!$D$3:$D$916,MOTORISTAS!E$3:$E$916),"")</f>
        <v>10395859816</v>
      </c>
      <c r="U264" s="138" t="str">
        <f>IFERROR(LOOKUP($S264,MOTORISTAS!$D$3:$D$916,MOTORISTAS!F$3:$F$916),"")</f>
        <v>01965794851</v>
      </c>
      <c r="V264" s="66" t="s">
        <v>1569</v>
      </c>
      <c r="W264" s="79">
        <v>45071.875</v>
      </c>
      <c r="X264" s="79">
        <v>45072.138888888891</v>
      </c>
      <c r="Y264" s="79">
        <v>45072.400694444441</v>
      </c>
      <c r="Z264" s="66" t="s">
        <v>409</v>
      </c>
      <c r="AA264" s="79">
        <v>45073.370833333334</v>
      </c>
      <c r="AB264" s="79">
        <v>45072.333333333336</v>
      </c>
      <c r="AC264" s="79">
        <v>45072.333333333336</v>
      </c>
      <c r="AD264" s="79">
        <v>45072.333333333336</v>
      </c>
      <c r="AE264" s="66" t="s">
        <v>708</v>
      </c>
      <c r="AF264" s="44">
        <v>16218</v>
      </c>
      <c r="AG264" s="254">
        <f>Prog_23[[#This Row],[SAÍDA DO CLIENTE]]-Prog_23[[#This Row],[PROGRAMAÇÃO CLIENTE]]</f>
        <v>6.7361111105128657E-2</v>
      </c>
      <c r="AH264" s="44"/>
      <c r="AI264" s="66"/>
      <c r="AJ264" s="66"/>
      <c r="AK264" s="66"/>
      <c r="AL264" s="66"/>
      <c r="AM264" s="66"/>
      <c r="AN264" s="83"/>
      <c r="AO264" s="83"/>
      <c r="AP264" s="83"/>
      <c r="AQ264" s="66"/>
      <c r="AR264" s="66" t="s">
        <v>4973</v>
      </c>
      <c r="AS264" s="66"/>
      <c r="AT264" s="81">
        <v>3500</v>
      </c>
      <c r="AU264" s="81"/>
      <c r="AV264" s="81"/>
      <c r="AW264" s="81"/>
      <c r="AX264" s="83">
        <f>SUM(Prog_23[[#This Row],[ADIANTAMENTO]]+Prog_23[[#This Row],[SALDO]]+Prog_23[[#This Row],[MARGEM]]+Prog_23[[#This Row],[ESTADIA 1]])</f>
        <v>3500</v>
      </c>
      <c r="AY2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64" s="81"/>
      <c r="BA264" s="81"/>
      <c r="BB264" s="81">
        <f>Prog_23[[#This Row],[VLR NF]]*0.1%</f>
        <v>0</v>
      </c>
      <c r="BC264" s="81">
        <f>Prog_23[[#This Row],[VLR NF]]*0.05%</f>
        <v>0</v>
      </c>
      <c r="BD264" s="81"/>
      <c r="BE264" s="81"/>
      <c r="BF264" s="81"/>
      <c r="BG264" s="81"/>
      <c r="BH264" s="81"/>
      <c r="BI264" s="81"/>
      <c r="BJ264" s="81"/>
      <c r="BK264" s="81"/>
      <c r="BL264" s="81"/>
      <c r="BM264" s="81"/>
      <c r="BN264" s="66" t="s">
        <v>2768</v>
      </c>
      <c r="BO264" s="66"/>
      <c r="BP264" s="66" t="s">
        <v>2768</v>
      </c>
      <c r="BQ264" s="66" t="str">
        <f>PROPER(TEXT(Prog_23[[#This Row],[PROGRAMAÇÃO CLIENTE]],"mmm"))</f>
        <v>Mai</v>
      </c>
      <c r="BR264" s="66">
        <f>YEAR(Prog_23[[#This Row],[PROGRAMAÇÃO CLIENTE]])</f>
        <v>2023</v>
      </c>
    </row>
    <row r="265" spans="1:70" x14ac:dyDescent="0.25">
      <c r="A265" s="201" t="str">
        <f>Prog_23[[#This Row],[CONTEINER]]</f>
        <v>CAIU8845290</v>
      </c>
      <c r="B265" s="86" t="s">
        <v>4848</v>
      </c>
      <c r="C2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5" s="85">
        <v>45072.333333333336</v>
      </c>
      <c r="E265" s="66" t="s">
        <v>353</v>
      </c>
      <c r="F265" s="66" t="s">
        <v>4726</v>
      </c>
      <c r="G265" s="66" t="s">
        <v>4828</v>
      </c>
      <c r="H265" s="44" t="s">
        <v>4826</v>
      </c>
      <c r="I265" s="258" t="s">
        <v>4825</v>
      </c>
      <c r="J265" s="66" t="s">
        <v>301</v>
      </c>
      <c r="K265" s="66">
        <v>3860</v>
      </c>
      <c r="L265" s="66" t="s">
        <v>4832</v>
      </c>
      <c r="M265" s="66">
        <v>11167</v>
      </c>
      <c r="N265" s="66">
        <f>SUM(Prog_23[[#This Row],[TARA]]+Prog_23[[#This Row],[PESO]])</f>
        <v>15027</v>
      </c>
      <c r="O265" s="44">
        <v>53352</v>
      </c>
      <c r="P265" s="66" t="s">
        <v>4823</v>
      </c>
      <c r="Q265" s="66" t="s">
        <v>102</v>
      </c>
      <c r="R265" s="66" t="s">
        <v>27</v>
      </c>
      <c r="S265" s="66" t="s">
        <v>206</v>
      </c>
      <c r="T265" s="138" t="str">
        <f>IFERROR(LOOKUP($S265,MOTORISTAS!$D$3:$D$916,MOTORISTAS!E$3:$E$916),"")</f>
        <v>09085263425</v>
      </c>
      <c r="U265" s="138" t="str">
        <f>IFERROR(LOOKUP($S265,MOTORISTAS!$D$3:$D$916,MOTORISTAS!F$3:$F$916),"")</f>
        <v>04557705505</v>
      </c>
      <c r="V265" s="66" t="s">
        <v>1569</v>
      </c>
      <c r="W265" s="79">
        <v>45071.871527777781</v>
      </c>
      <c r="X265" s="79">
        <v>45072.135416666664</v>
      </c>
      <c r="Y265" s="79">
        <v>45072.416666666664</v>
      </c>
      <c r="Z265" s="66" t="s">
        <v>469</v>
      </c>
      <c r="AA265" s="79">
        <v>45075.697222222225</v>
      </c>
      <c r="AB265" s="79">
        <v>45072.333333333336</v>
      </c>
      <c r="AC265" s="79">
        <v>45072.333333333336</v>
      </c>
      <c r="AD265" s="79">
        <v>45072.333333333336</v>
      </c>
      <c r="AE265" s="66" t="s">
        <v>708</v>
      </c>
      <c r="AF265" s="44">
        <v>16219</v>
      </c>
      <c r="AG265" s="254">
        <f>Prog_23[[#This Row],[SAÍDA DO CLIENTE]]-Prog_23[[#This Row],[PROGRAMAÇÃO CLIENTE]]</f>
        <v>8.3333333328482695E-2</v>
      </c>
      <c r="AH265" s="44"/>
      <c r="AI265" s="66"/>
      <c r="AJ265" s="66"/>
      <c r="AK265" s="66"/>
      <c r="AL265" s="66"/>
      <c r="AM265" s="66"/>
      <c r="AN265" s="83"/>
      <c r="AO265" s="83"/>
      <c r="AP265" s="83"/>
      <c r="AQ265" s="66"/>
      <c r="AR265" s="66" t="s">
        <v>4973</v>
      </c>
      <c r="AS265" s="66"/>
      <c r="AT265" s="81">
        <v>3500</v>
      </c>
      <c r="AU265" s="81"/>
      <c r="AV265" s="81"/>
      <c r="AW265" s="81"/>
      <c r="AX265" s="83">
        <f>SUM(Prog_23[[#This Row],[ADIANTAMENTO]]+Prog_23[[#This Row],[SALDO]]+Prog_23[[#This Row],[MARGEM]]+Prog_23[[#This Row],[ESTADIA 1]])</f>
        <v>3500</v>
      </c>
      <c r="AY2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65" s="81"/>
      <c r="BA265" s="81"/>
      <c r="BB265" s="81">
        <f>Prog_23[[#This Row],[VLR NF]]*0.1%</f>
        <v>0</v>
      </c>
      <c r="BC265" s="81">
        <f>Prog_23[[#This Row],[VLR NF]]*0.05%</f>
        <v>0</v>
      </c>
      <c r="BD265" s="81"/>
      <c r="BE265" s="81"/>
      <c r="BF265" s="81"/>
      <c r="BG265" s="81"/>
      <c r="BH265" s="81"/>
      <c r="BI265" s="81"/>
      <c r="BJ265" s="81"/>
      <c r="BK265" s="81"/>
      <c r="BL265" s="81"/>
      <c r="BM265" s="81"/>
      <c r="BN265" s="66" t="s">
        <v>2768</v>
      </c>
      <c r="BO265" s="66"/>
      <c r="BP265" s="66" t="s">
        <v>2768</v>
      </c>
      <c r="BQ265" s="66" t="str">
        <f>PROPER(TEXT(Prog_23[[#This Row],[PROGRAMAÇÃO CLIENTE]],"mmm"))</f>
        <v>Mai</v>
      </c>
      <c r="BR265" s="66">
        <f>YEAR(Prog_23[[#This Row],[PROGRAMAÇÃO CLIENTE]])</f>
        <v>2023</v>
      </c>
    </row>
    <row r="266" spans="1:70" x14ac:dyDescent="0.25">
      <c r="A266" s="200" t="str">
        <f>Prog_23[[#This Row],[CONTEINER]]</f>
        <v>MEDU9422530</v>
      </c>
      <c r="B266" s="86" t="s">
        <v>4848</v>
      </c>
      <c r="C2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6" s="85">
        <v>45072.333333333336</v>
      </c>
      <c r="E266" s="66" t="s">
        <v>353</v>
      </c>
      <c r="F266" s="66" t="s">
        <v>4726</v>
      </c>
      <c r="G266" s="66" t="s">
        <v>4828</v>
      </c>
      <c r="H266" s="44" t="s">
        <v>4826</v>
      </c>
      <c r="I266" s="44" t="s">
        <v>4827</v>
      </c>
      <c r="J266" s="66" t="s">
        <v>301</v>
      </c>
      <c r="K266" s="66">
        <v>3700</v>
      </c>
      <c r="L266" s="66" t="s">
        <v>4833</v>
      </c>
      <c r="M266" s="66">
        <v>14520</v>
      </c>
      <c r="N266" s="66">
        <f>SUM(Prog_23[[#This Row],[TARA]]+Prog_23[[#This Row],[PESO]])</f>
        <v>18220</v>
      </c>
      <c r="O266" s="44">
        <v>53352</v>
      </c>
      <c r="P266" s="66" t="s">
        <v>4823</v>
      </c>
      <c r="Q266" s="66" t="s">
        <v>31</v>
      </c>
      <c r="R266" s="66" t="s">
        <v>32</v>
      </c>
      <c r="S266" s="66" t="s">
        <v>33</v>
      </c>
      <c r="T266" s="138" t="str">
        <f>IFERROR(LOOKUP($S266,MOTORISTAS!$D$3:$D$916,MOTORISTAS!E$3:$E$916),"")</f>
        <v>09776430856</v>
      </c>
      <c r="U266" s="138" t="str">
        <f>IFERROR(LOOKUP($S266,MOTORISTAS!$D$3:$D$916,MOTORISTAS!F$3:$F$916),"")</f>
        <v>01258979905</v>
      </c>
      <c r="V266" s="66" t="s">
        <v>1569</v>
      </c>
      <c r="W266" s="79">
        <v>45071.861111111109</v>
      </c>
      <c r="X266" s="79">
        <v>45072.095833333333</v>
      </c>
      <c r="Y266" s="79">
        <v>45072.475694444445</v>
      </c>
      <c r="Z266" s="66" t="s">
        <v>469</v>
      </c>
      <c r="AA266" s="79">
        <v>45075.581944444442</v>
      </c>
      <c r="AB266" s="79">
        <v>45072.333333333336</v>
      </c>
      <c r="AC266" s="79">
        <v>45072.333333333336</v>
      </c>
      <c r="AD266" s="79">
        <v>45072.333333333336</v>
      </c>
      <c r="AE266" s="66" t="s">
        <v>708</v>
      </c>
      <c r="AF266" s="44">
        <v>16220</v>
      </c>
      <c r="AG266" s="254">
        <f>Prog_23[[#This Row],[SAÍDA DO CLIENTE]]-Prog_23[[#This Row],[PROGRAMAÇÃO CLIENTE]]</f>
        <v>0.14236111110949423</v>
      </c>
      <c r="AH266" s="44"/>
      <c r="AI266" s="66"/>
      <c r="AJ266" s="66"/>
      <c r="AK266" s="66"/>
      <c r="AL266" s="66"/>
      <c r="AM266" s="66"/>
      <c r="AN266" s="83"/>
      <c r="AO266" s="83"/>
      <c r="AP266" s="83"/>
      <c r="AQ266" s="66"/>
      <c r="AR266" s="66" t="s">
        <v>4973</v>
      </c>
      <c r="AS266" s="66"/>
      <c r="AT266" s="81">
        <v>3500</v>
      </c>
      <c r="AU266" s="81"/>
      <c r="AV266" s="81"/>
      <c r="AW266" s="81"/>
      <c r="AX266" s="83">
        <f>SUM(Prog_23[[#This Row],[ADIANTAMENTO]]+Prog_23[[#This Row],[SALDO]]+Prog_23[[#This Row],[MARGEM]]+Prog_23[[#This Row],[ESTADIA 1]])</f>
        <v>3500</v>
      </c>
      <c r="AY2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66" s="81"/>
      <c r="BA266" s="81"/>
      <c r="BB266" s="81">
        <f>Prog_23[[#This Row],[VLR NF]]*0.1%</f>
        <v>0</v>
      </c>
      <c r="BC266" s="81">
        <f>Prog_23[[#This Row],[VLR NF]]*0.05%</f>
        <v>0</v>
      </c>
      <c r="BD266" s="81"/>
      <c r="BE266" s="81"/>
      <c r="BF266" s="81"/>
      <c r="BG266" s="81"/>
      <c r="BH266" s="81"/>
      <c r="BI266" s="81"/>
      <c r="BJ266" s="81"/>
      <c r="BK266" s="81"/>
      <c r="BL266" s="81"/>
      <c r="BM266" s="81"/>
      <c r="BN266" s="66" t="s">
        <v>2768</v>
      </c>
      <c r="BO266" s="66"/>
      <c r="BP266" s="66" t="s">
        <v>2768</v>
      </c>
      <c r="BQ266" s="66" t="str">
        <f>PROPER(TEXT(Prog_23[[#This Row],[PROGRAMAÇÃO CLIENTE]],"mmm"))</f>
        <v>Mai</v>
      </c>
      <c r="BR266" s="66">
        <f>YEAR(Prog_23[[#This Row],[PROGRAMAÇÃO CLIENTE]])</f>
        <v>2023</v>
      </c>
    </row>
    <row r="267" spans="1:70" x14ac:dyDescent="0.25">
      <c r="A267" s="201" t="str">
        <f>Prog_23[[#This Row],[CONTEINER]]</f>
        <v>MSMU7257276</v>
      </c>
      <c r="B267" s="86" t="s">
        <v>4848</v>
      </c>
      <c r="C2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7" s="85">
        <v>45072.333333333336</v>
      </c>
      <c r="E267" s="66" t="s">
        <v>353</v>
      </c>
      <c r="F267" s="66" t="s">
        <v>4726</v>
      </c>
      <c r="G267" s="66" t="s">
        <v>4828</v>
      </c>
      <c r="H267" s="44" t="s">
        <v>4826</v>
      </c>
      <c r="I267" s="258" t="s">
        <v>4829</v>
      </c>
      <c r="J267" s="66" t="s">
        <v>301</v>
      </c>
      <c r="K267" s="66">
        <v>3840</v>
      </c>
      <c r="L267" s="66" t="s">
        <v>4834</v>
      </c>
      <c r="M267" s="66">
        <v>7270</v>
      </c>
      <c r="N267" s="66">
        <f>SUM(Prog_23[[#This Row],[TARA]]+Prog_23[[#This Row],[PESO]])</f>
        <v>11110</v>
      </c>
      <c r="O267" s="44">
        <v>53352</v>
      </c>
      <c r="P267" s="66" t="s">
        <v>4823</v>
      </c>
      <c r="Q267" s="66" t="s">
        <v>155</v>
      </c>
      <c r="R267" s="66" t="s">
        <v>209</v>
      </c>
      <c r="S267" s="66" t="s">
        <v>156</v>
      </c>
      <c r="T267" s="138" t="str">
        <f>IFERROR(LOOKUP($S267,MOTORISTAS!$D$3:$D$916,MOTORISTAS!E$3:$E$916),"")</f>
        <v>09803034863</v>
      </c>
      <c r="U267" s="138" t="str">
        <f>IFERROR(LOOKUP($S267,MOTORISTAS!$D$3:$D$916,MOTORISTAS!F$3:$F$916),"")</f>
        <v>01484565209</v>
      </c>
      <c r="V267" s="66" t="s">
        <v>1569</v>
      </c>
      <c r="W267" s="79">
        <v>45071.881944444445</v>
      </c>
      <c r="X267" s="79">
        <v>45072.140972222223</v>
      </c>
      <c r="Y267" s="79">
        <v>45072.538194444445</v>
      </c>
      <c r="Z267" s="66" t="s">
        <v>469</v>
      </c>
      <c r="AA267" s="79">
        <v>45075.635416666664</v>
      </c>
      <c r="AB267" s="79">
        <v>45072.333333333336</v>
      </c>
      <c r="AC267" s="79">
        <v>45072.333333333336</v>
      </c>
      <c r="AD267" s="79">
        <v>45072.333333333336</v>
      </c>
      <c r="AE267" s="66" t="s">
        <v>708</v>
      </c>
      <c r="AF267" s="44">
        <v>16221</v>
      </c>
      <c r="AG267" s="254">
        <f>Prog_23[[#This Row],[SAÍDA DO CLIENTE]]-Prog_23[[#This Row],[PROGRAMAÇÃO CLIENTE]]</f>
        <v>0.20486111110949423</v>
      </c>
      <c r="AH267" s="44"/>
      <c r="AI267" s="66"/>
      <c r="AJ267" s="66"/>
      <c r="AK267" s="66"/>
      <c r="AL267" s="66"/>
      <c r="AM267" s="66"/>
      <c r="AN267" s="83"/>
      <c r="AO267" s="83"/>
      <c r="AP267" s="83"/>
      <c r="AQ267" s="66"/>
      <c r="AR267" s="66" t="s">
        <v>4973</v>
      </c>
      <c r="AS267" s="66"/>
      <c r="AT267" s="81">
        <v>3500</v>
      </c>
      <c r="AU267" s="81"/>
      <c r="AV267" s="81"/>
      <c r="AW267" s="81"/>
      <c r="AX267" s="83">
        <f>SUM(Prog_23[[#This Row],[ADIANTAMENTO]]+Prog_23[[#This Row],[SALDO]]+Prog_23[[#This Row],[MARGEM]]+Prog_23[[#This Row],[ESTADIA 1]])</f>
        <v>3500</v>
      </c>
      <c r="AY2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67" s="81"/>
      <c r="BA267" s="81"/>
      <c r="BB267" s="81">
        <f>Prog_23[[#This Row],[VLR NF]]*0.1%</f>
        <v>0</v>
      </c>
      <c r="BC267" s="81">
        <f>Prog_23[[#This Row],[VLR NF]]*0.05%</f>
        <v>0</v>
      </c>
      <c r="BD267" s="81"/>
      <c r="BE267" s="81"/>
      <c r="BF267" s="81"/>
      <c r="BG267" s="81"/>
      <c r="BH267" s="81"/>
      <c r="BI267" s="81"/>
      <c r="BJ267" s="81"/>
      <c r="BK267" s="81"/>
      <c r="BL267" s="81"/>
      <c r="BM267" s="81"/>
      <c r="BN267" s="66" t="s">
        <v>2768</v>
      </c>
      <c r="BO267" s="66"/>
      <c r="BP267" s="66" t="s">
        <v>2768</v>
      </c>
      <c r="BQ267" s="66" t="str">
        <f>PROPER(TEXT(Prog_23[[#This Row],[PROGRAMAÇÃO CLIENTE]],"mmm"))</f>
        <v>Mai</v>
      </c>
      <c r="BR267" s="66">
        <f>YEAR(Prog_23[[#This Row],[PROGRAMAÇÃO CLIENTE]])</f>
        <v>2023</v>
      </c>
    </row>
    <row r="268" spans="1:70" x14ac:dyDescent="0.25">
      <c r="A268" s="201" t="str">
        <f>Prog_23[[#This Row],[CONTEINER]]</f>
        <v>MSDU8213105</v>
      </c>
      <c r="B268" s="86" t="s">
        <v>4848</v>
      </c>
      <c r="C2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8" s="85">
        <v>45072.333333333336</v>
      </c>
      <c r="E268" s="66" t="s">
        <v>353</v>
      </c>
      <c r="F268" s="66" t="s">
        <v>4726</v>
      </c>
      <c r="G268" s="66" t="s">
        <v>4828</v>
      </c>
      <c r="H268" s="44" t="s">
        <v>4826</v>
      </c>
      <c r="I268" s="258" t="s">
        <v>4830</v>
      </c>
      <c r="J268" s="66" t="s">
        <v>301</v>
      </c>
      <c r="K268" s="66">
        <v>3840</v>
      </c>
      <c r="L268" s="66" t="s">
        <v>4835</v>
      </c>
      <c r="M268" s="66">
        <v>14520</v>
      </c>
      <c r="N268" s="66">
        <f>SUM(Prog_23[[#This Row],[TARA]]+Prog_23[[#This Row],[PESO]])</f>
        <v>18360</v>
      </c>
      <c r="O268" s="44">
        <v>53352</v>
      </c>
      <c r="P268" s="66" t="s">
        <v>4823</v>
      </c>
      <c r="Q268" s="66" t="s">
        <v>68</v>
      </c>
      <c r="R268" s="66" t="s">
        <v>36</v>
      </c>
      <c r="S268" s="66" t="s">
        <v>69</v>
      </c>
      <c r="T268" s="138" t="str">
        <f>IFERROR(LOOKUP($S268,MOTORISTAS!$D$3:$D$916,MOTORISTAS!E$3:$E$916),"")</f>
        <v>07968457866</v>
      </c>
      <c r="U268" s="138" t="str">
        <f>IFERROR(LOOKUP($S268,MOTORISTAS!$D$3:$D$916,MOTORISTAS!F$3:$F$916),"")</f>
        <v>03264365790</v>
      </c>
      <c r="V268" s="66" t="s">
        <v>1569</v>
      </c>
      <c r="W268" s="79">
        <v>45071.888888888891</v>
      </c>
      <c r="X268" s="79">
        <v>45072.129861111112</v>
      </c>
      <c r="Y268" s="79">
        <v>45072.496527777781</v>
      </c>
      <c r="Z268" s="66" t="s">
        <v>469</v>
      </c>
      <c r="AA268" s="79">
        <v>45075.629861111112</v>
      </c>
      <c r="AB268" s="79">
        <v>45072.333333333336</v>
      </c>
      <c r="AC268" s="79">
        <v>45072.333333333336</v>
      </c>
      <c r="AD268" s="79">
        <v>45072.333333333336</v>
      </c>
      <c r="AE268" s="66" t="s">
        <v>708</v>
      </c>
      <c r="AF268" s="44">
        <v>16222</v>
      </c>
      <c r="AG268" s="254">
        <f>Prog_23[[#This Row],[SAÍDA DO CLIENTE]]-Prog_23[[#This Row],[PROGRAMAÇÃO CLIENTE]]</f>
        <v>0.16319444444525288</v>
      </c>
      <c r="AH268" s="44"/>
      <c r="AI268" s="66"/>
      <c r="AJ268" s="66"/>
      <c r="AK268" s="66"/>
      <c r="AL268" s="66"/>
      <c r="AM268" s="66"/>
      <c r="AN268" s="83"/>
      <c r="AO268" s="83"/>
      <c r="AP268" s="83"/>
      <c r="AQ268" s="66"/>
      <c r="AR268" s="66"/>
      <c r="AS268" s="66"/>
      <c r="AT268" s="81">
        <v>3500</v>
      </c>
      <c r="AU268" s="81"/>
      <c r="AV268" s="81"/>
      <c r="AW268" s="81"/>
      <c r="AX268" s="83">
        <f>SUM(Prog_23[[#This Row],[ADIANTAMENTO]]+Prog_23[[#This Row],[SALDO]]+Prog_23[[#This Row],[MARGEM]]+Prog_23[[#This Row],[ESTADIA 1]])</f>
        <v>3500</v>
      </c>
      <c r="AY2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68" s="81"/>
      <c r="BA268" s="81"/>
      <c r="BB268" s="81">
        <f>Prog_23[[#This Row],[VLR NF]]*0.1%</f>
        <v>0</v>
      </c>
      <c r="BC268" s="81">
        <f>Prog_23[[#This Row],[VLR NF]]*0.05%</f>
        <v>0</v>
      </c>
      <c r="BD268" s="81"/>
      <c r="BE268" s="81"/>
      <c r="BF268" s="81"/>
      <c r="BG268" s="81"/>
      <c r="BH268" s="81"/>
      <c r="BI268" s="81"/>
      <c r="BJ268" s="81"/>
      <c r="BK268" s="81"/>
      <c r="BL268" s="81"/>
      <c r="BM268" s="81"/>
      <c r="BN268" s="66" t="s">
        <v>2768</v>
      </c>
      <c r="BO268" s="66"/>
      <c r="BP268" s="66" t="s">
        <v>2768</v>
      </c>
      <c r="BQ268" s="66" t="str">
        <f>PROPER(TEXT(Prog_23[[#This Row],[PROGRAMAÇÃO CLIENTE]],"mmm"))</f>
        <v>Mai</v>
      </c>
      <c r="BR268" s="66">
        <f>YEAR(Prog_23[[#This Row],[PROGRAMAÇÃO CLIENTE]])</f>
        <v>2023</v>
      </c>
    </row>
    <row r="269" spans="1:70" x14ac:dyDescent="0.25">
      <c r="A269" s="200" t="str">
        <f>Prog_23[[#This Row],[CONTEINER]]</f>
        <v>FCIU8907451</v>
      </c>
      <c r="B269" s="86" t="s">
        <v>4848</v>
      </c>
      <c r="C2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69" s="85">
        <v>45072.333333333336</v>
      </c>
      <c r="E269" s="66" t="s">
        <v>353</v>
      </c>
      <c r="F269" s="66" t="s">
        <v>4726</v>
      </c>
      <c r="G269" s="66" t="s">
        <v>4828</v>
      </c>
      <c r="H269" s="44" t="s">
        <v>4826</v>
      </c>
      <c r="I269" s="258" t="s">
        <v>4831</v>
      </c>
      <c r="J269" s="66" t="s">
        <v>301</v>
      </c>
      <c r="K269" s="66">
        <v>3900</v>
      </c>
      <c r="L269" s="66" t="s">
        <v>4836</v>
      </c>
      <c r="M269" s="66">
        <v>15880</v>
      </c>
      <c r="N269" s="66">
        <f>SUM(Prog_23[[#This Row],[TARA]]+Prog_23[[#This Row],[PESO]])</f>
        <v>19780</v>
      </c>
      <c r="O269" s="44">
        <v>53352</v>
      </c>
      <c r="P269" s="66" t="s">
        <v>4823</v>
      </c>
      <c r="Q269" s="66" t="s">
        <v>106</v>
      </c>
      <c r="R269" s="66" t="s">
        <v>107</v>
      </c>
      <c r="S269" s="66" t="s">
        <v>108</v>
      </c>
      <c r="T269" s="138" t="str">
        <f>IFERROR(LOOKUP($S269,MOTORISTAS!$D$3:$D$916,MOTORISTAS!E$3:$E$916),"")</f>
        <v>34927982840</v>
      </c>
      <c r="U269" s="138" t="str">
        <f>IFERROR(LOOKUP($S269,MOTORISTAS!$D$3:$D$916,MOTORISTAS!F$3:$F$916),"")</f>
        <v>03500129879</v>
      </c>
      <c r="V269" s="66" t="s">
        <v>1569</v>
      </c>
      <c r="W269" s="79">
        <v>45071.868055555555</v>
      </c>
      <c r="X269" s="79">
        <v>45072.143750000003</v>
      </c>
      <c r="Y269" s="79">
        <v>45072.470138888886</v>
      </c>
      <c r="Z269" s="66" t="s">
        <v>469</v>
      </c>
      <c r="AA269" s="79">
        <v>45075.586111111108</v>
      </c>
      <c r="AB269" s="79">
        <v>45072.333333333336</v>
      </c>
      <c r="AC269" s="79">
        <v>45072.333333333336</v>
      </c>
      <c r="AD269" s="79">
        <v>45072.333333333336</v>
      </c>
      <c r="AE269" s="66" t="s">
        <v>708</v>
      </c>
      <c r="AF269" s="44">
        <v>16223</v>
      </c>
      <c r="AG269" s="254">
        <f>Prog_23[[#This Row],[SAÍDA DO CLIENTE]]-Prog_23[[#This Row],[PROGRAMAÇÃO CLIENTE]]</f>
        <v>0.13680555555038154</v>
      </c>
      <c r="AH269" s="44"/>
      <c r="AI269" s="66"/>
      <c r="AJ269" s="66"/>
      <c r="AK269" s="66"/>
      <c r="AL269" s="66"/>
      <c r="AM269" s="66"/>
      <c r="AN269" s="83"/>
      <c r="AO269" s="83"/>
      <c r="AP269" s="83"/>
      <c r="AQ269" s="66"/>
      <c r="AR269" s="66"/>
      <c r="AS269" s="66"/>
      <c r="AT269" s="81">
        <v>3500</v>
      </c>
      <c r="AU269" s="81"/>
      <c r="AV269" s="81"/>
      <c r="AW269" s="81"/>
      <c r="AX269" s="83">
        <f>SUM(Prog_23[[#This Row],[ADIANTAMENTO]]+Prog_23[[#This Row],[SALDO]]+Prog_23[[#This Row],[MARGEM]]+Prog_23[[#This Row],[ESTADIA 1]])</f>
        <v>3500</v>
      </c>
      <c r="AY2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69" s="81"/>
      <c r="BA269" s="81"/>
      <c r="BB269" s="81">
        <f>Prog_23[[#This Row],[VLR NF]]*0.1%</f>
        <v>0</v>
      </c>
      <c r="BC269" s="81">
        <f>Prog_23[[#This Row],[VLR NF]]*0.05%</f>
        <v>0</v>
      </c>
      <c r="BD269" s="81"/>
      <c r="BE269" s="81"/>
      <c r="BF269" s="81"/>
      <c r="BG269" s="81"/>
      <c r="BH269" s="81"/>
      <c r="BI269" s="81"/>
      <c r="BJ269" s="81"/>
      <c r="BK269" s="81"/>
      <c r="BL269" s="81"/>
      <c r="BM269" s="81"/>
      <c r="BN269" s="66" t="s">
        <v>2768</v>
      </c>
      <c r="BO269" s="66"/>
      <c r="BP269" s="66" t="s">
        <v>2768</v>
      </c>
      <c r="BQ269" s="66" t="str">
        <f>PROPER(TEXT(Prog_23[[#This Row],[PROGRAMAÇÃO CLIENTE]],"mmm"))</f>
        <v>Mai</v>
      </c>
      <c r="BR269" s="66">
        <f>YEAR(Prog_23[[#This Row],[PROGRAMAÇÃO CLIENTE]])</f>
        <v>2023</v>
      </c>
    </row>
    <row r="270" spans="1:70" x14ac:dyDescent="0.25">
      <c r="A270" s="201" t="str">
        <f>Prog_23[[#This Row],[CONTEINER]]</f>
        <v>CMAU7824866</v>
      </c>
      <c r="B270" s="86" t="s">
        <v>2771</v>
      </c>
      <c r="C2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70" s="85">
        <v>45073.333333333336</v>
      </c>
      <c r="E270" s="66" t="s">
        <v>1980</v>
      </c>
      <c r="F270" s="66" t="s">
        <v>284</v>
      </c>
      <c r="G270" s="66" t="s">
        <v>4706</v>
      </c>
      <c r="H270" s="44" t="s">
        <v>4705</v>
      </c>
      <c r="I270" s="44" t="s">
        <v>4865</v>
      </c>
      <c r="J270" s="66" t="s">
        <v>301</v>
      </c>
      <c r="K270" s="66">
        <v>3700</v>
      </c>
      <c r="L270" s="66" t="s">
        <v>4866</v>
      </c>
      <c r="M270" s="66">
        <v>26375</v>
      </c>
      <c r="N270" s="66">
        <f>SUM(Prog_23[[#This Row],[TARA]]+Prog_23[[#This Row],[PESO]])</f>
        <v>30075</v>
      </c>
      <c r="O270" s="44">
        <v>219341</v>
      </c>
      <c r="P270" s="66" t="s">
        <v>4923</v>
      </c>
      <c r="Q270" s="66" t="s">
        <v>210</v>
      </c>
      <c r="R270" s="66" t="s">
        <v>211</v>
      </c>
      <c r="S270" s="66" t="s">
        <v>212</v>
      </c>
      <c r="T270" s="138" t="str">
        <f>IFERROR(LOOKUP($S270,MOTORISTAS!$D$3:$D$916,MOTORISTAS!E$3:$E$916),"")</f>
        <v>38029906846</v>
      </c>
      <c r="U270" s="138" t="str">
        <f>IFERROR(LOOKUP($S270,MOTORISTAS!$D$3:$D$916,MOTORISTAS!F$3:$F$916),"")</f>
        <v>04946846842</v>
      </c>
      <c r="V270" s="66" t="s">
        <v>537</v>
      </c>
      <c r="W270" s="66"/>
      <c r="X270" s="79">
        <v>45073.333333333336</v>
      </c>
      <c r="Y270" s="79">
        <v>45073.40625</v>
      </c>
      <c r="Z270" s="66" t="s">
        <v>293</v>
      </c>
      <c r="AA270" s="79">
        <v>45075.995138888888</v>
      </c>
      <c r="AB270" s="79">
        <v>45071.291666666664</v>
      </c>
      <c r="AC270" s="79">
        <v>45076.5</v>
      </c>
      <c r="AD270" s="79">
        <v>45076.5</v>
      </c>
      <c r="AE270" s="66" t="s">
        <v>294</v>
      </c>
      <c r="AF270" s="44"/>
      <c r="AG270" s="254">
        <f>Prog_23[[#This Row],[SAÍDA DO CLIENTE]]-Prog_23[[#This Row],[PROGRAMAÇÃO CLIENTE]]</f>
        <v>7.2916666664241347E-2</v>
      </c>
      <c r="AH270" s="44"/>
      <c r="AI270" s="66"/>
      <c r="AJ270" s="66"/>
      <c r="AK270" s="66" t="s">
        <v>393</v>
      </c>
      <c r="AL270" s="79">
        <v>45075.333333333336</v>
      </c>
      <c r="AM270" s="66"/>
      <c r="AN270" s="83">
        <v>950</v>
      </c>
      <c r="AO270" s="83"/>
      <c r="AP270" s="83"/>
      <c r="AQ270" s="66"/>
      <c r="AR270" s="66"/>
      <c r="AS270" s="66"/>
      <c r="AT270" s="81">
        <v>4200</v>
      </c>
      <c r="AU270" s="81"/>
      <c r="AV270" s="81"/>
      <c r="AW270" s="81"/>
      <c r="AX270" s="83">
        <f>SUM(Prog_23[[#This Row],[ADIANTAMENTO]]+Prog_23[[#This Row],[SALDO]]+Prog_23[[#This Row],[MARGEM]]+Prog_23[[#This Row],[ESTADIA 1]])</f>
        <v>4200</v>
      </c>
      <c r="AY2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70" s="81"/>
      <c r="BA270" s="81"/>
      <c r="BB270" s="81">
        <f>Prog_23[[#This Row],[VLR NF]]*0.1%</f>
        <v>0</v>
      </c>
      <c r="BC270" s="81">
        <f>Prog_23[[#This Row],[VLR NF]]*0.05%</f>
        <v>0</v>
      </c>
      <c r="BD270" s="81"/>
      <c r="BE270" s="81"/>
      <c r="BF270" s="81"/>
      <c r="BG270" s="81"/>
      <c r="BH270" s="81"/>
      <c r="BI270" s="81"/>
      <c r="BJ270" s="81"/>
      <c r="BK270" s="81"/>
      <c r="BL270" s="81"/>
      <c r="BM270" s="81"/>
      <c r="BN270" s="66" t="s">
        <v>2768</v>
      </c>
      <c r="BO270" s="66" t="s">
        <v>2768</v>
      </c>
      <c r="BP270" s="66" t="s">
        <v>2768</v>
      </c>
      <c r="BQ270" s="66" t="str">
        <f>PROPER(TEXT(Prog_23[[#This Row],[PROGRAMAÇÃO CLIENTE]],"mmm"))</f>
        <v>Mai</v>
      </c>
      <c r="BR270" s="66">
        <f>YEAR(Prog_23[[#This Row],[PROGRAMAÇÃO CLIENTE]])</f>
        <v>2023</v>
      </c>
    </row>
    <row r="271" spans="1:70" x14ac:dyDescent="0.25">
      <c r="A271" s="200" t="str">
        <f>Prog_23[[#This Row],[CONTEINER]]</f>
        <v>CMAU7495056</v>
      </c>
      <c r="B271" s="86" t="s">
        <v>2771</v>
      </c>
      <c r="C2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71" s="85">
        <v>45075.333333333336</v>
      </c>
      <c r="E271" s="66" t="s">
        <v>1980</v>
      </c>
      <c r="F271" s="66" t="s">
        <v>284</v>
      </c>
      <c r="G271" s="66" t="s">
        <v>4706</v>
      </c>
      <c r="H271" s="44" t="s">
        <v>4705</v>
      </c>
      <c r="I271" s="44" t="s">
        <v>4861</v>
      </c>
      <c r="J271" s="66" t="s">
        <v>301</v>
      </c>
      <c r="K271" s="66">
        <v>3700</v>
      </c>
      <c r="L271" s="66" t="s">
        <v>4862</v>
      </c>
      <c r="M271" s="66">
        <v>24558</v>
      </c>
      <c r="N271" s="66">
        <f>SUM(Prog_23[[#This Row],[TARA]]+Prog_23[[#This Row],[PESO]])</f>
        <v>28258</v>
      </c>
      <c r="O271" s="44">
        <v>219351</v>
      </c>
      <c r="P271" s="66" t="s">
        <v>4923</v>
      </c>
      <c r="Q271" s="66" t="s">
        <v>102</v>
      </c>
      <c r="R271" s="66" t="s">
        <v>27</v>
      </c>
      <c r="S271" s="66" t="s">
        <v>203</v>
      </c>
      <c r="T271" s="138" t="str">
        <f>IFERROR(LOOKUP($S271,MOTORISTAS!$D$3:$D$916,MOTORISTAS!E$3:$E$916),"")</f>
        <v>10395859816</v>
      </c>
      <c r="U271" s="138" t="str">
        <f>IFERROR(LOOKUP($S271,MOTORISTAS!$D$3:$D$916,MOTORISTAS!F$3:$F$916),"")</f>
        <v>01965794851</v>
      </c>
      <c r="V271" s="66" t="s">
        <v>537</v>
      </c>
      <c r="W271" s="66"/>
      <c r="X271" s="79">
        <v>45075.291666666664</v>
      </c>
      <c r="Y271" s="79">
        <v>45075.4375</v>
      </c>
      <c r="Z271" s="66" t="s">
        <v>293</v>
      </c>
      <c r="AA271" s="79">
        <v>45075.706944444442</v>
      </c>
      <c r="AB271" s="79">
        <v>45071.291666666664</v>
      </c>
      <c r="AC271" s="79">
        <v>45076.5</v>
      </c>
      <c r="AD271" s="79">
        <v>45076.5</v>
      </c>
      <c r="AE271" s="66" t="s">
        <v>294</v>
      </c>
      <c r="AF271" s="44"/>
      <c r="AG271" s="254">
        <f>Prog_23[[#This Row],[SAÍDA DO CLIENTE]]-Prog_23[[#This Row],[PROGRAMAÇÃO CLIENTE]]</f>
        <v>0.10416666666424135</v>
      </c>
      <c r="AH271" s="44"/>
      <c r="AI271" s="66"/>
      <c r="AJ271" s="66"/>
      <c r="AK271" s="66"/>
      <c r="AL271" s="66"/>
      <c r="AM271" s="66"/>
      <c r="AN271" s="83"/>
      <c r="AO271" s="83"/>
      <c r="AP271" s="83"/>
      <c r="AQ271" s="66"/>
      <c r="AR271" s="66"/>
      <c r="AS271" s="66"/>
      <c r="AT271" s="81">
        <v>4200</v>
      </c>
      <c r="AU271" s="81"/>
      <c r="AV271" s="81"/>
      <c r="AW271" s="81"/>
      <c r="AX271" s="83">
        <f>SUM(Prog_23[[#This Row],[ADIANTAMENTO]]+Prog_23[[#This Row],[SALDO]]+Prog_23[[#This Row],[MARGEM]]+Prog_23[[#This Row],[ESTADIA 1]])</f>
        <v>4200</v>
      </c>
      <c r="AY2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71" s="81"/>
      <c r="BA271" s="81"/>
      <c r="BB271" s="81">
        <f>Prog_23[[#This Row],[VLR NF]]*0.1%</f>
        <v>0</v>
      </c>
      <c r="BC271" s="81">
        <f>Prog_23[[#This Row],[VLR NF]]*0.05%</f>
        <v>0</v>
      </c>
      <c r="BD271" s="81"/>
      <c r="BE271" s="81"/>
      <c r="BF271" s="81"/>
      <c r="BG271" s="81"/>
      <c r="BH271" s="81"/>
      <c r="BI271" s="81"/>
      <c r="BJ271" s="81"/>
      <c r="BK271" s="81"/>
      <c r="BL271" s="81"/>
      <c r="BM271" s="81"/>
      <c r="BN271" s="66" t="s">
        <v>2768</v>
      </c>
      <c r="BO271" s="66" t="s">
        <v>2768</v>
      </c>
      <c r="BP271" s="66" t="s">
        <v>2768</v>
      </c>
      <c r="BQ271" s="66" t="str">
        <f>PROPER(TEXT(Prog_23[[#This Row],[PROGRAMAÇÃO CLIENTE]],"mmm"))</f>
        <v>Mai</v>
      </c>
      <c r="BR271" s="66">
        <f>YEAR(Prog_23[[#This Row],[PROGRAMAÇÃO CLIENTE]])</f>
        <v>2023</v>
      </c>
    </row>
    <row r="272" spans="1:70" x14ac:dyDescent="0.25">
      <c r="A272" s="201" t="str">
        <f>Prog_23[[#This Row],[CONTEINER]]</f>
        <v>MSKU9255055</v>
      </c>
      <c r="B272" s="86" t="s">
        <v>2771</v>
      </c>
      <c r="C2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272" s="85">
        <v>45073.375</v>
      </c>
      <c r="E272" s="66" t="s">
        <v>297</v>
      </c>
      <c r="F272" s="66" t="s">
        <v>298</v>
      </c>
      <c r="G272" s="66" t="s">
        <v>4811</v>
      </c>
      <c r="H272" s="44" t="s">
        <v>4809</v>
      </c>
      <c r="I272" s="258" t="s">
        <v>4863</v>
      </c>
      <c r="J272" s="66" t="s">
        <v>301</v>
      </c>
      <c r="K272" s="66">
        <v>3880</v>
      </c>
      <c r="L272" s="66" t="s">
        <v>4864</v>
      </c>
      <c r="M272" s="66">
        <v>19472</v>
      </c>
      <c r="N272" s="66">
        <f>SUM(Prog_23[[#This Row],[TARA]]+Prog_23[[#This Row],[PESO]])</f>
        <v>23352</v>
      </c>
      <c r="O272" s="44">
        <v>864586</v>
      </c>
      <c r="P272" s="66" t="s">
        <v>4810</v>
      </c>
      <c r="Q272" s="66" t="s">
        <v>4735</v>
      </c>
      <c r="R272" s="66" t="s">
        <v>2930</v>
      </c>
      <c r="S272" s="66" t="s">
        <v>4737</v>
      </c>
      <c r="T272" s="138" t="str">
        <f>IFERROR(LOOKUP($S272,MOTORISTAS!$D$3:$D$916,MOTORISTAS!E$3:$E$916),"")</f>
        <v>57271194134</v>
      </c>
      <c r="U272" s="138" t="str">
        <f>IFERROR(LOOKUP($S272,MOTORISTAS!$D$3:$D$916,MOTORISTAS!F$3:$F$916),"")</f>
        <v>01939034087</v>
      </c>
      <c r="V272" s="66" t="s">
        <v>292</v>
      </c>
      <c r="W272" s="66"/>
      <c r="X272" s="79">
        <v>45073.416666666664</v>
      </c>
      <c r="Y272" s="79">
        <v>45073.979166666664</v>
      </c>
      <c r="Z272" s="66" t="s">
        <v>410</v>
      </c>
      <c r="AA272" s="79">
        <v>45075.322222222225</v>
      </c>
      <c r="AB272" s="79">
        <v>45073.291666666664</v>
      </c>
      <c r="AC272" s="79">
        <v>45072.625</v>
      </c>
      <c r="AD272" s="79">
        <v>45077.75</v>
      </c>
      <c r="AE272" s="66" t="s">
        <v>308</v>
      </c>
      <c r="AF272" s="44">
        <v>16183</v>
      </c>
      <c r="AG272" s="254">
        <f>Prog_23[[#This Row],[SAÍDA DO CLIENTE]]-Prog_23[[#This Row],[PROGRAMAÇÃO CLIENTE]]</f>
        <v>0.60416666666424135</v>
      </c>
      <c r="AH272" s="44"/>
      <c r="AI272" s="66"/>
      <c r="AJ272" s="66"/>
      <c r="AK272" s="66"/>
      <c r="AL272" s="66"/>
      <c r="AM272" s="66"/>
      <c r="AN272" s="83"/>
      <c r="AO272" s="83"/>
      <c r="AP272" s="83"/>
      <c r="AQ272" s="66"/>
      <c r="AR272" s="66"/>
      <c r="AS272" s="66"/>
      <c r="AT272" s="81">
        <v>3000</v>
      </c>
      <c r="AU272" s="81"/>
      <c r="AV272" s="81"/>
      <c r="AW272" s="81"/>
      <c r="AX272" s="83">
        <f>SUM(Prog_23[[#This Row],[ADIANTAMENTO]]+Prog_23[[#This Row],[SALDO]]+Prog_23[[#This Row],[MARGEM]]+Prog_23[[#This Row],[ESTADIA 1]])</f>
        <v>3000</v>
      </c>
      <c r="AY2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4680</v>
      </c>
      <c r="AZ272" s="81">
        <v>3488.8</v>
      </c>
      <c r="BA272" s="81">
        <v>139445.34</v>
      </c>
      <c r="BB272" s="81">
        <v>0</v>
      </c>
      <c r="BC272" s="81">
        <v>0</v>
      </c>
      <c r="BD272" s="81">
        <v>511.2</v>
      </c>
      <c r="BE272" s="81"/>
      <c r="BF272" s="81"/>
      <c r="BG272" s="81"/>
      <c r="BH272" s="81"/>
      <c r="BI272" s="81"/>
      <c r="BJ272" s="81"/>
      <c r="BK272" s="81"/>
      <c r="BL272" s="81"/>
      <c r="BM272" s="81">
        <f>85*8</f>
        <v>680</v>
      </c>
      <c r="BN272" s="66" t="s">
        <v>2768</v>
      </c>
      <c r="BO272" s="66" t="s">
        <v>2768</v>
      </c>
      <c r="BP272" s="66" t="s">
        <v>2768</v>
      </c>
      <c r="BQ272" s="66" t="str">
        <f>PROPER(TEXT(Prog_23[[#This Row],[PROGRAMAÇÃO CLIENTE]],"mmm"))</f>
        <v>Mai</v>
      </c>
      <c r="BR272" s="66">
        <f>YEAR(Prog_23[[#This Row],[PROGRAMAÇÃO CLIENTE]])</f>
        <v>2023</v>
      </c>
    </row>
    <row r="273" spans="1:70" x14ac:dyDescent="0.25">
      <c r="A273" s="200" t="str">
        <f>Prog_23[[#This Row],[CONTEINER]]</f>
        <v>MSKU1896664</v>
      </c>
      <c r="B273" s="86" t="s">
        <v>2771</v>
      </c>
      <c r="C2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73" s="85">
        <v>45073.458333333336</v>
      </c>
      <c r="E273" s="66" t="s">
        <v>297</v>
      </c>
      <c r="F273" s="66" t="s">
        <v>298</v>
      </c>
      <c r="G273" s="66" t="s">
        <v>4811</v>
      </c>
      <c r="H273" s="44" t="s">
        <v>4809</v>
      </c>
      <c r="I273" s="258" t="s">
        <v>4858</v>
      </c>
      <c r="J273" s="66" t="s">
        <v>301</v>
      </c>
      <c r="K273" s="66">
        <v>3880</v>
      </c>
      <c r="L273" s="66" t="s">
        <v>4859</v>
      </c>
      <c r="M273" s="66">
        <v>22810</v>
      </c>
      <c r="N273" s="66">
        <f>SUM(Prog_23[[#This Row],[TARA]]+Prog_23[[#This Row],[PESO]])</f>
        <v>26690</v>
      </c>
      <c r="O273" s="44">
        <v>864573</v>
      </c>
      <c r="P273" s="66" t="s">
        <v>4810</v>
      </c>
      <c r="Q273" s="66" t="s">
        <v>2929</v>
      </c>
      <c r="R273" s="66" t="s">
        <v>3388</v>
      </c>
      <c r="S273" s="66" t="s">
        <v>1384</v>
      </c>
      <c r="T273" s="138" t="str">
        <f>IFERROR(LOOKUP($S273,MOTORISTAS!$D$3:$D$916,MOTORISTAS!E$3:$E$916),"")</f>
        <v>37752335800</v>
      </c>
      <c r="U273" s="138" t="str">
        <f>IFERROR(LOOKUP($S273,MOTORISTAS!$D$3:$D$916,MOTORISTAS!F$3:$F$916),"")</f>
        <v>04031990855</v>
      </c>
      <c r="V273" s="66" t="s">
        <v>292</v>
      </c>
      <c r="W273" s="79">
        <v>45072.969444444447</v>
      </c>
      <c r="X273" s="79">
        <v>45073.319444444445</v>
      </c>
      <c r="Y273" s="79">
        <v>45073.895833333336</v>
      </c>
      <c r="Z273" s="66" t="s">
        <v>410</v>
      </c>
      <c r="AA273" s="79">
        <v>45075.367361111108</v>
      </c>
      <c r="AB273" s="79">
        <v>45073.291666666664</v>
      </c>
      <c r="AC273" s="79">
        <v>45072.625</v>
      </c>
      <c r="AD273" s="79">
        <v>45077.75</v>
      </c>
      <c r="AE273" s="66" t="s">
        <v>308</v>
      </c>
      <c r="AF273" s="44">
        <v>16182</v>
      </c>
      <c r="AG273" s="254">
        <f>Prog_23[[#This Row],[SAÍDA DO CLIENTE]]-Prog_23[[#This Row],[PROGRAMAÇÃO CLIENTE]]</f>
        <v>0.4375</v>
      </c>
      <c r="AH273" s="44"/>
      <c r="AI273" s="66"/>
      <c r="AJ273" s="66"/>
      <c r="AK273" s="66"/>
      <c r="AL273" s="66"/>
      <c r="AM273" s="66"/>
      <c r="AN273" s="83"/>
      <c r="AO273" s="83"/>
      <c r="AP273" s="83"/>
      <c r="AQ273" s="66"/>
      <c r="AR273" s="66"/>
      <c r="AS273" s="66"/>
      <c r="AT273" s="81">
        <v>3000</v>
      </c>
      <c r="AU273" s="81"/>
      <c r="AV273" s="81"/>
      <c r="AW273" s="81"/>
      <c r="AX273" s="83">
        <f>SUM(Prog_23[[#This Row],[ADIANTAMENTO]]+Prog_23[[#This Row],[SALDO]]+Prog_23[[#This Row],[MARGEM]]+Prog_23[[#This Row],[ESTADIA 1]])</f>
        <v>3000</v>
      </c>
      <c r="AY2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4425</v>
      </c>
      <c r="AZ273" s="81">
        <v>3488.8</v>
      </c>
      <c r="BA273" s="81">
        <v>173324.79999999999</v>
      </c>
      <c r="BB273" s="81">
        <v>0</v>
      </c>
      <c r="BC273" s="81">
        <v>0</v>
      </c>
      <c r="BD273" s="81">
        <v>511.2</v>
      </c>
      <c r="BE273" s="81"/>
      <c r="BF273" s="81"/>
      <c r="BG273" s="81"/>
      <c r="BH273" s="81"/>
      <c r="BI273" s="81"/>
      <c r="BJ273" s="81"/>
      <c r="BK273" s="81"/>
      <c r="BL273" s="81"/>
      <c r="BM273" s="81">
        <f>85*5</f>
        <v>425</v>
      </c>
      <c r="BN273" s="66" t="s">
        <v>2768</v>
      </c>
      <c r="BO273" s="66" t="s">
        <v>2768</v>
      </c>
      <c r="BP273" s="66" t="s">
        <v>2768</v>
      </c>
      <c r="BQ273" s="66" t="str">
        <f>PROPER(TEXT(Prog_23[[#This Row],[PROGRAMAÇÃO CLIENTE]],"mmm"))</f>
        <v>Mai</v>
      </c>
      <c r="BR273" s="66">
        <f>YEAR(Prog_23[[#This Row],[PROGRAMAÇÃO CLIENTE]])</f>
        <v>2023</v>
      </c>
    </row>
    <row r="274" spans="1:70" x14ac:dyDescent="0.25">
      <c r="A274" s="201" t="str">
        <f>Prog_23[[#This Row],[CONTEINER]]</f>
        <v>MRKU5629263</v>
      </c>
      <c r="B274" s="86" t="s">
        <v>2771</v>
      </c>
      <c r="C2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74" s="85">
        <v>45073.541666666664</v>
      </c>
      <c r="E274" s="66" t="s">
        <v>297</v>
      </c>
      <c r="F274" s="66" t="s">
        <v>298</v>
      </c>
      <c r="G274" s="66" t="s">
        <v>4811</v>
      </c>
      <c r="H274" s="44" t="s">
        <v>4809</v>
      </c>
      <c r="I274" s="258" t="s">
        <v>4855</v>
      </c>
      <c r="J274" s="66" t="s">
        <v>301</v>
      </c>
      <c r="K274" s="66">
        <v>3810</v>
      </c>
      <c r="L274" s="66" t="s">
        <v>4860</v>
      </c>
      <c r="M274" s="66">
        <v>23652</v>
      </c>
      <c r="N274" s="66">
        <f>SUM(Prog_23[[#This Row],[TARA]]+Prog_23[[#This Row],[PESO]])</f>
        <v>27462</v>
      </c>
      <c r="O274" s="44">
        <v>864558</v>
      </c>
      <c r="P274" s="66" t="s">
        <v>4810</v>
      </c>
      <c r="Q274" s="66" t="s">
        <v>4790</v>
      </c>
      <c r="R274" s="66" t="s">
        <v>4740</v>
      </c>
      <c r="S274" s="66" t="s">
        <v>4741</v>
      </c>
      <c r="T274" s="138" t="str">
        <f>IFERROR(LOOKUP($S274,MOTORISTAS!$D$3:$D$916,MOTORISTAS!E$3:$E$916),"")</f>
        <v>05499539812</v>
      </c>
      <c r="U274" s="138" t="str">
        <f>IFERROR(LOOKUP($S274,MOTORISTAS!$D$3:$D$916,MOTORISTAS!F$3:$F$916),"")</f>
        <v>01862455850</v>
      </c>
      <c r="V274" s="66" t="s">
        <v>292</v>
      </c>
      <c r="W274" s="79">
        <v>45072.894444444442</v>
      </c>
      <c r="X274" s="79">
        <v>45073.045138888891</v>
      </c>
      <c r="Y274" s="79">
        <v>45073.760416666664</v>
      </c>
      <c r="Z274" s="66" t="s">
        <v>410</v>
      </c>
      <c r="AA274" s="79">
        <v>45075.310416666667</v>
      </c>
      <c r="AB274" s="79">
        <v>45073.291666666664</v>
      </c>
      <c r="AC274" s="79">
        <v>45072.625</v>
      </c>
      <c r="AD274" s="79">
        <v>45077.75</v>
      </c>
      <c r="AE274" s="66" t="s">
        <v>308</v>
      </c>
      <c r="AF274" s="44">
        <v>16181</v>
      </c>
      <c r="AG274" s="254">
        <f>Prog_23[[#This Row],[SAÍDA DO CLIENTE]]-Prog_23[[#This Row],[PROGRAMAÇÃO CLIENTE]]</f>
        <v>0.21875</v>
      </c>
      <c r="AH274" s="44"/>
      <c r="AI274" s="66"/>
      <c r="AJ274" s="66"/>
      <c r="AK274" s="66"/>
      <c r="AL274" s="66"/>
      <c r="AM274" s="66"/>
      <c r="AN274" s="83"/>
      <c r="AO274" s="83"/>
      <c r="AP274" s="83"/>
      <c r="AQ274" s="66"/>
      <c r="AR274" s="66"/>
      <c r="AS274" s="66"/>
      <c r="AT274" s="81">
        <v>3000</v>
      </c>
      <c r="AU274" s="81"/>
      <c r="AV274" s="81"/>
      <c r="AW274" s="81"/>
      <c r="AX274" s="83">
        <f>SUM(Prog_23[[#This Row],[ADIANTAMENTO]]+Prog_23[[#This Row],[SALDO]]+Prog_23[[#This Row],[MARGEM]]+Prog_23[[#This Row],[ESTADIA 1]])</f>
        <v>3000</v>
      </c>
      <c r="AY2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274" s="81">
        <v>3488.8</v>
      </c>
      <c r="BA274" s="81">
        <v>186929</v>
      </c>
      <c r="BB274" s="81">
        <v>0</v>
      </c>
      <c r="BC274" s="81">
        <v>0</v>
      </c>
      <c r="BD274" s="81">
        <v>511.2</v>
      </c>
      <c r="BE274" s="81"/>
      <c r="BF274" s="81"/>
      <c r="BG274" s="81"/>
      <c r="BH274" s="81"/>
      <c r="BI274" s="81"/>
      <c r="BJ274" s="81"/>
      <c r="BK274" s="81"/>
      <c r="BL274" s="81"/>
      <c r="BM274" s="81"/>
      <c r="BN274" s="66" t="s">
        <v>2768</v>
      </c>
      <c r="BO274" s="66" t="s">
        <v>2768</v>
      </c>
      <c r="BP274" s="66" t="s">
        <v>2768</v>
      </c>
      <c r="BQ274" s="66" t="str">
        <f>PROPER(TEXT(Prog_23[[#This Row],[PROGRAMAÇÃO CLIENTE]],"mmm"))</f>
        <v>Mai</v>
      </c>
      <c r="BR274" s="66">
        <f>YEAR(Prog_23[[#This Row],[PROGRAMAÇÃO CLIENTE]])</f>
        <v>2023</v>
      </c>
    </row>
    <row r="275" spans="1:70" x14ac:dyDescent="0.25">
      <c r="A275" s="200" t="str">
        <f>Prog_23[[#This Row],[CONTEINER]]</f>
        <v>TGHU9756280</v>
      </c>
      <c r="B275" s="86" t="s">
        <v>2771</v>
      </c>
      <c r="C2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75" s="85">
        <v>45073.541666666664</v>
      </c>
      <c r="E275" s="66" t="s">
        <v>297</v>
      </c>
      <c r="F275" s="66" t="s">
        <v>298</v>
      </c>
      <c r="G275" s="66" t="s">
        <v>4811</v>
      </c>
      <c r="H275" s="44" t="s">
        <v>4809</v>
      </c>
      <c r="I275" s="258" t="s">
        <v>4856</v>
      </c>
      <c r="J275" s="66" t="s">
        <v>301</v>
      </c>
      <c r="K275" s="66">
        <v>3890</v>
      </c>
      <c r="L275" s="66" t="s">
        <v>4857</v>
      </c>
      <c r="M275" s="66">
        <v>19734</v>
      </c>
      <c r="N275" s="66">
        <f>SUM(Prog_23[[#This Row],[TARA]]+Prog_23[[#This Row],[PESO]])</f>
        <v>23624</v>
      </c>
      <c r="O275" s="44">
        <v>864507</v>
      </c>
      <c r="P275" s="66" t="s">
        <v>4810</v>
      </c>
      <c r="Q275" s="66" t="s">
        <v>4842</v>
      </c>
      <c r="R275" s="66" t="s">
        <v>4843</v>
      </c>
      <c r="S275" s="66" t="s">
        <v>4844</v>
      </c>
      <c r="T275" s="138" t="str">
        <f>IFERROR(LOOKUP($S275,MOTORISTAS!$D$3:$D$916,MOTORISTAS!E$3:$E$916),"")</f>
        <v>30699765811</v>
      </c>
      <c r="U275" s="138" t="str">
        <f>IFERROR(LOOKUP($S275,MOTORISTAS!$D$3:$D$916,MOTORISTAS!F$3:$F$916),"")</f>
        <v>02071379708</v>
      </c>
      <c r="V275" s="66" t="s">
        <v>409</v>
      </c>
      <c r="W275" s="79">
        <v>45072.674305555556</v>
      </c>
      <c r="X275" s="79">
        <v>45048.333333333336</v>
      </c>
      <c r="Y275" s="79">
        <v>45073.541666666664</v>
      </c>
      <c r="Z275" s="66" t="s">
        <v>410</v>
      </c>
      <c r="AA275" s="79">
        <v>45073.734027777777</v>
      </c>
      <c r="AB275" s="79">
        <v>45073.291666666664</v>
      </c>
      <c r="AC275" s="79">
        <v>45072.625</v>
      </c>
      <c r="AD275" s="79">
        <v>45077.75</v>
      </c>
      <c r="AE275" s="66" t="s">
        <v>308</v>
      </c>
      <c r="AF275" s="44">
        <v>16180</v>
      </c>
      <c r="AG275" s="254">
        <f>Prog_23[[#This Row],[SAÍDA DO CLIENTE]]-Prog_23[[#This Row],[PROGRAMAÇÃO CLIENTE]]</f>
        <v>0</v>
      </c>
      <c r="AH275" s="44">
        <v>6472273</v>
      </c>
      <c r="AI275" s="66"/>
      <c r="AJ275" s="66"/>
      <c r="AK275" s="66"/>
      <c r="AL275" s="66"/>
      <c r="AM275" s="66"/>
      <c r="AN275" s="83"/>
      <c r="AO275" s="83"/>
      <c r="AP275" s="83"/>
      <c r="AQ275" s="66"/>
      <c r="AR275" s="66"/>
      <c r="AS275" s="66"/>
      <c r="AT275" s="81">
        <v>3000</v>
      </c>
      <c r="AU275" s="81"/>
      <c r="AV275" s="81"/>
      <c r="AW275" s="81"/>
      <c r="AX275" s="83">
        <f>SUM(Prog_23[[#This Row],[ADIANTAMENTO]]+Prog_23[[#This Row],[SALDO]]+Prog_23[[#This Row],[MARGEM]]+Prog_23[[#This Row],[ESTADIA 1]])</f>
        <v>3000</v>
      </c>
      <c r="AY2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275" s="81">
        <v>3488.8</v>
      </c>
      <c r="BA275" s="81">
        <v>136530</v>
      </c>
      <c r="BB275" s="81">
        <v>0</v>
      </c>
      <c r="BC275" s="81">
        <v>0</v>
      </c>
      <c r="BD275" s="81">
        <v>511.2</v>
      </c>
      <c r="BE275" s="81"/>
      <c r="BF275" s="81"/>
      <c r="BG275" s="81"/>
      <c r="BH275" s="81"/>
      <c r="BI275" s="81"/>
      <c r="BJ275" s="81"/>
      <c r="BK275" s="81"/>
      <c r="BL275" s="81"/>
      <c r="BM275" s="81"/>
      <c r="BN275" s="66" t="s">
        <v>2768</v>
      </c>
      <c r="BO275" s="66" t="s">
        <v>2768</v>
      </c>
      <c r="BP275" s="66" t="s">
        <v>2768</v>
      </c>
      <c r="BQ275" s="66" t="str">
        <f>PROPER(TEXT(Prog_23[[#This Row],[PROGRAMAÇÃO CLIENTE]],"mmm"))</f>
        <v>Mai</v>
      </c>
      <c r="BR275" s="66">
        <f>YEAR(Prog_23[[#This Row],[PROGRAMAÇÃO CLIENTE]])</f>
        <v>2023</v>
      </c>
    </row>
    <row r="276" spans="1:70" x14ac:dyDescent="0.25">
      <c r="A276" s="201" t="str">
        <f>Prog_23[[#This Row],[CONTEINER]]</f>
        <v>TCKU7799775</v>
      </c>
      <c r="B276" s="86" t="s">
        <v>2771</v>
      </c>
      <c r="C2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76" s="85">
        <v>45075.375</v>
      </c>
      <c r="E276" s="66" t="s">
        <v>297</v>
      </c>
      <c r="F276" s="66" t="s">
        <v>298</v>
      </c>
      <c r="G276" s="66" t="s">
        <v>4811</v>
      </c>
      <c r="H276" s="44" t="s">
        <v>4809</v>
      </c>
      <c r="I276" s="258" t="s">
        <v>4871</v>
      </c>
      <c r="J276" s="66" t="s">
        <v>301</v>
      </c>
      <c r="K276" s="66">
        <v>3700</v>
      </c>
      <c r="L276" s="66" t="s">
        <v>4870</v>
      </c>
      <c r="M276" s="66">
        <v>26654</v>
      </c>
      <c r="N276" s="66">
        <f>SUM(Prog_23[[#This Row],[TARA]]+Prog_23[[#This Row],[PESO]])</f>
        <v>30354</v>
      </c>
      <c r="O276" s="44">
        <v>864910</v>
      </c>
      <c r="P276" s="66" t="s">
        <v>4810</v>
      </c>
      <c r="Q276" s="66" t="s">
        <v>1130</v>
      </c>
      <c r="R276" s="66" t="s">
        <v>1131</v>
      </c>
      <c r="S276" s="66" t="s">
        <v>4878</v>
      </c>
      <c r="T276" s="138" t="str">
        <f>IFERROR(LOOKUP($S276,MOTORISTAS!$D$3:$D$916,MOTORISTAS!E$3:$E$916),"")</f>
        <v>25125627860</v>
      </c>
      <c r="U276" s="138" t="str">
        <f>IFERROR(LOOKUP($S276,MOTORISTAS!$D$3:$D$916,MOTORISTAS!F$3:$F$916),"")</f>
        <v>02475699922</v>
      </c>
      <c r="V276" s="79" t="s">
        <v>292</v>
      </c>
      <c r="W276" s="79">
        <v>45073.55</v>
      </c>
      <c r="X276" s="79">
        <v>45075.368055555555</v>
      </c>
      <c r="Y276" s="79">
        <v>45075.801388888889</v>
      </c>
      <c r="Z276" s="66" t="s">
        <v>410</v>
      </c>
      <c r="AA276" s="79">
        <v>45076.070138888892</v>
      </c>
      <c r="AB276" s="79">
        <v>45073.291666666664</v>
      </c>
      <c r="AC276" s="79">
        <v>45072.625</v>
      </c>
      <c r="AD276" s="79">
        <v>45077.75</v>
      </c>
      <c r="AE276" s="66" t="s">
        <v>308</v>
      </c>
      <c r="AF276" s="44">
        <v>16194</v>
      </c>
      <c r="AG276" s="254">
        <f>Prog_23[[#This Row],[SAÍDA DO CLIENTE]]-Prog_23[[#This Row],[PROGRAMAÇÃO CLIENTE]]</f>
        <v>0.42638888888905058</v>
      </c>
      <c r="AH276" s="44">
        <v>6475305</v>
      </c>
      <c r="AI276" s="66"/>
      <c r="AJ276" s="66"/>
      <c r="AK276" s="66"/>
      <c r="AL276" s="66"/>
      <c r="AM276" s="66"/>
      <c r="AN276" s="83"/>
      <c r="AO276" s="83"/>
      <c r="AP276" s="83"/>
      <c r="AQ276" s="66"/>
      <c r="AR276" s="66"/>
      <c r="AS276" s="66"/>
      <c r="AT276" s="81">
        <v>3000</v>
      </c>
      <c r="AU276" s="81"/>
      <c r="AV276" s="81"/>
      <c r="AW276" s="81"/>
      <c r="AX276" s="83">
        <f>SUM(Prog_23[[#This Row],[ADIANTAMENTO]]+Prog_23[[#This Row],[SALDO]]+Prog_23[[#This Row],[MARGEM]]+Prog_23[[#This Row],[ESTADIA 1]])</f>
        <v>3000</v>
      </c>
      <c r="AY2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4425</v>
      </c>
      <c r="AZ276" s="81">
        <v>3488.8</v>
      </c>
      <c r="BA276" s="81">
        <v>226890</v>
      </c>
      <c r="BB276" s="81">
        <v>0</v>
      </c>
      <c r="BC276" s="81">
        <v>0</v>
      </c>
      <c r="BD276" s="81">
        <v>511.2</v>
      </c>
      <c r="BE276" s="81"/>
      <c r="BF276" s="81"/>
      <c r="BG276" s="81"/>
      <c r="BH276" s="81"/>
      <c r="BI276" s="81"/>
      <c r="BJ276" s="81"/>
      <c r="BK276" s="81"/>
      <c r="BL276" s="81"/>
      <c r="BM276" s="81">
        <f>85*5</f>
        <v>425</v>
      </c>
      <c r="BN276" s="66" t="s">
        <v>2768</v>
      </c>
      <c r="BO276" s="66" t="s">
        <v>2768</v>
      </c>
      <c r="BP276" s="66" t="s">
        <v>2768</v>
      </c>
      <c r="BQ276" s="66" t="str">
        <f>PROPER(TEXT(Prog_23[[#This Row],[PROGRAMAÇÃO CLIENTE]],"mmm"))</f>
        <v>Mai</v>
      </c>
      <c r="BR276" s="66">
        <f>YEAR(Prog_23[[#This Row],[PROGRAMAÇÃO CLIENTE]])</f>
        <v>2023</v>
      </c>
    </row>
    <row r="277" spans="1:70" x14ac:dyDescent="0.25">
      <c r="A277" s="200" t="str">
        <f>Prog_23[[#This Row],[CONTEINER]]</f>
        <v>MRSU3457018</v>
      </c>
      <c r="B277" s="86" t="s">
        <v>2771</v>
      </c>
      <c r="C2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77" s="85">
        <v>45075.458333333336</v>
      </c>
      <c r="E277" s="66" t="s">
        <v>297</v>
      </c>
      <c r="F277" s="66" t="s">
        <v>298</v>
      </c>
      <c r="G277" s="66" t="s">
        <v>4811</v>
      </c>
      <c r="H277" s="44" t="s">
        <v>4809</v>
      </c>
      <c r="I277" s="258" t="s">
        <v>4876</v>
      </c>
      <c r="J277" s="66" t="s">
        <v>301</v>
      </c>
      <c r="K277" s="66">
        <v>3810</v>
      </c>
      <c r="L277" s="66" t="s">
        <v>4877</v>
      </c>
      <c r="M277" s="66">
        <v>19368</v>
      </c>
      <c r="N277" s="66">
        <f>SUM(Prog_23[[#This Row],[TARA]]+Prog_23[[#This Row],[PESO]])</f>
        <v>23178</v>
      </c>
      <c r="O277" s="44">
        <v>865015</v>
      </c>
      <c r="P277" s="66" t="s">
        <v>4810</v>
      </c>
      <c r="Q277" s="66" t="s">
        <v>155</v>
      </c>
      <c r="R277" s="66" t="s">
        <v>209</v>
      </c>
      <c r="S277" s="66" t="s">
        <v>156</v>
      </c>
      <c r="T277" s="138" t="str">
        <f>IFERROR(LOOKUP($S277,MOTORISTAS!$D$3:$D$916,MOTORISTAS!E$3:$E$916),"")</f>
        <v>09803034863</v>
      </c>
      <c r="U277" s="138" t="str">
        <f>IFERROR(LOOKUP($S277,MOTORISTAS!$D$3:$D$916,MOTORISTAS!F$3:$F$916),"")</f>
        <v>01484565209</v>
      </c>
      <c r="V277" s="66" t="s">
        <v>292</v>
      </c>
      <c r="W277" s="79">
        <v>45073.539583333331</v>
      </c>
      <c r="X277" s="79">
        <v>45075.329861111109</v>
      </c>
      <c r="Y277" s="79">
        <v>45075.988194444442</v>
      </c>
      <c r="Z277" s="66" t="s">
        <v>410</v>
      </c>
      <c r="AA277" s="79">
        <v>45076.357638888891</v>
      </c>
      <c r="AB277" s="79">
        <v>45073.291666666664</v>
      </c>
      <c r="AC277" s="79">
        <v>45072.625</v>
      </c>
      <c r="AD277" s="79">
        <v>45077.75</v>
      </c>
      <c r="AE277" s="66" t="s">
        <v>308</v>
      </c>
      <c r="AF277" s="44">
        <v>16197</v>
      </c>
      <c r="AG277" s="254">
        <f>Prog_23[[#This Row],[SAÍDA DO CLIENTE]]-Prog_23[[#This Row],[PROGRAMAÇÃO CLIENTE]]</f>
        <v>0.52986111110658385</v>
      </c>
      <c r="AH277" s="44">
        <v>6475809</v>
      </c>
      <c r="AI277" s="66"/>
      <c r="AJ277" s="66"/>
      <c r="AK277" s="66"/>
      <c r="AL277" s="66"/>
      <c r="AM277" s="66"/>
      <c r="AN277" s="83"/>
      <c r="AO277" s="83"/>
      <c r="AP277" s="83"/>
      <c r="AQ277" s="66"/>
      <c r="AR277" s="66"/>
      <c r="AS277" s="66"/>
      <c r="AT277" s="81">
        <v>3000</v>
      </c>
      <c r="AU277" s="81"/>
      <c r="AV277" s="81"/>
      <c r="AW277" s="81"/>
      <c r="AX277" s="83">
        <f>SUM(Prog_23[[#This Row],[ADIANTAMENTO]]+Prog_23[[#This Row],[SALDO]]+Prog_23[[#This Row],[MARGEM]]+Prog_23[[#This Row],[ESTADIA 1]])</f>
        <v>3000</v>
      </c>
      <c r="AY2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4595</v>
      </c>
      <c r="AZ277" s="81">
        <v>3488.8</v>
      </c>
      <c r="BA277" s="81">
        <v>131833.20000000001</v>
      </c>
      <c r="BB277" s="81">
        <v>0</v>
      </c>
      <c r="BC277" s="81">
        <v>0</v>
      </c>
      <c r="BD277" s="81">
        <v>511.2</v>
      </c>
      <c r="BE277" s="81"/>
      <c r="BF277" s="81"/>
      <c r="BG277" s="81"/>
      <c r="BH277" s="81"/>
      <c r="BI277" s="81"/>
      <c r="BJ277" s="81"/>
      <c r="BK277" s="81"/>
      <c r="BL277" s="81"/>
      <c r="BM277" s="81">
        <f>85*7</f>
        <v>595</v>
      </c>
      <c r="BN277" s="66" t="s">
        <v>2768</v>
      </c>
      <c r="BO277" s="66" t="s">
        <v>2768</v>
      </c>
      <c r="BP277" s="66" t="s">
        <v>2768</v>
      </c>
      <c r="BQ277" s="66" t="str">
        <f>PROPER(TEXT(Prog_23[[#This Row],[PROGRAMAÇÃO CLIENTE]],"mmm"))</f>
        <v>Mai</v>
      </c>
      <c r="BR277" s="66">
        <f>YEAR(Prog_23[[#This Row],[PROGRAMAÇÃO CLIENTE]])</f>
        <v>2023</v>
      </c>
    </row>
    <row r="278" spans="1:70" x14ac:dyDescent="0.25">
      <c r="A278" s="201" t="str">
        <f>Prog_23[[#This Row],[CONTEINER]]</f>
        <v>SUDU8885710</v>
      </c>
      <c r="B278" s="86" t="s">
        <v>2771</v>
      </c>
      <c r="C2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78" s="85">
        <v>45075.541666666664</v>
      </c>
      <c r="E278" s="66" t="s">
        <v>297</v>
      </c>
      <c r="F278" s="66" t="s">
        <v>298</v>
      </c>
      <c r="G278" s="66" t="s">
        <v>4811</v>
      </c>
      <c r="H278" s="44" t="s">
        <v>4809</v>
      </c>
      <c r="I278" s="258" t="s">
        <v>4874</v>
      </c>
      <c r="J278" s="66" t="s">
        <v>301</v>
      </c>
      <c r="K278" s="66">
        <v>3860</v>
      </c>
      <c r="L278" s="66" t="s">
        <v>4875</v>
      </c>
      <c r="M278" s="66">
        <v>22810</v>
      </c>
      <c r="N278" s="66">
        <f>SUM(Prog_23[[#This Row],[TARA]]+Prog_23[[#This Row],[PESO]])</f>
        <v>26670</v>
      </c>
      <c r="O278" s="44">
        <v>864912</v>
      </c>
      <c r="P278" s="66" t="s">
        <v>4810</v>
      </c>
      <c r="Q278" s="66" t="s">
        <v>3969</v>
      </c>
      <c r="R278" s="66" t="s">
        <v>1744</v>
      </c>
      <c r="S278" s="66" t="s">
        <v>1745</v>
      </c>
      <c r="T278" s="138" t="str">
        <f>IFERROR(LOOKUP($S278,MOTORISTAS!$D$3:$D$916,MOTORISTAS!E$3:$E$916),"")</f>
        <v>87073730404</v>
      </c>
      <c r="U278" s="138" t="str">
        <f>IFERROR(LOOKUP($S278,MOTORISTAS!$D$3:$D$916,MOTORISTAS!F$3:$F$916),"")</f>
        <v>04414696830</v>
      </c>
      <c r="V278" s="66" t="s">
        <v>292</v>
      </c>
      <c r="W278" s="79">
        <v>45073.558333333334</v>
      </c>
      <c r="X278" s="79">
        <v>45075.416666666664</v>
      </c>
      <c r="Y278" s="79">
        <v>45075.791666666664</v>
      </c>
      <c r="Z278" s="66" t="s">
        <v>410</v>
      </c>
      <c r="AA278" s="79">
        <v>45076.163888888892</v>
      </c>
      <c r="AB278" s="79">
        <v>45073.291666666664</v>
      </c>
      <c r="AC278" s="79">
        <v>45072.625</v>
      </c>
      <c r="AD278" s="79">
        <v>45077.75</v>
      </c>
      <c r="AE278" s="66" t="s">
        <v>308</v>
      </c>
      <c r="AF278" s="44">
        <v>16195</v>
      </c>
      <c r="AG278" s="254">
        <f>Prog_23[[#This Row],[SAÍDA DO CLIENTE]]-Prog_23[[#This Row],[PROGRAMAÇÃO CLIENTE]]</f>
        <v>0.25</v>
      </c>
      <c r="AH278" s="44">
        <v>6475821</v>
      </c>
      <c r="AI278" s="66"/>
      <c r="AJ278" s="66"/>
      <c r="AK278" s="66"/>
      <c r="AL278" s="66"/>
      <c r="AM278" s="66"/>
      <c r="AN278" s="83"/>
      <c r="AO278" s="83"/>
      <c r="AP278" s="83"/>
      <c r="AQ278" s="66"/>
      <c r="AR278" s="66"/>
      <c r="AS278" s="66"/>
      <c r="AT278" s="81">
        <v>3000</v>
      </c>
      <c r="AU278" s="81"/>
      <c r="AV278" s="81"/>
      <c r="AW278" s="81"/>
      <c r="AX278" s="83">
        <f>SUM(Prog_23[[#This Row],[ADIANTAMENTO]]+Prog_23[[#This Row],[SALDO]]+Prog_23[[#This Row],[MARGEM]]+Prog_23[[#This Row],[ESTADIA 1]])</f>
        <v>3000</v>
      </c>
      <c r="AY2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278" s="81">
        <v>3488.8</v>
      </c>
      <c r="BA278" s="81">
        <v>173324.79999999999</v>
      </c>
      <c r="BB278" s="81">
        <v>0</v>
      </c>
      <c r="BC278" s="81">
        <v>0</v>
      </c>
      <c r="BD278" s="81">
        <v>511.2</v>
      </c>
      <c r="BE278" s="81"/>
      <c r="BF278" s="81"/>
      <c r="BG278" s="81"/>
      <c r="BH278" s="81"/>
      <c r="BI278" s="81"/>
      <c r="BJ278" s="81"/>
      <c r="BK278" s="81"/>
      <c r="BL278" s="81"/>
      <c r="BM278" s="81"/>
      <c r="BN278" s="66" t="s">
        <v>2768</v>
      </c>
      <c r="BO278" s="66" t="s">
        <v>2768</v>
      </c>
      <c r="BP278" s="66" t="s">
        <v>2768</v>
      </c>
      <c r="BQ278" s="66" t="str">
        <f>PROPER(TEXT(Prog_23[[#This Row],[PROGRAMAÇÃO CLIENTE]],"mmm"))</f>
        <v>Mai</v>
      </c>
      <c r="BR278" s="66">
        <f>YEAR(Prog_23[[#This Row],[PROGRAMAÇÃO CLIENTE]])</f>
        <v>2023</v>
      </c>
    </row>
    <row r="279" spans="1:70" x14ac:dyDescent="0.25">
      <c r="A279" s="200" t="str">
        <f>Prog_23[[#This Row],[CONTEINER]]</f>
        <v>MRKU6255595</v>
      </c>
      <c r="B279" s="86" t="s">
        <v>2771</v>
      </c>
      <c r="C2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79" s="85">
        <v>45075.583333333336</v>
      </c>
      <c r="E279" s="66" t="s">
        <v>297</v>
      </c>
      <c r="F279" s="66" t="s">
        <v>298</v>
      </c>
      <c r="G279" s="66" t="s">
        <v>4811</v>
      </c>
      <c r="H279" s="44" t="s">
        <v>4809</v>
      </c>
      <c r="I279" s="258" t="s">
        <v>4873</v>
      </c>
      <c r="J279" s="66" t="s">
        <v>301</v>
      </c>
      <c r="K279" s="66">
        <v>3810</v>
      </c>
      <c r="L279" s="66" t="s">
        <v>4872</v>
      </c>
      <c r="M279" s="66">
        <v>26654</v>
      </c>
      <c r="N279" s="66">
        <f>SUM(Prog_23[[#This Row],[TARA]]+Prog_23[[#This Row],[PESO]])</f>
        <v>30464</v>
      </c>
      <c r="O279" s="44">
        <v>864913</v>
      </c>
      <c r="P279" s="66" t="s">
        <v>4810</v>
      </c>
      <c r="Q279" s="66" t="s">
        <v>1772</v>
      </c>
      <c r="R279" s="66" t="s">
        <v>1773</v>
      </c>
      <c r="S279" s="66" t="s">
        <v>4868</v>
      </c>
      <c r="T279" s="138" t="str">
        <f>IFERROR(LOOKUP($S279,MOTORISTAS!$D$3:$D$916,MOTORISTAS!E$3:$E$916),"")</f>
        <v>24925823884</v>
      </c>
      <c r="U279" s="138" t="str">
        <f>IFERROR(LOOKUP($S279,MOTORISTAS!$D$3:$D$916,MOTORISTAS!F$3:$F$916),"")</f>
        <v>03494669988</v>
      </c>
      <c r="V279" s="66" t="s">
        <v>292</v>
      </c>
      <c r="W279" s="79">
        <v>45073.537499999999</v>
      </c>
      <c r="X279" s="79">
        <v>45075.4375</v>
      </c>
      <c r="Y279" s="79">
        <v>45075.791666666664</v>
      </c>
      <c r="Z279" s="66" t="s">
        <v>410</v>
      </c>
      <c r="AA279" s="79">
        <v>45076.73541666667</v>
      </c>
      <c r="AB279" s="79">
        <v>45073.291666666664</v>
      </c>
      <c r="AC279" s="79">
        <v>45072.625</v>
      </c>
      <c r="AD279" s="79">
        <v>45077.75</v>
      </c>
      <c r="AE279" s="66" t="s">
        <v>308</v>
      </c>
      <c r="AF279" s="44">
        <v>16196</v>
      </c>
      <c r="AG279" s="254">
        <f>Prog_23[[#This Row],[SAÍDA DO CLIENTE]]-Prog_23[[#This Row],[PROGRAMAÇÃO CLIENTE]]</f>
        <v>0.20833333332848269</v>
      </c>
      <c r="AH279" s="44">
        <v>6475817</v>
      </c>
      <c r="AI279" s="66"/>
      <c r="AJ279" s="66"/>
      <c r="AK279" s="66"/>
      <c r="AL279" s="66"/>
      <c r="AM279" s="66"/>
      <c r="AN279" s="83"/>
      <c r="AO279" s="83"/>
      <c r="AP279" s="83"/>
      <c r="AQ279" s="66"/>
      <c r="AR279" s="66"/>
      <c r="AS279" s="66"/>
      <c r="AT279" s="81">
        <v>3000</v>
      </c>
      <c r="AU279" s="81"/>
      <c r="AV279" s="81"/>
      <c r="AW279" s="81"/>
      <c r="AX279" s="83">
        <f>SUM(Prog_23[[#This Row],[ADIANTAMENTO]]+Prog_23[[#This Row],[SALDO]]+Prog_23[[#This Row],[MARGEM]]+Prog_23[[#This Row],[ESTADIA 1]])</f>
        <v>3000</v>
      </c>
      <c r="AY2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279" s="81">
        <v>3488.8</v>
      </c>
      <c r="BA279" s="81">
        <v>226890</v>
      </c>
      <c r="BB279" s="81">
        <v>0</v>
      </c>
      <c r="BC279" s="81">
        <v>0</v>
      </c>
      <c r="BD279" s="81">
        <v>511.2</v>
      </c>
      <c r="BE279" s="81"/>
      <c r="BF279" s="81"/>
      <c r="BG279" s="81"/>
      <c r="BH279" s="81"/>
      <c r="BI279" s="81"/>
      <c r="BJ279" s="81"/>
      <c r="BK279" s="81"/>
      <c r="BL279" s="81"/>
      <c r="BM279" s="81"/>
      <c r="BN279" s="66" t="s">
        <v>2768</v>
      </c>
      <c r="BO279" s="66" t="s">
        <v>2768</v>
      </c>
      <c r="BP279" s="66" t="s">
        <v>2768</v>
      </c>
      <c r="BQ279" s="66" t="str">
        <f>PROPER(TEXT(Prog_23[[#This Row],[PROGRAMAÇÃO CLIENTE]],"mmm"))</f>
        <v>Mai</v>
      </c>
      <c r="BR279" s="66">
        <f>YEAR(Prog_23[[#This Row],[PROGRAMAÇÃO CLIENTE]])</f>
        <v>2023</v>
      </c>
    </row>
    <row r="280" spans="1:70" x14ac:dyDescent="0.25">
      <c r="A280" s="201" t="str">
        <f>Prog_23[[#This Row],[CONTEINER]]</f>
        <v>CMAU4238630</v>
      </c>
      <c r="B280" s="86" t="s">
        <v>2771</v>
      </c>
      <c r="C2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0" s="85">
        <v>45075.458333333336</v>
      </c>
      <c r="E280" s="66" t="s">
        <v>1110</v>
      </c>
      <c r="F280" s="66" t="s">
        <v>1111</v>
      </c>
      <c r="G280" s="66" t="s">
        <v>4867</v>
      </c>
      <c r="H280" s="44" t="s">
        <v>4705</v>
      </c>
      <c r="I280" s="44" t="s">
        <v>4880</v>
      </c>
      <c r="J280" s="66" t="s">
        <v>301</v>
      </c>
      <c r="K280" s="66">
        <v>3860</v>
      </c>
      <c r="L280" s="66" t="s">
        <v>4881</v>
      </c>
      <c r="M280" s="66">
        <v>25950</v>
      </c>
      <c r="N280" s="66">
        <f>SUM(Prog_23[[#This Row],[TARA]]+Prog_23[[#This Row],[PESO]])</f>
        <v>29810</v>
      </c>
      <c r="O280" s="44">
        <v>337275</v>
      </c>
      <c r="P280" s="66" t="s">
        <v>4923</v>
      </c>
      <c r="Q280" s="66" t="s">
        <v>31</v>
      </c>
      <c r="R280" s="66" t="s">
        <v>32</v>
      </c>
      <c r="S280" s="66" t="s">
        <v>33</v>
      </c>
      <c r="T280" s="138" t="str">
        <f>IFERROR(LOOKUP($S280,MOTORISTAS!$D$3:$D$916,MOTORISTAS!E$3:$E$916),"")</f>
        <v>09776430856</v>
      </c>
      <c r="U280" s="138" t="str">
        <f>IFERROR(LOOKUP($S280,MOTORISTAS!$D$3:$D$916,MOTORISTAS!F$3:$F$916),"")</f>
        <v>01258979905</v>
      </c>
      <c r="V280" s="66" t="s">
        <v>537</v>
      </c>
      <c r="W280" s="79">
        <v>45075.332638888889</v>
      </c>
      <c r="X280" s="79">
        <v>45075.427083333336</v>
      </c>
      <c r="Y280" s="79">
        <v>45075.708333333336</v>
      </c>
      <c r="Z280" s="66" t="s">
        <v>293</v>
      </c>
      <c r="AA280" s="79">
        <v>45075.868055555555</v>
      </c>
      <c r="AB280" s="79">
        <v>45071.291666666664</v>
      </c>
      <c r="AC280" s="79">
        <v>45076.5</v>
      </c>
      <c r="AD280" s="79">
        <v>45076.5</v>
      </c>
      <c r="AE280" s="66"/>
      <c r="AF280" s="44">
        <v>16191</v>
      </c>
      <c r="AG280" s="254">
        <f>Prog_23[[#This Row],[SAÍDA DO CLIENTE]]-Prog_23[[#This Row],[PROGRAMAÇÃO CLIENTE]]</f>
        <v>0.25</v>
      </c>
      <c r="AH280" s="44"/>
      <c r="AI280" s="66"/>
      <c r="AJ280" s="66"/>
      <c r="AK280" s="66"/>
      <c r="AL280" s="66"/>
      <c r="AM280" s="66"/>
      <c r="AN280" s="83"/>
      <c r="AO280" s="83"/>
      <c r="AP280" s="83"/>
      <c r="AQ280" s="66"/>
      <c r="AR280" s="66"/>
      <c r="AS280" s="66"/>
      <c r="AT280" s="81"/>
      <c r="AU280" s="81"/>
      <c r="AV280" s="81"/>
      <c r="AW280" s="81"/>
      <c r="AX280" s="83">
        <f>SUM(Prog_23[[#This Row],[ADIANTAMENTO]]+Prog_23[[#This Row],[SALDO]]+Prog_23[[#This Row],[MARGEM]]+Prog_23[[#This Row],[ESTADIA 1]])</f>
        <v>0</v>
      </c>
      <c r="AY2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80" s="81"/>
      <c r="BA280" s="81"/>
      <c r="BB280" s="81">
        <f>Prog_23[[#This Row],[VLR NF]]*0.1%</f>
        <v>0</v>
      </c>
      <c r="BC280" s="81">
        <f>Prog_23[[#This Row],[VLR NF]]*0.05%</f>
        <v>0</v>
      </c>
      <c r="BD280" s="81"/>
      <c r="BE280" s="81"/>
      <c r="BF280" s="81"/>
      <c r="BG280" s="81"/>
      <c r="BH280" s="81"/>
      <c r="BI280" s="81"/>
      <c r="BJ280" s="81"/>
      <c r="BK280" s="81"/>
      <c r="BL280" s="81"/>
      <c r="BM280" s="81"/>
      <c r="BN280" s="66" t="s">
        <v>2768</v>
      </c>
      <c r="BO280" s="66" t="s">
        <v>2768</v>
      </c>
      <c r="BP280" s="66" t="s">
        <v>2768</v>
      </c>
      <c r="BQ280" s="66" t="str">
        <f>PROPER(TEXT(Prog_23[[#This Row],[PROGRAMAÇÃO CLIENTE]],"mmm"))</f>
        <v>Mai</v>
      </c>
      <c r="BR280" s="66">
        <f>YEAR(Prog_23[[#This Row],[PROGRAMAÇÃO CLIENTE]])</f>
        <v>2023</v>
      </c>
    </row>
    <row r="281" spans="1:70" x14ac:dyDescent="0.25">
      <c r="A281" s="200" t="str">
        <f>Prog_23[[#This Row],[CONTEINER]]</f>
        <v>TEMU6861249</v>
      </c>
      <c r="B281" s="86" t="s">
        <v>2771</v>
      </c>
      <c r="C2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1" s="85">
        <v>45075.5</v>
      </c>
      <c r="E281" s="66" t="s">
        <v>1110</v>
      </c>
      <c r="F281" s="66" t="s">
        <v>1111</v>
      </c>
      <c r="G281" s="66" t="s">
        <v>4867</v>
      </c>
      <c r="H281" s="44" t="s">
        <v>4705</v>
      </c>
      <c r="I281" s="44" t="s">
        <v>4885</v>
      </c>
      <c r="J281" s="66" t="s">
        <v>301</v>
      </c>
      <c r="K281" s="66">
        <v>3890</v>
      </c>
      <c r="L281" s="66" t="s">
        <v>4886</v>
      </c>
      <c r="M281" s="66">
        <v>26060</v>
      </c>
      <c r="N281" s="66">
        <f>SUM(Prog_23[[#This Row],[TARA]]+Prog_23[[#This Row],[PESO]])</f>
        <v>29950</v>
      </c>
      <c r="O281" s="44">
        <v>337290</v>
      </c>
      <c r="P281" s="66" t="s">
        <v>4923</v>
      </c>
      <c r="Q281" s="66" t="s">
        <v>106</v>
      </c>
      <c r="R281" s="66" t="s">
        <v>107</v>
      </c>
      <c r="S281" s="66" t="s">
        <v>108</v>
      </c>
      <c r="T281" s="138" t="str">
        <f>IFERROR(LOOKUP($S281,MOTORISTAS!$D$3:$D$916,MOTORISTAS!E$3:$E$916),"")</f>
        <v>34927982840</v>
      </c>
      <c r="U281" s="138" t="str">
        <f>IFERROR(LOOKUP($S281,MOTORISTAS!$D$3:$D$916,MOTORISTAS!F$3:$F$916),"")</f>
        <v>03500129879</v>
      </c>
      <c r="V281" s="66" t="s">
        <v>537</v>
      </c>
      <c r="W281" s="79">
        <v>45075.416666666664</v>
      </c>
      <c r="X281" s="79">
        <v>45075.46875</v>
      </c>
      <c r="Y281" s="79">
        <v>45075.770833333336</v>
      </c>
      <c r="Z281" s="66" t="s">
        <v>293</v>
      </c>
      <c r="AA281" s="79">
        <v>45075.886805555558</v>
      </c>
      <c r="AB281" s="79">
        <v>45071.291666666664</v>
      </c>
      <c r="AC281" s="79">
        <v>45076.5</v>
      </c>
      <c r="AD281" s="79">
        <v>45076.5</v>
      </c>
      <c r="AE281" s="66"/>
      <c r="AF281" s="44">
        <v>16193</v>
      </c>
      <c r="AG281" s="254">
        <f>Prog_23[[#This Row],[SAÍDA DO CLIENTE]]-Prog_23[[#This Row],[PROGRAMAÇÃO CLIENTE]]</f>
        <v>0.27083333333575865</v>
      </c>
      <c r="AH281" s="44"/>
      <c r="AI281" s="66"/>
      <c r="AJ281" s="66"/>
      <c r="AK281" s="66"/>
      <c r="AL281" s="66"/>
      <c r="AM281" s="66"/>
      <c r="AN281" s="83"/>
      <c r="AO281" s="83"/>
      <c r="AP281" s="83"/>
      <c r="AQ281" s="66"/>
      <c r="AR281" s="66"/>
      <c r="AS281" s="66"/>
      <c r="AT281" s="81"/>
      <c r="AU281" s="81"/>
      <c r="AV281" s="81"/>
      <c r="AW281" s="81"/>
      <c r="AX281" s="83">
        <f>SUM(Prog_23[[#This Row],[ADIANTAMENTO]]+Prog_23[[#This Row],[SALDO]]+Prog_23[[#This Row],[MARGEM]]+Prog_23[[#This Row],[ESTADIA 1]])</f>
        <v>0</v>
      </c>
      <c r="AY2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281" s="81"/>
      <c r="BA281" s="81"/>
      <c r="BB281" s="81">
        <f>Prog_23[[#This Row],[VLR NF]]*0.1%</f>
        <v>0</v>
      </c>
      <c r="BC281" s="81">
        <f>Prog_23[[#This Row],[VLR NF]]*0.05%</f>
        <v>0</v>
      </c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66" t="s">
        <v>2768</v>
      </c>
      <c r="BO281" s="66" t="s">
        <v>2768</v>
      </c>
      <c r="BP281" s="66" t="s">
        <v>2768</v>
      </c>
      <c r="BQ281" s="66" t="str">
        <f>PROPER(TEXT(Prog_23[[#This Row],[PROGRAMAÇÃO CLIENTE]],"mmm"))</f>
        <v>Mai</v>
      </c>
      <c r="BR281" s="66">
        <f>YEAR(Prog_23[[#This Row],[PROGRAMAÇÃO CLIENTE]])</f>
        <v>2023</v>
      </c>
    </row>
    <row r="282" spans="1:70" x14ac:dyDescent="0.25">
      <c r="A282" s="200" t="str">
        <f>Prog_23[[#This Row],[CONTEINER]]</f>
        <v>1 VOLUME - 420KG</v>
      </c>
      <c r="B282" s="86" t="s">
        <v>2771</v>
      </c>
      <c r="C2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2" s="85">
        <v>45075.625</v>
      </c>
      <c r="E282" s="66" t="s">
        <v>4285</v>
      </c>
      <c r="F282" s="66" t="s">
        <v>4286</v>
      </c>
      <c r="G282" s="66" t="s">
        <v>4850</v>
      </c>
      <c r="H282" s="44" t="s">
        <v>4761</v>
      </c>
      <c r="I282" s="44" t="s">
        <v>4849</v>
      </c>
      <c r="J282" s="66" t="s">
        <v>125</v>
      </c>
      <c r="K282" s="66"/>
      <c r="L282" s="66"/>
      <c r="M282" s="66">
        <v>420</v>
      </c>
      <c r="N282" s="66">
        <f>SUM(Prog_23[[#This Row],[TARA]]+Prog_23[[#This Row],[PESO]])</f>
        <v>420</v>
      </c>
      <c r="O282" s="44"/>
      <c r="P282" s="66" t="s">
        <v>4412</v>
      </c>
      <c r="Q282" s="66" t="s">
        <v>4851</v>
      </c>
      <c r="R282" s="66"/>
      <c r="S282" s="66" t="s">
        <v>4852</v>
      </c>
      <c r="T282" s="138" t="str">
        <f>IFERROR(LOOKUP($S282,MOTORISTAS!$D$3:$D$916,MOTORISTAS!E$3:$E$916),"")</f>
        <v>18022436828</v>
      </c>
      <c r="U282" s="138" t="str">
        <f>IFERROR(LOOKUP($S282,MOTORISTAS!$D$3:$D$916,MOTORISTAS!F$3:$F$916),"")</f>
        <v>02118594581</v>
      </c>
      <c r="V282" s="66" t="s">
        <v>4349</v>
      </c>
      <c r="W282" s="79">
        <v>45075.583333333336</v>
      </c>
      <c r="X282" s="79">
        <v>45075.583333333336</v>
      </c>
      <c r="Y282" s="79">
        <v>45075.666666666664</v>
      </c>
      <c r="Z282" s="66" t="s">
        <v>4423</v>
      </c>
      <c r="AA282" s="79">
        <v>45075.811805555553</v>
      </c>
      <c r="AB282" s="79">
        <v>45078.75</v>
      </c>
      <c r="AC282" s="79">
        <v>45075.5</v>
      </c>
      <c r="AD282" s="79">
        <v>45078.75</v>
      </c>
      <c r="AE282" s="66" t="s">
        <v>4344</v>
      </c>
      <c r="AF282" s="44">
        <v>16192</v>
      </c>
      <c r="AG282" s="254">
        <f>Prog_23[[#This Row],[SAÍDA DO CLIENTE]]-Prog_23[[#This Row],[PROGRAMAÇÃO CLIENTE]]</f>
        <v>4.1666666664241347E-2</v>
      </c>
      <c r="AH282" s="44"/>
      <c r="AI282" s="66"/>
      <c r="AJ282" s="66"/>
      <c r="AK282" s="66"/>
      <c r="AL282" s="66"/>
      <c r="AM282" s="66"/>
      <c r="AN282" s="83"/>
      <c r="AO282" s="83"/>
      <c r="AP282" s="83"/>
      <c r="AQ282" s="66"/>
      <c r="AR282" s="66"/>
      <c r="AS282" s="66"/>
      <c r="AT282" s="81"/>
      <c r="AU282" s="81"/>
      <c r="AV282" s="81"/>
      <c r="AW282" s="81"/>
      <c r="AX282" s="83">
        <f>SUM(Prog_23[[#This Row],[ADIANTAMENTO]]+Prog_23[[#This Row],[SALDO]]+Prog_23[[#This Row],[MARGEM]]+Prog_23[[#This Row],[ESTADIA 1]])</f>
        <v>0</v>
      </c>
      <c r="AY2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24.650939999999999</v>
      </c>
      <c r="AZ282" s="81"/>
      <c r="BA282" s="81">
        <v>16433.96</v>
      </c>
      <c r="BB282" s="81">
        <f>Prog_23[[#This Row],[VLR NF]]*0.1%</f>
        <v>16.433959999999999</v>
      </c>
      <c r="BC282" s="81">
        <f>Prog_23[[#This Row],[VLR NF]]*0.05%</f>
        <v>8.2169799999999995</v>
      </c>
      <c r="BD282" s="81"/>
      <c r="BE282" s="81"/>
      <c r="BF282" s="81"/>
      <c r="BG282" s="81"/>
      <c r="BH282" s="81"/>
      <c r="BI282" s="81"/>
      <c r="BJ282" s="81"/>
      <c r="BK282" s="81"/>
      <c r="BL282" s="81"/>
      <c r="BM282" s="81"/>
      <c r="BN282" s="66" t="s">
        <v>2768</v>
      </c>
      <c r="BO282" s="66" t="s">
        <v>2768</v>
      </c>
      <c r="BP282" s="66" t="s">
        <v>2768</v>
      </c>
      <c r="BQ282" s="66" t="str">
        <f>PROPER(TEXT(Prog_23[[#This Row],[PROGRAMAÇÃO CLIENTE]],"mmm"))</f>
        <v>Mai</v>
      </c>
      <c r="BR282" s="66">
        <f>YEAR(Prog_23[[#This Row],[PROGRAMAÇÃO CLIENTE]])</f>
        <v>2023</v>
      </c>
    </row>
    <row r="283" spans="1:70" x14ac:dyDescent="0.25">
      <c r="A283" s="201" t="str">
        <f>Prog_23[[#This Row],[CONTEINER]]</f>
        <v>HASU1239547</v>
      </c>
      <c r="B283" s="86" t="s">
        <v>2771</v>
      </c>
      <c r="C2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3" s="85">
        <v>45076.125</v>
      </c>
      <c r="E283" s="66" t="s">
        <v>3457</v>
      </c>
      <c r="F283" s="66" t="s">
        <v>3458</v>
      </c>
      <c r="G283" s="66" t="s">
        <v>4808</v>
      </c>
      <c r="H283" s="44" t="s">
        <v>4759</v>
      </c>
      <c r="I283" s="44" t="s">
        <v>4914</v>
      </c>
      <c r="J283" s="66" t="s">
        <v>288</v>
      </c>
      <c r="K283" s="66">
        <v>2220</v>
      </c>
      <c r="L283" s="66" t="s">
        <v>4913</v>
      </c>
      <c r="M283" s="66">
        <v>24030</v>
      </c>
      <c r="N283" s="66">
        <f>SUM(Prog_23[[#This Row],[TARA]]+Prog_23[[#This Row],[PESO]])</f>
        <v>26250</v>
      </c>
      <c r="O283" s="44">
        <v>16445</v>
      </c>
      <c r="P283" s="66" t="s">
        <v>4760</v>
      </c>
      <c r="Q283" s="66" t="s">
        <v>68</v>
      </c>
      <c r="R283" s="66" t="s">
        <v>3246</v>
      </c>
      <c r="S283" s="66" t="s">
        <v>206</v>
      </c>
      <c r="T283" s="138" t="str">
        <f>IFERROR(LOOKUP($S283,MOTORISTAS!$D$3:$D$916,MOTORISTAS!E$3:$E$916),"")</f>
        <v>09085263425</v>
      </c>
      <c r="U283" s="138" t="str">
        <f>IFERROR(LOOKUP($S283,MOTORISTAS!$D$3:$D$916,MOTORISTAS!F$3:$F$916),"")</f>
        <v>04557705505</v>
      </c>
      <c r="V283" s="66" t="s">
        <v>305</v>
      </c>
      <c r="W283" s="79">
        <v>45075.65902777778</v>
      </c>
      <c r="X283" s="79">
        <v>45076.09375</v>
      </c>
      <c r="Y283" s="79">
        <v>45076.638888888891</v>
      </c>
      <c r="Z283" s="66" t="s">
        <v>410</v>
      </c>
      <c r="AA283" s="79">
        <v>45077.320138888892</v>
      </c>
      <c r="AB283" s="66" t="s">
        <v>4924</v>
      </c>
      <c r="AC283" s="79">
        <v>45079.75</v>
      </c>
      <c r="AD283" s="79">
        <v>45084.75</v>
      </c>
      <c r="AE283" s="66" t="s">
        <v>4080</v>
      </c>
      <c r="AF283" s="44">
        <v>16198</v>
      </c>
      <c r="AG283" s="254">
        <f>Prog_23[[#This Row],[SAÍDA DO CLIENTE]]-Prog_23[[#This Row],[PROGRAMAÇÃO CLIENTE]]</f>
        <v>0.51388888889050577</v>
      </c>
      <c r="AH283" s="44">
        <v>6478076</v>
      </c>
      <c r="AI283" s="66"/>
      <c r="AJ283" s="66"/>
      <c r="AK283" s="66"/>
      <c r="AL283" s="66"/>
      <c r="AM283" s="66"/>
      <c r="AN283" s="83"/>
      <c r="AO283" s="83"/>
      <c r="AP283" s="83"/>
      <c r="AQ283" s="66"/>
      <c r="AR283" s="66"/>
      <c r="AS283" s="66"/>
      <c r="AT283" s="81">
        <v>7000</v>
      </c>
      <c r="AU283" s="81"/>
      <c r="AV283" s="81"/>
      <c r="AW283" s="81"/>
      <c r="AX283" s="83">
        <f>SUM(Prog_23[[#This Row],[ADIANTAMENTO]]+Prog_23[[#This Row],[SALDO]]+Prog_23[[#This Row],[MARGEM]]+Prog_23[[#This Row],[ESTADIA 1]])</f>
        <v>7000</v>
      </c>
      <c r="AY2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8400</v>
      </c>
      <c r="AZ283" s="81">
        <v>6667</v>
      </c>
      <c r="BA283" s="81">
        <v>389396.23</v>
      </c>
      <c r="BB283" s="81">
        <v>0</v>
      </c>
      <c r="BC283" s="81">
        <v>0</v>
      </c>
      <c r="BD283" s="81">
        <v>1433</v>
      </c>
      <c r="BE283" s="81"/>
      <c r="BF283" s="81"/>
      <c r="BG283" s="81"/>
      <c r="BH283" s="81"/>
      <c r="BI283" s="81"/>
      <c r="BJ283" s="81"/>
      <c r="BK283" s="81">
        <v>300</v>
      </c>
      <c r="BL283" s="81"/>
      <c r="BM283" s="81"/>
      <c r="BN283" s="66" t="s">
        <v>2768</v>
      </c>
      <c r="BO283" s="66" t="s">
        <v>2768</v>
      </c>
      <c r="BP283" s="66" t="s">
        <v>2768</v>
      </c>
      <c r="BQ283" s="66" t="str">
        <f>PROPER(TEXT(Prog_23[[#This Row],[PROGRAMAÇÃO CLIENTE]],"mmm"))</f>
        <v>Mai</v>
      </c>
      <c r="BR283" s="66">
        <f>YEAR(Prog_23[[#This Row],[PROGRAMAÇÃO CLIENTE]])</f>
        <v>2023</v>
      </c>
    </row>
    <row r="284" spans="1:70" x14ac:dyDescent="0.25">
      <c r="A284" s="200" t="str">
        <f>Prog_23[[#This Row],[CONTEINER]]</f>
        <v>TCKU7015507</v>
      </c>
      <c r="B284" s="86" t="s">
        <v>2771</v>
      </c>
      <c r="C2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4" s="85">
        <v>45076.25</v>
      </c>
      <c r="E284" s="66" t="s">
        <v>2059</v>
      </c>
      <c r="F284" s="66" t="s">
        <v>2060</v>
      </c>
      <c r="G284" s="66" t="s">
        <v>4816</v>
      </c>
      <c r="H284" s="44">
        <v>227551971</v>
      </c>
      <c r="I284" s="44" t="s">
        <v>4921</v>
      </c>
      <c r="J284" s="66" t="s">
        <v>301</v>
      </c>
      <c r="K284" s="66">
        <v>3700</v>
      </c>
      <c r="L284" s="66" t="s">
        <v>4952</v>
      </c>
      <c r="M284" s="66">
        <v>23006</v>
      </c>
      <c r="N284" s="66">
        <f>SUM(Prog_23[[#This Row],[TARA]]+Prog_23[[#This Row],[PESO]])</f>
        <v>26706</v>
      </c>
      <c r="O284" s="44" t="s">
        <v>4953</v>
      </c>
      <c r="P284" s="66" t="s">
        <v>4815</v>
      </c>
      <c r="Q284" s="66" t="s">
        <v>92</v>
      </c>
      <c r="R284" s="66" t="s">
        <v>93</v>
      </c>
      <c r="S284" s="66" t="s">
        <v>94</v>
      </c>
      <c r="T284" s="138" t="str">
        <f>IFERROR(LOOKUP($S284,MOTORISTAS!$D$3:$D$916,MOTORISTAS!E$3:$E$916),"")</f>
        <v>26283419801</v>
      </c>
      <c r="U284" s="138" t="str">
        <f>IFERROR(LOOKUP($S284,MOTORISTAS!$D$3:$D$916,MOTORISTAS!F$3:$F$916),"")</f>
        <v>02002046946</v>
      </c>
      <c r="V284" s="66" t="s">
        <v>526</v>
      </c>
      <c r="W284" s="79">
        <v>45075.85833333333</v>
      </c>
      <c r="X284" s="79">
        <v>45076.013888888891</v>
      </c>
      <c r="Y284" s="79">
        <v>45078.666666666664</v>
      </c>
      <c r="Z284" s="66" t="s">
        <v>306</v>
      </c>
      <c r="AA284" s="79">
        <v>45083.520833333336</v>
      </c>
      <c r="AB284" s="79">
        <v>45083.291666666664</v>
      </c>
      <c r="AC284" s="79">
        <v>45083.5</v>
      </c>
      <c r="AD284" s="79">
        <v>45086.75</v>
      </c>
      <c r="AE284" s="66" t="s">
        <v>716</v>
      </c>
      <c r="AF284" s="44" t="s">
        <v>5079</v>
      </c>
      <c r="AG284" s="254">
        <f>Prog_23[[#This Row],[SAÍDA DO CLIENTE]]-Prog_23[[#This Row],[PROGRAMAÇÃO CLIENTE]]</f>
        <v>2.4166666666642413</v>
      </c>
      <c r="AH284" s="44"/>
      <c r="AI284" s="66"/>
      <c r="AJ284" s="66"/>
      <c r="AK284" s="66" t="s">
        <v>393</v>
      </c>
      <c r="AL284" s="79">
        <v>45078.958333333336</v>
      </c>
      <c r="AM284" s="66"/>
      <c r="AN284" s="83">
        <v>950</v>
      </c>
      <c r="AO284" s="83"/>
      <c r="AP284" s="83"/>
      <c r="AQ284" s="66"/>
      <c r="AR284" s="66"/>
      <c r="AS284" s="66"/>
      <c r="AT284" s="81">
        <v>3800</v>
      </c>
      <c r="AU284" s="81"/>
      <c r="AV284" s="81"/>
      <c r="AW284" s="81"/>
      <c r="AX284" s="83">
        <f>SUM(Prog_23[[#This Row],[ADIANTAMENTO]]+Prog_23[[#This Row],[SALDO]]+Prog_23[[#This Row],[MARGEM]]+Prog_23[[#This Row],[ESTADIA 1]])</f>
        <v>3800</v>
      </c>
      <c r="AY2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7833.8427799999999</v>
      </c>
      <c r="AZ284" s="81">
        <v>2972.4</v>
      </c>
      <c r="BA284" s="81">
        <v>233842.78</v>
      </c>
      <c r="BB284" s="81">
        <f>Prog_23[[#This Row],[VLR NF]]*0.1%</f>
        <v>233.84278</v>
      </c>
      <c r="BC284" s="81">
        <v>0</v>
      </c>
      <c r="BD284" s="81">
        <v>477.6</v>
      </c>
      <c r="BE284" s="81"/>
      <c r="BF284" s="81"/>
      <c r="BG284" s="81"/>
      <c r="BH284" s="81"/>
      <c r="BI284" s="81"/>
      <c r="BJ284" s="81">
        <v>950</v>
      </c>
      <c r="BK284" s="81">
        <v>350</v>
      </c>
      <c r="BL284" s="81">
        <v>350</v>
      </c>
      <c r="BM284" s="81">
        <v>2500</v>
      </c>
      <c r="BN284" s="66" t="s">
        <v>2768</v>
      </c>
      <c r="BO284" s="66" t="s">
        <v>2768</v>
      </c>
      <c r="BP284" s="66" t="s">
        <v>2768</v>
      </c>
      <c r="BQ284" s="66" t="str">
        <f>PROPER(TEXT(Prog_23[[#This Row],[PROGRAMAÇÃO CLIENTE]],"mmm"))</f>
        <v>Mai</v>
      </c>
      <c r="BR284" s="66">
        <f>YEAR(Prog_23[[#This Row],[PROGRAMAÇÃO CLIENTE]])</f>
        <v>2023</v>
      </c>
    </row>
    <row r="285" spans="1:70" x14ac:dyDescent="0.25">
      <c r="A285" s="201" t="str">
        <f>Prog_23[[#This Row],[CONTEINER]]</f>
        <v>ZMOU8851342</v>
      </c>
      <c r="B285" s="86" t="s">
        <v>2771</v>
      </c>
      <c r="C2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5" s="85">
        <v>45076.25</v>
      </c>
      <c r="E285" s="66" t="s">
        <v>456</v>
      </c>
      <c r="F285" s="66" t="s">
        <v>457</v>
      </c>
      <c r="G285" s="66" t="s">
        <v>4884</v>
      </c>
      <c r="H285" s="44" t="s">
        <v>4845</v>
      </c>
      <c r="I285" s="44" t="s">
        <v>4888</v>
      </c>
      <c r="J285" s="66" t="s">
        <v>459</v>
      </c>
      <c r="K285" s="66">
        <v>4330</v>
      </c>
      <c r="L285" s="66" t="s">
        <v>4889</v>
      </c>
      <c r="M285" s="66">
        <v>18173</v>
      </c>
      <c r="N285" s="66">
        <f>SUM(Prog_23[[#This Row],[TARA]]+Prog_23[[#This Row],[PESO]])</f>
        <v>22503</v>
      </c>
      <c r="O285" s="44">
        <v>207973</v>
      </c>
      <c r="P285" s="66" t="s">
        <v>4846</v>
      </c>
      <c r="Q285" s="66" t="s">
        <v>150</v>
      </c>
      <c r="R285" s="66" t="s">
        <v>151</v>
      </c>
      <c r="S285" s="66" t="s">
        <v>4901</v>
      </c>
      <c r="T285" s="138" t="str">
        <f>IFERROR(LOOKUP($S285,MOTORISTAS!$D$3:$D$916,MOTORISTAS!E$3:$E$916),"")</f>
        <v>25538214842</v>
      </c>
      <c r="U285" s="138" t="str">
        <f>IFERROR(LOOKUP($S285,MOTORISTAS!$D$3:$D$916,MOTORISTAS!F$3:$F$916),"")</f>
        <v>01845110101</v>
      </c>
      <c r="V285" s="66" t="s">
        <v>639</v>
      </c>
      <c r="W285" s="79">
        <v>45075.454861111109</v>
      </c>
      <c r="X285" s="79">
        <v>45076.055555555555</v>
      </c>
      <c r="Y285" s="79">
        <v>45076.4</v>
      </c>
      <c r="Z285" s="66" t="s">
        <v>410</v>
      </c>
      <c r="AA285" s="79">
        <v>45077.213194444441</v>
      </c>
      <c r="AB285" s="79">
        <v>45072.541666666664</v>
      </c>
      <c r="AC285" s="79">
        <v>45075.5</v>
      </c>
      <c r="AD285" s="79">
        <v>45078.75</v>
      </c>
      <c r="AE285" s="66" t="s">
        <v>452</v>
      </c>
      <c r="AF285" s="44">
        <v>1317</v>
      </c>
      <c r="AG285" s="254">
        <f>Prog_23[[#This Row],[SAÍDA DO CLIENTE]]-Prog_23[[#This Row],[PROGRAMAÇÃO CLIENTE]]</f>
        <v>0.15000000000145519</v>
      </c>
      <c r="AH285" s="44" t="s">
        <v>4918</v>
      </c>
      <c r="AI285" s="66"/>
      <c r="AJ285" s="66"/>
      <c r="AK285" s="66"/>
      <c r="AL285" s="66"/>
      <c r="AM285" s="66"/>
      <c r="AN285" s="83"/>
      <c r="AO285" s="83"/>
      <c r="AP285" s="83"/>
      <c r="AQ285" s="66"/>
      <c r="AR285" s="66" t="s">
        <v>4973</v>
      </c>
      <c r="AS285" s="66"/>
      <c r="AT285" s="81">
        <v>4500</v>
      </c>
      <c r="AU285" s="81"/>
      <c r="AV285" s="81"/>
      <c r="AW285" s="81"/>
      <c r="AX285" s="83">
        <f>SUM(Prog_23[[#This Row],[ADIANTAMENTO]]+Prog_23[[#This Row],[SALDO]]+Prog_23[[#This Row],[MARGEM]]+Prog_23[[#This Row],[ESTADIA 1]])</f>
        <v>4500</v>
      </c>
      <c r="AY2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6300</v>
      </c>
      <c r="AZ285" s="81">
        <v>5403.6</v>
      </c>
      <c r="BA285" s="81">
        <v>268705.83</v>
      </c>
      <c r="BB285" s="81">
        <v>0</v>
      </c>
      <c r="BC285" s="81">
        <v>0</v>
      </c>
      <c r="BD285" s="81">
        <v>896.4</v>
      </c>
      <c r="BE285" s="81"/>
      <c r="BF285" s="81"/>
      <c r="BG285" s="81"/>
      <c r="BH285" s="81"/>
      <c r="BI285" s="81"/>
      <c r="BJ285" s="81"/>
      <c r="BK285" s="81"/>
      <c r="BL285" s="81"/>
      <c r="BM285" s="81"/>
      <c r="BN285" s="66" t="s">
        <v>2768</v>
      </c>
      <c r="BO285" s="66" t="s">
        <v>2768</v>
      </c>
      <c r="BP285" s="66" t="s">
        <v>2768</v>
      </c>
      <c r="BQ285" s="66" t="str">
        <f>PROPER(TEXT(Prog_23[[#This Row],[PROGRAMAÇÃO CLIENTE]],"mmm"))</f>
        <v>Mai</v>
      </c>
      <c r="BR285" s="66">
        <f>YEAR(Prog_23[[#This Row],[PROGRAMAÇÃO CLIENTE]])</f>
        <v>2023</v>
      </c>
    </row>
    <row r="286" spans="1:70" x14ac:dyDescent="0.25">
      <c r="A286" s="200" t="str">
        <f>Prog_23[[#This Row],[CONTEINER]]</f>
        <v>HASU4971103</v>
      </c>
      <c r="B286" s="86" t="s">
        <v>2771</v>
      </c>
      <c r="C2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6" s="85">
        <v>45076.583333333336</v>
      </c>
      <c r="E286" s="66" t="s">
        <v>3557</v>
      </c>
      <c r="F286" s="66" t="s">
        <v>3561</v>
      </c>
      <c r="G286" s="66" t="s">
        <v>4915</v>
      </c>
      <c r="H286" s="44">
        <v>227740867</v>
      </c>
      <c r="I286" s="44" t="s">
        <v>4919</v>
      </c>
      <c r="J286" s="66" t="s">
        <v>301</v>
      </c>
      <c r="K286" s="66">
        <v>3860</v>
      </c>
      <c r="L286" s="66" t="s">
        <v>4920</v>
      </c>
      <c r="M286" s="66">
        <v>19661</v>
      </c>
      <c r="N286" s="66">
        <f>SUM(Prog_23[[#This Row],[TARA]]+Prog_23[[#This Row],[PESO]])</f>
        <v>23521</v>
      </c>
      <c r="O286" s="44" t="s">
        <v>4916</v>
      </c>
      <c r="P286" s="66" t="s">
        <v>4854</v>
      </c>
      <c r="Q286" s="66" t="s">
        <v>31</v>
      </c>
      <c r="R286" s="66" t="s">
        <v>32</v>
      </c>
      <c r="S286" s="66" t="s">
        <v>33</v>
      </c>
      <c r="T286" s="138" t="str">
        <f>IFERROR(LOOKUP($S286,MOTORISTAS!$D$3:$D$916,MOTORISTAS!E$3:$E$916),"")</f>
        <v>09776430856</v>
      </c>
      <c r="U286" s="138" t="str">
        <f>IFERROR(LOOKUP($S286,MOTORISTAS!$D$3:$D$916,MOTORISTAS!F$3:$F$916),"")</f>
        <v>01258979905</v>
      </c>
      <c r="V286" s="66" t="s">
        <v>292</v>
      </c>
      <c r="W286" s="79">
        <v>45075.761805555558</v>
      </c>
      <c r="X286" s="79">
        <v>45076.532638888886</v>
      </c>
      <c r="Y286" s="79">
        <v>45076.677777777775</v>
      </c>
      <c r="Z286" s="66" t="s">
        <v>306</v>
      </c>
      <c r="AA286" s="79">
        <v>45076.803472222222</v>
      </c>
      <c r="AB286" s="79">
        <v>45074.75</v>
      </c>
      <c r="AC286" s="79">
        <v>45075.5</v>
      </c>
      <c r="AD286" s="79">
        <v>45078.75</v>
      </c>
      <c r="AE286" s="66" t="s">
        <v>452</v>
      </c>
      <c r="AF286" s="44">
        <v>16201</v>
      </c>
      <c r="AG286" s="254">
        <f>Prog_23[[#This Row],[SAÍDA DO CLIENTE]]-Prog_23[[#This Row],[PROGRAMAÇÃO CLIENTE]]</f>
        <v>9.4444444439432118E-2</v>
      </c>
      <c r="AH286" s="44"/>
      <c r="AI286" s="66"/>
      <c r="AJ286" s="66"/>
      <c r="AK286" s="66"/>
      <c r="AL286" s="66"/>
      <c r="AM286" s="66"/>
      <c r="AN286" s="83"/>
      <c r="AO286" s="83"/>
      <c r="AP286" s="83"/>
      <c r="AQ286" s="66"/>
      <c r="AR286" s="66" t="s">
        <v>4973</v>
      </c>
      <c r="AS286" s="66"/>
      <c r="AT286" s="81">
        <v>2200</v>
      </c>
      <c r="AU286" s="81"/>
      <c r="AV286" s="81"/>
      <c r="AW286" s="81"/>
      <c r="AX286" s="83">
        <f>SUM(Prog_23[[#This Row],[ADIANTAMENTO]]+Prog_23[[#This Row],[SALDO]]+Prog_23[[#This Row],[MARGEM]]+Prog_23[[#This Row],[ESTADIA 1]])</f>
        <v>2200</v>
      </c>
      <c r="AY2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4149.1708399999998</v>
      </c>
      <c r="AZ286" s="81">
        <v>2370</v>
      </c>
      <c r="BA286" s="81">
        <v>792780.56</v>
      </c>
      <c r="BB286" s="81">
        <f>Prog_23[[#This Row],[VLR NF]]*0.1%</f>
        <v>792.78056000000004</v>
      </c>
      <c r="BC286" s="81">
        <f>Prog_23[[#This Row],[VLR NF]]*0.05%</f>
        <v>396.39028000000002</v>
      </c>
      <c r="BD286" s="81">
        <v>240</v>
      </c>
      <c r="BE286" s="81"/>
      <c r="BF286" s="81"/>
      <c r="BG286" s="81"/>
      <c r="BH286" s="81"/>
      <c r="BI286" s="81"/>
      <c r="BJ286" s="81"/>
      <c r="BK286" s="81"/>
      <c r="BL286" s="81">
        <v>350</v>
      </c>
      <c r="BM286" s="81"/>
      <c r="BN286" s="66" t="s">
        <v>2768</v>
      </c>
      <c r="BO286" s="66" t="s">
        <v>2768</v>
      </c>
      <c r="BP286" s="66" t="s">
        <v>2768</v>
      </c>
      <c r="BQ286" s="66" t="str">
        <f>PROPER(TEXT(Prog_23[[#This Row],[PROGRAMAÇÃO CLIENTE]],"mmm"))</f>
        <v>Mai</v>
      </c>
      <c r="BR286" s="66">
        <f>YEAR(Prog_23[[#This Row],[PROGRAMAÇÃO CLIENTE]])</f>
        <v>2023</v>
      </c>
    </row>
    <row r="287" spans="1:70" x14ac:dyDescent="0.25">
      <c r="A287" s="200" t="str">
        <f>Prog_23[[#This Row],[CONTEINER]]</f>
        <v>SEKU4709111</v>
      </c>
      <c r="B287" s="86" t="s">
        <v>2771</v>
      </c>
      <c r="C2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7" s="85">
        <v>45076.666666666664</v>
      </c>
      <c r="E287" s="66" t="s">
        <v>2302</v>
      </c>
      <c r="F287" s="66" t="s">
        <v>529</v>
      </c>
      <c r="G287" s="66">
        <v>49</v>
      </c>
      <c r="H287" s="44">
        <v>227584732</v>
      </c>
      <c r="I287" s="44" t="s">
        <v>4882</v>
      </c>
      <c r="J287" s="66" t="s">
        <v>301</v>
      </c>
      <c r="K287" s="66">
        <v>3700</v>
      </c>
      <c r="L287" s="66" t="s">
        <v>4883</v>
      </c>
      <c r="M287" s="66">
        <v>7519</v>
      </c>
      <c r="N287" s="66">
        <f>SUM(Prog_23[[#This Row],[TARA]]+Prog_23[[#This Row],[PESO]])</f>
        <v>11219</v>
      </c>
      <c r="O287" s="44" t="s">
        <v>4847</v>
      </c>
      <c r="P287" s="66" t="s">
        <v>4789</v>
      </c>
      <c r="Q287" s="66" t="s">
        <v>106</v>
      </c>
      <c r="R287" s="66" t="s">
        <v>107</v>
      </c>
      <c r="S287" s="66" t="s">
        <v>108</v>
      </c>
      <c r="T287" s="138" t="str">
        <f>IFERROR(LOOKUP($S287,MOTORISTAS!$D$3:$D$916,MOTORISTAS!E$3:$E$916),"")</f>
        <v>34927982840</v>
      </c>
      <c r="U287" s="138" t="str">
        <f>IFERROR(LOOKUP($S287,MOTORISTAS!$D$3:$D$916,MOTORISTAS!F$3:$F$916),"")</f>
        <v>03500129879</v>
      </c>
      <c r="V287" s="66" t="s">
        <v>526</v>
      </c>
      <c r="W287" s="79">
        <v>45075.365972222222</v>
      </c>
      <c r="X287" s="79">
        <v>45076.62222222222</v>
      </c>
      <c r="Y287" s="79">
        <v>45076.8125</v>
      </c>
      <c r="Z287" s="66" t="s">
        <v>410</v>
      </c>
      <c r="AA287" s="79">
        <v>45077.429861111108</v>
      </c>
      <c r="AB287" s="79">
        <v>45075.541666666664</v>
      </c>
      <c r="AC287" s="79">
        <v>45077.5</v>
      </c>
      <c r="AD287" s="79">
        <v>45078.5</v>
      </c>
      <c r="AE287" s="66" t="s">
        <v>1405</v>
      </c>
      <c r="AF287" s="44">
        <v>16200</v>
      </c>
      <c r="AG287" s="254">
        <f>Prog_23[[#This Row],[SAÍDA DO CLIENTE]]-Prog_23[[#This Row],[PROGRAMAÇÃO CLIENTE]]</f>
        <v>0.14583333333575865</v>
      </c>
      <c r="AH287" s="44">
        <v>6480007</v>
      </c>
      <c r="AI287" s="66"/>
      <c r="AJ287" s="66"/>
      <c r="AK287" s="66"/>
      <c r="AL287" s="66"/>
      <c r="AM287" s="66"/>
      <c r="AN287" s="83"/>
      <c r="AO287" s="83"/>
      <c r="AP287" s="83"/>
      <c r="AQ287" s="66"/>
      <c r="AR287" s="66" t="s">
        <v>4973</v>
      </c>
      <c r="AS287" s="66"/>
      <c r="AT287" s="81">
        <v>2200</v>
      </c>
      <c r="AU287" s="81"/>
      <c r="AV287" s="81"/>
      <c r="AW287" s="81"/>
      <c r="AX287" s="83">
        <f>SUM(Prog_23[[#This Row],[ADIANTAMENTO]]+Prog_23[[#This Row],[SALDO]]+Prog_23[[#This Row],[MARGEM]]+Prog_23[[#This Row],[ESTADIA 1]])</f>
        <v>2200</v>
      </c>
      <c r="AY2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3603.0532699999999</v>
      </c>
      <c r="AZ287" s="81">
        <v>2550</v>
      </c>
      <c r="BA287" s="81">
        <v>602053.27</v>
      </c>
      <c r="BB287" s="81">
        <f>Prog_23[[#This Row],[VLR NF]]*0.1%</f>
        <v>602.05327</v>
      </c>
      <c r="BC287" s="81">
        <v>0</v>
      </c>
      <c r="BD287" s="81">
        <v>336</v>
      </c>
      <c r="BE287" s="81"/>
      <c r="BF287" s="81"/>
      <c r="BG287" s="81"/>
      <c r="BH287" s="81">
        <v>30</v>
      </c>
      <c r="BI287" s="81"/>
      <c r="BJ287" s="81">
        <v>85</v>
      </c>
      <c r="BK287" s="81"/>
      <c r="BL287" s="81"/>
      <c r="BM287" s="81"/>
      <c r="BN287" s="66" t="s">
        <v>2768</v>
      </c>
      <c r="BO287" s="66" t="s">
        <v>2768</v>
      </c>
      <c r="BP287" s="66" t="s">
        <v>2768</v>
      </c>
      <c r="BQ287" s="66" t="str">
        <f>PROPER(TEXT(Prog_23[[#This Row],[PROGRAMAÇÃO CLIENTE]],"mmm"))</f>
        <v>Mai</v>
      </c>
      <c r="BR287" s="66">
        <f>YEAR(Prog_23[[#This Row],[PROGRAMAÇÃO CLIENTE]])</f>
        <v>2023</v>
      </c>
    </row>
    <row r="288" spans="1:70" x14ac:dyDescent="0.25">
      <c r="A288" s="200" t="str">
        <f>Prog_23[[#This Row],[CONTEINER]]</f>
        <v>WSCU7799071</v>
      </c>
      <c r="B288" s="86" t="s">
        <v>2771</v>
      </c>
      <c r="C2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8" s="85">
        <v>45079.333333333336</v>
      </c>
      <c r="E288" s="66" t="s">
        <v>297</v>
      </c>
      <c r="F288" s="66" t="s">
        <v>298</v>
      </c>
      <c r="G288" s="66" t="s">
        <v>4744</v>
      </c>
      <c r="H288" s="44" t="s">
        <v>4745</v>
      </c>
      <c r="I288" s="44" t="s">
        <v>4970</v>
      </c>
      <c r="J288" s="66" t="s">
        <v>301</v>
      </c>
      <c r="K288" s="66">
        <v>3940</v>
      </c>
      <c r="L288" s="66" t="s">
        <v>4948</v>
      </c>
      <c r="M288" s="66">
        <v>17884</v>
      </c>
      <c r="N288" s="66">
        <f>SUM(Prog_23[[#This Row],[TARA]]+Prog_23[[#This Row],[PESO]])</f>
        <v>21824</v>
      </c>
      <c r="O288" s="44">
        <v>866937</v>
      </c>
      <c r="P288" s="66" t="s">
        <v>4841</v>
      </c>
      <c r="Q288" s="66" t="s">
        <v>3708</v>
      </c>
      <c r="R288" s="66" t="s">
        <v>4703</v>
      </c>
      <c r="S288" s="66" t="s">
        <v>84</v>
      </c>
      <c r="T288" s="138" t="str">
        <f>IFERROR(LOOKUP($S288,MOTORISTAS!$D$3:$D$916,MOTORISTAS!E$3:$E$916),"")</f>
        <v>15921106810</v>
      </c>
      <c r="U288" s="138" t="str">
        <f>IFERROR(LOOKUP($S288,MOTORISTAS!$D$3:$D$916,MOTORISTAS!F$3:$F$916),"")</f>
        <v>02351127968</v>
      </c>
      <c r="V288" s="66" t="s">
        <v>3579</v>
      </c>
      <c r="W288" s="79">
        <v>45078.645833333336</v>
      </c>
      <c r="X288" s="79">
        <v>45079.166666666664</v>
      </c>
      <c r="Y288" s="79">
        <v>45079.684027777781</v>
      </c>
      <c r="Z288" s="66" t="s">
        <v>410</v>
      </c>
      <c r="AA288" s="79">
        <v>45080.352777777778</v>
      </c>
      <c r="AB288" s="79">
        <v>45080.291666666664</v>
      </c>
      <c r="AC288" s="79">
        <v>45079.5</v>
      </c>
      <c r="AD288" s="79">
        <v>45084.75</v>
      </c>
      <c r="AE288" s="66" t="s">
        <v>352</v>
      </c>
      <c r="AF288" s="44">
        <v>16252</v>
      </c>
      <c r="AG288" s="254">
        <f>Prog_23[[#This Row],[SAÍDA DO CLIENTE]]-Prog_23[[#This Row],[PROGRAMAÇÃO CLIENTE]]</f>
        <v>0.35069444444525288</v>
      </c>
      <c r="AH288" s="44"/>
      <c r="AI288" s="66"/>
      <c r="AJ288" s="66"/>
      <c r="AK288" s="66"/>
      <c r="AL288" s="66"/>
      <c r="AM288" s="66"/>
      <c r="AN288" s="83"/>
      <c r="AO288" s="83"/>
      <c r="AP288" s="83"/>
      <c r="AQ288" s="66"/>
      <c r="AR288" s="66"/>
      <c r="AS288" s="66"/>
      <c r="AT288" s="81">
        <v>3300</v>
      </c>
      <c r="AU288" s="81"/>
      <c r="AV288" s="81"/>
      <c r="AW288" s="81"/>
      <c r="AX288" s="83">
        <f>SUM(Prog_23[[#This Row],[ADIANTAMENTO]]+Prog_23[[#This Row],[SALDO]]+Prog_23[[#This Row],[MARGEM]]+Prog_23[[#This Row],[ESTADIA 1]])</f>
        <v>3300</v>
      </c>
      <c r="AY2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288" s="81">
        <v>3488.8</v>
      </c>
      <c r="BA288" s="81"/>
      <c r="BB288" s="81">
        <f>Prog_23[[#This Row],[VLR NF]]*0.1%</f>
        <v>0</v>
      </c>
      <c r="BC288" s="81">
        <f>Prog_23[[#This Row],[VLR NF]]*0.05%</f>
        <v>0</v>
      </c>
      <c r="BD288" s="81">
        <v>511.2</v>
      </c>
      <c r="BE288" s="81"/>
      <c r="BF288" s="81"/>
      <c r="BG288" s="81"/>
      <c r="BH288" s="81"/>
      <c r="BI288" s="81"/>
      <c r="BJ288" s="81"/>
      <c r="BK288" s="81"/>
      <c r="BL288" s="81"/>
      <c r="BM288" s="81"/>
      <c r="BN288" s="66" t="s">
        <v>2768</v>
      </c>
      <c r="BO288" s="66" t="s">
        <v>2768</v>
      </c>
      <c r="BP288" s="66" t="s">
        <v>2768</v>
      </c>
      <c r="BQ288" s="66" t="str">
        <f>PROPER(TEXT(Prog_23[[#This Row],[PROGRAMAÇÃO CLIENTE]],"mmm"))</f>
        <v>Jun</v>
      </c>
      <c r="BR288" s="66">
        <f>YEAR(Prog_23[[#This Row],[PROGRAMAÇÃO CLIENTE]])</f>
        <v>2023</v>
      </c>
    </row>
    <row r="289" spans="1:70" x14ac:dyDescent="0.25">
      <c r="A289" s="200" t="str">
        <f>Prog_23[[#This Row],[CONTEINER]]</f>
        <v>SUDU8635434</v>
      </c>
      <c r="B289" s="86" t="s">
        <v>2771</v>
      </c>
      <c r="C2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89" s="85">
        <v>45083.541666666664</v>
      </c>
      <c r="E289" s="66" t="s">
        <v>2302</v>
      </c>
      <c r="F289" s="66" t="s">
        <v>529</v>
      </c>
      <c r="G289" s="66">
        <v>339</v>
      </c>
      <c r="H289" s="44">
        <v>227481462</v>
      </c>
      <c r="I289" s="44" t="s">
        <v>4986</v>
      </c>
      <c r="J289" s="66" t="s">
        <v>301</v>
      </c>
      <c r="K289" s="66">
        <v>3860</v>
      </c>
      <c r="L289" s="66" t="s">
        <v>4987</v>
      </c>
      <c r="M289" s="66">
        <v>6927</v>
      </c>
      <c r="N289" s="66">
        <f>SUM(Prog_23[[#This Row],[TARA]]+Prog_23[[#This Row],[PESO]])</f>
        <v>10787</v>
      </c>
      <c r="O289" s="44" t="s">
        <v>4971</v>
      </c>
      <c r="P289" s="66" t="s">
        <v>4945</v>
      </c>
      <c r="Q289" s="66" t="s">
        <v>72</v>
      </c>
      <c r="R289" s="66" t="s">
        <v>73</v>
      </c>
      <c r="S289" s="66" t="s">
        <v>2678</v>
      </c>
      <c r="T289" s="138" t="str">
        <f>IFERROR(LOOKUP($S289,MOTORISTAS!$D$3:$D$916,MOTORISTAS!E$3:$E$916),"")</f>
        <v>28386357860</v>
      </c>
      <c r="U289" s="138" t="str">
        <f>IFERROR(LOOKUP($S289,MOTORISTAS!$D$3:$D$916,MOTORISTAS!F$3:$F$916),"")</f>
        <v>01042201192</v>
      </c>
      <c r="V289" s="66" t="s">
        <v>292</v>
      </c>
      <c r="W289" s="79">
        <v>45082.546527777777</v>
      </c>
      <c r="X289" s="79">
        <v>45083.506944444445</v>
      </c>
      <c r="Y289" s="79">
        <v>45083.71597222222</v>
      </c>
      <c r="Z289" s="66" t="s">
        <v>306</v>
      </c>
      <c r="AA289" s="79">
        <v>45083.853472222225</v>
      </c>
      <c r="AB289" s="79">
        <v>45082.541666666664</v>
      </c>
      <c r="AC289" s="79">
        <v>45082.75</v>
      </c>
      <c r="AD289" s="79">
        <v>45086.291666666664</v>
      </c>
      <c r="AE289" s="66" t="s">
        <v>452</v>
      </c>
      <c r="AF289" s="44">
        <v>16264</v>
      </c>
      <c r="AG289" s="254">
        <f>Prog_23[[#This Row],[SAÍDA DO CLIENTE]]-Prog_23[[#This Row],[PROGRAMAÇÃO CLIENTE]]</f>
        <v>0.17430555555620231</v>
      </c>
      <c r="AH289" s="44"/>
      <c r="AI289" s="66"/>
      <c r="AJ289" s="66"/>
      <c r="AK289" s="66"/>
      <c r="AL289" s="66"/>
      <c r="AM289" s="66"/>
      <c r="AN289" s="83"/>
      <c r="AO289" s="83"/>
      <c r="AP289" s="83"/>
      <c r="AQ289" s="66"/>
      <c r="AR289" s="66"/>
      <c r="AS289" s="66"/>
      <c r="AT289" s="81">
        <v>2200</v>
      </c>
      <c r="AU289" s="81"/>
      <c r="AV289" s="81"/>
      <c r="AW289" s="81"/>
      <c r="AX289" s="83">
        <f>SUM(Prog_23[[#This Row],[ADIANTAMENTO]]+Prog_23[[#This Row],[SALDO]]+Prog_23[[#This Row],[MARGEM]]+Prog_23[[#This Row],[ESTADIA 1]])</f>
        <v>2200</v>
      </c>
      <c r="AY2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3359.01071</v>
      </c>
      <c r="AZ289" s="81">
        <v>2550</v>
      </c>
      <c r="BA289" s="81">
        <v>358010.71</v>
      </c>
      <c r="BB289" s="81">
        <f>Prog_23[[#This Row],[VLR NF]]*0.1%</f>
        <v>358.01071000000002</v>
      </c>
      <c r="BC289" s="81">
        <v>0</v>
      </c>
      <c r="BD289" s="81">
        <v>336</v>
      </c>
      <c r="BE289" s="81"/>
      <c r="BF289" s="81"/>
      <c r="BG289" s="81"/>
      <c r="BH289" s="81">
        <v>30</v>
      </c>
      <c r="BI289" s="81"/>
      <c r="BJ289" s="81">
        <v>85</v>
      </c>
      <c r="BK289" s="81"/>
      <c r="BL289" s="81"/>
      <c r="BM289" s="81"/>
      <c r="BN289" s="66" t="s">
        <v>2768</v>
      </c>
      <c r="BO289" s="66" t="s">
        <v>2768</v>
      </c>
      <c r="BP289" s="66" t="s">
        <v>2768</v>
      </c>
      <c r="BQ289" s="66" t="str">
        <f>PROPER(TEXT(Prog_23[[#This Row],[PROGRAMAÇÃO CLIENTE]],"mmm"))</f>
        <v>Jun</v>
      </c>
      <c r="BR289" s="66">
        <f>YEAR(Prog_23[[#This Row],[PROGRAMAÇÃO CLIENTE]])</f>
        <v>2023</v>
      </c>
    </row>
    <row r="290" spans="1:70" x14ac:dyDescent="0.25">
      <c r="A290" s="201" t="str">
        <f>Prog_23[[#This Row],[CONTEINER]]</f>
        <v>MRKU4232245</v>
      </c>
      <c r="B290" s="86" t="s">
        <v>2771</v>
      </c>
      <c r="C2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90" s="85">
        <v>45083.666666666664</v>
      </c>
      <c r="E290" s="66" t="s">
        <v>2302</v>
      </c>
      <c r="F290" s="66" t="s">
        <v>529</v>
      </c>
      <c r="G290" s="66">
        <v>41</v>
      </c>
      <c r="H290" s="44">
        <v>227593197</v>
      </c>
      <c r="I290" s="44" t="s">
        <v>4985</v>
      </c>
      <c r="J290" s="66" t="s">
        <v>301</v>
      </c>
      <c r="K290" s="66">
        <v>3790</v>
      </c>
      <c r="L290" s="66" t="s">
        <v>4984</v>
      </c>
      <c r="M290" s="66">
        <v>14511</v>
      </c>
      <c r="N290" s="66">
        <f>SUM(Prog_23[[#This Row],[TARA]]+Prog_23[[#This Row],[PESO]])</f>
        <v>18301</v>
      </c>
      <c r="O290" s="44" t="s">
        <v>4972</v>
      </c>
      <c r="P290" s="66" t="s">
        <v>4945</v>
      </c>
      <c r="Q290" s="66" t="s">
        <v>150</v>
      </c>
      <c r="R290" s="66" t="s">
        <v>151</v>
      </c>
      <c r="S290" s="66" t="s">
        <v>4901</v>
      </c>
      <c r="T290" s="138" t="str">
        <f>IFERROR(LOOKUP($S290,MOTORISTAS!$D$3:$D$916,MOTORISTAS!E$3:$E$916),"")</f>
        <v>25538214842</v>
      </c>
      <c r="U290" s="138" t="str">
        <f>IFERROR(LOOKUP($S290,MOTORISTAS!$D$3:$D$916,MOTORISTAS!F$3:$F$916),"")</f>
        <v>01845110101</v>
      </c>
      <c r="V290" s="66" t="s">
        <v>292</v>
      </c>
      <c r="W290" s="79">
        <v>45082.601388888892</v>
      </c>
      <c r="X290" s="79">
        <v>45083.666666666664</v>
      </c>
      <c r="Y290" s="79">
        <v>45083.763194444444</v>
      </c>
      <c r="Z290" s="66" t="s">
        <v>306</v>
      </c>
      <c r="AA290" s="79">
        <v>45083.922222222223</v>
      </c>
      <c r="AB290" s="79">
        <v>45082.541666666664</v>
      </c>
      <c r="AC290" s="79">
        <v>45080.75</v>
      </c>
      <c r="AD290" s="79">
        <v>45086.291666666664</v>
      </c>
      <c r="AE290" s="66" t="s">
        <v>527</v>
      </c>
      <c r="AF290" s="44">
        <v>16274</v>
      </c>
      <c r="AG290" s="254">
        <f>Prog_23[[#This Row],[SAÍDA DO CLIENTE]]-Prog_23[[#This Row],[PROGRAMAÇÃO CLIENTE]]</f>
        <v>9.6527777779556345E-2</v>
      </c>
      <c r="AH290" s="44"/>
      <c r="AI290" s="66"/>
      <c r="AJ290" s="66"/>
      <c r="AK290" s="66"/>
      <c r="AL290" s="66"/>
      <c r="AM290" s="66"/>
      <c r="AN290" s="83"/>
      <c r="AO290" s="83"/>
      <c r="AP290" s="83"/>
      <c r="AQ290" s="66"/>
      <c r="AR290" s="66"/>
      <c r="AS290" s="66"/>
      <c r="AT290" s="81">
        <v>2200</v>
      </c>
      <c r="AU290" s="81"/>
      <c r="AV290" s="81"/>
      <c r="AW290" s="81"/>
      <c r="AX290" s="83">
        <f>SUM(Prog_23[[#This Row],[ADIANTAMENTO]]+Prog_23[[#This Row],[SALDO]]+Prog_23[[#This Row],[MARGEM]]+Prog_23[[#This Row],[ESTADIA 1]])</f>
        <v>2200</v>
      </c>
      <c r="AY2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3606.14066</v>
      </c>
      <c r="AZ290" s="81">
        <v>2550</v>
      </c>
      <c r="BA290" s="81">
        <v>605140.66</v>
      </c>
      <c r="BB290" s="81">
        <f>Prog_23[[#This Row],[VLR NF]]*0.1%</f>
        <v>605.14066000000003</v>
      </c>
      <c r="BC290" s="81">
        <v>0</v>
      </c>
      <c r="BD290" s="81">
        <v>336</v>
      </c>
      <c r="BE290" s="81"/>
      <c r="BF290" s="81"/>
      <c r="BG290" s="81"/>
      <c r="BH290" s="81">
        <v>30</v>
      </c>
      <c r="BI290" s="81"/>
      <c r="BJ290" s="81">
        <v>85</v>
      </c>
      <c r="BK290" s="81"/>
      <c r="BL290" s="81"/>
      <c r="BM290" s="81"/>
      <c r="BN290" s="66" t="s">
        <v>2768</v>
      </c>
      <c r="BO290" s="66" t="s">
        <v>2768</v>
      </c>
      <c r="BP290" s="66" t="s">
        <v>2768</v>
      </c>
      <c r="BQ290" s="66" t="str">
        <f>PROPER(TEXT(Prog_23[[#This Row],[PROGRAMAÇÃO CLIENTE]],"mmm"))</f>
        <v>Jun</v>
      </c>
      <c r="BR290" s="66">
        <f>YEAR(Prog_23[[#This Row],[PROGRAMAÇÃO CLIENTE]])</f>
        <v>2023</v>
      </c>
    </row>
    <row r="291" spans="1:70" x14ac:dyDescent="0.25">
      <c r="A291" s="200" t="str">
        <f>Prog_23[[#This Row],[CONTEINER]]</f>
        <v>7 PALLETS</v>
      </c>
      <c r="B291" s="86" t="s">
        <v>2771</v>
      </c>
      <c r="C2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291" s="85">
        <v>45084.333333333336</v>
      </c>
      <c r="E291" s="66" t="s">
        <v>4285</v>
      </c>
      <c r="F291" s="66" t="s">
        <v>4286</v>
      </c>
      <c r="G291" s="66" t="s">
        <v>5004</v>
      </c>
      <c r="H291" s="44" t="s">
        <v>5003</v>
      </c>
      <c r="I291" s="44" t="s">
        <v>5008</v>
      </c>
      <c r="J291" s="66" t="s">
        <v>125</v>
      </c>
      <c r="K291" s="66"/>
      <c r="L291" s="66">
        <v>197958</v>
      </c>
      <c r="M291" s="66">
        <v>3773</v>
      </c>
      <c r="N291" s="66">
        <f>SUM(Prog_23[[#This Row],[TARA]]+Prog_23[[#This Row],[PESO]])</f>
        <v>3773</v>
      </c>
      <c r="O291" s="44"/>
      <c r="P291" s="66"/>
      <c r="Q291" s="66" t="s">
        <v>4659</v>
      </c>
      <c r="R291" s="66"/>
      <c r="S291" s="66" t="s">
        <v>4660</v>
      </c>
      <c r="T291" s="138" t="str">
        <f>IFERROR(LOOKUP($S291,MOTORISTAS!$D$3:$D$916,MOTORISTAS!E$3:$E$916),"")</f>
        <v>09779535802</v>
      </c>
      <c r="U291" s="138" t="str">
        <f>IFERROR(LOOKUP($S291,MOTORISTAS!$D$3:$D$916,MOTORISTAS!F$3:$F$916),"")</f>
        <v>01600270575</v>
      </c>
      <c r="V291" s="66" t="s">
        <v>772</v>
      </c>
      <c r="W291" s="79">
        <v>45084.333333333336</v>
      </c>
      <c r="X291" s="79">
        <v>45084.5</v>
      </c>
      <c r="Y291" s="79">
        <v>45084.625</v>
      </c>
      <c r="Z291" s="66" t="s">
        <v>4423</v>
      </c>
      <c r="AA291" s="79">
        <v>45084.6875</v>
      </c>
      <c r="AB291" s="79">
        <v>45084.333333333336</v>
      </c>
      <c r="AC291" s="79">
        <v>45084.333333333336</v>
      </c>
      <c r="AD291" s="79">
        <v>45084.333333333336</v>
      </c>
      <c r="AE291" s="66" t="s">
        <v>4344</v>
      </c>
      <c r="AF291" s="44">
        <v>16273</v>
      </c>
      <c r="AG291" s="254">
        <f>Prog_23[[#This Row],[SAÍDA DO CLIENTE]]-Prog_23[[#This Row],[PROGRAMAÇÃO CLIENTE]]</f>
        <v>0.29166666666424135</v>
      </c>
      <c r="AH291" s="44"/>
      <c r="AI291" s="66"/>
      <c r="AJ291" s="66"/>
      <c r="AK291" s="66"/>
      <c r="AL291" s="66"/>
      <c r="AM291" s="66"/>
      <c r="AN291" s="83"/>
      <c r="AO291" s="83"/>
      <c r="AP291" s="83"/>
      <c r="AQ291" s="66"/>
      <c r="AR291" s="66"/>
      <c r="AS291" s="66"/>
      <c r="AT291" s="81">
        <v>2000</v>
      </c>
      <c r="AU291" s="81"/>
      <c r="AV291" s="81"/>
      <c r="AW291" s="81"/>
      <c r="AX291" s="83">
        <f>SUM(Prog_23[[#This Row],[ADIANTAMENTO]]+Prog_23[[#This Row],[SALDO]]+Prog_23[[#This Row],[MARGEM]]+Prog_23[[#This Row],[ESTADIA 1]])</f>
        <v>2000</v>
      </c>
      <c r="AY2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15000</v>
      </c>
      <c r="AZ291" s="81">
        <v>10760</v>
      </c>
      <c r="BA291" s="81">
        <v>326635.58</v>
      </c>
      <c r="BB291" s="81">
        <v>1500</v>
      </c>
      <c r="BC291" s="81">
        <v>500</v>
      </c>
      <c r="BD291" s="81">
        <v>190</v>
      </c>
      <c r="BE291" s="81"/>
      <c r="BF291" s="81"/>
      <c r="BG291" s="81"/>
      <c r="BH291" s="81">
        <v>250</v>
      </c>
      <c r="BI291" s="81">
        <v>1800</v>
      </c>
      <c r="BJ291" s="81"/>
      <c r="BK291" s="81"/>
      <c r="BL291" s="81"/>
      <c r="BM291" s="81"/>
      <c r="BN291" s="66" t="s">
        <v>2768</v>
      </c>
      <c r="BO291" s="66" t="s">
        <v>2768</v>
      </c>
      <c r="BP291" s="66" t="s">
        <v>2768</v>
      </c>
      <c r="BQ291" s="66" t="str">
        <f>PROPER(TEXT(Prog_23[[#This Row],[PROGRAMAÇÃO CLIENTE]],"mmm"))</f>
        <v>Jun</v>
      </c>
      <c r="BR291" s="66">
        <f>YEAR(Prog_23[[#This Row],[PROGRAMAÇÃO CLIENTE]])</f>
        <v>2023</v>
      </c>
    </row>
    <row r="292" spans="1:70" x14ac:dyDescent="0.25">
      <c r="A292" s="200" t="str">
        <f>Prog_23[[#This Row],[CONTEINER]]</f>
        <v>TGBU9872859</v>
      </c>
      <c r="B292" s="86" t="s">
        <v>4978</v>
      </c>
      <c r="C2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92" s="85">
        <v>45084.25</v>
      </c>
      <c r="E292" s="66" t="s">
        <v>2549</v>
      </c>
      <c r="F292" s="66" t="s">
        <v>4074</v>
      </c>
      <c r="G292" s="66" t="s">
        <v>4993</v>
      </c>
      <c r="H292" s="44" t="s">
        <v>4982</v>
      </c>
      <c r="I292" s="44" t="s">
        <v>4998</v>
      </c>
      <c r="J292" s="66" t="s">
        <v>301</v>
      </c>
      <c r="K292" s="66">
        <v>3620</v>
      </c>
      <c r="L292" s="66" t="s">
        <v>5032</v>
      </c>
      <c r="M292" s="66">
        <v>25050</v>
      </c>
      <c r="N292" s="66">
        <f>SUM(Prog_23[[#This Row],[TARA]]+Prog_23[[#This Row],[PESO]])</f>
        <v>28670</v>
      </c>
      <c r="O292" s="44">
        <v>14486</v>
      </c>
      <c r="P292" s="66" t="s">
        <v>4983</v>
      </c>
      <c r="Q292" s="66" t="s">
        <v>31</v>
      </c>
      <c r="R292" s="66" t="s">
        <v>32</v>
      </c>
      <c r="S292" s="66" t="s">
        <v>33</v>
      </c>
      <c r="T292" s="138" t="str">
        <f>IFERROR(LOOKUP($S292,MOTORISTAS!$D$3:$D$916,MOTORISTAS!E$3:$E$916),"")</f>
        <v>09776430856</v>
      </c>
      <c r="U292" s="138" t="str">
        <f>IFERROR(LOOKUP($S292,MOTORISTAS!$D$3:$D$916,MOTORISTAS!F$3:$F$916),"")</f>
        <v>01258979905</v>
      </c>
      <c r="V292" s="66" t="s">
        <v>469</v>
      </c>
      <c r="W292" s="79">
        <v>45083.587500000001</v>
      </c>
      <c r="X292" s="79">
        <v>45083.984722222223</v>
      </c>
      <c r="Y292" s="79">
        <v>45084.625</v>
      </c>
      <c r="Z292" s="66" t="s">
        <v>4228</v>
      </c>
      <c r="AA292" s="79">
        <v>45085.645833333336</v>
      </c>
      <c r="AB292" s="66"/>
      <c r="AC292" s="79">
        <v>45090.5</v>
      </c>
      <c r="AD292" s="79">
        <v>45094.5</v>
      </c>
      <c r="AE292" s="66" t="s">
        <v>4079</v>
      </c>
      <c r="AF292" s="44">
        <v>16276</v>
      </c>
      <c r="AG292" s="254">
        <f>Prog_23[[#This Row],[SAÍDA DO CLIENTE]]-Prog_23[[#This Row],[PROGRAMAÇÃO CLIENTE]]</f>
        <v>0.375</v>
      </c>
      <c r="AH292" s="44"/>
      <c r="AI292" s="66"/>
      <c r="AJ292" s="66"/>
      <c r="AK292" s="66"/>
      <c r="AL292" s="66"/>
      <c r="AM292" s="66"/>
      <c r="AN292" s="83"/>
      <c r="AO292" s="83"/>
      <c r="AP292" s="83"/>
      <c r="AQ292" s="66"/>
      <c r="AR292" s="66"/>
      <c r="AS292" s="66"/>
      <c r="AT292" s="81">
        <v>6900</v>
      </c>
      <c r="AU292" s="81"/>
      <c r="AV292" s="81"/>
      <c r="AW292" s="81"/>
      <c r="AX292" s="83">
        <f>SUM(Prog_23[[#This Row],[ADIANTAMENTO]]+Prog_23[[#This Row],[SALDO]]+Prog_23[[#This Row],[MARGEM]]+Prog_23[[#This Row],[ESTADIA 1]])</f>
        <v>6900</v>
      </c>
      <c r="AY2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7900</v>
      </c>
      <c r="AZ292" s="81">
        <v>6225.78</v>
      </c>
      <c r="BA292" s="81">
        <v>229500</v>
      </c>
      <c r="BB292" s="81">
        <f>Prog_23[[#This Row],[VLR NF]]*0.1%</f>
        <v>229.5</v>
      </c>
      <c r="BC292" s="81">
        <v>0</v>
      </c>
      <c r="BD292" s="81">
        <v>1444.72</v>
      </c>
      <c r="BE292" s="81"/>
      <c r="BF292" s="81"/>
      <c r="BG292" s="81"/>
      <c r="BH292" s="81"/>
      <c r="BI292" s="81"/>
      <c r="BJ292" s="81"/>
      <c r="BK292" s="81"/>
      <c r="BL292" s="81"/>
      <c r="BM292" s="81"/>
      <c r="BN292" s="66" t="s">
        <v>2768</v>
      </c>
      <c r="BO292" s="66"/>
      <c r="BP292" s="66"/>
      <c r="BQ292" s="66" t="str">
        <f>PROPER(TEXT(Prog_23[[#This Row],[PROGRAMAÇÃO CLIENTE]],"mmm"))</f>
        <v>Jun</v>
      </c>
      <c r="BR292" s="66">
        <f>YEAR(Prog_23[[#This Row],[PROGRAMAÇÃO CLIENTE]])</f>
        <v>2023</v>
      </c>
    </row>
    <row r="293" spans="1:70" x14ac:dyDescent="0.25">
      <c r="A293" s="201" t="str">
        <f>Prog_23[[#This Row],[CONTEINER]]</f>
        <v>MSMU7873100</v>
      </c>
      <c r="B293" s="86" t="s">
        <v>4978</v>
      </c>
      <c r="C2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93" s="85">
        <v>45084.25</v>
      </c>
      <c r="E293" s="66" t="s">
        <v>2549</v>
      </c>
      <c r="F293" s="66" t="s">
        <v>4074</v>
      </c>
      <c r="G293" s="66" t="s">
        <v>4993</v>
      </c>
      <c r="H293" s="44" t="s">
        <v>4982</v>
      </c>
      <c r="I293" s="44" t="s">
        <v>4999</v>
      </c>
      <c r="J293" s="66" t="s">
        <v>301</v>
      </c>
      <c r="K293" s="66">
        <v>3700</v>
      </c>
      <c r="L293" s="66" t="s">
        <v>5034</v>
      </c>
      <c r="M293" s="66">
        <v>25050</v>
      </c>
      <c r="N293" s="66">
        <f>SUM(Prog_23[[#This Row],[TARA]]+Prog_23[[#This Row],[PESO]])</f>
        <v>28750</v>
      </c>
      <c r="O293" s="44">
        <v>14487</v>
      </c>
      <c r="P293" s="66" t="s">
        <v>4983</v>
      </c>
      <c r="Q293" s="66" t="s">
        <v>92</v>
      </c>
      <c r="R293" s="66" t="s">
        <v>93</v>
      </c>
      <c r="S293" s="66" t="s">
        <v>94</v>
      </c>
      <c r="T293" s="138" t="str">
        <f>IFERROR(LOOKUP($S293,MOTORISTAS!$D$3:$D$916,MOTORISTAS!E$3:$E$916),"")</f>
        <v>26283419801</v>
      </c>
      <c r="U293" s="138" t="str">
        <f>IFERROR(LOOKUP($S293,MOTORISTAS!$D$3:$D$916,MOTORISTAS!F$3:$F$916),"")</f>
        <v>02002046946</v>
      </c>
      <c r="V293" s="66" t="s">
        <v>469</v>
      </c>
      <c r="W293" s="79">
        <v>45083.592361111114</v>
      </c>
      <c r="X293" s="79">
        <v>45083.984027777777</v>
      </c>
      <c r="Y293" s="79">
        <v>45084.65</v>
      </c>
      <c r="Z293" s="66" t="s">
        <v>4228</v>
      </c>
      <c r="AA293" s="79">
        <v>45085.645833333336</v>
      </c>
      <c r="AB293" s="66"/>
      <c r="AC293" s="79">
        <v>45090.5</v>
      </c>
      <c r="AD293" s="79">
        <v>45094.5</v>
      </c>
      <c r="AE293" s="66" t="s">
        <v>4079</v>
      </c>
      <c r="AF293" s="44">
        <v>16277</v>
      </c>
      <c r="AG293" s="254">
        <f>Prog_23[[#This Row],[SAÍDA DO CLIENTE]]-Prog_23[[#This Row],[PROGRAMAÇÃO CLIENTE]]</f>
        <v>0.40000000000145519</v>
      </c>
      <c r="AH293" s="44"/>
      <c r="AI293" s="66"/>
      <c r="AJ293" s="66"/>
      <c r="AK293" s="66"/>
      <c r="AL293" s="66"/>
      <c r="AM293" s="66"/>
      <c r="AN293" s="83"/>
      <c r="AO293" s="83"/>
      <c r="AP293" s="83"/>
      <c r="AQ293" s="66"/>
      <c r="AR293" s="66"/>
      <c r="AS293" s="66"/>
      <c r="AT293" s="81">
        <v>6900</v>
      </c>
      <c r="AU293" s="81"/>
      <c r="AV293" s="81"/>
      <c r="AW293" s="81"/>
      <c r="AX293" s="83">
        <f>SUM(Prog_23[[#This Row],[ADIANTAMENTO]]+Prog_23[[#This Row],[SALDO]]+Prog_23[[#This Row],[MARGEM]]+Prog_23[[#This Row],[ESTADIA 1]])</f>
        <v>6900</v>
      </c>
      <c r="AY2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7900</v>
      </c>
      <c r="AZ293" s="81">
        <v>6225.78</v>
      </c>
      <c r="BA293" s="81">
        <v>229500</v>
      </c>
      <c r="BB293" s="81">
        <f>Prog_23[[#This Row],[VLR NF]]*0.1%</f>
        <v>229.5</v>
      </c>
      <c r="BC293" s="81">
        <v>0</v>
      </c>
      <c r="BD293" s="81">
        <v>1444.72</v>
      </c>
      <c r="BE293" s="81"/>
      <c r="BF293" s="81"/>
      <c r="BG293" s="81"/>
      <c r="BH293" s="81"/>
      <c r="BI293" s="81"/>
      <c r="BJ293" s="81"/>
      <c r="BK293" s="81"/>
      <c r="BL293" s="81"/>
      <c r="BM293" s="81"/>
      <c r="BN293" s="66" t="s">
        <v>2768</v>
      </c>
      <c r="BO293" s="66"/>
      <c r="BP293" s="66"/>
      <c r="BQ293" s="66" t="str">
        <f>PROPER(TEXT(Prog_23[[#This Row],[PROGRAMAÇÃO CLIENTE]],"mmm"))</f>
        <v>Jun</v>
      </c>
      <c r="BR293" s="66">
        <f>YEAR(Prog_23[[#This Row],[PROGRAMAÇÃO CLIENTE]])</f>
        <v>2023</v>
      </c>
    </row>
    <row r="294" spans="1:70" x14ac:dyDescent="0.25">
      <c r="A294" s="200" t="str">
        <f>Prog_23[[#This Row],[CONTEINER]]</f>
        <v>MSDU5459060</v>
      </c>
      <c r="B294" s="86" t="s">
        <v>4978</v>
      </c>
      <c r="C2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94" s="85">
        <v>45084.25</v>
      </c>
      <c r="E294" s="66" t="s">
        <v>2549</v>
      </c>
      <c r="F294" s="66" t="s">
        <v>4074</v>
      </c>
      <c r="G294" s="66" t="s">
        <v>4993</v>
      </c>
      <c r="H294" s="44" t="s">
        <v>4982</v>
      </c>
      <c r="I294" s="44" t="s">
        <v>5000</v>
      </c>
      <c r="J294" s="66" t="s">
        <v>301</v>
      </c>
      <c r="K294" s="66">
        <v>3700</v>
      </c>
      <c r="L294" s="66" t="s">
        <v>5033</v>
      </c>
      <c r="M294" s="66">
        <v>25050</v>
      </c>
      <c r="N294" s="66">
        <f>SUM(Prog_23[[#This Row],[TARA]]+Prog_23[[#This Row],[PESO]])</f>
        <v>28750</v>
      </c>
      <c r="O294" s="44">
        <v>14488</v>
      </c>
      <c r="P294" s="66" t="s">
        <v>4983</v>
      </c>
      <c r="Q294" s="66" t="s">
        <v>106</v>
      </c>
      <c r="R294" s="66" t="s">
        <v>107</v>
      </c>
      <c r="S294" s="66" t="s">
        <v>108</v>
      </c>
      <c r="T294" s="138" t="str">
        <f>IFERROR(LOOKUP($S294,MOTORISTAS!$D$3:$D$916,MOTORISTAS!E$3:$E$916),"")</f>
        <v>34927982840</v>
      </c>
      <c r="U294" s="138" t="str">
        <f>IFERROR(LOOKUP($S294,MOTORISTAS!$D$3:$D$916,MOTORISTAS!F$3:$F$916),"")</f>
        <v>03500129879</v>
      </c>
      <c r="V294" s="66" t="s">
        <v>469</v>
      </c>
      <c r="W294" s="79">
        <v>45083.59097222222</v>
      </c>
      <c r="X294" s="79">
        <v>45083.96597222222</v>
      </c>
      <c r="Y294" s="79">
        <v>45084.62777777778</v>
      </c>
      <c r="Z294" s="66" t="s">
        <v>4228</v>
      </c>
      <c r="AA294" s="79">
        <v>45085.645833333336</v>
      </c>
      <c r="AB294" s="66"/>
      <c r="AC294" s="79">
        <v>45090.5</v>
      </c>
      <c r="AD294" s="79">
        <v>45094.5</v>
      </c>
      <c r="AE294" s="66" t="s">
        <v>4079</v>
      </c>
      <c r="AF294" s="44">
        <v>16275</v>
      </c>
      <c r="AG294" s="254">
        <f>Prog_23[[#This Row],[SAÍDA DO CLIENTE]]-Prog_23[[#This Row],[PROGRAMAÇÃO CLIENTE]]</f>
        <v>0.37777777777955635</v>
      </c>
      <c r="AH294" s="44"/>
      <c r="AI294" s="66"/>
      <c r="AJ294" s="66"/>
      <c r="AK294" s="66"/>
      <c r="AL294" s="66"/>
      <c r="AM294" s="66"/>
      <c r="AN294" s="83"/>
      <c r="AO294" s="83"/>
      <c r="AP294" s="83"/>
      <c r="AQ294" s="66"/>
      <c r="AR294" s="66"/>
      <c r="AS294" s="66"/>
      <c r="AT294" s="81">
        <v>6900</v>
      </c>
      <c r="AU294" s="81"/>
      <c r="AV294" s="81"/>
      <c r="AW294" s="81"/>
      <c r="AX294" s="83">
        <f>SUM(Prog_23[[#This Row],[ADIANTAMENTO]]+Prog_23[[#This Row],[SALDO]]+Prog_23[[#This Row],[MARGEM]]+Prog_23[[#This Row],[ESTADIA 1]])</f>
        <v>6900</v>
      </c>
      <c r="AY2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7900</v>
      </c>
      <c r="AZ294" s="81">
        <v>6225.78</v>
      </c>
      <c r="BA294" s="81">
        <v>229500</v>
      </c>
      <c r="BB294" s="81">
        <f>Prog_23[[#This Row],[VLR NF]]*0.1%</f>
        <v>229.5</v>
      </c>
      <c r="BC294" s="81">
        <v>0</v>
      </c>
      <c r="BD294" s="81">
        <v>1444.72</v>
      </c>
      <c r="BE294" s="81"/>
      <c r="BF294" s="81"/>
      <c r="BG294" s="81"/>
      <c r="BH294" s="81"/>
      <c r="BI294" s="81"/>
      <c r="BJ294" s="81"/>
      <c r="BK294" s="81"/>
      <c r="BL294" s="81"/>
      <c r="BM294" s="81"/>
      <c r="BN294" s="66" t="s">
        <v>2768</v>
      </c>
      <c r="BO294" s="66"/>
      <c r="BP294" s="66"/>
      <c r="BQ294" s="66" t="str">
        <f>PROPER(TEXT(Prog_23[[#This Row],[PROGRAMAÇÃO CLIENTE]],"mmm"))</f>
        <v>Jun</v>
      </c>
      <c r="BR294" s="66">
        <f>YEAR(Prog_23[[#This Row],[PROGRAMAÇÃO CLIENTE]])</f>
        <v>2023</v>
      </c>
    </row>
    <row r="295" spans="1:70" x14ac:dyDescent="0.25">
      <c r="A295" s="201" t="str">
        <f>Prog_23[[#This Row],[CONTEINER]]</f>
        <v>MSDU8507157</v>
      </c>
      <c r="B295" s="86" t="s">
        <v>4978</v>
      </c>
      <c r="C2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95" s="85">
        <v>45084.25</v>
      </c>
      <c r="E295" s="66" t="s">
        <v>2549</v>
      </c>
      <c r="F295" s="66" t="s">
        <v>4074</v>
      </c>
      <c r="G295" s="66" t="s">
        <v>4993</v>
      </c>
      <c r="H295" s="44" t="s">
        <v>4982</v>
      </c>
      <c r="I295" s="44" t="s">
        <v>5001</v>
      </c>
      <c r="J295" s="66" t="s">
        <v>301</v>
      </c>
      <c r="K295" s="66">
        <v>3840</v>
      </c>
      <c r="L295" s="66" t="s">
        <v>5036</v>
      </c>
      <c r="M295" s="66">
        <v>25050</v>
      </c>
      <c r="N295" s="66">
        <f>SUM(Prog_23[[#This Row],[TARA]]+Prog_23[[#This Row],[PESO]])</f>
        <v>28890</v>
      </c>
      <c r="O295" s="44">
        <v>14489</v>
      </c>
      <c r="P295" s="66" t="s">
        <v>4983</v>
      </c>
      <c r="Q295" s="66" t="s">
        <v>102</v>
      </c>
      <c r="R295" s="66" t="s">
        <v>27</v>
      </c>
      <c r="S295" s="66" t="s">
        <v>203</v>
      </c>
      <c r="T295" s="138" t="str">
        <f>IFERROR(LOOKUP($S295,MOTORISTAS!$D$3:$D$916,MOTORISTAS!E$3:$E$916),"")</f>
        <v>10395859816</v>
      </c>
      <c r="U295" s="138" t="str">
        <f>IFERROR(LOOKUP($S295,MOTORISTAS!$D$3:$D$916,MOTORISTAS!F$3:$F$916),"")</f>
        <v>01965794851</v>
      </c>
      <c r="V295" s="66" t="s">
        <v>469</v>
      </c>
      <c r="W295" s="79">
        <v>45083.612500000003</v>
      </c>
      <c r="X295" s="79">
        <v>45083.026388888888</v>
      </c>
      <c r="Y295" s="79">
        <v>45084.659722222219</v>
      </c>
      <c r="Z295" s="66" t="s">
        <v>4228</v>
      </c>
      <c r="AA295" s="79">
        <v>45085.645833333336</v>
      </c>
      <c r="AB295" s="66"/>
      <c r="AC295" s="79">
        <v>45090.5</v>
      </c>
      <c r="AD295" s="79">
        <v>45094.5</v>
      </c>
      <c r="AE295" s="66" t="s">
        <v>4079</v>
      </c>
      <c r="AF295" s="44">
        <v>16279</v>
      </c>
      <c r="AG295" s="254">
        <f>Prog_23[[#This Row],[SAÍDA DO CLIENTE]]-Prog_23[[#This Row],[PROGRAMAÇÃO CLIENTE]]</f>
        <v>0.40972222221898846</v>
      </c>
      <c r="AH295" s="44"/>
      <c r="AI295" s="66"/>
      <c r="AJ295" s="66"/>
      <c r="AK295" s="66"/>
      <c r="AL295" s="66"/>
      <c r="AM295" s="66"/>
      <c r="AN295" s="83"/>
      <c r="AO295" s="83"/>
      <c r="AP295" s="83"/>
      <c r="AQ295" s="66"/>
      <c r="AR295" s="66"/>
      <c r="AS295" s="66"/>
      <c r="AT295" s="81">
        <v>6900</v>
      </c>
      <c r="AU295" s="81"/>
      <c r="AV295" s="81"/>
      <c r="AW295" s="81"/>
      <c r="AX295" s="83">
        <f>SUM(Prog_23[[#This Row],[ADIANTAMENTO]]+Prog_23[[#This Row],[SALDO]]+Prog_23[[#This Row],[MARGEM]]+Prog_23[[#This Row],[ESTADIA 1]])</f>
        <v>6900</v>
      </c>
      <c r="AY2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7900</v>
      </c>
      <c r="AZ295" s="81">
        <v>6225.78</v>
      </c>
      <c r="BA295" s="81">
        <v>229500</v>
      </c>
      <c r="BB295" s="81">
        <f>Prog_23[[#This Row],[VLR NF]]*0.1%</f>
        <v>229.5</v>
      </c>
      <c r="BC295" s="81">
        <v>0</v>
      </c>
      <c r="BD295" s="81">
        <v>1444.72</v>
      </c>
      <c r="BE295" s="81"/>
      <c r="BF295" s="81"/>
      <c r="BG295" s="81"/>
      <c r="BH295" s="81"/>
      <c r="BI295" s="81"/>
      <c r="BJ295" s="81"/>
      <c r="BK295" s="81"/>
      <c r="BL295" s="81"/>
      <c r="BM295" s="81"/>
      <c r="BN295" s="66" t="s">
        <v>2768</v>
      </c>
      <c r="BO295" s="66"/>
      <c r="BP295" s="66"/>
      <c r="BQ295" s="66" t="str">
        <f>PROPER(TEXT(Prog_23[[#This Row],[PROGRAMAÇÃO CLIENTE]],"mmm"))</f>
        <v>Jun</v>
      </c>
      <c r="BR295" s="66">
        <f>YEAR(Prog_23[[#This Row],[PROGRAMAÇÃO CLIENTE]])</f>
        <v>2023</v>
      </c>
    </row>
    <row r="296" spans="1:70" x14ac:dyDescent="0.25">
      <c r="A296" s="200" t="str">
        <f>Prog_23[[#This Row],[CONTEINER]]</f>
        <v>MSMU4052499</v>
      </c>
      <c r="B296" s="86" t="s">
        <v>4978</v>
      </c>
      <c r="C2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96" s="85">
        <v>45084.25</v>
      </c>
      <c r="E296" s="66" t="s">
        <v>2549</v>
      </c>
      <c r="F296" s="66" t="s">
        <v>4074</v>
      </c>
      <c r="G296" s="66" t="s">
        <v>4993</v>
      </c>
      <c r="H296" s="44" t="s">
        <v>4982</v>
      </c>
      <c r="I296" s="44" t="s">
        <v>5002</v>
      </c>
      <c r="J296" s="66" t="s">
        <v>301</v>
      </c>
      <c r="K296" s="66">
        <v>3840</v>
      </c>
      <c r="L296" s="66" t="s">
        <v>5035</v>
      </c>
      <c r="M296" s="66">
        <v>25050</v>
      </c>
      <c r="N296" s="66">
        <f>SUM(Prog_23[[#This Row],[TARA]]+Prog_23[[#This Row],[PESO]])</f>
        <v>28890</v>
      </c>
      <c r="O296" s="44">
        <v>14490</v>
      </c>
      <c r="P296" s="66" t="s">
        <v>4983</v>
      </c>
      <c r="Q296" s="66" t="s">
        <v>210</v>
      </c>
      <c r="R296" s="66" t="s">
        <v>211</v>
      </c>
      <c r="S296" s="66" t="s">
        <v>212</v>
      </c>
      <c r="T296" s="138" t="str">
        <f>IFERROR(LOOKUP($S296,MOTORISTAS!$D$3:$D$916,MOTORISTAS!E$3:$E$916),"")</f>
        <v>38029906846</v>
      </c>
      <c r="U296" s="138" t="str">
        <f>IFERROR(LOOKUP($S296,MOTORISTAS!$D$3:$D$916,MOTORISTAS!F$3:$F$916),"")</f>
        <v>04946846842</v>
      </c>
      <c r="V296" s="66" t="s">
        <v>469</v>
      </c>
      <c r="W296" s="79">
        <v>45083.636805555558</v>
      </c>
      <c r="X296" s="79">
        <v>45083.270833333336</v>
      </c>
      <c r="Y296" s="79">
        <v>45084.650694444441</v>
      </c>
      <c r="Z296" s="66" t="s">
        <v>4228</v>
      </c>
      <c r="AA296" s="79">
        <v>45085.645833333336</v>
      </c>
      <c r="AB296" s="66"/>
      <c r="AC296" s="79">
        <v>45090.5</v>
      </c>
      <c r="AD296" s="79">
        <v>45094.5</v>
      </c>
      <c r="AE296" s="66" t="s">
        <v>4079</v>
      </c>
      <c r="AF296" s="44">
        <v>16281</v>
      </c>
      <c r="AG296" s="254">
        <f>Prog_23[[#This Row],[SAÍDA DO CLIENTE]]-Prog_23[[#This Row],[PROGRAMAÇÃO CLIENTE]]</f>
        <v>0.40069444444088731</v>
      </c>
      <c r="AH296" s="44"/>
      <c r="AI296" s="66"/>
      <c r="AJ296" s="66"/>
      <c r="AK296" s="66"/>
      <c r="AL296" s="66"/>
      <c r="AM296" s="66"/>
      <c r="AN296" s="83"/>
      <c r="AO296" s="83"/>
      <c r="AP296" s="83"/>
      <c r="AQ296" s="66"/>
      <c r="AR296" s="66"/>
      <c r="AS296" s="66"/>
      <c r="AT296" s="81">
        <v>6900</v>
      </c>
      <c r="AU296" s="81"/>
      <c r="AV296" s="81"/>
      <c r="AW296" s="81"/>
      <c r="AX296" s="83">
        <f>SUM(Prog_23[[#This Row],[ADIANTAMENTO]]+Prog_23[[#This Row],[SALDO]]+Prog_23[[#This Row],[MARGEM]]+Prog_23[[#This Row],[ESTADIA 1]])</f>
        <v>6900</v>
      </c>
      <c r="AY2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7900</v>
      </c>
      <c r="AZ296" s="81">
        <v>6225.78</v>
      </c>
      <c r="BA296" s="81">
        <v>229500</v>
      </c>
      <c r="BB296" s="81">
        <f>Prog_23[[#This Row],[VLR NF]]*0.1%</f>
        <v>229.5</v>
      </c>
      <c r="BC296" s="81">
        <v>0</v>
      </c>
      <c r="BD296" s="81">
        <v>1444.72</v>
      </c>
      <c r="BE296" s="81"/>
      <c r="BF296" s="81"/>
      <c r="BG296" s="81"/>
      <c r="BH296" s="81"/>
      <c r="BI296" s="81"/>
      <c r="BJ296" s="81"/>
      <c r="BK296" s="81"/>
      <c r="BL296" s="81"/>
      <c r="BM296" s="81"/>
      <c r="BN296" s="66" t="s">
        <v>2768</v>
      </c>
      <c r="BO296" s="66"/>
      <c r="BP296" s="66"/>
      <c r="BQ296" s="66" t="str">
        <f>PROPER(TEXT(Prog_23[[#This Row],[PROGRAMAÇÃO CLIENTE]],"mmm"))</f>
        <v>Jun</v>
      </c>
      <c r="BR296" s="66">
        <f>YEAR(Prog_23[[#This Row],[PROGRAMAÇÃO CLIENTE]])</f>
        <v>2023</v>
      </c>
    </row>
    <row r="297" spans="1:70" x14ac:dyDescent="0.25">
      <c r="A297" s="201" t="str">
        <f>Prog_23[[#This Row],[CONTEINER]]</f>
        <v>MSDU5324825</v>
      </c>
      <c r="B297" s="86" t="s">
        <v>4978</v>
      </c>
      <c r="C2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97" s="85">
        <v>45086.25</v>
      </c>
      <c r="E297" s="66" t="s">
        <v>2549</v>
      </c>
      <c r="F297" s="66" t="s">
        <v>4074</v>
      </c>
      <c r="G297" s="66" t="s">
        <v>4993</v>
      </c>
      <c r="H297" s="44" t="s">
        <v>4982</v>
      </c>
      <c r="I297" s="44" t="s">
        <v>5009</v>
      </c>
      <c r="J297" s="66" t="s">
        <v>301</v>
      </c>
      <c r="K297" s="66">
        <v>3700</v>
      </c>
      <c r="L297" s="66" t="s">
        <v>5052</v>
      </c>
      <c r="M297" s="66">
        <v>25050</v>
      </c>
      <c r="N297" s="66">
        <f>SUM(Prog_23[[#This Row],[TARA]]+Prog_23[[#This Row],[PESO]])</f>
        <v>28750</v>
      </c>
      <c r="O297" s="44">
        <v>14494</v>
      </c>
      <c r="P297" s="66" t="s">
        <v>4983</v>
      </c>
      <c r="Q297" s="66" t="s">
        <v>31</v>
      </c>
      <c r="R297" s="66" t="s">
        <v>32</v>
      </c>
      <c r="S297" s="66" t="s">
        <v>33</v>
      </c>
      <c r="T297" s="138" t="str">
        <f>IFERROR(LOOKUP($S297,MOTORISTAS!$D$3:$D$916,MOTORISTAS!E$3:$E$916),"")</f>
        <v>09776430856</v>
      </c>
      <c r="U297" s="138" t="str">
        <f>IFERROR(LOOKUP($S297,MOTORISTAS!$D$3:$D$916,MOTORISTAS!F$3:$F$916),"")</f>
        <v>01258979905</v>
      </c>
      <c r="V297" s="66" t="s">
        <v>469</v>
      </c>
      <c r="W297" s="79">
        <v>45083.961805555555</v>
      </c>
      <c r="X297" s="79">
        <v>45086.023611111108</v>
      </c>
      <c r="Y297" s="79">
        <v>45086.631944444445</v>
      </c>
      <c r="Z297" s="66" t="s">
        <v>4228</v>
      </c>
      <c r="AA297" s="79">
        <v>45087.625</v>
      </c>
      <c r="AB297" s="66"/>
      <c r="AC297" s="79">
        <v>45090.5</v>
      </c>
      <c r="AD297" s="79">
        <v>45094.5</v>
      </c>
      <c r="AE297" s="66" t="s">
        <v>4079</v>
      </c>
      <c r="AF297" s="44">
        <v>16299</v>
      </c>
      <c r="AG297" s="254">
        <f>Prog_23[[#This Row],[SAÍDA DO CLIENTE]]-Prog_23[[#This Row],[PROGRAMAÇÃO CLIENTE]]</f>
        <v>0.38194444444525288</v>
      </c>
      <c r="AH297" s="44"/>
      <c r="AI297" s="66"/>
      <c r="AJ297" s="66"/>
      <c r="AK297" s="66"/>
      <c r="AL297" s="66"/>
      <c r="AM297" s="66"/>
      <c r="AN297" s="83"/>
      <c r="AO297" s="83"/>
      <c r="AP297" s="83"/>
      <c r="AQ297" s="66"/>
      <c r="AR297" s="66"/>
      <c r="AS297" s="66"/>
      <c r="AT297" s="81">
        <v>6900</v>
      </c>
      <c r="AU297" s="81"/>
      <c r="AV297" s="81"/>
      <c r="AW297" s="81"/>
      <c r="AX297" s="83">
        <f>SUM(Prog_23[[#This Row],[ADIANTAMENTO]]+Prog_23[[#This Row],[SALDO]]+Prog_23[[#This Row],[MARGEM]]+Prog_23[[#This Row],[ESTADIA 1]])</f>
        <v>6900</v>
      </c>
      <c r="AY2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7900</v>
      </c>
      <c r="AZ297" s="81">
        <v>6225.78</v>
      </c>
      <c r="BA297" s="81">
        <v>229500</v>
      </c>
      <c r="BB297" s="81">
        <f>Prog_23[[#This Row],[VLR NF]]*0.1%</f>
        <v>229.5</v>
      </c>
      <c r="BC297" s="81">
        <v>0</v>
      </c>
      <c r="BD297" s="81">
        <v>1444.72</v>
      </c>
      <c r="BE297" s="81"/>
      <c r="BF297" s="81"/>
      <c r="BG297" s="81"/>
      <c r="BH297" s="81"/>
      <c r="BI297" s="81"/>
      <c r="BJ297" s="81"/>
      <c r="BK297" s="81"/>
      <c r="BL297" s="81"/>
      <c r="BM297" s="81"/>
      <c r="BN297" s="66" t="s">
        <v>2768</v>
      </c>
      <c r="BO297" s="66"/>
      <c r="BP297" s="66"/>
      <c r="BQ297" s="66" t="str">
        <f>PROPER(TEXT(Prog_23[[#This Row],[PROGRAMAÇÃO CLIENTE]],"mmm"))</f>
        <v>Jun</v>
      </c>
      <c r="BR297" s="66">
        <f>YEAR(Prog_23[[#This Row],[PROGRAMAÇÃO CLIENTE]])</f>
        <v>2023</v>
      </c>
    </row>
    <row r="298" spans="1:70" x14ac:dyDescent="0.25">
      <c r="A298" s="200" t="str">
        <f>Prog_23[[#This Row],[CONTEINER]]</f>
        <v>MSDU7524777</v>
      </c>
      <c r="B298" s="86" t="s">
        <v>4978</v>
      </c>
      <c r="C2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98" s="85">
        <v>45086.25</v>
      </c>
      <c r="E298" s="66" t="s">
        <v>2549</v>
      </c>
      <c r="F298" s="66" t="s">
        <v>4074</v>
      </c>
      <c r="G298" s="66" t="s">
        <v>4993</v>
      </c>
      <c r="H298" s="44" t="s">
        <v>4982</v>
      </c>
      <c r="I298" s="44" t="s">
        <v>5010</v>
      </c>
      <c r="J298" s="66" t="s">
        <v>301</v>
      </c>
      <c r="K298" s="66">
        <v>3840</v>
      </c>
      <c r="L298" s="66" t="s">
        <v>5045</v>
      </c>
      <c r="M298" s="66">
        <v>25050</v>
      </c>
      <c r="N298" s="66">
        <f>SUM(Prog_23[[#This Row],[TARA]]+Prog_23[[#This Row],[PESO]])</f>
        <v>28890</v>
      </c>
      <c r="O298" s="44">
        <v>14493</v>
      </c>
      <c r="P298" s="66" t="s">
        <v>4983</v>
      </c>
      <c r="Q298" s="66" t="s">
        <v>68</v>
      </c>
      <c r="R298" s="66" t="s">
        <v>36</v>
      </c>
      <c r="S298" s="66" t="s">
        <v>206</v>
      </c>
      <c r="T298" s="138" t="str">
        <f>IFERROR(LOOKUP($S298,MOTORISTAS!$D$3:$D$916,MOTORISTAS!E$3:$E$916),"")</f>
        <v>09085263425</v>
      </c>
      <c r="U298" s="138" t="str">
        <f>IFERROR(LOOKUP($S298,MOTORISTAS!$D$3:$D$916,MOTORISTAS!F$3:$F$916),"")</f>
        <v>04557705505</v>
      </c>
      <c r="V298" s="66" t="s">
        <v>469</v>
      </c>
      <c r="W298" s="79">
        <v>45084.008333333331</v>
      </c>
      <c r="X298" s="79">
        <v>45085.862500000003</v>
      </c>
      <c r="Y298" s="79">
        <v>45086.462500000001</v>
      </c>
      <c r="Z298" s="66" t="s">
        <v>4228</v>
      </c>
      <c r="AA298" s="79">
        <v>45086.75</v>
      </c>
      <c r="AB298" s="66"/>
      <c r="AC298" s="79">
        <v>45090.5</v>
      </c>
      <c r="AD298" s="79">
        <v>45094.5</v>
      </c>
      <c r="AE298" s="66" t="s">
        <v>4079</v>
      </c>
      <c r="AF298" s="44">
        <v>16290</v>
      </c>
      <c r="AG298" s="254">
        <f>Prog_23[[#This Row],[SAÍDA DO CLIENTE]]-Prog_23[[#This Row],[PROGRAMAÇÃO CLIENTE]]</f>
        <v>0.21250000000145519</v>
      </c>
      <c r="AH298" s="44"/>
      <c r="AI298" s="66"/>
      <c r="AJ298" s="66"/>
      <c r="AK298" s="66"/>
      <c r="AL298" s="66"/>
      <c r="AM298" s="66"/>
      <c r="AN298" s="83"/>
      <c r="AO298" s="83"/>
      <c r="AP298" s="83"/>
      <c r="AQ298" s="66"/>
      <c r="AR298" s="66"/>
      <c r="AS298" s="66"/>
      <c r="AT298" s="81">
        <v>6900</v>
      </c>
      <c r="AU298" s="81"/>
      <c r="AV298" s="81"/>
      <c r="AW298" s="81"/>
      <c r="AX298" s="83">
        <f>SUM(Prog_23[[#This Row],[ADIANTAMENTO]]+Prog_23[[#This Row],[SALDO]]+Prog_23[[#This Row],[MARGEM]]+Prog_23[[#This Row],[ESTADIA 1]])</f>
        <v>6900</v>
      </c>
      <c r="AY2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7900</v>
      </c>
      <c r="AZ298" s="81">
        <v>6225.78</v>
      </c>
      <c r="BA298" s="81">
        <v>229500</v>
      </c>
      <c r="BB298" s="81">
        <f>Prog_23[[#This Row],[VLR NF]]*0.1%</f>
        <v>229.5</v>
      </c>
      <c r="BC298" s="81">
        <v>0</v>
      </c>
      <c r="BD298" s="81">
        <v>1444.72</v>
      </c>
      <c r="BE298" s="81"/>
      <c r="BF298" s="81"/>
      <c r="BG298" s="81"/>
      <c r="BH298" s="81"/>
      <c r="BI298" s="81"/>
      <c r="BJ298" s="81"/>
      <c r="BK298" s="81"/>
      <c r="BL298" s="81"/>
      <c r="BM298" s="81"/>
      <c r="BN298" s="66" t="s">
        <v>2768</v>
      </c>
      <c r="BO298" s="66"/>
      <c r="BP298" s="66"/>
      <c r="BQ298" s="66" t="str">
        <f>PROPER(TEXT(Prog_23[[#This Row],[PROGRAMAÇÃO CLIENTE]],"mmm"))</f>
        <v>Jun</v>
      </c>
      <c r="BR298" s="66">
        <f>YEAR(Prog_23[[#This Row],[PROGRAMAÇÃO CLIENTE]])</f>
        <v>2023</v>
      </c>
    </row>
    <row r="299" spans="1:70" x14ac:dyDescent="0.25">
      <c r="A299" s="201" t="str">
        <f>Prog_23[[#This Row],[CONTEINER]]</f>
        <v>MSMU4724628</v>
      </c>
      <c r="B299" s="86" t="s">
        <v>4978</v>
      </c>
      <c r="C2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299" s="85">
        <v>45086.25</v>
      </c>
      <c r="E299" s="66" t="s">
        <v>2549</v>
      </c>
      <c r="F299" s="66" t="s">
        <v>4074</v>
      </c>
      <c r="G299" s="66" t="s">
        <v>4993</v>
      </c>
      <c r="H299" s="44" t="s">
        <v>4982</v>
      </c>
      <c r="I299" s="44" t="s">
        <v>5011</v>
      </c>
      <c r="J299" s="66" t="s">
        <v>301</v>
      </c>
      <c r="K299" s="66">
        <v>3840</v>
      </c>
      <c r="L299" s="66" t="s">
        <v>5053</v>
      </c>
      <c r="M299" s="66">
        <v>25050</v>
      </c>
      <c r="N299" s="66">
        <f>SUM(Prog_23[[#This Row],[TARA]]+Prog_23[[#This Row],[PESO]])</f>
        <v>28890</v>
      </c>
      <c r="O299" s="44">
        <v>14495</v>
      </c>
      <c r="P299" s="66" t="s">
        <v>4983</v>
      </c>
      <c r="Q299" s="66" t="s">
        <v>106</v>
      </c>
      <c r="R299" s="66" t="s">
        <v>107</v>
      </c>
      <c r="S299" s="66" t="s">
        <v>108</v>
      </c>
      <c r="T299" s="138" t="str">
        <f>IFERROR(LOOKUP($S299,MOTORISTAS!$D$3:$D$916,MOTORISTAS!E$3:$E$916),"")</f>
        <v>34927982840</v>
      </c>
      <c r="U299" s="138" t="str">
        <f>IFERROR(LOOKUP($S299,MOTORISTAS!$D$3:$D$916,MOTORISTAS!F$3:$F$916),"")</f>
        <v>03500129879</v>
      </c>
      <c r="V299" s="66" t="s">
        <v>469</v>
      </c>
      <c r="W299" s="79">
        <v>45083.967361111114</v>
      </c>
      <c r="X299" s="79">
        <v>45085.981944444444</v>
      </c>
      <c r="Y299" s="79">
        <v>45086.637499999997</v>
      </c>
      <c r="Z299" s="66" t="s">
        <v>4228</v>
      </c>
      <c r="AA299" s="79">
        <v>45087.625</v>
      </c>
      <c r="AB299" s="66"/>
      <c r="AC299" s="79">
        <v>45090.5</v>
      </c>
      <c r="AD299" s="79">
        <v>45094.5</v>
      </c>
      <c r="AE299" s="66" t="s">
        <v>4079</v>
      </c>
      <c r="AF299" s="44">
        <v>16298</v>
      </c>
      <c r="AG299" s="254">
        <f>Prog_23[[#This Row],[SAÍDA DO CLIENTE]]-Prog_23[[#This Row],[PROGRAMAÇÃO CLIENTE]]</f>
        <v>0.38749999999708962</v>
      </c>
      <c r="AH299" s="44"/>
      <c r="AI299" s="66"/>
      <c r="AJ299" s="66"/>
      <c r="AK299" s="66"/>
      <c r="AL299" s="66"/>
      <c r="AM299" s="66"/>
      <c r="AN299" s="83"/>
      <c r="AO299" s="83"/>
      <c r="AP299" s="83"/>
      <c r="AQ299" s="66"/>
      <c r="AR299" s="66"/>
      <c r="AS299" s="66"/>
      <c r="AT299" s="81">
        <v>6900</v>
      </c>
      <c r="AU299" s="81"/>
      <c r="AV299" s="81"/>
      <c r="AW299" s="81"/>
      <c r="AX299" s="83">
        <f>SUM(Prog_23[[#This Row],[ADIANTAMENTO]]+Prog_23[[#This Row],[SALDO]]+Prog_23[[#This Row],[MARGEM]]+Prog_23[[#This Row],[ESTADIA 1]])</f>
        <v>6900</v>
      </c>
      <c r="AY2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7900</v>
      </c>
      <c r="AZ299" s="81">
        <v>6225.78</v>
      </c>
      <c r="BA299" s="81">
        <v>229500</v>
      </c>
      <c r="BB299" s="81">
        <f>Prog_23[[#This Row],[VLR NF]]*0.1%</f>
        <v>229.5</v>
      </c>
      <c r="BC299" s="81">
        <v>0</v>
      </c>
      <c r="BD299" s="81">
        <v>1444.72</v>
      </c>
      <c r="BE299" s="81"/>
      <c r="BF299" s="81"/>
      <c r="BG299" s="81"/>
      <c r="BH299" s="81"/>
      <c r="BI299" s="81"/>
      <c r="BJ299" s="81"/>
      <c r="BK299" s="81"/>
      <c r="BL299" s="81"/>
      <c r="BM299" s="81"/>
      <c r="BN299" s="66" t="s">
        <v>2768</v>
      </c>
      <c r="BO299" s="66"/>
      <c r="BP299" s="66"/>
      <c r="BQ299" s="66" t="str">
        <f>PROPER(TEXT(Prog_23[[#This Row],[PROGRAMAÇÃO CLIENTE]],"mmm"))</f>
        <v>Jun</v>
      </c>
      <c r="BR299" s="66">
        <f>YEAR(Prog_23[[#This Row],[PROGRAMAÇÃO CLIENTE]])</f>
        <v>2023</v>
      </c>
    </row>
    <row r="300" spans="1:70" x14ac:dyDescent="0.25">
      <c r="A300" s="200" t="str">
        <f>Prog_23[[#This Row],[CONTEINER]]</f>
        <v>MSMU6375063</v>
      </c>
      <c r="B300" s="86" t="s">
        <v>4978</v>
      </c>
      <c r="C3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0" s="85">
        <v>45086.25</v>
      </c>
      <c r="E300" s="66" t="s">
        <v>2549</v>
      </c>
      <c r="F300" s="66" t="s">
        <v>4074</v>
      </c>
      <c r="G300" s="66" t="s">
        <v>4993</v>
      </c>
      <c r="H300" s="44" t="s">
        <v>4982</v>
      </c>
      <c r="I300" s="44" t="s">
        <v>5012</v>
      </c>
      <c r="J300" s="66" t="s">
        <v>301</v>
      </c>
      <c r="K300" s="66">
        <v>3620</v>
      </c>
      <c r="L300" s="66" t="s">
        <v>5054</v>
      </c>
      <c r="M300" s="66">
        <v>25050</v>
      </c>
      <c r="N300" s="66">
        <f>SUM(Prog_23[[#This Row],[TARA]]+Prog_23[[#This Row],[PESO]])</f>
        <v>28670</v>
      </c>
      <c r="O300" s="44">
        <v>14496</v>
      </c>
      <c r="P300" s="66" t="s">
        <v>4983</v>
      </c>
      <c r="Q300" s="66" t="s">
        <v>102</v>
      </c>
      <c r="R300" s="66" t="s">
        <v>27</v>
      </c>
      <c r="S300" s="66" t="s">
        <v>203</v>
      </c>
      <c r="T300" s="138" t="str">
        <f>IFERROR(LOOKUP($S300,MOTORISTAS!$D$3:$D$916,MOTORISTAS!E$3:$E$916),"")</f>
        <v>10395859816</v>
      </c>
      <c r="U300" s="138" t="str">
        <f>IFERROR(LOOKUP($S300,MOTORISTAS!$D$3:$D$916,MOTORISTAS!F$3:$F$916),"")</f>
        <v>01965794851</v>
      </c>
      <c r="V300" s="66" t="s">
        <v>469</v>
      </c>
      <c r="W300" s="79">
        <v>45083.97152777778</v>
      </c>
      <c r="X300" s="79">
        <v>45086.021527777775</v>
      </c>
      <c r="Y300" s="79">
        <v>45086.604166666664</v>
      </c>
      <c r="Z300" s="66" t="s">
        <v>4228</v>
      </c>
      <c r="AA300" s="79">
        <v>45087.625</v>
      </c>
      <c r="AB300" s="66"/>
      <c r="AC300" s="79">
        <v>45090.5</v>
      </c>
      <c r="AD300" s="79">
        <v>45094.5</v>
      </c>
      <c r="AE300" s="66" t="s">
        <v>4079</v>
      </c>
      <c r="AF300" s="44">
        <v>16295</v>
      </c>
      <c r="AG300" s="254">
        <f>Prog_23[[#This Row],[SAÍDA DO CLIENTE]]-Prog_23[[#This Row],[PROGRAMAÇÃO CLIENTE]]</f>
        <v>0.35416666666424135</v>
      </c>
      <c r="AH300" s="44"/>
      <c r="AI300" s="66"/>
      <c r="AJ300" s="66"/>
      <c r="AK300" s="66"/>
      <c r="AL300" s="66"/>
      <c r="AM300" s="66"/>
      <c r="AN300" s="83"/>
      <c r="AO300" s="83"/>
      <c r="AP300" s="83"/>
      <c r="AQ300" s="66"/>
      <c r="AR300" s="66"/>
      <c r="AS300" s="66"/>
      <c r="AT300" s="81">
        <v>6900</v>
      </c>
      <c r="AU300" s="81"/>
      <c r="AV300" s="81"/>
      <c r="AW300" s="81"/>
      <c r="AX300" s="83">
        <f>SUM(Prog_23[[#This Row],[ADIANTAMENTO]]+Prog_23[[#This Row],[SALDO]]+Prog_23[[#This Row],[MARGEM]]+Prog_23[[#This Row],[ESTADIA 1]])</f>
        <v>6900</v>
      </c>
      <c r="AY3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7900</v>
      </c>
      <c r="AZ300" s="81">
        <v>6225.78</v>
      </c>
      <c r="BA300" s="81">
        <v>229500</v>
      </c>
      <c r="BB300" s="81">
        <f>Prog_23[[#This Row],[VLR NF]]*0.1%</f>
        <v>229.5</v>
      </c>
      <c r="BC300" s="81">
        <v>0</v>
      </c>
      <c r="BD300" s="81">
        <v>1444.72</v>
      </c>
      <c r="BE300" s="81"/>
      <c r="BF300" s="81"/>
      <c r="BG300" s="81"/>
      <c r="BH300" s="81"/>
      <c r="BI300" s="81"/>
      <c r="BJ300" s="81"/>
      <c r="BK300" s="81"/>
      <c r="BL300" s="81"/>
      <c r="BM300" s="81"/>
      <c r="BN300" s="66" t="s">
        <v>2768</v>
      </c>
      <c r="BO300" s="66"/>
      <c r="BP300" s="66"/>
      <c r="BQ300" s="66" t="str">
        <f>PROPER(TEXT(Prog_23[[#This Row],[PROGRAMAÇÃO CLIENTE]],"mmm"))</f>
        <v>Jun</v>
      </c>
      <c r="BR300" s="66">
        <f>YEAR(Prog_23[[#This Row],[PROGRAMAÇÃO CLIENTE]])</f>
        <v>2023</v>
      </c>
    </row>
    <row r="301" spans="1:70" x14ac:dyDescent="0.25">
      <c r="A301" s="201" t="str">
        <f>Prog_23[[#This Row],[CONTEINER]]</f>
        <v>MSMU7621963</v>
      </c>
      <c r="B301" s="86" t="s">
        <v>4978</v>
      </c>
      <c r="C3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1" s="85">
        <v>45086.25</v>
      </c>
      <c r="E301" s="66" t="s">
        <v>2549</v>
      </c>
      <c r="F301" s="66" t="s">
        <v>4074</v>
      </c>
      <c r="G301" s="66" t="s">
        <v>4993</v>
      </c>
      <c r="H301" s="44" t="s">
        <v>4982</v>
      </c>
      <c r="I301" s="44" t="s">
        <v>5013</v>
      </c>
      <c r="J301" s="66" t="s">
        <v>301</v>
      </c>
      <c r="K301" s="66">
        <v>3840</v>
      </c>
      <c r="L301" s="66" t="s">
        <v>5055</v>
      </c>
      <c r="M301" s="66">
        <v>25050</v>
      </c>
      <c r="N301" s="66">
        <f>SUM(Prog_23[[#This Row],[TARA]]+Prog_23[[#This Row],[PESO]])</f>
        <v>28890</v>
      </c>
      <c r="O301" s="44">
        <v>14497</v>
      </c>
      <c r="P301" s="66" t="s">
        <v>4983</v>
      </c>
      <c r="Q301" s="66" t="s">
        <v>210</v>
      </c>
      <c r="R301" s="66" t="s">
        <v>211</v>
      </c>
      <c r="S301" s="66" t="s">
        <v>212</v>
      </c>
      <c r="T301" s="138" t="str">
        <f>IFERROR(LOOKUP($S301,MOTORISTAS!$D$3:$D$916,MOTORISTAS!E$3:$E$916),"")</f>
        <v>38029906846</v>
      </c>
      <c r="U301" s="138" t="str">
        <f>IFERROR(LOOKUP($S301,MOTORISTAS!$D$3:$D$916,MOTORISTAS!F$3:$F$916),"")</f>
        <v>04946846842</v>
      </c>
      <c r="V301" s="66" t="s">
        <v>469</v>
      </c>
      <c r="W301" s="79">
        <v>45083.976388888892</v>
      </c>
      <c r="X301" s="79">
        <v>45085.979861111111</v>
      </c>
      <c r="Y301" s="79">
        <v>45086.597222222219</v>
      </c>
      <c r="Z301" s="66" t="s">
        <v>4228</v>
      </c>
      <c r="AA301" s="79">
        <v>45087.166666666664</v>
      </c>
      <c r="AB301" s="66"/>
      <c r="AC301" s="79">
        <v>45090.5</v>
      </c>
      <c r="AD301" s="79">
        <v>45094.5</v>
      </c>
      <c r="AE301" s="66" t="s">
        <v>4079</v>
      </c>
      <c r="AF301" s="44">
        <v>16297</v>
      </c>
      <c r="AG301" s="254">
        <f>Prog_23[[#This Row],[SAÍDA DO CLIENTE]]-Prog_23[[#This Row],[PROGRAMAÇÃO CLIENTE]]</f>
        <v>0.34722222221898846</v>
      </c>
      <c r="AH301" s="44"/>
      <c r="AI301" s="66"/>
      <c r="AJ301" s="66"/>
      <c r="AK301" s="66"/>
      <c r="AL301" s="66"/>
      <c r="AM301" s="66"/>
      <c r="AN301" s="83"/>
      <c r="AO301" s="83"/>
      <c r="AP301" s="83"/>
      <c r="AQ301" s="66"/>
      <c r="AR301" s="66"/>
      <c r="AS301" s="66"/>
      <c r="AT301" s="81">
        <v>6900</v>
      </c>
      <c r="AU301" s="81"/>
      <c r="AV301" s="81"/>
      <c r="AW301" s="81"/>
      <c r="AX301" s="83">
        <f>SUM(Prog_23[[#This Row],[ADIANTAMENTO]]+Prog_23[[#This Row],[SALDO]]+Prog_23[[#This Row],[MARGEM]]+Prog_23[[#This Row],[ESTADIA 1]])</f>
        <v>6900</v>
      </c>
      <c r="AY3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7900</v>
      </c>
      <c r="AZ301" s="81">
        <v>6225.78</v>
      </c>
      <c r="BA301" s="81">
        <v>229500</v>
      </c>
      <c r="BB301" s="81">
        <f>Prog_23[[#This Row],[VLR NF]]*0.1%</f>
        <v>229.5</v>
      </c>
      <c r="BC301" s="81">
        <v>0</v>
      </c>
      <c r="BD301" s="81">
        <v>1444.72</v>
      </c>
      <c r="BE301" s="81"/>
      <c r="BF301" s="81"/>
      <c r="BG301" s="81"/>
      <c r="BH301" s="81"/>
      <c r="BI301" s="81"/>
      <c r="BJ301" s="81"/>
      <c r="BK301" s="81"/>
      <c r="BL301" s="81"/>
      <c r="BM301" s="81"/>
      <c r="BN301" s="66" t="s">
        <v>2768</v>
      </c>
      <c r="BO301" s="66"/>
      <c r="BP301" s="66"/>
      <c r="BQ301" s="66" t="str">
        <f>PROPER(TEXT(Prog_23[[#This Row],[PROGRAMAÇÃO CLIENTE]],"mmm"))</f>
        <v>Jun</v>
      </c>
      <c r="BR301" s="66">
        <f>YEAR(Prog_23[[#This Row],[PROGRAMAÇÃO CLIENTE]])</f>
        <v>2023</v>
      </c>
    </row>
    <row r="302" spans="1:70" x14ac:dyDescent="0.25">
      <c r="A302" s="200" t="str">
        <f>Prog_23[[#This Row],[CONTEINER]]</f>
        <v>CAIU4475665</v>
      </c>
      <c r="B302" s="86" t="s">
        <v>2771</v>
      </c>
      <c r="C3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2" s="85">
        <v>45087.333333333336</v>
      </c>
      <c r="E302" s="66" t="s">
        <v>297</v>
      </c>
      <c r="F302" s="66" t="s">
        <v>298</v>
      </c>
      <c r="G302" s="66" t="s">
        <v>4975</v>
      </c>
      <c r="H302" s="44">
        <v>69894039</v>
      </c>
      <c r="I302" s="44" t="s">
        <v>5046</v>
      </c>
      <c r="J302" s="66" t="s">
        <v>301</v>
      </c>
      <c r="K302" s="66">
        <v>3700</v>
      </c>
      <c r="L302" s="66" t="s">
        <v>5047</v>
      </c>
      <c r="M302" s="66">
        <v>19186</v>
      </c>
      <c r="N302" s="66">
        <f>SUM(Prog_23[[#This Row],[TARA]]+Prog_23[[#This Row],[PESO]])</f>
        <v>22886</v>
      </c>
      <c r="O302" s="44">
        <v>869285</v>
      </c>
      <c r="P302" s="66" t="s">
        <v>4974</v>
      </c>
      <c r="Q302" s="66" t="s">
        <v>72</v>
      </c>
      <c r="R302" s="66" t="s">
        <v>73</v>
      </c>
      <c r="S302" s="66" t="s">
        <v>2678</v>
      </c>
      <c r="T302" s="138" t="str">
        <f>IFERROR(LOOKUP($S302,MOTORISTAS!$D$3:$D$916,MOTORISTAS!E$3:$E$916),"")</f>
        <v>28386357860</v>
      </c>
      <c r="U302" s="138" t="str">
        <f>IFERROR(LOOKUP($S302,MOTORISTAS!$D$3:$D$916,MOTORISTAS!F$3:$F$916),"")</f>
        <v>01042201192</v>
      </c>
      <c r="V302" s="66" t="s">
        <v>292</v>
      </c>
      <c r="W302" s="79">
        <v>45086.506944444445</v>
      </c>
      <c r="X302" s="79">
        <v>45087.276388888888</v>
      </c>
      <c r="Y302" s="79">
        <v>45087.625</v>
      </c>
      <c r="Z302" s="66" t="s">
        <v>293</v>
      </c>
      <c r="AA302" s="79">
        <v>45089.413888888892</v>
      </c>
      <c r="AB302" s="79">
        <v>45088.875</v>
      </c>
      <c r="AC302" s="79">
        <v>45089.5</v>
      </c>
      <c r="AD302" s="79">
        <v>45091.5</v>
      </c>
      <c r="AE302" s="66" t="s">
        <v>308</v>
      </c>
      <c r="AF302" s="44">
        <v>16310</v>
      </c>
      <c r="AG302" s="254">
        <f>Prog_23[[#This Row],[SAÍDA DO CLIENTE]]-Prog_23[[#This Row],[PROGRAMAÇÃO CLIENTE]]</f>
        <v>0.29166666666424135</v>
      </c>
      <c r="AH302" s="44"/>
      <c r="AI302" s="66"/>
      <c r="AJ302" s="66"/>
      <c r="AK302" s="66"/>
      <c r="AL302" s="66"/>
      <c r="AM302" s="66"/>
      <c r="AN302" s="83"/>
      <c r="AO302" s="83"/>
      <c r="AP302" s="83"/>
      <c r="AQ302" s="66"/>
      <c r="AR302" s="66"/>
      <c r="AS302" s="66"/>
      <c r="AT302" s="81"/>
      <c r="AU302" s="81"/>
      <c r="AV302" s="81"/>
      <c r="AW302" s="81"/>
      <c r="AX302" s="83">
        <f>SUM(Prog_23[[#This Row],[ADIANTAMENTO]]+Prog_23[[#This Row],[SALDO]]+Prog_23[[#This Row],[MARGEM]]+Prog_23[[#This Row],[ESTADIA 1]])</f>
        <v>0</v>
      </c>
      <c r="AY3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4420</v>
      </c>
      <c r="AZ302" s="81">
        <v>3488.8</v>
      </c>
      <c r="BA302" s="81">
        <v>109967.73</v>
      </c>
      <c r="BB302" s="81">
        <v>0</v>
      </c>
      <c r="BC302" s="81">
        <v>0</v>
      </c>
      <c r="BD302" s="81">
        <v>511.2</v>
      </c>
      <c r="BE302" s="81"/>
      <c r="BF302" s="81"/>
      <c r="BG302" s="81"/>
      <c r="BH302" s="81"/>
      <c r="BI302" s="81"/>
      <c r="BJ302" s="81"/>
      <c r="BK302" s="81"/>
      <c r="BL302" s="81">
        <v>250</v>
      </c>
      <c r="BM302" s="81">
        <f>85*2</f>
        <v>170</v>
      </c>
      <c r="BN302" s="66" t="s">
        <v>2768</v>
      </c>
      <c r="BO302" s="66"/>
      <c r="BP302" s="66" t="s">
        <v>2768</v>
      </c>
      <c r="BQ302" s="66" t="str">
        <f>PROPER(TEXT(Prog_23[[#This Row],[PROGRAMAÇÃO CLIENTE]],"mmm"))</f>
        <v>Jun</v>
      </c>
      <c r="BR302" s="66">
        <f>YEAR(Prog_23[[#This Row],[PROGRAMAÇÃO CLIENTE]])</f>
        <v>2023</v>
      </c>
    </row>
    <row r="303" spans="1:70" x14ac:dyDescent="0.25">
      <c r="A303" s="201" t="str">
        <f>Prog_23[[#This Row],[CONTEINER]]</f>
        <v>TCNU8880021</v>
      </c>
      <c r="B303" s="86" t="s">
        <v>2771</v>
      </c>
      <c r="C3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3" s="85">
        <v>45087.333333333336</v>
      </c>
      <c r="E303" s="66" t="s">
        <v>297</v>
      </c>
      <c r="F303" s="66" t="s">
        <v>298</v>
      </c>
      <c r="G303" s="66" t="s">
        <v>4975</v>
      </c>
      <c r="H303" s="44">
        <v>69894039</v>
      </c>
      <c r="I303" s="44" t="s">
        <v>5057</v>
      </c>
      <c r="J303" s="66" t="s">
        <v>301</v>
      </c>
      <c r="K303" s="66">
        <v>3810</v>
      </c>
      <c r="L303" s="66" t="s">
        <v>5056</v>
      </c>
      <c r="M303" s="66">
        <v>19031</v>
      </c>
      <c r="N303" s="66">
        <f>SUM(Prog_23[[#This Row],[TARA]]+Prog_23[[#This Row],[PESO]])</f>
        <v>22841</v>
      </c>
      <c r="O303" s="44">
        <v>869979</v>
      </c>
      <c r="P303" s="66" t="s">
        <v>4974</v>
      </c>
      <c r="Q303" s="66" t="s">
        <v>150</v>
      </c>
      <c r="R303" s="66" t="s">
        <v>209</v>
      </c>
      <c r="S303" s="66" t="s">
        <v>4901</v>
      </c>
      <c r="T303" s="138" t="str">
        <f>IFERROR(LOOKUP($S303,MOTORISTAS!$D$3:$D$916,MOTORISTAS!E$3:$E$916),"")</f>
        <v>25538214842</v>
      </c>
      <c r="U303" s="138" t="str">
        <f>IFERROR(LOOKUP($S303,MOTORISTAS!$D$3:$D$916,MOTORISTAS!F$3:$F$916),"")</f>
        <v>01845110101</v>
      </c>
      <c r="V303" s="66" t="s">
        <v>292</v>
      </c>
      <c r="W303" s="79">
        <v>45086.966666666667</v>
      </c>
      <c r="X303" s="79">
        <v>45087.276388888888</v>
      </c>
      <c r="Y303" s="79">
        <v>45087.885416666664</v>
      </c>
      <c r="Z303" s="66" t="s">
        <v>293</v>
      </c>
      <c r="AA303" s="79">
        <v>45089.415972222225</v>
      </c>
      <c r="AB303" s="79">
        <v>45088.875</v>
      </c>
      <c r="AC303" s="79">
        <v>45089.5</v>
      </c>
      <c r="AD303" s="79">
        <v>45091.5</v>
      </c>
      <c r="AE303" s="66" t="s">
        <v>308</v>
      </c>
      <c r="AF303" s="44">
        <v>16311</v>
      </c>
      <c r="AG303" s="254">
        <f>Prog_23[[#This Row],[SAÍDA DO CLIENTE]]-Prog_23[[#This Row],[PROGRAMAÇÃO CLIENTE]]</f>
        <v>0.55208333332848269</v>
      </c>
      <c r="AH303" s="44"/>
      <c r="AI303" s="66"/>
      <c r="AJ303" s="66"/>
      <c r="AK303" s="66"/>
      <c r="AL303" s="66"/>
      <c r="AM303" s="66"/>
      <c r="AN303" s="83"/>
      <c r="AO303" s="83"/>
      <c r="AP303" s="83"/>
      <c r="AQ303" s="66"/>
      <c r="AR303" s="66"/>
      <c r="AS303" s="66"/>
      <c r="AT303" s="81"/>
      <c r="AU303" s="81"/>
      <c r="AV303" s="81"/>
      <c r="AW303" s="81"/>
      <c r="AX303" s="83">
        <f>SUM(Prog_23[[#This Row],[ADIANTAMENTO]]+Prog_23[[#This Row],[SALDO]]+Prog_23[[#This Row],[MARGEM]]+Prog_23[[#This Row],[ESTADIA 1]])</f>
        <v>0</v>
      </c>
      <c r="AY3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4930</v>
      </c>
      <c r="AZ303" s="81">
        <v>3488.8</v>
      </c>
      <c r="BA303" s="81">
        <v>108608.29</v>
      </c>
      <c r="BB303" s="81">
        <v>0</v>
      </c>
      <c r="BC303" s="81">
        <v>0</v>
      </c>
      <c r="BD303" s="81">
        <v>511.2</v>
      </c>
      <c r="BE303" s="81"/>
      <c r="BF303" s="81"/>
      <c r="BG303" s="81"/>
      <c r="BH303" s="81"/>
      <c r="BI303" s="81"/>
      <c r="BJ303" s="81"/>
      <c r="BK303" s="81"/>
      <c r="BL303" s="81">
        <v>250</v>
      </c>
      <c r="BM303" s="81">
        <f>85*8</f>
        <v>680</v>
      </c>
      <c r="BN303" s="66" t="s">
        <v>2768</v>
      </c>
      <c r="BO303" s="66"/>
      <c r="BP303" s="66" t="s">
        <v>2768</v>
      </c>
      <c r="BQ303" s="66" t="str">
        <f>PROPER(TEXT(Prog_23[[#This Row],[PROGRAMAÇÃO CLIENTE]],"mmm"))</f>
        <v>Jun</v>
      </c>
      <c r="BR303" s="66">
        <f>YEAR(Prog_23[[#This Row],[PROGRAMAÇÃO CLIENTE]])</f>
        <v>2023</v>
      </c>
    </row>
    <row r="304" spans="1:70" x14ac:dyDescent="0.25">
      <c r="A304" s="200" t="str">
        <f>Prog_23[[#This Row],[CONTEINER]]</f>
        <v>HASU4157442</v>
      </c>
      <c r="B304" s="86" t="s">
        <v>2771</v>
      </c>
      <c r="C3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4" s="85">
        <v>45089.333333333336</v>
      </c>
      <c r="E304" s="66" t="s">
        <v>297</v>
      </c>
      <c r="F304" s="66" t="s">
        <v>298</v>
      </c>
      <c r="G304" s="66" t="s">
        <v>5039</v>
      </c>
      <c r="H304" s="44">
        <v>228081375</v>
      </c>
      <c r="I304" s="44" t="s">
        <v>5067</v>
      </c>
      <c r="J304" s="66" t="s">
        <v>301</v>
      </c>
      <c r="K304" s="66">
        <v>3860</v>
      </c>
      <c r="L304" s="66" t="s">
        <v>5068</v>
      </c>
      <c r="M304" s="66">
        <v>23652</v>
      </c>
      <c r="N304" s="66">
        <f>SUM(Prog_23[[#This Row],[TARA]]+Prog_23[[#This Row],[PESO]])</f>
        <v>27512</v>
      </c>
      <c r="O304" s="44">
        <v>870036</v>
      </c>
      <c r="P304" s="66" t="s">
        <v>4995</v>
      </c>
      <c r="Q304" s="66" t="s">
        <v>3708</v>
      </c>
      <c r="R304" s="66" t="s">
        <v>4703</v>
      </c>
      <c r="S304" s="66" t="s">
        <v>84</v>
      </c>
      <c r="T304" s="138" t="str">
        <f>IFERROR(LOOKUP($S304,MOTORISTAS!$D$3:$D$916,MOTORISTAS!E$3:$E$916),"")</f>
        <v>15921106810</v>
      </c>
      <c r="U304" s="138" t="str">
        <f>IFERROR(LOOKUP($S304,MOTORISTAS!$D$3:$D$916,MOTORISTAS!F$3:$F$916),"")</f>
        <v>02351127968</v>
      </c>
      <c r="V304" s="66" t="s">
        <v>409</v>
      </c>
      <c r="W304" s="79">
        <v>45087.381944444445</v>
      </c>
      <c r="X304" s="79">
        <v>45089.208333333336</v>
      </c>
      <c r="Y304" s="79">
        <v>45089.541666666664</v>
      </c>
      <c r="Z304" s="66" t="s">
        <v>410</v>
      </c>
      <c r="AA304" s="79">
        <v>45089.796527777777</v>
      </c>
      <c r="AB304" s="79">
        <v>45088.291666666664</v>
      </c>
      <c r="AC304" s="79">
        <v>45089.5</v>
      </c>
      <c r="AD304" s="79">
        <v>45092.5</v>
      </c>
      <c r="AE304" s="66" t="s">
        <v>4996</v>
      </c>
      <c r="AF304" s="44">
        <v>16319</v>
      </c>
      <c r="AG304" s="254">
        <f>Prog_23[[#This Row],[SAÍDA DO CLIENTE]]-Prog_23[[#This Row],[PROGRAMAÇÃO CLIENTE]]</f>
        <v>0.20833333332848269</v>
      </c>
      <c r="AH304" s="44">
        <v>6511121</v>
      </c>
      <c r="AI304" s="66"/>
      <c r="AJ304" s="66"/>
      <c r="AK304" s="66"/>
      <c r="AL304" s="66"/>
      <c r="AM304" s="66"/>
      <c r="AN304" s="83"/>
      <c r="AO304" s="83"/>
      <c r="AP304" s="83"/>
      <c r="AQ304" s="66"/>
      <c r="AR304" s="66"/>
      <c r="AS304" s="66"/>
      <c r="AT304" s="81"/>
      <c r="AU304" s="81"/>
      <c r="AV304" s="81"/>
      <c r="AW304" s="81"/>
      <c r="AX304" s="83">
        <f>SUM(Prog_23[[#This Row],[ADIANTAMENTO]]+Prog_23[[#This Row],[SALDO]]+Prog_23[[#This Row],[MARGEM]]+Prog_23[[#This Row],[ESTADIA 1]])</f>
        <v>0</v>
      </c>
      <c r="AY3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04" s="81">
        <v>3488.8</v>
      </c>
      <c r="BA304" s="81">
        <v>167508.5</v>
      </c>
      <c r="BB304" s="81">
        <v>0</v>
      </c>
      <c r="BC304" s="81">
        <v>0</v>
      </c>
      <c r="BD304" s="81">
        <v>511.2</v>
      </c>
      <c r="BE304" s="81"/>
      <c r="BF304" s="81"/>
      <c r="BG304" s="81"/>
      <c r="BH304" s="81"/>
      <c r="BI304" s="81"/>
      <c r="BJ304" s="81"/>
      <c r="BK304" s="81"/>
      <c r="BL304" s="81"/>
      <c r="BM304" s="81"/>
      <c r="BN304" s="66" t="s">
        <v>2768</v>
      </c>
      <c r="BO304" s="66" t="s">
        <v>2768</v>
      </c>
      <c r="BP304" s="66" t="s">
        <v>2768</v>
      </c>
      <c r="BQ304" s="66" t="str">
        <f>PROPER(TEXT(Prog_23[[#This Row],[PROGRAMAÇÃO CLIENTE]],"mmm"))</f>
        <v>Jun</v>
      </c>
      <c r="BR304" s="66">
        <f>YEAR(Prog_23[[#This Row],[PROGRAMAÇÃO CLIENTE]])</f>
        <v>2023</v>
      </c>
    </row>
    <row r="305" spans="1:70" x14ac:dyDescent="0.25">
      <c r="A305" s="201" t="str">
        <f>Prog_23[[#This Row],[CONTEINER]]</f>
        <v>MRKU2567487</v>
      </c>
      <c r="B305" s="86" t="s">
        <v>2771</v>
      </c>
      <c r="C3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5" s="85">
        <v>45089.416666666664</v>
      </c>
      <c r="E305" s="66" t="s">
        <v>297</v>
      </c>
      <c r="F305" s="66" t="s">
        <v>298</v>
      </c>
      <c r="G305" s="66" t="s">
        <v>5042</v>
      </c>
      <c r="H305" s="44">
        <v>228081375</v>
      </c>
      <c r="I305" s="44" t="s">
        <v>5061</v>
      </c>
      <c r="J305" s="66" t="s">
        <v>301</v>
      </c>
      <c r="K305" s="66">
        <v>3790</v>
      </c>
      <c r="L305" s="66" t="s">
        <v>5062</v>
      </c>
      <c r="M305" s="66">
        <v>13534</v>
      </c>
      <c r="N305" s="66">
        <f>SUM(Prog_23[[#This Row],[TARA]]+Prog_23[[#This Row],[PESO]])</f>
        <v>17324</v>
      </c>
      <c r="O305" s="44">
        <v>870089</v>
      </c>
      <c r="P305" s="66" t="s">
        <v>4995</v>
      </c>
      <c r="Q305" s="66" t="s">
        <v>1729</v>
      </c>
      <c r="R305" s="66" t="s">
        <v>4556</v>
      </c>
      <c r="S305" s="66" t="s">
        <v>1731</v>
      </c>
      <c r="T305" s="138" t="str">
        <f>IFERROR(LOOKUP($S305,MOTORISTAS!$D$3:$D$916,MOTORISTAS!E$3:$E$916),"")</f>
        <v>03965340824</v>
      </c>
      <c r="U305" s="138" t="str">
        <f>IFERROR(LOOKUP($S305,MOTORISTAS!$D$3:$D$916,MOTORISTAS!F$3:$F$916),"")</f>
        <v>01420704735</v>
      </c>
      <c r="V305" s="66" t="s">
        <v>409</v>
      </c>
      <c r="W305" s="79">
        <v>45087.352083333331</v>
      </c>
      <c r="X305" s="79">
        <v>45089.145833333336</v>
      </c>
      <c r="Y305" s="79">
        <v>45089.6875</v>
      </c>
      <c r="Z305" s="66" t="s">
        <v>410</v>
      </c>
      <c r="AA305" s="79">
        <v>45090.164583333331</v>
      </c>
      <c r="AB305" s="79">
        <v>45088.291666666664</v>
      </c>
      <c r="AC305" s="79">
        <v>45089.5</v>
      </c>
      <c r="AD305" s="79">
        <v>45092.5</v>
      </c>
      <c r="AE305" s="66" t="s">
        <v>4996</v>
      </c>
      <c r="AF305" s="44">
        <v>16323</v>
      </c>
      <c r="AG305" s="254">
        <f>Prog_23[[#This Row],[SAÍDA DO CLIENTE]]-Prog_23[[#This Row],[PROGRAMAÇÃO CLIENTE]]</f>
        <v>0.27083333333575865</v>
      </c>
      <c r="AH305" s="44">
        <v>6511128</v>
      </c>
      <c r="AI305" s="66"/>
      <c r="AJ305" s="66"/>
      <c r="AK305" s="66"/>
      <c r="AL305" s="66"/>
      <c r="AM305" s="66"/>
      <c r="AN305" s="83"/>
      <c r="AO305" s="83"/>
      <c r="AP305" s="83"/>
      <c r="AQ305" s="66"/>
      <c r="AR305" s="66"/>
      <c r="AS305" s="66"/>
      <c r="AT305" s="81"/>
      <c r="AU305" s="81"/>
      <c r="AV305" s="81"/>
      <c r="AW305" s="81"/>
      <c r="AX305" s="83">
        <f>SUM(Prog_23[[#This Row],[ADIANTAMENTO]]+Prog_23[[#This Row],[SALDO]]+Prog_23[[#This Row],[MARGEM]]+Prog_23[[#This Row],[ESTADIA 1]])</f>
        <v>0</v>
      </c>
      <c r="AY3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05" s="81">
        <v>3488.8</v>
      </c>
      <c r="BA305" s="81">
        <v>85867.199999999997</v>
      </c>
      <c r="BB305" s="81">
        <v>0</v>
      </c>
      <c r="BC305" s="81">
        <v>0</v>
      </c>
      <c r="BD305" s="81">
        <v>511.2</v>
      </c>
      <c r="BE305" s="81"/>
      <c r="BF305" s="81"/>
      <c r="BG305" s="81"/>
      <c r="BH305" s="81"/>
      <c r="BI305" s="81"/>
      <c r="BJ305" s="81"/>
      <c r="BK305" s="81"/>
      <c r="BL305" s="81"/>
      <c r="BM305" s="81"/>
      <c r="BN305" s="66" t="s">
        <v>2768</v>
      </c>
      <c r="BO305" s="66" t="s">
        <v>2768</v>
      </c>
      <c r="BP305" s="66" t="s">
        <v>2768</v>
      </c>
      <c r="BQ305" s="66" t="str">
        <f>PROPER(TEXT(Prog_23[[#This Row],[PROGRAMAÇÃO CLIENTE]],"mmm"))</f>
        <v>Jun</v>
      </c>
      <c r="BR305" s="66">
        <f>YEAR(Prog_23[[#This Row],[PROGRAMAÇÃO CLIENTE]])</f>
        <v>2023</v>
      </c>
    </row>
    <row r="306" spans="1:70" x14ac:dyDescent="0.25">
      <c r="A306" s="201" t="str">
        <f>Prog_23[[#This Row],[CONTEINER]]</f>
        <v>MRKU2556369</v>
      </c>
      <c r="B306" s="86" t="s">
        <v>2771</v>
      </c>
      <c r="C3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6" s="85">
        <v>45089.5</v>
      </c>
      <c r="E306" s="66" t="s">
        <v>297</v>
      </c>
      <c r="F306" s="66" t="s">
        <v>298</v>
      </c>
      <c r="G306" s="66" t="s">
        <v>5044</v>
      </c>
      <c r="H306" s="44">
        <v>228081375</v>
      </c>
      <c r="I306" s="44" t="s">
        <v>5065</v>
      </c>
      <c r="J306" s="66" t="s">
        <v>301</v>
      </c>
      <c r="K306" s="66">
        <v>3790</v>
      </c>
      <c r="L306" s="66" t="s">
        <v>5066</v>
      </c>
      <c r="M306" s="66">
        <v>24264</v>
      </c>
      <c r="N306" s="66">
        <f>SUM(Prog_23[[#This Row],[TARA]]+Prog_23[[#This Row],[PESO]])</f>
        <v>28054</v>
      </c>
      <c r="O306" s="44">
        <v>870060</v>
      </c>
      <c r="P306" s="66" t="s">
        <v>4995</v>
      </c>
      <c r="Q306" s="66" t="s">
        <v>58</v>
      </c>
      <c r="R306" s="66" t="s">
        <v>59</v>
      </c>
      <c r="S306" s="66" t="s">
        <v>60</v>
      </c>
      <c r="T306" s="138" t="str">
        <f>IFERROR(LOOKUP($S306,MOTORISTAS!$D$3:$D$916,MOTORISTAS!E$3:$E$916),"")</f>
        <v>19482908805</v>
      </c>
      <c r="U306" s="138" t="str">
        <f>IFERROR(LOOKUP($S306,MOTORISTAS!$D$3:$D$916,MOTORISTAS!F$3:$F$916),"")</f>
        <v>03153303618</v>
      </c>
      <c r="V306" s="66" t="s">
        <v>409</v>
      </c>
      <c r="W306" s="79">
        <v>45087.388194444444</v>
      </c>
      <c r="X306" s="79">
        <v>45089.020833333336</v>
      </c>
      <c r="Y306" s="79">
        <v>45089.701388888891</v>
      </c>
      <c r="Z306" s="66" t="s">
        <v>410</v>
      </c>
      <c r="AA306" s="79">
        <v>45089.989583333336</v>
      </c>
      <c r="AB306" s="79">
        <v>45088.291666666664</v>
      </c>
      <c r="AC306" s="79">
        <v>45089.5</v>
      </c>
      <c r="AD306" s="79">
        <v>45092.5</v>
      </c>
      <c r="AE306" s="66" t="s">
        <v>4996</v>
      </c>
      <c r="AF306" s="44">
        <v>16321</v>
      </c>
      <c r="AG306" s="254">
        <f>Prog_23[[#This Row],[SAÍDA DO CLIENTE]]-Prog_23[[#This Row],[PROGRAMAÇÃO CLIENTE]]</f>
        <v>0.20138888889050577</v>
      </c>
      <c r="AH306" s="44">
        <v>6511134</v>
      </c>
      <c r="AI306" s="66"/>
      <c r="AJ306" s="66"/>
      <c r="AK306" s="66"/>
      <c r="AL306" s="66"/>
      <c r="AM306" s="66"/>
      <c r="AN306" s="83"/>
      <c r="AO306" s="83"/>
      <c r="AP306" s="83"/>
      <c r="AQ306" s="66"/>
      <c r="AR306" s="66"/>
      <c r="AS306" s="66"/>
      <c r="AT306" s="81"/>
      <c r="AU306" s="81"/>
      <c r="AV306" s="81"/>
      <c r="AW306" s="81"/>
      <c r="AX306" s="83">
        <f>SUM(Prog_23[[#This Row],[ADIANTAMENTO]]+Prog_23[[#This Row],[SALDO]]+Prog_23[[#This Row],[MARGEM]]+Prog_23[[#This Row],[ESTADIA 1]])</f>
        <v>0</v>
      </c>
      <c r="AY3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06" s="81">
        <v>3488.8</v>
      </c>
      <c r="BA306" s="81">
        <v>169442.23</v>
      </c>
      <c r="BB306" s="81">
        <v>0</v>
      </c>
      <c r="BC306" s="81">
        <v>0</v>
      </c>
      <c r="BD306" s="81">
        <v>511.2</v>
      </c>
      <c r="BE306" s="81"/>
      <c r="BF306" s="81"/>
      <c r="BG306" s="81"/>
      <c r="BH306" s="81"/>
      <c r="BI306" s="81"/>
      <c r="BJ306" s="81"/>
      <c r="BK306" s="81"/>
      <c r="BL306" s="81"/>
      <c r="BM306" s="81"/>
      <c r="BN306" s="66" t="s">
        <v>2768</v>
      </c>
      <c r="BO306" s="66" t="s">
        <v>2768</v>
      </c>
      <c r="BP306" s="66" t="s">
        <v>2768</v>
      </c>
      <c r="BQ306" s="66" t="str">
        <f>PROPER(TEXT(Prog_23[[#This Row],[PROGRAMAÇÃO CLIENTE]],"mmm"))</f>
        <v>Jun</v>
      </c>
      <c r="BR306" s="66">
        <f>YEAR(Prog_23[[#This Row],[PROGRAMAÇÃO CLIENTE]])</f>
        <v>2023</v>
      </c>
    </row>
    <row r="307" spans="1:70" x14ac:dyDescent="0.25">
      <c r="A307" s="200" t="str">
        <f>Prog_23[[#This Row],[CONTEINER]]</f>
        <v>MIEU3059541</v>
      </c>
      <c r="B307" s="86" t="s">
        <v>2771</v>
      </c>
      <c r="C3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7" s="85">
        <v>45089.541666666664</v>
      </c>
      <c r="E307" s="66" t="s">
        <v>297</v>
      </c>
      <c r="F307" s="66" t="s">
        <v>298</v>
      </c>
      <c r="G307" s="66" t="s">
        <v>5041</v>
      </c>
      <c r="H307" s="44">
        <v>228081375</v>
      </c>
      <c r="I307" s="44" t="s">
        <v>5063</v>
      </c>
      <c r="J307" s="66" t="s">
        <v>301</v>
      </c>
      <c r="K307" s="66">
        <v>3810</v>
      </c>
      <c r="L307" s="66" t="s">
        <v>5064</v>
      </c>
      <c r="M307" s="66">
        <v>21221</v>
      </c>
      <c r="N307" s="66">
        <f>SUM(Prog_23[[#This Row],[TARA]]+Prog_23[[#This Row],[PESO]])</f>
        <v>25031</v>
      </c>
      <c r="O307" s="44">
        <v>870098</v>
      </c>
      <c r="P307" s="66" t="s">
        <v>4995</v>
      </c>
      <c r="Q307" s="66" t="s">
        <v>210</v>
      </c>
      <c r="R307" s="66" t="s">
        <v>211</v>
      </c>
      <c r="S307" s="66" t="s">
        <v>212</v>
      </c>
      <c r="T307" s="138" t="str">
        <f>IFERROR(LOOKUP($S307,MOTORISTAS!$D$3:$D$916,MOTORISTAS!E$3:$E$916),"")</f>
        <v>38029906846</v>
      </c>
      <c r="U307" s="138" t="str">
        <f>IFERROR(LOOKUP($S307,MOTORISTAS!$D$3:$D$916,MOTORISTAS!F$3:$F$916),"")</f>
        <v>04946846842</v>
      </c>
      <c r="V307" s="66" t="s">
        <v>409</v>
      </c>
      <c r="W307" s="79">
        <v>45087.35</v>
      </c>
      <c r="X307" s="79">
        <v>45089.375</v>
      </c>
      <c r="Y307" s="79">
        <v>45089.916666666664</v>
      </c>
      <c r="Z307" s="66" t="s">
        <v>410</v>
      </c>
      <c r="AA307" s="79">
        <v>45090.265277777777</v>
      </c>
      <c r="AB307" s="79">
        <v>45088.291666666664</v>
      </c>
      <c r="AC307" s="79">
        <v>45089.5</v>
      </c>
      <c r="AD307" s="79">
        <v>45092.5</v>
      </c>
      <c r="AE307" s="66" t="s">
        <v>4996</v>
      </c>
      <c r="AF307" s="44">
        <v>16331</v>
      </c>
      <c r="AG307" s="254">
        <f>Prog_23[[#This Row],[SAÍDA DO CLIENTE]]-Prog_23[[#This Row],[PROGRAMAÇÃO CLIENTE]]</f>
        <v>0.375</v>
      </c>
      <c r="AH307" s="44">
        <v>6511126</v>
      </c>
      <c r="AI307" s="66"/>
      <c r="AJ307" s="66"/>
      <c r="AK307" s="66"/>
      <c r="AL307" s="66"/>
      <c r="AM307" s="66"/>
      <c r="AN307" s="83"/>
      <c r="AO307" s="83"/>
      <c r="AP307" s="83"/>
      <c r="AQ307" s="66"/>
      <c r="AR307" s="66"/>
      <c r="AS307" s="66"/>
      <c r="AT307" s="81"/>
      <c r="AU307" s="81"/>
      <c r="AV307" s="81"/>
      <c r="AW307" s="81"/>
      <c r="AX307" s="83">
        <f>SUM(Prog_23[[#This Row],[ADIANTAMENTO]]+Prog_23[[#This Row],[SALDO]]+Prog_23[[#This Row],[MARGEM]]+Prog_23[[#This Row],[ESTADIA 1]])</f>
        <v>0</v>
      </c>
      <c r="AY3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4340</v>
      </c>
      <c r="AZ307" s="81">
        <v>3488.8</v>
      </c>
      <c r="BA307" s="81">
        <v>167450.79999999999</v>
      </c>
      <c r="BB307" s="81">
        <v>0</v>
      </c>
      <c r="BC307" s="81">
        <v>0</v>
      </c>
      <c r="BD307" s="81">
        <v>511.2</v>
      </c>
      <c r="BE307" s="81"/>
      <c r="BF307" s="81"/>
      <c r="BG307" s="81"/>
      <c r="BH307" s="81"/>
      <c r="BI307" s="81"/>
      <c r="BJ307" s="81"/>
      <c r="BK307" s="81"/>
      <c r="BL307" s="81"/>
      <c r="BM307" s="81">
        <f>85*4</f>
        <v>340</v>
      </c>
      <c r="BN307" s="66" t="s">
        <v>2768</v>
      </c>
      <c r="BO307" s="66" t="s">
        <v>2768</v>
      </c>
      <c r="BP307" s="66" t="s">
        <v>2768</v>
      </c>
      <c r="BQ307" s="66" t="str">
        <f>PROPER(TEXT(Prog_23[[#This Row],[PROGRAMAÇÃO CLIENTE]],"mmm"))</f>
        <v>Jun</v>
      </c>
      <c r="BR307" s="66">
        <f>YEAR(Prog_23[[#This Row],[PROGRAMAÇÃO CLIENTE]])</f>
        <v>2023</v>
      </c>
    </row>
    <row r="308" spans="1:70" x14ac:dyDescent="0.25">
      <c r="A308" s="200" t="str">
        <f>Prog_23[[#This Row],[CONTEINER]]</f>
        <v>MRKU2506033</v>
      </c>
      <c r="B308" s="86" t="s">
        <v>2771</v>
      </c>
      <c r="C3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8" s="85">
        <v>45089.583333333336</v>
      </c>
      <c r="E308" s="66" t="s">
        <v>297</v>
      </c>
      <c r="F308" s="66" t="s">
        <v>298</v>
      </c>
      <c r="G308" s="66" t="s">
        <v>5043</v>
      </c>
      <c r="H308" s="44">
        <v>228081375</v>
      </c>
      <c r="I308" s="44" t="s">
        <v>5059</v>
      </c>
      <c r="J308" s="66" t="s">
        <v>301</v>
      </c>
      <c r="K308" s="66">
        <v>3880</v>
      </c>
      <c r="L308" s="66" t="s">
        <v>5060</v>
      </c>
      <c r="M308" s="66">
        <v>14119</v>
      </c>
      <c r="N308" s="66">
        <f>SUM(Prog_23[[#This Row],[TARA]]+Prog_23[[#This Row],[PESO]])</f>
        <v>17999</v>
      </c>
      <c r="O308" s="44">
        <v>870112</v>
      </c>
      <c r="P308" s="66" t="s">
        <v>4995</v>
      </c>
      <c r="Q308" s="66" t="s">
        <v>2622</v>
      </c>
      <c r="R308" s="66" t="s">
        <v>2623</v>
      </c>
      <c r="S308" s="66" t="s">
        <v>2624</v>
      </c>
      <c r="T308" s="138" t="str">
        <f>IFERROR(LOOKUP($S308,MOTORISTAS!$D$3:$D$916,MOTORISTAS!E$3:$E$916),"")</f>
        <v>31147992568</v>
      </c>
      <c r="U308" s="138" t="str">
        <f>IFERROR(LOOKUP($S308,MOTORISTAS!$D$3:$D$916,MOTORISTAS!F$3:$F$916),"")</f>
        <v>03359999478</v>
      </c>
      <c r="V308" s="66" t="s">
        <v>409</v>
      </c>
      <c r="W308" s="79">
        <v>45087.017361111109</v>
      </c>
      <c r="X308" s="79">
        <v>45089.083333333336</v>
      </c>
      <c r="Y308" s="79">
        <v>45089.958333333336</v>
      </c>
      <c r="Z308" s="66" t="s">
        <v>410</v>
      </c>
      <c r="AA308" s="79">
        <v>45090.1875</v>
      </c>
      <c r="AB308" s="79">
        <v>45088.291666666664</v>
      </c>
      <c r="AC308" s="79">
        <v>45089.5</v>
      </c>
      <c r="AD308" s="79">
        <v>45092.5</v>
      </c>
      <c r="AE308" s="66" t="s">
        <v>4996</v>
      </c>
      <c r="AF308" s="44">
        <v>16332</v>
      </c>
      <c r="AG308" s="254">
        <f>Prog_23[[#This Row],[SAÍDA DO CLIENTE]]-Prog_23[[#This Row],[PROGRAMAÇÃO CLIENTE]]</f>
        <v>0.375</v>
      </c>
      <c r="AH308" s="44">
        <v>6511130</v>
      </c>
      <c r="AI308" s="66"/>
      <c r="AJ308" s="66"/>
      <c r="AK308" s="66"/>
      <c r="AL308" s="66"/>
      <c r="AM308" s="66"/>
      <c r="AN308" s="83"/>
      <c r="AO308" s="83"/>
      <c r="AP308" s="83"/>
      <c r="AQ308" s="66"/>
      <c r="AR308" s="66"/>
      <c r="AS308" s="66"/>
      <c r="AT308" s="81"/>
      <c r="AU308" s="81"/>
      <c r="AV308" s="81"/>
      <c r="AW308" s="81"/>
      <c r="AX308" s="83">
        <f>SUM(Prog_23[[#This Row],[ADIANTAMENTO]]+Prog_23[[#This Row],[SALDO]]+Prog_23[[#This Row],[MARGEM]]+Prog_23[[#This Row],[ESTADIA 1]])</f>
        <v>0</v>
      </c>
      <c r="AY3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4340</v>
      </c>
      <c r="AZ308" s="81">
        <v>3488.8</v>
      </c>
      <c r="BA308" s="81">
        <v>149112.79999999999</v>
      </c>
      <c r="BB308" s="81">
        <v>0</v>
      </c>
      <c r="BC308" s="81">
        <v>0</v>
      </c>
      <c r="BD308" s="81">
        <v>511.2</v>
      </c>
      <c r="BE308" s="81"/>
      <c r="BF308" s="81"/>
      <c r="BG308" s="81"/>
      <c r="BH308" s="81"/>
      <c r="BI308" s="81"/>
      <c r="BJ308" s="81"/>
      <c r="BK308" s="81"/>
      <c r="BL308" s="81"/>
      <c r="BM308" s="81">
        <f>85*4</f>
        <v>340</v>
      </c>
      <c r="BN308" s="66" t="s">
        <v>2768</v>
      </c>
      <c r="BO308" s="66" t="s">
        <v>2768</v>
      </c>
      <c r="BP308" s="66" t="s">
        <v>2768</v>
      </c>
      <c r="BQ308" s="66" t="str">
        <f>PROPER(TEXT(Prog_23[[#This Row],[PROGRAMAÇÃO CLIENTE]],"mmm"))</f>
        <v>Jun</v>
      </c>
      <c r="BR308" s="66">
        <f>YEAR(Prog_23[[#This Row],[PROGRAMAÇÃO CLIENTE]])</f>
        <v>2023</v>
      </c>
    </row>
    <row r="309" spans="1:70" x14ac:dyDescent="0.25">
      <c r="A309" s="201" t="str">
        <f>Prog_23[[#This Row],[CONTEINER]]</f>
        <v>SUDU6975456</v>
      </c>
      <c r="B309" s="86" t="s">
        <v>2771</v>
      </c>
      <c r="C3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09" s="85">
        <v>45089.583333333336</v>
      </c>
      <c r="E309" s="66" t="s">
        <v>297</v>
      </c>
      <c r="F309" s="66" t="s">
        <v>298</v>
      </c>
      <c r="G309" s="66" t="s">
        <v>5040</v>
      </c>
      <c r="H309" s="44">
        <v>228081375</v>
      </c>
      <c r="I309" s="44" t="s">
        <v>5070</v>
      </c>
      <c r="J309" s="66" t="s">
        <v>301</v>
      </c>
      <c r="K309" s="66">
        <v>3860</v>
      </c>
      <c r="L309" s="66" t="s">
        <v>5069</v>
      </c>
      <c r="M309" s="66">
        <v>12598</v>
      </c>
      <c r="N309" s="66">
        <f>SUM(Prog_23[[#This Row],[TARA]]+Prog_23[[#This Row],[PESO]])</f>
        <v>16458</v>
      </c>
      <c r="O309" s="44">
        <v>870111</v>
      </c>
      <c r="P309" s="66" t="s">
        <v>4995</v>
      </c>
      <c r="Q309" s="66" t="s">
        <v>5072</v>
      </c>
      <c r="R309" s="66" t="s">
        <v>794</v>
      </c>
      <c r="S309" s="66" t="s">
        <v>5071</v>
      </c>
      <c r="T309" s="138" t="str">
        <f>IFERROR(LOOKUP($S309,MOTORISTAS!$D$3:$D$916,MOTORISTAS!E$3:$E$916),"")</f>
        <v>75847833920</v>
      </c>
      <c r="U309" s="138" t="str">
        <f>IFERROR(LOOKUP($S309,MOTORISTAS!$D$3:$D$916,MOTORISTAS!F$3:$F$916),"")</f>
        <v>01880281367</v>
      </c>
      <c r="V309" s="66" t="s">
        <v>409</v>
      </c>
      <c r="W309" s="79">
        <v>45089.583333333336</v>
      </c>
      <c r="X309" s="79">
        <v>45089.583333333336</v>
      </c>
      <c r="Y309" s="79">
        <v>45089.979166666664</v>
      </c>
      <c r="Z309" s="66" t="s">
        <v>410</v>
      </c>
      <c r="AA309" s="79">
        <v>45090.390972222223</v>
      </c>
      <c r="AB309" s="79">
        <v>45088.291666666664</v>
      </c>
      <c r="AC309" s="79">
        <v>45089.5</v>
      </c>
      <c r="AD309" s="79">
        <v>45092.5</v>
      </c>
      <c r="AE309" s="66" t="s">
        <v>4996</v>
      </c>
      <c r="AF309" s="44">
        <v>16339</v>
      </c>
      <c r="AG309" s="254">
        <f>Prog_23[[#This Row],[SAÍDA DO CLIENTE]]-Prog_23[[#This Row],[PROGRAMAÇÃO CLIENTE]]</f>
        <v>0.39583333332848269</v>
      </c>
      <c r="AH309" s="44">
        <v>6511125</v>
      </c>
      <c r="AI309" s="66"/>
      <c r="AJ309" s="66"/>
      <c r="AK309" s="66"/>
      <c r="AL309" s="66"/>
      <c r="AM309" s="66"/>
      <c r="AN309" s="83"/>
      <c r="AO309" s="83"/>
      <c r="AP309" s="83"/>
      <c r="AQ309" s="66"/>
      <c r="AR309" s="66"/>
      <c r="AS309" s="66"/>
      <c r="AT309" s="81"/>
      <c r="AU309" s="81"/>
      <c r="AV309" s="81"/>
      <c r="AW309" s="81"/>
      <c r="AX309" s="83">
        <f>SUM(Prog_23[[#This Row],[ADIANTAMENTO]]+Prog_23[[#This Row],[SALDO]]+Prog_23[[#This Row],[MARGEM]]+Prog_23[[#This Row],[ESTADIA 1]])</f>
        <v>0</v>
      </c>
      <c r="AY3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4340</v>
      </c>
      <c r="AZ309" s="81">
        <v>3488.8</v>
      </c>
      <c r="BA309" s="81">
        <v>101768</v>
      </c>
      <c r="BB309" s="81">
        <v>0</v>
      </c>
      <c r="BC309" s="81">
        <v>0</v>
      </c>
      <c r="BD309" s="81">
        <v>511.2</v>
      </c>
      <c r="BE309" s="81"/>
      <c r="BF309" s="81"/>
      <c r="BG309" s="81"/>
      <c r="BH309" s="81"/>
      <c r="BI309" s="81"/>
      <c r="BJ309" s="81"/>
      <c r="BK309" s="81"/>
      <c r="BL309" s="81"/>
      <c r="BM309" s="81">
        <f>85*4</f>
        <v>340</v>
      </c>
      <c r="BN309" s="66" t="s">
        <v>2768</v>
      </c>
      <c r="BO309" s="66" t="s">
        <v>2768</v>
      </c>
      <c r="BP309" s="66" t="s">
        <v>2768</v>
      </c>
      <c r="BQ309" s="66" t="str">
        <f>PROPER(TEXT(Prog_23[[#This Row],[PROGRAMAÇÃO CLIENTE]],"mmm"))</f>
        <v>Jun</v>
      </c>
      <c r="BR309" s="66">
        <f>YEAR(Prog_23[[#This Row],[PROGRAMAÇÃO CLIENTE]])</f>
        <v>2023</v>
      </c>
    </row>
    <row r="310" spans="1:70" x14ac:dyDescent="0.25">
      <c r="A310" s="200" t="str">
        <f>Prog_23[[#This Row],[CONTEINER]]</f>
        <v>HLXU5609305</v>
      </c>
      <c r="B310" s="86" t="s">
        <v>2771</v>
      </c>
      <c r="C3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0" s="85">
        <v>45091.3125</v>
      </c>
      <c r="E310" s="66" t="s">
        <v>5114</v>
      </c>
      <c r="F310" s="66" t="s">
        <v>5075</v>
      </c>
      <c r="G310" s="66">
        <v>22149</v>
      </c>
      <c r="H310" s="44">
        <v>63563055</v>
      </c>
      <c r="I310" s="44" t="s">
        <v>5116</v>
      </c>
      <c r="J310" s="66" t="s">
        <v>2292</v>
      </c>
      <c r="K310" s="66">
        <v>4050</v>
      </c>
      <c r="L310" s="66" t="s">
        <v>5115</v>
      </c>
      <c r="M310" s="66">
        <v>22190</v>
      </c>
      <c r="N310" s="66">
        <f>SUM(Prog_23[[#This Row],[TARA]]+Prog_23[[#This Row],[PESO]])</f>
        <v>26240</v>
      </c>
      <c r="O310" s="44">
        <v>894</v>
      </c>
      <c r="P310" s="66" t="s">
        <v>5076</v>
      </c>
      <c r="Q310" s="66" t="s">
        <v>210</v>
      </c>
      <c r="R310" s="66" t="s">
        <v>211</v>
      </c>
      <c r="S310" s="66" t="s">
        <v>212</v>
      </c>
      <c r="T310" s="138" t="str">
        <f>IFERROR(LOOKUP($S310,MOTORISTAS!$D$3:$D$916,MOTORISTAS!E$3:$E$916),"")</f>
        <v>38029906846</v>
      </c>
      <c r="U310" s="138" t="str">
        <f>IFERROR(LOOKUP($S310,MOTORISTAS!$D$3:$D$916,MOTORISTAS!F$3:$F$916),"")</f>
        <v>04946846842</v>
      </c>
      <c r="V310" s="66" t="s">
        <v>292</v>
      </c>
      <c r="W310" s="79">
        <v>45090.722916666666</v>
      </c>
      <c r="X310" s="79">
        <v>45091.135416666664</v>
      </c>
      <c r="Y310" s="79">
        <v>45091.541666666664</v>
      </c>
      <c r="Z310" s="66" t="s">
        <v>293</v>
      </c>
      <c r="AA310" s="79">
        <v>45091.918055555558</v>
      </c>
      <c r="AB310" s="79">
        <v>45089.291666666664</v>
      </c>
      <c r="AC310" s="66" t="s">
        <v>5077</v>
      </c>
      <c r="AD310" s="79">
        <v>45093.5</v>
      </c>
      <c r="AE310" s="66" t="s">
        <v>652</v>
      </c>
      <c r="AF310" s="44">
        <v>16362</v>
      </c>
      <c r="AG310" s="254">
        <f>Prog_23[[#This Row],[SAÍDA DO CLIENTE]]-Prog_23[[#This Row],[PROGRAMAÇÃO CLIENTE]]</f>
        <v>0.22916666666424135</v>
      </c>
      <c r="AH310" s="44"/>
      <c r="AI310" s="66"/>
      <c r="AJ310" s="66"/>
      <c r="AK310" s="66"/>
      <c r="AL310" s="66"/>
      <c r="AM310" s="66"/>
      <c r="AN310" s="83"/>
      <c r="AO310" s="83"/>
      <c r="AP310" s="83"/>
      <c r="AQ310" s="66"/>
      <c r="AR310" s="66"/>
      <c r="AS310" s="66"/>
      <c r="AT310" s="81">
        <v>4096</v>
      </c>
      <c r="AU310" s="81">
        <v>1904</v>
      </c>
      <c r="AV310" s="81"/>
      <c r="AW310" s="81"/>
      <c r="AX310" s="83">
        <f>SUM(Prog_23[[#This Row],[ADIANTAMENTO]]+Prog_23[[#This Row],[SALDO]]+Prog_23[[#This Row],[MARGEM]]+Prog_23[[#This Row],[ESTADIA 1]])</f>
        <v>6000</v>
      </c>
      <c r="AY3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9858.3384749999987</v>
      </c>
      <c r="AZ310" s="81">
        <v>7700</v>
      </c>
      <c r="BA310" s="81">
        <v>631025.65</v>
      </c>
      <c r="BB310" s="81">
        <f>Prog_23[[#This Row],[VLR NF]]*0.1%</f>
        <v>631.02565000000004</v>
      </c>
      <c r="BC310" s="81">
        <f>Prog_23[[#This Row],[VLR NF]]*0.05%</f>
        <v>315.51282500000002</v>
      </c>
      <c r="BD310" s="81">
        <v>1106.8</v>
      </c>
      <c r="BE310" s="81"/>
      <c r="BF310" s="81"/>
      <c r="BG310" s="81"/>
      <c r="BH310" s="81">
        <v>30</v>
      </c>
      <c r="BI310" s="81"/>
      <c r="BJ310" s="81">
        <v>75</v>
      </c>
      <c r="BK310" s="81"/>
      <c r="BL310" s="81"/>
      <c r="BM310" s="81"/>
      <c r="BN310" s="66" t="s">
        <v>2768</v>
      </c>
      <c r="BO310" s="66" t="s">
        <v>2768</v>
      </c>
      <c r="BP310" s="66" t="s">
        <v>2768</v>
      </c>
      <c r="BQ310" s="66" t="str">
        <f>PROPER(TEXT(Prog_23[[#This Row],[PROGRAMAÇÃO CLIENTE]],"mmm"))</f>
        <v>Jun</v>
      </c>
      <c r="BR310" s="66">
        <f>YEAR(Prog_23[[#This Row],[PROGRAMAÇÃO CLIENTE]])</f>
        <v>2023</v>
      </c>
    </row>
    <row r="311" spans="1:70" x14ac:dyDescent="0.25">
      <c r="A311" s="201" t="str">
        <f>Prog_23[[#This Row],[CONTEINER]]</f>
        <v>BSIU8074985</v>
      </c>
      <c r="B311" s="86" t="s">
        <v>2771</v>
      </c>
      <c r="C3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1" s="85">
        <v>45092.625</v>
      </c>
      <c r="E311" s="66" t="s">
        <v>2333</v>
      </c>
      <c r="F311" s="66" t="s">
        <v>1639</v>
      </c>
      <c r="G311" s="66" t="s">
        <v>5049</v>
      </c>
      <c r="H311" s="44" t="s">
        <v>5048</v>
      </c>
      <c r="I311" s="44" t="s">
        <v>5050</v>
      </c>
      <c r="J311" s="66" t="s">
        <v>301</v>
      </c>
      <c r="K311" s="66">
        <v>3770</v>
      </c>
      <c r="L311" s="66" t="s">
        <v>5118</v>
      </c>
      <c r="M311" s="66">
        <v>20591</v>
      </c>
      <c r="N311" s="66">
        <f>SUM(Prog_23[[#This Row],[TARA]]+Prog_23[[#This Row],[PESO]])</f>
        <v>24361</v>
      </c>
      <c r="O311" s="44" t="s">
        <v>5109</v>
      </c>
      <c r="P311" s="66" t="s">
        <v>5051</v>
      </c>
      <c r="Q311" s="66" t="s">
        <v>92</v>
      </c>
      <c r="R311" s="66" t="s">
        <v>93</v>
      </c>
      <c r="S311" s="66" t="s">
        <v>94</v>
      </c>
      <c r="T311" s="138" t="str">
        <f>IFERROR(LOOKUP($S311,MOTORISTAS!$D$3:$D$916,MOTORISTAS!E$3:$E$916),"")</f>
        <v>26283419801</v>
      </c>
      <c r="U311" s="138" t="str">
        <f>IFERROR(LOOKUP($S311,MOTORISTAS!$D$3:$D$916,MOTORISTAS!F$3:$F$916),"")</f>
        <v>02002046946</v>
      </c>
      <c r="V311" s="66" t="s">
        <v>1805</v>
      </c>
      <c r="W311" s="79">
        <v>45091.414583333331</v>
      </c>
      <c r="X311" s="79">
        <v>45092.291666666664</v>
      </c>
      <c r="Y311" s="79">
        <v>45092.631944444445</v>
      </c>
      <c r="Z311" s="66" t="s">
        <v>537</v>
      </c>
      <c r="AA311" s="79">
        <v>45093.500694444447</v>
      </c>
      <c r="AB311" s="79">
        <v>45091.75</v>
      </c>
      <c r="AC311" s="79">
        <v>45091.75</v>
      </c>
      <c r="AD311" s="79">
        <v>45091.75</v>
      </c>
      <c r="AE311" s="66" t="s">
        <v>708</v>
      </c>
      <c r="AF311" s="44" t="s">
        <v>5110</v>
      </c>
      <c r="AG311" s="254">
        <f>Prog_23[[#This Row],[SAÍDA DO CLIENTE]]-Prog_23[[#This Row],[PROGRAMAÇÃO CLIENTE]]</f>
        <v>6.9444444452528842E-3</v>
      </c>
      <c r="AH311" s="44"/>
      <c r="AI311" s="66"/>
      <c r="AJ311" s="66"/>
      <c r="AK311" s="66"/>
      <c r="AL311" s="66"/>
      <c r="AM311" s="66"/>
      <c r="AN311" s="83"/>
      <c r="AO311" s="83"/>
      <c r="AP311" s="83"/>
      <c r="AQ311" s="66"/>
      <c r="AR311" s="66"/>
      <c r="AS311" s="66"/>
      <c r="AT311" s="81">
        <v>8000</v>
      </c>
      <c r="AU311" s="81"/>
      <c r="AV311" s="81"/>
      <c r="AW311" s="81"/>
      <c r="AX311" s="83">
        <f>SUM(Prog_23[[#This Row],[ADIANTAMENTO]]+Prog_23[[#This Row],[SALDO]]+Prog_23[[#This Row],[MARGEM]]+Prog_23[[#This Row],[ESTADIA 1]])</f>
        <v>8000</v>
      </c>
      <c r="AY3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10950</v>
      </c>
      <c r="AZ311" s="81">
        <v>10950</v>
      </c>
      <c r="BA311" s="81">
        <v>0</v>
      </c>
      <c r="BB311" s="81">
        <f>Prog_23[[#This Row],[VLR NF]]*0.1%</f>
        <v>0</v>
      </c>
      <c r="BC311" s="81">
        <f>Prog_23[[#This Row],[VLR NF]]*0.05%</f>
        <v>0</v>
      </c>
      <c r="BD311" s="81"/>
      <c r="BE311" s="81"/>
      <c r="BF311" s="81"/>
      <c r="BG311" s="81"/>
      <c r="BH311" s="81"/>
      <c r="BI311" s="81"/>
      <c r="BJ311" s="81"/>
      <c r="BK311" s="81"/>
      <c r="BL311" s="81"/>
      <c r="BM311" s="81"/>
      <c r="BN311" s="66" t="s">
        <v>2768</v>
      </c>
      <c r="BO311" s="66" t="s">
        <v>2768</v>
      </c>
      <c r="BP311" s="66" t="s">
        <v>2768</v>
      </c>
      <c r="BQ311" s="66" t="str">
        <f>PROPER(TEXT(Prog_23[[#This Row],[PROGRAMAÇÃO CLIENTE]],"mmm"))</f>
        <v>Jun</v>
      </c>
      <c r="BR311" s="66">
        <f>YEAR(Prog_23[[#This Row],[PROGRAMAÇÃO CLIENTE]])</f>
        <v>2023</v>
      </c>
    </row>
    <row r="312" spans="1:70" x14ac:dyDescent="0.25">
      <c r="A312" s="201" t="str">
        <f>Prog_23[[#This Row],[CONTEINER]]</f>
        <v>LGEU6594911</v>
      </c>
      <c r="B312" s="86" t="s">
        <v>2771</v>
      </c>
      <c r="C3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2" s="85">
        <v>45093.333333333336</v>
      </c>
      <c r="E312" s="66" t="s">
        <v>297</v>
      </c>
      <c r="F312" s="66" t="s">
        <v>298</v>
      </c>
      <c r="G312" s="66" t="s">
        <v>5080</v>
      </c>
      <c r="H312" s="44" t="s">
        <v>5073</v>
      </c>
      <c r="I312" s="44" t="s">
        <v>5133</v>
      </c>
      <c r="J312" s="66" t="s">
        <v>301</v>
      </c>
      <c r="K312" s="66">
        <v>3890</v>
      </c>
      <c r="L312" s="66" t="s">
        <v>5119</v>
      </c>
      <c r="M312" s="66">
        <v>15125</v>
      </c>
      <c r="N312" s="66">
        <f>SUM(Prog_23[[#This Row],[TARA]]+Prog_23[[#This Row],[PESO]])</f>
        <v>19015</v>
      </c>
      <c r="O312" s="44">
        <v>871661</v>
      </c>
      <c r="P312" s="66" t="s">
        <v>5074</v>
      </c>
      <c r="Q312" s="66" t="s">
        <v>106</v>
      </c>
      <c r="R312" s="66" t="s">
        <v>107</v>
      </c>
      <c r="S312" s="66" t="s">
        <v>108</v>
      </c>
      <c r="T312" s="138" t="str">
        <f>IFERROR(LOOKUP($S312,MOTORISTAS!$D$3:$D$916,MOTORISTAS!E$3:$E$916),"")</f>
        <v>34927982840</v>
      </c>
      <c r="U312" s="138" t="str">
        <f>IFERROR(LOOKUP($S312,MOTORISTAS!$D$3:$D$916,MOTORISTAS!F$3:$F$916),"")</f>
        <v>03500129879</v>
      </c>
      <c r="V312" s="66" t="s">
        <v>292</v>
      </c>
      <c r="W312" s="79">
        <v>45092.469444444447</v>
      </c>
      <c r="X312" s="79">
        <v>45093.28125</v>
      </c>
      <c r="Y312" s="79">
        <v>45093.791666666664</v>
      </c>
      <c r="Z312" s="66" t="s">
        <v>410</v>
      </c>
      <c r="AA312" s="79">
        <v>45094.294444444444</v>
      </c>
      <c r="AB312" s="79">
        <v>45094.291666666664</v>
      </c>
      <c r="AC312" s="79">
        <v>45093.5</v>
      </c>
      <c r="AD312" s="79">
        <v>45098.75</v>
      </c>
      <c r="AE312" s="66" t="s">
        <v>352</v>
      </c>
      <c r="AF312" s="44"/>
      <c r="AG312" s="254">
        <f>Prog_23[[#This Row],[SAÍDA DO CLIENTE]]-Prog_23[[#This Row],[PROGRAMAÇÃO CLIENTE]]</f>
        <v>0.45833333332848269</v>
      </c>
      <c r="AH312" s="44"/>
      <c r="AI312" s="66"/>
      <c r="AJ312" s="66"/>
      <c r="AK312" s="66"/>
      <c r="AL312" s="66"/>
      <c r="AM312" s="66"/>
      <c r="AN312" s="83"/>
      <c r="AO312" s="83"/>
      <c r="AP312" s="83"/>
      <c r="AQ312" s="66"/>
      <c r="AR312" s="66"/>
      <c r="AS312" s="66"/>
      <c r="AT312" s="81">
        <v>3000</v>
      </c>
      <c r="AU312" s="81"/>
      <c r="AV312" s="81"/>
      <c r="AW312" s="81"/>
      <c r="AX312" s="83">
        <f>SUM(Prog_23[[#This Row],[ADIANTAMENTO]]+Prog_23[[#This Row],[SALDO]]+Prog_23[[#This Row],[MARGEM]]+Prog_23[[#This Row],[ESTADIA 1]])</f>
        <v>3000</v>
      </c>
      <c r="AY3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4510</v>
      </c>
      <c r="AZ312" s="81">
        <v>3488.8</v>
      </c>
      <c r="BA312" s="81">
        <v>93885.74</v>
      </c>
      <c r="BB312" s="81">
        <v>0</v>
      </c>
      <c r="BC312" s="81">
        <v>0</v>
      </c>
      <c r="BD312" s="81">
        <v>511.2</v>
      </c>
      <c r="BE312" s="81"/>
      <c r="BF312" s="81"/>
      <c r="BG312" s="81"/>
      <c r="BH312" s="81"/>
      <c r="BI312" s="81"/>
      <c r="BJ312" s="81"/>
      <c r="BK312" s="81"/>
      <c r="BL312" s="81"/>
      <c r="BM312" s="81">
        <f>85*6</f>
        <v>510</v>
      </c>
      <c r="BN312" s="66" t="s">
        <v>2768</v>
      </c>
      <c r="BO312" s="66" t="s">
        <v>2768</v>
      </c>
      <c r="BP312" s="66" t="s">
        <v>2768</v>
      </c>
      <c r="BQ312" s="66" t="str">
        <f>PROPER(TEXT(Prog_23[[#This Row],[PROGRAMAÇÃO CLIENTE]],"mmm"))</f>
        <v>Jun</v>
      </c>
      <c r="BR312" s="66">
        <f>YEAR(Prog_23[[#This Row],[PROGRAMAÇÃO CLIENTE]])</f>
        <v>2023</v>
      </c>
    </row>
    <row r="313" spans="1:70" x14ac:dyDescent="0.25">
      <c r="A313" s="200" t="str">
        <f>Prog_23[[#This Row],[CONTEINER]]</f>
        <v>TCLU3062534</v>
      </c>
      <c r="B313" s="86" t="s">
        <v>2771</v>
      </c>
      <c r="C3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3" s="85">
        <v>45093.291666666664</v>
      </c>
      <c r="E313" s="66" t="s">
        <v>696</v>
      </c>
      <c r="F313" s="66" t="s">
        <v>697</v>
      </c>
      <c r="G313" s="66" t="s">
        <v>5131</v>
      </c>
      <c r="H313" s="44">
        <v>7325</v>
      </c>
      <c r="I313" s="44" t="s">
        <v>5106</v>
      </c>
      <c r="J313" s="66" t="s">
        <v>288</v>
      </c>
      <c r="K313" s="66">
        <v>2200</v>
      </c>
      <c r="L313" s="66">
        <v>1193125</v>
      </c>
      <c r="M313" s="66">
        <v>3381</v>
      </c>
      <c r="N313" s="66">
        <f>SUM(Prog_23[[#This Row],[TARA]]+Prog_23[[#This Row],[PESO]])</f>
        <v>5581</v>
      </c>
      <c r="O313" s="44" t="s">
        <v>5132</v>
      </c>
      <c r="P313" s="66" t="s">
        <v>5107</v>
      </c>
      <c r="Q313" s="66" t="s">
        <v>31</v>
      </c>
      <c r="R313" s="66" t="s">
        <v>3246</v>
      </c>
      <c r="S313" s="66" t="s">
        <v>33</v>
      </c>
      <c r="T313" s="138" t="str">
        <f>IFERROR(LOOKUP($S313,MOTORISTAS!$D$3:$D$916,MOTORISTAS!E$3:$E$916),"")</f>
        <v>09776430856</v>
      </c>
      <c r="U313" s="138" t="str">
        <f>IFERROR(LOOKUP($S313,MOTORISTAS!$D$3:$D$916,MOTORISTAS!F$3:$F$916),"")</f>
        <v>01258979905</v>
      </c>
      <c r="V313" s="66" t="s">
        <v>293</v>
      </c>
      <c r="W313" s="79">
        <v>45092.951388888891</v>
      </c>
      <c r="X313" s="79">
        <v>45093.041666666664</v>
      </c>
      <c r="Y313" s="79">
        <v>45093.326388888891</v>
      </c>
      <c r="Z313" s="66" t="s">
        <v>469</v>
      </c>
      <c r="AA313" s="79">
        <v>45093.646527777775</v>
      </c>
      <c r="AB313" s="79">
        <v>45093.791666666664</v>
      </c>
      <c r="AC313" s="79">
        <v>45093.791666666664</v>
      </c>
      <c r="AD313" s="79">
        <v>45093.791666666664</v>
      </c>
      <c r="AE313" s="66" t="s">
        <v>708</v>
      </c>
      <c r="AF313" s="44"/>
      <c r="AG313" s="254">
        <f>Prog_23[[#This Row],[SAÍDA DO CLIENTE]]-Prog_23[[#This Row],[PROGRAMAÇÃO CLIENTE]]</f>
        <v>3.4722222226264421E-2</v>
      </c>
      <c r="AH313" s="44"/>
      <c r="AI313" s="66"/>
      <c r="AJ313" s="66"/>
      <c r="AK313" s="66"/>
      <c r="AL313" s="66"/>
      <c r="AM313" s="66"/>
      <c r="AN313" s="83"/>
      <c r="AO313" s="83"/>
      <c r="AP313" s="83"/>
      <c r="AQ313" s="66"/>
      <c r="AR313" s="66"/>
      <c r="AS313" s="66"/>
      <c r="AT313" s="81">
        <v>1900</v>
      </c>
      <c r="AU313" s="81"/>
      <c r="AV313" s="81"/>
      <c r="AW313" s="81"/>
      <c r="AX313" s="83">
        <f>SUM(Prog_23[[#This Row],[ADIANTAMENTO]]+Prog_23[[#This Row],[SALDO]]+Prog_23[[#This Row],[MARGEM]]+Prog_23[[#This Row],[ESTADIA 1]])</f>
        <v>1900</v>
      </c>
      <c r="AY3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13" s="81"/>
      <c r="BA313" s="81"/>
      <c r="BB313" s="81">
        <f>Prog_23[[#This Row],[VLR NF]]*0.1%</f>
        <v>0</v>
      </c>
      <c r="BC313" s="81">
        <f>Prog_23[[#This Row],[VLR NF]]*0.05%</f>
        <v>0</v>
      </c>
      <c r="BD313" s="81"/>
      <c r="BE313" s="81"/>
      <c r="BF313" s="81"/>
      <c r="BG313" s="81"/>
      <c r="BH313" s="81"/>
      <c r="BI313" s="81"/>
      <c r="BJ313" s="81"/>
      <c r="BK313" s="81"/>
      <c r="BL313" s="81"/>
      <c r="BM313" s="81"/>
      <c r="BN313" s="66" t="s">
        <v>2768</v>
      </c>
      <c r="BO313" s="66" t="s">
        <v>2768</v>
      </c>
      <c r="BP313" s="66" t="s">
        <v>2768</v>
      </c>
      <c r="BQ313" s="66" t="str">
        <f>PROPER(TEXT(Prog_23[[#This Row],[PROGRAMAÇÃO CLIENTE]],"mmm"))</f>
        <v>Jun</v>
      </c>
      <c r="BR313" s="66">
        <f>YEAR(Prog_23[[#This Row],[PROGRAMAÇÃO CLIENTE]])</f>
        <v>2023</v>
      </c>
    </row>
    <row r="314" spans="1:70" x14ac:dyDescent="0.25">
      <c r="A314" s="200" t="str">
        <f>Prog_23[[#This Row],[CONTEINER]]</f>
        <v>FSCU7243568</v>
      </c>
      <c r="B314" s="86" t="s">
        <v>2909</v>
      </c>
      <c r="C3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4" s="85">
        <v>45096.375</v>
      </c>
      <c r="E314" s="66" t="s">
        <v>297</v>
      </c>
      <c r="F314" s="66" t="s">
        <v>298</v>
      </c>
      <c r="G314" s="66" t="s">
        <v>5125</v>
      </c>
      <c r="H314" s="44">
        <v>62561710</v>
      </c>
      <c r="I314" s="44" t="s">
        <v>5157</v>
      </c>
      <c r="J314" s="66" t="s">
        <v>301</v>
      </c>
      <c r="K314" s="66">
        <v>3700</v>
      </c>
      <c r="L314" s="66" t="s">
        <v>5158</v>
      </c>
      <c r="M314" s="66">
        <v>21222</v>
      </c>
      <c r="N314" s="66">
        <f>SUM(Prog_23[[#This Row],[TARA]]+Prog_23[[#This Row],[PESO]])</f>
        <v>24922</v>
      </c>
      <c r="O314" s="44">
        <v>872737</v>
      </c>
      <c r="P314" s="66" t="s">
        <v>4994</v>
      </c>
      <c r="Q314" s="66" t="s">
        <v>87</v>
      </c>
      <c r="R314" s="66" t="s">
        <v>88</v>
      </c>
      <c r="S314" s="66" t="s">
        <v>89</v>
      </c>
      <c r="T314" s="138" t="str">
        <f>IFERROR(LOOKUP($S314,MOTORISTAS!$D$3:$D$916,MOTORISTAS!E$3:$E$916),"")</f>
        <v>00097734527</v>
      </c>
      <c r="U314" s="138" t="str">
        <f>IFERROR(LOOKUP($S314,MOTORISTAS!$D$3:$D$916,MOTORISTAS!F$3:$F$916),"")</f>
        <v>03148346870</v>
      </c>
      <c r="V314" s="66" t="s">
        <v>292</v>
      </c>
      <c r="W314" s="79">
        <v>45094.455555555556</v>
      </c>
      <c r="X314" s="79">
        <v>45096.117361111108</v>
      </c>
      <c r="Y314" s="85">
        <v>45097.791666666664</v>
      </c>
      <c r="Z314" s="66" t="s">
        <v>293</v>
      </c>
      <c r="AA314" s="79">
        <v>45097.96875</v>
      </c>
      <c r="AB314" s="79">
        <v>45096.833333333336</v>
      </c>
      <c r="AC314" s="79">
        <v>45097.75</v>
      </c>
      <c r="AD314" s="79">
        <v>45100.5</v>
      </c>
      <c r="AE314" s="66" t="s">
        <v>2743</v>
      </c>
      <c r="AF314" s="44">
        <v>16476</v>
      </c>
      <c r="AG314" s="254">
        <f>Prog_23[[#This Row],[SAÍDA DO CLIENTE]]-Prog_23[[#This Row],[PROGRAMAÇÃO CLIENTE]]</f>
        <v>1.4166666666642413</v>
      </c>
      <c r="AH314" s="44"/>
      <c r="AI314" s="66"/>
      <c r="AJ314" s="66"/>
      <c r="AK314" s="66"/>
      <c r="AL314" s="66"/>
      <c r="AM314" s="66"/>
      <c r="AN314" s="83"/>
      <c r="AO314" s="83"/>
      <c r="AP314" s="83"/>
      <c r="AQ314" s="66"/>
      <c r="AR314" s="66"/>
      <c r="AS314" s="66"/>
      <c r="AT314" s="81"/>
      <c r="AU314" s="81"/>
      <c r="AV314" s="81"/>
      <c r="AW314" s="81"/>
      <c r="AX314" s="83">
        <f>SUM(Prog_23[[#This Row],[ADIANTAMENTO]]+Prog_23[[#This Row],[SALDO]]+Prog_23[[#This Row],[MARGEM]]+Prog_23[[#This Row],[ESTADIA 1]])</f>
        <v>0</v>
      </c>
      <c r="AY3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7055</v>
      </c>
      <c r="AZ314" s="81">
        <v>3488.8</v>
      </c>
      <c r="BA314" s="81">
        <v>163647</v>
      </c>
      <c r="BB314" s="81">
        <v>0</v>
      </c>
      <c r="BC314" s="81">
        <v>0</v>
      </c>
      <c r="BD314" s="81">
        <v>511.2</v>
      </c>
      <c r="BE314" s="81"/>
      <c r="BF314" s="81"/>
      <c r="BG314" s="81"/>
      <c r="BH314" s="81"/>
      <c r="BI314" s="81"/>
      <c r="BJ314" s="81"/>
      <c r="BK314" s="81"/>
      <c r="BL314" s="81">
        <v>250</v>
      </c>
      <c r="BM314" s="81">
        <f>85*33</f>
        <v>2805</v>
      </c>
      <c r="BN314" s="66" t="s">
        <v>2768</v>
      </c>
      <c r="BO314" s="66"/>
      <c r="BP314" s="66"/>
      <c r="BQ314" s="66" t="str">
        <f>PROPER(TEXT(Prog_23[[#This Row],[PROGRAMAÇÃO CLIENTE]],"mmm"))</f>
        <v>Jun</v>
      </c>
      <c r="BR314" s="66">
        <f>YEAR(Prog_23[[#This Row],[PROGRAMAÇÃO CLIENTE]])</f>
        <v>2023</v>
      </c>
    </row>
    <row r="315" spans="1:70" x14ac:dyDescent="0.25">
      <c r="A315" s="200" t="str">
        <f>Prog_23[[#This Row],[CONTEINER]]</f>
        <v>HLBU1820483</v>
      </c>
      <c r="B315" s="86" t="s">
        <v>2909</v>
      </c>
      <c r="C3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5" s="85">
        <v>45096.458333333336</v>
      </c>
      <c r="E315" s="66" t="s">
        <v>297</v>
      </c>
      <c r="F315" s="66" t="s">
        <v>298</v>
      </c>
      <c r="G315" s="66" t="s">
        <v>5123</v>
      </c>
      <c r="H315" s="44">
        <v>62561710</v>
      </c>
      <c r="I315" s="44" t="s">
        <v>5155</v>
      </c>
      <c r="J315" s="66" t="s">
        <v>301</v>
      </c>
      <c r="K315" s="66">
        <v>3950</v>
      </c>
      <c r="L315" s="66" t="s">
        <v>5156</v>
      </c>
      <c r="M315" s="66">
        <v>23493</v>
      </c>
      <c r="N315" s="66">
        <f>SUM(Prog_23[[#This Row],[TARA]]+Prog_23[[#This Row],[PESO]])</f>
        <v>27443</v>
      </c>
      <c r="O315" s="44">
        <v>872034</v>
      </c>
      <c r="P315" s="66" t="s">
        <v>4994</v>
      </c>
      <c r="Q315" s="66" t="s">
        <v>3708</v>
      </c>
      <c r="R315" s="66" t="s">
        <v>4703</v>
      </c>
      <c r="S315" s="66" t="s">
        <v>84</v>
      </c>
      <c r="T315" s="138" t="str">
        <f>IFERROR(LOOKUP($S315,MOTORISTAS!$D$3:$D$916,MOTORISTAS!E$3:$E$916),"")</f>
        <v>15921106810</v>
      </c>
      <c r="U315" s="138" t="str">
        <f>IFERROR(LOOKUP($S315,MOTORISTAS!$D$3:$D$916,MOTORISTAS!F$3:$F$916),"")</f>
        <v>02351127968</v>
      </c>
      <c r="V315" s="66" t="s">
        <v>292</v>
      </c>
      <c r="W315" s="79">
        <v>45094.357638888891</v>
      </c>
      <c r="X315" s="79">
        <v>45096.208333333336</v>
      </c>
      <c r="Y315" s="85">
        <v>45096.385416666664</v>
      </c>
      <c r="Z315" s="66" t="s">
        <v>293</v>
      </c>
      <c r="AA315" s="79">
        <v>45099.026388888888</v>
      </c>
      <c r="AB315" s="79">
        <v>45096.833333333336</v>
      </c>
      <c r="AC315" s="79">
        <v>45097.75</v>
      </c>
      <c r="AD315" s="79">
        <v>45100.5</v>
      </c>
      <c r="AE315" s="66" t="s">
        <v>2743</v>
      </c>
      <c r="AF315" s="44">
        <v>16450</v>
      </c>
      <c r="AG315" s="254">
        <f>Prog_23[[#This Row],[SAÍDA DO CLIENTE]]-Prog_23[[#This Row],[PROGRAMAÇÃO CLIENTE]]</f>
        <v>-7.2916666671517305E-2</v>
      </c>
      <c r="AH315" s="44"/>
      <c r="AI315" s="66"/>
      <c r="AJ315" s="66"/>
      <c r="AK315" s="66" t="s">
        <v>393</v>
      </c>
      <c r="AL315" s="79">
        <v>45097.583333333336</v>
      </c>
      <c r="AM315" s="66"/>
      <c r="AN315" s="83">
        <v>950</v>
      </c>
      <c r="AO315" s="83"/>
      <c r="AP315" s="83"/>
      <c r="AQ315" s="66"/>
      <c r="AR315" s="66"/>
      <c r="AS315" s="66"/>
      <c r="AT315" s="81">
        <v>3200</v>
      </c>
      <c r="AU315" s="81"/>
      <c r="AV315" s="81"/>
      <c r="AW315" s="81"/>
      <c r="AX315" s="83">
        <f>SUM(Prog_23[[#This Row],[ADIANTAMENTO]]+Prog_23[[#This Row],[SALDO]]+Prog_23[[#This Row],[MARGEM]]+Prog_23[[#This Row],[ESTADIA 1]])</f>
        <v>3200</v>
      </c>
      <c r="AY3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15" s="81">
        <v>3488.8</v>
      </c>
      <c r="BA315" s="81">
        <v>88971.71</v>
      </c>
      <c r="BB315" s="81">
        <v>0</v>
      </c>
      <c r="BC315" s="81">
        <v>0</v>
      </c>
      <c r="BD315" s="81">
        <v>511.2</v>
      </c>
      <c r="BE315" s="81"/>
      <c r="BF315" s="81"/>
      <c r="BG315" s="81"/>
      <c r="BH315" s="81"/>
      <c r="BI315" s="81"/>
      <c r="BJ315" s="81"/>
      <c r="BK315" s="81"/>
      <c r="BL315" s="81">
        <v>250</v>
      </c>
      <c r="BM315" s="81"/>
      <c r="BN315" s="66" t="s">
        <v>2768</v>
      </c>
      <c r="BO315" s="66"/>
      <c r="BP315" s="66"/>
      <c r="BQ315" s="66" t="str">
        <f>PROPER(TEXT(Prog_23[[#This Row],[PROGRAMAÇÃO CLIENTE]],"mmm"))</f>
        <v>Jun</v>
      </c>
      <c r="BR315" s="66">
        <f>YEAR(Prog_23[[#This Row],[PROGRAMAÇÃO CLIENTE]])</f>
        <v>2023</v>
      </c>
    </row>
    <row r="316" spans="1:70" x14ac:dyDescent="0.25">
      <c r="A316" s="200" t="str">
        <f>Prog_23[[#This Row],[CONTEINER]]</f>
        <v>BMOU5625060</v>
      </c>
      <c r="B316" s="86" t="s">
        <v>2909</v>
      </c>
      <c r="C3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6" s="85">
        <v>45096.541666666664</v>
      </c>
      <c r="E316" s="66" t="s">
        <v>297</v>
      </c>
      <c r="F316" s="66" t="s">
        <v>298</v>
      </c>
      <c r="G316" s="66" t="s">
        <v>5121</v>
      </c>
      <c r="H316" s="44">
        <v>62561710</v>
      </c>
      <c r="I316" s="44" t="s">
        <v>5150</v>
      </c>
      <c r="J316" s="66" t="s">
        <v>301</v>
      </c>
      <c r="K316" s="66">
        <v>3850</v>
      </c>
      <c r="L316" s="66" t="s">
        <v>5151</v>
      </c>
      <c r="M316" s="66">
        <v>23492</v>
      </c>
      <c r="N316" s="66">
        <f>SUM(Prog_23[[#This Row],[TARA]]+Prog_23[[#This Row],[PESO]])</f>
        <v>27342</v>
      </c>
      <c r="O316" s="44">
        <v>872296</v>
      </c>
      <c r="P316" s="66" t="s">
        <v>4994</v>
      </c>
      <c r="Q316" s="66" t="s">
        <v>58</v>
      </c>
      <c r="R316" s="66" t="s">
        <v>59</v>
      </c>
      <c r="S316" s="66" t="s">
        <v>60</v>
      </c>
      <c r="T316" s="138" t="str">
        <f>IFERROR(LOOKUP($S316,MOTORISTAS!$D$3:$D$916,MOTORISTAS!E$3:$E$916),"")</f>
        <v>19482908805</v>
      </c>
      <c r="U316" s="138" t="str">
        <f>IFERROR(LOOKUP($S316,MOTORISTAS!$D$3:$D$916,MOTORISTAS!F$3:$F$916),"")</f>
        <v>03153303618</v>
      </c>
      <c r="V316" s="66" t="s">
        <v>292</v>
      </c>
      <c r="W316" s="66" t="s">
        <v>5154</v>
      </c>
      <c r="X316" s="79">
        <v>45096.238888888889</v>
      </c>
      <c r="Y316" s="85">
        <v>45096.833333333336</v>
      </c>
      <c r="Z316" s="66" t="s">
        <v>293</v>
      </c>
      <c r="AA316" s="79">
        <v>45097.03402777778</v>
      </c>
      <c r="AB316" s="79">
        <v>45096.833333333336</v>
      </c>
      <c r="AC316" s="79">
        <v>45097.75</v>
      </c>
      <c r="AD316" s="79">
        <v>45100.5</v>
      </c>
      <c r="AE316" s="66" t="s">
        <v>2743</v>
      </c>
      <c r="AF316" s="44" t="s">
        <v>5184</v>
      </c>
      <c r="AG316" s="254">
        <f>Prog_23[[#This Row],[SAÍDA DO CLIENTE]]-Prog_23[[#This Row],[PROGRAMAÇÃO CLIENTE]]</f>
        <v>0.29166666667151731</v>
      </c>
      <c r="AH316" s="44"/>
      <c r="AI316" s="66"/>
      <c r="AJ316" s="66"/>
      <c r="AK316" s="66"/>
      <c r="AL316" s="66"/>
      <c r="AM316" s="66"/>
      <c r="AN316" s="83"/>
      <c r="AO316" s="83"/>
      <c r="AP316" s="83"/>
      <c r="AQ316" s="66"/>
      <c r="AR316" s="66"/>
      <c r="AS316" s="66"/>
      <c r="AT316" s="81">
        <v>3200</v>
      </c>
      <c r="AU316" s="81"/>
      <c r="AV316" s="81"/>
      <c r="AW316" s="81"/>
      <c r="AX316" s="83">
        <f>SUM(Prog_23[[#This Row],[ADIANTAMENTO]]+Prog_23[[#This Row],[SALDO]]+Prog_23[[#This Row],[MARGEM]]+Prog_23[[#This Row],[ESTADIA 1]])</f>
        <v>3200</v>
      </c>
      <c r="AY3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16" s="81">
        <v>3488.8</v>
      </c>
      <c r="BA316" s="81"/>
      <c r="BB316" s="81">
        <f>Prog_23[[#This Row],[VLR NF]]*0.1%</f>
        <v>0</v>
      </c>
      <c r="BC316" s="81">
        <f>Prog_23[[#This Row],[VLR NF]]*0.05%</f>
        <v>0</v>
      </c>
      <c r="BD316" s="81">
        <v>511.2</v>
      </c>
      <c r="BE316" s="81"/>
      <c r="BF316" s="81"/>
      <c r="BG316" s="81"/>
      <c r="BH316" s="81"/>
      <c r="BI316" s="81"/>
      <c r="BJ316" s="81"/>
      <c r="BK316" s="81"/>
      <c r="BL316" s="81">
        <v>250</v>
      </c>
      <c r="BM316" s="81"/>
      <c r="BN316" s="66" t="s">
        <v>2768</v>
      </c>
      <c r="BO316" s="66"/>
      <c r="BP316" s="66"/>
      <c r="BQ316" s="66" t="str">
        <f>PROPER(TEXT(Prog_23[[#This Row],[PROGRAMAÇÃO CLIENTE]],"mmm"))</f>
        <v>Jun</v>
      </c>
      <c r="BR316" s="66">
        <f>YEAR(Prog_23[[#This Row],[PROGRAMAÇÃO CLIENTE]])</f>
        <v>2023</v>
      </c>
    </row>
    <row r="317" spans="1:70" x14ac:dyDescent="0.25">
      <c r="A317" s="201" t="str">
        <f>Prog_23[[#This Row],[CONTEINER]]</f>
        <v>TEMU6723065</v>
      </c>
      <c r="B317" s="86" t="s">
        <v>2909</v>
      </c>
      <c r="C3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7" s="85">
        <v>45096.541666666664</v>
      </c>
      <c r="E317" s="66" t="s">
        <v>297</v>
      </c>
      <c r="F317" s="66" t="s">
        <v>298</v>
      </c>
      <c r="G317" s="66" t="s">
        <v>5122</v>
      </c>
      <c r="H317" s="44">
        <v>62561710</v>
      </c>
      <c r="I317" s="44" t="s">
        <v>5152</v>
      </c>
      <c r="J317" s="66" t="s">
        <v>301</v>
      </c>
      <c r="K317" s="66">
        <v>3890</v>
      </c>
      <c r="L317" s="66" t="s">
        <v>5153</v>
      </c>
      <c r="M317" s="66">
        <v>10939</v>
      </c>
      <c r="N317" s="66">
        <f>SUM(Prog_23[[#This Row],[TARA]]+Prog_23[[#This Row],[PESO]])</f>
        <v>14829</v>
      </c>
      <c r="O317" s="44">
        <v>872335</v>
      </c>
      <c r="P317" s="66" t="s">
        <v>4994</v>
      </c>
      <c r="Q317" s="66" t="s">
        <v>114</v>
      </c>
      <c r="R317" s="66" t="s">
        <v>5137</v>
      </c>
      <c r="S317" s="66" t="s">
        <v>5138</v>
      </c>
      <c r="T317" s="138" t="str">
        <f>IFERROR(LOOKUP($S317,MOTORISTAS!$D$3:$D$916,MOTORISTAS!E$3:$E$916),"")</f>
        <v>29656377885</v>
      </c>
      <c r="U317" s="138" t="str">
        <f>IFERROR(LOOKUP($S317,MOTORISTAS!$D$3:$D$916,MOTORISTAS!F$3:$F$916),"")</f>
        <v>00957717305</v>
      </c>
      <c r="V317" s="66" t="s">
        <v>292</v>
      </c>
      <c r="W317" s="79">
        <v>45093.709027777775</v>
      </c>
      <c r="X317" s="79">
        <v>45096.270833333336</v>
      </c>
      <c r="Y317" s="85">
        <v>45096.993055555555</v>
      </c>
      <c r="Z317" s="66" t="s">
        <v>293</v>
      </c>
      <c r="AA317" s="79">
        <v>45097.20208333333</v>
      </c>
      <c r="AB317" s="79">
        <v>45096.833333333336</v>
      </c>
      <c r="AC317" s="79">
        <v>45097.75</v>
      </c>
      <c r="AD317" s="79">
        <v>45100.5</v>
      </c>
      <c r="AE317" s="66" t="s">
        <v>2743</v>
      </c>
      <c r="AF317" s="44" t="s">
        <v>5185</v>
      </c>
      <c r="AG317" s="254">
        <f>Prog_23[[#This Row],[SAÍDA DO CLIENTE]]-Prog_23[[#This Row],[PROGRAMAÇÃO CLIENTE]]</f>
        <v>0.45138888889050577</v>
      </c>
      <c r="AH317" s="44"/>
      <c r="AI317" s="66"/>
      <c r="AJ317" s="66"/>
      <c r="AK317" s="66"/>
      <c r="AL317" s="66"/>
      <c r="AM317" s="66"/>
      <c r="AN317" s="83"/>
      <c r="AO317" s="83"/>
      <c r="AP317" s="83"/>
      <c r="AQ317" s="66"/>
      <c r="AR317" s="66"/>
      <c r="AS317" s="66"/>
      <c r="AT317" s="81">
        <v>3200</v>
      </c>
      <c r="AU317" s="81"/>
      <c r="AV317" s="81"/>
      <c r="AW317" s="81"/>
      <c r="AX317" s="83">
        <f>SUM(Prog_23[[#This Row],[ADIANTAMENTO]]+Prog_23[[#This Row],[SALDO]]+Prog_23[[#This Row],[MARGEM]]+Prog_23[[#This Row],[ESTADIA 1]])</f>
        <v>3200</v>
      </c>
      <c r="AY3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17" s="81">
        <v>3488.8</v>
      </c>
      <c r="BA317" s="81"/>
      <c r="BB317" s="81">
        <f>Prog_23[[#This Row],[VLR NF]]*0.1%</f>
        <v>0</v>
      </c>
      <c r="BC317" s="81">
        <f>Prog_23[[#This Row],[VLR NF]]*0.05%</f>
        <v>0</v>
      </c>
      <c r="BD317" s="81">
        <v>511.2</v>
      </c>
      <c r="BE317" s="81"/>
      <c r="BF317" s="81"/>
      <c r="BG317" s="81"/>
      <c r="BH317" s="81"/>
      <c r="BI317" s="81"/>
      <c r="BJ317" s="81"/>
      <c r="BK317" s="81"/>
      <c r="BL317" s="81">
        <v>250</v>
      </c>
      <c r="BM317" s="81"/>
      <c r="BN317" s="66" t="s">
        <v>2768</v>
      </c>
      <c r="BO317" s="66"/>
      <c r="BP317" s="66"/>
      <c r="BQ317" s="66" t="str">
        <f>PROPER(TEXT(Prog_23[[#This Row],[PROGRAMAÇÃO CLIENTE]],"mmm"))</f>
        <v>Jun</v>
      </c>
      <c r="BR317" s="66">
        <f>YEAR(Prog_23[[#This Row],[PROGRAMAÇÃO CLIENTE]])</f>
        <v>2023</v>
      </c>
    </row>
    <row r="318" spans="1:70" x14ac:dyDescent="0.25">
      <c r="A318" s="201" t="str">
        <f>Prog_23[[#This Row],[CONTEINER]]</f>
        <v>UACU5723340</v>
      </c>
      <c r="B318" s="86" t="s">
        <v>2909</v>
      </c>
      <c r="C3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8" s="85">
        <v>45096.583333333336</v>
      </c>
      <c r="E318" s="66" t="s">
        <v>297</v>
      </c>
      <c r="F318" s="66" t="s">
        <v>298</v>
      </c>
      <c r="G318" s="66" t="s">
        <v>5124</v>
      </c>
      <c r="H318" s="44">
        <v>62561710</v>
      </c>
      <c r="I318" s="44" t="s">
        <v>5148</v>
      </c>
      <c r="J318" s="66" t="s">
        <v>301</v>
      </c>
      <c r="K318" s="66">
        <v>3800</v>
      </c>
      <c r="L318" s="66" t="s">
        <v>5149</v>
      </c>
      <c r="M318" s="66">
        <v>19006</v>
      </c>
      <c r="N318" s="66">
        <f>SUM(Prog_23[[#This Row],[TARA]]+Prog_23[[#This Row],[PESO]])</f>
        <v>22806</v>
      </c>
      <c r="O318" s="44">
        <v>872345</v>
      </c>
      <c r="P318" s="66" t="s">
        <v>4994</v>
      </c>
      <c r="Q318" s="66" t="s">
        <v>210</v>
      </c>
      <c r="R318" s="66" t="s">
        <v>211</v>
      </c>
      <c r="S318" s="66" t="s">
        <v>212</v>
      </c>
      <c r="T318" s="138" t="str">
        <f>IFERROR(LOOKUP($S318,MOTORISTAS!$D$3:$D$916,MOTORISTAS!E$3:$E$916),"")</f>
        <v>38029906846</v>
      </c>
      <c r="U318" s="138" t="str">
        <f>IFERROR(LOOKUP($S318,MOTORISTAS!$D$3:$D$916,MOTORISTAS!F$3:$F$916),"")</f>
        <v>04946846842</v>
      </c>
      <c r="V318" s="66" t="s">
        <v>292</v>
      </c>
      <c r="W318" s="79">
        <v>45093.964583333334</v>
      </c>
      <c r="X318" s="79">
        <v>45096.352083333331</v>
      </c>
      <c r="Y318" s="79">
        <v>45096.979166666664</v>
      </c>
      <c r="Z318" s="66" t="s">
        <v>293</v>
      </c>
      <c r="AA318" s="79">
        <v>45097.293749999997</v>
      </c>
      <c r="AB318" s="79">
        <v>45096.833333333336</v>
      </c>
      <c r="AC318" s="79">
        <v>45097.75</v>
      </c>
      <c r="AD318" s="79">
        <v>45100.5</v>
      </c>
      <c r="AE318" s="66" t="s">
        <v>2743</v>
      </c>
      <c r="AF318" s="44" t="s">
        <v>5186</v>
      </c>
      <c r="AG318" s="254">
        <f>Prog_23[[#This Row],[SAÍDA DO CLIENTE]]-Prog_23[[#This Row],[PROGRAMAÇÃO CLIENTE]]</f>
        <v>0.39583333332848269</v>
      </c>
      <c r="AH318" s="44"/>
      <c r="AI318" s="66"/>
      <c r="AJ318" s="66"/>
      <c r="AK318" s="66"/>
      <c r="AL318" s="66"/>
      <c r="AM318" s="66"/>
      <c r="AN318" s="83"/>
      <c r="AO318" s="83"/>
      <c r="AP318" s="83"/>
      <c r="AQ318" s="66"/>
      <c r="AR318" s="66"/>
      <c r="AS318" s="66"/>
      <c r="AT318" s="81">
        <v>3200</v>
      </c>
      <c r="AU318" s="81"/>
      <c r="AV318" s="81"/>
      <c r="AW318" s="81"/>
      <c r="AX318" s="83">
        <f>SUM(Prog_23[[#This Row],[ADIANTAMENTO]]+Prog_23[[#This Row],[SALDO]]+Prog_23[[#This Row],[MARGEM]]+Prog_23[[#This Row],[ESTADIA 1]])</f>
        <v>3200</v>
      </c>
      <c r="AY3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4590</v>
      </c>
      <c r="AZ318" s="81">
        <v>3488.8</v>
      </c>
      <c r="BA318" s="81"/>
      <c r="BB318" s="81">
        <f>Prog_23[[#This Row],[VLR NF]]*0.1%</f>
        <v>0</v>
      </c>
      <c r="BC318" s="81">
        <f>Prog_23[[#This Row],[VLR NF]]*0.05%</f>
        <v>0</v>
      </c>
      <c r="BD318" s="81">
        <v>511.2</v>
      </c>
      <c r="BE318" s="81"/>
      <c r="BF318" s="81"/>
      <c r="BG318" s="81"/>
      <c r="BH318" s="81"/>
      <c r="BI318" s="81"/>
      <c r="BJ318" s="81"/>
      <c r="BK318" s="81"/>
      <c r="BL318" s="81">
        <v>250</v>
      </c>
      <c r="BM318" s="81">
        <f>85*4</f>
        <v>340</v>
      </c>
      <c r="BN318" s="66" t="s">
        <v>2768</v>
      </c>
      <c r="BO318" s="66"/>
      <c r="BP318" s="66"/>
      <c r="BQ318" s="66" t="str">
        <f>PROPER(TEXT(Prog_23[[#This Row],[PROGRAMAÇÃO CLIENTE]],"mmm"))</f>
        <v>Jun</v>
      </c>
      <c r="BR318" s="66">
        <f>YEAR(Prog_23[[#This Row],[PROGRAMAÇÃO CLIENTE]])</f>
        <v>2023</v>
      </c>
    </row>
    <row r="319" spans="1:70" x14ac:dyDescent="0.25">
      <c r="A319" s="200" t="str">
        <f>Prog_23[[#This Row],[CONTEINER]]</f>
        <v>HLBU2702090</v>
      </c>
      <c r="B319" s="86" t="s">
        <v>2909</v>
      </c>
      <c r="C3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19" s="85">
        <v>45097.375</v>
      </c>
      <c r="E319" s="66" t="s">
        <v>297</v>
      </c>
      <c r="F319" s="66" t="s">
        <v>298</v>
      </c>
      <c r="G319" s="66" t="s">
        <v>5127</v>
      </c>
      <c r="H319" s="44">
        <v>62561710</v>
      </c>
      <c r="I319" s="44" t="s">
        <v>5177</v>
      </c>
      <c r="J319" s="66" t="s">
        <v>301</v>
      </c>
      <c r="K319" s="66">
        <v>3900</v>
      </c>
      <c r="L319" s="66" t="s">
        <v>5178</v>
      </c>
      <c r="M319" s="66">
        <v>19006</v>
      </c>
      <c r="N319" s="66">
        <f>SUM(Prog_23[[#This Row],[TARA]]+Prog_23[[#This Row],[PESO]])</f>
        <v>22906</v>
      </c>
      <c r="O319" s="44">
        <v>872614</v>
      </c>
      <c r="P319" s="66" t="s">
        <v>4994</v>
      </c>
      <c r="Q319" s="66" t="s">
        <v>1729</v>
      </c>
      <c r="R319" s="66" t="s">
        <v>4556</v>
      </c>
      <c r="S319" s="66" t="s">
        <v>1731</v>
      </c>
      <c r="T319" s="138" t="str">
        <f>IFERROR(LOOKUP($S319,MOTORISTAS!$D$3:$D$916,MOTORISTAS!E$3:$E$916),"")</f>
        <v>03965340824</v>
      </c>
      <c r="U319" s="138" t="str">
        <f>IFERROR(LOOKUP($S319,MOTORISTAS!$D$3:$D$916,MOTORISTAS!F$3:$F$916),"")</f>
        <v>01420704735</v>
      </c>
      <c r="V319" s="66" t="s">
        <v>292</v>
      </c>
      <c r="W319" s="66"/>
      <c r="X319" s="79">
        <v>45097.083333333336</v>
      </c>
      <c r="Y319" s="79">
        <v>45097.5625</v>
      </c>
      <c r="Z319" s="66" t="s">
        <v>293</v>
      </c>
      <c r="AA319" s="79">
        <v>45097.852777777778</v>
      </c>
      <c r="AB319" s="79">
        <v>45096.833333333336</v>
      </c>
      <c r="AC319" s="79">
        <v>45097.75</v>
      </c>
      <c r="AD319" s="79">
        <v>45100.5</v>
      </c>
      <c r="AE319" s="66" t="s">
        <v>2743</v>
      </c>
      <c r="AF319" s="44">
        <v>16470</v>
      </c>
      <c r="AG319" s="254">
        <f>Prog_23[[#This Row],[SAÍDA DO CLIENTE]]-Prog_23[[#This Row],[PROGRAMAÇÃO CLIENTE]]</f>
        <v>0.1875</v>
      </c>
      <c r="AH319" s="44"/>
      <c r="AI319" s="66"/>
      <c r="AJ319" s="66"/>
      <c r="AK319" s="66"/>
      <c r="AL319" s="66"/>
      <c r="AM319" s="66"/>
      <c r="AN319" s="83"/>
      <c r="AO319" s="83"/>
      <c r="AP319" s="83"/>
      <c r="AQ319" s="66"/>
      <c r="AR319" s="66"/>
      <c r="AS319" s="66"/>
      <c r="AT319" s="81"/>
      <c r="AU319" s="81"/>
      <c r="AV319" s="81"/>
      <c r="AW319" s="81"/>
      <c r="AX319" s="83">
        <f>SUM(Prog_23[[#This Row],[ADIANTAMENTO]]+Prog_23[[#This Row],[SALDO]]+Prog_23[[#This Row],[MARGEM]]+Prog_23[[#This Row],[ESTADIA 1]])</f>
        <v>0</v>
      </c>
      <c r="AY3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19" s="81">
        <v>3488.8</v>
      </c>
      <c r="BA319" s="81">
        <v>121603</v>
      </c>
      <c r="BB319" s="81">
        <v>0</v>
      </c>
      <c r="BC319" s="81">
        <v>0</v>
      </c>
      <c r="BD319" s="81">
        <v>511.2</v>
      </c>
      <c r="BE319" s="81"/>
      <c r="BF319" s="81"/>
      <c r="BG319" s="81"/>
      <c r="BH319" s="81"/>
      <c r="BI319" s="81"/>
      <c r="BJ319" s="81"/>
      <c r="BK319" s="81"/>
      <c r="BL319" s="81">
        <v>250</v>
      </c>
      <c r="BM319" s="81"/>
      <c r="BN319" s="66" t="s">
        <v>2768</v>
      </c>
      <c r="BO319" s="66"/>
      <c r="BP319" s="66"/>
      <c r="BQ319" s="66" t="str">
        <f>PROPER(TEXT(Prog_23[[#This Row],[PROGRAMAÇÃO CLIENTE]],"mmm"))</f>
        <v>Jun</v>
      </c>
      <c r="BR319" s="66">
        <f>YEAR(Prog_23[[#This Row],[PROGRAMAÇÃO CLIENTE]])</f>
        <v>2023</v>
      </c>
    </row>
    <row r="320" spans="1:70" x14ac:dyDescent="0.25">
      <c r="A320" s="201" t="str">
        <f>Prog_23[[#This Row],[CONTEINER]]</f>
        <v>TLLU5320620</v>
      </c>
      <c r="B320" s="86" t="s">
        <v>2909</v>
      </c>
      <c r="C3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20" s="85">
        <v>45097.458333333336</v>
      </c>
      <c r="E320" s="66" t="s">
        <v>297</v>
      </c>
      <c r="F320" s="66" t="s">
        <v>298</v>
      </c>
      <c r="G320" s="66" t="s">
        <v>5126</v>
      </c>
      <c r="H320" s="44">
        <v>62561710</v>
      </c>
      <c r="I320" s="44" t="s">
        <v>5175</v>
      </c>
      <c r="J320" s="66" t="s">
        <v>301</v>
      </c>
      <c r="K320" s="66">
        <v>3810</v>
      </c>
      <c r="L320" s="66" t="s">
        <v>5176</v>
      </c>
      <c r="M320" s="66">
        <v>21221</v>
      </c>
      <c r="N320" s="66">
        <f>SUM(Prog_23[[#This Row],[TARA]]+Prog_23[[#This Row],[PESO]])</f>
        <v>25031</v>
      </c>
      <c r="O320" s="44">
        <v>873307</v>
      </c>
      <c r="P320" s="66" t="s">
        <v>4994</v>
      </c>
      <c r="Q320" s="66" t="s">
        <v>2622</v>
      </c>
      <c r="R320" s="66" t="s">
        <v>2623</v>
      </c>
      <c r="S320" s="66" t="s">
        <v>2624</v>
      </c>
      <c r="T320" s="138" t="str">
        <f>IFERROR(LOOKUP($S320,MOTORISTAS!$D$3:$D$916,MOTORISTAS!E$3:$E$916),"")</f>
        <v>31147992568</v>
      </c>
      <c r="U320" s="138" t="str">
        <f>IFERROR(LOOKUP($S320,MOTORISTAS!$D$3:$D$916,MOTORISTAS!F$3:$F$916),"")</f>
        <v>03359999478</v>
      </c>
      <c r="V320" s="66" t="s">
        <v>292</v>
      </c>
      <c r="W320" s="79">
        <v>45096.741666666669</v>
      </c>
      <c r="X320" s="79">
        <v>45097.208333333336</v>
      </c>
      <c r="Y320" s="85">
        <v>45097.019444444442</v>
      </c>
      <c r="Z320" s="66" t="s">
        <v>293</v>
      </c>
      <c r="AA320" s="79">
        <v>45098.309027777781</v>
      </c>
      <c r="AB320" s="79">
        <v>45096.833333333336</v>
      </c>
      <c r="AC320" s="79">
        <v>45097.75</v>
      </c>
      <c r="AD320" s="79">
        <v>45100.5</v>
      </c>
      <c r="AE320" s="66" t="s">
        <v>2743</v>
      </c>
      <c r="AF320" s="44">
        <v>16487</v>
      </c>
      <c r="AG320" s="254">
        <f>Prog_23[[#This Row],[SAÍDA DO CLIENTE]]-Prog_23[[#This Row],[PROGRAMAÇÃO CLIENTE]]</f>
        <v>-0.43888888889341615</v>
      </c>
      <c r="AH320" s="44"/>
      <c r="AI320" s="66"/>
      <c r="AJ320" s="66"/>
      <c r="AK320" s="66"/>
      <c r="AL320" s="66"/>
      <c r="AM320" s="66"/>
      <c r="AN320" s="83"/>
      <c r="AO320" s="83"/>
      <c r="AP320" s="83"/>
      <c r="AQ320" s="66"/>
      <c r="AR320" s="66"/>
      <c r="AS320" s="66"/>
      <c r="AT320" s="81"/>
      <c r="AU320" s="81"/>
      <c r="AV320" s="81"/>
      <c r="AW320" s="81"/>
      <c r="AX320" s="83">
        <f>SUM(Prog_23[[#This Row],[ADIANTAMENTO]]+Prog_23[[#This Row],[SALDO]]+Prog_23[[#This Row],[MARGEM]]+Prog_23[[#This Row],[ESTADIA 1]])</f>
        <v>0</v>
      </c>
      <c r="AY3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4930</v>
      </c>
      <c r="AZ320" s="81">
        <v>3488.8</v>
      </c>
      <c r="BA320" s="81"/>
      <c r="BB320" s="81">
        <f>Prog_23[[#This Row],[VLR NF]]*0.1%</f>
        <v>0</v>
      </c>
      <c r="BC320" s="81">
        <f>Prog_23[[#This Row],[VLR NF]]*0.05%</f>
        <v>0</v>
      </c>
      <c r="BD320" s="81">
        <v>511.2</v>
      </c>
      <c r="BE320" s="81"/>
      <c r="BF320" s="81"/>
      <c r="BG320" s="81"/>
      <c r="BH320" s="81"/>
      <c r="BI320" s="81"/>
      <c r="BJ320" s="81"/>
      <c r="BK320" s="81"/>
      <c r="BL320" s="81">
        <v>250</v>
      </c>
      <c r="BM320" s="81">
        <f>85*8</f>
        <v>680</v>
      </c>
      <c r="BN320" s="66" t="s">
        <v>2768</v>
      </c>
      <c r="BO320" s="66"/>
      <c r="BP320" s="66"/>
      <c r="BQ320" s="66" t="str">
        <f>PROPER(TEXT(Prog_23[[#This Row],[PROGRAMAÇÃO CLIENTE]],"mmm"))</f>
        <v>Jun</v>
      </c>
      <c r="BR320" s="66">
        <f>YEAR(Prog_23[[#This Row],[PROGRAMAÇÃO CLIENTE]])</f>
        <v>2023</v>
      </c>
    </row>
    <row r="321" spans="1:70" x14ac:dyDescent="0.25">
      <c r="A321" s="200" t="str">
        <f>Prog_23[[#This Row],[CONTEINER]]</f>
        <v>BEAU4708865</v>
      </c>
      <c r="B321" s="86" t="s">
        <v>2909</v>
      </c>
      <c r="C3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21" s="85">
        <v>45097.541666666664</v>
      </c>
      <c r="E321" s="66" t="s">
        <v>297</v>
      </c>
      <c r="F321" s="66" t="s">
        <v>298</v>
      </c>
      <c r="G321" s="66" t="s">
        <v>5129</v>
      </c>
      <c r="H321" s="44">
        <v>62561710</v>
      </c>
      <c r="I321" s="44" t="s">
        <v>5173</v>
      </c>
      <c r="J321" s="66" t="s">
        <v>301</v>
      </c>
      <c r="K321" s="66">
        <v>3700</v>
      </c>
      <c r="L321" s="66" t="s">
        <v>5174</v>
      </c>
      <c r="M321" s="66">
        <v>19006</v>
      </c>
      <c r="N321" s="66">
        <f>SUM(Prog_23[[#This Row],[TARA]]+Prog_23[[#This Row],[PESO]])</f>
        <v>22706</v>
      </c>
      <c r="O321" s="44">
        <v>872903</v>
      </c>
      <c r="P321" s="66" t="s">
        <v>4994</v>
      </c>
      <c r="Q321" s="66" t="s">
        <v>3708</v>
      </c>
      <c r="R321" s="66" t="s">
        <v>4703</v>
      </c>
      <c r="S321" s="66" t="s">
        <v>84</v>
      </c>
      <c r="T321" s="138" t="str">
        <f>IFERROR(LOOKUP($S321,MOTORISTAS!$D$3:$D$916,MOTORISTAS!E$3:$E$916),"")</f>
        <v>15921106810</v>
      </c>
      <c r="U321" s="138" t="str">
        <f>IFERROR(LOOKUP($S321,MOTORISTAS!$D$3:$D$916,MOTORISTAS!F$3:$F$916),"")</f>
        <v>02351127968</v>
      </c>
      <c r="V321" s="66" t="s">
        <v>292</v>
      </c>
      <c r="W321" s="79">
        <v>45096.7</v>
      </c>
      <c r="X321" s="79">
        <v>45097.222222222219</v>
      </c>
      <c r="Y321" s="85">
        <v>45097.8125</v>
      </c>
      <c r="Z321" s="66" t="s">
        <v>293</v>
      </c>
      <c r="AA321" s="79">
        <v>45098.054861111108</v>
      </c>
      <c r="AB321" s="79">
        <v>45096.833333333336</v>
      </c>
      <c r="AC321" s="79">
        <v>45097.75</v>
      </c>
      <c r="AD321" s="79">
        <v>45100.5</v>
      </c>
      <c r="AE321" s="66" t="s">
        <v>2743</v>
      </c>
      <c r="AF321" s="44">
        <v>16477</v>
      </c>
      <c r="AG321" s="254">
        <f>Prog_23[[#This Row],[SAÍDA DO CLIENTE]]-Prog_23[[#This Row],[PROGRAMAÇÃO CLIENTE]]</f>
        <v>0.27083333333575865</v>
      </c>
      <c r="AH321" s="44"/>
      <c r="AI321" s="66"/>
      <c r="AJ321" s="66"/>
      <c r="AK321" s="66"/>
      <c r="AL321" s="66"/>
      <c r="AM321" s="66"/>
      <c r="AN321" s="83"/>
      <c r="AO321" s="83"/>
      <c r="AP321" s="83"/>
      <c r="AQ321" s="66"/>
      <c r="AR321" s="66"/>
      <c r="AS321" s="66"/>
      <c r="AT321" s="81"/>
      <c r="AU321" s="81"/>
      <c r="AV321" s="81"/>
      <c r="AW321" s="81"/>
      <c r="AX321" s="83">
        <f>SUM(Prog_23[[#This Row],[ADIANTAMENTO]]+Prog_23[[#This Row],[SALDO]]+Prog_23[[#This Row],[MARGEM]]+Prog_23[[#This Row],[ESTADIA 1]])</f>
        <v>0</v>
      </c>
      <c r="AY3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21" s="81">
        <v>3488.8</v>
      </c>
      <c r="BA321" s="81"/>
      <c r="BB321" s="81">
        <f>Prog_23[[#This Row],[VLR NF]]*0.1%</f>
        <v>0</v>
      </c>
      <c r="BC321" s="81">
        <f>Prog_23[[#This Row],[VLR NF]]*0.05%</f>
        <v>0</v>
      </c>
      <c r="BD321" s="81">
        <v>511.2</v>
      </c>
      <c r="BE321" s="81"/>
      <c r="BF321" s="81"/>
      <c r="BG321" s="81"/>
      <c r="BH321" s="81"/>
      <c r="BI321" s="81"/>
      <c r="BJ321" s="81"/>
      <c r="BK321" s="81"/>
      <c r="BL321" s="81">
        <v>250</v>
      </c>
      <c r="BM321" s="81"/>
      <c r="BN321" s="66" t="s">
        <v>2768</v>
      </c>
      <c r="BO321" s="66"/>
      <c r="BP321" s="66"/>
      <c r="BQ321" s="66" t="str">
        <f>PROPER(TEXT(Prog_23[[#This Row],[PROGRAMAÇÃO CLIENTE]],"mmm"))</f>
        <v>Jun</v>
      </c>
      <c r="BR321" s="66">
        <f>YEAR(Prog_23[[#This Row],[PROGRAMAÇÃO CLIENTE]])</f>
        <v>2023</v>
      </c>
    </row>
    <row r="322" spans="1:70" x14ac:dyDescent="0.25">
      <c r="A322" s="201" t="str">
        <f>Prog_23[[#This Row],[CONTEINER]]</f>
        <v>CAIU8131919</v>
      </c>
      <c r="B322" s="86" t="s">
        <v>2909</v>
      </c>
      <c r="C3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22" s="85">
        <v>45097.541666666664</v>
      </c>
      <c r="E322" s="66" t="s">
        <v>297</v>
      </c>
      <c r="F322" s="66" t="s">
        <v>298</v>
      </c>
      <c r="G322" s="66" t="s">
        <v>5128</v>
      </c>
      <c r="H322" s="44">
        <v>62561710</v>
      </c>
      <c r="I322" s="44" t="s">
        <v>5164</v>
      </c>
      <c r="J322" s="66" t="s">
        <v>301</v>
      </c>
      <c r="K322" s="66">
        <v>3870</v>
      </c>
      <c r="L322" s="66" t="s">
        <v>5165</v>
      </c>
      <c r="M322" s="66">
        <v>19006</v>
      </c>
      <c r="N322" s="66">
        <f>SUM(Prog_23[[#This Row],[TARA]]+Prog_23[[#This Row],[PESO]])</f>
        <v>22876</v>
      </c>
      <c r="O322" s="44">
        <v>873320</v>
      </c>
      <c r="P322" s="66" t="s">
        <v>4994</v>
      </c>
      <c r="Q322" s="66" t="s">
        <v>119</v>
      </c>
      <c r="R322" s="66" t="s">
        <v>120</v>
      </c>
      <c r="S322" s="66" t="s">
        <v>121</v>
      </c>
      <c r="T322" s="138" t="str">
        <f>IFERROR(LOOKUP($S322,MOTORISTAS!$D$3:$D$916,MOTORISTAS!E$3:$E$916),"")</f>
        <v>34597330801</v>
      </c>
      <c r="U322" s="138" t="str">
        <f>IFERROR(LOOKUP($S322,MOTORISTAS!$D$3:$D$916,MOTORISTAS!F$3:$F$916),"")</f>
        <v>03565076543</v>
      </c>
      <c r="V322" s="66" t="s">
        <v>292</v>
      </c>
      <c r="W322" s="79">
        <v>45096.618055555555</v>
      </c>
      <c r="X322" s="79">
        <v>45097.541666666664</v>
      </c>
      <c r="Y322" s="85">
        <v>45098.479166666664</v>
      </c>
      <c r="Z322" s="66" t="s">
        <v>293</v>
      </c>
      <c r="AA322" s="79">
        <v>45098.626388888886</v>
      </c>
      <c r="AB322" s="79">
        <v>45096.833333333336</v>
      </c>
      <c r="AC322" s="79">
        <v>45097.75</v>
      </c>
      <c r="AD322" s="79">
        <v>45100.5</v>
      </c>
      <c r="AE322" s="66" t="s">
        <v>2743</v>
      </c>
      <c r="AF322" s="44">
        <v>16490</v>
      </c>
      <c r="AG322" s="254">
        <f>Prog_23[[#This Row],[SAÍDA DO CLIENTE]]-Prog_23[[#This Row],[PROGRAMAÇÃO CLIENTE]]</f>
        <v>0.9375</v>
      </c>
      <c r="AH322" s="44"/>
      <c r="AI322" s="66"/>
      <c r="AJ322" s="66"/>
      <c r="AK322" s="66"/>
      <c r="AL322" s="66"/>
      <c r="AM322" s="66"/>
      <c r="AN322" s="83"/>
      <c r="AO322" s="83"/>
      <c r="AP322" s="83"/>
      <c r="AQ322" s="66"/>
      <c r="AR322" s="66"/>
      <c r="AS322" s="66"/>
      <c r="AT322" s="81"/>
      <c r="AU322" s="81"/>
      <c r="AV322" s="81"/>
      <c r="AW322" s="81"/>
      <c r="AX322" s="83">
        <f>SUM(Prog_23[[#This Row],[ADIANTAMENTO]]+Prog_23[[#This Row],[SALDO]]+Prog_23[[#This Row],[MARGEM]]+Prog_23[[#This Row],[ESTADIA 1]])</f>
        <v>0</v>
      </c>
      <c r="AY3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5635.5</v>
      </c>
      <c r="AZ322" s="81">
        <v>3488.8</v>
      </c>
      <c r="BA322" s="81"/>
      <c r="BB322" s="81">
        <f>Prog_23[[#This Row],[VLR NF]]*0.1%</f>
        <v>0</v>
      </c>
      <c r="BC322" s="81">
        <f>Prog_23[[#This Row],[VLR NF]]*0.05%</f>
        <v>0</v>
      </c>
      <c r="BD322" s="81">
        <v>511.2</v>
      </c>
      <c r="BE322" s="81"/>
      <c r="BF322" s="81"/>
      <c r="BG322" s="81"/>
      <c r="BH322" s="81"/>
      <c r="BI322" s="81"/>
      <c r="BJ322" s="81"/>
      <c r="BK322" s="81"/>
      <c r="BL322" s="81">
        <v>250</v>
      </c>
      <c r="BM322" s="81">
        <f>85*16.3</f>
        <v>1385.5</v>
      </c>
      <c r="BN322" s="66" t="s">
        <v>2768</v>
      </c>
      <c r="BO322" s="66"/>
      <c r="BP322" s="66"/>
      <c r="BQ322" s="66" t="str">
        <f>PROPER(TEXT(Prog_23[[#This Row],[PROGRAMAÇÃO CLIENTE]],"mmm"))</f>
        <v>Jun</v>
      </c>
      <c r="BR322" s="66">
        <f>YEAR(Prog_23[[#This Row],[PROGRAMAÇÃO CLIENTE]])</f>
        <v>2023</v>
      </c>
    </row>
    <row r="323" spans="1:70" x14ac:dyDescent="0.25">
      <c r="A323" s="201" t="str">
        <f>Prog_23[[#This Row],[CONTEINER]]</f>
        <v>HLBU1197007</v>
      </c>
      <c r="B323" s="86" t="s">
        <v>2909</v>
      </c>
      <c r="C3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23" s="85">
        <v>45097.583333333336</v>
      </c>
      <c r="E323" s="66" t="s">
        <v>297</v>
      </c>
      <c r="F323" s="66" t="s">
        <v>298</v>
      </c>
      <c r="G323" s="66" t="s">
        <v>5130</v>
      </c>
      <c r="H323" s="44">
        <v>62561710</v>
      </c>
      <c r="I323" s="44" t="s">
        <v>5162</v>
      </c>
      <c r="J323" s="66" t="s">
        <v>301</v>
      </c>
      <c r="K323" s="66">
        <v>3900</v>
      </c>
      <c r="L323" s="66" t="s">
        <v>5163</v>
      </c>
      <c r="M323" s="66">
        <v>19006</v>
      </c>
      <c r="N323" s="66">
        <f>SUM(Prog_23[[#This Row],[TARA]]+Prog_23[[#This Row],[PESO]])</f>
        <v>22906</v>
      </c>
      <c r="O323" s="44">
        <v>873321</v>
      </c>
      <c r="P323" s="66" t="s">
        <v>4994</v>
      </c>
      <c r="Q323" s="66" t="s">
        <v>210</v>
      </c>
      <c r="R323" s="66" t="s">
        <v>211</v>
      </c>
      <c r="S323" s="66" t="s">
        <v>212</v>
      </c>
      <c r="T323" s="138" t="str">
        <f>IFERROR(LOOKUP($S323,MOTORISTAS!$D$3:$D$916,MOTORISTAS!E$3:$E$916),"")</f>
        <v>38029906846</v>
      </c>
      <c r="U323" s="138" t="str">
        <f>IFERROR(LOOKUP($S323,MOTORISTAS!$D$3:$D$916,MOTORISTAS!F$3:$F$916),"")</f>
        <v>04946846842</v>
      </c>
      <c r="V323" s="66" t="s">
        <v>292</v>
      </c>
      <c r="W323" s="79">
        <v>45096.534722222219</v>
      </c>
      <c r="X323" s="79">
        <v>45097.680555555555</v>
      </c>
      <c r="Y323" s="85">
        <v>45098.5</v>
      </c>
      <c r="Z323" s="66" t="s">
        <v>293</v>
      </c>
      <c r="AA323" s="79">
        <v>45098.727777777778</v>
      </c>
      <c r="AB323" s="79">
        <v>45096.833333333336</v>
      </c>
      <c r="AC323" s="79">
        <v>45097.75</v>
      </c>
      <c r="AD323" s="79">
        <v>45100.5</v>
      </c>
      <c r="AE323" s="66" t="s">
        <v>2743</v>
      </c>
      <c r="AF323" s="44">
        <v>16491</v>
      </c>
      <c r="AG323" s="254">
        <f>Prog_23[[#This Row],[SAÍDA DO CLIENTE]]-Prog_23[[#This Row],[PROGRAMAÇÃO CLIENTE]]</f>
        <v>0.91666666666424135</v>
      </c>
      <c r="AH323" s="44"/>
      <c r="AI323" s="66"/>
      <c r="AJ323" s="66"/>
      <c r="AK323" s="66"/>
      <c r="AL323" s="66"/>
      <c r="AM323" s="66"/>
      <c r="AN323" s="83"/>
      <c r="AO323" s="83"/>
      <c r="AP323" s="83"/>
      <c r="AQ323" s="66"/>
      <c r="AR323" s="66"/>
      <c r="AS323" s="66"/>
      <c r="AT323" s="81"/>
      <c r="AU323" s="81"/>
      <c r="AV323" s="81"/>
      <c r="AW323" s="81"/>
      <c r="AX323" s="83">
        <f>SUM(Prog_23[[#This Row],[ADIANTAMENTO]]+Prog_23[[#This Row],[SALDO]]+Prog_23[[#This Row],[MARGEM]]+Prog_23[[#This Row],[ESTADIA 1]])</f>
        <v>0</v>
      </c>
      <c r="AY3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5525</v>
      </c>
      <c r="AZ323" s="81">
        <v>3488.8</v>
      </c>
      <c r="BA323" s="81"/>
      <c r="BB323" s="81">
        <f>Prog_23[[#This Row],[VLR NF]]*0.1%</f>
        <v>0</v>
      </c>
      <c r="BC323" s="81">
        <f>Prog_23[[#This Row],[VLR NF]]*0.05%</f>
        <v>0</v>
      </c>
      <c r="BD323" s="81">
        <v>511.2</v>
      </c>
      <c r="BE323" s="81"/>
      <c r="BF323" s="81"/>
      <c r="BG323" s="81"/>
      <c r="BH323" s="81"/>
      <c r="BI323" s="81"/>
      <c r="BJ323" s="81"/>
      <c r="BK323" s="81"/>
      <c r="BL323" s="81">
        <v>250</v>
      </c>
      <c r="BM323" s="81">
        <f>85*15</f>
        <v>1275</v>
      </c>
      <c r="BN323" s="66" t="s">
        <v>2768</v>
      </c>
      <c r="BO323" s="66"/>
      <c r="BP323" s="66"/>
      <c r="BQ323" s="66" t="str">
        <f>PROPER(TEXT(Prog_23[[#This Row],[PROGRAMAÇÃO CLIENTE]],"mmm"))</f>
        <v>Jun</v>
      </c>
      <c r="BR323" s="66">
        <f>YEAR(Prog_23[[#This Row],[PROGRAMAÇÃO CLIENTE]])</f>
        <v>2023</v>
      </c>
    </row>
    <row r="324" spans="1:70" x14ac:dyDescent="0.25">
      <c r="A324" s="200" t="str">
        <f>Prog_23[[#This Row],[CONTEINER]]</f>
        <v>MRSU0120213</v>
      </c>
      <c r="B324" s="86" t="s">
        <v>2771</v>
      </c>
      <c r="C3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24" s="85">
        <v>45096.625</v>
      </c>
      <c r="E324" s="66" t="s">
        <v>4285</v>
      </c>
      <c r="F324" s="66" t="s">
        <v>4286</v>
      </c>
      <c r="G324" s="66" t="s">
        <v>5143</v>
      </c>
      <c r="H324" s="44" t="s">
        <v>5139</v>
      </c>
      <c r="I324" s="44" t="s">
        <v>5140</v>
      </c>
      <c r="J324" s="66" t="s">
        <v>288</v>
      </c>
      <c r="K324" s="66">
        <v>2180</v>
      </c>
      <c r="L324" s="66" t="s">
        <v>5141</v>
      </c>
      <c r="M324" s="66">
        <v>7709</v>
      </c>
      <c r="N324" s="66">
        <f>SUM(Prog_23[[#This Row],[TARA]]+Prog_23[[#This Row],[PESO]])</f>
        <v>9889</v>
      </c>
      <c r="O324" s="44"/>
      <c r="P324" s="66" t="s">
        <v>5142</v>
      </c>
      <c r="Q324" s="66" t="s">
        <v>845</v>
      </c>
      <c r="R324" s="66" t="s">
        <v>125</v>
      </c>
      <c r="S324" s="66" t="s">
        <v>847</v>
      </c>
      <c r="T324" s="138" t="str">
        <f>IFERROR(LOOKUP($S324,MOTORISTAS!$D$3:$D$916,MOTORISTAS!E$3:$E$916),"")</f>
        <v>08053454852</v>
      </c>
      <c r="U324" s="138" t="str">
        <f>IFERROR(LOOKUP($S324,MOTORISTAS!$D$3:$D$916,MOTORISTAS!F$3:$F$916),"")</f>
        <v>03409257572</v>
      </c>
      <c r="V324" s="66" t="s">
        <v>772</v>
      </c>
      <c r="W324" s="79">
        <v>45096.520833333336</v>
      </c>
      <c r="X324" s="66" t="s">
        <v>5172</v>
      </c>
      <c r="Y324" s="79">
        <v>45096.732638888891</v>
      </c>
      <c r="Z324" s="66" t="s">
        <v>292</v>
      </c>
      <c r="AA324" s="79">
        <v>45097.333333333336</v>
      </c>
      <c r="AB324" s="79">
        <v>45096.791666666664</v>
      </c>
      <c r="AC324" s="79">
        <v>45096.791666666664</v>
      </c>
      <c r="AD324" s="79">
        <v>45096.791666666664</v>
      </c>
      <c r="AE324" s="66" t="s">
        <v>4344</v>
      </c>
      <c r="AF324" s="44">
        <v>16437</v>
      </c>
      <c r="AG324" s="254">
        <f>Prog_23[[#This Row],[SAÍDA DO CLIENTE]]-Prog_23[[#This Row],[PROGRAMAÇÃO CLIENTE]]</f>
        <v>0.10763888889050577</v>
      </c>
      <c r="AH324" s="44"/>
      <c r="AI324" s="66"/>
      <c r="AJ324" s="66"/>
      <c r="AK324" s="66"/>
      <c r="AL324" s="66"/>
      <c r="AM324" s="66"/>
      <c r="AN324" s="83"/>
      <c r="AO324" s="83"/>
      <c r="AP324" s="83"/>
      <c r="AQ324" s="66"/>
      <c r="AR324" s="66"/>
      <c r="AS324" s="66"/>
      <c r="AT324" s="81">
        <v>2500</v>
      </c>
      <c r="AU324" s="81"/>
      <c r="AV324" s="81"/>
      <c r="AW324" s="81"/>
      <c r="AX324" s="83">
        <f>SUM(Prog_23[[#This Row],[ADIANTAMENTO]]+Prog_23[[#This Row],[SALDO]]+Prog_23[[#This Row],[MARGEM]]+Prog_23[[#This Row],[ESTADIA 1]])</f>
        <v>2500</v>
      </c>
      <c r="AY3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13519.189114999999</v>
      </c>
      <c r="AZ324" s="81">
        <v>12140</v>
      </c>
      <c r="BA324" s="81">
        <v>539459.41</v>
      </c>
      <c r="BB324" s="81">
        <f>Prog_23[[#This Row],[VLR NF]]*0.1%</f>
        <v>539.45941000000005</v>
      </c>
      <c r="BC324" s="81">
        <f>Prog_23[[#This Row],[VLR NF]]*0.05%</f>
        <v>269.72970500000002</v>
      </c>
      <c r="BD324" s="81">
        <v>570</v>
      </c>
      <c r="BE324" s="81"/>
      <c r="BF324" s="81"/>
      <c r="BG324" s="81"/>
      <c r="BH324" s="81"/>
      <c r="BI324" s="81"/>
      <c r="BJ324" s="81"/>
      <c r="BK324" s="81"/>
      <c r="BL324" s="81"/>
      <c r="BM324" s="81"/>
      <c r="BN324" s="66" t="s">
        <v>2768</v>
      </c>
      <c r="BO324" s="66" t="s">
        <v>2768</v>
      </c>
      <c r="BP324" s="66" t="s">
        <v>2768</v>
      </c>
      <c r="BQ324" s="66" t="str">
        <f>PROPER(TEXT(Prog_23[[#This Row],[PROGRAMAÇÃO CLIENTE]],"mmm"))</f>
        <v>Jun</v>
      </c>
      <c r="BR324" s="66">
        <f>YEAR(Prog_23[[#This Row],[PROGRAMAÇÃO CLIENTE]])</f>
        <v>2023</v>
      </c>
    </row>
    <row r="325" spans="1:70" x14ac:dyDescent="0.25">
      <c r="A325" s="201" t="str">
        <f>Prog_23[[#This Row],[CONTEINER]]</f>
        <v>5 PALLTES</v>
      </c>
      <c r="B325" s="86" t="s">
        <v>2771</v>
      </c>
      <c r="C3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25" s="85">
        <v>45097.625</v>
      </c>
      <c r="E325" s="66" t="s">
        <v>4285</v>
      </c>
      <c r="F325" s="66" t="s">
        <v>4286</v>
      </c>
      <c r="G325" s="66" t="s">
        <v>5146</v>
      </c>
      <c r="H325" s="44" t="s">
        <v>5145</v>
      </c>
      <c r="I325" s="44" t="s">
        <v>5144</v>
      </c>
      <c r="J325" s="66" t="s">
        <v>125</v>
      </c>
      <c r="K325" s="66"/>
      <c r="L325" s="66"/>
      <c r="M325" s="66">
        <v>3363.42</v>
      </c>
      <c r="N325" s="66">
        <f>SUM(Prog_23[[#This Row],[TARA]]+Prog_23[[#This Row],[PESO]])</f>
        <v>3363.42</v>
      </c>
      <c r="O325" s="44"/>
      <c r="P325" s="66"/>
      <c r="Q325" s="66" t="s">
        <v>4292</v>
      </c>
      <c r="R325" s="66" t="s">
        <v>125</v>
      </c>
      <c r="S325" s="66" t="s">
        <v>4289</v>
      </c>
      <c r="T325" s="138" t="str">
        <f>IFERROR(LOOKUP($S325,MOTORISTAS!$D$3:$D$916,MOTORISTAS!E$3:$E$916),"")</f>
        <v>08287130816</v>
      </c>
      <c r="U325" s="138" t="str">
        <f>IFERROR(LOOKUP($S325,MOTORISTAS!$D$3:$D$916,MOTORISTAS!F$3:$F$916),"")</f>
        <v>02884280516</v>
      </c>
      <c r="V325" s="66" t="s">
        <v>772</v>
      </c>
      <c r="W325" s="79">
        <v>45097.479166666664</v>
      </c>
      <c r="X325" s="79">
        <v>45097.604166666664</v>
      </c>
      <c r="Y325" s="79">
        <v>45097.631944444445</v>
      </c>
      <c r="Z325" s="66" t="s">
        <v>4423</v>
      </c>
      <c r="AA325" s="79">
        <v>45097.631944444445</v>
      </c>
      <c r="AB325" s="79">
        <v>45096.791666666664</v>
      </c>
      <c r="AC325" s="79">
        <v>45097.791666666664</v>
      </c>
      <c r="AD325" s="79">
        <v>45096.791666666664</v>
      </c>
      <c r="AE325" s="66" t="s">
        <v>4344</v>
      </c>
      <c r="AF325" s="44">
        <v>16451</v>
      </c>
      <c r="AG325" s="254">
        <f>Prog_23[[#This Row],[SAÍDA DO CLIENTE]]-Prog_23[[#This Row],[PROGRAMAÇÃO CLIENTE]]</f>
        <v>6.9444444452528842E-3</v>
      </c>
      <c r="AH325" s="44"/>
      <c r="AI325" s="66"/>
      <c r="AJ325" s="66"/>
      <c r="AK325" s="66"/>
      <c r="AL325" s="66"/>
      <c r="AM325" s="66"/>
      <c r="AN325" s="83"/>
      <c r="AO325" s="83"/>
      <c r="AP325" s="83"/>
      <c r="AQ325" s="66"/>
      <c r="AR325" s="66"/>
      <c r="AS325" s="66"/>
      <c r="AT325" s="81">
        <v>2000</v>
      </c>
      <c r="AU325" s="81"/>
      <c r="AV325" s="81"/>
      <c r="AW325" s="81"/>
      <c r="AX325" s="83">
        <f>SUM(Prog_23[[#This Row],[ADIANTAMENTO]]+Prog_23[[#This Row],[SALDO]]+Prog_23[[#This Row],[MARGEM]]+Prog_23[[#This Row],[ESTADIA 1]])</f>
        <v>2000</v>
      </c>
      <c r="AY3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317.49666000000002</v>
      </c>
      <c r="AZ325" s="81"/>
      <c r="BA325" s="81">
        <v>211664.44</v>
      </c>
      <c r="BB325" s="81">
        <f>Prog_23[[#This Row],[VLR NF]]*0.1%</f>
        <v>211.66444000000001</v>
      </c>
      <c r="BC325" s="81">
        <f>Prog_23[[#This Row],[VLR NF]]*0.05%</f>
        <v>105.83222000000001</v>
      </c>
      <c r="BD325" s="81"/>
      <c r="BE325" s="81"/>
      <c r="BF325" s="81"/>
      <c r="BG325" s="81"/>
      <c r="BH325" s="81"/>
      <c r="BI325" s="81"/>
      <c r="BJ325" s="81"/>
      <c r="BK325" s="81"/>
      <c r="BL325" s="81"/>
      <c r="BM325" s="81"/>
      <c r="BN325" s="66" t="s">
        <v>2768</v>
      </c>
      <c r="BO325" s="66" t="s">
        <v>2768</v>
      </c>
      <c r="BP325" s="66" t="s">
        <v>2768</v>
      </c>
      <c r="BQ325" s="66" t="str">
        <f>PROPER(TEXT(Prog_23[[#This Row],[PROGRAMAÇÃO CLIENTE]],"mmm"))</f>
        <v>Jun</v>
      </c>
      <c r="BR325" s="66">
        <f>YEAR(Prog_23[[#This Row],[PROGRAMAÇÃO CLIENTE]])</f>
        <v>2023</v>
      </c>
    </row>
    <row r="326" spans="1:70" x14ac:dyDescent="0.25">
      <c r="A326" s="201" t="str">
        <f>Prog_23[[#This Row],[CONTEINER]]</f>
        <v>CMAU8737004</v>
      </c>
      <c r="B326" s="86" t="s">
        <v>2771</v>
      </c>
      <c r="C3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26" s="85">
        <v>45098.333333333336</v>
      </c>
      <c r="E326" s="66" t="s">
        <v>353</v>
      </c>
      <c r="F326" s="66" t="s">
        <v>3161</v>
      </c>
      <c r="G326" s="66" t="s">
        <v>5113</v>
      </c>
      <c r="H326" s="44" t="s">
        <v>5111</v>
      </c>
      <c r="I326" s="44" t="s">
        <v>5191</v>
      </c>
      <c r="J326" s="66" t="s">
        <v>301</v>
      </c>
      <c r="K326" s="66">
        <v>3700</v>
      </c>
      <c r="L326" s="66" t="s">
        <v>5190</v>
      </c>
      <c r="M326" s="66"/>
      <c r="N326" s="66">
        <f>SUM(Prog_23[[#This Row],[TARA]]+Prog_23[[#This Row],[PESO]])</f>
        <v>3700</v>
      </c>
      <c r="O326" s="44" t="s">
        <v>5232</v>
      </c>
      <c r="P326" s="66" t="s">
        <v>5112</v>
      </c>
      <c r="Q326" s="66" t="s">
        <v>150</v>
      </c>
      <c r="R326" s="66" t="s">
        <v>151</v>
      </c>
      <c r="S326" s="66" t="s">
        <v>4901</v>
      </c>
      <c r="T326" s="138" t="str">
        <f>IFERROR(LOOKUP($S326,MOTORISTAS!$D$3:$D$916,MOTORISTAS!E$3:$E$916),"")</f>
        <v>25538214842</v>
      </c>
      <c r="U326" s="138" t="str">
        <f>IFERROR(LOOKUP($S326,MOTORISTAS!$D$3:$D$916,MOTORISTAS!F$3:$F$916),"")</f>
        <v>01845110101</v>
      </c>
      <c r="V326" s="66" t="s">
        <v>537</v>
      </c>
      <c r="W326" s="79">
        <v>45097.788194444445</v>
      </c>
      <c r="X326" s="79">
        <v>45098.288194444445</v>
      </c>
      <c r="Y326" s="79">
        <v>45098.958333333336</v>
      </c>
      <c r="Z326" s="66" t="s">
        <v>293</v>
      </c>
      <c r="AA326" s="79">
        <v>45100.468055555553</v>
      </c>
      <c r="AB326" s="79">
        <v>45100.166666666664</v>
      </c>
      <c r="AC326" s="79">
        <v>45099.5</v>
      </c>
      <c r="AD326" s="79">
        <v>45104.5</v>
      </c>
      <c r="AE326" s="66" t="s">
        <v>616</v>
      </c>
      <c r="AF326" s="44" t="s">
        <v>5233</v>
      </c>
      <c r="AG326" s="254">
        <f>Prog_23[[#This Row],[SAÍDA DO CLIENTE]]-Prog_23[[#This Row],[PROGRAMAÇÃO CLIENTE]]</f>
        <v>0.625</v>
      </c>
      <c r="AH326" s="44"/>
      <c r="AI326" s="66"/>
      <c r="AJ326" s="66"/>
      <c r="AK326" s="66"/>
      <c r="AL326" s="66"/>
      <c r="AM326" s="66"/>
      <c r="AN326" s="83"/>
      <c r="AO326" s="83"/>
      <c r="AP326" s="83"/>
      <c r="AQ326" s="66"/>
      <c r="AR326" s="66"/>
      <c r="AS326" s="66"/>
      <c r="AT326" s="81">
        <v>2300</v>
      </c>
      <c r="AU326" s="81"/>
      <c r="AV326" s="81"/>
      <c r="AW326" s="81"/>
      <c r="AX326" s="83">
        <f>SUM(Prog_23[[#This Row],[ADIANTAMENTO]]+Prog_23[[#This Row],[SALDO]]+Prog_23[[#This Row],[MARGEM]]+Prog_23[[#This Row],[ESTADIA 1]])</f>
        <v>2300</v>
      </c>
      <c r="AY3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4026.6015950000001</v>
      </c>
      <c r="AZ326" s="81">
        <v>2250</v>
      </c>
      <c r="BA326" s="81">
        <v>224267.73</v>
      </c>
      <c r="BB326" s="81">
        <f>Prog_23[[#This Row],[VLR NF]]*0.1%</f>
        <v>224.26773000000003</v>
      </c>
      <c r="BC326" s="81">
        <f>Prog_23[[#This Row],[VLR NF]]*0.05%</f>
        <v>112.13386500000001</v>
      </c>
      <c r="BD326" s="81">
        <v>385.2</v>
      </c>
      <c r="BE326" s="81"/>
      <c r="BF326" s="81"/>
      <c r="BG326" s="81"/>
      <c r="BH326" s="81"/>
      <c r="BI326" s="81"/>
      <c r="BJ326" s="81"/>
      <c r="BK326" s="81">
        <v>300</v>
      </c>
      <c r="BL326" s="81">
        <v>300</v>
      </c>
      <c r="BM326" s="81">
        <v>455</v>
      </c>
      <c r="BN326" s="66" t="s">
        <v>2768</v>
      </c>
      <c r="BO326" s="66" t="s">
        <v>2768</v>
      </c>
      <c r="BP326" s="66" t="s">
        <v>2768</v>
      </c>
      <c r="BQ326" s="66" t="str">
        <f>PROPER(TEXT(Prog_23[[#This Row],[PROGRAMAÇÃO CLIENTE]],"mmm"))</f>
        <v>Jun</v>
      </c>
      <c r="BR326" s="66">
        <f>YEAR(Prog_23[[#This Row],[PROGRAMAÇÃO CLIENTE]])</f>
        <v>2023</v>
      </c>
    </row>
    <row r="327" spans="1:70" x14ac:dyDescent="0.25">
      <c r="A327" s="201">
        <f>Prog_23[[#This Row],[CONTEINER]]</f>
        <v>0</v>
      </c>
      <c r="B327" s="86" t="s">
        <v>836</v>
      </c>
      <c r="C3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327" s="85">
        <v>45092.291666666664</v>
      </c>
      <c r="E327" s="66" t="s">
        <v>4979</v>
      </c>
      <c r="F327" s="66" t="s">
        <v>4977</v>
      </c>
      <c r="G327" s="66"/>
      <c r="H327" s="44">
        <v>65895124</v>
      </c>
      <c r="I327" s="44"/>
      <c r="J327" s="66" t="s">
        <v>301</v>
      </c>
      <c r="K327" s="66"/>
      <c r="L327" s="66"/>
      <c r="M327" s="66"/>
      <c r="N327" s="66">
        <f>SUM(Prog_23[[#This Row],[TARA]]+Prog_23[[#This Row],[PESO]])</f>
        <v>0</v>
      </c>
      <c r="O327" s="44"/>
      <c r="P327" s="66" t="s">
        <v>4994</v>
      </c>
      <c r="Q327" s="66"/>
      <c r="R327" s="66"/>
      <c r="S327" s="66"/>
      <c r="T327" s="138" t="str">
        <f>IFERROR(LOOKUP($S327,MOTORISTAS!$D$3:$D$916,MOTORISTAS!E$3:$E$916),"")</f>
        <v/>
      </c>
      <c r="U327" s="138" t="str">
        <f>IFERROR(LOOKUP($S327,MOTORISTAS!$D$3:$D$916,MOTORISTAS!F$3:$F$916),"")</f>
        <v/>
      </c>
      <c r="V327" s="66"/>
      <c r="W327" s="66"/>
      <c r="X327" s="66"/>
      <c r="Y327" s="66"/>
      <c r="Z327" s="66" t="s">
        <v>537</v>
      </c>
      <c r="AA327" s="66"/>
      <c r="AB327" s="66"/>
      <c r="AC327" s="79">
        <v>45097.75</v>
      </c>
      <c r="AD327" s="79">
        <v>45100.5</v>
      </c>
      <c r="AE327" s="66" t="s">
        <v>418</v>
      </c>
      <c r="AF327" s="44"/>
      <c r="AG327" s="254">
        <f>Prog_23[[#This Row],[SAÍDA DO CLIENTE]]-Prog_23[[#This Row],[PROGRAMAÇÃO CLIENTE]]</f>
        <v>-45092.291666666664</v>
      </c>
      <c r="AH327" s="44"/>
      <c r="AI327" s="66"/>
      <c r="AJ327" s="66"/>
      <c r="AK327" s="66"/>
      <c r="AL327" s="66"/>
      <c r="AM327" s="66"/>
      <c r="AN327" s="83"/>
      <c r="AO327" s="83"/>
      <c r="AP327" s="83"/>
      <c r="AQ327" s="66"/>
      <c r="AR327" s="66"/>
      <c r="AS327" s="66"/>
      <c r="AT327" s="81"/>
      <c r="AU327" s="81"/>
      <c r="AV327" s="81"/>
      <c r="AW327" s="81"/>
      <c r="AX327" s="83">
        <f>SUM(Prog_23[[#This Row],[ADIANTAMENTO]]+Prog_23[[#This Row],[SALDO]]+Prog_23[[#This Row],[MARGEM]]+Prog_23[[#This Row],[ESTADIA 1]])</f>
        <v>0</v>
      </c>
      <c r="AY3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27" s="81"/>
      <c r="BA327" s="81"/>
      <c r="BB327" s="81">
        <f>Prog_23[[#This Row],[VLR NF]]*0.1%</f>
        <v>0</v>
      </c>
      <c r="BC327" s="81">
        <f>Prog_23[[#This Row],[VLR NF]]*0.05%</f>
        <v>0</v>
      </c>
      <c r="BD327" s="81"/>
      <c r="BE327" s="81"/>
      <c r="BF327" s="81"/>
      <c r="BG327" s="81"/>
      <c r="BH327" s="81"/>
      <c r="BI327" s="81"/>
      <c r="BJ327" s="81"/>
      <c r="BK327" s="81"/>
      <c r="BL327" s="81"/>
      <c r="BM327" s="81"/>
      <c r="BN327" s="66"/>
      <c r="BO327" s="66"/>
      <c r="BP327" s="66"/>
      <c r="BQ327" s="66" t="str">
        <f>PROPER(TEXT(Prog_23[[#This Row],[PROGRAMAÇÃO CLIENTE]],"mmm"))</f>
        <v>Jun</v>
      </c>
      <c r="BR327" s="66">
        <f>YEAR(Prog_23[[#This Row],[PROGRAMAÇÃO CLIENTE]])</f>
        <v>2023</v>
      </c>
    </row>
    <row r="328" spans="1:70" x14ac:dyDescent="0.25">
      <c r="A328" s="200" t="str">
        <f>Prog_23[[#This Row],[CONTEINER]]</f>
        <v>CMAU4872011</v>
      </c>
      <c r="B328" s="86" t="s">
        <v>2771</v>
      </c>
      <c r="C3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28" s="85">
        <v>45098.354166666664</v>
      </c>
      <c r="E328" s="66" t="s">
        <v>1980</v>
      </c>
      <c r="F328" s="66" t="s">
        <v>284</v>
      </c>
      <c r="G328" s="66" t="s">
        <v>5169</v>
      </c>
      <c r="H328" s="44" t="s">
        <v>5170</v>
      </c>
      <c r="I328" s="44" t="s">
        <v>5192</v>
      </c>
      <c r="J328" s="66" t="s">
        <v>301</v>
      </c>
      <c r="K328" s="66">
        <v>3300</v>
      </c>
      <c r="L328" s="66" t="s">
        <v>5193</v>
      </c>
      <c r="M328" s="66">
        <v>26347</v>
      </c>
      <c r="N328" s="66">
        <f>SUM(Prog_23[[#This Row],[TARA]]+Prog_23[[#This Row],[PESO]])</f>
        <v>29647</v>
      </c>
      <c r="O328" s="44">
        <v>219974</v>
      </c>
      <c r="P328" s="66" t="s">
        <v>5171</v>
      </c>
      <c r="Q328" s="66" t="s">
        <v>106</v>
      </c>
      <c r="R328" s="66" t="s">
        <v>107</v>
      </c>
      <c r="S328" s="66" t="s">
        <v>108</v>
      </c>
      <c r="T328" s="138" t="str">
        <f>IFERROR(LOOKUP($S328,MOTORISTAS!$D$3:$D$916,MOTORISTAS!E$3:$E$916),"")</f>
        <v>34927982840</v>
      </c>
      <c r="U328" s="138" t="str">
        <f>IFERROR(LOOKUP($S328,MOTORISTAS!$D$3:$D$916,MOTORISTAS!F$3:$F$916),"")</f>
        <v>03500129879</v>
      </c>
      <c r="V328" s="66" t="s">
        <v>293</v>
      </c>
      <c r="W328" s="79">
        <v>45098.177083333336</v>
      </c>
      <c r="X328" s="79">
        <v>45098.395833333336</v>
      </c>
      <c r="Y328" s="79">
        <v>45098.645833333336</v>
      </c>
      <c r="Z328" s="66" t="s">
        <v>293</v>
      </c>
      <c r="AA328" s="79">
        <v>45099.474999999999</v>
      </c>
      <c r="AB328" s="79">
        <v>45099.833333333336</v>
      </c>
      <c r="AC328" s="79">
        <v>45104.5</v>
      </c>
      <c r="AD328" s="79">
        <v>45104.5</v>
      </c>
      <c r="AE328" s="66" t="s">
        <v>294</v>
      </c>
      <c r="AF328" s="44">
        <v>16496</v>
      </c>
      <c r="AG328" s="254">
        <f>Prog_23[[#This Row],[SAÍDA DO CLIENTE]]-Prog_23[[#This Row],[PROGRAMAÇÃO CLIENTE]]</f>
        <v>0.29166666667151731</v>
      </c>
      <c r="AH328" s="44"/>
      <c r="AI328" s="66" t="s">
        <v>5207</v>
      </c>
      <c r="AJ328" s="66" t="s">
        <v>3643</v>
      </c>
      <c r="AK328" s="66"/>
      <c r="AL328" s="66"/>
      <c r="AM328" s="66"/>
      <c r="AN328" s="83"/>
      <c r="AO328" s="83"/>
      <c r="AP328" s="83"/>
      <c r="AQ328" s="66"/>
      <c r="AR328" s="66"/>
      <c r="AS328" s="66"/>
      <c r="AT328" s="81">
        <v>4200</v>
      </c>
      <c r="AU328" s="81"/>
      <c r="AV328" s="81"/>
      <c r="AW328" s="81"/>
      <c r="AX328" s="83">
        <f>SUM(Prog_23[[#This Row],[ADIANTAMENTO]]+Prog_23[[#This Row],[SALDO]]+Prog_23[[#This Row],[MARGEM]]+Prog_23[[#This Row],[ESTADIA 1]])</f>
        <v>4200</v>
      </c>
      <c r="AY3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28" s="81"/>
      <c r="BA328" s="81"/>
      <c r="BB328" s="81">
        <f>Prog_23[[#This Row],[VLR NF]]*0.1%</f>
        <v>0</v>
      </c>
      <c r="BC328" s="81">
        <f>Prog_23[[#This Row],[VLR NF]]*0.05%</f>
        <v>0</v>
      </c>
      <c r="BD328" s="81"/>
      <c r="BE328" s="81"/>
      <c r="BF328" s="81"/>
      <c r="BG328" s="81"/>
      <c r="BH328" s="81"/>
      <c r="BI328" s="81"/>
      <c r="BJ328" s="81"/>
      <c r="BK328" s="81"/>
      <c r="BL328" s="81"/>
      <c r="BM328" s="81"/>
      <c r="BN328" s="66" t="s">
        <v>2768</v>
      </c>
      <c r="BO328" s="66" t="s">
        <v>2768</v>
      </c>
      <c r="BP328" s="66" t="s">
        <v>2768</v>
      </c>
      <c r="BQ328" s="66" t="str">
        <f>PROPER(TEXT(Prog_23[[#This Row],[PROGRAMAÇÃO CLIENTE]],"mmm"))</f>
        <v>Jun</v>
      </c>
      <c r="BR328" s="66">
        <f>YEAR(Prog_23[[#This Row],[PROGRAMAÇÃO CLIENTE]])</f>
        <v>2023</v>
      </c>
    </row>
    <row r="329" spans="1:70" x14ac:dyDescent="0.25">
      <c r="A329" s="201" t="str">
        <f>Prog_23[[#This Row],[CONTEINER]]</f>
        <v>TCNU2993186</v>
      </c>
      <c r="B329" s="86" t="s">
        <v>2771</v>
      </c>
      <c r="C3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29" s="85">
        <v>45099.354166666664</v>
      </c>
      <c r="E329" s="66" t="s">
        <v>1980</v>
      </c>
      <c r="F329" s="66" t="s">
        <v>284</v>
      </c>
      <c r="G329" s="66" t="s">
        <v>5169</v>
      </c>
      <c r="H329" s="44" t="s">
        <v>5170</v>
      </c>
      <c r="I329" s="44" t="s">
        <v>5208</v>
      </c>
      <c r="J329" s="66" t="s">
        <v>301</v>
      </c>
      <c r="K329" s="66">
        <v>3700</v>
      </c>
      <c r="L329" s="66" t="s">
        <v>5209</v>
      </c>
      <c r="M329" s="66">
        <v>26347</v>
      </c>
      <c r="N329" s="66">
        <f>SUM(Prog_23[[#This Row],[TARA]]+Prog_23[[#This Row],[PESO]])</f>
        <v>30047</v>
      </c>
      <c r="O329" s="44">
        <v>220024</v>
      </c>
      <c r="P329" s="66" t="s">
        <v>5171</v>
      </c>
      <c r="Q329" s="66" t="s">
        <v>106</v>
      </c>
      <c r="R329" s="66" t="s">
        <v>107</v>
      </c>
      <c r="S329" s="66" t="s">
        <v>108</v>
      </c>
      <c r="T329" s="138" t="str">
        <f>IFERROR(LOOKUP($S329,MOTORISTAS!$D$3:$D$916,MOTORISTAS!E$3:$E$916),"")</f>
        <v>34927982840</v>
      </c>
      <c r="U329" s="138" t="str">
        <f>IFERROR(LOOKUP($S329,MOTORISTAS!$D$3:$D$916,MOTORISTAS!F$3:$F$916),"")</f>
        <v>03500129879</v>
      </c>
      <c r="V329" s="66" t="s">
        <v>293</v>
      </c>
      <c r="W329" s="79">
        <v>45098.958333333336</v>
      </c>
      <c r="X329" s="79">
        <v>45099.305555555555</v>
      </c>
      <c r="Y329" s="79">
        <v>45099.416666666664</v>
      </c>
      <c r="Z329" s="66" t="s">
        <v>293</v>
      </c>
      <c r="AA329" s="79">
        <v>45099.736111111109</v>
      </c>
      <c r="AB329" s="79">
        <v>45099.833333333336</v>
      </c>
      <c r="AC329" s="79">
        <v>45104.5</v>
      </c>
      <c r="AD329" s="79">
        <v>45104.5</v>
      </c>
      <c r="AE329" s="66" t="s">
        <v>294</v>
      </c>
      <c r="AF329" s="44">
        <v>16510</v>
      </c>
      <c r="AG329" s="254">
        <f>Prog_23[[#This Row],[SAÍDA DO CLIENTE]]-Prog_23[[#This Row],[PROGRAMAÇÃO CLIENTE]]</f>
        <v>6.25E-2</v>
      </c>
      <c r="AH329" s="44"/>
      <c r="AI329" s="66"/>
      <c r="AJ329" s="66"/>
      <c r="AK329" s="66"/>
      <c r="AL329" s="66"/>
      <c r="AM329" s="66"/>
      <c r="AN329" s="83"/>
      <c r="AO329" s="83"/>
      <c r="AP329" s="83"/>
      <c r="AQ329" s="66"/>
      <c r="AR329" s="66"/>
      <c r="AS329" s="66"/>
      <c r="AT329" s="81">
        <v>4200</v>
      </c>
      <c r="AU329" s="81"/>
      <c r="AV329" s="81"/>
      <c r="AW329" s="81"/>
      <c r="AX329" s="83">
        <f>SUM(Prog_23[[#This Row],[ADIANTAMENTO]]+Prog_23[[#This Row],[SALDO]]+Prog_23[[#This Row],[MARGEM]]+Prog_23[[#This Row],[ESTADIA 1]])</f>
        <v>4200</v>
      </c>
      <c r="AY3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29" s="81"/>
      <c r="BA329" s="81"/>
      <c r="BB329" s="81">
        <f>Prog_23[[#This Row],[VLR NF]]*0.1%</f>
        <v>0</v>
      </c>
      <c r="BC329" s="81">
        <f>Prog_23[[#This Row],[VLR NF]]*0.05%</f>
        <v>0</v>
      </c>
      <c r="BD329" s="81"/>
      <c r="BE329" s="81"/>
      <c r="BF329" s="81"/>
      <c r="BG329" s="81"/>
      <c r="BH329" s="81"/>
      <c r="BI329" s="81"/>
      <c r="BJ329" s="81"/>
      <c r="BK329" s="81"/>
      <c r="BL329" s="81"/>
      <c r="BM329" s="81"/>
      <c r="BN329" s="66" t="s">
        <v>2768</v>
      </c>
      <c r="BO329" s="66" t="s">
        <v>2768</v>
      </c>
      <c r="BP329" s="66" t="s">
        <v>2768</v>
      </c>
      <c r="BQ329" s="66" t="str">
        <f>PROPER(TEXT(Prog_23[[#This Row],[PROGRAMAÇÃO CLIENTE]],"mmm"))</f>
        <v>Jun</v>
      </c>
      <c r="BR329" s="66">
        <f>YEAR(Prog_23[[#This Row],[PROGRAMAÇÃO CLIENTE]])</f>
        <v>2023</v>
      </c>
    </row>
    <row r="330" spans="1:70" x14ac:dyDescent="0.25">
      <c r="A330" s="200" t="str">
        <f>Prog_23[[#This Row],[CONTEINER]]</f>
        <v>TCLU8175940</v>
      </c>
      <c r="B330" s="86" t="s">
        <v>2771</v>
      </c>
      <c r="C3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30" s="85">
        <v>45100.354166666664</v>
      </c>
      <c r="E330" s="66" t="s">
        <v>1980</v>
      </c>
      <c r="F330" s="66" t="s">
        <v>284</v>
      </c>
      <c r="G330" s="66" t="s">
        <v>5169</v>
      </c>
      <c r="H330" s="44" t="s">
        <v>5211</v>
      </c>
      <c r="I330" s="44" t="s">
        <v>5220</v>
      </c>
      <c r="J330" s="66" t="s">
        <v>301</v>
      </c>
      <c r="K330" s="66">
        <v>3840</v>
      </c>
      <c r="L330" s="66">
        <v>1430031</v>
      </c>
      <c r="M330" s="66">
        <v>26347</v>
      </c>
      <c r="N330" s="66">
        <f>SUM(Prog_23[[#This Row],[TARA]]+Prog_23[[#This Row],[PESO]])</f>
        <v>30187</v>
      </c>
      <c r="O330" s="44"/>
      <c r="P330" s="66" t="s">
        <v>5171</v>
      </c>
      <c r="Q330" s="66" t="s">
        <v>106</v>
      </c>
      <c r="R330" s="66" t="s">
        <v>107</v>
      </c>
      <c r="S330" s="66" t="s">
        <v>108</v>
      </c>
      <c r="T330" s="138" t="str">
        <f>IFERROR(LOOKUP($S330,MOTORISTAS!$D$3:$D$916,MOTORISTAS!E$3:$E$916),"")</f>
        <v>34927982840</v>
      </c>
      <c r="U330" s="138" t="str">
        <f>IFERROR(LOOKUP($S330,MOTORISTAS!$D$3:$D$916,MOTORISTAS!F$3:$F$916),"")</f>
        <v>03500129879</v>
      </c>
      <c r="V330" s="66" t="s">
        <v>469</v>
      </c>
      <c r="W330" s="79">
        <v>45099.829861111109</v>
      </c>
      <c r="X330" s="79">
        <v>45100.302083333336</v>
      </c>
      <c r="Y330" s="79">
        <v>45100.430555555555</v>
      </c>
      <c r="Z330" s="66" t="s">
        <v>293</v>
      </c>
      <c r="AA330" s="79">
        <v>45100.672222222223</v>
      </c>
      <c r="AB330" s="79">
        <v>45099.833333333336</v>
      </c>
      <c r="AC330" s="79">
        <v>45104.5</v>
      </c>
      <c r="AD330" s="79">
        <v>45104.5</v>
      </c>
      <c r="AE330" s="66" t="s">
        <v>294</v>
      </c>
      <c r="AF330" s="44">
        <v>16531</v>
      </c>
      <c r="AG330" s="254">
        <f>Prog_23[[#This Row],[SAÍDA DO CLIENTE]]-Prog_23[[#This Row],[PROGRAMAÇÃO CLIENTE]]</f>
        <v>7.6388888890505768E-2</v>
      </c>
      <c r="AH330" s="44"/>
      <c r="AI330" s="66"/>
      <c r="AJ330" s="66"/>
      <c r="AK330" s="66"/>
      <c r="AL330" s="66"/>
      <c r="AM330" s="66"/>
      <c r="AN330" s="83"/>
      <c r="AO330" s="83"/>
      <c r="AP330" s="83"/>
      <c r="AQ330" s="66"/>
      <c r="AR330" s="66"/>
      <c r="AS330" s="66"/>
      <c r="AT330" s="81">
        <v>4200</v>
      </c>
      <c r="AU330" s="81"/>
      <c r="AV330" s="81"/>
      <c r="AW330" s="81"/>
      <c r="AX330" s="83">
        <f>SUM(Prog_23[[#This Row],[ADIANTAMENTO]]+Prog_23[[#This Row],[SALDO]]+Prog_23[[#This Row],[MARGEM]]+Prog_23[[#This Row],[ESTADIA 1]])</f>
        <v>4200</v>
      </c>
      <c r="AY3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30" s="81"/>
      <c r="BA330" s="81"/>
      <c r="BB330" s="81">
        <f>Prog_23[[#This Row],[VLR NF]]*0.1%</f>
        <v>0</v>
      </c>
      <c r="BC330" s="81">
        <f>Prog_23[[#This Row],[VLR NF]]*0.05%</f>
        <v>0</v>
      </c>
      <c r="BD330" s="81"/>
      <c r="BE330" s="81"/>
      <c r="BF330" s="81"/>
      <c r="BG330" s="81"/>
      <c r="BH330" s="81"/>
      <c r="BI330" s="81"/>
      <c r="BJ330" s="81"/>
      <c r="BK330" s="81"/>
      <c r="BL330" s="81"/>
      <c r="BM330" s="81"/>
      <c r="BN330" s="66" t="s">
        <v>2768</v>
      </c>
      <c r="BO330" s="66" t="s">
        <v>2768</v>
      </c>
      <c r="BP330" s="66" t="s">
        <v>2768</v>
      </c>
      <c r="BQ330" s="66" t="str">
        <f>PROPER(TEXT(Prog_23[[#This Row],[PROGRAMAÇÃO CLIENTE]],"mmm"))</f>
        <v>Jun</v>
      </c>
      <c r="BR330" s="66">
        <f>YEAR(Prog_23[[#This Row],[PROGRAMAÇÃO CLIENTE]])</f>
        <v>2023</v>
      </c>
    </row>
    <row r="331" spans="1:70" x14ac:dyDescent="0.25">
      <c r="A331" s="201" t="str">
        <f>Prog_23[[#This Row],[CONTEINER]]</f>
        <v>TEMU8333770</v>
      </c>
      <c r="B331" s="86" t="s">
        <v>2771</v>
      </c>
      <c r="C3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31" s="85">
        <v>45103.354166666664</v>
      </c>
      <c r="E331" s="66" t="s">
        <v>1980</v>
      </c>
      <c r="F331" s="66" t="s">
        <v>284</v>
      </c>
      <c r="G331" s="66" t="s">
        <v>5169</v>
      </c>
      <c r="H331" s="44" t="s">
        <v>5211</v>
      </c>
      <c r="I331" s="44" t="s">
        <v>5202</v>
      </c>
      <c r="J331" s="66" t="s">
        <v>301</v>
      </c>
      <c r="K331" s="66">
        <v>3820</v>
      </c>
      <c r="L331" s="66">
        <v>1353926</v>
      </c>
      <c r="M331" s="66">
        <v>26347</v>
      </c>
      <c r="N331" s="66">
        <f>SUM(Prog_23[[#This Row],[TARA]]+Prog_23[[#This Row],[PESO]])</f>
        <v>30167</v>
      </c>
      <c r="O331" s="44"/>
      <c r="P331" s="66" t="s">
        <v>5171</v>
      </c>
      <c r="Q331" s="66" t="s">
        <v>92</v>
      </c>
      <c r="R331" s="66" t="s">
        <v>93</v>
      </c>
      <c r="S331" s="66" t="s">
        <v>94</v>
      </c>
      <c r="T331" s="138" t="str">
        <f>IFERROR(LOOKUP($S331,MOTORISTAS!$D$3:$D$916,MOTORISTAS!E$3:$E$916),"")</f>
        <v>26283419801</v>
      </c>
      <c r="U331" s="138" t="str">
        <f>IFERROR(LOOKUP($S331,MOTORISTAS!$D$3:$D$916,MOTORISTAS!F$3:$F$916),"")</f>
        <v>02002046946</v>
      </c>
      <c r="V331" s="66" t="s">
        <v>857</v>
      </c>
      <c r="W331" s="79">
        <v>45101.354166666664</v>
      </c>
      <c r="X331" s="79">
        <v>45103.354166666664</v>
      </c>
      <c r="Y331" s="79">
        <v>45103.458333333336</v>
      </c>
      <c r="Z331" s="66" t="s">
        <v>293</v>
      </c>
      <c r="AA331" s="79">
        <v>45103.724305555559</v>
      </c>
      <c r="AB331" s="79">
        <v>45099.833333333336</v>
      </c>
      <c r="AC331" s="79">
        <v>45104.5</v>
      </c>
      <c r="AD331" s="79">
        <v>45104.5</v>
      </c>
      <c r="AE331" s="66" t="s">
        <v>294</v>
      </c>
      <c r="AF331" s="44">
        <v>16546</v>
      </c>
      <c r="AG331" s="254">
        <f>Prog_23[[#This Row],[SAÍDA DO CLIENTE]]-Prog_23[[#This Row],[PROGRAMAÇÃO CLIENTE]]</f>
        <v>0.10416666667151731</v>
      </c>
      <c r="AH331" s="44"/>
      <c r="AI331" s="66"/>
      <c r="AJ331" s="66"/>
      <c r="AK331" s="66"/>
      <c r="AL331" s="66"/>
      <c r="AM331" s="66"/>
      <c r="AN331" s="83"/>
      <c r="AO331" s="83"/>
      <c r="AP331" s="83"/>
      <c r="AQ331" s="66"/>
      <c r="AR331" s="66"/>
      <c r="AS331" s="66"/>
      <c r="AT331" s="81">
        <v>4200</v>
      </c>
      <c r="AU331" s="81"/>
      <c r="AV331" s="81"/>
      <c r="AW331" s="81"/>
      <c r="AX331" s="83">
        <f>SUM(Prog_23[[#This Row],[ADIANTAMENTO]]+Prog_23[[#This Row],[SALDO]]+Prog_23[[#This Row],[MARGEM]]+Prog_23[[#This Row],[ESTADIA 1]])</f>
        <v>4200</v>
      </c>
      <c r="AY3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31" s="81"/>
      <c r="BA331" s="81"/>
      <c r="BB331" s="81">
        <f>Prog_23[[#This Row],[VLR NF]]*0.1%</f>
        <v>0</v>
      </c>
      <c r="BC331" s="81">
        <f>Prog_23[[#This Row],[VLR NF]]*0.05%</f>
        <v>0</v>
      </c>
      <c r="BD331" s="81"/>
      <c r="BE331" s="81"/>
      <c r="BF331" s="81"/>
      <c r="BG331" s="81"/>
      <c r="BH331" s="81"/>
      <c r="BI331" s="81"/>
      <c r="BJ331" s="81"/>
      <c r="BK331" s="81"/>
      <c r="BL331" s="81"/>
      <c r="BM331" s="81"/>
      <c r="BN331" s="66" t="s">
        <v>2768</v>
      </c>
      <c r="BO331" s="66" t="s">
        <v>2768</v>
      </c>
      <c r="BP331" s="66" t="s">
        <v>2768</v>
      </c>
      <c r="BQ331" s="66" t="str">
        <f>PROPER(TEXT(Prog_23[[#This Row],[PROGRAMAÇÃO CLIENTE]],"mmm"))</f>
        <v>Jun</v>
      </c>
      <c r="BR331" s="66">
        <f>YEAR(Prog_23[[#This Row],[PROGRAMAÇÃO CLIENTE]])</f>
        <v>2023</v>
      </c>
    </row>
    <row r="332" spans="1:70" x14ac:dyDescent="0.25">
      <c r="A332" s="201" t="str">
        <f>Prog_23[[#This Row],[CONTEINER]]</f>
        <v>MRKU3873898</v>
      </c>
      <c r="B332" s="86" t="s">
        <v>2771</v>
      </c>
      <c r="C3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32" s="85">
        <v>45103.333333333336</v>
      </c>
      <c r="E332" s="66" t="s">
        <v>297</v>
      </c>
      <c r="F332" s="66" t="s">
        <v>298</v>
      </c>
      <c r="G332" s="66" t="s">
        <v>5182</v>
      </c>
      <c r="H332" s="44">
        <v>228510999</v>
      </c>
      <c r="I332" s="44" t="s">
        <v>5239</v>
      </c>
      <c r="J332" s="66" t="s">
        <v>301</v>
      </c>
      <c r="K332" s="66">
        <v>3880</v>
      </c>
      <c r="L332" s="66" t="s">
        <v>5240</v>
      </c>
      <c r="M332" s="66">
        <v>27512</v>
      </c>
      <c r="N332" s="66">
        <f>SUM(Prog_23[[#This Row],[TARA]]+Prog_23[[#This Row],[PESO]])</f>
        <v>31392</v>
      </c>
      <c r="O332" s="44">
        <v>874611</v>
      </c>
      <c r="P332" s="66" t="s">
        <v>5179</v>
      </c>
      <c r="Q332" s="66" t="s">
        <v>87</v>
      </c>
      <c r="R332" s="66" t="s">
        <v>88</v>
      </c>
      <c r="S332" s="66" t="s">
        <v>89</v>
      </c>
      <c r="T332" s="138" t="str">
        <f>IFERROR(LOOKUP($S332,MOTORISTAS!$D$3:$D$916,MOTORISTAS!E$3:$E$916),"")</f>
        <v>00097734527</v>
      </c>
      <c r="U332" s="138" t="str">
        <f>IFERROR(LOOKUP($S332,MOTORISTAS!$D$3:$D$916,MOTORISTAS!F$3:$F$916),"")</f>
        <v>03148346870</v>
      </c>
      <c r="V332" s="66" t="s">
        <v>526</v>
      </c>
      <c r="W332" s="79">
        <v>45101.45416666667</v>
      </c>
      <c r="X332" s="79">
        <v>45103.104166666664</v>
      </c>
      <c r="Y332" s="79">
        <v>45103.5625</v>
      </c>
      <c r="Z332" s="66" t="s">
        <v>410</v>
      </c>
      <c r="AA332" s="79">
        <v>45103.731944444444</v>
      </c>
      <c r="AB332" s="79">
        <v>45102.291666666664</v>
      </c>
      <c r="AC332" s="79">
        <v>45103.416666666664</v>
      </c>
      <c r="AD332" s="79">
        <v>45106.5</v>
      </c>
      <c r="AE332" s="66" t="s">
        <v>4996</v>
      </c>
      <c r="AF332" s="44">
        <v>16547</v>
      </c>
      <c r="AG332" s="254">
        <f>Prog_23[[#This Row],[SAÍDA DO CLIENTE]]-Prog_23[[#This Row],[PROGRAMAÇÃO CLIENTE]]</f>
        <v>0.22916666666424135</v>
      </c>
      <c r="AH332" s="44">
        <v>6546317</v>
      </c>
      <c r="AI332" s="66"/>
      <c r="AJ332" s="66"/>
      <c r="AK332" s="66"/>
      <c r="AL332" s="66"/>
      <c r="AM332" s="66"/>
      <c r="AN332" s="83"/>
      <c r="AO332" s="83"/>
      <c r="AP332" s="83"/>
      <c r="AQ332" s="66"/>
      <c r="AR332" s="66"/>
      <c r="AS332" s="66"/>
      <c r="AT332" s="81">
        <v>3000</v>
      </c>
      <c r="AU332" s="81"/>
      <c r="AV332" s="81"/>
      <c r="AW332" s="81"/>
      <c r="AX332" s="83">
        <f>SUM(Prog_23[[#This Row],[ADIANTAMENTO]]+Prog_23[[#This Row],[SALDO]]+Prog_23[[#This Row],[MARGEM]]+Prog_23[[#This Row],[ESTADIA 1]])</f>
        <v>3000</v>
      </c>
      <c r="AY3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32" s="81">
        <v>3488.8</v>
      </c>
      <c r="BA332" s="81">
        <v>100656</v>
      </c>
      <c r="BB332" s="81">
        <v>0</v>
      </c>
      <c r="BC332" s="81">
        <v>0</v>
      </c>
      <c r="BD332" s="81">
        <v>511.2</v>
      </c>
      <c r="BE332" s="81"/>
      <c r="BF332" s="81"/>
      <c r="BG332" s="81"/>
      <c r="BH332" s="81"/>
      <c r="BI332" s="81"/>
      <c r="BJ332" s="81"/>
      <c r="BK332" s="81"/>
      <c r="BL332" s="81"/>
      <c r="BM332" s="81"/>
      <c r="BN332" s="66" t="s">
        <v>2768</v>
      </c>
      <c r="BO332" s="66" t="s">
        <v>2768</v>
      </c>
      <c r="BP332" s="66" t="s">
        <v>2768</v>
      </c>
      <c r="BQ332" s="66" t="str">
        <f>PROPER(TEXT(Prog_23[[#This Row],[PROGRAMAÇÃO CLIENTE]],"mmm"))</f>
        <v>Jun</v>
      </c>
      <c r="BR332" s="66">
        <f>YEAR(Prog_23[[#This Row],[PROGRAMAÇÃO CLIENTE]])</f>
        <v>2023</v>
      </c>
    </row>
    <row r="333" spans="1:70" x14ac:dyDescent="0.25">
      <c r="A333" s="201" t="str">
        <f>Prog_23[[#This Row],[CONTEINER]]</f>
        <v>GCXU5759800</v>
      </c>
      <c r="B333" s="86" t="s">
        <v>2771</v>
      </c>
      <c r="C3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33" s="85">
        <v>45103.416666666664</v>
      </c>
      <c r="E333" s="66" t="s">
        <v>297</v>
      </c>
      <c r="F333" s="66" t="s">
        <v>298</v>
      </c>
      <c r="G333" s="66" t="s">
        <v>5180</v>
      </c>
      <c r="H333" s="44">
        <v>228510999</v>
      </c>
      <c r="I333" s="44" t="s">
        <v>5249</v>
      </c>
      <c r="J333" s="66" t="s">
        <v>301</v>
      </c>
      <c r="K333" s="66">
        <v>3700</v>
      </c>
      <c r="L333" s="66" t="s">
        <v>5238</v>
      </c>
      <c r="M333" s="66">
        <v>27512</v>
      </c>
      <c r="N333" s="66">
        <f>SUM(Prog_23[[#This Row],[TARA]]+Prog_23[[#This Row],[PESO]])</f>
        <v>31212</v>
      </c>
      <c r="O333" s="44">
        <v>874610</v>
      </c>
      <c r="P333" s="66" t="s">
        <v>5179</v>
      </c>
      <c r="Q333" s="66" t="s">
        <v>2622</v>
      </c>
      <c r="R333" s="66" t="s">
        <v>2623</v>
      </c>
      <c r="S333" s="66" t="s">
        <v>2624</v>
      </c>
      <c r="T333" s="138" t="str">
        <f>IFERROR(LOOKUP($S333,MOTORISTAS!$D$3:$D$916,MOTORISTAS!E$3:$E$916),"")</f>
        <v>31147992568</v>
      </c>
      <c r="U333" s="138" t="str">
        <f>IFERROR(LOOKUP($S333,MOTORISTAS!$D$3:$D$916,MOTORISTAS!F$3:$F$916),"")</f>
        <v>03359999478</v>
      </c>
      <c r="V333" s="66" t="s">
        <v>526</v>
      </c>
      <c r="W333" s="79">
        <v>45101.449305555558</v>
      </c>
      <c r="X333" s="79">
        <v>45103.295138888891</v>
      </c>
      <c r="Y333" s="79">
        <v>45103.611111111109</v>
      </c>
      <c r="Z333" s="66" t="s">
        <v>410</v>
      </c>
      <c r="AA333" s="79">
        <v>45103.884027777778</v>
      </c>
      <c r="AB333" s="79">
        <v>45102.291666666664</v>
      </c>
      <c r="AC333" s="79">
        <v>45103.416666666664</v>
      </c>
      <c r="AD333" s="79">
        <v>45106.5</v>
      </c>
      <c r="AE333" s="66" t="s">
        <v>4996</v>
      </c>
      <c r="AF333" s="44">
        <v>16550</v>
      </c>
      <c r="AG333" s="254">
        <f>Prog_23[[#This Row],[SAÍDA DO CLIENTE]]-Prog_23[[#This Row],[PROGRAMAÇÃO CLIENTE]]</f>
        <v>0.19444444444525288</v>
      </c>
      <c r="AH333" s="44">
        <v>6546309</v>
      </c>
      <c r="AI333" s="66"/>
      <c r="AJ333" s="66"/>
      <c r="AK333" s="66"/>
      <c r="AL333" s="66"/>
      <c r="AM333" s="66"/>
      <c r="AN333" s="83"/>
      <c r="AO333" s="83"/>
      <c r="AP333" s="83"/>
      <c r="AQ333" s="66"/>
      <c r="AR333" s="66"/>
      <c r="AS333" s="66"/>
      <c r="AT333" s="81">
        <v>3000</v>
      </c>
      <c r="AU333" s="81"/>
      <c r="AV333" s="81"/>
      <c r="AW333" s="81"/>
      <c r="AX333" s="83">
        <f>SUM(Prog_23[[#This Row],[ADIANTAMENTO]]+Prog_23[[#This Row],[SALDO]]+Prog_23[[#This Row],[MARGEM]]+Prog_23[[#This Row],[ESTADIA 1]])</f>
        <v>3000</v>
      </c>
      <c r="AY3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33" s="81">
        <v>3488.8</v>
      </c>
      <c r="BA333" s="81">
        <v>100656</v>
      </c>
      <c r="BB333" s="81">
        <v>0</v>
      </c>
      <c r="BC333" s="81">
        <v>0</v>
      </c>
      <c r="BD333" s="81">
        <v>511.2</v>
      </c>
      <c r="BE333" s="81"/>
      <c r="BF333" s="81"/>
      <c r="BG333" s="81"/>
      <c r="BH333" s="81"/>
      <c r="BI333" s="81"/>
      <c r="BJ333" s="81"/>
      <c r="BK333" s="81"/>
      <c r="BL333" s="81"/>
      <c r="BM333" s="81"/>
      <c r="BN333" s="66" t="s">
        <v>2768</v>
      </c>
      <c r="BO333" s="66" t="s">
        <v>2768</v>
      </c>
      <c r="BP333" s="66" t="s">
        <v>2768</v>
      </c>
      <c r="BQ333" s="66" t="str">
        <f>PROPER(TEXT(Prog_23[[#This Row],[PROGRAMAÇÃO CLIENTE]],"mmm"))</f>
        <v>Jun</v>
      </c>
      <c r="BR333" s="66">
        <f>YEAR(Prog_23[[#This Row],[PROGRAMAÇÃO CLIENTE]])</f>
        <v>2023</v>
      </c>
    </row>
    <row r="334" spans="1:70" x14ac:dyDescent="0.25">
      <c r="A334" s="200" t="str">
        <f>Prog_23[[#This Row],[CONTEINER]]</f>
        <v>MRKU2862899</v>
      </c>
      <c r="B334" s="86" t="s">
        <v>2771</v>
      </c>
      <c r="C3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34" s="85">
        <v>45103.5</v>
      </c>
      <c r="E334" s="66" t="s">
        <v>297</v>
      </c>
      <c r="F334" s="66" t="s">
        <v>298</v>
      </c>
      <c r="G334" s="66" t="s">
        <v>5183</v>
      </c>
      <c r="H334" s="44">
        <v>228510999</v>
      </c>
      <c r="I334" s="44" t="s">
        <v>5237</v>
      </c>
      <c r="J334" s="66" t="s">
        <v>301</v>
      </c>
      <c r="K334" s="66">
        <v>3790</v>
      </c>
      <c r="L334" s="66" t="s">
        <v>5236</v>
      </c>
      <c r="M334" s="66">
        <v>27622</v>
      </c>
      <c r="N334" s="66">
        <f>SUM(Prog_23[[#This Row],[TARA]]+Prog_23[[#This Row],[PESO]])</f>
        <v>31412</v>
      </c>
      <c r="O334" s="44">
        <v>874609</v>
      </c>
      <c r="P334" s="66" t="s">
        <v>5179</v>
      </c>
      <c r="Q334" s="66" t="s">
        <v>111</v>
      </c>
      <c r="R334" s="66" t="s">
        <v>891</v>
      </c>
      <c r="S334" s="66" t="s">
        <v>113</v>
      </c>
      <c r="T334" s="138" t="str">
        <f>IFERROR(LOOKUP($S334,MOTORISTAS!$D$3:$D$916,MOTORISTAS!E$3:$E$916),"")</f>
        <v>88265951434</v>
      </c>
      <c r="U334" s="138" t="str">
        <f>IFERROR(LOOKUP($S334,MOTORISTAS!$D$3:$D$916,MOTORISTAS!F$3:$F$916),"")</f>
        <v>00920373596</v>
      </c>
      <c r="V334" s="66" t="s">
        <v>526</v>
      </c>
      <c r="W334" s="79">
        <v>45101.412499999999</v>
      </c>
      <c r="X334" s="79">
        <v>45103.3125</v>
      </c>
      <c r="Y334" s="79">
        <v>45103.635416666664</v>
      </c>
      <c r="Z334" s="66" t="s">
        <v>410</v>
      </c>
      <c r="AA334" s="79">
        <v>45103.819444444445</v>
      </c>
      <c r="AB334" s="79">
        <v>45102.291666666664</v>
      </c>
      <c r="AC334" s="79">
        <v>45103.416666666664</v>
      </c>
      <c r="AD334" s="79">
        <v>45106.5</v>
      </c>
      <c r="AE334" s="66" t="s">
        <v>4996</v>
      </c>
      <c r="AF334" s="44">
        <v>16551</v>
      </c>
      <c r="AG334" s="254">
        <f>Prog_23[[#This Row],[SAÍDA DO CLIENTE]]-Prog_23[[#This Row],[PROGRAMAÇÃO CLIENTE]]</f>
        <v>0.13541666666424135</v>
      </c>
      <c r="AH334" s="44">
        <v>6546321</v>
      </c>
      <c r="AI334" s="66"/>
      <c r="AJ334" s="66"/>
      <c r="AK334" s="66"/>
      <c r="AL334" s="66"/>
      <c r="AM334" s="66"/>
      <c r="AN334" s="83"/>
      <c r="AO334" s="83"/>
      <c r="AP334" s="83"/>
      <c r="AQ334" s="66"/>
      <c r="AR334" s="66"/>
      <c r="AS334" s="66"/>
      <c r="AT334" s="81">
        <v>3000</v>
      </c>
      <c r="AU334" s="81"/>
      <c r="AV334" s="81"/>
      <c r="AW334" s="81"/>
      <c r="AX334" s="83">
        <f>SUM(Prog_23[[#This Row],[ADIANTAMENTO]]+Prog_23[[#This Row],[SALDO]]+Prog_23[[#This Row],[MARGEM]]+Prog_23[[#This Row],[ESTADIA 1]])</f>
        <v>3000</v>
      </c>
      <c r="AY3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34" s="81">
        <v>3488.8</v>
      </c>
      <c r="BA334" s="81">
        <v>221632.5</v>
      </c>
      <c r="BB334" s="81">
        <v>0</v>
      </c>
      <c r="BC334" s="81">
        <v>0</v>
      </c>
      <c r="BD334" s="81">
        <v>511.2</v>
      </c>
      <c r="BE334" s="81"/>
      <c r="BF334" s="81"/>
      <c r="BG334" s="81"/>
      <c r="BH334" s="81"/>
      <c r="BI334" s="81"/>
      <c r="BJ334" s="81"/>
      <c r="BK334" s="81"/>
      <c r="BL334" s="81"/>
      <c r="BM334" s="81"/>
      <c r="BN334" s="66" t="s">
        <v>2768</v>
      </c>
      <c r="BO334" s="66" t="s">
        <v>2768</v>
      </c>
      <c r="BP334" s="66" t="s">
        <v>2768</v>
      </c>
      <c r="BQ334" s="66" t="str">
        <f>PROPER(TEXT(Prog_23[[#This Row],[PROGRAMAÇÃO CLIENTE]],"mmm"))</f>
        <v>Jun</v>
      </c>
      <c r="BR334" s="66">
        <f>YEAR(Prog_23[[#This Row],[PROGRAMAÇÃO CLIENTE]])</f>
        <v>2023</v>
      </c>
    </row>
    <row r="335" spans="1:70" x14ac:dyDescent="0.25">
      <c r="A335" s="200" t="str">
        <f>Prog_23[[#This Row],[CONTEINER]]</f>
        <v>CAAU5277954</v>
      </c>
      <c r="B335" s="86" t="s">
        <v>2771</v>
      </c>
      <c r="C3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35" s="85">
        <v>45103.541666666664</v>
      </c>
      <c r="E335" s="66" t="s">
        <v>297</v>
      </c>
      <c r="F335" s="66" t="s">
        <v>298</v>
      </c>
      <c r="G335" s="66" t="s">
        <v>5180</v>
      </c>
      <c r="H335" s="44">
        <v>228510999</v>
      </c>
      <c r="I335" s="44" t="s">
        <v>5230</v>
      </c>
      <c r="J335" s="66" t="s">
        <v>301</v>
      </c>
      <c r="K335" s="66">
        <v>3700</v>
      </c>
      <c r="L335" s="66" t="s">
        <v>5231</v>
      </c>
      <c r="M335" s="66">
        <v>22247</v>
      </c>
      <c r="N335" s="66">
        <f>SUM(Prog_23[[#This Row],[TARA]]+Prog_23[[#This Row],[PESO]])</f>
        <v>25947</v>
      </c>
      <c r="O335" s="44">
        <v>875129</v>
      </c>
      <c r="P335" s="66" t="s">
        <v>5179</v>
      </c>
      <c r="Q335" s="66" t="s">
        <v>1729</v>
      </c>
      <c r="R335" s="66" t="s">
        <v>4556</v>
      </c>
      <c r="S335" s="66" t="s">
        <v>1731</v>
      </c>
      <c r="T335" s="138" t="str">
        <f>IFERROR(LOOKUP($S335,MOTORISTAS!$D$3:$D$916,MOTORISTAS!E$3:$E$916),"")</f>
        <v>03965340824</v>
      </c>
      <c r="U335" s="138" t="str">
        <f>IFERROR(LOOKUP($S335,MOTORISTAS!$D$3:$D$916,MOTORISTAS!F$3:$F$916),"")</f>
        <v>01420704735</v>
      </c>
      <c r="V335" s="66" t="s">
        <v>292</v>
      </c>
      <c r="W335" s="79">
        <v>45100.71597222222</v>
      </c>
      <c r="X335" s="79">
        <v>45103.6875</v>
      </c>
      <c r="Y335" s="79">
        <v>45104.645833333336</v>
      </c>
      <c r="Z335" s="66" t="s">
        <v>410</v>
      </c>
      <c r="AA335" s="79">
        <v>45104.837500000001</v>
      </c>
      <c r="AB335" s="79">
        <v>45102.291666666664</v>
      </c>
      <c r="AC335" s="79">
        <v>45103.416666666664</v>
      </c>
      <c r="AD335" s="79">
        <v>45106.5</v>
      </c>
      <c r="AE335" s="66" t="s">
        <v>4996</v>
      </c>
      <c r="AF335" s="44">
        <v>16567</v>
      </c>
      <c r="AG335" s="254">
        <f>Prog_23[[#This Row],[SAÍDA DO CLIENTE]]-Prog_23[[#This Row],[PROGRAMAÇÃO CLIENTE]]</f>
        <v>1.1041666666715173</v>
      </c>
      <c r="AH335" s="44" t="s">
        <v>5275</v>
      </c>
      <c r="AI335" s="66"/>
      <c r="AJ335" s="66"/>
      <c r="AK335" s="66"/>
      <c r="AL335" s="66"/>
      <c r="AM335" s="66"/>
      <c r="AN335" s="83"/>
      <c r="AO335" s="83"/>
      <c r="AP335" s="83"/>
      <c r="AQ335" s="66"/>
      <c r="AR335" s="66"/>
      <c r="AS335" s="66"/>
      <c r="AT335" s="81">
        <v>3000</v>
      </c>
      <c r="AU335" s="81"/>
      <c r="AV335" s="81"/>
      <c r="AW335" s="81"/>
      <c r="AX335" s="83">
        <f>SUM(Prog_23[[#This Row],[ADIANTAMENTO]]+Prog_23[[#This Row],[SALDO]]+Prog_23[[#This Row],[MARGEM]]+Prog_23[[#This Row],[ESTADIA 1]])</f>
        <v>3000</v>
      </c>
      <c r="AY3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5530</v>
      </c>
      <c r="AZ335" s="81">
        <v>3488.8</v>
      </c>
      <c r="BA335" s="81">
        <v>142579.92000000001</v>
      </c>
      <c r="BB335" s="81">
        <v>0</v>
      </c>
      <c r="BC335" s="81">
        <v>0</v>
      </c>
      <c r="BD335" s="81">
        <v>511.2</v>
      </c>
      <c r="BE335" s="81"/>
      <c r="BF335" s="81"/>
      <c r="BG335" s="81"/>
      <c r="BH335" s="81"/>
      <c r="BI335" s="81"/>
      <c r="BJ335" s="81"/>
      <c r="BK335" s="81"/>
      <c r="BL335" s="81"/>
      <c r="BM335" s="81">
        <f>85*18</f>
        <v>1530</v>
      </c>
      <c r="BN335" s="66" t="s">
        <v>2768</v>
      </c>
      <c r="BO335" s="66" t="s">
        <v>2768</v>
      </c>
      <c r="BP335" s="66" t="s">
        <v>2768</v>
      </c>
      <c r="BQ335" s="66" t="str">
        <f>PROPER(TEXT(Prog_23[[#This Row],[PROGRAMAÇÃO CLIENTE]],"mmm"))</f>
        <v>Jun</v>
      </c>
      <c r="BR335" s="66">
        <f>YEAR(Prog_23[[#This Row],[PROGRAMAÇÃO CLIENTE]])</f>
        <v>2023</v>
      </c>
    </row>
    <row r="336" spans="1:70" x14ac:dyDescent="0.25">
      <c r="A336" s="200" t="str">
        <f>Prog_23[[#This Row],[CONTEINER]]</f>
        <v>MSKU0220084</v>
      </c>
      <c r="B336" s="86" t="s">
        <v>2771</v>
      </c>
      <c r="C3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36" s="85">
        <v>45103.625</v>
      </c>
      <c r="E336" s="66" t="s">
        <v>297</v>
      </c>
      <c r="F336" s="66" t="s">
        <v>298</v>
      </c>
      <c r="G336" s="66" t="s">
        <v>5181</v>
      </c>
      <c r="H336" s="44">
        <v>228510999</v>
      </c>
      <c r="I336" s="44" t="s">
        <v>5234</v>
      </c>
      <c r="J336" s="66" t="s">
        <v>301</v>
      </c>
      <c r="K336" s="66">
        <v>3880</v>
      </c>
      <c r="L336" s="66" t="s">
        <v>5235</v>
      </c>
      <c r="M336" s="66">
        <v>28168</v>
      </c>
      <c r="N336" s="66">
        <f>SUM(Prog_23[[#This Row],[TARA]]+Prog_23[[#This Row],[PESO]])</f>
        <v>32048</v>
      </c>
      <c r="O336" s="44">
        <v>875010</v>
      </c>
      <c r="P336" s="66" t="s">
        <v>5179</v>
      </c>
      <c r="Q336" s="66" t="s">
        <v>192</v>
      </c>
      <c r="R336" s="66" t="s">
        <v>193</v>
      </c>
      <c r="S336" s="66" t="s">
        <v>194</v>
      </c>
      <c r="T336" s="138" t="str">
        <f>IFERROR(LOOKUP($S336,MOTORISTAS!$D$3:$D$916,MOTORISTAS!E$3:$E$916),"")</f>
        <v>38529612892</v>
      </c>
      <c r="U336" s="138" t="str">
        <f>IFERROR(LOOKUP($S336,MOTORISTAS!$D$3:$D$916,MOTORISTAS!F$3:$F$916),"")</f>
        <v>05021398574</v>
      </c>
      <c r="V336" s="66" t="s">
        <v>526</v>
      </c>
      <c r="W336" s="79">
        <v>45101.407638888886</v>
      </c>
      <c r="X336" s="79">
        <v>45103.479166666664</v>
      </c>
      <c r="Y336" s="79">
        <v>45103.979166666664</v>
      </c>
      <c r="Z336" s="66" t="s">
        <v>410</v>
      </c>
      <c r="AA336" s="79">
        <v>45104.602777777778</v>
      </c>
      <c r="AB336" s="79">
        <v>45102.291666666664</v>
      </c>
      <c r="AC336" s="79">
        <v>45103.416666666664</v>
      </c>
      <c r="AD336" s="79">
        <v>45106.5</v>
      </c>
      <c r="AE336" s="66" t="s">
        <v>4996</v>
      </c>
      <c r="AF336" s="44">
        <v>16557</v>
      </c>
      <c r="AG336" s="254">
        <f>Prog_23[[#This Row],[SAÍDA DO CLIENTE]]-Prog_23[[#This Row],[PROGRAMAÇÃO CLIENTE]]</f>
        <v>0.35416666666424135</v>
      </c>
      <c r="AH336" s="44" t="s">
        <v>5268</v>
      </c>
      <c r="AI336" s="66"/>
      <c r="AJ336" s="66"/>
      <c r="AK336" s="66"/>
      <c r="AL336" s="66"/>
      <c r="AM336" s="66"/>
      <c r="AN336" s="83"/>
      <c r="AO336" s="83"/>
      <c r="AP336" s="83"/>
      <c r="AQ336" s="66"/>
      <c r="AR336" s="66"/>
      <c r="AS336" s="66"/>
      <c r="AT336" s="81">
        <v>3000</v>
      </c>
      <c r="AU336" s="81"/>
      <c r="AV336" s="81"/>
      <c r="AW336" s="81"/>
      <c r="AX336" s="83">
        <f>SUM(Prog_23[[#This Row],[ADIANTAMENTO]]+Prog_23[[#This Row],[SALDO]]+Prog_23[[#This Row],[MARGEM]]+Prog_23[[#This Row],[ESTADIA 1]])</f>
        <v>3000</v>
      </c>
      <c r="AY3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4425</v>
      </c>
      <c r="AZ336" s="81">
        <v>3488.8</v>
      </c>
      <c r="BA336" s="81">
        <v>174229.66</v>
      </c>
      <c r="BB336" s="81">
        <v>0</v>
      </c>
      <c r="BC336" s="81">
        <v>0</v>
      </c>
      <c r="BD336" s="81">
        <v>511.2</v>
      </c>
      <c r="BE336" s="81"/>
      <c r="BF336" s="81"/>
      <c r="BG336" s="81"/>
      <c r="BH336" s="81"/>
      <c r="BI336" s="81"/>
      <c r="BJ336" s="81"/>
      <c r="BK336" s="81"/>
      <c r="BL336" s="81"/>
      <c r="BM336" s="81">
        <f>85*5</f>
        <v>425</v>
      </c>
      <c r="BN336" s="66" t="s">
        <v>2768</v>
      </c>
      <c r="BO336" s="66" t="s">
        <v>2768</v>
      </c>
      <c r="BP336" s="66" t="s">
        <v>2768</v>
      </c>
      <c r="BQ336" s="66" t="str">
        <f>PROPER(TEXT(Prog_23[[#This Row],[PROGRAMAÇÃO CLIENTE]],"mmm"))</f>
        <v>Jun</v>
      </c>
      <c r="BR336" s="66">
        <f>YEAR(Prog_23[[#This Row],[PROGRAMAÇÃO CLIENTE]])</f>
        <v>2023</v>
      </c>
    </row>
    <row r="337" spans="1:70" x14ac:dyDescent="0.25">
      <c r="A337" s="200" t="str">
        <f>Prog_23[[#This Row],[CONTEINER]]</f>
        <v>8 VOLUMES</v>
      </c>
      <c r="B337" s="86" t="s">
        <v>2771</v>
      </c>
      <c r="C3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37" s="85">
        <v>45104.333333333336</v>
      </c>
      <c r="E337" s="66" t="s">
        <v>5217</v>
      </c>
      <c r="F337" s="66" t="s">
        <v>5228</v>
      </c>
      <c r="G337" s="66"/>
      <c r="H337" s="44" t="s">
        <v>5218</v>
      </c>
      <c r="I337" s="44" t="s">
        <v>5229</v>
      </c>
      <c r="J337" s="66">
        <v>8</v>
      </c>
      <c r="K337" s="66">
        <v>0</v>
      </c>
      <c r="L337" s="66"/>
      <c r="M337" s="66">
        <v>8449</v>
      </c>
      <c r="N337" s="66">
        <f>SUM(Prog_23[[#This Row],[TARA]]+Prog_23[[#This Row],[PESO]])</f>
        <v>8449</v>
      </c>
      <c r="O337" s="44">
        <v>51504</v>
      </c>
      <c r="P337" s="66"/>
      <c r="Q337" s="66" t="s">
        <v>845</v>
      </c>
      <c r="R337" s="66" t="s">
        <v>125</v>
      </c>
      <c r="S337" s="66" t="s">
        <v>847</v>
      </c>
      <c r="T337" s="138" t="str">
        <f>IFERROR(LOOKUP($S337,MOTORISTAS!$D$3:$D$916,MOTORISTAS!E$3:$E$916),"")</f>
        <v>08053454852</v>
      </c>
      <c r="U337" s="138" t="str">
        <f>IFERROR(LOOKUP($S337,MOTORISTAS!$D$3:$D$916,MOTORISTAS!F$3:$F$916),"")</f>
        <v>03409257572</v>
      </c>
      <c r="V337" s="66" t="s">
        <v>4398</v>
      </c>
      <c r="W337" s="79">
        <v>45103.666666666664</v>
      </c>
      <c r="X337" s="79">
        <v>45104.333333333336</v>
      </c>
      <c r="Y337" s="79">
        <v>45103.368055555555</v>
      </c>
      <c r="Z337" s="66"/>
      <c r="AA337" s="79">
        <v>45103.368055555555</v>
      </c>
      <c r="AB337" s="79">
        <v>45103.368055555555</v>
      </c>
      <c r="AC337" s="79">
        <v>45103.368055555555</v>
      </c>
      <c r="AD337" s="79">
        <v>45103.368055555555</v>
      </c>
      <c r="AE337" s="66" t="s">
        <v>708</v>
      </c>
      <c r="AF337" s="44" t="s">
        <v>5272</v>
      </c>
      <c r="AG337" s="254">
        <f>Prog_23[[#This Row],[SAÍDA DO CLIENTE]]-Prog_23[[#This Row],[PROGRAMAÇÃO CLIENTE]]</f>
        <v>-0.96527777778101154</v>
      </c>
      <c r="AH337" s="44"/>
      <c r="AI337" s="66"/>
      <c r="AJ337" s="66"/>
      <c r="AK337" s="66"/>
      <c r="AL337" s="66"/>
      <c r="AM337" s="66"/>
      <c r="AN337" s="83"/>
      <c r="AO337" s="83"/>
      <c r="AP337" s="83"/>
      <c r="AQ337" s="66"/>
      <c r="AR337" s="66"/>
      <c r="AS337" s="66"/>
      <c r="AT337" s="81">
        <v>3200</v>
      </c>
      <c r="AU337" s="81"/>
      <c r="AV337" s="81"/>
      <c r="AW337" s="81"/>
      <c r="AX337" s="83">
        <f>SUM(Prog_23[[#This Row],[ADIANTAMENTO]]+Prog_23[[#This Row],[SALDO]]+Prog_23[[#This Row],[MARGEM]]+Prog_23[[#This Row],[ESTADIA 1]])</f>
        <v>3200</v>
      </c>
      <c r="AY3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5050.8787149999998</v>
      </c>
      <c r="AZ337" s="81">
        <v>4200</v>
      </c>
      <c r="BA337" s="81">
        <v>92337.43</v>
      </c>
      <c r="BB337" s="81">
        <v>0</v>
      </c>
      <c r="BC337" s="81">
        <f>Prog_23[[#This Row],[VLR NF]]*0.05%</f>
        <v>46.168714999999999</v>
      </c>
      <c r="BD337" s="81">
        <v>168.6</v>
      </c>
      <c r="BE337" s="81"/>
      <c r="BF337" s="81"/>
      <c r="BG337" s="81"/>
      <c r="BH337" s="81"/>
      <c r="BI337" s="81">
        <v>606.11</v>
      </c>
      <c r="BJ337" s="81">
        <v>30</v>
      </c>
      <c r="BK337" s="81"/>
      <c r="BL337" s="81"/>
      <c r="BM337" s="81"/>
      <c r="BN337" s="66" t="s">
        <v>2768</v>
      </c>
      <c r="BO337" s="66" t="s">
        <v>2768</v>
      </c>
      <c r="BP337" s="66" t="s">
        <v>2768</v>
      </c>
      <c r="BQ337" s="66" t="str">
        <f>PROPER(TEXT(Prog_23[[#This Row],[PROGRAMAÇÃO CLIENTE]],"mmm"))</f>
        <v>Jun</v>
      </c>
      <c r="BR337" s="66">
        <f>YEAR(Prog_23[[#This Row],[PROGRAMAÇÃO CLIENTE]])</f>
        <v>2023</v>
      </c>
    </row>
    <row r="338" spans="1:70" x14ac:dyDescent="0.25">
      <c r="A338" s="201" t="str">
        <f>Prog_23[[#This Row],[CONTEINER]]</f>
        <v>HLBU8007346</v>
      </c>
      <c r="B338" s="86" t="s">
        <v>2771</v>
      </c>
      <c r="C3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38" s="85">
        <v>45104.333333333336</v>
      </c>
      <c r="E338" s="66" t="s">
        <v>5114</v>
      </c>
      <c r="F338" s="66" t="s">
        <v>5075</v>
      </c>
      <c r="G338" s="66">
        <v>22149</v>
      </c>
      <c r="H338" s="44">
        <v>64231822</v>
      </c>
      <c r="I338" s="44" t="s">
        <v>5265</v>
      </c>
      <c r="J338" s="66" t="s">
        <v>2292</v>
      </c>
      <c r="K338" s="66">
        <v>4000</v>
      </c>
      <c r="L338" s="66" t="s">
        <v>5264</v>
      </c>
      <c r="M338" s="66">
        <v>21390</v>
      </c>
      <c r="N338" s="66">
        <f>SUM(Prog_23[[#This Row],[TARA]]+Prog_23[[#This Row],[PESO]])</f>
        <v>25390</v>
      </c>
      <c r="O338" s="44">
        <v>900</v>
      </c>
      <c r="P338" s="66" t="s">
        <v>5244</v>
      </c>
      <c r="Q338" s="66" t="s">
        <v>92</v>
      </c>
      <c r="R338" s="66" t="s">
        <v>93</v>
      </c>
      <c r="S338" s="66" t="s">
        <v>94</v>
      </c>
      <c r="T338" s="138" t="str">
        <f>IFERROR(LOOKUP($S338,MOTORISTAS!$D$3:$D$916,MOTORISTAS!E$3:$E$916),"")</f>
        <v>26283419801</v>
      </c>
      <c r="U338" s="138" t="str">
        <f>IFERROR(LOOKUP($S338,MOTORISTAS!$D$3:$D$916,MOTORISTAS!F$3:$F$916),"")</f>
        <v>02002046946</v>
      </c>
      <c r="V338" s="66" t="s">
        <v>292</v>
      </c>
      <c r="W338" s="79">
        <v>45103.84097222222</v>
      </c>
      <c r="X338" s="79">
        <v>45104.333333333336</v>
      </c>
      <c r="Y338" s="79">
        <v>45104.5625</v>
      </c>
      <c r="Z338" s="66" t="s">
        <v>293</v>
      </c>
      <c r="AA338" s="79">
        <v>45106.916666666664</v>
      </c>
      <c r="AB338" s="79">
        <v>45105.75</v>
      </c>
      <c r="AC338" s="79">
        <v>45104.75</v>
      </c>
      <c r="AD338" s="79">
        <v>45107.5</v>
      </c>
      <c r="AE338" s="66" t="s">
        <v>5219</v>
      </c>
      <c r="AF338" s="44">
        <v>16566</v>
      </c>
      <c r="AG338" s="254">
        <f>Prog_23[[#This Row],[SAÍDA DO CLIENTE]]-Prog_23[[#This Row],[PROGRAMAÇÃO CLIENTE]]</f>
        <v>0.22916666666424135</v>
      </c>
      <c r="AH338" s="44"/>
      <c r="AI338" s="66"/>
      <c r="AJ338" s="66"/>
      <c r="AK338" s="66" t="s">
        <v>5327</v>
      </c>
      <c r="AL338" s="79">
        <v>45105.083333333336</v>
      </c>
      <c r="AM338" s="66"/>
      <c r="AN338" s="83"/>
      <c r="AO338" s="83"/>
      <c r="AP338" s="83"/>
      <c r="AQ338" s="66"/>
      <c r="AR338" s="66"/>
      <c r="AS338" s="66"/>
      <c r="AT338" s="81">
        <v>6000</v>
      </c>
      <c r="AU338" s="81"/>
      <c r="AV338" s="81"/>
      <c r="AW338" s="81"/>
      <c r="AX338" s="83">
        <f>SUM(Prog_23[[#This Row],[ADIANTAMENTO]]+Prog_23[[#This Row],[SALDO]]+Prog_23[[#This Row],[MARGEM]]+Prog_23[[#This Row],[ESTADIA 1]])</f>
        <v>6000</v>
      </c>
      <c r="AY3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9787.1675849999992</v>
      </c>
      <c r="AZ338" s="81">
        <v>7700</v>
      </c>
      <c r="BA338" s="81">
        <v>583578.39</v>
      </c>
      <c r="BB338" s="81">
        <f>Prog_23[[#This Row],[VLR NF]]*0.1%</f>
        <v>583.57839000000001</v>
      </c>
      <c r="BC338" s="81">
        <f>Prog_23[[#This Row],[VLR NF]]*0.05%</f>
        <v>291.78919500000001</v>
      </c>
      <c r="BD338" s="81">
        <v>1106.8</v>
      </c>
      <c r="BE338" s="81"/>
      <c r="BF338" s="81"/>
      <c r="BG338" s="81"/>
      <c r="BH338" s="81">
        <v>30</v>
      </c>
      <c r="BI338" s="81"/>
      <c r="BJ338" s="81">
        <v>75</v>
      </c>
      <c r="BK338" s="81"/>
      <c r="BL338" s="81"/>
      <c r="BM338" s="81"/>
      <c r="BN338" s="66" t="s">
        <v>2768</v>
      </c>
      <c r="BO338" s="66" t="s">
        <v>2768</v>
      </c>
      <c r="BP338" s="66" t="s">
        <v>2768</v>
      </c>
      <c r="BQ338" s="66" t="str">
        <f>PROPER(TEXT(Prog_23[[#This Row],[PROGRAMAÇÃO CLIENTE]],"mmm"))</f>
        <v>Jun</v>
      </c>
      <c r="BR338" s="66">
        <f>YEAR(Prog_23[[#This Row],[PROGRAMAÇÃO CLIENTE]])</f>
        <v>2023</v>
      </c>
    </row>
    <row r="339" spans="1:70" x14ac:dyDescent="0.25">
      <c r="A339" s="200" t="str">
        <f>Prog_23[[#This Row],[CONTEINER]]</f>
        <v>HLBU2153908</v>
      </c>
      <c r="B339" s="86" t="s">
        <v>2771</v>
      </c>
      <c r="C3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39" s="85">
        <v>45104.375</v>
      </c>
      <c r="E339" s="66" t="s">
        <v>297</v>
      </c>
      <c r="F339" s="66" t="s">
        <v>298</v>
      </c>
      <c r="G339" s="66" t="s">
        <v>5245</v>
      </c>
      <c r="H339" s="44">
        <v>62564627</v>
      </c>
      <c r="I339" s="44" t="s">
        <v>5255</v>
      </c>
      <c r="J339" s="66" t="s">
        <v>301</v>
      </c>
      <c r="K339" s="66">
        <v>3900</v>
      </c>
      <c r="L339" s="66" t="s">
        <v>5256</v>
      </c>
      <c r="M339" s="66">
        <v>17837</v>
      </c>
      <c r="N339" s="66">
        <f>SUM(Prog_23[[#This Row],[TARA]]+Prog_23[[#This Row],[PESO]])</f>
        <v>21737</v>
      </c>
      <c r="O339" s="44">
        <v>875502</v>
      </c>
      <c r="P339" s="66" t="s">
        <v>5244</v>
      </c>
      <c r="Q339" s="66" t="s">
        <v>72</v>
      </c>
      <c r="R339" s="66" t="s">
        <v>27</v>
      </c>
      <c r="S339" s="66" t="s">
        <v>2678</v>
      </c>
      <c r="T339" s="138" t="str">
        <f>IFERROR(LOOKUP($S339,MOTORISTAS!$D$3:$D$916,MOTORISTAS!E$3:$E$916),"")</f>
        <v>28386357860</v>
      </c>
      <c r="U339" s="138" t="str">
        <f>IFERROR(LOOKUP($S339,MOTORISTAS!$D$3:$D$916,MOTORISTAS!F$3:$F$916),"")</f>
        <v>01042201192</v>
      </c>
      <c r="V339" s="66" t="s">
        <v>292</v>
      </c>
      <c r="W339" s="79">
        <v>45103.560416666667</v>
      </c>
      <c r="X339" s="79">
        <v>45104.302083333336</v>
      </c>
      <c r="Y339" s="79">
        <v>45105.520833333336</v>
      </c>
      <c r="Z339" s="66" t="s">
        <v>293</v>
      </c>
      <c r="AA339" s="79">
        <v>45106.331944444442</v>
      </c>
      <c r="AB339" s="79">
        <v>45105.5</v>
      </c>
      <c r="AC339" s="79">
        <v>45105.416666666664</v>
      </c>
      <c r="AD339" s="79">
        <v>45107.5</v>
      </c>
      <c r="AE339" s="66" t="s">
        <v>1854</v>
      </c>
      <c r="AF339" s="44">
        <v>16579</v>
      </c>
      <c r="AG339" s="254">
        <f>Prog_23[[#This Row],[SAÍDA DO CLIENTE]]-Prog_23[[#This Row],[PROGRAMAÇÃO CLIENTE]]</f>
        <v>1.1458333333357587</v>
      </c>
      <c r="AH339" s="44"/>
      <c r="AI339" s="66"/>
      <c r="AJ339" s="66"/>
      <c r="AK339" s="66"/>
      <c r="AL339" s="66"/>
      <c r="AM339" s="66"/>
      <c r="AN339" s="83"/>
      <c r="AO339" s="83"/>
      <c r="AP339" s="83"/>
      <c r="AQ339" s="66"/>
      <c r="AR339" s="66"/>
      <c r="AS339" s="66"/>
      <c r="AT339" s="81">
        <v>3200</v>
      </c>
      <c r="AU339" s="81"/>
      <c r="AV339" s="81"/>
      <c r="AW339" s="81"/>
      <c r="AX339" s="83">
        <f>SUM(Prog_23[[#This Row],[ADIANTAMENTO]]+Prog_23[[#This Row],[SALDO]]+Prog_23[[#This Row],[MARGEM]]+Prog_23[[#This Row],[ESTADIA 1]])</f>
        <v>3200</v>
      </c>
      <c r="AY3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5950</v>
      </c>
      <c r="AZ339" s="81">
        <v>3488.8</v>
      </c>
      <c r="BA339" s="81">
        <v>118113.8</v>
      </c>
      <c r="BB339" s="81">
        <v>0</v>
      </c>
      <c r="BC339" s="81">
        <v>0</v>
      </c>
      <c r="BD339" s="81">
        <v>511.2</v>
      </c>
      <c r="BE339" s="81"/>
      <c r="BF339" s="81"/>
      <c r="BG339" s="81"/>
      <c r="BH339" s="81"/>
      <c r="BI339" s="81"/>
      <c r="BJ339" s="81"/>
      <c r="BK339" s="81"/>
      <c r="BL339" s="81">
        <v>250</v>
      </c>
      <c r="BM339" s="81">
        <f>85*20</f>
        <v>1700</v>
      </c>
      <c r="BN339" s="66" t="s">
        <v>2768</v>
      </c>
      <c r="BO339" s="66" t="s">
        <v>2768</v>
      </c>
      <c r="BP339" s="66" t="s">
        <v>2768</v>
      </c>
      <c r="BQ339" s="66" t="str">
        <f>PROPER(TEXT(Prog_23[[#This Row],[PROGRAMAÇÃO CLIENTE]],"mmm"))</f>
        <v>Jun</v>
      </c>
      <c r="BR339" s="66">
        <f>YEAR(Prog_23[[#This Row],[PROGRAMAÇÃO CLIENTE]])</f>
        <v>2023</v>
      </c>
    </row>
    <row r="340" spans="1:70" x14ac:dyDescent="0.25">
      <c r="A340" s="201" t="str">
        <f>Prog_23[[#This Row],[CONTEINER]]</f>
        <v>TCNU6045902</v>
      </c>
      <c r="B340" s="86" t="s">
        <v>2771</v>
      </c>
      <c r="C3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40" s="85">
        <v>45104.541666666664</v>
      </c>
      <c r="E340" s="66" t="s">
        <v>297</v>
      </c>
      <c r="F340" s="66" t="s">
        <v>298</v>
      </c>
      <c r="G340" s="66" t="s">
        <v>5245</v>
      </c>
      <c r="H340" s="44">
        <v>62564627</v>
      </c>
      <c r="I340" s="44" t="s">
        <v>5257</v>
      </c>
      <c r="J340" s="66" t="s">
        <v>301</v>
      </c>
      <c r="K340" s="66">
        <v>3810</v>
      </c>
      <c r="L340" s="66" t="s">
        <v>5258</v>
      </c>
      <c r="M340" s="66">
        <v>17780</v>
      </c>
      <c r="N340" s="66">
        <f>SUM(Prog_23[[#This Row],[TARA]]+Prog_23[[#This Row],[PESO]])</f>
        <v>21590</v>
      </c>
      <c r="O340" s="44">
        <v>875504</v>
      </c>
      <c r="P340" s="66" t="s">
        <v>5244</v>
      </c>
      <c r="Q340" s="66" t="s">
        <v>150</v>
      </c>
      <c r="R340" s="66" t="s">
        <v>209</v>
      </c>
      <c r="S340" s="66" t="s">
        <v>4901</v>
      </c>
      <c r="T340" s="138" t="str">
        <f>IFERROR(LOOKUP($S340,MOTORISTAS!$D$3:$D$916,MOTORISTAS!E$3:$E$916),"")</f>
        <v>25538214842</v>
      </c>
      <c r="U340" s="138" t="str">
        <f>IFERROR(LOOKUP($S340,MOTORISTAS!$D$3:$D$916,MOTORISTAS!F$3:$F$916),"")</f>
        <v>01845110101</v>
      </c>
      <c r="V340" s="66" t="s">
        <v>292</v>
      </c>
      <c r="W340" s="79">
        <v>45103.727083333331</v>
      </c>
      <c r="X340" s="79">
        <v>45104.489583333336</v>
      </c>
      <c r="Y340" s="79">
        <v>45105.520833333336</v>
      </c>
      <c r="Z340" s="66" t="s">
        <v>293</v>
      </c>
      <c r="AA340" s="79">
        <v>45106.275694444441</v>
      </c>
      <c r="AB340" s="79">
        <v>45105.5</v>
      </c>
      <c r="AC340" s="79">
        <v>45105.416666666664</v>
      </c>
      <c r="AD340" s="79">
        <v>45107.5</v>
      </c>
      <c r="AE340" s="66" t="s">
        <v>1854</v>
      </c>
      <c r="AF340" s="44">
        <v>16580</v>
      </c>
      <c r="AG340" s="254">
        <f>Prog_23[[#This Row],[SAÍDA DO CLIENTE]]-Prog_23[[#This Row],[PROGRAMAÇÃO CLIENTE]]</f>
        <v>0.97916666667151731</v>
      </c>
      <c r="AH340" s="44"/>
      <c r="AI340" s="66"/>
      <c r="AJ340" s="66"/>
      <c r="AK340" s="66"/>
      <c r="AL340" s="66"/>
      <c r="AM340" s="66"/>
      <c r="AN340" s="83"/>
      <c r="AO340" s="83"/>
      <c r="AP340" s="83"/>
      <c r="AQ340" s="66"/>
      <c r="AR340" s="66"/>
      <c r="AS340" s="66"/>
      <c r="AT340" s="81">
        <v>3200</v>
      </c>
      <c r="AU340" s="81"/>
      <c r="AV340" s="81"/>
      <c r="AW340" s="81"/>
      <c r="AX340" s="83">
        <f>SUM(Prog_23[[#This Row],[ADIANTAMENTO]]+Prog_23[[#This Row],[SALDO]]+Prog_23[[#This Row],[MARGEM]]+Prog_23[[#This Row],[ESTADIA 1]])</f>
        <v>3200</v>
      </c>
      <c r="AY3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5610</v>
      </c>
      <c r="AZ340" s="81">
        <v>3488.8</v>
      </c>
      <c r="BA340" s="81">
        <v>117218.2</v>
      </c>
      <c r="BB340" s="81">
        <v>0</v>
      </c>
      <c r="BC340" s="81">
        <v>0</v>
      </c>
      <c r="BD340" s="81">
        <v>511.2</v>
      </c>
      <c r="BE340" s="81"/>
      <c r="BF340" s="81"/>
      <c r="BG340" s="81"/>
      <c r="BH340" s="81"/>
      <c r="BI340" s="81"/>
      <c r="BJ340" s="81"/>
      <c r="BK340" s="81"/>
      <c r="BL340" s="81">
        <v>250</v>
      </c>
      <c r="BM340" s="81">
        <f>85*16</f>
        <v>1360</v>
      </c>
      <c r="BN340" s="66" t="s">
        <v>2768</v>
      </c>
      <c r="BO340" s="66" t="s">
        <v>2768</v>
      </c>
      <c r="BP340" s="66" t="s">
        <v>2768</v>
      </c>
      <c r="BQ340" s="66" t="str">
        <f>PROPER(TEXT(Prog_23[[#This Row],[PROGRAMAÇÃO CLIENTE]],"mmm"))</f>
        <v>Jun</v>
      </c>
      <c r="BR340" s="66">
        <f>YEAR(Prog_23[[#This Row],[PROGRAMAÇÃO CLIENTE]])</f>
        <v>2023</v>
      </c>
    </row>
    <row r="341" spans="1:70" x14ac:dyDescent="0.25">
      <c r="A341" s="201" t="str">
        <f>Prog_23[[#This Row],[CONTEINER]]</f>
        <v>TLLU5929324</v>
      </c>
      <c r="B341" s="86" t="s">
        <v>2771</v>
      </c>
      <c r="C3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41" s="85">
        <v>45104.666666666664</v>
      </c>
      <c r="E341" s="66" t="s">
        <v>2302</v>
      </c>
      <c r="F341" s="66" t="s">
        <v>529</v>
      </c>
      <c r="G341" s="259">
        <v>42</v>
      </c>
      <c r="H341" s="44">
        <v>228611472</v>
      </c>
      <c r="I341" s="44" t="s">
        <v>5266</v>
      </c>
      <c r="J341" s="66" t="s">
        <v>301</v>
      </c>
      <c r="K341" s="66">
        <v>3700</v>
      </c>
      <c r="L341" s="66" t="s">
        <v>5267</v>
      </c>
      <c r="M341" s="66">
        <v>9212</v>
      </c>
      <c r="N341" s="66">
        <f>SUM(Prog_23[[#This Row],[TARA]]+Prog_23[[#This Row],[PESO]])</f>
        <v>12912</v>
      </c>
      <c r="O341" s="44" t="s">
        <v>5263</v>
      </c>
      <c r="P341" s="66" t="s">
        <v>5224</v>
      </c>
      <c r="Q341" s="66" t="s">
        <v>102</v>
      </c>
      <c r="R341" s="66" t="s">
        <v>73</v>
      </c>
      <c r="S341" s="66" t="s">
        <v>203</v>
      </c>
      <c r="T341" s="138" t="str">
        <f>IFERROR(LOOKUP($S341,MOTORISTAS!$D$3:$D$916,MOTORISTAS!E$3:$E$916),"")</f>
        <v>10395859816</v>
      </c>
      <c r="U341" s="138" t="str">
        <f>IFERROR(LOOKUP($S341,MOTORISTAS!$D$3:$D$916,MOTORISTAS!F$3:$F$916),"")</f>
        <v>01965794851</v>
      </c>
      <c r="V341" s="66" t="s">
        <v>521</v>
      </c>
      <c r="W341" s="79">
        <v>45104.31527777778</v>
      </c>
      <c r="X341" s="79">
        <v>45104.493055555555</v>
      </c>
      <c r="Y341" s="79">
        <v>45104.75</v>
      </c>
      <c r="Z341" s="66" t="s">
        <v>306</v>
      </c>
      <c r="AA341" s="79">
        <v>45104.886805555558</v>
      </c>
      <c r="AB341" s="79">
        <v>45103.041666666664</v>
      </c>
      <c r="AC341" s="79">
        <v>45133.5</v>
      </c>
      <c r="AD341" s="79">
        <v>45136.75</v>
      </c>
      <c r="AE341" s="66" t="s">
        <v>527</v>
      </c>
      <c r="AF341" s="44">
        <v>16569</v>
      </c>
      <c r="AG341" s="254">
        <f>Prog_23[[#This Row],[SAÍDA DO CLIENTE]]-Prog_23[[#This Row],[PROGRAMAÇÃO CLIENTE]]</f>
        <v>8.3333333335758653E-2</v>
      </c>
      <c r="AH341" s="44"/>
      <c r="AI341" s="66"/>
      <c r="AJ341" s="66"/>
      <c r="AK341" s="66"/>
      <c r="AL341" s="66"/>
      <c r="AM341" s="66"/>
      <c r="AN341" s="83"/>
      <c r="AO341" s="83"/>
      <c r="AP341" s="83"/>
      <c r="AQ341" s="66"/>
      <c r="AR341" s="66"/>
      <c r="AS341" s="66"/>
      <c r="AT341" s="81">
        <v>2400</v>
      </c>
      <c r="AU341" s="81"/>
      <c r="AV341" s="81"/>
      <c r="AW341" s="81"/>
      <c r="AX341" s="83">
        <f>SUM(Prog_23[[#This Row],[ADIANTAMENTO]]+Prog_23[[#This Row],[SALDO]]+Prog_23[[#This Row],[MARGEM]]+Prog_23[[#This Row],[ESTADIA 1]])</f>
        <v>2400</v>
      </c>
      <c r="AY3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3425.4488799999999</v>
      </c>
      <c r="AZ341" s="81">
        <v>2350</v>
      </c>
      <c r="BA341" s="81">
        <v>389448.88</v>
      </c>
      <c r="BB341" s="81">
        <f>Prog_23[[#This Row],[VLR NF]]*0.1%</f>
        <v>389.44888000000003</v>
      </c>
      <c r="BC341" s="81">
        <v>0</v>
      </c>
      <c r="BD341" s="81">
        <v>288</v>
      </c>
      <c r="BE341" s="81"/>
      <c r="BF341" s="81"/>
      <c r="BG341" s="81"/>
      <c r="BH341" s="81"/>
      <c r="BI341" s="81"/>
      <c r="BJ341" s="81"/>
      <c r="BK341" s="81"/>
      <c r="BL341" s="81">
        <v>398</v>
      </c>
      <c r="BM341" s="81"/>
      <c r="BN341" s="66" t="s">
        <v>2768</v>
      </c>
      <c r="BO341" s="66" t="s">
        <v>2768</v>
      </c>
      <c r="BP341" s="66" t="s">
        <v>2768</v>
      </c>
      <c r="BQ341" s="66" t="str">
        <f>PROPER(TEXT(Prog_23[[#This Row],[PROGRAMAÇÃO CLIENTE]],"mmm"))</f>
        <v>Jun</v>
      </c>
      <c r="BR341" s="66">
        <f>YEAR(Prog_23[[#This Row],[PROGRAMAÇÃO CLIENTE]])</f>
        <v>2023</v>
      </c>
    </row>
    <row r="342" spans="1:70" x14ac:dyDescent="0.25">
      <c r="A342" s="201" t="str">
        <f>Prog_23[[#This Row],[CONTEINER]]</f>
        <v>FCIU9181065</v>
      </c>
      <c r="B342" s="86" t="s">
        <v>2771</v>
      </c>
      <c r="C3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42" s="85">
        <v>45105.541666666664</v>
      </c>
      <c r="E342" s="66" t="s">
        <v>1980</v>
      </c>
      <c r="F342" s="66" t="s">
        <v>284</v>
      </c>
      <c r="G342" s="66" t="s">
        <v>5281</v>
      </c>
      <c r="H342" s="44" t="s">
        <v>5280</v>
      </c>
      <c r="I342" s="44" t="s">
        <v>5324</v>
      </c>
      <c r="J342" s="66" t="s">
        <v>301</v>
      </c>
      <c r="K342" s="66">
        <v>3830</v>
      </c>
      <c r="L342" s="66">
        <v>1429904</v>
      </c>
      <c r="M342" s="66">
        <v>26347</v>
      </c>
      <c r="N342" s="66">
        <f>SUM(Prog_23[[#This Row],[TARA]]+Prog_23[[#This Row],[PESO]])</f>
        <v>30177</v>
      </c>
      <c r="O342" s="44">
        <v>220254</v>
      </c>
      <c r="P342" s="66" t="s">
        <v>5307</v>
      </c>
      <c r="Q342" s="66" t="s">
        <v>102</v>
      </c>
      <c r="R342" s="66" t="s">
        <v>73</v>
      </c>
      <c r="S342" s="66" t="s">
        <v>203</v>
      </c>
      <c r="T342" s="138" t="str">
        <f>IFERROR(LOOKUP($S342,MOTORISTAS!$D$3:$D$916,MOTORISTAS!E$3:$E$916),"")</f>
        <v>10395859816</v>
      </c>
      <c r="U342" s="138" t="str">
        <f>IFERROR(LOOKUP($S342,MOTORISTAS!$D$3:$D$916,MOTORISTAS!F$3:$F$916),"")</f>
        <v>01965794851</v>
      </c>
      <c r="V342" s="66" t="s">
        <v>469</v>
      </c>
      <c r="W342" s="79">
        <v>45105.4</v>
      </c>
      <c r="X342" s="79">
        <v>45105.604166666664</v>
      </c>
      <c r="Y342" s="79">
        <v>45105.708333333336</v>
      </c>
      <c r="Z342" s="66" t="s">
        <v>306</v>
      </c>
      <c r="AA342" s="79">
        <v>45105.977083333331</v>
      </c>
      <c r="AB342" s="79">
        <v>45100.541666666664</v>
      </c>
      <c r="AC342" s="79">
        <v>45106.5</v>
      </c>
      <c r="AD342" s="79">
        <v>45106.5</v>
      </c>
      <c r="AE342" s="66" t="s">
        <v>294</v>
      </c>
      <c r="AF342" s="44">
        <v>16583</v>
      </c>
      <c r="AG342" s="254">
        <f>Prog_23[[#This Row],[SAÍDA DO CLIENTE]]-Prog_23[[#This Row],[PROGRAMAÇÃO CLIENTE]]</f>
        <v>0.16666666667151731</v>
      </c>
      <c r="AH342" s="44"/>
      <c r="AI342" s="66" t="s">
        <v>5331</v>
      </c>
      <c r="AJ342" s="66" t="s">
        <v>3347</v>
      </c>
      <c r="AK342" s="66"/>
      <c r="AL342" s="66"/>
      <c r="AM342" s="66"/>
      <c r="AN342" s="83"/>
      <c r="AO342" s="83"/>
      <c r="AP342" s="83"/>
      <c r="AQ342" s="66"/>
      <c r="AR342" s="66"/>
      <c r="AS342" s="66"/>
      <c r="AT342" s="81">
        <v>4200</v>
      </c>
      <c r="AU342" s="81"/>
      <c r="AV342" s="81"/>
      <c r="AW342" s="81"/>
      <c r="AX342" s="83">
        <f>SUM(Prog_23[[#This Row],[ADIANTAMENTO]]+Prog_23[[#This Row],[SALDO]]+Prog_23[[#This Row],[MARGEM]]+Prog_23[[#This Row],[ESTADIA 1]])</f>
        <v>4200</v>
      </c>
      <c r="AY3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31082.46</v>
      </c>
      <c r="AZ342" s="81">
        <v>28146.69</v>
      </c>
      <c r="BA342" s="81">
        <v>783164.16</v>
      </c>
      <c r="BB342" s="81">
        <v>0</v>
      </c>
      <c r="BC342" s="81">
        <v>0</v>
      </c>
      <c r="BD342" s="81">
        <v>760</v>
      </c>
      <c r="BE342" s="81"/>
      <c r="BF342" s="81"/>
      <c r="BG342" s="81"/>
      <c r="BH342" s="81"/>
      <c r="BI342" s="81">
        <v>2175.77</v>
      </c>
      <c r="BJ342" s="81"/>
      <c r="BK342" s="81"/>
      <c r="BL342" s="81"/>
      <c r="BM342" s="81"/>
      <c r="BN342" s="66" t="s">
        <v>2768</v>
      </c>
      <c r="BO342" s="66" t="s">
        <v>2768</v>
      </c>
      <c r="BP342" s="66" t="s">
        <v>2768</v>
      </c>
      <c r="BQ342" s="66" t="str">
        <f>PROPER(TEXT(Prog_23[[#This Row],[PROGRAMAÇÃO CLIENTE]],"mmm"))</f>
        <v>Jun</v>
      </c>
      <c r="BR342" s="66">
        <f>YEAR(Prog_23[[#This Row],[PROGRAMAÇÃO CLIENTE]])</f>
        <v>2023</v>
      </c>
    </row>
    <row r="343" spans="1:70" x14ac:dyDescent="0.25">
      <c r="A343" s="200" t="str">
        <f>Prog_23[[#This Row],[CONTEINER]]</f>
        <v>7 VOLUMES</v>
      </c>
      <c r="B343" s="86" t="s">
        <v>2771</v>
      </c>
      <c r="C3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43" s="85">
        <v>45106.291666666664</v>
      </c>
      <c r="E343" s="66" t="s">
        <v>5259</v>
      </c>
      <c r="F343" s="66" t="s">
        <v>697</v>
      </c>
      <c r="G343" s="66" t="s">
        <v>5276</v>
      </c>
      <c r="H343" s="44" t="s">
        <v>5260</v>
      </c>
      <c r="I343" s="44" t="s">
        <v>5261</v>
      </c>
      <c r="J343" s="66">
        <v>7</v>
      </c>
      <c r="K343" s="66">
        <v>0</v>
      </c>
      <c r="L343" s="66">
        <v>0</v>
      </c>
      <c r="M343" s="66">
        <v>7400</v>
      </c>
      <c r="N343" s="66">
        <f>SUM(Prog_23[[#This Row],[TARA]]+Prog_23[[#This Row],[PESO]])</f>
        <v>7400</v>
      </c>
      <c r="O343" s="44">
        <v>11807</v>
      </c>
      <c r="P343" s="66" t="s">
        <v>5262</v>
      </c>
      <c r="Q343" s="66" t="s">
        <v>5313</v>
      </c>
      <c r="R343" s="66" t="s">
        <v>125</v>
      </c>
      <c r="S343" s="66" t="s">
        <v>5312</v>
      </c>
      <c r="T343" s="138" t="str">
        <f>IFERROR(LOOKUP($S343,MOTORISTAS!$D$3:$D$916,MOTORISTAS!E$3:$E$916),"")</f>
        <v>08199383860</v>
      </c>
      <c r="U343" s="138" t="str">
        <f>IFERROR(LOOKUP($S343,MOTORISTAS!$D$3:$D$916,MOTORISTAS!F$3:$F$916),"")</f>
        <v>05049604420</v>
      </c>
      <c r="V343" s="66" t="s">
        <v>772</v>
      </c>
      <c r="W343" s="79">
        <v>45105.854166666664</v>
      </c>
      <c r="X343" s="79">
        <v>45106.159722222219</v>
      </c>
      <c r="Y343" s="79">
        <v>45106.427083333336</v>
      </c>
      <c r="Z343" s="66" t="s">
        <v>5328</v>
      </c>
      <c r="AA343" s="79">
        <v>45106.427083333336</v>
      </c>
      <c r="AB343" s="79">
        <v>45106.427083333336</v>
      </c>
      <c r="AC343" s="79">
        <v>45106.427083333336</v>
      </c>
      <c r="AD343" s="79">
        <v>45106.427083333336</v>
      </c>
      <c r="AE343" s="66" t="s">
        <v>708</v>
      </c>
      <c r="AF343" s="44">
        <v>16571</v>
      </c>
      <c r="AG343" s="254">
        <f>Prog_23[[#This Row],[SAÍDA DO CLIENTE]]-Prog_23[[#This Row],[PROGRAMAÇÃO CLIENTE]]</f>
        <v>0.13541666667151731</v>
      </c>
      <c r="AH343" s="44"/>
      <c r="AI343" s="66"/>
      <c r="AJ343" s="66"/>
      <c r="AK343" s="66"/>
      <c r="AL343" s="66"/>
      <c r="AM343" s="66"/>
      <c r="AN343" s="83"/>
      <c r="AO343" s="83"/>
      <c r="AP343" s="83"/>
      <c r="AQ343" s="66"/>
      <c r="AR343" s="66"/>
      <c r="AS343" s="66"/>
      <c r="AT343" s="81">
        <v>1200</v>
      </c>
      <c r="AU343" s="81"/>
      <c r="AV343" s="81"/>
      <c r="AW343" s="81"/>
      <c r="AX343" s="83">
        <f>SUM(Prog_23[[#This Row],[ADIANTAMENTO]]+Prog_23[[#This Row],[SALDO]]+Prog_23[[#This Row],[MARGEM]]+Prog_23[[#This Row],[ESTADIA 1]])</f>
        <v>1200</v>
      </c>
      <c r="AY3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2048.938615</v>
      </c>
      <c r="AZ343" s="81">
        <v>1700</v>
      </c>
      <c r="BA343" s="81">
        <v>68712.41</v>
      </c>
      <c r="BB343" s="81">
        <f>Prog_23[[#This Row],[VLR NF]]*0.1%</f>
        <v>68.712410000000006</v>
      </c>
      <c r="BC343" s="81">
        <f>Prog_23[[#This Row],[VLR NF]]*0.05%</f>
        <v>34.356205000000003</v>
      </c>
      <c r="BD343" s="81"/>
      <c r="BE343" s="81"/>
      <c r="BF343" s="81"/>
      <c r="BG343" s="81"/>
      <c r="BH343" s="81"/>
      <c r="BI343" s="81">
        <v>245.87</v>
      </c>
      <c r="BJ343" s="81"/>
      <c r="BK343" s="81"/>
      <c r="BL343" s="81"/>
      <c r="BM343" s="81"/>
      <c r="BN343" s="66" t="s">
        <v>2768</v>
      </c>
      <c r="BO343" s="66" t="s">
        <v>2768</v>
      </c>
      <c r="BP343" s="66" t="s">
        <v>2768</v>
      </c>
      <c r="BQ343" s="66" t="str">
        <f>PROPER(TEXT(Prog_23[[#This Row],[PROGRAMAÇÃO CLIENTE]],"mmm"))</f>
        <v>Jun</v>
      </c>
      <c r="BR343" s="66">
        <f>YEAR(Prog_23[[#This Row],[PROGRAMAÇÃO CLIENTE]])</f>
        <v>2023</v>
      </c>
    </row>
    <row r="344" spans="1:70" x14ac:dyDescent="0.25">
      <c r="A344" s="200">
        <f>Prog_23[[#This Row],[CONTEINER]]</f>
        <v>0</v>
      </c>
      <c r="B344" s="86" t="s">
        <v>836</v>
      </c>
      <c r="C3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344" s="85">
        <v>45106.291666666664</v>
      </c>
      <c r="E344" s="66" t="s">
        <v>4979</v>
      </c>
      <c r="F344" s="66" t="s">
        <v>5306</v>
      </c>
      <c r="G344" s="66"/>
      <c r="H344" s="44">
        <v>60896401</v>
      </c>
      <c r="I344" s="44"/>
      <c r="J344" s="66" t="s">
        <v>301</v>
      </c>
      <c r="K344" s="66"/>
      <c r="L344" s="66"/>
      <c r="M344" s="66"/>
      <c r="N344" s="66">
        <f>SUM(Prog_23[[#This Row],[TARA]]+Prog_23[[#This Row],[PESO]])</f>
        <v>0</v>
      </c>
      <c r="O344" s="44"/>
      <c r="P344" s="66" t="s">
        <v>5225</v>
      </c>
      <c r="Q344" s="66" t="s">
        <v>102</v>
      </c>
      <c r="R344" s="66" t="s">
        <v>73</v>
      </c>
      <c r="S344" s="66" t="s">
        <v>203</v>
      </c>
      <c r="T344" s="138" t="str">
        <f>IFERROR(LOOKUP($S344,MOTORISTAS!$D$3:$D$916,MOTORISTAS!E$3:$E$916),"")</f>
        <v>10395859816</v>
      </c>
      <c r="U344" s="138" t="str">
        <f>IFERROR(LOOKUP($S344,MOTORISTAS!$D$3:$D$916,MOTORISTAS!F$3:$F$916),"")</f>
        <v>01965794851</v>
      </c>
      <c r="V344" s="66" t="s">
        <v>292</v>
      </c>
      <c r="W344" s="66"/>
      <c r="X344" s="66"/>
      <c r="Y344" s="66"/>
      <c r="Z344" s="66" t="s">
        <v>306</v>
      </c>
      <c r="AA344" s="66"/>
      <c r="AB344" s="66"/>
      <c r="AC344" s="66"/>
      <c r="AD344" s="66"/>
      <c r="AE344" s="66" t="s">
        <v>605</v>
      </c>
      <c r="AF344" s="44"/>
      <c r="AG344" s="254">
        <f>Prog_23[[#This Row],[SAÍDA DO CLIENTE]]-Prog_23[[#This Row],[PROGRAMAÇÃO CLIENTE]]</f>
        <v>-45106.291666666664</v>
      </c>
      <c r="AH344" s="44"/>
      <c r="AI344" s="66"/>
      <c r="AJ344" s="66"/>
      <c r="AK344" s="66"/>
      <c r="AL344" s="66"/>
      <c r="AM344" s="66"/>
      <c r="AN344" s="83"/>
      <c r="AO344" s="83"/>
      <c r="AP344" s="83"/>
      <c r="AQ344" s="66"/>
      <c r="AR344" s="66"/>
      <c r="AS344" s="66"/>
      <c r="AT344" s="81"/>
      <c r="AU344" s="81"/>
      <c r="AV344" s="81"/>
      <c r="AW344" s="81"/>
      <c r="AX344" s="83">
        <f>SUM(Prog_23[[#This Row],[ADIANTAMENTO]]+Prog_23[[#This Row],[SALDO]]+Prog_23[[#This Row],[MARGEM]]+Prog_23[[#This Row],[ESTADIA 1]])</f>
        <v>0</v>
      </c>
      <c r="AY3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6237.2</v>
      </c>
      <c r="AZ344" s="81">
        <v>5900</v>
      </c>
      <c r="BA344" s="81"/>
      <c r="BB344" s="81">
        <f>Prog_23[[#This Row],[VLR NF]]*0.1%</f>
        <v>0</v>
      </c>
      <c r="BC344" s="81">
        <f>Prog_23[[#This Row],[VLR NF]]*0.05%</f>
        <v>0</v>
      </c>
      <c r="BD344" s="81">
        <v>337.2</v>
      </c>
      <c r="BE344" s="81"/>
      <c r="BF344" s="81"/>
      <c r="BG344" s="81"/>
      <c r="BH344" s="81"/>
      <c r="BI344" s="81"/>
      <c r="BJ344" s="81"/>
      <c r="BK344" s="81"/>
      <c r="BL344" s="81"/>
      <c r="BM344" s="81"/>
      <c r="BN344" s="66"/>
      <c r="BO344" s="66"/>
      <c r="BP344" s="66"/>
      <c r="BQ344" s="66" t="str">
        <f>PROPER(TEXT(Prog_23[[#This Row],[PROGRAMAÇÃO CLIENTE]],"mmm"))</f>
        <v>Jun</v>
      </c>
      <c r="BR344" s="66">
        <f>YEAR(Prog_23[[#This Row],[PROGRAMAÇÃO CLIENTE]])</f>
        <v>2023</v>
      </c>
    </row>
    <row r="345" spans="1:70" x14ac:dyDescent="0.25">
      <c r="A345" s="201" t="str">
        <f>Prog_23[[#This Row],[CONTEINER]]</f>
        <v>1 VOLUME</v>
      </c>
      <c r="B345" s="86" t="s">
        <v>2909</v>
      </c>
      <c r="C3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345" s="85">
        <v>45106.333333333336</v>
      </c>
      <c r="E345" s="66" t="s">
        <v>5227</v>
      </c>
      <c r="F345" s="66" t="s">
        <v>5482</v>
      </c>
      <c r="G345" s="66"/>
      <c r="H345" s="44" t="s">
        <v>5483</v>
      </c>
      <c r="I345" s="44" t="s">
        <v>4411</v>
      </c>
      <c r="J345" s="66"/>
      <c r="K345" s="66">
        <v>0</v>
      </c>
      <c r="L345" s="66"/>
      <c r="M345" s="66">
        <v>21000</v>
      </c>
      <c r="N345" s="66">
        <f>SUM(Prog_23[[#This Row],[TARA]]+Prog_23[[#This Row],[PESO]])</f>
        <v>21000</v>
      </c>
      <c r="O345" s="44"/>
      <c r="P345" s="66"/>
      <c r="Q345" s="66"/>
      <c r="R345" s="66"/>
      <c r="S345" s="66"/>
      <c r="T345" s="138" t="str">
        <f>IFERROR(LOOKUP($S345,MOTORISTAS!$D$3:$D$916,MOTORISTAS!E$3:$E$916),"")</f>
        <v/>
      </c>
      <c r="U345" s="138" t="str">
        <f>IFERROR(LOOKUP($S345,MOTORISTAS!$D$3:$D$916,MOTORISTAS!F$3:$F$916),"")</f>
        <v/>
      </c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44"/>
      <c r="AG345" s="254">
        <f>Prog_23[[#This Row],[SAÍDA DO CLIENTE]]-Prog_23[[#This Row],[PROGRAMAÇÃO CLIENTE]]</f>
        <v>-45106.333333333336</v>
      </c>
      <c r="AH345" s="44"/>
      <c r="AI345" s="66"/>
      <c r="AJ345" s="66"/>
      <c r="AK345" s="66"/>
      <c r="AL345" s="66"/>
      <c r="AM345" s="66"/>
      <c r="AN345" s="83"/>
      <c r="AO345" s="83"/>
      <c r="AP345" s="83"/>
      <c r="AQ345" s="66"/>
      <c r="AR345" s="66"/>
      <c r="AS345" s="66"/>
      <c r="AT345" s="81"/>
      <c r="AU345" s="81"/>
      <c r="AV345" s="81"/>
      <c r="AW345" s="81"/>
      <c r="AX345" s="83">
        <f>SUM(Prog_23[[#This Row],[ADIANTAMENTO]]+Prog_23[[#This Row],[SALDO]]+Prog_23[[#This Row],[MARGEM]]+Prog_23[[#This Row],[ESTADIA 1]])</f>
        <v>0</v>
      </c>
      <c r="AY3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4526.8466000000008</v>
      </c>
      <c r="AZ345" s="81">
        <v>500</v>
      </c>
      <c r="BA345" s="81">
        <v>1140249</v>
      </c>
      <c r="BB345" s="81">
        <v>0</v>
      </c>
      <c r="BC345" s="81">
        <v>0</v>
      </c>
      <c r="BD345" s="81"/>
      <c r="BE345" s="81"/>
      <c r="BF345" s="81"/>
      <c r="BG345" s="81"/>
      <c r="BH345" s="81">
        <f>Prog_23[[#This Row],[VLR NF]]*0.04%</f>
        <v>456.09960000000001</v>
      </c>
      <c r="BI345" s="81">
        <f>Prog_23[[#This Row],[VLR NF]]*0.3%</f>
        <v>3420.7470000000003</v>
      </c>
      <c r="BJ345" s="81">
        <v>150</v>
      </c>
      <c r="BK345" s="81"/>
      <c r="BL345" s="81"/>
      <c r="BM345" s="81"/>
      <c r="BN345" s="66" t="s">
        <v>2768</v>
      </c>
      <c r="BO345" s="66"/>
      <c r="BP345" s="66"/>
      <c r="BQ345" s="66" t="str">
        <f>PROPER(TEXT(Prog_23[[#This Row],[PROGRAMAÇÃO CLIENTE]],"mmm"))</f>
        <v>Jun</v>
      </c>
      <c r="BR345" s="66">
        <f>YEAR(Prog_23[[#This Row],[PROGRAMAÇÃO CLIENTE]])</f>
        <v>2023</v>
      </c>
    </row>
    <row r="346" spans="1:70" x14ac:dyDescent="0.25">
      <c r="A346" s="201" t="str">
        <f>Prog_23[[#This Row],[CONTEINER]]</f>
        <v>1 VOLUME</v>
      </c>
      <c r="B346" s="86" t="s">
        <v>2909</v>
      </c>
      <c r="C3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346" s="85">
        <v>45111.541666666664</v>
      </c>
      <c r="E346" s="66" t="s">
        <v>5227</v>
      </c>
      <c r="F346" s="66" t="s">
        <v>5482</v>
      </c>
      <c r="G346" s="66"/>
      <c r="H346" s="44" t="s">
        <v>5226</v>
      </c>
      <c r="I346" s="44" t="s">
        <v>4411</v>
      </c>
      <c r="J346" s="66"/>
      <c r="K346" s="66"/>
      <c r="L346" s="66"/>
      <c r="M346" s="66"/>
      <c r="N346" s="66">
        <f>SUM(Prog_23[[#This Row],[TARA]]+Prog_23[[#This Row],[PESO]])</f>
        <v>0</v>
      </c>
      <c r="O346" s="44"/>
      <c r="P346" s="66"/>
      <c r="Q346" s="66"/>
      <c r="R346" s="66"/>
      <c r="S346" s="66"/>
      <c r="T346" s="138" t="str">
        <f>IFERROR(LOOKUP($S346,MOTORISTAS!$D$3:$D$916,MOTORISTAS!E$3:$E$916),"")</f>
        <v/>
      </c>
      <c r="U346" s="138" t="str">
        <f>IFERROR(LOOKUP($S346,MOTORISTAS!$D$3:$D$916,MOTORISTAS!F$3:$F$916),"")</f>
        <v/>
      </c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44"/>
      <c r="AG346" s="254">
        <f>Prog_23[[#This Row],[SAÍDA DO CLIENTE]]-Prog_23[[#This Row],[PROGRAMAÇÃO CLIENTE]]</f>
        <v>-45111.541666666664</v>
      </c>
      <c r="AH346" s="44"/>
      <c r="AI346" s="66"/>
      <c r="AJ346" s="66"/>
      <c r="AK346" s="66"/>
      <c r="AL346" s="66"/>
      <c r="AM346" s="66"/>
      <c r="AN346" s="83"/>
      <c r="AO346" s="83"/>
      <c r="AP346" s="83"/>
      <c r="AQ346" s="66"/>
      <c r="AR346" s="66"/>
      <c r="AS346" s="66"/>
      <c r="AT346" s="81"/>
      <c r="AU346" s="81"/>
      <c r="AV346" s="81"/>
      <c r="AW346" s="81"/>
      <c r="AX346" s="83">
        <f>SUM(Prog_23[[#This Row],[ADIANTAMENTO]]+Prog_23[[#This Row],[SALDO]]+Prog_23[[#This Row],[MARGEM]]+Prog_23[[#This Row],[ESTADIA 1]])</f>
        <v>0</v>
      </c>
      <c r="AY3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2748.4766</v>
      </c>
      <c r="AZ346" s="81">
        <v>500</v>
      </c>
      <c r="BA346" s="81">
        <v>617199</v>
      </c>
      <c r="BB346" s="81">
        <v>0</v>
      </c>
      <c r="BC346" s="81">
        <v>0</v>
      </c>
      <c r="BD346" s="81"/>
      <c r="BE346" s="81"/>
      <c r="BF346" s="81"/>
      <c r="BG346" s="81"/>
      <c r="BH346" s="81">
        <f>Prog_23[[#This Row],[VLR NF]]*0.04%</f>
        <v>246.87960000000001</v>
      </c>
      <c r="BI346" s="81">
        <f>Prog_23[[#This Row],[VLR NF]]*0.3%</f>
        <v>1851.597</v>
      </c>
      <c r="BJ346" s="81">
        <v>150</v>
      </c>
      <c r="BK346" s="81"/>
      <c r="BL346" s="81"/>
      <c r="BM346" s="81"/>
      <c r="BN346" s="66" t="s">
        <v>2768</v>
      </c>
      <c r="BO346" s="66"/>
      <c r="BP346" s="66"/>
      <c r="BQ346" s="66" t="str">
        <f>PROPER(TEXT(Prog_23[[#This Row],[PROGRAMAÇÃO CLIENTE]],"mmm"))</f>
        <v>Jul</v>
      </c>
      <c r="BR346" s="66">
        <f>YEAR(Prog_23[[#This Row],[PROGRAMAÇÃO CLIENTE]])</f>
        <v>2023</v>
      </c>
    </row>
    <row r="347" spans="1:70" x14ac:dyDescent="0.25">
      <c r="A347" s="201" t="str">
        <f>Prog_23[[#This Row],[CONTEINER]]</f>
        <v>TGBU6811464</v>
      </c>
      <c r="B347" s="86" t="s">
        <v>2771</v>
      </c>
      <c r="C3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47" s="85">
        <v>45106.291666666664</v>
      </c>
      <c r="E347" s="66" t="s">
        <v>5311</v>
      </c>
      <c r="F347" s="66" t="s">
        <v>5279</v>
      </c>
      <c r="G347" s="66"/>
      <c r="H347" s="44">
        <v>228728220</v>
      </c>
      <c r="I347" s="44" t="s">
        <v>5325</v>
      </c>
      <c r="J347" s="66" t="s">
        <v>301</v>
      </c>
      <c r="K347" s="66">
        <v>3700</v>
      </c>
      <c r="L347" s="66" t="s">
        <v>5326</v>
      </c>
      <c r="M347" s="66">
        <v>23420</v>
      </c>
      <c r="N347" s="66">
        <f>SUM(Prog_23[[#This Row],[TARA]]+Prog_23[[#This Row],[PESO]])</f>
        <v>27120</v>
      </c>
      <c r="O347" s="44">
        <v>1868</v>
      </c>
      <c r="P347" s="66" t="s">
        <v>5277</v>
      </c>
      <c r="Q347" s="66" t="s">
        <v>106</v>
      </c>
      <c r="R347" s="66" t="s">
        <v>107</v>
      </c>
      <c r="S347" s="66" t="s">
        <v>108</v>
      </c>
      <c r="T347" s="138" t="str">
        <f>IFERROR(LOOKUP($S347,MOTORISTAS!$D$3:$D$916,MOTORISTAS!E$3:$E$916),"")</f>
        <v>34927982840</v>
      </c>
      <c r="U347" s="138" t="str">
        <f>IFERROR(LOOKUP($S347,MOTORISTAS!$D$3:$D$916,MOTORISTAS!F$3:$F$916),"")</f>
        <v>03500129879</v>
      </c>
      <c r="V347" s="66" t="s">
        <v>292</v>
      </c>
      <c r="W347" s="79">
        <v>45105.845138888886</v>
      </c>
      <c r="X347" s="79">
        <v>45106.245138888888</v>
      </c>
      <c r="Y347" s="79">
        <v>45106.75</v>
      </c>
      <c r="Z347" s="66" t="s">
        <v>410</v>
      </c>
      <c r="AA347" s="79">
        <v>45106.929861111108</v>
      </c>
      <c r="AB347" s="79">
        <v>45105.791666666664</v>
      </c>
      <c r="AC347" s="79">
        <v>45105.5</v>
      </c>
      <c r="AD347" s="79">
        <v>45108.5</v>
      </c>
      <c r="AE347" s="66" t="s">
        <v>5278</v>
      </c>
      <c r="AF347" s="44">
        <v>16596</v>
      </c>
      <c r="AG347" s="254">
        <f>Prog_23[[#This Row],[SAÍDA DO CLIENTE]]-Prog_23[[#This Row],[PROGRAMAÇÃO CLIENTE]]</f>
        <v>0.45833333333575865</v>
      </c>
      <c r="AH347" s="44">
        <v>6556037</v>
      </c>
      <c r="AI347" s="66"/>
      <c r="AJ347" s="66"/>
      <c r="AK347" s="66"/>
      <c r="AL347" s="66"/>
      <c r="AM347" s="66"/>
      <c r="AN347" s="83"/>
      <c r="AO347" s="83"/>
      <c r="AP347" s="83"/>
      <c r="AQ347" s="66" t="s">
        <v>610</v>
      </c>
      <c r="AR347" s="66" t="s">
        <v>4973</v>
      </c>
      <c r="AS347" s="66"/>
      <c r="AT347" s="81">
        <v>2600</v>
      </c>
      <c r="AU347" s="81"/>
      <c r="AV347" s="81"/>
      <c r="AW347" s="81"/>
      <c r="AX347" s="83">
        <f>SUM(Prog_23[[#This Row],[ADIANTAMENTO]]+Prog_23[[#This Row],[SALDO]]+Prog_23[[#This Row],[MARGEM]]+Prog_23[[#This Row],[ESTADIA 1]])</f>
        <v>2600</v>
      </c>
      <c r="AY3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3692.590815</v>
      </c>
      <c r="AZ347" s="81">
        <v>2450</v>
      </c>
      <c r="BA347" s="81">
        <v>593727.21</v>
      </c>
      <c r="BB347" s="81">
        <f>Prog_23[[#This Row],[VLR NF]]*0.1%</f>
        <v>593.72721000000001</v>
      </c>
      <c r="BC347" s="81">
        <f>Prog_23[[#This Row],[VLR NF]]*0.05%</f>
        <v>296.86360500000001</v>
      </c>
      <c r="BD347" s="81">
        <v>352</v>
      </c>
      <c r="BE347" s="81"/>
      <c r="BF347" s="81"/>
      <c r="BG347" s="81"/>
      <c r="BH347" s="81"/>
      <c r="BI347" s="81"/>
      <c r="BJ347" s="81"/>
      <c r="BK347" s="81"/>
      <c r="BL347" s="81"/>
      <c r="BM347" s="81"/>
      <c r="BN347" s="66" t="s">
        <v>2768</v>
      </c>
      <c r="BO347" s="66" t="s">
        <v>2768</v>
      </c>
      <c r="BP347" s="66" t="s">
        <v>2768</v>
      </c>
      <c r="BQ347" s="66" t="str">
        <f>PROPER(TEXT(Prog_23[[#This Row],[PROGRAMAÇÃO CLIENTE]],"mmm"))</f>
        <v>Jun</v>
      </c>
      <c r="BR347" s="66">
        <f>YEAR(Prog_23[[#This Row],[PROGRAMAÇÃO CLIENTE]])</f>
        <v>2023</v>
      </c>
    </row>
    <row r="348" spans="1:70" x14ac:dyDescent="0.25">
      <c r="A348" s="201" t="str">
        <f>Prog_23[[#This Row],[CONTEINER]]</f>
        <v>FANU1942077</v>
      </c>
      <c r="B348" s="86" t="s">
        <v>2771</v>
      </c>
      <c r="C3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48" s="85">
        <v>45110.291666666664</v>
      </c>
      <c r="E348" s="66" t="s">
        <v>5251</v>
      </c>
      <c r="F348" s="66" t="s">
        <v>1189</v>
      </c>
      <c r="G348" s="66" t="s">
        <v>5254</v>
      </c>
      <c r="H348" s="44" t="s">
        <v>5252</v>
      </c>
      <c r="I348" s="44" t="s">
        <v>5330</v>
      </c>
      <c r="J348" s="66" t="s">
        <v>301</v>
      </c>
      <c r="K348" s="66">
        <v>3680</v>
      </c>
      <c r="L348" s="66">
        <v>7725159</v>
      </c>
      <c r="M348" s="66">
        <v>4172</v>
      </c>
      <c r="N348" s="66">
        <v>7852</v>
      </c>
      <c r="O348" s="44">
        <v>30710</v>
      </c>
      <c r="P348" s="66" t="s">
        <v>5253</v>
      </c>
      <c r="Q348" s="66" t="s">
        <v>31</v>
      </c>
      <c r="R348" s="66" t="s">
        <v>32</v>
      </c>
      <c r="S348" s="66" t="s">
        <v>33</v>
      </c>
      <c r="T348" s="138" t="str">
        <f>IFERROR(LOOKUP($S348,MOTORISTAS!$D$3:$D$916,MOTORISTAS!E$3:$E$916),"")</f>
        <v>09776430856</v>
      </c>
      <c r="U348" s="138" t="str">
        <f>IFERROR(LOOKUP($S348,MOTORISTAS!$D$3:$D$916,MOTORISTAS!F$3:$F$916),"")</f>
        <v>01258979905</v>
      </c>
      <c r="V348" s="66" t="s">
        <v>1569</v>
      </c>
      <c r="W348" s="79">
        <v>45110.083333333336</v>
      </c>
      <c r="X348" s="79">
        <v>45110.166666666664</v>
      </c>
      <c r="Y348" s="79">
        <v>45110.409722222219</v>
      </c>
      <c r="Z348" s="66" t="s">
        <v>292</v>
      </c>
      <c r="AA348" s="79">
        <v>45110.581250000003</v>
      </c>
      <c r="AB348" s="79">
        <v>45110.409722222219</v>
      </c>
      <c r="AC348" s="79">
        <v>45110.409722222219</v>
      </c>
      <c r="AD348" s="79">
        <v>45110.409722222219</v>
      </c>
      <c r="AE348" s="66" t="s">
        <v>708</v>
      </c>
      <c r="AF348" s="44" t="s">
        <v>5431</v>
      </c>
      <c r="AG348" s="254">
        <f>Prog_23[[#This Row],[SAÍDA DO CLIENTE]]-Prog_23[[#This Row],[PROGRAMAÇÃO CLIENTE]]</f>
        <v>0.11805555555474712</v>
      </c>
      <c r="AH348" s="44"/>
      <c r="AI348" s="66"/>
      <c r="AJ348" s="66"/>
      <c r="AK348" s="66"/>
      <c r="AL348" s="66"/>
      <c r="AM348" s="66"/>
      <c r="AN348" s="83"/>
      <c r="AO348" s="83"/>
      <c r="AP348" s="83"/>
      <c r="AQ348" s="66"/>
      <c r="AR348" s="66"/>
      <c r="AS348" s="66"/>
      <c r="AT348" s="81">
        <v>2100</v>
      </c>
      <c r="AU348" s="81"/>
      <c r="AV348" s="81"/>
      <c r="AW348" s="81"/>
      <c r="AX348" s="83">
        <f>SUM(Prog_23[[#This Row],[ADIANTAMENTO]]+Prog_23[[#This Row],[SALDO]]+Prog_23[[#This Row],[MARGEM]]+Prog_23[[#This Row],[ESTADIA 1]])</f>
        <v>2100</v>
      </c>
      <c r="AY3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3543.18</v>
      </c>
      <c r="AZ348" s="81">
        <v>2795.2</v>
      </c>
      <c r="BA348" s="81">
        <v>122936.26</v>
      </c>
      <c r="BB348" s="81">
        <v>0</v>
      </c>
      <c r="BC348" s="81">
        <v>0</v>
      </c>
      <c r="BD348" s="81">
        <v>202.8</v>
      </c>
      <c r="BE348" s="81"/>
      <c r="BF348" s="81"/>
      <c r="BG348" s="81"/>
      <c r="BH348" s="81"/>
      <c r="BI348" s="81">
        <v>425.18</v>
      </c>
      <c r="BJ348" s="81">
        <v>120</v>
      </c>
      <c r="BK348" s="81"/>
      <c r="BL348" s="81"/>
      <c r="BM348" s="81"/>
      <c r="BN348" s="66" t="s">
        <v>2768</v>
      </c>
      <c r="BO348" s="66" t="s">
        <v>2768</v>
      </c>
      <c r="BP348" s="66" t="s">
        <v>2768</v>
      </c>
      <c r="BQ348" s="66" t="str">
        <f>PROPER(TEXT(Prog_23[[#This Row],[PROGRAMAÇÃO CLIENTE]],"mmm"))</f>
        <v>Jul</v>
      </c>
      <c r="BR348" s="66">
        <f>YEAR(Prog_23[[#This Row],[PROGRAMAÇÃO CLIENTE]])</f>
        <v>2023</v>
      </c>
    </row>
    <row r="349" spans="1:70" x14ac:dyDescent="0.25">
      <c r="A349" s="201" t="str">
        <f>Prog_23[[#This Row],[CONTEINER]]</f>
        <v>GLDU5455343</v>
      </c>
      <c r="B349" s="86" t="s">
        <v>2771</v>
      </c>
      <c r="C3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49" s="85">
        <v>45110.291666666664</v>
      </c>
      <c r="E349" s="66" t="s">
        <v>5246</v>
      </c>
      <c r="F349" s="66" t="s">
        <v>697</v>
      </c>
      <c r="G349" s="66"/>
      <c r="H349" s="44" t="s">
        <v>5273</v>
      </c>
      <c r="I349" s="44" t="s">
        <v>5359</v>
      </c>
      <c r="J349" s="66" t="s">
        <v>288</v>
      </c>
      <c r="K349" s="66">
        <v>2230</v>
      </c>
      <c r="L349" s="66" t="s">
        <v>5360</v>
      </c>
      <c r="M349" s="66">
        <v>5506</v>
      </c>
      <c r="N349" s="66">
        <f>SUM(Prog_23[[#This Row],[TARA]]+Prog_23[[#This Row],[PESO]])</f>
        <v>7736</v>
      </c>
      <c r="O349" s="44" t="s">
        <v>5374</v>
      </c>
      <c r="P349" s="66" t="s">
        <v>5247</v>
      </c>
      <c r="Q349" s="66" t="s">
        <v>72</v>
      </c>
      <c r="R349" s="66" t="s">
        <v>3246</v>
      </c>
      <c r="S349" s="66" t="s">
        <v>69</v>
      </c>
      <c r="T349" s="138" t="str">
        <f>IFERROR(LOOKUP($S349,MOTORISTAS!$D$3:$D$916,MOTORISTAS!E$3:$E$916),"")</f>
        <v>07968457866</v>
      </c>
      <c r="U349" s="138" t="str">
        <f>IFERROR(LOOKUP($S349,MOTORISTAS!$D$3:$D$916,MOTORISTAS!F$3:$F$916),"")</f>
        <v>03264365790</v>
      </c>
      <c r="V349" s="66" t="s">
        <v>292</v>
      </c>
      <c r="W349" s="79">
        <v>45108.481249999997</v>
      </c>
      <c r="X349" s="79">
        <v>45110.291666666664</v>
      </c>
      <c r="Y349" s="79">
        <v>45110.40625</v>
      </c>
      <c r="Z349" s="66" t="s">
        <v>410</v>
      </c>
      <c r="AA349" s="79">
        <v>45110.520833333336</v>
      </c>
      <c r="AB349" s="79">
        <v>45107.791666666664</v>
      </c>
      <c r="AC349" s="79">
        <v>45106.75</v>
      </c>
      <c r="AD349" s="79">
        <v>45111.708333333336</v>
      </c>
      <c r="AE349" s="66" t="s">
        <v>5274</v>
      </c>
      <c r="AF349" s="44">
        <v>16629</v>
      </c>
      <c r="AG349" s="254">
        <f>Prog_23[[#This Row],[SAÍDA DO CLIENTE]]-Prog_23[[#This Row],[PROGRAMAÇÃO CLIENTE]]</f>
        <v>0.11458333333575865</v>
      </c>
      <c r="AH349" s="44">
        <v>6563216</v>
      </c>
      <c r="AI349" s="66"/>
      <c r="AJ349" s="66"/>
      <c r="AK349" s="66"/>
      <c r="AL349" s="66"/>
      <c r="AM349" s="66"/>
      <c r="AN349" s="83"/>
      <c r="AO349" s="83"/>
      <c r="AP349" s="83"/>
      <c r="AQ349" s="66"/>
      <c r="AR349" s="66"/>
      <c r="AS349" s="66"/>
      <c r="AT349" s="81">
        <v>2100</v>
      </c>
      <c r="AU349" s="81"/>
      <c r="AV349" s="81"/>
      <c r="AW349" s="81"/>
      <c r="AX349" s="83">
        <f>SUM(Prog_23[[#This Row],[ADIANTAMENTO]]+Prog_23[[#This Row],[SALDO]]+Prog_23[[#This Row],[MARGEM]]+Prog_23[[#This Row],[ESTADIA 1]])</f>
        <v>2100</v>
      </c>
      <c r="AY3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2915.0798299999997</v>
      </c>
      <c r="AZ349" s="81">
        <v>2200</v>
      </c>
      <c r="BA349" s="81">
        <v>364053.22</v>
      </c>
      <c r="BB349" s="81">
        <f>Prog_23[[#This Row],[VLR NF]]*0.1%</f>
        <v>364.05321999999995</v>
      </c>
      <c r="BC349" s="81">
        <f>Prog_23[[#This Row],[VLR NF]]*0.05%</f>
        <v>182.02660999999998</v>
      </c>
      <c r="BD349" s="81">
        <v>169</v>
      </c>
      <c r="BE349" s="81"/>
      <c r="BF349" s="81"/>
      <c r="BG349" s="81"/>
      <c r="BH349" s="81"/>
      <c r="BI349" s="81"/>
      <c r="BJ349" s="81"/>
      <c r="BK349" s="81"/>
      <c r="BL349" s="81"/>
      <c r="BM349" s="81"/>
      <c r="BN349" s="66" t="s">
        <v>2768</v>
      </c>
      <c r="BO349" s="66" t="s">
        <v>2768</v>
      </c>
      <c r="BP349" s="66" t="s">
        <v>2768</v>
      </c>
      <c r="BQ349" s="66" t="str">
        <f>PROPER(TEXT(Prog_23[[#This Row],[PROGRAMAÇÃO CLIENTE]],"mmm"))</f>
        <v>Jul</v>
      </c>
      <c r="BR349" s="66">
        <f>YEAR(Prog_23[[#This Row],[PROGRAMAÇÃO CLIENTE]])</f>
        <v>2023</v>
      </c>
    </row>
    <row r="350" spans="1:70" x14ac:dyDescent="0.25">
      <c r="A350" s="201" t="str">
        <f>Prog_23[[#This Row],[CONTEINER]]</f>
        <v>TCKU7400118</v>
      </c>
      <c r="B350" s="86" t="s">
        <v>2771</v>
      </c>
      <c r="C3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50" s="85">
        <v>45110.291666666664</v>
      </c>
      <c r="E350" s="66" t="s">
        <v>5187</v>
      </c>
      <c r="F350" s="66" t="s">
        <v>3161</v>
      </c>
      <c r="G350" s="66" t="s">
        <v>5189</v>
      </c>
      <c r="H350" s="44">
        <v>228321252</v>
      </c>
      <c r="I350" s="44" t="s">
        <v>5358</v>
      </c>
      <c r="J350" s="66" t="s">
        <v>301</v>
      </c>
      <c r="K350" s="66">
        <v>3700</v>
      </c>
      <c r="L350" s="66" t="s">
        <v>5357</v>
      </c>
      <c r="M350" s="66">
        <v>26622</v>
      </c>
      <c r="N350" s="66">
        <f>SUM(Prog_23[[#This Row],[TARA]]+Prog_23[[#This Row],[PESO]])</f>
        <v>30322</v>
      </c>
      <c r="O350" s="44">
        <v>10792</v>
      </c>
      <c r="P350" s="66" t="s">
        <v>5188</v>
      </c>
      <c r="Q350" s="66" t="s">
        <v>92</v>
      </c>
      <c r="R350" s="66" t="s">
        <v>93</v>
      </c>
      <c r="S350" s="66" t="s">
        <v>94</v>
      </c>
      <c r="T350" s="138" t="str">
        <f>IFERROR(LOOKUP($S350,MOTORISTAS!$D$3:$D$916,MOTORISTAS!E$3:$E$916),"")</f>
        <v>26283419801</v>
      </c>
      <c r="U350" s="138" t="str">
        <f>IFERROR(LOOKUP($S350,MOTORISTAS!$D$3:$D$916,MOTORISTAS!F$3:$F$916),"")</f>
        <v>02002046946</v>
      </c>
      <c r="V350" s="66" t="s">
        <v>292</v>
      </c>
      <c r="W350" s="79">
        <v>45108.466666666667</v>
      </c>
      <c r="X350" s="79">
        <v>45110.298611111109</v>
      </c>
      <c r="Y350" s="79">
        <v>45110.472222222219</v>
      </c>
      <c r="Z350" s="66" t="s">
        <v>410</v>
      </c>
      <c r="AA350" s="79">
        <v>45122.522916666669</v>
      </c>
      <c r="AB350" s="79">
        <v>45119.375</v>
      </c>
      <c r="AC350" s="79">
        <v>45121.5</v>
      </c>
      <c r="AD350" s="79">
        <v>45123.5</v>
      </c>
      <c r="AE350" s="66" t="s">
        <v>944</v>
      </c>
      <c r="AF350" s="44">
        <v>16626</v>
      </c>
      <c r="AG350" s="254">
        <f>Prog_23[[#This Row],[SAÍDA DO CLIENTE]]-Prog_23[[#This Row],[PROGRAMAÇÃO CLIENTE]]</f>
        <v>0.18055555555474712</v>
      </c>
      <c r="AH350" s="44"/>
      <c r="AI350" s="66"/>
      <c r="AJ350" s="66"/>
      <c r="AK350" s="66" t="s">
        <v>393</v>
      </c>
      <c r="AL350" s="79">
        <v>45110.650694444441</v>
      </c>
      <c r="AM350" s="66"/>
      <c r="AN350" s="83">
        <v>1100</v>
      </c>
      <c r="AO350" s="83"/>
      <c r="AP350" s="83"/>
      <c r="AQ350" s="66"/>
      <c r="AR350" s="66"/>
      <c r="AS350" s="66"/>
      <c r="AT350" s="81">
        <v>2300</v>
      </c>
      <c r="AU350" s="81"/>
      <c r="AV350" s="81"/>
      <c r="AW350" s="81"/>
      <c r="AX350" s="83">
        <f>SUM(Prog_23[[#This Row],[ADIANTAMENTO]]+Prog_23[[#This Row],[SALDO]]+Prog_23[[#This Row],[MARGEM]]+Prog_23[[#This Row],[ESTADIA 1]])</f>
        <v>2300</v>
      </c>
      <c r="AY3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3314.6566800000001</v>
      </c>
      <c r="AZ350" s="81">
        <v>2850</v>
      </c>
      <c r="BA350" s="81">
        <v>119771.12</v>
      </c>
      <c r="BB350" s="81">
        <f>Prog_23[[#This Row],[VLR NF]]*0.1%</f>
        <v>119.77112</v>
      </c>
      <c r="BC350" s="81">
        <f>Prog_23[[#This Row],[VLR NF]]*0.05%</f>
        <v>59.885559999999998</v>
      </c>
      <c r="BD350" s="81"/>
      <c r="BE350" s="81"/>
      <c r="BF350" s="81">
        <f>Prog_23[[#This Row],[FRETE PESO]]*10%</f>
        <v>285</v>
      </c>
      <c r="BG350" s="81"/>
      <c r="BH350" s="81"/>
      <c r="BI350" s="81"/>
      <c r="BJ350" s="81"/>
      <c r="BK350" s="81"/>
      <c r="BL350" s="81"/>
      <c r="BM350" s="81"/>
      <c r="BN350" s="66" t="s">
        <v>2768</v>
      </c>
      <c r="BO350" s="66" t="s">
        <v>2768</v>
      </c>
      <c r="BP350" s="66" t="s">
        <v>2768</v>
      </c>
      <c r="BQ350" s="66" t="str">
        <f>PROPER(TEXT(Prog_23[[#This Row],[PROGRAMAÇÃO CLIENTE]],"mmm"))</f>
        <v>Jul</v>
      </c>
      <c r="BR350" s="66">
        <f>YEAR(Prog_23[[#This Row],[PROGRAMAÇÃO CLIENTE]])</f>
        <v>2023</v>
      </c>
    </row>
    <row r="351" spans="1:70" x14ac:dyDescent="0.25">
      <c r="A351" s="200" t="str">
        <f>Prog_23[[#This Row],[CONTEINER]]</f>
        <v>SEGU2962888</v>
      </c>
      <c r="B351" s="86" t="s">
        <v>2771</v>
      </c>
      <c r="C3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51" s="85">
        <v>45111.333333333336</v>
      </c>
      <c r="E351" s="66" t="s">
        <v>353</v>
      </c>
      <c r="F351" s="66" t="s">
        <v>4726</v>
      </c>
      <c r="G351" s="66" t="s">
        <v>5368</v>
      </c>
      <c r="H351" s="44" t="s">
        <v>5367</v>
      </c>
      <c r="I351" s="44" t="s">
        <v>5371</v>
      </c>
      <c r="J351" s="66" t="s">
        <v>288</v>
      </c>
      <c r="K351" s="66">
        <v>2180</v>
      </c>
      <c r="L351" s="66">
        <v>125306</v>
      </c>
      <c r="M351" s="66">
        <v>6110</v>
      </c>
      <c r="N351" s="66">
        <f>SUM(Prog_23[[#This Row],[TARA]]+Prog_23[[#This Row],[PESO]])</f>
        <v>8290</v>
      </c>
      <c r="O351" s="44" t="s">
        <v>5499</v>
      </c>
      <c r="P351" s="66" t="s">
        <v>4814</v>
      </c>
      <c r="Q351" s="66" t="s">
        <v>72</v>
      </c>
      <c r="R351" s="66" t="s">
        <v>3246</v>
      </c>
      <c r="S351" s="66" t="s">
        <v>69</v>
      </c>
      <c r="T351" s="138" t="str">
        <f>IFERROR(LOOKUP($S351,MOTORISTAS!$D$3:$D$916,MOTORISTAS!E$3:$E$916),"")</f>
        <v>07968457866</v>
      </c>
      <c r="U351" s="138" t="str">
        <f>IFERROR(LOOKUP($S351,MOTORISTAS!$D$3:$D$916,MOTORISTAS!F$3:$F$916),"")</f>
        <v>03264365790</v>
      </c>
      <c r="V351" s="66" t="s">
        <v>1569</v>
      </c>
      <c r="W351" s="79">
        <v>45111.875</v>
      </c>
      <c r="X351" s="79">
        <v>45111.295138888891</v>
      </c>
      <c r="Y351" s="79">
        <v>45111.583333333336</v>
      </c>
      <c r="Z351" s="66" t="s">
        <v>469</v>
      </c>
      <c r="AA351" s="79">
        <v>45112.585416666669</v>
      </c>
      <c r="AB351" s="66"/>
      <c r="AC351" s="66"/>
      <c r="AD351" s="66"/>
      <c r="AE351" s="66"/>
      <c r="AF351" s="44">
        <v>16685</v>
      </c>
      <c r="AG351" s="254">
        <f>Prog_23[[#This Row],[SAÍDA DO CLIENTE]]-Prog_23[[#This Row],[PROGRAMAÇÃO CLIENTE]]</f>
        <v>0.25</v>
      </c>
      <c r="AH351" s="44"/>
      <c r="AI351" s="66"/>
      <c r="AJ351" s="66"/>
      <c r="AK351" s="66"/>
      <c r="AL351" s="66"/>
      <c r="AM351" s="66"/>
      <c r="AN351" s="83"/>
      <c r="AO351" s="83"/>
      <c r="AP351" s="83"/>
      <c r="AQ351" s="66"/>
      <c r="AR351" s="66"/>
      <c r="AS351" s="66"/>
      <c r="AT351" s="81">
        <v>3500</v>
      </c>
      <c r="AU351" s="81"/>
      <c r="AV351" s="81"/>
      <c r="AW351" s="81"/>
      <c r="AX351" s="83">
        <f>SUM(Prog_23[[#This Row],[ADIANTAMENTO]]+Prog_23[[#This Row],[SALDO]]+Prog_23[[#This Row],[MARGEM]]+Prog_23[[#This Row],[ESTADIA 1]])</f>
        <v>3500</v>
      </c>
      <c r="AY3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5000</v>
      </c>
      <c r="AZ351" s="81">
        <v>5000</v>
      </c>
      <c r="BA351" s="81">
        <v>815972.54</v>
      </c>
      <c r="BB351" s="81">
        <v>0</v>
      </c>
      <c r="BC351" s="81">
        <v>0</v>
      </c>
      <c r="BD351" s="81"/>
      <c r="BE351" s="81"/>
      <c r="BF351" s="81"/>
      <c r="BG351" s="81"/>
      <c r="BH351" s="81"/>
      <c r="BI351" s="81"/>
      <c r="BJ351" s="81"/>
      <c r="BK351" s="81"/>
      <c r="BL351" s="81"/>
      <c r="BM351" s="81"/>
      <c r="BN351" s="66" t="s">
        <v>2768</v>
      </c>
      <c r="BO351" s="66" t="s">
        <v>2768</v>
      </c>
      <c r="BP351" s="66" t="s">
        <v>2768</v>
      </c>
      <c r="BQ351" s="66" t="str">
        <f>PROPER(TEXT(Prog_23[[#This Row],[PROGRAMAÇÃO CLIENTE]],"mmm"))</f>
        <v>Jul</v>
      </c>
      <c r="BR351" s="66">
        <f>YEAR(Prog_23[[#This Row],[PROGRAMAÇÃO CLIENTE]])</f>
        <v>2023</v>
      </c>
    </row>
    <row r="352" spans="1:70" x14ac:dyDescent="0.25">
      <c r="A352" s="201" t="str">
        <f>Prog_23[[#This Row],[CONTEINER]]</f>
        <v>MSDU5769889</v>
      </c>
      <c r="B352" s="86" t="s">
        <v>2771</v>
      </c>
      <c r="C3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52" s="85">
        <v>45111.333333333336</v>
      </c>
      <c r="E352" s="66" t="s">
        <v>353</v>
      </c>
      <c r="F352" s="66" t="s">
        <v>4726</v>
      </c>
      <c r="G352" s="66" t="s">
        <v>5368</v>
      </c>
      <c r="H352" s="44" t="s">
        <v>5367</v>
      </c>
      <c r="I352" s="44" t="s">
        <v>5372</v>
      </c>
      <c r="J352" s="66" t="s">
        <v>301</v>
      </c>
      <c r="K352" s="66">
        <v>3700</v>
      </c>
      <c r="L352" s="66">
        <v>9044598</v>
      </c>
      <c r="M352" s="66">
        <v>18740</v>
      </c>
      <c r="N352" s="66">
        <f>SUM(Prog_23[[#This Row],[TARA]]+Prog_23[[#This Row],[PESO]])</f>
        <v>22440</v>
      </c>
      <c r="O352" s="44" t="s">
        <v>5496</v>
      </c>
      <c r="P352" s="66" t="s">
        <v>4814</v>
      </c>
      <c r="Q352" s="66" t="s">
        <v>106</v>
      </c>
      <c r="R352" s="66" t="s">
        <v>107</v>
      </c>
      <c r="S352" s="66" t="s">
        <v>108</v>
      </c>
      <c r="T352" s="138" t="str">
        <f>IFERROR(LOOKUP($S352,MOTORISTAS!$D$3:$D$916,MOTORISTAS!E$3:$E$916),"")</f>
        <v>34927982840</v>
      </c>
      <c r="U352" s="138" t="str">
        <f>IFERROR(LOOKUP($S352,MOTORISTAS!$D$3:$D$916,MOTORISTAS!F$3:$F$916),"")</f>
        <v>03500129879</v>
      </c>
      <c r="V352" s="66" t="s">
        <v>1569</v>
      </c>
      <c r="W352" s="79">
        <v>45111.875</v>
      </c>
      <c r="X352" s="79">
        <v>45111.274305555555</v>
      </c>
      <c r="Y352" s="79">
        <v>45111.458333333336</v>
      </c>
      <c r="Z352" s="66" t="s">
        <v>469</v>
      </c>
      <c r="AA352" s="79">
        <v>45111.968055555553</v>
      </c>
      <c r="AB352" s="66"/>
      <c r="AC352" s="66"/>
      <c r="AD352" s="66"/>
      <c r="AE352" s="66"/>
      <c r="AF352" s="44">
        <v>16686</v>
      </c>
      <c r="AG352" s="254">
        <f>Prog_23[[#This Row],[SAÍDA DO CLIENTE]]-Prog_23[[#This Row],[PROGRAMAÇÃO CLIENTE]]</f>
        <v>0.125</v>
      </c>
      <c r="AH352" s="44"/>
      <c r="AI352" s="66"/>
      <c r="AJ352" s="66"/>
      <c r="AK352" s="66"/>
      <c r="AL352" s="66"/>
      <c r="AM352" s="66"/>
      <c r="AN352" s="83"/>
      <c r="AO352" s="83"/>
      <c r="AP352" s="83"/>
      <c r="AQ352" s="66"/>
      <c r="AR352" s="66"/>
      <c r="AS352" s="66"/>
      <c r="AT352" s="81">
        <v>3500</v>
      </c>
      <c r="AU352" s="81"/>
      <c r="AV352" s="81"/>
      <c r="AW352" s="81"/>
      <c r="AX352" s="83">
        <f>SUM(Prog_23[[#This Row],[ADIANTAMENTO]]+Prog_23[[#This Row],[SALDO]]+Prog_23[[#This Row],[MARGEM]]+Prog_23[[#This Row],[ESTADIA 1]])</f>
        <v>3500</v>
      </c>
      <c r="AY3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5000</v>
      </c>
      <c r="AZ352" s="81">
        <v>5000</v>
      </c>
      <c r="BA352" s="81">
        <v>161311.04000000001</v>
      </c>
      <c r="BB352" s="81">
        <v>0</v>
      </c>
      <c r="BC352" s="81">
        <v>0</v>
      </c>
      <c r="BD352" s="81"/>
      <c r="BE352" s="81"/>
      <c r="BF352" s="81"/>
      <c r="BG352" s="81"/>
      <c r="BH352" s="81"/>
      <c r="BI352" s="81"/>
      <c r="BJ352" s="81"/>
      <c r="BK352" s="81"/>
      <c r="BL352" s="81"/>
      <c r="BM352" s="81"/>
      <c r="BN352" s="66" t="s">
        <v>2768</v>
      </c>
      <c r="BO352" s="66" t="s">
        <v>2768</v>
      </c>
      <c r="BP352" s="66" t="s">
        <v>2768</v>
      </c>
      <c r="BQ352" s="66" t="str">
        <f>PROPER(TEXT(Prog_23[[#This Row],[PROGRAMAÇÃO CLIENTE]],"mmm"))</f>
        <v>Jul</v>
      </c>
      <c r="BR352" s="66">
        <f>YEAR(Prog_23[[#This Row],[PROGRAMAÇÃO CLIENTE]])</f>
        <v>2023</v>
      </c>
    </row>
    <row r="353" spans="1:70" x14ac:dyDescent="0.25">
      <c r="A353" s="200" t="str">
        <f>Prog_23[[#This Row],[CONTEINER]]</f>
        <v>TGBU5476931</v>
      </c>
      <c r="B353" s="86" t="s">
        <v>2771</v>
      </c>
      <c r="C3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53" s="85">
        <v>45111.333333333336</v>
      </c>
      <c r="E353" s="66" t="s">
        <v>353</v>
      </c>
      <c r="F353" s="66" t="s">
        <v>4726</v>
      </c>
      <c r="G353" s="66" t="s">
        <v>5368</v>
      </c>
      <c r="H353" s="44" t="s">
        <v>5367</v>
      </c>
      <c r="I353" s="44" t="s">
        <v>5370</v>
      </c>
      <c r="J353" s="66" t="s">
        <v>301</v>
      </c>
      <c r="K353" s="66">
        <v>3700</v>
      </c>
      <c r="L353" s="66">
        <v>8915917</v>
      </c>
      <c r="M353" s="66">
        <v>18740</v>
      </c>
      <c r="N353" s="66">
        <f>SUM(Prog_23[[#This Row],[TARA]]+Prog_23[[#This Row],[PESO]])</f>
        <v>22440</v>
      </c>
      <c r="O353" s="44" t="s">
        <v>5495</v>
      </c>
      <c r="P353" s="66" t="s">
        <v>4814</v>
      </c>
      <c r="Q353" s="66" t="s">
        <v>31</v>
      </c>
      <c r="R353" s="66" t="s">
        <v>32</v>
      </c>
      <c r="S353" s="66" t="s">
        <v>33</v>
      </c>
      <c r="T353" s="138" t="str">
        <f>IFERROR(LOOKUP($S353,MOTORISTAS!$D$3:$D$916,MOTORISTAS!E$3:$E$916),"")</f>
        <v>09776430856</v>
      </c>
      <c r="U353" s="138" t="str">
        <f>IFERROR(LOOKUP($S353,MOTORISTAS!$D$3:$D$916,MOTORISTAS!F$3:$F$916),"")</f>
        <v>01258979905</v>
      </c>
      <c r="V353" s="66" t="s">
        <v>1569</v>
      </c>
      <c r="W353" s="79">
        <v>45111.875</v>
      </c>
      <c r="X353" s="79">
        <v>45111.3125</v>
      </c>
      <c r="Y353" s="79">
        <v>45111.556944444441</v>
      </c>
      <c r="Z353" s="66" t="s">
        <v>469</v>
      </c>
      <c r="AA353" s="79">
        <v>45112.34652777778</v>
      </c>
      <c r="AB353" s="66"/>
      <c r="AC353" s="66"/>
      <c r="AD353" s="66"/>
      <c r="AE353" s="66"/>
      <c r="AF353" s="44">
        <v>16687</v>
      </c>
      <c r="AG353" s="254">
        <f>Prog_23[[#This Row],[SAÍDA DO CLIENTE]]-Prog_23[[#This Row],[PROGRAMAÇÃO CLIENTE]]</f>
        <v>0.22361111110512866</v>
      </c>
      <c r="AH353" s="44"/>
      <c r="AI353" s="66"/>
      <c r="AJ353" s="66"/>
      <c r="AK353" s="66"/>
      <c r="AL353" s="66"/>
      <c r="AM353" s="66"/>
      <c r="AN353" s="83"/>
      <c r="AO353" s="83"/>
      <c r="AP353" s="83"/>
      <c r="AQ353" s="66"/>
      <c r="AR353" s="66"/>
      <c r="AS353" s="66"/>
      <c r="AT353" s="81">
        <v>3500</v>
      </c>
      <c r="AU353" s="81"/>
      <c r="AV353" s="81"/>
      <c r="AW353" s="81"/>
      <c r="AX353" s="83">
        <f>SUM(Prog_23[[#This Row],[ADIANTAMENTO]]+Prog_23[[#This Row],[SALDO]]+Prog_23[[#This Row],[MARGEM]]+Prog_23[[#This Row],[ESTADIA 1]])</f>
        <v>3500</v>
      </c>
      <c r="AY3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5000</v>
      </c>
      <c r="AZ353" s="81">
        <v>5000</v>
      </c>
      <c r="BA353" s="81">
        <v>161311.04000000001</v>
      </c>
      <c r="BB353" s="81">
        <v>0</v>
      </c>
      <c r="BC353" s="81">
        <v>0</v>
      </c>
      <c r="BD353" s="81"/>
      <c r="BE353" s="81"/>
      <c r="BF353" s="81"/>
      <c r="BG353" s="81"/>
      <c r="BH353" s="81"/>
      <c r="BI353" s="81"/>
      <c r="BJ353" s="81"/>
      <c r="BK353" s="81"/>
      <c r="BL353" s="81"/>
      <c r="BM353" s="81"/>
      <c r="BN353" s="66" t="s">
        <v>2768</v>
      </c>
      <c r="BO353" s="66" t="s">
        <v>2768</v>
      </c>
      <c r="BP353" s="66" t="s">
        <v>2768</v>
      </c>
      <c r="BQ353" s="66" t="str">
        <f>PROPER(TEXT(Prog_23[[#This Row],[PROGRAMAÇÃO CLIENTE]],"mmm"))</f>
        <v>Jul</v>
      </c>
      <c r="BR353" s="66">
        <f>YEAR(Prog_23[[#This Row],[PROGRAMAÇÃO CLIENTE]])</f>
        <v>2023</v>
      </c>
    </row>
    <row r="354" spans="1:70" x14ac:dyDescent="0.25">
      <c r="A354" s="201" t="str">
        <f>Prog_23[[#This Row],[CONTEINER]]</f>
        <v>TGHU6009580</v>
      </c>
      <c r="B354" s="86" t="s">
        <v>2771</v>
      </c>
      <c r="C3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54" s="85">
        <v>45111.333333333336</v>
      </c>
      <c r="E354" s="66" t="s">
        <v>353</v>
      </c>
      <c r="F354" s="66" t="s">
        <v>4726</v>
      </c>
      <c r="G354" s="66" t="s">
        <v>5368</v>
      </c>
      <c r="H354" s="44" t="s">
        <v>5367</v>
      </c>
      <c r="I354" s="44" t="s">
        <v>5366</v>
      </c>
      <c r="J354" s="66" t="s">
        <v>301</v>
      </c>
      <c r="K354" s="66">
        <v>3890</v>
      </c>
      <c r="L354" s="66" t="s">
        <v>5375</v>
      </c>
      <c r="M354" s="66">
        <v>13225</v>
      </c>
      <c r="N354" s="66">
        <f>SUM(Prog_23[[#This Row],[TARA]]+Prog_23[[#This Row],[PESO]])</f>
        <v>17115</v>
      </c>
      <c r="O354" s="44" t="s">
        <v>5498</v>
      </c>
      <c r="P354" s="66" t="s">
        <v>4814</v>
      </c>
      <c r="Q354" s="66" t="s">
        <v>92</v>
      </c>
      <c r="R354" s="66" t="s">
        <v>93</v>
      </c>
      <c r="S354" s="66" t="s">
        <v>94</v>
      </c>
      <c r="T354" s="138" t="str">
        <f>IFERROR(LOOKUP($S354,MOTORISTAS!$D$3:$D$916,MOTORISTAS!E$3:$E$916),"")</f>
        <v>26283419801</v>
      </c>
      <c r="U354" s="138" t="str">
        <f>IFERROR(LOOKUP($S354,MOTORISTAS!$D$3:$D$916,MOTORISTAS!F$3:$F$916),"")</f>
        <v>02002046946</v>
      </c>
      <c r="V354" s="66" t="s">
        <v>1569</v>
      </c>
      <c r="W354" s="79">
        <v>45111.875</v>
      </c>
      <c r="X354" s="79">
        <v>45111.284722222219</v>
      </c>
      <c r="Y354" s="79">
        <v>45111.5</v>
      </c>
      <c r="Z354" s="66" t="s">
        <v>469</v>
      </c>
      <c r="AA354" s="79">
        <v>45111.947916666664</v>
      </c>
      <c r="AB354" s="66"/>
      <c r="AC354" s="66"/>
      <c r="AD354" s="66"/>
      <c r="AE354" s="66"/>
      <c r="AF354" s="44">
        <v>16688</v>
      </c>
      <c r="AG354" s="254">
        <f>Prog_23[[#This Row],[SAÍDA DO CLIENTE]]-Prog_23[[#This Row],[PROGRAMAÇÃO CLIENTE]]</f>
        <v>0.16666666666424135</v>
      </c>
      <c r="AH354" s="44"/>
      <c r="AI354" s="66"/>
      <c r="AJ354" s="66"/>
      <c r="AK354" s="66"/>
      <c r="AL354" s="66"/>
      <c r="AM354" s="66"/>
      <c r="AN354" s="83"/>
      <c r="AO354" s="83"/>
      <c r="AP354" s="83"/>
      <c r="AQ354" s="66"/>
      <c r="AR354" s="66"/>
      <c r="AS354" s="66"/>
      <c r="AT354" s="81">
        <v>3500</v>
      </c>
      <c r="AU354" s="81"/>
      <c r="AV354" s="81"/>
      <c r="AW354" s="81"/>
      <c r="AX354" s="83">
        <f>SUM(Prog_23[[#This Row],[ADIANTAMENTO]]+Prog_23[[#This Row],[SALDO]]+Prog_23[[#This Row],[MARGEM]]+Prog_23[[#This Row],[ESTADIA 1]])</f>
        <v>3500</v>
      </c>
      <c r="AY3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5000</v>
      </c>
      <c r="AZ354" s="81">
        <v>5000</v>
      </c>
      <c r="BA354" s="81">
        <v>1258274.79</v>
      </c>
      <c r="BB354" s="81">
        <v>0</v>
      </c>
      <c r="BC354" s="81">
        <v>0</v>
      </c>
      <c r="BD354" s="81"/>
      <c r="BE354" s="81"/>
      <c r="BF354" s="81"/>
      <c r="BG354" s="81"/>
      <c r="BH354" s="81"/>
      <c r="BI354" s="81"/>
      <c r="BJ354" s="81"/>
      <c r="BK354" s="81"/>
      <c r="BL354" s="81"/>
      <c r="BM354" s="81"/>
      <c r="BN354" s="66" t="s">
        <v>2768</v>
      </c>
      <c r="BO354" s="66" t="s">
        <v>2768</v>
      </c>
      <c r="BP354" s="66" t="s">
        <v>2768</v>
      </c>
      <c r="BQ354" s="66" t="str">
        <f>PROPER(TEXT(Prog_23[[#This Row],[PROGRAMAÇÃO CLIENTE]],"mmm"))</f>
        <v>Jul</v>
      </c>
      <c r="BR354" s="66">
        <f>YEAR(Prog_23[[#This Row],[PROGRAMAÇÃO CLIENTE]])</f>
        <v>2023</v>
      </c>
    </row>
    <row r="355" spans="1:70" x14ac:dyDescent="0.25">
      <c r="A355" s="200" t="str">
        <f>Prog_23[[#This Row],[CONTEINER]]</f>
        <v>TGHU6834100</v>
      </c>
      <c r="B355" s="86" t="s">
        <v>2771</v>
      </c>
      <c r="C3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55" s="85">
        <v>45111.333333333336</v>
      </c>
      <c r="E355" s="66" t="s">
        <v>353</v>
      </c>
      <c r="F355" s="66" t="s">
        <v>4726</v>
      </c>
      <c r="G355" s="66" t="s">
        <v>5368</v>
      </c>
      <c r="H355" s="44" t="s">
        <v>5367</v>
      </c>
      <c r="I355" s="44" t="s">
        <v>5369</v>
      </c>
      <c r="J355" s="66" t="s">
        <v>301</v>
      </c>
      <c r="K355" s="66">
        <v>3890</v>
      </c>
      <c r="L355" s="66">
        <v>8915511</v>
      </c>
      <c r="M355" s="66">
        <v>18930</v>
      </c>
      <c r="N355" s="66">
        <f>SUM(Prog_23[[#This Row],[TARA]]+Prog_23[[#This Row],[PESO]])</f>
        <v>22820</v>
      </c>
      <c r="O355" s="44" t="s">
        <v>5497</v>
      </c>
      <c r="P355" s="66" t="s">
        <v>4814</v>
      </c>
      <c r="Q355" s="66" t="s">
        <v>68</v>
      </c>
      <c r="R355" s="66" t="s">
        <v>36</v>
      </c>
      <c r="S355" s="66" t="s">
        <v>206</v>
      </c>
      <c r="T355" s="138" t="str">
        <f>IFERROR(LOOKUP($S355,MOTORISTAS!$D$3:$D$916,MOTORISTAS!E$3:$E$916),"")</f>
        <v>09085263425</v>
      </c>
      <c r="U355" s="138" t="str">
        <f>IFERROR(LOOKUP($S355,MOTORISTAS!$D$3:$D$916,MOTORISTAS!F$3:$F$916),"")</f>
        <v>04557705505</v>
      </c>
      <c r="V355" s="66" t="s">
        <v>1569</v>
      </c>
      <c r="W355" s="79">
        <v>45111.875</v>
      </c>
      <c r="X355" s="79">
        <v>45111.270833333336</v>
      </c>
      <c r="Y355" s="79">
        <v>45111.4375</v>
      </c>
      <c r="Z355" s="66" t="s">
        <v>469</v>
      </c>
      <c r="AA355" s="79">
        <v>45111.936805555553</v>
      </c>
      <c r="AB355" s="66"/>
      <c r="AC355" s="66"/>
      <c r="AD355" s="66"/>
      <c r="AE355" s="66"/>
      <c r="AF355" s="44">
        <v>16689</v>
      </c>
      <c r="AG355" s="254">
        <f>Prog_23[[#This Row],[SAÍDA DO CLIENTE]]-Prog_23[[#This Row],[PROGRAMAÇÃO CLIENTE]]</f>
        <v>0.10416666666424135</v>
      </c>
      <c r="AH355" s="44"/>
      <c r="AI355" s="66"/>
      <c r="AJ355" s="66"/>
      <c r="AK355" s="66"/>
      <c r="AL355" s="66"/>
      <c r="AM355" s="66"/>
      <c r="AN355" s="83"/>
      <c r="AO355" s="83"/>
      <c r="AP355" s="83"/>
      <c r="AQ355" s="66"/>
      <c r="AR355" s="66"/>
      <c r="AS355" s="66"/>
      <c r="AT355" s="81">
        <v>3500</v>
      </c>
      <c r="AU355" s="81"/>
      <c r="AV355" s="81"/>
      <c r="AW355" s="81"/>
      <c r="AX355" s="83">
        <f>SUM(Prog_23[[#This Row],[ADIANTAMENTO]]+Prog_23[[#This Row],[SALDO]]+Prog_23[[#This Row],[MARGEM]]+Prog_23[[#This Row],[ESTADIA 1]])</f>
        <v>3500</v>
      </c>
      <c r="AY3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5000</v>
      </c>
      <c r="AZ355" s="81">
        <v>5000</v>
      </c>
      <c r="BA355" s="81">
        <v>161311.04000000001</v>
      </c>
      <c r="BB355" s="81">
        <v>0</v>
      </c>
      <c r="BC355" s="81">
        <v>0</v>
      </c>
      <c r="BD355" s="81"/>
      <c r="BE355" s="81"/>
      <c r="BF355" s="81"/>
      <c r="BG355" s="81"/>
      <c r="BH355" s="81"/>
      <c r="BI355" s="81"/>
      <c r="BJ355" s="81"/>
      <c r="BK355" s="81"/>
      <c r="BL355" s="81"/>
      <c r="BM355" s="81"/>
      <c r="BN355" s="66" t="s">
        <v>2768</v>
      </c>
      <c r="BO355" s="66" t="s">
        <v>2768</v>
      </c>
      <c r="BP355" s="66" t="s">
        <v>2768</v>
      </c>
      <c r="BQ355" s="66" t="str">
        <f>PROPER(TEXT(Prog_23[[#This Row],[PROGRAMAÇÃO CLIENTE]],"mmm"))</f>
        <v>Jul</v>
      </c>
      <c r="BR355" s="66">
        <f>YEAR(Prog_23[[#This Row],[PROGRAMAÇÃO CLIENTE]])</f>
        <v>2023</v>
      </c>
    </row>
    <row r="356" spans="1:70" x14ac:dyDescent="0.25">
      <c r="A356" s="201" t="str">
        <f>Prog_23[[#This Row],[CONTEINER]]</f>
        <v>TCLU5663386</v>
      </c>
      <c r="B356" s="86" t="s">
        <v>2771</v>
      </c>
      <c r="C3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56" s="85">
        <v>45113.625</v>
      </c>
      <c r="E356" s="66" t="s">
        <v>5473</v>
      </c>
      <c r="F356" s="66" t="s">
        <v>4286</v>
      </c>
      <c r="G356" s="66" t="s">
        <v>5488</v>
      </c>
      <c r="H356" s="44" t="s">
        <v>5474</v>
      </c>
      <c r="I356" s="44" t="s">
        <v>5476</v>
      </c>
      <c r="J356" s="66" t="s">
        <v>301</v>
      </c>
      <c r="K356" s="66">
        <v>3900</v>
      </c>
      <c r="L356" s="66"/>
      <c r="M356" s="66">
        <v>25550</v>
      </c>
      <c r="N356" s="66">
        <f>SUM(Prog_23[[#This Row],[TARA]]+Prog_23[[#This Row],[PESO]])</f>
        <v>29450</v>
      </c>
      <c r="O356" s="44">
        <v>95</v>
      </c>
      <c r="P356" s="66" t="s">
        <v>5475</v>
      </c>
      <c r="Q356" s="66" t="s">
        <v>5486</v>
      </c>
      <c r="R356" s="66" t="s">
        <v>5487</v>
      </c>
      <c r="S356" s="66" t="s">
        <v>5485</v>
      </c>
      <c r="T356" s="138" t="str">
        <f>IFERROR(LOOKUP($S356,MOTORISTAS!$D$3:$D$916,MOTORISTAS!E$3:$E$916),"")</f>
        <v>82272140025</v>
      </c>
      <c r="U356" s="138" t="str">
        <f>IFERROR(LOOKUP($S356,MOTORISTAS!$D$3:$D$916,MOTORISTAS!F$3:$F$916),"")</f>
        <v>04188273191</v>
      </c>
      <c r="V356" s="66" t="s">
        <v>5477</v>
      </c>
      <c r="W356" s="79">
        <v>45117.291666666664</v>
      </c>
      <c r="X356" s="79">
        <v>45117.291666666664</v>
      </c>
      <c r="Y356" s="79">
        <v>45117.291666666664</v>
      </c>
      <c r="Z356" s="66" t="s">
        <v>4344</v>
      </c>
      <c r="AA356" s="79">
        <v>45117.291666666664</v>
      </c>
      <c r="AB356" s="66" t="s">
        <v>5484</v>
      </c>
      <c r="AC356" s="66" t="s">
        <v>5484</v>
      </c>
      <c r="AD356" s="66" t="s">
        <v>5484</v>
      </c>
      <c r="AE356" s="66" t="s">
        <v>4344</v>
      </c>
      <c r="AF356" s="44">
        <v>1332</v>
      </c>
      <c r="AG356" s="254">
        <f>Prog_23[[#This Row],[SAÍDA DO CLIENTE]]-Prog_23[[#This Row],[PROGRAMAÇÃO CLIENTE]]</f>
        <v>3.6666666666642413</v>
      </c>
      <c r="AH356" s="44"/>
      <c r="AI356" s="66"/>
      <c r="AJ356" s="66"/>
      <c r="AK356" s="66"/>
      <c r="AL356" s="66"/>
      <c r="AM356" s="66"/>
      <c r="AN356" s="83"/>
      <c r="AO356" s="83"/>
      <c r="AP356" s="83"/>
      <c r="AQ356" s="66"/>
      <c r="AR356" s="66"/>
      <c r="AS356" s="66"/>
      <c r="AT356" s="81"/>
      <c r="AU356" s="81"/>
      <c r="AV356" s="81"/>
      <c r="AW356" s="81"/>
      <c r="AX356" s="83">
        <f>SUM(Prog_23[[#This Row],[ADIANTAMENTO]]+Prog_23[[#This Row],[SALDO]]+Prog_23[[#This Row],[MARGEM]]+Prog_23[[#This Row],[ESTADIA 1]])</f>
        <v>0</v>
      </c>
      <c r="AY3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6930.0000000000009</v>
      </c>
      <c r="AZ356" s="81">
        <v>5481.6</v>
      </c>
      <c r="BA356" s="81">
        <v>337500</v>
      </c>
      <c r="BB356" s="81">
        <v>0</v>
      </c>
      <c r="BC356" s="81">
        <v>0</v>
      </c>
      <c r="BD356" s="81">
        <v>616.79999999999995</v>
      </c>
      <c r="BE356" s="81"/>
      <c r="BF356" s="81"/>
      <c r="BG356" s="81"/>
      <c r="BH356" s="81"/>
      <c r="BI356" s="81">
        <v>831.6</v>
      </c>
      <c r="BJ356" s="81"/>
      <c r="BK356" s="81"/>
      <c r="BL356" s="81"/>
      <c r="BM356" s="81"/>
      <c r="BN356" s="66"/>
      <c r="BO356" s="66"/>
      <c r="BP356" s="66"/>
      <c r="BQ356" s="66" t="str">
        <f>PROPER(TEXT(Prog_23[[#This Row],[PROGRAMAÇÃO CLIENTE]],"mmm"))</f>
        <v>Jul</v>
      </c>
      <c r="BR356" s="66">
        <f>YEAR(Prog_23[[#This Row],[PROGRAMAÇÃO CLIENTE]])</f>
        <v>2023</v>
      </c>
    </row>
    <row r="357" spans="1:70" x14ac:dyDescent="0.25">
      <c r="A357" s="201" t="str">
        <f>Prog_23[[#This Row],[CONTEINER]]</f>
        <v>SEKU5696451</v>
      </c>
      <c r="B357" s="86" t="s">
        <v>2771</v>
      </c>
      <c r="C3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57" s="85">
        <v>45117.333333333336</v>
      </c>
      <c r="E357" s="66" t="s">
        <v>2333</v>
      </c>
      <c r="F357" s="66" t="s">
        <v>1639</v>
      </c>
      <c r="G357" s="66" t="s">
        <v>5547</v>
      </c>
      <c r="H357" s="44" t="s">
        <v>5436</v>
      </c>
      <c r="I357" s="44" t="s">
        <v>5435</v>
      </c>
      <c r="J357" s="66" t="s">
        <v>301</v>
      </c>
      <c r="K357" s="66">
        <v>3700</v>
      </c>
      <c r="L357" s="66" t="s">
        <v>5522</v>
      </c>
      <c r="M357" s="66">
        <v>20977</v>
      </c>
      <c r="N357" s="66">
        <f>SUM(Prog_23[[#This Row],[TARA]]+Prog_23[[#This Row],[PESO]])</f>
        <v>24677</v>
      </c>
      <c r="O357" s="44" t="s">
        <v>5494</v>
      </c>
      <c r="P357" s="66" t="s">
        <v>5521</v>
      </c>
      <c r="Q357" s="66" t="s">
        <v>92</v>
      </c>
      <c r="R357" s="66" t="s">
        <v>93</v>
      </c>
      <c r="S357" s="66" t="s">
        <v>94</v>
      </c>
      <c r="T357" s="138" t="str">
        <f>IFERROR(LOOKUP($S357,MOTORISTAS!$D$3:$D$916,MOTORISTAS!E$3:$E$916),"")</f>
        <v>26283419801</v>
      </c>
      <c r="U357" s="138" t="str">
        <f>IFERROR(LOOKUP($S357,MOTORISTAS!$D$3:$D$916,MOTORISTAS!F$3:$F$916),"")</f>
        <v>02002046946</v>
      </c>
      <c r="V357" s="66" t="s">
        <v>1805</v>
      </c>
      <c r="W357" s="79">
        <v>45117.458333333336</v>
      </c>
      <c r="X357" s="79">
        <v>45117.291666666664</v>
      </c>
      <c r="Y357" s="79">
        <v>45117.583333333336</v>
      </c>
      <c r="Z357" s="66" t="s">
        <v>537</v>
      </c>
      <c r="AA357" s="79">
        <v>45118.328472222223</v>
      </c>
      <c r="AB357" s="79">
        <v>45118.328472222223</v>
      </c>
      <c r="AC357" s="79">
        <v>45118.328472222223</v>
      </c>
      <c r="AD357" s="79">
        <v>45118.328472222223</v>
      </c>
      <c r="AE357" s="66" t="s">
        <v>708</v>
      </c>
      <c r="AF357" s="44" t="s">
        <v>5493</v>
      </c>
      <c r="AG357" s="254">
        <f>Prog_23[[#This Row],[SAÍDA DO CLIENTE]]-Prog_23[[#This Row],[PROGRAMAÇÃO CLIENTE]]</f>
        <v>0.25</v>
      </c>
      <c r="AH357" s="44"/>
      <c r="AI357" s="66"/>
      <c r="AJ357" s="66"/>
      <c r="AK357" s="66"/>
      <c r="AL357" s="66"/>
      <c r="AM357" s="66"/>
      <c r="AN357" s="83"/>
      <c r="AO357" s="83"/>
      <c r="AP357" s="83"/>
      <c r="AQ357" s="66"/>
      <c r="AR357" s="66"/>
      <c r="AS357" s="66"/>
      <c r="AT357" s="81">
        <v>8000</v>
      </c>
      <c r="AU357" s="81"/>
      <c r="AV357" s="81"/>
      <c r="AW357" s="81"/>
      <c r="AX357" s="83">
        <f>SUM(Prog_23[[#This Row],[ADIANTAMENTO]]+Prog_23[[#This Row],[SALDO]]+Prog_23[[#This Row],[MARGEM]]+Prog_23[[#This Row],[ESTADIA 1]])</f>
        <v>8000</v>
      </c>
      <c r="AY3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730.16200500000002</v>
      </c>
      <c r="AZ357" s="81"/>
      <c r="BA357" s="81">
        <v>486774.67</v>
      </c>
      <c r="BB357" s="81">
        <f>Prog_23[[#This Row],[VLR NF]]*0.1%</f>
        <v>486.77467000000001</v>
      </c>
      <c r="BC357" s="81">
        <f>Prog_23[[#This Row],[VLR NF]]*0.05%</f>
        <v>243.38733500000001</v>
      </c>
      <c r="BD357" s="81"/>
      <c r="BE357" s="81"/>
      <c r="BF357" s="81"/>
      <c r="BG357" s="81"/>
      <c r="BH357" s="81"/>
      <c r="BI357" s="81"/>
      <c r="BJ357" s="81"/>
      <c r="BK357" s="81"/>
      <c r="BL357" s="81"/>
      <c r="BM357" s="81"/>
      <c r="BN357" s="66" t="s">
        <v>2768</v>
      </c>
      <c r="BO357" s="66" t="s">
        <v>2768</v>
      </c>
      <c r="BP357" s="66" t="s">
        <v>2768</v>
      </c>
      <c r="BQ357" s="66" t="str">
        <f>PROPER(TEXT(Prog_23[[#This Row],[PROGRAMAÇÃO CLIENTE]],"mmm"))</f>
        <v>Jul</v>
      </c>
      <c r="BR357" s="66">
        <f>YEAR(Prog_23[[#This Row],[PROGRAMAÇÃO CLIENTE]])</f>
        <v>2023</v>
      </c>
    </row>
    <row r="358" spans="1:70" x14ac:dyDescent="0.25">
      <c r="A358" s="200" t="str">
        <f>Prog_23[[#This Row],[CONTEINER]]</f>
        <v>MRKU4999896</v>
      </c>
      <c r="B358" s="86" t="s">
        <v>2771</v>
      </c>
      <c r="C3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58" s="85">
        <v>45117.666666666664</v>
      </c>
      <c r="E358" s="66" t="s">
        <v>2302</v>
      </c>
      <c r="F358" s="66" t="s">
        <v>529</v>
      </c>
      <c r="G358" s="66">
        <v>43</v>
      </c>
      <c r="H358" s="44">
        <v>228611483</v>
      </c>
      <c r="I358" s="44" t="s">
        <v>5523</v>
      </c>
      <c r="J358" s="66" t="s">
        <v>301</v>
      </c>
      <c r="K358" s="66">
        <v>3810</v>
      </c>
      <c r="L358" s="66" t="s">
        <v>5524</v>
      </c>
      <c r="M358" s="66">
        <v>12227</v>
      </c>
      <c r="N358" s="66">
        <f>SUM(Prog_23[[#This Row],[TARA]]+Prog_23[[#This Row],[PESO]])</f>
        <v>16037</v>
      </c>
      <c r="O358" s="44">
        <v>125175</v>
      </c>
      <c r="P358" s="66" t="s">
        <v>5348</v>
      </c>
      <c r="Q358" s="66" t="s">
        <v>1765</v>
      </c>
      <c r="R358" s="66" t="s">
        <v>1766</v>
      </c>
      <c r="S358" s="66" t="s">
        <v>1767</v>
      </c>
      <c r="T358" s="138" t="str">
        <f>IFERROR(LOOKUP($S358,MOTORISTAS!$D$3:$D$916,MOTORISTAS!E$3:$E$916),"")</f>
        <v>66006740400</v>
      </c>
      <c r="U358" s="138" t="str">
        <f>IFERROR(LOOKUP($S358,MOTORISTAS!$D$3:$D$916,MOTORISTAS!F$3:$F$916),"")</f>
        <v>04068555877</v>
      </c>
      <c r="V358" s="66" t="s">
        <v>409</v>
      </c>
      <c r="W358" s="79">
        <v>45117.436805555553</v>
      </c>
      <c r="X358" s="79">
        <v>45117.579861111109</v>
      </c>
      <c r="Y358" s="79">
        <v>45117.694444444445</v>
      </c>
      <c r="Z358" s="66" t="s">
        <v>306</v>
      </c>
      <c r="AA358" s="79">
        <v>45117.895833333336</v>
      </c>
      <c r="AB358" s="79">
        <v>45117.291666666664</v>
      </c>
      <c r="AC358" s="79">
        <v>45117.5</v>
      </c>
      <c r="AD358" s="79">
        <v>45120.75</v>
      </c>
      <c r="AE358" s="66" t="s">
        <v>364</v>
      </c>
      <c r="AF358" s="44">
        <v>16695</v>
      </c>
      <c r="AG358" s="254">
        <f>Prog_23[[#This Row],[SAÍDA DO CLIENTE]]-Prog_23[[#This Row],[PROGRAMAÇÃO CLIENTE]]</f>
        <v>2.7777777781011537E-2</v>
      </c>
      <c r="AH358" s="44"/>
      <c r="AI358" s="66"/>
      <c r="AJ358" s="66"/>
      <c r="AK358" s="66"/>
      <c r="AL358" s="66"/>
      <c r="AM358" s="66"/>
      <c r="AN358" s="83"/>
      <c r="AO358" s="83"/>
      <c r="AP358" s="83"/>
      <c r="AQ358" s="66"/>
      <c r="AR358" s="66"/>
      <c r="AS358" s="66"/>
      <c r="AT358" s="81">
        <v>1800</v>
      </c>
      <c r="AU358" s="81"/>
      <c r="AV358" s="81">
        <v>200</v>
      </c>
      <c r="AW358" s="81"/>
      <c r="AX358" s="83">
        <f>SUM(Prog_23[[#This Row],[ADIANTAMENTO]]+Prog_23[[#This Row],[SALDO]]+Prog_23[[#This Row],[MARGEM]]+Prog_23[[#This Row],[ESTADIA 1]])</f>
        <v>2000</v>
      </c>
      <c r="AY3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3681.00819</v>
      </c>
      <c r="AZ358" s="81">
        <v>2350</v>
      </c>
      <c r="BA358" s="81">
        <v>693008.19</v>
      </c>
      <c r="BB358" s="81">
        <f>Prog_23[[#This Row],[VLR NF]]*0.1%</f>
        <v>693.00819000000001</v>
      </c>
      <c r="BC358" s="81">
        <v>0</v>
      </c>
      <c r="BD358" s="81">
        <v>240</v>
      </c>
      <c r="BE358" s="81"/>
      <c r="BF358" s="81"/>
      <c r="BG358" s="81"/>
      <c r="BH358" s="81"/>
      <c r="BI358" s="81"/>
      <c r="BJ358" s="81"/>
      <c r="BK358" s="81"/>
      <c r="BL358" s="81">
        <v>398</v>
      </c>
      <c r="BM358" s="81"/>
      <c r="BN358" s="66" t="s">
        <v>2768</v>
      </c>
      <c r="BO358" s="66" t="s">
        <v>2768</v>
      </c>
      <c r="BP358" s="66" t="s">
        <v>2768</v>
      </c>
      <c r="BQ358" s="66" t="str">
        <f>PROPER(TEXT(Prog_23[[#This Row],[PROGRAMAÇÃO CLIENTE]],"mmm"))</f>
        <v>Jul</v>
      </c>
      <c r="BR358" s="66">
        <f>YEAR(Prog_23[[#This Row],[PROGRAMAÇÃO CLIENTE]])</f>
        <v>2023</v>
      </c>
    </row>
    <row r="359" spans="1:70" x14ac:dyDescent="0.25">
      <c r="A359" s="201" t="str">
        <f>Prog_23[[#This Row],[CONTEINER]]</f>
        <v>MRKU4719341</v>
      </c>
      <c r="B359" s="86" t="s">
        <v>2771</v>
      </c>
      <c r="C3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59" s="85">
        <v>45117.333333333336</v>
      </c>
      <c r="E359" s="66" t="s">
        <v>297</v>
      </c>
      <c r="F359" s="66" t="s">
        <v>298</v>
      </c>
      <c r="G359" s="66" t="s">
        <v>5502</v>
      </c>
      <c r="H359" s="44">
        <v>229053421</v>
      </c>
      <c r="I359" s="44" t="s">
        <v>5500</v>
      </c>
      <c r="J359" s="66" t="s">
        <v>301</v>
      </c>
      <c r="K359" s="66">
        <v>3880</v>
      </c>
      <c r="L359" s="66" t="s">
        <v>5501</v>
      </c>
      <c r="M359" s="66">
        <v>28536</v>
      </c>
      <c r="N359" s="66">
        <f>SUM(Prog_23[[#This Row],[TARA]]+Prog_23[[#This Row],[PESO]])</f>
        <v>32416</v>
      </c>
      <c r="O359" s="44">
        <v>879858</v>
      </c>
      <c r="P359" s="66" t="s">
        <v>5343</v>
      </c>
      <c r="Q359" s="66" t="s">
        <v>3708</v>
      </c>
      <c r="R359" s="66" t="s">
        <v>3709</v>
      </c>
      <c r="S359" s="66" t="s">
        <v>84</v>
      </c>
      <c r="T359" s="138" t="str">
        <f>IFERROR(LOOKUP($S359,MOTORISTAS!$D$3:$D$916,MOTORISTAS!E$3:$E$916),"")</f>
        <v>15921106810</v>
      </c>
      <c r="U359" s="138" t="str">
        <f>IFERROR(LOOKUP($S359,MOTORISTAS!$D$3:$D$916,MOTORISTAS!F$3:$F$916),"")</f>
        <v>02351127968</v>
      </c>
      <c r="V359" s="66" t="s">
        <v>292</v>
      </c>
      <c r="W359" s="79">
        <v>45115.336805555555</v>
      </c>
      <c r="X359" s="79">
        <v>45117.194444444445</v>
      </c>
      <c r="Y359" s="79">
        <v>45117.559027777781</v>
      </c>
      <c r="Z359" s="66" t="s">
        <v>410</v>
      </c>
      <c r="AA359" s="79">
        <v>45117.880555555559</v>
      </c>
      <c r="AB359" s="79">
        <v>45116.291666666664</v>
      </c>
      <c r="AC359" s="79">
        <v>45118.5</v>
      </c>
      <c r="AD359" s="79">
        <v>45121.5</v>
      </c>
      <c r="AE359" s="66" t="s">
        <v>4996</v>
      </c>
      <c r="AF359" s="44">
        <v>16693</v>
      </c>
      <c r="AG359" s="254">
        <f>Prog_23[[#This Row],[SAÍDA DO CLIENTE]]-Prog_23[[#This Row],[PROGRAMAÇÃO CLIENTE]]</f>
        <v>0.22569444444525288</v>
      </c>
      <c r="AH359" s="44">
        <v>6577808</v>
      </c>
      <c r="AI359" s="66"/>
      <c r="AJ359" s="66"/>
      <c r="AK359" s="66"/>
      <c r="AL359" s="66"/>
      <c r="AM359" s="66"/>
      <c r="AN359" s="83"/>
      <c r="AO359" s="83"/>
      <c r="AP359" s="83"/>
      <c r="AQ359" s="66"/>
      <c r="AR359" s="66"/>
      <c r="AS359" s="66"/>
      <c r="AT359" s="81"/>
      <c r="AU359" s="81"/>
      <c r="AV359" s="81"/>
      <c r="AW359" s="81"/>
      <c r="AX359" s="83">
        <f>SUM(Prog_23[[#This Row],[ADIANTAMENTO]]+Prog_23[[#This Row],[SALDO]]+Prog_23[[#This Row],[MARGEM]]+Prog_23[[#This Row],[ESTADIA 1]])</f>
        <v>0</v>
      </c>
      <c r="AY3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59" s="81">
        <v>3488.8</v>
      </c>
      <c r="BA359" s="81">
        <v>106568</v>
      </c>
      <c r="BB359" s="81">
        <v>0</v>
      </c>
      <c r="BC359" s="81">
        <v>0</v>
      </c>
      <c r="BD359" s="81">
        <v>511.2</v>
      </c>
      <c r="BE359" s="81"/>
      <c r="BF359" s="81"/>
      <c r="BG359" s="81"/>
      <c r="BH359" s="81"/>
      <c r="BI359" s="81"/>
      <c r="BJ359" s="81"/>
      <c r="BK359" s="81"/>
      <c r="BL359" s="81"/>
      <c r="BM359" s="81"/>
      <c r="BN359" s="66" t="s">
        <v>2768</v>
      </c>
      <c r="BO359" s="66" t="s">
        <v>2768</v>
      </c>
      <c r="BP359" s="66" t="s">
        <v>2768</v>
      </c>
      <c r="BQ359" s="66" t="str">
        <f>PROPER(TEXT(Prog_23[[#This Row],[PROGRAMAÇÃO CLIENTE]],"mmm"))</f>
        <v>Jul</v>
      </c>
      <c r="BR359" s="66">
        <f>YEAR(Prog_23[[#This Row],[PROGRAMAÇÃO CLIENTE]])</f>
        <v>2023</v>
      </c>
    </row>
    <row r="360" spans="1:70" x14ac:dyDescent="0.25">
      <c r="A360" s="200" t="str">
        <f>Prog_23[[#This Row],[CONTEINER]]</f>
        <v>MRKU5432248</v>
      </c>
      <c r="B360" s="86" t="s">
        <v>2771</v>
      </c>
      <c r="C3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60" s="85">
        <v>45117.416666666664</v>
      </c>
      <c r="E360" s="66" t="s">
        <v>297</v>
      </c>
      <c r="F360" s="66" t="s">
        <v>298</v>
      </c>
      <c r="G360" s="66" t="s">
        <v>5502</v>
      </c>
      <c r="H360" s="44">
        <v>229053421</v>
      </c>
      <c r="I360" s="44" t="s">
        <v>5506</v>
      </c>
      <c r="J360" s="66" t="s">
        <v>301</v>
      </c>
      <c r="K360" s="66">
        <v>3810</v>
      </c>
      <c r="L360" s="66" t="s">
        <v>5507</v>
      </c>
      <c r="M360" s="66">
        <v>28536</v>
      </c>
      <c r="N360" s="66">
        <f>SUM(Prog_23[[#This Row],[TARA]]+Prog_23[[#This Row],[PESO]])</f>
        <v>32346</v>
      </c>
      <c r="O360" s="44">
        <v>880435</v>
      </c>
      <c r="P360" s="66" t="s">
        <v>5343</v>
      </c>
      <c r="Q360" s="66" t="s">
        <v>58</v>
      </c>
      <c r="R360" s="66" t="s">
        <v>59</v>
      </c>
      <c r="S360" s="66" t="s">
        <v>60</v>
      </c>
      <c r="T360" s="138" t="str">
        <f>IFERROR(LOOKUP($S360,MOTORISTAS!$D$3:$D$916,MOTORISTAS!E$3:$E$916),"")</f>
        <v>19482908805</v>
      </c>
      <c r="U360" s="138" t="str">
        <f>IFERROR(LOOKUP($S360,MOTORISTAS!$D$3:$D$916,MOTORISTAS!F$3:$F$916),"")</f>
        <v>03153303618</v>
      </c>
      <c r="V360" s="66" t="s">
        <v>292</v>
      </c>
      <c r="W360" s="79">
        <v>45115.404861111114</v>
      </c>
      <c r="X360" s="79">
        <v>45117.239583333336</v>
      </c>
      <c r="Y360" s="79">
        <v>45117.958333333336</v>
      </c>
      <c r="Z360" s="66" t="s">
        <v>410</v>
      </c>
      <c r="AA360" s="79">
        <v>45118.154861111114</v>
      </c>
      <c r="AB360" s="79">
        <v>45116.291666666664</v>
      </c>
      <c r="AC360" s="79">
        <v>45118.5</v>
      </c>
      <c r="AD360" s="79">
        <v>45121.5</v>
      </c>
      <c r="AE360" s="66" t="s">
        <v>4996</v>
      </c>
      <c r="AF360" s="44">
        <v>16698</v>
      </c>
      <c r="AG360" s="254">
        <f>Prog_23[[#This Row],[SAÍDA DO CLIENTE]]-Prog_23[[#This Row],[PROGRAMAÇÃO CLIENTE]]</f>
        <v>0.54166666667151731</v>
      </c>
      <c r="AH360" s="44">
        <v>6577811</v>
      </c>
      <c r="AI360" s="66"/>
      <c r="AJ360" s="66"/>
      <c r="AK360" s="66"/>
      <c r="AL360" s="66"/>
      <c r="AM360" s="66"/>
      <c r="AN360" s="83"/>
      <c r="AO360" s="83"/>
      <c r="AP360" s="83"/>
      <c r="AQ360" s="66"/>
      <c r="AR360" s="66"/>
      <c r="AS360" s="66"/>
      <c r="AT360" s="81"/>
      <c r="AU360" s="81"/>
      <c r="AV360" s="81"/>
      <c r="AW360" s="81"/>
      <c r="AX360" s="83">
        <f>SUM(Prog_23[[#This Row],[ADIANTAMENTO]]+Prog_23[[#This Row],[SALDO]]+Prog_23[[#This Row],[MARGEM]]+Prog_23[[#This Row],[ESTADIA 1]])</f>
        <v>0</v>
      </c>
      <c r="AY3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4595</v>
      </c>
      <c r="AZ360" s="81">
        <v>3488.8</v>
      </c>
      <c r="BA360" s="81"/>
      <c r="BB360" s="81">
        <f>Prog_23[[#This Row],[VLR NF]]*0.1%</f>
        <v>0</v>
      </c>
      <c r="BC360" s="81">
        <f>Prog_23[[#This Row],[VLR NF]]*0.05%</f>
        <v>0</v>
      </c>
      <c r="BD360" s="81">
        <v>511.2</v>
      </c>
      <c r="BE360" s="81"/>
      <c r="BF360" s="81"/>
      <c r="BG360" s="81"/>
      <c r="BH360" s="81"/>
      <c r="BI360" s="81"/>
      <c r="BJ360" s="81"/>
      <c r="BK360" s="81"/>
      <c r="BL360" s="81"/>
      <c r="BM360" s="81">
        <f>85*7</f>
        <v>595</v>
      </c>
      <c r="BN360" s="66" t="s">
        <v>2768</v>
      </c>
      <c r="BO360" s="66" t="s">
        <v>2768</v>
      </c>
      <c r="BP360" s="66" t="s">
        <v>2768</v>
      </c>
      <c r="BQ360" s="66" t="str">
        <f>PROPER(TEXT(Prog_23[[#This Row],[PROGRAMAÇÃO CLIENTE]],"mmm"))</f>
        <v>Jul</v>
      </c>
      <c r="BR360" s="66">
        <f>YEAR(Prog_23[[#This Row],[PROGRAMAÇÃO CLIENTE]])</f>
        <v>2023</v>
      </c>
    </row>
    <row r="361" spans="1:70" x14ac:dyDescent="0.25">
      <c r="A361" s="201" t="str">
        <f>Prog_23[[#This Row],[CONTEINER]]</f>
        <v>MRKU3155329</v>
      </c>
      <c r="B361" s="86" t="s">
        <v>2771</v>
      </c>
      <c r="C3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61" s="85">
        <v>45117.5</v>
      </c>
      <c r="E361" s="66" t="s">
        <v>297</v>
      </c>
      <c r="F361" s="66" t="s">
        <v>298</v>
      </c>
      <c r="G361" s="66" t="s">
        <v>5503</v>
      </c>
      <c r="H361" s="44">
        <v>229053421</v>
      </c>
      <c r="I361" s="44" t="s">
        <v>5508</v>
      </c>
      <c r="J361" s="66" t="s">
        <v>301</v>
      </c>
      <c r="K361" s="66">
        <v>3790</v>
      </c>
      <c r="L361" s="66" t="s">
        <v>5509</v>
      </c>
      <c r="M361" s="66">
        <v>28536</v>
      </c>
      <c r="N361" s="66">
        <f>SUM(Prog_23[[#This Row],[TARA]]+Prog_23[[#This Row],[PESO]])</f>
        <v>32326</v>
      </c>
      <c r="O361" s="44">
        <v>879825</v>
      </c>
      <c r="P361" s="66" t="s">
        <v>5343</v>
      </c>
      <c r="Q361" s="66" t="s">
        <v>114</v>
      </c>
      <c r="R361" s="66" t="s">
        <v>5137</v>
      </c>
      <c r="S361" s="66" t="s">
        <v>5138</v>
      </c>
      <c r="T361" s="138" t="str">
        <f>IFERROR(LOOKUP($S361,MOTORISTAS!$D$3:$D$916,MOTORISTAS!E$3:$E$916),"")</f>
        <v>29656377885</v>
      </c>
      <c r="U361" s="138" t="str">
        <f>IFERROR(LOOKUP($S361,MOTORISTAS!$D$3:$D$916,MOTORISTAS!F$3:$F$916),"")</f>
        <v>00957717305</v>
      </c>
      <c r="V361" s="66" t="s">
        <v>292</v>
      </c>
      <c r="W361" s="79">
        <v>45115.507638888892</v>
      </c>
      <c r="X361" s="79">
        <v>45117.25</v>
      </c>
      <c r="Y361" s="79">
        <v>45117.666666666664</v>
      </c>
      <c r="Z361" s="66" t="s">
        <v>410</v>
      </c>
      <c r="AA361" s="79">
        <v>45117.935416666667</v>
      </c>
      <c r="AB361" s="79">
        <v>45116.291666666664</v>
      </c>
      <c r="AC361" s="79">
        <v>45118.5</v>
      </c>
      <c r="AD361" s="79">
        <v>45121.5</v>
      </c>
      <c r="AE361" s="66" t="s">
        <v>4996</v>
      </c>
      <c r="AF361" s="44">
        <v>16694</v>
      </c>
      <c r="AG361" s="254">
        <f>Prog_23[[#This Row],[SAÍDA DO CLIENTE]]-Prog_23[[#This Row],[PROGRAMAÇÃO CLIENTE]]</f>
        <v>0.16666666666424135</v>
      </c>
      <c r="AH361" s="44">
        <v>6577815</v>
      </c>
      <c r="AI361" s="66"/>
      <c r="AJ361" s="66"/>
      <c r="AK361" s="66"/>
      <c r="AL361" s="66"/>
      <c r="AM361" s="66"/>
      <c r="AN361" s="83"/>
      <c r="AO361" s="83"/>
      <c r="AP361" s="83"/>
      <c r="AQ361" s="66"/>
      <c r="AR361" s="66"/>
      <c r="AS361" s="66"/>
      <c r="AT361" s="81"/>
      <c r="AU361" s="81"/>
      <c r="AV361" s="81"/>
      <c r="AW361" s="81"/>
      <c r="AX361" s="83">
        <f>SUM(Prog_23[[#This Row],[ADIANTAMENTO]]+Prog_23[[#This Row],[SALDO]]+Prog_23[[#This Row],[MARGEM]]+Prog_23[[#This Row],[ESTADIA 1]])</f>
        <v>0</v>
      </c>
      <c r="AY3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61" s="81">
        <v>3488.8</v>
      </c>
      <c r="BA361" s="81">
        <v>106568</v>
      </c>
      <c r="BB361" s="81">
        <v>0</v>
      </c>
      <c r="BC361" s="81">
        <v>0</v>
      </c>
      <c r="BD361" s="81">
        <v>511.2</v>
      </c>
      <c r="BE361" s="81"/>
      <c r="BF361" s="81"/>
      <c r="BG361" s="81"/>
      <c r="BH361" s="81"/>
      <c r="BI361" s="81"/>
      <c r="BJ361" s="81"/>
      <c r="BK361" s="81"/>
      <c r="BL361" s="81"/>
      <c r="BM361" s="81"/>
      <c r="BN361" s="66" t="s">
        <v>2768</v>
      </c>
      <c r="BO361" s="66" t="s">
        <v>2768</v>
      </c>
      <c r="BP361" s="66" t="s">
        <v>2768</v>
      </c>
      <c r="BQ361" s="66" t="str">
        <f>PROPER(TEXT(Prog_23[[#This Row],[PROGRAMAÇÃO CLIENTE]],"mmm"))</f>
        <v>Jul</v>
      </c>
      <c r="BR361" s="66">
        <f>YEAR(Prog_23[[#This Row],[PROGRAMAÇÃO CLIENTE]])</f>
        <v>2023</v>
      </c>
    </row>
    <row r="362" spans="1:70" x14ac:dyDescent="0.25">
      <c r="A362" s="201" t="str">
        <f>Prog_23[[#This Row],[CONTEINER]]</f>
        <v>MSKU8558530</v>
      </c>
      <c r="B362" s="86" t="s">
        <v>2771</v>
      </c>
      <c r="C3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62" s="85">
        <v>45117.541666666664</v>
      </c>
      <c r="E362" s="66" t="s">
        <v>297</v>
      </c>
      <c r="F362" s="66" t="s">
        <v>298</v>
      </c>
      <c r="G362" s="66" t="s">
        <v>5504</v>
      </c>
      <c r="H362" s="44">
        <v>229053421</v>
      </c>
      <c r="I362" s="44" t="s">
        <v>5510</v>
      </c>
      <c r="J362" s="66" t="s">
        <v>301</v>
      </c>
      <c r="K362" s="66">
        <v>3880</v>
      </c>
      <c r="L362" s="66" t="s">
        <v>5511</v>
      </c>
      <c r="M362" s="66">
        <v>23652</v>
      </c>
      <c r="N362" s="66">
        <f>SUM(Prog_23[[#This Row],[TARA]]+Prog_23[[#This Row],[PESO]])</f>
        <v>27532</v>
      </c>
      <c r="O362" s="44">
        <v>880504</v>
      </c>
      <c r="P362" s="66" t="s">
        <v>5343</v>
      </c>
      <c r="Q362" s="66" t="s">
        <v>3970</v>
      </c>
      <c r="R362" s="66" t="s">
        <v>1137</v>
      </c>
      <c r="S362" s="66" t="s">
        <v>1138</v>
      </c>
      <c r="T362" s="138" t="str">
        <f>IFERROR(LOOKUP($S362,MOTORISTAS!$D$3:$D$916,MOTORISTAS!E$3:$E$916),"")</f>
        <v>33168168874</v>
      </c>
      <c r="U362" s="138" t="str">
        <f>IFERROR(LOOKUP($S362,MOTORISTAS!$D$3:$D$916,MOTORISTAS!F$3:$F$916),"")</f>
        <v>03550963391</v>
      </c>
      <c r="V362" s="66" t="s">
        <v>292</v>
      </c>
      <c r="W362" s="79">
        <v>45115.428472222222</v>
      </c>
      <c r="X362" s="79">
        <v>45117.458333333336</v>
      </c>
      <c r="Y362" s="79">
        <v>45118.541666666664</v>
      </c>
      <c r="Z362" s="66" t="s">
        <v>410</v>
      </c>
      <c r="AA362" s="79">
        <v>45118.831250000003</v>
      </c>
      <c r="AB362" s="79">
        <v>45116.291666666664</v>
      </c>
      <c r="AC362" s="79">
        <v>45118.5</v>
      </c>
      <c r="AD362" s="79">
        <v>45121.5</v>
      </c>
      <c r="AE362" s="66" t="s">
        <v>4996</v>
      </c>
      <c r="AF362" s="44">
        <v>16705</v>
      </c>
      <c r="AG362" s="254">
        <f>Prog_23[[#This Row],[SAÍDA DO CLIENTE]]-Prog_23[[#This Row],[PROGRAMAÇÃO CLIENTE]]</f>
        <v>1</v>
      </c>
      <c r="AH362" s="44">
        <v>6577821</v>
      </c>
      <c r="AI362" s="66"/>
      <c r="AJ362" s="66"/>
      <c r="AK362" s="66"/>
      <c r="AL362" s="66"/>
      <c r="AM362" s="66"/>
      <c r="AN362" s="83"/>
      <c r="AO362" s="83"/>
      <c r="AP362" s="83"/>
      <c r="AQ362" s="66"/>
      <c r="AR362" s="66"/>
      <c r="AS362" s="66"/>
      <c r="AT362" s="81"/>
      <c r="AU362" s="81"/>
      <c r="AV362" s="81"/>
      <c r="AW362" s="81"/>
      <c r="AX362" s="83">
        <f>SUM(Prog_23[[#This Row],[ADIANTAMENTO]]+Prog_23[[#This Row],[SALDO]]+Prog_23[[#This Row],[MARGEM]]+Prog_23[[#This Row],[ESTADIA 1]])</f>
        <v>0</v>
      </c>
      <c r="AY3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5530</v>
      </c>
      <c r="AZ362" s="81">
        <v>3488.8</v>
      </c>
      <c r="BA362" s="81"/>
      <c r="BB362" s="81">
        <f>Prog_23[[#This Row],[VLR NF]]*0.1%</f>
        <v>0</v>
      </c>
      <c r="BC362" s="81">
        <f>Prog_23[[#This Row],[VLR NF]]*0.05%</f>
        <v>0</v>
      </c>
      <c r="BD362" s="81">
        <v>511.2</v>
      </c>
      <c r="BE362" s="81"/>
      <c r="BF362" s="81"/>
      <c r="BG362" s="81"/>
      <c r="BH362" s="81"/>
      <c r="BI362" s="81"/>
      <c r="BJ362" s="81"/>
      <c r="BK362" s="81"/>
      <c r="BL362" s="81"/>
      <c r="BM362" s="81">
        <f>85*18</f>
        <v>1530</v>
      </c>
      <c r="BN362" s="66" t="s">
        <v>2768</v>
      </c>
      <c r="BO362" s="66" t="s">
        <v>2768</v>
      </c>
      <c r="BP362" s="66" t="s">
        <v>2768</v>
      </c>
      <c r="BQ362" s="66" t="str">
        <f>PROPER(TEXT(Prog_23[[#This Row],[PROGRAMAÇÃO CLIENTE]],"mmm"))</f>
        <v>Jul</v>
      </c>
      <c r="BR362" s="66">
        <f>YEAR(Prog_23[[#This Row],[PROGRAMAÇÃO CLIENTE]])</f>
        <v>2023</v>
      </c>
    </row>
    <row r="363" spans="1:70" x14ac:dyDescent="0.25">
      <c r="A363" s="200" t="str">
        <f>Prog_23[[#This Row],[CONTEINER]]</f>
        <v>MRKU5819704</v>
      </c>
      <c r="B363" s="86" t="s">
        <v>2771</v>
      </c>
      <c r="C3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63" s="85">
        <v>45117.541666666664</v>
      </c>
      <c r="E363" s="66" t="s">
        <v>297</v>
      </c>
      <c r="F363" s="66" t="s">
        <v>298</v>
      </c>
      <c r="G363" s="66" t="s">
        <v>5503</v>
      </c>
      <c r="H363" s="44">
        <v>229053421</v>
      </c>
      <c r="I363" s="44" t="s">
        <v>5514</v>
      </c>
      <c r="J363" s="66" t="s">
        <v>301</v>
      </c>
      <c r="K363" s="66">
        <v>3810</v>
      </c>
      <c r="L363" s="66" t="s">
        <v>5548</v>
      </c>
      <c r="M363" s="66">
        <v>23652</v>
      </c>
      <c r="N363" s="66">
        <f>SUM(Prog_23[[#This Row],[TARA]]+Prog_23[[#This Row],[PESO]])</f>
        <v>27462</v>
      </c>
      <c r="O363" s="44">
        <v>880333</v>
      </c>
      <c r="P363" s="66" t="s">
        <v>5343</v>
      </c>
      <c r="Q363" s="66" t="s">
        <v>1130</v>
      </c>
      <c r="R363" s="66" t="s">
        <v>1131</v>
      </c>
      <c r="S363" s="66" t="s">
        <v>5489</v>
      </c>
      <c r="T363" s="138" t="str">
        <f>IFERROR(LOOKUP($S363,MOTORISTAS!$D$3:$D$916,MOTORISTAS!E$3:$E$916),"")</f>
        <v>38875368864</v>
      </c>
      <c r="U363" s="138" t="str">
        <f>IFERROR(LOOKUP($S363,MOTORISTAS!$D$3:$D$916,MOTORISTAS!F$3:$F$916),"")</f>
        <v>05266095697</v>
      </c>
      <c r="V363" s="66" t="s">
        <v>292</v>
      </c>
      <c r="W363" s="79">
        <v>45117.541666666664</v>
      </c>
      <c r="X363" s="79">
        <v>45117.541666666664</v>
      </c>
      <c r="Y363" s="79">
        <v>45117.944444444445</v>
      </c>
      <c r="Z363" s="66" t="s">
        <v>410</v>
      </c>
      <c r="AA363" s="79">
        <v>45118.720138888886</v>
      </c>
      <c r="AB363" s="79">
        <v>45116.291666666664</v>
      </c>
      <c r="AC363" s="79">
        <v>45118.5</v>
      </c>
      <c r="AD363" s="79">
        <v>45121.5</v>
      </c>
      <c r="AE363" s="66" t="s">
        <v>4996</v>
      </c>
      <c r="AF363" s="44">
        <v>16697</v>
      </c>
      <c r="AG363" s="254">
        <f>Prog_23[[#This Row],[SAÍDA DO CLIENTE]]-Prog_23[[#This Row],[PROGRAMAÇÃO CLIENTE]]</f>
        <v>0.40277777778101154</v>
      </c>
      <c r="AH363" s="44" t="s">
        <v>5536</v>
      </c>
      <c r="AI363" s="66"/>
      <c r="AJ363" s="66"/>
      <c r="AK363" s="66"/>
      <c r="AL363" s="66"/>
      <c r="AM363" s="66"/>
      <c r="AN363" s="83"/>
      <c r="AO363" s="83"/>
      <c r="AP363" s="83"/>
      <c r="AQ363" s="66"/>
      <c r="AR363" s="66"/>
      <c r="AS363" s="66"/>
      <c r="AT363" s="81"/>
      <c r="AU363" s="81"/>
      <c r="AV363" s="81"/>
      <c r="AW363" s="81"/>
      <c r="AX363" s="83">
        <f>SUM(Prog_23[[#This Row],[ADIANTAMENTO]]+Prog_23[[#This Row],[SALDO]]+Prog_23[[#This Row],[MARGEM]]+Prog_23[[#This Row],[ESTADIA 1]])</f>
        <v>0</v>
      </c>
      <c r="AY3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4765</v>
      </c>
      <c r="AZ363" s="81">
        <v>3488.8</v>
      </c>
      <c r="BA363" s="81"/>
      <c r="BB363" s="81">
        <f>Prog_23[[#This Row],[VLR NF]]*0.1%</f>
        <v>0</v>
      </c>
      <c r="BC363" s="81">
        <f>Prog_23[[#This Row],[VLR NF]]*0.05%</f>
        <v>0</v>
      </c>
      <c r="BD363" s="81">
        <v>511.2</v>
      </c>
      <c r="BE363" s="81"/>
      <c r="BF363" s="81"/>
      <c r="BG363" s="81"/>
      <c r="BH363" s="81"/>
      <c r="BI363" s="81"/>
      <c r="BJ363" s="81"/>
      <c r="BK363" s="81"/>
      <c r="BL363" s="81"/>
      <c r="BM363" s="81">
        <f>85*9</f>
        <v>765</v>
      </c>
      <c r="BN363" s="66" t="s">
        <v>2768</v>
      </c>
      <c r="BO363" s="66" t="s">
        <v>2768</v>
      </c>
      <c r="BP363" s="66" t="s">
        <v>2768</v>
      </c>
      <c r="BQ363" s="66" t="str">
        <f>PROPER(TEXT(Prog_23[[#This Row],[PROGRAMAÇÃO CLIENTE]],"mmm"))</f>
        <v>Jul</v>
      </c>
      <c r="BR363" s="66">
        <f>YEAR(Prog_23[[#This Row],[PROGRAMAÇÃO CLIENTE]])</f>
        <v>2023</v>
      </c>
    </row>
    <row r="364" spans="1:70" x14ac:dyDescent="0.25">
      <c r="A364" s="200" t="str">
        <f>Prog_23[[#This Row],[CONTEINER]]</f>
        <v>MSKU9367918</v>
      </c>
      <c r="B364" s="86" t="s">
        <v>2771</v>
      </c>
      <c r="C3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64" s="85">
        <v>45117.625</v>
      </c>
      <c r="E364" s="66" t="s">
        <v>297</v>
      </c>
      <c r="F364" s="66" t="s">
        <v>298</v>
      </c>
      <c r="G364" s="66" t="s">
        <v>5505</v>
      </c>
      <c r="H364" s="44">
        <v>229053421</v>
      </c>
      <c r="I364" s="44" t="s">
        <v>5512</v>
      </c>
      <c r="J364" s="66" t="s">
        <v>301</v>
      </c>
      <c r="K364" s="66">
        <v>3880</v>
      </c>
      <c r="L364" s="66" t="s">
        <v>5513</v>
      </c>
      <c r="M364" s="66">
        <v>23652</v>
      </c>
      <c r="N364" s="66">
        <f>SUM(Prog_23[[#This Row],[TARA]]+Prog_23[[#This Row],[PESO]])</f>
        <v>27532</v>
      </c>
      <c r="O364" s="44">
        <v>880506</v>
      </c>
      <c r="P364" s="66" t="s">
        <v>5343</v>
      </c>
      <c r="Q364" s="66" t="s">
        <v>1772</v>
      </c>
      <c r="R364" s="66" t="s">
        <v>1773</v>
      </c>
      <c r="S364" s="66" t="s">
        <v>4868</v>
      </c>
      <c r="T364" s="138" t="str">
        <f>IFERROR(LOOKUP($S364,MOTORISTAS!$D$3:$D$916,MOTORISTAS!E$3:$E$916),"")</f>
        <v>24925823884</v>
      </c>
      <c r="U364" s="138" t="str">
        <f>IFERROR(LOOKUP($S364,MOTORISTAS!$D$3:$D$916,MOTORISTAS!F$3:$F$916),"")</f>
        <v>03494669988</v>
      </c>
      <c r="V364" s="66" t="s">
        <v>292</v>
      </c>
      <c r="W364" s="79">
        <v>45117.541666666664</v>
      </c>
      <c r="X364" s="79">
        <v>45117.541666666664</v>
      </c>
      <c r="Y364" s="79">
        <v>45118.791666666664</v>
      </c>
      <c r="Z364" s="66" t="s">
        <v>410</v>
      </c>
      <c r="AA364" s="79">
        <v>45119.047222222223</v>
      </c>
      <c r="AB364" s="79">
        <v>45116.291666666664</v>
      </c>
      <c r="AC364" s="79">
        <v>45118.5</v>
      </c>
      <c r="AD364" s="79">
        <v>45121.5</v>
      </c>
      <c r="AE364" s="66" t="s">
        <v>4996</v>
      </c>
      <c r="AF364" s="44">
        <v>16712</v>
      </c>
      <c r="AG364" s="254">
        <f>Prog_23[[#This Row],[SAÍDA DO CLIENTE]]-Prog_23[[#This Row],[PROGRAMAÇÃO CLIENTE]]</f>
        <v>1.1666666666642413</v>
      </c>
      <c r="AH364" s="44">
        <v>6577824</v>
      </c>
      <c r="AI364" s="66"/>
      <c r="AJ364" s="66"/>
      <c r="AK364" s="66"/>
      <c r="AL364" s="66"/>
      <c r="AM364" s="66"/>
      <c r="AN364" s="83"/>
      <c r="AO364" s="83"/>
      <c r="AP364" s="83"/>
      <c r="AQ364" s="66"/>
      <c r="AR364" s="66"/>
      <c r="AS364" s="66"/>
      <c r="AT364" s="81"/>
      <c r="AU364" s="81"/>
      <c r="AV364" s="81"/>
      <c r="AW364" s="81"/>
      <c r="AX364" s="83">
        <f>SUM(Prog_23[[#This Row],[ADIANTAMENTO]]+Prog_23[[#This Row],[SALDO]]+Prog_23[[#This Row],[MARGEM]]+Prog_23[[#This Row],[ESTADIA 1]])</f>
        <v>0</v>
      </c>
      <c r="AY3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5870</v>
      </c>
      <c r="AZ364" s="81">
        <v>3488.8</v>
      </c>
      <c r="BA364" s="81"/>
      <c r="BB364" s="81">
        <f>Prog_23[[#This Row],[VLR NF]]*0.1%</f>
        <v>0</v>
      </c>
      <c r="BC364" s="81">
        <f>Prog_23[[#This Row],[VLR NF]]*0.05%</f>
        <v>0</v>
      </c>
      <c r="BD364" s="81">
        <v>511.2</v>
      </c>
      <c r="BE364" s="81"/>
      <c r="BF364" s="81"/>
      <c r="BG364" s="81"/>
      <c r="BH364" s="81"/>
      <c r="BI364" s="81"/>
      <c r="BJ364" s="81"/>
      <c r="BK364" s="81"/>
      <c r="BL364" s="81"/>
      <c r="BM364" s="81">
        <f>85*22</f>
        <v>1870</v>
      </c>
      <c r="BN364" s="66" t="s">
        <v>2768</v>
      </c>
      <c r="BO364" s="66" t="s">
        <v>2768</v>
      </c>
      <c r="BP364" s="66" t="s">
        <v>2768</v>
      </c>
      <c r="BQ364" s="66" t="str">
        <f>PROPER(TEXT(Prog_23[[#This Row],[PROGRAMAÇÃO CLIENTE]],"mmm"))</f>
        <v>Jul</v>
      </c>
      <c r="BR364" s="66">
        <f>YEAR(Prog_23[[#This Row],[PROGRAMAÇÃO CLIENTE]])</f>
        <v>2023</v>
      </c>
    </row>
    <row r="365" spans="1:70" x14ac:dyDescent="0.25">
      <c r="A365" s="201" t="str">
        <f>Prog_23[[#This Row],[CONTEINER]]</f>
        <v>MRKU4728209</v>
      </c>
      <c r="B365" s="86" t="s">
        <v>2771</v>
      </c>
      <c r="C3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65" s="85">
        <v>45117.625</v>
      </c>
      <c r="E365" s="66" t="s">
        <v>297</v>
      </c>
      <c r="F365" s="66" t="s">
        <v>298</v>
      </c>
      <c r="G365" s="66" t="s">
        <v>5505</v>
      </c>
      <c r="H365" s="44">
        <v>229053421</v>
      </c>
      <c r="I365" s="44" t="s">
        <v>5530</v>
      </c>
      <c r="J365" s="66" t="s">
        <v>301</v>
      </c>
      <c r="K365" s="66">
        <v>3880</v>
      </c>
      <c r="L365" s="66" t="s">
        <v>5531</v>
      </c>
      <c r="M365" s="66">
        <v>23652</v>
      </c>
      <c r="N365" s="66">
        <f>SUM(Prog_23[[#This Row],[TARA]]+Prog_23[[#This Row],[PESO]])</f>
        <v>27532</v>
      </c>
      <c r="O365" s="44">
        <v>880807</v>
      </c>
      <c r="P365" s="66" t="s">
        <v>5343</v>
      </c>
      <c r="Q365" s="66" t="s">
        <v>3969</v>
      </c>
      <c r="R365" s="66" t="s">
        <v>1744</v>
      </c>
      <c r="S365" s="66" t="s">
        <v>1745</v>
      </c>
      <c r="T365" s="138" t="str">
        <f>IFERROR(LOOKUP($S365,MOTORISTAS!$D$3:$D$916,MOTORISTAS!E$3:$E$916),"")</f>
        <v>87073730404</v>
      </c>
      <c r="U365" s="138" t="str">
        <f>IFERROR(LOOKUP($S365,MOTORISTAS!$D$3:$D$916,MOTORISTAS!F$3:$F$916),"")</f>
        <v>04414696830</v>
      </c>
      <c r="V365" s="66" t="s">
        <v>409</v>
      </c>
      <c r="W365" s="79">
        <v>45117.582638888889</v>
      </c>
      <c r="X365" s="79">
        <v>45117.6875</v>
      </c>
      <c r="Y365" s="79">
        <v>45118.541666666664</v>
      </c>
      <c r="Z365" s="66" t="s">
        <v>410</v>
      </c>
      <c r="AA365" s="79">
        <v>45118.832638888889</v>
      </c>
      <c r="AB365" s="79">
        <v>45116.291666666664</v>
      </c>
      <c r="AC365" s="79">
        <v>45118.5</v>
      </c>
      <c r="AD365" s="79">
        <v>45121.5</v>
      </c>
      <c r="AE365" s="66" t="s">
        <v>4996</v>
      </c>
      <c r="AF365" s="44">
        <v>16706</v>
      </c>
      <c r="AG365" s="254">
        <f>Prog_23[[#This Row],[SAÍDA DO CLIENTE]]-Prog_23[[#This Row],[PROGRAMAÇÃO CLIENTE]]</f>
        <v>0.91666666666424135</v>
      </c>
      <c r="AH365" s="44">
        <v>6580891</v>
      </c>
      <c r="AI365" s="66"/>
      <c r="AJ365" s="66" t="s">
        <v>3643</v>
      </c>
      <c r="AK365" s="66"/>
      <c r="AL365" s="66"/>
      <c r="AM365" s="66"/>
      <c r="AN365" s="83"/>
      <c r="AO365" s="83"/>
      <c r="AP365" s="83"/>
      <c r="AQ365" s="66"/>
      <c r="AR365" s="66"/>
      <c r="AS365" s="66"/>
      <c r="AT365" s="81"/>
      <c r="AU365" s="81"/>
      <c r="AV365" s="81"/>
      <c r="AW365" s="81"/>
      <c r="AX365" s="83">
        <f>SUM(Prog_23[[#This Row],[ADIANTAMENTO]]+Prog_23[[#This Row],[SALDO]]+Prog_23[[#This Row],[MARGEM]]+Prog_23[[#This Row],[ESTADIA 1]])</f>
        <v>0</v>
      </c>
      <c r="AY3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5360</v>
      </c>
      <c r="AZ365" s="81">
        <v>3488.8</v>
      </c>
      <c r="BA365" s="81"/>
      <c r="BB365" s="81">
        <f>Prog_23[[#This Row],[VLR NF]]*0.1%</f>
        <v>0</v>
      </c>
      <c r="BC365" s="81">
        <f>Prog_23[[#This Row],[VLR NF]]*0.05%</f>
        <v>0</v>
      </c>
      <c r="BD365" s="81">
        <v>511.2</v>
      </c>
      <c r="BE365" s="81"/>
      <c r="BF365" s="81"/>
      <c r="BG365" s="81"/>
      <c r="BH365" s="81"/>
      <c r="BI365" s="81"/>
      <c r="BJ365" s="81"/>
      <c r="BK365" s="81"/>
      <c r="BL365" s="81"/>
      <c r="BM365" s="81">
        <f>85*16</f>
        <v>1360</v>
      </c>
      <c r="BN365" s="66" t="s">
        <v>2768</v>
      </c>
      <c r="BO365" s="66" t="s">
        <v>2768</v>
      </c>
      <c r="BP365" s="66" t="s">
        <v>2768</v>
      </c>
      <c r="BQ365" s="66" t="str">
        <f>PROPER(TEXT(Prog_23[[#This Row],[PROGRAMAÇÃO CLIENTE]],"mmm"))</f>
        <v>Jul</v>
      </c>
      <c r="BR365" s="66">
        <f>YEAR(Prog_23[[#This Row],[PROGRAMAÇÃO CLIENTE]])</f>
        <v>2023</v>
      </c>
    </row>
    <row r="366" spans="1:70" x14ac:dyDescent="0.25">
      <c r="A366" s="200" t="str">
        <f>Prog_23[[#This Row],[CONTEINER]]</f>
        <v>GCXU5716388</v>
      </c>
      <c r="B366" s="86" t="s">
        <v>2771</v>
      </c>
      <c r="C3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66" s="85">
        <v>45118.333333333336</v>
      </c>
      <c r="E366" s="66" t="s">
        <v>5187</v>
      </c>
      <c r="F366" s="66" t="s">
        <v>3161</v>
      </c>
      <c r="G366" s="44" t="s">
        <v>5437</v>
      </c>
      <c r="H366" s="44">
        <v>228920493</v>
      </c>
      <c r="I366" s="44" t="s">
        <v>5532</v>
      </c>
      <c r="J366" s="66" t="s">
        <v>301</v>
      </c>
      <c r="K366" s="66">
        <v>3700</v>
      </c>
      <c r="L366" s="251" t="s">
        <v>5535</v>
      </c>
      <c r="M366" s="66">
        <v>26622</v>
      </c>
      <c r="N366" s="66">
        <f>SUM(Prog_23[[#This Row],[TARA]]+Prog_23[[#This Row],[PESO]])</f>
        <v>30322</v>
      </c>
      <c r="O366" s="44">
        <v>10847</v>
      </c>
      <c r="P366" s="66" t="s">
        <v>5812</v>
      </c>
      <c r="Q366" s="66" t="s">
        <v>102</v>
      </c>
      <c r="R366" s="66" t="s">
        <v>73</v>
      </c>
      <c r="S366" s="66" t="s">
        <v>2678</v>
      </c>
      <c r="T366" s="138" t="str">
        <f>IFERROR(LOOKUP($S366,MOTORISTAS!$D$3:$D$916,MOTORISTAS!E$3:$E$916),"")</f>
        <v>28386357860</v>
      </c>
      <c r="U366" s="138" t="str">
        <f>IFERROR(LOOKUP($S366,MOTORISTAS!$D$3:$D$916,MOTORISTAS!F$3:$F$916),"")</f>
        <v>01042201192</v>
      </c>
      <c r="V366" s="66" t="s">
        <v>409</v>
      </c>
      <c r="W366" s="79">
        <v>45117.620138888888</v>
      </c>
      <c r="X366" s="79">
        <v>45118.259722222225</v>
      </c>
      <c r="Y366" s="79">
        <v>45118.5</v>
      </c>
      <c r="Z366" s="66" t="s">
        <v>410</v>
      </c>
      <c r="AA366" s="79">
        <v>45143.103831018518</v>
      </c>
      <c r="AB366" s="79">
        <v>45133.791666666664</v>
      </c>
      <c r="AC366" s="79">
        <v>45140.5</v>
      </c>
      <c r="AD366" s="79">
        <v>45143.5</v>
      </c>
      <c r="AE366" s="66" t="s">
        <v>944</v>
      </c>
      <c r="AF366" s="44">
        <v>16704</v>
      </c>
      <c r="AG366" s="254">
        <f>Prog_23[[#This Row],[SAÍDA DO CLIENTE]]-Prog_23[[#This Row],[PROGRAMAÇÃO CLIENTE]]</f>
        <v>0.16666666666424135</v>
      </c>
      <c r="AH366" s="44"/>
      <c r="AI366" s="66"/>
      <c r="AJ366" s="66"/>
      <c r="AK366" s="66" t="s">
        <v>393</v>
      </c>
      <c r="AL366" s="79">
        <v>45118.729166666664</v>
      </c>
      <c r="AM366" s="66">
        <v>3</v>
      </c>
      <c r="AN366" s="83">
        <v>1100</v>
      </c>
      <c r="AO366" s="83"/>
      <c r="AP366" s="83"/>
      <c r="AQ366" s="66"/>
      <c r="AR366" s="66"/>
      <c r="AS366" s="66"/>
      <c r="AT366" s="81">
        <v>2300</v>
      </c>
      <c r="AU366" s="81"/>
      <c r="AV366" s="81"/>
      <c r="AW366" s="81"/>
      <c r="AX366" s="83">
        <f>SUM(Prog_23[[#This Row],[ADIANTAMENTO]]+Prog_23[[#This Row],[SALDO]]+Prog_23[[#This Row],[MARGEM]]+Prog_23[[#This Row],[ESTADIA 1]])</f>
        <v>2300</v>
      </c>
      <c r="AY3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66" s="81">
        <v>3642</v>
      </c>
      <c r="BA366" s="81">
        <v>229952.06</v>
      </c>
      <c r="BB366" s="81">
        <v>0</v>
      </c>
      <c r="BC366" s="81">
        <v>0</v>
      </c>
      <c r="BD366" s="81">
        <v>358</v>
      </c>
      <c r="BE366" s="81"/>
      <c r="BF366" s="81">
        <v>0</v>
      </c>
      <c r="BG366" s="81"/>
      <c r="BH366" s="81"/>
      <c r="BI366" s="81"/>
      <c r="BJ366" s="81"/>
      <c r="BK366" s="81"/>
      <c r="BL366" s="81"/>
      <c r="BM366" s="81"/>
      <c r="BN366" s="66" t="s">
        <v>2768</v>
      </c>
      <c r="BO366" s="66" t="s">
        <v>2768</v>
      </c>
      <c r="BP366" s="66" t="s">
        <v>2768</v>
      </c>
      <c r="BQ366" s="66" t="str">
        <f>PROPER(TEXT(Prog_23[[#This Row],[PROGRAMAÇÃO CLIENTE]],"mmm"))</f>
        <v>Jul</v>
      </c>
      <c r="BR366" s="66">
        <f>YEAR(Prog_23[[#This Row],[PROGRAMAÇÃO CLIENTE]])</f>
        <v>2023</v>
      </c>
    </row>
    <row r="367" spans="1:70" x14ac:dyDescent="0.25">
      <c r="A367" s="201" t="str">
        <f>Prog_23[[#This Row],[CONTEINER]]</f>
        <v>MRSU5714440</v>
      </c>
      <c r="B367" s="86" t="s">
        <v>2771</v>
      </c>
      <c r="C3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67" s="85">
        <v>45118.416666666664</v>
      </c>
      <c r="E367" s="66" t="s">
        <v>2302</v>
      </c>
      <c r="F367" s="66" t="s">
        <v>529</v>
      </c>
      <c r="G367" s="66">
        <v>341</v>
      </c>
      <c r="H367" s="44">
        <v>228838757</v>
      </c>
      <c r="I367" s="44" t="s">
        <v>5533</v>
      </c>
      <c r="J367" s="66" t="s">
        <v>301</v>
      </c>
      <c r="K367" s="66">
        <v>3720</v>
      </c>
      <c r="L367" s="66" t="s">
        <v>5534</v>
      </c>
      <c r="M367" s="66">
        <v>11340</v>
      </c>
      <c r="N367" s="66">
        <f>SUM(Prog_23[[#This Row],[TARA]]+Prog_23[[#This Row],[PESO]])</f>
        <v>15060</v>
      </c>
      <c r="O367" s="44" t="s">
        <v>5364</v>
      </c>
      <c r="P367" s="66" t="s">
        <v>5348</v>
      </c>
      <c r="Q367" s="66" t="s">
        <v>3191</v>
      </c>
      <c r="R367" s="66" t="s">
        <v>5516</v>
      </c>
      <c r="S367" s="66" t="s">
        <v>2883</v>
      </c>
      <c r="T367" s="138" t="str">
        <f>IFERROR(LOOKUP($S367,MOTORISTAS!$D$3:$D$916,MOTORISTAS!E$3:$E$916),"")</f>
        <v>29740449808</v>
      </c>
      <c r="U367" s="138" t="str">
        <f>IFERROR(LOOKUP($S367,MOTORISTAS!$D$3:$D$916,MOTORISTAS!F$3:$F$916),"")</f>
        <v>00966188197</v>
      </c>
      <c r="V367" s="66" t="s">
        <v>409</v>
      </c>
      <c r="W367" s="66" t="s">
        <v>5552</v>
      </c>
      <c r="X367" s="79">
        <v>45118.3125</v>
      </c>
      <c r="Y367" s="79">
        <v>45118.604166666664</v>
      </c>
      <c r="Z367" s="66" t="s">
        <v>306</v>
      </c>
      <c r="AA367" s="79">
        <v>45118.813194444447</v>
      </c>
      <c r="AB367" s="79">
        <v>45117.291666666664</v>
      </c>
      <c r="AC367" s="79">
        <v>45117.5</v>
      </c>
      <c r="AD367" s="79">
        <v>45120.75</v>
      </c>
      <c r="AE367" s="66" t="s">
        <v>452</v>
      </c>
      <c r="AF367" s="44">
        <v>16714</v>
      </c>
      <c r="AG367" s="254">
        <f>Prog_23[[#This Row],[SAÍDA DO CLIENTE]]-Prog_23[[#This Row],[PROGRAMAÇÃO CLIENTE]]</f>
        <v>0.1875</v>
      </c>
      <c r="AH367" s="44"/>
      <c r="AI367" s="66"/>
      <c r="AJ367" s="66"/>
      <c r="AK367" s="66"/>
      <c r="AL367" s="66"/>
      <c r="AM367" s="66"/>
      <c r="AN367" s="83"/>
      <c r="AO367" s="83"/>
      <c r="AP367" s="83"/>
      <c r="AQ367" s="66"/>
      <c r="AR367" s="66"/>
      <c r="AS367" s="66"/>
      <c r="AT367" s="81">
        <v>1800</v>
      </c>
      <c r="AU367" s="81"/>
      <c r="AV367" s="81">
        <v>200</v>
      </c>
      <c r="AW367" s="81"/>
      <c r="AX367" s="83">
        <f>SUM(Prog_23[[#This Row],[ADIANTAMENTO]]+Prog_23[[#This Row],[SALDO]]+Prog_23[[#This Row],[MARGEM]]+Prog_23[[#This Row],[ESTADIA 1]])</f>
        <v>2000</v>
      </c>
      <c r="AY3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3484.0158799999999</v>
      </c>
      <c r="AZ367" s="81">
        <v>2350</v>
      </c>
      <c r="BA367" s="81">
        <v>496015.88</v>
      </c>
      <c r="BB367" s="81">
        <f>Prog_23[[#This Row],[VLR NF]]*0.1%</f>
        <v>496.01588000000004</v>
      </c>
      <c r="BC367" s="81">
        <v>0</v>
      </c>
      <c r="BD367" s="81">
        <v>240</v>
      </c>
      <c r="BE367" s="81"/>
      <c r="BF367" s="81"/>
      <c r="BG367" s="81"/>
      <c r="BH367" s="81"/>
      <c r="BI367" s="81"/>
      <c r="BJ367" s="81"/>
      <c r="BK367" s="81"/>
      <c r="BL367" s="81">
        <v>398</v>
      </c>
      <c r="BM367" s="81"/>
      <c r="BN367" s="66" t="s">
        <v>2768</v>
      </c>
      <c r="BO367" s="66" t="s">
        <v>2768</v>
      </c>
      <c r="BP367" s="66" t="s">
        <v>2768</v>
      </c>
      <c r="BQ367" s="66" t="str">
        <f>PROPER(TEXT(Prog_23[[#This Row],[PROGRAMAÇÃO CLIENTE]],"mmm"))</f>
        <v>Jul</v>
      </c>
      <c r="BR367" s="66">
        <f>YEAR(Prog_23[[#This Row],[PROGRAMAÇÃO CLIENTE]])</f>
        <v>2023</v>
      </c>
    </row>
    <row r="368" spans="1:70" x14ac:dyDescent="0.25">
      <c r="A368" s="200" t="str">
        <f>Prog_23[[#This Row],[CONTEINER]]</f>
        <v>HLBU2900500</v>
      </c>
      <c r="B368" s="86" t="s">
        <v>2771</v>
      </c>
      <c r="C3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68" s="85">
        <v>45118.666666666664</v>
      </c>
      <c r="E368" s="66" t="s">
        <v>2302</v>
      </c>
      <c r="F368" s="66" t="s">
        <v>529</v>
      </c>
      <c r="G368" s="66">
        <v>342</v>
      </c>
      <c r="H368" s="44">
        <v>68232765</v>
      </c>
      <c r="I368" s="44" t="s">
        <v>5540</v>
      </c>
      <c r="J368" s="66" t="s">
        <v>301</v>
      </c>
      <c r="K368" s="66">
        <v>3900</v>
      </c>
      <c r="L368" s="66" t="s">
        <v>5539</v>
      </c>
      <c r="M368" s="66">
        <v>8543</v>
      </c>
      <c r="N368" s="66">
        <f>SUM(Prog_23[[#This Row],[TARA]]+Prog_23[[#This Row],[PESO]])</f>
        <v>12443</v>
      </c>
      <c r="O368" s="44" t="s">
        <v>5491</v>
      </c>
      <c r="P368" s="66" t="s">
        <v>5348</v>
      </c>
      <c r="Q368" s="66" t="s">
        <v>92</v>
      </c>
      <c r="R368" s="66" t="s">
        <v>93</v>
      </c>
      <c r="S368" s="66" t="s">
        <v>94</v>
      </c>
      <c r="T368" s="138" t="str">
        <f>IFERROR(LOOKUP($S368,MOTORISTAS!$D$3:$D$916,MOTORISTAS!E$3:$E$916),"")</f>
        <v>26283419801</v>
      </c>
      <c r="U368" s="138" t="str">
        <f>IFERROR(LOOKUP($S368,MOTORISTAS!$D$3:$D$916,MOTORISTAS!F$3:$F$916),"")</f>
        <v>02002046946</v>
      </c>
      <c r="V368" s="66" t="s">
        <v>292</v>
      </c>
      <c r="W368" s="79">
        <v>45118.518055555556</v>
      </c>
      <c r="X368" s="79">
        <v>45118.625</v>
      </c>
      <c r="Y368" s="79">
        <v>45118.729166666664</v>
      </c>
      <c r="Z368" s="66" t="s">
        <v>306</v>
      </c>
      <c r="AA368" s="79">
        <v>45118.929166666669</v>
      </c>
      <c r="AB368" s="79">
        <v>45117.291666666664</v>
      </c>
      <c r="AC368" s="79">
        <v>45118.75</v>
      </c>
      <c r="AD368" s="79">
        <v>45120.75</v>
      </c>
      <c r="AE368" s="66" t="s">
        <v>452</v>
      </c>
      <c r="AF368" s="44">
        <v>16708</v>
      </c>
      <c r="AG368" s="254">
        <f>Prog_23[[#This Row],[SAÍDA DO CLIENTE]]-Prog_23[[#This Row],[PROGRAMAÇÃO CLIENTE]]</f>
        <v>6.25E-2</v>
      </c>
      <c r="AH368" s="44"/>
      <c r="AI368" s="66"/>
      <c r="AJ368" s="66"/>
      <c r="AK368" s="66"/>
      <c r="AL368" s="66"/>
      <c r="AM368" s="66"/>
      <c r="AN368" s="83"/>
      <c r="AO368" s="83"/>
      <c r="AP368" s="83"/>
      <c r="AQ368" s="66"/>
      <c r="AR368" s="66"/>
      <c r="AS368" s="66"/>
      <c r="AT368" s="81">
        <v>1800</v>
      </c>
      <c r="AU368" s="81">
        <v>0</v>
      </c>
      <c r="AV368" s="81">
        <v>200</v>
      </c>
      <c r="AW368" s="81"/>
      <c r="AX368" s="83">
        <f>SUM(Prog_23[[#This Row],[ADIANTAMENTO]]+Prog_23[[#This Row],[SALDO]]+Prog_23[[#This Row],[MARGEM]]+Prog_23[[#This Row],[ESTADIA 1]])</f>
        <v>2000</v>
      </c>
      <c r="AY3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3551.1217900000001</v>
      </c>
      <c r="AZ368" s="81">
        <v>2350</v>
      </c>
      <c r="BA368" s="81">
        <v>563121.79</v>
      </c>
      <c r="BB368" s="81">
        <f>Prog_23[[#This Row],[VLR NF]]*0.1%</f>
        <v>563.12179000000003</v>
      </c>
      <c r="BC368" s="81">
        <v>0</v>
      </c>
      <c r="BD368" s="81">
        <v>240</v>
      </c>
      <c r="BE368" s="81"/>
      <c r="BF368" s="81"/>
      <c r="BG368" s="81"/>
      <c r="BH368" s="81"/>
      <c r="BI368" s="81"/>
      <c r="BJ368" s="81"/>
      <c r="BK368" s="81"/>
      <c r="BL368" s="81">
        <v>398</v>
      </c>
      <c r="BM368" s="81"/>
      <c r="BN368" s="66" t="s">
        <v>2768</v>
      </c>
      <c r="BO368" s="66" t="s">
        <v>2768</v>
      </c>
      <c r="BP368" s="66" t="s">
        <v>2768</v>
      </c>
      <c r="BQ368" s="66" t="str">
        <f>PROPER(TEXT(Prog_23[[#This Row],[PROGRAMAÇÃO CLIENTE]],"mmm"))</f>
        <v>Jul</v>
      </c>
      <c r="BR368" s="66">
        <f>YEAR(Prog_23[[#This Row],[PROGRAMAÇÃO CLIENTE]])</f>
        <v>2023</v>
      </c>
    </row>
    <row r="369" spans="1:70" x14ac:dyDescent="0.25">
      <c r="A369" s="200" t="str">
        <f>Prog_23[[#This Row],[CONTEINER]]</f>
        <v>CMAU6417547</v>
      </c>
      <c r="B369" s="86" t="s">
        <v>2771</v>
      </c>
      <c r="C3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69" s="85">
        <v>45118.270833333336</v>
      </c>
      <c r="E369" s="66" t="s">
        <v>2549</v>
      </c>
      <c r="F369" s="66" t="s">
        <v>4074</v>
      </c>
      <c r="G369" s="66" t="s">
        <v>5353</v>
      </c>
      <c r="H369" s="44" t="s">
        <v>5221</v>
      </c>
      <c r="I369" s="258" t="s">
        <v>5526</v>
      </c>
      <c r="J369" s="66" t="s">
        <v>301</v>
      </c>
      <c r="K369" s="66">
        <v>3700</v>
      </c>
      <c r="L369" s="66" t="s">
        <v>5549</v>
      </c>
      <c r="M369" s="66">
        <v>25035</v>
      </c>
      <c r="N369" s="66">
        <f>SUM(Prog_23[[#This Row],[TARA]]+Prog_23[[#This Row],[PESO]])</f>
        <v>28735</v>
      </c>
      <c r="O369" s="44">
        <v>14629</v>
      </c>
      <c r="P369" s="66" t="s">
        <v>5222</v>
      </c>
      <c r="Q369" s="66" t="s">
        <v>31</v>
      </c>
      <c r="R369" s="66" t="s">
        <v>32</v>
      </c>
      <c r="S369" s="66" t="s">
        <v>33</v>
      </c>
      <c r="T369" s="138" t="str">
        <f>IFERROR(LOOKUP($S369,MOTORISTAS!$D$3:$D$916,MOTORISTAS!E$3:$E$916),"")</f>
        <v>09776430856</v>
      </c>
      <c r="U369" s="138" t="str">
        <f>IFERROR(LOOKUP($S369,MOTORISTAS!$D$3:$D$916,MOTORISTAS!F$3:$F$916),"")</f>
        <v>01258979905</v>
      </c>
      <c r="V369" s="66" t="s">
        <v>537</v>
      </c>
      <c r="W369" s="79">
        <v>45117.566666666666</v>
      </c>
      <c r="X369" s="79">
        <v>45118.000694444447</v>
      </c>
      <c r="Y369" s="79">
        <v>45118.618055555555</v>
      </c>
      <c r="Z369" s="66" t="s">
        <v>5587</v>
      </c>
      <c r="AA369" s="79">
        <v>45119.395833333336</v>
      </c>
      <c r="AB369" s="79">
        <v>45128.5</v>
      </c>
      <c r="AC369" s="79">
        <v>45125.5</v>
      </c>
      <c r="AD369" s="79">
        <v>45128.5</v>
      </c>
      <c r="AE369" s="66" t="s">
        <v>5223</v>
      </c>
      <c r="AF369" s="44">
        <v>16701</v>
      </c>
      <c r="AG369" s="254">
        <f>Prog_23[[#This Row],[SAÍDA DO CLIENTE]]-Prog_23[[#This Row],[PROGRAMAÇÃO CLIENTE]]</f>
        <v>0.34722222221898846</v>
      </c>
      <c r="AH369" s="44"/>
      <c r="AI369" s="66"/>
      <c r="AJ369" s="66"/>
      <c r="AK369" s="66"/>
      <c r="AL369" s="66"/>
      <c r="AM369" s="66"/>
      <c r="AN369" s="83"/>
      <c r="AO369" s="83"/>
      <c r="AP369" s="83"/>
      <c r="AQ369" s="66"/>
      <c r="AR369" s="66"/>
      <c r="AS369" s="66"/>
      <c r="AT369" s="81">
        <v>6600</v>
      </c>
      <c r="AU369" s="81"/>
      <c r="AV369" s="81"/>
      <c r="AW369" s="81"/>
      <c r="AX369" s="83">
        <f>SUM(Prog_23[[#This Row],[ADIANTAMENTO]]+Prog_23[[#This Row],[SALDO]]+Prog_23[[#This Row],[MARGEM]]+Prog_23[[#This Row],[ESTADIA 1]])</f>
        <v>6600</v>
      </c>
      <c r="AY3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7644.72</v>
      </c>
      <c r="AZ369" s="81">
        <v>6200</v>
      </c>
      <c r="BA369" s="81">
        <v>188745</v>
      </c>
      <c r="BB369" s="81">
        <v>0</v>
      </c>
      <c r="BC369" s="81">
        <v>0</v>
      </c>
      <c r="BD369" s="81">
        <v>1444.72</v>
      </c>
      <c r="BE369" s="81"/>
      <c r="BF369" s="81"/>
      <c r="BG369" s="81"/>
      <c r="BH369" s="81"/>
      <c r="BI369" s="81"/>
      <c r="BJ369" s="81"/>
      <c r="BK369" s="81"/>
      <c r="BL369" s="81"/>
      <c r="BM369" s="81"/>
      <c r="BN369" s="66" t="s">
        <v>2768</v>
      </c>
      <c r="BO369" s="66" t="s">
        <v>2768</v>
      </c>
      <c r="BP369" s="66" t="s">
        <v>2768</v>
      </c>
      <c r="BQ369" s="66" t="str">
        <f>PROPER(TEXT(Prog_23[[#This Row],[PROGRAMAÇÃO CLIENTE]],"mmm"))</f>
        <v>Jul</v>
      </c>
      <c r="BR369" s="66">
        <f>YEAR(Prog_23[[#This Row],[PROGRAMAÇÃO CLIENTE]])</f>
        <v>2023</v>
      </c>
    </row>
    <row r="370" spans="1:70" x14ac:dyDescent="0.25">
      <c r="A370" s="201" t="str">
        <f>Prog_23[[#This Row],[CONTEINER]]</f>
        <v>FFAU4258779</v>
      </c>
      <c r="B370" s="86" t="s">
        <v>2771</v>
      </c>
      <c r="C3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70" s="85">
        <v>45118.270833333336</v>
      </c>
      <c r="E370" s="66" t="s">
        <v>2549</v>
      </c>
      <c r="F370" s="66" t="s">
        <v>4074</v>
      </c>
      <c r="G370" s="66" t="s">
        <v>5353</v>
      </c>
      <c r="H370" s="44" t="s">
        <v>5221</v>
      </c>
      <c r="I370" s="258" t="s">
        <v>5527</v>
      </c>
      <c r="J370" s="66" t="s">
        <v>301</v>
      </c>
      <c r="K370" s="66">
        <v>3700</v>
      </c>
      <c r="L370" s="66" t="s">
        <v>5550</v>
      </c>
      <c r="M370" s="66">
        <v>25035</v>
      </c>
      <c r="N370" s="66">
        <f>SUM(Prog_23[[#This Row],[TARA]]+Prog_23[[#This Row],[PESO]])</f>
        <v>28735</v>
      </c>
      <c r="O370" s="44">
        <v>14631</v>
      </c>
      <c r="P370" s="66" t="s">
        <v>5222</v>
      </c>
      <c r="Q370" s="66" t="s">
        <v>155</v>
      </c>
      <c r="R370" s="66" t="s">
        <v>209</v>
      </c>
      <c r="S370" s="66" t="s">
        <v>156</v>
      </c>
      <c r="T370" s="138" t="str">
        <f>IFERROR(LOOKUP($S370,MOTORISTAS!$D$3:$D$916,MOTORISTAS!E$3:$E$916),"")</f>
        <v>09803034863</v>
      </c>
      <c r="U370" s="138" t="str">
        <f>IFERROR(LOOKUP($S370,MOTORISTAS!$D$3:$D$916,MOTORISTAS!F$3:$F$916),"")</f>
        <v>01484565209</v>
      </c>
      <c r="V370" s="66" t="s">
        <v>537</v>
      </c>
      <c r="W370" s="79">
        <v>45117.571527777778</v>
      </c>
      <c r="X370" s="79">
        <v>45118.000694444447</v>
      </c>
      <c r="Y370" s="79">
        <v>45118.618055555555</v>
      </c>
      <c r="Z370" s="66" t="s">
        <v>5587</v>
      </c>
      <c r="AA370" s="79">
        <v>45119.4375</v>
      </c>
      <c r="AB370" s="79">
        <v>45128.5</v>
      </c>
      <c r="AC370" s="79">
        <v>45125.5</v>
      </c>
      <c r="AD370" s="79">
        <v>45128.5</v>
      </c>
      <c r="AE370" s="66" t="s">
        <v>5223</v>
      </c>
      <c r="AF370" s="44">
        <v>16702</v>
      </c>
      <c r="AG370" s="254">
        <f>Prog_23[[#This Row],[SAÍDA DO CLIENTE]]-Prog_23[[#This Row],[PROGRAMAÇÃO CLIENTE]]</f>
        <v>0.34722222221898846</v>
      </c>
      <c r="AH370" s="44"/>
      <c r="AI370" s="66"/>
      <c r="AJ370" s="66"/>
      <c r="AK370" s="66"/>
      <c r="AL370" s="66"/>
      <c r="AM370" s="66"/>
      <c r="AN370" s="83"/>
      <c r="AO370" s="83"/>
      <c r="AP370" s="83"/>
      <c r="AQ370" s="66"/>
      <c r="AR370" s="66"/>
      <c r="AS370" s="66"/>
      <c r="AT370" s="81">
        <v>6600</v>
      </c>
      <c r="AU370" s="81"/>
      <c r="AV370" s="81"/>
      <c r="AW370" s="81"/>
      <c r="AX370" s="83">
        <f>SUM(Prog_23[[#This Row],[ADIANTAMENTO]]+Prog_23[[#This Row],[SALDO]]+Prog_23[[#This Row],[MARGEM]]+Prog_23[[#This Row],[ESTADIA 1]])</f>
        <v>6600</v>
      </c>
      <c r="AY3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7644.72</v>
      </c>
      <c r="AZ370" s="81">
        <v>6200</v>
      </c>
      <c r="BA370" s="81">
        <v>188745</v>
      </c>
      <c r="BB370" s="81">
        <v>0</v>
      </c>
      <c r="BC370" s="81">
        <v>0</v>
      </c>
      <c r="BD370" s="81">
        <v>1444.72</v>
      </c>
      <c r="BE370" s="81"/>
      <c r="BF370" s="81"/>
      <c r="BG370" s="81"/>
      <c r="BH370" s="81"/>
      <c r="BI370" s="81"/>
      <c r="BJ370" s="81"/>
      <c r="BK370" s="81"/>
      <c r="BL370" s="81"/>
      <c r="BM370" s="81"/>
      <c r="BN370" s="66" t="s">
        <v>2768</v>
      </c>
      <c r="BO370" s="66" t="s">
        <v>2768</v>
      </c>
      <c r="BP370" s="66" t="s">
        <v>2768</v>
      </c>
      <c r="BQ370" s="66" t="str">
        <f>PROPER(TEXT(Prog_23[[#This Row],[PROGRAMAÇÃO CLIENTE]],"mmm"))</f>
        <v>Jul</v>
      </c>
      <c r="BR370" s="66">
        <f>YEAR(Prog_23[[#This Row],[PROGRAMAÇÃO CLIENTE]])</f>
        <v>2023</v>
      </c>
    </row>
    <row r="371" spans="1:70" x14ac:dyDescent="0.25">
      <c r="A371" s="200" t="str">
        <f>Prog_23[[#This Row],[CONTEINER]]</f>
        <v>BEAU6093667</v>
      </c>
      <c r="B371" s="86" t="s">
        <v>2771</v>
      </c>
      <c r="C3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71" s="85">
        <v>45118.270833333336</v>
      </c>
      <c r="E371" s="66" t="s">
        <v>2549</v>
      </c>
      <c r="F371" s="66" t="s">
        <v>4074</v>
      </c>
      <c r="G371" s="66" t="s">
        <v>5353</v>
      </c>
      <c r="H371" s="44" t="s">
        <v>5221</v>
      </c>
      <c r="I371" s="258" t="s">
        <v>5525</v>
      </c>
      <c r="J371" s="66" t="s">
        <v>301</v>
      </c>
      <c r="K371" s="66">
        <v>3700</v>
      </c>
      <c r="L371" s="66" t="s">
        <v>5542</v>
      </c>
      <c r="M371" s="66">
        <v>25035</v>
      </c>
      <c r="N371" s="66">
        <f>SUM(Prog_23[[#This Row],[TARA]]+Prog_23[[#This Row],[PESO]])</f>
        <v>28735</v>
      </c>
      <c r="O371" s="44">
        <v>14628</v>
      </c>
      <c r="P371" s="66" t="s">
        <v>5222</v>
      </c>
      <c r="Q371" s="66" t="s">
        <v>68</v>
      </c>
      <c r="R371" s="66" t="s">
        <v>36</v>
      </c>
      <c r="S371" s="66" t="s">
        <v>206</v>
      </c>
      <c r="T371" s="138" t="str">
        <f>IFERROR(LOOKUP($S371,MOTORISTAS!$D$3:$D$916,MOTORISTAS!E$3:$E$916),"")</f>
        <v>09085263425</v>
      </c>
      <c r="U371" s="138" t="str">
        <f>IFERROR(LOOKUP($S371,MOTORISTAS!$D$3:$D$916,MOTORISTAS!F$3:$F$916),"")</f>
        <v>04557705505</v>
      </c>
      <c r="V371" s="66" t="s">
        <v>537</v>
      </c>
      <c r="W371" s="79">
        <v>45117.547222222223</v>
      </c>
      <c r="X371" s="79">
        <v>45117.902777777781</v>
      </c>
      <c r="Y371" s="79">
        <v>45118.5</v>
      </c>
      <c r="Z371" s="66" t="s">
        <v>5587</v>
      </c>
      <c r="AA371" s="79">
        <v>45118.861111111109</v>
      </c>
      <c r="AB371" s="79">
        <v>45128.5</v>
      </c>
      <c r="AC371" s="79">
        <v>45125.5</v>
      </c>
      <c r="AD371" s="79">
        <v>45128.5</v>
      </c>
      <c r="AE371" s="66" t="s">
        <v>5223</v>
      </c>
      <c r="AF371" s="44">
        <v>16700</v>
      </c>
      <c r="AG371" s="254">
        <f>Prog_23[[#This Row],[SAÍDA DO CLIENTE]]-Prog_23[[#This Row],[PROGRAMAÇÃO CLIENTE]]</f>
        <v>0.22916666666424135</v>
      </c>
      <c r="AH371" s="44"/>
      <c r="AI371" s="66"/>
      <c r="AJ371" s="66"/>
      <c r="AK371" s="66"/>
      <c r="AL371" s="66"/>
      <c r="AM371" s="66"/>
      <c r="AN371" s="83"/>
      <c r="AO371" s="83"/>
      <c r="AP371" s="83"/>
      <c r="AQ371" s="66"/>
      <c r="AR371" s="66"/>
      <c r="AS371" s="66"/>
      <c r="AT371" s="81">
        <v>6600</v>
      </c>
      <c r="AU371" s="81"/>
      <c r="AV371" s="81"/>
      <c r="AW371" s="81"/>
      <c r="AX371" s="83">
        <f>SUM(Prog_23[[#This Row],[ADIANTAMENTO]]+Prog_23[[#This Row],[SALDO]]+Prog_23[[#This Row],[MARGEM]]+Prog_23[[#This Row],[ESTADIA 1]])</f>
        <v>6600</v>
      </c>
      <c r="AY3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7644.72</v>
      </c>
      <c r="AZ371" s="81">
        <v>6200</v>
      </c>
      <c r="BA371" s="81">
        <v>188745</v>
      </c>
      <c r="BB371" s="81">
        <v>0</v>
      </c>
      <c r="BC371" s="81">
        <v>0</v>
      </c>
      <c r="BD371" s="81">
        <v>1444.72</v>
      </c>
      <c r="BE371" s="81"/>
      <c r="BF371" s="81"/>
      <c r="BG371" s="81"/>
      <c r="BH371" s="81"/>
      <c r="BI371" s="81"/>
      <c r="BJ371" s="81"/>
      <c r="BK371" s="81"/>
      <c r="BL371" s="81"/>
      <c r="BM371" s="81"/>
      <c r="BN371" s="66" t="s">
        <v>2768</v>
      </c>
      <c r="BO371" s="66" t="s">
        <v>2768</v>
      </c>
      <c r="BP371" s="66" t="s">
        <v>2768</v>
      </c>
      <c r="BQ371" s="66" t="str">
        <f>PROPER(TEXT(Prog_23[[#This Row],[PROGRAMAÇÃO CLIENTE]],"mmm"))</f>
        <v>Jul</v>
      </c>
      <c r="BR371" s="66">
        <f>YEAR(Prog_23[[#This Row],[PROGRAMAÇÃO CLIENTE]])</f>
        <v>2023</v>
      </c>
    </row>
    <row r="372" spans="1:70" x14ac:dyDescent="0.25">
      <c r="A372" s="201" t="str">
        <f>Prog_23[[#This Row],[CONTEINER]]</f>
        <v>FFAU4234437</v>
      </c>
      <c r="B372" s="86" t="s">
        <v>2771</v>
      </c>
      <c r="C3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72" s="85">
        <v>45118.270833333336</v>
      </c>
      <c r="E372" s="66" t="s">
        <v>2549</v>
      </c>
      <c r="F372" s="66" t="s">
        <v>4074</v>
      </c>
      <c r="G372" s="66" t="s">
        <v>5353</v>
      </c>
      <c r="H372" s="44" t="s">
        <v>5221</v>
      </c>
      <c r="I372" s="258" t="s">
        <v>5529</v>
      </c>
      <c r="J372" s="66" t="s">
        <v>301</v>
      </c>
      <c r="K372" s="66">
        <v>3700</v>
      </c>
      <c r="L372" s="66" t="s">
        <v>5541</v>
      </c>
      <c r="M372" s="66">
        <v>25035</v>
      </c>
      <c r="N372" s="66">
        <f>SUM(Prog_23[[#This Row],[TARA]]+Prog_23[[#This Row],[PESO]])</f>
        <v>28735</v>
      </c>
      <c r="O372" s="44">
        <v>14632</v>
      </c>
      <c r="P372" s="66" t="s">
        <v>5222</v>
      </c>
      <c r="Q372" s="66" t="s">
        <v>106</v>
      </c>
      <c r="R372" s="66" t="s">
        <v>107</v>
      </c>
      <c r="S372" s="66" t="s">
        <v>108</v>
      </c>
      <c r="T372" s="138" t="str">
        <f>IFERROR(LOOKUP($S372,MOTORISTAS!$D$3:$D$916,MOTORISTAS!E$3:$E$916),"")</f>
        <v>34927982840</v>
      </c>
      <c r="U372" s="138" t="str">
        <f>IFERROR(LOOKUP($S372,MOTORISTAS!$D$3:$D$916,MOTORISTAS!F$3:$F$916),"")</f>
        <v>03500129879</v>
      </c>
      <c r="V372" s="66" t="s">
        <v>537</v>
      </c>
      <c r="W372" s="79">
        <v>45117.525000000001</v>
      </c>
      <c r="X372" s="79">
        <v>45117.881944444445</v>
      </c>
      <c r="Y372" s="79">
        <v>45118.5</v>
      </c>
      <c r="Z372" s="66" t="s">
        <v>5587</v>
      </c>
      <c r="AA372" s="79">
        <v>45118.861111111109</v>
      </c>
      <c r="AB372" s="79">
        <v>45128.5</v>
      </c>
      <c r="AC372" s="79">
        <v>45125.5</v>
      </c>
      <c r="AD372" s="79">
        <v>45128.5</v>
      </c>
      <c r="AE372" s="66" t="s">
        <v>5223</v>
      </c>
      <c r="AF372" s="44">
        <v>16699</v>
      </c>
      <c r="AG372" s="254">
        <f>Prog_23[[#This Row],[SAÍDA DO CLIENTE]]-Prog_23[[#This Row],[PROGRAMAÇÃO CLIENTE]]</f>
        <v>0.22916666666424135</v>
      </c>
      <c r="AH372" s="44"/>
      <c r="AI372" s="66"/>
      <c r="AJ372" s="66"/>
      <c r="AK372" s="66"/>
      <c r="AL372" s="66"/>
      <c r="AM372" s="66"/>
      <c r="AN372" s="83"/>
      <c r="AO372" s="83"/>
      <c r="AP372" s="83"/>
      <c r="AQ372" s="66"/>
      <c r="AR372" s="66"/>
      <c r="AS372" s="66"/>
      <c r="AT372" s="81">
        <v>6600</v>
      </c>
      <c r="AU372" s="81"/>
      <c r="AV372" s="81"/>
      <c r="AW372" s="81"/>
      <c r="AX372" s="83">
        <f>SUM(Prog_23[[#This Row],[ADIANTAMENTO]]+Prog_23[[#This Row],[SALDO]]+Prog_23[[#This Row],[MARGEM]]+Prog_23[[#This Row],[ESTADIA 1]])</f>
        <v>6600</v>
      </c>
      <c r="AY3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7644.72</v>
      </c>
      <c r="AZ372" s="81">
        <v>6200</v>
      </c>
      <c r="BA372" s="81">
        <v>188745</v>
      </c>
      <c r="BB372" s="81">
        <v>0</v>
      </c>
      <c r="BC372" s="81">
        <v>0</v>
      </c>
      <c r="BD372" s="81">
        <v>1444.72</v>
      </c>
      <c r="BE372" s="81"/>
      <c r="BF372" s="81"/>
      <c r="BG372" s="81"/>
      <c r="BH372" s="81"/>
      <c r="BI372" s="81"/>
      <c r="BJ372" s="81"/>
      <c r="BK372" s="81"/>
      <c r="BL372" s="81"/>
      <c r="BM372" s="81"/>
      <c r="BN372" s="66" t="s">
        <v>2768</v>
      </c>
      <c r="BO372" s="66" t="s">
        <v>2768</v>
      </c>
      <c r="BP372" s="66" t="s">
        <v>2768</v>
      </c>
      <c r="BQ372" s="66" t="str">
        <f>PROPER(TEXT(Prog_23[[#This Row],[PROGRAMAÇÃO CLIENTE]],"mmm"))</f>
        <v>Jul</v>
      </c>
      <c r="BR372" s="66">
        <f>YEAR(Prog_23[[#This Row],[PROGRAMAÇÃO CLIENTE]])</f>
        <v>2023</v>
      </c>
    </row>
    <row r="373" spans="1:70" x14ac:dyDescent="0.25">
      <c r="A373" s="200" t="str">
        <f>Prog_23[[#This Row],[CONTEINER]]</f>
        <v>TLLU7875063</v>
      </c>
      <c r="B373" s="86" t="s">
        <v>2771</v>
      </c>
      <c r="C3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73" s="85">
        <v>45118.270833333336</v>
      </c>
      <c r="E373" s="66" t="s">
        <v>2549</v>
      </c>
      <c r="F373" s="66" t="s">
        <v>4074</v>
      </c>
      <c r="G373" s="66" t="s">
        <v>5353</v>
      </c>
      <c r="H373" s="44" t="s">
        <v>5221</v>
      </c>
      <c r="I373" s="44" t="s">
        <v>5528</v>
      </c>
      <c r="J373" s="66" t="s">
        <v>301</v>
      </c>
      <c r="K373" s="66">
        <v>3700</v>
      </c>
      <c r="L373" s="66" t="s">
        <v>5551</v>
      </c>
      <c r="M373" s="66">
        <v>25035</v>
      </c>
      <c r="N373" s="66">
        <f>SUM(Prog_23[[#This Row],[TARA]]+Prog_23[[#This Row],[PESO]])</f>
        <v>28735</v>
      </c>
      <c r="O373" s="44">
        <v>14630</v>
      </c>
      <c r="P373" s="66" t="s">
        <v>5222</v>
      </c>
      <c r="Q373" s="66" t="s">
        <v>4553</v>
      </c>
      <c r="R373" s="66" t="s">
        <v>4554</v>
      </c>
      <c r="S373" s="66" t="s">
        <v>4555</v>
      </c>
      <c r="T373" s="138" t="str">
        <f>IFERROR(LOOKUP($S373,MOTORISTAS!$D$3:$D$916,MOTORISTAS!E$3:$E$916),"")</f>
        <v>07018404800</v>
      </c>
      <c r="U373" s="138" t="str">
        <f>IFERROR(LOOKUP($S373,MOTORISTAS!$D$3:$D$916,MOTORISTAS!F$3:$F$916),"")</f>
        <v>02970966448</v>
      </c>
      <c r="V373" s="66" t="s">
        <v>537</v>
      </c>
      <c r="W373" s="79">
        <v>45117.544444444444</v>
      </c>
      <c r="X373" s="79">
        <v>45118.260416666664</v>
      </c>
      <c r="Y373" s="79">
        <v>45118.645833333336</v>
      </c>
      <c r="Z373" s="66" t="s">
        <v>5587</v>
      </c>
      <c r="AA373" s="79">
        <v>45119.4375</v>
      </c>
      <c r="AB373" s="79">
        <v>45128.5</v>
      </c>
      <c r="AC373" s="79">
        <v>45125.5</v>
      </c>
      <c r="AD373" s="79">
        <v>45128.5</v>
      </c>
      <c r="AE373" s="66" t="s">
        <v>5223</v>
      </c>
      <c r="AF373" s="44">
        <v>16703</v>
      </c>
      <c r="AG373" s="254">
        <f>Prog_23[[#This Row],[SAÍDA DO CLIENTE]]-Prog_23[[#This Row],[PROGRAMAÇÃO CLIENTE]]</f>
        <v>0.375</v>
      </c>
      <c r="AH373" s="44"/>
      <c r="AI373" s="66"/>
      <c r="AJ373" s="66"/>
      <c r="AK373" s="66"/>
      <c r="AL373" s="66"/>
      <c r="AM373" s="66"/>
      <c r="AN373" s="83"/>
      <c r="AO373" s="83"/>
      <c r="AP373" s="83"/>
      <c r="AQ373" s="66"/>
      <c r="AR373" s="66"/>
      <c r="AS373" s="66"/>
      <c r="AT373" s="81">
        <v>4700</v>
      </c>
      <c r="AU373" s="81">
        <v>1700</v>
      </c>
      <c r="AV373" s="81">
        <v>200</v>
      </c>
      <c r="AW373" s="81"/>
      <c r="AX373" s="83">
        <f>SUM(Prog_23[[#This Row],[ADIANTAMENTO]]+Prog_23[[#This Row],[SALDO]]+Prog_23[[#This Row],[MARGEM]]+Prog_23[[#This Row],[ESTADIA 1]])</f>
        <v>6600</v>
      </c>
      <c r="AY3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7644.72</v>
      </c>
      <c r="AZ373" s="81">
        <v>6200</v>
      </c>
      <c r="BA373" s="81">
        <v>188745</v>
      </c>
      <c r="BB373" s="81">
        <v>0</v>
      </c>
      <c r="BC373" s="81">
        <v>0</v>
      </c>
      <c r="BD373" s="81">
        <v>1444.72</v>
      </c>
      <c r="BE373" s="81"/>
      <c r="BF373" s="81"/>
      <c r="BG373" s="81"/>
      <c r="BH373" s="81"/>
      <c r="BI373" s="81"/>
      <c r="BJ373" s="81"/>
      <c r="BK373" s="81"/>
      <c r="BL373" s="81"/>
      <c r="BM373" s="81"/>
      <c r="BN373" s="66" t="s">
        <v>2768</v>
      </c>
      <c r="BO373" s="66" t="s">
        <v>2768</v>
      </c>
      <c r="BP373" s="66" t="s">
        <v>2768</v>
      </c>
      <c r="BQ373" s="66" t="str">
        <f>PROPER(TEXT(Prog_23[[#This Row],[PROGRAMAÇÃO CLIENTE]],"mmm"))</f>
        <v>Jul</v>
      </c>
      <c r="BR373" s="66">
        <f>YEAR(Prog_23[[#This Row],[PROGRAMAÇÃO CLIENTE]])</f>
        <v>2023</v>
      </c>
    </row>
    <row r="374" spans="1:70" x14ac:dyDescent="0.25">
      <c r="A374" s="200" t="str">
        <f>Prog_23[[#This Row],[CONTEINER]]</f>
        <v>HASU4433345</v>
      </c>
      <c r="B374" s="86" t="s">
        <v>2771</v>
      </c>
      <c r="C3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74" s="85">
        <v>45119.291666666664</v>
      </c>
      <c r="E374" s="66" t="s">
        <v>5311</v>
      </c>
      <c r="F374" s="66" t="s">
        <v>5279</v>
      </c>
      <c r="G374" s="66"/>
      <c r="H374" s="44">
        <v>229005296</v>
      </c>
      <c r="I374" s="44" t="s">
        <v>5538</v>
      </c>
      <c r="J374" s="66" t="s">
        <v>301</v>
      </c>
      <c r="K374" s="66">
        <v>3860</v>
      </c>
      <c r="L374" s="66" t="s">
        <v>5537</v>
      </c>
      <c r="M374" s="66">
        <v>24090</v>
      </c>
      <c r="N374" s="66">
        <f>SUM(Prog_23[[#This Row],[TARA]]+Prog_23[[#This Row],[PESO]])</f>
        <v>27950</v>
      </c>
      <c r="O374" s="44">
        <v>1890</v>
      </c>
      <c r="P374" s="66" t="s">
        <v>5515</v>
      </c>
      <c r="Q374" s="66" t="s">
        <v>106</v>
      </c>
      <c r="R374" s="66" t="s">
        <v>107</v>
      </c>
      <c r="S374" s="66" t="s">
        <v>108</v>
      </c>
      <c r="T374" s="138" t="str">
        <f>IFERROR(LOOKUP($S374,MOTORISTAS!$D$3:$D$916,MOTORISTAS!E$3:$E$916),"")</f>
        <v>34927982840</v>
      </c>
      <c r="U374" s="138" t="str">
        <f>IFERROR(LOOKUP($S374,MOTORISTAS!$D$3:$D$916,MOTORISTAS!F$3:$F$916),"")</f>
        <v>03500129879</v>
      </c>
      <c r="V374" s="66" t="s">
        <v>5520</v>
      </c>
      <c r="W374" s="79">
        <v>45118.476388888892</v>
      </c>
      <c r="X374" s="79">
        <v>45119.272222222222</v>
      </c>
      <c r="Y374" s="79">
        <v>45119.645833333336</v>
      </c>
      <c r="Z374" s="66" t="s">
        <v>306</v>
      </c>
      <c r="AA374" s="79">
        <v>45119.797222222223</v>
      </c>
      <c r="AB374" s="66"/>
      <c r="AC374" s="79">
        <v>45118.5</v>
      </c>
      <c r="AD374" s="79">
        <v>45121.5</v>
      </c>
      <c r="AE374" s="66" t="s">
        <v>5480</v>
      </c>
      <c r="AF374" s="44">
        <v>16716</v>
      </c>
      <c r="AG374" s="254">
        <f>Prog_23[[#This Row],[SAÍDA DO CLIENTE]]-Prog_23[[#This Row],[PROGRAMAÇÃO CLIENTE]]</f>
        <v>0.35416666667151731</v>
      </c>
      <c r="AH374" s="44"/>
      <c r="AI374" s="66"/>
      <c r="AJ374" s="66"/>
      <c r="AK374" s="66"/>
      <c r="AL374" s="66"/>
      <c r="AM374" s="66"/>
      <c r="AN374" s="83"/>
      <c r="AO374" s="83"/>
      <c r="AP374" s="83"/>
      <c r="AQ374" s="66"/>
      <c r="AR374" s="66"/>
      <c r="AS374" s="66"/>
      <c r="AT374" s="81">
        <v>2600</v>
      </c>
      <c r="AU374" s="81"/>
      <c r="AV374" s="81"/>
      <c r="AW374" s="81"/>
      <c r="AX374" s="83">
        <f>SUM(Prog_23[[#This Row],[ADIANTAMENTO]]+Prog_23[[#This Row],[SALDO]]+Prog_23[[#This Row],[MARGEM]]+Prog_23[[#This Row],[ESTADIA 1]])</f>
        <v>2600</v>
      </c>
      <c r="AY3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3675.2289900000001</v>
      </c>
      <c r="AZ374" s="81">
        <v>2450</v>
      </c>
      <c r="BA374" s="81">
        <v>182158.99</v>
      </c>
      <c r="BB374" s="81">
        <f>Prog_23[[#This Row],[VLR NF]]*0.1%</f>
        <v>182.15898999999999</v>
      </c>
      <c r="BC374" s="81">
        <v>91.07</v>
      </c>
      <c r="BD374" s="81">
        <v>352</v>
      </c>
      <c r="BE374" s="81"/>
      <c r="BF374" s="81"/>
      <c r="BG374" s="81"/>
      <c r="BH374" s="81"/>
      <c r="BI374" s="81"/>
      <c r="BJ374" s="81"/>
      <c r="BK374" s="81">
        <v>300</v>
      </c>
      <c r="BL374" s="81">
        <v>300</v>
      </c>
      <c r="BM374" s="81"/>
      <c r="BN374" s="66" t="s">
        <v>2768</v>
      </c>
      <c r="BO374" s="66" t="s">
        <v>2768</v>
      </c>
      <c r="BP374" s="66" t="s">
        <v>2768</v>
      </c>
      <c r="BQ374" s="66" t="str">
        <f>PROPER(TEXT(Prog_23[[#This Row],[PROGRAMAÇÃO CLIENTE]],"mmm"))</f>
        <v>Jul</v>
      </c>
      <c r="BR374" s="66">
        <f>YEAR(Prog_23[[#This Row],[PROGRAMAÇÃO CLIENTE]])</f>
        <v>2023</v>
      </c>
    </row>
    <row r="375" spans="1:70" x14ac:dyDescent="0.25">
      <c r="A375" s="200" t="str">
        <f>Prog_23[[#This Row],[CONTEINER]]</f>
        <v>BMOU1433500</v>
      </c>
      <c r="B375" s="86" t="s">
        <v>2771</v>
      </c>
      <c r="C3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75" s="85">
        <v>45121.125</v>
      </c>
      <c r="E375" s="66" t="s">
        <v>3457</v>
      </c>
      <c r="F375" s="66" t="s">
        <v>3458</v>
      </c>
      <c r="G375" s="66" t="s">
        <v>5589</v>
      </c>
      <c r="H375" s="44">
        <v>64567471</v>
      </c>
      <c r="I375" s="44" t="s">
        <v>5593</v>
      </c>
      <c r="J375" s="66" t="s">
        <v>288</v>
      </c>
      <c r="K375" s="66">
        <v>2100</v>
      </c>
      <c r="L375" s="66" t="s">
        <v>5602</v>
      </c>
      <c r="M375" s="66">
        <v>24090</v>
      </c>
      <c r="N375" s="66">
        <f>SUM(Prog_23[[#This Row],[TARA]]+Prog_23[[#This Row],[PESO]])</f>
        <v>26190</v>
      </c>
      <c r="O375" s="44">
        <v>16622</v>
      </c>
      <c r="P375" s="66" t="s">
        <v>5586</v>
      </c>
      <c r="Q375" s="66" t="s">
        <v>102</v>
      </c>
      <c r="R375" s="66" t="s">
        <v>73</v>
      </c>
      <c r="S375" s="66" t="s">
        <v>2678</v>
      </c>
      <c r="T375" s="138" t="str">
        <f>IFERROR(LOOKUP($S375,MOTORISTAS!$D$3:$D$916,MOTORISTAS!E$3:$E$916),"")</f>
        <v>28386357860</v>
      </c>
      <c r="U375" s="138" t="str">
        <f>IFERROR(LOOKUP($S375,MOTORISTAS!$D$3:$D$916,MOTORISTAS!F$3:$F$916),"")</f>
        <v>01042201192</v>
      </c>
      <c r="V375" s="66" t="s">
        <v>292</v>
      </c>
      <c r="W375" s="79">
        <v>45120.552083333336</v>
      </c>
      <c r="X375" s="79">
        <v>45120.934027777781</v>
      </c>
      <c r="Y375" s="79">
        <v>45121.611111111109</v>
      </c>
      <c r="Z375" s="66" t="s">
        <v>410</v>
      </c>
      <c r="AA375" s="79">
        <v>45122.30972222222</v>
      </c>
      <c r="AB375" s="66"/>
      <c r="AC375" s="79">
        <v>45125.75</v>
      </c>
      <c r="AD375" s="79">
        <v>45129.5</v>
      </c>
      <c r="AE375" s="66" t="s">
        <v>3462</v>
      </c>
      <c r="AF375" s="44">
        <v>16731</v>
      </c>
      <c r="AG375" s="254">
        <f>Prog_23[[#This Row],[SAÍDA DO CLIENTE]]-Prog_23[[#This Row],[PROGRAMAÇÃO CLIENTE]]</f>
        <v>0.48611111110949423</v>
      </c>
      <c r="AH375" s="44">
        <v>6593321</v>
      </c>
      <c r="AI375" s="66"/>
      <c r="AJ375" s="66"/>
      <c r="AK375" s="66"/>
      <c r="AL375" s="66"/>
      <c r="AM375" s="66"/>
      <c r="AN375" s="83"/>
      <c r="AO375" s="83"/>
      <c r="AP375" s="83"/>
      <c r="AQ375" s="66"/>
      <c r="AR375" s="66"/>
      <c r="AS375" s="66"/>
      <c r="AT375" s="81">
        <v>7000</v>
      </c>
      <c r="AU375" s="81"/>
      <c r="AV375" s="81"/>
      <c r="AW375" s="81"/>
      <c r="AX375" s="83">
        <f>SUM(Prog_23[[#This Row],[ADIANTAMENTO]]+Prog_23[[#This Row],[SALDO]]+Prog_23[[#This Row],[MARGEM]]+Prog_23[[#This Row],[ESTADIA 1]])</f>
        <v>7000</v>
      </c>
      <c r="AY3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75" s="81"/>
      <c r="BA375" s="81"/>
      <c r="BB375" s="81">
        <f>Prog_23[[#This Row],[VLR NF]]*0.1%</f>
        <v>0</v>
      </c>
      <c r="BC375" s="81">
        <f>Prog_23[[#This Row],[VLR NF]]*0.05%</f>
        <v>0</v>
      </c>
      <c r="BD375" s="81"/>
      <c r="BE375" s="81"/>
      <c r="BF375" s="81"/>
      <c r="BG375" s="81"/>
      <c r="BH375" s="81"/>
      <c r="BI375" s="81"/>
      <c r="BJ375" s="81"/>
      <c r="BK375" s="81"/>
      <c r="BL375" s="81"/>
      <c r="BM375" s="81"/>
      <c r="BN375" s="66" t="s">
        <v>2768</v>
      </c>
      <c r="BO375" s="66" t="s">
        <v>2768</v>
      </c>
      <c r="BP375" s="66" t="s">
        <v>2768</v>
      </c>
      <c r="BQ375" s="66" t="str">
        <f>PROPER(TEXT(Prog_23[[#This Row],[PROGRAMAÇÃO CLIENTE]],"mmm"))</f>
        <v>Jul</v>
      </c>
      <c r="BR375" s="66">
        <f>YEAR(Prog_23[[#This Row],[PROGRAMAÇÃO CLIENTE]])</f>
        <v>2023</v>
      </c>
    </row>
    <row r="376" spans="1:70" x14ac:dyDescent="0.25">
      <c r="A376" s="201" t="str">
        <f>Prog_23[[#This Row],[CONTEINER]]</f>
        <v>MRSU5884580</v>
      </c>
      <c r="B376" s="86" t="s">
        <v>2771</v>
      </c>
      <c r="C3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76" s="85">
        <v>45121.270833333336</v>
      </c>
      <c r="E376" s="66" t="s">
        <v>2549</v>
      </c>
      <c r="F376" s="66" t="s">
        <v>4074</v>
      </c>
      <c r="G376" s="66" t="s">
        <v>5588</v>
      </c>
      <c r="H376" s="44">
        <v>229004061</v>
      </c>
      <c r="I376" s="44" t="s">
        <v>5598</v>
      </c>
      <c r="J376" s="66" t="s">
        <v>301</v>
      </c>
      <c r="K376" s="66">
        <v>3720</v>
      </c>
      <c r="L376" s="66" t="s">
        <v>5607</v>
      </c>
      <c r="M376" s="66">
        <v>25050</v>
      </c>
      <c r="N376" s="66">
        <f>SUM(Prog_23[[#This Row],[TARA]]+Prog_23[[#This Row],[PESO]])</f>
        <v>28770</v>
      </c>
      <c r="O376" s="44">
        <v>14671</v>
      </c>
      <c r="P376" s="66" t="s">
        <v>5543</v>
      </c>
      <c r="Q376" s="66" t="s">
        <v>92</v>
      </c>
      <c r="R376" s="66" t="s">
        <v>93</v>
      </c>
      <c r="S376" s="66" t="s">
        <v>94</v>
      </c>
      <c r="T376" s="138" t="str">
        <f>IFERROR(LOOKUP($S376,MOTORISTAS!$D$3:$D$916,MOTORISTAS!E$3:$E$916),"")</f>
        <v>26283419801</v>
      </c>
      <c r="U376" s="138" t="str">
        <f>IFERROR(LOOKUP($S376,MOTORISTAS!$D$3:$D$916,MOTORISTAS!F$3:$F$916),"")</f>
        <v>02002046946</v>
      </c>
      <c r="V376" s="66" t="s">
        <v>292</v>
      </c>
      <c r="W376" s="79">
        <v>45120.665972222225</v>
      </c>
      <c r="X376" s="79">
        <v>45121.081250000003</v>
      </c>
      <c r="Y376" s="79">
        <v>45121.625</v>
      </c>
      <c r="Z376" s="66" t="s">
        <v>5587</v>
      </c>
      <c r="AA376" s="79">
        <v>45121.909722222219</v>
      </c>
      <c r="AB376" s="66"/>
      <c r="AC376" s="79">
        <v>45128.5</v>
      </c>
      <c r="AD376" s="79">
        <v>45133.75</v>
      </c>
      <c r="AE376" s="66" t="s">
        <v>5480</v>
      </c>
      <c r="AF376" s="44">
        <v>16755</v>
      </c>
      <c r="AG376" s="254">
        <f>Prog_23[[#This Row],[SAÍDA DO CLIENTE]]-Prog_23[[#This Row],[PROGRAMAÇÃO CLIENTE]]</f>
        <v>0.35416666666424135</v>
      </c>
      <c r="AH376" s="44"/>
      <c r="AI376" s="66"/>
      <c r="AJ376" s="66"/>
      <c r="AK376" s="66"/>
      <c r="AL376" s="66"/>
      <c r="AM376" s="66"/>
      <c r="AN376" s="83"/>
      <c r="AO376" s="83">
        <v>20</v>
      </c>
      <c r="AP376" s="83"/>
      <c r="AQ376" s="66"/>
      <c r="AR376" s="66"/>
      <c r="AS376" s="66"/>
      <c r="AT376" s="81">
        <v>6600</v>
      </c>
      <c r="AU376" s="81"/>
      <c r="AV376" s="81"/>
      <c r="AW376" s="81"/>
      <c r="AX376" s="83">
        <f>SUM(Prog_23[[#This Row],[ADIANTAMENTO]]+Prog_23[[#This Row],[SALDO]]+Prog_23[[#This Row],[MARGEM]]+Prog_23[[#This Row],[ESTADIA 1]])</f>
        <v>6600</v>
      </c>
      <c r="AY3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7875.5700000000006</v>
      </c>
      <c r="AZ376" s="81">
        <v>6200</v>
      </c>
      <c r="BA376" s="81">
        <v>230850</v>
      </c>
      <c r="BB376" s="81">
        <f>Prog_23[[#This Row],[VLR NF]]*0.1%</f>
        <v>230.85</v>
      </c>
      <c r="BC376" s="81">
        <v>0</v>
      </c>
      <c r="BD376" s="81">
        <v>1444.72</v>
      </c>
      <c r="BE376" s="81"/>
      <c r="BF376" s="81"/>
      <c r="BG376" s="81"/>
      <c r="BH376" s="81"/>
      <c r="BI376" s="81"/>
      <c r="BJ376" s="81"/>
      <c r="BK376" s="81"/>
      <c r="BL376" s="81"/>
      <c r="BM376" s="81"/>
      <c r="BN376" s="66" t="s">
        <v>2768</v>
      </c>
      <c r="BO376" s="66" t="s">
        <v>2768</v>
      </c>
      <c r="BP376" s="66" t="s">
        <v>2768</v>
      </c>
      <c r="BQ376" s="66" t="str">
        <f>PROPER(TEXT(Prog_23[[#This Row],[PROGRAMAÇÃO CLIENTE]],"mmm"))</f>
        <v>Jul</v>
      </c>
      <c r="BR376" s="66">
        <f>YEAR(Prog_23[[#This Row],[PROGRAMAÇÃO CLIENTE]])</f>
        <v>2023</v>
      </c>
    </row>
    <row r="377" spans="1:70" x14ac:dyDescent="0.25">
      <c r="A377" s="200" t="str">
        <f>Prog_23[[#This Row],[CONTEINER]]</f>
        <v>TCKU7858184</v>
      </c>
      <c r="B377" s="86" t="s">
        <v>2771</v>
      </c>
      <c r="C3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77" s="85">
        <v>45121.270833333336</v>
      </c>
      <c r="E377" s="66" t="s">
        <v>2549</v>
      </c>
      <c r="F377" s="66" t="s">
        <v>4074</v>
      </c>
      <c r="G377" s="66" t="s">
        <v>5588</v>
      </c>
      <c r="H377" s="44">
        <v>229004061</v>
      </c>
      <c r="I377" s="44" t="s">
        <v>5594</v>
      </c>
      <c r="J377" s="66" t="s">
        <v>301</v>
      </c>
      <c r="K377" s="66">
        <v>3700</v>
      </c>
      <c r="L377" s="66" t="s">
        <v>5601</v>
      </c>
      <c r="M377" s="66">
        <v>25050</v>
      </c>
      <c r="N377" s="66">
        <f>SUM(Prog_23[[#This Row],[TARA]]+Prog_23[[#This Row],[PESO]])</f>
        <v>28750</v>
      </c>
      <c r="O377" s="44">
        <v>14670</v>
      </c>
      <c r="P377" s="66" t="s">
        <v>5543</v>
      </c>
      <c r="Q377" s="66" t="s">
        <v>31</v>
      </c>
      <c r="R377" s="66" t="s">
        <v>32</v>
      </c>
      <c r="S377" s="66" t="s">
        <v>33</v>
      </c>
      <c r="T377" s="138" t="str">
        <f>IFERROR(LOOKUP($S377,MOTORISTAS!$D$3:$D$916,MOTORISTAS!E$3:$E$916),"")</f>
        <v>09776430856</v>
      </c>
      <c r="U377" s="138" t="str">
        <f>IFERROR(LOOKUP($S377,MOTORISTAS!$D$3:$D$916,MOTORISTAS!F$3:$F$916),"")</f>
        <v>01258979905</v>
      </c>
      <c r="V377" s="66" t="s">
        <v>292</v>
      </c>
      <c r="W377" s="79">
        <v>45120.532638888886</v>
      </c>
      <c r="X377" s="79">
        <v>45120.930555555555</v>
      </c>
      <c r="Y377" s="79">
        <v>45121.541666666664</v>
      </c>
      <c r="Z377" s="66" t="s">
        <v>5587</v>
      </c>
      <c r="AA377" s="79">
        <v>45121.854166666664</v>
      </c>
      <c r="AB377" s="66"/>
      <c r="AC377" s="79">
        <v>45128.5</v>
      </c>
      <c r="AD377" s="79">
        <v>45133.75</v>
      </c>
      <c r="AE377" s="66" t="s">
        <v>5480</v>
      </c>
      <c r="AF377" s="44">
        <v>16730</v>
      </c>
      <c r="AG377" s="254">
        <f>Prog_23[[#This Row],[SAÍDA DO CLIENTE]]-Prog_23[[#This Row],[PROGRAMAÇÃO CLIENTE]]</f>
        <v>0.27083333332848269</v>
      </c>
      <c r="AH377" s="44"/>
      <c r="AI377" s="66"/>
      <c r="AJ377" s="66"/>
      <c r="AK377" s="66"/>
      <c r="AL377" s="66"/>
      <c r="AM377" s="66"/>
      <c r="AN377" s="83"/>
      <c r="AO377" s="83"/>
      <c r="AP377" s="83"/>
      <c r="AQ377" s="66"/>
      <c r="AR377" s="66"/>
      <c r="AS377" s="66"/>
      <c r="AT377" s="81">
        <v>6600</v>
      </c>
      <c r="AU377" s="81"/>
      <c r="AV377" s="81"/>
      <c r="AW377" s="81"/>
      <c r="AX377" s="83">
        <f>SUM(Prog_23[[#This Row],[ADIANTAMENTO]]+Prog_23[[#This Row],[SALDO]]+Prog_23[[#This Row],[MARGEM]]+Prog_23[[#This Row],[ESTADIA 1]])</f>
        <v>6600</v>
      </c>
      <c r="AY3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7875.5700000000006</v>
      </c>
      <c r="AZ377" s="81">
        <v>6200</v>
      </c>
      <c r="BA377" s="81">
        <v>230850</v>
      </c>
      <c r="BB377" s="81">
        <f>Prog_23[[#This Row],[VLR NF]]*0.1%</f>
        <v>230.85</v>
      </c>
      <c r="BC377" s="81">
        <v>0</v>
      </c>
      <c r="BD377" s="81">
        <v>1444.72</v>
      </c>
      <c r="BE377" s="81"/>
      <c r="BF377" s="81"/>
      <c r="BG377" s="81"/>
      <c r="BH377" s="81"/>
      <c r="BI377" s="81"/>
      <c r="BJ377" s="81"/>
      <c r="BK377" s="81"/>
      <c r="BL377" s="81"/>
      <c r="BM377" s="81"/>
      <c r="BN377" s="66" t="s">
        <v>2768</v>
      </c>
      <c r="BO377" s="66" t="s">
        <v>2768</v>
      </c>
      <c r="BP377" s="66" t="s">
        <v>2768</v>
      </c>
      <c r="BQ377" s="66" t="str">
        <f>PROPER(TEXT(Prog_23[[#This Row],[PROGRAMAÇÃO CLIENTE]],"mmm"))</f>
        <v>Jul</v>
      </c>
      <c r="BR377" s="66">
        <f>YEAR(Prog_23[[#This Row],[PROGRAMAÇÃO CLIENTE]])</f>
        <v>2023</v>
      </c>
    </row>
    <row r="378" spans="1:70" x14ac:dyDescent="0.25">
      <c r="A378" s="201" t="str">
        <f>Prog_23[[#This Row],[CONTEINER]]</f>
        <v>MRSU5621460</v>
      </c>
      <c r="B378" s="86" t="s">
        <v>2771</v>
      </c>
      <c r="C3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78" s="85">
        <v>45121.270833333336</v>
      </c>
      <c r="E378" s="66" t="s">
        <v>2549</v>
      </c>
      <c r="F378" s="66" t="s">
        <v>4074</v>
      </c>
      <c r="G378" s="66" t="s">
        <v>5588</v>
      </c>
      <c r="H378" s="44">
        <v>229004061</v>
      </c>
      <c r="I378" s="44" t="s">
        <v>5595</v>
      </c>
      <c r="J378" s="66" t="s">
        <v>301</v>
      </c>
      <c r="K378" s="66">
        <v>3720</v>
      </c>
      <c r="L378" s="66" t="s">
        <v>5600</v>
      </c>
      <c r="M378" s="66">
        <v>25050</v>
      </c>
      <c r="N378" s="66">
        <f>SUM(Prog_23[[#This Row],[TARA]]+Prog_23[[#This Row],[PESO]])</f>
        <v>28770</v>
      </c>
      <c r="O378" s="44">
        <v>14669</v>
      </c>
      <c r="P378" s="66" t="s">
        <v>5543</v>
      </c>
      <c r="Q378" s="66" t="s">
        <v>68</v>
      </c>
      <c r="R378" s="66" t="s">
        <v>36</v>
      </c>
      <c r="S378" s="66" t="s">
        <v>206</v>
      </c>
      <c r="T378" s="138" t="str">
        <f>IFERROR(LOOKUP($S378,MOTORISTAS!$D$3:$D$916,MOTORISTAS!E$3:$E$916),"")</f>
        <v>09085263425</v>
      </c>
      <c r="U378" s="138" t="str">
        <f>IFERROR(LOOKUP($S378,MOTORISTAS!$D$3:$D$916,MOTORISTAS!F$3:$F$916),"")</f>
        <v>04557705505</v>
      </c>
      <c r="V378" s="66" t="s">
        <v>292</v>
      </c>
      <c r="W378" s="79">
        <v>45120.554166666669</v>
      </c>
      <c r="X378" s="79">
        <v>45120.925694444442</v>
      </c>
      <c r="Y378" s="79">
        <v>45121.5</v>
      </c>
      <c r="Z378" s="66" t="s">
        <v>5587</v>
      </c>
      <c r="AA378" s="79">
        <v>45121.791666666664</v>
      </c>
      <c r="AB378" s="66"/>
      <c r="AC378" s="79">
        <v>45128.5</v>
      </c>
      <c r="AD378" s="79">
        <v>45133.75</v>
      </c>
      <c r="AE378" s="66" t="s">
        <v>5480</v>
      </c>
      <c r="AF378" s="44">
        <v>16729</v>
      </c>
      <c r="AG378" s="254">
        <f>Prog_23[[#This Row],[SAÍDA DO CLIENTE]]-Prog_23[[#This Row],[PROGRAMAÇÃO CLIENTE]]</f>
        <v>0.22916666666424135</v>
      </c>
      <c r="AH378" s="44"/>
      <c r="AI378" s="66"/>
      <c r="AJ378" s="66"/>
      <c r="AK378" s="66"/>
      <c r="AL378" s="66"/>
      <c r="AM378" s="66"/>
      <c r="AN378" s="83"/>
      <c r="AO378" s="83"/>
      <c r="AP378" s="83"/>
      <c r="AQ378" s="66"/>
      <c r="AR378" s="66"/>
      <c r="AS378" s="66"/>
      <c r="AT378" s="81">
        <v>6600</v>
      </c>
      <c r="AU378" s="81"/>
      <c r="AV378" s="81"/>
      <c r="AW378" s="81"/>
      <c r="AX378" s="83">
        <f>SUM(Prog_23[[#This Row],[ADIANTAMENTO]]+Prog_23[[#This Row],[SALDO]]+Prog_23[[#This Row],[MARGEM]]+Prog_23[[#This Row],[ESTADIA 1]])</f>
        <v>6600</v>
      </c>
      <c r="AY3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7875.5700000000006</v>
      </c>
      <c r="AZ378" s="81">
        <v>6200</v>
      </c>
      <c r="BA378" s="81">
        <v>230850</v>
      </c>
      <c r="BB378" s="81">
        <f>Prog_23[[#This Row],[VLR NF]]*0.1%</f>
        <v>230.85</v>
      </c>
      <c r="BC378" s="81">
        <v>0</v>
      </c>
      <c r="BD378" s="81">
        <v>1444.72</v>
      </c>
      <c r="BE378" s="81"/>
      <c r="BF378" s="81"/>
      <c r="BG378" s="81"/>
      <c r="BH378" s="81"/>
      <c r="BI378" s="81"/>
      <c r="BJ378" s="81"/>
      <c r="BK378" s="81"/>
      <c r="BL378" s="81"/>
      <c r="BM378" s="81"/>
      <c r="BN378" s="66" t="s">
        <v>2768</v>
      </c>
      <c r="BO378" s="66" t="s">
        <v>2768</v>
      </c>
      <c r="BP378" s="66" t="s">
        <v>2768</v>
      </c>
      <c r="BQ378" s="66" t="str">
        <f>PROPER(TEXT(Prog_23[[#This Row],[PROGRAMAÇÃO CLIENTE]],"mmm"))</f>
        <v>Jul</v>
      </c>
      <c r="BR378" s="66">
        <f>YEAR(Prog_23[[#This Row],[PROGRAMAÇÃO CLIENTE]])</f>
        <v>2023</v>
      </c>
    </row>
    <row r="379" spans="1:70" x14ac:dyDescent="0.25">
      <c r="A379" s="200" t="str">
        <f>Prog_23[[#This Row],[CONTEINER]]</f>
        <v>MRSU3593396</v>
      </c>
      <c r="B379" s="86" t="s">
        <v>2771</v>
      </c>
      <c r="C3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79" s="85">
        <v>45124.666666666664</v>
      </c>
      <c r="E379" s="66" t="s">
        <v>2302</v>
      </c>
      <c r="F379" s="66" t="s">
        <v>529</v>
      </c>
      <c r="G379" s="66">
        <v>51</v>
      </c>
      <c r="H379" s="44">
        <v>228835943</v>
      </c>
      <c r="I379" s="44" t="s">
        <v>5614</v>
      </c>
      <c r="J379" s="66" t="s">
        <v>301</v>
      </c>
      <c r="K379" s="66">
        <v>3810</v>
      </c>
      <c r="L379" s="66" t="s">
        <v>5615</v>
      </c>
      <c r="M379" s="66">
        <v>8433</v>
      </c>
      <c r="N379" s="66">
        <f>SUM(Prog_23[[#This Row],[TARA]]+Prog_23[[#This Row],[PESO]])</f>
        <v>12243</v>
      </c>
      <c r="O379" s="44" t="s">
        <v>5565</v>
      </c>
      <c r="P379" s="66" t="s">
        <v>5332</v>
      </c>
      <c r="Q379" s="66" t="s">
        <v>72</v>
      </c>
      <c r="R379" s="66" t="s">
        <v>5655</v>
      </c>
      <c r="S379" s="66" t="s">
        <v>69</v>
      </c>
      <c r="T379" s="138" t="str">
        <f>IFERROR(LOOKUP($S379,MOTORISTAS!$D$3:$D$916,MOTORISTAS!E$3:$E$916),"")</f>
        <v>07968457866</v>
      </c>
      <c r="U379" s="138" t="str">
        <f>IFERROR(LOOKUP($S379,MOTORISTAS!$D$3:$D$916,MOTORISTAS!F$3:$F$916),"")</f>
        <v>03264365790</v>
      </c>
      <c r="V379" s="66" t="s">
        <v>526</v>
      </c>
      <c r="W379" s="79">
        <v>45124.452777777777</v>
      </c>
      <c r="X379" s="79">
        <v>45124.536805555559</v>
      </c>
      <c r="Y379" s="79">
        <v>45124.722222222219</v>
      </c>
      <c r="Z379" s="66" t="s">
        <v>410</v>
      </c>
      <c r="AA379" s="79">
        <v>45126.498611111114</v>
      </c>
      <c r="AB379" s="79">
        <v>45123.291666666664</v>
      </c>
      <c r="AC379" s="79">
        <v>45124.375</v>
      </c>
      <c r="AD379" s="79">
        <v>45127.5</v>
      </c>
      <c r="AE379" s="66" t="s">
        <v>1405</v>
      </c>
      <c r="AF379" s="44">
        <v>16756</v>
      </c>
      <c r="AG379" s="254">
        <f>Prog_23[[#This Row],[SAÍDA DO CLIENTE]]-Prog_23[[#This Row],[PROGRAMAÇÃO CLIENTE]]</f>
        <v>5.5555555554747116E-2</v>
      </c>
      <c r="AH379" s="44">
        <v>6604440</v>
      </c>
      <c r="AI379" s="66"/>
      <c r="AJ379" s="66"/>
      <c r="AK379" s="66"/>
      <c r="AL379" s="66"/>
      <c r="AM379" s="66"/>
      <c r="AN379" s="83"/>
      <c r="AO379" s="83"/>
      <c r="AP379" s="83"/>
      <c r="AQ379" s="66"/>
      <c r="AR379" s="66"/>
      <c r="AS379" s="66"/>
      <c r="AT379" s="81">
        <v>1800</v>
      </c>
      <c r="AU379" s="81">
        <v>0</v>
      </c>
      <c r="AV379" s="81">
        <v>200</v>
      </c>
      <c r="AW379" s="81"/>
      <c r="AX379" s="83">
        <f>SUM(Prog_23[[#This Row],[ADIANTAMENTO]]+Prog_23[[#This Row],[SALDO]]+Prog_23[[#This Row],[MARGEM]]+Prog_23[[#This Row],[ESTADIA 1]])</f>
        <v>2000</v>
      </c>
      <c r="AY3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3836.7472499999999</v>
      </c>
      <c r="AZ379" s="81">
        <v>2350</v>
      </c>
      <c r="BA379" s="81">
        <v>446747.25</v>
      </c>
      <c r="BB379" s="81">
        <f>Prog_23[[#This Row],[VLR NF]]*0.1%</f>
        <v>446.74725000000001</v>
      </c>
      <c r="BC379" s="81">
        <v>0</v>
      </c>
      <c r="BD379" s="81">
        <v>240</v>
      </c>
      <c r="BE379" s="81"/>
      <c r="BF379" s="81"/>
      <c r="BG379" s="81"/>
      <c r="BH379" s="81"/>
      <c r="BI379" s="81"/>
      <c r="BJ379" s="81"/>
      <c r="BK379" s="81"/>
      <c r="BL379" s="81"/>
      <c r="BM379" s="81">
        <v>800</v>
      </c>
      <c r="BN379" s="66" t="s">
        <v>2768</v>
      </c>
      <c r="BO379" s="66" t="s">
        <v>2768</v>
      </c>
      <c r="BP379" s="66" t="s">
        <v>2768</v>
      </c>
      <c r="BQ379" s="66" t="str">
        <f>PROPER(TEXT(Prog_23[[#This Row],[PROGRAMAÇÃO CLIENTE]],"mmm"))</f>
        <v>Jul</v>
      </c>
      <c r="BR379" s="66">
        <f>YEAR(Prog_23[[#This Row],[PROGRAMAÇÃO CLIENTE]])</f>
        <v>2023</v>
      </c>
    </row>
    <row r="380" spans="1:70" x14ac:dyDescent="0.25">
      <c r="A380" s="200" t="str">
        <f>Prog_23[[#This Row],[CONTEINER]]</f>
        <v>MSMU1094783</v>
      </c>
      <c r="B380" s="86" t="s">
        <v>2771</v>
      </c>
      <c r="C3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80" s="85">
        <v>45124.291666666664</v>
      </c>
      <c r="E380" s="66" t="s">
        <v>696</v>
      </c>
      <c r="F380" s="66" t="s">
        <v>697</v>
      </c>
      <c r="G380" s="66" t="s">
        <v>5596</v>
      </c>
      <c r="H380" s="44" t="s">
        <v>5597</v>
      </c>
      <c r="I380" s="44" t="s">
        <v>5591</v>
      </c>
      <c r="J380" s="66" t="s">
        <v>288</v>
      </c>
      <c r="K380" s="66">
        <v>2200</v>
      </c>
      <c r="L380" s="66">
        <v>1371795</v>
      </c>
      <c r="M380" s="66">
        <v>10596</v>
      </c>
      <c r="N380" s="66">
        <f>SUM(Prog_23[[#This Row],[TARA]]+Prog_23[[#This Row],[PESO]])</f>
        <v>12796</v>
      </c>
      <c r="O380" s="44" t="s">
        <v>5611</v>
      </c>
      <c r="P380" s="66" t="s">
        <v>5592</v>
      </c>
      <c r="Q380" s="66" t="s">
        <v>106</v>
      </c>
      <c r="R380" s="66" t="s">
        <v>3246</v>
      </c>
      <c r="S380" s="66" t="s">
        <v>108</v>
      </c>
      <c r="T380" s="138" t="str">
        <f>IFERROR(LOOKUP($S380,MOTORISTAS!$D$3:$D$916,MOTORISTAS!E$3:$E$916),"")</f>
        <v>34927982840</v>
      </c>
      <c r="U380" s="138" t="str">
        <f>IFERROR(LOOKUP($S380,MOTORISTAS!$D$3:$D$916,MOTORISTAS!F$3:$F$916),"")</f>
        <v>03500129879</v>
      </c>
      <c r="V380" s="66" t="s">
        <v>293</v>
      </c>
      <c r="W380" s="79">
        <v>45124.208333333336</v>
      </c>
      <c r="X380" s="79">
        <v>45124.393750000003</v>
      </c>
      <c r="Y380" s="66" t="s">
        <v>5613</v>
      </c>
      <c r="Z380" s="66" t="s">
        <v>292</v>
      </c>
      <c r="AA380" s="79">
        <v>45124.583333333336</v>
      </c>
      <c r="AB380" s="79">
        <v>45125.75</v>
      </c>
      <c r="AC380" s="79">
        <v>45125.75</v>
      </c>
      <c r="AD380" s="79">
        <v>45125.75</v>
      </c>
      <c r="AE380" s="66" t="s">
        <v>294</v>
      </c>
      <c r="AF380" s="44"/>
      <c r="AG380" s="254" t="e">
        <f>Prog_23[[#This Row],[SAÍDA DO CLIENTE]]-Prog_23[[#This Row],[PROGRAMAÇÃO CLIENTE]]</f>
        <v>#VALUE!</v>
      </c>
      <c r="AH380" s="44"/>
      <c r="AI380" s="66" t="s">
        <v>5773</v>
      </c>
      <c r="AJ380" s="66" t="s">
        <v>3347</v>
      </c>
      <c r="AK380" s="66"/>
      <c r="AL380" s="66"/>
      <c r="AM380" s="66"/>
      <c r="AN380" s="83"/>
      <c r="AO380" s="83"/>
      <c r="AP380" s="83"/>
      <c r="AQ380" s="66"/>
      <c r="AR380" s="66"/>
      <c r="AS380" s="66"/>
      <c r="AT380" s="81">
        <v>2000</v>
      </c>
      <c r="AU380" s="81"/>
      <c r="AV380" s="81"/>
      <c r="AW380" s="81"/>
      <c r="AX380" s="83">
        <f>SUM(Prog_23[[#This Row],[ADIANTAMENTO]]+Prog_23[[#This Row],[SALDO]]+Prog_23[[#This Row],[MARGEM]]+Prog_23[[#This Row],[ESTADIA 1]])</f>
        <v>2000</v>
      </c>
      <c r="AY3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80" s="81"/>
      <c r="BA380" s="81"/>
      <c r="BB380" s="81">
        <f>Prog_23[[#This Row],[VLR NF]]*0.1%</f>
        <v>0</v>
      </c>
      <c r="BC380" s="81">
        <f>Prog_23[[#This Row],[VLR NF]]*0.05%</f>
        <v>0</v>
      </c>
      <c r="BD380" s="81"/>
      <c r="BE380" s="81"/>
      <c r="BF380" s="81"/>
      <c r="BG380" s="81"/>
      <c r="BH380" s="81"/>
      <c r="BI380" s="81"/>
      <c r="BJ380" s="81"/>
      <c r="BK380" s="81"/>
      <c r="BL380" s="81"/>
      <c r="BM380" s="81"/>
      <c r="BN380" s="66" t="s">
        <v>2768</v>
      </c>
      <c r="BO380" s="66" t="s">
        <v>2768</v>
      </c>
      <c r="BP380" s="66" t="s">
        <v>2768</v>
      </c>
      <c r="BQ380" s="66" t="str">
        <f>PROPER(TEXT(Prog_23[[#This Row],[PROGRAMAÇÃO CLIENTE]],"mmm"))</f>
        <v>Jul</v>
      </c>
      <c r="BR380" s="66">
        <f>YEAR(Prog_23[[#This Row],[PROGRAMAÇÃO CLIENTE]])</f>
        <v>2023</v>
      </c>
    </row>
    <row r="381" spans="1:70" x14ac:dyDescent="0.25">
      <c r="A381" s="201" t="str">
        <f>Prog_23[[#This Row],[CONTEINER]]</f>
        <v>GCXU5736912</v>
      </c>
      <c r="B381" s="86" t="s">
        <v>2771</v>
      </c>
      <c r="C3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81" s="85">
        <v>45125.75</v>
      </c>
      <c r="E381" s="66" t="s">
        <v>4285</v>
      </c>
      <c r="F381" s="66" t="s">
        <v>4286</v>
      </c>
      <c r="G381" s="66" t="s">
        <v>5612</v>
      </c>
      <c r="H381" s="44" t="s">
        <v>5603</v>
      </c>
      <c r="I381" s="44" t="s">
        <v>5604</v>
      </c>
      <c r="J381" s="66" t="s">
        <v>301</v>
      </c>
      <c r="K381" s="66">
        <v>3700</v>
      </c>
      <c r="L381" s="66" t="s">
        <v>5605</v>
      </c>
      <c r="M381" s="66">
        <v>14176</v>
      </c>
      <c r="N381" s="66">
        <f>SUM(Prog_23[[#This Row],[TARA]]+Prog_23[[#This Row],[PESO]])</f>
        <v>17876</v>
      </c>
      <c r="O381" s="44"/>
      <c r="P381" s="66" t="s">
        <v>5606</v>
      </c>
      <c r="Q381" s="66" t="s">
        <v>31</v>
      </c>
      <c r="R381" s="66" t="s">
        <v>32</v>
      </c>
      <c r="S381" s="66" t="s">
        <v>33</v>
      </c>
      <c r="T381" s="138" t="str">
        <f>IFERROR(LOOKUP($S381,MOTORISTAS!$D$3:$D$916,MOTORISTAS!E$3:$E$916),"")</f>
        <v>09776430856</v>
      </c>
      <c r="U381" s="138" t="str">
        <f>IFERROR(LOOKUP($S381,MOTORISTAS!$D$3:$D$916,MOTORISTAS!F$3:$F$916),"")</f>
        <v>01258979905</v>
      </c>
      <c r="V381" s="66" t="s">
        <v>4398</v>
      </c>
      <c r="W381" s="79">
        <v>45125.5</v>
      </c>
      <c r="X381" s="79">
        <v>45125.722916666666</v>
      </c>
      <c r="Y381" s="79">
        <v>45125.854166666664</v>
      </c>
      <c r="Z381" s="66" t="s">
        <v>292</v>
      </c>
      <c r="AA381" s="79">
        <v>45126.370833333334</v>
      </c>
      <c r="AB381" s="79">
        <v>45126.5</v>
      </c>
      <c r="AC381" s="79">
        <v>45126.5</v>
      </c>
      <c r="AD381" s="79">
        <v>45126.5</v>
      </c>
      <c r="AE381" s="66" t="s">
        <v>708</v>
      </c>
      <c r="AF381" s="44">
        <v>16745</v>
      </c>
      <c r="AG381" s="254">
        <f>Prog_23[[#This Row],[SAÍDA DO CLIENTE]]-Prog_23[[#This Row],[PROGRAMAÇÃO CLIENTE]]</f>
        <v>0.10416666666424135</v>
      </c>
      <c r="AH381" s="44"/>
      <c r="AI381" s="66"/>
      <c r="AJ381" s="66"/>
      <c r="AK381" s="66"/>
      <c r="AL381" s="66"/>
      <c r="AM381" s="66"/>
      <c r="AN381" s="83"/>
      <c r="AO381" s="83"/>
      <c r="AP381" s="83"/>
      <c r="AQ381" s="66"/>
      <c r="AR381" s="66"/>
      <c r="AS381" s="66"/>
      <c r="AT381" s="81">
        <v>2500</v>
      </c>
      <c r="AU381" s="81"/>
      <c r="AV381" s="81"/>
      <c r="AW381" s="81"/>
      <c r="AX381" s="83">
        <f>SUM(Prog_23[[#This Row],[ADIANTAMENTO]]+Prog_23[[#This Row],[SALDO]]+Prog_23[[#This Row],[MARGEM]]+Prog_23[[#This Row],[ESTADIA 1]])</f>
        <v>2500</v>
      </c>
      <c r="AY3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17000</v>
      </c>
      <c r="AZ381" s="81">
        <v>12140</v>
      </c>
      <c r="BA381" s="81">
        <v>1271653.67</v>
      </c>
      <c r="BB381" s="81">
        <v>1500</v>
      </c>
      <c r="BC381" s="81">
        <v>500</v>
      </c>
      <c r="BD381" s="81">
        <v>570</v>
      </c>
      <c r="BE381" s="81"/>
      <c r="BF381" s="81"/>
      <c r="BG381" s="81"/>
      <c r="BH381" s="81"/>
      <c r="BI381" s="81">
        <v>2040</v>
      </c>
      <c r="BJ381" s="81">
        <v>250</v>
      </c>
      <c r="BK381" s="81"/>
      <c r="BL381" s="81"/>
      <c r="BM381" s="81"/>
      <c r="BN381" s="66" t="s">
        <v>2768</v>
      </c>
      <c r="BO381" s="66"/>
      <c r="BP381" s="66"/>
      <c r="BQ381" s="66" t="str">
        <f>PROPER(TEXT(Prog_23[[#This Row],[PROGRAMAÇÃO CLIENTE]],"mmm"))</f>
        <v>Jul</v>
      </c>
      <c r="BR381" s="66">
        <f>YEAR(Prog_23[[#This Row],[PROGRAMAÇÃO CLIENTE]])</f>
        <v>2023</v>
      </c>
    </row>
    <row r="382" spans="1:70" x14ac:dyDescent="0.25">
      <c r="A382" s="200" t="str">
        <f>Prog_23[[#This Row],[CONTEINER]]</f>
        <v>3 MODULOS</v>
      </c>
      <c r="B382" s="86" t="s">
        <v>2909</v>
      </c>
      <c r="C3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382" s="85"/>
      <c r="E382" s="66"/>
      <c r="F382" s="66"/>
      <c r="G382" s="66"/>
      <c r="H382" s="44" t="s">
        <v>5652</v>
      </c>
      <c r="I382" s="44" t="s">
        <v>5669</v>
      </c>
      <c r="J382" s="66"/>
      <c r="K382" s="66"/>
      <c r="L382" s="66"/>
      <c r="M382" s="66">
        <v>9000</v>
      </c>
      <c r="N382" s="66">
        <f>SUM(Prog_23[[#This Row],[TARA]]+Prog_23[[#This Row],[PESO]])</f>
        <v>9000</v>
      </c>
      <c r="O382" s="44">
        <v>53725</v>
      </c>
      <c r="P382" s="66"/>
      <c r="Q382" s="66" t="s">
        <v>68</v>
      </c>
      <c r="R382" s="66" t="s">
        <v>36</v>
      </c>
      <c r="S382" s="66" t="s">
        <v>206</v>
      </c>
      <c r="T382" s="138" t="str">
        <f>IFERROR(LOOKUP($S382,MOTORISTAS!$D$3:$D$916,MOTORISTAS!E$3:$E$916),"")</f>
        <v>09085263425</v>
      </c>
      <c r="U382" s="138" t="str">
        <f>IFERROR(LOOKUP($S382,MOTORISTAS!$D$3:$D$916,MOTORISTAS!F$3:$F$916),"")</f>
        <v>04557705505</v>
      </c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44"/>
      <c r="AG382" s="254">
        <f>Prog_23[[#This Row],[SAÍDA DO CLIENTE]]-Prog_23[[#This Row],[PROGRAMAÇÃO CLIENTE]]</f>
        <v>0</v>
      </c>
      <c r="AH382" s="44"/>
      <c r="AI382" s="66"/>
      <c r="AJ382" s="66"/>
      <c r="AK382" s="66"/>
      <c r="AL382" s="66"/>
      <c r="AM382" s="66"/>
      <c r="AN382" s="83"/>
      <c r="AO382" s="83"/>
      <c r="AP382" s="83"/>
      <c r="AQ382" s="66"/>
      <c r="AR382" s="66"/>
      <c r="AS382" s="66"/>
      <c r="AT382" s="81"/>
      <c r="AU382" s="81"/>
      <c r="AV382" s="81"/>
      <c r="AW382" s="81"/>
      <c r="AX382" s="83">
        <f>SUM(Prog_23[[#This Row],[ADIANTAMENTO]]+Prog_23[[#This Row],[SALDO]]+Prog_23[[#This Row],[MARGEM]]+Prog_23[[#This Row],[ESTADIA 1]])</f>
        <v>0</v>
      </c>
      <c r="AY3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82" s="81"/>
      <c r="BA382" s="81"/>
      <c r="BB382" s="81">
        <f>Prog_23[[#This Row],[VLR NF]]*0.1%</f>
        <v>0</v>
      </c>
      <c r="BC382" s="81">
        <f>Prog_23[[#This Row],[VLR NF]]*0.05%</f>
        <v>0</v>
      </c>
      <c r="BD382" s="81"/>
      <c r="BE382" s="81"/>
      <c r="BF382" s="81"/>
      <c r="BG382" s="81"/>
      <c r="BH382" s="81"/>
      <c r="BI382" s="81"/>
      <c r="BJ382" s="81"/>
      <c r="BK382" s="81"/>
      <c r="BL382" s="81"/>
      <c r="BM382" s="81"/>
      <c r="BN382" s="66"/>
      <c r="BO382" s="66"/>
      <c r="BP382" s="66"/>
      <c r="BQ382" s="66" t="str">
        <f>PROPER(TEXT(Prog_23[[#This Row],[PROGRAMAÇÃO CLIENTE]],"mmm"))</f>
        <v>Jan</v>
      </c>
      <c r="BR382" s="66">
        <f>YEAR(Prog_23[[#This Row],[PROGRAMAÇÃO CLIENTE]])</f>
        <v>1900</v>
      </c>
    </row>
    <row r="383" spans="1:70" x14ac:dyDescent="0.25">
      <c r="A383" s="201" t="str">
        <f>Prog_23[[#This Row],[CONTEINER]]</f>
        <v>8 MODULOS</v>
      </c>
      <c r="B383" s="86" t="s">
        <v>2909</v>
      </c>
      <c r="C3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383" s="85"/>
      <c r="E383" s="66"/>
      <c r="F383" s="66"/>
      <c r="G383" s="251" t="s">
        <v>5660</v>
      </c>
      <c r="H383" s="44" t="s">
        <v>5652</v>
      </c>
      <c r="I383" s="44" t="s">
        <v>5670</v>
      </c>
      <c r="J383" s="66"/>
      <c r="K383" s="66"/>
      <c r="L383" s="66"/>
      <c r="M383" s="66">
        <v>9850</v>
      </c>
      <c r="N383" s="66">
        <f>SUM(Prog_23[[#This Row],[TARA]]+Prog_23[[#This Row],[PESO]])</f>
        <v>9850</v>
      </c>
      <c r="O383" s="44">
        <v>53747</v>
      </c>
      <c r="P383" s="66"/>
      <c r="Q383" s="66" t="s">
        <v>102</v>
      </c>
      <c r="R383" s="66" t="s">
        <v>73</v>
      </c>
      <c r="S383" s="66" t="s">
        <v>2678</v>
      </c>
      <c r="T383" s="138" t="str">
        <f>IFERROR(LOOKUP($S383,MOTORISTAS!$D$3:$D$916,MOTORISTAS!E$3:$E$916),"")</f>
        <v>28386357860</v>
      </c>
      <c r="U383" s="138" t="str">
        <f>IFERROR(LOOKUP($S383,MOTORISTAS!$D$3:$D$916,MOTORISTAS!F$3:$F$916),"")</f>
        <v>01042201192</v>
      </c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44"/>
      <c r="AG383" s="254">
        <f>Prog_23[[#This Row],[SAÍDA DO CLIENTE]]-Prog_23[[#This Row],[PROGRAMAÇÃO CLIENTE]]</f>
        <v>0</v>
      </c>
      <c r="AH383" s="44"/>
      <c r="AI383" s="66"/>
      <c r="AJ383" s="66"/>
      <c r="AK383" s="66"/>
      <c r="AL383" s="66"/>
      <c r="AM383" s="66"/>
      <c r="AN383" s="83"/>
      <c r="AO383" s="83"/>
      <c r="AP383" s="83"/>
      <c r="AQ383" s="66"/>
      <c r="AR383" s="66"/>
      <c r="AS383" s="66"/>
      <c r="AT383" s="81"/>
      <c r="AU383" s="81"/>
      <c r="AV383" s="81"/>
      <c r="AW383" s="81"/>
      <c r="AX383" s="83">
        <f>SUM(Prog_23[[#This Row],[ADIANTAMENTO]]+Prog_23[[#This Row],[SALDO]]+Prog_23[[#This Row],[MARGEM]]+Prog_23[[#This Row],[ESTADIA 1]])</f>
        <v>0</v>
      </c>
      <c r="AY3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83" s="81"/>
      <c r="BA383" s="81"/>
      <c r="BB383" s="81">
        <f>Prog_23[[#This Row],[VLR NF]]*0.1%</f>
        <v>0</v>
      </c>
      <c r="BC383" s="81">
        <f>Prog_23[[#This Row],[VLR NF]]*0.05%</f>
        <v>0</v>
      </c>
      <c r="BD383" s="81"/>
      <c r="BE383" s="81"/>
      <c r="BF383" s="81"/>
      <c r="BG383" s="81"/>
      <c r="BH383" s="81"/>
      <c r="BI383" s="81"/>
      <c r="BJ383" s="81"/>
      <c r="BK383" s="81"/>
      <c r="BL383" s="81"/>
      <c r="BM383" s="81"/>
      <c r="BN383" s="66"/>
      <c r="BO383" s="66"/>
      <c r="BP383" s="66"/>
      <c r="BQ383" s="66" t="str">
        <f>PROPER(TEXT(Prog_23[[#This Row],[PROGRAMAÇÃO CLIENTE]],"mmm"))</f>
        <v>Jan</v>
      </c>
      <c r="BR383" s="66">
        <f>YEAR(Prog_23[[#This Row],[PROGRAMAÇÃO CLIENTE]])</f>
        <v>1900</v>
      </c>
    </row>
    <row r="384" spans="1:70" x14ac:dyDescent="0.25">
      <c r="A384" s="200" t="str">
        <f>Prog_23[[#This Row],[CONTEINER]]</f>
        <v>8 MODULOS</v>
      </c>
      <c r="B384" s="86" t="s">
        <v>2909</v>
      </c>
      <c r="C3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384" s="85"/>
      <c r="E384" s="66"/>
      <c r="F384" s="66"/>
      <c r="G384" s="66"/>
      <c r="H384" s="44" t="s">
        <v>5652</v>
      </c>
      <c r="I384" s="44" t="s">
        <v>5670</v>
      </c>
      <c r="J384" s="66"/>
      <c r="K384" s="66"/>
      <c r="L384" s="66"/>
      <c r="M384" s="66">
        <v>9850</v>
      </c>
      <c r="N384" s="66">
        <f>SUM(Prog_23[[#This Row],[TARA]]+Prog_23[[#This Row],[PESO]])</f>
        <v>9850</v>
      </c>
      <c r="O384" s="44">
        <v>53748</v>
      </c>
      <c r="P384" s="66"/>
      <c r="Q384" s="66"/>
      <c r="R384" s="66"/>
      <c r="S384" s="66" t="s">
        <v>5815</v>
      </c>
      <c r="T384" s="138" t="str">
        <f>IFERROR(LOOKUP($S384,MOTORISTAS!$D$3:$D$916,MOTORISTAS!E$3:$E$916),"")</f>
        <v>33168168874</v>
      </c>
      <c r="U384" s="138" t="str">
        <f>IFERROR(LOOKUP($S384,MOTORISTAS!$D$3:$D$916,MOTORISTAS!F$3:$F$916),"")</f>
        <v>03550963391</v>
      </c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44"/>
      <c r="AG384" s="254">
        <f>Prog_23[[#This Row],[SAÍDA DO CLIENTE]]-Prog_23[[#This Row],[PROGRAMAÇÃO CLIENTE]]</f>
        <v>0</v>
      </c>
      <c r="AH384" s="44"/>
      <c r="AI384" s="66"/>
      <c r="AJ384" s="66"/>
      <c r="AK384" s="66"/>
      <c r="AL384" s="66"/>
      <c r="AM384" s="66"/>
      <c r="AN384" s="83"/>
      <c r="AO384" s="83"/>
      <c r="AP384" s="83"/>
      <c r="AQ384" s="66"/>
      <c r="AR384" s="66"/>
      <c r="AS384" s="66"/>
      <c r="AT384" s="81"/>
      <c r="AU384" s="81"/>
      <c r="AV384" s="81"/>
      <c r="AW384" s="81"/>
      <c r="AX384" s="83">
        <f>SUM(Prog_23[[#This Row],[ADIANTAMENTO]]+Prog_23[[#This Row],[SALDO]]+Prog_23[[#This Row],[MARGEM]]+Prog_23[[#This Row],[ESTADIA 1]])</f>
        <v>0</v>
      </c>
      <c r="AY3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84" s="81"/>
      <c r="BA384" s="81"/>
      <c r="BB384" s="81">
        <f>Prog_23[[#This Row],[VLR NF]]*0.1%</f>
        <v>0</v>
      </c>
      <c r="BC384" s="81">
        <f>Prog_23[[#This Row],[VLR NF]]*0.05%</f>
        <v>0</v>
      </c>
      <c r="BD384" s="81"/>
      <c r="BE384" s="81"/>
      <c r="BF384" s="81"/>
      <c r="BG384" s="81"/>
      <c r="BH384" s="81"/>
      <c r="BI384" s="81"/>
      <c r="BJ384" s="81"/>
      <c r="BK384" s="81"/>
      <c r="BL384" s="81"/>
      <c r="BM384" s="81"/>
      <c r="BN384" s="66"/>
      <c r="BO384" s="66"/>
      <c r="BP384" s="66"/>
      <c r="BQ384" s="66" t="str">
        <f>PROPER(TEXT(Prog_23[[#This Row],[PROGRAMAÇÃO CLIENTE]],"mmm"))</f>
        <v>Jan</v>
      </c>
      <c r="BR384" s="66">
        <f>YEAR(Prog_23[[#This Row],[PROGRAMAÇÃO CLIENTE]])</f>
        <v>1900</v>
      </c>
    </row>
    <row r="385" spans="1:70" x14ac:dyDescent="0.25">
      <c r="A385" s="201" t="str">
        <f>Prog_23[[#This Row],[CONTEINER]]</f>
        <v>10 MODULOS</v>
      </c>
      <c r="B385" s="86" t="s">
        <v>2909</v>
      </c>
      <c r="C3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385" s="85"/>
      <c r="E385" s="66"/>
      <c r="F385" s="66"/>
      <c r="G385" s="66"/>
      <c r="H385" s="44" t="s">
        <v>5652</v>
      </c>
      <c r="I385" s="44" t="s">
        <v>5671</v>
      </c>
      <c r="J385" s="66"/>
      <c r="K385" s="66"/>
      <c r="L385" s="66"/>
      <c r="M385" s="66">
        <v>13400</v>
      </c>
      <c r="N385" s="66">
        <f>SUM(Prog_23[[#This Row],[TARA]]+Prog_23[[#This Row],[PESO]])</f>
        <v>13400</v>
      </c>
      <c r="O385" s="44">
        <v>53751</v>
      </c>
      <c r="P385" s="66"/>
      <c r="Q385" s="66"/>
      <c r="R385" s="66"/>
      <c r="S385" s="66"/>
      <c r="T385" s="138" t="str">
        <f>IFERROR(LOOKUP($S385,MOTORISTAS!$D$3:$D$916,MOTORISTAS!E$3:$E$916),"")</f>
        <v/>
      </c>
      <c r="U385" s="138" t="str">
        <f>IFERROR(LOOKUP($S385,MOTORISTAS!$D$3:$D$916,MOTORISTAS!F$3:$F$916),"")</f>
        <v/>
      </c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44"/>
      <c r="AG385" s="254">
        <f>Prog_23[[#This Row],[SAÍDA DO CLIENTE]]-Prog_23[[#This Row],[PROGRAMAÇÃO CLIENTE]]</f>
        <v>0</v>
      </c>
      <c r="AH385" s="44"/>
      <c r="AI385" s="66"/>
      <c r="AJ385" s="66"/>
      <c r="AK385" s="66"/>
      <c r="AL385" s="66"/>
      <c r="AM385" s="66"/>
      <c r="AN385" s="83"/>
      <c r="AO385" s="83"/>
      <c r="AP385" s="83"/>
      <c r="AQ385" s="66"/>
      <c r="AR385" s="66"/>
      <c r="AS385" s="66"/>
      <c r="AT385" s="81"/>
      <c r="AU385" s="81"/>
      <c r="AV385" s="81"/>
      <c r="AW385" s="81"/>
      <c r="AX385" s="83">
        <f>SUM(Prog_23[[#This Row],[ADIANTAMENTO]]+Prog_23[[#This Row],[SALDO]]+Prog_23[[#This Row],[MARGEM]]+Prog_23[[#This Row],[ESTADIA 1]])</f>
        <v>0</v>
      </c>
      <c r="AY3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85" s="81"/>
      <c r="BA385" s="81"/>
      <c r="BB385" s="81">
        <f>Prog_23[[#This Row],[VLR NF]]*0.1%</f>
        <v>0</v>
      </c>
      <c r="BC385" s="81">
        <f>Prog_23[[#This Row],[VLR NF]]*0.05%</f>
        <v>0</v>
      </c>
      <c r="BD385" s="81"/>
      <c r="BE385" s="81"/>
      <c r="BF385" s="81"/>
      <c r="BG385" s="81"/>
      <c r="BH385" s="81"/>
      <c r="BI385" s="81"/>
      <c r="BJ385" s="81"/>
      <c r="BK385" s="81"/>
      <c r="BL385" s="81"/>
      <c r="BM385" s="81"/>
      <c r="BN385" s="66"/>
      <c r="BO385" s="66"/>
      <c r="BP385" s="66"/>
      <c r="BQ385" s="66" t="str">
        <f>PROPER(TEXT(Prog_23[[#This Row],[PROGRAMAÇÃO CLIENTE]],"mmm"))</f>
        <v>Jan</v>
      </c>
      <c r="BR385" s="66">
        <f>YEAR(Prog_23[[#This Row],[PROGRAMAÇÃO CLIENTE]])</f>
        <v>1900</v>
      </c>
    </row>
    <row r="386" spans="1:70" x14ac:dyDescent="0.25">
      <c r="A386" s="200" t="str">
        <f>Prog_23[[#This Row],[CONTEINER]]</f>
        <v>3 MODULOS</v>
      </c>
      <c r="B386" s="86" t="s">
        <v>2909</v>
      </c>
      <c r="C3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386" s="85"/>
      <c r="E386" s="66"/>
      <c r="F386" s="66"/>
      <c r="G386" s="66"/>
      <c r="H386" s="44" t="s">
        <v>5652</v>
      </c>
      <c r="I386" s="44" t="s">
        <v>5669</v>
      </c>
      <c r="J386" s="66"/>
      <c r="K386" s="66"/>
      <c r="L386" s="66"/>
      <c r="M386" s="66">
        <v>9000</v>
      </c>
      <c r="N386" s="66">
        <f>SUM(Prog_23[[#This Row],[TARA]]+Prog_23[[#This Row],[PESO]])</f>
        <v>9000</v>
      </c>
      <c r="O386" s="44">
        <v>53753</v>
      </c>
      <c r="P386" s="66"/>
      <c r="Q386" s="66"/>
      <c r="R386" s="66"/>
      <c r="S386" s="66"/>
      <c r="T386" s="138" t="str">
        <f>IFERROR(LOOKUP($S386,MOTORISTAS!$D$3:$D$916,MOTORISTAS!E$3:$E$916),"")</f>
        <v/>
      </c>
      <c r="U386" s="138" t="str">
        <f>IFERROR(LOOKUP($S386,MOTORISTAS!$D$3:$D$916,MOTORISTAS!F$3:$F$916),"")</f>
        <v/>
      </c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44"/>
      <c r="AG386" s="254">
        <f>Prog_23[[#This Row],[SAÍDA DO CLIENTE]]-Prog_23[[#This Row],[PROGRAMAÇÃO CLIENTE]]</f>
        <v>0</v>
      </c>
      <c r="AH386" s="44"/>
      <c r="AI386" s="66"/>
      <c r="AJ386" s="66"/>
      <c r="AK386" s="66"/>
      <c r="AL386" s="66"/>
      <c r="AM386" s="66"/>
      <c r="AN386" s="83"/>
      <c r="AO386" s="83"/>
      <c r="AP386" s="83"/>
      <c r="AQ386" s="66"/>
      <c r="AR386" s="66"/>
      <c r="AS386" s="66"/>
      <c r="AT386" s="81"/>
      <c r="AU386" s="81"/>
      <c r="AV386" s="81"/>
      <c r="AW386" s="81"/>
      <c r="AX386" s="83">
        <f>SUM(Prog_23[[#This Row],[ADIANTAMENTO]]+Prog_23[[#This Row],[SALDO]]+Prog_23[[#This Row],[MARGEM]]+Prog_23[[#This Row],[ESTADIA 1]])</f>
        <v>0</v>
      </c>
      <c r="AY3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386" s="81"/>
      <c r="BA386" s="81"/>
      <c r="BB386" s="81">
        <f>Prog_23[[#This Row],[VLR NF]]*0.1%</f>
        <v>0</v>
      </c>
      <c r="BC386" s="81">
        <f>Prog_23[[#This Row],[VLR NF]]*0.05%</f>
        <v>0</v>
      </c>
      <c r="BD386" s="81"/>
      <c r="BE386" s="81"/>
      <c r="BF386" s="81"/>
      <c r="BG386" s="81"/>
      <c r="BH386" s="81"/>
      <c r="BI386" s="81"/>
      <c r="BJ386" s="81"/>
      <c r="BK386" s="81"/>
      <c r="BL386" s="81"/>
      <c r="BM386" s="81"/>
      <c r="BN386" s="66"/>
      <c r="BO386" s="66"/>
      <c r="BP386" s="66"/>
      <c r="BQ386" s="66" t="str">
        <f>PROPER(TEXT(Prog_23[[#This Row],[PROGRAMAÇÃO CLIENTE]],"mmm"))</f>
        <v>Jan</v>
      </c>
      <c r="BR386" s="66">
        <f>YEAR(Prog_23[[#This Row],[PROGRAMAÇÃO CLIENTE]])</f>
        <v>1900</v>
      </c>
    </row>
    <row r="387" spans="1:70" x14ac:dyDescent="0.25">
      <c r="A387" s="200" t="str">
        <f>Prog_23[[#This Row],[CONTEINER]]</f>
        <v>MRSU4170948</v>
      </c>
      <c r="B387" s="86" t="s">
        <v>2771</v>
      </c>
      <c r="C3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87" s="85">
        <v>45126.291666666664</v>
      </c>
      <c r="E387" s="66" t="s">
        <v>5479</v>
      </c>
      <c r="F387" s="66" t="s">
        <v>5279</v>
      </c>
      <c r="G387" s="66"/>
      <c r="H387" s="44">
        <v>228729634</v>
      </c>
      <c r="I387" s="44" t="s">
        <v>5649</v>
      </c>
      <c r="J387" s="66" t="s">
        <v>301</v>
      </c>
      <c r="K387" s="66">
        <v>3810</v>
      </c>
      <c r="L387" s="66" t="s">
        <v>5650</v>
      </c>
      <c r="M387" s="66">
        <v>25160</v>
      </c>
      <c r="N387" s="66">
        <f>SUM(Prog_23[[#This Row],[TARA]]+Prog_23[[#This Row],[PESO]])</f>
        <v>28970</v>
      </c>
      <c r="O387" s="44">
        <v>5777</v>
      </c>
      <c r="P387" s="66" t="s">
        <v>5478</v>
      </c>
      <c r="Q387" s="66" t="s">
        <v>106</v>
      </c>
      <c r="R387" s="66" t="s">
        <v>107</v>
      </c>
      <c r="S387" s="66" t="s">
        <v>108</v>
      </c>
      <c r="T387" s="138" t="str">
        <f>IFERROR(LOOKUP($S387,MOTORISTAS!$D$3:$D$916,MOTORISTAS!E$3:$E$916),"")</f>
        <v>34927982840</v>
      </c>
      <c r="U387" s="138" t="str">
        <f>IFERROR(LOOKUP($S387,MOTORISTAS!$D$3:$D$916,MOTORISTAS!F$3:$F$916),"")</f>
        <v>03500129879</v>
      </c>
      <c r="V387" s="66" t="s">
        <v>409</v>
      </c>
      <c r="W387" s="79">
        <v>45125.473611111112</v>
      </c>
      <c r="X387" s="79">
        <v>45126.298611111109</v>
      </c>
      <c r="Y387" s="79">
        <v>45126.541666666664</v>
      </c>
      <c r="Z387" s="66" t="s">
        <v>306</v>
      </c>
      <c r="AA387" s="79">
        <v>45126.78402777778</v>
      </c>
      <c r="AB387" s="79">
        <v>45125.041666666664</v>
      </c>
      <c r="AC387" s="79">
        <v>45125.5</v>
      </c>
      <c r="AD387" s="79">
        <v>45128.5</v>
      </c>
      <c r="AE387" s="66" t="s">
        <v>5480</v>
      </c>
      <c r="AF387" s="44">
        <v>16777</v>
      </c>
      <c r="AG387" s="254">
        <f>Prog_23[[#This Row],[SAÍDA DO CLIENTE]]-Prog_23[[#This Row],[PROGRAMAÇÃO CLIENTE]]</f>
        <v>0.25</v>
      </c>
      <c r="AH387" s="44"/>
      <c r="AI387" s="66"/>
      <c r="AJ387" s="66" t="s">
        <v>3346</v>
      </c>
      <c r="AK387" s="66"/>
      <c r="AL387" s="66"/>
      <c r="AM387" s="66"/>
      <c r="AN387" s="83"/>
      <c r="AO387" s="83"/>
      <c r="AP387" s="83"/>
      <c r="AQ387" s="66"/>
      <c r="AR387" s="66"/>
      <c r="AS387" s="66"/>
      <c r="AT387" s="81">
        <v>2400</v>
      </c>
      <c r="AU387" s="81"/>
      <c r="AV387" s="81">
        <v>200</v>
      </c>
      <c r="AW387" s="81"/>
      <c r="AX387" s="83">
        <f>SUM(Prog_23[[#This Row],[ADIANTAMENTO]]+Prog_23[[#This Row],[SALDO]]+Prog_23[[#This Row],[MARGEM]]+Prog_23[[#This Row],[ESTADIA 1]])</f>
        <v>2600</v>
      </c>
      <c r="AY3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3555.9607850000002</v>
      </c>
      <c r="AZ387" s="81">
        <v>2450</v>
      </c>
      <c r="BA387" s="81">
        <v>139307.19</v>
      </c>
      <c r="BB387" s="81">
        <f>Prog_23[[#This Row],[VLR NF]]*0.1%</f>
        <v>139.30718999999999</v>
      </c>
      <c r="BC387" s="81">
        <f>Prog_23[[#This Row],[VLR NF]]*0.05%</f>
        <v>69.653594999999996</v>
      </c>
      <c r="BD387" s="81">
        <v>352</v>
      </c>
      <c r="BE387" s="81"/>
      <c r="BF387" s="81">
        <f>Prog_23[[#This Row],[FRETE PESO]]*10%</f>
        <v>245</v>
      </c>
      <c r="BG387" s="81"/>
      <c r="BH387" s="81"/>
      <c r="BI387" s="81"/>
      <c r="BJ387" s="81"/>
      <c r="BK387" s="81"/>
      <c r="BL387" s="81">
        <v>300</v>
      </c>
      <c r="BM387" s="81"/>
      <c r="BN387" s="66" t="s">
        <v>2768</v>
      </c>
      <c r="BO387" s="66" t="s">
        <v>2768</v>
      </c>
      <c r="BP387" s="66" t="s">
        <v>2768</v>
      </c>
      <c r="BQ387" s="66" t="str">
        <f>PROPER(TEXT(Prog_23[[#This Row],[PROGRAMAÇÃO CLIENTE]],"mmm"))</f>
        <v>Jul</v>
      </c>
      <c r="BR387" s="66">
        <f>YEAR(Prog_23[[#This Row],[PROGRAMAÇÃO CLIENTE]])</f>
        <v>2023</v>
      </c>
    </row>
    <row r="388" spans="1:70" x14ac:dyDescent="0.25">
      <c r="A388" s="201" t="str">
        <f>Prog_23[[#This Row],[CONTEINER]]</f>
        <v>GCXU5589405</v>
      </c>
      <c r="B388" s="86" t="s">
        <v>2771</v>
      </c>
      <c r="C3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88" s="85">
        <v>45127.333333333336</v>
      </c>
      <c r="E388" s="66" t="s">
        <v>5642</v>
      </c>
      <c r="F388" s="66" t="s">
        <v>5640</v>
      </c>
      <c r="G388" s="66" t="s">
        <v>5643</v>
      </c>
      <c r="H388" s="44">
        <v>229037664</v>
      </c>
      <c r="I388" s="44" t="s">
        <v>5653</v>
      </c>
      <c r="J388" s="66" t="s">
        <v>301</v>
      </c>
      <c r="K388" s="66">
        <v>3700</v>
      </c>
      <c r="L388" s="66" t="s">
        <v>5654</v>
      </c>
      <c r="M388" s="66">
        <v>26568</v>
      </c>
      <c r="N388" s="66">
        <f>SUM(Prog_23[[#This Row],[TARA]]+Prog_23[[#This Row],[PESO]])</f>
        <v>30268</v>
      </c>
      <c r="O388" s="44">
        <v>48949</v>
      </c>
      <c r="P388" s="66" t="s">
        <v>5543</v>
      </c>
      <c r="Q388" s="66" t="s">
        <v>92</v>
      </c>
      <c r="R388" s="66" t="s">
        <v>93</v>
      </c>
      <c r="S388" s="66" t="s">
        <v>94</v>
      </c>
      <c r="T388" s="138" t="str">
        <f>IFERROR(LOOKUP($S388,MOTORISTAS!$D$3:$D$916,MOTORISTAS!E$3:$E$916),"")</f>
        <v>26283419801</v>
      </c>
      <c r="U388" s="138" t="str">
        <f>IFERROR(LOOKUP($S388,MOTORISTAS!$D$3:$D$916,MOTORISTAS!F$3:$F$916),"")</f>
        <v>02002046946</v>
      </c>
      <c r="V388" s="66" t="s">
        <v>409</v>
      </c>
      <c r="W388" s="79">
        <v>45126.468055555553</v>
      </c>
      <c r="X388" s="79">
        <v>45127.013888888891</v>
      </c>
      <c r="Y388" s="79">
        <v>45127.708333333336</v>
      </c>
      <c r="Z388" s="66" t="s">
        <v>410</v>
      </c>
      <c r="AA388" s="79">
        <v>45133.415972222225</v>
      </c>
      <c r="AB388" s="79">
        <v>45129.291666666664</v>
      </c>
      <c r="AC388" s="79">
        <v>45128.5</v>
      </c>
      <c r="AD388" s="79">
        <v>45133.75</v>
      </c>
      <c r="AE388" s="66" t="s">
        <v>5641</v>
      </c>
      <c r="AF388" s="44" t="s">
        <v>5731</v>
      </c>
      <c r="AG388" s="254">
        <f>Prog_23[[#This Row],[SAÍDA DO CLIENTE]]-Prog_23[[#This Row],[PROGRAMAÇÃO CLIENTE]]</f>
        <v>0.375</v>
      </c>
      <c r="AH388" s="44"/>
      <c r="AI388" s="66"/>
      <c r="AJ388" s="66"/>
      <c r="AK388" s="66" t="s">
        <v>393</v>
      </c>
      <c r="AL388" s="79">
        <v>45128.270833333336</v>
      </c>
      <c r="AM388" s="66"/>
      <c r="AN388" s="83">
        <v>1000</v>
      </c>
      <c r="AO388" s="83">
        <v>20</v>
      </c>
      <c r="AP388" s="83"/>
      <c r="AQ388" s="66"/>
      <c r="AR388" s="66"/>
      <c r="AS388" s="66"/>
      <c r="AT388" s="81">
        <v>7000</v>
      </c>
      <c r="AU388" s="81"/>
      <c r="AV388" s="81"/>
      <c r="AW388" s="81"/>
      <c r="AX388" s="83">
        <f>SUM(Prog_23[[#This Row],[ADIANTAMENTO]]+Prog_23[[#This Row],[SALDO]]+Prog_23[[#This Row],[MARGEM]]+Prog_23[[#This Row],[ESTADIA 1]])</f>
        <v>7000</v>
      </c>
      <c r="AY3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9766.56</v>
      </c>
      <c r="AZ388" s="81">
        <v>7950</v>
      </c>
      <c r="BA388" s="81">
        <v>118560</v>
      </c>
      <c r="BB388" s="81">
        <f>Prog_23[[#This Row],[VLR NF]]*0.1%</f>
        <v>118.56</v>
      </c>
      <c r="BC388" s="81">
        <v>0</v>
      </c>
      <c r="BD388" s="81">
        <v>1698</v>
      </c>
      <c r="BE388" s="81"/>
      <c r="BF388" s="81"/>
      <c r="BG388" s="81"/>
      <c r="BH388" s="81"/>
      <c r="BI388" s="81"/>
      <c r="BJ388" s="81"/>
      <c r="BK388" s="81"/>
      <c r="BL388" s="81"/>
      <c r="BM388" s="81"/>
      <c r="BN388" s="66" t="s">
        <v>2768</v>
      </c>
      <c r="BO388" s="66" t="s">
        <v>2768</v>
      </c>
      <c r="BP388" s="66" t="s">
        <v>2768</v>
      </c>
      <c r="BQ388" s="66" t="str">
        <f>PROPER(TEXT(Prog_23[[#This Row],[PROGRAMAÇÃO CLIENTE]],"mmm"))</f>
        <v>Jul</v>
      </c>
      <c r="BR388" s="66">
        <f>YEAR(Prog_23[[#This Row],[PROGRAMAÇÃO CLIENTE]])</f>
        <v>2023</v>
      </c>
    </row>
    <row r="389" spans="1:70" x14ac:dyDescent="0.25">
      <c r="A389" s="201" t="str">
        <f>Prog_23[[#This Row],[CONTEINER]]</f>
        <v>FANU1199763</v>
      </c>
      <c r="B389" s="86" t="s">
        <v>2771</v>
      </c>
      <c r="C3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89" s="85">
        <v>45128.375</v>
      </c>
      <c r="E389" s="66" t="s">
        <v>297</v>
      </c>
      <c r="F389" s="66" t="s">
        <v>298</v>
      </c>
      <c r="G389" s="66" t="s">
        <v>5656</v>
      </c>
      <c r="H389" s="44">
        <v>60230857</v>
      </c>
      <c r="I389" s="44" t="s">
        <v>5689</v>
      </c>
      <c r="J389" s="66" t="s">
        <v>301</v>
      </c>
      <c r="K389" s="66">
        <v>3680</v>
      </c>
      <c r="L389" s="66" t="s">
        <v>5690</v>
      </c>
      <c r="M389" s="66">
        <v>23493</v>
      </c>
      <c r="N389" s="66">
        <f>SUM(Prog_23[[#This Row],[TARA]]+Prog_23[[#This Row],[PESO]])</f>
        <v>27173</v>
      </c>
      <c r="O389" s="44">
        <v>884612</v>
      </c>
      <c r="P389" s="66" t="s">
        <v>5658</v>
      </c>
      <c r="Q389" s="66" t="s">
        <v>3708</v>
      </c>
      <c r="R389" s="66" t="s">
        <v>3709</v>
      </c>
      <c r="S389" s="66" t="s">
        <v>84</v>
      </c>
      <c r="T389" s="138" t="str">
        <f>IFERROR(LOOKUP($S389,MOTORISTAS!$D$3:$D$916,MOTORISTAS!E$3:$E$916),"")</f>
        <v>15921106810</v>
      </c>
      <c r="U389" s="138" t="str">
        <f>IFERROR(LOOKUP($S389,MOTORISTAS!$D$3:$D$916,MOTORISTAS!F$3:$F$916),"")</f>
        <v>02351127968</v>
      </c>
      <c r="V389" s="66" t="s">
        <v>537</v>
      </c>
      <c r="W389" s="79">
        <v>45127.895138888889</v>
      </c>
      <c r="X389" s="79">
        <v>45128.0625</v>
      </c>
      <c r="Y389" s="79">
        <v>45128.458333333336</v>
      </c>
      <c r="Z389" s="66" t="s">
        <v>293</v>
      </c>
      <c r="AA389" s="79">
        <v>45137.895833333336</v>
      </c>
      <c r="AB389" s="79">
        <v>45135.291666666664</v>
      </c>
      <c r="AC389" s="79">
        <v>45132.75</v>
      </c>
      <c r="AD389" s="79">
        <v>45135.5</v>
      </c>
      <c r="AE389" s="66" t="s">
        <v>2743</v>
      </c>
      <c r="AF389" s="44">
        <v>16806</v>
      </c>
      <c r="AG389" s="254">
        <f>Prog_23[[#This Row],[SAÍDA DO CLIENTE]]-Prog_23[[#This Row],[PROGRAMAÇÃO CLIENTE]]</f>
        <v>8.3333333335758653E-2</v>
      </c>
      <c r="AH389" s="44"/>
      <c r="AI389" s="66"/>
      <c r="AJ389" s="66"/>
      <c r="AK389" s="66" t="s">
        <v>393</v>
      </c>
      <c r="AL389" s="79">
        <v>45128.625</v>
      </c>
      <c r="AM389" s="66"/>
      <c r="AN389" s="83">
        <v>950</v>
      </c>
      <c r="AO389" s="83"/>
      <c r="AP389" s="83"/>
      <c r="AQ389" s="66"/>
      <c r="AR389" s="66"/>
      <c r="AS389" s="66"/>
      <c r="AT389" s="81">
        <v>3000</v>
      </c>
      <c r="AU389" s="81"/>
      <c r="AV389" s="81">
        <v>200</v>
      </c>
      <c r="AW389" s="81"/>
      <c r="AX389" s="83">
        <f>SUM(Prog_23[[#This Row],[ADIANTAMENTO]]+Prog_23[[#This Row],[SALDO]]+Prog_23[[#This Row],[MARGEM]]+Prog_23[[#This Row],[ESTADIA 1]])</f>
        <v>3200</v>
      </c>
      <c r="AY3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89" s="81">
        <v>3488.8</v>
      </c>
      <c r="BA389" s="81">
        <v>93555.41</v>
      </c>
      <c r="BB389" s="81">
        <v>0</v>
      </c>
      <c r="BC389" s="81">
        <v>0</v>
      </c>
      <c r="BD389" s="81">
        <v>511.2</v>
      </c>
      <c r="BE389" s="81"/>
      <c r="BF389" s="81"/>
      <c r="BG389" s="81"/>
      <c r="BH389" s="81"/>
      <c r="BI389" s="81"/>
      <c r="BJ389" s="81"/>
      <c r="BK389" s="81"/>
      <c r="BL389" s="81">
        <v>250</v>
      </c>
      <c r="BM389" s="81"/>
      <c r="BN389" s="66" t="s">
        <v>2768</v>
      </c>
      <c r="BO389" s="66" t="s">
        <v>2768</v>
      </c>
      <c r="BP389" s="66" t="s">
        <v>2768</v>
      </c>
      <c r="BQ389" s="66" t="str">
        <f>PROPER(TEXT(Prog_23[[#This Row],[PROGRAMAÇÃO CLIENTE]],"mmm"))</f>
        <v>Jul</v>
      </c>
      <c r="BR389" s="66">
        <f>YEAR(Prog_23[[#This Row],[PROGRAMAÇÃO CLIENTE]])</f>
        <v>2023</v>
      </c>
    </row>
    <row r="390" spans="1:70" x14ac:dyDescent="0.25">
      <c r="A390" s="200" t="str">
        <f>Prog_23[[#This Row],[CONTEINER]]</f>
        <v>FANU3193316</v>
      </c>
      <c r="B390" s="86" t="s">
        <v>2771</v>
      </c>
      <c r="C3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90" s="85">
        <v>45128.541666666664</v>
      </c>
      <c r="E390" s="66" t="s">
        <v>297</v>
      </c>
      <c r="F390" s="66" t="s">
        <v>298</v>
      </c>
      <c r="G390" s="66" t="s">
        <v>5657</v>
      </c>
      <c r="H390" s="44">
        <v>60230857</v>
      </c>
      <c r="I390" s="44" t="s">
        <v>5692</v>
      </c>
      <c r="J390" s="66" t="s">
        <v>301</v>
      </c>
      <c r="K390" s="66">
        <v>3680</v>
      </c>
      <c r="L390" s="66" t="s">
        <v>5693</v>
      </c>
      <c r="M390" s="66">
        <v>23493</v>
      </c>
      <c r="N390" s="66">
        <f>SUM(Prog_23[[#This Row],[TARA]]+Prog_23[[#This Row],[PESO]])</f>
        <v>27173</v>
      </c>
      <c r="O390" s="44">
        <v>884664</v>
      </c>
      <c r="P390" s="66" t="s">
        <v>5658</v>
      </c>
      <c r="Q390" s="66" t="s">
        <v>192</v>
      </c>
      <c r="R390" s="66" t="s">
        <v>193</v>
      </c>
      <c r="S390" s="66" t="s">
        <v>194</v>
      </c>
      <c r="T390" s="138" t="str">
        <f>IFERROR(LOOKUP($S390,MOTORISTAS!$D$3:$D$916,MOTORISTAS!E$3:$E$916),"")</f>
        <v>38529612892</v>
      </c>
      <c r="U390" s="138" t="str">
        <f>IFERROR(LOOKUP($S390,MOTORISTAS!$D$3:$D$916,MOTORISTAS!F$3:$F$916),"")</f>
        <v>05021398574</v>
      </c>
      <c r="V390" s="66" t="s">
        <v>537</v>
      </c>
      <c r="W390" s="79">
        <v>45128.371527777781</v>
      </c>
      <c r="X390" s="79">
        <v>45128.520833333336</v>
      </c>
      <c r="Y390" s="79">
        <v>45128.666666666664</v>
      </c>
      <c r="Z390" s="66" t="s">
        <v>293</v>
      </c>
      <c r="AA390" s="79">
        <v>45137.982638888891</v>
      </c>
      <c r="AB390" s="79">
        <v>45135.291666666664</v>
      </c>
      <c r="AC390" s="79">
        <v>45132.75</v>
      </c>
      <c r="AD390" s="79">
        <v>45135.5</v>
      </c>
      <c r="AE390" s="66" t="s">
        <v>2743</v>
      </c>
      <c r="AF390" s="44">
        <v>16812</v>
      </c>
      <c r="AG390" s="254">
        <f>Prog_23[[#This Row],[SAÍDA DO CLIENTE]]-Prog_23[[#This Row],[PROGRAMAÇÃO CLIENTE]]</f>
        <v>0.125</v>
      </c>
      <c r="AH390" s="44"/>
      <c r="AI390" s="66"/>
      <c r="AJ390" s="66"/>
      <c r="AK390" s="66" t="s">
        <v>393</v>
      </c>
      <c r="AL390" s="79">
        <v>45128.875</v>
      </c>
      <c r="AM390" s="66"/>
      <c r="AN390" s="83">
        <v>950</v>
      </c>
      <c r="AO390" s="83"/>
      <c r="AP390" s="83"/>
      <c r="AQ390" s="66"/>
      <c r="AR390" s="66"/>
      <c r="AS390" s="66"/>
      <c r="AT390" s="81">
        <v>3000</v>
      </c>
      <c r="AU390" s="81"/>
      <c r="AV390" s="81">
        <v>200</v>
      </c>
      <c r="AW390" s="81"/>
      <c r="AX390" s="83">
        <f>SUM(Prog_23[[#This Row],[ADIANTAMENTO]]+Prog_23[[#This Row],[SALDO]]+Prog_23[[#This Row],[MARGEM]]+Prog_23[[#This Row],[ESTADIA 1]])</f>
        <v>3200</v>
      </c>
      <c r="AY3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90" s="81">
        <v>3488.8</v>
      </c>
      <c r="BA390" s="81">
        <v>93555.41</v>
      </c>
      <c r="BB390" s="81">
        <v>0</v>
      </c>
      <c r="BC390" s="81">
        <v>0</v>
      </c>
      <c r="BD390" s="81">
        <v>511.2</v>
      </c>
      <c r="BE390" s="81"/>
      <c r="BF390" s="81"/>
      <c r="BG390" s="81"/>
      <c r="BH390" s="81"/>
      <c r="BI390" s="81"/>
      <c r="BJ390" s="81"/>
      <c r="BK390" s="81"/>
      <c r="BL390" s="81">
        <v>250</v>
      </c>
      <c r="BM390" s="81"/>
      <c r="BN390" s="66" t="s">
        <v>2768</v>
      </c>
      <c r="BO390" s="66" t="s">
        <v>2768</v>
      </c>
      <c r="BP390" s="66" t="s">
        <v>2768</v>
      </c>
      <c r="BQ390" s="66" t="str">
        <f>PROPER(TEXT(Prog_23[[#This Row],[PROGRAMAÇÃO CLIENTE]],"mmm"))</f>
        <v>Jul</v>
      </c>
      <c r="BR390" s="66">
        <f>YEAR(Prog_23[[#This Row],[PROGRAMAÇÃO CLIENTE]])</f>
        <v>2023</v>
      </c>
    </row>
    <row r="391" spans="1:70" x14ac:dyDescent="0.25">
      <c r="A391" s="200" t="str">
        <f>Prog_23[[#This Row],[CONTEINER]]</f>
        <v>TCLU5044041</v>
      </c>
      <c r="B391" s="86" t="s">
        <v>2771</v>
      </c>
      <c r="C3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91" s="85">
        <v>45129.375</v>
      </c>
      <c r="E391" s="66" t="s">
        <v>297</v>
      </c>
      <c r="F391" s="66" t="s">
        <v>298</v>
      </c>
      <c r="G391" s="251" t="s">
        <v>5659</v>
      </c>
      <c r="H391" s="44">
        <v>61561708</v>
      </c>
      <c r="I391" s="44" t="s">
        <v>5700</v>
      </c>
      <c r="J391" s="66" t="s">
        <v>301</v>
      </c>
      <c r="K391" s="66">
        <v>3880</v>
      </c>
      <c r="L391" s="66" t="s">
        <v>5701</v>
      </c>
      <c r="M391" s="66">
        <v>23873</v>
      </c>
      <c r="N391" s="66">
        <f>SUM(Prog_23[[#This Row],[TARA]]+Prog_23[[#This Row],[PESO]])</f>
        <v>27753</v>
      </c>
      <c r="O391" s="44">
        <v>884872</v>
      </c>
      <c r="P391" s="66" t="s">
        <v>5658</v>
      </c>
      <c r="Q391" s="66" t="s">
        <v>150</v>
      </c>
      <c r="R391" s="66" t="s">
        <v>151</v>
      </c>
      <c r="S391" s="66" t="s">
        <v>4901</v>
      </c>
      <c r="T391" s="138" t="str">
        <f>IFERROR(LOOKUP($S391,MOTORISTAS!$D$3:$D$916,MOTORISTAS!E$3:$E$916),"")</f>
        <v>25538214842</v>
      </c>
      <c r="U391" s="138" t="str">
        <f>IFERROR(LOOKUP($S391,MOTORISTAS!$D$3:$D$916,MOTORISTAS!F$3:$F$916),"")</f>
        <v>01845110101</v>
      </c>
      <c r="V391" s="66" t="s">
        <v>292</v>
      </c>
      <c r="W391" s="79">
        <v>45129.004861111112</v>
      </c>
      <c r="X391" s="79">
        <v>45129.375</v>
      </c>
      <c r="Y391" s="79">
        <v>45129.583333333336</v>
      </c>
      <c r="Z391" s="66" t="s">
        <v>293</v>
      </c>
      <c r="AA391" s="79">
        <v>45137.984722222223</v>
      </c>
      <c r="AB391" s="79">
        <v>45135.291666666664</v>
      </c>
      <c r="AC391" s="79">
        <v>45132.75</v>
      </c>
      <c r="AD391" s="79">
        <v>45135.5</v>
      </c>
      <c r="AE391" s="66" t="s">
        <v>2743</v>
      </c>
      <c r="AF391" s="44">
        <v>16821</v>
      </c>
      <c r="AG391" s="254">
        <f>Prog_23[[#This Row],[SAÍDA DO CLIENTE]]-Prog_23[[#This Row],[PROGRAMAÇÃO CLIENTE]]</f>
        <v>0.20833333333575865</v>
      </c>
      <c r="AH391" s="44"/>
      <c r="AI391" s="66"/>
      <c r="AJ391" s="66"/>
      <c r="AK391" s="66" t="s">
        <v>393</v>
      </c>
      <c r="AL391" s="79">
        <v>45131.364583333336</v>
      </c>
      <c r="AM391" s="66"/>
      <c r="AN391" s="83">
        <v>950</v>
      </c>
      <c r="AO391" s="83"/>
      <c r="AP391" s="83"/>
      <c r="AQ391" s="66"/>
      <c r="AR391" s="66"/>
      <c r="AS391" s="66"/>
      <c r="AT391" s="81">
        <v>3000</v>
      </c>
      <c r="AU391" s="81"/>
      <c r="AV391" s="81">
        <v>200</v>
      </c>
      <c r="AW391" s="81"/>
      <c r="AX391" s="83">
        <f>SUM(Prog_23[[#This Row],[ADIANTAMENTO]]+Prog_23[[#This Row],[SALDO]]+Prog_23[[#This Row],[MARGEM]]+Prog_23[[#This Row],[ESTADIA 1]])</f>
        <v>3200</v>
      </c>
      <c r="AY3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91" s="81">
        <v>3488.8</v>
      </c>
      <c r="BA391" s="81">
        <v>169344</v>
      </c>
      <c r="BB391" s="81">
        <v>0</v>
      </c>
      <c r="BC391" s="81">
        <v>0</v>
      </c>
      <c r="BD391" s="81">
        <v>511.2</v>
      </c>
      <c r="BE391" s="81"/>
      <c r="BF391" s="81"/>
      <c r="BG391" s="81"/>
      <c r="BH391" s="81"/>
      <c r="BI391" s="81"/>
      <c r="BJ391" s="81"/>
      <c r="BK391" s="81"/>
      <c r="BL391" s="81">
        <v>250</v>
      </c>
      <c r="BM391" s="81"/>
      <c r="BN391" s="66" t="s">
        <v>2768</v>
      </c>
      <c r="BO391" s="66" t="s">
        <v>2768</v>
      </c>
      <c r="BP391" s="66" t="s">
        <v>2768</v>
      </c>
      <c r="BQ391" s="66" t="str">
        <f>PROPER(TEXT(Prog_23[[#This Row],[PROGRAMAÇÃO CLIENTE]],"mmm"))</f>
        <v>Jul</v>
      </c>
      <c r="BR391" s="66">
        <f>YEAR(Prog_23[[#This Row],[PROGRAMAÇÃO CLIENTE]])</f>
        <v>2023</v>
      </c>
    </row>
    <row r="392" spans="1:70" x14ac:dyDescent="0.25">
      <c r="A392" s="201" t="str">
        <f>Prog_23[[#This Row],[CONTEINER]]</f>
        <v>UACU5351659</v>
      </c>
      <c r="B392" s="86" t="s">
        <v>2771</v>
      </c>
      <c r="C3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392" s="85">
        <v>45129.5</v>
      </c>
      <c r="E392" s="66" t="s">
        <v>297</v>
      </c>
      <c r="F392" s="66" t="s">
        <v>298</v>
      </c>
      <c r="G392" s="251" t="s">
        <v>5660</v>
      </c>
      <c r="H392" s="44">
        <v>61561708</v>
      </c>
      <c r="I392" s="44" t="s">
        <v>5698</v>
      </c>
      <c r="J392" s="66" t="s">
        <v>301</v>
      </c>
      <c r="K392" s="66">
        <v>3970</v>
      </c>
      <c r="L392" s="66" t="s">
        <v>5699</v>
      </c>
      <c r="M392" s="66">
        <v>19006</v>
      </c>
      <c r="N392" s="66">
        <f>SUM(Prog_23[[#This Row],[TARA]]+Prog_23[[#This Row],[PESO]])</f>
        <v>22976</v>
      </c>
      <c r="O392" s="44">
        <v>884889</v>
      </c>
      <c r="P392" s="66" t="s">
        <v>5658</v>
      </c>
      <c r="Q392" s="66" t="s">
        <v>68</v>
      </c>
      <c r="R392" s="66" t="s">
        <v>36</v>
      </c>
      <c r="S392" s="66" t="s">
        <v>206</v>
      </c>
      <c r="T392" s="138" t="str">
        <f>IFERROR(LOOKUP($S392,MOTORISTAS!$D$3:$D$916,MOTORISTAS!E$3:$E$916),"")</f>
        <v>09085263425</v>
      </c>
      <c r="U392" s="138" t="str">
        <f>IFERROR(LOOKUP($S392,MOTORISTAS!$D$3:$D$916,MOTORISTAS!F$3:$F$916),"")</f>
        <v>04557705505</v>
      </c>
      <c r="V392" s="66" t="s">
        <v>292</v>
      </c>
      <c r="W392" s="79">
        <v>45128.968055555553</v>
      </c>
      <c r="X392" s="79">
        <v>45129.527777777781</v>
      </c>
      <c r="Y392" s="79">
        <v>45129.819444444445</v>
      </c>
      <c r="Z392" s="66" t="s">
        <v>293</v>
      </c>
      <c r="AA392" s="79">
        <v>45137.05972222222</v>
      </c>
      <c r="AB392" s="79">
        <v>45135.291666666664</v>
      </c>
      <c r="AC392" s="79">
        <v>45132.75</v>
      </c>
      <c r="AD392" s="79">
        <v>45135.5</v>
      </c>
      <c r="AE392" s="66" t="s">
        <v>2743</v>
      </c>
      <c r="AF392" s="44">
        <v>16826</v>
      </c>
      <c r="AG392" s="254">
        <f>Prog_23[[#This Row],[SAÍDA DO CLIENTE]]-Prog_23[[#This Row],[PROGRAMAÇÃO CLIENTE]]</f>
        <v>0.31944444444525288</v>
      </c>
      <c r="AH392" s="44"/>
      <c r="AI392" s="66"/>
      <c r="AJ392" s="66" t="s">
        <v>3346</v>
      </c>
      <c r="AK392" s="66" t="s">
        <v>393</v>
      </c>
      <c r="AL392" s="79">
        <v>45131.364583333336</v>
      </c>
      <c r="AM392" s="66"/>
      <c r="AN392" s="83">
        <v>950</v>
      </c>
      <c r="AO392" s="83"/>
      <c r="AP392" s="83"/>
      <c r="AQ392" s="66"/>
      <c r="AR392" s="66"/>
      <c r="AS392" s="66"/>
      <c r="AT392" s="81">
        <v>3000</v>
      </c>
      <c r="AU392" s="81"/>
      <c r="AV392" s="81">
        <v>200</v>
      </c>
      <c r="AW392" s="81"/>
      <c r="AX392" s="83">
        <f>SUM(Prog_23[[#This Row],[ADIANTAMENTO]]+Prog_23[[#This Row],[SALDO]]+Prog_23[[#This Row],[MARGEM]]+Prog_23[[#This Row],[ESTADIA 1]])</f>
        <v>3200</v>
      </c>
      <c r="AY3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92" s="81">
        <v>3488.8</v>
      </c>
      <c r="BA392" s="81">
        <v>121415.15</v>
      </c>
      <c r="BB392" s="81">
        <v>0</v>
      </c>
      <c r="BC392" s="81">
        <v>0</v>
      </c>
      <c r="BD392" s="81">
        <v>511.2</v>
      </c>
      <c r="BE392" s="81"/>
      <c r="BF392" s="81"/>
      <c r="BG392" s="81"/>
      <c r="BH392" s="81"/>
      <c r="BI392" s="81"/>
      <c r="BJ392" s="81"/>
      <c r="BK392" s="81"/>
      <c r="BL392" s="81">
        <v>250</v>
      </c>
      <c r="BM392" s="81"/>
      <c r="BN392" s="66" t="s">
        <v>2768</v>
      </c>
      <c r="BO392" s="66" t="s">
        <v>2768</v>
      </c>
      <c r="BP392" s="66" t="s">
        <v>2768</v>
      </c>
      <c r="BQ392" s="66" t="str">
        <f>PROPER(TEXT(Prog_23[[#This Row],[PROGRAMAÇÃO CLIENTE]],"mmm"))</f>
        <v>Jul</v>
      </c>
      <c r="BR392" s="66">
        <f>YEAR(Prog_23[[#This Row],[PROGRAMAÇÃO CLIENTE]])</f>
        <v>2023</v>
      </c>
    </row>
    <row r="393" spans="1:70" x14ac:dyDescent="0.25">
      <c r="A393" s="200" t="str">
        <f>Prog_23[[#This Row],[CONTEINER]]</f>
        <v>UACU5464655</v>
      </c>
      <c r="B393" s="86" t="s">
        <v>2771</v>
      </c>
      <c r="C3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93" s="85">
        <v>45131.375</v>
      </c>
      <c r="E393" s="66" t="s">
        <v>297</v>
      </c>
      <c r="F393" s="66" t="s">
        <v>298</v>
      </c>
      <c r="G393" s="251" t="s">
        <v>5662</v>
      </c>
      <c r="H393" s="44">
        <v>61561708</v>
      </c>
      <c r="I393" s="44" t="s">
        <v>5706</v>
      </c>
      <c r="J393" s="66" t="s">
        <v>301</v>
      </c>
      <c r="K393" s="66">
        <v>3970</v>
      </c>
      <c r="L393" s="66" t="s">
        <v>5707</v>
      </c>
      <c r="M393" s="66">
        <v>19006</v>
      </c>
      <c r="N393" s="66">
        <f>SUM(Prog_23[[#This Row],[TARA]]+Prog_23[[#This Row],[PESO]])</f>
        <v>22976</v>
      </c>
      <c r="O393" s="44">
        <v>885082</v>
      </c>
      <c r="P393" s="66" t="s">
        <v>5658</v>
      </c>
      <c r="Q393" s="66" t="s">
        <v>1661</v>
      </c>
      <c r="R393" s="66" t="s">
        <v>5134</v>
      </c>
      <c r="S393" s="66" t="s">
        <v>1663</v>
      </c>
      <c r="T393" s="138" t="str">
        <f>IFERROR(LOOKUP($S393,MOTORISTAS!$D$3:$D$916,MOTORISTAS!E$3:$E$916),"")</f>
        <v>73350419887</v>
      </c>
      <c r="U393" s="138" t="str">
        <f>IFERROR(LOOKUP($S393,MOTORISTAS!$D$3:$D$916,MOTORISTAS!F$3:$F$916),"")</f>
        <v>01449022605</v>
      </c>
      <c r="V393" s="66" t="s">
        <v>292</v>
      </c>
      <c r="W393" s="79">
        <v>45129.425000000003</v>
      </c>
      <c r="X393" s="79">
        <v>45131.260416666664</v>
      </c>
      <c r="Y393" s="79">
        <v>45131.541666666664</v>
      </c>
      <c r="Z393" s="66" t="s">
        <v>293</v>
      </c>
      <c r="AA393" s="79">
        <v>45136.012499999997</v>
      </c>
      <c r="AB393" s="79">
        <v>45135.291666666664</v>
      </c>
      <c r="AC393" s="79">
        <v>45132.75</v>
      </c>
      <c r="AD393" s="79">
        <v>45135.5</v>
      </c>
      <c r="AE393" s="66" t="s">
        <v>2743</v>
      </c>
      <c r="AF393" s="44">
        <v>16829</v>
      </c>
      <c r="AG393" s="254">
        <f>Prog_23[[#This Row],[SAÍDA DO CLIENTE]]-Prog_23[[#This Row],[PROGRAMAÇÃO CLIENTE]]</f>
        <v>0.16666666666424135</v>
      </c>
      <c r="AH393" s="44"/>
      <c r="AI393" s="66"/>
      <c r="AJ393" s="66"/>
      <c r="AK393" s="66" t="s">
        <v>393</v>
      </c>
      <c r="AL393" s="79">
        <v>45131.6875</v>
      </c>
      <c r="AM393" s="66"/>
      <c r="AN393" s="83">
        <v>950</v>
      </c>
      <c r="AO393" s="83"/>
      <c r="AP393" s="83"/>
      <c r="AQ393" s="66"/>
      <c r="AR393" s="66"/>
      <c r="AS393" s="66"/>
      <c r="AT393" s="81">
        <v>3000</v>
      </c>
      <c r="AU393" s="81"/>
      <c r="AV393" s="81">
        <v>200</v>
      </c>
      <c r="AW393" s="81"/>
      <c r="AX393" s="83">
        <f>SUM(Prog_23[[#This Row],[ADIANTAMENTO]]+Prog_23[[#This Row],[SALDO]]+Prog_23[[#This Row],[MARGEM]]+Prog_23[[#This Row],[ESTADIA 1]])</f>
        <v>3200</v>
      </c>
      <c r="AY3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93" s="81">
        <v>3488.8</v>
      </c>
      <c r="BA393" s="81">
        <v>121415.15</v>
      </c>
      <c r="BB393" s="81">
        <v>0</v>
      </c>
      <c r="BC393" s="81">
        <v>0</v>
      </c>
      <c r="BD393" s="81">
        <v>511.2</v>
      </c>
      <c r="BE393" s="81"/>
      <c r="BF393" s="81"/>
      <c r="BG393" s="81"/>
      <c r="BH393" s="81"/>
      <c r="BI393" s="81"/>
      <c r="BJ393" s="81"/>
      <c r="BK393" s="81"/>
      <c r="BL393" s="81">
        <v>250</v>
      </c>
      <c r="BM393" s="81"/>
      <c r="BN393" s="66" t="s">
        <v>2768</v>
      </c>
      <c r="BO393" s="66" t="s">
        <v>2768</v>
      </c>
      <c r="BP393" s="66" t="s">
        <v>2768</v>
      </c>
      <c r="BQ393" s="66" t="str">
        <f>PROPER(TEXT(Prog_23[[#This Row],[PROGRAMAÇÃO CLIENTE]],"mmm"))</f>
        <v>Jul</v>
      </c>
      <c r="BR393" s="66">
        <f>YEAR(Prog_23[[#This Row],[PROGRAMAÇÃO CLIENTE]])</f>
        <v>2023</v>
      </c>
    </row>
    <row r="394" spans="1:70" x14ac:dyDescent="0.25">
      <c r="A394" s="201" t="str">
        <f>Prog_23[[#This Row],[CONTEINER]]</f>
        <v>HLBU1622549</v>
      </c>
      <c r="B394" s="86" t="s">
        <v>2771</v>
      </c>
      <c r="C3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94" s="85">
        <v>45131.583333333336</v>
      </c>
      <c r="E394" s="66" t="s">
        <v>297</v>
      </c>
      <c r="F394" s="66" t="s">
        <v>298</v>
      </c>
      <c r="G394" s="251" t="s">
        <v>5661</v>
      </c>
      <c r="H394" s="44">
        <v>61561708</v>
      </c>
      <c r="I394" s="44" t="s">
        <v>5709</v>
      </c>
      <c r="J394" s="66" t="s">
        <v>301</v>
      </c>
      <c r="K394" s="66">
        <v>3900</v>
      </c>
      <c r="L394" s="66" t="s">
        <v>5710</v>
      </c>
      <c r="M394" s="66">
        <v>19006</v>
      </c>
      <c r="N394" s="66">
        <f>SUM(Prog_23[[#This Row],[TARA]]+Prog_23[[#This Row],[PESO]])</f>
        <v>22906</v>
      </c>
      <c r="O394" s="44">
        <v>885178</v>
      </c>
      <c r="P394" s="66" t="s">
        <v>5658</v>
      </c>
      <c r="Q394" s="66" t="s">
        <v>111</v>
      </c>
      <c r="R394" s="66" t="s">
        <v>891</v>
      </c>
      <c r="S394" s="66" t="s">
        <v>113</v>
      </c>
      <c r="T394" s="138" t="str">
        <f>IFERROR(LOOKUP($S394,MOTORISTAS!$D$3:$D$916,MOTORISTAS!E$3:$E$916),"")</f>
        <v>88265951434</v>
      </c>
      <c r="U394" s="138" t="str">
        <f>IFERROR(LOOKUP($S394,MOTORISTAS!$D$3:$D$916,MOTORISTAS!F$3:$F$916),"")</f>
        <v>00920373596</v>
      </c>
      <c r="V394" s="66" t="s">
        <v>292</v>
      </c>
      <c r="W394" s="66"/>
      <c r="X394" s="79">
        <v>45131.340277777781</v>
      </c>
      <c r="Y394" s="79">
        <v>45131.791666666664</v>
      </c>
      <c r="Z394" s="66" t="s">
        <v>293</v>
      </c>
      <c r="AA394" s="79">
        <v>45137.993055555555</v>
      </c>
      <c r="AB394" s="79">
        <v>45135.291666666664</v>
      </c>
      <c r="AC394" s="79">
        <v>45132.75</v>
      </c>
      <c r="AD394" s="79">
        <v>45135.5</v>
      </c>
      <c r="AE394" s="66" t="s">
        <v>2743</v>
      </c>
      <c r="AF394" s="44">
        <v>16843</v>
      </c>
      <c r="AG394" s="254">
        <f>Prog_23[[#This Row],[SAÍDA DO CLIENTE]]-Prog_23[[#This Row],[PROGRAMAÇÃO CLIENTE]]</f>
        <v>0.20833333332848269</v>
      </c>
      <c r="AH394" s="44"/>
      <c r="AI394" s="66"/>
      <c r="AJ394" s="66"/>
      <c r="AK394" s="66" t="s">
        <v>393</v>
      </c>
      <c r="AL394" s="79">
        <v>45132.000694444447</v>
      </c>
      <c r="AM394" s="66"/>
      <c r="AN394" s="83">
        <v>950</v>
      </c>
      <c r="AO394" s="83"/>
      <c r="AP394" s="83"/>
      <c r="AQ394" s="66"/>
      <c r="AR394" s="66"/>
      <c r="AS394" s="66"/>
      <c r="AT394" s="81">
        <v>3000</v>
      </c>
      <c r="AU394" s="81"/>
      <c r="AV394" s="81">
        <v>200</v>
      </c>
      <c r="AW394" s="81"/>
      <c r="AX394" s="83">
        <f>SUM(Prog_23[[#This Row],[ADIANTAMENTO]]+Prog_23[[#This Row],[SALDO]]+Prog_23[[#This Row],[MARGEM]]+Prog_23[[#This Row],[ESTADIA 1]])</f>
        <v>3200</v>
      </c>
      <c r="AY3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94" s="81">
        <v>3488.8</v>
      </c>
      <c r="BA394" s="81">
        <v>121415.15</v>
      </c>
      <c r="BB394" s="81">
        <v>0</v>
      </c>
      <c r="BC394" s="81">
        <v>0</v>
      </c>
      <c r="BD394" s="81">
        <v>511.2</v>
      </c>
      <c r="BE394" s="81"/>
      <c r="BF394" s="81"/>
      <c r="BG394" s="81"/>
      <c r="BH394" s="81"/>
      <c r="BI394" s="81"/>
      <c r="BJ394" s="81"/>
      <c r="BK394" s="81"/>
      <c r="BL394" s="81">
        <v>250</v>
      </c>
      <c r="BM394" s="81"/>
      <c r="BN394" s="66" t="s">
        <v>2768</v>
      </c>
      <c r="BO394" s="66" t="s">
        <v>2768</v>
      </c>
      <c r="BP394" s="66" t="s">
        <v>2768</v>
      </c>
      <c r="BQ394" s="66" t="str">
        <f>PROPER(TEXT(Prog_23[[#This Row],[PROGRAMAÇÃO CLIENTE]],"mmm"))</f>
        <v>Jul</v>
      </c>
      <c r="BR394" s="66">
        <f>YEAR(Prog_23[[#This Row],[PROGRAMAÇÃO CLIENTE]])</f>
        <v>2023</v>
      </c>
    </row>
    <row r="395" spans="1:70" x14ac:dyDescent="0.25">
      <c r="A395" s="201" t="str">
        <f>Prog_23[[#This Row],[CONTEINER]]</f>
        <v>FSCU8245478</v>
      </c>
      <c r="B395" s="86" t="s">
        <v>2771</v>
      </c>
      <c r="C3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95" s="85">
        <v>45132.541666666664</v>
      </c>
      <c r="E395" s="66" t="s">
        <v>297</v>
      </c>
      <c r="F395" s="66" t="s">
        <v>298</v>
      </c>
      <c r="G395" s="251" t="s">
        <v>5663</v>
      </c>
      <c r="H395" s="44">
        <v>61561708</v>
      </c>
      <c r="I395" s="44" t="s">
        <v>5722</v>
      </c>
      <c r="J395" s="66" t="s">
        <v>301</v>
      </c>
      <c r="K395" s="66">
        <v>3830</v>
      </c>
      <c r="L395" s="66" t="s">
        <v>5723</v>
      </c>
      <c r="M395" s="66">
        <v>19006</v>
      </c>
      <c r="N395" s="66">
        <f>SUM(Prog_23[[#This Row],[TARA]]+Prog_23[[#This Row],[PESO]])</f>
        <v>22836</v>
      </c>
      <c r="O395" s="44">
        <v>885268</v>
      </c>
      <c r="P395" s="66" t="s">
        <v>5658</v>
      </c>
      <c r="Q395" s="66" t="s">
        <v>119</v>
      </c>
      <c r="R395" s="66" t="s">
        <v>120</v>
      </c>
      <c r="S395" s="66" t="s">
        <v>5716</v>
      </c>
      <c r="T395" s="138" t="str">
        <f>IFERROR(LOOKUP($S395,MOTORISTAS!$D$3:$D$916,MOTORISTAS!E$3:$E$916),"")</f>
        <v>31684571839</v>
      </c>
      <c r="U395" s="138" t="str">
        <f>IFERROR(LOOKUP($S395,MOTORISTAS!$D$3:$D$916,MOTORISTAS!F$3:$F$916),"")</f>
        <v>02434315740</v>
      </c>
      <c r="V395" s="66" t="s">
        <v>292</v>
      </c>
      <c r="W395" s="79">
        <v>45131.611111111109</v>
      </c>
      <c r="X395" s="79">
        <v>45132.3125</v>
      </c>
      <c r="Y395" s="79">
        <v>45132.958333333336</v>
      </c>
      <c r="Z395" s="66" t="s">
        <v>293</v>
      </c>
      <c r="AA395" s="79">
        <v>45136.054166666669</v>
      </c>
      <c r="AB395" s="79">
        <v>45135.291666666664</v>
      </c>
      <c r="AC395" s="79">
        <v>45132.75</v>
      </c>
      <c r="AD395" s="79">
        <v>45135.5</v>
      </c>
      <c r="AE395" s="66" t="s">
        <v>2743</v>
      </c>
      <c r="AF395" s="44">
        <v>16865</v>
      </c>
      <c r="AG395" s="254">
        <f>Prog_23[[#This Row],[SAÍDA DO CLIENTE]]-Prog_23[[#This Row],[PROGRAMAÇÃO CLIENTE]]</f>
        <v>0.41666666667151731</v>
      </c>
      <c r="AH395" s="44"/>
      <c r="AI395" s="66"/>
      <c r="AJ395" s="66"/>
      <c r="AK395" s="66" t="s">
        <v>393</v>
      </c>
      <c r="AL395" s="79">
        <v>45133.041666666664</v>
      </c>
      <c r="AM395" s="66"/>
      <c r="AN395" s="83">
        <v>950</v>
      </c>
      <c r="AO395" s="83"/>
      <c r="AP395" s="83"/>
      <c r="AQ395" s="66"/>
      <c r="AR395" s="66"/>
      <c r="AS395" s="66"/>
      <c r="AT395" s="81">
        <v>3000</v>
      </c>
      <c r="AU395" s="81"/>
      <c r="AV395" s="81">
        <v>200</v>
      </c>
      <c r="AW395" s="81"/>
      <c r="AX395" s="83">
        <f>SUM(Prog_23[[#This Row],[ADIANTAMENTO]]+Prog_23[[#This Row],[SALDO]]+Prog_23[[#This Row],[MARGEM]]+Prog_23[[#This Row],[ESTADIA 1]])</f>
        <v>3200</v>
      </c>
      <c r="AY3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95" s="81">
        <v>3488.8</v>
      </c>
      <c r="BA395" s="81">
        <v>120717.02</v>
      </c>
      <c r="BB395" s="81">
        <v>0</v>
      </c>
      <c r="BC395" s="81">
        <v>0</v>
      </c>
      <c r="BD395" s="81">
        <v>511.2</v>
      </c>
      <c r="BE395" s="81"/>
      <c r="BF395" s="81"/>
      <c r="BG395" s="81"/>
      <c r="BH395" s="81"/>
      <c r="BI395" s="81"/>
      <c r="BJ395" s="81"/>
      <c r="BK395" s="81"/>
      <c r="BL395" s="81">
        <v>250</v>
      </c>
      <c r="BM395" s="81"/>
      <c r="BN395" s="66" t="s">
        <v>2768</v>
      </c>
      <c r="BO395" s="66" t="s">
        <v>2768</v>
      </c>
      <c r="BP395" s="66" t="s">
        <v>2768</v>
      </c>
      <c r="BQ395" s="66" t="str">
        <f>PROPER(TEXT(Prog_23[[#This Row],[PROGRAMAÇÃO CLIENTE]],"mmm"))</f>
        <v>Jul</v>
      </c>
      <c r="BR395" s="66">
        <f>YEAR(Prog_23[[#This Row],[PROGRAMAÇÃO CLIENTE]])</f>
        <v>2023</v>
      </c>
    </row>
    <row r="396" spans="1:70" x14ac:dyDescent="0.25">
      <c r="A396" s="200" t="str">
        <f>Prog_23[[#This Row],[CONTEINER]]</f>
        <v>TCNU8233961</v>
      </c>
      <c r="B396" s="86" t="s">
        <v>2771</v>
      </c>
      <c r="C3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96" s="85">
        <v>45132.375</v>
      </c>
      <c r="E396" s="66" t="s">
        <v>297</v>
      </c>
      <c r="F396" s="66" t="s">
        <v>298</v>
      </c>
      <c r="G396" s="251" t="s">
        <v>5664</v>
      </c>
      <c r="H396" s="44">
        <v>61561708</v>
      </c>
      <c r="I396" s="44" t="s">
        <v>5728</v>
      </c>
      <c r="J396" s="66" t="s">
        <v>301</v>
      </c>
      <c r="K396" s="66">
        <v>3810</v>
      </c>
      <c r="L396" s="66" t="s">
        <v>5729</v>
      </c>
      <c r="M396" s="66">
        <v>19006</v>
      </c>
      <c r="N396" s="66">
        <f>SUM(Prog_23[[#This Row],[TARA]]+Prog_23[[#This Row],[PESO]])</f>
        <v>22816</v>
      </c>
      <c r="O396" s="44">
        <v>885267</v>
      </c>
      <c r="P396" s="66" t="s">
        <v>5658</v>
      </c>
      <c r="Q396" s="66" t="s">
        <v>3708</v>
      </c>
      <c r="R396" s="66" t="s">
        <v>3709</v>
      </c>
      <c r="S396" s="66" t="s">
        <v>84</v>
      </c>
      <c r="T396" s="138" t="str">
        <f>IFERROR(LOOKUP($S396,MOTORISTAS!$D$3:$D$916,MOTORISTAS!E$3:$E$916),"")</f>
        <v>15921106810</v>
      </c>
      <c r="U396" s="138" t="str">
        <f>IFERROR(LOOKUP($S396,MOTORISTAS!$D$3:$D$916,MOTORISTAS!F$3:$F$916),"")</f>
        <v>02351127968</v>
      </c>
      <c r="V396" s="66" t="s">
        <v>292</v>
      </c>
      <c r="W396" s="79">
        <v>45131.927083333336</v>
      </c>
      <c r="X396" s="79">
        <v>45132.270833333336</v>
      </c>
      <c r="Y396" s="79">
        <v>45132.5</v>
      </c>
      <c r="Z396" s="66" t="s">
        <v>293</v>
      </c>
      <c r="AA396" s="79">
        <v>45138.030555555553</v>
      </c>
      <c r="AB396" s="79">
        <v>45135.291666666664</v>
      </c>
      <c r="AC396" s="79">
        <v>45132.75</v>
      </c>
      <c r="AD396" s="79">
        <v>45135.5</v>
      </c>
      <c r="AE396" s="66" t="s">
        <v>2743</v>
      </c>
      <c r="AF396" s="44">
        <v>16857</v>
      </c>
      <c r="AG396" s="254">
        <f>Prog_23[[#This Row],[SAÍDA DO CLIENTE]]-Prog_23[[#This Row],[PROGRAMAÇÃO CLIENTE]]</f>
        <v>0.125</v>
      </c>
      <c r="AH396" s="44"/>
      <c r="AI396" s="66"/>
      <c r="AJ396" s="66"/>
      <c r="AK396" s="66" t="s">
        <v>393</v>
      </c>
      <c r="AL396" s="79">
        <v>45132.666666666664</v>
      </c>
      <c r="AM396" s="66"/>
      <c r="AN396" s="83">
        <v>950</v>
      </c>
      <c r="AO396" s="83"/>
      <c r="AP396" s="83"/>
      <c r="AQ396" s="66"/>
      <c r="AR396" s="66"/>
      <c r="AS396" s="66"/>
      <c r="AT396" s="81">
        <v>3000</v>
      </c>
      <c r="AU396" s="81"/>
      <c r="AV396" s="81">
        <v>200</v>
      </c>
      <c r="AW396" s="81"/>
      <c r="AX396" s="83">
        <f>SUM(Prog_23[[#This Row],[ADIANTAMENTO]]+Prog_23[[#This Row],[SALDO]]+Prog_23[[#This Row],[MARGEM]]+Prog_23[[#This Row],[ESTADIA 1]])</f>
        <v>3200</v>
      </c>
      <c r="AY3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396" s="81">
        <v>3488.8</v>
      </c>
      <c r="BA396" s="81">
        <v>120717.02</v>
      </c>
      <c r="BB396" s="81">
        <v>0</v>
      </c>
      <c r="BC396" s="81">
        <v>0</v>
      </c>
      <c r="BD396" s="81">
        <v>511.2</v>
      </c>
      <c r="BE396" s="81"/>
      <c r="BF396" s="81"/>
      <c r="BG396" s="81"/>
      <c r="BH396" s="81"/>
      <c r="BI396" s="81"/>
      <c r="BJ396" s="81"/>
      <c r="BK396" s="81"/>
      <c r="BL396" s="81">
        <v>250</v>
      </c>
      <c r="BM396" s="81"/>
      <c r="BN396" s="66" t="s">
        <v>2768</v>
      </c>
      <c r="BO396" s="66" t="s">
        <v>2768</v>
      </c>
      <c r="BP396" s="66" t="s">
        <v>2768</v>
      </c>
      <c r="BQ396" s="66" t="str">
        <f>PROPER(TEXT(Prog_23[[#This Row],[PROGRAMAÇÃO CLIENTE]],"mmm"))</f>
        <v>Jul</v>
      </c>
      <c r="BR396" s="66">
        <f>YEAR(Prog_23[[#This Row],[PROGRAMAÇÃO CLIENTE]])</f>
        <v>2023</v>
      </c>
    </row>
    <row r="397" spans="1:70" x14ac:dyDescent="0.25">
      <c r="A397" s="200" t="str">
        <f>Prog_23[[#This Row],[CONTEINER]]</f>
        <v>MRKU0882094</v>
      </c>
      <c r="B397" s="86" t="s">
        <v>2771</v>
      </c>
      <c r="C3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97" s="85">
        <v>45131.333333333336</v>
      </c>
      <c r="E397" s="66" t="s">
        <v>5187</v>
      </c>
      <c r="F397" s="66" t="s">
        <v>3161</v>
      </c>
      <c r="G397" s="66" t="s">
        <v>5645</v>
      </c>
      <c r="H397" s="44">
        <v>229089405</v>
      </c>
      <c r="I397" s="44" t="s">
        <v>5694</v>
      </c>
      <c r="J397" s="66" t="s">
        <v>2183</v>
      </c>
      <c r="K397" s="66">
        <v>3700</v>
      </c>
      <c r="L397" s="66" t="s">
        <v>5702</v>
      </c>
      <c r="M397" s="66">
        <v>25860</v>
      </c>
      <c r="N397" s="66">
        <f>SUM(Prog_23[[#This Row],[TARA]]+Prog_23[[#This Row],[PESO]])</f>
        <v>29560</v>
      </c>
      <c r="O397" s="44">
        <v>10937</v>
      </c>
      <c r="P397" s="66" t="s">
        <v>5481</v>
      </c>
      <c r="Q397" s="66" t="s">
        <v>3708</v>
      </c>
      <c r="R397" s="66" t="s">
        <v>3709</v>
      </c>
      <c r="S397" s="66" t="s">
        <v>84</v>
      </c>
      <c r="T397" s="138" t="str">
        <f>IFERROR(LOOKUP($S397,MOTORISTAS!$D$3:$D$916,MOTORISTAS!E$3:$E$916),"")</f>
        <v>15921106810</v>
      </c>
      <c r="U397" s="138" t="str">
        <f>IFERROR(LOOKUP($S397,MOTORISTAS!$D$3:$D$916,MOTORISTAS!F$3:$F$916),"")</f>
        <v>02351127968</v>
      </c>
      <c r="V397" s="66" t="s">
        <v>526</v>
      </c>
      <c r="W397" s="79">
        <v>45129.381944444445</v>
      </c>
      <c r="X397" s="79">
        <v>45131.267361111109</v>
      </c>
      <c r="Y397" s="79">
        <v>45131.541666666664</v>
      </c>
      <c r="Z397" s="66" t="s">
        <v>306</v>
      </c>
      <c r="AA397" s="79">
        <v>45131.793749999997</v>
      </c>
      <c r="AB397" s="79">
        <v>45130.791666666664</v>
      </c>
      <c r="AC397" s="79">
        <v>45131.5</v>
      </c>
      <c r="AD397" s="79">
        <v>45134.75</v>
      </c>
      <c r="AE397" s="66" t="s">
        <v>5492</v>
      </c>
      <c r="AF397" s="44" t="s">
        <v>5732</v>
      </c>
      <c r="AG397" s="254">
        <f>Prog_23[[#This Row],[SAÍDA DO CLIENTE]]-Prog_23[[#This Row],[PROGRAMAÇÃO CLIENTE]]</f>
        <v>0.20833333332848269</v>
      </c>
      <c r="AH397" s="44"/>
      <c r="AI397" s="66"/>
      <c r="AJ397" s="66"/>
      <c r="AK397" s="66"/>
      <c r="AL397" s="66"/>
      <c r="AM397" s="66"/>
      <c r="AN397" s="83"/>
      <c r="AO397" s="83">
        <v>20</v>
      </c>
      <c r="AP397" s="83"/>
      <c r="AQ397" s="66" t="s">
        <v>610</v>
      </c>
      <c r="AR397" s="66"/>
      <c r="AS397" s="81">
        <v>120</v>
      </c>
      <c r="AT397" s="81">
        <v>2300</v>
      </c>
      <c r="AU397" s="81"/>
      <c r="AV397" s="81"/>
      <c r="AW397" s="81"/>
      <c r="AX397" s="83">
        <f>SUM(Prog_23[[#This Row],[ADIANTAMENTO]]+Prog_23[[#This Row],[SALDO]]+Prog_23[[#This Row],[MARGEM]]+Prog_23[[#This Row],[ESTADIA 1]])</f>
        <v>2300</v>
      </c>
      <c r="AY3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97" s="81">
        <v>3642</v>
      </c>
      <c r="BA397" s="81">
        <v>217153.26</v>
      </c>
      <c r="BB397" s="81">
        <v>0</v>
      </c>
      <c r="BC397" s="81">
        <v>0</v>
      </c>
      <c r="BD397" s="81">
        <v>358</v>
      </c>
      <c r="BE397" s="81"/>
      <c r="BF397" s="81">
        <v>0</v>
      </c>
      <c r="BG397" s="81"/>
      <c r="BH397" s="81"/>
      <c r="BI397" s="81"/>
      <c r="BJ397" s="81"/>
      <c r="BK397" s="81">
        <v>0</v>
      </c>
      <c r="BL397" s="81">
        <v>0</v>
      </c>
      <c r="BM397" s="81"/>
      <c r="BN397" s="66" t="s">
        <v>2768</v>
      </c>
      <c r="BO397" s="66" t="s">
        <v>2768</v>
      </c>
      <c r="BP397" s="66" t="s">
        <v>2768</v>
      </c>
      <c r="BQ397" s="66" t="str">
        <f>PROPER(TEXT(Prog_23[[#This Row],[PROGRAMAÇÃO CLIENTE]],"mmm"))</f>
        <v>Jul</v>
      </c>
      <c r="BR397" s="66">
        <f>YEAR(Prog_23[[#This Row],[PROGRAMAÇÃO CLIENTE]])</f>
        <v>2023</v>
      </c>
    </row>
    <row r="398" spans="1:70" x14ac:dyDescent="0.25">
      <c r="A398" s="201" t="str">
        <f>Prog_23[[#This Row],[CONTEINER]]</f>
        <v>MRKU0624905</v>
      </c>
      <c r="B398" s="86" t="s">
        <v>2771</v>
      </c>
      <c r="C3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98" s="85">
        <v>45131.333333333336</v>
      </c>
      <c r="E398" s="66" t="s">
        <v>5187</v>
      </c>
      <c r="F398" s="66" t="s">
        <v>3161</v>
      </c>
      <c r="G398" s="66" t="s">
        <v>5645</v>
      </c>
      <c r="H398" s="44">
        <v>229089405</v>
      </c>
      <c r="I398" s="44" t="s">
        <v>5695</v>
      </c>
      <c r="J398" s="66" t="s">
        <v>2183</v>
      </c>
      <c r="K398" s="66">
        <v>3600</v>
      </c>
      <c r="L398" s="66" t="s">
        <v>5708</v>
      </c>
      <c r="M398" s="66">
        <v>25984</v>
      </c>
      <c r="N398" s="66">
        <f>SUM(Prog_23[[#This Row],[TARA]]+Prog_23[[#This Row],[PESO]])</f>
        <v>29584</v>
      </c>
      <c r="O398" s="44">
        <v>10936</v>
      </c>
      <c r="P398" s="66" t="s">
        <v>5481</v>
      </c>
      <c r="Q398" s="66" t="s">
        <v>192</v>
      </c>
      <c r="R398" s="66" t="s">
        <v>193</v>
      </c>
      <c r="S398" s="66" t="s">
        <v>194</v>
      </c>
      <c r="T398" s="138" t="str">
        <f>IFERROR(LOOKUP($S398,MOTORISTAS!$D$3:$D$916,MOTORISTAS!E$3:$E$916),"")</f>
        <v>38529612892</v>
      </c>
      <c r="U398" s="138" t="str">
        <f>IFERROR(LOOKUP($S398,MOTORISTAS!$D$3:$D$916,MOTORISTAS!F$3:$F$916),"")</f>
        <v>05021398574</v>
      </c>
      <c r="V398" s="66" t="s">
        <v>526</v>
      </c>
      <c r="W398" s="79">
        <v>45129.445138888892</v>
      </c>
      <c r="X398" s="79">
        <v>45131.201388888891</v>
      </c>
      <c r="Y398" s="79">
        <v>45131.583333333336</v>
      </c>
      <c r="Z398" s="66" t="s">
        <v>306</v>
      </c>
      <c r="AA398" s="79">
        <v>45131.768750000003</v>
      </c>
      <c r="AB398" s="79">
        <v>45130.791666666664</v>
      </c>
      <c r="AC398" s="79">
        <v>45131.5</v>
      </c>
      <c r="AD398" s="79">
        <v>45134.75</v>
      </c>
      <c r="AE398" s="66" t="s">
        <v>5492</v>
      </c>
      <c r="AF398" s="44" t="s">
        <v>5733</v>
      </c>
      <c r="AG398" s="254">
        <f>Prog_23[[#This Row],[SAÍDA DO CLIENTE]]-Prog_23[[#This Row],[PROGRAMAÇÃO CLIENTE]]</f>
        <v>0.25</v>
      </c>
      <c r="AH398" s="44"/>
      <c r="AI398" s="66"/>
      <c r="AJ398" s="66"/>
      <c r="AK398" s="66"/>
      <c r="AL398" s="66"/>
      <c r="AM398" s="66"/>
      <c r="AN398" s="83"/>
      <c r="AO398" s="83">
        <v>20</v>
      </c>
      <c r="AP398" s="83"/>
      <c r="AQ398" s="66" t="s">
        <v>610</v>
      </c>
      <c r="AR398" s="66"/>
      <c r="AS398" s="81">
        <v>120</v>
      </c>
      <c r="AT398" s="81">
        <v>2300</v>
      </c>
      <c r="AU398" s="81"/>
      <c r="AV398" s="81"/>
      <c r="AW398" s="81"/>
      <c r="AX398" s="83">
        <f>SUM(Prog_23[[#This Row],[ADIANTAMENTO]]+Prog_23[[#This Row],[SALDO]]+Prog_23[[#This Row],[MARGEM]]+Prog_23[[#This Row],[ESTADIA 1]])</f>
        <v>2300</v>
      </c>
      <c r="AY3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398" s="81">
        <v>3642</v>
      </c>
      <c r="BA398" s="81">
        <v>222364.93</v>
      </c>
      <c r="BB398" s="81">
        <v>0</v>
      </c>
      <c r="BC398" s="81">
        <v>0</v>
      </c>
      <c r="BD398" s="81">
        <v>358</v>
      </c>
      <c r="BE398" s="81"/>
      <c r="BF398" s="81">
        <v>0</v>
      </c>
      <c r="BG398" s="81"/>
      <c r="BH398" s="81"/>
      <c r="BI398" s="81"/>
      <c r="BJ398" s="81"/>
      <c r="BK398" s="81">
        <v>0</v>
      </c>
      <c r="BL398" s="81">
        <v>0</v>
      </c>
      <c r="BM398" s="81"/>
      <c r="BN398" s="66" t="s">
        <v>2768</v>
      </c>
      <c r="BO398" s="66" t="s">
        <v>2768</v>
      </c>
      <c r="BP398" s="66" t="s">
        <v>2768</v>
      </c>
      <c r="BQ398" s="66" t="str">
        <f>PROPER(TEXT(Prog_23[[#This Row],[PROGRAMAÇÃO CLIENTE]],"mmm"))</f>
        <v>Jul</v>
      </c>
      <c r="BR398" s="66">
        <f>YEAR(Prog_23[[#This Row],[PROGRAMAÇÃO CLIENTE]])</f>
        <v>2023</v>
      </c>
    </row>
    <row r="399" spans="1:70" x14ac:dyDescent="0.25">
      <c r="A399" s="201" t="str">
        <f>Prog_23[[#This Row],[CONTEINER]]</f>
        <v>MRSU4312750</v>
      </c>
      <c r="B399" s="86" t="s">
        <v>2771</v>
      </c>
      <c r="C3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399" s="85">
        <v>45132.291666666664</v>
      </c>
      <c r="E399" s="66" t="s">
        <v>3770</v>
      </c>
      <c r="F399" s="66" t="s">
        <v>3561</v>
      </c>
      <c r="G399" s="66" t="s">
        <v>5730</v>
      </c>
      <c r="H399" s="44">
        <v>228838962</v>
      </c>
      <c r="I399" s="44" t="s">
        <v>5720</v>
      </c>
      <c r="J399" s="66" t="s">
        <v>301</v>
      </c>
      <c r="K399" s="66">
        <v>3720</v>
      </c>
      <c r="L399" s="66" t="s">
        <v>5721</v>
      </c>
      <c r="M399" s="66">
        <v>15020</v>
      </c>
      <c r="N399" s="66">
        <f>SUM(Prog_23[[#This Row],[TARA]]+Prog_23[[#This Row],[PESO]])</f>
        <v>18740</v>
      </c>
      <c r="O399" s="44">
        <v>417</v>
      </c>
      <c r="P399" s="66" t="s">
        <v>5481</v>
      </c>
      <c r="Q399" s="66" t="s">
        <v>31</v>
      </c>
      <c r="R399" s="66" t="s">
        <v>32</v>
      </c>
      <c r="S399" s="66" t="s">
        <v>33</v>
      </c>
      <c r="T399" s="138" t="str">
        <f>IFERROR(LOOKUP($S399,MOTORISTAS!$D$3:$D$916,MOTORISTAS!E$3:$E$916),"")</f>
        <v>09776430856</v>
      </c>
      <c r="U399" s="138" t="str">
        <f>IFERROR(LOOKUP($S399,MOTORISTAS!$D$3:$D$916,MOTORISTAS!F$3:$F$916),"")</f>
        <v>01258979905</v>
      </c>
      <c r="V399" s="66" t="s">
        <v>409</v>
      </c>
      <c r="W399" s="79">
        <v>45131.594444444447</v>
      </c>
      <c r="X399" s="79">
        <v>45132.283333333333</v>
      </c>
      <c r="Y399" s="79">
        <v>45132.5</v>
      </c>
      <c r="Z399" s="66" t="s">
        <v>306</v>
      </c>
      <c r="AA399" s="79">
        <v>45132.675000000003</v>
      </c>
      <c r="AB399" s="79">
        <v>45130.791666666664</v>
      </c>
      <c r="AC399" s="79">
        <v>45131.5</v>
      </c>
      <c r="AD399" s="79">
        <v>45134.75</v>
      </c>
      <c r="AE399" s="66" t="s">
        <v>452</v>
      </c>
      <c r="AF399" s="44">
        <v>16846</v>
      </c>
      <c r="AG399" s="254">
        <f>Prog_23[[#This Row],[SAÍDA DO CLIENTE]]-Prog_23[[#This Row],[PROGRAMAÇÃO CLIENTE]]</f>
        <v>0.20833333333575865</v>
      </c>
      <c r="AH399" s="44"/>
      <c r="AI399" s="66"/>
      <c r="AJ399" s="66"/>
      <c r="AK399" s="66"/>
      <c r="AL399" s="66"/>
      <c r="AM399" s="66"/>
      <c r="AN399" s="83"/>
      <c r="AO399" s="83"/>
      <c r="AP399" s="83"/>
      <c r="AQ399" s="66" t="s">
        <v>610</v>
      </c>
      <c r="AR399" s="66"/>
      <c r="AS399" s="81">
        <v>120</v>
      </c>
      <c r="AT399" s="81">
        <v>2200</v>
      </c>
      <c r="AU399" s="81"/>
      <c r="AV399" s="81"/>
      <c r="AW399" s="81"/>
      <c r="AX399" s="83">
        <f>SUM(Prog_23[[#This Row],[ADIANTAMENTO]]+Prog_23[[#This Row],[SALDO]]+Prog_23[[#This Row],[MARGEM]]+Prog_23[[#This Row],[ESTADIA 1]])</f>
        <v>2200</v>
      </c>
      <c r="AY3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3297.51494</v>
      </c>
      <c r="AZ399" s="81">
        <v>2370</v>
      </c>
      <c r="BA399" s="81">
        <v>225009.96</v>
      </c>
      <c r="BB399" s="81">
        <f>Prog_23[[#This Row],[VLR NF]]*0.1%</f>
        <v>225.00996000000001</v>
      </c>
      <c r="BC399" s="81">
        <f>Prog_23[[#This Row],[VLR NF]]*0.05%</f>
        <v>112.50498</v>
      </c>
      <c r="BD399" s="81">
        <v>240</v>
      </c>
      <c r="BE399" s="81"/>
      <c r="BF399" s="81"/>
      <c r="BG399" s="81"/>
      <c r="BH399" s="81"/>
      <c r="BI399" s="81"/>
      <c r="BJ399" s="81"/>
      <c r="BK399" s="81"/>
      <c r="BL399" s="81">
        <v>350</v>
      </c>
      <c r="BM399" s="81"/>
      <c r="BN399" s="66" t="s">
        <v>2768</v>
      </c>
      <c r="BO399" s="66" t="s">
        <v>2768</v>
      </c>
      <c r="BP399" s="66" t="s">
        <v>2768</v>
      </c>
      <c r="BQ399" s="66" t="str">
        <f>PROPER(TEXT(Prog_23[[#This Row],[PROGRAMAÇÃO CLIENTE]],"mmm"))</f>
        <v>Jul</v>
      </c>
      <c r="BR399" s="66">
        <f>YEAR(Prog_23[[#This Row],[PROGRAMAÇÃO CLIENTE]])</f>
        <v>2023</v>
      </c>
    </row>
    <row r="400" spans="1:70" x14ac:dyDescent="0.25">
      <c r="A400" s="200" t="str">
        <f>Prog_23[[#This Row],[CONTEINER]]</f>
        <v>MSKU8712964</v>
      </c>
      <c r="B400" s="86" t="s">
        <v>2771</v>
      </c>
      <c r="C4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00" s="85">
        <v>45132.666666666664</v>
      </c>
      <c r="E400" s="251" t="s">
        <v>2302</v>
      </c>
      <c r="F400" s="251" t="s">
        <v>529</v>
      </c>
      <c r="G400" s="251">
        <v>44</v>
      </c>
      <c r="H400" s="258">
        <v>228611488</v>
      </c>
      <c r="I400" s="44" t="s">
        <v>5718</v>
      </c>
      <c r="J400" s="66" t="s">
        <v>301</v>
      </c>
      <c r="K400" s="66">
        <v>3950</v>
      </c>
      <c r="L400" s="66" t="s">
        <v>5719</v>
      </c>
      <c r="M400" s="66">
        <v>6417</v>
      </c>
      <c r="N400" s="66">
        <f>SUM(Prog_23[[#This Row],[TARA]]+Prog_23[[#This Row],[PESO]])</f>
        <v>10367</v>
      </c>
      <c r="O400" s="44" t="s">
        <v>5672</v>
      </c>
      <c r="P400" s="66" t="s">
        <v>5481</v>
      </c>
      <c r="Q400" s="66" t="s">
        <v>102</v>
      </c>
      <c r="R400" s="66" t="s">
        <v>73</v>
      </c>
      <c r="S400" s="66" t="s">
        <v>2678</v>
      </c>
      <c r="T400" s="138" t="str">
        <f>IFERROR(LOOKUP($S400,MOTORISTAS!$D$3:$D$916,MOTORISTAS!E$3:$E$916),"")</f>
        <v>28386357860</v>
      </c>
      <c r="U400" s="138" t="str">
        <f>IFERROR(LOOKUP($S400,MOTORISTAS!$D$3:$D$916,MOTORISTAS!F$3:$F$916),"")</f>
        <v>01042201192</v>
      </c>
      <c r="V400" s="251" t="s">
        <v>292</v>
      </c>
      <c r="W400" s="79">
        <v>45131.443055555559</v>
      </c>
      <c r="X400" s="79">
        <v>45132.652777777781</v>
      </c>
      <c r="Y400" s="79">
        <v>45132.75</v>
      </c>
      <c r="Z400" s="66" t="s">
        <v>306</v>
      </c>
      <c r="AA400" s="79">
        <v>45132.905555555553</v>
      </c>
      <c r="AB400" s="79">
        <v>45130.791666666664</v>
      </c>
      <c r="AC400" s="79">
        <v>45131.708333333336</v>
      </c>
      <c r="AD400" s="79">
        <v>45134.75</v>
      </c>
      <c r="AE400" s="66" t="s">
        <v>527</v>
      </c>
      <c r="AF400" s="44">
        <v>16863</v>
      </c>
      <c r="AG400" s="254">
        <f>Prog_23[[#This Row],[SAÍDA DO CLIENTE]]-Prog_23[[#This Row],[PROGRAMAÇÃO CLIENTE]]</f>
        <v>8.3333333335758653E-2</v>
      </c>
      <c r="AH400" s="44"/>
      <c r="AI400" s="66"/>
      <c r="AJ400" s="66"/>
      <c r="AK400" s="66"/>
      <c r="AL400" s="66"/>
      <c r="AM400" s="66"/>
      <c r="AN400" s="83"/>
      <c r="AO400" s="83"/>
      <c r="AP400" s="83"/>
      <c r="AQ400" s="66" t="s">
        <v>1737</v>
      </c>
      <c r="AR400" s="66">
        <v>180</v>
      </c>
      <c r="AS400" s="66">
        <v>120</v>
      </c>
      <c r="AT400" s="81">
        <v>1800</v>
      </c>
      <c r="AU400" s="81">
        <v>0</v>
      </c>
      <c r="AV400" s="81">
        <v>200</v>
      </c>
      <c r="AW400" s="81"/>
      <c r="AX400" s="83">
        <f>SUM(Prog_23[[#This Row],[ADIANTAMENTO]]+Prog_23[[#This Row],[SALDO]]+Prog_23[[#This Row],[MARGEM]]+Prog_23[[#This Row],[ESTADIA 1]])</f>
        <v>2000</v>
      </c>
      <c r="AY4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3502.11132</v>
      </c>
      <c r="AZ400" s="81">
        <v>2350</v>
      </c>
      <c r="BA400" s="81">
        <v>342740.88</v>
      </c>
      <c r="BB400" s="81">
        <f>Prog_23[[#This Row],[VLR NF]]*0.1%</f>
        <v>342.74088</v>
      </c>
      <c r="BC400" s="81">
        <f>Prog_23[[#This Row],[VLR NF]]*0.05%</f>
        <v>171.37044</v>
      </c>
      <c r="BD400" s="81">
        <v>240</v>
      </c>
      <c r="BE400" s="81"/>
      <c r="BF400" s="81"/>
      <c r="BG400" s="81"/>
      <c r="BH400" s="81"/>
      <c r="BI400" s="81"/>
      <c r="BJ400" s="81"/>
      <c r="BK400" s="81"/>
      <c r="BL400" s="81">
        <v>398</v>
      </c>
      <c r="BM400" s="81"/>
      <c r="BN400" s="66" t="s">
        <v>2768</v>
      </c>
      <c r="BO400" s="66" t="s">
        <v>2768</v>
      </c>
      <c r="BP400" s="66" t="s">
        <v>2768</v>
      </c>
      <c r="BQ400" s="66" t="str">
        <f>PROPER(TEXT(Prog_23[[#This Row],[PROGRAMAÇÃO CLIENTE]],"mmm"))</f>
        <v>Jul</v>
      </c>
      <c r="BR400" s="66">
        <f>YEAR(Prog_23[[#This Row],[PROGRAMAÇÃO CLIENTE]])</f>
        <v>2023</v>
      </c>
    </row>
    <row r="401" spans="1:70" x14ac:dyDescent="0.25">
      <c r="A401" s="201" t="s">
        <v>5691</v>
      </c>
      <c r="B401" s="86" t="s">
        <v>2771</v>
      </c>
      <c r="C4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01" s="85">
        <v>45132.291666666664</v>
      </c>
      <c r="E401" s="66" t="s">
        <v>5642</v>
      </c>
      <c r="F401" s="66" t="s">
        <v>5640</v>
      </c>
      <c r="G401" s="66" t="s">
        <v>5673</v>
      </c>
      <c r="H401" s="44">
        <v>229180920</v>
      </c>
      <c r="I401" s="44" t="s">
        <v>5713</v>
      </c>
      <c r="J401" s="66" t="s">
        <v>301</v>
      </c>
      <c r="K401" s="66">
        <v>3720</v>
      </c>
      <c r="L401" s="66" t="s">
        <v>5715</v>
      </c>
      <c r="M401" s="66">
        <v>20560</v>
      </c>
      <c r="N401" s="66">
        <f>SUM(Prog_23[[#This Row],[TARA]]+Prog_23[[#This Row],[PESO]])</f>
        <v>24280</v>
      </c>
      <c r="O401" s="44">
        <v>49046</v>
      </c>
      <c r="P401" s="66" t="s">
        <v>5676</v>
      </c>
      <c r="Q401" s="66" t="s">
        <v>106</v>
      </c>
      <c r="R401" s="66" t="s">
        <v>107</v>
      </c>
      <c r="S401" s="66" t="s">
        <v>108</v>
      </c>
      <c r="T401" s="138" t="str">
        <f>IFERROR(LOOKUP($S401,MOTORISTAS!$D$3:$D$916,MOTORISTAS!E$3:$E$916),"")</f>
        <v>34927982840</v>
      </c>
      <c r="U401" s="138" t="str">
        <f>IFERROR(LOOKUP($S401,MOTORISTAS!$D$3:$D$916,MOTORISTAS!F$3:$F$916),"")</f>
        <v>03500129879</v>
      </c>
      <c r="V401" s="251" t="s">
        <v>292</v>
      </c>
      <c r="W401" s="79">
        <v>45131.397916666669</v>
      </c>
      <c r="X401" s="79">
        <v>45131.947916666664</v>
      </c>
      <c r="Y401" s="79">
        <v>45132.555555555555</v>
      </c>
      <c r="Z401" s="66" t="s">
        <v>306</v>
      </c>
      <c r="AA401" s="79">
        <v>45133.070138888892</v>
      </c>
      <c r="AB401" s="79">
        <v>45131.541666666664</v>
      </c>
      <c r="AC401" s="79" t="s">
        <v>5674</v>
      </c>
      <c r="AD401" s="79">
        <v>45135.5</v>
      </c>
      <c r="AE401" s="66" t="s">
        <v>5675</v>
      </c>
      <c r="AF401" s="44">
        <v>16851</v>
      </c>
      <c r="AG401" s="254">
        <f>Prog_23[[#This Row],[SAÍDA DO CLIENTE]]-Prog_23[[#This Row],[PROGRAMAÇÃO CLIENTE]]</f>
        <v>0.26388888889050577</v>
      </c>
      <c r="AH401" s="44"/>
      <c r="AI401" s="66"/>
      <c r="AJ401" s="66"/>
      <c r="AK401" s="66"/>
      <c r="AL401" s="66"/>
      <c r="AM401" s="66"/>
      <c r="AN401" s="83"/>
      <c r="AO401" s="83">
        <v>20</v>
      </c>
      <c r="AP401" s="83">
        <v>30</v>
      </c>
      <c r="AQ401" s="66"/>
      <c r="AR401" s="66"/>
      <c r="AS401" s="66"/>
      <c r="AT401" s="81">
        <v>7000</v>
      </c>
      <c r="AU401" s="81"/>
      <c r="AV401" s="81">
        <v>200</v>
      </c>
      <c r="AW401" s="81"/>
      <c r="AX401" s="83">
        <f>SUM(Prog_23[[#This Row],[ADIANTAMENTO]]+Prog_23[[#This Row],[SALDO]]+Prog_23[[#This Row],[MARGEM]]+Prog_23[[#This Row],[ESTADIA 1]])</f>
        <v>7200</v>
      </c>
      <c r="AY4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10184.6958</v>
      </c>
      <c r="AZ401" s="81">
        <v>7950</v>
      </c>
      <c r="BA401" s="81">
        <v>186695.8</v>
      </c>
      <c r="BB401" s="81">
        <f>Prog_23[[#This Row],[VLR NF]]*0.1%</f>
        <v>186.69579999999999</v>
      </c>
      <c r="BC401" s="81">
        <v>0</v>
      </c>
      <c r="BD401" s="81">
        <v>1698</v>
      </c>
      <c r="BE401" s="81"/>
      <c r="BF401" s="81"/>
      <c r="BG401" s="81"/>
      <c r="BH401" s="81"/>
      <c r="BI401" s="81"/>
      <c r="BJ401" s="81"/>
      <c r="BK401" s="81"/>
      <c r="BL401" s="81">
        <v>350</v>
      </c>
      <c r="BM401" s="81"/>
      <c r="BN401" s="66" t="s">
        <v>2768</v>
      </c>
      <c r="BO401" s="66" t="s">
        <v>2768</v>
      </c>
      <c r="BP401" s="66" t="s">
        <v>2768</v>
      </c>
      <c r="BQ401" s="66" t="str">
        <f>PROPER(TEXT(Prog_23[[#This Row],[PROGRAMAÇÃO CLIENTE]],"mmm"))</f>
        <v>Jul</v>
      </c>
      <c r="BR401" s="66">
        <f>YEAR(Prog_23[[#This Row],[PROGRAMAÇÃO CLIENTE]])</f>
        <v>2023</v>
      </c>
    </row>
    <row r="402" spans="1:70" x14ac:dyDescent="0.25">
      <c r="A402" s="200" t="str">
        <f>Prog_23[[#This Row],[CONTEINER]]</f>
        <v>CIPU5095979</v>
      </c>
      <c r="B402" s="86" t="s">
        <v>2771</v>
      </c>
      <c r="C4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02" s="85">
        <v>45132.291666666664</v>
      </c>
      <c r="E402" s="66" t="s">
        <v>5642</v>
      </c>
      <c r="F402" s="66" t="s">
        <v>5640</v>
      </c>
      <c r="G402" s="66" t="s">
        <v>5673</v>
      </c>
      <c r="H402" s="44">
        <v>229180920</v>
      </c>
      <c r="I402" s="44" t="s">
        <v>5712</v>
      </c>
      <c r="J402" s="66" t="s">
        <v>301</v>
      </c>
      <c r="K402" s="66">
        <v>3700</v>
      </c>
      <c r="L402" s="66" t="s">
        <v>5714</v>
      </c>
      <c r="M402" s="66">
        <v>20560</v>
      </c>
      <c r="N402" s="66">
        <f>SUM(Prog_23[[#This Row],[TARA]]+Prog_23[[#This Row],[PESO]])</f>
        <v>24260</v>
      </c>
      <c r="O402" s="44">
        <v>49045</v>
      </c>
      <c r="P402" s="66" t="s">
        <v>5676</v>
      </c>
      <c r="Q402" s="66" t="s">
        <v>4180</v>
      </c>
      <c r="R402" s="66" t="s">
        <v>4181</v>
      </c>
      <c r="S402" s="66" t="s">
        <v>4182</v>
      </c>
      <c r="T402" s="138" t="str">
        <f>IFERROR(LOOKUP($S402,MOTORISTAS!$D$3:$D$916,MOTORISTAS!E$3:$E$916),"")</f>
        <v>33400734810</v>
      </c>
      <c r="U402" s="138" t="str">
        <f>IFERROR(LOOKUP($S402,MOTORISTAS!$D$3:$D$916,MOTORISTAS!F$3:$F$916),"")</f>
        <v>03361149430</v>
      </c>
      <c r="V402" s="251" t="s">
        <v>292</v>
      </c>
      <c r="W402" s="79">
        <v>45131.424305555556</v>
      </c>
      <c r="X402" s="79">
        <v>45131.930555555555</v>
      </c>
      <c r="Y402" s="79">
        <v>45132.5</v>
      </c>
      <c r="Z402" s="66" t="s">
        <v>306</v>
      </c>
      <c r="AA402" s="79">
        <v>45133.023611111108</v>
      </c>
      <c r="AB402" s="79">
        <v>45131.541666666664</v>
      </c>
      <c r="AC402" s="66" t="s">
        <v>5674</v>
      </c>
      <c r="AD402" s="79">
        <v>45135.5</v>
      </c>
      <c r="AE402" s="66" t="s">
        <v>5675</v>
      </c>
      <c r="AF402" s="44">
        <v>16852</v>
      </c>
      <c r="AG402" s="254">
        <f>Prog_23[[#This Row],[SAÍDA DO CLIENTE]]-Prog_23[[#This Row],[PROGRAMAÇÃO CLIENTE]]</f>
        <v>0.20833333333575865</v>
      </c>
      <c r="AH402" s="44"/>
      <c r="AI402" s="66"/>
      <c r="AJ402" s="66"/>
      <c r="AK402" s="66"/>
      <c r="AL402" s="66"/>
      <c r="AM402" s="66"/>
      <c r="AN402" s="83"/>
      <c r="AO402" s="83">
        <v>20</v>
      </c>
      <c r="AP402" s="83">
        <v>30</v>
      </c>
      <c r="AQ402" s="66"/>
      <c r="AR402" s="66"/>
      <c r="AS402" s="66"/>
      <c r="AT402" s="81">
        <v>7000</v>
      </c>
      <c r="AU402" s="81"/>
      <c r="AV402" s="81">
        <v>200</v>
      </c>
      <c r="AW402" s="81"/>
      <c r="AX402" s="83">
        <f>SUM(Prog_23[[#This Row],[ADIANTAMENTO]]+Prog_23[[#This Row],[SALDO]]+Prog_23[[#This Row],[MARGEM]]+Prog_23[[#This Row],[ESTADIA 1]])</f>
        <v>7200</v>
      </c>
      <c r="AY4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10184.6958</v>
      </c>
      <c r="AZ402" s="81">
        <v>7950</v>
      </c>
      <c r="BA402" s="81">
        <v>186695.8</v>
      </c>
      <c r="BB402" s="81">
        <f>Prog_23[[#This Row],[VLR NF]]*0.1%</f>
        <v>186.69579999999999</v>
      </c>
      <c r="BC402" s="81">
        <v>0</v>
      </c>
      <c r="BD402" s="81">
        <v>1698</v>
      </c>
      <c r="BE402" s="81"/>
      <c r="BF402" s="81"/>
      <c r="BG402" s="81"/>
      <c r="BH402" s="81"/>
      <c r="BI402" s="81"/>
      <c r="BJ402" s="81"/>
      <c r="BK402" s="81"/>
      <c r="BL402" s="81">
        <v>350</v>
      </c>
      <c r="BM402" s="81"/>
      <c r="BN402" s="66" t="s">
        <v>2768</v>
      </c>
      <c r="BO402" s="66" t="s">
        <v>2768</v>
      </c>
      <c r="BP402" s="66" t="s">
        <v>2768</v>
      </c>
      <c r="BQ402" s="66" t="str">
        <f>PROPER(TEXT(Prog_23[[#This Row],[PROGRAMAÇÃO CLIENTE]],"mmm"))</f>
        <v>Jul</v>
      </c>
      <c r="BR402" s="66">
        <f>YEAR(Prog_23[[#This Row],[PROGRAMAÇÃO CLIENTE]])</f>
        <v>2023</v>
      </c>
    </row>
    <row r="403" spans="1:70" x14ac:dyDescent="0.25">
      <c r="A403" s="200" t="str">
        <f>Prog_23[[#This Row],[CONTEINER]]</f>
        <v>MRSU4956393</v>
      </c>
      <c r="B403" s="86" t="s">
        <v>2771</v>
      </c>
      <c r="C4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03" s="85">
        <v>45133.333333333336</v>
      </c>
      <c r="E403" s="66" t="s">
        <v>5187</v>
      </c>
      <c r="F403" s="66" t="s">
        <v>3161</v>
      </c>
      <c r="G403" s="66" t="s">
        <v>5651</v>
      </c>
      <c r="H403" s="44">
        <v>229089305</v>
      </c>
      <c r="I403" s="44" t="s">
        <v>5724</v>
      </c>
      <c r="J403" s="66" t="s">
        <v>301</v>
      </c>
      <c r="K403" s="66">
        <v>3720</v>
      </c>
      <c r="L403" s="66" t="s">
        <v>5725</v>
      </c>
      <c r="M403" s="66">
        <v>25984</v>
      </c>
      <c r="N403" s="66">
        <f>SUM(Prog_23[[#This Row],[TARA]]+Prog_23[[#This Row],[PESO]])</f>
        <v>29704</v>
      </c>
      <c r="O403" s="44">
        <v>10942</v>
      </c>
      <c r="P403" s="66" t="s">
        <v>5481</v>
      </c>
      <c r="Q403" s="66" t="s">
        <v>192</v>
      </c>
      <c r="R403" s="66" t="s">
        <v>193</v>
      </c>
      <c r="S403" s="66" t="s">
        <v>194</v>
      </c>
      <c r="T403" s="138" t="str">
        <f>IFERROR(LOOKUP($S403,MOTORISTAS!$D$3:$D$916,MOTORISTAS!E$3:$E$916),"")</f>
        <v>38529612892</v>
      </c>
      <c r="U403" s="138" t="str">
        <f>IFERROR(LOOKUP($S403,MOTORISTAS!$D$3:$D$916,MOTORISTAS!F$3:$F$916),"")</f>
        <v>05021398574</v>
      </c>
      <c r="V403" s="66" t="s">
        <v>292</v>
      </c>
      <c r="W403" s="79">
        <v>45131.836111111108</v>
      </c>
      <c r="X403" s="79">
        <v>45133.100694444445</v>
      </c>
      <c r="Y403" s="79">
        <v>45133.541666666664</v>
      </c>
      <c r="Z403" s="66" t="s">
        <v>306</v>
      </c>
      <c r="AA403" s="79">
        <v>45133.758333333331</v>
      </c>
      <c r="AB403" s="79">
        <v>45130.791666666664</v>
      </c>
      <c r="AC403" s="79">
        <v>45131.5</v>
      </c>
      <c r="AD403" s="79">
        <v>45134.75</v>
      </c>
      <c r="AE403" s="66" t="s">
        <v>5492</v>
      </c>
      <c r="AF403" s="44">
        <v>16868</v>
      </c>
      <c r="AG403" s="254">
        <f>Prog_23[[#This Row],[SAÍDA DO CLIENTE]]-Prog_23[[#This Row],[PROGRAMAÇÃO CLIENTE]]</f>
        <v>0.20833333332848269</v>
      </c>
      <c r="AH403" s="44"/>
      <c r="AI403" s="66"/>
      <c r="AJ403" s="66"/>
      <c r="AK403" s="66"/>
      <c r="AL403" s="66"/>
      <c r="AM403" s="66"/>
      <c r="AN403" s="83"/>
      <c r="AO403" s="83">
        <v>20</v>
      </c>
      <c r="AP403" s="83">
        <v>30</v>
      </c>
      <c r="AQ403" s="66" t="s">
        <v>1737</v>
      </c>
      <c r="AR403" s="81">
        <v>180</v>
      </c>
      <c r="AS403" s="81">
        <v>120</v>
      </c>
      <c r="AT403" s="81">
        <v>2300</v>
      </c>
      <c r="AU403" s="81"/>
      <c r="AV403" s="81">
        <v>200</v>
      </c>
      <c r="AW403" s="81"/>
      <c r="AX403" s="83">
        <f>SUM(Prog_23[[#This Row],[ADIANTAMENTO]]+Prog_23[[#This Row],[SALDO]]+Prog_23[[#This Row],[MARGEM]]+Prog_23[[#This Row],[ESTADIA 1]])</f>
        <v>2500</v>
      </c>
      <c r="AY4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03" s="81">
        <v>3642</v>
      </c>
      <c r="BA403" s="81"/>
      <c r="BB403" s="81">
        <f>Prog_23[[#This Row],[VLR NF]]*0.1%</f>
        <v>0</v>
      </c>
      <c r="BC403" s="81">
        <f>Prog_23[[#This Row],[VLR NF]]*0.05%</f>
        <v>0</v>
      </c>
      <c r="BD403" s="81">
        <v>358</v>
      </c>
      <c r="BE403" s="81"/>
      <c r="BF403" s="81"/>
      <c r="BG403" s="81"/>
      <c r="BH403" s="81"/>
      <c r="BI403" s="81"/>
      <c r="BJ403" s="81"/>
      <c r="BK403" s="81"/>
      <c r="BL403" s="81">
        <v>0</v>
      </c>
      <c r="BM403" s="81"/>
      <c r="BN403" s="66" t="s">
        <v>2768</v>
      </c>
      <c r="BO403" s="66" t="s">
        <v>2768</v>
      </c>
      <c r="BP403" s="66" t="s">
        <v>2768</v>
      </c>
      <c r="BQ403" s="66" t="str">
        <f>PROPER(TEXT(Prog_23[[#This Row],[PROGRAMAÇÃO CLIENTE]],"mmm"))</f>
        <v>Jul</v>
      </c>
      <c r="BR403" s="66">
        <f>YEAR(Prog_23[[#This Row],[PROGRAMAÇÃO CLIENTE]])</f>
        <v>2023</v>
      </c>
    </row>
    <row r="404" spans="1:70" x14ac:dyDescent="0.25">
      <c r="A404" s="201" t="str">
        <f>Prog_23[[#This Row],[CONTEINER]]</f>
        <v>GCXU5824063</v>
      </c>
      <c r="B404" s="86" t="s">
        <v>2771</v>
      </c>
      <c r="C4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04" s="85">
        <v>45133.333333333336</v>
      </c>
      <c r="E404" s="66" t="s">
        <v>5187</v>
      </c>
      <c r="F404" s="66" t="s">
        <v>3161</v>
      </c>
      <c r="G404" s="66" t="s">
        <v>5651</v>
      </c>
      <c r="H404" s="44">
        <v>229089305</v>
      </c>
      <c r="I404" s="44" t="s">
        <v>5727</v>
      </c>
      <c r="J404" s="66" t="s">
        <v>301</v>
      </c>
      <c r="K404" s="66">
        <v>3700</v>
      </c>
      <c r="L404" s="66" t="s">
        <v>5726</v>
      </c>
      <c r="M404" s="66">
        <v>25860</v>
      </c>
      <c r="N404" s="66">
        <f>SUM(Prog_23[[#This Row],[TARA]]+Prog_23[[#This Row],[PESO]])</f>
        <v>29560</v>
      </c>
      <c r="O404" s="44">
        <v>10943</v>
      </c>
      <c r="P404" s="66" t="s">
        <v>5481</v>
      </c>
      <c r="Q404" s="66" t="s">
        <v>31</v>
      </c>
      <c r="R404" s="66" t="s">
        <v>32</v>
      </c>
      <c r="S404" s="66" t="s">
        <v>33</v>
      </c>
      <c r="T404" s="138" t="str">
        <f>IFERROR(LOOKUP($S404,MOTORISTAS!$D$3:$D$916,MOTORISTAS!E$3:$E$916),"")</f>
        <v>09776430856</v>
      </c>
      <c r="U404" s="138" t="str">
        <f>IFERROR(LOOKUP($S404,MOTORISTAS!$D$3:$D$916,MOTORISTAS!F$3:$F$916),"")</f>
        <v>01258979905</v>
      </c>
      <c r="V404" s="66" t="s">
        <v>292</v>
      </c>
      <c r="W404" s="79">
        <v>45131.840277777781</v>
      </c>
      <c r="X404" s="79">
        <v>45133.318055555559</v>
      </c>
      <c r="Y404" s="79">
        <v>45133.541666666664</v>
      </c>
      <c r="Z404" s="66" t="s">
        <v>306</v>
      </c>
      <c r="AA404" s="79">
        <v>45133.772916666669</v>
      </c>
      <c r="AB404" s="79">
        <v>45130.791666666664</v>
      </c>
      <c r="AC404" s="79">
        <v>45131.5</v>
      </c>
      <c r="AD404" s="79">
        <v>45134.75</v>
      </c>
      <c r="AE404" s="66" t="s">
        <v>5492</v>
      </c>
      <c r="AF404" s="44">
        <v>16869</v>
      </c>
      <c r="AG404" s="254">
        <f>Prog_23[[#This Row],[SAÍDA DO CLIENTE]]-Prog_23[[#This Row],[PROGRAMAÇÃO CLIENTE]]</f>
        <v>0.20833333332848269</v>
      </c>
      <c r="AH404" s="44"/>
      <c r="AI404" s="66"/>
      <c r="AJ404" s="66"/>
      <c r="AK404" s="66"/>
      <c r="AL404" s="66"/>
      <c r="AM404" s="66"/>
      <c r="AN404" s="83"/>
      <c r="AO404" s="83">
        <v>20</v>
      </c>
      <c r="AP404" s="83">
        <v>30</v>
      </c>
      <c r="AQ404" s="66" t="s">
        <v>1737</v>
      </c>
      <c r="AR404" s="81">
        <v>180</v>
      </c>
      <c r="AS404" s="81">
        <v>120</v>
      </c>
      <c r="AT404" s="81">
        <v>2300</v>
      </c>
      <c r="AU404" s="81"/>
      <c r="AV404" s="81">
        <v>200</v>
      </c>
      <c r="AW404" s="81"/>
      <c r="AX404" s="83">
        <f>SUM(Prog_23[[#This Row],[ADIANTAMENTO]]+Prog_23[[#This Row],[SALDO]]+Prog_23[[#This Row],[MARGEM]]+Prog_23[[#This Row],[ESTADIA 1]])</f>
        <v>2500</v>
      </c>
      <c r="AY4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04" s="81">
        <v>3642</v>
      </c>
      <c r="BA404" s="81"/>
      <c r="BB404" s="81">
        <f>Prog_23[[#This Row],[VLR NF]]*0.1%</f>
        <v>0</v>
      </c>
      <c r="BC404" s="81">
        <f>Prog_23[[#This Row],[VLR NF]]*0.05%</f>
        <v>0</v>
      </c>
      <c r="BD404" s="81">
        <v>358</v>
      </c>
      <c r="BE404" s="81"/>
      <c r="BF404" s="81"/>
      <c r="BG404" s="81"/>
      <c r="BH404" s="81"/>
      <c r="BI404" s="81"/>
      <c r="BJ404" s="81"/>
      <c r="BK404" s="81"/>
      <c r="BL404" s="81"/>
      <c r="BM404" s="81"/>
      <c r="BN404" s="66" t="s">
        <v>2768</v>
      </c>
      <c r="BO404" s="66" t="s">
        <v>2768</v>
      </c>
      <c r="BP404" s="66" t="s">
        <v>2768</v>
      </c>
      <c r="BQ404" s="66" t="str">
        <f>PROPER(TEXT(Prog_23[[#This Row],[PROGRAMAÇÃO CLIENTE]],"mmm"))</f>
        <v>Jul</v>
      </c>
      <c r="BR404" s="66">
        <f>YEAR(Prog_23[[#This Row],[PROGRAMAÇÃO CLIENTE]])</f>
        <v>2023</v>
      </c>
    </row>
    <row r="405" spans="1:70" x14ac:dyDescent="0.25">
      <c r="A405" s="200" t="str">
        <f>Prog_23[[#This Row],[CONTEINER]]</f>
        <v>SUDU7473724</v>
      </c>
      <c r="B405" s="86" t="s">
        <v>2771</v>
      </c>
      <c r="C4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05" s="85">
        <v>45135.333333333336</v>
      </c>
      <c r="E405" s="66" t="s">
        <v>353</v>
      </c>
      <c r="F405" s="66" t="s">
        <v>3161</v>
      </c>
      <c r="G405" s="66"/>
      <c r="H405" s="44">
        <v>229549785</v>
      </c>
      <c r="I405" s="44" t="s">
        <v>5771</v>
      </c>
      <c r="J405" s="66" t="s">
        <v>288</v>
      </c>
      <c r="K405" s="66">
        <v>2220</v>
      </c>
      <c r="L405" s="66" t="s">
        <v>5772</v>
      </c>
      <c r="M405" s="66">
        <v>8170</v>
      </c>
      <c r="N405" s="66">
        <f>SUM(Prog_23[[#This Row],[TARA]]+Prog_23[[#This Row],[PESO]])</f>
        <v>10390</v>
      </c>
      <c r="O405" s="44" t="s">
        <v>5806</v>
      </c>
      <c r="P405" s="66" t="s">
        <v>5752</v>
      </c>
      <c r="Q405" s="66" t="s">
        <v>106</v>
      </c>
      <c r="R405" s="66" t="s">
        <v>3246</v>
      </c>
      <c r="S405" s="66" t="s">
        <v>108</v>
      </c>
      <c r="T405" s="138" t="str">
        <f>IFERROR(LOOKUP($S405,MOTORISTAS!$D$3:$D$916,MOTORISTAS!E$3:$E$916),"")</f>
        <v>34927982840</v>
      </c>
      <c r="U405" s="138" t="str">
        <f>IFERROR(LOOKUP($S405,MOTORISTAS!$D$3:$D$916,MOTORISTAS!F$3:$F$916),"")</f>
        <v>03500129879</v>
      </c>
      <c r="V405" s="66" t="s">
        <v>409</v>
      </c>
      <c r="W405" s="79">
        <v>45134.556944444441</v>
      </c>
      <c r="X405" s="79">
        <v>45135.305555555555</v>
      </c>
      <c r="Y405" s="79">
        <v>45138.8125</v>
      </c>
      <c r="Z405" s="66" t="s">
        <v>410</v>
      </c>
      <c r="AA405" s="79">
        <v>45139.283333333333</v>
      </c>
      <c r="AB405" s="79">
        <v>45137.291666666664</v>
      </c>
      <c r="AC405" s="79">
        <v>45138.5</v>
      </c>
      <c r="AD405" s="79">
        <v>45141.75</v>
      </c>
      <c r="AE405" s="66" t="s">
        <v>624</v>
      </c>
      <c r="AF405" s="44">
        <v>16935</v>
      </c>
      <c r="AG405" s="254">
        <f>Prog_23[[#This Row],[SAÍDA DO CLIENTE]]-Prog_23[[#This Row],[PROGRAMAÇÃO CLIENTE]]</f>
        <v>3.4791666666642413</v>
      </c>
      <c r="AH405" s="44"/>
      <c r="AI405" s="66">
        <v>6631360</v>
      </c>
      <c r="AJ405" s="66"/>
      <c r="AK405" s="66"/>
      <c r="AL405" s="66"/>
      <c r="AM405" s="66"/>
      <c r="AN405" s="83"/>
      <c r="AO405" s="83"/>
      <c r="AP405" s="83"/>
      <c r="AQ405" s="66"/>
      <c r="AR405" s="66"/>
      <c r="AS405" s="66"/>
      <c r="AT405" s="81">
        <v>2100</v>
      </c>
      <c r="AU405" s="81"/>
      <c r="AV405" s="81"/>
      <c r="AW405" s="81"/>
      <c r="AX405" s="83">
        <f>SUM(Prog_23[[#This Row],[ADIANTAMENTO]]+Prog_23[[#This Row],[SALDO]]+Prog_23[[#This Row],[MARGEM]]+Prog_23[[#This Row],[ESTADIA 1]])</f>
        <v>2100</v>
      </c>
      <c r="AY4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7728.6697750000003</v>
      </c>
      <c r="AZ405" s="81">
        <v>2800</v>
      </c>
      <c r="BA405" s="81">
        <v>35779.85</v>
      </c>
      <c r="BB405" s="81">
        <f>Prog_23[[#This Row],[VLR NF]]*0.1%</f>
        <v>35.779849999999996</v>
      </c>
      <c r="BC405" s="81">
        <f>Prog_23[[#This Row],[VLR NF]]*0.05%</f>
        <v>17.889924999999998</v>
      </c>
      <c r="BD405" s="81"/>
      <c r="BE405" s="81"/>
      <c r="BF405" s="81"/>
      <c r="BG405" s="81"/>
      <c r="BH405" s="81"/>
      <c r="BI405" s="81"/>
      <c r="BJ405" s="81"/>
      <c r="BK405" s="81"/>
      <c r="BL405" s="81"/>
      <c r="BM405" s="81">
        <f>65*75</f>
        <v>4875</v>
      </c>
      <c r="BN405" s="66" t="s">
        <v>2768</v>
      </c>
      <c r="BO405" s="66" t="s">
        <v>2768</v>
      </c>
      <c r="BP405" s="66" t="s">
        <v>2768</v>
      </c>
      <c r="BQ405" s="66" t="str">
        <f>PROPER(TEXT(Prog_23[[#This Row],[PROGRAMAÇÃO CLIENTE]],"mmm"))</f>
        <v>Jul</v>
      </c>
      <c r="BR405" s="66">
        <f>YEAR(Prog_23[[#This Row],[PROGRAMAÇÃO CLIENTE]])</f>
        <v>2023</v>
      </c>
    </row>
    <row r="406" spans="1:70" x14ac:dyDescent="0.25">
      <c r="A406" s="201" t="str">
        <f>Prog_23[[#This Row],[CONTEINER]]</f>
        <v>MRSU4254653</v>
      </c>
      <c r="B406" s="86" t="s">
        <v>2771</v>
      </c>
      <c r="C4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06" s="85">
        <v>45138.291666666664</v>
      </c>
      <c r="E406" s="66" t="s">
        <v>5774</v>
      </c>
      <c r="F406" s="66" t="s">
        <v>1189</v>
      </c>
      <c r="G406" s="66" t="s">
        <v>5780</v>
      </c>
      <c r="H406" s="44" t="s">
        <v>5777</v>
      </c>
      <c r="I406" s="44" t="s">
        <v>5775</v>
      </c>
      <c r="J406" s="66" t="s">
        <v>301</v>
      </c>
      <c r="K406" s="66"/>
      <c r="L406" s="66">
        <v>2937889</v>
      </c>
      <c r="M406" s="66">
        <v>24798</v>
      </c>
      <c r="N406" s="66">
        <f>SUM(Prog_23[[#This Row],[TARA]]+Prog_23[[#This Row],[PESO]])</f>
        <v>24798</v>
      </c>
      <c r="O406" s="44">
        <v>31558</v>
      </c>
      <c r="P406" s="66" t="s">
        <v>5776</v>
      </c>
      <c r="Q406" s="66" t="s">
        <v>72</v>
      </c>
      <c r="R406" s="66" t="s">
        <v>5655</v>
      </c>
      <c r="S406" s="66" t="s">
        <v>69</v>
      </c>
      <c r="T406" s="138" t="str">
        <f>IFERROR(LOOKUP($S406,MOTORISTAS!$D$3:$D$916,MOTORISTAS!E$3:$E$916),"")</f>
        <v>07968457866</v>
      </c>
      <c r="U406" s="138" t="str">
        <f>IFERROR(LOOKUP($S406,MOTORISTAS!$D$3:$D$916,MOTORISTAS!F$3:$F$916),"")</f>
        <v>03264365790</v>
      </c>
      <c r="V406" s="66" t="s">
        <v>306</v>
      </c>
      <c r="W406" s="79">
        <v>45138.083333333336</v>
      </c>
      <c r="X406" s="66" t="s">
        <v>5782</v>
      </c>
      <c r="Y406" s="79">
        <v>45138.458333333336</v>
      </c>
      <c r="Z406" s="66" t="s">
        <v>526</v>
      </c>
      <c r="AA406" s="79">
        <v>45138.606944444444</v>
      </c>
      <c r="AB406" s="79">
        <v>45138.75</v>
      </c>
      <c r="AC406" s="79">
        <v>45138.75</v>
      </c>
      <c r="AD406" s="79">
        <v>45138.75</v>
      </c>
      <c r="AE406" s="66" t="s">
        <v>708</v>
      </c>
      <c r="AF406" s="44">
        <v>16909</v>
      </c>
      <c r="AG406" s="254">
        <f>Prog_23[[#This Row],[SAÍDA DO CLIENTE]]-Prog_23[[#This Row],[PROGRAMAÇÃO CLIENTE]]</f>
        <v>0.16666666667151731</v>
      </c>
      <c r="AH406" s="44"/>
      <c r="AI406" s="66"/>
      <c r="AJ406" s="66"/>
      <c r="AK406" s="66"/>
      <c r="AL406" s="66"/>
      <c r="AM406" s="66"/>
      <c r="AN406" s="83"/>
      <c r="AO406" s="83"/>
      <c r="AP406" s="83"/>
      <c r="AQ406" s="66"/>
      <c r="AR406" s="66"/>
      <c r="AS406" s="66"/>
      <c r="AT406" s="81">
        <v>2100</v>
      </c>
      <c r="AU406" s="81"/>
      <c r="AV406" s="81"/>
      <c r="AW406" s="81"/>
      <c r="AX406" s="83">
        <f>SUM(Prog_23[[#This Row],[ADIANTAMENTO]]+Prog_23[[#This Row],[SALDO]]+Prog_23[[#This Row],[MARGEM]]+Prog_23[[#This Row],[ESTADIA 1]])</f>
        <v>2100</v>
      </c>
      <c r="AY4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3450</v>
      </c>
      <c r="AZ406" s="81">
        <v>2722.8</v>
      </c>
      <c r="BA406" s="81">
        <v>31126.99</v>
      </c>
      <c r="BB406" s="81">
        <v>0</v>
      </c>
      <c r="BC406" s="81">
        <v>0</v>
      </c>
      <c r="BD406" s="81">
        <v>313.2</v>
      </c>
      <c r="BE406" s="81"/>
      <c r="BF406" s="81"/>
      <c r="BG406" s="81"/>
      <c r="BH406" s="81"/>
      <c r="BI406" s="81">
        <v>414</v>
      </c>
      <c r="BJ406" s="81"/>
      <c r="BK406" s="81"/>
      <c r="BL406" s="81"/>
      <c r="BM406" s="81"/>
      <c r="BN406" s="66" t="s">
        <v>2768</v>
      </c>
      <c r="BO406" s="66" t="s">
        <v>2768</v>
      </c>
      <c r="BP406" s="66" t="s">
        <v>2768</v>
      </c>
      <c r="BQ406" s="66" t="str">
        <f>PROPER(TEXT(Prog_23[[#This Row],[PROGRAMAÇÃO CLIENTE]],"mmm"))</f>
        <v>Jul</v>
      </c>
      <c r="BR406" s="66">
        <f>YEAR(Prog_23[[#This Row],[PROGRAMAÇÃO CLIENTE]])</f>
        <v>2023</v>
      </c>
    </row>
    <row r="407" spans="1:70" x14ac:dyDescent="0.25">
      <c r="A407" s="201" t="str">
        <f>Prog_23[[#This Row],[CONTEINER]]</f>
        <v>TEMU7397960</v>
      </c>
      <c r="B407" s="86" t="s">
        <v>2771</v>
      </c>
      <c r="C4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07" s="85">
        <v>45139.541666666664</v>
      </c>
      <c r="E407" s="66" t="s">
        <v>2302</v>
      </c>
      <c r="F407" s="66" t="s">
        <v>529</v>
      </c>
      <c r="G407" s="66">
        <v>343</v>
      </c>
      <c r="H407" s="44">
        <v>229711884</v>
      </c>
      <c r="I407" s="44" t="s">
        <v>5794</v>
      </c>
      <c r="J407" s="66" t="s">
        <v>301</v>
      </c>
      <c r="K407" s="66">
        <v>3910</v>
      </c>
      <c r="L407" s="66" t="s">
        <v>5793</v>
      </c>
      <c r="M407" s="66">
        <v>7485</v>
      </c>
      <c r="N407" s="66">
        <f>SUM(Prog_23[[#This Row],[TARA]]+Prog_23[[#This Row],[PESO]])</f>
        <v>11395</v>
      </c>
      <c r="O407" s="44" t="s">
        <v>5769</v>
      </c>
      <c r="P407" s="66" t="s">
        <v>5753</v>
      </c>
      <c r="Q407" s="66" t="s">
        <v>150</v>
      </c>
      <c r="R407" s="66" t="s">
        <v>151</v>
      </c>
      <c r="S407" s="66" t="s">
        <v>4901</v>
      </c>
      <c r="T407" s="138" t="str">
        <f>IFERROR(LOOKUP($S407,MOTORISTAS!$D$3:$D$916,MOTORISTAS!E$3:$E$916),"")</f>
        <v>25538214842</v>
      </c>
      <c r="U407" s="138" t="str">
        <f>IFERROR(LOOKUP($S407,MOTORISTAS!$D$3:$D$916,MOTORISTAS!F$3:$F$916),"")</f>
        <v>01845110101</v>
      </c>
      <c r="V407" s="66" t="s">
        <v>292</v>
      </c>
      <c r="W407" s="79">
        <v>45138.568055555559</v>
      </c>
      <c r="X407" s="79">
        <v>45139.5</v>
      </c>
      <c r="Y407" s="79">
        <v>45139.6875</v>
      </c>
      <c r="Z407" s="66" t="s">
        <v>306</v>
      </c>
      <c r="AA407" s="79">
        <v>45139.804861111108</v>
      </c>
      <c r="AB407" s="79">
        <v>45138.791666666664</v>
      </c>
      <c r="AC407" s="79">
        <v>45138.5</v>
      </c>
      <c r="AD407" s="79">
        <v>45141.75</v>
      </c>
      <c r="AE407" s="66" t="s">
        <v>452</v>
      </c>
      <c r="AF407" s="44">
        <v>16936</v>
      </c>
      <c r="AG407" s="254">
        <f>Prog_23[[#This Row],[SAÍDA DO CLIENTE]]-Prog_23[[#This Row],[PROGRAMAÇÃO CLIENTE]]</f>
        <v>0.14583333333575865</v>
      </c>
      <c r="AH407" s="44"/>
      <c r="AI407" s="66"/>
      <c r="AJ407" s="66"/>
      <c r="AK407" s="66"/>
      <c r="AL407" s="66"/>
      <c r="AM407" s="66"/>
      <c r="AN407" s="83"/>
      <c r="AO407" s="83"/>
      <c r="AP407" s="83"/>
      <c r="AQ407" s="66"/>
      <c r="AR407" s="66"/>
      <c r="AS407" s="66"/>
      <c r="AT407" s="81">
        <v>1800</v>
      </c>
      <c r="AU407" s="81"/>
      <c r="AV407" s="81">
        <v>200</v>
      </c>
      <c r="AW407" s="81"/>
      <c r="AX407" s="83">
        <f>SUM(Prog_23[[#This Row],[ADIANTAMENTO]]+Prog_23[[#This Row],[SALDO]]+Prog_23[[#This Row],[MARGEM]]+Prog_23[[#This Row],[ESTADIA 1]])</f>
        <v>2000</v>
      </c>
      <c r="AY4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3356.3840599999999</v>
      </c>
      <c r="AZ407" s="81">
        <v>2350</v>
      </c>
      <c r="BA407" s="81">
        <v>368384.06</v>
      </c>
      <c r="BB407" s="81">
        <f>Prog_23[[#This Row],[VLR NF]]*0.1%</f>
        <v>368.38406000000003</v>
      </c>
      <c r="BC407" s="81">
        <v>0</v>
      </c>
      <c r="BD407" s="81">
        <v>240</v>
      </c>
      <c r="BE407" s="81"/>
      <c r="BF407" s="81"/>
      <c r="BG407" s="81"/>
      <c r="BH407" s="81"/>
      <c r="BI407" s="81"/>
      <c r="BJ407" s="81"/>
      <c r="BK407" s="81"/>
      <c r="BL407" s="81">
        <v>398</v>
      </c>
      <c r="BM407" s="81"/>
      <c r="BN407" s="66" t="s">
        <v>2768</v>
      </c>
      <c r="BO407" s="66" t="s">
        <v>2768</v>
      </c>
      <c r="BP407" s="66" t="s">
        <v>2768</v>
      </c>
      <c r="BQ407" s="66" t="str">
        <f>PROPER(TEXT(Prog_23[[#This Row],[PROGRAMAÇÃO CLIENTE]],"mmm"))</f>
        <v>Ago</v>
      </c>
      <c r="BR407" s="66">
        <f>YEAR(Prog_23[[#This Row],[PROGRAMAÇÃO CLIENTE]])</f>
        <v>2023</v>
      </c>
    </row>
    <row r="408" spans="1:70" x14ac:dyDescent="0.25">
      <c r="A408" s="200" t="str">
        <f>Prog_23[[#This Row],[CONTEINER]]</f>
        <v>MRSU5335723</v>
      </c>
      <c r="B408" s="86" t="s">
        <v>2771</v>
      </c>
      <c r="C4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08" s="85">
        <v>45139.666666666664</v>
      </c>
      <c r="E408" s="66" t="s">
        <v>2302</v>
      </c>
      <c r="F408" s="66" t="s">
        <v>529</v>
      </c>
      <c r="G408" s="66">
        <v>52</v>
      </c>
      <c r="H408" s="44">
        <v>228838109</v>
      </c>
      <c r="I408" s="44" t="s">
        <v>5802</v>
      </c>
      <c r="J408" s="66" t="s">
        <v>301</v>
      </c>
      <c r="K408" s="66">
        <v>3720</v>
      </c>
      <c r="L408" s="66" t="s">
        <v>5803</v>
      </c>
      <c r="M408" s="66">
        <v>8148</v>
      </c>
      <c r="N408" s="66">
        <f>SUM(Prog_23[[#This Row],[TARA]]+Prog_23[[#This Row],[PESO]])</f>
        <v>11868</v>
      </c>
      <c r="O408" s="44" t="s">
        <v>5781</v>
      </c>
      <c r="P408" s="66" t="s">
        <v>5752</v>
      </c>
      <c r="Q408" s="66" t="s">
        <v>102</v>
      </c>
      <c r="R408" s="66" t="s">
        <v>73</v>
      </c>
      <c r="S408" s="66" t="s">
        <v>2678</v>
      </c>
      <c r="T408" s="138" t="str">
        <f>IFERROR(LOOKUP($S408,MOTORISTAS!$D$3:$D$916,MOTORISTAS!E$3:$E$916),"")</f>
        <v>28386357860</v>
      </c>
      <c r="U408" s="138" t="str">
        <f>IFERROR(LOOKUP($S408,MOTORISTAS!$D$3:$D$916,MOTORISTAS!F$3:$F$916),"")</f>
        <v>01042201192</v>
      </c>
      <c r="V408" s="66" t="s">
        <v>292</v>
      </c>
      <c r="W408" s="66" t="s">
        <v>5804</v>
      </c>
      <c r="X408" s="79">
        <v>45139.614583333336</v>
      </c>
      <c r="Y408" s="79">
        <v>45139.770833333336</v>
      </c>
      <c r="Z408" s="66" t="s">
        <v>410</v>
      </c>
      <c r="AA408" s="79">
        <v>45139.888194444444</v>
      </c>
      <c r="AB408" s="79">
        <v>45137.291666666664</v>
      </c>
      <c r="AC408" s="79">
        <v>45138.5</v>
      </c>
      <c r="AD408" s="79">
        <v>45141</v>
      </c>
      <c r="AE408" s="66" t="s">
        <v>1391</v>
      </c>
      <c r="AF408" s="44">
        <v>16940</v>
      </c>
      <c r="AG408" s="254">
        <f>Prog_23[[#This Row],[SAÍDA DO CLIENTE]]-Prog_23[[#This Row],[PROGRAMAÇÃO CLIENTE]]</f>
        <v>0.10416666667151731</v>
      </c>
      <c r="AH408" s="44"/>
      <c r="AI408" s="66">
        <v>6635251</v>
      </c>
      <c r="AJ408" s="66"/>
      <c r="AK408" s="66"/>
      <c r="AL408" s="66"/>
      <c r="AM408" s="66"/>
      <c r="AN408" s="83"/>
      <c r="AO408" s="83"/>
      <c r="AP408" s="83"/>
      <c r="AQ408" s="66"/>
      <c r="AR408" s="66"/>
      <c r="AS408" s="66"/>
      <c r="AT408" s="81">
        <v>1800</v>
      </c>
      <c r="AU408" s="81">
        <v>0</v>
      </c>
      <c r="AV408" s="81"/>
      <c r="AW408" s="81"/>
      <c r="AX408" s="83">
        <f>SUM(Prog_23[[#This Row],[ADIANTAMENTO]]+Prog_23[[#This Row],[SALDO]]+Prog_23[[#This Row],[MARGEM]]+Prog_23[[#This Row],[ESTADIA 1]])</f>
        <v>1800</v>
      </c>
      <c r="AY4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3011.57098</v>
      </c>
      <c r="AZ408" s="81">
        <v>2350</v>
      </c>
      <c r="BA408" s="81">
        <v>421570.98</v>
      </c>
      <c r="BB408" s="81">
        <f>Prog_23[[#This Row],[VLR NF]]*0.1%</f>
        <v>421.57097999999996</v>
      </c>
      <c r="BC408" s="81">
        <v>0</v>
      </c>
      <c r="BD408" s="81">
        <v>240</v>
      </c>
      <c r="BE408" s="81"/>
      <c r="BF408" s="81"/>
      <c r="BG408" s="81"/>
      <c r="BH408" s="81"/>
      <c r="BI408" s="81"/>
      <c r="BJ408" s="81"/>
      <c r="BK408" s="81"/>
      <c r="BL408" s="81"/>
      <c r="BM408" s="81"/>
      <c r="BN408" s="66" t="s">
        <v>2768</v>
      </c>
      <c r="BO408" s="66" t="s">
        <v>2768</v>
      </c>
      <c r="BP408" s="66" t="s">
        <v>2768</v>
      </c>
      <c r="BQ408" s="66" t="str">
        <f>PROPER(TEXT(Prog_23[[#This Row],[PROGRAMAÇÃO CLIENTE]],"mmm"))</f>
        <v>Ago</v>
      </c>
      <c r="BR408" s="66">
        <f>YEAR(Prog_23[[#This Row],[PROGRAMAÇÃO CLIENTE]])</f>
        <v>2023</v>
      </c>
    </row>
    <row r="409" spans="1:70" x14ac:dyDescent="0.25">
      <c r="A409" s="200" t="str">
        <f>Prog_23[[#This Row],[CONTEINER]]</f>
        <v>MSKU7707752</v>
      </c>
      <c r="B409" s="86" t="s">
        <v>2771</v>
      </c>
      <c r="C4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09" s="85">
        <v>45139.333333333336</v>
      </c>
      <c r="E409" s="66" t="s">
        <v>5797</v>
      </c>
      <c r="F409" s="66" t="s">
        <v>1189</v>
      </c>
      <c r="G409" s="66"/>
      <c r="H409" s="44">
        <v>229713332</v>
      </c>
      <c r="I409" s="44" t="s">
        <v>5795</v>
      </c>
      <c r="J409" s="66" t="s">
        <v>288</v>
      </c>
      <c r="K409" s="66">
        <v>2170</v>
      </c>
      <c r="L409" s="66" t="s">
        <v>5796</v>
      </c>
      <c r="M409" s="66">
        <v>7087</v>
      </c>
      <c r="N409" s="66">
        <f>SUM(Prog_23[[#This Row],[TARA]]+Prog_23[[#This Row],[PESO]])</f>
        <v>9257</v>
      </c>
      <c r="O409" s="44">
        <v>3</v>
      </c>
      <c r="P409" s="66" t="s">
        <v>5753</v>
      </c>
      <c r="Q409" s="66" t="s">
        <v>3040</v>
      </c>
      <c r="R409" s="66" t="s">
        <v>3041</v>
      </c>
      <c r="S409" s="66" t="s">
        <v>3042</v>
      </c>
      <c r="T409" s="138" t="str">
        <f>IFERROR(LOOKUP($S409,MOTORISTAS!$D$3:$D$916,MOTORISTAS!E$3:$E$916),"")</f>
        <v>19279658883</v>
      </c>
      <c r="U409" s="138" t="str">
        <f>IFERROR(LOOKUP($S409,MOTORISTAS!$D$3:$D$916,MOTORISTAS!F$3:$F$916),"")</f>
        <v>01301319672</v>
      </c>
      <c r="V409" s="66" t="s">
        <v>292</v>
      </c>
      <c r="W409" s="79">
        <v>45138.65625</v>
      </c>
      <c r="X409" s="79">
        <v>45139.208333333336</v>
      </c>
      <c r="Y409" s="79">
        <v>45139.65625</v>
      </c>
      <c r="Z409" s="66" t="s">
        <v>306</v>
      </c>
      <c r="AA409" s="79">
        <v>45139.816666666666</v>
      </c>
      <c r="AB409" s="79">
        <v>45138.791666666664</v>
      </c>
      <c r="AC409" s="79">
        <v>45138.5</v>
      </c>
      <c r="AD409" s="79">
        <v>45141.75</v>
      </c>
      <c r="AE409" s="66" t="s">
        <v>527</v>
      </c>
      <c r="AF409" s="44" t="s">
        <v>5869</v>
      </c>
      <c r="AG409" s="254">
        <f>Prog_23[[#This Row],[SAÍDA DO CLIENTE]]-Prog_23[[#This Row],[PROGRAMAÇÃO CLIENTE]]</f>
        <v>0.32291666666424135</v>
      </c>
      <c r="AH409" s="44"/>
      <c r="AI409" s="66"/>
      <c r="AJ409" s="66"/>
      <c r="AK409" s="66"/>
      <c r="AL409" s="66"/>
      <c r="AM409" s="66"/>
      <c r="AN409" s="83"/>
      <c r="AO409" s="83"/>
      <c r="AP409" s="83"/>
      <c r="AQ409" s="66"/>
      <c r="AR409" s="66"/>
      <c r="AS409" s="66"/>
      <c r="AT409" s="81">
        <v>2000</v>
      </c>
      <c r="AU409" s="81"/>
      <c r="AV409" s="81"/>
      <c r="AW409" s="81"/>
      <c r="AX409" s="83">
        <f>SUM(Prog_23[[#This Row],[ADIANTAMENTO]]+Prog_23[[#This Row],[SALDO]]+Prog_23[[#This Row],[MARGEM]]+Prog_23[[#This Row],[ESTADIA 1]])</f>
        <v>2000</v>
      </c>
      <c r="AY4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3045.6750649999999</v>
      </c>
      <c r="AZ409" s="81">
        <v>1758</v>
      </c>
      <c r="BA409" s="81">
        <v>197116.71</v>
      </c>
      <c r="BB409" s="81">
        <f>Prog_23[[#This Row],[VLR NF]]*0.1%</f>
        <v>197.11670999999998</v>
      </c>
      <c r="BC409" s="81">
        <f>Prog_23[[#This Row],[VLR NF]]*0.05%</f>
        <v>98.558354999999992</v>
      </c>
      <c r="BD409" s="81">
        <v>242</v>
      </c>
      <c r="BE409" s="81"/>
      <c r="BF409" s="81"/>
      <c r="BG409" s="81"/>
      <c r="BH409" s="81"/>
      <c r="BI409" s="81"/>
      <c r="BJ409" s="81">
        <v>450</v>
      </c>
      <c r="BK409" s="81"/>
      <c r="BL409" s="81">
        <v>300</v>
      </c>
      <c r="BM409" s="81"/>
      <c r="BN409" s="66" t="s">
        <v>2768</v>
      </c>
      <c r="BO409" s="66" t="s">
        <v>2768</v>
      </c>
      <c r="BP409" s="66" t="s">
        <v>2768</v>
      </c>
      <c r="BQ409" s="66" t="str">
        <f>PROPER(TEXT(Prog_23[[#This Row],[PROGRAMAÇÃO CLIENTE]],"mmm"))</f>
        <v>Ago</v>
      </c>
      <c r="BR409" s="66">
        <f>YEAR(Prog_23[[#This Row],[PROGRAMAÇÃO CLIENTE]])</f>
        <v>2023</v>
      </c>
    </row>
    <row r="410" spans="1:70" x14ac:dyDescent="0.25">
      <c r="A410" s="201" t="str">
        <f>Prog_23[[#This Row],[CONTEINER]]</f>
        <v>PCIU8911678</v>
      </c>
      <c r="B410" s="86" t="s">
        <v>2771</v>
      </c>
      <c r="C4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10" s="85">
        <v>45140.333333333336</v>
      </c>
      <c r="E410" s="66" t="s">
        <v>5786</v>
      </c>
      <c r="F410" s="66" t="s">
        <v>5814</v>
      </c>
      <c r="G410" s="66" t="s">
        <v>5790</v>
      </c>
      <c r="H410" s="44" t="s">
        <v>5785</v>
      </c>
      <c r="I410" s="44" t="s">
        <v>5787</v>
      </c>
      <c r="J410" s="66" t="s">
        <v>301</v>
      </c>
      <c r="K410" s="66">
        <v>3840</v>
      </c>
      <c r="L410" s="66" t="s">
        <v>5788</v>
      </c>
      <c r="M410" s="66">
        <v>19436</v>
      </c>
      <c r="N410" s="66">
        <f>SUM(Prog_23[[#This Row],[TARA]]+Prog_23[[#This Row],[PESO]])</f>
        <v>23276</v>
      </c>
      <c r="O410" s="44"/>
      <c r="P410" s="66" t="s">
        <v>5789</v>
      </c>
      <c r="Q410" s="66" t="s">
        <v>68</v>
      </c>
      <c r="R410" s="66" t="s">
        <v>36</v>
      </c>
      <c r="S410" s="66" t="s">
        <v>206</v>
      </c>
      <c r="T410" s="138" t="str">
        <f>IFERROR(LOOKUP($S410,MOTORISTAS!$D$3:$D$916,MOTORISTAS!E$3:$E$916),"")</f>
        <v>09085263425</v>
      </c>
      <c r="U410" s="138" t="str">
        <f>IFERROR(LOOKUP($S410,MOTORISTAS!$D$3:$D$916,MOTORISTAS!F$3:$F$916),"")</f>
        <v>04557705505</v>
      </c>
      <c r="V410" s="66" t="s">
        <v>772</v>
      </c>
      <c r="W410" s="79">
        <v>45139.5</v>
      </c>
      <c r="X410" s="79">
        <v>45139.6875</v>
      </c>
      <c r="Y410" s="79">
        <v>45140.513888888891</v>
      </c>
      <c r="Z410" s="66" t="s">
        <v>5813</v>
      </c>
      <c r="AA410" s="79">
        <v>45141.314583333333</v>
      </c>
      <c r="AB410" s="79">
        <v>45138.791666666664</v>
      </c>
      <c r="AC410" s="79">
        <v>45138.791666666664</v>
      </c>
      <c r="AD410" s="79">
        <v>45138.791666666664</v>
      </c>
      <c r="AE410" s="66" t="s">
        <v>708</v>
      </c>
      <c r="AF410" s="44">
        <v>16927</v>
      </c>
      <c r="AG410" s="254">
        <f>Prog_23[[#This Row],[SAÍDA DO CLIENTE]]-Prog_23[[#This Row],[PROGRAMAÇÃO CLIENTE]]</f>
        <v>0.18055555555474712</v>
      </c>
      <c r="AH410" s="44"/>
      <c r="AI410" s="66"/>
      <c r="AJ410" s="66"/>
      <c r="AK410" s="66"/>
      <c r="AL410" s="66"/>
      <c r="AM410" s="66"/>
      <c r="AN410" s="83"/>
      <c r="AO410" s="83"/>
      <c r="AP410" s="83"/>
      <c r="AQ410" s="66"/>
      <c r="AR410" s="66"/>
      <c r="AS410" s="66"/>
      <c r="AT410" s="81">
        <v>3500</v>
      </c>
      <c r="AU410" s="81"/>
      <c r="AV410" s="81"/>
      <c r="AW410" s="81"/>
      <c r="AX410" s="83">
        <f>SUM(Prog_23[[#This Row],[ADIANTAMENTO]]+Prog_23[[#This Row],[SALDO]]+Prog_23[[#This Row],[MARGEM]]+Prog_23[[#This Row],[ESTADIA 1]])</f>
        <v>3500</v>
      </c>
      <c r="AY4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5731.0912800000006</v>
      </c>
      <c r="AZ410" s="81">
        <v>3980</v>
      </c>
      <c r="BA410" s="81">
        <v>232922.56</v>
      </c>
      <c r="BB410" s="81">
        <v>0</v>
      </c>
      <c r="BC410" s="81">
        <f>Prog_23[[#This Row],[VLR NF]]*0.05%</f>
        <v>116.46128</v>
      </c>
      <c r="BD410" s="81">
        <v>260.5</v>
      </c>
      <c r="BE410" s="81"/>
      <c r="BF410" s="81"/>
      <c r="BG410" s="81"/>
      <c r="BH410" s="81"/>
      <c r="BI410" s="81">
        <v>594.13</v>
      </c>
      <c r="BJ410" s="81"/>
      <c r="BK410" s="81"/>
      <c r="BL410" s="81"/>
      <c r="BM410" s="81">
        <f>65*12</f>
        <v>780</v>
      </c>
      <c r="BN410" s="66" t="s">
        <v>2768</v>
      </c>
      <c r="BO410" s="66" t="s">
        <v>2768</v>
      </c>
      <c r="BP410" s="66" t="s">
        <v>2768</v>
      </c>
      <c r="BQ410" s="66" t="str">
        <f>PROPER(TEXT(Prog_23[[#This Row],[PROGRAMAÇÃO CLIENTE]],"mmm"))</f>
        <v>Ago</v>
      </c>
      <c r="BR410" s="66">
        <f>YEAR(Prog_23[[#This Row],[PROGRAMAÇÃO CLIENTE]])</f>
        <v>2023</v>
      </c>
    </row>
    <row r="411" spans="1:70" x14ac:dyDescent="0.25">
      <c r="A411" s="200" t="str">
        <f>Prog_23[[#This Row],[CONTEINER]]</f>
        <v>13000 L</v>
      </c>
      <c r="B411" s="86" t="s">
        <v>2771</v>
      </c>
      <c r="C4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11" s="85">
        <v>45140.333333333336</v>
      </c>
      <c r="E411" s="66" t="s">
        <v>5217</v>
      </c>
      <c r="F411" s="66" t="s">
        <v>5228</v>
      </c>
      <c r="G411" s="66"/>
      <c r="H411" s="44" t="s">
        <v>5778</v>
      </c>
      <c r="I411" s="44" t="s">
        <v>5870</v>
      </c>
      <c r="J411" s="66" t="s">
        <v>125</v>
      </c>
      <c r="K411" s="66"/>
      <c r="L411" s="66"/>
      <c r="M411" s="66">
        <v>13633</v>
      </c>
      <c r="N411" s="66">
        <f>SUM(Prog_23[[#This Row],[TARA]]+Prog_23[[#This Row],[PESO]])</f>
        <v>13633</v>
      </c>
      <c r="O411" s="44">
        <v>52309</v>
      </c>
      <c r="P411" s="66"/>
      <c r="Q411" s="66" t="s">
        <v>5800</v>
      </c>
      <c r="R411" s="66"/>
      <c r="S411" s="66" t="s">
        <v>5801</v>
      </c>
      <c r="T411" s="138" t="str">
        <f>IFERROR(LOOKUP($S411,MOTORISTAS!$D$3:$D$916,MOTORISTAS!E$3:$E$916),"")</f>
        <v>35933645818</v>
      </c>
      <c r="U411" s="138" t="str">
        <f>IFERROR(LOOKUP($S411,MOTORISTAS!$D$3:$D$916,MOTORISTAS!F$3:$F$916),"")</f>
        <v>0420508802</v>
      </c>
      <c r="V411" s="66" t="s">
        <v>5819</v>
      </c>
      <c r="W411" s="79">
        <v>45140.041666666664</v>
      </c>
      <c r="X411" s="79">
        <v>45140.333333333336</v>
      </c>
      <c r="Y411" s="79">
        <v>45140.5</v>
      </c>
      <c r="Z411" s="66" t="s">
        <v>5217</v>
      </c>
      <c r="AA411" s="79">
        <v>45140.5</v>
      </c>
      <c r="AB411" s="79">
        <v>45140.75</v>
      </c>
      <c r="AC411" s="79">
        <v>45140.75</v>
      </c>
      <c r="AD411" s="79">
        <v>45140.75</v>
      </c>
      <c r="AE411" s="66" t="s">
        <v>708</v>
      </c>
      <c r="AF411" s="44">
        <v>16938</v>
      </c>
      <c r="AG411" s="254">
        <f>Prog_23[[#This Row],[SAÍDA DO CLIENTE]]-Prog_23[[#This Row],[PROGRAMAÇÃO CLIENTE]]</f>
        <v>0.16666666666424135</v>
      </c>
      <c r="AH411" s="44"/>
      <c r="AI411" s="66"/>
      <c r="AJ411" s="66"/>
      <c r="AK411" s="66"/>
      <c r="AL411" s="66"/>
      <c r="AM411" s="66"/>
      <c r="AN411" s="83"/>
      <c r="AO411" s="83"/>
      <c r="AP411" s="83"/>
      <c r="AQ411" s="66"/>
      <c r="AR411" s="66"/>
      <c r="AS411" s="66"/>
      <c r="AT411" s="81"/>
      <c r="AU411" s="81"/>
      <c r="AV411" s="81"/>
      <c r="AW411" s="81"/>
      <c r="AX411" s="83">
        <f>SUM(Prog_23[[#This Row],[ADIANTAMENTO]]+Prog_23[[#This Row],[SALDO]]+Prog_23[[#This Row],[MARGEM]]+Prog_23[[#This Row],[ESTADIA 1]])</f>
        <v>0</v>
      </c>
      <c r="AY4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7540.3</v>
      </c>
      <c r="AZ411" s="81">
        <v>6190.26</v>
      </c>
      <c r="BA411" s="81">
        <v>90567.31</v>
      </c>
      <c r="BB411" s="81">
        <v>0</v>
      </c>
      <c r="BC411" s="81">
        <v>0</v>
      </c>
      <c r="BD411" s="81">
        <v>445.2</v>
      </c>
      <c r="BE411" s="81"/>
      <c r="BF411" s="81"/>
      <c r="BG411" s="81"/>
      <c r="BH411" s="81"/>
      <c r="BI411" s="81">
        <v>904.84</v>
      </c>
      <c r="BJ411" s="81"/>
      <c r="BK411" s="81"/>
      <c r="BL411" s="81"/>
      <c r="BM411" s="81"/>
      <c r="BN411" s="66" t="s">
        <v>2768</v>
      </c>
      <c r="BO411" s="66" t="s">
        <v>2768</v>
      </c>
      <c r="BP411" s="66" t="s">
        <v>2768</v>
      </c>
      <c r="BQ411" s="66" t="str">
        <f>PROPER(TEXT(Prog_23[[#This Row],[PROGRAMAÇÃO CLIENTE]],"mmm"))</f>
        <v>Ago</v>
      </c>
      <c r="BR411" s="66">
        <f>YEAR(Prog_23[[#This Row],[PROGRAMAÇÃO CLIENTE]])</f>
        <v>2023</v>
      </c>
    </row>
    <row r="412" spans="1:70" x14ac:dyDescent="0.25">
      <c r="A412" s="200" t="str">
        <f>Prog_23[[#This Row],[CONTEINER]]</f>
        <v>GCXU5173275</v>
      </c>
      <c r="B412" s="86" t="s">
        <v>2771</v>
      </c>
      <c r="C4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12" s="85">
        <v>45143.333333333336</v>
      </c>
      <c r="E412" s="66" t="s">
        <v>297</v>
      </c>
      <c r="F412" s="66" t="s">
        <v>298</v>
      </c>
      <c r="G412" s="66" t="s">
        <v>5791</v>
      </c>
      <c r="H412" s="44">
        <v>68235751</v>
      </c>
      <c r="I412" s="44" t="s">
        <v>5828</v>
      </c>
      <c r="J412" s="66" t="s">
        <v>301</v>
      </c>
      <c r="K412" s="66">
        <v>3700</v>
      </c>
      <c r="L412" s="66" t="s">
        <v>5824</v>
      </c>
      <c r="M412" s="66">
        <v>19858</v>
      </c>
      <c r="N412" s="66">
        <f>SUM(Prog_23[[#This Row],[TARA]]+Prog_23[[#This Row],[PESO]])</f>
        <v>23558</v>
      </c>
      <c r="O412" s="44">
        <v>889497</v>
      </c>
      <c r="P412" s="66" t="s">
        <v>5792</v>
      </c>
      <c r="Q412" s="66" t="s">
        <v>58</v>
      </c>
      <c r="R412" s="66" t="s">
        <v>59</v>
      </c>
      <c r="S412" s="66" t="s">
        <v>60</v>
      </c>
      <c r="T412" s="138" t="str">
        <f>IFERROR(LOOKUP($S412,MOTORISTAS!$D$3:$D$916,MOTORISTAS!E$3:$E$916),"")</f>
        <v>19482908805</v>
      </c>
      <c r="U412" s="138" t="str">
        <f>IFERROR(LOOKUP($S412,MOTORISTAS!$D$3:$D$916,MOTORISTAS!F$3:$F$916),"")</f>
        <v>03153303618</v>
      </c>
      <c r="V412" s="66" t="s">
        <v>292</v>
      </c>
      <c r="W412" s="79">
        <v>45142.314583333333</v>
      </c>
      <c r="X412" s="79">
        <v>45142.916666666664</v>
      </c>
      <c r="Y412" s="79">
        <v>45143.708333333336</v>
      </c>
      <c r="Z412" s="66" t="s">
        <v>293</v>
      </c>
      <c r="AA412" s="79">
        <v>45144.852777777778</v>
      </c>
      <c r="AB412" s="79">
        <v>45144.791666666664</v>
      </c>
      <c r="AC412" s="79">
        <v>45145.666666666664</v>
      </c>
      <c r="AD412" s="79">
        <v>45147.416666666664</v>
      </c>
      <c r="AE412" s="66" t="s">
        <v>308</v>
      </c>
      <c r="AF412" s="44">
        <v>16996</v>
      </c>
      <c r="AG412" s="254">
        <f>Prog_23[[#This Row],[SAÍDA DO CLIENTE]]-Prog_23[[#This Row],[PROGRAMAÇÃO CLIENTE]]</f>
        <v>0.375</v>
      </c>
      <c r="AH412" s="44"/>
      <c r="AI412" s="66"/>
      <c r="AJ412" s="66"/>
      <c r="AK412" s="66"/>
      <c r="AL412" s="66"/>
      <c r="AM412" s="66"/>
      <c r="AN412" s="83"/>
      <c r="AO412" s="83"/>
      <c r="AP412" s="83"/>
      <c r="AQ412" s="66"/>
      <c r="AR412" s="66"/>
      <c r="AS412" s="66"/>
      <c r="AT412" s="81">
        <v>3200</v>
      </c>
      <c r="AU412" s="81"/>
      <c r="AV412" s="81"/>
      <c r="AW412" s="81"/>
      <c r="AX412" s="83">
        <f>SUM(Prog_23[[#This Row],[ADIANTAMENTO]]+Prog_23[[#This Row],[SALDO]]+Prog_23[[#This Row],[MARGEM]]+Prog_23[[#This Row],[ESTADIA 1]])</f>
        <v>3200</v>
      </c>
      <c r="AY4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4505</v>
      </c>
      <c r="AZ412" s="81">
        <v>3488.8</v>
      </c>
      <c r="BA412" s="81">
        <v>139184.18</v>
      </c>
      <c r="BB412" s="81">
        <v>0</v>
      </c>
      <c r="BC412" s="81">
        <v>0</v>
      </c>
      <c r="BD412" s="81">
        <v>511.2</v>
      </c>
      <c r="BE412" s="81"/>
      <c r="BF412" s="81"/>
      <c r="BG412" s="81"/>
      <c r="BH412" s="81"/>
      <c r="BI412" s="81"/>
      <c r="BJ412" s="81"/>
      <c r="BK412" s="81"/>
      <c r="BL412" s="81">
        <v>250</v>
      </c>
      <c r="BM412" s="81">
        <f>85*3</f>
        <v>255</v>
      </c>
      <c r="BN412" s="66" t="s">
        <v>2768</v>
      </c>
      <c r="BO412" s="66" t="s">
        <v>2768</v>
      </c>
      <c r="BP412" s="66" t="s">
        <v>2768</v>
      </c>
      <c r="BQ412" s="66" t="str">
        <f>PROPER(TEXT(Prog_23[[#This Row],[PROGRAMAÇÃO CLIENTE]],"mmm"))</f>
        <v>Ago</v>
      </c>
      <c r="BR412" s="66">
        <f>YEAR(Prog_23[[#This Row],[PROGRAMAÇÃO CLIENTE]])</f>
        <v>2023</v>
      </c>
    </row>
    <row r="413" spans="1:70" x14ac:dyDescent="0.25">
      <c r="A413" s="201" t="str">
        <f>Prog_23[[#This Row],[CONTEINER]]</f>
        <v>TCKU6036758</v>
      </c>
      <c r="B413" s="86" t="s">
        <v>2771</v>
      </c>
      <c r="C4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13" s="85">
        <v>45143.416666666664</v>
      </c>
      <c r="E413" s="66" t="s">
        <v>297</v>
      </c>
      <c r="F413" s="66" t="s">
        <v>298</v>
      </c>
      <c r="G413" s="66" t="s">
        <v>5791</v>
      </c>
      <c r="H413" s="44">
        <v>68235751</v>
      </c>
      <c r="I413" s="44" t="s">
        <v>5825</v>
      </c>
      <c r="J413" s="66" t="s">
        <v>301</v>
      </c>
      <c r="K413" s="66">
        <v>3730</v>
      </c>
      <c r="L413" s="66" t="s">
        <v>5826</v>
      </c>
      <c r="M413" s="66">
        <v>19711</v>
      </c>
      <c r="N413" s="66">
        <f>SUM(Prog_23[[#This Row],[TARA]]+Prog_23[[#This Row],[PESO]])</f>
        <v>23441</v>
      </c>
      <c r="O413" s="44">
        <v>889525</v>
      </c>
      <c r="P413" s="66" t="s">
        <v>5792</v>
      </c>
      <c r="Q413" s="66" t="s">
        <v>114</v>
      </c>
      <c r="R413" s="66" t="s">
        <v>5137</v>
      </c>
      <c r="S413" s="66" t="s">
        <v>116</v>
      </c>
      <c r="T413" s="138" t="str">
        <f>IFERROR(LOOKUP($S413,MOTORISTAS!$D$3:$D$916,MOTORISTAS!E$3:$E$916),"")</f>
        <v>04859371828</v>
      </c>
      <c r="U413" s="138" t="str">
        <f>IFERROR(LOOKUP($S413,MOTORISTAS!$D$3:$D$916,MOTORISTAS!F$3:$F$916),"")</f>
        <v>02957983561</v>
      </c>
      <c r="V413" s="66" t="s">
        <v>292</v>
      </c>
      <c r="W413" s="79">
        <v>45142.316666666666</v>
      </c>
      <c r="X413" s="79">
        <v>45142.916666666664</v>
      </c>
      <c r="Y413" s="79">
        <v>45143.958333333336</v>
      </c>
      <c r="Z413" s="66" t="s">
        <v>293</v>
      </c>
      <c r="AA413" s="79">
        <v>45144.880555555559</v>
      </c>
      <c r="AB413" s="79">
        <v>45144.791666666664</v>
      </c>
      <c r="AC413" s="79">
        <v>45145.666666666664</v>
      </c>
      <c r="AD413" s="79">
        <v>45147.416666666664</v>
      </c>
      <c r="AE413" s="66" t="s">
        <v>308</v>
      </c>
      <c r="AF413" s="44">
        <v>17011</v>
      </c>
      <c r="AG413" s="254">
        <f>Prog_23[[#This Row],[SAÍDA DO CLIENTE]]-Prog_23[[#This Row],[PROGRAMAÇÃO CLIENTE]]</f>
        <v>0.54166666667151731</v>
      </c>
      <c r="AH413" s="44"/>
      <c r="AI413" s="66"/>
      <c r="AJ413" s="66"/>
      <c r="AK413" s="66"/>
      <c r="AL413" s="66"/>
      <c r="AM413" s="66"/>
      <c r="AN413" s="83"/>
      <c r="AO413" s="83"/>
      <c r="AP413" s="83"/>
      <c r="AQ413" s="66"/>
      <c r="AR413" s="66"/>
      <c r="AS413" s="66"/>
      <c r="AT413" s="81">
        <v>3200</v>
      </c>
      <c r="AU413" s="81"/>
      <c r="AV413" s="81"/>
      <c r="AW413" s="81"/>
      <c r="AX413" s="83">
        <f>SUM(Prog_23[[#This Row],[ADIANTAMENTO]]+Prog_23[[#This Row],[SALDO]]+Prog_23[[#This Row],[MARGEM]]+Prog_23[[#This Row],[ESTADIA 1]])</f>
        <v>3200</v>
      </c>
      <c r="AY4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4845</v>
      </c>
      <c r="AZ413" s="81">
        <v>3488.8</v>
      </c>
      <c r="BA413" s="81">
        <v>138271.97</v>
      </c>
      <c r="BB413" s="81">
        <v>0</v>
      </c>
      <c r="BC413" s="81">
        <v>0</v>
      </c>
      <c r="BD413" s="81">
        <v>511.2</v>
      </c>
      <c r="BE413" s="81"/>
      <c r="BF413" s="81"/>
      <c r="BG413" s="81"/>
      <c r="BH413" s="81"/>
      <c r="BI413" s="81"/>
      <c r="BJ413" s="81"/>
      <c r="BK413" s="81"/>
      <c r="BL413" s="81">
        <v>250</v>
      </c>
      <c r="BM413" s="81">
        <f>85*7</f>
        <v>595</v>
      </c>
      <c r="BN413" s="66" t="s">
        <v>2768</v>
      </c>
      <c r="BO413" s="66" t="s">
        <v>2768</v>
      </c>
      <c r="BP413" s="66" t="s">
        <v>2768</v>
      </c>
      <c r="BQ413" s="66" t="str">
        <f>PROPER(TEXT(Prog_23[[#This Row],[PROGRAMAÇÃO CLIENTE]],"mmm"))</f>
        <v>Ago</v>
      </c>
      <c r="BR413" s="66">
        <f>YEAR(Prog_23[[#This Row],[PROGRAMAÇÃO CLIENTE]])</f>
        <v>2023</v>
      </c>
    </row>
    <row r="414" spans="1:70" x14ac:dyDescent="0.25">
      <c r="A414" s="200">
        <f>Prog_23[[#This Row],[CONTEINER]]</f>
        <v>0</v>
      </c>
      <c r="B414" s="86" t="s">
        <v>836</v>
      </c>
      <c r="C4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414" s="85">
        <v>45145.375</v>
      </c>
      <c r="E414" s="66" t="s">
        <v>297</v>
      </c>
      <c r="F414" s="66" t="s">
        <v>298</v>
      </c>
      <c r="G414" s="66" t="s">
        <v>5808</v>
      </c>
      <c r="H414" s="44">
        <v>64237446</v>
      </c>
      <c r="I414" s="44"/>
      <c r="J414" s="66" t="s">
        <v>301</v>
      </c>
      <c r="K414" s="66"/>
      <c r="L414" s="66"/>
      <c r="M414" s="66"/>
      <c r="N414" s="66">
        <f>SUM(Prog_23[[#This Row],[TARA]]+Prog_23[[#This Row],[PESO]])</f>
        <v>0</v>
      </c>
      <c r="O414" s="44"/>
      <c r="P414" s="66" t="s">
        <v>5792</v>
      </c>
      <c r="Q414" s="66"/>
      <c r="R414" s="66"/>
      <c r="S414" s="66"/>
      <c r="T414" s="138" t="str">
        <f>IFERROR(LOOKUP($S414,MOTORISTAS!$D$3:$D$916,MOTORISTAS!E$3:$E$916),"")</f>
        <v/>
      </c>
      <c r="U414" s="138" t="str">
        <f>IFERROR(LOOKUP($S414,MOTORISTAS!$D$3:$D$916,MOTORISTAS!F$3:$F$916),"")</f>
        <v/>
      </c>
      <c r="V414" s="66" t="s">
        <v>292</v>
      </c>
      <c r="W414" s="66"/>
      <c r="X414" s="66"/>
      <c r="Y414" s="66"/>
      <c r="Z414" s="66" t="s">
        <v>293</v>
      </c>
      <c r="AA414" s="66"/>
      <c r="AB414" s="66"/>
      <c r="AC414" s="79">
        <v>45145.5</v>
      </c>
      <c r="AD414" s="79">
        <v>45148.5</v>
      </c>
      <c r="AE414" s="66" t="s">
        <v>308</v>
      </c>
      <c r="AF414" s="44"/>
      <c r="AG414" s="254">
        <f>Prog_23[[#This Row],[SAÍDA DO CLIENTE]]-Prog_23[[#This Row],[PROGRAMAÇÃO CLIENTE]]</f>
        <v>-45145.375</v>
      </c>
      <c r="AH414" s="44"/>
      <c r="AI414" s="66"/>
      <c r="AJ414" s="66"/>
      <c r="AK414" s="66"/>
      <c r="AL414" s="66"/>
      <c r="AM414" s="66"/>
      <c r="AN414" s="83"/>
      <c r="AO414" s="83"/>
      <c r="AP414" s="83"/>
      <c r="AQ414" s="66"/>
      <c r="AR414" s="66"/>
      <c r="AS414" s="66"/>
      <c r="AT414" s="81"/>
      <c r="AU414" s="81"/>
      <c r="AV414" s="81"/>
      <c r="AW414" s="81"/>
      <c r="AX414" s="83">
        <f>SUM(Prog_23[[#This Row],[ADIANTAMENTO]]+Prog_23[[#This Row],[SALDO]]+Prog_23[[#This Row],[MARGEM]]+Prog_23[[#This Row],[ESTADIA 1]])</f>
        <v>0</v>
      </c>
      <c r="AY4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414" s="81"/>
      <c r="BA414" s="81"/>
      <c r="BB414" s="81">
        <f>Prog_23[[#This Row],[VLR NF]]*0.1%</f>
        <v>0</v>
      </c>
      <c r="BC414" s="81">
        <f>Prog_23[[#This Row],[VLR NF]]*0.05%</f>
        <v>0</v>
      </c>
      <c r="BD414" s="81"/>
      <c r="BE414" s="81"/>
      <c r="BF414" s="81"/>
      <c r="BG414" s="81"/>
      <c r="BH414" s="81"/>
      <c r="BI414" s="81"/>
      <c r="BJ414" s="81"/>
      <c r="BK414" s="81"/>
      <c r="BL414" s="81"/>
      <c r="BM414" s="81"/>
      <c r="BN414" s="66"/>
      <c r="BO414" s="66"/>
      <c r="BP414" s="66"/>
      <c r="BQ414" s="66" t="str">
        <f>PROPER(TEXT(Prog_23[[#This Row],[PROGRAMAÇÃO CLIENTE]],"mmm"))</f>
        <v>Ago</v>
      </c>
      <c r="BR414" s="66">
        <f>YEAR(Prog_23[[#This Row],[PROGRAMAÇÃO CLIENTE]])</f>
        <v>2023</v>
      </c>
    </row>
    <row r="415" spans="1:70" x14ac:dyDescent="0.25">
      <c r="A415" s="201">
        <f>Prog_23[[#This Row],[CONTEINER]]</f>
        <v>0</v>
      </c>
      <c r="B415" s="86" t="s">
        <v>836</v>
      </c>
      <c r="C4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415" s="85">
        <v>45145.541666666664</v>
      </c>
      <c r="E415" s="66" t="s">
        <v>297</v>
      </c>
      <c r="F415" s="66" t="s">
        <v>298</v>
      </c>
      <c r="G415" s="66" t="s">
        <v>5809</v>
      </c>
      <c r="H415" s="44">
        <v>64237446</v>
      </c>
      <c r="I415" s="44"/>
      <c r="J415" s="66" t="s">
        <v>301</v>
      </c>
      <c r="K415" s="66"/>
      <c r="L415" s="66"/>
      <c r="M415" s="66"/>
      <c r="N415" s="66">
        <f>SUM(Prog_23[[#This Row],[TARA]]+Prog_23[[#This Row],[PESO]])</f>
        <v>0</v>
      </c>
      <c r="O415" s="44"/>
      <c r="P415" s="66" t="s">
        <v>5792</v>
      </c>
      <c r="Q415" s="66"/>
      <c r="R415" s="66"/>
      <c r="S415" s="66"/>
      <c r="T415" s="138" t="str">
        <f>IFERROR(LOOKUP($S415,MOTORISTAS!$D$3:$D$916,MOTORISTAS!E$3:$E$916),"")</f>
        <v/>
      </c>
      <c r="U415" s="138" t="str">
        <f>IFERROR(LOOKUP($S415,MOTORISTAS!$D$3:$D$916,MOTORISTAS!F$3:$F$916),"")</f>
        <v/>
      </c>
      <c r="V415" s="66" t="s">
        <v>292</v>
      </c>
      <c r="W415" s="66"/>
      <c r="X415" s="66"/>
      <c r="Y415" s="66"/>
      <c r="Z415" s="66" t="s">
        <v>293</v>
      </c>
      <c r="AA415" s="66"/>
      <c r="AB415" s="66"/>
      <c r="AC415" s="79">
        <v>45145.5</v>
      </c>
      <c r="AD415" s="79">
        <v>45148.5</v>
      </c>
      <c r="AE415" s="66" t="s">
        <v>308</v>
      </c>
      <c r="AF415" s="44"/>
      <c r="AG415" s="254">
        <f>Prog_23[[#This Row],[SAÍDA DO CLIENTE]]-Prog_23[[#This Row],[PROGRAMAÇÃO CLIENTE]]</f>
        <v>-45145.541666666664</v>
      </c>
      <c r="AH415" s="44"/>
      <c r="AI415" s="66"/>
      <c r="AJ415" s="66"/>
      <c r="AK415" s="66"/>
      <c r="AL415" s="66"/>
      <c r="AM415" s="66"/>
      <c r="AN415" s="83"/>
      <c r="AO415" s="83"/>
      <c r="AP415" s="83"/>
      <c r="AQ415" s="66"/>
      <c r="AR415" s="66"/>
      <c r="AS415" s="66"/>
      <c r="AT415" s="81"/>
      <c r="AU415" s="81"/>
      <c r="AV415" s="81"/>
      <c r="AW415" s="81"/>
      <c r="AX415" s="83">
        <f>SUM(Prog_23[[#This Row],[ADIANTAMENTO]]+Prog_23[[#This Row],[SALDO]]+Prog_23[[#This Row],[MARGEM]]+Prog_23[[#This Row],[ESTADIA 1]])</f>
        <v>0</v>
      </c>
      <c r="AY4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415" s="81"/>
      <c r="BA415" s="81"/>
      <c r="BB415" s="81">
        <f>Prog_23[[#This Row],[VLR NF]]*0.1%</f>
        <v>0</v>
      </c>
      <c r="BC415" s="81">
        <f>Prog_23[[#This Row],[VLR NF]]*0.05%</f>
        <v>0</v>
      </c>
      <c r="BD415" s="81"/>
      <c r="BE415" s="81"/>
      <c r="BF415" s="81"/>
      <c r="BG415" s="81"/>
      <c r="BH415" s="81"/>
      <c r="BI415" s="81"/>
      <c r="BJ415" s="81"/>
      <c r="BK415" s="81"/>
      <c r="BL415" s="81"/>
      <c r="BM415" s="81"/>
      <c r="BN415" s="66"/>
      <c r="BO415" s="66"/>
      <c r="BP415" s="66"/>
      <c r="BQ415" s="66" t="str">
        <f>PROPER(TEXT(Prog_23[[#This Row],[PROGRAMAÇÃO CLIENTE]],"mmm"))</f>
        <v>Ago</v>
      </c>
      <c r="BR415" s="66">
        <f>YEAR(Prog_23[[#This Row],[PROGRAMAÇÃO CLIENTE]])</f>
        <v>2023</v>
      </c>
    </row>
    <row r="416" spans="1:70" x14ac:dyDescent="0.25">
      <c r="A416" s="200" t="str">
        <f>Prog_23[[#This Row],[CONTEINER]]</f>
        <v>TGBU2521364</v>
      </c>
      <c r="B416" s="86" t="s">
        <v>2771</v>
      </c>
      <c r="C4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16" s="85">
        <v>45147.333333333336</v>
      </c>
      <c r="E416" s="66" t="s">
        <v>5251</v>
      </c>
      <c r="F416" s="66" t="s">
        <v>1189</v>
      </c>
      <c r="G416" s="66" t="s">
        <v>5832</v>
      </c>
      <c r="H416" s="44" t="s">
        <v>5831</v>
      </c>
      <c r="I416" s="44" t="s">
        <v>5833</v>
      </c>
      <c r="J416" s="66" t="s">
        <v>288</v>
      </c>
      <c r="K416" s="66"/>
      <c r="L416" s="66" t="s">
        <v>5834</v>
      </c>
      <c r="M416" s="66">
        <v>3003</v>
      </c>
      <c r="N416" s="66">
        <f>SUM(Prog_23[[#This Row],[TARA]]+Prog_23[[#This Row],[PESO]])</f>
        <v>3003</v>
      </c>
      <c r="O416" s="44">
        <v>30818</v>
      </c>
      <c r="P416" s="66"/>
      <c r="Q416" s="66" t="s">
        <v>845</v>
      </c>
      <c r="R416" s="66"/>
      <c r="S416" s="66" t="s">
        <v>847</v>
      </c>
      <c r="T416" s="138" t="str">
        <f>IFERROR(LOOKUP($S416,MOTORISTAS!$D$3:$D$916,MOTORISTAS!E$3:$E$916),"")</f>
        <v>08053454852</v>
      </c>
      <c r="U416" s="138" t="str">
        <f>IFERROR(LOOKUP($S416,MOTORISTAS!$D$3:$D$916,MOTORISTAS!F$3:$F$916),"")</f>
        <v>03409257572</v>
      </c>
      <c r="V416" s="66" t="s">
        <v>1569</v>
      </c>
      <c r="W416" s="79">
        <v>45147.083333333336</v>
      </c>
      <c r="X416" s="79">
        <v>45147.215277777781</v>
      </c>
      <c r="Y416" s="79">
        <v>45147.458333333336</v>
      </c>
      <c r="Z416" s="66" t="s">
        <v>469</v>
      </c>
      <c r="AA416" s="79">
        <v>45147.600694444445</v>
      </c>
      <c r="AB416" s="79">
        <v>45148.5</v>
      </c>
      <c r="AC416" s="79">
        <v>45148.5</v>
      </c>
      <c r="AD416" s="79">
        <v>45148.5</v>
      </c>
      <c r="AE416" s="66" t="s">
        <v>708</v>
      </c>
      <c r="AF416" s="44">
        <v>17016</v>
      </c>
      <c r="AG416" s="254">
        <f>Prog_23[[#This Row],[SAÍDA DO CLIENTE]]-Prog_23[[#This Row],[PROGRAMAÇÃO CLIENTE]]</f>
        <v>0.125</v>
      </c>
      <c r="AH416" s="44"/>
      <c r="AI416" s="66"/>
      <c r="AJ416" s="66"/>
      <c r="AK416" s="66"/>
      <c r="AL416" s="66"/>
      <c r="AM416" s="66"/>
      <c r="AN416" s="83"/>
      <c r="AO416" s="83"/>
      <c r="AP416" s="83"/>
      <c r="AQ416" s="66"/>
      <c r="AR416" s="66"/>
      <c r="AS416" s="66"/>
      <c r="AT416" s="81">
        <v>1400</v>
      </c>
      <c r="AU416" s="81"/>
      <c r="AV416" s="81"/>
      <c r="AW416" s="81"/>
      <c r="AX416" s="83">
        <f>SUM(Prog_23[[#This Row],[ADIANTAMENTO]]+Prog_23[[#This Row],[SALDO]]+Prog_23[[#This Row],[MARGEM]]+Prog_23[[#This Row],[ESTADIA 1]])</f>
        <v>1400</v>
      </c>
      <c r="AY4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2988</v>
      </c>
      <c r="AZ416" s="81">
        <v>2306.64</v>
      </c>
      <c r="BA416" s="81">
        <v>104210.11</v>
      </c>
      <c r="BB416" s="81">
        <v>0</v>
      </c>
      <c r="BC416" s="81">
        <v>0</v>
      </c>
      <c r="BD416" s="81">
        <v>202.8</v>
      </c>
      <c r="BE416" s="81"/>
      <c r="BF416" s="81"/>
      <c r="BG416" s="81"/>
      <c r="BH416" s="81"/>
      <c r="BI416" s="81">
        <v>358.56</v>
      </c>
      <c r="BJ416" s="81">
        <v>120</v>
      </c>
      <c r="BK416" s="81"/>
      <c r="BL416" s="81"/>
      <c r="BM416" s="81"/>
      <c r="BN416" s="66" t="s">
        <v>2768</v>
      </c>
      <c r="BO416" s="66" t="s">
        <v>2768</v>
      </c>
      <c r="BP416" s="66" t="s">
        <v>2768</v>
      </c>
      <c r="BQ416" s="66" t="str">
        <f>PROPER(TEXT(Prog_23[[#This Row],[PROGRAMAÇÃO CLIENTE]],"mmm"))</f>
        <v>Ago</v>
      </c>
      <c r="BR416" s="66">
        <f>YEAR(Prog_23[[#This Row],[PROGRAMAÇÃO CLIENTE]])</f>
        <v>2023</v>
      </c>
    </row>
    <row r="417" spans="1:70" x14ac:dyDescent="0.25">
      <c r="A417" s="201" t="str">
        <f>Prog_23[[#This Row],[CONTEINER]]</f>
        <v>MRKU6828059</v>
      </c>
      <c r="B417" s="86" t="s">
        <v>2771</v>
      </c>
      <c r="C4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17" s="85">
        <v>45148.625</v>
      </c>
      <c r="E417" s="66" t="s">
        <v>4285</v>
      </c>
      <c r="F417" s="66" t="s">
        <v>4286</v>
      </c>
      <c r="G417" s="66"/>
      <c r="H417" s="44" t="s">
        <v>5872</v>
      </c>
      <c r="I417" s="44" t="s">
        <v>5871</v>
      </c>
      <c r="J417" s="66" t="s">
        <v>288</v>
      </c>
      <c r="K417" s="66"/>
      <c r="L417" s="66"/>
      <c r="M417" s="66"/>
      <c r="N417" s="66">
        <f>SUM(Prog_23[[#This Row],[TARA]]+Prog_23[[#This Row],[PESO]])</f>
        <v>0</v>
      </c>
      <c r="O417" s="44"/>
      <c r="P417" s="66" t="s">
        <v>5873</v>
      </c>
      <c r="Q417" s="66" t="s">
        <v>5901</v>
      </c>
      <c r="R417" s="66"/>
      <c r="S417" s="66" t="s">
        <v>291</v>
      </c>
      <c r="T417" s="138" t="str">
        <f>IFERROR(LOOKUP($S417,MOTORISTAS!$D$3:$D$916,MOTORISTAS!E$3:$E$916),"")</f>
        <v>28540113848</v>
      </c>
      <c r="U417" s="138" t="str">
        <f>IFERROR(LOOKUP($S417,MOTORISTAS!$D$3:$D$916,MOTORISTAS!F$3:$F$916),"")</f>
        <v>00709532945</v>
      </c>
      <c r="V417" s="66" t="s">
        <v>4398</v>
      </c>
      <c r="W417" s="79">
        <v>45148.5</v>
      </c>
      <c r="X417" s="79">
        <v>45148.604166666664</v>
      </c>
      <c r="Y417" s="79">
        <v>45148.722222222219</v>
      </c>
      <c r="Z417" s="66" t="s">
        <v>526</v>
      </c>
      <c r="AA417" s="79">
        <v>45148.904166666667</v>
      </c>
      <c r="AB417" s="79">
        <v>45148.75</v>
      </c>
      <c r="AC417" s="79">
        <v>45148.75</v>
      </c>
      <c r="AD417" s="79">
        <v>45148.75</v>
      </c>
      <c r="AE417" s="66" t="s">
        <v>708</v>
      </c>
      <c r="AF417" s="44" t="s">
        <v>5939</v>
      </c>
      <c r="AG417" s="254">
        <f>Prog_23[[#This Row],[SAÍDA DO CLIENTE]]-Prog_23[[#This Row],[PROGRAMAÇÃO CLIENTE]]</f>
        <v>9.7222222218988463E-2</v>
      </c>
      <c r="AH417" s="44"/>
      <c r="AI417" s="66"/>
      <c r="AJ417" s="66"/>
      <c r="AK417" s="66"/>
      <c r="AL417" s="66"/>
      <c r="AM417" s="66"/>
      <c r="AN417" s="83"/>
      <c r="AO417" s="83"/>
      <c r="AP417" s="83"/>
      <c r="AQ417" s="66"/>
      <c r="AR417" s="66"/>
      <c r="AS417" s="66"/>
      <c r="AT417" s="81">
        <v>2600</v>
      </c>
      <c r="AU417" s="81"/>
      <c r="AV417" s="81"/>
      <c r="AW417" s="81"/>
      <c r="AX417" s="83">
        <f>SUM(Prog_23[[#This Row],[ADIANTAMENTO]]+Prog_23[[#This Row],[SALDO]]+Prog_23[[#This Row],[MARGEM]]+Prog_23[[#This Row],[ESTADIA 1]])</f>
        <v>2600</v>
      </c>
      <c r="AY4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14710</v>
      </c>
      <c r="AZ417" s="81">
        <v>12140</v>
      </c>
      <c r="BA417" s="81"/>
      <c r="BB417" s="81">
        <v>1500</v>
      </c>
      <c r="BC417" s="81">
        <v>500</v>
      </c>
      <c r="BD417" s="81">
        <v>570</v>
      </c>
      <c r="BE417" s="81"/>
      <c r="BF417" s="81"/>
      <c r="BG417" s="81"/>
      <c r="BH417" s="81"/>
      <c r="BI417" s="81"/>
      <c r="BJ417" s="81"/>
      <c r="BK417" s="81"/>
      <c r="BL417" s="81"/>
      <c r="BM417" s="81"/>
      <c r="BN417" s="66" t="s">
        <v>2768</v>
      </c>
      <c r="BO417" s="66" t="s">
        <v>2768</v>
      </c>
      <c r="BP417" s="66" t="s">
        <v>2768</v>
      </c>
      <c r="BQ417" s="66" t="str">
        <f>PROPER(TEXT(Prog_23[[#This Row],[PROGRAMAÇÃO CLIENTE]],"mmm"))</f>
        <v>Ago</v>
      </c>
      <c r="BR417" s="66">
        <f>YEAR(Prog_23[[#This Row],[PROGRAMAÇÃO CLIENTE]])</f>
        <v>2023</v>
      </c>
    </row>
    <row r="418" spans="1:70" x14ac:dyDescent="0.25">
      <c r="A418" s="200" t="str">
        <f>Prog_23[[#This Row],[CONTEINER]]</f>
        <v>TEMU8827937</v>
      </c>
      <c r="B418" s="86" t="s">
        <v>2771</v>
      </c>
      <c r="C4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18" s="85">
        <v>45148.25</v>
      </c>
      <c r="E418" s="66" t="s">
        <v>5875</v>
      </c>
      <c r="F418" s="66" t="s">
        <v>5898</v>
      </c>
      <c r="G418" s="66" t="s">
        <v>5876</v>
      </c>
      <c r="H418" s="44" t="s">
        <v>5874</v>
      </c>
      <c r="I418" s="44" t="s">
        <v>5877</v>
      </c>
      <c r="J418" s="66" t="s">
        <v>301</v>
      </c>
      <c r="K418" s="66">
        <v>3810</v>
      </c>
      <c r="L418" s="66">
        <v>88684</v>
      </c>
      <c r="M418" s="66">
        <v>25528</v>
      </c>
      <c r="N418" s="66">
        <f>SUM(Prog_23[[#This Row],[TARA]]+Prog_23[[#This Row],[PESO]])</f>
        <v>29338</v>
      </c>
      <c r="O418" s="44">
        <v>9912</v>
      </c>
      <c r="P418" s="66" t="s">
        <v>5879</v>
      </c>
      <c r="Q418" s="66" t="s">
        <v>68</v>
      </c>
      <c r="R418" s="66" t="s">
        <v>36</v>
      </c>
      <c r="S418" s="66" t="s">
        <v>206</v>
      </c>
      <c r="T418" s="138" t="str">
        <f>IFERROR(LOOKUP($S418,MOTORISTAS!$D$3:$D$916,MOTORISTAS!E$3:$E$916),"")</f>
        <v>09085263425</v>
      </c>
      <c r="U418" s="138" t="str">
        <f>IFERROR(LOOKUP($S418,MOTORISTAS!$D$3:$D$916,MOTORISTAS!F$3:$F$916),"")</f>
        <v>04557705505</v>
      </c>
      <c r="V418" s="66" t="s">
        <v>293</v>
      </c>
      <c r="W418" s="79">
        <v>45148</v>
      </c>
      <c r="X418" s="79">
        <v>45148.19027777778</v>
      </c>
      <c r="Y418" s="79">
        <v>45148.555555555555</v>
      </c>
      <c r="Z418" s="66" t="s">
        <v>292</v>
      </c>
      <c r="AA418" s="79">
        <v>45148.791666666664</v>
      </c>
      <c r="AB418" s="79">
        <v>45149.75</v>
      </c>
      <c r="AC418" s="79">
        <v>45149.75</v>
      </c>
      <c r="AD418" s="79">
        <v>45149.75</v>
      </c>
      <c r="AE418" s="66" t="s">
        <v>708</v>
      </c>
      <c r="AF418" s="44">
        <v>17052</v>
      </c>
      <c r="AG418" s="254">
        <f>Prog_23[[#This Row],[SAÍDA DO CLIENTE]]-Prog_23[[#This Row],[PROGRAMAÇÃO CLIENTE]]</f>
        <v>0.30555555555474712</v>
      </c>
      <c r="AH418" s="44"/>
      <c r="AI418" s="66"/>
      <c r="AJ418" s="66"/>
      <c r="AK418" s="66"/>
      <c r="AL418" s="66"/>
      <c r="AM418" s="66"/>
      <c r="AN418" s="83"/>
      <c r="AO418" s="83">
        <v>0</v>
      </c>
      <c r="AP418" s="83"/>
      <c r="AQ418" s="66"/>
      <c r="AR418" s="66"/>
      <c r="AS418" s="66"/>
      <c r="AT418" s="81">
        <v>3000</v>
      </c>
      <c r="AU418" s="81"/>
      <c r="AV418" s="81"/>
      <c r="AW418" s="81"/>
      <c r="AX418" s="83">
        <f>SUM(Prog_23[[#This Row],[ADIANTAMENTO]]+Prog_23[[#This Row],[SALDO]]+Prog_23[[#This Row],[MARGEM]]+Prog_23[[#This Row],[ESTADIA 1]])</f>
        <v>3000</v>
      </c>
      <c r="AY4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18" s="81">
        <v>4307.3999999999996</v>
      </c>
      <c r="BA418" s="81">
        <v>132430.35999999999</v>
      </c>
      <c r="BB418" s="81">
        <v>0</v>
      </c>
      <c r="BC418" s="81">
        <v>0</v>
      </c>
      <c r="BD418" s="81">
        <v>312.60000000000002</v>
      </c>
      <c r="BE418" s="81"/>
      <c r="BF418" s="81"/>
      <c r="BG418" s="81"/>
      <c r="BH418" s="81"/>
      <c r="BI418" s="81">
        <v>630</v>
      </c>
      <c r="BJ418" s="81"/>
      <c r="BK418" s="81"/>
      <c r="BL418" s="81"/>
      <c r="BM418" s="81"/>
      <c r="BN418" s="66" t="s">
        <v>2768</v>
      </c>
      <c r="BO418" s="66" t="s">
        <v>2768</v>
      </c>
      <c r="BP418" s="66" t="s">
        <v>2768</v>
      </c>
      <c r="BQ418" s="66" t="str">
        <f>PROPER(TEXT(Prog_23[[#This Row],[PROGRAMAÇÃO CLIENTE]],"mmm"))</f>
        <v>Ago</v>
      </c>
      <c r="BR418" s="66">
        <f>YEAR(Prog_23[[#This Row],[PROGRAMAÇÃO CLIENTE]])</f>
        <v>2023</v>
      </c>
    </row>
    <row r="419" spans="1:70" x14ac:dyDescent="0.25">
      <c r="A419" s="201" t="str">
        <f>Prog_23[[#This Row],[CONTEINER]]</f>
        <v>TGBU5945242</v>
      </c>
      <c r="B419" s="86" t="s">
        <v>2771</v>
      </c>
      <c r="C4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19" s="85">
        <v>45148.25</v>
      </c>
      <c r="E419" s="66" t="s">
        <v>5875</v>
      </c>
      <c r="F419" s="66" t="s">
        <v>5898</v>
      </c>
      <c r="G419" s="66" t="s">
        <v>5876</v>
      </c>
      <c r="H419" s="44" t="s">
        <v>5874</v>
      </c>
      <c r="I419" s="44" t="s">
        <v>5878</v>
      </c>
      <c r="J419" s="66" t="s">
        <v>301</v>
      </c>
      <c r="K419" s="66">
        <v>3700</v>
      </c>
      <c r="L419" s="66">
        <v>88683</v>
      </c>
      <c r="M419" s="66">
        <v>25528</v>
      </c>
      <c r="N419" s="66">
        <f>SUM(Prog_23[[#This Row],[TARA]]+Prog_23[[#This Row],[PESO]])</f>
        <v>29228</v>
      </c>
      <c r="O419" s="44">
        <v>9913</v>
      </c>
      <c r="P419" s="66" t="s">
        <v>5879</v>
      </c>
      <c r="Q419" s="66" t="s">
        <v>31</v>
      </c>
      <c r="R419" s="66" t="s">
        <v>32</v>
      </c>
      <c r="S419" s="66" t="s">
        <v>33</v>
      </c>
      <c r="T419" s="138" t="str">
        <f>IFERROR(LOOKUP($S419,MOTORISTAS!$D$3:$D$916,MOTORISTAS!E$3:$E$916),"")</f>
        <v>09776430856</v>
      </c>
      <c r="U419" s="138" t="str">
        <f>IFERROR(LOOKUP($S419,MOTORISTAS!$D$3:$D$916,MOTORISTAS!F$3:$F$916),"")</f>
        <v>01258979905</v>
      </c>
      <c r="V419" s="66" t="s">
        <v>293</v>
      </c>
      <c r="W419" s="79">
        <v>45147.875</v>
      </c>
      <c r="X419" s="79">
        <v>45148.164583333331</v>
      </c>
      <c r="Y419" s="79">
        <v>45148.444444444445</v>
      </c>
      <c r="Z419" s="66" t="s">
        <v>292</v>
      </c>
      <c r="AA419" s="79">
        <v>45149.375</v>
      </c>
      <c r="AB419" s="79">
        <v>45149.75</v>
      </c>
      <c r="AC419" s="79">
        <v>45149.75</v>
      </c>
      <c r="AD419" s="79">
        <v>45149.75</v>
      </c>
      <c r="AE419" s="66" t="s">
        <v>708</v>
      </c>
      <c r="AF419" s="44">
        <v>17053</v>
      </c>
      <c r="AG419" s="254">
        <f>Prog_23[[#This Row],[SAÍDA DO CLIENTE]]-Prog_23[[#This Row],[PROGRAMAÇÃO CLIENTE]]</f>
        <v>0.19444444444525288</v>
      </c>
      <c r="AH419" s="44"/>
      <c r="AI419" s="66"/>
      <c r="AJ419" s="66"/>
      <c r="AK419" s="66"/>
      <c r="AL419" s="66"/>
      <c r="AM419" s="66"/>
      <c r="AN419" s="83"/>
      <c r="AO419" s="83">
        <v>0</v>
      </c>
      <c r="AP419" s="83"/>
      <c r="AQ419" s="66"/>
      <c r="AR419" s="66"/>
      <c r="AS419" s="66"/>
      <c r="AT419" s="81">
        <v>3000</v>
      </c>
      <c r="AU419" s="81"/>
      <c r="AV419" s="81"/>
      <c r="AW419" s="81"/>
      <c r="AX419" s="83">
        <f>SUM(Prog_23[[#This Row],[ADIANTAMENTO]]+Prog_23[[#This Row],[SALDO]]+Prog_23[[#This Row],[MARGEM]]+Prog_23[[#This Row],[ESTADIA 1]])</f>
        <v>3000</v>
      </c>
      <c r="AY4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19" s="81">
        <v>4307.3999999999996</v>
      </c>
      <c r="BA419" s="81">
        <v>132430.35999999999</v>
      </c>
      <c r="BB419" s="81">
        <v>0</v>
      </c>
      <c r="BC419" s="81">
        <v>0</v>
      </c>
      <c r="BD419" s="81">
        <v>312.60000000000002</v>
      </c>
      <c r="BE419" s="81"/>
      <c r="BF419" s="81"/>
      <c r="BG419" s="81"/>
      <c r="BH419" s="81"/>
      <c r="BI419" s="81">
        <v>630</v>
      </c>
      <c r="BJ419" s="81"/>
      <c r="BK419" s="81"/>
      <c r="BL419" s="81"/>
      <c r="BM419" s="81"/>
      <c r="BN419" s="66" t="s">
        <v>2768</v>
      </c>
      <c r="BO419" s="66" t="s">
        <v>2768</v>
      </c>
      <c r="BP419" s="66" t="s">
        <v>2768</v>
      </c>
      <c r="BQ419" s="66" t="str">
        <f>PROPER(TEXT(Prog_23[[#This Row],[PROGRAMAÇÃO CLIENTE]],"mmm"))</f>
        <v>Ago</v>
      </c>
      <c r="BR419" s="66">
        <f>YEAR(Prog_23[[#This Row],[PROGRAMAÇÃO CLIENTE]])</f>
        <v>2023</v>
      </c>
    </row>
    <row r="420" spans="1:70" x14ac:dyDescent="0.25">
      <c r="A420" s="200" t="str">
        <f>Prog_23[[#This Row],[CONTEINER]]</f>
        <v>CMAU8328109</v>
      </c>
      <c r="B420" s="86" t="s">
        <v>2771</v>
      </c>
      <c r="C4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20" s="85">
        <v>45148.25</v>
      </c>
      <c r="E420" s="66" t="s">
        <v>5875</v>
      </c>
      <c r="F420" s="66" t="s">
        <v>5898</v>
      </c>
      <c r="G420" s="66" t="s">
        <v>5880</v>
      </c>
      <c r="H420" s="44" t="s">
        <v>5881</v>
      </c>
      <c r="I420" s="44" t="s">
        <v>5882</v>
      </c>
      <c r="J420" s="66" t="s">
        <v>301</v>
      </c>
      <c r="K420" s="66">
        <v>3680</v>
      </c>
      <c r="L420" s="66">
        <v>458064</v>
      </c>
      <c r="M420" s="66">
        <v>25182</v>
      </c>
      <c r="N420" s="66">
        <f>SUM(Prog_23[[#This Row],[TARA]]+Prog_23[[#This Row],[PESO]])</f>
        <v>28862</v>
      </c>
      <c r="O420" s="44">
        <v>9914</v>
      </c>
      <c r="P420" s="66" t="s">
        <v>5886</v>
      </c>
      <c r="Q420" s="66" t="s">
        <v>72</v>
      </c>
      <c r="R420" s="66" t="s">
        <v>5655</v>
      </c>
      <c r="S420" s="66" t="s">
        <v>69</v>
      </c>
      <c r="T420" s="138" t="str">
        <f>IFERROR(LOOKUP($S420,MOTORISTAS!$D$3:$D$916,MOTORISTAS!E$3:$E$916),"")</f>
        <v>07968457866</v>
      </c>
      <c r="U420" s="138" t="str">
        <f>IFERROR(LOOKUP($S420,MOTORISTAS!$D$3:$D$916,MOTORISTAS!F$3:$F$916),"")</f>
        <v>03264365790</v>
      </c>
      <c r="V420" s="66" t="s">
        <v>293</v>
      </c>
      <c r="W420" s="79">
        <v>45147.916666666664</v>
      </c>
      <c r="X420" s="79">
        <v>45148.170138888891</v>
      </c>
      <c r="Y420" s="79">
        <v>45148.458333333336</v>
      </c>
      <c r="Z420" s="66" t="s">
        <v>5919</v>
      </c>
      <c r="AA420" s="79">
        <v>45149.429861111108</v>
      </c>
      <c r="AB420" s="79">
        <v>45149.75</v>
      </c>
      <c r="AC420" s="79">
        <v>45149.75</v>
      </c>
      <c r="AD420" s="79">
        <v>45149.75</v>
      </c>
      <c r="AE420" s="66" t="s">
        <v>708</v>
      </c>
      <c r="AF420" s="44">
        <v>17054</v>
      </c>
      <c r="AG420" s="254">
        <f>Prog_23[[#This Row],[SAÍDA DO CLIENTE]]-Prog_23[[#This Row],[PROGRAMAÇÃO CLIENTE]]</f>
        <v>0.20833333333575865</v>
      </c>
      <c r="AH420" s="44"/>
      <c r="AI420" s="66"/>
      <c r="AJ420" s="66"/>
      <c r="AK420" s="66"/>
      <c r="AL420" s="66"/>
      <c r="AM420" s="66"/>
      <c r="AN420" s="83"/>
      <c r="AO420" s="83">
        <v>0</v>
      </c>
      <c r="AP420" s="83"/>
      <c r="AQ420" s="66"/>
      <c r="AR420" s="66"/>
      <c r="AS420" s="66"/>
      <c r="AT420" s="81">
        <v>3200</v>
      </c>
      <c r="AU420" s="81"/>
      <c r="AV420" s="81"/>
      <c r="AW420" s="81"/>
      <c r="AX420" s="83">
        <f>SUM(Prog_23[[#This Row],[ADIANTAMENTO]]+Prog_23[[#This Row],[SALDO]]+Prog_23[[#This Row],[MARGEM]]+Prog_23[[#This Row],[ESTADIA 1]])</f>
        <v>3200</v>
      </c>
      <c r="AY4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20" s="81">
        <v>4307.3999999999996</v>
      </c>
      <c r="BA420" s="81">
        <v>131106.06</v>
      </c>
      <c r="BB420" s="81">
        <v>0</v>
      </c>
      <c r="BC420" s="81">
        <v>0</v>
      </c>
      <c r="BD420" s="81">
        <v>312.60000000000002</v>
      </c>
      <c r="BE420" s="81"/>
      <c r="BF420" s="81"/>
      <c r="BG420" s="81"/>
      <c r="BH420" s="81"/>
      <c r="BI420" s="81">
        <v>630</v>
      </c>
      <c r="BJ420" s="81"/>
      <c r="BK420" s="81"/>
      <c r="BL420" s="81"/>
      <c r="BM420" s="81"/>
      <c r="BN420" s="66" t="s">
        <v>2768</v>
      </c>
      <c r="BO420" s="66" t="s">
        <v>2768</v>
      </c>
      <c r="BP420" s="66" t="s">
        <v>2768</v>
      </c>
      <c r="BQ420" s="66" t="str">
        <f>PROPER(TEXT(Prog_23[[#This Row],[PROGRAMAÇÃO CLIENTE]],"mmm"))</f>
        <v>Ago</v>
      </c>
      <c r="BR420" s="66">
        <f>YEAR(Prog_23[[#This Row],[PROGRAMAÇÃO CLIENTE]])</f>
        <v>2023</v>
      </c>
    </row>
    <row r="421" spans="1:70" x14ac:dyDescent="0.25">
      <c r="A421" s="201" t="str">
        <f>Prog_23[[#This Row],[CONTEINER]]</f>
        <v>CMAU9590073</v>
      </c>
      <c r="B421" s="86" t="s">
        <v>2771</v>
      </c>
      <c r="C4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21" s="85">
        <v>45148.25</v>
      </c>
      <c r="E421" s="66" t="s">
        <v>5875</v>
      </c>
      <c r="F421" s="66" t="s">
        <v>5898</v>
      </c>
      <c r="G421" s="66" t="s">
        <v>5880</v>
      </c>
      <c r="H421" s="44" t="s">
        <v>5881</v>
      </c>
      <c r="I421" s="44" t="s">
        <v>5883</v>
      </c>
      <c r="J421" s="66" t="s">
        <v>301</v>
      </c>
      <c r="K421" s="66">
        <v>3700</v>
      </c>
      <c r="L421" s="66">
        <v>458055</v>
      </c>
      <c r="M421" s="66">
        <v>25182</v>
      </c>
      <c r="N421" s="66">
        <f>SUM(Prog_23[[#This Row],[TARA]]+Prog_23[[#This Row],[PESO]])</f>
        <v>28882</v>
      </c>
      <c r="O421" s="44">
        <v>9915</v>
      </c>
      <c r="P421" s="66" t="s">
        <v>5886</v>
      </c>
      <c r="Q421" s="66" t="s">
        <v>102</v>
      </c>
      <c r="R421" s="66" t="s">
        <v>73</v>
      </c>
      <c r="S421" s="66" t="s">
        <v>203</v>
      </c>
      <c r="T421" s="138" t="str">
        <f>IFERROR(LOOKUP($S421,MOTORISTAS!$D$3:$D$916,MOTORISTAS!E$3:$E$916),"")</f>
        <v>10395859816</v>
      </c>
      <c r="U421" s="138" t="str">
        <f>IFERROR(LOOKUP($S421,MOTORISTAS!$D$3:$D$916,MOTORISTAS!F$3:$F$916),"")</f>
        <v>01965794851</v>
      </c>
      <c r="V421" s="66" t="s">
        <v>293</v>
      </c>
      <c r="W421" s="79">
        <v>45147.916666666664</v>
      </c>
      <c r="X421" s="79">
        <v>45148.147222222222</v>
      </c>
      <c r="Y421" s="79">
        <v>45148.333333333336</v>
      </c>
      <c r="Z421" s="66" t="s">
        <v>5919</v>
      </c>
      <c r="AA421" s="79">
        <v>45148.568749999999</v>
      </c>
      <c r="AB421" s="79">
        <v>45149.75</v>
      </c>
      <c r="AC421" s="79">
        <v>45149.75</v>
      </c>
      <c r="AD421" s="79">
        <v>45149.75</v>
      </c>
      <c r="AE421" s="66" t="s">
        <v>708</v>
      </c>
      <c r="AF421" s="44">
        <v>17055</v>
      </c>
      <c r="AG421" s="254">
        <f>Prog_23[[#This Row],[SAÍDA DO CLIENTE]]-Prog_23[[#This Row],[PROGRAMAÇÃO CLIENTE]]</f>
        <v>8.3333333335758653E-2</v>
      </c>
      <c r="AH421" s="44"/>
      <c r="AI421" s="66"/>
      <c r="AJ421" s="66"/>
      <c r="AK421" s="66"/>
      <c r="AL421" s="66"/>
      <c r="AM421" s="66"/>
      <c r="AN421" s="83"/>
      <c r="AO421" s="83">
        <v>0</v>
      </c>
      <c r="AP421" s="83"/>
      <c r="AQ421" s="66"/>
      <c r="AR421" s="66"/>
      <c r="AS421" s="66"/>
      <c r="AT421" s="81">
        <v>3200</v>
      </c>
      <c r="AU421" s="81"/>
      <c r="AV421" s="81"/>
      <c r="AW421" s="81"/>
      <c r="AX421" s="83">
        <f>SUM(Prog_23[[#This Row],[ADIANTAMENTO]]+Prog_23[[#This Row],[SALDO]]+Prog_23[[#This Row],[MARGEM]]+Prog_23[[#This Row],[ESTADIA 1]])</f>
        <v>3200</v>
      </c>
      <c r="AY4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21" s="81">
        <v>4307.3999999999996</v>
      </c>
      <c r="BA421" s="81">
        <v>131106.06</v>
      </c>
      <c r="BB421" s="81">
        <v>0</v>
      </c>
      <c r="BC421" s="81">
        <v>0</v>
      </c>
      <c r="BD421" s="81">
        <v>312.60000000000002</v>
      </c>
      <c r="BE421" s="81"/>
      <c r="BF421" s="81"/>
      <c r="BG421" s="81"/>
      <c r="BH421" s="81"/>
      <c r="BI421" s="81">
        <v>630</v>
      </c>
      <c r="BJ421" s="81"/>
      <c r="BK421" s="81"/>
      <c r="BL421" s="81"/>
      <c r="BM421" s="81"/>
      <c r="BN421" s="66" t="s">
        <v>2768</v>
      </c>
      <c r="BO421" s="66" t="s">
        <v>2768</v>
      </c>
      <c r="BP421" s="66" t="s">
        <v>2768</v>
      </c>
      <c r="BQ421" s="66" t="str">
        <f>PROPER(TEXT(Prog_23[[#This Row],[PROGRAMAÇÃO CLIENTE]],"mmm"))</f>
        <v>Ago</v>
      </c>
      <c r="BR421" s="66">
        <f>YEAR(Prog_23[[#This Row],[PROGRAMAÇÃO CLIENTE]])</f>
        <v>2023</v>
      </c>
    </row>
    <row r="422" spans="1:70" x14ac:dyDescent="0.25">
      <c r="A422" s="200" t="str">
        <f>Prog_23[[#This Row],[CONTEINER]]</f>
        <v>FFAU4303712</v>
      </c>
      <c r="B422" s="86" t="s">
        <v>2771</v>
      </c>
      <c r="C4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22" s="85">
        <v>45148.25</v>
      </c>
      <c r="E422" s="66" t="s">
        <v>5875</v>
      </c>
      <c r="F422" s="66" t="s">
        <v>5898</v>
      </c>
      <c r="G422" s="66" t="s">
        <v>5880</v>
      </c>
      <c r="H422" s="44" t="s">
        <v>5881</v>
      </c>
      <c r="I422" s="44" t="s">
        <v>5884</v>
      </c>
      <c r="J422" s="66" t="s">
        <v>301</v>
      </c>
      <c r="K422" s="66">
        <v>3700</v>
      </c>
      <c r="L422" s="66">
        <v>458066</v>
      </c>
      <c r="M422" s="66">
        <v>25182</v>
      </c>
      <c r="N422" s="66">
        <f>SUM(Prog_23[[#This Row],[TARA]]+Prog_23[[#This Row],[PESO]])</f>
        <v>28882</v>
      </c>
      <c r="O422" s="44">
        <v>9917</v>
      </c>
      <c r="P422" s="66" t="s">
        <v>5886</v>
      </c>
      <c r="Q422" s="66" t="s">
        <v>92</v>
      </c>
      <c r="R422" s="66" t="s">
        <v>93</v>
      </c>
      <c r="S422" s="66" t="s">
        <v>94</v>
      </c>
      <c r="T422" s="138" t="str">
        <f>IFERROR(LOOKUP($S422,MOTORISTAS!$D$3:$D$916,MOTORISTAS!E$3:$E$916),"")</f>
        <v>26283419801</v>
      </c>
      <c r="U422" s="138" t="str">
        <f>IFERROR(LOOKUP($S422,MOTORISTAS!$D$3:$D$916,MOTORISTAS!F$3:$F$916),"")</f>
        <v>02002046946</v>
      </c>
      <c r="V422" s="66" t="s">
        <v>293</v>
      </c>
      <c r="W422" s="79">
        <v>45147.916666666664</v>
      </c>
      <c r="X422" s="79">
        <v>45148.171527777777</v>
      </c>
      <c r="Y422" s="79">
        <v>45148.416666666664</v>
      </c>
      <c r="Z422" s="66" t="s">
        <v>5919</v>
      </c>
      <c r="AA422" s="79">
        <v>45148.65902777778</v>
      </c>
      <c r="AB422" s="79">
        <v>45149.75</v>
      </c>
      <c r="AC422" s="79">
        <v>45149.75</v>
      </c>
      <c r="AD422" s="79">
        <v>45149.75</v>
      </c>
      <c r="AE422" s="66" t="s">
        <v>708</v>
      </c>
      <c r="AF422" s="44">
        <v>17056</v>
      </c>
      <c r="AG422" s="254">
        <f>Prog_23[[#This Row],[SAÍDA DO CLIENTE]]-Prog_23[[#This Row],[PROGRAMAÇÃO CLIENTE]]</f>
        <v>0.16666666666424135</v>
      </c>
      <c r="AH422" s="44"/>
      <c r="AI422" s="66"/>
      <c r="AJ422" s="66"/>
      <c r="AK422" s="66"/>
      <c r="AL422" s="66"/>
      <c r="AM422" s="66"/>
      <c r="AN422" s="83"/>
      <c r="AO422" s="83">
        <v>0</v>
      </c>
      <c r="AP422" s="83"/>
      <c r="AQ422" s="66"/>
      <c r="AR422" s="66"/>
      <c r="AS422" s="66"/>
      <c r="AT422" s="81">
        <v>3200</v>
      </c>
      <c r="AU422" s="81"/>
      <c r="AV422" s="81"/>
      <c r="AW422" s="81"/>
      <c r="AX422" s="83">
        <f>SUM(Prog_23[[#This Row],[ADIANTAMENTO]]+Prog_23[[#This Row],[SALDO]]+Prog_23[[#This Row],[MARGEM]]+Prog_23[[#This Row],[ESTADIA 1]])</f>
        <v>3200</v>
      </c>
      <c r="AY4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22" s="81">
        <v>4307.3999999999996</v>
      </c>
      <c r="BA422" s="81">
        <v>130973.63</v>
      </c>
      <c r="BB422" s="81">
        <v>0</v>
      </c>
      <c r="BC422" s="81">
        <v>0</v>
      </c>
      <c r="BD422" s="81">
        <v>312.60000000000002</v>
      </c>
      <c r="BE422" s="81"/>
      <c r="BF422" s="81"/>
      <c r="BG422" s="81"/>
      <c r="BH422" s="81"/>
      <c r="BI422" s="81">
        <v>630</v>
      </c>
      <c r="BJ422" s="81"/>
      <c r="BK422" s="81"/>
      <c r="BL422" s="81"/>
      <c r="BM422" s="81"/>
      <c r="BN422" s="66" t="s">
        <v>2768</v>
      </c>
      <c r="BO422" s="66" t="s">
        <v>2768</v>
      </c>
      <c r="BP422" s="66" t="s">
        <v>2768</v>
      </c>
      <c r="BQ422" s="66" t="str">
        <f>PROPER(TEXT(Prog_23[[#This Row],[PROGRAMAÇÃO CLIENTE]],"mmm"))</f>
        <v>Ago</v>
      </c>
      <c r="BR422" s="66">
        <f>YEAR(Prog_23[[#This Row],[PROGRAMAÇÃO CLIENTE]])</f>
        <v>2023</v>
      </c>
    </row>
    <row r="423" spans="1:70" x14ac:dyDescent="0.25">
      <c r="A423" s="201" t="str">
        <f>Prog_23[[#This Row],[CONTEINER]]</f>
        <v>CMAU6525346</v>
      </c>
      <c r="B423" s="86" t="s">
        <v>2771</v>
      </c>
      <c r="C4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23" s="85">
        <v>45148.25</v>
      </c>
      <c r="E423" s="66" t="s">
        <v>5875</v>
      </c>
      <c r="F423" s="66" t="s">
        <v>5898</v>
      </c>
      <c r="G423" s="66" t="s">
        <v>5880</v>
      </c>
      <c r="H423" s="44" t="s">
        <v>5881</v>
      </c>
      <c r="I423" s="44" t="s">
        <v>5885</v>
      </c>
      <c r="J423" s="66" t="s">
        <v>301</v>
      </c>
      <c r="K423" s="66">
        <v>3700</v>
      </c>
      <c r="L423" s="66">
        <v>458056</v>
      </c>
      <c r="M423" s="66">
        <v>25182</v>
      </c>
      <c r="N423" s="66">
        <f>SUM(Prog_23[[#This Row],[TARA]]+Prog_23[[#This Row],[PESO]])</f>
        <v>28882</v>
      </c>
      <c r="O423" s="44">
        <v>9916</v>
      </c>
      <c r="P423" s="66" t="s">
        <v>5886</v>
      </c>
      <c r="Q423" s="66" t="s">
        <v>106</v>
      </c>
      <c r="R423" s="66" t="s">
        <v>107</v>
      </c>
      <c r="S423" s="66" t="s">
        <v>108</v>
      </c>
      <c r="T423" s="138" t="str">
        <f>IFERROR(LOOKUP($S423,MOTORISTAS!$D$3:$D$916,MOTORISTAS!E$3:$E$916),"")</f>
        <v>34927982840</v>
      </c>
      <c r="U423" s="138" t="str">
        <f>IFERROR(LOOKUP($S423,MOTORISTAS!$D$3:$D$916,MOTORISTAS!F$3:$F$916),"")</f>
        <v>03500129879</v>
      </c>
      <c r="V423" s="66" t="s">
        <v>293</v>
      </c>
      <c r="W423" s="79">
        <v>45147.916666666664</v>
      </c>
      <c r="X423" s="79">
        <v>45148.147222222222</v>
      </c>
      <c r="Y423" s="79">
        <v>45148.361111111109</v>
      </c>
      <c r="Z423" s="66" t="s">
        <v>5919</v>
      </c>
      <c r="AA423" s="79">
        <v>45148.567361111112</v>
      </c>
      <c r="AB423" s="79">
        <v>45149.75</v>
      </c>
      <c r="AC423" s="79">
        <v>45149.75</v>
      </c>
      <c r="AD423" s="79">
        <v>45149.75</v>
      </c>
      <c r="AE423" s="66" t="s">
        <v>708</v>
      </c>
      <c r="AF423" s="44">
        <v>17057</v>
      </c>
      <c r="AG423" s="254">
        <f>Prog_23[[#This Row],[SAÍDA DO CLIENTE]]-Prog_23[[#This Row],[PROGRAMAÇÃO CLIENTE]]</f>
        <v>0.11111111110949423</v>
      </c>
      <c r="AH423" s="44"/>
      <c r="AI423" s="66"/>
      <c r="AJ423" s="66"/>
      <c r="AK423" s="66"/>
      <c r="AL423" s="66"/>
      <c r="AM423" s="66"/>
      <c r="AN423" s="83"/>
      <c r="AO423" s="83">
        <v>0</v>
      </c>
      <c r="AP423" s="83"/>
      <c r="AQ423" s="66"/>
      <c r="AR423" s="66"/>
      <c r="AS423" s="66"/>
      <c r="AT423" s="81">
        <v>3200</v>
      </c>
      <c r="AU423" s="81"/>
      <c r="AV423" s="81"/>
      <c r="AW423" s="81"/>
      <c r="AX423" s="83">
        <f>SUM(Prog_23[[#This Row],[ADIANTAMENTO]]+Prog_23[[#This Row],[SALDO]]+Prog_23[[#This Row],[MARGEM]]+Prog_23[[#This Row],[ESTADIA 1]])</f>
        <v>3200</v>
      </c>
      <c r="AY4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23" s="81">
        <v>4307.3999999999996</v>
      </c>
      <c r="BA423" s="81">
        <v>131106.06</v>
      </c>
      <c r="BB423" s="81">
        <v>0</v>
      </c>
      <c r="BC423" s="81">
        <v>0</v>
      </c>
      <c r="BD423" s="81">
        <v>312.60000000000002</v>
      </c>
      <c r="BE423" s="81"/>
      <c r="BF423" s="81"/>
      <c r="BG423" s="81"/>
      <c r="BH423" s="81"/>
      <c r="BI423" s="81">
        <v>630</v>
      </c>
      <c r="BJ423" s="81"/>
      <c r="BK423" s="81"/>
      <c r="BL423" s="81"/>
      <c r="BM423" s="81"/>
      <c r="BN423" s="66" t="s">
        <v>2768</v>
      </c>
      <c r="BO423" s="66" t="s">
        <v>2768</v>
      </c>
      <c r="BP423" s="66" t="s">
        <v>2768</v>
      </c>
      <c r="BQ423" s="66" t="str">
        <f>PROPER(TEXT(Prog_23[[#This Row],[PROGRAMAÇÃO CLIENTE]],"mmm"))</f>
        <v>Ago</v>
      </c>
      <c r="BR423" s="66">
        <f>YEAR(Prog_23[[#This Row],[PROGRAMAÇÃO CLIENTE]])</f>
        <v>2023</v>
      </c>
    </row>
    <row r="424" spans="1:70" x14ac:dyDescent="0.25">
      <c r="A424" s="200" t="str">
        <f>Prog_23[[#This Row],[CONTEINER]]</f>
        <v>CMAU6987323</v>
      </c>
      <c r="B424" s="86" t="s">
        <v>2771</v>
      </c>
      <c r="C4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24" s="85">
        <v>45148.25</v>
      </c>
      <c r="E424" s="66" t="s">
        <v>5875</v>
      </c>
      <c r="F424" s="66" t="s">
        <v>5898</v>
      </c>
      <c r="G424" s="66" t="s">
        <v>5890</v>
      </c>
      <c r="H424" s="44" t="s">
        <v>5887</v>
      </c>
      <c r="I424" s="44" t="s">
        <v>5888</v>
      </c>
      <c r="J424" s="66" t="s">
        <v>301</v>
      </c>
      <c r="K424" s="66">
        <v>3700</v>
      </c>
      <c r="L424" s="66">
        <v>145884</v>
      </c>
      <c r="M424" s="66">
        <v>22587</v>
      </c>
      <c r="N424" s="66">
        <f>SUM(Prog_23[[#This Row],[TARA]]+Prog_23[[#This Row],[PESO]])</f>
        <v>26287</v>
      </c>
      <c r="O424" s="44">
        <v>9918</v>
      </c>
      <c r="P424" s="66" t="s">
        <v>5886</v>
      </c>
      <c r="Q424" s="66" t="s">
        <v>150</v>
      </c>
      <c r="R424" s="66" t="s">
        <v>151</v>
      </c>
      <c r="S424" s="66" t="s">
        <v>4901</v>
      </c>
      <c r="T424" s="138" t="str">
        <f>IFERROR(LOOKUP($S424,MOTORISTAS!$D$3:$D$916,MOTORISTAS!E$3:$E$916),"")</f>
        <v>25538214842</v>
      </c>
      <c r="U424" s="138" t="str">
        <f>IFERROR(LOOKUP($S424,MOTORISTAS!$D$3:$D$916,MOTORISTAS!F$3:$F$916),"")</f>
        <v>01845110101</v>
      </c>
      <c r="V424" s="66" t="s">
        <v>293</v>
      </c>
      <c r="W424" s="79">
        <v>45147.916666666664</v>
      </c>
      <c r="X424" s="79">
        <v>45148.164583333331</v>
      </c>
      <c r="Y424" s="79">
        <v>45148.402777777781</v>
      </c>
      <c r="Z424" s="66" t="s">
        <v>5919</v>
      </c>
      <c r="AA424" s="79">
        <v>45148.669444444444</v>
      </c>
      <c r="AB424" s="79">
        <v>45149.75</v>
      </c>
      <c r="AC424" s="79">
        <v>45149.75</v>
      </c>
      <c r="AD424" s="79">
        <v>45149.75</v>
      </c>
      <c r="AE424" s="66" t="s">
        <v>708</v>
      </c>
      <c r="AF424" s="44">
        <v>17050</v>
      </c>
      <c r="AG424" s="254">
        <f>Prog_23[[#This Row],[SAÍDA DO CLIENTE]]-Prog_23[[#This Row],[PROGRAMAÇÃO CLIENTE]]</f>
        <v>0.15277777778101154</v>
      </c>
      <c r="AH424" s="44"/>
      <c r="AI424" s="66"/>
      <c r="AJ424" s="66"/>
      <c r="AK424" s="66"/>
      <c r="AL424" s="66"/>
      <c r="AM424" s="66"/>
      <c r="AN424" s="83"/>
      <c r="AO424" s="83">
        <v>0</v>
      </c>
      <c r="AP424" s="83"/>
      <c r="AQ424" s="66"/>
      <c r="AR424" s="66"/>
      <c r="AS424" s="66"/>
      <c r="AT424" s="81">
        <v>3200</v>
      </c>
      <c r="AU424" s="81"/>
      <c r="AV424" s="81"/>
      <c r="AW424" s="81"/>
      <c r="AX424" s="83">
        <f>SUM(Prog_23[[#This Row],[ADIANTAMENTO]]+Prog_23[[#This Row],[SALDO]]+Prog_23[[#This Row],[MARGEM]]+Prog_23[[#This Row],[ESTADIA 1]])</f>
        <v>3200</v>
      </c>
      <c r="AY4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24" s="81">
        <v>4307.3999999999996</v>
      </c>
      <c r="BA424" s="81">
        <v>121295.4</v>
      </c>
      <c r="BB424" s="81">
        <v>0</v>
      </c>
      <c r="BC424" s="81">
        <v>0</v>
      </c>
      <c r="BD424" s="81">
        <v>312.60000000000002</v>
      </c>
      <c r="BE424" s="81"/>
      <c r="BF424" s="81"/>
      <c r="BG424" s="81"/>
      <c r="BH424" s="81"/>
      <c r="BI424" s="81">
        <v>630</v>
      </c>
      <c r="BJ424" s="81"/>
      <c r="BK424" s="81"/>
      <c r="BL424" s="81"/>
      <c r="BM424" s="81"/>
      <c r="BN424" s="66" t="s">
        <v>2768</v>
      </c>
      <c r="BO424" s="66" t="s">
        <v>2768</v>
      </c>
      <c r="BP424" s="66" t="s">
        <v>2768</v>
      </c>
      <c r="BQ424" s="66" t="str">
        <f>PROPER(TEXT(Prog_23[[#This Row],[PROGRAMAÇÃO CLIENTE]],"mmm"))</f>
        <v>Ago</v>
      </c>
      <c r="BR424" s="66">
        <f>YEAR(Prog_23[[#This Row],[PROGRAMAÇÃO CLIENTE]])</f>
        <v>2023</v>
      </c>
    </row>
    <row r="425" spans="1:70" x14ac:dyDescent="0.25">
      <c r="A425" s="201" t="str">
        <f>Prog_23[[#This Row],[CONTEINER]]</f>
        <v>CMAU9166002</v>
      </c>
      <c r="B425" s="86" t="s">
        <v>2771</v>
      </c>
      <c r="C425" s="253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25" s="85">
        <v>45148.25</v>
      </c>
      <c r="E425" s="66" t="s">
        <v>5875</v>
      </c>
      <c r="F425" s="66" t="s">
        <v>5898</v>
      </c>
      <c r="G425" s="66" t="s">
        <v>5890</v>
      </c>
      <c r="H425" s="44" t="s">
        <v>5887</v>
      </c>
      <c r="I425" s="44" t="s">
        <v>5889</v>
      </c>
      <c r="J425" s="66" t="s">
        <v>301</v>
      </c>
      <c r="K425" s="66">
        <v>3700</v>
      </c>
      <c r="L425" s="66">
        <v>145881</v>
      </c>
      <c r="M425" s="66">
        <v>22587</v>
      </c>
      <c r="N425" s="66">
        <f>SUM(Prog_23[[#This Row],[TARA]]+Prog_23[[#This Row],[PESO]])</f>
        <v>26287</v>
      </c>
      <c r="O425" s="44">
        <v>9919</v>
      </c>
      <c r="P425" s="66" t="s">
        <v>5886</v>
      </c>
      <c r="Q425" s="66" t="s">
        <v>4436</v>
      </c>
      <c r="R425" s="66" t="s">
        <v>5918</v>
      </c>
      <c r="S425" s="66" t="s">
        <v>5917</v>
      </c>
      <c r="T425" s="138" t="str">
        <f>IFERROR(LOOKUP($S425,MOTORISTAS!$D$3:$D$916,MOTORISTAS!E$3:$E$916),"")</f>
        <v>01419698818</v>
      </c>
      <c r="U425" s="138" t="str">
        <f>IFERROR(LOOKUP($S425,MOTORISTAS!$D$3:$D$916,MOTORISTAS!F$3:$F$916),"")</f>
        <v>01230801963</v>
      </c>
      <c r="V425" s="66" t="s">
        <v>293</v>
      </c>
      <c r="W425" s="79">
        <v>45147.916666666664</v>
      </c>
      <c r="X425" s="79">
        <v>45148.451388888891</v>
      </c>
      <c r="Y425" s="79">
        <v>45148.770833333336</v>
      </c>
      <c r="Z425" s="66" t="s">
        <v>5919</v>
      </c>
      <c r="AA425" s="79">
        <v>45149.440972222219</v>
      </c>
      <c r="AB425" s="79">
        <v>45149.75</v>
      </c>
      <c r="AC425" s="79">
        <v>45149.75</v>
      </c>
      <c r="AD425" s="79">
        <v>45149.75</v>
      </c>
      <c r="AE425" s="66" t="s">
        <v>708</v>
      </c>
      <c r="AF425" s="44">
        <v>17051</v>
      </c>
      <c r="AG425" s="254">
        <f>Prog_23[[#This Row],[SAÍDA DO CLIENTE]]-Prog_23[[#This Row],[PROGRAMAÇÃO CLIENTE]]</f>
        <v>0.52083333333575865</v>
      </c>
      <c r="AH425" s="44"/>
      <c r="AI425" s="66" t="s">
        <v>5961</v>
      </c>
      <c r="AJ425" s="66" t="s">
        <v>3643</v>
      </c>
      <c r="AK425" s="66"/>
      <c r="AL425" s="66"/>
      <c r="AM425" s="66"/>
      <c r="AN425" s="83"/>
      <c r="AO425" s="83">
        <v>0</v>
      </c>
      <c r="AP425" s="83"/>
      <c r="AQ425" s="66"/>
      <c r="AR425" s="66"/>
      <c r="AS425" s="66"/>
      <c r="AT425" s="81">
        <v>3200</v>
      </c>
      <c r="AU425" s="81"/>
      <c r="AV425" s="81"/>
      <c r="AW425" s="81"/>
      <c r="AX425" s="83">
        <f>SUM(Prog_23[[#This Row],[ADIANTAMENTO]]+Prog_23[[#This Row],[SALDO]]+Prog_23[[#This Row],[MARGEM]]+Prog_23[[#This Row],[ESTADIA 1]])</f>
        <v>3200</v>
      </c>
      <c r="AY4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25" s="81">
        <v>4307.3999999999996</v>
      </c>
      <c r="BA425" s="81">
        <v>121295.4</v>
      </c>
      <c r="BB425" s="81">
        <v>0</v>
      </c>
      <c r="BC425" s="81">
        <v>0</v>
      </c>
      <c r="BD425" s="81">
        <v>312.60000000000002</v>
      </c>
      <c r="BE425" s="81"/>
      <c r="BF425" s="81"/>
      <c r="BG425" s="81"/>
      <c r="BH425" s="81"/>
      <c r="BI425" s="81">
        <v>630</v>
      </c>
      <c r="BJ425" s="81"/>
      <c r="BK425" s="81"/>
      <c r="BL425" s="81"/>
      <c r="BM425" s="81"/>
      <c r="BN425" s="66" t="s">
        <v>2768</v>
      </c>
      <c r="BO425" s="66" t="s">
        <v>2768</v>
      </c>
      <c r="BP425" s="66" t="s">
        <v>2768</v>
      </c>
      <c r="BQ425" s="66" t="str">
        <f>PROPER(TEXT(Prog_23[[#This Row],[PROGRAMAÇÃO CLIENTE]],"mmm"))</f>
        <v>Ago</v>
      </c>
      <c r="BR425" s="66">
        <f>YEAR(Prog_23[[#This Row],[PROGRAMAÇÃO CLIENTE]])</f>
        <v>2023</v>
      </c>
    </row>
    <row r="426" spans="1:70" x14ac:dyDescent="0.25">
      <c r="A426" s="200" t="str">
        <f>Prog_23[[#This Row],[CONTEINER]]</f>
        <v>MTSU9605224</v>
      </c>
      <c r="B426" s="86" t="s">
        <v>2771</v>
      </c>
      <c r="C4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26" s="85">
        <v>45149.25</v>
      </c>
      <c r="E426" s="66" t="s">
        <v>5875</v>
      </c>
      <c r="F426" s="66" t="s">
        <v>5898</v>
      </c>
      <c r="G426" s="66" t="s">
        <v>5891</v>
      </c>
      <c r="H426" s="44" t="s">
        <v>5892</v>
      </c>
      <c r="I426" s="44" t="s">
        <v>5893</v>
      </c>
      <c r="J426" s="66" t="s">
        <v>301</v>
      </c>
      <c r="K426" s="66">
        <v>3700</v>
      </c>
      <c r="L426" s="66" t="s">
        <v>5895</v>
      </c>
      <c r="M426" s="66">
        <v>25950</v>
      </c>
      <c r="N426" s="66">
        <f>SUM(Prog_23[[#This Row],[TARA]]+Prog_23[[#This Row],[PESO]])</f>
        <v>29650</v>
      </c>
      <c r="O426" s="44">
        <v>9920</v>
      </c>
      <c r="P426" s="66" t="s">
        <v>5897</v>
      </c>
      <c r="Q426" s="66" t="s">
        <v>150</v>
      </c>
      <c r="R426" s="66" t="s">
        <v>151</v>
      </c>
      <c r="S426" s="66" t="s">
        <v>2678</v>
      </c>
      <c r="T426" s="138" t="str">
        <f>IFERROR(LOOKUP($S426,MOTORISTAS!$D$3:$D$916,MOTORISTAS!E$3:$E$916),"")</f>
        <v>28386357860</v>
      </c>
      <c r="U426" s="138" t="str">
        <f>IFERROR(LOOKUP($S426,MOTORISTAS!$D$3:$D$916,MOTORISTAS!F$3:$F$916),"")</f>
        <v>01042201192</v>
      </c>
      <c r="V426" s="66" t="s">
        <v>410</v>
      </c>
      <c r="W426" s="79">
        <v>45148.708333333336</v>
      </c>
      <c r="X426" s="79">
        <v>45149.127083333333</v>
      </c>
      <c r="Y426" s="79">
        <v>45149.513888888891</v>
      </c>
      <c r="Z426" s="66" t="s">
        <v>292</v>
      </c>
      <c r="AA426" s="79">
        <v>45149.756944444445</v>
      </c>
      <c r="AB426" s="79">
        <v>45149.75</v>
      </c>
      <c r="AC426" s="79">
        <v>45149.75</v>
      </c>
      <c r="AD426" s="79">
        <v>45149.75</v>
      </c>
      <c r="AE426" s="66" t="s">
        <v>708</v>
      </c>
      <c r="AF426" s="44">
        <v>17073</v>
      </c>
      <c r="AG426" s="254">
        <f>Prog_23[[#This Row],[SAÍDA DO CLIENTE]]-Prog_23[[#This Row],[PROGRAMAÇÃO CLIENTE]]</f>
        <v>0.26388888889050577</v>
      </c>
      <c r="AH426" s="44"/>
      <c r="AI426" s="66"/>
      <c r="AJ426" s="66"/>
      <c r="AK426" s="66"/>
      <c r="AL426" s="66"/>
      <c r="AM426" s="66"/>
      <c r="AN426" s="83"/>
      <c r="AO426" s="83">
        <v>0</v>
      </c>
      <c r="AP426" s="83"/>
      <c r="AQ426" s="66"/>
      <c r="AR426" s="66"/>
      <c r="AS426" s="66"/>
      <c r="AT426" s="81">
        <v>3000</v>
      </c>
      <c r="AU426" s="81"/>
      <c r="AV426" s="81"/>
      <c r="AW426" s="81"/>
      <c r="AX426" s="83">
        <f>SUM(Prog_23[[#This Row],[ADIANTAMENTO]]+Prog_23[[#This Row],[SALDO]]+Prog_23[[#This Row],[MARGEM]]+Prog_23[[#This Row],[ESTADIA 1]])</f>
        <v>3000</v>
      </c>
      <c r="AY4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26" s="81">
        <v>4307.3999999999996</v>
      </c>
      <c r="BA426" s="81">
        <v>141110.39000000001</v>
      </c>
      <c r="BB426" s="81">
        <v>0</v>
      </c>
      <c r="BC426" s="81">
        <v>0</v>
      </c>
      <c r="BD426" s="81">
        <v>312.60000000000002</v>
      </c>
      <c r="BE426" s="81"/>
      <c r="BF426" s="81"/>
      <c r="BG426" s="81"/>
      <c r="BH426" s="81"/>
      <c r="BI426" s="81">
        <v>630</v>
      </c>
      <c r="BJ426" s="81"/>
      <c r="BK426" s="81"/>
      <c r="BL426" s="81"/>
      <c r="BM426" s="81"/>
      <c r="BN426" s="66" t="s">
        <v>2768</v>
      </c>
      <c r="BO426" s="66" t="s">
        <v>2768</v>
      </c>
      <c r="BP426" s="66" t="s">
        <v>2768</v>
      </c>
      <c r="BQ426" s="66" t="str">
        <f>PROPER(TEXT(Prog_23[[#This Row],[PROGRAMAÇÃO CLIENTE]],"mmm"))</f>
        <v>Ago</v>
      </c>
      <c r="BR426" s="66">
        <f>YEAR(Prog_23[[#This Row],[PROGRAMAÇÃO CLIENTE]])</f>
        <v>2023</v>
      </c>
    </row>
    <row r="427" spans="1:70" x14ac:dyDescent="0.25">
      <c r="A427" s="201" t="str">
        <f>Prog_23[[#This Row],[CONTEINER]]</f>
        <v>SUDU6644442</v>
      </c>
      <c r="B427" s="86" t="s">
        <v>2771</v>
      </c>
      <c r="C4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27" s="85">
        <v>45149.25</v>
      </c>
      <c r="E427" s="66" t="s">
        <v>5875</v>
      </c>
      <c r="F427" s="66" t="s">
        <v>5898</v>
      </c>
      <c r="G427" s="66" t="s">
        <v>5891</v>
      </c>
      <c r="H427" s="44" t="s">
        <v>5892</v>
      </c>
      <c r="I427" s="44" t="s">
        <v>5894</v>
      </c>
      <c r="J427" s="66" t="s">
        <v>301</v>
      </c>
      <c r="K427" s="66">
        <v>3950</v>
      </c>
      <c r="L427" s="66" t="s">
        <v>5896</v>
      </c>
      <c r="M427" s="66">
        <v>25950</v>
      </c>
      <c r="N427" s="66">
        <f>SUM(Prog_23[[#This Row],[TARA]]+Prog_23[[#This Row],[PESO]])</f>
        <v>29900</v>
      </c>
      <c r="O427" s="44">
        <v>9921</v>
      </c>
      <c r="P427" s="66" t="s">
        <v>5897</v>
      </c>
      <c r="Q427" s="66" t="s">
        <v>31</v>
      </c>
      <c r="R427" s="66" t="s">
        <v>32</v>
      </c>
      <c r="S427" s="66" t="s">
        <v>33</v>
      </c>
      <c r="T427" s="138" t="str">
        <f>IFERROR(LOOKUP($S427,MOTORISTAS!$D$3:$D$916,MOTORISTAS!E$3:$E$916),"")</f>
        <v>09776430856</v>
      </c>
      <c r="U427" s="138" t="str">
        <f>IFERROR(LOOKUP($S427,MOTORISTAS!$D$3:$D$916,MOTORISTAS!F$3:$F$916),"")</f>
        <v>01258979905</v>
      </c>
      <c r="V427" s="66" t="s">
        <v>410</v>
      </c>
      <c r="W427" s="79">
        <v>45148.708333333336</v>
      </c>
      <c r="X427" s="79">
        <v>45149.090277777781</v>
      </c>
      <c r="Y427" s="79">
        <v>45149.493055555555</v>
      </c>
      <c r="Z427" s="66" t="s">
        <v>292</v>
      </c>
      <c r="AA427" s="79">
        <v>45149.756944444445</v>
      </c>
      <c r="AB427" s="79">
        <v>45149.75</v>
      </c>
      <c r="AC427" s="79">
        <v>45149.75</v>
      </c>
      <c r="AD427" s="79">
        <v>45149.75</v>
      </c>
      <c r="AE427" s="66" t="s">
        <v>708</v>
      </c>
      <c r="AF427" s="44">
        <v>17074</v>
      </c>
      <c r="AG427" s="254">
        <f>Prog_23[[#This Row],[SAÍDA DO CLIENTE]]-Prog_23[[#This Row],[PROGRAMAÇÃO CLIENTE]]</f>
        <v>0.24305555555474712</v>
      </c>
      <c r="AH427" s="44">
        <v>6658315</v>
      </c>
      <c r="AI427" s="66"/>
      <c r="AJ427" s="66"/>
      <c r="AK427" s="66"/>
      <c r="AL427" s="66"/>
      <c r="AM427" s="66"/>
      <c r="AN427" s="83"/>
      <c r="AO427" s="83">
        <v>0</v>
      </c>
      <c r="AP427" s="83"/>
      <c r="AQ427" s="66"/>
      <c r="AR427" s="66"/>
      <c r="AS427" s="66"/>
      <c r="AT427" s="81">
        <v>3000</v>
      </c>
      <c r="AU427" s="81"/>
      <c r="AV427" s="81"/>
      <c r="AW427" s="81"/>
      <c r="AX427" s="83">
        <f>SUM(Prog_23[[#This Row],[ADIANTAMENTO]]+Prog_23[[#This Row],[SALDO]]+Prog_23[[#This Row],[MARGEM]]+Prog_23[[#This Row],[ESTADIA 1]])</f>
        <v>3000</v>
      </c>
      <c r="AY4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27" s="81">
        <v>4307.3999999999996</v>
      </c>
      <c r="BA427" s="81">
        <v>141110.39000000001</v>
      </c>
      <c r="BB427" s="81">
        <v>0</v>
      </c>
      <c r="BC427" s="81">
        <v>0</v>
      </c>
      <c r="BD427" s="81">
        <v>312.60000000000002</v>
      </c>
      <c r="BE427" s="81"/>
      <c r="BF427" s="81"/>
      <c r="BG427" s="81"/>
      <c r="BH427" s="81"/>
      <c r="BI427" s="81">
        <v>630</v>
      </c>
      <c r="BJ427" s="81"/>
      <c r="BK427" s="81"/>
      <c r="BL427" s="81"/>
      <c r="BM427" s="81"/>
      <c r="BN427" s="66" t="s">
        <v>2768</v>
      </c>
      <c r="BO427" s="66" t="s">
        <v>2768</v>
      </c>
      <c r="BP427" s="66" t="s">
        <v>2768</v>
      </c>
      <c r="BQ427" s="66" t="str">
        <f>PROPER(TEXT(Prog_23[[#This Row],[PROGRAMAÇÃO CLIENTE]],"mmm"))</f>
        <v>Ago</v>
      </c>
      <c r="BR427" s="66">
        <f>YEAR(Prog_23[[#This Row],[PROGRAMAÇÃO CLIENTE]])</f>
        <v>2023</v>
      </c>
    </row>
    <row r="428" spans="1:70" x14ac:dyDescent="0.25">
      <c r="A428" s="200" t="str">
        <f>Prog_23[[#This Row],[CONTEINER]]</f>
        <v>TGCU5176985</v>
      </c>
      <c r="B428" s="86" t="s">
        <v>2771</v>
      </c>
      <c r="C428" s="253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28" s="85">
        <v>45149.375</v>
      </c>
      <c r="E428" s="66" t="s">
        <v>297</v>
      </c>
      <c r="F428" s="66" t="s">
        <v>298</v>
      </c>
      <c r="G428" s="66" t="s">
        <v>5902</v>
      </c>
      <c r="H428" s="44">
        <v>64237693</v>
      </c>
      <c r="I428" s="44" t="s">
        <v>5931</v>
      </c>
      <c r="J428" s="66" t="s">
        <v>301</v>
      </c>
      <c r="K428" s="66">
        <v>3700</v>
      </c>
      <c r="L428" s="66" t="s">
        <v>5932</v>
      </c>
      <c r="M428" s="66">
        <v>21222</v>
      </c>
      <c r="N428" s="66">
        <f>SUM(Prog_23[[#This Row],[TARA]]+Prog_23[[#This Row],[PESO]])</f>
        <v>24922</v>
      </c>
      <c r="O428" s="44">
        <v>891832</v>
      </c>
      <c r="P428" s="66" t="s">
        <v>5899</v>
      </c>
      <c r="Q428" s="66" t="s">
        <v>3708</v>
      </c>
      <c r="R428" s="66" t="s">
        <v>3709</v>
      </c>
      <c r="S428" s="66" t="s">
        <v>84</v>
      </c>
      <c r="T428" s="138" t="str">
        <f>IFERROR(LOOKUP($S428,MOTORISTAS!$D$3:$D$916,MOTORISTAS!E$3:$E$916),"")</f>
        <v>15921106810</v>
      </c>
      <c r="U428" s="138" t="str">
        <f>IFERROR(LOOKUP($S428,MOTORISTAS!$D$3:$D$916,MOTORISTAS!F$3:$F$916),"")</f>
        <v>02351127968</v>
      </c>
      <c r="V428" s="66" t="s">
        <v>292</v>
      </c>
      <c r="W428" s="79">
        <v>45148.90902777778</v>
      </c>
      <c r="X428" s="79">
        <v>45149.875</v>
      </c>
      <c r="Y428" s="79">
        <v>45150.5625</v>
      </c>
      <c r="Z428" s="66" t="s">
        <v>293</v>
      </c>
      <c r="AA428" s="79">
        <v>45163.284722222219</v>
      </c>
      <c r="AB428" s="79">
        <v>45165.208333333336</v>
      </c>
      <c r="AC428" s="66" t="s">
        <v>5900</v>
      </c>
      <c r="AD428" s="79">
        <v>45163.5</v>
      </c>
      <c r="AE428" s="66" t="s">
        <v>2743</v>
      </c>
      <c r="AF428" s="44">
        <v>17108</v>
      </c>
      <c r="AG428" s="254">
        <f>Prog_23[[#This Row],[SAÍDA DO CLIENTE]]-Prog_23[[#This Row],[PROGRAMAÇÃO CLIENTE]]</f>
        <v>1.1875</v>
      </c>
      <c r="AH428" s="44">
        <v>6658317</v>
      </c>
      <c r="AI428" s="66" t="s">
        <v>5957</v>
      </c>
      <c r="AJ428" s="66" t="s">
        <v>3643</v>
      </c>
      <c r="AK428" s="66" t="s">
        <v>393</v>
      </c>
      <c r="AL428" s="79">
        <v>45152.375</v>
      </c>
      <c r="AM428" s="66"/>
      <c r="AN428" s="83">
        <v>950</v>
      </c>
      <c r="AO428" s="83"/>
      <c r="AP428" s="83"/>
      <c r="AQ428" s="66"/>
      <c r="AR428" s="66"/>
      <c r="AS428" s="66"/>
      <c r="AT428" s="81">
        <v>3000</v>
      </c>
      <c r="AU428" s="81"/>
      <c r="AV428" s="81"/>
      <c r="AW428" s="81"/>
      <c r="AX428" s="83">
        <f>SUM(Prog_23[[#This Row],[ADIANTAMENTO]]+Prog_23[[#This Row],[SALDO]]+Prog_23[[#This Row],[MARGEM]]+Prog_23[[#This Row],[ESTADIA 1]])</f>
        <v>3000</v>
      </c>
      <c r="AY4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428" s="81">
        <v>3488.8</v>
      </c>
      <c r="BA428" s="81">
        <v>167450.79999999999</v>
      </c>
      <c r="BB428" s="81">
        <v>0</v>
      </c>
      <c r="BC428" s="81">
        <v>0</v>
      </c>
      <c r="BD428" s="81">
        <v>511.2</v>
      </c>
      <c r="BE428" s="81"/>
      <c r="BF428" s="81"/>
      <c r="BG428" s="81"/>
      <c r="BH428" s="81"/>
      <c r="BI428" s="81"/>
      <c r="BJ428" s="81"/>
      <c r="BK428" s="81"/>
      <c r="BL428" s="81">
        <v>250</v>
      </c>
      <c r="BM428" s="81"/>
      <c r="BN428" s="66" t="s">
        <v>2768</v>
      </c>
      <c r="BO428" s="66" t="s">
        <v>2768</v>
      </c>
      <c r="BP428" s="66" t="s">
        <v>2768</v>
      </c>
      <c r="BQ428" s="66" t="str">
        <f>PROPER(TEXT(Prog_23[[#This Row],[PROGRAMAÇÃO CLIENTE]],"mmm"))</f>
        <v>Ago</v>
      </c>
      <c r="BR428" s="66">
        <f>YEAR(Prog_23[[#This Row],[PROGRAMAÇÃO CLIENTE]])</f>
        <v>2023</v>
      </c>
    </row>
    <row r="429" spans="1:70" x14ac:dyDescent="0.25">
      <c r="A429" s="201" t="str">
        <f>Prog_23[[#This Row],[CONTEINER]]</f>
        <v>CMAU4195250</v>
      </c>
      <c r="B429" s="86" t="s">
        <v>2771</v>
      </c>
      <c r="C4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29" s="85">
        <v>45152.291666666664</v>
      </c>
      <c r="E429" s="66" t="s">
        <v>2333</v>
      </c>
      <c r="F429" s="66" t="s">
        <v>1639</v>
      </c>
      <c r="G429" s="66" t="s">
        <v>5903</v>
      </c>
      <c r="H429" s="44" t="s">
        <v>5904</v>
      </c>
      <c r="I429" s="44" t="s">
        <v>5905</v>
      </c>
      <c r="J429" s="66" t="s">
        <v>301</v>
      </c>
      <c r="K429" s="66">
        <v>3860</v>
      </c>
      <c r="L429" s="66" t="s">
        <v>5906</v>
      </c>
      <c r="M429" s="66">
        <v>20994</v>
      </c>
      <c r="N429" s="66">
        <f>SUM(Prog_23[[#This Row],[TARA]]+Prog_23[[#This Row],[PESO]])</f>
        <v>24854</v>
      </c>
      <c r="O429" s="44" t="s">
        <v>5943</v>
      </c>
      <c r="P429" s="66" t="s">
        <v>5907</v>
      </c>
      <c r="Q429" s="66" t="s">
        <v>92</v>
      </c>
      <c r="R429" s="66" t="s">
        <v>93</v>
      </c>
      <c r="S429" s="66" t="s">
        <v>94</v>
      </c>
      <c r="T429" s="138" t="str">
        <f>IFERROR(LOOKUP($S429,MOTORISTAS!$D$3:$D$916,MOTORISTAS!E$3:$E$916),"")</f>
        <v>26283419801</v>
      </c>
      <c r="U429" s="138" t="str">
        <f>IFERROR(LOOKUP($S429,MOTORISTAS!$D$3:$D$916,MOTORISTAS!F$3:$F$916),"")</f>
        <v>02002046946</v>
      </c>
      <c r="V429" s="66" t="s">
        <v>410</v>
      </c>
      <c r="W429" s="79">
        <v>45149.475694444445</v>
      </c>
      <c r="X429" s="79">
        <v>45152.291666666664</v>
      </c>
      <c r="Y429" s="79">
        <v>45152.520833333336</v>
      </c>
      <c r="Z429" s="66" t="s">
        <v>537</v>
      </c>
      <c r="AA429" s="79">
        <v>45153.058333333334</v>
      </c>
      <c r="AB429" s="79">
        <v>45153.333333333336</v>
      </c>
      <c r="AC429" s="79">
        <v>45153.333333333336</v>
      </c>
      <c r="AD429" s="79">
        <v>45153.333333333336</v>
      </c>
      <c r="AE429" s="66" t="s">
        <v>708</v>
      </c>
      <c r="AF429" s="44" t="s">
        <v>5944</v>
      </c>
      <c r="AG429" s="254">
        <f>Prog_23[[#This Row],[SAÍDA DO CLIENTE]]-Prog_23[[#This Row],[PROGRAMAÇÃO CLIENTE]]</f>
        <v>0.22916666667151731</v>
      </c>
      <c r="AH429" s="44">
        <v>6658277</v>
      </c>
      <c r="AI429" s="66"/>
      <c r="AJ429" s="66"/>
      <c r="AK429" s="66"/>
      <c r="AL429" s="66"/>
      <c r="AM429" s="66"/>
      <c r="AN429" s="83"/>
      <c r="AO429" s="83"/>
      <c r="AP429" s="83"/>
      <c r="AQ429" s="66"/>
      <c r="AR429" s="66"/>
      <c r="AS429" s="66"/>
      <c r="AT429" s="81">
        <v>8000</v>
      </c>
      <c r="AU429" s="81"/>
      <c r="AV429" s="81"/>
      <c r="AW429" s="81"/>
      <c r="AX429" s="83">
        <v>8000</v>
      </c>
      <c r="AY4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10950</v>
      </c>
      <c r="AZ429" s="81">
        <v>8678</v>
      </c>
      <c r="BA429" s="81"/>
      <c r="BB429" s="81">
        <f>Prog_23[[#This Row],[VLR NF]]*0.1%</f>
        <v>0</v>
      </c>
      <c r="BC429" s="81">
        <f>Prog_23[[#This Row],[VLR NF]]*0.05%</f>
        <v>0</v>
      </c>
      <c r="BD429" s="81">
        <v>958</v>
      </c>
      <c r="BE429" s="81"/>
      <c r="BF429" s="81"/>
      <c r="BG429" s="81"/>
      <c r="BH429" s="81"/>
      <c r="BI429" s="81">
        <v>1314</v>
      </c>
      <c r="BJ429" s="81"/>
      <c r="BK429" s="81"/>
      <c r="BL429" s="81"/>
      <c r="BM429" s="81"/>
      <c r="BN429" s="66" t="s">
        <v>2768</v>
      </c>
      <c r="BO429" s="66" t="s">
        <v>2768</v>
      </c>
      <c r="BP429" s="66" t="s">
        <v>2768</v>
      </c>
      <c r="BQ429" s="66" t="str">
        <f>PROPER(TEXT(Prog_23[[#This Row],[PROGRAMAÇÃO CLIENTE]],"mmm"))</f>
        <v>Ago</v>
      </c>
      <c r="BR429" s="66">
        <f>YEAR(Prog_23[[#This Row],[PROGRAMAÇÃO CLIENTE]])</f>
        <v>2023</v>
      </c>
    </row>
    <row r="430" spans="1:70" x14ac:dyDescent="0.25">
      <c r="A430" s="201" t="str">
        <f>Prog_23[[#This Row],[CONTEINER]]</f>
        <v>MSKU1091818</v>
      </c>
      <c r="B430" s="86" t="s">
        <v>2771</v>
      </c>
      <c r="C4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30" s="85">
        <v>45152.291666666664</v>
      </c>
      <c r="E430" s="66" t="s">
        <v>5311</v>
      </c>
      <c r="F430" s="66" t="s">
        <v>5279</v>
      </c>
      <c r="G430" s="66"/>
      <c r="H430" s="44">
        <v>229913634</v>
      </c>
      <c r="I430" s="44" t="s">
        <v>5946</v>
      </c>
      <c r="J430" s="66" t="s">
        <v>301</v>
      </c>
      <c r="K430" s="66">
        <v>3790</v>
      </c>
      <c r="L430" s="66" t="s">
        <v>5947</v>
      </c>
      <c r="M430" s="66">
        <v>24160</v>
      </c>
      <c r="N430" s="66">
        <f>SUM(Prog_23[[#This Row],[TARA]]+Prog_23[[#This Row],[PESO]])</f>
        <v>27950</v>
      </c>
      <c r="O430" s="44">
        <v>1959</v>
      </c>
      <c r="P430" s="66" t="s">
        <v>5823</v>
      </c>
      <c r="Q430" s="66" t="s">
        <v>68</v>
      </c>
      <c r="R430" s="66" t="s">
        <v>36</v>
      </c>
      <c r="S430" s="66" t="s">
        <v>206</v>
      </c>
      <c r="T430" s="138" t="str">
        <f>IFERROR(LOOKUP($S430,MOTORISTAS!$D$3:$D$916,MOTORISTAS!E$3:$E$916),"")</f>
        <v>09085263425</v>
      </c>
      <c r="U430" s="138" t="str">
        <f>IFERROR(LOOKUP($S430,MOTORISTAS!$D$3:$D$916,MOTORISTAS!F$3:$F$916),"")</f>
        <v>04557705505</v>
      </c>
      <c r="V430" s="66" t="s">
        <v>292</v>
      </c>
      <c r="W430" s="79">
        <v>45150.314583333333</v>
      </c>
      <c r="X430" s="79">
        <v>45152.284722222219</v>
      </c>
      <c r="Y430" s="79">
        <v>45152.71875</v>
      </c>
      <c r="Z430" s="66" t="s">
        <v>410</v>
      </c>
      <c r="AA430" s="79">
        <v>45152.87222222222</v>
      </c>
      <c r="AB430" s="79">
        <v>45154.791666666664</v>
      </c>
      <c r="AC430" s="79">
        <v>45154.5</v>
      </c>
      <c r="AD430" s="79">
        <v>45157.5</v>
      </c>
      <c r="AE430" s="66" t="s">
        <v>944</v>
      </c>
      <c r="AF430" s="44">
        <v>17124</v>
      </c>
      <c r="AG430" s="254">
        <f>Prog_23[[#This Row],[SAÍDA DO CLIENTE]]-Prog_23[[#This Row],[PROGRAMAÇÃO CLIENTE]]</f>
        <v>0.42708333333575865</v>
      </c>
      <c r="AH430" s="44">
        <v>6668858</v>
      </c>
      <c r="AI430" s="66"/>
      <c r="AJ430" s="66"/>
      <c r="AK430" s="66"/>
      <c r="AL430" s="66"/>
      <c r="AM430" s="66"/>
      <c r="AN430" s="83"/>
      <c r="AO430" s="83"/>
      <c r="AP430" s="83"/>
      <c r="AQ430" s="66"/>
      <c r="AR430" s="66"/>
      <c r="AS430" s="66"/>
      <c r="AT430" s="81">
        <v>2600</v>
      </c>
      <c r="AU430" s="81"/>
      <c r="AV430" s="81"/>
      <c r="AW430" s="81"/>
      <c r="AX430" s="83">
        <f>SUM(Prog_23[[#This Row],[ADIANTAMENTO]]+Prog_23[[#This Row],[SALDO]]+Prog_23[[#This Row],[MARGEM]]+Prog_23[[#This Row],[ESTADIA 1]])</f>
        <v>2600</v>
      </c>
      <c r="AY4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3310.6757899999998</v>
      </c>
      <c r="AZ430" s="81">
        <v>2450</v>
      </c>
      <c r="BA430" s="81">
        <v>175783.86</v>
      </c>
      <c r="BB430" s="81">
        <f>Prog_23[[#This Row],[VLR NF]]*0.1%</f>
        <v>175.78385999999998</v>
      </c>
      <c r="BC430" s="81">
        <f>Prog_23[[#This Row],[VLR NF]]*0.05%</f>
        <v>87.891929999999988</v>
      </c>
      <c r="BD430" s="81">
        <v>352</v>
      </c>
      <c r="BE430" s="81"/>
      <c r="BF430" s="81">
        <f>Prog_23[[#This Row],[FRETE PESO]]*10%</f>
        <v>245</v>
      </c>
      <c r="BG430" s="81"/>
      <c r="BH430" s="81"/>
      <c r="BI430" s="81"/>
      <c r="BJ430" s="81"/>
      <c r="BK430" s="81"/>
      <c r="BL430" s="81"/>
      <c r="BM430" s="81"/>
      <c r="BN430" s="66" t="s">
        <v>2768</v>
      </c>
      <c r="BO430" s="66" t="s">
        <v>2768</v>
      </c>
      <c r="BP430" s="66" t="s">
        <v>2768</v>
      </c>
      <c r="BQ430" s="66" t="str">
        <f>PROPER(TEXT(Prog_23[[#This Row],[PROGRAMAÇÃO CLIENTE]],"mmm"))</f>
        <v>Ago</v>
      </c>
      <c r="BR430" s="66">
        <f>YEAR(Prog_23[[#This Row],[PROGRAMAÇÃO CLIENTE]])</f>
        <v>2023</v>
      </c>
    </row>
    <row r="431" spans="1:70" x14ac:dyDescent="0.25">
      <c r="A431" s="201" t="str">
        <f>Prog_23[[#This Row],[CONTEINER]]</f>
        <v>HLBU3420819</v>
      </c>
      <c r="B431" s="86" t="s">
        <v>2771</v>
      </c>
      <c r="C4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31" s="85">
        <v>45153.25</v>
      </c>
      <c r="E431" s="66" t="s">
        <v>5875</v>
      </c>
      <c r="F431" s="66" t="s">
        <v>5898</v>
      </c>
      <c r="G431" s="66" t="s">
        <v>5958</v>
      </c>
      <c r="H431" s="44" t="s">
        <v>5922</v>
      </c>
      <c r="I431" s="44" t="s">
        <v>5920</v>
      </c>
      <c r="J431" s="66" t="s">
        <v>301</v>
      </c>
      <c r="K431" s="66">
        <v>3900</v>
      </c>
      <c r="L431" s="66" t="s">
        <v>5928</v>
      </c>
      <c r="M431" s="66">
        <v>23783</v>
      </c>
      <c r="N431" s="66">
        <f>SUM(Prog_23[[#This Row],[TARA]]+Prog_23[[#This Row],[PESO]])</f>
        <v>27683</v>
      </c>
      <c r="O431" s="44">
        <v>9974</v>
      </c>
      <c r="P431" s="66" t="s">
        <v>6328</v>
      </c>
      <c r="Q431" s="66" t="s">
        <v>106</v>
      </c>
      <c r="R431" s="66" t="s">
        <v>107</v>
      </c>
      <c r="S431" s="66" t="s">
        <v>108</v>
      </c>
      <c r="T431" s="138" t="str">
        <f>IFERROR(LOOKUP($S431,MOTORISTAS!$D$3:$D$916,MOTORISTAS!E$3:$E$916),"")</f>
        <v>34927982840</v>
      </c>
      <c r="U431" s="138" t="str">
        <f>IFERROR(LOOKUP($S431,MOTORISTAS!$D$3:$D$916,MOTORISTAS!F$3:$F$916),"")</f>
        <v>03500129879</v>
      </c>
      <c r="V431" s="66" t="s">
        <v>293</v>
      </c>
      <c r="W431" s="79">
        <v>45152.986805555556</v>
      </c>
      <c r="X431" s="79">
        <v>45153.219444444447</v>
      </c>
      <c r="Y431" s="79">
        <v>45153.527777777781</v>
      </c>
      <c r="Z431" s="66" t="s">
        <v>292</v>
      </c>
      <c r="AA431" s="79">
        <v>45153.825694444444</v>
      </c>
      <c r="AB431" s="79">
        <v>45154.5</v>
      </c>
      <c r="AC431" s="79">
        <v>45154.5</v>
      </c>
      <c r="AD431" s="79">
        <v>45154.5</v>
      </c>
      <c r="AE431" s="66" t="s">
        <v>708</v>
      </c>
      <c r="AF431" s="44">
        <v>17121</v>
      </c>
      <c r="AG431" s="254">
        <f>Prog_23[[#This Row],[SAÍDA DO CLIENTE]]-Prog_23[[#This Row],[PROGRAMAÇÃO CLIENTE]]</f>
        <v>0.27777777778101154</v>
      </c>
      <c r="AH431" s="44"/>
      <c r="AI431" s="66"/>
      <c r="AJ431" s="66"/>
      <c r="AK431" s="66"/>
      <c r="AL431" s="66"/>
      <c r="AM431" s="66"/>
      <c r="AN431" s="83"/>
      <c r="AO431" s="83">
        <v>0</v>
      </c>
      <c r="AP431" s="83"/>
      <c r="AQ431" s="66"/>
      <c r="AR431" s="66"/>
      <c r="AS431" s="66"/>
      <c r="AT431" s="81">
        <v>3200</v>
      </c>
      <c r="AU431" s="81"/>
      <c r="AV431" s="81"/>
      <c r="AW431" s="81"/>
      <c r="AX431" s="83">
        <f>SUM(Prog_23[[#This Row],[ADIANTAMENTO]]+Prog_23[[#This Row],[SALDO]]+Prog_23[[#This Row],[MARGEM]]+Prog_23[[#This Row],[ESTADIA 1]])</f>
        <v>3200</v>
      </c>
      <c r="AY4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31" s="81">
        <v>4307.3999999999996</v>
      </c>
      <c r="BA431" s="81">
        <v>130488.34</v>
      </c>
      <c r="BB431" s="81">
        <v>0</v>
      </c>
      <c r="BC431" s="81">
        <v>0</v>
      </c>
      <c r="BD431" s="81">
        <v>312.60000000000002</v>
      </c>
      <c r="BE431" s="81"/>
      <c r="BF431" s="81"/>
      <c r="BG431" s="81"/>
      <c r="BH431" s="81"/>
      <c r="BI431" s="81">
        <v>630</v>
      </c>
      <c r="BJ431" s="81"/>
      <c r="BK431" s="81"/>
      <c r="BL431" s="81"/>
      <c r="BM431" s="81"/>
      <c r="BN431" s="66" t="s">
        <v>2768</v>
      </c>
      <c r="BO431" s="66" t="s">
        <v>2768</v>
      </c>
      <c r="BP431" s="66" t="s">
        <v>2768</v>
      </c>
      <c r="BQ431" s="66" t="str">
        <f>PROPER(TEXT(Prog_23[[#This Row],[PROGRAMAÇÃO CLIENTE]],"mmm"))</f>
        <v>Ago</v>
      </c>
      <c r="BR431" s="66">
        <f>YEAR(Prog_23[[#This Row],[PROGRAMAÇÃO CLIENTE]])</f>
        <v>2023</v>
      </c>
    </row>
    <row r="432" spans="1:70" x14ac:dyDescent="0.25">
      <c r="A432" s="200" t="str">
        <f>Prog_23[[#This Row],[CONTEINER]]</f>
        <v>TCKU6450351</v>
      </c>
      <c r="B432" s="86" t="s">
        <v>2771</v>
      </c>
      <c r="C4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32" s="85">
        <v>45153.25</v>
      </c>
      <c r="E432" s="66" t="s">
        <v>5875</v>
      </c>
      <c r="F432" s="66" t="s">
        <v>5898</v>
      </c>
      <c r="G432" s="66" t="s">
        <v>5958</v>
      </c>
      <c r="H432" s="44" t="s">
        <v>5922</v>
      </c>
      <c r="I432" s="44" t="s">
        <v>5921</v>
      </c>
      <c r="J432" s="66" t="s">
        <v>301</v>
      </c>
      <c r="K432" s="66">
        <v>3800</v>
      </c>
      <c r="L432" s="66" t="s">
        <v>5927</v>
      </c>
      <c r="M432" s="66">
        <v>23783</v>
      </c>
      <c r="N432" s="66">
        <f>SUM(Prog_23[[#This Row],[TARA]]+Prog_23[[#This Row],[PESO]])</f>
        <v>27583</v>
      </c>
      <c r="O432" s="44">
        <v>9975</v>
      </c>
      <c r="P432" s="66" t="s">
        <v>6328</v>
      </c>
      <c r="Q432" s="66" t="s">
        <v>150</v>
      </c>
      <c r="R432" s="66" t="s">
        <v>151</v>
      </c>
      <c r="S432" s="66" t="s">
        <v>2678</v>
      </c>
      <c r="T432" s="138" t="str">
        <f>IFERROR(LOOKUP($S432,MOTORISTAS!$D$3:$D$916,MOTORISTAS!E$3:$E$916),"")</f>
        <v>28386357860</v>
      </c>
      <c r="U432" s="138" t="str">
        <f>IFERROR(LOOKUP($S432,MOTORISTAS!$D$3:$D$916,MOTORISTAS!F$3:$F$916),"")</f>
        <v>01042201192</v>
      </c>
      <c r="V432" s="66" t="s">
        <v>293</v>
      </c>
      <c r="W432" s="79">
        <v>45153.010416666664</v>
      </c>
      <c r="X432" s="79">
        <v>45153.219444444447</v>
      </c>
      <c r="Y432" s="79">
        <v>45153.5625</v>
      </c>
      <c r="Z432" s="66" t="s">
        <v>292</v>
      </c>
      <c r="AA432" s="79">
        <v>45153.824305555558</v>
      </c>
      <c r="AB432" s="79">
        <v>45154.5</v>
      </c>
      <c r="AC432" s="79">
        <v>45154.5</v>
      </c>
      <c r="AD432" s="79">
        <v>45154.5</v>
      </c>
      <c r="AE432" s="66" t="s">
        <v>708</v>
      </c>
      <c r="AF432" s="44">
        <v>17122</v>
      </c>
      <c r="AG432" s="254">
        <f>Prog_23[[#This Row],[SAÍDA DO CLIENTE]]-Prog_23[[#This Row],[PROGRAMAÇÃO CLIENTE]]</f>
        <v>0.3125</v>
      </c>
      <c r="AH432" s="44"/>
      <c r="AI432" s="66"/>
      <c r="AJ432" s="66"/>
      <c r="AK432" s="66"/>
      <c r="AL432" s="66"/>
      <c r="AM432" s="66"/>
      <c r="AN432" s="83"/>
      <c r="AO432" s="83">
        <v>0</v>
      </c>
      <c r="AP432" s="83"/>
      <c r="AQ432" s="66"/>
      <c r="AR432" s="66"/>
      <c r="AS432" s="66"/>
      <c r="AT432" s="81">
        <v>3200</v>
      </c>
      <c r="AU432" s="81"/>
      <c r="AV432" s="81"/>
      <c r="AW432" s="81"/>
      <c r="AX432" s="83">
        <f>SUM(Prog_23[[#This Row],[ADIANTAMENTO]]+Prog_23[[#This Row],[SALDO]]+Prog_23[[#This Row],[MARGEM]]+Prog_23[[#This Row],[ESTADIA 1]])</f>
        <v>3200</v>
      </c>
      <c r="AY4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32" s="81">
        <v>4307.3999999999996</v>
      </c>
      <c r="BA432" s="81">
        <v>130488.34</v>
      </c>
      <c r="BB432" s="81">
        <v>0</v>
      </c>
      <c r="BC432" s="81">
        <v>0</v>
      </c>
      <c r="BD432" s="81">
        <v>312.60000000000002</v>
      </c>
      <c r="BE432" s="81"/>
      <c r="BF432" s="81"/>
      <c r="BG432" s="81"/>
      <c r="BH432" s="81"/>
      <c r="BI432" s="81">
        <v>630</v>
      </c>
      <c r="BJ432" s="81"/>
      <c r="BK432" s="81"/>
      <c r="BL432" s="81"/>
      <c r="BM432" s="81"/>
      <c r="BN432" s="66" t="s">
        <v>2768</v>
      </c>
      <c r="BO432" s="66" t="s">
        <v>2768</v>
      </c>
      <c r="BP432" s="66" t="s">
        <v>2768</v>
      </c>
      <c r="BQ432" s="66" t="str">
        <f>PROPER(TEXT(Prog_23[[#This Row],[PROGRAMAÇÃO CLIENTE]],"mmm"))</f>
        <v>Ago</v>
      </c>
      <c r="BR432" s="66">
        <f>YEAR(Prog_23[[#This Row],[PROGRAMAÇÃO CLIENTE]])</f>
        <v>2023</v>
      </c>
    </row>
    <row r="433" spans="1:70" x14ac:dyDescent="0.25">
      <c r="A433" s="200" t="str">
        <f>Prog_23[[#This Row],[CONTEINER]]</f>
        <v>TCKU6559635</v>
      </c>
      <c r="B433" s="86" t="s">
        <v>2771</v>
      </c>
      <c r="C4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33" s="85">
        <v>45153.666666666664</v>
      </c>
      <c r="E433" s="66" t="s">
        <v>2302</v>
      </c>
      <c r="F433" s="66" t="s">
        <v>529</v>
      </c>
      <c r="G433" s="66">
        <v>45</v>
      </c>
      <c r="H433" s="44">
        <v>64238560</v>
      </c>
      <c r="I433" s="44" t="s">
        <v>5998</v>
      </c>
      <c r="J433" s="66" t="s">
        <v>301</v>
      </c>
      <c r="K433" s="66">
        <v>3800</v>
      </c>
      <c r="L433" s="66" t="s">
        <v>5999</v>
      </c>
      <c r="M433" s="66">
        <v>10172</v>
      </c>
      <c r="N433" s="66">
        <f>SUM(Prog_23[[#This Row],[TARA]]+Prog_23[[#This Row],[PESO]])</f>
        <v>13972</v>
      </c>
      <c r="O433" s="44" t="s">
        <v>5916</v>
      </c>
      <c r="P433" s="66" t="s">
        <v>5915</v>
      </c>
      <c r="Q433" s="66" t="s">
        <v>92</v>
      </c>
      <c r="R433" s="66" t="s">
        <v>93</v>
      </c>
      <c r="S433" s="66" t="s">
        <v>94</v>
      </c>
      <c r="T433" s="138" t="str">
        <f>IFERROR(LOOKUP($S433,MOTORISTAS!$D$3:$D$916,MOTORISTAS!E$3:$E$916),"")</f>
        <v>26283419801</v>
      </c>
      <c r="U433" s="138" t="str">
        <f>IFERROR(LOOKUP($S433,MOTORISTAS!$D$3:$D$916,MOTORISTAS!F$3:$F$916),"")</f>
        <v>02002046946</v>
      </c>
      <c r="V433" s="66" t="s">
        <v>292</v>
      </c>
      <c r="W433" s="66">
        <v>45154.958333333336</v>
      </c>
      <c r="X433" s="79">
        <v>45153.618055555555</v>
      </c>
      <c r="Y433" s="79">
        <v>45153.784722222219</v>
      </c>
      <c r="Z433" s="66" t="s">
        <v>293</v>
      </c>
      <c r="AA433" s="79">
        <v>45154.427777777775</v>
      </c>
      <c r="AB433" s="79">
        <v>45154.291666666664</v>
      </c>
      <c r="AC433" s="79">
        <v>45153.75</v>
      </c>
      <c r="AD433" s="79">
        <v>45156.5</v>
      </c>
      <c r="AE433" s="66" t="s">
        <v>1629</v>
      </c>
      <c r="AF433" s="44">
        <v>17136</v>
      </c>
      <c r="AG433" s="254">
        <f>Prog_23[[#This Row],[SAÍDA DO CLIENTE]]-Prog_23[[#This Row],[PROGRAMAÇÃO CLIENTE]]</f>
        <v>0.11805555555474712</v>
      </c>
      <c r="AH433" s="44"/>
      <c r="AI433" s="66"/>
      <c r="AJ433" s="66"/>
      <c r="AK433" s="66"/>
      <c r="AL433" s="66"/>
      <c r="AM433" s="66"/>
      <c r="AN433" s="83"/>
      <c r="AO433" s="83"/>
      <c r="AP433" s="83"/>
      <c r="AQ433" s="66"/>
      <c r="AR433" s="66"/>
      <c r="AS433" s="66"/>
      <c r="AT433" s="81">
        <v>1800</v>
      </c>
      <c r="AU433" s="81"/>
      <c r="AV433" s="81">
        <v>200</v>
      </c>
      <c r="AW433" s="81"/>
      <c r="AX433" s="83">
        <f>SUM(Prog_23[[#This Row],[ADIANTAMENTO]]+Prog_23[[#This Row],[SALDO]]+Prog_23[[#This Row],[MARGEM]]+Prog_23[[#This Row],[ESTADIA 1]])</f>
        <v>2000</v>
      </c>
      <c r="AY4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3577.2624100000003</v>
      </c>
      <c r="AZ433" s="81">
        <v>2350</v>
      </c>
      <c r="BA433" s="81">
        <v>589262.41</v>
      </c>
      <c r="BB433" s="81">
        <f>Prog_23[[#This Row],[VLR NF]]*0.1%</f>
        <v>589.26241000000005</v>
      </c>
      <c r="BC433" s="81">
        <v>0</v>
      </c>
      <c r="BD433" s="81">
        <v>240</v>
      </c>
      <c r="BE433" s="81"/>
      <c r="BF433" s="81"/>
      <c r="BG433" s="81"/>
      <c r="BH433" s="81"/>
      <c r="BI433" s="81"/>
      <c r="BJ433" s="81"/>
      <c r="BK433" s="81"/>
      <c r="BL433" s="81">
        <v>398</v>
      </c>
      <c r="BM433" s="81"/>
      <c r="BN433" s="66" t="s">
        <v>2768</v>
      </c>
      <c r="BO433" s="66" t="s">
        <v>2768</v>
      </c>
      <c r="BP433" s="66" t="s">
        <v>2768</v>
      </c>
      <c r="BQ433" s="66" t="str">
        <f>PROPER(TEXT(Prog_23[[#This Row],[PROGRAMAÇÃO CLIENTE]],"mmm"))</f>
        <v>Ago</v>
      </c>
      <c r="BR433" s="66">
        <f>YEAR(Prog_23[[#This Row],[PROGRAMAÇÃO CLIENTE]])</f>
        <v>2023</v>
      </c>
    </row>
    <row r="434" spans="1:70" x14ac:dyDescent="0.25">
      <c r="A434" s="201" t="str">
        <f>Prog_23[[#This Row],[CONTEINER]]</f>
        <v>HASU1526845</v>
      </c>
      <c r="B434" s="86" t="s">
        <v>2771</v>
      </c>
      <c r="C4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34" s="85">
        <v>45154.333333333336</v>
      </c>
      <c r="E434" s="66" t="s">
        <v>5979</v>
      </c>
      <c r="F434" s="66" t="s">
        <v>3561</v>
      </c>
      <c r="G434" s="66">
        <v>18</v>
      </c>
      <c r="H434" s="44">
        <v>230273519</v>
      </c>
      <c r="I434" s="44" t="s">
        <v>5967</v>
      </c>
      <c r="J434" s="66" t="s">
        <v>288</v>
      </c>
      <c r="K434" s="66">
        <v>2220</v>
      </c>
      <c r="L434" s="66" t="s">
        <v>5968</v>
      </c>
      <c r="M434" s="66">
        <v>7831</v>
      </c>
      <c r="N434" s="66">
        <f>SUM(Prog_23[[#This Row],[TARA]]+Prog_23[[#This Row],[PESO]])</f>
        <v>10051</v>
      </c>
      <c r="O434" s="44">
        <v>5020</v>
      </c>
      <c r="P434" s="66" t="s">
        <v>5810</v>
      </c>
      <c r="Q434" s="66" t="s">
        <v>2156</v>
      </c>
      <c r="R434" s="66" t="s">
        <v>2464</v>
      </c>
      <c r="S434" s="66" t="s">
        <v>2158</v>
      </c>
      <c r="T434" s="138" t="str">
        <f>IFERROR(LOOKUP($S434,MOTORISTAS!$D$3:$D$916,MOTORISTAS!E$3:$E$916),"")</f>
        <v>10485530864</v>
      </c>
      <c r="U434" s="138" t="str">
        <f>IFERROR(LOOKUP($S434,MOTORISTAS!$D$3:$D$916,MOTORISTAS!F$3:$F$916),"")</f>
        <v>02033192841</v>
      </c>
      <c r="V434" s="66" t="s">
        <v>5950</v>
      </c>
      <c r="W434" s="79">
        <v>45152.664583333331</v>
      </c>
      <c r="X434" s="79">
        <v>45154.291666666664</v>
      </c>
      <c r="Y434" s="79">
        <v>45154.708333333336</v>
      </c>
      <c r="Z434" s="66" t="s">
        <v>306</v>
      </c>
      <c r="AA434" s="79">
        <v>45154.890277777777</v>
      </c>
      <c r="AB434" s="79">
        <v>45153.041666666664</v>
      </c>
      <c r="AC434" s="79">
        <v>45152.75</v>
      </c>
      <c r="AD434" s="79">
        <v>45155.75</v>
      </c>
      <c r="AE434" s="66" t="s">
        <v>5945</v>
      </c>
      <c r="AF434" s="44">
        <v>17162</v>
      </c>
      <c r="AG434" s="254">
        <f>Prog_23[[#This Row],[SAÍDA DO CLIENTE]]-Prog_23[[#This Row],[PROGRAMAÇÃO CLIENTE]]</f>
        <v>0.375</v>
      </c>
      <c r="AH434" s="44"/>
      <c r="AI434" s="66"/>
      <c r="AJ434" s="66"/>
      <c r="AK434" s="66"/>
      <c r="AL434" s="66"/>
      <c r="AM434" s="66"/>
      <c r="AN434" s="83"/>
      <c r="AO434" s="83"/>
      <c r="AP434" s="83"/>
      <c r="AQ434" s="66" t="s">
        <v>2150</v>
      </c>
      <c r="AR434" s="81">
        <v>350</v>
      </c>
      <c r="AS434" s="81">
        <v>70</v>
      </c>
      <c r="AT434" s="81">
        <v>1900</v>
      </c>
      <c r="AU434" s="81"/>
      <c r="AV434" s="81">
        <v>200</v>
      </c>
      <c r="AW434" s="81"/>
      <c r="AX434" s="83">
        <f>SUM(Prog_23[[#This Row],[ADIANTAMENTO]]+Prog_23[[#This Row],[SALDO]]+Prog_23[[#This Row],[MARGEM]]+Prog_23[[#This Row],[ESTADIA 1]])</f>
        <v>2100</v>
      </c>
      <c r="AY4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4185.3190999999997</v>
      </c>
      <c r="AZ434" s="81">
        <v>2370</v>
      </c>
      <c r="BA434" s="81">
        <v>316879.40000000002</v>
      </c>
      <c r="BB434" s="81">
        <f>Prog_23[[#This Row],[VLR NF]]*0.1%</f>
        <v>316.87940000000003</v>
      </c>
      <c r="BC434" s="81">
        <f>Prog_23[[#This Row],[VLR NF]]*0.05%</f>
        <v>158.43970000000002</v>
      </c>
      <c r="BD434" s="81">
        <v>240</v>
      </c>
      <c r="BE434" s="81"/>
      <c r="BF434" s="81"/>
      <c r="BG434" s="81"/>
      <c r="BH434" s="81"/>
      <c r="BI434" s="81"/>
      <c r="BJ434" s="81">
        <v>400</v>
      </c>
      <c r="BK434" s="81">
        <v>350</v>
      </c>
      <c r="BL434" s="81">
        <v>350</v>
      </c>
      <c r="BM434" s="81"/>
      <c r="BN434" s="66" t="s">
        <v>2768</v>
      </c>
      <c r="BO434" s="66" t="s">
        <v>2768</v>
      </c>
      <c r="BP434" s="66" t="s">
        <v>2768</v>
      </c>
      <c r="BQ434" s="66" t="str">
        <f>PROPER(TEXT(Prog_23[[#This Row],[PROGRAMAÇÃO CLIENTE]],"mmm"))</f>
        <v>Ago</v>
      </c>
      <c r="BR434" s="66">
        <f>YEAR(Prog_23[[#This Row],[PROGRAMAÇÃO CLIENTE]])</f>
        <v>2023</v>
      </c>
    </row>
    <row r="435" spans="1:70" x14ac:dyDescent="0.25">
      <c r="A435" s="200" t="str">
        <f>Prog_23[[#This Row],[CONTEINER]]</f>
        <v>MRSU5027314</v>
      </c>
      <c r="B435" s="86" t="s">
        <v>2771</v>
      </c>
      <c r="C4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35" s="85">
        <v>45154.333333333336</v>
      </c>
      <c r="E435" s="66" t="s">
        <v>5187</v>
      </c>
      <c r="F435" s="66" t="s">
        <v>3161</v>
      </c>
      <c r="G435" s="66" t="s">
        <v>5811</v>
      </c>
      <c r="H435" s="44">
        <v>230275674</v>
      </c>
      <c r="I435" s="44" t="s">
        <v>5948</v>
      </c>
      <c r="J435" s="66" t="s">
        <v>301</v>
      </c>
      <c r="K435" s="66">
        <v>3720</v>
      </c>
      <c r="L435" s="66" t="s">
        <v>5949</v>
      </c>
      <c r="M435" s="66">
        <v>25984</v>
      </c>
      <c r="N435" s="66">
        <f>SUM(Prog_23[[#This Row],[TARA]]+Prog_23[[#This Row],[PESO]])</f>
        <v>29704</v>
      </c>
      <c r="O435" s="44">
        <v>11121</v>
      </c>
      <c r="P435" s="66" t="s">
        <v>5810</v>
      </c>
      <c r="Q435" s="66" t="s">
        <v>119</v>
      </c>
      <c r="R435" s="66" t="s">
        <v>120</v>
      </c>
      <c r="S435" s="66" t="s">
        <v>5716</v>
      </c>
      <c r="T435" s="138" t="str">
        <f>IFERROR(LOOKUP($S435,MOTORISTAS!$D$3:$D$916,MOTORISTAS!E$3:$E$916),"")</f>
        <v>31684571839</v>
      </c>
      <c r="U435" s="138" t="str">
        <f>IFERROR(LOOKUP($S435,MOTORISTAS!$D$3:$D$916,MOTORISTAS!F$3:$F$916),"")</f>
        <v>02434315740</v>
      </c>
      <c r="V435" s="66" t="s">
        <v>292</v>
      </c>
      <c r="W435" s="79">
        <v>45150.501388888886</v>
      </c>
      <c r="X435" s="79">
        <v>45154.284722222219</v>
      </c>
      <c r="Y435" s="79">
        <v>45154.638888888891</v>
      </c>
      <c r="Z435" s="66" t="s">
        <v>306</v>
      </c>
      <c r="AA435" s="79">
        <v>45154.826388888891</v>
      </c>
      <c r="AB435" s="79">
        <v>45153.041666666664</v>
      </c>
      <c r="AC435" s="79">
        <v>45152.708333333336</v>
      </c>
      <c r="AD435" s="79">
        <v>45155.75</v>
      </c>
      <c r="AE435" s="66" t="s">
        <v>5492</v>
      </c>
      <c r="AF435" s="44" t="s">
        <v>6031</v>
      </c>
      <c r="AG435" s="254">
        <f>Prog_23[[#This Row],[SAÍDA DO CLIENTE]]-Prog_23[[#This Row],[PROGRAMAÇÃO CLIENTE]]</f>
        <v>0.30555555555474712</v>
      </c>
      <c r="AH435" s="44"/>
      <c r="AI435" s="66"/>
      <c r="AJ435" s="66"/>
      <c r="AK435" s="66"/>
      <c r="AL435" s="66"/>
      <c r="AM435" s="66"/>
      <c r="AN435" s="83"/>
      <c r="AO435" s="83"/>
      <c r="AP435" s="83"/>
      <c r="AQ435" s="66" t="s">
        <v>2150</v>
      </c>
      <c r="AR435" s="81">
        <v>180</v>
      </c>
      <c r="AS435" s="81">
        <v>120</v>
      </c>
      <c r="AT435" s="81">
        <v>2300</v>
      </c>
      <c r="AU435" s="81"/>
      <c r="AV435" s="81">
        <v>300</v>
      </c>
      <c r="AW435" s="81"/>
      <c r="AX435" s="83">
        <f>SUM(Prog_23[[#This Row],[ADIANTAMENTO]]+Prog_23[[#This Row],[SALDO]]+Prog_23[[#This Row],[MARGEM]]+Prog_23[[#This Row],[ESTADIA 1]])</f>
        <v>2600</v>
      </c>
      <c r="AY4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4450</v>
      </c>
      <c r="AZ435" s="81">
        <v>3642</v>
      </c>
      <c r="BA435" s="81">
        <v>232056.06</v>
      </c>
      <c r="BB435" s="81">
        <v>0</v>
      </c>
      <c r="BC435" s="81">
        <v>0</v>
      </c>
      <c r="BD435" s="81">
        <v>358</v>
      </c>
      <c r="BE435" s="81"/>
      <c r="BF435" s="81"/>
      <c r="BG435" s="81"/>
      <c r="BH435" s="81"/>
      <c r="BI435" s="81"/>
      <c r="BJ435" s="81">
        <v>450</v>
      </c>
      <c r="BK435" s="81"/>
      <c r="BL435" s="81"/>
      <c r="BM435" s="81"/>
      <c r="BN435" s="66" t="s">
        <v>2768</v>
      </c>
      <c r="BO435" s="66" t="s">
        <v>2768</v>
      </c>
      <c r="BP435" s="66" t="s">
        <v>2768</v>
      </c>
      <c r="BQ435" s="66" t="str">
        <f>PROPER(TEXT(Prog_23[[#This Row],[PROGRAMAÇÃO CLIENTE]],"mmm"))</f>
        <v>Ago</v>
      </c>
      <c r="BR435" s="66">
        <f>YEAR(Prog_23[[#This Row],[PROGRAMAÇÃO CLIENTE]])</f>
        <v>2023</v>
      </c>
    </row>
    <row r="436" spans="1:70" x14ac:dyDescent="0.25">
      <c r="A436" s="200" t="str">
        <f>Prog_23[[#This Row],[CONTEINER]]</f>
        <v>MRSU5525533</v>
      </c>
      <c r="B436" s="86" t="s">
        <v>2771</v>
      </c>
      <c r="C4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36" s="85">
        <v>45154.333333333336</v>
      </c>
      <c r="E436" s="66" t="s">
        <v>5187</v>
      </c>
      <c r="F436" s="66" t="s">
        <v>3161</v>
      </c>
      <c r="G436" s="66" t="s">
        <v>5811</v>
      </c>
      <c r="H436" s="44">
        <v>230275674</v>
      </c>
      <c r="I436" s="44" t="s">
        <v>5951</v>
      </c>
      <c r="J436" s="66" t="s">
        <v>301</v>
      </c>
      <c r="K436" s="66">
        <v>3720</v>
      </c>
      <c r="L436" s="66" t="s">
        <v>5952</v>
      </c>
      <c r="M436" s="66">
        <v>25984</v>
      </c>
      <c r="N436" s="66">
        <f>SUM(Prog_23[[#This Row],[TARA]]+Prog_23[[#This Row],[PESO]])</f>
        <v>29704</v>
      </c>
      <c r="O436" s="44">
        <v>11122</v>
      </c>
      <c r="P436" s="66" t="s">
        <v>5810</v>
      </c>
      <c r="Q436" s="66" t="s">
        <v>192</v>
      </c>
      <c r="R436" s="66" t="s">
        <v>193</v>
      </c>
      <c r="S436" s="66" t="s">
        <v>194</v>
      </c>
      <c r="T436" s="138" t="str">
        <f>IFERROR(LOOKUP($S436,MOTORISTAS!$D$3:$D$916,MOTORISTAS!E$3:$E$916),"")</f>
        <v>38529612892</v>
      </c>
      <c r="U436" s="138" t="str">
        <f>IFERROR(LOOKUP($S436,MOTORISTAS!$D$3:$D$916,MOTORISTAS!F$3:$F$916),"")</f>
        <v>05021398574</v>
      </c>
      <c r="V436" s="66" t="s">
        <v>292</v>
      </c>
      <c r="W436" s="79">
        <v>45150.54791666667</v>
      </c>
      <c r="X436" s="79">
        <v>45154.284722222219</v>
      </c>
      <c r="Y436" s="79">
        <v>45154.638888888891</v>
      </c>
      <c r="Z436" s="66" t="s">
        <v>306</v>
      </c>
      <c r="AA436" s="79">
        <v>45154.82708333333</v>
      </c>
      <c r="AB436" s="79">
        <v>45153.041666666664</v>
      </c>
      <c r="AC436" s="79">
        <v>45152.708333333336</v>
      </c>
      <c r="AD436" s="79">
        <v>45155.75</v>
      </c>
      <c r="AE436" s="66" t="s">
        <v>5492</v>
      </c>
      <c r="AF436" s="44" t="s">
        <v>6032</v>
      </c>
      <c r="AG436" s="254">
        <f>Prog_23[[#This Row],[SAÍDA DO CLIENTE]]-Prog_23[[#This Row],[PROGRAMAÇÃO CLIENTE]]</f>
        <v>0.30555555555474712</v>
      </c>
      <c r="AH436" s="44"/>
      <c r="AI436" s="66"/>
      <c r="AJ436" s="66"/>
      <c r="AK436" s="66"/>
      <c r="AL436" s="66"/>
      <c r="AM436" s="66"/>
      <c r="AN436" s="83"/>
      <c r="AO436" s="83"/>
      <c r="AP436" s="83"/>
      <c r="AQ436" s="66" t="s">
        <v>2150</v>
      </c>
      <c r="AR436" s="81">
        <v>180</v>
      </c>
      <c r="AS436" s="81">
        <v>120</v>
      </c>
      <c r="AT436" s="81">
        <v>2300</v>
      </c>
      <c r="AU436" s="81"/>
      <c r="AV436" s="81">
        <v>300</v>
      </c>
      <c r="AW436" s="81"/>
      <c r="AX436" s="83">
        <f>SUM(Prog_23[[#This Row],[ADIANTAMENTO]]+Prog_23[[#This Row],[SALDO]]+Prog_23[[#This Row],[MARGEM]]+Prog_23[[#This Row],[ESTADIA 1]])</f>
        <v>2600</v>
      </c>
      <c r="AY4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4450</v>
      </c>
      <c r="AZ436" s="81">
        <v>3642</v>
      </c>
      <c r="BA436" s="81">
        <v>232056.06</v>
      </c>
      <c r="BB436" s="81">
        <v>0</v>
      </c>
      <c r="BC436" s="81">
        <v>0</v>
      </c>
      <c r="BD436" s="81">
        <v>358</v>
      </c>
      <c r="BE436" s="81"/>
      <c r="BF436" s="81"/>
      <c r="BG436" s="81"/>
      <c r="BH436" s="81"/>
      <c r="BI436" s="81"/>
      <c r="BJ436" s="81">
        <v>450</v>
      </c>
      <c r="BK436" s="81"/>
      <c r="BL436" s="81"/>
      <c r="BM436" s="81"/>
      <c r="BN436" s="66" t="s">
        <v>2768</v>
      </c>
      <c r="BO436" s="66" t="s">
        <v>2768</v>
      </c>
      <c r="BP436" s="66" t="s">
        <v>2768</v>
      </c>
      <c r="BQ436" s="66" t="str">
        <f>PROPER(TEXT(Prog_23[[#This Row],[PROGRAMAÇÃO CLIENTE]],"mmm"))</f>
        <v>Ago</v>
      </c>
      <c r="BR436" s="66">
        <f>YEAR(Prog_23[[#This Row],[PROGRAMAÇÃO CLIENTE]])</f>
        <v>2023</v>
      </c>
    </row>
    <row r="437" spans="1:70" x14ac:dyDescent="0.25">
      <c r="A437" s="201" t="str">
        <f>Prog_23[[#This Row],[CONTEINER]]</f>
        <v>BSIU9983725</v>
      </c>
      <c r="B437" s="86" t="s">
        <v>2909</v>
      </c>
      <c r="C4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37" s="85">
        <v>45155.291666666664</v>
      </c>
      <c r="E437" s="66" t="s">
        <v>6023</v>
      </c>
      <c r="F437" s="66" t="s">
        <v>5306</v>
      </c>
      <c r="G437" s="66">
        <v>112023</v>
      </c>
      <c r="H437" s="44" t="s">
        <v>6021</v>
      </c>
      <c r="I437" s="44" t="s">
        <v>6033</v>
      </c>
      <c r="J437" s="66" t="s">
        <v>301</v>
      </c>
      <c r="K437" s="66">
        <v>3770</v>
      </c>
      <c r="L437" s="80" t="s">
        <v>6034</v>
      </c>
      <c r="M437" s="66">
        <v>25062</v>
      </c>
      <c r="N437" s="66">
        <f>SUM(Prog_23[[#This Row],[TARA]]+Prog_23[[#This Row],[PESO]])</f>
        <v>28832</v>
      </c>
      <c r="O437" s="44">
        <v>40181070</v>
      </c>
      <c r="P437" s="66" t="s">
        <v>6022</v>
      </c>
      <c r="Q437" s="66" t="s">
        <v>68</v>
      </c>
      <c r="R437" s="66" t="s">
        <v>36</v>
      </c>
      <c r="S437" s="66" t="s">
        <v>206</v>
      </c>
      <c r="T437" s="138" t="str">
        <f>IFERROR(LOOKUP($S437,MOTORISTAS!$D$3:$D$916,MOTORISTAS!E$3:$E$916),"")</f>
        <v>09085263425</v>
      </c>
      <c r="U437" s="138" t="str">
        <f>IFERROR(LOOKUP($S437,MOTORISTAS!$D$3:$D$916,MOTORISTAS!F$3:$F$916),"")</f>
        <v>04557705505</v>
      </c>
      <c r="V437" s="66" t="s">
        <v>900</v>
      </c>
      <c r="W437" s="79">
        <v>45154.850694444445</v>
      </c>
      <c r="X437" s="79">
        <v>45155.190972222219</v>
      </c>
      <c r="Y437" s="79">
        <v>45155.729166666664</v>
      </c>
      <c r="Z437" s="66" t="s">
        <v>6042</v>
      </c>
      <c r="AA437" s="79">
        <v>45156.159722222219</v>
      </c>
      <c r="AB437" s="79">
        <v>45159.5</v>
      </c>
      <c r="AC437" s="79">
        <v>45155.375</v>
      </c>
      <c r="AD437" s="79">
        <v>45159.5</v>
      </c>
      <c r="AE437" s="66" t="s">
        <v>5278</v>
      </c>
      <c r="AF437" s="44">
        <v>17177</v>
      </c>
      <c r="AG437" s="254">
        <f>Prog_23[[#This Row],[SAÍDA DO CLIENTE]]-Prog_23[[#This Row],[PROGRAMAÇÃO CLIENTE]]</f>
        <v>0.4375</v>
      </c>
      <c r="AH437" s="44"/>
      <c r="AI437" s="66"/>
      <c r="AJ437" s="66"/>
      <c r="AK437" s="66"/>
      <c r="AL437" s="66"/>
      <c r="AM437" s="66"/>
      <c r="AN437" s="83"/>
      <c r="AO437" s="83"/>
      <c r="AP437" s="83"/>
      <c r="AQ437" s="66"/>
      <c r="AR437" s="66"/>
      <c r="AS437" s="66"/>
      <c r="AT437" s="81"/>
      <c r="AU437" s="81"/>
      <c r="AV437" s="81"/>
      <c r="AW437" s="81"/>
      <c r="AX437" s="83">
        <f>SUM(Prog_23[[#This Row],[ADIANTAMENTO]]+Prog_23[[#This Row],[SALDO]]+Prog_23[[#This Row],[MARGEM]]+Prog_23[[#This Row],[ESTADIA 1]])</f>
        <v>0</v>
      </c>
      <c r="AY4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6698.67</v>
      </c>
      <c r="AZ437" s="81">
        <v>4950</v>
      </c>
      <c r="BA437" s="81">
        <v>202249.17</v>
      </c>
      <c r="BB437" s="81">
        <v>358.87</v>
      </c>
      <c r="BC437" s="81">
        <v>0</v>
      </c>
      <c r="BD437" s="81">
        <v>1039.8</v>
      </c>
      <c r="BE437" s="81"/>
      <c r="BF437" s="81"/>
      <c r="BG437" s="81"/>
      <c r="BH437" s="81"/>
      <c r="BI437" s="81"/>
      <c r="BJ437" s="81"/>
      <c r="BK437" s="81">
        <v>350</v>
      </c>
      <c r="BL437" s="81"/>
      <c r="BM437" s="81"/>
      <c r="BN437" s="66" t="s">
        <v>2768</v>
      </c>
      <c r="BO437" s="66"/>
      <c r="BP437" s="66"/>
      <c r="BQ437" s="66" t="str">
        <f>PROPER(TEXT(Prog_23[[#This Row],[PROGRAMAÇÃO CLIENTE]],"mmm"))</f>
        <v>Ago</v>
      </c>
      <c r="BR437" s="66">
        <f>YEAR(Prog_23[[#This Row],[PROGRAMAÇÃO CLIENTE]])</f>
        <v>2023</v>
      </c>
    </row>
    <row r="438" spans="1:70" x14ac:dyDescent="0.25">
      <c r="A438" s="200" t="str">
        <f>Prog_23[[#This Row],[CONTEINER]]</f>
        <v>BSIU8018003</v>
      </c>
      <c r="B438" s="86" t="s">
        <v>2909</v>
      </c>
      <c r="C4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38" s="85">
        <v>45155.291666666664</v>
      </c>
      <c r="E438" s="66" t="s">
        <v>6023</v>
      </c>
      <c r="F438" s="66" t="s">
        <v>5306</v>
      </c>
      <c r="G438" s="66">
        <v>112023</v>
      </c>
      <c r="H438" s="44" t="s">
        <v>6021</v>
      </c>
      <c r="I438" s="44" t="s">
        <v>6035</v>
      </c>
      <c r="J438" s="66" t="s">
        <v>301</v>
      </c>
      <c r="K438" s="66">
        <v>3770</v>
      </c>
      <c r="L438" s="80" t="s">
        <v>6036</v>
      </c>
      <c r="M438" s="66">
        <v>25062</v>
      </c>
      <c r="N438" s="66">
        <f>SUM(Prog_23[[#This Row],[TARA]]+Prog_23[[#This Row],[PESO]])</f>
        <v>28832</v>
      </c>
      <c r="O438" s="44">
        <v>40182683</v>
      </c>
      <c r="P438" s="66" t="s">
        <v>6022</v>
      </c>
      <c r="Q438" s="66" t="s">
        <v>92</v>
      </c>
      <c r="R438" s="66" t="s">
        <v>93</v>
      </c>
      <c r="S438" s="66" t="s">
        <v>94</v>
      </c>
      <c r="T438" s="138" t="str">
        <f>IFERROR(LOOKUP($S438,MOTORISTAS!$D$3:$D$916,MOTORISTAS!E$3:$E$916),"")</f>
        <v>26283419801</v>
      </c>
      <c r="U438" s="138" t="str">
        <f>IFERROR(LOOKUP($S438,MOTORISTAS!$D$3:$D$916,MOTORISTAS!F$3:$F$916),"")</f>
        <v>02002046946</v>
      </c>
      <c r="V438" s="66" t="s">
        <v>900</v>
      </c>
      <c r="W438" s="79">
        <v>45154.855555555558</v>
      </c>
      <c r="X438" s="79">
        <v>45155.190972222219</v>
      </c>
      <c r="Y438" s="79">
        <v>45155.541666666664</v>
      </c>
      <c r="Z438" s="66" t="s">
        <v>6042</v>
      </c>
      <c r="AA438" s="79">
        <v>45155.986111111109</v>
      </c>
      <c r="AB438" s="79">
        <v>45159.5</v>
      </c>
      <c r="AC438" s="79">
        <v>45155.375</v>
      </c>
      <c r="AD438" s="79">
        <v>45159.5</v>
      </c>
      <c r="AE438" s="66" t="s">
        <v>5278</v>
      </c>
      <c r="AF438" s="44">
        <v>1354</v>
      </c>
      <c r="AG438" s="254">
        <f>Prog_23[[#This Row],[SAÍDA DO CLIENTE]]-Prog_23[[#This Row],[PROGRAMAÇÃO CLIENTE]]</f>
        <v>0.25</v>
      </c>
      <c r="AH438" s="44"/>
      <c r="AI438" s="66"/>
      <c r="AJ438" s="66"/>
      <c r="AK438" s="66"/>
      <c r="AL438" s="66"/>
      <c r="AM438" s="66"/>
      <c r="AN438" s="83"/>
      <c r="AO438" s="83"/>
      <c r="AP438" s="83"/>
      <c r="AQ438" s="66"/>
      <c r="AR438" s="66"/>
      <c r="AS438" s="66"/>
      <c r="AT438" s="81"/>
      <c r="AU438" s="81"/>
      <c r="AV438" s="81"/>
      <c r="AW438" s="81"/>
      <c r="AX438" s="83">
        <f>SUM(Prog_23[[#This Row],[ADIANTAMENTO]]+Prog_23[[#This Row],[SALDO]]+Prog_23[[#This Row],[MARGEM]]+Prog_23[[#This Row],[ESTADIA 1]])</f>
        <v>0</v>
      </c>
      <c r="AY4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6698.67</v>
      </c>
      <c r="AZ438" s="81">
        <v>4950</v>
      </c>
      <c r="BA438" s="81">
        <v>202249.17</v>
      </c>
      <c r="BB438" s="81">
        <v>358.87</v>
      </c>
      <c r="BC438" s="81">
        <v>0</v>
      </c>
      <c r="BD438" s="81">
        <v>1039.8</v>
      </c>
      <c r="BE438" s="81"/>
      <c r="BF438" s="81"/>
      <c r="BG438" s="81"/>
      <c r="BH438" s="81"/>
      <c r="BI438" s="81"/>
      <c r="BJ438" s="81"/>
      <c r="BK438" s="81">
        <v>350</v>
      </c>
      <c r="BL438" s="81"/>
      <c r="BM438" s="81"/>
      <c r="BN438" s="66" t="s">
        <v>2768</v>
      </c>
      <c r="BO438" s="66"/>
      <c r="BP438" s="66"/>
      <c r="BQ438" s="66" t="str">
        <f>PROPER(TEXT(Prog_23[[#This Row],[PROGRAMAÇÃO CLIENTE]],"mmm"))</f>
        <v>Ago</v>
      </c>
      <c r="BR438" s="66">
        <f>YEAR(Prog_23[[#This Row],[PROGRAMAÇÃO CLIENTE]])</f>
        <v>2023</v>
      </c>
    </row>
    <row r="439" spans="1:70" x14ac:dyDescent="0.25">
      <c r="A439" s="200" t="str">
        <f>Prog_23[[#This Row],[CONTEINER]]</f>
        <v>TCKU4713818</v>
      </c>
      <c r="B439" s="86" t="s">
        <v>2771</v>
      </c>
      <c r="C4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39" s="85">
        <v>45155.291666666664</v>
      </c>
      <c r="E439" s="66" t="s">
        <v>5251</v>
      </c>
      <c r="F439" s="66" t="s">
        <v>1189</v>
      </c>
      <c r="G439" s="66" t="s">
        <v>6029</v>
      </c>
      <c r="H439" s="44" t="s">
        <v>6028</v>
      </c>
      <c r="I439" s="44" t="s">
        <v>5981</v>
      </c>
      <c r="J439" s="66" t="s">
        <v>301</v>
      </c>
      <c r="K439" s="66">
        <v>3630</v>
      </c>
      <c r="L439" s="66" t="s">
        <v>5983</v>
      </c>
      <c r="M439" s="66">
        <v>4506</v>
      </c>
      <c r="N439" s="66">
        <f>SUM(Prog_23[[#This Row],[TARA]]+Prog_23[[#This Row],[PESO]])</f>
        <v>8136</v>
      </c>
      <c r="O439" s="44">
        <v>30840</v>
      </c>
      <c r="P439" s="66" t="s">
        <v>5982</v>
      </c>
      <c r="Q439" s="66" t="s">
        <v>3970</v>
      </c>
      <c r="R439" s="66" t="s">
        <v>1137</v>
      </c>
      <c r="S439" s="66" t="s">
        <v>1138</v>
      </c>
      <c r="T439" s="138" t="str">
        <f>IFERROR(LOOKUP($S439,MOTORISTAS!$D$3:$D$916,MOTORISTAS!E$3:$E$916),"")</f>
        <v>33168168874</v>
      </c>
      <c r="U439" s="138" t="str">
        <f>IFERROR(LOOKUP($S439,MOTORISTAS!$D$3:$D$916,MOTORISTAS!F$3:$F$916),"")</f>
        <v>03550963391</v>
      </c>
      <c r="V439" s="66" t="s">
        <v>1569</v>
      </c>
      <c r="W439" s="79">
        <v>45155.083333333336</v>
      </c>
      <c r="X439" s="79">
        <v>45155.3125</v>
      </c>
      <c r="Y439" s="79">
        <v>45155.423611111109</v>
      </c>
      <c r="Z439" s="66" t="s">
        <v>292</v>
      </c>
      <c r="AA439" s="79">
        <v>45155.637499999997</v>
      </c>
      <c r="AB439" s="79">
        <v>45156.333333333336</v>
      </c>
      <c r="AC439" s="79">
        <v>45156.333333333336</v>
      </c>
      <c r="AD439" s="79">
        <v>45156.333333333336</v>
      </c>
      <c r="AE439" s="66" t="s">
        <v>708</v>
      </c>
      <c r="AF439" s="44">
        <v>17156</v>
      </c>
      <c r="AG439" s="254">
        <f>Prog_23[[#This Row],[SAÍDA DO CLIENTE]]-Prog_23[[#This Row],[PROGRAMAÇÃO CLIENTE]]</f>
        <v>0.13194444444525288</v>
      </c>
      <c r="AH439" s="44"/>
      <c r="AI439" s="66"/>
      <c r="AJ439" s="66"/>
      <c r="AK439" s="66"/>
      <c r="AL439" s="66"/>
      <c r="AM439" s="66"/>
      <c r="AN439" s="83"/>
      <c r="AO439" s="83"/>
      <c r="AP439" s="83"/>
      <c r="AQ439" s="66"/>
      <c r="AR439" s="66"/>
      <c r="AS439" s="66"/>
      <c r="AT439" s="81">
        <v>1800</v>
      </c>
      <c r="AU439" s="81"/>
      <c r="AV439" s="81"/>
      <c r="AW439" s="81"/>
      <c r="AX439" s="83">
        <f>SUM(Prog_23[[#This Row],[ADIANTAMENTO]]+Prog_23[[#This Row],[SALDO]]+Prog_23[[#This Row],[MARGEM]]+Prog_23[[#This Row],[ESTADIA 1]])</f>
        <v>1800</v>
      </c>
      <c r="AY4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2988</v>
      </c>
      <c r="AZ439" s="81">
        <v>2306.64</v>
      </c>
      <c r="BA439" s="81">
        <v>134218.54</v>
      </c>
      <c r="BB439" s="81">
        <v>0</v>
      </c>
      <c r="BC439" s="81">
        <v>0</v>
      </c>
      <c r="BD439" s="81">
        <v>202.8</v>
      </c>
      <c r="BE439" s="81"/>
      <c r="BF439" s="81"/>
      <c r="BG439" s="81"/>
      <c r="BH439" s="81"/>
      <c r="BI439" s="81">
        <v>358.56</v>
      </c>
      <c r="BJ439" s="81">
        <v>120</v>
      </c>
      <c r="BK439" s="81"/>
      <c r="BL439" s="81"/>
      <c r="BM439" s="81"/>
      <c r="BN439" s="66" t="s">
        <v>2768</v>
      </c>
      <c r="BO439" s="66" t="s">
        <v>2768</v>
      </c>
      <c r="BP439" s="66" t="s">
        <v>2768</v>
      </c>
      <c r="BQ439" s="66" t="str">
        <f>PROPER(TEXT(Prog_23[[#This Row],[PROGRAMAÇÃO CLIENTE]],"mmm"))</f>
        <v>Ago</v>
      </c>
      <c r="BR439" s="66">
        <f>YEAR(Prog_23[[#This Row],[PROGRAMAÇÃO CLIENTE]])</f>
        <v>2023</v>
      </c>
    </row>
    <row r="440" spans="1:70" x14ac:dyDescent="0.25">
      <c r="A440" s="200" t="str">
        <f>Prog_23[[#This Row],[CONTEINER]]</f>
        <v>GLDU7270781</v>
      </c>
      <c r="B440" s="86" t="s">
        <v>2771</v>
      </c>
      <c r="C4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40" s="85">
        <v>45156.333333333336</v>
      </c>
      <c r="E440" s="66" t="s">
        <v>297</v>
      </c>
      <c r="F440" s="66" t="s">
        <v>298</v>
      </c>
      <c r="G440" s="66" t="s">
        <v>5954</v>
      </c>
      <c r="H440" s="44" t="s">
        <v>5953</v>
      </c>
      <c r="I440" s="44" t="s">
        <v>6043</v>
      </c>
      <c r="J440" s="66" t="s">
        <v>301</v>
      </c>
      <c r="K440" s="66">
        <v>3900</v>
      </c>
      <c r="L440" s="66" t="s">
        <v>6041</v>
      </c>
      <c r="M440" s="66">
        <v>20145</v>
      </c>
      <c r="N440" s="66">
        <f>SUM(Prog_23[[#This Row],[TARA]]+Prog_23[[#This Row],[PESO]])</f>
        <v>24045</v>
      </c>
      <c r="O440" s="44">
        <v>894169</v>
      </c>
      <c r="P440" s="66" t="s">
        <v>5955</v>
      </c>
      <c r="Q440" s="66" t="s">
        <v>102</v>
      </c>
      <c r="R440" s="66" t="s">
        <v>73</v>
      </c>
      <c r="S440" s="66" t="s">
        <v>203</v>
      </c>
      <c r="T440" s="138" t="str">
        <f>IFERROR(LOOKUP($S440,MOTORISTAS!$D$3:$D$916,MOTORISTAS!E$3:$E$916),"")</f>
        <v>10395859816</v>
      </c>
      <c r="U440" s="138" t="str">
        <f>IFERROR(LOOKUP($S440,MOTORISTAS!$D$3:$D$916,MOTORISTAS!F$3:$F$916),"")</f>
        <v>01965794851</v>
      </c>
      <c r="V440" s="66" t="s">
        <v>292</v>
      </c>
      <c r="W440" s="79">
        <v>45155.915972222225</v>
      </c>
      <c r="X440" s="79">
        <v>45156.26458333333</v>
      </c>
      <c r="Y440" s="79">
        <v>45156.819444444445</v>
      </c>
      <c r="Z440" s="66" t="s">
        <v>410</v>
      </c>
      <c r="AA440" s="79">
        <v>45157.386111111111</v>
      </c>
      <c r="AB440" s="79">
        <v>45157.291666666664</v>
      </c>
      <c r="AC440" s="79">
        <v>45156.5</v>
      </c>
      <c r="AD440" s="66" t="s">
        <v>5956</v>
      </c>
      <c r="AE440" s="66" t="s">
        <v>352</v>
      </c>
      <c r="AF440" s="44">
        <v>17193</v>
      </c>
      <c r="AG440" s="254">
        <f>Prog_23[[#This Row],[SAÍDA DO CLIENTE]]-Prog_23[[#This Row],[PROGRAMAÇÃO CLIENTE]]</f>
        <v>0.48611111110949423</v>
      </c>
      <c r="AH440" s="44">
        <v>6680148</v>
      </c>
      <c r="AI440" s="66"/>
      <c r="AJ440" s="66"/>
      <c r="AK440" s="66"/>
      <c r="AL440" s="66"/>
      <c r="AM440" s="66"/>
      <c r="AN440" s="83"/>
      <c r="AO440" s="83"/>
      <c r="AP440" s="83"/>
      <c r="AQ440" s="66"/>
      <c r="AR440" s="66"/>
      <c r="AS440" s="66"/>
      <c r="AT440" s="81">
        <v>3000</v>
      </c>
      <c r="AU440" s="81"/>
      <c r="AV440" s="81"/>
      <c r="AW440" s="81"/>
      <c r="AX440" s="83">
        <f>SUM(Prog_23[[#This Row],[ADIANTAMENTO]]+Prog_23[[#This Row],[SALDO]]+Prog_23[[#This Row],[MARGEM]]+Prog_23[[#This Row],[ESTADIA 1]])</f>
        <v>3000</v>
      </c>
      <c r="AY4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4425</v>
      </c>
      <c r="AZ440" s="81">
        <v>3488.8</v>
      </c>
      <c r="BA440" s="81">
        <v>122706.05</v>
      </c>
      <c r="BB440" s="81">
        <v>0</v>
      </c>
      <c r="BC440" s="81">
        <v>0</v>
      </c>
      <c r="BD440" s="81">
        <v>511.2</v>
      </c>
      <c r="BE440" s="81"/>
      <c r="BF440" s="81"/>
      <c r="BG440" s="81"/>
      <c r="BH440" s="81"/>
      <c r="BI440" s="81"/>
      <c r="BJ440" s="81"/>
      <c r="BK440" s="81"/>
      <c r="BL440" s="81"/>
      <c r="BM440" s="81">
        <f>85*5</f>
        <v>425</v>
      </c>
      <c r="BN440" s="66" t="s">
        <v>2768</v>
      </c>
      <c r="BO440" s="66" t="s">
        <v>2768</v>
      </c>
      <c r="BP440" s="66" t="s">
        <v>2768</v>
      </c>
      <c r="BQ440" s="66" t="str">
        <f>PROPER(TEXT(Prog_23[[#This Row],[PROGRAMAÇÃO CLIENTE]],"mmm"))</f>
        <v>Ago</v>
      </c>
      <c r="BR440" s="66">
        <f>YEAR(Prog_23[[#This Row],[PROGRAMAÇÃO CLIENTE]])</f>
        <v>2023</v>
      </c>
    </row>
    <row r="441" spans="1:70" x14ac:dyDescent="0.25">
      <c r="A441" s="201" t="str">
        <f>Prog_23[[#This Row],[CONTEINER]]</f>
        <v>HLBU1357527</v>
      </c>
      <c r="B441" s="86" t="s">
        <v>2771</v>
      </c>
      <c r="C4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41" s="85">
        <v>45157.375</v>
      </c>
      <c r="E441" s="66" t="s">
        <v>297</v>
      </c>
      <c r="F441" s="66" t="s">
        <v>298</v>
      </c>
      <c r="G441" s="66" t="s">
        <v>5808</v>
      </c>
      <c r="H441" s="44">
        <v>64570991</v>
      </c>
      <c r="I441" s="44" t="s">
        <v>6077</v>
      </c>
      <c r="J441" s="66" t="s">
        <v>301</v>
      </c>
      <c r="K441" s="66">
        <v>3950</v>
      </c>
      <c r="L441" s="66" t="s">
        <v>6078</v>
      </c>
      <c r="M441" s="66">
        <v>19273</v>
      </c>
      <c r="N441" s="66">
        <f>SUM(Prog_23[[#This Row],[TARA]]+Prog_23[[#This Row],[PESO]])</f>
        <v>23223</v>
      </c>
      <c r="O441" s="44">
        <v>894307</v>
      </c>
      <c r="P441" s="66" t="s">
        <v>5980</v>
      </c>
      <c r="Q441" s="66" t="s">
        <v>58</v>
      </c>
      <c r="R441" s="66" t="s">
        <v>59</v>
      </c>
      <c r="S441" s="66" t="s">
        <v>60</v>
      </c>
      <c r="T441" s="138" t="str">
        <f>IFERROR(LOOKUP($S441,MOTORISTAS!$D$3:$D$916,MOTORISTAS!E$3:$E$916),"")</f>
        <v>19482908805</v>
      </c>
      <c r="U441" s="138" t="str">
        <f>IFERROR(LOOKUP($S441,MOTORISTAS!$D$3:$D$916,MOTORISTAS!F$3:$F$916),"")</f>
        <v>03153303618</v>
      </c>
      <c r="V441" s="66" t="s">
        <v>292</v>
      </c>
      <c r="W441" s="79">
        <v>45156.612500000003</v>
      </c>
      <c r="X441" s="79">
        <v>45156.854166666664</v>
      </c>
      <c r="Y441" s="79">
        <v>45157.458333333336</v>
      </c>
      <c r="Z441" s="66" t="s">
        <v>293</v>
      </c>
      <c r="AA441" s="79">
        <v>45160.629861111112</v>
      </c>
      <c r="AB441" s="79">
        <v>45159.166666666664</v>
      </c>
      <c r="AC441" s="79">
        <v>45159.5</v>
      </c>
      <c r="AD441" s="79">
        <v>45161.5</v>
      </c>
      <c r="AE441" s="66" t="s">
        <v>308</v>
      </c>
      <c r="AF441" s="44">
        <v>17198</v>
      </c>
      <c r="AG441" s="254">
        <f>Prog_23[[#This Row],[SAÍDA DO CLIENTE]]-Prog_23[[#This Row],[PROGRAMAÇÃO CLIENTE]]</f>
        <v>8.3333333335758653E-2</v>
      </c>
      <c r="AH441" s="44"/>
      <c r="AI441" s="66"/>
      <c r="AJ441" s="66"/>
      <c r="AK441" s="66" t="s">
        <v>393</v>
      </c>
      <c r="AL441" s="79">
        <v>45159.291666666664</v>
      </c>
      <c r="AM441" s="66"/>
      <c r="AN441" s="83">
        <v>950</v>
      </c>
      <c r="AO441" s="83"/>
      <c r="AP441" s="83"/>
      <c r="AQ441" s="66"/>
      <c r="AR441" s="66"/>
      <c r="AS441" s="66"/>
      <c r="AT441" s="81"/>
      <c r="AU441" s="81"/>
      <c r="AV441" s="81"/>
      <c r="AW441" s="81"/>
      <c r="AX441" s="83">
        <f>SUM(Prog_23[[#This Row],[ADIANTAMENTO]]+Prog_23[[#This Row],[SALDO]]+Prog_23[[#This Row],[MARGEM]]+Prog_23[[#This Row],[ESTADIA 1]])</f>
        <v>0</v>
      </c>
      <c r="AY4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441" s="81">
        <v>3488.8</v>
      </c>
      <c r="BA441" s="81">
        <v>152065.64000000001</v>
      </c>
      <c r="BB441" s="81">
        <v>0</v>
      </c>
      <c r="BC441" s="81">
        <v>0</v>
      </c>
      <c r="BD441" s="81">
        <v>511.2</v>
      </c>
      <c r="BE441" s="81"/>
      <c r="BF441" s="81"/>
      <c r="BG441" s="81"/>
      <c r="BH441" s="81"/>
      <c r="BI441" s="81"/>
      <c r="BJ441" s="81"/>
      <c r="BK441" s="81"/>
      <c r="BL441" s="81">
        <v>250</v>
      </c>
      <c r="BM441" s="81"/>
      <c r="BN441" s="66" t="s">
        <v>2768</v>
      </c>
      <c r="BO441" s="66" t="s">
        <v>2768</v>
      </c>
      <c r="BP441" s="66" t="s">
        <v>2768</v>
      </c>
      <c r="BQ441" s="66" t="str">
        <f>PROPER(TEXT(Prog_23[[#This Row],[PROGRAMAÇÃO CLIENTE]],"mmm"))</f>
        <v>Ago</v>
      </c>
      <c r="BR441" s="66">
        <f>YEAR(Prog_23[[#This Row],[PROGRAMAÇÃO CLIENTE]])</f>
        <v>2023</v>
      </c>
    </row>
    <row r="442" spans="1:70" x14ac:dyDescent="0.25">
      <c r="A442" s="200" t="str">
        <f>Prog_23[[#This Row],[CONTEINER]]</f>
        <v>HLBU2796252</v>
      </c>
      <c r="B442" s="86" t="s">
        <v>2771</v>
      </c>
      <c r="C4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42" s="85">
        <v>45157.458333333336</v>
      </c>
      <c r="E442" s="66" t="s">
        <v>297</v>
      </c>
      <c r="F442" s="66" t="s">
        <v>298</v>
      </c>
      <c r="G442" s="66" t="s">
        <v>5809</v>
      </c>
      <c r="H442" s="44">
        <v>64570991</v>
      </c>
      <c r="I442" s="44" t="s">
        <v>6075</v>
      </c>
      <c r="J442" s="66" t="s">
        <v>301</v>
      </c>
      <c r="K442" s="66">
        <v>3910</v>
      </c>
      <c r="L442" s="66" t="s">
        <v>6076</v>
      </c>
      <c r="M442" s="66">
        <v>19448</v>
      </c>
      <c r="N442" s="66">
        <f>SUM(Prog_23[[#This Row],[TARA]]+Prog_23[[#This Row],[PESO]])</f>
        <v>23358</v>
      </c>
      <c r="O442" s="44">
        <v>894821</v>
      </c>
      <c r="P442" s="66" t="s">
        <v>5980</v>
      </c>
      <c r="Q442" s="66" t="s">
        <v>1729</v>
      </c>
      <c r="R442" s="66" t="s">
        <v>4556</v>
      </c>
      <c r="S442" s="66" t="s">
        <v>1731</v>
      </c>
      <c r="T442" s="138" t="str">
        <f>IFERROR(LOOKUP($S442,MOTORISTAS!$D$3:$D$916,MOTORISTAS!E$3:$E$916),"")</f>
        <v>03965340824</v>
      </c>
      <c r="U442" s="138" t="str">
        <f>IFERROR(LOOKUP($S442,MOTORISTAS!$D$3:$D$916,MOTORISTAS!F$3:$F$916),"")</f>
        <v>01420704735</v>
      </c>
      <c r="V442" s="66" t="s">
        <v>292</v>
      </c>
      <c r="W442" s="79">
        <v>45156.782638888886</v>
      </c>
      <c r="X442" s="79">
        <v>45157.222222222219</v>
      </c>
      <c r="Y442" s="79">
        <v>45157.833333333336</v>
      </c>
      <c r="Z442" s="66" t="s">
        <v>293</v>
      </c>
      <c r="AA442" s="79">
        <v>45160.626388888886</v>
      </c>
      <c r="AB442" s="79">
        <v>45159.166666666664</v>
      </c>
      <c r="AC442" s="79">
        <v>45159.5</v>
      </c>
      <c r="AD442" s="79">
        <v>45161.5</v>
      </c>
      <c r="AE442" s="66" t="s">
        <v>308</v>
      </c>
      <c r="AF442" s="44">
        <v>17204</v>
      </c>
      <c r="AG442" s="254">
        <f>Prog_23[[#This Row],[SAÍDA DO CLIENTE]]-Prog_23[[#This Row],[PROGRAMAÇÃO CLIENTE]]</f>
        <v>0.375</v>
      </c>
      <c r="AH442" s="44"/>
      <c r="AI442" s="66"/>
      <c r="AJ442" s="66"/>
      <c r="AK442" s="66" t="s">
        <v>393</v>
      </c>
      <c r="AL442" s="79">
        <v>45159.291666666664</v>
      </c>
      <c r="AM442" s="66"/>
      <c r="AN442" s="83">
        <v>950</v>
      </c>
      <c r="AO442" s="83"/>
      <c r="AP442" s="83"/>
      <c r="AQ442" s="66"/>
      <c r="AR442" s="66"/>
      <c r="AS442" s="66"/>
      <c r="AT442" s="81"/>
      <c r="AU442" s="81"/>
      <c r="AV442" s="81"/>
      <c r="AW442" s="81"/>
      <c r="AX442" s="83">
        <f>SUM(Prog_23[[#This Row],[ADIANTAMENTO]]+Prog_23[[#This Row],[SALDO]]+Prog_23[[#This Row],[MARGEM]]+Prog_23[[#This Row],[ESTADIA 1]])</f>
        <v>0</v>
      </c>
      <c r="AY4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4250</v>
      </c>
      <c r="AZ442" s="81">
        <v>3488.8</v>
      </c>
      <c r="BA442" s="81">
        <v>135950.5</v>
      </c>
      <c r="BB442" s="81">
        <v>0</v>
      </c>
      <c r="BC442" s="81">
        <v>0</v>
      </c>
      <c r="BD442" s="81">
        <v>511.2</v>
      </c>
      <c r="BE442" s="81"/>
      <c r="BF442" s="81"/>
      <c r="BG442" s="81"/>
      <c r="BH442" s="81"/>
      <c r="BI442" s="81"/>
      <c r="BJ442" s="81"/>
      <c r="BK442" s="81"/>
      <c r="BL442" s="81">
        <v>250</v>
      </c>
      <c r="BM442" s="81"/>
      <c r="BN442" s="66" t="s">
        <v>2768</v>
      </c>
      <c r="BO442" s="66" t="s">
        <v>2768</v>
      </c>
      <c r="BP442" s="66" t="s">
        <v>2768</v>
      </c>
      <c r="BQ442" s="66" t="str">
        <f>PROPER(TEXT(Prog_23[[#This Row],[PROGRAMAÇÃO CLIENTE]],"mmm"))</f>
        <v>Ago</v>
      </c>
      <c r="BR442" s="66">
        <f>YEAR(Prog_23[[#This Row],[PROGRAMAÇÃO CLIENTE]])</f>
        <v>2023</v>
      </c>
    </row>
    <row r="443" spans="1:70" x14ac:dyDescent="0.25">
      <c r="A443" s="201" t="str">
        <f>Prog_23[[#This Row],[CONTEINER]]</f>
        <v>MRSU4630600</v>
      </c>
      <c r="B443" s="86" t="s">
        <v>2771</v>
      </c>
      <c r="C4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43" s="85">
        <v>45159.333333333336</v>
      </c>
      <c r="E443" s="66" t="s">
        <v>5187</v>
      </c>
      <c r="F443" s="66" t="s">
        <v>3161</v>
      </c>
      <c r="G443" s="66" t="s">
        <v>5818</v>
      </c>
      <c r="H443" s="44">
        <v>229865995</v>
      </c>
      <c r="I443" s="44" t="s">
        <v>6085</v>
      </c>
      <c r="J443" s="66" t="s">
        <v>301</v>
      </c>
      <c r="K443" s="66">
        <v>3720</v>
      </c>
      <c r="L443" s="66" t="s">
        <v>6084</v>
      </c>
      <c r="M443" s="66">
        <v>25635</v>
      </c>
      <c r="N443" s="66">
        <f>SUM(Prog_23[[#This Row],[TARA]]+Prog_23[[#This Row],[PESO]])</f>
        <v>29355</v>
      </c>
      <c r="O443" s="44">
        <v>11152</v>
      </c>
      <c r="P443" s="66" t="s">
        <v>5817</v>
      </c>
      <c r="Q443" s="66" t="s">
        <v>192</v>
      </c>
      <c r="R443" s="66" t="s">
        <v>193</v>
      </c>
      <c r="S443" s="66" t="s">
        <v>194</v>
      </c>
      <c r="T443" s="138" t="str">
        <f>IFERROR(LOOKUP($S443,MOTORISTAS!$D$3:$D$916,MOTORISTAS!E$3:$E$916),"")</f>
        <v>38529612892</v>
      </c>
      <c r="U443" s="138" t="str">
        <f>IFERROR(LOOKUP($S443,MOTORISTAS!$D$3:$D$916,MOTORISTAS!F$3:$F$916),"")</f>
        <v>05021398574</v>
      </c>
      <c r="V443" s="66" t="s">
        <v>292</v>
      </c>
      <c r="W443" s="79">
        <v>45157.416666666664</v>
      </c>
      <c r="X443" s="79">
        <v>45159.319444444445</v>
      </c>
      <c r="Y443" s="79">
        <v>45159.645833333336</v>
      </c>
      <c r="Z443" s="66" t="s">
        <v>306</v>
      </c>
      <c r="AA443" s="79">
        <v>45160.65625</v>
      </c>
      <c r="AB443" s="79">
        <v>45160.291666666664</v>
      </c>
      <c r="AC443" s="79">
        <v>45159.5</v>
      </c>
      <c r="AD443" s="79">
        <v>45162.75</v>
      </c>
      <c r="AE443" s="66" t="s">
        <v>5492</v>
      </c>
      <c r="AF443" s="44">
        <v>17212</v>
      </c>
      <c r="AG443" s="254">
        <f>Prog_23[[#This Row],[SAÍDA DO CLIENTE]]-Prog_23[[#This Row],[PROGRAMAÇÃO CLIENTE]]</f>
        <v>0.3125</v>
      </c>
      <c r="AH443" s="44"/>
      <c r="AI443" s="66"/>
      <c r="AJ443" s="66"/>
      <c r="AK443" s="66" t="s">
        <v>761</v>
      </c>
      <c r="AL443" s="79">
        <v>45159.791666666664</v>
      </c>
      <c r="AM443" s="66"/>
      <c r="AN443" s="83">
        <v>1100</v>
      </c>
      <c r="AO443" s="83"/>
      <c r="AP443" s="83"/>
      <c r="AQ443" s="66"/>
      <c r="AR443" s="66"/>
      <c r="AS443" s="66"/>
      <c r="AT443" s="81">
        <v>2300</v>
      </c>
      <c r="AU443" s="81"/>
      <c r="AV443" s="81">
        <v>200</v>
      </c>
      <c r="AW443" s="81"/>
      <c r="AX443" s="83">
        <f>SUM(Prog_23[[#This Row],[ADIANTAMENTO]]+Prog_23[[#This Row],[SALDO]]+Prog_23[[#This Row],[MARGEM]]+Prog_23[[#This Row],[ESTADIA 1]])</f>
        <v>2500</v>
      </c>
      <c r="AY4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43" s="81">
        <v>3642</v>
      </c>
      <c r="BA443" s="81">
        <v>226217</v>
      </c>
      <c r="BB443" s="81">
        <v>0</v>
      </c>
      <c r="BC443" s="81">
        <v>0</v>
      </c>
      <c r="BD443" s="81">
        <v>358</v>
      </c>
      <c r="BE443" s="81"/>
      <c r="BF443" s="81"/>
      <c r="BG443" s="81"/>
      <c r="BH443" s="81"/>
      <c r="BI443" s="81"/>
      <c r="BJ443" s="81"/>
      <c r="BK443" s="81"/>
      <c r="BL443" s="81"/>
      <c r="BM443" s="81"/>
      <c r="BN443" s="66" t="s">
        <v>2768</v>
      </c>
      <c r="BO443" s="66" t="s">
        <v>2768</v>
      </c>
      <c r="BP443" s="66" t="s">
        <v>2768</v>
      </c>
      <c r="BQ443" s="66" t="str">
        <f>PROPER(TEXT(Prog_23[[#This Row],[PROGRAMAÇÃO CLIENTE]],"mmm"))</f>
        <v>Ago</v>
      </c>
      <c r="BR443" s="66">
        <f>YEAR(Prog_23[[#This Row],[PROGRAMAÇÃO CLIENTE]])</f>
        <v>2023</v>
      </c>
    </row>
    <row r="444" spans="1:70" x14ac:dyDescent="0.25">
      <c r="A444" s="200" t="str">
        <f>Prog_23[[#This Row],[CONTEINER]]</f>
        <v>TGBU6790546</v>
      </c>
      <c r="B444" s="86" t="s">
        <v>2771</v>
      </c>
      <c r="C4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44" s="85">
        <v>45159.333333333336</v>
      </c>
      <c r="E444" s="66" t="s">
        <v>5187</v>
      </c>
      <c r="F444" s="66" t="s">
        <v>3161</v>
      </c>
      <c r="G444" s="66" t="s">
        <v>5818</v>
      </c>
      <c r="H444" s="44">
        <v>229865995</v>
      </c>
      <c r="I444" s="44" t="s">
        <v>6087</v>
      </c>
      <c r="J444" s="66" t="s">
        <v>301</v>
      </c>
      <c r="K444" s="66">
        <v>3700</v>
      </c>
      <c r="L444" s="66" t="s">
        <v>6086</v>
      </c>
      <c r="M444" s="66">
        <v>26000</v>
      </c>
      <c r="N444" s="66">
        <f>SUM(Prog_23[[#This Row],[TARA]]+Prog_23[[#This Row],[PESO]])</f>
        <v>29700</v>
      </c>
      <c r="O444" s="44">
        <v>11149</v>
      </c>
      <c r="P444" s="66" t="s">
        <v>5817</v>
      </c>
      <c r="Q444" s="66" t="s">
        <v>111</v>
      </c>
      <c r="R444" s="66" t="s">
        <v>891</v>
      </c>
      <c r="S444" s="66" t="s">
        <v>113</v>
      </c>
      <c r="T444" s="138" t="str">
        <f>IFERROR(LOOKUP($S444,MOTORISTAS!$D$3:$D$916,MOTORISTAS!E$3:$E$916),"")</f>
        <v>88265951434</v>
      </c>
      <c r="U444" s="138" t="str">
        <f>IFERROR(LOOKUP($S444,MOTORISTAS!$D$3:$D$916,MOTORISTAS!F$3:$F$916),"")</f>
        <v>00920373596</v>
      </c>
      <c r="V444" s="66" t="s">
        <v>292</v>
      </c>
      <c r="W444" s="79">
        <v>45157.37777777778</v>
      </c>
      <c r="X444" s="79">
        <v>45159.319444444445</v>
      </c>
      <c r="Y444" s="79">
        <v>45159.5625</v>
      </c>
      <c r="Z444" s="66" t="s">
        <v>306</v>
      </c>
      <c r="AA444" s="79">
        <v>45160.675694444442</v>
      </c>
      <c r="AB444" s="79">
        <v>45160.291666666664</v>
      </c>
      <c r="AC444" s="79">
        <v>45159.5</v>
      </c>
      <c r="AD444" s="79">
        <v>45162.75</v>
      </c>
      <c r="AE444" s="66" t="s">
        <v>5492</v>
      </c>
      <c r="AF444" s="44">
        <v>17213</v>
      </c>
      <c r="AG444" s="254">
        <f>Prog_23[[#This Row],[SAÍDA DO CLIENTE]]-Prog_23[[#This Row],[PROGRAMAÇÃO CLIENTE]]</f>
        <v>0.22916666666424135</v>
      </c>
      <c r="AH444" s="44"/>
      <c r="AI444" s="66"/>
      <c r="AJ444" s="66"/>
      <c r="AK444" s="66" t="s">
        <v>761</v>
      </c>
      <c r="AL444" s="79">
        <v>45159.791666666664</v>
      </c>
      <c r="AM444" s="66"/>
      <c r="AN444" s="83">
        <v>1100</v>
      </c>
      <c r="AO444" s="83"/>
      <c r="AP444" s="83"/>
      <c r="AQ444" s="66"/>
      <c r="AR444" s="66"/>
      <c r="AS444" s="66"/>
      <c r="AT444" s="81">
        <v>2300</v>
      </c>
      <c r="AU444" s="81"/>
      <c r="AV444" s="81">
        <v>200</v>
      </c>
      <c r="AW444" s="81"/>
      <c r="AX444" s="83">
        <f>SUM(Prog_23[[#This Row],[ADIANTAMENTO]]+Prog_23[[#This Row],[SALDO]]+Prog_23[[#This Row],[MARGEM]]+Prog_23[[#This Row],[ESTADIA 1]])</f>
        <v>2500</v>
      </c>
      <c r="AY4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44" s="81">
        <v>3642</v>
      </c>
      <c r="BA444" s="81">
        <v>230741.34</v>
      </c>
      <c r="BB444" s="81">
        <v>0</v>
      </c>
      <c r="BC444" s="81">
        <v>0</v>
      </c>
      <c r="BD444" s="81">
        <v>358</v>
      </c>
      <c r="BE444" s="81"/>
      <c r="BF444" s="81"/>
      <c r="BG444" s="81"/>
      <c r="BH444" s="81"/>
      <c r="BI444" s="81"/>
      <c r="BJ444" s="81"/>
      <c r="BK444" s="81"/>
      <c r="BL444" s="81"/>
      <c r="BM444" s="81"/>
      <c r="BN444" s="66" t="s">
        <v>2768</v>
      </c>
      <c r="BO444" s="66" t="s">
        <v>2768</v>
      </c>
      <c r="BP444" s="66" t="s">
        <v>2768</v>
      </c>
      <c r="BQ444" s="66" t="str">
        <f>PROPER(TEXT(Prog_23[[#This Row],[PROGRAMAÇÃO CLIENTE]],"mmm"))</f>
        <v>Ago</v>
      </c>
      <c r="BR444" s="66">
        <f>YEAR(Prog_23[[#This Row],[PROGRAMAÇÃO CLIENTE]])</f>
        <v>2023</v>
      </c>
    </row>
    <row r="445" spans="1:70" x14ac:dyDescent="0.25">
      <c r="A445" s="200" t="str">
        <f>Prog_23[[#This Row],[CONTEINER]]</f>
        <v>FANU1749140</v>
      </c>
      <c r="B445" s="86" t="s">
        <v>2771</v>
      </c>
      <c r="C4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45" s="85">
        <v>45159.291666666664</v>
      </c>
      <c r="E445" s="66" t="s">
        <v>5642</v>
      </c>
      <c r="F445" s="66" t="s">
        <v>5640</v>
      </c>
      <c r="G445" s="66" t="s">
        <v>6024</v>
      </c>
      <c r="H445" s="44">
        <v>65571865</v>
      </c>
      <c r="I445" s="44" t="s">
        <v>6080</v>
      </c>
      <c r="J445" s="66" t="s">
        <v>301</v>
      </c>
      <c r="K445" s="66">
        <v>3680</v>
      </c>
      <c r="L445" s="66" t="s">
        <v>6081</v>
      </c>
      <c r="M445" s="66">
        <v>20562</v>
      </c>
      <c r="N445" s="66">
        <f>SUM(Prog_23[[#This Row],[TARA]]+Prog_23[[#This Row],[PESO]])</f>
        <v>24242</v>
      </c>
      <c r="O445" s="44">
        <v>31920</v>
      </c>
      <c r="P445" s="66" t="s">
        <v>5899</v>
      </c>
      <c r="Q445" s="66" t="s">
        <v>106</v>
      </c>
      <c r="R445" s="66" t="s">
        <v>107</v>
      </c>
      <c r="S445" s="66" t="s">
        <v>108</v>
      </c>
      <c r="T445" s="138" t="str">
        <f>IFERROR(LOOKUP($S445,MOTORISTAS!$D$3:$D$916,MOTORISTAS!E$3:$E$916),"")</f>
        <v>34927982840</v>
      </c>
      <c r="U445" s="138" t="str">
        <f>IFERROR(LOOKUP($S445,MOTORISTAS!$D$3:$D$916,MOTORISTAS!F$3:$F$916),"")</f>
        <v>03500129879</v>
      </c>
      <c r="V445" s="66" t="s">
        <v>292</v>
      </c>
      <c r="W445" s="79">
        <v>45157.40625</v>
      </c>
      <c r="X445" s="79">
        <v>45159.0625</v>
      </c>
      <c r="Y445" s="79">
        <v>45159.402083333334</v>
      </c>
      <c r="Z445" s="66" t="s">
        <v>293</v>
      </c>
      <c r="AA445" s="79">
        <v>45162.513888888891</v>
      </c>
      <c r="AB445" s="79">
        <v>45160.833333333336</v>
      </c>
      <c r="AC445" s="79">
        <v>45160.75</v>
      </c>
      <c r="AD445" s="79">
        <v>45163.5</v>
      </c>
      <c r="AE445" s="66" t="s">
        <v>657</v>
      </c>
      <c r="AF445" s="44" t="s">
        <v>6154</v>
      </c>
      <c r="AG445" s="254">
        <f>Prog_23[[#This Row],[SAÍDA DO CLIENTE]]-Prog_23[[#This Row],[PROGRAMAÇÃO CLIENTE]]</f>
        <v>0.11041666667006211</v>
      </c>
      <c r="AH445" s="44"/>
      <c r="AI445" s="66"/>
      <c r="AJ445" s="66"/>
      <c r="AK445" s="66" t="s">
        <v>393</v>
      </c>
      <c r="AL445" s="66"/>
      <c r="AM445" s="66"/>
      <c r="AN445" s="83">
        <v>980</v>
      </c>
      <c r="AO445" s="83"/>
      <c r="AP445" s="83"/>
      <c r="AQ445" s="66"/>
      <c r="AR445" s="66"/>
      <c r="AS445" s="66"/>
      <c r="AT445" s="81">
        <v>7200</v>
      </c>
      <c r="AU445" s="81"/>
      <c r="AV445" s="81"/>
      <c r="AW445" s="81"/>
      <c r="AX445" s="83">
        <f>SUM(Prog_23[[#This Row],[ADIANTAMENTO]]+Prog_23[[#This Row],[SALDO]]+Prog_23[[#This Row],[MARGEM]]+Prog_23[[#This Row],[ESTADIA 1]])</f>
        <v>7200</v>
      </c>
      <c r="AY4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9998</v>
      </c>
      <c r="AZ445" s="81">
        <v>7950</v>
      </c>
      <c r="BA445" s="81"/>
      <c r="BB445" s="81">
        <f>Prog_23[[#This Row],[VLR NF]]*0.1%</f>
        <v>0</v>
      </c>
      <c r="BC445" s="81">
        <f>Prog_23[[#This Row],[VLR NF]]*0.05%</f>
        <v>0</v>
      </c>
      <c r="BD445" s="81">
        <v>1698</v>
      </c>
      <c r="BE445" s="81"/>
      <c r="BF445" s="81"/>
      <c r="BG445" s="81"/>
      <c r="BH445" s="81"/>
      <c r="BI445" s="81"/>
      <c r="BJ445" s="81"/>
      <c r="BK445" s="81"/>
      <c r="BL445" s="81">
        <v>350</v>
      </c>
      <c r="BM445" s="81"/>
      <c r="BN445" s="66" t="s">
        <v>2768</v>
      </c>
      <c r="BO445" s="66" t="s">
        <v>2768</v>
      </c>
      <c r="BP445" s="66" t="s">
        <v>2768</v>
      </c>
      <c r="BQ445" s="66" t="str">
        <f>PROPER(TEXT(Prog_23[[#This Row],[PROGRAMAÇÃO CLIENTE]],"mmm"))</f>
        <v>Ago</v>
      </c>
      <c r="BR445" s="66">
        <f>YEAR(Prog_23[[#This Row],[PROGRAMAÇÃO CLIENTE]])</f>
        <v>2023</v>
      </c>
    </row>
    <row r="446" spans="1:70" x14ac:dyDescent="0.25">
      <c r="A446" s="200" t="str">
        <f>Prog_23[[#This Row],[CONTEINER]]</f>
        <v>GESU6433949</v>
      </c>
      <c r="B446" s="86" t="s">
        <v>2909</v>
      </c>
      <c r="C4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46" s="85">
        <v>45159.25</v>
      </c>
      <c r="E446" s="66" t="s">
        <v>5875</v>
      </c>
      <c r="F446" s="66" t="s">
        <v>5898</v>
      </c>
      <c r="G446" s="66" t="s">
        <v>6060</v>
      </c>
      <c r="H446" s="44" t="s">
        <v>6011</v>
      </c>
      <c r="I446" s="44" t="s">
        <v>6012</v>
      </c>
      <c r="J446" s="66" t="s">
        <v>301</v>
      </c>
      <c r="K446" s="66">
        <v>3830</v>
      </c>
      <c r="L446" s="80" t="s">
        <v>6061</v>
      </c>
      <c r="M446" s="66">
        <v>22588</v>
      </c>
      <c r="N446" s="66">
        <f>SUM(Prog_23[[#This Row],[TARA]]+Prog_23[[#This Row],[PESO]])</f>
        <v>26418</v>
      </c>
      <c r="O446" s="44">
        <v>10033</v>
      </c>
      <c r="P446" s="66" t="s">
        <v>6016</v>
      </c>
      <c r="Q446" s="66" t="s">
        <v>68</v>
      </c>
      <c r="R446" s="66" t="s">
        <v>36</v>
      </c>
      <c r="S446" s="66" t="s">
        <v>206</v>
      </c>
      <c r="T446" s="138" t="str">
        <f>IFERROR(LOOKUP($S446,MOTORISTAS!$D$3:$D$916,MOTORISTAS!E$3:$E$916),"")</f>
        <v>09085263425</v>
      </c>
      <c r="U446" s="138" t="str">
        <f>IFERROR(LOOKUP($S446,MOTORISTAS!$D$3:$D$916,MOTORISTAS!F$3:$F$916),"")</f>
        <v>04557705505</v>
      </c>
      <c r="V446" s="66" t="s">
        <v>293</v>
      </c>
      <c r="W446" s="79">
        <v>45156.927777777775</v>
      </c>
      <c r="X446" s="79">
        <v>45159.034722222219</v>
      </c>
      <c r="Y446" s="79">
        <v>45159.3125</v>
      </c>
      <c r="Z446" s="66" t="s">
        <v>537</v>
      </c>
      <c r="AA446" s="79">
        <v>45159.820833333331</v>
      </c>
      <c r="AB446" s="79">
        <v>45160.333333333336</v>
      </c>
      <c r="AC446" s="79">
        <v>45164.999305555553</v>
      </c>
      <c r="AD446" s="79">
        <v>45169.999305555553</v>
      </c>
      <c r="AE446" s="66" t="s">
        <v>708</v>
      </c>
      <c r="AF446" s="44">
        <v>17186</v>
      </c>
      <c r="AG446" s="254">
        <f>Prog_23[[#This Row],[SAÍDA DO CLIENTE]]-Prog_23[[#This Row],[PROGRAMAÇÃO CLIENTE]]</f>
        <v>6.25E-2</v>
      </c>
      <c r="AH446" s="44"/>
      <c r="AI446" s="66"/>
      <c r="AJ446" s="66"/>
      <c r="AK446" s="66"/>
      <c r="AL446" s="66"/>
      <c r="AM446" s="66"/>
      <c r="AN446" s="83"/>
      <c r="AO446" s="83">
        <v>0</v>
      </c>
      <c r="AP446" s="83"/>
      <c r="AQ446" s="66"/>
      <c r="AR446" s="66"/>
      <c r="AS446" s="66"/>
      <c r="AT446" s="81">
        <v>3200</v>
      </c>
      <c r="AU446" s="81"/>
      <c r="AV446" s="81">
        <v>0</v>
      </c>
      <c r="AW446" s="81"/>
      <c r="AX446" s="83">
        <f>SUM(Prog_23[[#This Row],[ADIANTAMENTO]]+Prog_23[[#This Row],[SALDO]]+Prog_23[[#This Row],[MARGEM]]+Prog_23[[#This Row],[ESTADIA 1]])</f>
        <v>3200</v>
      </c>
      <c r="AY4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46" s="81">
        <v>4307.3999999999996</v>
      </c>
      <c r="BA446" s="81">
        <v>123471.32</v>
      </c>
      <c r="BB446" s="81">
        <v>0</v>
      </c>
      <c r="BC446" s="81">
        <v>0</v>
      </c>
      <c r="BD446" s="81">
        <v>312.60000000000002</v>
      </c>
      <c r="BE446" s="81"/>
      <c r="BF446" s="81"/>
      <c r="BG446" s="81"/>
      <c r="BH446" s="81"/>
      <c r="BI446" s="81">
        <v>630</v>
      </c>
      <c r="BJ446" s="81"/>
      <c r="BK446" s="81"/>
      <c r="BL446" s="81"/>
      <c r="BM446" s="81"/>
      <c r="BN446" s="66" t="s">
        <v>2768</v>
      </c>
      <c r="BO446" s="66" t="s">
        <v>2768</v>
      </c>
      <c r="BP446" s="66"/>
      <c r="BQ446" s="66" t="str">
        <f>PROPER(TEXT(Prog_23[[#This Row],[PROGRAMAÇÃO CLIENTE]],"mmm"))</f>
        <v>Ago</v>
      </c>
      <c r="BR446" s="66">
        <f>YEAR(Prog_23[[#This Row],[PROGRAMAÇÃO CLIENTE]])</f>
        <v>2023</v>
      </c>
    </row>
    <row r="447" spans="1:70" x14ac:dyDescent="0.25">
      <c r="A447" s="201" t="str">
        <f>Prog_23[[#This Row],[CONTEINER]]</f>
        <v>TCLU1805008</v>
      </c>
      <c r="B447" s="86" t="s">
        <v>2909</v>
      </c>
      <c r="C4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47" s="85">
        <v>45159.25</v>
      </c>
      <c r="E447" s="66" t="s">
        <v>5875</v>
      </c>
      <c r="F447" s="66" t="s">
        <v>5898</v>
      </c>
      <c r="G447" s="66" t="s">
        <v>6060</v>
      </c>
      <c r="H447" s="44" t="s">
        <v>6011</v>
      </c>
      <c r="I447" s="44" t="s">
        <v>6014</v>
      </c>
      <c r="J447" s="66" t="s">
        <v>301</v>
      </c>
      <c r="K447" s="66">
        <v>3840</v>
      </c>
      <c r="L447" s="80" t="s">
        <v>6062</v>
      </c>
      <c r="M447" s="66">
        <v>22588</v>
      </c>
      <c r="N447" s="66">
        <f>SUM(Prog_23[[#This Row],[TARA]]+Prog_23[[#This Row],[PESO]])</f>
        <v>26428</v>
      </c>
      <c r="O447" s="44">
        <v>10034</v>
      </c>
      <c r="P447" s="66" t="s">
        <v>6016</v>
      </c>
      <c r="Q447" s="66" t="s">
        <v>92</v>
      </c>
      <c r="R447" s="66" t="s">
        <v>93</v>
      </c>
      <c r="S447" s="66" t="s">
        <v>94</v>
      </c>
      <c r="T447" s="138" t="str">
        <f>IFERROR(LOOKUP($S447,MOTORISTAS!$D$3:$D$916,MOTORISTAS!E$3:$E$916),"")</f>
        <v>26283419801</v>
      </c>
      <c r="U447" s="138" t="str">
        <f>IFERROR(LOOKUP($S447,MOTORISTAS!$D$3:$D$916,MOTORISTAS!F$3:$F$916),"")</f>
        <v>02002046946</v>
      </c>
      <c r="V447" s="66" t="s">
        <v>293</v>
      </c>
      <c r="W447" s="79">
        <v>45157.572222222225</v>
      </c>
      <c r="X447" s="79">
        <v>45159.21875</v>
      </c>
      <c r="Y447" s="79">
        <v>45159.402777777781</v>
      </c>
      <c r="Z447" s="66" t="s">
        <v>537</v>
      </c>
      <c r="AA447" s="79">
        <v>45159.634722222225</v>
      </c>
      <c r="AB447" s="79">
        <v>45160.333333333336</v>
      </c>
      <c r="AC447" s="79">
        <v>45164.999305555553</v>
      </c>
      <c r="AD447" s="79">
        <v>45169.999305555553</v>
      </c>
      <c r="AE447" s="66" t="s">
        <v>708</v>
      </c>
      <c r="AF447" s="44">
        <v>17187</v>
      </c>
      <c r="AG447" s="254">
        <f>Prog_23[[#This Row],[SAÍDA DO CLIENTE]]-Prog_23[[#This Row],[PROGRAMAÇÃO CLIENTE]]</f>
        <v>0.15277777778101154</v>
      </c>
      <c r="AH447" s="44"/>
      <c r="AI447" s="66"/>
      <c r="AJ447" s="66"/>
      <c r="AK447" s="66"/>
      <c r="AL447" s="66"/>
      <c r="AM447" s="66"/>
      <c r="AN447" s="83"/>
      <c r="AO447" s="83">
        <v>0</v>
      </c>
      <c r="AP447" s="83"/>
      <c r="AQ447" s="66"/>
      <c r="AR447" s="66"/>
      <c r="AS447" s="66"/>
      <c r="AT447" s="81">
        <v>3200</v>
      </c>
      <c r="AU447" s="81"/>
      <c r="AV447" s="81"/>
      <c r="AW447" s="81"/>
      <c r="AX447" s="83">
        <f>SUM(Prog_23[[#This Row],[ADIANTAMENTO]]+Prog_23[[#This Row],[SALDO]]+Prog_23[[#This Row],[MARGEM]]+Prog_23[[#This Row],[ESTADIA 1]])</f>
        <v>3200</v>
      </c>
      <c r="AY4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47" s="81">
        <v>4307.3999999999996</v>
      </c>
      <c r="BA447" s="81">
        <v>123471.32</v>
      </c>
      <c r="BB447" s="81">
        <v>0</v>
      </c>
      <c r="BC447" s="81">
        <v>0</v>
      </c>
      <c r="BD447" s="81">
        <v>312.60000000000002</v>
      </c>
      <c r="BE447" s="81"/>
      <c r="BF447" s="81"/>
      <c r="BG447" s="81"/>
      <c r="BH447" s="81"/>
      <c r="BI447" s="81">
        <v>630</v>
      </c>
      <c r="BJ447" s="81"/>
      <c r="BK447" s="81"/>
      <c r="BL447" s="81"/>
      <c r="BM447" s="81"/>
      <c r="BN447" s="66" t="s">
        <v>2768</v>
      </c>
      <c r="BO447" s="66" t="s">
        <v>2768</v>
      </c>
      <c r="BP447" s="66"/>
      <c r="BQ447" s="66" t="str">
        <f>PROPER(TEXT(Prog_23[[#This Row],[PROGRAMAÇÃO CLIENTE]],"mmm"))</f>
        <v>Ago</v>
      </c>
      <c r="BR447" s="66">
        <f>YEAR(Prog_23[[#This Row],[PROGRAMAÇÃO CLIENTE]])</f>
        <v>2023</v>
      </c>
    </row>
    <row r="448" spans="1:70" x14ac:dyDescent="0.25">
      <c r="A448" s="200" t="str">
        <f>Prog_23[[#This Row],[CONTEINER]]</f>
        <v>TCLU8825032</v>
      </c>
      <c r="B448" s="86" t="s">
        <v>2909</v>
      </c>
      <c r="C4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48" s="85">
        <v>45159.25</v>
      </c>
      <c r="E448" s="66" t="s">
        <v>5875</v>
      </c>
      <c r="F448" s="66" t="s">
        <v>5898</v>
      </c>
      <c r="G448" s="66" t="s">
        <v>6060</v>
      </c>
      <c r="H448" s="44" t="s">
        <v>6011</v>
      </c>
      <c r="I448" s="44" t="s">
        <v>6013</v>
      </c>
      <c r="J448" s="66" t="s">
        <v>301</v>
      </c>
      <c r="K448" s="66">
        <v>3840</v>
      </c>
      <c r="L448" s="80" t="s">
        <v>6063</v>
      </c>
      <c r="M448" s="66">
        <v>22588</v>
      </c>
      <c r="N448" s="66">
        <f>SUM(Prog_23[[#This Row],[TARA]]+Prog_23[[#This Row],[PESO]])</f>
        <v>26428</v>
      </c>
      <c r="O448" s="44">
        <v>10035</v>
      </c>
      <c r="P448" s="66" t="s">
        <v>6016</v>
      </c>
      <c r="Q448" s="66" t="s">
        <v>72</v>
      </c>
      <c r="R448" s="66" t="s">
        <v>5655</v>
      </c>
      <c r="S448" s="66" t="s">
        <v>69</v>
      </c>
      <c r="T448" s="138" t="str">
        <f>IFERROR(LOOKUP($S448,MOTORISTAS!$D$3:$D$916,MOTORISTAS!E$3:$E$916),"")</f>
        <v>07968457866</v>
      </c>
      <c r="U448" s="138" t="str">
        <f>IFERROR(LOOKUP($S448,MOTORISTAS!$D$3:$D$916,MOTORISTAS!F$3:$F$916),"")</f>
        <v>03264365790</v>
      </c>
      <c r="V448" s="66" t="s">
        <v>293</v>
      </c>
      <c r="W448" s="79">
        <v>45157.554861111108</v>
      </c>
      <c r="X448" s="79">
        <v>45159.21875</v>
      </c>
      <c r="Y448" s="79">
        <v>45159.395833333336</v>
      </c>
      <c r="Z448" s="66" t="s">
        <v>537</v>
      </c>
      <c r="AA448" s="79">
        <v>45159.874305555553</v>
      </c>
      <c r="AB448" s="79">
        <v>45160.333333333336</v>
      </c>
      <c r="AC448" s="79">
        <v>45164.999305555553</v>
      </c>
      <c r="AD448" s="79">
        <v>45169.999305555553</v>
      </c>
      <c r="AE448" s="66" t="s">
        <v>708</v>
      </c>
      <c r="AF448" s="44">
        <v>17188</v>
      </c>
      <c r="AG448" s="254">
        <f>Prog_23[[#This Row],[SAÍDA DO CLIENTE]]-Prog_23[[#This Row],[PROGRAMAÇÃO CLIENTE]]</f>
        <v>0.14583333333575865</v>
      </c>
      <c r="AH448" s="44"/>
      <c r="AI448" s="66"/>
      <c r="AJ448" s="66"/>
      <c r="AK448" s="66"/>
      <c r="AL448" s="66"/>
      <c r="AM448" s="66"/>
      <c r="AN448" s="83"/>
      <c r="AO448" s="83">
        <v>0</v>
      </c>
      <c r="AP448" s="83"/>
      <c r="AQ448" s="66"/>
      <c r="AR448" s="66"/>
      <c r="AS448" s="66"/>
      <c r="AT448" s="81">
        <v>3200</v>
      </c>
      <c r="AU448" s="81"/>
      <c r="AV448" s="81"/>
      <c r="AW448" s="81"/>
      <c r="AX448" s="83">
        <f>SUM(Prog_23[[#This Row],[ADIANTAMENTO]]+Prog_23[[#This Row],[SALDO]]+Prog_23[[#This Row],[MARGEM]]+Prog_23[[#This Row],[ESTADIA 1]])</f>
        <v>3200</v>
      </c>
      <c r="AY4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48" s="81">
        <v>4307.3999999999996</v>
      </c>
      <c r="BA448" s="81">
        <v>123471.32</v>
      </c>
      <c r="BB448" s="81">
        <v>0</v>
      </c>
      <c r="BC448" s="81">
        <v>0</v>
      </c>
      <c r="BD448" s="81">
        <v>312.60000000000002</v>
      </c>
      <c r="BE448" s="81"/>
      <c r="BF448" s="81"/>
      <c r="BG448" s="81"/>
      <c r="BH448" s="81"/>
      <c r="BI448" s="81">
        <v>630</v>
      </c>
      <c r="BJ448" s="81"/>
      <c r="BK448" s="81"/>
      <c r="BL448" s="81"/>
      <c r="BM448" s="81"/>
      <c r="BN448" s="66" t="s">
        <v>2768</v>
      </c>
      <c r="BO448" s="66" t="s">
        <v>2768</v>
      </c>
      <c r="BP448" s="66"/>
      <c r="BQ448" s="66" t="str">
        <f>PROPER(TEXT(Prog_23[[#This Row],[PROGRAMAÇÃO CLIENTE]],"mmm"))</f>
        <v>Ago</v>
      </c>
      <c r="BR448" s="66">
        <f>YEAR(Prog_23[[#This Row],[PROGRAMAÇÃO CLIENTE]])</f>
        <v>2023</v>
      </c>
    </row>
    <row r="449" spans="1:70" x14ac:dyDescent="0.25">
      <c r="A449" s="201" t="str">
        <f>Prog_23[[#This Row],[CONTEINER]]</f>
        <v>TLLU4388518</v>
      </c>
      <c r="B449" s="86" t="s">
        <v>2909</v>
      </c>
      <c r="C4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49" s="85">
        <v>45159.25</v>
      </c>
      <c r="E449" s="66" t="s">
        <v>5875</v>
      </c>
      <c r="F449" s="66" t="s">
        <v>5898</v>
      </c>
      <c r="G449" s="66" t="s">
        <v>6060</v>
      </c>
      <c r="H449" s="44" t="s">
        <v>6011</v>
      </c>
      <c r="I449" s="44" t="s">
        <v>6015</v>
      </c>
      <c r="J449" s="66" t="s">
        <v>301</v>
      </c>
      <c r="K449" s="66">
        <v>3700</v>
      </c>
      <c r="L449" s="80" t="s">
        <v>6064</v>
      </c>
      <c r="M449" s="66">
        <v>22588</v>
      </c>
      <c r="N449" s="66">
        <f>SUM(Prog_23[[#This Row],[TARA]]+Prog_23[[#This Row],[PESO]])</f>
        <v>26288</v>
      </c>
      <c r="O449" s="44">
        <v>10036</v>
      </c>
      <c r="P449" s="66" t="s">
        <v>6016</v>
      </c>
      <c r="Q449" s="66" t="s">
        <v>102</v>
      </c>
      <c r="R449" s="66" t="s">
        <v>73</v>
      </c>
      <c r="S449" s="66" t="s">
        <v>203</v>
      </c>
      <c r="T449" s="138" t="str">
        <f>IFERROR(LOOKUP($S449,MOTORISTAS!$D$3:$D$916,MOTORISTAS!E$3:$E$916),"")</f>
        <v>10395859816</v>
      </c>
      <c r="U449" s="138" t="str">
        <f>IFERROR(LOOKUP($S449,MOTORISTAS!$D$3:$D$916,MOTORISTAS!F$3:$F$916),"")</f>
        <v>01965794851</v>
      </c>
      <c r="V449" s="66" t="s">
        <v>293</v>
      </c>
      <c r="W449" s="79">
        <v>45157.554166666669</v>
      </c>
      <c r="X449" s="79">
        <v>45158.9375</v>
      </c>
      <c r="Y449" s="79">
        <v>45159.288194444445</v>
      </c>
      <c r="Z449" s="66" t="s">
        <v>537</v>
      </c>
      <c r="AA449" s="79">
        <v>45159.584027777775</v>
      </c>
      <c r="AB449" s="79">
        <v>45160.333333333336</v>
      </c>
      <c r="AC449" s="79">
        <v>45164.999305555553</v>
      </c>
      <c r="AD449" s="79">
        <v>45169.999305555553</v>
      </c>
      <c r="AE449" s="66" t="s">
        <v>708</v>
      </c>
      <c r="AF449" s="44">
        <v>17189</v>
      </c>
      <c r="AG449" s="254">
        <f>Prog_23[[#This Row],[SAÍDA DO CLIENTE]]-Prog_23[[#This Row],[PROGRAMAÇÃO CLIENTE]]</f>
        <v>3.8194444445252884E-2</v>
      </c>
      <c r="AH449" s="44"/>
      <c r="AI449" s="66"/>
      <c r="AJ449" s="66"/>
      <c r="AK449" s="66"/>
      <c r="AL449" s="66"/>
      <c r="AM449" s="66"/>
      <c r="AN449" s="83"/>
      <c r="AO449" s="83">
        <v>0</v>
      </c>
      <c r="AP449" s="83"/>
      <c r="AQ449" s="66"/>
      <c r="AR449" s="66"/>
      <c r="AS449" s="66"/>
      <c r="AT449" s="81">
        <v>3200</v>
      </c>
      <c r="AU449" s="81"/>
      <c r="AV449" s="81"/>
      <c r="AW449" s="81"/>
      <c r="AX449" s="83">
        <f>SUM(Prog_23[[#This Row],[ADIANTAMENTO]]+Prog_23[[#This Row],[SALDO]]+Prog_23[[#This Row],[MARGEM]]+Prog_23[[#This Row],[ESTADIA 1]])</f>
        <v>3200</v>
      </c>
      <c r="AY4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49" s="81">
        <v>4307.3999999999996</v>
      </c>
      <c r="BA449" s="81">
        <v>123471.32</v>
      </c>
      <c r="BB449" s="81">
        <v>0</v>
      </c>
      <c r="BC449" s="81">
        <v>0</v>
      </c>
      <c r="BD449" s="81">
        <v>312.60000000000002</v>
      </c>
      <c r="BE449" s="81"/>
      <c r="BF449" s="81"/>
      <c r="BG449" s="81"/>
      <c r="BH449" s="81"/>
      <c r="BI449" s="81">
        <v>630</v>
      </c>
      <c r="BJ449" s="81"/>
      <c r="BK449" s="81"/>
      <c r="BL449" s="81"/>
      <c r="BM449" s="81"/>
      <c r="BN449" s="66" t="s">
        <v>2768</v>
      </c>
      <c r="BO449" s="66" t="s">
        <v>2768</v>
      </c>
      <c r="BP449" s="66"/>
      <c r="BQ449" s="66" t="str">
        <f>PROPER(TEXT(Prog_23[[#This Row],[PROGRAMAÇÃO CLIENTE]],"mmm"))</f>
        <v>Ago</v>
      </c>
      <c r="BR449" s="66">
        <f>YEAR(Prog_23[[#This Row],[PROGRAMAÇÃO CLIENTE]])</f>
        <v>2023</v>
      </c>
    </row>
    <row r="450" spans="1:70" x14ac:dyDescent="0.25">
      <c r="A450" s="201" t="str">
        <f>Prog_23[[#This Row],[CONTEINER]]</f>
        <v>MRSU5475561</v>
      </c>
      <c r="B450" s="86" t="s">
        <v>2771</v>
      </c>
      <c r="C4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50" s="85">
        <v>45160.291666666664</v>
      </c>
      <c r="E450" s="66" t="s">
        <v>5642</v>
      </c>
      <c r="F450" s="66" t="s">
        <v>5640</v>
      </c>
      <c r="G450" s="66" t="s">
        <v>6025</v>
      </c>
      <c r="H450" s="44">
        <v>229368137</v>
      </c>
      <c r="I450" s="44" t="s">
        <v>6093</v>
      </c>
      <c r="J450" s="66" t="s">
        <v>301</v>
      </c>
      <c r="K450" s="66">
        <v>3720</v>
      </c>
      <c r="L450" s="66" t="s">
        <v>6094</v>
      </c>
      <c r="M450" s="66">
        <v>18401</v>
      </c>
      <c r="N450" s="66">
        <f>SUM(Prog_23[[#This Row],[TARA]]+Prog_23[[#This Row],[PESO]])</f>
        <v>22121</v>
      </c>
      <c r="O450" s="44">
        <v>49727</v>
      </c>
      <c r="P450" s="66" t="s">
        <v>6026</v>
      </c>
      <c r="Q450" s="66" t="s">
        <v>16</v>
      </c>
      <c r="R450" s="66" t="s">
        <v>17</v>
      </c>
      <c r="S450" s="66" t="s">
        <v>18</v>
      </c>
      <c r="T450" s="138" t="str">
        <f>IFERROR(LOOKUP($S450,MOTORISTAS!$D$3:$D$916,MOTORISTAS!E$3:$E$916),"")</f>
        <v>03300368820</v>
      </c>
      <c r="U450" s="138" t="str">
        <f>IFERROR(LOOKUP($S450,MOTORISTAS!$D$3:$D$916,MOTORISTAS!F$3:$F$916),"")</f>
        <v>02281615982</v>
      </c>
      <c r="V450" s="66" t="s">
        <v>292</v>
      </c>
      <c r="W450" s="79">
        <v>45159.484722222223</v>
      </c>
      <c r="X450" s="79">
        <v>45160.041666666664</v>
      </c>
      <c r="Y450" s="79">
        <v>45160.5</v>
      </c>
      <c r="Z450" s="66" t="s">
        <v>306</v>
      </c>
      <c r="AA450" s="79">
        <v>45161.119444444441</v>
      </c>
      <c r="AB450" s="66"/>
      <c r="AC450" s="79">
        <v>45160.416666666664</v>
      </c>
      <c r="AD450" s="79">
        <v>45163.5</v>
      </c>
      <c r="AE450" s="66" t="s">
        <v>6027</v>
      </c>
      <c r="AF450" s="44">
        <v>17228</v>
      </c>
      <c r="AG450" s="254">
        <f>Prog_23[[#This Row],[SAÍDA DO CLIENTE]]-Prog_23[[#This Row],[PROGRAMAÇÃO CLIENTE]]</f>
        <v>0.20833333333575865</v>
      </c>
      <c r="AH450" s="44"/>
      <c r="AI450" s="66"/>
      <c r="AJ450" s="66"/>
      <c r="AK450" s="66"/>
      <c r="AL450" s="66"/>
      <c r="AM450" s="66"/>
      <c r="AN450" s="83"/>
      <c r="AO450" s="83"/>
      <c r="AP450" s="83"/>
      <c r="AQ450" s="66"/>
      <c r="AR450" s="66"/>
      <c r="AS450" s="66"/>
      <c r="AT450" s="81">
        <v>7000</v>
      </c>
      <c r="AU450" s="81"/>
      <c r="AV450" s="81">
        <v>200</v>
      </c>
      <c r="AW450" s="81"/>
      <c r="AX450" s="83">
        <f>SUM(Prog_23[[#This Row],[ADIANTAMENTO]]+Prog_23[[#This Row],[SALDO]]+Prog_23[[#This Row],[MARGEM]]+Prog_23[[#This Row],[ESTADIA 1]])</f>
        <v>7200</v>
      </c>
      <c r="AY4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9998</v>
      </c>
      <c r="AZ450" s="81">
        <v>7950</v>
      </c>
      <c r="BA450" s="81"/>
      <c r="BB450" s="81">
        <f>Prog_23[[#This Row],[VLR NF]]*0.1%</f>
        <v>0</v>
      </c>
      <c r="BC450" s="81">
        <f>Prog_23[[#This Row],[VLR NF]]*0.05%</f>
        <v>0</v>
      </c>
      <c r="BD450" s="81">
        <v>1698</v>
      </c>
      <c r="BE450" s="81"/>
      <c r="BF450" s="81"/>
      <c r="BG450" s="81"/>
      <c r="BH450" s="81"/>
      <c r="BI450" s="81"/>
      <c r="BJ450" s="81"/>
      <c r="BK450" s="81"/>
      <c r="BL450" s="81">
        <v>350</v>
      </c>
      <c r="BM450" s="81"/>
      <c r="BN450" s="66" t="s">
        <v>2768</v>
      </c>
      <c r="BO450" s="66" t="s">
        <v>2768</v>
      </c>
      <c r="BP450" s="66" t="s">
        <v>2768</v>
      </c>
      <c r="BQ450" s="66" t="str">
        <f>PROPER(TEXT(Prog_23[[#This Row],[PROGRAMAÇÃO CLIENTE]],"mmm"))</f>
        <v>Ago</v>
      </c>
      <c r="BR450" s="66">
        <f>YEAR(Prog_23[[#This Row],[PROGRAMAÇÃO CLIENTE]])</f>
        <v>2023</v>
      </c>
    </row>
    <row r="451" spans="1:70" x14ac:dyDescent="0.25">
      <c r="A451" s="200" t="str">
        <f>Prog_23[[#This Row],[CONTEINER]]</f>
        <v>HLBU1286254</v>
      </c>
      <c r="B451" s="86" t="s">
        <v>2771</v>
      </c>
      <c r="C451" s="86" t="s">
        <v>6122</v>
      </c>
      <c r="D451" s="85">
        <v>45160.375</v>
      </c>
      <c r="E451" s="66" t="s">
        <v>297</v>
      </c>
      <c r="F451" s="66" t="s">
        <v>298</v>
      </c>
      <c r="G451" s="66" t="s">
        <v>6037</v>
      </c>
      <c r="H451" s="44">
        <v>63237922</v>
      </c>
      <c r="I451" s="44" t="s">
        <v>6099</v>
      </c>
      <c r="J451" s="66" t="s">
        <v>301</v>
      </c>
      <c r="K451" s="66">
        <v>3830</v>
      </c>
      <c r="L451" s="66" t="s">
        <v>6100</v>
      </c>
      <c r="M451" s="66">
        <v>23493</v>
      </c>
      <c r="N451" s="66">
        <f>SUM(Prog_23[[#This Row],[TARA]]+Prog_23[[#This Row],[PESO]])</f>
        <v>27323</v>
      </c>
      <c r="O451" s="44">
        <v>895189</v>
      </c>
      <c r="P451" s="66" t="s">
        <v>5899</v>
      </c>
      <c r="Q451" s="66" t="s">
        <v>192</v>
      </c>
      <c r="R451" s="66" t="s">
        <v>193</v>
      </c>
      <c r="S451" s="66" t="s">
        <v>194</v>
      </c>
      <c r="T451" s="138" t="str">
        <f>IFERROR(LOOKUP($S451,MOTORISTAS!$D$3:$D$916,MOTORISTAS!E$3:$E$916),"")</f>
        <v>38529612892</v>
      </c>
      <c r="U451" s="138" t="str">
        <f>IFERROR(LOOKUP($S451,MOTORISTAS!$D$3:$D$916,MOTORISTAS!F$3:$F$916),"")</f>
        <v>05021398574</v>
      </c>
      <c r="V451" s="66" t="s">
        <v>292</v>
      </c>
      <c r="W451" s="79">
        <v>45159.951388888891</v>
      </c>
      <c r="X451" s="79">
        <v>45160.354166666664</v>
      </c>
      <c r="Y451" s="79">
        <v>45160.625</v>
      </c>
      <c r="Z451" s="66" t="s">
        <v>293</v>
      </c>
      <c r="AA451" s="79">
        <v>45162.708333333336</v>
      </c>
      <c r="AB451" s="79">
        <v>45160.833333333336</v>
      </c>
      <c r="AC451" s="79">
        <v>45160.75</v>
      </c>
      <c r="AD451" s="79">
        <v>45163.5</v>
      </c>
      <c r="AE451" s="66" t="s">
        <v>2743</v>
      </c>
      <c r="AF451" s="44">
        <v>17244</v>
      </c>
      <c r="AG451" s="254">
        <f>Prog_23[[#This Row],[SAÍDA DO CLIENTE]]-Prog_23[[#This Row],[PROGRAMAÇÃO CLIENTE]]</f>
        <v>0.25</v>
      </c>
      <c r="AH451" s="44"/>
      <c r="AI451" s="66"/>
      <c r="AJ451" s="66"/>
      <c r="AK451" s="66" t="s">
        <v>393</v>
      </c>
      <c r="AL451" s="79">
        <v>45160.75</v>
      </c>
      <c r="AM451" s="66"/>
      <c r="AN451" s="83">
        <v>950</v>
      </c>
      <c r="AO451" s="83"/>
      <c r="AP451" s="83"/>
      <c r="AQ451" s="66"/>
      <c r="AR451" s="66"/>
      <c r="AS451" s="66"/>
      <c r="AT451" s="81">
        <v>3000</v>
      </c>
      <c r="AU451" s="81"/>
      <c r="AV451" s="81"/>
      <c r="AW451" s="81"/>
      <c r="AX451" s="83">
        <f>SUM(Prog_23[[#This Row],[ADIANTAMENTO]]+Prog_23[[#This Row],[SALDO]]+Prog_23[[#This Row],[MARGEM]]+Prog_23[[#This Row],[ESTADIA 1]])</f>
        <v>3000</v>
      </c>
      <c r="AY4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51" s="81">
        <v>3488.8</v>
      </c>
      <c r="BA451" s="81">
        <v>97385.79</v>
      </c>
      <c r="BB451" s="81">
        <v>0</v>
      </c>
      <c r="BC451" s="81">
        <v>0</v>
      </c>
      <c r="BD451" s="81">
        <v>511.2</v>
      </c>
      <c r="BE451" s="81"/>
      <c r="BF451" s="81"/>
      <c r="BG451" s="81"/>
      <c r="BH451" s="81"/>
      <c r="BI451" s="81"/>
      <c r="BJ451" s="81"/>
      <c r="BK451" s="81"/>
      <c r="BL451" s="81"/>
      <c r="BM451" s="81"/>
      <c r="BN451" s="66" t="s">
        <v>2768</v>
      </c>
      <c r="BO451" s="66" t="s">
        <v>2768</v>
      </c>
      <c r="BP451" s="66" t="s">
        <v>2768</v>
      </c>
      <c r="BQ451" s="66" t="str">
        <f>PROPER(TEXT(Prog_23[[#This Row],[PROGRAMAÇÃO CLIENTE]],"mmm"))</f>
        <v>Ago</v>
      </c>
      <c r="BR451" s="66">
        <f>YEAR(Prog_23[[#This Row],[PROGRAMAÇÃO CLIENTE]])</f>
        <v>2023</v>
      </c>
    </row>
    <row r="452" spans="1:70" x14ac:dyDescent="0.25">
      <c r="A452" s="200" t="str">
        <f>Prog_23[[#This Row],[CONTEINER]]</f>
        <v>HLXU8132860</v>
      </c>
      <c r="B452" s="86" t="s">
        <v>2771</v>
      </c>
      <c r="C4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52" s="85">
        <v>45160.458333333336</v>
      </c>
      <c r="E452" s="66" t="s">
        <v>297</v>
      </c>
      <c r="F452" s="66" t="s">
        <v>298</v>
      </c>
      <c r="G452" s="66" t="s">
        <v>6039</v>
      </c>
      <c r="H452" s="44">
        <v>63237922</v>
      </c>
      <c r="I452" s="44" t="s">
        <v>6095</v>
      </c>
      <c r="J452" s="66" t="s">
        <v>301</v>
      </c>
      <c r="K452" s="66">
        <v>3950</v>
      </c>
      <c r="L452" s="66" t="s">
        <v>6096</v>
      </c>
      <c r="M452" s="66">
        <v>23493</v>
      </c>
      <c r="N452" s="66">
        <f>SUM(Prog_23[[#This Row],[TARA]]+Prog_23[[#This Row],[PESO]])</f>
        <v>27443</v>
      </c>
      <c r="O452" s="44">
        <v>895030</v>
      </c>
      <c r="P452" s="66" t="s">
        <v>5899</v>
      </c>
      <c r="Q452" s="66" t="s">
        <v>1729</v>
      </c>
      <c r="R452" s="66" t="s">
        <v>4556</v>
      </c>
      <c r="S452" s="66" t="s">
        <v>1731</v>
      </c>
      <c r="T452" s="138" t="str">
        <f>IFERROR(LOOKUP($S452,MOTORISTAS!$D$3:$D$916,MOTORISTAS!E$3:$E$916),"")</f>
        <v>03965340824</v>
      </c>
      <c r="U452" s="138" t="str">
        <f>IFERROR(LOOKUP($S452,MOTORISTAS!$D$3:$D$916,MOTORISTAS!F$3:$F$916),"")</f>
        <v>01420704735</v>
      </c>
      <c r="V452" s="66" t="s">
        <v>292</v>
      </c>
      <c r="W452" s="79">
        <v>45159.802777777775</v>
      </c>
      <c r="X452" s="79">
        <v>45160.0625</v>
      </c>
      <c r="Y452" s="79">
        <v>45160.4375</v>
      </c>
      <c r="Z452" s="66" t="s">
        <v>293</v>
      </c>
      <c r="AA452" s="79">
        <v>45162.686805555553</v>
      </c>
      <c r="AB452" s="79">
        <v>45160.833333333336</v>
      </c>
      <c r="AC452" s="79">
        <v>45160.75</v>
      </c>
      <c r="AD452" s="79">
        <v>45163.5</v>
      </c>
      <c r="AE452" s="66" t="s">
        <v>2743</v>
      </c>
      <c r="AF452" s="44">
        <v>17237</v>
      </c>
      <c r="AG452" s="254">
        <f>Prog_23[[#This Row],[SAÍDA DO CLIENTE]]-Prog_23[[#This Row],[PROGRAMAÇÃO CLIENTE]]</f>
        <v>-2.0833333335758653E-2</v>
      </c>
      <c r="AH452" s="44"/>
      <c r="AI452" s="66"/>
      <c r="AJ452" s="66"/>
      <c r="AK452" s="66" t="s">
        <v>393</v>
      </c>
      <c r="AL452" s="79">
        <v>45160.75</v>
      </c>
      <c r="AM452" s="66"/>
      <c r="AN452" s="83">
        <v>950</v>
      </c>
      <c r="AO452" s="83"/>
      <c r="AP452" s="83"/>
      <c r="AQ452" s="66"/>
      <c r="AR452" s="66"/>
      <c r="AS452" s="66"/>
      <c r="AT452" s="81">
        <v>3000</v>
      </c>
      <c r="AU452" s="81"/>
      <c r="AV452" s="81"/>
      <c r="AW452" s="81"/>
      <c r="AX452" s="83">
        <f>SUM(Prog_23[[#This Row],[ADIANTAMENTO]]+Prog_23[[#This Row],[SALDO]]+Prog_23[[#This Row],[MARGEM]]+Prog_23[[#This Row],[ESTADIA 1]])</f>
        <v>3000</v>
      </c>
      <c r="AY4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52" s="81">
        <v>3488.8</v>
      </c>
      <c r="BA452" s="81">
        <v>97385.79</v>
      </c>
      <c r="BB452" s="81">
        <v>0</v>
      </c>
      <c r="BC452" s="81">
        <v>0</v>
      </c>
      <c r="BD452" s="81">
        <v>511.2</v>
      </c>
      <c r="BE452" s="81"/>
      <c r="BF452" s="81"/>
      <c r="BG452" s="81"/>
      <c r="BH452" s="81"/>
      <c r="BI452" s="81"/>
      <c r="BJ452" s="81"/>
      <c r="BK452" s="81"/>
      <c r="BL452" s="81"/>
      <c r="BM452" s="81"/>
      <c r="BN452" s="66" t="s">
        <v>2768</v>
      </c>
      <c r="BO452" s="66" t="s">
        <v>2768</v>
      </c>
      <c r="BP452" s="66" t="s">
        <v>2768</v>
      </c>
      <c r="BQ452" s="66" t="str">
        <f>PROPER(TEXT(Prog_23[[#This Row],[PROGRAMAÇÃO CLIENTE]],"mmm"))</f>
        <v>Ago</v>
      </c>
      <c r="BR452" s="66">
        <f>YEAR(Prog_23[[#This Row],[PROGRAMAÇÃO CLIENTE]])</f>
        <v>2023</v>
      </c>
    </row>
    <row r="453" spans="1:70" x14ac:dyDescent="0.25">
      <c r="A453" s="201" t="str">
        <f>Prog_23[[#This Row],[CONTEINER]]</f>
        <v>FDCU0141760</v>
      </c>
      <c r="B453" s="86" t="s">
        <v>2771</v>
      </c>
      <c r="C4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53" s="85">
        <v>45160.541666666664</v>
      </c>
      <c r="E453" s="66" t="s">
        <v>297</v>
      </c>
      <c r="F453" s="66" t="s">
        <v>298</v>
      </c>
      <c r="G453" s="66" t="s">
        <v>6040</v>
      </c>
      <c r="H453" s="44">
        <v>63237922</v>
      </c>
      <c r="I453" s="44" t="s">
        <v>6101</v>
      </c>
      <c r="J453" s="66" t="s">
        <v>301</v>
      </c>
      <c r="K453" s="66">
        <v>3700</v>
      </c>
      <c r="L453" s="66" t="s">
        <v>6102</v>
      </c>
      <c r="M453" s="66">
        <v>23493</v>
      </c>
      <c r="N453" s="66">
        <f>SUM(Prog_23[[#This Row],[TARA]]+Prog_23[[#This Row],[PESO]])</f>
        <v>27193</v>
      </c>
      <c r="O453" s="44">
        <v>895032</v>
      </c>
      <c r="P453" s="66" t="s">
        <v>5899</v>
      </c>
      <c r="Q453" s="66" t="s">
        <v>2622</v>
      </c>
      <c r="R453" s="66" t="s">
        <v>2623</v>
      </c>
      <c r="S453" s="66" t="s">
        <v>2624</v>
      </c>
      <c r="T453" s="138" t="str">
        <f>IFERROR(LOOKUP($S453,MOTORISTAS!$D$3:$D$916,MOTORISTAS!E$3:$E$916),"")</f>
        <v>31147992568</v>
      </c>
      <c r="U453" s="138" t="str">
        <f>IFERROR(LOOKUP($S453,MOTORISTAS!$D$3:$D$916,MOTORISTAS!F$3:$F$916),"")</f>
        <v>03359999478</v>
      </c>
      <c r="V453" s="66" t="s">
        <v>292</v>
      </c>
      <c r="W453" s="79">
        <v>45159.811111111114</v>
      </c>
      <c r="X453" s="79">
        <v>45160.0625</v>
      </c>
      <c r="Y453" s="79">
        <v>45160.458333333336</v>
      </c>
      <c r="Z453" s="66" t="s">
        <v>293</v>
      </c>
      <c r="AA453" s="79">
        <v>45162.693749999999</v>
      </c>
      <c r="AB453" s="79">
        <v>45160.833333333336</v>
      </c>
      <c r="AC453" s="79">
        <v>45160.75</v>
      </c>
      <c r="AD453" s="79">
        <v>45163.5</v>
      </c>
      <c r="AE453" s="66" t="s">
        <v>2743</v>
      </c>
      <c r="AF453" s="44">
        <v>17235</v>
      </c>
      <c r="AG453" s="254">
        <f>Prog_23[[#This Row],[SAÍDA DO CLIENTE]]-Prog_23[[#This Row],[PROGRAMAÇÃO CLIENTE]]</f>
        <v>-8.3333333328482695E-2</v>
      </c>
      <c r="AH453" s="44"/>
      <c r="AI453" s="66"/>
      <c r="AJ453" s="66"/>
      <c r="AK453" s="66" t="s">
        <v>393</v>
      </c>
      <c r="AL453" s="79">
        <v>45160.75</v>
      </c>
      <c r="AM453" s="66"/>
      <c r="AN453" s="83">
        <v>950</v>
      </c>
      <c r="AO453" s="83"/>
      <c r="AP453" s="83"/>
      <c r="AQ453" s="66"/>
      <c r="AR453" s="66"/>
      <c r="AS453" s="66"/>
      <c r="AT453" s="81">
        <v>3000</v>
      </c>
      <c r="AU453" s="81"/>
      <c r="AV453" s="81"/>
      <c r="AW453" s="81"/>
      <c r="AX453" s="83">
        <f>SUM(Prog_23[[#This Row],[ADIANTAMENTO]]+Prog_23[[#This Row],[SALDO]]+Prog_23[[#This Row],[MARGEM]]+Prog_23[[#This Row],[ESTADIA 1]])</f>
        <v>3000</v>
      </c>
      <c r="AY4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53" s="81">
        <v>3488.8</v>
      </c>
      <c r="BA453" s="81">
        <v>97385.79</v>
      </c>
      <c r="BB453" s="81">
        <v>0</v>
      </c>
      <c r="BC453" s="81">
        <v>0</v>
      </c>
      <c r="BD453" s="81">
        <v>511.2</v>
      </c>
      <c r="BE453" s="81"/>
      <c r="BF453" s="81"/>
      <c r="BG453" s="81"/>
      <c r="BH453" s="81"/>
      <c r="BI453" s="81"/>
      <c r="BJ453" s="81"/>
      <c r="BK453" s="81"/>
      <c r="BL453" s="81"/>
      <c r="BM453" s="81"/>
      <c r="BN453" s="66" t="s">
        <v>2768</v>
      </c>
      <c r="BO453" s="66" t="s">
        <v>2768</v>
      </c>
      <c r="BP453" s="66" t="s">
        <v>2768</v>
      </c>
      <c r="BQ453" s="66" t="str">
        <f>PROPER(TEXT(Prog_23[[#This Row],[PROGRAMAÇÃO CLIENTE]],"mmm"))</f>
        <v>Ago</v>
      </c>
      <c r="BR453" s="66">
        <f>YEAR(Prog_23[[#This Row],[PROGRAMAÇÃO CLIENTE]])</f>
        <v>2023</v>
      </c>
    </row>
    <row r="454" spans="1:70" x14ac:dyDescent="0.25">
      <c r="A454" s="201" t="str">
        <f>Prog_23[[#This Row],[CONTEINER]]</f>
        <v>HLBU2186250</v>
      </c>
      <c r="B454" s="86" t="s">
        <v>2771</v>
      </c>
      <c r="C4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54" s="85">
        <v>45160.583333333336</v>
      </c>
      <c r="E454" s="66" t="s">
        <v>297</v>
      </c>
      <c r="F454" s="66" t="s">
        <v>298</v>
      </c>
      <c r="G454" s="66" t="s">
        <v>6038</v>
      </c>
      <c r="H454" s="44">
        <v>63237922</v>
      </c>
      <c r="I454" s="44" t="s">
        <v>6128</v>
      </c>
      <c r="J454" s="66" t="s">
        <v>301</v>
      </c>
      <c r="K454" s="66">
        <v>3900</v>
      </c>
      <c r="L454" s="66" t="s">
        <v>6129</v>
      </c>
      <c r="M454" s="66">
        <v>23493</v>
      </c>
      <c r="N454" s="66">
        <f>SUM(Prog_23[[#This Row],[TARA]]+Prog_23[[#This Row],[PESO]])</f>
        <v>27393</v>
      </c>
      <c r="O454" s="44">
        <v>895345</v>
      </c>
      <c r="P454" s="66" t="s">
        <v>5899</v>
      </c>
      <c r="Q454" s="66" t="s">
        <v>6119</v>
      </c>
      <c r="R454" s="66" t="s">
        <v>3709</v>
      </c>
      <c r="S454" s="66" t="s">
        <v>84</v>
      </c>
      <c r="T454" s="138" t="str">
        <f>IFERROR(LOOKUP($S454,MOTORISTAS!$D$3:$D$916,MOTORISTAS!E$3:$E$916),"")</f>
        <v>15921106810</v>
      </c>
      <c r="U454" s="138" t="str">
        <f>IFERROR(LOOKUP($S454,MOTORISTAS!$D$3:$D$916,MOTORISTAS!F$3:$F$916),"")</f>
        <v>02351127968</v>
      </c>
      <c r="V454" s="66" t="s">
        <v>292</v>
      </c>
      <c r="W454" s="79">
        <v>45160.54583333333</v>
      </c>
      <c r="X454" s="79">
        <v>45160.6875</v>
      </c>
      <c r="Y454" s="79">
        <v>45160.958333333336</v>
      </c>
      <c r="Z454" s="66" t="s">
        <v>293</v>
      </c>
      <c r="AA454" s="79">
        <v>45161.210416666669</v>
      </c>
      <c r="AB454" s="79">
        <v>45160.833333333336</v>
      </c>
      <c r="AC454" s="79">
        <v>45160.75</v>
      </c>
      <c r="AD454" s="79">
        <v>45163.5</v>
      </c>
      <c r="AE454" s="66" t="s">
        <v>2743</v>
      </c>
      <c r="AF454" s="44">
        <v>17252</v>
      </c>
      <c r="AG454" s="254">
        <f>Prog_23[[#This Row],[SAÍDA DO CLIENTE]]-Prog_23[[#This Row],[PROGRAMAÇÃO CLIENTE]]</f>
        <v>0.375</v>
      </c>
      <c r="AH454" s="44"/>
      <c r="AI454" s="66"/>
      <c r="AJ454" s="66"/>
      <c r="AK454" s="66" t="s">
        <v>125</v>
      </c>
      <c r="AL454" s="66"/>
      <c r="AM454" s="66"/>
      <c r="AN454" s="83"/>
      <c r="AO454" s="83"/>
      <c r="AP454" s="83"/>
      <c r="AQ454" s="66"/>
      <c r="AR454" s="66"/>
      <c r="AS454" s="66"/>
      <c r="AT454" s="81">
        <v>3000</v>
      </c>
      <c r="AU454" s="81"/>
      <c r="AV454" s="81">
        <v>200</v>
      </c>
      <c r="AW454" s="81"/>
      <c r="AX454" s="83">
        <f>SUM(Prog_23[[#This Row],[ADIANTAMENTO]]+Prog_23[[#This Row],[SALDO]]+Prog_23[[#This Row],[MARGEM]]+Prog_23[[#This Row],[ESTADIA 1]])</f>
        <v>3200</v>
      </c>
      <c r="AY4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54" s="81">
        <v>3488.8</v>
      </c>
      <c r="BA454" s="81">
        <v>97385.79</v>
      </c>
      <c r="BB454" s="81">
        <v>0</v>
      </c>
      <c r="BC454" s="81">
        <v>0</v>
      </c>
      <c r="BD454" s="81">
        <v>511.2</v>
      </c>
      <c r="BE454" s="81"/>
      <c r="BF454" s="81"/>
      <c r="BG454" s="81"/>
      <c r="BH454" s="81"/>
      <c r="BI454" s="81"/>
      <c r="BJ454" s="81"/>
      <c r="BK454" s="81"/>
      <c r="BL454" s="81"/>
      <c r="BM454" s="81"/>
      <c r="BN454" s="66" t="s">
        <v>2768</v>
      </c>
      <c r="BO454" s="66" t="s">
        <v>2768</v>
      </c>
      <c r="BP454" s="66" t="s">
        <v>2768</v>
      </c>
      <c r="BQ454" s="66" t="str">
        <f>PROPER(TEXT(Prog_23[[#This Row],[PROGRAMAÇÃO CLIENTE]],"mmm"))</f>
        <v>Ago</v>
      </c>
      <c r="BR454" s="66">
        <f>YEAR(Prog_23[[#This Row],[PROGRAMAÇÃO CLIENTE]])</f>
        <v>2023</v>
      </c>
    </row>
    <row r="455" spans="1:70" x14ac:dyDescent="0.25">
      <c r="A455" s="200" t="str">
        <f>Prog_23[[#This Row],[CONTEINER]]</f>
        <v>MMAU1213601</v>
      </c>
      <c r="B455" s="86" t="s">
        <v>2771</v>
      </c>
      <c r="C4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55" s="85">
        <v>45160.25</v>
      </c>
      <c r="E455" s="66" t="s">
        <v>5875</v>
      </c>
      <c r="F455" s="66" t="s">
        <v>5898</v>
      </c>
      <c r="G455" s="66" t="s">
        <v>6052</v>
      </c>
      <c r="H455" s="44" t="s">
        <v>6044</v>
      </c>
      <c r="I455" s="44" t="s">
        <v>6045</v>
      </c>
      <c r="J455" s="66" t="s">
        <v>459</v>
      </c>
      <c r="K455" s="66">
        <v>4420</v>
      </c>
      <c r="L455" s="66" t="s">
        <v>6068</v>
      </c>
      <c r="M455" s="66">
        <v>28112</v>
      </c>
      <c r="N455" s="66">
        <f>SUM(Prog_23[[#This Row],[TARA]]+Prog_23[[#This Row],[PESO]])</f>
        <v>32532</v>
      </c>
      <c r="O455" s="44">
        <v>10050</v>
      </c>
      <c r="P455" s="66" t="s">
        <v>6049</v>
      </c>
      <c r="Q455" s="66" t="s">
        <v>4553</v>
      </c>
      <c r="R455" s="66" t="s">
        <v>4554</v>
      </c>
      <c r="S455" s="66" t="s">
        <v>4555</v>
      </c>
      <c r="T455" s="138" t="str">
        <f>IFERROR(LOOKUP($S455,MOTORISTAS!$D$3:$D$916,MOTORISTAS!E$3:$E$916),"")</f>
        <v>07018404800</v>
      </c>
      <c r="U455" s="138" t="str">
        <f>IFERROR(LOOKUP($S455,MOTORISTAS!$D$3:$D$916,MOTORISTAS!F$3:$F$916),"")</f>
        <v>02970966448</v>
      </c>
      <c r="V455" s="66" t="s">
        <v>410</v>
      </c>
      <c r="W455" s="79">
        <v>45159.833333333336</v>
      </c>
      <c r="X455" s="79">
        <v>45160.111111111109</v>
      </c>
      <c r="Y455" s="79">
        <v>45160.638888888891</v>
      </c>
      <c r="Z455" s="66" t="s">
        <v>526</v>
      </c>
      <c r="AA455" s="79">
        <v>45161.411805555559</v>
      </c>
      <c r="AB455" s="79">
        <v>45161.333333333336</v>
      </c>
      <c r="AC455" s="79">
        <v>45159.999305555553</v>
      </c>
      <c r="AD455" s="79">
        <v>45164.999305555553</v>
      </c>
      <c r="AE455" s="66" t="s">
        <v>708</v>
      </c>
      <c r="AF455" s="44">
        <v>17208</v>
      </c>
      <c r="AG455" s="254">
        <f>Prog_23[[#This Row],[SAÍDA DO CLIENTE]]-Prog_23[[#This Row],[PROGRAMAÇÃO CLIENTE]]</f>
        <v>0.38888888889050577</v>
      </c>
      <c r="AH455" s="44">
        <v>6687282</v>
      </c>
      <c r="AI455" s="66"/>
      <c r="AJ455" s="66"/>
      <c r="AK455" s="66"/>
      <c r="AL455" s="66"/>
      <c r="AM455" s="66"/>
      <c r="AN455" s="83"/>
      <c r="AO455" s="83">
        <v>0</v>
      </c>
      <c r="AP455" s="83"/>
      <c r="AQ455" s="66"/>
      <c r="AR455" s="66"/>
      <c r="AS455" s="66"/>
      <c r="AT455" s="81">
        <v>3200</v>
      </c>
      <c r="AU455" s="81"/>
      <c r="AV455" s="81"/>
      <c r="AW455" s="81"/>
      <c r="AX455" s="83">
        <f>SUM(Prog_23[[#This Row],[ADIANTAMENTO]]+Prog_23[[#This Row],[SALDO]]+Prog_23[[#This Row],[MARGEM]]+Prog_23[[#This Row],[ESTADIA 1]])</f>
        <v>3200</v>
      </c>
      <c r="AY4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55" s="81">
        <v>4307.3999999999996</v>
      </c>
      <c r="BA455" s="81">
        <v>178778.44</v>
      </c>
      <c r="BB455" s="81">
        <v>0</v>
      </c>
      <c r="BC455" s="81">
        <v>0</v>
      </c>
      <c r="BD455" s="81">
        <v>312.60000000000002</v>
      </c>
      <c r="BE455" s="81"/>
      <c r="BF455" s="81"/>
      <c r="BG455" s="81"/>
      <c r="BH455" s="81"/>
      <c r="BI455" s="81">
        <v>630</v>
      </c>
      <c r="BJ455" s="81"/>
      <c r="BK455" s="81"/>
      <c r="BL455" s="81"/>
      <c r="BM455" s="81"/>
      <c r="BN455" s="66" t="s">
        <v>2768</v>
      </c>
      <c r="BO455" s="66" t="s">
        <v>2768</v>
      </c>
      <c r="BP455" s="66" t="s">
        <v>2768</v>
      </c>
      <c r="BQ455" s="66" t="str">
        <f>PROPER(TEXT(Prog_23[[#This Row],[PROGRAMAÇÃO CLIENTE]],"mmm"))</f>
        <v>Ago</v>
      </c>
      <c r="BR455" s="66">
        <f>YEAR(Prog_23[[#This Row],[PROGRAMAÇÃO CLIENTE]])</f>
        <v>2023</v>
      </c>
    </row>
    <row r="456" spans="1:70" x14ac:dyDescent="0.25">
      <c r="A456" s="201" t="str">
        <f>Prog_23[[#This Row],[CONTEINER]]</f>
        <v>MNBU3585464</v>
      </c>
      <c r="B456" s="86" t="s">
        <v>2771</v>
      </c>
      <c r="C4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56" s="85">
        <v>45160.25</v>
      </c>
      <c r="E456" s="66" t="s">
        <v>5875</v>
      </c>
      <c r="F456" s="66" t="s">
        <v>5898</v>
      </c>
      <c r="G456" s="66" t="s">
        <v>6052</v>
      </c>
      <c r="H456" s="44" t="s">
        <v>6044</v>
      </c>
      <c r="I456" s="44" t="s">
        <v>6046</v>
      </c>
      <c r="J456" s="66" t="s">
        <v>459</v>
      </c>
      <c r="K456" s="66">
        <v>4210</v>
      </c>
      <c r="L456" s="66" t="s">
        <v>6069</v>
      </c>
      <c r="M456" s="66">
        <v>28112</v>
      </c>
      <c r="N456" s="66">
        <f>SUM(Prog_23[[#This Row],[TARA]]+Prog_23[[#This Row],[PESO]])</f>
        <v>32322</v>
      </c>
      <c r="O456" s="44">
        <v>10051</v>
      </c>
      <c r="P456" s="66" t="s">
        <v>6049</v>
      </c>
      <c r="Q456" s="66" t="s">
        <v>111</v>
      </c>
      <c r="R456" s="66" t="s">
        <v>891</v>
      </c>
      <c r="S456" s="66" t="s">
        <v>3029</v>
      </c>
      <c r="T456" s="138" t="str">
        <f>IFERROR(LOOKUP($S456,MOTORISTAS!$D$3:$D$916,MOTORISTAS!E$3:$E$916),"")</f>
        <v>49533568453</v>
      </c>
      <c r="U456" s="138" t="str">
        <f>IFERROR(LOOKUP($S456,MOTORISTAS!$D$3:$D$916,MOTORISTAS!F$3:$F$916),"")</f>
        <v>00273334128</v>
      </c>
      <c r="V456" s="66" t="s">
        <v>410</v>
      </c>
      <c r="W456" s="79">
        <v>45159.833333333336</v>
      </c>
      <c r="X456" s="79">
        <v>45160.215277777781</v>
      </c>
      <c r="Y456" s="79">
        <v>45161.475694444445</v>
      </c>
      <c r="Z456" s="66" t="s">
        <v>292</v>
      </c>
      <c r="AA456" s="79">
        <v>45163.75</v>
      </c>
      <c r="AB456" s="79">
        <v>45161.333333333336</v>
      </c>
      <c r="AC456" s="79">
        <v>45159.999305555553</v>
      </c>
      <c r="AD456" s="79">
        <v>45164.999305555553</v>
      </c>
      <c r="AE456" s="66" t="s">
        <v>708</v>
      </c>
      <c r="AF456" s="44">
        <v>17209</v>
      </c>
      <c r="AG456" s="254">
        <f>Prog_23[[#This Row],[SAÍDA DO CLIENTE]]-Prog_23[[#This Row],[PROGRAMAÇÃO CLIENTE]]</f>
        <v>1.2256944444452529</v>
      </c>
      <c r="AH456" s="44">
        <v>6687287</v>
      </c>
      <c r="AI456" s="66"/>
      <c r="AJ456" s="66"/>
      <c r="AK456" s="66"/>
      <c r="AL456" s="66"/>
      <c r="AM456" s="66"/>
      <c r="AN456" s="83"/>
      <c r="AO456" s="83">
        <v>0</v>
      </c>
      <c r="AP456" s="83"/>
      <c r="AQ456" s="66"/>
      <c r="AR456" s="66"/>
      <c r="AS456" s="66"/>
      <c r="AT456" s="81">
        <v>3200</v>
      </c>
      <c r="AU456" s="81"/>
      <c r="AV456" s="81"/>
      <c r="AW456" s="81"/>
      <c r="AX456" s="83">
        <f>SUM(Prog_23[[#This Row],[ADIANTAMENTO]]+Prog_23[[#This Row],[SALDO]]+Prog_23[[#This Row],[MARGEM]]+Prog_23[[#This Row],[ESTADIA 1]])</f>
        <v>3200</v>
      </c>
      <c r="AY4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6225</v>
      </c>
      <c r="AZ456" s="81">
        <v>4307.3999999999996</v>
      </c>
      <c r="BA456" s="81">
        <v>178778.44</v>
      </c>
      <c r="BB456" s="81">
        <v>0</v>
      </c>
      <c r="BC456" s="81">
        <v>0</v>
      </c>
      <c r="BD456" s="81">
        <v>312.60000000000002</v>
      </c>
      <c r="BE456" s="81"/>
      <c r="BF456" s="81"/>
      <c r="BG456" s="81"/>
      <c r="BH456" s="81"/>
      <c r="BI456" s="81">
        <v>630</v>
      </c>
      <c r="BJ456" s="81"/>
      <c r="BK456" s="81"/>
      <c r="BL456" s="81"/>
      <c r="BM456" s="81">
        <f>65*15</f>
        <v>975</v>
      </c>
      <c r="BN456" s="66" t="s">
        <v>2768</v>
      </c>
      <c r="BO456" s="66" t="s">
        <v>2768</v>
      </c>
      <c r="BP456" s="66" t="s">
        <v>2768</v>
      </c>
      <c r="BQ456" s="66" t="str">
        <f>PROPER(TEXT(Prog_23[[#This Row],[PROGRAMAÇÃO CLIENTE]],"mmm"))</f>
        <v>Ago</v>
      </c>
      <c r="BR456" s="66">
        <f>YEAR(Prog_23[[#This Row],[PROGRAMAÇÃO CLIENTE]])</f>
        <v>2023</v>
      </c>
    </row>
    <row r="457" spans="1:70" x14ac:dyDescent="0.25">
      <c r="A457" s="200" t="str">
        <f>Prog_23[[#This Row],[CONTEINER]]</f>
        <v>MMAU1186384</v>
      </c>
      <c r="B457" s="86" t="s">
        <v>2771</v>
      </c>
      <c r="C4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57" s="85">
        <v>45160.25</v>
      </c>
      <c r="E457" s="66" t="s">
        <v>5875</v>
      </c>
      <c r="F457" s="66" t="s">
        <v>5898</v>
      </c>
      <c r="G457" s="66" t="s">
        <v>6052</v>
      </c>
      <c r="H457" s="44" t="s">
        <v>6044</v>
      </c>
      <c r="I457" s="44" t="s">
        <v>6047</v>
      </c>
      <c r="J457" s="66" t="s">
        <v>459</v>
      </c>
      <c r="K457" s="66">
        <v>4420</v>
      </c>
      <c r="L457" s="66" t="s">
        <v>6070</v>
      </c>
      <c r="M457" s="66">
        <v>28112</v>
      </c>
      <c r="N457" s="66">
        <f>SUM(Prog_23[[#This Row],[TARA]]+Prog_23[[#This Row],[PESO]])</f>
        <v>32532</v>
      </c>
      <c r="O457" s="44">
        <v>10052</v>
      </c>
      <c r="P457" s="66" t="s">
        <v>6049</v>
      </c>
      <c r="Q457" s="66" t="s">
        <v>102</v>
      </c>
      <c r="R457" s="66" t="s">
        <v>73</v>
      </c>
      <c r="S457" s="66" t="s">
        <v>203</v>
      </c>
      <c r="T457" s="138" t="str">
        <f>IFERROR(LOOKUP($S457,MOTORISTAS!$D$3:$D$916,MOTORISTAS!E$3:$E$916),"")</f>
        <v>10395859816</v>
      </c>
      <c r="U457" s="138" t="str">
        <f>IFERROR(LOOKUP($S457,MOTORISTAS!$D$3:$D$916,MOTORISTAS!F$3:$F$916),"")</f>
        <v>01965794851</v>
      </c>
      <c r="V457" s="66" t="s">
        <v>410</v>
      </c>
      <c r="W457" s="79">
        <v>45159.913194444445</v>
      </c>
      <c r="X457" s="79">
        <v>45160.072916666664</v>
      </c>
      <c r="Y457" s="79">
        <v>45160.5</v>
      </c>
      <c r="Z457" s="66" t="s">
        <v>526</v>
      </c>
      <c r="AA457" s="79">
        <v>45160.700694444444</v>
      </c>
      <c r="AB457" s="79">
        <v>45161.333333333336</v>
      </c>
      <c r="AC457" s="79">
        <v>45159.999305555553</v>
      </c>
      <c r="AD457" s="79">
        <v>45164.999305555553</v>
      </c>
      <c r="AE457" s="66" t="s">
        <v>708</v>
      </c>
      <c r="AF457" s="44">
        <v>17210</v>
      </c>
      <c r="AG457" s="254">
        <f>Prog_23[[#This Row],[SAÍDA DO CLIENTE]]-Prog_23[[#This Row],[PROGRAMAÇÃO CLIENTE]]</f>
        <v>0.25</v>
      </c>
      <c r="AH457" s="44">
        <v>6687289</v>
      </c>
      <c r="AI457" s="66"/>
      <c r="AJ457" s="66"/>
      <c r="AK457" s="66"/>
      <c r="AL457" s="66"/>
      <c r="AM457" s="66"/>
      <c r="AN457" s="83"/>
      <c r="AO457" s="83">
        <v>0</v>
      </c>
      <c r="AP457" s="83"/>
      <c r="AQ457" s="66"/>
      <c r="AR457" s="66"/>
      <c r="AS457" s="66"/>
      <c r="AT457" s="81">
        <v>3200</v>
      </c>
      <c r="AU457" s="81"/>
      <c r="AV457" s="81"/>
      <c r="AW457" s="81"/>
      <c r="AX457" s="83">
        <f>SUM(Prog_23[[#This Row],[ADIANTAMENTO]]+Prog_23[[#This Row],[SALDO]]+Prog_23[[#This Row],[MARGEM]]+Prog_23[[#This Row],[ESTADIA 1]])</f>
        <v>3200</v>
      </c>
      <c r="AY4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57" s="81">
        <v>4307.3999999999996</v>
      </c>
      <c r="BA457" s="81">
        <v>178778.44</v>
      </c>
      <c r="BB457" s="81">
        <v>0</v>
      </c>
      <c r="BC457" s="81">
        <v>0</v>
      </c>
      <c r="BD457" s="81">
        <v>312.60000000000002</v>
      </c>
      <c r="BE457" s="81"/>
      <c r="BF457" s="81"/>
      <c r="BG457" s="81"/>
      <c r="BH457" s="81"/>
      <c r="BI457" s="81">
        <v>630</v>
      </c>
      <c r="BJ457" s="81"/>
      <c r="BK457" s="81"/>
      <c r="BL457" s="81"/>
      <c r="BM457" s="81"/>
      <c r="BN457" s="66" t="s">
        <v>2768</v>
      </c>
      <c r="BO457" s="66" t="s">
        <v>2768</v>
      </c>
      <c r="BP457" s="66" t="s">
        <v>2768</v>
      </c>
      <c r="BQ457" s="66" t="str">
        <f>PROPER(TEXT(Prog_23[[#This Row],[PROGRAMAÇÃO CLIENTE]],"mmm"))</f>
        <v>Ago</v>
      </c>
      <c r="BR457" s="66">
        <f>YEAR(Prog_23[[#This Row],[PROGRAMAÇÃO CLIENTE]])</f>
        <v>2023</v>
      </c>
    </row>
    <row r="458" spans="1:70" x14ac:dyDescent="0.25">
      <c r="A458" s="201" t="str">
        <f>Prog_23[[#This Row],[CONTEINER]]</f>
        <v>MNBU3243245</v>
      </c>
      <c r="B458" s="86" t="s">
        <v>2771</v>
      </c>
      <c r="C4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58" s="85">
        <v>45160.25</v>
      </c>
      <c r="E458" s="66" t="s">
        <v>5875</v>
      </c>
      <c r="F458" s="66" t="s">
        <v>5898</v>
      </c>
      <c r="G458" s="66" t="s">
        <v>6052</v>
      </c>
      <c r="H458" s="44" t="s">
        <v>6044</v>
      </c>
      <c r="I458" s="44" t="s">
        <v>6048</v>
      </c>
      <c r="J458" s="66" t="s">
        <v>459</v>
      </c>
      <c r="K458" s="66">
        <v>4300</v>
      </c>
      <c r="L458" s="66" t="s">
        <v>6071</v>
      </c>
      <c r="M458" s="66">
        <v>28112</v>
      </c>
      <c r="N458" s="66">
        <f>SUM(Prog_23[[#This Row],[TARA]]+Prog_23[[#This Row],[PESO]])</f>
        <v>32412</v>
      </c>
      <c r="O458" s="44">
        <v>10053</v>
      </c>
      <c r="P458" s="66" t="s">
        <v>6049</v>
      </c>
      <c r="Q458" s="66" t="s">
        <v>155</v>
      </c>
      <c r="R458" s="66" t="s">
        <v>209</v>
      </c>
      <c r="S458" s="66" t="s">
        <v>156</v>
      </c>
      <c r="T458" s="138" t="str">
        <f>IFERROR(LOOKUP($S458,MOTORISTAS!$D$3:$D$916,MOTORISTAS!E$3:$E$916),"")</f>
        <v>09803034863</v>
      </c>
      <c r="U458" s="138" t="str">
        <f>IFERROR(LOOKUP($S458,MOTORISTAS!$D$3:$D$916,MOTORISTAS!F$3:$F$916),"")</f>
        <v>01484565209</v>
      </c>
      <c r="V458" s="66" t="s">
        <v>410</v>
      </c>
      <c r="W458" s="79">
        <v>45159.944444444445</v>
      </c>
      <c r="X458" s="79">
        <v>45160.152777777781</v>
      </c>
      <c r="Y458" s="79">
        <v>45160.864583333336</v>
      </c>
      <c r="Z458" s="66" t="s">
        <v>292</v>
      </c>
      <c r="AA458" s="79">
        <v>45161.436111111114</v>
      </c>
      <c r="AB458" s="79">
        <v>45161.333333333336</v>
      </c>
      <c r="AC458" s="79">
        <v>45159.999305555553</v>
      </c>
      <c r="AD458" s="79">
        <v>45164.999305555553</v>
      </c>
      <c r="AE458" s="66" t="s">
        <v>708</v>
      </c>
      <c r="AF458" s="44">
        <v>17214</v>
      </c>
      <c r="AG458" s="254">
        <f>Prog_23[[#This Row],[SAÍDA DO CLIENTE]]-Prog_23[[#This Row],[PROGRAMAÇÃO CLIENTE]]</f>
        <v>0.61458333333575865</v>
      </c>
      <c r="AH458" s="44">
        <v>6687294</v>
      </c>
      <c r="AI458" s="66"/>
      <c r="AJ458" s="66"/>
      <c r="AK458" s="66"/>
      <c r="AL458" s="66"/>
      <c r="AM458" s="66"/>
      <c r="AN458" s="83"/>
      <c r="AO458" s="83">
        <v>0</v>
      </c>
      <c r="AP458" s="83"/>
      <c r="AQ458" s="66"/>
      <c r="AR458" s="66"/>
      <c r="AS458" s="66"/>
      <c r="AT458" s="81">
        <v>3200</v>
      </c>
      <c r="AU458" s="81"/>
      <c r="AV458" s="81"/>
      <c r="AW458" s="81"/>
      <c r="AX458" s="83">
        <f>SUM(Prog_23[[#This Row],[ADIANTAMENTO]]+Prog_23[[#This Row],[SALDO]]+Prog_23[[#This Row],[MARGEM]]+Prog_23[[#This Row],[ESTADIA 1]])</f>
        <v>3200</v>
      </c>
      <c r="AY4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58" s="81">
        <v>4307.3999999999996</v>
      </c>
      <c r="BA458" s="81">
        <v>178778.44</v>
      </c>
      <c r="BB458" s="81">
        <v>0</v>
      </c>
      <c r="BC458" s="81">
        <v>0</v>
      </c>
      <c r="BD458" s="81">
        <v>312.60000000000002</v>
      </c>
      <c r="BE458" s="81"/>
      <c r="BF458" s="81"/>
      <c r="BG458" s="81"/>
      <c r="BH458" s="81"/>
      <c r="BI458" s="81">
        <v>630</v>
      </c>
      <c r="BJ458" s="81"/>
      <c r="BK458" s="81"/>
      <c r="BL458" s="81"/>
      <c r="BM458" s="81"/>
      <c r="BN458" s="66" t="s">
        <v>2768</v>
      </c>
      <c r="BO458" s="66" t="s">
        <v>2768</v>
      </c>
      <c r="BP458" s="66" t="s">
        <v>2768</v>
      </c>
      <c r="BQ458" s="66" t="str">
        <f>PROPER(TEXT(Prog_23[[#This Row],[PROGRAMAÇÃO CLIENTE]],"mmm"))</f>
        <v>Ago</v>
      </c>
      <c r="BR458" s="66">
        <f>YEAR(Prog_23[[#This Row],[PROGRAMAÇÃO CLIENTE]])</f>
        <v>2023</v>
      </c>
    </row>
    <row r="459" spans="1:70" x14ac:dyDescent="0.25">
      <c r="A459" s="201" t="str">
        <f>Prog_23[[#This Row],[CONTEINER]]</f>
        <v>TEMU1652992</v>
      </c>
      <c r="B459" s="86" t="s">
        <v>2771</v>
      </c>
      <c r="C4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59" s="85">
        <v>45160.625</v>
      </c>
      <c r="E459" s="66" t="s">
        <v>5311</v>
      </c>
      <c r="F459" s="66" t="s">
        <v>5279</v>
      </c>
      <c r="G459" s="66"/>
      <c r="H459" s="44" t="s">
        <v>6083</v>
      </c>
      <c r="I459" s="44" t="s">
        <v>6126</v>
      </c>
      <c r="J459" s="66" t="s">
        <v>288</v>
      </c>
      <c r="K459" s="66">
        <v>2100</v>
      </c>
      <c r="L459" s="66">
        <v>164240</v>
      </c>
      <c r="M459" s="66">
        <v>24070</v>
      </c>
      <c r="N459" s="66">
        <f>SUM(Prog_23[[#This Row],[TARA]]+Prog_23[[#This Row],[PESO]])</f>
        <v>26170</v>
      </c>
      <c r="O459" s="44">
        <v>1976</v>
      </c>
      <c r="P459" s="66" t="s">
        <v>6082</v>
      </c>
      <c r="Q459" s="66" t="s">
        <v>106</v>
      </c>
      <c r="R459" s="66" t="s">
        <v>107</v>
      </c>
      <c r="S459" s="66" t="s">
        <v>3029</v>
      </c>
      <c r="T459" s="138" t="str">
        <f>IFERROR(LOOKUP($S459,MOTORISTAS!$D$3:$D$916,MOTORISTAS!E$3:$E$916),"")</f>
        <v>49533568453</v>
      </c>
      <c r="U459" s="138" t="str">
        <f>IFERROR(LOOKUP($S459,MOTORISTAS!$D$3:$D$916,MOTORISTAS!F$3:$F$916),"")</f>
        <v>00273334128</v>
      </c>
      <c r="V459" s="66" t="s">
        <v>900</v>
      </c>
      <c r="W459" s="79">
        <v>45160.472222222219</v>
      </c>
      <c r="X459" s="79">
        <v>45160.583333333336</v>
      </c>
      <c r="Y459" s="79">
        <v>45160.688888888886</v>
      </c>
      <c r="Z459" s="66" t="s">
        <v>293</v>
      </c>
      <c r="AA459" s="79">
        <v>45169.668055555558</v>
      </c>
      <c r="AB459" s="79">
        <v>45167.833333333336</v>
      </c>
      <c r="AC459" s="79">
        <v>45159.5</v>
      </c>
      <c r="AD459" s="79">
        <v>45163.75</v>
      </c>
      <c r="AE459" s="66" t="s">
        <v>5278</v>
      </c>
      <c r="AF459" s="44">
        <v>17245</v>
      </c>
      <c r="AG459" s="254">
        <f>Prog_23[[#This Row],[SAÍDA DO CLIENTE]]-Prog_23[[#This Row],[PROGRAMAÇÃO CLIENTE]]</f>
        <v>6.3888888886140194E-2</v>
      </c>
      <c r="AH459" s="44"/>
      <c r="AI459" s="66"/>
      <c r="AJ459" s="66"/>
      <c r="AK459" s="66" t="s">
        <v>393</v>
      </c>
      <c r="AL459" s="79">
        <v>45160.875</v>
      </c>
      <c r="AM459" s="66"/>
      <c r="AN459" s="83">
        <v>1300</v>
      </c>
      <c r="AO459" s="83"/>
      <c r="AP459" s="83"/>
      <c r="AQ459" s="66"/>
      <c r="AR459" s="66"/>
      <c r="AS459" s="66"/>
      <c r="AT459" s="81">
        <v>2600</v>
      </c>
      <c r="AU459" s="81"/>
      <c r="AV459" s="81"/>
      <c r="AW459" s="81"/>
      <c r="AX459" s="83">
        <f>SUM(Prog_23[[#This Row],[ADIANTAMENTO]]+Prog_23[[#This Row],[SALDO]]+Prog_23[[#This Row],[MARGEM]]+Prog_23[[#This Row],[ESTADIA 1]])</f>
        <v>2600</v>
      </c>
      <c r="AY4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4590.4093849999999</v>
      </c>
      <c r="AZ459" s="81">
        <v>2450</v>
      </c>
      <c r="BA459" s="81">
        <v>628939.59</v>
      </c>
      <c r="BB459" s="81">
        <f>Prog_23[[#This Row],[VLR NF]]*0.1%</f>
        <v>628.93958999999995</v>
      </c>
      <c r="BC459" s="81">
        <f>Prog_23[[#This Row],[VLR NF]]*0.05%</f>
        <v>314.46979499999998</v>
      </c>
      <c r="BD459" s="81">
        <v>352</v>
      </c>
      <c r="BE459" s="81"/>
      <c r="BF459" s="81">
        <v>245</v>
      </c>
      <c r="BG459" s="81"/>
      <c r="BH459" s="81"/>
      <c r="BI459" s="81"/>
      <c r="BJ459" s="81"/>
      <c r="BK459" s="81">
        <v>300</v>
      </c>
      <c r="BL459" s="81">
        <v>300</v>
      </c>
      <c r="BM459" s="81"/>
      <c r="BN459" s="66" t="s">
        <v>2768</v>
      </c>
      <c r="BO459" s="66" t="s">
        <v>2768</v>
      </c>
      <c r="BP459" s="66" t="s">
        <v>2768</v>
      </c>
      <c r="BQ459" s="66" t="str">
        <f>PROPER(TEXT(Prog_23[[#This Row],[PROGRAMAÇÃO CLIENTE]],"mmm"))</f>
        <v>Ago</v>
      </c>
      <c r="BR459" s="66">
        <f>YEAR(Prog_23[[#This Row],[PROGRAMAÇÃO CLIENTE]])</f>
        <v>2023</v>
      </c>
    </row>
    <row r="460" spans="1:70" x14ac:dyDescent="0.25">
      <c r="A460" s="201" t="str">
        <f>Prog_23[[#This Row],[CONTEINER]]</f>
        <v>TCLU8718646</v>
      </c>
      <c r="B460" s="86" t="s">
        <v>2771</v>
      </c>
      <c r="C4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60" s="85">
        <v>45160.291666666664</v>
      </c>
      <c r="E460" s="66" t="s">
        <v>5479</v>
      </c>
      <c r="F460" s="66" t="s">
        <v>5279</v>
      </c>
      <c r="G460" s="66"/>
      <c r="H460" s="44">
        <v>6362991470</v>
      </c>
      <c r="I460" s="44" t="s">
        <v>6097</v>
      </c>
      <c r="J460" s="66" t="s">
        <v>301</v>
      </c>
      <c r="K460" s="66">
        <v>3840</v>
      </c>
      <c r="L460" s="66">
        <v>499507</v>
      </c>
      <c r="M460" s="66">
        <v>25300</v>
      </c>
      <c r="N460" s="66">
        <f>SUM(Prog_23[[#This Row],[TARA]]+Prog_23[[#This Row],[PESO]])</f>
        <v>29140</v>
      </c>
      <c r="O460" s="44">
        <v>5867</v>
      </c>
      <c r="P460" s="66" t="s">
        <v>6072</v>
      </c>
      <c r="Q460" s="66" t="s">
        <v>68</v>
      </c>
      <c r="R460" s="66" t="s">
        <v>36</v>
      </c>
      <c r="S460" s="66" t="s">
        <v>206</v>
      </c>
      <c r="T460" s="138" t="str">
        <f>IFERROR(LOOKUP($S460,MOTORISTAS!$D$3:$D$916,MOTORISTAS!E$3:$E$916),"")</f>
        <v>09085263425</v>
      </c>
      <c r="U460" s="138" t="str">
        <f>IFERROR(LOOKUP($S460,MOTORISTAS!$D$3:$D$916,MOTORISTAS!F$3:$F$916),"")</f>
        <v>04557705505</v>
      </c>
      <c r="V460" s="66" t="s">
        <v>537</v>
      </c>
      <c r="W460" s="79">
        <v>45159.845138888886</v>
      </c>
      <c r="X460" s="79">
        <v>45160.048611111109</v>
      </c>
      <c r="Y460" s="79">
        <v>45160.472222222219</v>
      </c>
      <c r="Z460" s="66" t="s">
        <v>293</v>
      </c>
      <c r="AA460" s="79">
        <v>45165.911111111112</v>
      </c>
      <c r="AB460" s="79">
        <v>45165.583333333336</v>
      </c>
      <c r="AC460" s="79">
        <v>45161.5</v>
      </c>
      <c r="AD460" s="79">
        <v>45163.5</v>
      </c>
      <c r="AE460" s="66" t="s">
        <v>6073</v>
      </c>
      <c r="AF460" s="44">
        <v>17231</v>
      </c>
      <c r="AG460" s="254">
        <f>Prog_23[[#This Row],[SAÍDA DO CLIENTE]]-Prog_23[[#This Row],[PROGRAMAÇÃO CLIENTE]]</f>
        <v>0.18055555555474712</v>
      </c>
      <c r="AH460" s="44"/>
      <c r="AI460" s="66"/>
      <c r="AJ460" s="66"/>
      <c r="AK460" s="66" t="s">
        <v>393</v>
      </c>
      <c r="AL460" s="79">
        <v>45160.625</v>
      </c>
      <c r="AM460" s="66"/>
      <c r="AN460" s="83">
        <v>1300</v>
      </c>
      <c r="AO460" s="83"/>
      <c r="AP460" s="83"/>
      <c r="AQ460" s="66"/>
      <c r="AR460" s="66"/>
      <c r="AS460" s="66"/>
      <c r="AT460" s="81">
        <v>2400</v>
      </c>
      <c r="AU460" s="81"/>
      <c r="AV460" s="81">
        <v>400</v>
      </c>
      <c r="AW460" s="81"/>
      <c r="AX460" s="83">
        <f>SUM(Prog_23[[#This Row],[ADIANTAMENTO]]+Prog_23[[#This Row],[SALDO]]+Prog_23[[#This Row],[MARGEM]]+Prog_23[[#This Row],[ESTADIA 1]])</f>
        <v>2800</v>
      </c>
      <c r="AY4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3955.3058000000001</v>
      </c>
      <c r="AZ460" s="81">
        <v>2450</v>
      </c>
      <c r="BA460" s="81">
        <v>205537.2</v>
      </c>
      <c r="BB460" s="81">
        <f>Prog_23[[#This Row],[VLR NF]]*0.1%</f>
        <v>205.53720000000001</v>
      </c>
      <c r="BC460" s="81">
        <f>Prog_23[[#This Row],[VLR NF]]*0.05%</f>
        <v>102.76860000000001</v>
      </c>
      <c r="BD460" s="81">
        <v>352</v>
      </c>
      <c r="BE460" s="81"/>
      <c r="BF460" s="81">
        <f>Prog_23[[#This Row],[FRETE PESO]]*10%</f>
        <v>245</v>
      </c>
      <c r="BG460" s="81"/>
      <c r="BH460" s="81"/>
      <c r="BI460" s="81"/>
      <c r="BJ460" s="81"/>
      <c r="BK460" s="81">
        <v>300</v>
      </c>
      <c r="BL460" s="81">
        <v>300</v>
      </c>
      <c r="BM460" s="81"/>
      <c r="BN460" s="66" t="s">
        <v>2768</v>
      </c>
      <c r="BO460" s="66" t="s">
        <v>2768</v>
      </c>
      <c r="BP460" s="66" t="s">
        <v>2768</v>
      </c>
      <c r="BQ460" s="66" t="str">
        <f>PROPER(TEXT(Prog_23[[#This Row],[PROGRAMAÇÃO CLIENTE]],"mmm"))</f>
        <v>Ago</v>
      </c>
      <c r="BR460" s="66">
        <f>YEAR(Prog_23[[#This Row],[PROGRAMAÇÃO CLIENTE]])</f>
        <v>2023</v>
      </c>
    </row>
    <row r="461" spans="1:70" x14ac:dyDescent="0.25">
      <c r="A461" s="200" t="str">
        <f>Prog_23[[#This Row],[CONTEINER]]</f>
        <v>CBHU9423155</v>
      </c>
      <c r="B461" s="86" t="s">
        <v>2771</v>
      </c>
      <c r="C4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61" s="85">
        <v>45160.291666666664</v>
      </c>
      <c r="E461" s="66" t="s">
        <v>5479</v>
      </c>
      <c r="F461" s="66" t="s">
        <v>5279</v>
      </c>
      <c r="G461" s="66"/>
      <c r="H461" s="44">
        <v>6362991470</v>
      </c>
      <c r="I461" s="44" t="s">
        <v>6120</v>
      </c>
      <c r="J461" s="66" t="s">
        <v>301</v>
      </c>
      <c r="K461" s="66">
        <v>3830</v>
      </c>
      <c r="L461" s="66">
        <v>499552</v>
      </c>
      <c r="M461" s="66">
        <v>25040</v>
      </c>
      <c r="N461" s="66">
        <f>SUM(Prog_23[[#This Row],[TARA]]+Prog_23[[#This Row],[PESO]])</f>
        <v>28870</v>
      </c>
      <c r="O461" s="44">
        <v>5870</v>
      </c>
      <c r="P461" s="66" t="s">
        <v>6072</v>
      </c>
      <c r="Q461" s="66" t="s">
        <v>92</v>
      </c>
      <c r="R461" s="66" t="s">
        <v>93</v>
      </c>
      <c r="S461" s="66" t="s">
        <v>94</v>
      </c>
      <c r="T461" s="138" t="str">
        <f>IFERROR(LOOKUP($S461,MOTORISTAS!$D$3:$D$916,MOTORISTAS!E$3:$E$916),"")</f>
        <v>26283419801</v>
      </c>
      <c r="U461" s="138" t="str">
        <f>IFERROR(LOOKUP($S461,MOTORISTAS!$D$3:$D$916,MOTORISTAS!F$3:$F$916),"")</f>
        <v>02002046946</v>
      </c>
      <c r="V461" s="66" t="s">
        <v>537</v>
      </c>
      <c r="W461" s="79">
        <v>45159.765277777777</v>
      </c>
      <c r="X461" s="79">
        <v>45160.304861111108</v>
      </c>
      <c r="Y461" s="79">
        <v>45160.541666666664</v>
      </c>
      <c r="Z461" s="66" t="s">
        <v>293</v>
      </c>
      <c r="AA461" s="79">
        <v>45165.986805555556</v>
      </c>
      <c r="AB461" s="79">
        <v>45165.583333333336</v>
      </c>
      <c r="AC461" s="79">
        <v>45161.5</v>
      </c>
      <c r="AD461" s="79">
        <v>45163.5</v>
      </c>
      <c r="AE461" s="66" t="s">
        <v>6073</v>
      </c>
      <c r="AF461" s="44">
        <v>17233</v>
      </c>
      <c r="AG461" s="254">
        <f>Prog_23[[#This Row],[SAÍDA DO CLIENTE]]-Prog_23[[#This Row],[PROGRAMAÇÃO CLIENTE]]</f>
        <v>0.25</v>
      </c>
      <c r="AH461" s="44"/>
      <c r="AI461" s="66"/>
      <c r="AJ461" s="66"/>
      <c r="AK461" s="66" t="s">
        <v>393</v>
      </c>
      <c r="AL461" s="79">
        <v>45160.916666666664</v>
      </c>
      <c r="AM461" s="66"/>
      <c r="AN461" s="83">
        <v>1300</v>
      </c>
      <c r="AO461" s="83"/>
      <c r="AP461" s="83"/>
      <c r="AQ461" s="66"/>
      <c r="AR461" s="66"/>
      <c r="AS461" s="66"/>
      <c r="AT461" s="81">
        <v>2400</v>
      </c>
      <c r="AU461" s="81"/>
      <c r="AV461" s="81">
        <v>400</v>
      </c>
      <c r="AW461" s="81"/>
      <c r="AX461" s="83">
        <f>SUM(Prog_23[[#This Row],[ADIANTAMENTO]]+Prog_23[[#This Row],[SALDO]]+Prog_23[[#This Row],[MARGEM]]+Prog_23[[#This Row],[ESTADIA 1]])</f>
        <v>2800</v>
      </c>
      <c r="AY4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3952.13744</v>
      </c>
      <c r="AZ461" s="81">
        <v>2450</v>
      </c>
      <c r="BA461" s="81">
        <v>203424.96</v>
      </c>
      <c r="BB461" s="81">
        <f>Prog_23[[#This Row],[VLR NF]]*0.1%</f>
        <v>203.42496</v>
      </c>
      <c r="BC461" s="81">
        <f>Prog_23[[#This Row],[VLR NF]]*0.05%</f>
        <v>101.71248</v>
      </c>
      <c r="BD461" s="81">
        <v>352</v>
      </c>
      <c r="BE461" s="81"/>
      <c r="BF461" s="81">
        <f>Prog_23[[#This Row],[FRETE PESO]]*10%</f>
        <v>245</v>
      </c>
      <c r="BG461" s="81"/>
      <c r="BH461" s="81"/>
      <c r="BI461" s="81"/>
      <c r="BJ461" s="81"/>
      <c r="BK461" s="81">
        <v>300</v>
      </c>
      <c r="BL461" s="81">
        <v>300</v>
      </c>
      <c r="BM461" s="81"/>
      <c r="BN461" s="66" t="s">
        <v>2768</v>
      </c>
      <c r="BO461" s="66" t="s">
        <v>2768</v>
      </c>
      <c r="BP461" s="66" t="s">
        <v>2768</v>
      </c>
      <c r="BQ461" s="66" t="str">
        <f>PROPER(TEXT(Prog_23[[#This Row],[PROGRAMAÇÃO CLIENTE]],"mmm"))</f>
        <v>Ago</v>
      </c>
      <c r="BR461" s="66">
        <f>YEAR(Prog_23[[#This Row],[PROGRAMAÇÃO CLIENTE]])</f>
        <v>2023</v>
      </c>
    </row>
    <row r="462" spans="1:70" x14ac:dyDescent="0.25">
      <c r="A462" s="201" t="str">
        <f>Prog_23[[#This Row],[CONTEINER]]</f>
        <v>BMOU5840844</v>
      </c>
      <c r="B462" s="86" t="s">
        <v>2771</v>
      </c>
      <c r="C4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62" s="85">
        <v>45160.291666666664</v>
      </c>
      <c r="E462" s="66" t="s">
        <v>5479</v>
      </c>
      <c r="F462" s="66" t="s">
        <v>5279</v>
      </c>
      <c r="G462" s="66"/>
      <c r="H462" s="44">
        <v>6362991470</v>
      </c>
      <c r="I462" s="44" t="s">
        <v>6121</v>
      </c>
      <c r="J462" s="66" t="s">
        <v>301</v>
      </c>
      <c r="K462" s="66">
        <v>3850</v>
      </c>
      <c r="L462" s="66">
        <v>499505</v>
      </c>
      <c r="M462" s="66">
        <v>25360</v>
      </c>
      <c r="N462" s="66">
        <v>29190</v>
      </c>
      <c r="O462" s="44">
        <v>5868</v>
      </c>
      <c r="P462" s="66" t="s">
        <v>6072</v>
      </c>
      <c r="Q462" s="66" t="s">
        <v>72</v>
      </c>
      <c r="R462" s="66" t="s">
        <v>5655</v>
      </c>
      <c r="S462" s="66" t="s">
        <v>69</v>
      </c>
      <c r="T462" s="138" t="str">
        <f>IFERROR(LOOKUP($S462,MOTORISTAS!$D$3:$D$916,MOTORISTAS!E$3:$E$916),"")</f>
        <v>07968457866</v>
      </c>
      <c r="U462" s="138" t="str">
        <f>IFERROR(LOOKUP($S462,MOTORISTAS!$D$3:$D$916,MOTORISTAS!F$3:$F$916),"")</f>
        <v>03264365790</v>
      </c>
      <c r="V462" s="66" t="s">
        <v>537</v>
      </c>
      <c r="W462" s="79">
        <v>45159.911111111112</v>
      </c>
      <c r="X462" s="79">
        <v>45160.048611111109</v>
      </c>
      <c r="Y462" s="79">
        <v>45160.472222222219</v>
      </c>
      <c r="Z462" s="66" t="s">
        <v>293</v>
      </c>
      <c r="AA462" s="79">
        <v>45165.899305555555</v>
      </c>
      <c r="AB462" s="79">
        <v>45165.583333333336</v>
      </c>
      <c r="AC462" s="79">
        <v>45161.5</v>
      </c>
      <c r="AD462" s="79">
        <v>45163.5</v>
      </c>
      <c r="AE462" s="66" t="s">
        <v>6073</v>
      </c>
      <c r="AF462" s="44">
        <v>17232</v>
      </c>
      <c r="AG462" s="254">
        <f>Prog_23[[#This Row],[SAÍDA DO CLIENTE]]-Prog_23[[#This Row],[PROGRAMAÇÃO CLIENTE]]</f>
        <v>0.18055555555474712</v>
      </c>
      <c r="AH462" s="44"/>
      <c r="AI462" s="66"/>
      <c r="AJ462" s="66"/>
      <c r="AK462" s="66" t="s">
        <v>393</v>
      </c>
      <c r="AL462" s="79">
        <v>45160.625</v>
      </c>
      <c r="AM462" s="66"/>
      <c r="AN462" s="83">
        <v>1300</v>
      </c>
      <c r="AO462" s="83"/>
      <c r="AP462" s="83"/>
      <c r="AQ462" s="66"/>
      <c r="AR462" s="66"/>
      <c r="AS462" s="66"/>
      <c r="AT462" s="81">
        <v>2400</v>
      </c>
      <c r="AU462" s="81"/>
      <c r="AV462" s="81">
        <v>400</v>
      </c>
      <c r="AW462" s="81"/>
      <c r="AX462" s="83">
        <f>SUM(Prog_23[[#This Row],[ADIANTAMENTO]]+Prog_23[[#This Row],[SALDO]]+Prog_23[[#This Row],[MARGEM]]+Prog_23[[#This Row],[ESTADIA 1]])</f>
        <v>2800</v>
      </c>
      <c r="AY4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3956.0369599999999</v>
      </c>
      <c r="AZ462" s="81">
        <v>2450</v>
      </c>
      <c r="BA462" s="81">
        <v>206024.64</v>
      </c>
      <c r="BB462" s="81">
        <f>Prog_23[[#This Row],[VLR NF]]*0.1%</f>
        <v>206.02464000000001</v>
      </c>
      <c r="BC462" s="81">
        <f>Prog_23[[#This Row],[VLR NF]]*0.05%</f>
        <v>103.01232</v>
      </c>
      <c r="BD462" s="81">
        <v>352</v>
      </c>
      <c r="BE462" s="81"/>
      <c r="BF462" s="81">
        <f>Prog_23[[#This Row],[FRETE PESO]]*10%</f>
        <v>245</v>
      </c>
      <c r="BG462" s="81"/>
      <c r="BH462" s="81"/>
      <c r="BI462" s="81"/>
      <c r="BJ462" s="81"/>
      <c r="BK462" s="81">
        <v>300</v>
      </c>
      <c r="BL462" s="81">
        <v>300</v>
      </c>
      <c r="BM462" s="81"/>
      <c r="BN462" s="66" t="s">
        <v>2768</v>
      </c>
      <c r="BO462" s="66" t="s">
        <v>2768</v>
      </c>
      <c r="BP462" s="66" t="s">
        <v>2768</v>
      </c>
      <c r="BQ462" s="66" t="str">
        <f>PROPER(TEXT(Prog_23[[#This Row],[PROGRAMAÇÃO CLIENTE]],"mmm"))</f>
        <v>Ago</v>
      </c>
      <c r="BR462" s="66">
        <f>YEAR(Prog_23[[#This Row],[PROGRAMAÇÃO CLIENTE]])</f>
        <v>2023</v>
      </c>
    </row>
    <row r="463" spans="1:70" x14ac:dyDescent="0.25">
      <c r="A463" s="200" t="str">
        <f>Prog_23[[#This Row],[CONTEINER]]</f>
        <v>CCLU7456231</v>
      </c>
      <c r="B463" s="86" t="s">
        <v>2771</v>
      </c>
      <c r="C4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63" s="85">
        <v>45160.291666666664</v>
      </c>
      <c r="E463" s="66" t="s">
        <v>5479</v>
      </c>
      <c r="F463" s="66" t="s">
        <v>5279</v>
      </c>
      <c r="G463" s="66"/>
      <c r="H463" s="44">
        <v>6362991470</v>
      </c>
      <c r="I463" s="44" t="s">
        <v>6098</v>
      </c>
      <c r="J463" s="66" t="s">
        <v>301</v>
      </c>
      <c r="K463" s="66">
        <v>3890</v>
      </c>
      <c r="L463" s="66">
        <v>499510</v>
      </c>
      <c r="M463" s="66">
        <v>25210</v>
      </c>
      <c r="N463" s="66">
        <f>SUM(Prog_23[[#This Row],[TARA]]+Prog_23[[#This Row],[PESO]])</f>
        <v>29100</v>
      </c>
      <c r="O463" s="44">
        <v>5869</v>
      </c>
      <c r="P463" s="66" t="s">
        <v>6072</v>
      </c>
      <c r="Q463" s="66" t="s">
        <v>150</v>
      </c>
      <c r="R463" s="66" t="s">
        <v>151</v>
      </c>
      <c r="S463" s="66" t="s">
        <v>2678</v>
      </c>
      <c r="T463" s="138" t="str">
        <f>IFERROR(LOOKUP($S463,MOTORISTAS!$D$3:$D$916,MOTORISTAS!E$3:$E$916),"")</f>
        <v>28386357860</v>
      </c>
      <c r="U463" s="138" t="str">
        <f>IFERROR(LOOKUP($S463,MOTORISTAS!$D$3:$D$916,MOTORISTAS!F$3:$F$916),"")</f>
        <v>01042201192</v>
      </c>
      <c r="V463" s="66" t="s">
        <v>537</v>
      </c>
      <c r="W463" s="79">
        <v>45159.86041666667</v>
      </c>
      <c r="X463" s="79">
        <v>45160.304861111108</v>
      </c>
      <c r="Y463" s="79">
        <v>45160.541666666664</v>
      </c>
      <c r="Z463" s="66" t="s">
        <v>293</v>
      </c>
      <c r="AA463" s="79">
        <v>45165.911111111112</v>
      </c>
      <c r="AB463" s="79">
        <v>45165.583333333336</v>
      </c>
      <c r="AC463" s="79">
        <v>45161.5</v>
      </c>
      <c r="AD463" s="79">
        <v>45163.5</v>
      </c>
      <c r="AE463" s="66" t="s">
        <v>6073</v>
      </c>
      <c r="AF463" s="44">
        <v>17234</v>
      </c>
      <c r="AG463" s="254">
        <f>Prog_23[[#This Row],[SAÍDA DO CLIENTE]]-Prog_23[[#This Row],[PROGRAMAÇÃO CLIENTE]]</f>
        <v>0.25</v>
      </c>
      <c r="AH463" s="44"/>
      <c r="AI463" s="66"/>
      <c r="AJ463" s="66"/>
      <c r="AK463" s="66" t="s">
        <v>393</v>
      </c>
      <c r="AL463" s="79">
        <v>45160.916666666664</v>
      </c>
      <c r="AM463" s="66"/>
      <c r="AN463" s="83">
        <v>1300</v>
      </c>
      <c r="AO463" s="83"/>
      <c r="AP463" s="83"/>
      <c r="AQ463" s="66"/>
      <c r="AR463" s="66"/>
      <c r="AS463" s="66"/>
      <c r="AT463" s="81">
        <v>2400</v>
      </c>
      <c r="AU463" s="81"/>
      <c r="AV463" s="81">
        <v>400</v>
      </c>
      <c r="AW463" s="81"/>
      <c r="AX463" s="83">
        <f>SUM(Prog_23[[#This Row],[ADIANTAMENTO]]+Prog_23[[#This Row],[SALDO]]+Prog_23[[#This Row],[MARGEM]]+Prog_23[[#This Row],[ESTADIA 1]])</f>
        <v>2800</v>
      </c>
      <c r="AY4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3954.2090600000001</v>
      </c>
      <c r="AZ463" s="81">
        <v>2450</v>
      </c>
      <c r="BA463" s="81">
        <v>204806.04</v>
      </c>
      <c r="BB463" s="81">
        <f>Prog_23[[#This Row],[VLR NF]]*0.1%</f>
        <v>204.80604000000002</v>
      </c>
      <c r="BC463" s="81">
        <f>Prog_23[[#This Row],[VLR NF]]*0.05%</f>
        <v>102.40302000000001</v>
      </c>
      <c r="BD463" s="81">
        <v>352</v>
      </c>
      <c r="BE463" s="81"/>
      <c r="BF463" s="81">
        <f>Prog_23[[#This Row],[FRETE PESO]]*10%</f>
        <v>245</v>
      </c>
      <c r="BG463" s="81"/>
      <c r="BH463" s="81"/>
      <c r="BI463" s="81"/>
      <c r="BJ463" s="81"/>
      <c r="BK463" s="81">
        <v>300</v>
      </c>
      <c r="BL463" s="81">
        <v>300</v>
      </c>
      <c r="BM463" s="81"/>
      <c r="BN463" s="66" t="s">
        <v>2768</v>
      </c>
      <c r="BO463" s="66" t="s">
        <v>2768</v>
      </c>
      <c r="BP463" s="66" t="s">
        <v>2768</v>
      </c>
      <c r="BQ463" s="66" t="str">
        <f>PROPER(TEXT(Prog_23[[#This Row],[PROGRAMAÇÃO CLIENTE]],"mmm"))</f>
        <v>Ago</v>
      </c>
      <c r="BR463" s="66">
        <f>YEAR(Prog_23[[#This Row],[PROGRAMAÇÃO CLIENTE]])</f>
        <v>2023</v>
      </c>
    </row>
    <row r="464" spans="1:70" x14ac:dyDescent="0.25">
      <c r="A464" s="200" t="str">
        <f>Prog_23[[#This Row],[CONTEINER]]</f>
        <v>GESU1438790</v>
      </c>
      <c r="B464" s="86" t="s">
        <v>2909</v>
      </c>
      <c r="C4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64" s="85">
        <v>45161.291666666664</v>
      </c>
      <c r="E464" s="66" t="s">
        <v>696</v>
      </c>
      <c r="F464" s="66" t="s">
        <v>697</v>
      </c>
      <c r="G464" s="66" t="s">
        <v>6092</v>
      </c>
      <c r="H464" s="44">
        <v>11686</v>
      </c>
      <c r="I464" s="44" t="s">
        <v>6091</v>
      </c>
      <c r="J464" s="66" t="s">
        <v>288</v>
      </c>
      <c r="K464" s="66">
        <v>2180</v>
      </c>
      <c r="L464" s="66">
        <v>1117377</v>
      </c>
      <c r="M464" s="66"/>
      <c r="N464" s="66">
        <f>SUM(Prog_23[[#This Row],[TARA]]+Prog_23[[#This Row],[PESO]])</f>
        <v>2180</v>
      </c>
      <c r="O464" s="44"/>
      <c r="P464" s="66"/>
      <c r="Q464" s="66" t="s">
        <v>68</v>
      </c>
      <c r="R464" s="66" t="s">
        <v>6135</v>
      </c>
      <c r="S464" s="66" t="s">
        <v>206</v>
      </c>
      <c r="T464" s="138" t="str">
        <f>IFERROR(LOOKUP($S464,MOTORISTAS!$D$3:$D$916,MOTORISTAS!E$3:$E$916),"")</f>
        <v>09085263425</v>
      </c>
      <c r="U464" s="138" t="str">
        <f>IFERROR(LOOKUP($S464,MOTORISTAS!$D$3:$D$916,MOTORISTAS!F$3:$F$916),"")</f>
        <v>04557705505</v>
      </c>
      <c r="V464" s="66" t="s">
        <v>306</v>
      </c>
      <c r="W464" s="79">
        <v>45161.5</v>
      </c>
      <c r="X464" s="79">
        <v>45161.576388888891</v>
      </c>
      <c r="Y464" s="66"/>
      <c r="Z464" s="66"/>
      <c r="AA464" s="66"/>
      <c r="AB464" s="66"/>
      <c r="AC464" s="66"/>
      <c r="AD464" s="66"/>
      <c r="AE464" s="66"/>
      <c r="AF464" s="44"/>
      <c r="AG464" s="254">
        <f>Prog_23[[#This Row],[SAÍDA DO CLIENTE]]-Prog_23[[#This Row],[PROGRAMAÇÃO CLIENTE]]</f>
        <v>-45161.291666666664</v>
      </c>
      <c r="AH464" s="44"/>
      <c r="AI464" s="66"/>
      <c r="AJ464" s="66"/>
      <c r="AK464" s="66"/>
      <c r="AL464" s="66"/>
      <c r="AM464" s="66"/>
      <c r="AN464" s="83"/>
      <c r="AO464" s="83"/>
      <c r="AP464" s="83"/>
      <c r="AQ464" s="66"/>
      <c r="AR464" s="66"/>
      <c r="AS464" s="66"/>
      <c r="AT464" s="81"/>
      <c r="AU464" s="81"/>
      <c r="AV464" s="81"/>
      <c r="AW464" s="81"/>
      <c r="AX464" s="83">
        <f>SUM(Prog_23[[#This Row],[ADIANTAMENTO]]+Prog_23[[#This Row],[SALDO]]+Prog_23[[#This Row],[MARGEM]]+Prog_23[[#This Row],[ESTADIA 1]])</f>
        <v>0</v>
      </c>
      <c r="AY4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464" s="81"/>
      <c r="BA464" s="81"/>
      <c r="BB464" s="81">
        <f>Prog_23[[#This Row],[VLR NF]]*0.1%</f>
        <v>0</v>
      </c>
      <c r="BC464" s="81">
        <f>Prog_23[[#This Row],[VLR NF]]*0.05%</f>
        <v>0</v>
      </c>
      <c r="BD464" s="81"/>
      <c r="BE464" s="81"/>
      <c r="BF464" s="81"/>
      <c r="BG464" s="81"/>
      <c r="BH464" s="81"/>
      <c r="BI464" s="81"/>
      <c r="BJ464" s="81"/>
      <c r="BK464" s="81"/>
      <c r="BL464" s="81"/>
      <c r="BM464" s="81"/>
      <c r="BN464" s="66"/>
      <c r="BO464" s="66"/>
      <c r="BP464" s="66"/>
      <c r="BQ464" s="66" t="str">
        <f>PROPER(TEXT(Prog_23[[#This Row],[PROGRAMAÇÃO CLIENTE]],"mmm"))</f>
        <v>Ago</v>
      </c>
      <c r="BR464" s="66">
        <f>YEAR(Prog_23[[#This Row],[PROGRAMAÇÃO CLIENTE]])</f>
        <v>2023</v>
      </c>
    </row>
    <row r="465" spans="1:70" x14ac:dyDescent="0.25">
      <c r="A465" s="200" t="str">
        <f>Prog_23[[#This Row],[CONTEINER]]</f>
        <v>TCLU8608633</v>
      </c>
      <c r="B465" s="86" t="s">
        <v>2909</v>
      </c>
      <c r="C4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65" s="85">
        <v>45162.25</v>
      </c>
      <c r="E465" s="66" t="s">
        <v>5875</v>
      </c>
      <c r="F465" s="66" t="s">
        <v>5898</v>
      </c>
      <c r="G465" s="66" t="s">
        <v>6059</v>
      </c>
      <c r="H465" s="44" t="s">
        <v>6053</v>
      </c>
      <c r="I465" s="44" t="s">
        <v>6055</v>
      </c>
      <c r="J465" s="66" t="s">
        <v>301</v>
      </c>
      <c r="K465" s="66">
        <v>3900</v>
      </c>
      <c r="L465" s="66" t="s">
        <v>6147</v>
      </c>
      <c r="M465" s="66">
        <v>25959</v>
      </c>
      <c r="N465" s="66">
        <f>SUM(Prog_23[[#This Row],[TARA]]+Prog_23[[#This Row],[PESO]])</f>
        <v>29859</v>
      </c>
      <c r="O465" s="44">
        <v>10060</v>
      </c>
      <c r="P465" s="66" t="s">
        <v>6054</v>
      </c>
      <c r="Q465" s="66" t="s">
        <v>68</v>
      </c>
      <c r="R465" s="66" t="s">
        <v>36</v>
      </c>
      <c r="S465" s="66" t="s">
        <v>206</v>
      </c>
      <c r="T465" s="138" t="str">
        <f>IFERROR(LOOKUP($S465,MOTORISTAS!$D$3:$D$916,MOTORISTAS!E$3:$E$916),"")</f>
        <v>09085263425</v>
      </c>
      <c r="U465" s="138" t="str">
        <f>IFERROR(LOOKUP($S465,MOTORISTAS!$D$3:$D$916,MOTORISTAS!F$3:$F$916),"")</f>
        <v>04557705505</v>
      </c>
      <c r="V465" s="66" t="s">
        <v>1439</v>
      </c>
      <c r="W465" s="79">
        <v>45161.9375</v>
      </c>
      <c r="X465" s="79">
        <v>45162.131944444445</v>
      </c>
      <c r="Y465" s="79">
        <v>45162.54583333333</v>
      </c>
      <c r="Z465" s="66" t="s">
        <v>292</v>
      </c>
      <c r="AA465" s="79">
        <v>45164.443749999999</v>
      </c>
      <c r="AB465" s="79">
        <v>45163.25</v>
      </c>
      <c r="AC465" s="79">
        <v>45166.999305555553</v>
      </c>
      <c r="AD465" s="79">
        <v>45170.999305555553</v>
      </c>
      <c r="AE465" s="66" t="s">
        <v>708</v>
      </c>
      <c r="AF465" s="44">
        <v>17247</v>
      </c>
      <c r="AG465" s="254">
        <f>Prog_23[[#This Row],[SAÍDA DO CLIENTE]]-Prog_23[[#This Row],[PROGRAMAÇÃO CLIENTE]]</f>
        <v>0.29583333332993789</v>
      </c>
      <c r="AH465" s="44"/>
      <c r="AI465" s="66"/>
      <c r="AJ465" s="66"/>
      <c r="AK465" s="66"/>
      <c r="AL465" s="66"/>
      <c r="AM465" s="66"/>
      <c r="AN465" s="83"/>
      <c r="AO465" s="83">
        <v>0</v>
      </c>
      <c r="AP465" s="83"/>
      <c r="AQ465" s="66"/>
      <c r="AR465" s="66"/>
      <c r="AS465" s="66"/>
      <c r="AT465" s="81">
        <v>3200</v>
      </c>
      <c r="AU465" s="81"/>
      <c r="AV465" s="81"/>
      <c r="AW465" s="81"/>
      <c r="AX465" s="83">
        <f>SUM(Prog_23[[#This Row],[ADIANTAMENTO]]+Prog_23[[#This Row],[SALDO]]+Prog_23[[#This Row],[MARGEM]]+Prog_23[[#This Row],[ESTADIA 1]])</f>
        <v>3200</v>
      </c>
      <c r="AY4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65" s="81">
        <v>4307.3999999999996</v>
      </c>
      <c r="BA465" s="81"/>
      <c r="BB465" s="81">
        <f>Prog_23[[#This Row],[VLR NF]]*0.1%</f>
        <v>0</v>
      </c>
      <c r="BC465" s="81">
        <f>Prog_23[[#This Row],[VLR NF]]*0.05%</f>
        <v>0</v>
      </c>
      <c r="BD465" s="81">
        <v>312.60000000000002</v>
      </c>
      <c r="BE465" s="81"/>
      <c r="BF465" s="81"/>
      <c r="BG465" s="81"/>
      <c r="BH465" s="81"/>
      <c r="BI465" s="81">
        <v>630</v>
      </c>
      <c r="BJ465" s="81"/>
      <c r="BK465" s="81"/>
      <c r="BL465" s="81"/>
      <c r="BM465" s="81"/>
      <c r="BN465" s="66" t="s">
        <v>2768</v>
      </c>
      <c r="BO465" s="66" t="s">
        <v>2768</v>
      </c>
      <c r="BP465" s="66"/>
      <c r="BQ465" s="66" t="str">
        <f>PROPER(TEXT(Prog_23[[#This Row],[PROGRAMAÇÃO CLIENTE]],"mmm"))</f>
        <v>Ago</v>
      </c>
      <c r="BR465" s="66">
        <f>YEAR(Prog_23[[#This Row],[PROGRAMAÇÃO CLIENTE]])</f>
        <v>2023</v>
      </c>
    </row>
    <row r="466" spans="1:70" x14ac:dyDescent="0.25">
      <c r="A466" s="201" t="str">
        <f>Prog_23[[#This Row],[CONTEINER]]</f>
        <v>TCLU8785109</v>
      </c>
      <c r="B466" s="86" t="s">
        <v>2909</v>
      </c>
      <c r="C4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66" s="85">
        <v>45162.25</v>
      </c>
      <c r="E466" s="66" t="s">
        <v>5875</v>
      </c>
      <c r="F466" s="66" t="s">
        <v>5898</v>
      </c>
      <c r="G466" s="66" t="s">
        <v>6059</v>
      </c>
      <c r="H466" s="44" t="s">
        <v>6053</v>
      </c>
      <c r="I466" s="44" t="s">
        <v>6056</v>
      </c>
      <c r="J466" s="66" t="s">
        <v>301</v>
      </c>
      <c r="K466" s="66">
        <v>3900</v>
      </c>
      <c r="L466" s="66" t="s">
        <v>6148</v>
      </c>
      <c r="M466" s="66">
        <v>25959</v>
      </c>
      <c r="N466" s="66">
        <f>SUM(Prog_23[[#This Row],[TARA]]+Prog_23[[#This Row],[PESO]])</f>
        <v>29859</v>
      </c>
      <c r="O466" s="44">
        <v>10058</v>
      </c>
      <c r="P466" s="66" t="s">
        <v>6054</v>
      </c>
      <c r="Q466" s="66" t="s">
        <v>92</v>
      </c>
      <c r="R466" s="66" t="s">
        <v>93</v>
      </c>
      <c r="S466" s="66" t="s">
        <v>94</v>
      </c>
      <c r="T466" s="138" t="str">
        <f>IFERROR(LOOKUP($S466,MOTORISTAS!$D$3:$D$916,MOTORISTAS!E$3:$E$916),"")</f>
        <v>26283419801</v>
      </c>
      <c r="U466" s="138" t="str">
        <f>IFERROR(LOOKUP($S466,MOTORISTAS!$D$3:$D$916,MOTORISTAS!F$3:$F$916),"")</f>
        <v>02002046946</v>
      </c>
      <c r="V466" s="66" t="s">
        <v>1439</v>
      </c>
      <c r="W466" s="79">
        <v>45161.958333333336</v>
      </c>
      <c r="X466" s="79">
        <v>45162.1875</v>
      </c>
      <c r="Y466" s="79">
        <v>45162.675000000003</v>
      </c>
      <c r="Z466" s="66" t="s">
        <v>292</v>
      </c>
      <c r="AA466" s="79">
        <v>45163.479861111111</v>
      </c>
      <c r="AB466" s="79">
        <v>45163.25</v>
      </c>
      <c r="AC466" s="79">
        <v>45166.999305555553</v>
      </c>
      <c r="AD466" s="79">
        <v>45170.999305555553</v>
      </c>
      <c r="AE466" s="66" t="s">
        <v>708</v>
      </c>
      <c r="AF466" s="44">
        <v>17248</v>
      </c>
      <c r="AG466" s="254">
        <f>Prog_23[[#This Row],[SAÍDA DO CLIENTE]]-Prog_23[[#This Row],[PROGRAMAÇÃO CLIENTE]]</f>
        <v>0.42500000000291038</v>
      </c>
      <c r="AH466" s="44"/>
      <c r="AI466" s="66"/>
      <c r="AJ466" s="66"/>
      <c r="AK466" s="66"/>
      <c r="AL466" s="66"/>
      <c r="AM466" s="66"/>
      <c r="AN466" s="83"/>
      <c r="AO466" s="83">
        <v>0</v>
      </c>
      <c r="AP466" s="83"/>
      <c r="AQ466" s="66"/>
      <c r="AR466" s="66"/>
      <c r="AS466" s="66"/>
      <c r="AT466" s="81">
        <v>3200</v>
      </c>
      <c r="AU466" s="81"/>
      <c r="AV466" s="81"/>
      <c r="AW466" s="81"/>
      <c r="AX466" s="83">
        <f>SUM(Prog_23[[#This Row],[ADIANTAMENTO]]+Prog_23[[#This Row],[SALDO]]+Prog_23[[#This Row],[MARGEM]]+Prog_23[[#This Row],[ESTADIA 1]])</f>
        <v>3200</v>
      </c>
      <c r="AY4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66" s="81">
        <v>4307.3999999999996</v>
      </c>
      <c r="BA466" s="81"/>
      <c r="BB466" s="81">
        <f>Prog_23[[#This Row],[VLR NF]]*0.1%</f>
        <v>0</v>
      </c>
      <c r="BC466" s="81">
        <f>Prog_23[[#This Row],[VLR NF]]*0.05%</f>
        <v>0</v>
      </c>
      <c r="BD466" s="81">
        <v>312.60000000000002</v>
      </c>
      <c r="BE466" s="81"/>
      <c r="BF466" s="81"/>
      <c r="BG466" s="81"/>
      <c r="BH466" s="81"/>
      <c r="BI466" s="81">
        <v>630</v>
      </c>
      <c r="BJ466" s="81"/>
      <c r="BK466" s="81"/>
      <c r="BL466" s="81"/>
      <c r="BM466" s="81"/>
      <c r="BN466" s="66" t="s">
        <v>2768</v>
      </c>
      <c r="BO466" s="66" t="s">
        <v>2768</v>
      </c>
      <c r="BP466" s="66"/>
      <c r="BQ466" s="66" t="str">
        <f>PROPER(TEXT(Prog_23[[#This Row],[PROGRAMAÇÃO CLIENTE]],"mmm"))</f>
        <v>Ago</v>
      </c>
      <c r="BR466" s="66">
        <f>YEAR(Prog_23[[#This Row],[PROGRAMAÇÃO CLIENTE]])</f>
        <v>2023</v>
      </c>
    </row>
    <row r="467" spans="1:70" x14ac:dyDescent="0.25">
      <c r="A467" s="200" t="str">
        <f>Prog_23[[#This Row],[CONTEINER]]</f>
        <v>MRSU5955745</v>
      </c>
      <c r="B467" s="86" t="s">
        <v>2909</v>
      </c>
      <c r="C4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67" s="85">
        <v>45162.25</v>
      </c>
      <c r="E467" s="66" t="s">
        <v>5875</v>
      </c>
      <c r="F467" s="66" t="s">
        <v>5898</v>
      </c>
      <c r="G467" s="66" t="s">
        <v>6059</v>
      </c>
      <c r="H467" s="44" t="s">
        <v>6053</v>
      </c>
      <c r="I467" s="44" t="s">
        <v>6057</v>
      </c>
      <c r="J467" s="66" t="s">
        <v>301</v>
      </c>
      <c r="K467" s="66">
        <v>3900</v>
      </c>
      <c r="L467" s="66" t="s">
        <v>6149</v>
      </c>
      <c r="M467" s="66">
        <v>25959</v>
      </c>
      <c r="N467" s="66">
        <f>SUM(Prog_23[[#This Row],[TARA]]+Prog_23[[#This Row],[PESO]])</f>
        <v>29859</v>
      </c>
      <c r="O467" s="44">
        <v>10059</v>
      </c>
      <c r="P467" s="66" t="s">
        <v>6054</v>
      </c>
      <c r="Q467" s="66" t="s">
        <v>155</v>
      </c>
      <c r="R467" s="66" t="s">
        <v>209</v>
      </c>
      <c r="S467" s="66" t="s">
        <v>156</v>
      </c>
      <c r="T467" s="138" t="str">
        <f>IFERROR(LOOKUP($S467,MOTORISTAS!$D$3:$D$916,MOTORISTAS!E$3:$E$916),"")</f>
        <v>09803034863</v>
      </c>
      <c r="U467" s="138" t="str">
        <f>IFERROR(LOOKUP($S467,MOTORISTAS!$D$3:$D$916,MOTORISTAS!F$3:$F$916),"")</f>
        <v>01484565209</v>
      </c>
      <c r="V467" s="66" t="s">
        <v>1439</v>
      </c>
      <c r="W467" s="79">
        <v>45161.958333333336</v>
      </c>
      <c r="X467" s="79">
        <v>45162.194444444445</v>
      </c>
      <c r="Y467" s="79">
        <v>45162.67083333333</v>
      </c>
      <c r="Z467" s="66" t="s">
        <v>292</v>
      </c>
      <c r="AA467" s="79">
        <v>45163.488194444442</v>
      </c>
      <c r="AB467" s="79">
        <v>45163.25</v>
      </c>
      <c r="AC467" s="79">
        <v>45166.999305555553</v>
      </c>
      <c r="AD467" s="79">
        <v>45170.999305555553</v>
      </c>
      <c r="AE467" s="66" t="s">
        <v>708</v>
      </c>
      <c r="AF467" s="44">
        <v>17249</v>
      </c>
      <c r="AG467" s="254">
        <f>Prog_23[[#This Row],[SAÍDA DO CLIENTE]]-Prog_23[[#This Row],[PROGRAMAÇÃO CLIENTE]]</f>
        <v>0.42083333332993789</v>
      </c>
      <c r="AH467" s="44"/>
      <c r="AI467" s="66"/>
      <c r="AJ467" s="66"/>
      <c r="AK467" s="66"/>
      <c r="AL467" s="66"/>
      <c r="AM467" s="66"/>
      <c r="AN467" s="83"/>
      <c r="AO467" s="83">
        <v>0</v>
      </c>
      <c r="AP467" s="83"/>
      <c r="AQ467" s="66"/>
      <c r="AR467" s="66"/>
      <c r="AS467" s="66"/>
      <c r="AT467" s="81">
        <v>3200</v>
      </c>
      <c r="AU467" s="81"/>
      <c r="AV467" s="81"/>
      <c r="AW467" s="81"/>
      <c r="AX467" s="83">
        <f>SUM(Prog_23[[#This Row],[ADIANTAMENTO]]+Prog_23[[#This Row],[SALDO]]+Prog_23[[#This Row],[MARGEM]]+Prog_23[[#This Row],[ESTADIA 1]])</f>
        <v>3200</v>
      </c>
      <c r="AY4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67" s="81">
        <v>4307.3999999999996</v>
      </c>
      <c r="BA467" s="81"/>
      <c r="BB467" s="81">
        <f>Prog_23[[#This Row],[VLR NF]]*0.1%</f>
        <v>0</v>
      </c>
      <c r="BC467" s="81">
        <f>Prog_23[[#This Row],[VLR NF]]*0.05%</f>
        <v>0</v>
      </c>
      <c r="BD467" s="81">
        <v>312.60000000000002</v>
      </c>
      <c r="BE467" s="81"/>
      <c r="BF467" s="81"/>
      <c r="BG467" s="81"/>
      <c r="BH467" s="81"/>
      <c r="BI467" s="81">
        <v>630</v>
      </c>
      <c r="BJ467" s="81"/>
      <c r="BK467" s="81"/>
      <c r="BL467" s="81"/>
      <c r="BM467" s="81"/>
      <c r="BN467" s="66" t="s">
        <v>2768</v>
      </c>
      <c r="BO467" s="66" t="s">
        <v>2768</v>
      </c>
      <c r="BP467" s="66"/>
      <c r="BQ467" s="66" t="str">
        <f>PROPER(TEXT(Prog_23[[#This Row],[PROGRAMAÇÃO CLIENTE]],"mmm"))</f>
        <v>Ago</v>
      </c>
      <c r="BR467" s="66">
        <f>YEAR(Prog_23[[#This Row],[PROGRAMAÇÃO CLIENTE]])</f>
        <v>2023</v>
      </c>
    </row>
    <row r="468" spans="1:70" x14ac:dyDescent="0.25">
      <c r="A468" s="201" t="str">
        <f>Prog_23[[#This Row],[CONTEINER]]</f>
        <v>MRKU5997310</v>
      </c>
      <c r="B468" s="86" t="s">
        <v>2909</v>
      </c>
      <c r="C4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68" s="85">
        <v>45162.25</v>
      </c>
      <c r="E468" s="66" t="s">
        <v>5875</v>
      </c>
      <c r="F468" s="66" t="s">
        <v>5898</v>
      </c>
      <c r="G468" s="66" t="s">
        <v>6059</v>
      </c>
      <c r="H468" s="44" t="s">
        <v>6053</v>
      </c>
      <c r="I468" s="44" t="s">
        <v>6058</v>
      </c>
      <c r="J468" s="66" t="s">
        <v>301</v>
      </c>
      <c r="K468" s="66">
        <v>3900</v>
      </c>
      <c r="L468" s="66" t="s">
        <v>6150</v>
      </c>
      <c r="M468" s="66">
        <v>25959</v>
      </c>
      <c r="N468" s="66">
        <f>SUM(Prog_23[[#This Row],[TARA]]+Prog_23[[#This Row],[PESO]])</f>
        <v>29859</v>
      </c>
      <c r="O468" s="44">
        <v>10061</v>
      </c>
      <c r="P468" s="66" t="s">
        <v>6054</v>
      </c>
      <c r="Q468" s="66" t="s">
        <v>102</v>
      </c>
      <c r="R468" s="66" t="s">
        <v>73</v>
      </c>
      <c r="S468" s="66" t="s">
        <v>203</v>
      </c>
      <c r="T468" s="138" t="str">
        <f>IFERROR(LOOKUP($S468,MOTORISTAS!$D$3:$D$916,MOTORISTAS!E$3:$E$916),"")</f>
        <v>10395859816</v>
      </c>
      <c r="U468" s="138" t="str">
        <f>IFERROR(LOOKUP($S468,MOTORISTAS!$D$3:$D$916,MOTORISTAS!F$3:$F$916),"")</f>
        <v>01965794851</v>
      </c>
      <c r="V468" s="66" t="s">
        <v>1439</v>
      </c>
      <c r="W468" s="79">
        <v>45161.951388888891</v>
      </c>
      <c r="X468" s="79">
        <v>45162.159722222219</v>
      </c>
      <c r="Y468" s="79">
        <v>45162.576388888891</v>
      </c>
      <c r="Z468" s="66" t="s">
        <v>292</v>
      </c>
      <c r="AA468" s="79">
        <v>45163.667361111111</v>
      </c>
      <c r="AB468" s="79">
        <v>45163.25</v>
      </c>
      <c r="AC468" s="79">
        <v>45166.999305555553</v>
      </c>
      <c r="AD468" s="79">
        <v>45170.999305555553</v>
      </c>
      <c r="AE468" s="66" t="s">
        <v>708</v>
      </c>
      <c r="AF468" s="44">
        <v>17250</v>
      </c>
      <c r="AG468" s="254">
        <f>Prog_23[[#This Row],[SAÍDA DO CLIENTE]]-Prog_23[[#This Row],[PROGRAMAÇÃO CLIENTE]]</f>
        <v>0.32638888889050577</v>
      </c>
      <c r="AH468" s="44"/>
      <c r="AI468" s="66"/>
      <c r="AJ468" s="66"/>
      <c r="AK468" s="66"/>
      <c r="AL468" s="66"/>
      <c r="AM468" s="66"/>
      <c r="AN468" s="83"/>
      <c r="AO468" s="83">
        <v>0</v>
      </c>
      <c r="AP468" s="83"/>
      <c r="AQ468" s="66"/>
      <c r="AR468" s="66"/>
      <c r="AS468" s="66"/>
      <c r="AT468" s="81">
        <v>3200</v>
      </c>
      <c r="AU468" s="81"/>
      <c r="AV468" s="81"/>
      <c r="AW468" s="81"/>
      <c r="AX468" s="83">
        <f>SUM(Prog_23[[#This Row],[ADIANTAMENTO]]+Prog_23[[#This Row],[SALDO]]+Prog_23[[#This Row],[MARGEM]]+Prog_23[[#This Row],[ESTADIA 1]])</f>
        <v>3200</v>
      </c>
      <c r="AY4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68" s="81">
        <v>4307.3999999999996</v>
      </c>
      <c r="BA468" s="81"/>
      <c r="BB468" s="81">
        <f>Prog_23[[#This Row],[VLR NF]]*0.1%</f>
        <v>0</v>
      </c>
      <c r="BC468" s="81">
        <f>Prog_23[[#This Row],[VLR NF]]*0.05%</f>
        <v>0</v>
      </c>
      <c r="BD468" s="81">
        <v>312.60000000000002</v>
      </c>
      <c r="BE468" s="81"/>
      <c r="BF468" s="81"/>
      <c r="BG468" s="81"/>
      <c r="BH468" s="81"/>
      <c r="BI468" s="81">
        <v>630</v>
      </c>
      <c r="BJ468" s="81"/>
      <c r="BK468" s="81"/>
      <c r="BL468" s="81"/>
      <c r="BM468" s="81"/>
      <c r="BN468" s="66" t="s">
        <v>2768</v>
      </c>
      <c r="BO468" s="66" t="s">
        <v>2768</v>
      </c>
      <c r="BP468" s="66"/>
      <c r="BQ468" s="66" t="str">
        <f>PROPER(TEXT(Prog_23[[#This Row],[PROGRAMAÇÃO CLIENTE]],"mmm"))</f>
        <v>Ago</v>
      </c>
      <c r="BR468" s="66">
        <f>YEAR(Prog_23[[#This Row],[PROGRAMAÇÃO CLIENTE]])</f>
        <v>2023</v>
      </c>
    </row>
    <row r="469" spans="1:70" x14ac:dyDescent="0.25">
      <c r="A469" s="200" t="str">
        <f>Prog_23[[#This Row],[CONTEINER]]</f>
        <v>MRSU4261122</v>
      </c>
      <c r="B469" s="86" t="s">
        <v>2771</v>
      </c>
      <c r="C4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69" s="85">
        <v>45163.625</v>
      </c>
      <c r="E469" s="66" t="s">
        <v>4285</v>
      </c>
      <c r="F469" s="66" t="s">
        <v>4286</v>
      </c>
      <c r="G469" s="66"/>
      <c r="H469" s="44" t="s">
        <v>6138</v>
      </c>
      <c r="I469" s="44" t="s">
        <v>6139</v>
      </c>
      <c r="J469" s="66" t="s">
        <v>301</v>
      </c>
      <c r="K469" s="66">
        <v>3900</v>
      </c>
      <c r="L469" s="66" t="s">
        <v>6140</v>
      </c>
      <c r="M469" s="66">
        <v>7231</v>
      </c>
      <c r="N469" s="66">
        <f>SUM(Prog_23[[#This Row],[TARA]]+Prog_23[[#This Row],[PESO]])</f>
        <v>11131</v>
      </c>
      <c r="O469" s="44"/>
      <c r="P469" s="66" t="s">
        <v>6152</v>
      </c>
      <c r="Q469" s="66" t="s">
        <v>31</v>
      </c>
      <c r="R469" s="66" t="s">
        <v>32</v>
      </c>
      <c r="S469" s="66" t="s">
        <v>33</v>
      </c>
      <c r="T469" s="138" t="str">
        <f>IFERROR(LOOKUP($S469,MOTORISTAS!$D$3:$D$916,MOTORISTAS!E$3:$E$916),"")</f>
        <v>09776430856</v>
      </c>
      <c r="U469" s="138" t="str">
        <f>IFERROR(LOOKUP($S469,MOTORISTAS!$D$3:$D$916,MOTORISTAS!F$3:$F$916),"")</f>
        <v>01258979905</v>
      </c>
      <c r="V469" s="66" t="s">
        <v>4398</v>
      </c>
      <c r="W469" s="79">
        <v>45163.5</v>
      </c>
      <c r="X469" s="79">
        <v>45163.673611111109</v>
      </c>
      <c r="Y469" s="79">
        <v>45163.833333333336</v>
      </c>
      <c r="Z469" s="66" t="s">
        <v>526</v>
      </c>
      <c r="AA469" s="79">
        <v>45164.384027777778</v>
      </c>
      <c r="AB469" s="79">
        <v>45164.5</v>
      </c>
      <c r="AC469" s="79">
        <v>45164.5</v>
      </c>
      <c r="AD469" s="79">
        <v>45164.5</v>
      </c>
      <c r="AE469" s="66" t="s">
        <v>708</v>
      </c>
      <c r="AF469" s="44" t="s">
        <v>6153</v>
      </c>
      <c r="AG469" s="254">
        <f>Prog_23[[#This Row],[SAÍDA DO CLIENTE]]-Prog_23[[#This Row],[PROGRAMAÇÃO CLIENTE]]</f>
        <v>0.20833333333575865</v>
      </c>
      <c r="AH469" s="44"/>
      <c r="AI469" s="66"/>
      <c r="AJ469" s="66"/>
      <c r="AK469" s="66"/>
      <c r="AL469" s="66"/>
      <c r="AM469" s="66"/>
      <c r="AN469" s="83"/>
      <c r="AO469" s="83"/>
      <c r="AP469" s="83"/>
      <c r="AQ469" s="66"/>
      <c r="AR469" s="66"/>
      <c r="AS469" s="66"/>
      <c r="AT469" s="81">
        <v>2600</v>
      </c>
      <c r="AU469" s="81"/>
      <c r="AV469" s="81"/>
      <c r="AW469" s="81"/>
      <c r="AX469" s="83">
        <f>SUM(Prog_23[[#This Row],[ADIANTAMENTO]]+Prog_23[[#This Row],[SALDO]]+Prog_23[[#This Row],[MARGEM]]+Prog_23[[#This Row],[ESTADIA 1]])</f>
        <v>2600</v>
      </c>
      <c r="AY4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15220</v>
      </c>
      <c r="AZ469" s="81">
        <v>12400</v>
      </c>
      <c r="BA469" s="81"/>
      <c r="BB469" s="81">
        <v>1500</v>
      </c>
      <c r="BC469" s="81">
        <v>500</v>
      </c>
      <c r="BD469" s="81">
        <v>570</v>
      </c>
      <c r="BE469" s="81"/>
      <c r="BF469" s="81"/>
      <c r="BG469" s="81"/>
      <c r="BH469" s="81"/>
      <c r="BI469" s="81"/>
      <c r="BJ469" s="81">
        <v>250</v>
      </c>
      <c r="BK469" s="81"/>
      <c r="BL469" s="81"/>
      <c r="BM469" s="81"/>
      <c r="BN469" s="66" t="s">
        <v>2768</v>
      </c>
      <c r="BO469" s="66" t="s">
        <v>2768</v>
      </c>
      <c r="BP469" s="66" t="s">
        <v>2768</v>
      </c>
      <c r="BQ469" s="66" t="str">
        <f>PROPER(TEXT(Prog_23[[#This Row],[PROGRAMAÇÃO CLIENTE]],"mmm"))</f>
        <v>Ago</v>
      </c>
      <c r="BR469" s="66">
        <f>YEAR(Prog_23[[#This Row],[PROGRAMAÇÃO CLIENTE]])</f>
        <v>2023</v>
      </c>
    </row>
    <row r="470" spans="1:70" x14ac:dyDescent="0.25">
      <c r="A470" s="200" t="str">
        <f>Prog_23[[#This Row],[CONTEINER]]</f>
        <v>GCXU5136991</v>
      </c>
      <c r="B470" s="86" t="s">
        <v>2771</v>
      </c>
      <c r="C4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70" s="85">
        <v>45163.291666666664</v>
      </c>
      <c r="E470" s="66" t="s">
        <v>2105</v>
      </c>
      <c r="F470" s="66" t="s">
        <v>1177</v>
      </c>
      <c r="G470" s="66" t="s">
        <v>6067</v>
      </c>
      <c r="H470" s="44" t="s">
        <v>6065</v>
      </c>
      <c r="I470" s="44" t="s">
        <v>6137</v>
      </c>
      <c r="J470" s="66" t="s">
        <v>301</v>
      </c>
      <c r="K470" s="66">
        <v>3700</v>
      </c>
      <c r="L470" s="66" t="s">
        <v>6136</v>
      </c>
      <c r="M470" s="66">
        <v>27776</v>
      </c>
      <c r="N470" s="66">
        <f>SUM(Prog_23[[#This Row],[TARA]]+Prog_23[[#This Row],[PESO]])</f>
        <v>31476</v>
      </c>
      <c r="O470" s="44" t="s">
        <v>6168</v>
      </c>
      <c r="P470" s="66" t="s">
        <v>6066</v>
      </c>
      <c r="Q470" s="66" t="s">
        <v>210</v>
      </c>
      <c r="R470" s="66" t="s">
        <v>211</v>
      </c>
      <c r="S470" s="66" t="s">
        <v>212</v>
      </c>
      <c r="T470" s="138" t="str">
        <f>IFERROR(LOOKUP($S470,MOTORISTAS!$D$3:$D$916,MOTORISTAS!E$3:$E$916),"")</f>
        <v>38029906846</v>
      </c>
      <c r="U470" s="138" t="str">
        <f>IFERROR(LOOKUP($S470,MOTORISTAS!$D$3:$D$916,MOTORISTAS!F$3:$F$916),"")</f>
        <v>04946846842</v>
      </c>
      <c r="V470" s="66" t="s">
        <v>537</v>
      </c>
      <c r="W470" s="79">
        <v>45161.222916666666</v>
      </c>
      <c r="X470" s="79">
        <v>45163.09375</v>
      </c>
      <c r="Y470" s="79">
        <v>45163.729166666664</v>
      </c>
      <c r="Z470" s="66" t="s">
        <v>293</v>
      </c>
      <c r="AA470" s="79">
        <v>45163.977777777778</v>
      </c>
      <c r="AB470" s="79">
        <v>45163.833333333336</v>
      </c>
      <c r="AC470" s="79">
        <v>45162.5</v>
      </c>
      <c r="AD470" s="79">
        <v>45167.5</v>
      </c>
      <c r="AE470" s="66" t="s">
        <v>616</v>
      </c>
      <c r="AF470" s="44" t="s">
        <v>6167</v>
      </c>
      <c r="AG470" s="254">
        <f>Prog_23[[#This Row],[SAÍDA DO CLIENTE]]-Prog_23[[#This Row],[PROGRAMAÇÃO CLIENTE]]</f>
        <v>0.4375</v>
      </c>
      <c r="AH470" s="44"/>
      <c r="AI470" s="66"/>
      <c r="AJ470" s="66"/>
      <c r="AK470" s="66"/>
      <c r="AL470" s="66"/>
      <c r="AM470" s="66"/>
      <c r="AN470" s="83"/>
      <c r="AO470" s="83"/>
      <c r="AP470" s="83"/>
      <c r="AQ470" s="66" t="s">
        <v>6172</v>
      </c>
      <c r="AR470" s="81">
        <v>180</v>
      </c>
      <c r="AS470" s="81">
        <v>200</v>
      </c>
      <c r="AT470" s="81"/>
      <c r="AU470" s="81"/>
      <c r="AV470" s="81"/>
      <c r="AW470" s="81"/>
      <c r="AX470" s="83">
        <f>SUM(Prog_23[[#This Row],[ADIANTAMENTO]]+Prog_23[[#This Row],[SALDO]]+Prog_23[[#This Row],[MARGEM]]+Prog_23[[#This Row],[ESTADIA 1]])</f>
        <v>0</v>
      </c>
      <c r="AY4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6150</v>
      </c>
      <c r="AZ470" s="81">
        <v>4138.8</v>
      </c>
      <c r="BA470" s="81">
        <v>121033.43</v>
      </c>
      <c r="BB470" s="81">
        <v>0</v>
      </c>
      <c r="BC470" s="81">
        <v>0</v>
      </c>
      <c r="BD470" s="81">
        <v>811.2</v>
      </c>
      <c r="BE470" s="81"/>
      <c r="BF470" s="81"/>
      <c r="BG470" s="81"/>
      <c r="BH470" s="81"/>
      <c r="BI470" s="81"/>
      <c r="BJ470" s="81">
        <v>500</v>
      </c>
      <c r="BK470" s="81">
        <v>350</v>
      </c>
      <c r="BL470" s="81">
        <v>350</v>
      </c>
      <c r="BM470" s="81"/>
      <c r="BN470" s="66" t="s">
        <v>2768</v>
      </c>
      <c r="BO470" s="66" t="s">
        <v>2768</v>
      </c>
      <c r="BP470" s="66" t="s">
        <v>2768</v>
      </c>
      <c r="BQ470" s="66" t="str">
        <f>PROPER(TEXT(Prog_23[[#This Row],[PROGRAMAÇÃO CLIENTE]],"mmm"))</f>
        <v>Ago</v>
      </c>
      <c r="BR470" s="66">
        <f>YEAR(Prog_23[[#This Row],[PROGRAMAÇÃO CLIENTE]])</f>
        <v>2023</v>
      </c>
    </row>
    <row r="471" spans="1:70" x14ac:dyDescent="0.25">
      <c r="A471" s="200" t="str">
        <f>Prog_23[[#This Row],[CONTEINER]]</f>
        <v>RFCU5037380</v>
      </c>
      <c r="B471" s="86" t="s">
        <v>2909</v>
      </c>
      <c r="C4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71" s="85">
        <v>45163.25</v>
      </c>
      <c r="E471" s="66" t="s">
        <v>5875</v>
      </c>
      <c r="F471" s="66" t="s">
        <v>5898</v>
      </c>
      <c r="G471" s="66" t="s">
        <v>6018</v>
      </c>
      <c r="H471" s="44" t="s">
        <v>6017</v>
      </c>
      <c r="I471" s="44" t="s">
        <v>6019</v>
      </c>
      <c r="J471" s="66" t="s">
        <v>301</v>
      </c>
      <c r="K471" s="66"/>
      <c r="L471" s="66"/>
      <c r="M471" s="66">
        <v>23678</v>
      </c>
      <c r="N471" s="66">
        <f>SUM(Prog_23[[#This Row],[TARA]]+Prog_23[[#This Row],[PESO]])</f>
        <v>23678</v>
      </c>
      <c r="O471" s="44">
        <v>10047</v>
      </c>
      <c r="P471" s="66" t="s">
        <v>6016</v>
      </c>
      <c r="Q471" s="66" t="s">
        <v>6158</v>
      </c>
      <c r="R471" s="66" t="s">
        <v>4592</v>
      </c>
      <c r="S471" s="66" t="s">
        <v>6159</v>
      </c>
      <c r="T471" s="138" t="str">
        <f>IFERROR(LOOKUP($S471,MOTORISTAS!$D$3:$D$916,MOTORISTAS!E$3:$E$916),"")</f>
        <v>13358151808</v>
      </c>
      <c r="U471" s="138" t="str">
        <f>IFERROR(LOOKUP($S471,MOTORISTAS!$D$3:$D$916,MOTORISTAS!F$3:$F$916),"")</f>
        <v>00878509331</v>
      </c>
      <c r="V471" s="66" t="s">
        <v>293</v>
      </c>
      <c r="W471" s="79">
        <v>45162.862500000003</v>
      </c>
      <c r="X471" s="79">
        <v>45163.270833333336</v>
      </c>
      <c r="Y471" s="79">
        <v>45163.618055555555</v>
      </c>
      <c r="Z471" s="66" t="s">
        <v>900</v>
      </c>
      <c r="AA471" s="79">
        <v>45164.441666666666</v>
      </c>
      <c r="AB471" s="79">
        <v>45163.25</v>
      </c>
      <c r="AC471" s="79">
        <v>45164.999305555553</v>
      </c>
      <c r="AD471" s="79">
        <v>45162.999305555553</v>
      </c>
      <c r="AE471" s="66" t="s">
        <v>708</v>
      </c>
      <c r="AF471" s="44">
        <v>17275</v>
      </c>
      <c r="AG471" s="254">
        <f>Prog_23[[#This Row],[SAÍDA DO CLIENTE]]-Prog_23[[#This Row],[PROGRAMAÇÃO CLIENTE]]</f>
        <v>0.36805555555474712</v>
      </c>
      <c r="AH471" s="44"/>
      <c r="AI471" s="66"/>
      <c r="AJ471" s="66"/>
      <c r="AK471" s="66"/>
      <c r="AL471" s="66"/>
      <c r="AM471" s="66"/>
      <c r="AN471" s="83"/>
      <c r="AO471" s="83">
        <v>0</v>
      </c>
      <c r="AP471" s="83"/>
      <c r="AQ471" s="66"/>
      <c r="AR471" s="66"/>
      <c r="AS471" s="66"/>
      <c r="AT471" s="81">
        <v>3200</v>
      </c>
      <c r="AU471" s="81"/>
      <c r="AV471" s="81"/>
      <c r="AW471" s="81"/>
      <c r="AX471" s="83">
        <f>SUM(Prog_23[[#This Row],[ADIANTAMENTO]]+Prog_23[[#This Row],[SALDO]]+Prog_23[[#This Row],[MARGEM]]+Prog_23[[#This Row],[ESTADIA 1]])</f>
        <v>3200</v>
      </c>
      <c r="AY4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71" s="81">
        <v>4307.3999999999996</v>
      </c>
      <c r="BA471" s="81"/>
      <c r="BB471" s="81">
        <f>Prog_23[[#This Row],[VLR NF]]*0.1%</f>
        <v>0</v>
      </c>
      <c r="BC471" s="81">
        <f>Prog_23[[#This Row],[VLR NF]]*0.05%</f>
        <v>0</v>
      </c>
      <c r="BD471" s="81">
        <v>312.60000000000002</v>
      </c>
      <c r="BE471" s="81"/>
      <c r="BF471" s="81"/>
      <c r="BG471" s="81"/>
      <c r="BH471" s="81"/>
      <c r="BI471" s="81">
        <v>630</v>
      </c>
      <c r="BJ471" s="81"/>
      <c r="BK471" s="81"/>
      <c r="BL471" s="81"/>
      <c r="BM471" s="81"/>
      <c r="BN471" s="66" t="s">
        <v>2768</v>
      </c>
      <c r="BO471" s="66" t="s">
        <v>2768</v>
      </c>
      <c r="BP471" s="66"/>
      <c r="BQ471" s="66" t="str">
        <f>PROPER(TEXT(Prog_23[[#This Row],[PROGRAMAÇÃO CLIENTE]],"mmm"))</f>
        <v>Ago</v>
      </c>
      <c r="BR471" s="66">
        <f>YEAR(Prog_23[[#This Row],[PROGRAMAÇÃO CLIENTE]])</f>
        <v>2023</v>
      </c>
    </row>
    <row r="472" spans="1:70" x14ac:dyDescent="0.25">
      <c r="A472" s="201" t="str">
        <f>Prog_23[[#This Row],[CONTEINER]]</f>
        <v>TCLU1547198</v>
      </c>
      <c r="B472" s="86" t="s">
        <v>2909</v>
      </c>
      <c r="C4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72" s="85">
        <v>45163.25</v>
      </c>
      <c r="E472" s="66" t="s">
        <v>5875</v>
      </c>
      <c r="F472" s="66" t="s">
        <v>5898</v>
      </c>
      <c r="G472" s="66" t="s">
        <v>6018</v>
      </c>
      <c r="H472" s="44" t="s">
        <v>6017</v>
      </c>
      <c r="I472" s="44" t="s">
        <v>6020</v>
      </c>
      <c r="J472" s="66" t="s">
        <v>301</v>
      </c>
      <c r="K472" s="66"/>
      <c r="L472" s="66"/>
      <c r="M472" s="66">
        <v>23678</v>
      </c>
      <c r="N472" s="66">
        <f>SUM(Prog_23[[#This Row],[TARA]]+Prog_23[[#This Row],[PESO]])</f>
        <v>23678</v>
      </c>
      <c r="O472" s="44">
        <v>10048</v>
      </c>
      <c r="P472" s="66" t="s">
        <v>6016</v>
      </c>
      <c r="Q472" s="66" t="s">
        <v>5696</v>
      </c>
      <c r="R472" s="66" t="s">
        <v>2880</v>
      </c>
      <c r="S472" s="66" t="s">
        <v>4085</v>
      </c>
      <c r="T472" s="138" t="str">
        <f>IFERROR(LOOKUP($S472,MOTORISTAS!$D$3:$D$916,MOTORISTAS!E$3:$E$916),"")</f>
        <v>66280400549</v>
      </c>
      <c r="U472" s="138" t="str">
        <f>IFERROR(LOOKUP($S472,MOTORISTAS!$D$3:$D$916,MOTORISTAS!F$3:$F$916),"")</f>
        <v>00700068174</v>
      </c>
      <c r="V472" s="66" t="s">
        <v>293</v>
      </c>
      <c r="W472" s="79">
        <v>45162.902777777781</v>
      </c>
      <c r="X472" s="79">
        <v>45163.319444444445</v>
      </c>
      <c r="Y472" s="79">
        <v>45163.736111111109</v>
      </c>
      <c r="Z472" s="66" t="s">
        <v>900</v>
      </c>
      <c r="AA472" s="79">
        <v>45164.375694444447</v>
      </c>
      <c r="AB472" s="79">
        <v>45163.25</v>
      </c>
      <c r="AC472" s="79">
        <v>45164.999305555553</v>
      </c>
      <c r="AD472" s="79">
        <v>45162.999305555553</v>
      </c>
      <c r="AE472" s="66" t="s">
        <v>708</v>
      </c>
      <c r="AF472" s="44">
        <v>17276</v>
      </c>
      <c r="AG472" s="254">
        <f>Prog_23[[#This Row],[SAÍDA DO CLIENTE]]-Prog_23[[#This Row],[PROGRAMAÇÃO CLIENTE]]</f>
        <v>0.48611111110949423</v>
      </c>
      <c r="AH472" s="44"/>
      <c r="AI472" s="66"/>
      <c r="AJ472" s="66"/>
      <c r="AK472" s="66"/>
      <c r="AL472" s="66"/>
      <c r="AM472" s="66"/>
      <c r="AN472" s="83"/>
      <c r="AO472" s="83">
        <v>0</v>
      </c>
      <c r="AP472" s="83"/>
      <c r="AQ472" s="66"/>
      <c r="AR472" s="66"/>
      <c r="AS472" s="66"/>
      <c r="AT472" s="81">
        <v>3200</v>
      </c>
      <c r="AU472" s="81"/>
      <c r="AV472" s="81"/>
      <c r="AW472" s="81"/>
      <c r="AX472" s="83">
        <f>SUM(Prog_23[[#This Row],[ADIANTAMENTO]]+Prog_23[[#This Row],[SALDO]]+Prog_23[[#This Row],[MARGEM]]+Prog_23[[#This Row],[ESTADIA 1]])</f>
        <v>3200</v>
      </c>
      <c r="AY4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72" s="81">
        <v>4307.3999999999996</v>
      </c>
      <c r="BA472" s="81"/>
      <c r="BB472" s="81">
        <f>Prog_23[[#This Row],[VLR NF]]*0.1%</f>
        <v>0</v>
      </c>
      <c r="BC472" s="81">
        <f>Prog_23[[#This Row],[VLR NF]]*0.05%</f>
        <v>0</v>
      </c>
      <c r="BD472" s="81">
        <v>312.60000000000002</v>
      </c>
      <c r="BE472" s="81"/>
      <c r="BF472" s="81"/>
      <c r="BG472" s="81"/>
      <c r="BH472" s="81"/>
      <c r="BI472" s="81">
        <v>630</v>
      </c>
      <c r="BJ472" s="81"/>
      <c r="BK472" s="81"/>
      <c r="BL472" s="81"/>
      <c r="BM472" s="81"/>
      <c r="BN472" s="66" t="s">
        <v>2768</v>
      </c>
      <c r="BO472" s="66" t="s">
        <v>2768</v>
      </c>
      <c r="BP472" s="66"/>
      <c r="BQ472" s="66" t="str">
        <f>PROPER(TEXT(Prog_23[[#This Row],[PROGRAMAÇÃO CLIENTE]],"mmm"))</f>
        <v>Ago</v>
      </c>
      <c r="BR472" s="66">
        <f>YEAR(Prog_23[[#This Row],[PROGRAMAÇÃO CLIENTE]])</f>
        <v>2023</v>
      </c>
    </row>
    <row r="473" spans="1:70" x14ac:dyDescent="0.25">
      <c r="A473" s="200" t="str">
        <f>Prog_23[[#This Row],[CONTEINER]]</f>
        <v>OOLU9234178</v>
      </c>
      <c r="B473" s="86" t="s">
        <v>2909</v>
      </c>
      <c r="C4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73" s="85">
        <v>45163.25</v>
      </c>
      <c r="E473" s="66" t="s">
        <v>5875</v>
      </c>
      <c r="F473" s="66" t="s">
        <v>5898</v>
      </c>
      <c r="G473" s="66" t="s">
        <v>6005</v>
      </c>
      <c r="H473" s="44" t="s">
        <v>6004</v>
      </c>
      <c r="I473" s="44" t="s">
        <v>6006</v>
      </c>
      <c r="J473" s="66" t="s">
        <v>301</v>
      </c>
      <c r="K473" s="66"/>
      <c r="L473" s="66" t="s">
        <v>6009</v>
      </c>
      <c r="M473" s="66">
        <v>23677</v>
      </c>
      <c r="N473" s="66">
        <f>SUM(Prog_23[[#This Row],[TARA]]+Prog_23[[#This Row],[PESO]])</f>
        <v>23677</v>
      </c>
      <c r="O473" s="44">
        <v>10055</v>
      </c>
      <c r="P473" s="66" t="s">
        <v>6008</v>
      </c>
      <c r="Q473" s="66" t="s">
        <v>6160</v>
      </c>
      <c r="R473" s="66" t="s">
        <v>3384</v>
      </c>
      <c r="S473" s="66" t="s">
        <v>6161</v>
      </c>
      <c r="T473" s="138" t="str">
        <f>IFERROR(LOOKUP($S473,MOTORISTAS!$D$3:$D$916,MOTORISTAS!E$3:$E$916),"")</f>
        <v>33168168874</v>
      </c>
      <c r="U473" s="138" t="str">
        <f>IFERROR(LOOKUP($S473,MOTORISTAS!$D$3:$D$916,MOTORISTAS!F$3:$F$916),"")</f>
        <v>03550963391</v>
      </c>
      <c r="V473" s="66" t="s">
        <v>293</v>
      </c>
      <c r="W473" s="79">
        <v>45162.888888888891</v>
      </c>
      <c r="X473" s="79">
        <v>45163.274305555555</v>
      </c>
      <c r="Y473" s="79">
        <v>45163.736111111109</v>
      </c>
      <c r="Z473" s="66" t="s">
        <v>900</v>
      </c>
      <c r="AA473" s="79">
        <v>45164.375</v>
      </c>
      <c r="AB473" s="79">
        <v>45163.25</v>
      </c>
      <c r="AC473" s="79">
        <v>45164.999305555553</v>
      </c>
      <c r="AD473" s="79">
        <v>45163.999305555553</v>
      </c>
      <c r="AE473" s="66" t="s">
        <v>708</v>
      </c>
      <c r="AF473" s="44">
        <v>17277</v>
      </c>
      <c r="AG473" s="254">
        <f>Prog_23[[#This Row],[SAÍDA DO CLIENTE]]-Prog_23[[#This Row],[PROGRAMAÇÃO CLIENTE]]</f>
        <v>0.48611111110949423</v>
      </c>
      <c r="AH473" s="44"/>
      <c r="AI473" s="66"/>
      <c r="AJ473" s="66"/>
      <c r="AK473" s="66"/>
      <c r="AL473" s="66"/>
      <c r="AM473" s="66"/>
      <c r="AN473" s="83"/>
      <c r="AO473" s="83">
        <v>0</v>
      </c>
      <c r="AP473" s="83"/>
      <c r="AQ473" s="66"/>
      <c r="AR473" s="66"/>
      <c r="AS473" s="66"/>
      <c r="AT473" s="81">
        <v>3200</v>
      </c>
      <c r="AU473" s="81"/>
      <c r="AV473" s="81"/>
      <c r="AW473" s="81"/>
      <c r="AX473" s="83">
        <f>SUM(Prog_23[[#This Row],[ADIANTAMENTO]]+Prog_23[[#This Row],[SALDO]]+Prog_23[[#This Row],[MARGEM]]+Prog_23[[#This Row],[ESTADIA 1]])</f>
        <v>3200</v>
      </c>
      <c r="AY4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73" s="81">
        <v>4307.3999999999996</v>
      </c>
      <c r="BA473" s="81"/>
      <c r="BB473" s="81">
        <f>Prog_23[[#This Row],[VLR NF]]*0.1%</f>
        <v>0</v>
      </c>
      <c r="BC473" s="81">
        <f>Prog_23[[#This Row],[VLR NF]]*0.05%</f>
        <v>0</v>
      </c>
      <c r="BD473" s="81">
        <v>312.60000000000002</v>
      </c>
      <c r="BE473" s="81"/>
      <c r="BF473" s="81"/>
      <c r="BG473" s="81"/>
      <c r="BH473" s="81"/>
      <c r="BI473" s="81">
        <v>630</v>
      </c>
      <c r="BJ473" s="81"/>
      <c r="BK473" s="81"/>
      <c r="BL473" s="81"/>
      <c r="BM473" s="81"/>
      <c r="BN473" s="66" t="s">
        <v>2768</v>
      </c>
      <c r="BO473" s="66" t="s">
        <v>2768</v>
      </c>
      <c r="BP473" s="66"/>
      <c r="BQ473" s="66" t="str">
        <f>PROPER(TEXT(Prog_23[[#This Row],[PROGRAMAÇÃO CLIENTE]],"mmm"))</f>
        <v>Ago</v>
      </c>
      <c r="BR473" s="66">
        <f>YEAR(Prog_23[[#This Row],[PROGRAMAÇÃO CLIENTE]])</f>
        <v>2023</v>
      </c>
    </row>
    <row r="474" spans="1:70" x14ac:dyDescent="0.25">
      <c r="A474" s="201" t="str">
        <f>Prog_23[[#This Row],[CONTEINER]]</f>
        <v>TGBU5344508</v>
      </c>
      <c r="B474" s="86" t="s">
        <v>2909</v>
      </c>
      <c r="C4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74" s="85">
        <v>45163.25</v>
      </c>
      <c r="E474" s="66" t="s">
        <v>5875</v>
      </c>
      <c r="F474" s="66" t="s">
        <v>5898</v>
      </c>
      <c r="G474" s="66" t="s">
        <v>6005</v>
      </c>
      <c r="H474" s="44" t="s">
        <v>6004</v>
      </c>
      <c r="I474" s="44" t="s">
        <v>6007</v>
      </c>
      <c r="J474" s="66" t="s">
        <v>301</v>
      </c>
      <c r="K474" s="66"/>
      <c r="L474" s="66" t="s">
        <v>6010</v>
      </c>
      <c r="M474" s="66">
        <v>23677</v>
      </c>
      <c r="N474" s="66">
        <f>SUM(Prog_23[[#This Row],[TARA]]+Prog_23[[#This Row],[PESO]])</f>
        <v>23677</v>
      </c>
      <c r="O474" s="44">
        <v>10056</v>
      </c>
      <c r="P474" s="66" t="s">
        <v>6008</v>
      </c>
      <c r="Q474" s="66" t="s">
        <v>192</v>
      </c>
      <c r="R474" s="66" t="s">
        <v>193</v>
      </c>
      <c r="S474" s="66" t="s">
        <v>6162</v>
      </c>
      <c r="T474" s="138" t="str">
        <f>IFERROR(LOOKUP($S474,MOTORISTAS!$D$3:$D$916,MOTORISTAS!E$3:$E$916),"")</f>
        <v>38529612892</v>
      </c>
      <c r="U474" s="138" t="str">
        <f>IFERROR(LOOKUP($S474,MOTORISTAS!$D$3:$D$916,MOTORISTAS!F$3:$F$916),"")</f>
        <v>05021398574</v>
      </c>
      <c r="V474" s="66" t="s">
        <v>293</v>
      </c>
      <c r="W474" s="79">
        <v>45162.982638888891</v>
      </c>
      <c r="X474" s="79">
        <v>45163.232638888891</v>
      </c>
      <c r="Y474" s="79">
        <v>45163.57708333333</v>
      </c>
      <c r="Z474" s="66" t="s">
        <v>900</v>
      </c>
      <c r="AA474" s="79">
        <v>45164.416666666664</v>
      </c>
      <c r="AB474" s="79">
        <v>45163.25</v>
      </c>
      <c r="AC474" s="79">
        <v>45164.999305555553</v>
      </c>
      <c r="AD474" s="79">
        <v>45163.999305555553</v>
      </c>
      <c r="AE474" s="66" t="s">
        <v>708</v>
      </c>
      <c r="AF474" s="44">
        <v>17278</v>
      </c>
      <c r="AG474" s="254">
        <f>Prog_23[[#This Row],[SAÍDA DO CLIENTE]]-Prog_23[[#This Row],[PROGRAMAÇÃO CLIENTE]]</f>
        <v>0.32708333332993789</v>
      </c>
      <c r="AH474" s="44"/>
      <c r="AI474" s="66"/>
      <c r="AJ474" s="66"/>
      <c r="AK474" s="66"/>
      <c r="AL474" s="66"/>
      <c r="AM474" s="66"/>
      <c r="AN474" s="83"/>
      <c r="AO474" s="83">
        <v>0</v>
      </c>
      <c r="AP474" s="83"/>
      <c r="AQ474" s="66"/>
      <c r="AR474" s="66"/>
      <c r="AS474" s="66"/>
      <c r="AT474" s="81">
        <v>3200</v>
      </c>
      <c r="AU474" s="81"/>
      <c r="AV474" s="81"/>
      <c r="AW474" s="81"/>
      <c r="AX474" s="83">
        <f>SUM(Prog_23[[#This Row],[ADIANTAMENTO]]+Prog_23[[#This Row],[SALDO]]+Prog_23[[#This Row],[MARGEM]]+Prog_23[[#This Row],[ESTADIA 1]])</f>
        <v>3200</v>
      </c>
      <c r="AY4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74" s="81">
        <v>4307.3999999999996</v>
      </c>
      <c r="BA474" s="81"/>
      <c r="BB474" s="81">
        <f>Prog_23[[#This Row],[VLR NF]]*0.1%</f>
        <v>0</v>
      </c>
      <c r="BC474" s="81">
        <f>Prog_23[[#This Row],[VLR NF]]*0.05%</f>
        <v>0</v>
      </c>
      <c r="BD474" s="81">
        <v>312.60000000000002</v>
      </c>
      <c r="BE474" s="81"/>
      <c r="BF474" s="81"/>
      <c r="BG474" s="81"/>
      <c r="BH474" s="81"/>
      <c r="BI474" s="81">
        <v>630</v>
      </c>
      <c r="BJ474" s="81"/>
      <c r="BK474" s="81"/>
      <c r="BL474" s="81"/>
      <c r="BM474" s="81"/>
      <c r="BN474" s="66" t="s">
        <v>2768</v>
      </c>
      <c r="BO474" s="66" t="s">
        <v>2768</v>
      </c>
      <c r="BP474" s="66"/>
      <c r="BQ474" s="66" t="str">
        <f>PROPER(TEXT(Prog_23[[#This Row],[PROGRAMAÇÃO CLIENTE]],"mmm"))</f>
        <v>Ago</v>
      </c>
      <c r="BR474" s="66">
        <f>YEAR(Prog_23[[#This Row],[PROGRAMAÇÃO CLIENTE]])</f>
        <v>2023</v>
      </c>
    </row>
    <row r="475" spans="1:70" x14ac:dyDescent="0.25">
      <c r="A475" s="201" t="str">
        <f>Prog_23[[#This Row],[CONTEINER]]</f>
        <v>TEMU7498204</v>
      </c>
      <c r="B475" s="86" t="s">
        <v>2771</v>
      </c>
      <c r="C4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75" s="85">
        <v>45167.333333333336</v>
      </c>
      <c r="E475" s="66" t="s">
        <v>353</v>
      </c>
      <c r="F475" s="66" t="s">
        <v>3161</v>
      </c>
      <c r="G475" s="66"/>
      <c r="H475" s="258">
        <v>62904586</v>
      </c>
      <c r="I475" s="44" t="s">
        <v>6189</v>
      </c>
      <c r="J475" s="66" t="s">
        <v>301</v>
      </c>
      <c r="K475" s="66">
        <v>3890</v>
      </c>
      <c r="L475" s="301" t="s">
        <v>6268</v>
      </c>
      <c r="M475" s="66">
        <v>9079</v>
      </c>
      <c r="N475" s="66">
        <f>SUM(Prog_23[[#This Row],[TARA]]+Prog_23[[#This Row],[PESO]])</f>
        <v>12969</v>
      </c>
      <c r="O475" s="44" t="s">
        <v>6241</v>
      </c>
      <c r="P475" s="66" t="s">
        <v>6151</v>
      </c>
      <c r="Q475" s="66" t="s">
        <v>106</v>
      </c>
      <c r="R475" s="66" t="s">
        <v>107</v>
      </c>
      <c r="S475" s="66" t="s">
        <v>108</v>
      </c>
      <c r="T475" s="138" t="str">
        <f>IFERROR(LOOKUP($S475,MOTORISTAS!$D$3:$D$916,MOTORISTAS!E$3:$E$916),"")</f>
        <v>34927982840</v>
      </c>
      <c r="U475" s="138" t="str">
        <f>IFERROR(LOOKUP($S475,MOTORISTAS!$D$3:$D$916,MOTORISTAS!F$3:$F$916),"")</f>
        <v>03500129879</v>
      </c>
      <c r="V475" s="66" t="s">
        <v>292</v>
      </c>
      <c r="W475" s="79">
        <v>45167.029861111114</v>
      </c>
      <c r="X475" s="79">
        <v>45167.201388888891</v>
      </c>
      <c r="Y475" s="79">
        <v>45168.680555555555</v>
      </c>
      <c r="Z475" s="66" t="s">
        <v>293</v>
      </c>
      <c r="AA475" s="79">
        <v>45174.861805555556</v>
      </c>
      <c r="AB475" s="79">
        <v>45174.791666666664</v>
      </c>
      <c r="AC475" s="79">
        <v>45174.5</v>
      </c>
      <c r="AD475" s="79">
        <v>45177.5</v>
      </c>
      <c r="AE475" s="66" t="s">
        <v>418</v>
      </c>
      <c r="AF475" s="44" t="s">
        <v>6242</v>
      </c>
      <c r="AG475" s="254">
        <f>Prog_23[[#This Row],[SAÍDA DO CLIENTE]]-Prog_23[[#This Row],[PROGRAMAÇÃO CLIENTE]]</f>
        <v>1.3472222222189885</v>
      </c>
      <c r="AH475" s="44"/>
      <c r="AI475" s="66"/>
      <c r="AJ475" s="66"/>
      <c r="AK475" s="66" t="s">
        <v>393</v>
      </c>
      <c r="AL475" s="79">
        <v>45169.833333333336</v>
      </c>
      <c r="AM475" s="66"/>
      <c r="AN475" s="83">
        <v>950</v>
      </c>
      <c r="AO475" s="83"/>
      <c r="AP475" s="83">
        <v>30</v>
      </c>
      <c r="AQ475" s="66"/>
      <c r="AR475" s="81">
        <v>180</v>
      </c>
      <c r="AS475" s="81">
        <v>120</v>
      </c>
      <c r="AT475" s="81">
        <v>2100</v>
      </c>
      <c r="AU475" s="81"/>
      <c r="AV475" s="81"/>
      <c r="AW475" s="81"/>
      <c r="AX475" s="83">
        <f>SUM(Prog_23[[#This Row],[ADIANTAMENTO]]+Prog_23[[#This Row],[SALDO]]+Prog_23[[#This Row],[MARGEM]]+Prog_23[[#This Row],[ESTADIA 1]])</f>
        <v>2100</v>
      </c>
      <c r="AY4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8115.0117450000007</v>
      </c>
      <c r="AZ475" s="81">
        <v>5400</v>
      </c>
      <c r="BA475" s="81">
        <v>149607.82999999999</v>
      </c>
      <c r="BB475" s="81">
        <f>Prog_23[[#This Row],[VLR NF]]*0.1%</f>
        <v>149.60782999999998</v>
      </c>
      <c r="BC475" s="81">
        <f>Prog_23[[#This Row],[VLR NF]]*0.05%</f>
        <v>74.803914999999989</v>
      </c>
      <c r="BD475" s="81">
        <v>650.6</v>
      </c>
      <c r="BE475" s="81"/>
      <c r="BF475" s="81"/>
      <c r="BG475" s="81"/>
      <c r="BH475" s="81"/>
      <c r="BI475" s="81"/>
      <c r="BJ475" s="81"/>
      <c r="BK475" s="81">
        <v>0</v>
      </c>
      <c r="BL475" s="81">
        <v>280</v>
      </c>
      <c r="BM475" s="81">
        <f>65*24</f>
        <v>1560</v>
      </c>
      <c r="BN475" s="66" t="s">
        <v>2768</v>
      </c>
      <c r="BO475" s="66" t="s">
        <v>2768</v>
      </c>
      <c r="BP475" s="66" t="s">
        <v>2768</v>
      </c>
      <c r="BQ475" s="66" t="str">
        <f>PROPER(TEXT(Prog_23[[#This Row],[PROGRAMAÇÃO CLIENTE]],"mmm"))</f>
        <v>Ago</v>
      </c>
      <c r="BR475" s="66">
        <f>YEAR(Prog_23[[#This Row],[PROGRAMAÇÃO CLIENTE]])</f>
        <v>2023</v>
      </c>
    </row>
    <row r="476" spans="1:70" x14ac:dyDescent="0.25">
      <c r="A476" s="201" t="str">
        <f>Prog_23[[#This Row],[CONTEINER]]</f>
        <v>CAIU7914859</v>
      </c>
      <c r="B476" s="86" t="s">
        <v>2771</v>
      </c>
      <c r="C4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76" s="85">
        <v>45167.291666666664</v>
      </c>
      <c r="E476" s="66" t="s">
        <v>5187</v>
      </c>
      <c r="F476" s="251" t="s">
        <v>3161</v>
      </c>
      <c r="G476" s="66" t="s">
        <v>6123</v>
      </c>
      <c r="H476" s="44">
        <v>66240723</v>
      </c>
      <c r="I476" s="44" t="s">
        <v>6190</v>
      </c>
      <c r="J476" s="66" t="s">
        <v>301</v>
      </c>
      <c r="K476" s="66">
        <v>3750</v>
      </c>
      <c r="L476" s="66" t="s">
        <v>6191</v>
      </c>
      <c r="M476" s="66">
        <v>25984</v>
      </c>
      <c r="N476" s="66">
        <f>SUM(Prog_23[[#This Row],[TARA]]+Prog_23[[#This Row],[PESO]])</f>
        <v>29734</v>
      </c>
      <c r="O476" s="44">
        <v>11230</v>
      </c>
      <c r="P476" s="66" t="s">
        <v>6131</v>
      </c>
      <c r="Q476" s="66" t="s">
        <v>31</v>
      </c>
      <c r="R476" s="66" t="s">
        <v>32</v>
      </c>
      <c r="S476" s="66" t="s">
        <v>33</v>
      </c>
      <c r="T476" s="138" t="str">
        <f>IFERROR(LOOKUP($S476,MOTORISTAS!$D$3:$D$916,MOTORISTAS!E$3:$E$916),"")</f>
        <v>09776430856</v>
      </c>
      <c r="U476" s="138" t="str">
        <f>IFERROR(LOOKUP($S476,MOTORISTAS!$D$3:$D$916,MOTORISTAS!F$3:$F$916),"")</f>
        <v>01258979905</v>
      </c>
      <c r="V476" s="66" t="s">
        <v>292</v>
      </c>
      <c r="W476" s="79">
        <v>45166.946527777778</v>
      </c>
      <c r="X476" s="79">
        <v>45167.097222222219</v>
      </c>
      <c r="Y476" s="79">
        <v>45167.569444444445</v>
      </c>
      <c r="Z476" s="66" t="s">
        <v>306</v>
      </c>
      <c r="AA476" s="79">
        <v>45167.8</v>
      </c>
      <c r="AB476" s="79">
        <v>45166.291666666664</v>
      </c>
      <c r="AC476" s="79">
        <v>45167.75</v>
      </c>
      <c r="AD476" s="79">
        <v>45169.75</v>
      </c>
      <c r="AE476" s="66" t="s">
        <v>5492</v>
      </c>
      <c r="AF476" s="44">
        <v>17329</v>
      </c>
      <c r="AG476" s="254">
        <f>Prog_23[[#This Row],[SAÍDA DO CLIENTE]]-Prog_23[[#This Row],[PROGRAMAÇÃO CLIENTE]]</f>
        <v>0.27777777778101154</v>
      </c>
      <c r="AH476" s="44"/>
      <c r="AI476" s="66"/>
      <c r="AJ476" s="66"/>
      <c r="AK476" s="66"/>
      <c r="AL476" s="66"/>
      <c r="AM476" s="66"/>
      <c r="AN476" s="83"/>
      <c r="AO476" s="83"/>
      <c r="AP476" s="83"/>
      <c r="AQ476" s="66"/>
      <c r="AR476" s="66"/>
      <c r="AS476" s="66"/>
      <c r="AT476" s="81">
        <v>2300</v>
      </c>
      <c r="AU476" s="81"/>
      <c r="AV476" s="81">
        <v>200</v>
      </c>
      <c r="AW476" s="81"/>
      <c r="AX476" s="83">
        <f>SUM(Prog_23[[#This Row],[ADIANTAMENTO]]+Prog_23[[#This Row],[SALDO]]+Prog_23[[#This Row],[MARGEM]]+Prog_23[[#This Row],[ESTADIA 1]])</f>
        <v>2500</v>
      </c>
      <c r="AY4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76" s="81">
        <v>3642</v>
      </c>
      <c r="BA476" s="81">
        <v>227988.74</v>
      </c>
      <c r="BB476" s="81">
        <v>0</v>
      </c>
      <c r="BC476" s="81">
        <v>0</v>
      </c>
      <c r="BD476" s="81">
        <v>358</v>
      </c>
      <c r="BE476" s="81"/>
      <c r="BF476" s="81"/>
      <c r="BG476" s="81"/>
      <c r="BH476" s="81"/>
      <c r="BI476" s="81"/>
      <c r="BJ476" s="81"/>
      <c r="BK476" s="81"/>
      <c r="BL476" s="81"/>
      <c r="BM476" s="81"/>
      <c r="BN476" s="66" t="s">
        <v>2768</v>
      </c>
      <c r="BO476" s="66" t="s">
        <v>2768</v>
      </c>
      <c r="BP476" s="66" t="s">
        <v>2768</v>
      </c>
      <c r="BQ476" s="66" t="str">
        <f>PROPER(TEXT(Prog_23[[#This Row],[PROGRAMAÇÃO CLIENTE]],"mmm"))</f>
        <v>Ago</v>
      </c>
      <c r="BR476" s="66">
        <f>YEAR(Prog_23[[#This Row],[PROGRAMAÇÃO CLIENTE]])</f>
        <v>2023</v>
      </c>
    </row>
    <row r="477" spans="1:70" x14ac:dyDescent="0.25">
      <c r="A477" s="201" t="str">
        <f>Prog_23[[#This Row],[CONTEINER]]</f>
        <v>BMOU6611014</v>
      </c>
      <c r="B477" s="86" t="s">
        <v>2771</v>
      </c>
      <c r="C4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77" s="85">
        <v>45167.291666666664</v>
      </c>
      <c r="E477" s="66" t="s">
        <v>5187</v>
      </c>
      <c r="F477" s="251" t="s">
        <v>3161</v>
      </c>
      <c r="G477" s="66" t="s">
        <v>6123</v>
      </c>
      <c r="H477" s="44">
        <v>66240723</v>
      </c>
      <c r="I477" s="44" t="s">
        <v>6182</v>
      </c>
      <c r="J477" s="66" t="s">
        <v>301</v>
      </c>
      <c r="K477" s="66">
        <v>3850</v>
      </c>
      <c r="L477" s="66" t="s">
        <v>6181</v>
      </c>
      <c r="M477" s="66">
        <v>25884</v>
      </c>
      <c r="N477" s="66">
        <f>SUM(Prog_23[[#This Row],[TARA]]+Prog_23[[#This Row],[PESO]])</f>
        <v>29734</v>
      </c>
      <c r="O477" s="44">
        <v>11229</v>
      </c>
      <c r="P477" s="66" t="s">
        <v>6131</v>
      </c>
      <c r="Q477" s="66" t="s">
        <v>68</v>
      </c>
      <c r="R477" s="66" t="s">
        <v>36</v>
      </c>
      <c r="S477" s="66" t="s">
        <v>206</v>
      </c>
      <c r="T477" s="138" t="str">
        <f>IFERROR(LOOKUP($S477,MOTORISTAS!$D$3:$D$916,MOTORISTAS!E$3:$E$916),"")</f>
        <v>09085263425</v>
      </c>
      <c r="U477" s="138" t="str">
        <f>IFERROR(LOOKUP($S477,MOTORISTAS!$D$3:$D$916,MOTORISTAS!F$3:$F$916),"")</f>
        <v>04557705505</v>
      </c>
      <c r="V477" s="66" t="s">
        <v>292</v>
      </c>
      <c r="W477" s="79">
        <v>45166.894444444442</v>
      </c>
      <c r="X477" s="79">
        <v>45167.083333333336</v>
      </c>
      <c r="Y477" s="79">
        <v>45167.569444444445</v>
      </c>
      <c r="Z477" s="66" t="s">
        <v>306</v>
      </c>
      <c r="AA477" s="79">
        <v>45167.714583333334</v>
      </c>
      <c r="AB477" s="79">
        <v>45166.291666666664</v>
      </c>
      <c r="AC477" s="79">
        <v>45167.75</v>
      </c>
      <c r="AD477" s="79">
        <v>45169.75</v>
      </c>
      <c r="AE477" s="66" t="s">
        <v>5492</v>
      </c>
      <c r="AF477" s="44">
        <v>17330</v>
      </c>
      <c r="AG477" s="254">
        <f>Prog_23[[#This Row],[SAÍDA DO CLIENTE]]-Prog_23[[#This Row],[PROGRAMAÇÃO CLIENTE]]</f>
        <v>0.27777777778101154</v>
      </c>
      <c r="AH477" s="44"/>
      <c r="AI477" s="66"/>
      <c r="AJ477" s="66"/>
      <c r="AK477" s="66"/>
      <c r="AL477" s="66"/>
      <c r="AM477" s="66"/>
      <c r="AN477" s="83"/>
      <c r="AO477" s="83"/>
      <c r="AP477" s="83"/>
      <c r="AQ477" s="66"/>
      <c r="AR477" s="66"/>
      <c r="AS477" s="66"/>
      <c r="AT477" s="81">
        <v>2300</v>
      </c>
      <c r="AU477" s="81"/>
      <c r="AV477" s="81">
        <v>200</v>
      </c>
      <c r="AW477" s="81"/>
      <c r="AX477" s="83">
        <f>SUM(Prog_23[[#This Row],[ADIANTAMENTO]]+Prog_23[[#This Row],[SALDO]]+Prog_23[[#This Row],[MARGEM]]+Prog_23[[#This Row],[ESTADIA 1]])</f>
        <v>2500</v>
      </c>
      <c r="AY4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77" s="81">
        <v>3642</v>
      </c>
      <c r="BA477" s="81">
        <v>227098.16</v>
      </c>
      <c r="BB477" s="81">
        <v>0</v>
      </c>
      <c r="BC477" s="81">
        <v>0</v>
      </c>
      <c r="BD477" s="81">
        <v>358</v>
      </c>
      <c r="BE477" s="81"/>
      <c r="BF477" s="81"/>
      <c r="BG477" s="81"/>
      <c r="BH477" s="81"/>
      <c r="BI477" s="81"/>
      <c r="BJ477" s="81"/>
      <c r="BK477" s="81"/>
      <c r="BL477" s="81"/>
      <c r="BM477" s="81"/>
      <c r="BN477" s="66" t="s">
        <v>2768</v>
      </c>
      <c r="BO477" s="66" t="s">
        <v>2768</v>
      </c>
      <c r="BP477" s="66" t="s">
        <v>2768</v>
      </c>
      <c r="BQ477" s="66" t="str">
        <f>PROPER(TEXT(Prog_23[[#This Row],[PROGRAMAÇÃO CLIENTE]],"mmm"))</f>
        <v>Ago</v>
      </c>
      <c r="BR477" s="66">
        <f>YEAR(Prog_23[[#This Row],[PROGRAMAÇÃO CLIENTE]])</f>
        <v>2023</v>
      </c>
    </row>
    <row r="478" spans="1:70" x14ac:dyDescent="0.25">
      <c r="A478" s="200" t="str">
        <f>Prog_23[[#This Row],[CONTEINER]]</f>
        <v>HLBU3440456</v>
      </c>
      <c r="B478" s="86" t="s">
        <v>2771</v>
      </c>
      <c r="C4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78" s="85">
        <v>45167.291666666664</v>
      </c>
      <c r="E478" s="66" t="s">
        <v>5187</v>
      </c>
      <c r="F478" s="66" t="s">
        <v>3161</v>
      </c>
      <c r="G478" s="66" t="s">
        <v>6124</v>
      </c>
      <c r="H478" s="44">
        <v>66240716</v>
      </c>
      <c r="I478" s="44" t="s">
        <v>6192</v>
      </c>
      <c r="J478" s="66" t="s">
        <v>301</v>
      </c>
      <c r="K478" s="66">
        <v>3900</v>
      </c>
      <c r="L478" s="66" t="s">
        <v>6193</v>
      </c>
      <c r="M478" s="66">
        <v>25984</v>
      </c>
      <c r="N478" s="66">
        <f>SUM(Prog_23[[#This Row],[TARA]]+Prog_23[[#This Row],[PESO]])</f>
        <v>29884</v>
      </c>
      <c r="O478" s="44">
        <v>11222</v>
      </c>
      <c r="P478" s="66" t="s">
        <v>6131</v>
      </c>
      <c r="Q478" s="66" t="s">
        <v>92</v>
      </c>
      <c r="R478" s="66" t="s">
        <v>93</v>
      </c>
      <c r="S478" s="66" t="s">
        <v>94</v>
      </c>
      <c r="T478" s="138" t="str">
        <f>IFERROR(LOOKUP($S478,MOTORISTAS!$D$3:$D$916,MOTORISTAS!E$3:$E$916),"")</f>
        <v>26283419801</v>
      </c>
      <c r="U478" s="138" t="str">
        <f>IFERROR(LOOKUP($S478,MOTORISTAS!$D$3:$D$916,MOTORISTAS!F$3:$F$916),"")</f>
        <v>02002046946</v>
      </c>
      <c r="V478" s="66" t="s">
        <v>292</v>
      </c>
      <c r="W478" s="79">
        <v>45167.025000000001</v>
      </c>
      <c r="X478" s="79">
        <v>45167.145833333336</v>
      </c>
      <c r="Y478" s="79">
        <v>45167.791666666664</v>
      </c>
      <c r="Z478" s="66" t="s">
        <v>306</v>
      </c>
      <c r="AA478" s="79">
        <v>45167.978472222225</v>
      </c>
      <c r="AB478" s="79">
        <v>45166.291666666664</v>
      </c>
      <c r="AC478" s="79">
        <v>45167.75</v>
      </c>
      <c r="AD478" s="79">
        <v>45169.75</v>
      </c>
      <c r="AE478" s="66" t="s">
        <v>5492</v>
      </c>
      <c r="AF478" s="44">
        <v>17335</v>
      </c>
      <c r="AG478" s="254">
        <f>Prog_23[[#This Row],[SAÍDA DO CLIENTE]]-Prog_23[[#This Row],[PROGRAMAÇÃO CLIENTE]]</f>
        <v>0.5</v>
      </c>
      <c r="AH478" s="44"/>
      <c r="AI478" s="66"/>
      <c r="AJ478" s="66"/>
      <c r="AK478" s="66"/>
      <c r="AL478" s="66"/>
      <c r="AM478" s="66"/>
      <c r="AN478" s="83"/>
      <c r="AO478" s="83"/>
      <c r="AP478" s="83"/>
      <c r="AQ478" s="66"/>
      <c r="AR478" s="66"/>
      <c r="AS478" s="66"/>
      <c r="AT478" s="81">
        <v>2300</v>
      </c>
      <c r="AU478" s="81"/>
      <c r="AV478" s="81">
        <v>200</v>
      </c>
      <c r="AW478" s="81"/>
      <c r="AX478" s="83">
        <f>SUM(Prog_23[[#This Row],[ADIANTAMENTO]]+Prog_23[[#This Row],[SALDO]]+Prog_23[[#This Row],[MARGEM]]+Prog_23[[#This Row],[ESTADIA 1]])</f>
        <v>2500</v>
      </c>
      <c r="AY4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78" s="81">
        <v>3642</v>
      </c>
      <c r="BA478" s="81">
        <v>227988.74</v>
      </c>
      <c r="BB478" s="81">
        <v>0</v>
      </c>
      <c r="BC478" s="81">
        <v>0</v>
      </c>
      <c r="BD478" s="81">
        <v>358</v>
      </c>
      <c r="BE478" s="81"/>
      <c r="BF478" s="81"/>
      <c r="BG478" s="81"/>
      <c r="BH478" s="81"/>
      <c r="BI478" s="81"/>
      <c r="BJ478" s="81"/>
      <c r="BK478" s="81"/>
      <c r="BL478" s="81"/>
      <c r="BM478" s="81"/>
      <c r="BN478" s="66" t="s">
        <v>2768</v>
      </c>
      <c r="BO478" s="66" t="s">
        <v>2768</v>
      </c>
      <c r="BP478" s="66" t="s">
        <v>2768</v>
      </c>
      <c r="BQ478" s="66" t="str">
        <f>PROPER(TEXT(Prog_23[[#This Row],[PROGRAMAÇÃO CLIENTE]],"mmm"))</f>
        <v>Ago</v>
      </c>
      <c r="BR478" s="66">
        <f>YEAR(Prog_23[[#This Row],[PROGRAMAÇÃO CLIENTE]])</f>
        <v>2023</v>
      </c>
    </row>
    <row r="479" spans="1:70" x14ac:dyDescent="0.25">
      <c r="A479" s="200" t="str">
        <f>Prog_23[[#This Row],[CONTEINER]]</f>
        <v>TXGU7177830</v>
      </c>
      <c r="B479" s="86" t="s">
        <v>2771</v>
      </c>
      <c r="C4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79" s="85">
        <v>45167.291666666664</v>
      </c>
      <c r="E479" s="66" t="s">
        <v>5187</v>
      </c>
      <c r="F479" s="66" t="s">
        <v>3161</v>
      </c>
      <c r="G479" s="66" t="s">
        <v>6124</v>
      </c>
      <c r="H479" s="44">
        <v>66240716</v>
      </c>
      <c r="I479" s="44" t="s">
        <v>6183</v>
      </c>
      <c r="J479" s="66" t="s">
        <v>301</v>
      </c>
      <c r="K479" s="66">
        <v>3700</v>
      </c>
      <c r="L479" s="66" t="s">
        <v>6184</v>
      </c>
      <c r="M479" s="66">
        <v>25884</v>
      </c>
      <c r="N479" s="66">
        <f>SUM(Prog_23[[#This Row],[TARA]]+Prog_23[[#This Row],[PESO]])</f>
        <v>29584</v>
      </c>
      <c r="O479" s="44">
        <v>11220</v>
      </c>
      <c r="P479" s="66" t="s">
        <v>6131</v>
      </c>
      <c r="Q479" s="66" t="s">
        <v>102</v>
      </c>
      <c r="R479" s="66" t="s">
        <v>73</v>
      </c>
      <c r="S479" s="66" t="s">
        <v>203</v>
      </c>
      <c r="T479" s="138" t="str">
        <f>IFERROR(LOOKUP($S479,MOTORISTAS!$D$3:$D$916,MOTORISTAS!E$3:$E$916),"")</f>
        <v>10395859816</v>
      </c>
      <c r="U479" s="138" t="str">
        <f>IFERROR(LOOKUP($S479,MOTORISTAS!$D$3:$D$916,MOTORISTAS!F$3:$F$916),"")</f>
        <v>01965794851</v>
      </c>
      <c r="V479" s="66" t="s">
        <v>292</v>
      </c>
      <c r="W479" s="79">
        <v>45166.895138888889</v>
      </c>
      <c r="X479" s="79">
        <v>45167.010416666664</v>
      </c>
      <c r="Y479" s="79">
        <v>45167.680555555555</v>
      </c>
      <c r="Z479" s="66" t="s">
        <v>306</v>
      </c>
      <c r="AA479" s="79">
        <v>45167.900694444441</v>
      </c>
      <c r="AB479" s="79">
        <v>45166.291666666664</v>
      </c>
      <c r="AC479" s="79">
        <v>45167.75</v>
      </c>
      <c r="AD479" s="79">
        <v>45169.75</v>
      </c>
      <c r="AE479" s="66" t="s">
        <v>5492</v>
      </c>
      <c r="AF479" s="44">
        <v>17334</v>
      </c>
      <c r="AG479" s="254">
        <f>Prog_23[[#This Row],[SAÍDA DO CLIENTE]]-Prog_23[[#This Row],[PROGRAMAÇÃO CLIENTE]]</f>
        <v>0.38888888889050577</v>
      </c>
      <c r="AH479" s="44"/>
      <c r="AI479" s="66"/>
      <c r="AJ479" s="66"/>
      <c r="AK479" s="66"/>
      <c r="AL479" s="66"/>
      <c r="AM479" s="66"/>
      <c r="AN479" s="83"/>
      <c r="AO479" s="83"/>
      <c r="AP479" s="83"/>
      <c r="AQ479" s="66"/>
      <c r="AR479" s="66"/>
      <c r="AS479" s="66"/>
      <c r="AT479" s="81">
        <v>2300</v>
      </c>
      <c r="AU479" s="81"/>
      <c r="AV479" s="81">
        <v>200</v>
      </c>
      <c r="AW479" s="81"/>
      <c r="AX479" s="83">
        <f>SUM(Prog_23[[#This Row],[ADIANTAMENTO]]+Prog_23[[#This Row],[SALDO]]+Prog_23[[#This Row],[MARGEM]]+Prog_23[[#This Row],[ESTADIA 1]])</f>
        <v>2500</v>
      </c>
      <c r="AY4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4000</v>
      </c>
      <c r="AZ479" s="81">
        <v>3642</v>
      </c>
      <c r="BA479" s="81">
        <v>227098.16</v>
      </c>
      <c r="BB479" s="81">
        <v>0</v>
      </c>
      <c r="BC479" s="81">
        <v>0</v>
      </c>
      <c r="BD479" s="81">
        <v>358</v>
      </c>
      <c r="BE479" s="81"/>
      <c r="BF479" s="81"/>
      <c r="BG479" s="81"/>
      <c r="BH479" s="81"/>
      <c r="BI479" s="81"/>
      <c r="BJ479" s="81"/>
      <c r="BK479" s="81"/>
      <c r="BL479" s="81"/>
      <c r="BM479" s="81"/>
      <c r="BN479" s="66" t="s">
        <v>2768</v>
      </c>
      <c r="BO479" s="66" t="s">
        <v>2768</v>
      </c>
      <c r="BP479" s="66" t="s">
        <v>2768</v>
      </c>
      <c r="BQ479" s="66" t="str">
        <f>PROPER(TEXT(Prog_23[[#This Row],[PROGRAMAÇÃO CLIENTE]],"mmm"))</f>
        <v>Ago</v>
      </c>
      <c r="BR479" s="66">
        <f>YEAR(Prog_23[[#This Row],[PROGRAMAÇÃO CLIENTE]])</f>
        <v>2023</v>
      </c>
    </row>
    <row r="480" spans="1:70" x14ac:dyDescent="0.25">
      <c r="A480" s="201" t="str">
        <f>Prog_23[[#This Row],[CONTEINER]]</f>
        <v>MSKU9853165</v>
      </c>
      <c r="B480" s="86" t="s">
        <v>2771</v>
      </c>
      <c r="C4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80" s="85">
        <v>45168.333333333336</v>
      </c>
      <c r="E480" s="66" t="s">
        <v>2302</v>
      </c>
      <c r="F480" s="66" t="s">
        <v>529</v>
      </c>
      <c r="G480" s="66">
        <v>345</v>
      </c>
      <c r="H480" s="44">
        <v>230575843</v>
      </c>
      <c r="I480" s="44" t="s">
        <v>6174</v>
      </c>
      <c r="J480" s="66" t="s">
        <v>301</v>
      </c>
      <c r="K480" s="66">
        <v>3920</v>
      </c>
      <c r="L480" s="66" t="s">
        <v>6175</v>
      </c>
      <c r="M480" s="66">
        <v>15060</v>
      </c>
      <c r="N480" s="66">
        <f>SUM(Prog_23[[#This Row],[TARA]]+Prog_23[[#This Row],[PESO]])</f>
        <v>18980</v>
      </c>
      <c r="O480" s="44" t="s">
        <v>6134</v>
      </c>
      <c r="P480" s="66" t="s">
        <v>6131</v>
      </c>
      <c r="Q480" s="66" t="s">
        <v>155</v>
      </c>
      <c r="R480" s="66" t="s">
        <v>209</v>
      </c>
      <c r="S480" s="66" t="s">
        <v>156</v>
      </c>
      <c r="T480" s="138" t="str">
        <f>IFERROR(LOOKUP($S480,MOTORISTAS!$D$3:$D$916,MOTORISTAS!E$3:$E$916),"")</f>
        <v>09803034863</v>
      </c>
      <c r="U480" s="138" t="str">
        <f>IFERROR(LOOKUP($S480,MOTORISTAS!$D$3:$D$916,MOTORISTAS!F$3:$F$916),"")</f>
        <v>01484565209</v>
      </c>
      <c r="V480" s="66" t="s">
        <v>292</v>
      </c>
      <c r="W480" s="79">
        <v>45168.3125</v>
      </c>
      <c r="X480" s="79">
        <v>45168.3125</v>
      </c>
      <c r="Y480" s="79">
        <v>45168.409722222219</v>
      </c>
      <c r="Z480" s="66" t="s">
        <v>306</v>
      </c>
      <c r="AA480" s="79">
        <v>45168.550694444442</v>
      </c>
      <c r="AB480" s="79">
        <v>45166.291666666664</v>
      </c>
      <c r="AC480" s="79">
        <v>45167.5</v>
      </c>
      <c r="AD480" s="79">
        <v>45169.75</v>
      </c>
      <c r="AE480" s="66" t="s">
        <v>452</v>
      </c>
      <c r="AF480" s="44">
        <v>17343</v>
      </c>
      <c r="AG480" s="254">
        <f>Prog_23[[#This Row],[SAÍDA DO CLIENTE]]-Prog_23[[#This Row],[PROGRAMAÇÃO CLIENTE]]</f>
        <v>7.6388888883229811E-2</v>
      </c>
      <c r="AH480" s="44"/>
      <c r="AI480" s="66"/>
      <c r="AJ480" s="66"/>
      <c r="AK480" s="66"/>
      <c r="AL480" s="66"/>
      <c r="AM480" s="66"/>
      <c r="AN480" s="83"/>
      <c r="AO480" s="83"/>
      <c r="AP480" s="83">
        <v>30</v>
      </c>
      <c r="AQ480" s="66"/>
      <c r="AR480" s="66"/>
      <c r="AS480" s="66"/>
      <c r="AT480" s="81">
        <v>1800</v>
      </c>
      <c r="AU480" s="81">
        <v>0</v>
      </c>
      <c r="AV480" s="81">
        <v>200</v>
      </c>
      <c r="AW480" s="81"/>
      <c r="AX480" s="83">
        <f>SUM(Prog_23[[#This Row],[ADIANTAMENTO]]+Prog_23[[#This Row],[SALDO]]+Prog_23[[#This Row],[MARGEM]]+Prog_23[[#This Row],[ESTADIA 1]])</f>
        <v>2000</v>
      </c>
      <c r="AY4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3410.5902500000002</v>
      </c>
      <c r="AZ480" s="81">
        <v>2350</v>
      </c>
      <c r="BA480" s="81">
        <v>422590.25</v>
      </c>
      <c r="BB480" s="81">
        <f>Prog_23[[#This Row],[VLR NF]]*0.1%</f>
        <v>422.59025000000003</v>
      </c>
      <c r="BC480" s="81">
        <v>0</v>
      </c>
      <c r="BD480" s="81">
        <v>240</v>
      </c>
      <c r="BE480" s="81"/>
      <c r="BF480" s="81"/>
      <c r="BG480" s="81"/>
      <c r="BH480" s="81"/>
      <c r="BI480" s="81"/>
      <c r="BJ480" s="81"/>
      <c r="BK480" s="81"/>
      <c r="BL480" s="81">
        <v>398</v>
      </c>
      <c r="BM480" s="81"/>
      <c r="BN480" s="66" t="s">
        <v>2768</v>
      </c>
      <c r="BO480" s="66" t="s">
        <v>2768</v>
      </c>
      <c r="BP480" s="66" t="s">
        <v>2768</v>
      </c>
      <c r="BQ480" s="66" t="str">
        <f>PROPER(TEXT(Prog_23[[#This Row],[PROGRAMAÇÃO CLIENTE]],"mmm"))</f>
        <v>Ago</v>
      </c>
      <c r="BR480" s="66">
        <f>YEAR(Prog_23[[#This Row],[PROGRAMAÇÃO CLIENTE]])</f>
        <v>2023</v>
      </c>
    </row>
    <row r="481" spans="1:70" x14ac:dyDescent="0.25">
      <c r="A481" s="200" t="str">
        <f>Prog_23[[#This Row],[CONTEINER]]</f>
        <v>TCNU4289319</v>
      </c>
      <c r="B481" s="86" t="s">
        <v>2771</v>
      </c>
      <c r="C4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81" s="85">
        <v>45168.291666666664</v>
      </c>
      <c r="E481" s="66" t="s">
        <v>5642</v>
      </c>
      <c r="F481" s="66" t="s">
        <v>5640</v>
      </c>
      <c r="G481" s="66"/>
      <c r="H481" s="44" t="s">
        <v>6170</v>
      </c>
      <c r="I481" s="44" t="s">
        <v>6204</v>
      </c>
      <c r="J481" s="66" t="s">
        <v>301</v>
      </c>
      <c r="K481" s="66">
        <v>3900</v>
      </c>
      <c r="L481" s="66" t="s">
        <v>6233</v>
      </c>
      <c r="M481" s="66">
        <v>25560</v>
      </c>
      <c r="N481" s="66">
        <f>SUM(Prog_23[[#This Row],[TARA]]+Prog_23[[#This Row],[PESO]])</f>
        <v>29460</v>
      </c>
      <c r="O481" s="44">
        <v>32015</v>
      </c>
      <c r="P481" s="66" t="s">
        <v>6171</v>
      </c>
      <c r="Q481" s="66" t="s">
        <v>31</v>
      </c>
      <c r="R481" s="66" t="s">
        <v>32</v>
      </c>
      <c r="S481" s="66" t="s">
        <v>33</v>
      </c>
      <c r="T481" s="138" t="str">
        <f>IFERROR(LOOKUP($S481,MOTORISTAS!$D$3:$D$916,MOTORISTAS!E$3:$E$916),"")</f>
        <v>09776430856</v>
      </c>
      <c r="U481" s="138" t="str">
        <f>IFERROR(LOOKUP($S481,MOTORISTAS!$D$3:$D$916,MOTORISTAS!F$3:$F$916),"")</f>
        <v>01258979905</v>
      </c>
      <c r="V481" s="66" t="s">
        <v>537</v>
      </c>
      <c r="W481" s="79">
        <v>45168.041666666664</v>
      </c>
      <c r="X481" s="79">
        <v>45168.5625</v>
      </c>
      <c r="Y481" s="79">
        <v>45168.729166666664</v>
      </c>
      <c r="Z481" s="66" t="s">
        <v>293</v>
      </c>
      <c r="AA481" s="79">
        <v>45173.65902777778</v>
      </c>
      <c r="AB481" s="66" t="s">
        <v>6269</v>
      </c>
      <c r="AC481" s="79">
        <v>45170.416666666664</v>
      </c>
      <c r="AD481" s="79">
        <v>45174.75</v>
      </c>
      <c r="AE481" s="66" t="s">
        <v>616</v>
      </c>
      <c r="AF481" s="44" t="s">
        <v>6297</v>
      </c>
      <c r="AG481" s="254">
        <f>Prog_23[[#This Row],[SAÍDA DO CLIENTE]]-Prog_23[[#This Row],[PROGRAMAÇÃO CLIENTE]]</f>
        <v>0.4375</v>
      </c>
      <c r="AH481" s="44"/>
      <c r="AI481" s="66"/>
      <c r="AJ481" s="66"/>
      <c r="AK481" s="66" t="s">
        <v>393</v>
      </c>
      <c r="AL481" s="79">
        <v>45169.451388888891</v>
      </c>
      <c r="AM481" s="66"/>
      <c r="AN481" s="83">
        <v>980</v>
      </c>
      <c r="AO481" s="83"/>
      <c r="AP481" s="83"/>
      <c r="AQ481" s="66"/>
      <c r="AR481" s="66"/>
      <c r="AS481" s="66"/>
      <c r="AT481" s="81">
        <v>7200</v>
      </c>
      <c r="AU481" s="81"/>
      <c r="AV481" s="81"/>
      <c r="AW481" s="81"/>
      <c r="AX481" s="83">
        <f>SUM(Prog_23[[#This Row],[ADIANTAMENTO]]+Prog_23[[#This Row],[SALDO]]+Prog_23[[#This Row],[MARGEM]]+Prog_23[[#This Row],[ESTADIA 1]])</f>
        <v>7200</v>
      </c>
      <c r="AY4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10361.351500000001</v>
      </c>
      <c r="AZ481" s="81">
        <v>7950</v>
      </c>
      <c r="BA481" s="81">
        <v>363351.5</v>
      </c>
      <c r="BB481" s="81">
        <f>Prog_23[[#This Row],[VLR NF]]*0.1%</f>
        <v>363.35149999999999</v>
      </c>
      <c r="BC481" s="81">
        <v>0</v>
      </c>
      <c r="BD481" s="81">
        <v>1698</v>
      </c>
      <c r="BE481" s="81"/>
      <c r="BF481" s="81"/>
      <c r="BG481" s="81"/>
      <c r="BH481" s="81"/>
      <c r="BI481" s="81"/>
      <c r="BJ481" s="81"/>
      <c r="BK481" s="81"/>
      <c r="BL481" s="81">
        <v>350</v>
      </c>
      <c r="BM481" s="81"/>
      <c r="BN481" s="66" t="s">
        <v>2768</v>
      </c>
      <c r="BO481" s="66" t="s">
        <v>2768</v>
      </c>
      <c r="BP481" s="66" t="s">
        <v>2768</v>
      </c>
      <c r="BQ481" s="66" t="str">
        <f>PROPER(TEXT(Prog_23[[#This Row],[PROGRAMAÇÃO CLIENTE]],"mmm"))</f>
        <v>Ago</v>
      </c>
      <c r="BR481" s="66">
        <f>YEAR(Prog_23[[#This Row],[PROGRAMAÇÃO CLIENTE]])</f>
        <v>2023</v>
      </c>
    </row>
    <row r="482" spans="1:70" x14ac:dyDescent="0.25">
      <c r="A482" s="200" t="str">
        <f>Prog_23[[#This Row],[CONTEINER]]</f>
        <v>60 VOLUMES</v>
      </c>
      <c r="B482" s="86" t="s">
        <v>2771</v>
      </c>
      <c r="C4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82" s="85">
        <v>45169.625</v>
      </c>
      <c r="E482" s="66" t="s">
        <v>6214</v>
      </c>
      <c r="F482" s="66" t="s">
        <v>298</v>
      </c>
      <c r="G482" s="66" t="s">
        <v>6217</v>
      </c>
      <c r="H482" s="44" t="s">
        <v>6215</v>
      </c>
      <c r="I482" s="44" t="s">
        <v>6218</v>
      </c>
      <c r="J482" s="66"/>
      <c r="K482" s="66">
        <v>0</v>
      </c>
      <c r="L482" s="66"/>
      <c r="M482" s="66">
        <v>1800</v>
      </c>
      <c r="N482" s="66">
        <f>SUM(Prog_23[[#This Row],[TARA]]+Prog_23[[#This Row],[PESO]])</f>
        <v>1800</v>
      </c>
      <c r="O482" s="44">
        <v>11352</v>
      </c>
      <c r="P482" s="66" t="s">
        <v>6216</v>
      </c>
      <c r="Q482" s="66" t="s">
        <v>6219</v>
      </c>
      <c r="R482" s="66"/>
      <c r="S482" s="66" t="s">
        <v>6220</v>
      </c>
      <c r="T482" s="138" t="s">
        <v>6221</v>
      </c>
      <c r="U482" s="138" t="s">
        <v>6222</v>
      </c>
      <c r="V482" s="66" t="s">
        <v>772</v>
      </c>
      <c r="W482" s="79">
        <v>45169.416666666664</v>
      </c>
      <c r="X482" s="79">
        <v>45169.576388888891</v>
      </c>
      <c r="Y482" s="79">
        <v>45169.583333333336</v>
      </c>
      <c r="Z482" s="66" t="s">
        <v>6214</v>
      </c>
      <c r="AA482" s="79">
        <v>45169.583333333336</v>
      </c>
      <c r="AB482" s="79">
        <v>45169.75</v>
      </c>
      <c r="AC482" s="79">
        <v>45169.75</v>
      </c>
      <c r="AD482" s="79">
        <v>45169.75</v>
      </c>
      <c r="AE482" s="66" t="s">
        <v>708</v>
      </c>
      <c r="AF482" s="44">
        <v>17341</v>
      </c>
      <c r="AG482" s="254">
        <f>Prog_23[[#This Row],[SAÍDA DO CLIENTE]]-Prog_23[[#This Row],[PROGRAMAÇÃO CLIENTE]]</f>
        <v>-4.1666666664241347E-2</v>
      </c>
      <c r="AH482" s="44"/>
      <c r="AI482" s="66"/>
      <c r="AJ482" s="66"/>
      <c r="AK482" s="66"/>
      <c r="AL482" s="66"/>
      <c r="AM482" s="66"/>
      <c r="AN482" s="83"/>
      <c r="AO482" s="83"/>
      <c r="AP482" s="83"/>
      <c r="AQ482" s="66"/>
      <c r="AR482" s="66"/>
      <c r="AS482" s="66"/>
      <c r="AT482" s="81">
        <v>1150</v>
      </c>
      <c r="AU482" s="81"/>
      <c r="AV482" s="81"/>
      <c r="AW482" s="81"/>
      <c r="AX482" s="83">
        <f>SUM(Prog_23[[#This Row],[ADIANTAMENTO]]+Prog_23[[#This Row],[SALDO]]+Prog_23[[#This Row],[MARGEM]]+Prog_23[[#This Row],[ESTADIA 1]])</f>
        <v>1150</v>
      </c>
      <c r="AY4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2400</v>
      </c>
      <c r="AZ482" s="81">
        <v>1913</v>
      </c>
      <c r="BA482" s="81">
        <v>39876.69</v>
      </c>
      <c r="BB482" s="81">
        <v>0</v>
      </c>
      <c r="BC482" s="81">
        <v>0</v>
      </c>
      <c r="BD482" s="81">
        <v>199</v>
      </c>
      <c r="BE482" s="81"/>
      <c r="BF482" s="81"/>
      <c r="BG482" s="81"/>
      <c r="BH482" s="81"/>
      <c r="BI482" s="81">
        <v>288</v>
      </c>
      <c r="BJ482" s="81"/>
      <c r="BK482" s="81"/>
      <c r="BL482" s="81"/>
      <c r="BM482" s="81"/>
      <c r="BN482" s="66" t="s">
        <v>2768</v>
      </c>
      <c r="BO482" s="66" t="s">
        <v>2768</v>
      </c>
      <c r="BP482" s="66" t="s">
        <v>2768</v>
      </c>
      <c r="BQ482" s="66" t="str">
        <f>PROPER(TEXT(Prog_23[[#This Row],[PROGRAMAÇÃO CLIENTE]],"mmm"))</f>
        <v>Ago</v>
      </c>
      <c r="BR482" s="66">
        <f>YEAR(Prog_23[[#This Row],[PROGRAMAÇÃO CLIENTE]])</f>
        <v>2023</v>
      </c>
    </row>
    <row r="483" spans="1:70" x14ac:dyDescent="0.25">
      <c r="A483" s="201" t="str">
        <f>Prog_23[[#This Row],[CONTEINER]]</f>
        <v>MRSU0259214</v>
      </c>
      <c r="B483" s="86" t="s">
        <v>2771</v>
      </c>
      <c r="C4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83" s="85">
        <v>45169.333333333336</v>
      </c>
      <c r="E483" s="66" t="s">
        <v>353</v>
      </c>
      <c r="F483" s="66" t="s">
        <v>3161</v>
      </c>
      <c r="G483" s="66">
        <v>290194</v>
      </c>
      <c r="H483" s="44">
        <v>229612122</v>
      </c>
      <c r="I483" s="44" t="s">
        <v>6231</v>
      </c>
      <c r="J483" s="66" t="s">
        <v>288</v>
      </c>
      <c r="K483" s="66">
        <v>2180</v>
      </c>
      <c r="L483" s="66" t="s">
        <v>6232</v>
      </c>
      <c r="M483" s="66">
        <v>3253</v>
      </c>
      <c r="N483" s="66">
        <f>SUM(Prog_23[[#This Row],[TARA]]+Prog_23[[#This Row],[PESO]])</f>
        <v>5433</v>
      </c>
      <c r="O483" s="44">
        <v>4137972</v>
      </c>
      <c r="P483" s="66" t="s">
        <v>6173</v>
      </c>
      <c r="Q483" s="66" t="s">
        <v>2498</v>
      </c>
      <c r="R483" s="66" t="s">
        <v>3274</v>
      </c>
      <c r="S483" s="66" t="s">
        <v>2500</v>
      </c>
      <c r="T483" s="138" t="str">
        <f>IFERROR(LOOKUP($S483,MOTORISTAS!$D$3:$D$916,MOTORISTAS!E$3:$E$916),"")</f>
        <v>10838670830</v>
      </c>
      <c r="U483" s="138" t="str">
        <f>IFERROR(LOOKUP($S483,MOTORISTAS!$D$3:$D$916,MOTORISTAS!F$3:$F$916),"")</f>
        <v>01808675938</v>
      </c>
      <c r="V483" s="66" t="s">
        <v>292</v>
      </c>
      <c r="W483" s="79">
        <v>45168.698611111111</v>
      </c>
      <c r="X483" s="79">
        <v>45169.15625</v>
      </c>
      <c r="Y483" s="79">
        <v>45169.493055555555</v>
      </c>
      <c r="Z483" s="66" t="s">
        <v>410</v>
      </c>
      <c r="AA483" s="79">
        <v>45176.839583333334</v>
      </c>
      <c r="AB483" s="79">
        <v>45175.541666666664</v>
      </c>
      <c r="AC483" s="79">
        <v>45174.375</v>
      </c>
      <c r="AD483" s="79">
        <v>45175.75</v>
      </c>
      <c r="AE483" s="66" t="s">
        <v>1466</v>
      </c>
      <c r="AF483" s="44">
        <v>17361</v>
      </c>
      <c r="AG483" s="254">
        <f>Prog_23[[#This Row],[SAÍDA DO CLIENTE]]-Prog_23[[#This Row],[PROGRAMAÇÃO CLIENTE]]</f>
        <v>0.15972222221898846</v>
      </c>
      <c r="AH483" s="44"/>
      <c r="AI483" s="66"/>
      <c r="AJ483" s="66"/>
      <c r="AK483" s="66" t="s">
        <v>393</v>
      </c>
      <c r="AL483" s="79">
        <v>45169.645833333336</v>
      </c>
      <c r="AM483" s="66"/>
      <c r="AN483" s="83">
        <v>950</v>
      </c>
      <c r="AO483" s="83"/>
      <c r="AP483" s="83"/>
      <c r="AQ483" s="66"/>
      <c r="AR483" s="66"/>
      <c r="AS483" s="66"/>
      <c r="AT483" s="81">
        <v>2300</v>
      </c>
      <c r="AU483" s="81"/>
      <c r="AV483" s="81"/>
      <c r="AW483" s="81"/>
      <c r="AX483" s="83">
        <f>SUM(Prog_23[[#This Row],[ADIANTAMENTO]]+Prog_23[[#This Row],[SALDO]]+Prog_23[[#This Row],[MARGEM]]+Prog_23[[#This Row],[ESTADIA 1]])</f>
        <v>2300</v>
      </c>
      <c r="AY4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3526.3526199999997</v>
      </c>
      <c r="AZ483" s="81">
        <v>2800</v>
      </c>
      <c r="BA483" s="81">
        <v>183835.08</v>
      </c>
      <c r="BB483" s="81">
        <f>Prog_23[[#This Row],[VLR NF]]*0.1%</f>
        <v>183.83508</v>
      </c>
      <c r="BC483" s="81">
        <f>Prog_23[[#This Row],[VLR NF]]*0.05%</f>
        <v>91.917540000000002</v>
      </c>
      <c r="BD483" s="81">
        <v>450.6</v>
      </c>
      <c r="BE483" s="81"/>
      <c r="BF483" s="81"/>
      <c r="BG483" s="81"/>
      <c r="BH483" s="81"/>
      <c r="BI483" s="81"/>
      <c r="BJ483" s="81"/>
      <c r="BK483" s="81"/>
      <c r="BL483" s="81"/>
      <c r="BM483" s="81"/>
      <c r="BN483" s="66" t="s">
        <v>2768</v>
      </c>
      <c r="BO483" s="66" t="s">
        <v>2768</v>
      </c>
      <c r="BP483" s="66" t="s">
        <v>2768</v>
      </c>
      <c r="BQ483" s="66" t="str">
        <f>PROPER(TEXT(Prog_23[[#This Row],[PROGRAMAÇÃO CLIENTE]],"mmm"))</f>
        <v>Ago</v>
      </c>
      <c r="BR483" s="66">
        <f>YEAR(Prog_23[[#This Row],[PROGRAMAÇÃO CLIENTE]])</f>
        <v>2023</v>
      </c>
    </row>
    <row r="484" spans="1:70" x14ac:dyDescent="0.25">
      <c r="A484" s="200" t="str">
        <f>Prog_23[[#This Row],[CONTEINER]]</f>
        <v>MRKU2166252</v>
      </c>
      <c r="B484" s="86" t="s">
        <v>2771</v>
      </c>
      <c r="C4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84" s="85">
        <v>45169.25</v>
      </c>
      <c r="E484" s="66" t="s">
        <v>5875</v>
      </c>
      <c r="F484" s="66" t="s">
        <v>5898</v>
      </c>
      <c r="G484" s="66" t="s">
        <v>6209</v>
      </c>
      <c r="H484" s="44" t="s">
        <v>6205</v>
      </c>
      <c r="I484" s="44" t="s">
        <v>6206</v>
      </c>
      <c r="J484" s="66" t="s">
        <v>301</v>
      </c>
      <c r="K484" s="66">
        <v>3790</v>
      </c>
      <c r="L484" s="66" t="s">
        <v>6223</v>
      </c>
      <c r="M484" s="66">
        <v>27540</v>
      </c>
      <c r="N484" s="66">
        <f>SUM(Prog_23[[#This Row],[TARA]]+Prog_23[[#This Row],[PESO]])</f>
        <v>31330</v>
      </c>
      <c r="O484" s="44">
        <v>10180</v>
      </c>
      <c r="P484" s="66" t="s">
        <v>6210</v>
      </c>
      <c r="Q484" s="66" t="s">
        <v>68</v>
      </c>
      <c r="R484" s="66" t="s">
        <v>36</v>
      </c>
      <c r="S484" s="66" t="s">
        <v>206</v>
      </c>
      <c r="T484" s="138" t="str">
        <f>IFERROR(LOOKUP($S484,MOTORISTAS!$D$3:$D$916,MOTORISTAS!E$3:$E$916),"")</f>
        <v>09085263425</v>
      </c>
      <c r="U484" s="138" t="str">
        <f>IFERROR(LOOKUP($S484,MOTORISTAS!$D$3:$D$916,MOTORISTAS!F$3:$F$916),"")</f>
        <v>04557705505</v>
      </c>
      <c r="V484" s="66" t="s">
        <v>293</v>
      </c>
      <c r="W484" s="79">
        <v>45168.997916666667</v>
      </c>
      <c r="X484" s="79">
        <v>45169.125</v>
      </c>
      <c r="Y484" s="79">
        <v>45169.451388888891</v>
      </c>
      <c r="Z484" s="66" t="s">
        <v>292</v>
      </c>
      <c r="AA484" s="79">
        <v>45169.665972222225</v>
      </c>
      <c r="AB484" s="79">
        <v>45174.999305555553</v>
      </c>
      <c r="AC484" s="79">
        <v>45176.999305555553</v>
      </c>
      <c r="AD484" s="79">
        <v>45174.999305555553</v>
      </c>
      <c r="AE484" s="66" t="s">
        <v>708</v>
      </c>
      <c r="AF484" s="44">
        <v>17348</v>
      </c>
      <c r="AG484" s="254">
        <f>Prog_23[[#This Row],[SAÍDA DO CLIENTE]]-Prog_23[[#This Row],[PROGRAMAÇÃO CLIENTE]]</f>
        <v>0.20138888889050577</v>
      </c>
      <c r="AH484" s="44"/>
      <c r="AI484" s="66"/>
      <c r="AJ484" s="66"/>
      <c r="AK484" s="66"/>
      <c r="AL484" s="66"/>
      <c r="AM484" s="66"/>
      <c r="AN484" s="83"/>
      <c r="AO484" s="83">
        <v>0</v>
      </c>
      <c r="AP484" s="83"/>
      <c r="AQ484" s="66"/>
      <c r="AR484" s="66"/>
      <c r="AS484" s="66"/>
      <c r="AT484" s="81">
        <v>3000</v>
      </c>
      <c r="AU484" s="81"/>
      <c r="AV484" s="81"/>
      <c r="AW484" s="81"/>
      <c r="AX484" s="83">
        <f>SUM(Prog_23[[#This Row],[ADIANTAMENTO]]+Prog_23[[#This Row],[SALDO]]+Prog_23[[#This Row],[MARGEM]]+Prog_23[[#This Row],[ESTADIA 1]])</f>
        <v>3000</v>
      </c>
      <c r="AY4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84" s="81">
        <v>4307.3999999999996</v>
      </c>
      <c r="BA484" s="81"/>
      <c r="BB484" s="81">
        <f>Prog_23[[#This Row],[VLR NF]]*0.1%</f>
        <v>0</v>
      </c>
      <c r="BC484" s="81">
        <f>Prog_23[[#This Row],[VLR NF]]*0.05%</f>
        <v>0</v>
      </c>
      <c r="BD484" s="81">
        <v>312.60000000000002</v>
      </c>
      <c r="BE484" s="81"/>
      <c r="BF484" s="81"/>
      <c r="BG484" s="81"/>
      <c r="BH484" s="81"/>
      <c r="BI484" s="81">
        <v>630</v>
      </c>
      <c r="BJ484" s="81"/>
      <c r="BK484" s="81"/>
      <c r="BL484" s="81"/>
      <c r="BM484" s="81"/>
      <c r="BN484" s="66" t="s">
        <v>2768</v>
      </c>
      <c r="BO484" s="66" t="s">
        <v>2768</v>
      </c>
      <c r="BP484" s="66"/>
      <c r="BQ484" s="66" t="str">
        <f>PROPER(TEXT(Prog_23[[#This Row],[PROGRAMAÇÃO CLIENTE]],"mmm"))</f>
        <v>Ago</v>
      </c>
      <c r="BR484" s="66">
        <f>YEAR(Prog_23[[#This Row],[PROGRAMAÇÃO CLIENTE]])</f>
        <v>2023</v>
      </c>
    </row>
    <row r="485" spans="1:70" x14ac:dyDescent="0.25">
      <c r="A485" s="201" t="str">
        <f>Prog_23[[#This Row],[CONTEINER]]</f>
        <v>MRSU3631829</v>
      </c>
      <c r="B485" s="86" t="s">
        <v>2771</v>
      </c>
      <c r="C4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85" s="85">
        <v>45169.25</v>
      </c>
      <c r="E485" s="66" t="s">
        <v>5875</v>
      </c>
      <c r="F485" s="66" t="s">
        <v>5898</v>
      </c>
      <c r="G485" s="66" t="s">
        <v>6209</v>
      </c>
      <c r="H485" s="44" t="s">
        <v>6205</v>
      </c>
      <c r="I485" s="44" t="s">
        <v>6207</v>
      </c>
      <c r="J485" s="66" t="s">
        <v>301</v>
      </c>
      <c r="K485" s="66">
        <v>3810</v>
      </c>
      <c r="L485" s="66" t="s">
        <v>6224</v>
      </c>
      <c r="M485" s="66">
        <v>27540</v>
      </c>
      <c r="N485" s="66">
        <f>SUM(Prog_23[[#This Row],[TARA]]+Prog_23[[#This Row],[PESO]])</f>
        <v>31350</v>
      </c>
      <c r="O485" s="44">
        <v>10181</v>
      </c>
      <c r="P485" s="66" t="s">
        <v>6210</v>
      </c>
      <c r="Q485" s="66" t="s">
        <v>155</v>
      </c>
      <c r="R485" s="66" t="s">
        <v>209</v>
      </c>
      <c r="S485" s="66" t="s">
        <v>156</v>
      </c>
      <c r="T485" s="138" t="str">
        <f>IFERROR(LOOKUP($S485,MOTORISTAS!$D$3:$D$916,MOTORISTAS!E$3:$E$916),"")</f>
        <v>09803034863</v>
      </c>
      <c r="U485" s="138" t="str">
        <f>IFERROR(LOOKUP($S485,MOTORISTAS!$D$3:$D$916,MOTORISTAS!F$3:$F$916),"")</f>
        <v>01484565209</v>
      </c>
      <c r="V485" s="66" t="s">
        <v>293</v>
      </c>
      <c r="W485" s="79">
        <v>45168.890277777777</v>
      </c>
      <c r="X485" s="79">
        <v>45169.083333333336</v>
      </c>
      <c r="Y485" s="79">
        <v>45169.416666666664</v>
      </c>
      <c r="Z485" s="66" t="s">
        <v>292</v>
      </c>
      <c r="AA485" s="79">
        <v>45169.659722222219</v>
      </c>
      <c r="AB485" s="79">
        <v>45174.999305555553</v>
      </c>
      <c r="AC485" s="79">
        <v>45176.999305555553</v>
      </c>
      <c r="AD485" s="79">
        <v>45174.999305555553</v>
      </c>
      <c r="AE485" s="66" t="s">
        <v>708</v>
      </c>
      <c r="AF485" s="44">
        <v>17346</v>
      </c>
      <c r="AG485" s="254">
        <f>Prog_23[[#This Row],[SAÍDA DO CLIENTE]]-Prog_23[[#This Row],[PROGRAMAÇÃO CLIENTE]]</f>
        <v>0.16666666666424135</v>
      </c>
      <c r="AH485" s="44"/>
      <c r="AI485" s="66"/>
      <c r="AJ485" s="66"/>
      <c r="AK485" s="66"/>
      <c r="AL485" s="66"/>
      <c r="AM485" s="66"/>
      <c r="AN485" s="83"/>
      <c r="AO485" s="83">
        <v>0</v>
      </c>
      <c r="AP485" s="83"/>
      <c r="AQ485" s="66"/>
      <c r="AR485" s="66"/>
      <c r="AS485" s="66"/>
      <c r="AT485" s="81">
        <v>3000</v>
      </c>
      <c r="AU485" s="81"/>
      <c r="AV485" s="81"/>
      <c r="AW485" s="81"/>
      <c r="AX485" s="83">
        <f>SUM(Prog_23[[#This Row],[ADIANTAMENTO]]+Prog_23[[#This Row],[SALDO]]+Prog_23[[#This Row],[MARGEM]]+Prog_23[[#This Row],[ESTADIA 1]])</f>
        <v>3000</v>
      </c>
      <c r="AY4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85" s="81">
        <v>4307.3999999999996</v>
      </c>
      <c r="BA485" s="81"/>
      <c r="BB485" s="81">
        <f>Prog_23[[#This Row],[VLR NF]]*0.1%</f>
        <v>0</v>
      </c>
      <c r="BC485" s="81">
        <f>Prog_23[[#This Row],[VLR NF]]*0.05%</f>
        <v>0</v>
      </c>
      <c r="BD485" s="81">
        <v>312.60000000000002</v>
      </c>
      <c r="BE485" s="81"/>
      <c r="BF485" s="81"/>
      <c r="BG485" s="81"/>
      <c r="BH485" s="81"/>
      <c r="BI485" s="81">
        <v>630</v>
      </c>
      <c r="BJ485" s="81"/>
      <c r="BK485" s="81"/>
      <c r="BL485" s="81"/>
      <c r="BM485" s="81"/>
      <c r="BN485" s="66" t="s">
        <v>2768</v>
      </c>
      <c r="BO485" s="66" t="s">
        <v>2768</v>
      </c>
      <c r="BP485" s="66"/>
      <c r="BQ485" s="66" t="str">
        <f>PROPER(TEXT(Prog_23[[#This Row],[PROGRAMAÇÃO CLIENTE]],"mmm"))</f>
        <v>Ago</v>
      </c>
      <c r="BR485" s="66">
        <f>YEAR(Prog_23[[#This Row],[PROGRAMAÇÃO CLIENTE]])</f>
        <v>2023</v>
      </c>
    </row>
    <row r="486" spans="1:70" x14ac:dyDescent="0.25">
      <c r="A486" s="200" t="str">
        <f>Prog_23[[#This Row],[CONTEINER]]</f>
        <v>TCKU7800114</v>
      </c>
      <c r="B486" s="86" t="s">
        <v>2771</v>
      </c>
      <c r="C4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86" s="85">
        <v>45169.25</v>
      </c>
      <c r="E486" s="66" t="s">
        <v>5875</v>
      </c>
      <c r="F486" s="66" t="s">
        <v>5898</v>
      </c>
      <c r="G486" s="66" t="s">
        <v>6209</v>
      </c>
      <c r="H486" s="44" t="s">
        <v>6205</v>
      </c>
      <c r="I486" s="44" t="s">
        <v>6208</v>
      </c>
      <c r="J486" s="66" t="s">
        <v>301</v>
      </c>
      <c r="K486" s="66">
        <v>3700</v>
      </c>
      <c r="L486" s="66" t="s">
        <v>6225</v>
      </c>
      <c r="M486" s="66">
        <v>27336</v>
      </c>
      <c r="N486" s="66">
        <f>SUM(Prog_23[[#This Row],[TARA]]+Prog_23[[#This Row],[PESO]])</f>
        <v>31036</v>
      </c>
      <c r="O486" s="44">
        <v>10182</v>
      </c>
      <c r="P486" s="66" t="s">
        <v>6210</v>
      </c>
      <c r="Q486" s="66" t="s">
        <v>72</v>
      </c>
      <c r="R486" s="66" t="s">
        <v>5655</v>
      </c>
      <c r="S486" s="66" t="s">
        <v>69</v>
      </c>
      <c r="T486" s="138" t="str">
        <f>IFERROR(LOOKUP($S486,MOTORISTAS!$D$3:$D$916,MOTORISTAS!E$3:$E$916),"")</f>
        <v>07968457866</v>
      </c>
      <c r="U486" s="138" t="str">
        <f>IFERROR(LOOKUP($S486,MOTORISTAS!$D$3:$D$916,MOTORISTAS!F$3:$F$916),"")</f>
        <v>03264365790</v>
      </c>
      <c r="V486" s="66" t="s">
        <v>293</v>
      </c>
      <c r="W486" s="79">
        <v>45168.859722222223</v>
      </c>
      <c r="X486" s="79">
        <v>45169.083333333336</v>
      </c>
      <c r="Y486" s="79">
        <v>45169.416666666664</v>
      </c>
      <c r="Z486" s="66" t="s">
        <v>292</v>
      </c>
      <c r="AA486" s="79">
        <v>45169.665972222225</v>
      </c>
      <c r="AB486" s="79">
        <v>45174.999305555553</v>
      </c>
      <c r="AC486" s="79">
        <v>45176.999305555553</v>
      </c>
      <c r="AD486" s="79">
        <v>45174.999305555553</v>
      </c>
      <c r="AE486" s="66" t="s">
        <v>708</v>
      </c>
      <c r="AF486" s="44">
        <v>17347</v>
      </c>
      <c r="AG486" s="254">
        <f>Prog_23[[#This Row],[SAÍDA DO CLIENTE]]-Prog_23[[#This Row],[PROGRAMAÇÃO CLIENTE]]</f>
        <v>0.16666666666424135</v>
      </c>
      <c r="AH486" s="44"/>
      <c r="AI486" s="66"/>
      <c r="AJ486" s="66"/>
      <c r="AK486" s="66"/>
      <c r="AL486" s="66"/>
      <c r="AM486" s="66"/>
      <c r="AN486" s="83"/>
      <c r="AO486" s="83">
        <v>0</v>
      </c>
      <c r="AP486" s="83"/>
      <c r="AQ486" s="66"/>
      <c r="AR486" s="66"/>
      <c r="AS486" s="66"/>
      <c r="AT486" s="81">
        <v>3000</v>
      </c>
      <c r="AU486" s="81"/>
      <c r="AV486" s="81"/>
      <c r="AW486" s="81"/>
      <c r="AX486" s="83">
        <f>SUM(Prog_23[[#This Row],[ADIANTAMENTO]]+Prog_23[[#This Row],[SALDO]]+Prog_23[[#This Row],[MARGEM]]+Prog_23[[#This Row],[ESTADIA 1]])</f>
        <v>3000</v>
      </c>
      <c r="AY4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86" s="81">
        <v>4307.3999999999996</v>
      </c>
      <c r="BA486" s="81"/>
      <c r="BB486" s="81">
        <f>Prog_23[[#This Row],[VLR NF]]*0.1%</f>
        <v>0</v>
      </c>
      <c r="BC486" s="81">
        <f>Prog_23[[#This Row],[VLR NF]]*0.05%</f>
        <v>0</v>
      </c>
      <c r="BD486" s="81">
        <v>312.60000000000002</v>
      </c>
      <c r="BE486" s="81"/>
      <c r="BF486" s="81"/>
      <c r="BG486" s="81"/>
      <c r="BH486" s="81"/>
      <c r="BI486" s="81">
        <v>630</v>
      </c>
      <c r="BJ486" s="81"/>
      <c r="BK486" s="81"/>
      <c r="BL486" s="81"/>
      <c r="BM486" s="81"/>
      <c r="BN486" s="66" t="s">
        <v>2768</v>
      </c>
      <c r="BO486" s="66" t="s">
        <v>2768</v>
      </c>
      <c r="BP486" s="66"/>
      <c r="BQ486" s="66" t="str">
        <f>PROPER(TEXT(Prog_23[[#This Row],[PROGRAMAÇÃO CLIENTE]],"mmm"))</f>
        <v>Ago</v>
      </c>
      <c r="BR486" s="66">
        <f>YEAR(Prog_23[[#This Row],[PROGRAMAÇÃO CLIENTE]])</f>
        <v>2023</v>
      </c>
    </row>
    <row r="487" spans="1:70" x14ac:dyDescent="0.25">
      <c r="A487" s="201" t="str">
        <f>Prog_23[[#This Row],[CONTEINER]]</f>
        <v>HLBU3342402</v>
      </c>
      <c r="B487" s="86" t="s">
        <v>2771</v>
      </c>
      <c r="C4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87" s="85">
        <v>45169.25</v>
      </c>
      <c r="E487" s="66" t="s">
        <v>5875</v>
      </c>
      <c r="F487" s="66" t="s">
        <v>5898</v>
      </c>
      <c r="G487" s="66" t="s">
        <v>6211</v>
      </c>
      <c r="H487" s="44" t="s">
        <v>6212</v>
      </c>
      <c r="I487" s="44" t="s">
        <v>6213</v>
      </c>
      <c r="J487" s="66" t="s">
        <v>301</v>
      </c>
      <c r="K487" s="66">
        <v>3900</v>
      </c>
      <c r="L487" s="66" t="s">
        <v>6226</v>
      </c>
      <c r="M487" s="66">
        <v>23678</v>
      </c>
      <c r="N487" s="66">
        <f>SUM(Prog_23[[#This Row],[TARA]]+Prog_23[[#This Row],[PESO]])</f>
        <v>27578</v>
      </c>
      <c r="O487" s="44">
        <v>10177</v>
      </c>
      <c r="P487" s="66" t="s">
        <v>6227</v>
      </c>
      <c r="Q487" s="66" t="s">
        <v>210</v>
      </c>
      <c r="R487" s="66" t="s">
        <v>211</v>
      </c>
      <c r="S487" s="66" t="s">
        <v>212</v>
      </c>
      <c r="T487" s="138" t="str">
        <f>IFERROR(LOOKUP($S487,MOTORISTAS!$D$3:$D$916,MOTORISTAS!E$3:$E$916),"")</f>
        <v>38029906846</v>
      </c>
      <c r="U487" s="138" t="str">
        <f>IFERROR(LOOKUP($S487,MOTORISTAS!$D$3:$D$916,MOTORISTAS!F$3:$F$916),"")</f>
        <v>04946846842</v>
      </c>
      <c r="V487" s="66" t="s">
        <v>293</v>
      </c>
      <c r="W487" s="79">
        <v>45169.064583333333</v>
      </c>
      <c r="X487" s="79">
        <v>45169.277777777781</v>
      </c>
      <c r="Y487" s="79">
        <v>45169.493055555555</v>
      </c>
      <c r="Z487" s="66" t="s">
        <v>292</v>
      </c>
      <c r="AA487" s="79">
        <v>45170</v>
      </c>
      <c r="AB487" s="79">
        <v>45174.999305555553</v>
      </c>
      <c r="AC487" s="79">
        <v>45169.999305555553</v>
      </c>
      <c r="AD487" s="79">
        <v>45174.999305555553</v>
      </c>
      <c r="AE487" s="66" t="s">
        <v>708</v>
      </c>
      <c r="AF487" s="44">
        <v>17345</v>
      </c>
      <c r="AG487" s="254">
        <f>Prog_23[[#This Row],[SAÍDA DO CLIENTE]]-Prog_23[[#This Row],[PROGRAMAÇÃO CLIENTE]]</f>
        <v>0.24305555555474712</v>
      </c>
      <c r="AH487" s="44"/>
      <c r="AI487" s="66"/>
      <c r="AJ487" s="66"/>
      <c r="AK487" s="66"/>
      <c r="AL487" s="66"/>
      <c r="AM487" s="66"/>
      <c r="AN487" s="83"/>
      <c r="AO487" s="83">
        <v>0</v>
      </c>
      <c r="AP487" s="83"/>
      <c r="AQ487" s="66"/>
      <c r="AR487" s="66"/>
      <c r="AS487" s="66"/>
      <c r="AT487" s="81"/>
      <c r="AU487" s="81"/>
      <c r="AV487" s="81"/>
      <c r="AW487" s="81"/>
      <c r="AX487" s="83">
        <f>SUM(Prog_23[[#This Row],[ADIANTAMENTO]]+Prog_23[[#This Row],[SALDO]]+Prog_23[[#This Row],[MARGEM]]+Prog_23[[#This Row],[ESTADIA 1]])</f>
        <v>0</v>
      </c>
      <c r="AY4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87" s="81">
        <v>4307.3999999999996</v>
      </c>
      <c r="BA487" s="81">
        <v>104575.44</v>
      </c>
      <c r="BB487" s="81">
        <v>0</v>
      </c>
      <c r="BC487" s="81">
        <v>0</v>
      </c>
      <c r="BD487" s="81">
        <v>312.60000000000002</v>
      </c>
      <c r="BE487" s="81"/>
      <c r="BF487" s="81"/>
      <c r="BG487" s="81"/>
      <c r="BH487" s="81"/>
      <c r="BI487" s="81">
        <v>630</v>
      </c>
      <c r="BJ487" s="81"/>
      <c r="BK487" s="81"/>
      <c r="BL487" s="81"/>
      <c r="BM487" s="81"/>
      <c r="BN487" s="66" t="s">
        <v>2768</v>
      </c>
      <c r="BO487" s="66" t="s">
        <v>2768</v>
      </c>
      <c r="BP487" s="66" t="s">
        <v>2768</v>
      </c>
      <c r="BQ487" s="66" t="str">
        <f>PROPER(TEXT(Prog_23[[#This Row],[PROGRAMAÇÃO CLIENTE]],"mmm"))</f>
        <v>Ago</v>
      </c>
      <c r="BR487" s="66">
        <f>YEAR(Prog_23[[#This Row],[PROGRAMAÇÃO CLIENTE]])</f>
        <v>2023</v>
      </c>
    </row>
    <row r="488" spans="1:70" x14ac:dyDescent="0.25">
      <c r="A488" s="201">
        <f>Prog_23[[#This Row],[CONTEINER]]</f>
        <v>0</v>
      </c>
      <c r="B488" s="86" t="s">
        <v>836</v>
      </c>
      <c r="C4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488" s="85">
        <v>45174.291666666664</v>
      </c>
      <c r="E488" s="66" t="s">
        <v>6000</v>
      </c>
      <c r="F488" s="66" t="s">
        <v>6002</v>
      </c>
      <c r="G488" s="66" t="s">
        <v>6003</v>
      </c>
      <c r="H488" s="258" t="s">
        <v>6001</v>
      </c>
      <c r="I488" s="44"/>
      <c r="J488" s="66" t="s">
        <v>301</v>
      </c>
      <c r="K488" s="66"/>
      <c r="L488" s="66"/>
      <c r="M488" s="66"/>
      <c r="N488" s="66">
        <f>SUM(Prog_23[[#This Row],[TARA]]+Prog_23[[#This Row],[PESO]])</f>
        <v>0</v>
      </c>
      <c r="O488" s="44"/>
      <c r="P488" s="66" t="s">
        <v>5332</v>
      </c>
      <c r="Q488" s="66"/>
      <c r="R488" s="66"/>
      <c r="S488" s="66"/>
      <c r="T488" s="138" t="str">
        <f>IFERROR(LOOKUP($S488,MOTORISTAS!$D$3:$D$916,MOTORISTAS!E$3:$E$916),"")</f>
        <v/>
      </c>
      <c r="U488" s="138" t="str">
        <f>IFERROR(LOOKUP($S488,MOTORISTAS!$D$3:$D$916,MOTORISTAS!F$3:$F$916),"")</f>
        <v/>
      </c>
      <c r="V488" s="66"/>
      <c r="W488" s="66"/>
      <c r="X488" s="66"/>
      <c r="Y488" s="66"/>
      <c r="Z488" s="66"/>
      <c r="AA488" s="66"/>
      <c r="AB488" s="66"/>
      <c r="AC488" s="79">
        <v>45181.5</v>
      </c>
      <c r="AD488" s="79">
        <v>45183.5</v>
      </c>
      <c r="AE488" s="66" t="s">
        <v>418</v>
      </c>
      <c r="AF488" s="44"/>
      <c r="AG488" s="254">
        <f>Prog_23[[#This Row],[SAÍDA DO CLIENTE]]-Prog_23[[#This Row],[PROGRAMAÇÃO CLIENTE]]</f>
        <v>-45174.291666666664</v>
      </c>
      <c r="AH488" s="44"/>
      <c r="AI488" s="66"/>
      <c r="AJ488" s="66"/>
      <c r="AK488" s="66"/>
      <c r="AL488" s="66"/>
      <c r="AM488" s="66"/>
      <c r="AN488" s="83"/>
      <c r="AO488" s="83"/>
      <c r="AP488" s="83"/>
      <c r="AQ488" s="66"/>
      <c r="AR488" s="66"/>
      <c r="AS488" s="66"/>
      <c r="AT488" s="81"/>
      <c r="AU488" s="81"/>
      <c r="AV488" s="81"/>
      <c r="AW488" s="81"/>
      <c r="AX488" s="83">
        <f>SUM(Prog_23[[#This Row],[ADIANTAMENTO]]+Prog_23[[#This Row],[SALDO]]+Prog_23[[#This Row],[MARGEM]]+Prog_23[[#This Row],[ESTADIA 1]])</f>
        <v>0</v>
      </c>
      <c r="AY4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488" s="81"/>
      <c r="BA488" s="81"/>
      <c r="BB488" s="81">
        <f>Prog_23[[#This Row],[VLR NF]]*0.1%</f>
        <v>0</v>
      </c>
      <c r="BC488" s="81">
        <f>Prog_23[[#This Row],[VLR NF]]*0.05%</f>
        <v>0</v>
      </c>
      <c r="BD488" s="81"/>
      <c r="BE488" s="81"/>
      <c r="BF488" s="81"/>
      <c r="BG488" s="81"/>
      <c r="BH488" s="81"/>
      <c r="BI488" s="81"/>
      <c r="BJ488" s="81"/>
      <c r="BK488" s="81"/>
      <c r="BL488" s="81"/>
      <c r="BM488" s="81"/>
      <c r="BN488" s="66"/>
      <c r="BO488" s="66"/>
      <c r="BP488" s="66"/>
      <c r="BQ488" s="66" t="str">
        <f>PROPER(TEXT(Prog_23[[#This Row],[PROGRAMAÇÃO CLIENTE]],"mmm"))</f>
        <v>Set</v>
      </c>
      <c r="BR488" s="66">
        <f>YEAR(Prog_23[[#This Row],[PROGRAMAÇÃO CLIENTE]])</f>
        <v>2023</v>
      </c>
    </row>
    <row r="489" spans="1:70" x14ac:dyDescent="0.25">
      <c r="A489" s="200" t="str">
        <f>Prog_23[[#This Row],[CONTEINER]]</f>
        <v>TRHU6934483</v>
      </c>
      <c r="B489" s="86" t="s">
        <v>2771</v>
      </c>
      <c r="C4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89" s="85">
        <v>45173.291666666664</v>
      </c>
      <c r="E489" s="66" t="s">
        <v>6000</v>
      </c>
      <c r="F489" s="66" t="s">
        <v>6002</v>
      </c>
      <c r="G489" s="66" t="s">
        <v>6245</v>
      </c>
      <c r="H489" s="44" t="s">
        <v>6178</v>
      </c>
      <c r="I489" s="44" t="s">
        <v>6264</v>
      </c>
      <c r="J489" s="66" t="s">
        <v>301</v>
      </c>
      <c r="K489" s="66">
        <v>3700</v>
      </c>
      <c r="L489" s="66" t="s">
        <v>6272</v>
      </c>
      <c r="M489" s="66">
        <v>12525</v>
      </c>
      <c r="N489" s="66">
        <f>SUM(Prog_23[[#This Row],[TARA]]+Prog_23[[#This Row],[PESO]])</f>
        <v>16225</v>
      </c>
      <c r="O489" s="44" t="s">
        <v>6291</v>
      </c>
      <c r="P489" s="66" t="s">
        <v>5332</v>
      </c>
      <c r="Q489" s="66" t="s">
        <v>68</v>
      </c>
      <c r="R489" s="66" t="s">
        <v>36</v>
      </c>
      <c r="S489" s="66" t="s">
        <v>206</v>
      </c>
      <c r="T489" s="138" t="str">
        <f>IFERROR(LOOKUP($S489,MOTORISTAS!$D$3:$D$916,MOTORISTAS!E$3:$E$916),"")</f>
        <v>09085263425</v>
      </c>
      <c r="U489" s="138" t="str">
        <f>IFERROR(LOOKUP($S489,MOTORISTAS!$D$3:$D$916,MOTORISTAS!F$3:$F$916),"")</f>
        <v>04557705505</v>
      </c>
      <c r="V489" s="66" t="s">
        <v>292</v>
      </c>
      <c r="W489" s="79">
        <v>45171.515277777777</v>
      </c>
      <c r="X489" s="79">
        <v>45173.208333333336</v>
      </c>
      <c r="Y489" s="79">
        <v>45173.506944444445</v>
      </c>
      <c r="Z489" s="66" t="s">
        <v>6179</v>
      </c>
      <c r="AA489" s="79">
        <v>45173.958333333336</v>
      </c>
      <c r="AB489" s="79">
        <v>45180.791666666664</v>
      </c>
      <c r="AC489" s="79">
        <v>45181.5</v>
      </c>
      <c r="AD489" s="79">
        <v>45182.75</v>
      </c>
      <c r="AE489" s="66" t="s">
        <v>6287</v>
      </c>
      <c r="AF489" s="44" t="s">
        <v>6292</v>
      </c>
      <c r="AG489" s="254">
        <f>Prog_23[[#This Row],[SAÍDA DO CLIENTE]]-Prog_23[[#This Row],[PROGRAMAÇÃO CLIENTE]]</f>
        <v>0.21527777778101154</v>
      </c>
      <c r="AH489" s="44"/>
      <c r="AI489" s="66"/>
      <c r="AJ489" s="66"/>
      <c r="AK489" s="66"/>
      <c r="AL489" s="66"/>
      <c r="AM489" s="66"/>
      <c r="AN489" s="83"/>
      <c r="AO489" s="83">
        <v>20</v>
      </c>
      <c r="AP489" s="83"/>
      <c r="AQ489" s="66"/>
      <c r="AR489" s="66"/>
      <c r="AS489" s="66"/>
      <c r="AT489" s="81">
        <v>4500</v>
      </c>
      <c r="AU489" s="81"/>
      <c r="AV489" s="81"/>
      <c r="AW489" s="81"/>
      <c r="AX489" s="83">
        <f>SUM(Prog_23[[#This Row],[ADIANTAMENTO]]+Prog_23[[#This Row],[SALDO]]+Prog_23[[#This Row],[MARGEM]]+Prog_23[[#This Row],[ESTADIA 1]])</f>
        <v>4500</v>
      </c>
      <c r="AY4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6050</v>
      </c>
      <c r="AZ489" s="81">
        <v>4788.8</v>
      </c>
      <c r="BA489" s="81">
        <v>223753.2</v>
      </c>
      <c r="BB489" s="81">
        <v>0</v>
      </c>
      <c r="BC489" s="81">
        <v>0</v>
      </c>
      <c r="BD489" s="81">
        <v>1261.2</v>
      </c>
      <c r="BE489" s="81"/>
      <c r="BF489" s="81"/>
      <c r="BG489" s="81"/>
      <c r="BH489" s="81"/>
      <c r="BI489" s="81"/>
      <c r="BJ489" s="81"/>
      <c r="BK489" s="81"/>
      <c r="BL489" s="81"/>
      <c r="BM489" s="81"/>
      <c r="BN489" s="66" t="s">
        <v>2768</v>
      </c>
      <c r="BO489" s="66" t="s">
        <v>2768</v>
      </c>
      <c r="BP489" s="66" t="s">
        <v>2768</v>
      </c>
      <c r="BQ489" s="66" t="str">
        <f>PROPER(TEXT(Prog_23[[#This Row],[PROGRAMAÇÃO CLIENTE]],"mmm"))</f>
        <v>Set</v>
      </c>
      <c r="BR489" s="66">
        <f>YEAR(Prog_23[[#This Row],[PROGRAMAÇÃO CLIENTE]])</f>
        <v>2023</v>
      </c>
    </row>
    <row r="490" spans="1:70" x14ac:dyDescent="0.25">
      <c r="A490" s="200" t="str">
        <f>Prog_23[[#This Row],[CONTEINER]]</f>
        <v>MRSU5104663</v>
      </c>
      <c r="B490" s="86" t="s">
        <v>2771</v>
      </c>
      <c r="C4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90" s="85">
        <v>45173.291666666664</v>
      </c>
      <c r="E490" s="66" t="s">
        <v>6000</v>
      </c>
      <c r="F490" s="66" t="s">
        <v>6002</v>
      </c>
      <c r="G490" s="66" t="s">
        <v>6237</v>
      </c>
      <c r="H490" s="44" t="s">
        <v>6236</v>
      </c>
      <c r="I490" s="44" t="s">
        <v>6263</v>
      </c>
      <c r="J490" s="66" t="s">
        <v>301</v>
      </c>
      <c r="K490" s="66">
        <v>3720</v>
      </c>
      <c r="L490" s="66" t="s">
        <v>6296</v>
      </c>
      <c r="M490" s="66">
        <v>25050</v>
      </c>
      <c r="N490" s="66">
        <f>SUM(Prog_23[[#This Row],[TARA]]+Prog_23[[#This Row],[PESO]])</f>
        <v>28770</v>
      </c>
      <c r="O490" s="44">
        <v>40878</v>
      </c>
      <c r="P490" s="66" t="s">
        <v>5332</v>
      </c>
      <c r="Q490" s="66" t="s">
        <v>31</v>
      </c>
      <c r="R490" s="66" t="s">
        <v>32</v>
      </c>
      <c r="S490" s="66" t="s">
        <v>33</v>
      </c>
      <c r="T490" s="138" t="str">
        <f>IFERROR(LOOKUP($S490,MOTORISTAS!$D$3:$D$916,MOTORISTAS!E$3:$E$916),"")</f>
        <v>09776430856</v>
      </c>
      <c r="U490" s="138" t="str">
        <f>IFERROR(LOOKUP($S490,MOTORISTAS!$D$3:$D$916,MOTORISTAS!F$3:$F$916),"")</f>
        <v>01258979905</v>
      </c>
      <c r="V490" s="66" t="s">
        <v>292</v>
      </c>
      <c r="W490" s="79">
        <v>45171.484722222223</v>
      </c>
      <c r="X490" s="79">
        <v>45173.111111111109</v>
      </c>
      <c r="Y490" s="79">
        <v>45173.645833333336</v>
      </c>
      <c r="Z490" s="66" t="s">
        <v>6179</v>
      </c>
      <c r="AA490" s="79">
        <v>45173.979166666664</v>
      </c>
      <c r="AB490" s="79">
        <v>45180.791666666664</v>
      </c>
      <c r="AC490" s="79">
        <v>45181.5</v>
      </c>
      <c r="AD490" s="79">
        <v>45182.75</v>
      </c>
      <c r="AE490" s="66" t="s">
        <v>418</v>
      </c>
      <c r="AF490" s="44">
        <v>17410</v>
      </c>
      <c r="AG490" s="254">
        <f>Prog_23[[#This Row],[SAÍDA DO CLIENTE]]-Prog_23[[#This Row],[PROGRAMAÇÃO CLIENTE]]</f>
        <v>0.35416666667151731</v>
      </c>
      <c r="AH490" s="44"/>
      <c r="AI490" s="66"/>
      <c r="AJ490" s="66"/>
      <c r="AK490" s="66"/>
      <c r="AL490" s="66"/>
      <c r="AM490" s="66"/>
      <c r="AN490" s="83"/>
      <c r="AO490" s="83">
        <v>20</v>
      </c>
      <c r="AP490" s="83"/>
      <c r="AQ490" s="66"/>
      <c r="AR490" s="66"/>
      <c r="AS490" s="66"/>
      <c r="AT490" s="81">
        <v>4500</v>
      </c>
      <c r="AU490" s="81"/>
      <c r="AV490" s="81"/>
      <c r="AW490" s="81"/>
      <c r="AX490" s="83">
        <f>SUM(Prog_23[[#This Row],[ADIANTAMENTO]]+Prog_23[[#This Row],[SALDO]]+Prog_23[[#This Row],[MARGEM]]+Prog_23[[#This Row],[ESTADIA 1]])</f>
        <v>4500</v>
      </c>
      <c r="AY4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6050</v>
      </c>
      <c r="AZ490" s="81">
        <v>4788.8</v>
      </c>
      <c r="BA490" s="81">
        <v>230533.6</v>
      </c>
      <c r="BB490" s="81">
        <v>0</v>
      </c>
      <c r="BC490" s="81">
        <v>0</v>
      </c>
      <c r="BD490" s="81">
        <v>1261.2</v>
      </c>
      <c r="BE490" s="81"/>
      <c r="BF490" s="81"/>
      <c r="BG490" s="81"/>
      <c r="BH490" s="81"/>
      <c r="BI490" s="81"/>
      <c r="BJ490" s="81"/>
      <c r="BK490" s="81"/>
      <c r="BL490" s="81"/>
      <c r="BM490" s="81"/>
      <c r="BN490" s="66" t="s">
        <v>2768</v>
      </c>
      <c r="BO490" s="66" t="s">
        <v>2768</v>
      </c>
      <c r="BP490" s="66" t="s">
        <v>2768</v>
      </c>
      <c r="BQ490" s="66" t="str">
        <f>PROPER(TEXT(Prog_23[[#This Row],[PROGRAMAÇÃO CLIENTE]],"mmm"))</f>
        <v>Set</v>
      </c>
      <c r="BR490" s="66">
        <f>YEAR(Prog_23[[#This Row],[PROGRAMAÇÃO CLIENTE]])</f>
        <v>2023</v>
      </c>
    </row>
    <row r="491" spans="1:70" x14ac:dyDescent="0.25">
      <c r="A491" s="201" t="str">
        <f>Prog_23[[#This Row],[CONTEINER]]</f>
        <v>MIEU2029096</v>
      </c>
      <c r="B491" s="86" t="s">
        <v>2771</v>
      </c>
      <c r="C4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91" s="85">
        <v>45173.291666666664</v>
      </c>
      <c r="E491" s="66" t="s">
        <v>6000</v>
      </c>
      <c r="F491" s="66" t="s">
        <v>6002</v>
      </c>
      <c r="G491" s="66" t="s">
        <v>6235</v>
      </c>
      <c r="H491" s="44" t="s">
        <v>6234</v>
      </c>
      <c r="I491" s="44" t="s">
        <v>6265</v>
      </c>
      <c r="J491" s="66" t="s">
        <v>301</v>
      </c>
      <c r="K491" s="66">
        <v>3880</v>
      </c>
      <c r="L491" s="66" t="s">
        <v>6293</v>
      </c>
      <c r="M491" s="66">
        <v>25037</v>
      </c>
      <c r="N491" s="66">
        <f>SUM(Prog_23[[#This Row],[TARA]]+Prog_23[[#This Row],[PESO]])</f>
        <v>28917</v>
      </c>
      <c r="O491" s="44">
        <v>40877</v>
      </c>
      <c r="P491" s="66" t="s">
        <v>5332</v>
      </c>
      <c r="Q491" s="66" t="s">
        <v>210</v>
      </c>
      <c r="R491" s="66" t="s">
        <v>211</v>
      </c>
      <c r="S491" s="66" t="s">
        <v>212</v>
      </c>
      <c r="T491" s="138" t="str">
        <f>IFERROR(LOOKUP($S491,MOTORISTAS!$D$3:$D$916,MOTORISTAS!E$3:$E$916),"")</f>
        <v>38029906846</v>
      </c>
      <c r="U491" s="138" t="str">
        <f>IFERROR(LOOKUP($S491,MOTORISTAS!$D$3:$D$916,MOTORISTAS!F$3:$F$916),"")</f>
        <v>04946846842</v>
      </c>
      <c r="V491" s="66" t="s">
        <v>292</v>
      </c>
      <c r="W491" s="79">
        <v>45171.49722222222</v>
      </c>
      <c r="X491" s="79">
        <v>45173.229166666664</v>
      </c>
      <c r="Y491" s="79">
        <v>45173.635416666664</v>
      </c>
      <c r="Z491" s="66" t="s">
        <v>6179</v>
      </c>
      <c r="AA491" s="79">
        <v>45173.979166666664</v>
      </c>
      <c r="AB491" s="79">
        <v>45180.791666666664</v>
      </c>
      <c r="AC491" s="79">
        <v>45181.5</v>
      </c>
      <c r="AD491" s="79">
        <v>45182.75</v>
      </c>
      <c r="AE491" s="66" t="s">
        <v>418</v>
      </c>
      <c r="AF491" s="44">
        <v>17408</v>
      </c>
      <c r="AG491" s="254">
        <f>Prog_23[[#This Row],[SAÍDA DO CLIENTE]]-Prog_23[[#This Row],[PROGRAMAÇÃO CLIENTE]]</f>
        <v>0.34375</v>
      </c>
      <c r="AH491" s="44"/>
      <c r="AI491" s="66"/>
      <c r="AJ491" s="66"/>
      <c r="AK491" s="66"/>
      <c r="AL491" s="66"/>
      <c r="AM491" s="66"/>
      <c r="AN491" s="83"/>
      <c r="AO491" s="83">
        <v>20</v>
      </c>
      <c r="AP491" s="83"/>
      <c r="AQ491" s="66"/>
      <c r="AR491" s="66"/>
      <c r="AS491" s="66"/>
      <c r="AT491" s="81"/>
      <c r="AU491" s="81"/>
      <c r="AV491" s="81"/>
      <c r="AW491" s="81"/>
      <c r="AX491" s="83">
        <f>SUM(Prog_23[[#This Row],[ADIANTAMENTO]]+Prog_23[[#This Row],[SALDO]]+Prog_23[[#This Row],[MARGEM]]+Prog_23[[#This Row],[ESTADIA 1]])</f>
        <v>0</v>
      </c>
      <c r="AY4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6050</v>
      </c>
      <c r="AZ491" s="81">
        <v>4788.8</v>
      </c>
      <c r="BA491" s="81">
        <v>218205.6</v>
      </c>
      <c r="BB491" s="81">
        <v>0</v>
      </c>
      <c r="BC491" s="81">
        <v>0</v>
      </c>
      <c r="BD491" s="81">
        <v>1261.2</v>
      </c>
      <c r="BE491" s="81"/>
      <c r="BF491" s="81"/>
      <c r="BG491" s="81"/>
      <c r="BH491" s="81"/>
      <c r="BI491" s="81"/>
      <c r="BJ491" s="81"/>
      <c r="BK491" s="81"/>
      <c r="BL491" s="81"/>
      <c r="BM491" s="81"/>
      <c r="BN491" s="66" t="s">
        <v>2768</v>
      </c>
      <c r="BO491" s="66" t="s">
        <v>2768</v>
      </c>
      <c r="BP491" s="66" t="s">
        <v>2768</v>
      </c>
      <c r="BQ491" s="66" t="str">
        <f>PROPER(TEXT(Prog_23[[#This Row],[PROGRAMAÇÃO CLIENTE]],"mmm"))</f>
        <v>Set</v>
      </c>
      <c r="BR491" s="66">
        <f>YEAR(Prog_23[[#This Row],[PROGRAMAÇÃO CLIENTE]])</f>
        <v>2023</v>
      </c>
    </row>
    <row r="492" spans="1:70" x14ac:dyDescent="0.25">
      <c r="A492" s="201" t="str">
        <f>Prog_23[[#This Row],[CONTEINER]]</f>
        <v>APHU7056482</v>
      </c>
      <c r="B492" s="86" t="s">
        <v>2909</v>
      </c>
      <c r="C4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92" s="85">
        <v>45174.291666666664</v>
      </c>
      <c r="E492" s="66" t="s">
        <v>5875</v>
      </c>
      <c r="F492" s="66" t="s">
        <v>5898</v>
      </c>
      <c r="G492" s="66" t="s">
        <v>6252</v>
      </c>
      <c r="H492" s="44" t="s">
        <v>6267</v>
      </c>
      <c r="I492" s="44" t="s">
        <v>6246</v>
      </c>
      <c r="J492" s="66" t="s">
        <v>301</v>
      </c>
      <c r="K492" s="66">
        <v>4000</v>
      </c>
      <c r="L492" s="66">
        <v>455597</v>
      </c>
      <c r="M492" s="66">
        <v>25182</v>
      </c>
      <c r="N492" s="66">
        <f>SUM(Prog_23[[#This Row],[TARA]]+Prog_23[[#This Row],[PESO]])</f>
        <v>29182</v>
      </c>
      <c r="O492" s="44">
        <v>10222</v>
      </c>
      <c r="P492" s="66" t="s">
        <v>6251</v>
      </c>
      <c r="Q492" s="66" t="s">
        <v>68</v>
      </c>
      <c r="R492" s="66" t="s">
        <v>36</v>
      </c>
      <c r="S492" s="66" t="s">
        <v>206</v>
      </c>
      <c r="T492" s="138" t="str">
        <f>IFERROR(LOOKUP($S492,MOTORISTAS!$D$3:$D$916,MOTORISTAS!E$3:$E$916),"")</f>
        <v>09085263425</v>
      </c>
      <c r="U492" s="138" t="str">
        <f>IFERROR(LOOKUP($S492,MOTORISTAS!$D$3:$D$916,MOTORISTAS!F$3:$F$916),"")</f>
        <v>04557705505</v>
      </c>
      <c r="V492" s="66" t="s">
        <v>293</v>
      </c>
      <c r="W492" s="79">
        <v>45174.0625</v>
      </c>
      <c r="X492" s="79">
        <v>45174.284722222219</v>
      </c>
      <c r="Y492" s="79">
        <v>45174.551388888889</v>
      </c>
      <c r="Z492" s="66" t="s">
        <v>537</v>
      </c>
      <c r="AA492" s="79">
        <v>45174.765972222223</v>
      </c>
      <c r="AB492" s="79">
        <v>45175.5</v>
      </c>
      <c r="AC492" s="79">
        <v>45171.999305555553</v>
      </c>
      <c r="AD492" s="79">
        <v>45179.999305555553</v>
      </c>
      <c r="AE492" s="66" t="s">
        <v>708</v>
      </c>
      <c r="AF492" s="44">
        <v>17404</v>
      </c>
      <c r="AG492" s="254">
        <f>Prog_23[[#This Row],[SAÍDA DO CLIENTE]]-Prog_23[[#This Row],[PROGRAMAÇÃO CLIENTE]]</f>
        <v>0.25972222222480923</v>
      </c>
      <c r="AH492" s="44"/>
      <c r="AI492" s="66"/>
      <c r="AJ492" s="66"/>
      <c r="AK492" s="66"/>
      <c r="AL492" s="66"/>
      <c r="AM492" s="66"/>
      <c r="AN492" s="83"/>
      <c r="AO492" s="83">
        <v>0</v>
      </c>
      <c r="AP492" s="83"/>
      <c r="AQ492" s="66"/>
      <c r="AR492" s="66"/>
      <c r="AS492" s="66"/>
      <c r="AT492" s="81"/>
      <c r="AU492" s="81"/>
      <c r="AV492" s="81"/>
      <c r="AW492" s="81"/>
      <c r="AX492" s="83">
        <f>SUM(Prog_23[[#This Row],[ADIANTAMENTO]]+Prog_23[[#This Row],[SALDO]]+Prog_23[[#This Row],[MARGEM]]+Prog_23[[#This Row],[ESTADIA 1]])</f>
        <v>0</v>
      </c>
      <c r="AY4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92" s="81">
        <v>4307.3999999999996</v>
      </c>
      <c r="BA492" s="81">
        <v>128546.68</v>
      </c>
      <c r="BB492" s="81">
        <v>0</v>
      </c>
      <c r="BC492" s="81">
        <v>0</v>
      </c>
      <c r="BD492" s="81">
        <v>312.60000000000002</v>
      </c>
      <c r="BE492" s="81"/>
      <c r="BF492" s="81"/>
      <c r="BG492" s="81"/>
      <c r="BH492" s="81"/>
      <c r="BI492" s="81">
        <v>630</v>
      </c>
      <c r="BJ492" s="81"/>
      <c r="BK492" s="81"/>
      <c r="BL492" s="81"/>
      <c r="BM492" s="81"/>
      <c r="BN492" s="66" t="s">
        <v>2768</v>
      </c>
      <c r="BO492" s="66"/>
      <c r="BP492" s="66"/>
      <c r="BQ492" s="66" t="str">
        <f>PROPER(TEXT(Prog_23[[#This Row],[PROGRAMAÇÃO CLIENTE]],"mmm"))</f>
        <v>Set</v>
      </c>
      <c r="BR492" s="66">
        <f>YEAR(Prog_23[[#This Row],[PROGRAMAÇÃO CLIENTE]])</f>
        <v>2023</v>
      </c>
    </row>
    <row r="493" spans="1:70" x14ac:dyDescent="0.25">
      <c r="A493" s="200" t="str">
        <f>Prog_23[[#This Row],[CONTEINER]]</f>
        <v>BEAU4744034</v>
      </c>
      <c r="B493" s="86" t="s">
        <v>2909</v>
      </c>
      <c r="C4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93" s="85">
        <v>45174.291666666664</v>
      </c>
      <c r="E493" s="66" t="s">
        <v>5875</v>
      </c>
      <c r="F493" s="66" t="s">
        <v>5898</v>
      </c>
      <c r="G493" s="66" t="s">
        <v>6252</v>
      </c>
      <c r="H493" s="44" t="s">
        <v>6267</v>
      </c>
      <c r="I493" s="44" t="s">
        <v>6247</v>
      </c>
      <c r="J493" s="66" t="s">
        <v>301</v>
      </c>
      <c r="K493" s="66">
        <v>4000</v>
      </c>
      <c r="L493" s="66">
        <v>455596</v>
      </c>
      <c r="M493" s="66">
        <v>25182</v>
      </c>
      <c r="N493" s="66">
        <f>SUM(Prog_23[[#This Row],[TARA]]+Prog_23[[#This Row],[PESO]])</f>
        <v>29182</v>
      </c>
      <c r="O493" s="44">
        <v>10223</v>
      </c>
      <c r="P493" s="66" t="s">
        <v>6251</v>
      </c>
      <c r="Q493" s="66" t="s">
        <v>2622</v>
      </c>
      <c r="R493" s="66" t="s">
        <v>2623</v>
      </c>
      <c r="S493" s="66" t="s">
        <v>2624</v>
      </c>
      <c r="T493" s="138" t="str">
        <f>IFERROR(LOOKUP($S493,MOTORISTAS!$D$3:$D$916,MOTORISTAS!E$3:$E$916),"")</f>
        <v>31147992568</v>
      </c>
      <c r="U493" s="138" t="str">
        <f>IFERROR(LOOKUP($S493,MOTORISTAS!$D$3:$D$916,MOTORISTAS!F$3:$F$916),"")</f>
        <v>03359999478</v>
      </c>
      <c r="V493" s="66" t="s">
        <v>293</v>
      </c>
      <c r="W493" s="79">
        <v>45173.989583333336</v>
      </c>
      <c r="X493" s="79">
        <v>45174.295138888891</v>
      </c>
      <c r="Y493" s="79">
        <v>45174.57708333333</v>
      </c>
      <c r="Z493" s="66" t="s">
        <v>537</v>
      </c>
      <c r="AA493" s="79">
        <v>45174.802083333336</v>
      </c>
      <c r="AB493" s="79">
        <v>45175.5</v>
      </c>
      <c r="AC493" s="79">
        <v>45171.999305555553</v>
      </c>
      <c r="AD493" s="79">
        <v>45179.999305555553</v>
      </c>
      <c r="AE493" s="66" t="s">
        <v>708</v>
      </c>
      <c r="AF493" s="44">
        <v>17405</v>
      </c>
      <c r="AG493" s="254">
        <f>Prog_23[[#This Row],[SAÍDA DO CLIENTE]]-Prog_23[[#This Row],[PROGRAMAÇÃO CLIENTE]]</f>
        <v>0.28541666666569654</v>
      </c>
      <c r="AH493" s="44"/>
      <c r="AI493" s="66"/>
      <c r="AJ493" s="66"/>
      <c r="AK493" s="66"/>
      <c r="AL493" s="66"/>
      <c r="AM493" s="66"/>
      <c r="AN493" s="83"/>
      <c r="AO493" s="83">
        <v>0</v>
      </c>
      <c r="AP493" s="83"/>
      <c r="AQ493" s="66"/>
      <c r="AR493" s="66"/>
      <c r="AS493" s="66"/>
      <c r="AT493" s="81"/>
      <c r="AU493" s="81"/>
      <c r="AV493" s="81"/>
      <c r="AW493" s="81"/>
      <c r="AX493" s="83">
        <f>SUM(Prog_23[[#This Row],[ADIANTAMENTO]]+Prog_23[[#This Row],[SALDO]]+Prog_23[[#This Row],[MARGEM]]+Prog_23[[#This Row],[ESTADIA 1]])</f>
        <v>0</v>
      </c>
      <c r="AY4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93" s="81">
        <v>4307.3999999999996</v>
      </c>
      <c r="BA493" s="81">
        <v>128546.68</v>
      </c>
      <c r="BB493" s="81">
        <v>0</v>
      </c>
      <c r="BC493" s="81">
        <v>0</v>
      </c>
      <c r="BD493" s="81">
        <v>312.60000000000002</v>
      </c>
      <c r="BE493" s="81"/>
      <c r="BF493" s="81"/>
      <c r="BG493" s="81"/>
      <c r="BH493" s="81"/>
      <c r="BI493" s="81">
        <v>630</v>
      </c>
      <c r="BJ493" s="81"/>
      <c r="BK493" s="81"/>
      <c r="BL493" s="81"/>
      <c r="BM493" s="81"/>
      <c r="BN493" s="66" t="s">
        <v>2768</v>
      </c>
      <c r="BO493" s="66"/>
      <c r="BP493" s="66"/>
      <c r="BQ493" s="66" t="str">
        <f>PROPER(TEXT(Prog_23[[#This Row],[PROGRAMAÇÃO CLIENTE]],"mmm"))</f>
        <v>Set</v>
      </c>
      <c r="BR493" s="66">
        <f>YEAR(Prog_23[[#This Row],[PROGRAMAÇÃO CLIENTE]])</f>
        <v>2023</v>
      </c>
    </row>
    <row r="494" spans="1:70" x14ac:dyDescent="0.25">
      <c r="A494" s="201" t="str">
        <f>Prog_23[[#This Row],[CONTEINER]]</f>
        <v>CMAU5497635</v>
      </c>
      <c r="B494" s="86" t="s">
        <v>2909</v>
      </c>
      <c r="C4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94" s="85">
        <v>45174.291666666664</v>
      </c>
      <c r="E494" s="66" t="s">
        <v>5875</v>
      </c>
      <c r="F494" s="66" t="s">
        <v>5898</v>
      </c>
      <c r="G494" s="66" t="s">
        <v>6252</v>
      </c>
      <c r="H494" s="44" t="s">
        <v>6267</v>
      </c>
      <c r="I494" s="44" t="s">
        <v>6248</v>
      </c>
      <c r="J494" s="66" t="s">
        <v>301</v>
      </c>
      <c r="K494" s="66">
        <v>4000</v>
      </c>
      <c r="L494" s="66" t="s">
        <v>6339</v>
      </c>
      <c r="M494" s="66">
        <v>24443</v>
      </c>
      <c r="N494" s="66">
        <f>SUM(Prog_23[[#This Row],[TARA]]+Prog_23[[#This Row],[PESO]])</f>
        <v>28443</v>
      </c>
      <c r="O494" s="44">
        <v>10225</v>
      </c>
      <c r="P494" s="66" t="s">
        <v>6251</v>
      </c>
      <c r="Q494" s="66" t="s">
        <v>155</v>
      </c>
      <c r="R494" s="66" t="s">
        <v>209</v>
      </c>
      <c r="S494" s="66" t="s">
        <v>156</v>
      </c>
      <c r="T494" s="138" t="str">
        <f>IFERROR(LOOKUP($S494,MOTORISTAS!$D$3:$D$916,MOTORISTAS!E$3:$E$916),"")</f>
        <v>09803034863</v>
      </c>
      <c r="U494" s="138" t="str">
        <f>IFERROR(LOOKUP($S494,MOTORISTAS!$D$3:$D$916,MOTORISTAS!F$3:$F$916),"")</f>
        <v>01484565209</v>
      </c>
      <c r="V494" s="66" t="s">
        <v>293</v>
      </c>
      <c r="W494" s="79">
        <v>45173.967361111114</v>
      </c>
      <c r="X494" s="79">
        <v>45174.25</v>
      </c>
      <c r="Y494" s="79">
        <v>45174.487500000003</v>
      </c>
      <c r="Z494" s="66" t="s">
        <v>537</v>
      </c>
      <c r="AA494" s="79">
        <v>45174.779861111114</v>
      </c>
      <c r="AB494" s="79">
        <v>45175.5</v>
      </c>
      <c r="AC494" s="79">
        <v>45171.999305555553</v>
      </c>
      <c r="AD494" s="79">
        <v>45179.999305555553</v>
      </c>
      <c r="AE494" s="66" t="s">
        <v>708</v>
      </c>
      <c r="AF494" s="44">
        <v>17406</v>
      </c>
      <c r="AG494" s="254">
        <f>Prog_23[[#This Row],[SAÍDA DO CLIENTE]]-Prog_23[[#This Row],[PROGRAMAÇÃO CLIENTE]]</f>
        <v>0.19583333333866904</v>
      </c>
      <c r="AH494" s="44"/>
      <c r="AI494" s="66"/>
      <c r="AJ494" s="66"/>
      <c r="AK494" s="66"/>
      <c r="AL494" s="66"/>
      <c r="AM494" s="66"/>
      <c r="AN494" s="83"/>
      <c r="AO494" s="83">
        <v>0</v>
      </c>
      <c r="AP494" s="83"/>
      <c r="AQ494" s="66"/>
      <c r="AR494" s="66"/>
      <c r="AS494" s="66"/>
      <c r="AT494" s="81"/>
      <c r="AU494" s="81"/>
      <c r="AV494" s="81"/>
      <c r="AW494" s="81"/>
      <c r="AX494" s="83">
        <f>SUM(Prog_23[[#This Row],[ADIANTAMENTO]]+Prog_23[[#This Row],[SALDO]]+Prog_23[[#This Row],[MARGEM]]+Prog_23[[#This Row],[ESTADIA 1]])</f>
        <v>0</v>
      </c>
      <c r="AY4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94" s="81">
        <v>4307.3999999999996</v>
      </c>
      <c r="BA494" s="81">
        <v>124651.32</v>
      </c>
      <c r="BB494" s="81">
        <v>0</v>
      </c>
      <c r="BC494" s="81">
        <v>0</v>
      </c>
      <c r="BD494" s="81">
        <v>312.60000000000002</v>
      </c>
      <c r="BE494" s="81"/>
      <c r="BF494" s="81"/>
      <c r="BG494" s="81"/>
      <c r="BH494" s="81"/>
      <c r="BI494" s="81">
        <v>630</v>
      </c>
      <c r="BJ494" s="81"/>
      <c r="BK494" s="81"/>
      <c r="BL494" s="81"/>
      <c r="BM494" s="81"/>
      <c r="BN494" s="66" t="s">
        <v>2768</v>
      </c>
      <c r="BO494" s="66"/>
      <c r="BP494" s="66"/>
      <c r="BQ494" s="66" t="str">
        <f>PROPER(TEXT(Prog_23[[#This Row],[PROGRAMAÇÃO CLIENTE]],"mmm"))</f>
        <v>Set</v>
      </c>
      <c r="BR494" s="66">
        <f>YEAR(Prog_23[[#This Row],[PROGRAMAÇÃO CLIENTE]])</f>
        <v>2023</v>
      </c>
    </row>
    <row r="495" spans="1:70" x14ac:dyDescent="0.25">
      <c r="A495" s="200" t="str">
        <f>Prog_23[[#This Row],[CONTEINER]]</f>
        <v>CMAU8809151</v>
      </c>
      <c r="B495" s="86" t="s">
        <v>2909</v>
      </c>
      <c r="C4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95" s="85">
        <v>45174.291666666664</v>
      </c>
      <c r="E495" s="66" t="s">
        <v>5875</v>
      </c>
      <c r="F495" s="66" t="s">
        <v>5898</v>
      </c>
      <c r="G495" s="66" t="s">
        <v>6252</v>
      </c>
      <c r="H495" s="44" t="s">
        <v>6267</v>
      </c>
      <c r="I495" s="44" t="s">
        <v>6249</v>
      </c>
      <c r="J495" s="66" t="s">
        <v>301</v>
      </c>
      <c r="K495" s="66">
        <v>4000</v>
      </c>
      <c r="L495" s="66">
        <v>457124</v>
      </c>
      <c r="M495" s="66">
        <v>25182</v>
      </c>
      <c r="N495" s="66">
        <f>SUM(Prog_23[[#This Row],[TARA]]+Prog_23[[#This Row],[PESO]])</f>
        <v>29182</v>
      </c>
      <c r="O495" s="44">
        <v>10224</v>
      </c>
      <c r="P495" s="66" t="s">
        <v>6251</v>
      </c>
      <c r="Q495" s="66" t="s">
        <v>72</v>
      </c>
      <c r="R495" s="66" t="s">
        <v>5655</v>
      </c>
      <c r="S495" s="66" t="s">
        <v>69</v>
      </c>
      <c r="T495" s="138" t="str">
        <f>IFERROR(LOOKUP($S495,MOTORISTAS!$D$3:$D$916,MOTORISTAS!E$3:$E$916),"")</f>
        <v>07968457866</v>
      </c>
      <c r="U495" s="138" t="str">
        <f>IFERROR(LOOKUP($S495,MOTORISTAS!$D$3:$D$916,MOTORISTAS!F$3:$F$916),"")</f>
        <v>03264365790</v>
      </c>
      <c r="V495" s="66" t="s">
        <v>293</v>
      </c>
      <c r="W495" s="79">
        <v>45174.020138888889</v>
      </c>
      <c r="X495" s="79">
        <v>45174.236111111109</v>
      </c>
      <c r="Y495" s="79">
        <v>45174.338194444441</v>
      </c>
      <c r="Z495" s="66" t="s">
        <v>537</v>
      </c>
      <c r="AA495" s="79">
        <v>45174.524305555555</v>
      </c>
      <c r="AB495" s="79">
        <v>45175.5</v>
      </c>
      <c r="AC495" s="79">
        <v>45171.999305555553</v>
      </c>
      <c r="AD495" s="79">
        <v>45179.999305555553</v>
      </c>
      <c r="AE495" s="66" t="s">
        <v>708</v>
      </c>
      <c r="AF495" s="44">
        <v>17407</v>
      </c>
      <c r="AG495" s="254">
        <f>Prog_23[[#This Row],[SAÍDA DO CLIENTE]]-Prog_23[[#This Row],[PROGRAMAÇÃO CLIENTE]]</f>
        <v>4.6527777776645962E-2</v>
      </c>
      <c r="AH495" s="44"/>
      <c r="AI495" s="66"/>
      <c r="AJ495" s="66"/>
      <c r="AK495" s="66"/>
      <c r="AL495" s="66"/>
      <c r="AM495" s="66"/>
      <c r="AN495" s="83"/>
      <c r="AO495" s="83">
        <v>0</v>
      </c>
      <c r="AP495" s="83"/>
      <c r="AQ495" s="66"/>
      <c r="AR495" s="66"/>
      <c r="AS495" s="66"/>
      <c r="AT495" s="81"/>
      <c r="AU495" s="81"/>
      <c r="AV495" s="81"/>
      <c r="AW495" s="81"/>
      <c r="AX495" s="83">
        <f>SUM(Prog_23[[#This Row],[ADIANTAMENTO]]+Prog_23[[#This Row],[SALDO]]+Prog_23[[#This Row],[MARGEM]]+Prog_23[[#This Row],[ESTADIA 1]])</f>
        <v>0</v>
      </c>
      <c r="AY4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95" s="81">
        <v>4307.3999999999996</v>
      </c>
      <c r="BA495" s="81">
        <v>128546.68</v>
      </c>
      <c r="BB495" s="81">
        <v>0</v>
      </c>
      <c r="BC495" s="81">
        <v>0</v>
      </c>
      <c r="BD495" s="81">
        <v>312.60000000000002</v>
      </c>
      <c r="BE495" s="81"/>
      <c r="BF495" s="81"/>
      <c r="BG495" s="81"/>
      <c r="BH495" s="81"/>
      <c r="BI495" s="81">
        <v>630</v>
      </c>
      <c r="BJ495" s="81"/>
      <c r="BK495" s="81"/>
      <c r="BL495" s="81"/>
      <c r="BM495" s="81"/>
      <c r="BN495" s="66" t="s">
        <v>2768</v>
      </c>
      <c r="BO495" s="66"/>
      <c r="BP495" s="66"/>
      <c r="BQ495" s="66" t="str">
        <f>PROPER(TEXT(Prog_23[[#This Row],[PROGRAMAÇÃO CLIENTE]],"mmm"))</f>
        <v>Set</v>
      </c>
      <c r="BR495" s="66">
        <f>YEAR(Prog_23[[#This Row],[PROGRAMAÇÃO CLIENTE]])</f>
        <v>2023</v>
      </c>
    </row>
    <row r="496" spans="1:70" x14ac:dyDescent="0.25">
      <c r="A496" s="201" t="str">
        <f>Prog_23[[#This Row],[CONTEINER]]</f>
        <v>TRHU7900087</v>
      </c>
      <c r="B496" s="86" t="s">
        <v>2909</v>
      </c>
      <c r="C4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96" s="85">
        <v>45174.291666666664</v>
      </c>
      <c r="E496" s="66" t="s">
        <v>5875</v>
      </c>
      <c r="F496" s="66" t="s">
        <v>5898</v>
      </c>
      <c r="G496" s="66" t="s">
        <v>6252</v>
      </c>
      <c r="H496" s="44" t="s">
        <v>6267</v>
      </c>
      <c r="I496" s="44" t="s">
        <v>6250</v>
      </c>
      <c r="J496" s="66" t="s">
        <v>301</v>
      </c>
      <c r="K496" s="66">
        <v>4000</v>
      </c>
      <c r="L496" s="66" t="s">
        <v>6338</v>
      </c>
      <c r="M496" s="66">
        <v>24443</v>
      </c>
      <c r="N496" s="66">
        <f>SUM(Prog_23[[#This Row],[TARA]]+Prog_23[[#This Row],[PESO]])</f>
        <v>28443</v>
      </c>
      <c r="O496" s="44">
        <v>10226</v>
      </c>
      <c r="P496" s="66" t="s">
        <v>6251</v>
      </c>
      <c r="Q496" s="66" t="s">
        <v>150</v>
      </c>
      <c r="R496" s="66" t="s">
        <v>151</v>
      </c>
      <c r="S496" s="66" t="s">
        <v>2678</v>
      </c>
      <c r="T496" s="138" t="str">
        <f>IFERROR(LOOKUP($S496,MOTORISTAS!$D$3:$D$916,MOTORISTAS!E$3:$E$916),"")</f>
        <v>28386357860</v>
      </c>
      <c r="U496" s="138" t="str">
        <f>IFERROR(LOOKUP($S496,MOTORISTAS!$D$3:$D$916,MOTORISTAS!F$3:$F$916),"")</f>
        <v>01042201192</v>
      </c>
      <c r="V496" s="66" t="s">
        <v>293</v>
      </c>
      <c r="W496" s="79">
        <v>45174.002083333333</v>
      </c>
      <c r="X496" s="66" t="s">
        <v>6302</v>
      </c>
      <c r="Y496" s="79">
        <v>45174.296527777777</v>
      </c>
      <c r="Z496" s="66" t="s">
        <v>537</v>
      </c>
      <c r="AA496" s="79">
        <v>45174.620138888888</v>
      </c>
      <c r="AB496" s="79">
        <v>45175.5</v>
      </c>
      <c r="AC496" s="79">
        <v>45171.999305555553</v>
      </c>
      <c r="AD496" s="79">
        <v>45179.999305555553</v>
      </c>
      <c r="AE496" s="66" t="s">
        <v>708</v>
      </c>
      <c r="AF496" s="44">
        <v>17409</v>
      </c>
      <c r="AG496" s="254">
        <f>Prog_23[[#This Row],[SAÍDA DO CLIENTE]]-Prog_23[[#This Row],[PROGRAMAÇÃO CLIENTE]]</f>
        <v>4.8611111124046147E-3</v>
      </c>
      <c r="AH496" s="44"/>
      <c r="AI496" s="66"/>
      <c r="AJ496" s="66"/>
      <c r="AK496" s="66"/>
      <c r="AL496" s="66"/>
      <c r="AM496" s="66"/>
      <c r="AN496" s="83"/>
      <c r="AO496" s="83">
        <v>0</v>
      </c>
      <c r="AP496" s="83"/>
      <c r="AQ496" s="66"/>
      <c r="AR496" s="66"/>
      <c r="AS496" s="66"/>
      <c r="AT496" s="81"/>
      <c r="AU496" s="81"/>
      <c r="AV496" s="81"/>
      <c r="AW496" s="81"/>
      <c r="AX496" s="83">
        <f>SUM(Prog_23[[#This Row],[ADIANTAMENTO]]+Prog_23[[#This Row],[SALDO]]+Prog_23[[#This Row],[MARGEM]]+Prog_23[[#This Row],[ESTADIA 1]])</f>
        <v>0</v>
      </c>
      <c r="AY4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5250</v>
      </c>
      <c r="AZ496" s="81">
        <v>4307.3999999999996</v>
      </c>
      <c r="BA496" s="81">
        <v>124651.32</v>
      </c>
      <c r="BB496" s="81">
        <v>0</v>
      </c>
      <c r="BC496" s="81">
        <v>0</v>
      </c>
      <c r="BD496" s="81">
        <v>312.60000000000002</v>
      </c>
      <c r="BE496" s="81"/>
      <c r="BF496" s="81"/>
      <c r="BG496" s="81"/>
      <c r="BH496" s="81"/>
      <c r="BI496" s="81">
        <v>630</v>
      </c>
      <c r="BJ496" s="81"/>
      <c r="BK496" s="81"/>
      <c r="BL496" s="81"/>
      <c r="BM496" s="81"/>
      <c r="BN496" s="66" t="s">
        <v>2768</v>
      </c>
      <c r="BO496" s="66"/>
      <c r="BP496" s="66"/>
      <c r="BQ496" s="66" t="str">
        <f>PROPER(TEXT(Prog_23[[#This Row],[PROGRAMAÇÃO CLIENTE]],"mmm"))</f>
        <v>Set</v>
      </c>
      <c r="BR496" s="66">
        <f>YEAR(Prog_23[[#This Row],[PROGRAMAÇÃO CLIENTE]])</f>
        <v>2023</v>
      </c>
    </row>
    <row r="497" spans="1:70" x14ac:dyDescent="0.25">
      <c r="A497" s="200" t="str">
        <f>Prog_23[[#This Row],[CONTEINER]]</f>
        <v>TCKU7520540</v>
      </c>
      <c r="B497" s="86" t="s">
        <v>3295</v>
      </c>
      <c r="C4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97" s="85">
        <v>45174.291666666664</v>
      </c>
      <c r="E497" s="66" t="s">
        <v>5875</v>
      </c>
      <c r="F497" s="66" t="s">
        <v>5898</v>
      </c>
      <c r="G497" s="66" t="s">
        <v>6266</v>
      </c>
      <c r="H497" s="44" t="s">
        <v>6260</v>
      </c>
      <c r="I497" s="44" t="s">
        <v>6262</v>
      </c>
      <c r="J497" s="66" t="s">
        <v>301</v>
      </c>
      <c r="K497" s="66">
        <v>3700</v>
      </c>
      <c r="L497" s="66"/>
      <c r="M497" s="66">
        <v>25046</v>
      </c>
      <c r="N497" s="66">
        <f>SUM(Prog_23[[#This Row],[TARA]]+Prog_23[[#This Row],[PESO]])</f>
        <v>28746</v>
      </c>
      <c r="O497" s="44"/>
      <c r="P497" s="66" t="s">
        <v>6261</v>
      </c>
      <c r="Q497" s="66" t="s">
        <v>102</v>
      </c>
      <c r="R497" s="66" t="s">
        <v>73</v>
      </c>
      <c r="S497" s="66" t="s">
        <v>203</v>
      </c>
      <c r="T497" s="138" t="str">
        <f>IFERROR(LOOKUP($S497,MOTORISTAS!$D$3:$D$916,MOTORISTAS!E$3:$E$916),"")</f>
        <v>10395859816</v>
      </c>
      <c r="U497" s="138" t="str">
        <f>IFERROR(LOOKUP($S497,MOTORISTAS!$D$3:$D$916,MOTORISTAS!F$3:$F$916),"")</f>
        <v>01965794851</v>
      </c>
      <c r="V497" s="66" t="s">
        <v>1439</v>
      </c>
      <c r="W497" s="79">
        <v>45173.479166666664</v>
      </c>
      <c r="X497" s="79">
        <v>45173.791666666664</v>
      </c>
      <c r="Y497" s="79">
        <v>45175.635416666664</v>
      </c>
      <c r="Z497" s="66" t="s">
        <v>292</v>
      </c>
      <c r="AA497" s="79">
        <v>45177.413194444445</v>
      </c>
      <c r="AB497" s="66"/>
      <c r="AC497" s="66"/>
      <c r="AD497" s="66"/>
      <c r="AE497" s="66"/>
      <c r="AF497" s="44"/>
      <c r="AG497" s="254">
        <f>Prog_23[[#This Row],[SAÍDA DO CLIENTE]]-Prog_23[[#This Row],[PROGRAMAÇÃO CLIENTE]]</f>
        <v>1.34375</v>
      </c>
      <c r="AH497" s="44"/>
      <c r="AI497" s="66"/>
      <c r="AJ497" s="66"/>
      <c r="AK497" s="66"/>
      <c r="AL497" s="66"/>
      <c r="AM497" s="66"/>
      <c r="AN497" s="83"/>
      <c r="AO497" s="83"/>
      <c r="AP497" s="83"/>
      <c r="AQ497" s="66"/>
      <c r="AR497" s="66"/>
      <c r="AS497" s="66"/>
      <c r="AT497" s="81"/>
      <c r="AU497" s="81"/>
      <c r="AV497" s="81"/>
      <c r="AW497" s="81"/>
      <c r="AX497" s="83">
        <f>SUM(Prog_23[[#This Row],[ADIANTAMENTO]]+Prog_23[[#This Row],[SALDO]]+Prog_23[[#This Row],[MARGEM]]+Prog_23[[#This Row],[ESTADIA 1]])</f>
        <v>0</v>
      </c>
      <c r="AY4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5711.8126950000005</v>
      </c>
      <c r="AZ497" s="81">
        <v>4307.3999999999996</v>
      </c>
      <c r="BA497" s="81">
        <v>307875.13</v>
      </c>
      <c r="BB497" s="81">
        <f>Prog_23[[#This Row],[VLR NF]]*0.1%</f>
        <v>307.87513000000001</v>
      </c>
      <c r="BC497" s="81">
        <f>Prog_23[[#This Row],[VLR NF]]*0.05%</f>
        <v>153.93756500000001</v>
      </c>
      <c r="BD497" s="81">
        <v>312.60000000000002</v>
      </c>
      <c r="BE497" s="81"/>
      <c r="BF497" s="81"/>
      <c r="BG497" s="81"/>
      <c r="BH497" s="81"/>
      <c r="BI497" s="81">
        <v>630</v>
      </c>
      <c r="BJ497" s="81"/>
      <c r="BK497" s="81"/>
      <c r="BL497" s="81"/>
      <c r="BM497" s="81"/>
      <c r="BN497" s="66"/>
      <c r="BO497" s="66"/>
      <c r="BP497" s="66"/>
      <c r="BQ497" s="66" t="str">
        <f>PROPER(TEXT(Prog_23[[#This Row],[PROGRAMAÇÃO CLIENTE]],"mmm"))</f>
        <v>Set</v>
      </c>
      <c r="BR497" s="66">
        <f>YEAR(Prog_23[[#This Row],[PROGRAMAÇÃO CLIENTE]])</f>
        <v>2023</v>
      </c>
    </row>
    <row r="498" spans="1:70" x14ac:dyDescent="0.25">
      <c r="A498" s="201" t="str">
        <f>Prog_23[[#This Row],[CONTEINER]]</f>
        <v>TRHU8944346</v>
      </c>
      <c r="B498" s="86" t="s">
        <v>2771</v>
      </c>
      <c r="C4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498" s="85">
        <v>45174.291666666664</v>
      </c>
      <c r="E498" s="66" t="s">
        <v>2333</v>
      </c>
      <c r="F498" s="66" t="s">
        <v>1639</v>
      </c>
      <c r="G498" s="66" t="s">
        <v>6230</v>
      </c>
      <c r="H498" s="44" t="s">
        <v>6228</v>
      </c>
      <c r="I498" s="44" t="s">
        <v>6229</v>
      </c>
      <c r="J498" s="66" t="s">
        <v>301</v>
      </c>
      <c r="K498" s="66">
        <v>3700</v>
      </c>
      <c r="L498" s="66" t="s">
        <v>6240</v>
      </c>
      <c r="M498" s="66">
        <v>20981</v>
      </c>
      <c r="N498" s="66">
        <f>SUM(Prog_23[[#This Row],[TARA]]+Prog_23[[#This Row],[PESO]])</f>
        <v>24681</v>
      </c>
      <c r="O498" s="44">
        <v>7114</v>
      </c>
      <c r="P498" s="66" t="s">
        <v>6239</v>
      </c>
      <c r="Q498" s="66" t="s">
        <v>106</v>
      </c>
      <c r="R498" s="66" t="s">
        <v>107</v>
      </c>
      <c r="S498" s="66" t="s">
        <v>108</v>
      </c>
      <c r="T498" s="138" t="str">
        <f>IFERROR(LOOKUP($S498,MOTORISTAS!$D$3:$D$916,MOTORISTAS!E$3:$E$916),"")</f>
        <v>34927982840</v>
      </c>
      <c r="U498" s="138" t="str">
        <f>IFERROR(LOOKUP($S498,MOTORISTAS!$D$3:$D$916,MOTORISTAS!F$3:$F$916),"")</f>
        <v>03500129879</v>
      </c>
      <c r="V498" s="66" t="s">
        <v>1805</v>
      </c>
      <c r="W498" s="79">
        <v>45173.5</v>
      </c>
      <c r="X498" s="79">
        <v>45174.333333333336</v>
      </c>
      <c r="Y498" s="79">
        <v>45174.579861111109</v>
      </c>
      <c r="Z498" s="66" t="s">
        <v>537</v>
      </c>
      <c r="AA498" s="66" t="s">
        <v>6335</v>
      </c>
      <c r="AB498" s="66" t="s">
        <v>6335</v>
      </c>
      <c r="AC498" s="66" t="s">
        <v>6335</v>
      </c>
      <c r="AD498" s="66" t="s">
        <v>6335</v>
      </c>
      <c r="AE498" s="66" t="s">
        <v>708</v>
      </c>
      <c r="AF498" s="44" t="s">
        <v>6273</v>
      </c>
      <c r="AG498" s="254">
        <f>Prog_23[[#This Row],[SAÍDA DO CLIENTE]]-Prog_23[[#This Row],[PROGRAMAÇÃO CLIENTE]]</f>
        <v>0.28819444444525288</v>
      </c>
      <c r="AH498" s="44"/>
      <c r="AI498" s="66"/>
      <c r="AJ498" s="66"/>
      <c r="AK498" s="66"/>
      <c r="AL498" s="66"/>
      <c r="AM498" s="66"/>
      <c r="AN498" s="83"/>
      <c r="AO498" s="83"/>
      <c r="AP498" s="83"/>
      <c r="AQ498" s="66"/>
      <c r="AR498" s="66"/>
      <c r="AS498" s="66"/>
      <c r="AT498" s="81">
        <v>8000</v>
      </c>
      <c r="AU498" s="81"/>
      <c r="AV498" s="81"/>
      <c r="AW498" s="81"/>
      <c r="AX498" s="83">
        <f>SUM(Prog_23[[#This Row],[ADIANTAMENTO]]+Prog_23[[#This Row],[SALDO]]+Prog_23[[#This Row],[MARGEM]]+Prog_23[[#This Row],[ESTADIA 1]])</f>
        <v>8000</v>
      </c>
      <c r="AY4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11250</v>
      </c>
      <c r="AZ498" s="81">
        <v>11250</v>
      </c>
      <c r="BA498" s="81">
        <v>481029.12</v>
      </c>
      <c r="BB498" s="81">
        <v>0</v>
      </c>
      <c r="BC498" s="81">
        <v>0</v>
      </c>
      <c r="BD498" s="81"/>
      <c r="BE498" s="81"/>
      <c r="BF498" s="81"/>
      <c r="BG498" s="81"/>
      <c r="BH498" s="81"/>
      <c r="BI498" s="81"/>
      <c r="BJ498" s="81"/>
      <c r="BK498" s="81"/>
      <c r="BL498" s="81"/>
      <c r="BM498" s="81"/>
      <c r="BN498" s="66" t="s">
        <v>2768</v>
      </c>
      <c r="BO498" s="66" t="s">
        <v>2768</v>
      </c>
      <c r="BP498" s="66" t="s">
        <v>2768</v>
      </c>
      <c r="BQ498" s="66" t="str">
        <f>PROPER(TEXT(Prog_23[[#This Row],[PROGRAMAÇÃO CLIENTE]],"mmm"))</f>
        <v>Set</v>
      </c>
      <c r="BR498" s="66">
        <f>YEAR(Prog_23[[#This Row],[PROGRAMAÇÃO CLIENTE]])</f>
        <v>2023</v>
      </c>
    </row>
    <row r="499" spans="1:70" x14ac:dyDescent="0.25">
      <c r="A499" s="200" t="str">
        <f>Prog_23[[#This Row],[CONTEINER]]</f>
        <v>MRSU5256964</v>
      </c>
      <c r="B499" s="86" t="s">
        <v>3295</v>
      </c>
      <c r="C4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499" s="85">
        <v>45174.291666666664</v>
      </c>
      <c r="E499" s="66" t="s">
        <v>5187</v>
      </c>
      <c r="F499" s="66" t="s">
        <v>3161</v>
      </c>
      <c r="G499" s="66" t="s">
        <v>6243</v>
      </c>
      <c r="H499" s="44">
        <v>230879036</v>
      </c>
      <c r="I499" s="44" t="s">
        <v>6298</v>
      </c>
      <c r="J499" s="66" t="s">
        <v>301</v>
      </c>
      <c r="K499" s="66">
        <v>3720</v>
      </c>
      <c r="L499" s="66" t="s">
        <v>6299</v>
      </c>
      <c r="M499" s="66">
        <v>25860</v>
      </c>
      <c r="N499" s="66">
        <f>SUM(Prog_23[[#This Row],[TARA]]+Prog_23[[#This Row],[PESO]])</f>
        <v>29580</v>
      </c>
      <c r="O499" s="44">
        <v>11304</v>
      </c>
      <c r="P499" s="66" t="s">
        <v>6244</v>
      </c>
      <c r="Q499" s="66" t="s">
        <v>6119</v>
      </c>
      <c r="R499" s="66" t="s">
        <v>3709</v>
      </c>
      <c r="S499" s="66" t="s">
        <v>84</v>
      </c>
      <c r="T499" s="138" t="str">
        <f>IFERROR(LOOKUP($S499,MOTORISTAS!$D$3:$D$916,MOTORISTAS!E$3:$E$916),"")</f>
        <v>15921106810</v>
      </c>
      <c r="U499" s="138" t="str">
        <f>IFERROR(LOOKUP($S499,MOTORISTAS!$D$3:$D$916,MOTORISTAS!F$3:$F$916),"")</f>
        <v>02351127968</v>
      </c>
      <c r="V499" s="66" t="s">
        <v>292</v>
      </c>
      <c r="W499" s="66"/>
      <c r="X499" s="79">
        <v>45174.118055555555</v>
      </c>
      <c r="Y499" s="79">
        <v>45175.583333333336</v>
      </c>
      <c r="Z499" s="66" t="s">
        <v>306</v>
      </c>
      <c r="AA499" s="79">
        <v>45175.868055555555</v>
      </c>
      <c r="AB499" s="66"/>
      <c r="AC499" s="79">
        <v>45174.5</v>
      </c>
      <c r="AD499" s="79">
        <v>45178.5</v>
      </c>
      <c r="AE499" s="66" t="s">
        <v>5492</v>
      </c>
      <c r="AF499" s="44">
        <v>17437</v>
      </c>
      <c r="AG499" s="254">
        <f>Prog_23[[#This Row],[SAÍDA DO CLIENTE]]-Prog_23[[#This Row],[PROGRAMAÇÃO CLIENTE]]</f>
        <v>1.2916666666715173</v>
      </c>
      <c r="AH499" s="44"/>
      <c r="AI499" s="66"/>
      <c r="AJ499" s="66"/>
      <c r="AK499" s="66"/>
      <c r="AL499" s="66"/>
      <c r="AM499" s="66"/>
      <c r="AN499" s="83"/>
      <c r="AO499" s="83">
        <v>20</v>
      </c>
      <c r="AP499" s="83">
        <v>35</v>
      </c>
      <c r="AQ499" s="66"/>
      <c r="AR499" s="66"/>
      <c r="AS499" s="66"/>
      <c r="AT499" s="81"/>
      <c r="AU499" s="81"/>
      <c r="AV499" s="81"/>
      <c r="AW499" s="81"/>
      <c r="AX499" s="83">
        <f>SUM(Prog_23[[#This Row],[ADIANTAMENTO]]+Prog_23[[#This Row],[SALDO]]+Prog_23[[#This Row],[MARGEM]]+Prog_23[[#This Row],[ESTADIA 1]])</f>
        <v>0</v>
      </c>
      <c r="AY4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499" s="81"/>
      <c r="BA499" s="81"/>
      <c r="BB499" s="81">
        <f>Prog_23[[#This Row],[VLR NF]]*0.1%</f>
        <v>0</v>
      </c>
      <c r="BC499" s="81">
        <f>Prog_23[[#This Row],[VLR NF]]*0.05%</f>
        <v>0</v>
      </c>
      <c r="BD499" s="81"/>
      <c r="BE499" s="81"/>
      <c r="BF499" s="81"/>
      <c r="BG499" s="81"/>
      <c r="BH499" s="81"/>
      <c r="BI499" s="81"/>
      <c r="BJ499" s="81"/>
      <c r="BK499" s="81"/>
      <c r="BL499" s="81"/>
      <c r="BM499" s="81"/>
      <c r="BN499" s="66"/>
      <c r="BO499" s="66"/>
      <c r="BP499" s="66"/>
      <c r="BQ499" s="66" t="str">
        <f>PROPER(TEXT(Prog_23[[#This Row],[PROGRAMAÇÃO CLIENTE]],"mmm"))</f>
        <v>Set</v>
      </c>
      <c r="BR499" s="66">
        <f>YEAR(Prog_23[[#This Row],[PROGRAMAÇÃO CLIENTE]])</f>
        <v>2023</v>
      </c>
    </row>
    <row r="500" spans="1:70" x14ac:dyDescent="0.25">
      <c r="A500" s="201" t="str">
        <f>Prog_23[[#This Row],[CONTEINER]]</f>
        <v>MRSU6569752</v>
      </c>
      <c r="B500" s="86" t="s">
        <v>2909</v>
      </c>
      <c r="C5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ATRASADO</v>
      </c>
      <c r="D500" s="85">
        <v>45174.291666666664</v>
      </c>
      <c r="E500" s="66" t="s">
        <v>5187</v>
      </c>
      <c r="F500" s="66" t="s">
        <v>3161</v>
      </c>
      <c r="G500" s="66" t="s">
        <v>6243</v>
      </c>
      <c r="H500" s="44">
        <v>230879036</v>
      </c>
      <c r="I500" s="44" t="s">
        <v>6300</v>
      </c>
      <c r="J500" s="66" t="s">
        <v>301</v>
      </c>
      <c r="K500" s="66">
        <v>3720</v>
      </c>
      <c r="L500" s="66" t="s">
        <v>6301</v>
      </c>
      <c r="M500" s="66">
        <v>25884</v>
      </c>
      <c r="N500" s="66">
        <f>SUM(Prog_23[[#This Row],[TARA]]+Prog_23[[#This Row],[PESO]])</f>
        <v>29604</v>
      </c>
      <c r="O500" s="44">
        <v>11302</v>
      </c>
      <c r="P500" s="66" t="s">
        <v>6244</v>
      </c>
      <c r="Q500" s="66" t="s">
        <v>31</v>
      </c>
      <c r="R500" s="66" t="s">
        <v>32</v>
      </c>
      <c r="S500" s="66" t="s">
        <v>33</v>
      </c>
      <c r="T500" s="138" t="s">
        <v>34</v>
      </c>
      <c r="U500" s="138" t="s">
        <v>35</v>
      </c>
      <c r="V500" s="66" t="s">
        <v>292</v>
      </c>
      <c r="W500" s="66"/>
      <c r="X500" s="79">
        <v>45174.333333333336</v>
      </c>
      <c r="Y500" s="79">
        <v>45174.666666666664</v>
      </c>
      <c r="Z500" s="66" t="s">
        <v>306</v>
      </c>
      <c r="AA500" s="79">
        <v>45175.482638888891</v>
      </c>
      <c r="AB500" s="66"/>
      <c r="AC500" s="79">
        <v>45174.5</v>
      </c>
      <c r="AD500" s="79">
        <v>45178.5</v>
      </c>
      <c r="AE500" s="66" t="s">
        <v>5492</v>
      </c>
      <c r="AF500" s="44">
        <v>17435</v>
      </c>
      <c r="AG500" s="254">
        <f>Prog_23[[#This Row],[SAÍDA DO CLIENTE]]-Prog_23[[#This Row],[PROGRAMAÇÃO CLIENTE]]</f>
        <v>0.375</v>
      </c>
      <c r="AH500" s="44"/>
      <c r="AI500" s="66"/>
      <c r="AJ500" s="66"/>
      <c r="AK500" s="66"/>
      <c r="AL500" s="66"/>
      <c r="AM500" s="66"/>
      <c r="AN500" s="83"/>
      <c r="AO500" s="83">
        <v>20</v>
      </c>
      <c r="AP500" s="83">
        <v>35</v>
      </c>
      <c r="AQ500" s="66"/>
      <c r="AR500" s="66">
        <v>180</v>
      </c>
      <c r="AS500" s="66">
        <v>120</v>
      </c>
      <c r="AT500" s="81"/>
      <c r="AU500" s="81"/>
      <c r="AV500" s="81"/>
      <c r="AW500" s="81"/>
      <c r="AX500" s="83">
        <f>SUM(Prog_23[[#This Row],[ADIANTAMENTO]]+Prog_23[[#This Row],[SALDO]]+Prog_23[[#This Row],[MARGEM]]+Prog_23[[#This Row],[ESTADIA 1]])</f>
        <v>0</v>
      </c>
      <c r="AY5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00" s="81"/>
      <c r="BA500" s="81"/>
      <c r="BB500" s="81">
        <f>Prog_23[[#This Row],[VLR NF]]*0.1%</f>
        <v>0</v>
      </c>
      <c r="BC500" s="81">
        <f>Prog_23[[#This Row],[VLR NF]]*0.05%</f>
        <v>0</v>
      </c>
      <c r="BD500" s="81"/>
      <c r="BE500" s="81"/>
      <c r="BF500" s="81"/>
      <c r="BG500" s="81"/>
      <c r="BH500" s="81"/>
      <c r="BI500" s="81"/>
      <c r="BJ500" s="81"/>
      <c r="BK500" s="81"/>
      <c r="BL500" s="81"/>
      <c r="BM500" s="81"/>
      <c r="BN500" s="66"/>
      <c r="BO500" s="66"/>
      <c r="BP500" s="66"/>
      <c r="BQ500" s="66" t="str">
        <f>PROPER(TEXT(Prog_23[[#This Row],[PROGRAMAÇÃO CLIENTE]],"mmm"))</f>
        <v>Set</v>
      </c>
      <c r="BR500" s="66">
        <f>YEAR(Prog_23[[#This Row],[PROGRAMAÇÃO CLIENTE]])</f>
        <v>2023</v>
      </c>
    </row>
    <row r="501" spans="1:70" x14ac:dyDescent="0.25">
      <c r="A501" s="201" t="str">
        <f>Prog_23[[#This Row],[CONTEINER]]</f>
        <v>CMAU4991936</v>
      </c>
      <c r="B501" s="86" t="s">
        <v>2909</v>
      </c>
      <c r="C5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01" s="85">
        <v>45177.25</v>
      </c>
      <c r="E501" s="66" t="s">
        <v>5875</v>
      </c>
      <c r="F501" s="66" t="s">
        <v>5898</v>
      </c>
      <c r="G501" s="66" t="s">
        <v>6347</v>
      </c>
      <c r="H501" s="44" t="s">
        <v>6344</v>
      </c>
      <c r="I501" s="44" t="s">
        <v>6340</v>
      </c>
      <c r="J501" s="66" t="s">
        <v>301</v>
      </c>
      <c r="K501" s="66"/>
      <c r="L501" s="66"/>
      <c r="M501" s="66">
        <v>27540</v>
      </c>
      <c r="N501" s="66">
        <f>SUM(Prog_23[[#This Row],[TARA]]+Prog_23[[#This Row],[PESO]])</f>
        <v>27540</v>
      </c>
      <c r="O501" s="44">
        <v>10265</v>
      </c>
      <c r="P501" s="66" t="s">
        <v>6345</v>
      </c>
      <c r="Q501" s="66" t="s">
        <v>68</v>
      </c>
      <c r="R501" s="66" t="s">
        <v>36</v>
      </c>
      <c r="S501" s="66" t="s">
        <v>206</v>
      </c>
      <c r="T501" s="138" t="str">
        <f>IFERROR(LOOKUP($S501,MOTORISTAS!$D$3:$D$916,MOTORISTAS!E$3:$E$916),"")</f>
        <v>09085263425</v>
      </c>
      <c r="U501" s="138" t="str">
        <f>IFERROR(LOOKUP($S501,MOTORISTAS!$D$3:$D$916,MOTORISTAS!F$3:$F$916),"")</f>
        <v>04557705505</v>
      </c>
      <c r="V501" s="66" t="s">
        <v>293</v>
      </c>
      <c r="W501" s="66"/>
      <c r="X501" s="79">
        <v>45176.902777777781</v>
      </c>
      <c r="Y501" s="79">
        <v>45177.34652777778</v>
      </c>
      <c r="Z501" s="66" t="s">
        <v>537</v>
      </c>
      <c r="AA501" s="79">
        <v>45177.560416666667</v>
      </c>
      <c r="AB501" s="79">
        <v>45178.5</v>
      </c>
      <c r="AC501" s="79">
        <v>45184.999305555553</v>
      </c>
      <c r="AD501" s="79">
        <v>45190.999305555553</v>
      </c>
      <c r="AE501" s="66" t="s">
        <v>708</v>
      </c>
      <c r="AF501" s="44">
        <v>17447</v>
      </c>
      <c r="AG501" s="254">
        <f>Prog_23[[#This Row],[SAÍDA DO CLIENTE]]-Prog_23[[#This Row],[PROGRAMAÇÃO CLIENTE]]</f>
        <v>9.6527777779556345E-2</v>
      </c>
      <c r="AH501" s="44"/>
      <c r="AI501" s="66"/>
      <c r="AJ501" s="66"/>
      <c r="AK501" s="66"/>
      <c r="AL501" s="66"/>
      <c r="AM501" s="66"/>
      <c r="AN501" s="83"/>
      <c r="AO501" s="83"/>
      <c r="AP501" s="83"/>
      <c r="AQ501" s="66"/>
      <c r="AR501" s="66"/>
      <c r="AS501" s="66"/>
      <c r="AT501" s="81"/>
      <c r="AU501" s="81"/>
      <c r="AV501" s="81"/>
      <c r="AW501" s="81"/>
      <c r="AX501" s="83">
        <f>SUM(Prog_23[[#This Row],[ADIANTAMENTO]]+Prog_23[[#This Row],[SALDO]]+Prog_23[[#This Row],[MARGEM]]+Prog_23[[#This Row],[ESTADIA 1]])</f>
        <v>0</v>
      </c>
      <c r="AY5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01" s="81"/>
      <c r="BA501" s="81"/>
      <c r="BB501" s="81">
        <f>Prog_23[[#This Row],[VLR NF]]*0.1%</f>
        <v>0</v>
      </c>
      <c r="BC501" s="81">
        <f>Prog_23[[#This Row],[VLR NF]]*0.05%</f>
        <v>0</v>
      </c>
      <c r="BD501" s="81"/>
      <c r="BE501" s="81"/>
      <c r="BF501" s="81"/>
      <c r="BG501" s="81"/>
      <c r="BH501" s="81"/>
      <c r="BI501" s="81"/>
      <c r="BJ501" s="81"/>
      <c r="BK501" s="81"/>
      <c r="BL501" s="81"/>
      <c r="BM501" s="81"/>
      <c r="BN501" s="66" t="s">
        <v>2768</v>
      </c>
      <c r="BO501" s="66"/>
      <c r="BP501" s="66"/>
      <c r="BQ501" s="66" t="str">
        <f>PROPER(TEXT(Prog_23[[#This Row],[PROGRAMAÇÃO CLIENTE]],"mmm"))</f>
        <v>Set</v>
      </c>
      <c r="BR501" s="66">
        <f>YEAR(Prog_23[[#This Row],[PROGRAMAÇÃO CLIENTE]])</f>
        <v>2023</v>
      </c>
    </row>
    <row r="502" spans="1:70" x14ac:dyDescent="0.25">
      <c r="A502" s="200" t="str">
        <f>Prog_23[[#This Row],[CONTEINER]]</f>
        <v>FDCU0259115</v>
      </c>
      <c r="B502" s="86" t="s">
        <v>2909</v>
      </c>
      <c r="C5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02" s="85">
        <v>45177.25</v>
      </c>
      <c r="E502" s="66" t="s">
        <v>5875</v>
      </c>
      <c r="F502" s="66" t="s">
        <v>5898</v>
      </c>
      <c r="G502" s="66" t="s">
        <v>6347</v>
      </c>
      <c r="H502" s="44" t="s">
        <v>6344</v>
      </c>
      <c r="I502" s="44" t="s">
        <v>6341</v>
      </c>
      <c r="J502" s="66" t="s">
        <v>301</v>
      </c>
      <c r="K502" s="66"/>
      <c r="L502" s="66"/>
      <c r="M502" s="66">
        <v>27540</v>
      </c>
      <c r="N502" s="66">
        <f>SUM(Prog_23[[#This Row],[TARA]]+Prog_23[[#This Row],[PESO]])</f>
        <v>27540</v>
      </c>
      <c r="O502" s="44">
        <v>10266</v>
      </c>
      <c r="P502" s="66" t="s">
        <v>6345</v>
      </c>
      <c r="Q502" s="66" t="s">
        <v>155</v>
      </c>
      <c r="R502" s="66" t="s">
        <v>209</v>
      </c>
      <c r="S502" s="66" t="s">
        <v>156</v>
      </c>
      <c r="T502" s="138" t="str">
        <f>IFERROR(LOOKUP($S502,MOTORISTAS!$D$3:$D$916,MOTORISTAS!E$3:$E$916),"")</f>
        <v>09803034863</v>
      </c>
      <c r="U502" s="138" t="str">
        <f>IFERROR(LOOKUP($S502,MOTORISTAS!$D$3:$D$916,MOTORISTAS!F$3:$F$916),"")</f>
        <v>01484565209</v>
      </c>
      <c r="V502" s="66" t="s">
        <v>293</v>
      </c>
      <c r="W502" s="66"/>
      <c r="X502" s="79">
        <v>45177.135416666664</v>
      </c>
      <c r="Y502" s="79">
        <v>45177.439583333333</v>
      </c>
      <c r="Z502" s="66" t="s">
        <v>537</v>
      </c>
      <c r="AA502" s="79">
        <v>45177.788194444445</v>
      </c>
      <c r="AB502" s="79">
        <v>45178.5</v>
      </c>
      <c r="AC502" s="79">
        <v>45184.999305555553</v>
      </c>
      <c r="AD502" s="79">
        <v>45190.999305555553</v>
      </c>
      <c r="AE502" s="66" t="s">
        <v>708</v>
      </c>
      <c r="AF502" s="44">
        <v>17448</v>
      </c>
      <c r="AG502" s="254">
        <f>Prog_23[[#This Row],[SAÍDA DO CLIENTE]]-Prog_23[[#This Row],[PROGRAMAÇÃO CLIENTE]]</f>
        <v>0.18958333333284827</v>
      </c>
      <c r="AH502" s="44"/>
      <c r="AI502" s="66"/>
      <c r="AJ502" s="66"/>
      <c r="AK502" s="66"/>
      <c r="AL502" s="66"/>
      <c r="AM502" s="66"/>
      <c r="AN502" s="83"/>
      <c r="AO502" s="83"/>
      <c r="AP502" s="83"/>
      <c r="AQ502" s="66"/>
      <c r="AR502" s="66"/>
      <c r="AS502" s="66"/>
      <c r="AT502" s="81"/>
      <c r="AU502" s="81"/>
      <c r="AV502" s="81"/>
      <c r="AW502" s="81"/>
      <c r="AX502" s="83">
        <f>SUM(Prog_23[[#This Row],[ADIANTAMENTO]]+Prog_23[[#This Row],[SALDO]]+Prog_23[[#This Row],[MARGEM]]+Prog_23[[#This Row],[ESTADIA 1]])</f>
        <v>0</v>
      </c>
      <c r="AY5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02" s="81"/>
      <c r="BA502" s="81"/>
      <c r="BB502" s="81">
        <f>Prog_23[[#This Row],[VLR NF]]*0.1%</f>
        <v>0</v>
      </c>
      <c r="BC502" s="81">
        <f>Prog_23[[#This Row],[VLR NF]]*0.05%</f>
        <v>0</v>
      </c>
      <c r="BD502" s="81"/>
      <c r="BE502" s="81"/>
      <c r="BF502" s="81"/>
      <c r="BG502" s="81"/>
      <c r="BH502" s="81"/>
      <c r="BI502" s="81"/>
      <c r="BJ502" s="81"/>
      <c r="BK502" s="81"/>
      <c r="BL502" s="81"/>
      <c r="BM502" s="81"/>
      <c r="BN502" s="66" t="s">
        <v>2768</v>
      </c>
      <c r="BO502" s="66"/>
      <c r="BP502" s="66"/>
      <c r="BQ502" s="66" t="str">
        <f>PROPER(TEXT(Prog_23[[#This Row],[PROGRAMAÇÃO CLIENTE]],"mmm"))</f>
        <v>Set</v>
      </c>
      <c r="BR502" s="66">
        <f>YEAR(Prog_23[[#This Row],[PROGRAMAÇÃO CLIENTE]])</f>
        <v>2023</v>
      </c>
    </row>
    <row r="503" spans="1:70" x14ac:dyDescent="0.25">
      <c r="A503" s="201" t="str">
        <f>Prog_23[[#This Row],[CONTEINER]]</f>
        <v>SEKU5715248</v>
      </c>
      <c r="B503" s="86" t="s">
        <v>2909</v>
      </c>
      <c r="C5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03" s="85">
        <v>45177.25</v>
      </c>
      <c r="E503" s="66" t="s">
        <v>5875</v>
      </c>
      <c r="F503" s="66" t="s">
        <v>5898</v>
      </c>
      <c r="G503" s="66" t="s">
        <v>6347</v>
      </c>
      <c r="H503" s="44" t="s">
        <v>6344</v>
      </c>
      <c r="I503" s="44" t="s">
        <v>6342</v>
      </c>
      <c r="J503" s="66" t="s">
        <v>301</v>
      </c>
      <c r="K503" s="66"/>
      <c r="L503" s="66"/>
      <c r="M503" s="66">
        <v>27540</v>
      </c>
      <c r="N503" s="66">
        <f>SUM(Prog_23[[#This Row],[TARA]]+Prog_23[[#This Row],[PESO]])</f>
        <v>27540</v>
      </c>
      <c r="O503" s="44">
        <v>10267</v>
      </c>
      <c r="P503" s="66" t="s">
        <v>6345</v>
      </c>
      <c r="Q503" s="66" t="s">
        <v>150</v>
      </c>
      <c r="R503" s="66" t="s">
        <v>151</v>
      </c>
      <c r="S503" s="66" t="s">
        <v>2678</v>
      </c>
      <c r="T503" s="138" t="str">
        <f>IFERROR(LOOKUP($S503,MOTORISTAS!$D$3:$D$916,MOTORISTAS!E$3:$E$916),"")</f>
        <v>28386357860</v>
      </c>
      <c r="U503" s="138" t="str">
        <f>IFERROR(LOOKUP($S503,MOTORISTAS!$D$3:$D$916,MOTORISTAS!F$3:$F$916),"")</f>
        <v>01042201192</v>
      </c>
      <c r="V503" s="66" t="s">
        <v>293</v>
      </c>
      <c r="W503" s="66"/>
      <c r="X503" s="79">
        <v>45177.131944444445</v>
      </c>
      <c r="Y503" s="79">
        <v>45177.445833333331</v>
      </c>
      <c r="Z503" s="66" t="s">
        <v>537</v>
      </c>
      <c r="AA503" s="79">
        <v>45177.953472222223</v>
      </c>
      <c r="AB503" s="79">
        <v>45178.5</v>
      </c>
      <c r="AC503" s="79">
        <v>45184.999305555553</v>
      </c>
      <c r="AD503" s="79">
        <v>45190.999305555553</v>
      </c>
      <c r="AE503" s="66" t="s">
        <v>708</v>
      </c>
      <c r="AF503" s="44">
        <v>17449</v>
      </c>
      <c r="AG503" s="254">
        <f>Prog_23[[#This Row],[SAÍDA DO CLIENTE]]-Prog_23[[#This Row],[PROGRAMAÇÃO CLIENTE]]</f>
        <v>0.19583333333139308</v>
      </c>
      <c r="AH503" s="44"/>
      <c r="AI503" s="66"/>
      <c r="AJ503" s="66"/>
      <c r="AK503" s="66"/>
      <c r="AL503" s="66"/>
      <c r="AM503" s="66"/>
      <c r="AN503" s="83"/>
      <c r="AO503" s="83"/>
      <c r="AP503" s="83"/>
      <c r="AQ503" s="66"/>
      <c r="AR503" s="66"/>
      <c r="AS503" s="66"/>
      <c r="AT503" s="81"/>
      <c r="AU503" s="81"/>
      <c r="AV503" s="81"/>
      <c r="AW503" s="81"/>
      <c r="AX503" s="83">
        <f>SUM(Prog_23[[#This Row],[ADIANTAMENTO]]+Prog_23[[#This Row],[SALDO]]+Prog_23[[#This Row],[MARGEM]]+Prog_23[[#This Row],[ESTADIA 1]])</f>
        <v>0</v>
      </c>
      <c r="AY5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03" s="81"/>
      <c r="BA503" s="81"/>
      <c r="BB503" s="81">
        <f>Prog_23[[#This Row],[VLR NF]]*0.1%</f>
        <v>0</v>
      </c>
      <c r="BC503" s="81">
        <f>Prog_23[[#This Row],[VLR NF]]*0.05%</f>
        <v>0</v>
      </c>
      <c r="BD503" s="81"/>
      <c r="BE503" s="81"/>
      <c r="BF503" s="81"/>
      <c r="BG503" s="81"/>
      <c r="BH503" s="81"/>
      <c r="BI503" s="81"/>
      <c r="BJ503" s="81"/>
      <c r="BK503" s="81"/>
      <c r="BL503" s="81"/>
      <c r="BM503" s="81"/>
      <c r="BN503" s="66" t="s">
        <v>2768</v>
      </c>
      <c r="BO503" s="66"/>
      <c r="BP503" s="66"/>
      <c r="BQ503" s="66" t="str">
        <f>PROPER(TEXT(Prog_23[[#This Row],[PROGRAMAÇÃO CLIENTE]],"mmm"))</f>
        <v>Set</v>
      </c>
      <c r="BR503" s="66">
        <f>YEAR(Prog_23[[#This Row],[PROGRAMAÇÃO CLIENTE]])</f>
        <v>2023</v>
      </c>
    </row>
    <row r="504" spans="1:70" x14ac:dyDescent="0.25">
      <c r="A504" s="200" t="str">
        <f>Prog_23[[#This Row],[CONTEINER]]</f>
        <v>TXGU7152132</v>
      </c>
      <c r="B504" s="86" t="s">
        <v>2909</v>
      </c>
      <c r="C5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NO PRAZO</v>
      </c>
      <c r="D504" s="85">
        <v>45177.25</v>
      </c>
      <c r="E504" s="66" t="s">
        <v>5875</v>
      </c>
      <c r="F504" s="66" t="s">
        <v>5898</v>
      </c>
      <c r="G504" s="66" t="s">
        <v>6347</v>
      </c>
      <c r="H504" s="44" t="s">
        <v>6344</v>
      </c>
      <c r="I504" s="44" t="s">
        <v>6343</v>
      </c>
      <c r="J504" s="66" t="s">
        <v>301</v>
      </c>
      <c r="K504" s="66"/>
      <c r="L504" s="66"/>
      <c r="M504" s="66">
        <v>27540</v>
      </c>
      <c r="N504" s="66">
        <f>SUM(Prog_23[[#This Row],[TARA]]+Prog_23[[#This Row],[PESO]])</f>
        <v>27540</v>
      </c>
      <c r="O504" s="44">
        <v>10268</v>
      </c>
      <c r="P504" s="66" t="s">
        <v>6345</v>
      </c>
      <c r="Q504" s="66" t="s">
        <v>92</v>
      </c>
      <c r="R504" s="66" t="s">
        <v>93</v>
      </c>
      <c r="S504" s="66" t="s">
        <v>3989</v>
      </c>
      <c r="T504" s="138">
        <v>14177245879</v>
      </c>
      <c r="U504" s="199" t="s">
        <v>6346</v>
      </c>
      <c r="V504" s="66" t="s">
        <v>293</v>
      </c>
      <c r="W504" s="66"/>
      <c r="X504" s="79">
        <v>45176.951388888891</v>
      </c>
      <c r="Y504" s="79">
        <v>45177.372916666667</v>
      </c>
      <c r="Z504" s="66" t="s">
        <v>537</v>
      </c>
      <c r="AA504" s="79">
        <v>45177.606944444444</v>
      </c>
      <c r="AB504" s="79">
        <v>45178.5</v>
      </c>
      <c r="AC504" s="79">
        <v>45184.999305555553</v>
      </c>
      <c r="AD504" s="79">
        <v>45190.999305555553</v>
      </c>
      <c r="AE504" s="66" t="s">
        <v>708</v>
      </c>
      <c r="AF504" s="44">
        <v>17450</v>
      </c>
      <c r="AG504" s="254">
        <f>Prog_23[[#This Row],[SAÍDA DO CLIENTE]]-Prog_23[[#This Row],[PROGRAMAÇÃO CLIENTE]]</f>
        <v>0.12291666666715173</v>
      </c>
      <c r="AH504" s="44"/>
      <c r="AI504" s="66"/>
      <c r="AJ504" s="66"/>
      <c r="AK504" s="66"/>
      <c r="AL504" s="66"/>
      <c r="AM504" s="66"/>
      <c r="AN504" s="83"/>
      <c r="AO504" s="83"/>
      <c r="AP504" s="83"/>
      <c r="AQ504" s="66"/>
      <c r="AR504" s="66"/>
      <c r="AS504" s="66"/>
      <c r="AT504" s="81"/>
      <c r="AU504" s="81"/>
      <c r="AV504" s="81"/>
      <c r="AW504" s="81"/>
      <c r="AX504" s="83">
        <f>SUM(Prog_23[[#This Row],[ADIANTAMENTO]]+Prog_23[[#This Row],[SALDO]]+Prog_23[[#This Row],[MARGEM]]+Prog_23[[#This Row],[ESTADIA 1]])</f>
        <v>0</v>
      </c>
      <c r="AY5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04" s="81"/>
      <c r="BA504" s="81"/>
      <c r="BB504" s="81">
        <f>Prog_23[[#This Row],[VLR NF]]*0.1%</f>
        <v>0</v>
      </c>
      <c r="BC504" s="81">
        <f>Prog_23[[#This Row],[VLR NF]]*0.05%</f>
        <v>0</v>
      </c>
      <c r="BD504" s="81"/>
      <c r="BE504" s="81"/>
      <c r="BF504" s="81"/>
      <c r="BG504" s="81"/>
      <c r="BH504" s="81"/>
      <c r="BI504" s="81"/>
      <c r="BJ504" s="81"/>
      <c r="BK504" s="81"/>
      <c r="BL504" s="81"/>
      <c r="BM504" s="81"/>
      <c r="BN504" s="66" t="s">
        <v>2768</v>
      </c>
      <c r="BO504" s="66"/>
      <c r="BP504" s="66"/>
      <c r="BQ504" s="66" t="str">
        <f>PROPER(TEXT(Prog_23[[#This Row],[PROGRAMAÇÃO CLIENTE]],"mmm"))</f>
        <v>Set</v>
      </c>
      <c r="BR504" s="66">
        <f>YEAR(Prog_23[[#This Row],[PROGRAMAÇÃO CLIENTE]])</f>
        <v>2023</v>
      </c>
    </row>
    <row r="505" spans="1:70" x14ac:dyDescent="0.25">
      <c r="A505" s="201">
        <f>Prog_23[[#This Row],[CONTEINER]]</f>
        <v>0</v>
      </c>
      <c r="B505" s="86" t="s">
        <v>3296</v>
      </c>
      <c r="C5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No prazo</v>
      </c>
      <c r="D505" s="85">
        <v>45180.333333333336</v>
      </c>
      <c r="E505" s="66" t="s">
        <v>6164</v>
      </c>
      <c r="F505" s="66" t="s">
        <v>529</v>
      </c>
      <c r="G505" s="66"/>
      <c r="H505" s="44" t="s">
        <v>6350</v>
      </c>
      <c r="I505" s="44"/>
      <c r="J505" s="66"/>
      <c r="K505" s="66"/>
      <c r="L505" s="66"/>
      <c r="M505" s="66"/>
      <c r="N505" s="66">
        <f>SUM(Prog_23[[#This Row],[TARA]]+Prog_23[[#This Row],[PESO]])</f>
        <v>0</v>
      </c>
      <c r="O505" s="44"/>
      <c r="P505" s="66" t="s">
        <v>6351</v>
      </c>
      <c r="Q505" s="66"/>
      <c r="R505" s="66"/>
      <c r="S505" s="66"/>
      <c r="T505" s="138" t="str">
        <f>IFERROR(LOOKUP($S505,MOTORISTAS!$D$3:$D$916,MOTORISTAS!E$3:$E$916),"")</f>
        <v/>
      </c>
      <c r="U505" s="138" t="str">
        <f>IFERROR(LOOKUP($S505,MOTORISTAS!$D$3:$D$916,MOTORISTAS!F$3:$F$916),"")</f>
        <v/>
      </c>
      <c r="V505" s="66"/>
      <c r="W505" s="66"/>
      <c r="X505" s="66"/>
      <c r="Y505" s="66"/>
      <c r="Z505" s="66" t="s">
        <v>410</v>
      </c>
      <c r="AA505" s="66"/>
      <c r="AB505" s="66"/>
      <c r="AC505" s="66"/>
      <c r="AD505" s="66"/>
      <c r="AE505" s="66" t="s">
        <v>6352</v>
      </c>
      <c r="AF505" s="44"/>
      <c r="AG505" s="254">
        <f>Prog_23[[#This Row],[SAÍDA DO CLIENTE]]-Prog_23[[#This Row],[PROGRAMAÇÃO CLIENTE]]</f>
        <v>-45180.333333333336</v>
      </c>
      <c r="AH505" s="44"/>
      <c r="AI505" s="66"/>
      <c r="AJ505" s="66"/>
      <c r="AK505" s="66"/>
      <c r="AL505" s="66"/>
      <c r="AM505" s="66"/>
      <c r="AN505" s="83"/>
      <c r="AO505" s="83"/>
      <c r="AP505" s="83"/>
      <c r="AQ505" s="66"/>
      <c r="AR505" s="66"/>
      <c r="AS505" s="66"/>
      <c r="AT505" s="81"/>
      <c r="AU505" s="81"/>
      <c r="AV505" s="81"/>
      <c r="AW505" s="81"/>
      <c r="AX505" s="83">
        <f>SUM(Prog_23[[#This Row],[ADIANTAMENTO]]+Prog_23[[#This Row],[SALDO]]+Prog_23[[#This Row],[MARGEM]]+Prog_23[[#This Row],[ESTADIA 1]])</f>
        <v>0</v>
      </c>
      <c r="AY5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05" s="81"/>
      <c r="BA505" s="81"/>
      <c r="BB505" s="81">
        <f>Prog_23[[#This Row],[VLR NF]]*0.1%</f>
        <v>0</v>
      </c>
      <c r="BC505" s="81">
        <f>Prog_23[[#This Row],[VLR NF]]*0.05%</f>
        <v>0</v>
      </c>
      <c r="BD505" s="81"/>
      <c r="BE505" s="81"/>
      <c r="BF505" s="81"/>
      <c r="BG505" s="81"/>
      <c r="BH505" s="81"/>
      <c r="BI505" s="81"/>
      <c r="BJ505" s="81"/>
      <c r="BK505" s="81"/>
      <c r="BL505" s="81"/>
      <c r="BM505" s="81"/>
      <c r="BN505" s="66"/>
      <c r="BO505" s="66"/>
      <c r="BP505" s="66"/>
      <c r="BQ505" s="66" t="str">
        <f>PROPER(TEXT(Prog_23[[#This Row],[PROGRAMAÇÃO CLIENTE]],"mmm"))</f>
        <v>Set</v>
      </c>
      <c r="BR505" s="66">
        <f>YEAR(Prog_23[[#This Row],[PROGRAMAÇÃO CLIENTE]])</f>
        <v>2023</v>
      </c>
    </row>
    <row r="506" spans="1:70" x14ac:dyDescent="0.25">
      <c r="A506" s="200" t="str">
        <f>Prog_23[[#This Row],[CONTEINER]]</f>
        <v>MRSU4366648</v>
      </c>
      <c r="B506" s="86" t="s">
        <v>2798</v>
      </c>
      <c r="C5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No prazo</v>
      </c>
      <c r="D506" s="85">
        <v>45180.291666666664</v>
      </c>
      <c r="E506" s="66" t="s">
        <v>5642</v>
      </c>
      <c r="F506" s="66" t="s">
        <v>5640</v>
      </c>
      <c r="G506" s="66" t="s">
        <v>6330</v>
      </c>
      <c r="H506" s="44">
        <v>231008020</v>
      </c>
      <c r="I506" s="44" t="s">
        <v>6361</v>
      </c>
      <c r="J506" s="66" t="s">
        <v>301</v>
      </c>
      <c r="K506" s="66">
        <v>3720</v>
      </c>
      <c r="L506" s="66" t="s">
        <v>6360</v>
      </c>
      <c r="M506" s="66"/>
      <c r="N506" s="66">
        <f>SUM(Prog_23[[#This Row],[TARA]]+Prog_23[[#This Row],[PESO]])</f>
        <v>3720</v>
      </c>
      <c r="O506" s="44"/>
      <c r="P506" s="66" t="s">
        <v>6331</v>
      </c>
      <c r="Q506" s="66" t="s">
        <v>68</v>
      </c>
      <c r="R506" s="66" t="s">
        <v>36</v>
      </c>
      <c r="S506" s="66" t="s">
        <v>206</v>
      </c>
      <c r="T506" s="138" t="str">
        <f>IFERROR(LOOKUP($S506,MOTORISTAS!$D$3:$D$916,MOTORISTAS!E$3:$E$916),"")</f>
        <v>09085263425</v>
      </c>
      <c r="U506" s="138" t="str">
        <f>IFERROR(LOOKUP($S506,MOTORISTAS!$D$3:$D$916,MOTORISTAS!F$3:$F$916),"")</f>
        <v>04557705505</v>
      </c>
      <c r="V506" s="66" t="s">
        <v>409</v>
      </c>
      <c r="W506" s="79">
        <v>45178.48541666667</v>
      </c>
      <c r="X506" s="66"/>
      <c r="Y506" s="66"/>
      <c r="Z506" s="66" t="s">
        <v>410</v>
      </c>
      <c r="AA506" s="66"/>
      <c r="AB506" s="66"/>
      <c r="AC506" s="79">
        <v>45180.5</v>
      </c>
      <c r="AD506" s="79">
        <v>45183.5</v>
      </c>
      <c r="AE506" s="66" t="s">
        <v>418</v>
      </c>
      <c r="AF506" s="44"/>
      <c r="AG506" s="254">
        <f>Prog_23[[#This Row],[SAÍDA DO CLIENTE]]-Prog_23[[#This Row],[PROGRAMAÇÃO CLIENTE]]</f>
        <v>-45180.291666666664</v>
      </c>
      <c r="AH506" s="44"/>
      <c r="AI506" s="66"/>
      <c r="AJ506" s="66"/>
      <c r="AK506" s="66"/>
      <c r="AL506" s="66"/>
      <c r="AM506" s="66"/>
      <c r="AN506" s="83"/>
      <c r="AO506" s="83"/>
      <c r="AP506" s="83"/>
      <c r="AQ506" s="66"/>
      <c r="AR506" s="66"/>
      <c r="AS506" s="66"/>
      <c r="AT506" s="81"/>
      <c r="AU506" s="81"/>
      <c r="AV506" s="81"/>
      <c r="AW506" s="81"/>
      <c r="AX506" s="83">
        <f>SUM(Prog_23[[#This Row],[ADIANTAMENTO]]+Prog_23[[#This Row],[SALDO]]+Prog_23[[#This Row],[MARGEM]]+Prog_23[[#This Row],[ESTADIA 1]])</f>
        <v>0</v>
      </c>
      <c r="AY5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06" s="81"/>
      <c r="BA506" s="81"/>
      <c r="BB506" s="81">
        <f>Prog_23[[#This Row],[VLR NF]]*0.1%</f>
        <v>0</v>
      </c>
      <c r="BC506" s="81">
        <f>Prog_23[[#This Row],[VLR NF]]*0.05%</f>
        <v>0</v>
      </c>
      <c r="BD506" s="81"/>
      <c r="BE506" s="81"/>
      <c r="BF506" s="81"/>
      <c r="BG506" s="81"/>
      <c r="BH506" s="81"/>
      <c r="BI506" s="81"/>
      <c r="BJ506" s="81"/>
      <c r="BK506" s="81"/>
      <c r="BL506" s="81"/>
      <c r="BM506" s="81"/>
      <c r="BN506" s="66"/>
      <c r="BO506" s="66"/>
      <c r="BP506" s="66"/>
      <c r="BQ506" s="66" t="str">
        <f>PROPER(TEXT(Prog_23[[#This Row],[PROGRAMAÇÃO CLIENTE]],"mmm"))</f>
        <v>Set</v>
      </c>
      <c r="BR506" s="66">
        <f>YEAR(Prog_23[[#This Row],[PROGRAMAÇÃO CLIENTE]])</f>
        <v>2023</v>
      </c>
    </row>
    <row r="507" spans="1:70" x14ac:dyDescent="0.25">
      <c r="A507" s="201">
        <f>Prog_23[[#This Row],[CONTEINER]]</f>
        <v>0</v>
      </c>
      <c r="B507" s="86" t="s">
        <v>3288</v>
      </c>
      <c r="C5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No prazo</v>
      </c>
      <c r="D507" s="85">
        <v>45182.291666666664</v>
      </c>
      <c r="E507" s="66" t="s">
        <v>5187</v>
      </c>
      <c r="F507" s="66" t="s">
        <v>3161</v>
      </c>
      <c r="G507" s="66" t="s">
        <v>6333</v>
      </c>
      <c r="H507" s="44">
        <v>230960852</v>
      </c>
      <c r="I507" s="44"/>
      <c r="J507" s="66" t="s">
        <v>301</v>
      </c>
      <c r="K507" s="66"/>
      <c r="L507" s="66"/>
      <c r="M507" s="66"/>
      <c r="N507" s="66">
        <f>SUM(Prog_23[[#This Row],[TARA]]+Prog_23[[#This Row],[PESO]])</f>
        <v>0</v>
      </c>
      <c r="O507" s="44"/>
      <c r="P507" s="66" t="s">
        <v>6332</v>
      </c>
      <c r="Q507" s="66"/>
      <c r="R507" s="66"/>
      <c r="S507" s="66"/>
      <c r="T507" s="138" t="str">
        <f>IFERROR(LOOKUP($S507,MOTORISTAS!$D$3:$D$916,MOTORISTAS!E$3:$E$916),"")</f>
        <v/>
      </c>
      <c r="U507" s="138" t="str">
        <f>IFERROR(LOOKUP($S507,MOTORISTAS!$D$3:$D$916,MOTORISTAS!F$3:$F$916),"")</f>
        <v/>
      </c>
      <c r="V507" s="66"/>
      <c r="W507" s="66"/>
      <c r="X507" s="66"/>
      <c r="Y507" s="66"/>
      <c r="Z507" s="66" t="s">
        <v>306</v>
      </c>
      <c r="AA507" s="66"/>
      <c r="AB507" s="66"/>
      <c r="AC507" s="79">
        <v>45181.458333333336</v>
      </c>
      <c r="AD507" s="79">
        <v>45183.75</v>
      </c>
      <c r="AE507" s="66" t="s">
        <v>5492</v>
      </c>
      <c r="AF507" s="44"/>
      <c r="AG507" s="254">
        <f>Prog_23[[#This Row],[SAÍDA DO CLIENTE]]-Prog_23[[#This Row],[PROGRAMAÇÃO CLIENTE]]</f>
        <v>-45182.291666666664</v>
      </c>
      <c r="AH507" s="44"/>
      <c r="AI507" s="66"/>
      <c r="AJ507" s="66"/>
      <c r="AK507" s="66"/>
      <c r="AL507" s="66"/>
      <c r="AM507" s="66"/>
      <c r="AN507" s="83"/>
      <c r="AO507" s="83"/>
      <c r="AP507" s="83"/>
      <c r="AQ507" s="66"/>
      <c r="AR507" s="66"/>
      <c r="AS507" s="66"/>
      <c r="AT507" s="81"/>
      <c r="AU507" s="81"/>
      <c r="AV507" s="81"/>
      <c r="AW507" s="81"/>
      <c r="AX507" s="83">
        <f>SUM(Prog_23[[#This Row],[ADIANTAMENTO]]+Prog_23[[#This Row],[SALDO]]+Prog_23[[#This Row],[MARGEM]]+Prog_23[[#This Row],[ESTADIA 1]])</f>
        <v>0</v>
      </c>
      <c r="AY5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07" s="81"/>
      <c r="BA507" s="81"/>
      <c r="BB507" s="81">
        <f>Prog_23[[#This Row],[VLR NF]]*0.1%</f>
        <v>0</v>
      </c>
      <c r="BC507" s="81">
        <f>Prog_23[[#This Row],[VLR NF]]*0.05%</f>
        <v>0</v>
      </c>
      <c r="BD507" s="81"/>
      <c r="BE507" s="81"/>
      <c r="BF507" s="81"/>
      <c r="BG507" s="81"/>
      <c r="BH507" s="81"/>
      <c r="BI507" s="81"/>
      <c r="BJ507" s="81"/>
      <c r="BK507" s="81"/>
      <c r="BL507" s="81"/>
      <c r="BM507" s="81"/>
      <c r="BN507" s="66"/>
      <c r="BO507" s="66"/>
      <c r="BP507" s="66"/>
      <c r="BQ507" s="66" t="str">
        <f>PROPER(TEXT(Prog_23[[#This Row],[PROGRAMAÇÃO CLIENTE]],"mmm"))</f>
        <v>Set</v>
      </c>
      <c r="BR507" s="66">
        <f>YEAR(Prog_23[[#This Row],[PROGRAMAÇÃO CLIENTE]])</f>
        <v>2023</v>
      </c>
    </row>
    <row r="508" spans="1:70" x14ac:dyDescent="0.25">
      <c r="A508" s="200">
        <f>Prog_23[[#This Row],[CONTEINER]]</f>
        <v>0</v>
      </c>
      <c r="B508" s="86" t="s">
        <v>3288</v>
      </c>
      <c r="C5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No prazo</v>
      </c>
      <c r="D508" s="85">
        <v>45182.291666666664</v>
      </c>
      <c r="E508" s="66" t="s">
        <v>5187</v>
      </c>
      <c r="F508" s="66" t="s">
        <v>3161</v>
      </c>
      <c r="G508" s="66" t="s">
        <v>6333</v>
      </c>
      <c r="H508" s="44">
        <v>230960852</v>
      </c>
      <c r="I508" s="44"/>
      <c r="J508" s="66" t="s">
        <v>301</v>
      </c>
      <c r="K508" s="66"/>
      <c r="L508" s="66"/>
      <c r="M508" s="66"/>
      <c r="N508" s="66">
        <f>SUM(Prog_23[[#This Row],[TARA]]+Prog_23[[#This Row],[PESO]])</f>
        <v>0</v>
      </c>
      <c r="O508" s="44"/>
      <c r="P508" s="66" t="s">
        <v>6332</v>
      </c>
      <c r="Q508" s="66"/>
      <c r="R508" s="66"/>
      <c r="S508" s="66"/>
      <c r="T508" s="138" t="str">
        <f>IFERROR(LOOKUP($S508,MOTORISTAS!$D$3:$D$916,MOTORISTAS!E$3:$E$916),"")</f>
        <v/>
      </c>
      <c r="U508" s="138" t="str">
        <f>IFERROR(LOOKUP($S508,MOTORISTAS!$D$3:$D$916,MOTORISTAS!F$3:$F$916),"")</f>
        <v/>
      </c>
      <c r="V508" s="66"/>
      <c r="W508" s="66"/>
      <c r="X508" s="66"/>
      <c r="Y508" s="66"/>
      <c r="Z508" s="66" t="s">
        <v>306</v>
      </c>
      <c r="AA508" s="66"/>
      <c r="AB508" s="66"/>
      <c r="AC508" s="79">
        <v>45181.458333333336</v>
      </c>
      <c r="AD508" s="79">
        <v>45183.75</v>
      </c>
      <c r="AE508" s="66" t="s">
        <v>5492</v>
      </c>
      <c r="AF508" s="44"/>
      <c r="AG508" s="254">
        <f>Prog_23[[#This Row],[SAÍDA DO CLIENTE]]-Prog_23[[#This Row],[PROGRAMAÇÃO CLIENTE]]</f>
        <v>-45182.291666666664</v>
      </c>
      <c r="AH508" s="44"/>
      <c r="AI508" s="66"/>
      <c r="AJ508" s="66"/>
      <c r="AK508" s="66"/>
      <c r="AL508" s="66"/>
      <c r="AM508" s="66"/>
      <c r="AN508" s="83"/>
      <c r="AO508" s="83"/>
      <c r="AP508" s="83"/>
      <c r="AQ508" s="66"/>
      <c r="AR508" s="66"/>
      <c r="AS508" s="66"/>
      <c r="AT508" s="81"/>
      <c r="AU508" s="81"/>
      <c r="AV508" s="81"/>
      <c r="AW508" s="81"/>
      <c r="AX508" s="83">
        <f>SUM(Prog_23[[#This Row],[ADIANTAMENTO]]+Prog_23[[#This Row],[SALDO]]+Prog_23[[#This Row],[MARGEM]]+Prog_23[[#This Row],[ESTADIA 1]])</f>
        <v>0</v>
      </c>
      <c r="AY5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08" s="81"/>
      <c r="BA508" s="81"/>
      <c r="BB508" s="81">
        <f>Prog_23[[#This Row],[VLR NF]]*0.1%</f>
        <v>0</v>
      </c>
      <c r="BC508" s="81">
        <f>Prog_23[[#This Row],[VLR NF]]*0.05%</f>
        <v>0</v>
      </c>
      <c r="BD508" s="81"/>
      <c r="BE508" s="81"/>
      <c r="BF508" s="81"/>
      <c r="BG508" s="81"/>
      <c r="BH508" s="81"/>
      <c r="BI508" s="81"/>
      <c r="BJ508" s="81"/>
      <c r="BK508" s="81"/>
      <c r="BL508" s="81"/>
      <c r="BM508" s="81"/>
      <c r="BN508" s="66"/>
      <c r="BO508" s="66"/>
      <c r="BP508" s="66"/>
      <c r="BQ508" s="66" t="str">
        <f>PROPER(TEXT(Prog_23[[#This Row],[PROGRAMAÇÃO CLIENTE]],"mmm"))</f>
        <v>Set</v>
      </c>
      <c r="BR508" s="66">
        <f>YEAR(Prog_23[[#This Row],[PROGRAMAÇÃO CLIENTE]])</f>
        <v>2023</v>
      </c>
    </row>
    <row r="509" spans="1:70" x14ac:dyDescent="0.25">
      <c r="A509" s="201">
        <f>Prog_23[[#This Row],[CONTEINER]]</f>
        <v>0</v>
      </c>
      <c r="B509" s="86" t="s">
        <v>3288</v>
      </c>
      <c r="C5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No prazo</v>
      </c>
      <c r="D509" s="85">
        <v>45183.291666666664</v>
      </c>
      <c r="E509" s="66" t="s">
        <v>5187</v>
      </c>
      <c r="F509" s="66" t="s">
        <v>3161</v>
      </c>
      <c r="G509" s="66" t="s">
        <v>6333</v>
      </c>
      <c r="H509" s="44">
        <v>230960852</v>
      </c>
      <c r="I509" s="44"/>
      <c r="J509" s="66" t="s">
        <v>301</v>
      </c>
      <c r="K509" s="66">
        <v>0</v>
      </c>
      <c r="L509" s="66"/>
      <c r="M509" s="66"/>
      <c r="N509" s="66">
        <f>SUM(Prog_23[[#This Row],[TARA]]+Prog_23[[#This Row],[PESO]])</f>
        <v>0</v>
      </c>
      <c r="O509" s="44"/>
      <c r="P509" s="66" t="s">
        <v>6332</v>
      </c>
      <c r="Q509" s="66"/>
      <c r="R509" s="66"/>
      <c r="S509" s="66"/>
      <c r="T509" s="138" t="str">
        <f>IFERROR(LOOKUP($S509,MOTORISTAS!$D$3:$D$916,MOTORISTAS!E$3:$E$916),"")</f>
        <v/>
      </c>
      <c r="U509" s="138" t="str">
        <f>IFERROR(LOOKUP($S509,MOTORISTAS!$D$3:$D$916,MOTORISTAS!F$3:$F$916),"")</f>
        <v/>
      </c>
      <c r="V509" s="66"/>
      <c r="W509" s="66"/>
      <c r="X509" s="66"/>
      <c r="Y509" s="66"/>
      <c r="Z509" s="66" t="s">
        <v>306</v>
      </c>
      <c r="AA509" s="66"/>
      <c r="AB509" s="66"/>
      <c r="AC509" s="79">
        <v>45181.458333333336</v>
      </c>
      <c r="AD509" s="79">
        <v>45183.75</v>
      </c>
      <c r="AE509" s="66" t="s">
        <v>5492</v>
      </c>
      <c r="AF509" s="44"/>
      <c r="AG509" s="254">
        <f>Prog_23[[#This Row],[SAÍDA DO CLIENTE]]-Prog_23[[#This Row],[PROGRAMAÇÃO CLIENTE]]</f>
        <v>-45183.291666666664</v>
      </c>
      <c r="AH509" s="44"/>
      <c r="AI509" s="66"/>
      <c r="AJ509" s="66"/>
      <c r="AK509" s="66"/>
      <c r="AL509" s="66"/>
      <c r="AM509" s="66"/>
      <c r="AN509" s="83"/>
      <c r="AO509" s="83"/>
      <c r="AP509" s="83"/>
      <c r="AQ509" s="66"/>
      <c r="AR509" s="66"/>
      <c r="AS509" s="66"/>
      <c r="AT509" s="81"/>
      <c r="AU509" s="81"/>
      <c r="AV509" s="81"/>
      <c r="AW509" s="81"/>
      <c r="AX509" s="83">
        <f>SUM(Prog_23[[#This Row],[ADIANTAMENTO]]+Prog_23[[#This Row],[SALDO]]+Prog_23[[#This Row],[MARGEM]]+Prog_23[[#This Row],[ESTADIA 1]])</f>
        <v>0</v>
      </c>
      <c r="AY5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09" s="81"/>
      <c r="BA509" s="81"/>
      <c r="BB509" s="81">
        <f>Prog_23[[#This Row],[VLR NF]]*0.1%</f>
        <v>0</v>
      </c>
      <c r="BC509" s="81">
        <f>Prog_23[[#This Row],[VLR NF]]*0.05%</f>
        <v>0</v>
      </c>
      <c r="BD509" s="81"/>
      <c r="BE509" s="81"/>
      <c r="BF509" s="81"/>
      <c r="BG509" s="81"/>
      <c r="BH509" s="81"/>
      <c r="BI509" s="81"/>
      <c r="BJ509" s="81"/>
      <c r="BK509" s="81"/>
      <c r="BL509" s="81"/>
      <c r="BM509" s="81"/>
      <c r="BN509" s="66"/>
      <c r="BO509" s="66"/>
      <c r="BP509" s="66"/>
      <c r="BQ509" s="66" t="str">
        <f>PROPER(TEXT(Prog_23[[#This Row],[PROGRAMAÇÃO CLIENTE]],"mmm"))</f>
        <v>Set</v>
      </c>
      <c r="BR509" s="66">
        <f>YEAR(Prog_23[[#This Row],[PROGRAMAÇÃO CLIENTE]])</f>
        <v>2023</v>
      </c>
    </row>
    <row r="510" spans="1:70" x14ac:dyDescent="0.25">
      <c r="A510" s="200">
        <f>Prog_23[[#This Row],[CONTEINER]]</f>
        <v>0</v>
      </c>
      <c r="B510" s="86" t="s">
        <v>3288</v>
      </c>
      <c r="C5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No prazo</v>
      </c>
      <c r="D510" s="85">
        <v>45188.666666666664</v>
      </c>
      <c r="E510" s="66" t="s">
        <v>2302</v>
      </c>
      <c r="F510" s="66" t="s">
        <v>529</v>
      </c>
      <c r="G510" s="66">
        <v>53</v>
      </c>
      <c r="H510" s="44" t="s">
        <v>6334</v>
      </c>
      <c r="I510" s="44"/>
      <c r="J510" s="66" t="s">
        <v>301</v>
      </c>
      <c r="K510" s="66"/>
      <c r="L510" s="66"/>
      <c r="M510" s="66"/>
      <c r="N510" s="66">
        <f>SUM(Prog_23[[#This Row],[TARA]]+Prog_23[[#This Row],[PESO]])</f>
        <v>0</v>
      </c>
      <c r="O510" s="44"/>
      <c r="P510" s="66" t="s">
        <v>6348</v>
      </c>
      <c r="Q510" s="66"/>
      <c r="R510" s="66"/>
      <c r="S510" s="66"/>
      <c r="T510" s="138" t="str">
        <f>IFERROR(LOOKUP($S510,MOTORISTAS!$D$3:$D$916,MOTORISTAS!E$3:$E$916),"")</f>
        <v/>
      </c>
      <c r="U510" s="138" t="str">
        <f>IFERROR(LOOKUP($S510,MOTORISTAS!$D$3:$D$916,MOTORISTAS!F$3:$F$916),"")</f>
        <v/>
      </c>
      <c r="V510" s="66"/>
      <c r="W510" s="66"/>
      <c r="X510" s="66"/>
      <c r="Y510" s="66"/>
      <c r="Z510" s="66" t="s">
        <v>410</v>
      </c>
      <c r="AA510" s="66"/>
      <c r="AB510" s="79"/>
      <c r="AC510" s="79">
        <v>45187.708333333336</v>
      </c>
      <c r="AD510" s="79">
        <v>45190.5</v>
      </c>
      <c r="AE510" s="66" t="s">
        <v>1629</v>
      </c>
      <c r="AF510" s="44"/>
      <c r="AG510" s="254">
        <f>Prog_23[[#This Row],[SAÍDA DO CLIENTE]]-Prog_23[[#This Row],[PROGRAMAÇÃO CLIENTE]]</f>
        <v>-45188.666666666664</v>
      </c>
      <c r="AH510" s="44"/>
      <c r="AI510" s="66"/>
      <c r="AJ510" s="66"/>
      <c r="AK510" s="66"/>
      <c r="AL510" s="66"/>
      <c r="AM510" s="66"/>
      <c r="AN510" s="83"/>
      <c r="AO510" s="83"/>
      <c r="AP510" s="83"/>
      <c r="AQ510" s="66"/>
      <c r="AR510" s="66"/>
      <c r="AS510" s="66"/>
      <c r="AT510" s="81"/>
      <c r="AU510" s="81"/>
      <c r="AV510" s="81"/>
      <c r="AW510" s="81"/>
      <c r="AX510" s="83">
        <f>SUM(Prog_23[[#This Row],[ADIANTAMENTO]]+Prog_23[[#This Row],[SALDO]]+Prog_23[[#This Row],[MARGEM]]+Prog_23[[#This Row],[ESTADIA 1]])</f>
        <v>0</v>
      </c>
      <c r="AY5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10" s="81"/>
      <c r="BA510" s="81"/>
      <c r="BB510" s="81">
        <f>Prog_23[[#This Row],[VLR NF]]*0.1%</f>
        <v>0</v>
      </c>
      <c r="BC510" s="81">
        <f>Prog_23[[#This Row],[VLR NF]]*0.05%</f>
        <v>0</v>
      </c>
      <c r="BD510" s="81"/>
      <c r="BE510" s="81"/>
      <c r="BF510" s="81"/>
      <c r="BG510" s="81"/>
      <c r="BH510" s="81"/>
      <c r="BI510" s="81"/>
      <c r="BJ510" s="81"/>
      <c r="BK510" s="81"/>
      <c r="BL510" s="81"/>
      <c r="BM510" s="81"/>
      <c r="BN510" s="66"/>
      <c r="BO510" s="66"/>
      <c r="BP510" s="66"/>
      <c r="BQ510" s="66" t="str">
        <f>PROPER(TEXT(Prog_23[[#This Row],[PROGRAMAÇÃO CLIENTE]],"mmm"))</f>
        <v>Set</v>
      </c>
      <c r="BR510" s="66">
        <f>YEAR(Prog_23[[#This Row],[PROGRAMAÇÃO CLIENTE]])</f>
        <v>2023</v>
      </c>
    </row>
    <row r="511" spans="1:70" x14ac:dyDescent="0.25">
      <c r="A511" s="200">
        <f>Prog_23[[#This Row],[CONTEINER]]</f>
        <v>0</v>
      </c>
      <c r="B511" s="86" t="s">
        <v>3296</v>
      </c>
      <c r="C5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No prazo</v>
      </c>
      <c r="D511" s="85">
        <v>45191.291666666664</v>
      </c>
      <c r="E511" s="66" t="s">
        <v>6164</v>
      </c>
      <c r="F511" s="66" t="s">
        <v>529</v>
      </c>
      <c r="G511" s="66"/>
      <c r="H511" s="44">
        <v>69241129</v>
      </c>
      <c r="I511" s="44"/>
      <c r="J511" s="66" t="s">
        <v>301</v>
      </c>
      <c r="K511" s="66"/>
      <c r="L511" s="66"/>
      <c r="M511" s="66"/>
      <c r="N511" s="66">
        <f>SUM(Prog_23[[#This Row],[TARA]]+Prog_23[[#This Row],[PESO]])</f>
        <v>0</v>
      </c>
      <c r="O511" s="44"/>
      <c r="P511" s="66" t="s">
        <v>6163</v>
      </c>
      <c r="Q511" s="66"/>
      <c r="R511" s="66"/>
      <c r="S511" s="66"/>
      <c r="T511" s="138" t="str">
        <f>IFERROR(LOOKUP($S511,MOTORISTAS!$D$3:$D$916,MOTORISTAS!E$3:$E$916),"")</f>
        <v/>
      </c>
      <c r="U511" s="138" t="str">
        <f>IFERROR(LOOKUP($S511,MOTORISTAS!$D$3:$D$916,MOTORISTAS!F$3:$F$916),"")</f>
        <v/>
      </c>
      <c r="V511" s="66" t="s">
        <v>292</v>
      </c>
      <c r="W511" s="66"/>
      <c r="X511" s="66"/>
      <c r="Y511" s="66"/>
      <c r="Z511" s="66" t="s">
        <v>306</v>
      </c>
      <c r="AA511" s="66"/>
      <c r="AB511" s="66"/>
      <c r="AC511" s="79">
        <v>45190.708333333336</v>
      </c>
      <c r="AD511" s="79">
        <v>45195.708333333336</v>
      </c>
      <c r="AE511" s="66" t="s">
        <v>5274</v>
      </c>
      <c r="AF511" s="44"/>
      <c r="AG511" s="254">
        <f>Prog_23[[#This Row],[SAÍDA DO CLIENTE]]-Prog_23[[#This Row],[PROGRAMAÇÃO CLIENTE]]</f>
        <v>-45191.291666666664</v>
      </c>
      <c r="AH511" s="44"/>
      <c r="AI511" s="66"/>
      <c r="AJ511" s="66"/>
      <c r="AK511" s="66"/>
      <c r="AL511" s="66"/>
      <c r="AM511" s="66"/>
      <c r="AN511" s="83"/>
      <c r="AO511" s="83"/>
      <c r="AP511" s="83"/>
      <c r="AQ511" s="66"/>
      <c r="AR511" s="66"/>
      <c r="AS511" s="66"/>
      <c r="AT511" s="81"/>
      <c r="AU511" s="81"/>
      <c r="AV511" s="81"/>
      <c r="AW511" s="81"/>
      <c r="AX511" s="83">
        <f>SUM(Prog_23[[#This Row],[ADIANTAMENTO]]+Prog_23[[#This Row],[SALDO]]+Prog_23[[#This Row],[MARGEM]]+Prog_23[[#This Row],[ESTADIA 1]])</f>
        <v>0</v>
      </c>
      <c r="AY5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11" s="81"/>
      <c r="BA511" s="81"/>
      <c r="BB511" s="81">
        <f>Prog_23[[#This Row],[VLR NF]]*0.1%</f>
        <v>0</v>
      </c>
      <c r="BC511" s="81">
        <f>Prog_23[[#This Row],[VLR NF]]*0.05%</f>
        <v>0</v>
      </c>
      <c r="BD511" s="81"/>
      <c r="BE511" s="81"/>
      <c r="BF511" s="81"/>
      <c r="BG511" s="81"/>
      <c r="BH511" s="81"/>
      <c r="BI511" s="81"/>
      <c r="BJ511" s="81"/>
      <c r="BK511" s="81"/>
      <c r="BL511" s="81"/>
      <c r="BM511" s="81"/>
      <c r="BN511" s="66"/>
      <c r="BO511" s="66"/>
      <c r="BP511" s="66"/>
      <c r="BQ511" s="66" t="str">
        <f>PROPER(TEXT(Prog_23[[#This Row],[PROGRAMAÇÃO CLIENTE]],"mmm"))</f>
        <v>Set</v>
      </c>
      <c r="BR511" s="66">
        <f>YEAR(Prog_23[[#This Row],[PROGRAMAÇÃO CLIENTE]])</f>
        <v>2023</v>
      </c>
    </row>
    <row r="512" spans="1:70" x14ac:dyDescent="0.25">
      <c r="A512" s="201" t="str">
        <f>Prog_23[[#This Row],[CONTEINER]]</f>
        <v>ACLU9791072</v>
      </c>
      <c r="B512" s="86" t="s">
        <v>3295</v>
      </c>
      <c r="C5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12" s="85">
        <v>45167.625</v>
      </c>
      <c r="E512" s="66" t="s">
        <v>6176</v>
      </c>
      <c r="F512" s="66"/>
      <c r="G512" s="66"/>
      <c r="H512" s="44" t="s">
        <v>6180</v>
      </c>
      <c r="I512" s="44" t="s">
        <v>6196</v>
      </c>
      <c r="J512" s="66" t="s">
        <v>301</v>
      </c>
      <c r="K512" s="66">
        <v>3790</v>
      </c>
      <c r="L512" s="66" t="s">
        <v>6197</v>
      </c>
      <c r="M512" s="66">
        <v>28000</v>
      </c>
      <c r="N512" s="66">
        <f>SUM(Prog_23[[#This Row],[TARA]]+Prog_23[[#This Row],[PESO]])</f>
        <v>31790</v>
      </c>
      <c r="O512" s="44">
        <v>149930</v>
      </c>
      <c r="P512" s="66" t="s">
        <v>6188</v>
      </c>
      <c r="Q512" s="66" t="s">
        <v>6186</v>
      </c>
      <c r="R512" s="66" t="s">
        <v>6187</v>
      </c>
      <c r="S512" s="66" t="s">
        <v>6185</v>
      </c>
      <c r="T512" s="138" t="str">
        <f>IFERROR(LOOKUP($S512,MOTORISTAS!$D$3:$D$916,MOTORISTAS!E$3:$E$916),"")</f>
        <v>81495587991</v>
      </c>
      <c r="U512" s="138" t="str">
        <f>IFERROR(LOOKUP($S512,MOTORISTAS!$D$3:$D$916,MOTORISTAS!F$3:$F$916),"")</f>
        <v>02973242177</v>
      </c>
      <c r="V512" s="66" t="s">
        <v>639</v>
      </c>
      <c r="W512" s="66"/>
      <c r="X512" s="66"/>
      <c r="Y512" s="66"/>
      <c r="Z512" s="66" t="s">
        <v>1569</v>
      </c>
      <c r="AA512" s="66"/>
      <c r="AB512" s="66"/>
      <c r="AC512" s="79">
        <v>45166.708333333336</v>
      </c>
      <c r="AD512" s="79">
        <v>45170.75</v>
      </c>
      <c r="AE512" s="66" t="s">
        <v>6177</v>
      </c>
      <c r="AF512" s="44"/>
      <c r="AG512" s="254">
        <f>Prog_23[[#This Row],[SAÍDA DO CLIENTE]]-Prog_23[[#This Row],[PROGRAMAÇÃO CLIENTE]]</f>
        <v>-45167.625</v>
      </c>
      <c r="AH512" s="44"/>
      <c r="AI512" s="66"/>
      <c r="AJ512" s="66"/>
      <c r="AK512" s="66"/>
      <c r="AL512" s="66"/>
      <c r="AM512" s="66"/>
      <c r="AN512" s="83"/>
      <c r="AO512" s="83"/>
      <c r="AP512" s="83"/>
      <c r="AQ512" s="66"/>
      <c r="AR512" s="81">
        <v>180</v>
      </c>
      <c r="AS512" s="81">
        <v>120</v>
      </c>
      <c r="AT512" s="81"/>
      <c r="AU512" s="81"/>
      <c r="AV512" s="81"/>
      <c r="AW512" s="81"/>
      <c r="AX512" s="83">
        <f>SUM(Prog_23[[#This Row],[ADIANTAMENTO]]+Prog_23[[#This Row],[SALDO]]+Prog_23[[#This Row],[MARGEM]]+Prog_23[[#This Row],[ESTADIA 1]])</f>
        <v>0</v>
      </c>
      <c r="AY5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12" s="81"/>
      <c r="BA512" s="81"/>
      <c r="BB512" s="81">
        <f>Prog_23[[#This Row],[VLR NF]]*0.1%</f>
        <v>0</v>
      </c>
      <c r="BC512" s="81">
        <f>Prog_23[[#This Row],[VLR NF]]*0.05%</f>
        <v>0</v>
      </c>
      <c r="BD512" s="81"/>
      <c r="BE512" s="81"/>
      <c r="BF512" s="81"/>
      <c r="BG512" s="81"/>
      <c r="BH512" s="81"/>
      <c r="BI512" s="81"/>
      <c r="BJ512" s="81"/>
      <c r="BK512" s="81"/>
      <c r="BL512" s="81"/>
      <c r="BM512" s="81"/>
      <c r="BN512" s="66"/>
      <c r="BO512" s="66"/>
      <c r="BP512" s="66"/>
      <c r="BQ512" s="66" t="str">
        <f>PROPER(TEXT(Prog_23[[#This Row],[PROGRAMAÇÃO CLIENTE]],"mmm"))</f>
        <v>Ago</v>
      </c>
      <c r="BR512" s="66">
        <f>YEAR(Prog_23[[#This Row],[PROGRAMAÇÃO CLIENTE]])</f>
        <v>2023</v>
      </c>
    </row>
    <row r="513" spans="1:70" x14ac:dyDescent="0.25">
      <c r="A513" s="201" t="str">
        <f>Prog_23[[#This Row],[CONTEINER]]</f>
        <v>BMOU6048030</v>
      </c>
      <c r="B513" s="86" t="s">
        <v>2771</v>
      </c>
      <c r="C5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13" s="85"/>
      <c r="E513" s="66" t="s">
        <v>2281</v>
      </c>
      <c r="F513" s="66"/>
      <c r="G513" s="66"/>
      <c r="H513" s="44" t="s">
        <v>5933</v>
      </c>
      <c r="I513" s="44" t="s">
        <v>5935</v>
      </c>
      <c r="J513" s="66" t="s">
        <v>301</v>
      </c>
      <c r="K513" s="66">
        <v>3850</v>
      </c>
      <c r="L513" s="66" t="s">
        <v>5936</v>
      </c>
      <c r="M513" s="66">
        <v>25852</v>
      </c>
      <c r="N513" s="66">
        <f>SUM(Prog_23[[#This Row],[TARA]]+Prog_23[[#This Row],[PESO]])</f>
        <v>29702</v>
      </c>
      <c r="O513" s="44">
        <v>285</v>
      </c>
      <c r="P513" s="66" t="s">
        <v>5934</v>
      </c>
      <c r="Q513" s="66" t="s">
        <v>6202</v>
      </c>
      <c r="R513" s="66" t="s">
        <v>6203</v>
      </c>
      <c r="S513" s="66" t="s">
        <v>5937</v>
      </c>
      <c r="T513" s="138" t="str">
        <f>IFERROR(LOOKUP($S513,MOTORISTAS!$D$3:$D$916,MOTORISTAS!E$3:$E$916),"")</f>
        <v>09062253962</v>
      </c>
      <c r="U513" s="138" t="str">
        <f>IFERROR(LOOKUP($S513,MOTORISTAS!$D$3:$D$916,MOTORISTAS!F$3:$F$916),"")</f>
        <v>05135075223</v>
      </c>
      <c r="V513" s="66"/>
      <c r="W513" s="66"/>
      <c r="X513" s="66"/>
      <c r="Y513" s="66"/>
      <c r="Z513" s="66" t="s">
        <v>293</v>
      </c>
      <c r="AA513" s="66"/>
      <c r="AB513" s="66"/>
      <c r="AC513" s="66"/>
      <c r="AD513" s="79">
        <v>45156.5</v>
      </c>
      <c r="AE513" s="66"/>
      <c r="AF513" s="44"/>
      <c r="AG513" s="254">
        <f>Prog_23[[#This Row],[SAÍDA DO CLIENTE]]-Prog_23[[#This Row],[PROGRAMAÇÃO CLIENTE]]</f>
        <v>0</v>
      </c>
      <c r="AH513" s="44"/>
      <c r="AI513" s="66"/>
      <c r="AJ513" s="66"/>
      <c r="AK513" s="66"/>
      <c r="AL513" s="66"/>
      <c r="AM513" s="66"/>
      <c r="AN513" s="83">
        <v>1500</v>
      </c>
      <c r="AO513" s="83"/>
      <c r="AP513" s="83"/>
      <c r="AQ513" s="66"/>
      <c r="AR513" s="66"/>
      <c r="AS513" s="66"/>
      <c r="AT513" s="81"/>
      <c r="AU513" s="81"/>
      <c r="AV513" s="81"/>
      <c r="AW513" s="81"/>
      <c r="AX513" s="83">
        <f>SUM(Prog_23[[#This Row],[ADIANTAMENTO]]+Prog_23[[#This Row],[SALDO]]+Prog_23[[#This Row],[MARGEM]]+Prog_23[[#This Row],[ESTADIA 1]])</f>
        <v>0</v>
      </c>
      <c r="AY5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13" s="81"/>
      <c r="BA513" s="81"/>
      <c r="BB513" s="81">
        <f>Prog_23[[#This Row],[VLR NF]]*0.1%</f>
        <v>0</v>
      </c>
      <c r="BC513" s="81">
        <f>Prog_23[[#This Row],[VLR NF]]*0.05%</f>
        <v>0</v>
      </c>
      <c r="BD513" s="81"/>
      <c r="BE513" s="81"/>
      <c r="BF513" s="81"/>
      <c r="BG513" s="81"/>
      <c r="BH513" s="81"/>
      <c r="BI513" s="81"/>
      <c r="BJ513" s="81"/>
      <c r="BK513" s="81"/>
      <c r="BL513" s="81"/>
      <c r="BM513" s="81"/>
      <c r="BN513" s="66"/>
      <c r="BO513" s="66"/>
      <c r="BP513" s="66"/>
      <c r="BQ513" s="66" t="str">
        <f>PROPER(TEXT(Prog_23[[#This Row],[PROGRAMAÇÃO CLIENTE]],"mmm"))</f>
        <v>Jan</v>
      </c>
      <c r="BR513" s="66">
        <f>YEAR(Prog_23[[#This Row],[PROGRAMAÇÃO CLIENTE]])</f>
        <v>1900</v>
      </c>
    </row>
    <row r="514" spans="1:70" x14ac:dyDescent="0.25">
      <c r="A514" s="201" t="str">
        <f>Prog_23[[#This Row],[CONTEINER]]</f>
        <v>YMLU8825634</v>
      </c>
      <c r="B514" s="86" t="s">
        <v>2909</v>
      </c>
      <c r="C5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14" s="85"/>
      <c r="E514" s="66" t="s">
        <v>2281</v>
      </c>
      <c r="F514" s="66"/>
      <c r="G514" s="66"/>
      <c r="H514" s="44" t="s">
        <v>6198</v>
      </c>
      <c r="I514" s="44" t="s">
        <v>6199</v>
      </c>
      <c r="J514" s="66" t="s">
        <v>301</v>
      </c>
      <c r="K514" s="66">
        <v>4100</v>
      </c>
      <c r="L514" s="66" t="s">
        <v>6200</v>
      </c>
      <c r="M514" s="66">
        <v>25343</v>
      </c>
      <c r="N514" s="66">
        <f>SUM(Prog_23[[#This Row],[TARA]]+Prog_23[[#This Row],[PESO]])</f>
        <v>29443</v>
      </c>
      <c r="O514" s="44" t="s">
        <v>6201</v>
      </c>
      <c r="P514" s="66" t="s">
        <v>5934</v>
      </c>
      <c r="Q514" s="66" t="s">
        <v>6202</v>
      </c>
      <c r="R514" s="66" t="s">
        <v>6203</v>
      </c>
      <c r="S514" s="66" t="s">
        <v>5937</v>
      </c>
      <c r="T514" s="138" t="str">
        <f>IFERROR(LOOKUP($S514,MOTORISTAS!$D$3:$D$916,MOTORISTAS!E$3:$E$916),"")</f>
        <v>09062253962</v>
      </c>
      <c r="U514" s="138" t="str">
        <f>IFERROR(LOOKUP($S514,MOTORISTAS!$D$3:$D$916,MOTORISTAS!F$3:$F$916),"")</f>
        <v>05135075223</v>
      </c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44"/>
      <c r="AG514" s="254">
        <f>Prog_23[[#This Row],[SAÍDA DO CLIENTE]]-Prog_23[[#This Row],[PROGRAMAÇÃO CLIENTE]]</f>
        <v>0</v>
      </c>
      <c r="AH514" s="44"/>
      <c r="AI514" s="66"/>
      <c r="AJ514" s="66"/>
      <c r="AK514" s="66"/>
      <c r="AL514" s="66"/>
      <c r="AM514" s="66"/>
      <c r="AN514" s="83">
        <v>1500</v>
      </c>
      <c r="AO514" s="83"/>
      <c r="AP514" s="83"/>
      <c r="AQ514" s="66"/>
      <c r="AR514" s="66"/>
      <c r="AS514" s="66"/>
      <c r="AT514" s="81"/>
      <c r="AU514" s="81"/>
      <c r="AV514" s="81"/>
      <c r="AW514" s="81"/>
      <c r="AX514" s="83">
        <f>SUM(Prog_23[[#This Row],[ADIANTAMENTO]]+Prog_23[[#This Row],[SALDO]]+Prog_23[[#This Row],[MARGEM]]+Prog_23[[#This Row],[ESTADIA 1]])</f>
        <v>0</v>
      </c>
      <c r="AY5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14" s="81"/>
      <c r="BA514" s="81"/>
      <c r="BB514" s="81">
        <f>Prog_23[[#This Row],[VLR NF]]*0.1%</f>
        <v>0</v>
      </c>
      <c r="BC514" s="81">
        <f>Prog_23[[#This Row],[VLR NF]]*0.05%</f>
        <v>0</v>
      </c>
      <c r="BD514" s="81"/>
      <c r="BE514" s="81"/>
      <c r="BF514" s="81"/>
      <c r="BG514" s="81"/>
      <c r="BH514" s="81"/>
      <c r="BI514" s="81"/>
      <c r="BJ514" s="81"/>
      <c r="BK514" s="81"/>
      <c r="BL514" s="81"/>
      <c r="BM514" s="81"/>
      <c r="BN514" s="66"/>
      <c r="BO514" s="66"/>
      <c r="BP514" s="66"/>
      <c r="BQ514" s="66" t="str">
        <f>PROPER(TEXT(Prog_23[[#This Row],[PROGRAMAÇÃO CLIENTE]],"mmm"))</f>
        <v>Jan</v>
      </c>
      <c r="BR514" s="66">
        <f>YEAR(Prog_23[[#This Row],[PROGRAMAÇÃO CLIENTE]])</f>
        <v>1900</v>
      </c>
    </row>
    <row r="515" spans="1:70" x14ac:dyDescent="0.25">
      <c r="A515" s="200">
        <f>Prog_23[[#This Row],[CONTEINER]]</f>
        <v>0</v>
      </c>
      <c r="B515" s="86"/>
      <c r="C5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15" s="44"/>
      <c r="E515" s="66"/>
      <c r="F515" s="66"/>
      <c r="G515" s="66"/>
      <c r="H515" s="44"/>
      <c r="I515" s="44"/>
      <c r="J515" s="66"/>
      <c r="K515" s="66"/>
      <c r="L515" s="66"/>
      <c r="M515" s="66"/>
      <c r="N515" s="66">
        <f>SUM(Prog_23[[#This Row],[TARA]]+Prog_23[[#This Row],[PESO]])</f>
        <v>0</v>
      </c>
      <c r="O515" s="44"/>
      <c r="P515" s="66"/>
      <c r="Q515" s="66"/>
      <c r="R515" s="66"/>
      <c r="S515" s="66" t="s">
        <v>6362</v>
      </c>
      <c r="T515" s="138" t="str">
        <f>IFERROR(LOOKUP($S515,MOTORISTAS!$D$3:$D$916,MOTORISTAS!E$3:$E$916),"")</f>
        <v>6647874098</v>
      </c>
      <c r="U515" s="138" t="str">
        <f>IFERROR(LOOKUP($S515,MOTORISTAS!$D$3:$D$916,MOTORISTAS!F$3:$F$916),"")</f>
        <v>01539496511</v>
      </c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44"/>
      <c r="AG515" s="254">
        <f>Prog_23[[#This Row],[SAÍDA DO CLIENTE]]-Prog_23[[#This Row],[PROGRAMAÇÃO CLIENTE]]</f>
        <v>0</v>
      </c>
      <c r="AH515" s="44"/>
      <c r="AI515" s="66"/>
      <c r="AJ515" s="66"/>
      <c r="AK515" s="66"/>
      <c r="AL515" s="66"/>
      <c r="AM515" s="66"/>
      <c r="AN515" s="83"/>
      <c r="AO515" s="83"/>
      <c r="AP515" s="83"/>
      <c r="AQ515" s="66"/>
      <c r="AR515" s="66"/>
      <c r="AS515" s="66"/>
      <c r="AT515" s="81"/>
      <c r="AU515" s="81"/>
      <c r="AV515" s="81"/>
      <c r="AW515" s="81"/>
      <c r="AX515" s="83">
        <f>SUM(Prog_23[[#This Row],[ADIANTAMENTO]]+Prog_23[[#This Row],[SALDO]]+Prog_23[[#This Row],[MARGEM]]+Prog_23[[#This Row],[ESTADIA 1]])</f>
        <v>0</v>
      </c>
      <c r="AY5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15" s="81"/>
      <c r="BA515" s="81"/>
      <c r="BB515" s="81">
        <f>Prog_23[[#This Row],[VLR NF]]*0.1%</f>
        <v>0</v>
      </c>
      <c r="BC515" s="81">
        <f>Prog_23[[#This Row],[VLR NF]]*0.05%</f>
        <v>0</v>
      </c>
      <c r="BD515" s="81"/>
      <c r="BE515" s="81"/>
      <c r="BF515" s="81"/>
      <c r="BG515" s="81"/>
      <c r="BH515" s="81"/>
      <c r="BI515" s="81"/>
      <c r="BJ515" s="81"/>
      <c r="BK515" s="81"/>
      <c r="BL515" s="81"/>
      <c r="BM515" s="81"/>
      <c r="BN515" s="66"/>
      <c r="BO515" s="66"/>
      <c r="BP515" s="66"/>
      <c r="BQ515" s="66" t="str">
        <f>PROPER(TEXT(Prog_23[[#This Row],[PROGRAMAÇÃO CLIENTE]],"mmm"))</f>
        <v>Jan</v>
      </c>
      <c r="BR515" s="66">
        <f>YEAR(Prog_23[[#This Row],[PROGRAMAÇÃO CLIENTE]])</f>
        <v>1900</v>
      </c>
    </row>
    <row r="516" spans="1:70" x14ac:dyDescent="0.25">
      <c r="A516" s="201">
        <f>Prog_23[[#This Row],[CONTEINER]]</f>
        <v>0</v>
      </c>
      <c r="B516" s="86"/>
      <c r="C5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16" s="44"/>
      <c r="E516" s="66"/>
      <c r="F516" s="66"/>
      <c r="G516" s="66"/>
      <c r="H516" s="44"/>
      <c r="I516" s="44"/>
      <c r="J516" s="66"/>
      <c r="K516" s="66"/>
      <c r="L516" s="66"/>
      <c r="M516" s="66"/>
      <c r="N516" s="66">
        <f>SUM(Prog_23[[#This Row],[TARA]]+Prog_23[[#This Row],[PESO]])</f>
        <v>0</v>
      </c>
      <c r="O516" s="44"/>
      <c r="P516" s="66"/>
      <c r="Q516" s="66"/>
      <c r="R516" s="66"/>
      <c r="S516" s="66"/>
      <c r="T516" s="138" t="str">
        <f>IFERROR(LOOKUP($S516,MOTORISTAS!$D$3:$D$916,MOTORISTAS!E$3:$E$916),"")</f>
        <v/>
      </c>
      <c r="U516" s="138" t="str">
        <f>IFERROR(LOOKUP($S516,MOTORISTAS!$D$3:$D$916,MOTORISTAS!F$3:$F$916),"")</f>
        <v/>
      </c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44"/>
      <c r="AG516" s="254">
        <f>Prog_23[[#This Row],[SAÍDA DO CLIENTE]]-Prog_23[[#This Row],[PROGRAMAÇÃO CLIENTE]]</f>
        <v>0</v>
      </c>
      <c r="AH516" s="44"/>
      <c r="AI516" s="66"/>
      <c r="AJ516" s="66"/>
      <c r="AK516" s="66"/>
      <c r="AL516" s="66"/>
      <c r="AM516" s="66"/>
      <c r="AN516" s="83"/>
      <c r="AO516" s="83"/>
      <c r="AP516" s="83"/>
      <c r="AQ516" s="66"/>
      <c r="AR516" s="66"/>
      <c r="AS516" s="66"/>
      <c r="AT516" s="81"/>
      <c r="AU516" s="81"/>
      <c r="AV516" s="81"/>
      <c r="AW516" s="81"/>
      <c r="AX516" s="83">
        <f>SUM(Prog_23[[#This Row],[ADIANTAMENTO]]+Prog_23[[#This Row],[SALDO]]+Prog_23[[#This Row],[MARGEM]]+Prog_23[[#This Row],[ESTADIA 1]])</f>
        <v>0</v>
      </c>
      <c r="AY5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16" s="81"/>
      <c r="BA516" s="81"/>
      <c r="BB516" s="81">
        <f>Prog_23[[#This Row],[VLR NF]]*0.1%</f>
        <v>0</v>
      </c>
      <c r="BC516" s="81">
        <f>Prog_23[[#This Row],[VLR NF]]*0.05%</f>
        <v>0</v>
      </c>
      <c r="BD516" s="81"/>
      <c r="BE516" s="81"/>
      <c r="BF516" s="81"/>
      <c r="BG516" s="81"/>
      <c r="BH516" s="81"/>
      <c r="BI516" s="81"/>
      <c r="BJ516" s="81"/>
      <c r="BK516" s="81"/>
      <c r="BL516" s="81"/>
      <c r="BM516" s="81"/>
      <c r="BN516" s="66"/>
      <c r="BO516" s="66"/>
      <c r="BP516" s="66"/>
      <c r="BQ516" s="66" t="str">
        <f>PROPER(TEXT(Prog_23[[#This Row],[PROGRAMAÇÃO CLIENTE]],"mmm"))</f>
        <v>Jan</v>
      </c>
      <c r="BR516" s="66">
        <f>YEAR(Prog_23[[#This Row],[PROGRAMAÇÃO CLIENTE]])</f>
        <v>1900</v>
      </c>
    </row>
    <row r="517" spans="1:70" x14ac:dyDescent="0.25">
      <c r="A517" s="200">
        <f>Prog_23[[#This Row],[CONTEINER]]</f>
        <v>0</v>
      </c>
      <c r="B517" s="86"/>
      <c r="C5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17" s="44"/>
      <c r="E517" s="66"/>
      <c r="F517" s="66"/>
      <c r="G517" s="66"/>
      <c r="H517" s="44"/>
      <c r="I517" s="44"/>
      <c r="J517" s="66"/>
      <c r="K517" s="66"/>
      <c r="L517" s="66"/>
      <c r="M517" s="66"/>
      <c r="N517" s="66">
        <f>SUM(Prog_23[[#This Row],[TARA]]+Prog_23[[#This Row],[PESO]])</f>
        <v>0</v>
      </c>
      <c r="O517" s="44"/>
      <c r="P517" s="66"/>
      <c r="Q517" s="66"/>
      <c r="R517" s="66"/>
      <c r="S517" s="66"/>
      <c r="T517" s="138" t="str">
        <f>IFERROR(LOOKUP($S517,MOTORISTAS!$D$3:$D$916,MOTORISTAS!E$3:$E$916),"")</f>
        <v/>
      </c>
      <c r="U517" s="138" t="str">
        <f>IFERROR(LOOKUP($S517,MOTORISTAS!$D$3:$D$916,MOTORISTAS!F$3:$F$916),"")</f>
        <v/>
      </c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44"/>
      <c r="AG517" s="254">
        <f>Prog_23[[#This Row],[SAÍDA DO CLIENTE]]-Prog_23[[#This Row],[PROGRAMAÇÃO CLIENTE]]</f>
        <v>0</v>
      </c>
      <c r="AH517" s="44"/>
      <c r="AI517" s="66"/>
      <c r="AJ517" s="66"/>
      <c r="AK517" s="66"/>
      <c r="AL517" s="66"/>
      <c r="AM517" s="66"/>
      <c r="AN517" s="83"/>
      <c r="AO517" s="83"/>
      <c r="AP517" s="83"/>
      <c r="AQ517" s="66"/>
      <c r="AR517" s="66"/>
      <c r="AS517" s="66"/>
      <c r="AT517" s="81"/>
      <c r="AU517" s="81"/>
      <c r="AV517" s="81"/>
      <c r="AW517" s="81"/>
      <c r="AX517" s="83">
        <f>SUM(Prog_23[[#This Row],[ADIANTAMENTO]]+Prog_23[[#This Row],[SALDO]]+Prog_23[[#This Row],[MARGEM]]+Prog_23[[#This Row],[ESTADIA 1]])</f>
        <v>0</v>
      </c>
      <c r="AY5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17" s="81"/>
      <c r="BA517" s="81"/>
      <c r="BB517" s="81">
        <f>Prog_23[[#This Row],[VLR NF]]*0.1%</f>
        <v>0</v>
      </c>
      <c r="BC517" s="81">
        <f>Prog_23[[#This Row],[VLR NF]]*0.05%</f>
        <v>0</v>
      </c>
      <c r="BD517" s="81"/>
      <c r="BE517" s="81"/>
      <c r="BF517" s="81"/>
      <c r="BG517" s="81"/>
      <c r="BH517" s="81"/>
      <c r="BI517" s="81"/>
      <c r="BJ517" s="81"/>
      <c r="BK517" s="81"/>
      <c r="BL517" s="81"/>
      <c r="BM517" s="81"/>
      <c r="BN517" s="66"/>
      <c r="BO517" s="66"/>
      <c r="BP517" s="66"/>
      <c r="BQ517" s="66" t="str">
        <f>PROPER(TEXT(Prog_23[[#This Row],[PROGRAMAÇÃO CLIENTE]],"mmm"))</f>
        <v>Jan</v>
      </c>
      <c r="BR517" s="66">
        <f>YEAR(Prog_23[[#This Row],[PROGRAMAÇÃO CLIENTE]])</f>
        <v>1900</v>
      </c>
    </row>
    <row r="518" spans="1:70" x14ac:dyDescent="0.25">
      <c r="A518" s="201">
        <f>Prog_23[[#This Row],[CONTEINER]]</f>
        <v>0</v>
      </c>
      <c r="B518" s="86"/>
      <c r="C5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18" s="44"/>
      <c r="E518" s="66"/>
      <c r="F518" s="66"/>
      <c r="G518" s="66"/>
      <c r="H518" s="44"/>
      <c r="I518" s="44"/>
      <c r="J518" s="66"/>
      <c r="K518" s="66"/>
      <c r="L518" s="66"/>
      <c r="M518" s="66"/>
      <c r="N518" s="66">
        <f>SUM(Prog_23[[#This Row],[TARA]]+Prog_23[[#This Row],[PESO]])</f>
        <v>0</v>
      </c>
      <c r="O518" s="44"/>
      <c r="P518" s="66"/>
      <c r="Q518" s="66"/>
      <c r="R518" s="66"/>
      <c r="S518" s="66"/>
      <c r="T518" s="138" t="str">
        <f>IFERROR(LOOKUP($S518,MOTORISTAS!$D$3:$D$916,MOTORISTAS!E$3:$E$916),"")</f>
        <v/>
      </c>
      <c r="U518" s="138" t="str">
        <f>IFERROR(LOOKUP($S518,MOTORISTAS!$D$3:$D$916,MOTORISTAS!F$3:$F$916),"")</f>
        <v/>
      </c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44"/>
      <c r="AG518" s="254">
        <f>Prog_23[[#This Row],[SAÍDA DO CLIENTE]]-Prog_23[[#This Row],[PROGRAMAÇÃO CLIENTE]]</f>
        <v>0</v>
      </c>
      <c r="AH518" s="44"/>
      <c r="AI518" s="66"/>
      <c r="AJ518" s="66"/>
      <c r="AK518" s="66"/>
      <c r="AL518" s="66"/>
      <c r="AM518" s="66"/>
      <c r="AN518" s="83"/>
      <c r="AO518" s="83"/>
      <c r="AP518" s="83"/>
      <c r="AQ518" s="66"/>
      <c r="AR518" s="66"/>
      <c r="AS518" s="66"/>
      <c r="AT518" s="81"/>
      <c r="AU518" s="81"/>
      <c r="AV518" s="81"/>
      <c r="AW518" s="81"/>
      <c r="AX518" s="83">
        <f>SUM(Prog_23[[#This Row],[ADIANTAMENTO]]+Prog_23[[#This Row],[SALDO]]+Prog_23[[#This Row],[MARGEM]]+Prog_23[[#This Row],[ESTADIA 1]])</f>
        <v>0</v>
      </c>
      <c r="AY5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18" s="81"/>
      <c r="BA518" s="81"/>
      <c r="BB518" s="81">
        <f>Prog_23[[#This Row],[VLR NF]]*0.1%</f>
        <v>0</v>
      </c>
      <c r="BC518" s="81">
        <f>Prog_23[[#This Row],[VLR NF]]*0.05%</f>
        <v>0</v>
      </c>
      <c r="BD518" s="81"/>
      <c r="BE518" s="81"/>
      <c r="BF518" s="81"/>
      <c r="BG518" s="81"/>
      <c r="BH518" s="81"/>
      <c r="BI518" s="81"/>
      <c r="BJ518" s="81"/>
      <c r="BK518" s="81"/>
      <c r="BL518" s="81"/>
      <c r="BM518" s="81"/>
      <c r="BN518" s="66"/>
      <c r="BO518" s="66"/>
      <c r="BP518" s="66"/>
      <c r="BQ518" s="66" t="str">
        <f>PROPER(TEXT(Prog_23[[#This Row],[PROGRAMAÇÃO CLIENTE]],"mmm"))</f>
        <v>Jan</v>
      </c>
      <c r="BR518" s="66">
        <f>YEAR(Prog_23[[#This Row],[PROGRAMAÇÃO CLIENTE]])</f>
        <v>1900</v>
      </c>
    </row>
    <row r="519" spans="1:70" x14ac:dyDescent="0.25">
      <c r="A519" s="200">
        <f>Prog_23[[#This Row],[CONTEINER]]</f>
        <v>0</v>
      </c>
      <c r="B519" s="86"/>
      <c r="C5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19" s="44"/>
      <c r="E519" s="66"/>
      <c r="F519" s="66"/>
      <c r="G519" s="66"/>
      <c r="H519" s="44"/>
      <c r="I519" s="44"/>
      <c r="J519" s="66"/>
      <c r="K519" s="66"/>
      <c r="L519" s="66"/>
      <c r="M519" s="66"/>
      <c r="N519" s="66">
        <f>SUM(Prog_23[[#This Row],[TARA]]+Prog_23[[#This Row],[PESO]])</f>
        <v>0</v>
      </c>
      <c r="O519" s="44"/>
      <c r="P519" s="66"/>
      <c r="Q519" s="66"/>
      <c r="R519" s="66"/>
      <c r="S519" s="66"/>
      <c r="T519" s="138" t="str">
        <f>IFERROR(LOOKUP($S519,MOTORISTAS!$D$3:$D$916,MOTORISTAS!E$3:$E$916),"")</f>
        <v/>
      </c>
      <c r="U519" s="138" t="str">
        <f>IFERROR(LOOKUP($S519,MOTORISTAS!$D$3:$D$916,MOTORISTAS!F$3:$F$916),"")</f>
        <v/>
      </c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44"/>
      <c r="AG519" s="254">
        <f>Prog_23[[#This Row],[SAÍDA DO CLIENTE]]-Prog_23[[#This Row],[PROGRAMAÇÃO CLIENTE]]</f>
        <v>0</v>
      </c>
      <c r="AH519" s="44"/>
      <c r="AI519" s="66"/>
      <c r="AJ519" s="66"/>
      <c r="AK519" s="66"/>
      <c r="AL519" s="66"/>
      <c r="AM519" s="66"/>
      <c r="AN519" s="83"/>
      <c r="AO519" s="83"/>
      <c r="AP519" s="83"/>
      <c r="AQ519" s="66"/>
      <c r="AR519" s="66"/>
      <c r="AS519" s="66"/>
      <c r="AT519" s="81"/>
      <c r="AU519" s="81"/>
      <c r="AV519" s="81"/>
      <c r="AW519" s="81"/>
      <c r="AX519" s="83">
        <f>SUM(Prog_23[[#This Row],[ADIANTAMENTO]]+Prog_23[[#This Row],[SALDO]]+Prog_23[[#This Row],[MARGEM]]+Prog_23[[#This Row],[ESTADIA 1]])</f>
        <v>0</v>
      </c>
      <c r="AY5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19" s="81"/>
      <c r="BA519" s="81"/>
      <c r="BB519" s="81">
        <f>Prog_23[[#This Row],[VLR NF]]*0.1%</f>
        <v>0</v>
      </c>
      <c r="BC519" s="81">
        <f>Prog_23[[#This Row],[VLR NF]]*0.05%</f>
        <v>0</v>
      </c>
      <c r="BD519" s="81"/>
      <c r="BE519" s="81"/>
      <c r="BF519" s="81"/>
      <c r="BG519" s="81"/>
      <c r="BH519" s="81"/>
      <c r="BI519" s="81"/>
      <c r="BJ519" s="81"/>
      <c r="BK519" s="81"/>
      <c r="BL519" s="81"/>
      <c r="BM519" s="81"/>
      <c r="BN519" s="66"/>
      <c r="BO519" s="66"/>
      <c r="BP519" s="66"/>
      <c r="BQ519" s="66" t="str">
        <f>PROPER(TEXT(Prog_23[[#This Row],[PROGRAMAÇÃO CLIENTE]],"mmm"))</f>
        <v>Jan</v>
      </c>
      <c r="BR519" s="66">
        <f>YEAR(Prog_23[[#This Row],[PROGRAMAÇÃO CLIENTE]])</f>
        <v>1900</v>
      </c>
    </row>
    <row r="520" spans="1:70" x14ac:dyDescent="0.25">
      <c r="A520" s="201">
        <f>Prog_23[[#This Row],[CONTEINER]]</f>
        <v>0</v>
      </c>
      <c r="B520" s="86"/>
      <c r="C5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20" s="44"/>
      <c r="E520" s="66"/>
      <c r="F520" s="66"/>
      <c r="G520" s="66"/>
      <c r="H520" s="44"/>
      <c r="I520" s="44"/>
      <c r="J520" s="66"/>
      <c r="K520" s="66"/>
      <c r="L520" s="66"/>
      <c r="M520" s="66"/>
      <c r="N520" s="66">
        <f>SUM(Prog_23[[#This Row],[TARA]]+Prog_23[[#This Row],[PESO]])</f>
        <v>0</v>
      </c>
      <c r="O520" s="44"/>
      <c r="P520" s="66"/>
      <c r="Q520" s="66"/>
      <c r="R520" s="66"/>
      <c r="S520" s="66"/>
      <c r="T520" s="138" t="str">
        <f>IFERROR(LOOKUP($S520,MOTORISTAS!$D$3:$D$916,MOTORISTAS!E$3:$E$916),"")</f>
        <v/>
      </c>
      <c r="U520" s="138" t="str">
        <f>IFERROR(LOOKUP($S520,MOTORISTAS!$D$3:$D$916,MOTORISTAS!F$3:$F$916),"")</f>
        <v/>
      </c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44"/>
      <c r="AG520" s="254">
        <f>Prog_23[[#This Row],[SAÍDA DO CLIENTE]]-Prog_23[[#This Row],[PROGRAMAÇÃO CLIENTE]]</f>
        <v>0</v>
      </c>
      <c r="AH520" s="44"/>
      <c r="AI520" s="66"/>
      <c r="AJ520" s="66"/>
      <c r="AK520" s="66"/>
      <c r="AL520" s="66"/>
      <c r="AM520" s="66"/>
      <c r="AN520" s="83"/>
      <c r="AO520" s="83"/>
      <c r="AP520" s="83"/>
      <c r="AQ520" s="66"/>
      <c r="AR520" s="66"/>
      <c r="AS520" s="66"/>
      <c r="AT520" s="81"/>
      <c r="AU520" s="81"/>
      <c r="AV520" s="81"/>
      <c r="AW520" s="81"/>
      <c r="AX520" s="83">
        <f>SUM(Prog_23[[#This Row],[ADIANTAMENTO]]+Prog_23[[#This Row],[SALDO]]+Prog_23[[#This Row],[MARGEM]]+Prog_23[[#This Row],[ESTADIA 1]])</f>
        <v>0</v>
      </c>
      <c r="AY5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20" s="81"/>
      <c r="BA520" s="81"/>
      <c r="BB520" s="81">
        <f>Prog_23[[#This Row],[VLR NF]]*0.1%</f>
        <v>0</v>
      </c>
      <c r="BC520" s="81">
        <f>Prog_23[[#This Row],[VLR NF]]*0.05%</f>
        <v>0</v>
      </c>
      <c r="BD520" s="81"/>
      <c r="BE520" s="81"/>
      <c r="BF520" s="81"/>
      <c r="BG520" s="81"/>
      <c r="BH520" s="81"/>
      <c r="BI520" s="81"/>
      <c r="BJ520" s="81"/>
      <c r="BK520" s="81"/>
      <c r="BL520" s="81"/>
      <c r="BM520" s="81"/>
      <c r="BN520" s="66"/>
      <c r="BO520" s="66"/>
      <c r="BP520" s="66"/>
      <c r="BQ520" s="66" t="str">
        <f>PROPER(TEXT(Prog_23[[#This Row],[PROGRAMAÇÃO CLIENTE]],"mmm"))</f>
        <v>Jan</v>
      </c>
      <c r="BR520" s="66">
        <f>YEAR(Prog_23[[#This Row],[PROGRAMAÇÃO CLIENTE]])</f>
        <v>1900</v>
      </c>
    </row>
    <row r="521" spans="1:70" x14ac:dyDescent="0.25">
      <c r="A521" s="200">
        <f>Prog_23[[#This Row],[CONTEINER]]</f>
        <v>0</v>
      </c>
      <c r="B521" s="86"/>
      <c r="C5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21" s="44"/>
      <c r="E521" s="66"/>
      <c r="F521" s="66"/>
      <c r="G521" s="66"/>
      <c r="H521" s="44"/>
      <c r="I521" s="44"/>
      <c r="J521" s="66"/>
      <c r="K521" s="66"/>
      <c r="L521" s="66"/>
      <c r="M521" s="66"/>
      <c r="N521" s="66">
        <f>SUM(Prog_23[[#This Row],[TARA]]+Prog_23[[#This Row],[PESO]])</f>
        <v>0</v>
      </c>
      <c r="O521" s="44"/>
      <c r="P521" s="66"/>
      <c r="Q521" s="66"/>
      <c r="R521" s="66"/>
      <c r="S521" s="66"/>
      <c r="T521" s="138" t="str">
        <f>IFERROR(LOOKUP($S521,MOTORISTAS!$D$3:$D$916,MOTORISTAS!E$3:$E$916),"")</f>
        <v/>
      </c>
      <c r="U521" s="138" t="str">
        <f>IFERROR(LOOKUP($S521,MOTORISTAS!$D$3:$D$916,MOTORISTAS!F$3:$F$916),"")</f>
        <v/>
      </c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44"/>
      <c r="AG521" s="254">
        <f>Prog_23[[#This Row],[SAÍDA DO CLIENTE]]-Prog_23[[#This Row],[PROGRAMAÇÃO CLIENTE]]</f>
        <v>0</v>
      </c>
      <c r="AH521" s="44"/>
      <c r="AI521" s="66"/>
      <c r="AJ521" s="66"/>
      <c r="AK521" s="66"/>
      <c r="AL521" s="66"/>
      <c r="AM521" s="66"/>
      <c r="AN521" s="83"/>
      <c r="AO521" s="83"/>
      <c r="AP521" s="83"/>
      <c r="AQ521" s="66"/>
      <c r="AR521" s="66"/>
      <c r="AS521" s="66"/>
      <c r="AT521" s="81"/>
      <c r="AU521" s="81"/>
      <c r="AV521" s="81"/>
      <c r="AW521" s="81"/>
      <c r="AX521" s="83">
        <f>SUM(Prog_23[[#This Row],[ADIANTAMENTO]]+Prog_23[[#This Row],[SALDO]]+Prog_23[[#This Row],[MARGEM]]+Prog_23[[#This Row],[ESTADIA 1]])</f>
        <v>0</v>
      </c>
      <c r="AY5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21" s="81"/>
      <c r="BA521" s="81"/>
      <c r="BB521" s="81">
        <f>Prog_23[[#This Row],[VLR NF]]*0.1%</f>
        <v>0</v>
      </c>
      <c r="BC521" s="81">
        <f>Prog_23[[#This Row],[VLR NF]]*0.05%</f>
        <v>0</v>
      </c>
      <c r="BD521" s="81"/>
      <c r="BE521" s="81"/>
      <c r="BF521" s="81"/>
      <c r="BG521" s="81"/>
      <c r="BH521" s="81"/>
      <c r="BI521" s="81"/>
      <c r="BJ521" s="81"/>
      <c r="BK521" s="81"/>
      <c r="BL521" s="81"/>
      <c r="BM521" s="81"/>
      <c r="BN521" s="66"/>
      <c r="BO521" s="66"/>
      <c r="BP521" s="66"/>
      <c r="BQ521" s="66" t="str">
        <f>PROPER(TEXT(Prog_23[[#This Row],[PROGRAMAÇÃO CLIENTE]],"mmm"))</f>
        <v>Jan</v>
      </c>
      <c r="BR521" s="66">
        <f>YEAR(Prog_23[[#This Row],[PROGRAMAÇÃO CLIENTE]])</f>
        <v>1900</v>
      </c>
    </row>
    <row r="522" spans="1:70" x14ac:dyDescent="0.25">
      <c r="A522" s="201">
        <f>Prog_23[[#This Row],[CONTEINER]]</f>
        <v>0</v>
      </c>
      <c r="B522" s="86"/>
      <c r="C5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22" s="44"/>
      <c r="E522" s="66"/>
      <c r="F522" s="66"/>
      <c r="G522" s="66"/>
      <c r="H522" s="44"/>
      <c r="I522" s="44"/>
      <c r="J522" s="66"/>
      <c r="K522" s="66"/>
      <c r="L522" s="66"/>
      <c r="M522" s="66"/>
      <c r="N522" s="66">
        <f>SUM(Prog_23[[#This Row],[TARA]]+Prog_23[[#This Row],[PESO]])</f>
        <v>0</v>
      </c>
      <c r="O522" s="44"/>
      <c r="P522" s="66"/>
      <c r="Q522" s="66"/>
      <c r="R522" s="66"/>
      <c r="S522" s="66"/>
      <c r="T522" s="138" t="str">
        <f>IFERROR(LOOKUP($S522,MOTORISTAS!$D$3:$D$916,MOTORISTAS!E$3:$E$916),"")</f>
        <v/>
      </c>
      <c r="U522" s="138" t="str">
        <f>IFERROR(LOOKUP($S522,MOTORISTAS!$D$3:$D$916,MOTORISTAS!F$3:$F$916),"")</f>
        <v/>
      </c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44"/>
      <c r="AG522" s="254">
        <f>Prog_23[[#This Row],[SAÍDA DO CLIENTE]]-Prog_23[[#This Row],[PROGRAMAÇÃO CLIENTE]]</f>
        <v>0</v>
      </c>
      <c r="AH522" s="44"/>
      <c r="AI522" s="66"/>
      <c r="AJ522" s="66"/>
      <c r="AK522" s="66"/>
      <c r="AL522" s="66"/>
      <c r="AM522" s="66"/>
      <c r="AN522" s="83"/>
      <c r="AO522" s="83"/>
      <c r="AP522" s="83"/>
      <c r="AQ522" s="66"/>
      <c r="AR522" s="66"/>
      <c r="AS522" s="66"/>
      <c r="AT522" s="81"/>
      <c r="AU522" s="81"/>
      <c r="AV522" s="81"/>
      <c r="AW522" s="81"/>
      <c r="AX522" s="83">
        <f>SUM(Prog_23[[#This Row],[ADIANTAMENTO]]+Prog_23[[#This Row],[SALDO]]+Prog_23[[#This Row],[MARGEM]]+Prog_23[[#This Row],[ESTADIA 1]])</f>
        <v>0</v>
      </c>
      <c r="AY5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22" s="81"/>
      <c r="BA522" s="81"/>
      <c r="BB522" s="81">
        <f>Prog_23[[#This Row],[VLR NF]]*0.1%</f>
        <v>0</v>
      </c>
      <c r="BC522" s="81">
        <f>Prog_23[[#This Row],[VLR NF]]*0.05%</f>
        <v>0</v>
      </c>
      <c r="BD522" s="81"/>
      <c r="BE522" s="81"/>
      <c r="BF522" s="81"/>
      <c r="BG522" s="81"/>
      <c r="BH522" s="81"/>
      <c r="BI522" s="81"/>
      <c r="BJ522" s="81"/>
      <c r="BK522" s="81"/>
      <c r="BL522" s="81"/>
      <c r="BM522" s="81"/>
      <c r="BN522" s="66"/>
      <c r="BO522" s="66"/>
      <c r="BP522" s="66"/>
      <c r="BQ522" s="66" t="str">
        <f>PROPER(TEXT(Prog_23[[#This Row],[PROGRAMAÇÃO CLIENTE]],"mmm"))</f>
        <v>Jan</v>
      </c>
      <c r="BR522" s="66">
        <f>YEAR(Prog_23[[#This Row],[PROGRAMAÇÃO CLIENTE]])</f>
        <v>1900</v>
      </c>
    </row>
    <row r="523" spans="1:70" x14ac:dyDescent="0.25">
      <c r="A523" s="200">
        <f>Prog_23[[#This Row],[CONTEINER]]</f>
        <v>0</v>
      </c>
      <c r="B523" s="86"/>
      <c r="C5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23" s="44"/>
      <c r="E523" s="66"/>
      <c r="F523" s="66"/>
      <c r="G523" s="66"/>
      <c r="H523" s="44"/>
      <c r="I523" s="44"/>
      <c r="J523" s="66"/>
      <c r="K523" s="66"/>
      <c r="L523" s="66"/>
      <c r="M523" s="66"/>
      <c r="N523" s="66">
        <f>SUM(Prog_23[[#This Row],[TARA]]+Prog_23[[#This Row],[PESO]])</f>
        <v>0</v>
      </c>
      <c r="O523" s="44"/>
      <c r="P523" s="66"/>
      <c r="Q523" s="66"/>
      <c r="R523" s="66"/>
      <c r="S523" s="66"/>
      <c r="T523" s="138" t="str">
        <f>IFERROR(LOOKUP($S523,MOTORISTAS!$D$3:$D$916,MOTORISTAS!E$3:$E$916),"")</f>
        <v/>
      </c>
      <c r="U523" s="138" t="str">
        <f>IFERROR(LOOKUP($S523,MOTORISTAS!$D$3:$D$916,MOTORISTAS!F$3:$F$916),"")</f>
        <v/>
      </c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44"/>
      <c r="AG523" s="254">
        <f>Prog_23[[#This Row],[SAÍDA DO CLIENTE]]-Prog_23[[#This Row],[PROGRAMAÇÃO CLIENTE]]</f>
        <v>0</v>
      </c>
      <c r="AH523" s="44"/>
      <c r="AI523" s="66"/>
      <c r="AJ523" s="66"/>
      <c r="AK523" s="66"/>
      <c r="AL523" s="66"/>
      <c r="AM523" s="66"/>
      <c r="AN523" s="83"/>
      <c r="AO523" s="83"/>
      <c r="AP523" s="83"/>
      <c r="AQ523" s="66"/>
      <c r="AR523" s="66"/>
      <c r="AS523" s="66"/>
      <c r="AT523" s="81"/>
      <c r="AU523" s="81"/>
      <c r="AV523" s="81"/>
      <c r="AW523" s="81"/>
      <c r="AX523" s="83">
        <f>SUM(Prog_23[[#This Row],[ADIANTAMENTO]]+Prog_23[[#This Row],[SALDO]]+Prog_23[[#This Row],[MARGEM]]+Prog_23[[#This Row],[ESTADIA 1]])</f>
        <v>0</v>
      </c>
      <c r="AY5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23" s="81"/>
      <c r="BA523" s="81"/>
      <c r="BB523" s="81">
        <f>Prog_23[[#This Row],[VLR NF]]*0.1%</f>
        <v>0</v>
      </c>
      <c r="BC523" s="81">
        <f>Prog_23[[#This Row],[VLR NF]]*0.05%</f>
        <v>0</v>
      </c>
      <c r="BD523" s="81"/>
      <c r="BE523" s="81"/>
      <c r="BF523" s="81"/>
      <c r="BG523" s="81"/>
      <c r="BH523" s="81"/>
      <c r="BI523" s="81"/>
      <c r="BJ523" s="81"/>
      <c r="BK523" s="81"/>
      <c r="BL523" s="81"/>
      <c r="BM523" s="81"/>
      <c r="BN523" s="66"/>
      <c r="BO523" s="66"/>
      <c r="BP523" s="66"/>
      <c r="BQ523" s="66" t="str">
        <f>PROPER(TEXT(Prog_23[[#This Row],[PROGRAMAÇÃO CLIENTE]],"mmm"))</f>
        <v>Jan</v>
      </c>
      <c r="BR523" s="66">
        <f>YEAR(Prog_23[[#This Row],[PROGRAMAÇÃO CLIENTE]])</f>
        <v>1900</v>
      </c>
    </row>
    <row r="524" spans="1:70" x14ac:dyDescent="0.25">
      <c r="A524" s="201">
        <f>Prog_23[[#This Row],[CONTEINER]]</f>
        <v>0</v>
      </c>
      <c r="B524" s="86"/>
      <c r="C5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24" s="44"/>
      <c r="E524" s="66"/>
      <c r="F524" s="66"/>
      <c r="G524" s="66"/>
      <c r="H524" s="44"/>
      <c r="I524" s="44"/>
      <c r="J524" s="66"/>
      <c r="K524" s="66"/>
      <c r="L524" s="66"/>
      <c r="M524" s="66"/>
      <c r="N524" s="66">
        <f>SUM(Prog_23[[#This Row],[TARA]]+Prog_23[[#This Row],[PESO]])</f>
        <v>0</v>
      </c>
      <c r="O524" s="44"/>
      <c r="P524" s="66"/>
      <c r="Q524" s="66"/>
      <c r="R524" s="66"/>
      <c r="S524" s="66"/>
      <c r="T524" s="138" t="str">
        <f>IFERROR(LOOKUP($S524,MOTORISTAS!$D$3:$D$916,MOTORISTAS!E$3:$E$916),"")</f>
        <v/>
      </c>
      <c r="U524" s="138" t="str">
        <f>IFERROR(LOOKUP($S524,MOTORISTAS!$D$3:$D$916,MOTORISTAS!F$3:$F$916),"")</f>
        <v/>
      </c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44"/>
      <c r="AG524" s="254">
        <f>Prog_23[[#This Row],[SAÍDA DO CLIENTE]]-Prog_23[[#This Row],[PROGRAMAÇÃO CLIENTE]]</f>
        <v>0</v>
      </c>
      <c r="AH524" s="44"/>
      <c r="AI524" s="66"/>
      <c r="AJ524" s="66"/>
      <c r="AK524" s="66"/>
      <c r="AL524" s="66"/>
      <c r="AM524" s="66"/>
      <c r="AN524" s="83"/>
      <c r="AO524" s="83"/>
      <c r="AP524" s="83"/>
      <c r="AQ524" s="66"/>
      <c r="AR524" s="66"/>
      <c r="AS524" s="66"/>
      <c r="AT524" s="81"/>
      <c r="AU524" s="81"/>
      <c r="AV524" s="81"/>
      <c r="AW524" s="81"/>
      <c r="AX524" s="83">
        <f>SUM(Prog_23[[#This Row],[ADIANTAMENTO]]+Prog_23[[#This Row],[SALDO]]+Prog_23[[#This Row],[MARGEM]]+Prog_23[[#This Row],[ESTADIA 1]])</f>
        <v>0</v>
      </c>
      <c r="AY5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24" s="81"/>
      <c r="BA524" s="81"/>
      <c r="BB524" s="81">
        <f>Prog_23[[#This Row],[VLR NF]]*0.1%</f>
        <v>0</v>
      </c>
      <c r="BC524" s="81">
        <f>Prog_23[[#This Row],[VLR NF]]*0.05%</f>
        <v>0</v>
      </c>
      <c r="BD524" s="81"/>
      <c r="BE524" s="81"/>
      <c r="BF524" s="81"/>
      <c r="BG524" s="81"/>
      <c r="BH524" s="81"/>
      <c r="BI524" s="81"/>
      <c r="BJ524" s="81"/>
      <c r="BK524" s="81"/>
      <c r="BL524" s="81"/>
      <c r="BM524" s="81"/>
      <c r="BN524" s="66"/>
      <c r="BO524" s="66"/>
      <c r="BP524" s="66"/>
      <c r="BQ524" s="66" t="str">
        <f>PROPER(TEXT(Prog_23[[#This Row],[PROGRAMAÇÃO CLIENTE]],"mmm"))</f>
        <v>Jan</v>
      </c>
      <c r="BR524" s="66">
        <f>YEAR(Prog_23[[#This Row],[PROGRAMAÇÃO CLIENTE]])</f>
        <v>1900</v>
      </c>
    </row>
    <row r="525" spans="1:70" x14ac:dyDescent="0.25">
      <c r="A525" s="200">
        <f>Prog_23[[#This Row],[CONTEINER]]</f>
        <v>0</v>
      </c>
      <c r="B525" s="86"/>
      <c r="C5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25" s="44"/>
      <c r="E525" s="66"/>
      <c r="F525" s="66"/>
      <c r="G525" s="66"/>
      <c r="H525" s="44"/>
      <c r="I525" s="44"/>
      <c r="J525" s="66"/>
      <c r="K525" s="66"/>
      <c r="L525" s="66"/>
      <c r="M525" s="66"/>
      <c r="N525" s="66">
        <f>SUM(Prog_23[[#This Row],[TARA]]+Prog_23[[#This Row],[PESO]])</f>
        <v>0</v>
      </c>
      <c r="O525" s="44"/>
      <c r="P525" s="66"/>
      <c r="Q525" s="66"/>
      <c r="R525" s="66"/>
      <c r="S525" s="66"/>
      <c r="T525" s="138" t="str">
        <f>IFERROR(LOOKUP($S525,MOTORISTAS!$D$3:$D$916,MOTORISTAS!E$3:$E$916),"")</f>
        <v/>
      </c>
      <c r="U525" s="138" t="str">
        <f>IFERROR(LOOKUP($S525,MOTORISTAS!$D$3:$D$916,MOTORISTAS!F$3:$F$916),"")</f>
        <v/>
      </c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44"/>
      <c r="AG525" s="254">
        <f>Prog_23[[#This Row],[SAÍDA DO CLIENTE]]-Prog_23[[#This Row],[PROGRAMAÇÃO CLIENTE]]</f>
        <v>0</v>
      </c>
      <c r="AH525" s="44"/>
      <c r="AI525" s="66"/>
      <c r="AJ525" s="66"/>
      <c r="AK525" s="66"/>
      <c r="AL525" s="66"/>
      <c r="AM525" s="66"/>
      <c r="AN525" s="83"/>
      <c r="AO525" s="83"/>
      <c r="AP525" s="83"/>
      <c r="AQ525" s="66"/>
      <c r="AR525" s="66"/>
      <c r="AS525" s="66"/>
      <c r="AT525" s="81"/>
      <c r="AU525" s="81"/>
      <c r="AV525" s="81"/>
      <c r="AW525" s="81"/>
      <c r="AX525" s="83">
        <f>SUM(Prog_23[[#This Row],[ADIANTAMENTO]]+Prog_23[[#This Row],[SALDO]]+Prog_23[[#This Row],[MARGEM]]+Prog_23[[#This Row],[ESTADIA 1]])</f>
        <v>0</v>
      </c>
      <c r="AY5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25" s="81"/>
      <c r="BA525" s="81"/>
      <c r="BB525" s="81">
        <f>Prog_23[[#This Row],[VLR NF]]*0.1%</f>
        <v>0</v>
      </c>
      <c r="BC525" s="81">
        <f>Prog_23[[#This Row],[VLR NF]]*0.05%</f>
        <v>0</v>
      </c>
      <c r="BD525" s="81"/>
      <c r="BE525" s="81"/>
      <c r="BF525" s="81"/>
      <c r="BG525" s="81"/>
      <c r="BH525" s="81"/>
      <c r="BI525" s="81"/>
      <c r="BJ525" s="81"/>
      <c r="BK525" s="81"/>
      <c r="BL525" s="81"/>
      <c r="BM525" s="81"/>
      <c r="BN525" s="66"/>
      <c r="BO525" s="66"/>
      <c r="BP525" s="66"/>
      <c r="BQ525" s="66" t="str">
        <f>PROPER(TEXT(Prog_23[[#This Row],[PROGRAMAÇÃO CLIENTE]],"mmm"))</f>
        <v>Jan</v>
      </c>
      <c r="BR525" s="66">
        <f>YEAR(Prog_23[[#This Row],[PROGRAMAÇÃO CLIENTE]])</f>
        <v>1900</v>
      </c>
    </row>
    <row r="526" spans="1:70" x14ac:dyDescent="0.25">
      <c r="A526" s="201">
        <f>Prog_23[[#This Row],[CONTEINER]]</f>
        <v>0</v>
      </c>
      <c r="B526" s="86"/>
      <c r="C5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26" s="44"/>
      <c r="E526" s="66"/>
      <c r="F526" s="66"/>
      <c r="G526" s="66"/>
      <c r="H526" s="44"/>
      <c r="I526" s="44"/>
      <c r="J526" s="66"/>
      <c r="K526" s="66"/>
      <c r="L526" s="66"/>
      <c r="M526" s="66"/>
      <c r="N526" s="66">
        <f>SUM(Prog_23[[#This Row],[TARA]]+Prog_23[[#This Row],[PESO]])</f>
        <v>0</v>
      </c>
      <c r="O526" s="44"/>
      <c r="P526" s="66"/>
      <c r="Q526" s="66"/>
      <c r="R526" s="66"/>
      <c r="S526" s="66"/>
      <c r="T526" s="138" t="str">
        <f>IFERROR(LOOKUP($S526,MOTORISTAS!$D$3:$D$916,MOTORISTAS!E$3:$E$916),"")</f>
        <v/>
      </c>
      <c r="U526" s="138" t="str">
        <f>IFERROR(LOOKUP($S526,MOTORISTAS!$D$3:$D$916,MOTORISTAS!F$3:$F$916),"")</f>
        <v/>
      </c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44"/>
      <c r="AG526" s="254">
        <f>Prog_23[[#This Row],[SAÍDA DO CLIENTE]]-Prog_23[[#This Row],[PROGRAMAÇÃO CLIENTE]]</f>
        <v>0</v>
      </c>
      <c r="AH526" s="44"/>
      <c r="AI526" s="66"/>
      <c r="AJ526" s="66"/>
      <c r="AK526" s="66"/>
      <c r="AL526" s="66"/>
      <c r="AM526" s="66"/>
      <c r="AN526" s="83"/>
      <c r="AO526" s="83"/>
      <c r="AP526" s="83"/>
      <c r="AQ526" s="66"/>
      <c r="AR526" s="66"/>
      <c r="AS526" s="66"/>
      <c r="AT526" s="81"/>
      <c r="AU526" s="81"/>
      <c r="AV526" s="81"/>
      <c r="AW526" s="81"/>
      <c r="AX526" s="83">
        <f>SUM(Prog_23[[#This Row],[ADIANTAMENTO]]+Prog_23[[#This Row],[SALDO]]+Prog_23[[#This Row],[MARGEM]]+Prog_23[[#This Row],[ESTADIA 1]])</f>
        <v>0</v>
      </c>
      <c r="AY5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26" s="81"/>
      <c r="BA526" s="81"/>
      <c r="BB526" s="81">
        <f>Prog_23[[#This Row],[VLR NF]]*0.1%</f>
        <v>0</v>
      </c>
      <c r="BC526" s="81">
        <f>Prog_23[[#This Row],[VLR NF]]*0.05%</f>
        <v>0</v>
      </c>
      <c r="BD526" s="81"/>
      <c r="BE526" s="81"/>
      <c r="BF526" s="81"/>
      <c r="BG526" s="81"/>
      <c r="BH526" s="81"/>
      <c r="BI526" s="81"/>
      <c r="BJ526" s="81"/>
      <c r="BK526" s="81"/>
      <c r="BL526" s="81"/>
      <c r="BM526" s="81"/>
      <c r="BN526" s="66"/>
      <c r="BO526" s="66"/>
      <c r="BP526" s="66"/>
      <c r="BQ526" s="66" t="str">
        <f>PROPER(TEXT(Prog_23[[#This Row],[PROGRAMAÇÃO CLIENTE]],"mmm"))</f>
        <v>Jan</v>
      </c>
      <c r="BR526" s="66">
        <f>YEAR(Prog_23[[#This Row],[PROGRAMAÇÃO CLIENTE]])</f>
        <v>1900</v>
      </c>
    </row>
    <row r="527" spans="1:70" x14ac:dyDescent="0.25">
      <c r="A527" s="200">
        <f>Prog_23[[#This Row],[CONTEINER]]</f>
        <v>0</v>
      </c>
      <c r="B527" s="86"/>
      <c r="C5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27" s="44"/>
      <c r="E527" s="66"/>
      <c r="F527" s="66"/>
      <c r="G527" s="66"/>
      <c r="H527" s="44"/>
      <c r="I527" s="44"/>
      <c r="J527" s="66"/>
      <c r="K527" s="66"/>
      <c r="L527" s="66"/>
      <c r="M527" s="66"/>
      <c r="N527" s="66">
        <f>SUM(Prog_23[[#This Row],[TARA]]+Prog_23[[#This Row],[PESO]])</f>
        <v>0</v>
      </c>
      <c r="O527" s="44"/>
      <c r="P527" s="66"/>
      <c r="Q527" s="66"/>
      <c r="R527" s="66"/>
      <c r="S527" s="66"/>
      <c r="T527" s="138" t="str">
        <f>IFERROR(LOOKUP($S527,MOTORISTAS!$D$3:$D$916,MOTORISTAS!E$3:$E$916),"")</f>
        <v/>
      </c>
      <c r="U527" s="138" t="str">
        <f>IFERROR(LOOKUP($S527,MOTORISTAS!$D$3:$D$916,MOTORISTAS!F$3:$F$916),"")</f>
        <v/>
      </c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44"/>
      <c r="AG527" s="254">
        <f>Prog_23[[#This Row],[SAÍDA DO CLIENTE]]-Prog_23[[#This Row],[PROGRAMAÇÃO CLIENTE]]</f>
        <v>0</v>
      </c>
      <c r="AH527" s="44"/>
      <c r="AI527" s="66"/>
      <c r="AJ527" s="66"/>
      <c r="AK527" s="66"/>
      <c r="AL527" s="66"/>
      <c r="AM527" s="66"/>
      <c r="AN527" s="83"/>
      <c r="AO527" s="83"/>
      <c r="AP527" s="83"/>
      <c r="AQ527" s="66"/>
      <c r="AR527" s="66"/>
      <c r="AS527" s="66"/>
      <c r="AT527" s="81"/>
      <c r="AU527" s="81"/>
      <c r="AV527" s="81"/>
      <c r="AW527" s="81"/>
      <c r="AX527" s="83">
        <f>SUM(Prog_23[[#This Row],[ADIANTAMENTO]]+Prog_23[[#This Row],[SALDO]]+Prog_23[[#This Row],[MARGEM]]+Prog_23[[#This Row],[ESTADIA 1]])</f>
        <v>0</v>
      </c>
      <c r="AY5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27" s="81"/>
      <c r="BA527" s="81"/>
      <c r="BB527" s="81">
        <f>Prog_23[[#This Row],[VLR NF]]*0.1%</f>
        <v>0</v>
      </c>
      <c r="BC527" s="81">
        <f>Prog_23[[#This Row],[VLR NF]]*0.05%</f>
        <v>0</v>
      </c>
      <c r="BD527" s="81"/>
      <c r="BE527" s="81"/>
      <c r="BF527" s="81"/>
      <c r="BG527" s="81"/>
      <c r="BH527" s="81"/>
      <c r="BI527" s="81"/>
      <c r="BJ527" s="81"/>
      <c r="BK527" s="81"/>
      <c r="BL527" s="81"/>
      <c r="BM527" s="81"/>
      <c r="BN527" s="66"/>
      <c r="BO527" s="66"/>
      <c r="BP527" s="66"/>
      <c r="BQ527" s="66" t="str">
        <f>PROPER(TEXT(Prog_23[[#This Row],[PROGRAMAÇÃO CLIENTE]],"mmm"))</f>
        <v>Jan</v>
      </c>
      <c r="BR527" s="66">
        <f>YEAR(Prog_23[[#This Row],[PROGRAMAÇÃO CLIENTE]])</f>
        <v>1900</v>
      </c>
    </row>
    <row r="528" spans="1:70" x14ac:dyDescent="0.25">
      <c r="A528" s="201">
        <f>Prog_23[[#This Row],[CONTEINER]]</f>
        <v>0</v>
      </c>
      <c r="B528" s="86"/>
      <c r="C5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28" s="44"/>
      <c r="E528" s="66"/>
      <c r="F528" s="66"/>
      <c r="G528" s="66"/>
      <c r="H528" s="44"/>
      <c r="I528" s="44"/>
      <c r="J528" s="66"/>
      <c r="K528" s="66"/>
      <c r="L528" s="66"/>
      <c r="M528" s="66"/>
      <c r="N528" s="66">
        <f>SUM(Prog_23[[#This Row],[TARA]]+Prog_23[[#This Row],[PESO]])</f>
        <v>0</v>
      </c>
      <c r="O528" s="44"/>
      <c r="P528" s="66"/>
      <c r="Q528" s="66"/>
      <c r="R528" s="66"/>
      <c r="S528" s="66"/>
      <c r="T528" s="138" t="str">
        <f>IFERROR(LOOKUP($S528,MOTORISTAS!$D$3:$D$916,MOTORISTAS!E$3:$E$916),"")</f>
        <v/>
      </c>
      <c r="U528" s="138" t="str">
        <f>IFERROR(LOOKUP($S528,MOTORISTAS!$D$3:$D$916,MOTORISTAS!F$3:$F$916),"")</f>
        <v/>
      </c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44"/>
      <c r="AG528" s="254">
        <f>Prog_23[[#This Row],[SAÍDA DO CLIENTE]]-Prog_23[[#This Row],[PROGRAMAÇÃO CLIENTE]]</f>
        <v>0</v>
      </c>
      <c r="AH528" s="44"/>
      <c r="AI528" s="66"/>
      <c r="AJ528" s="66"/>
      <c r="AK528" s="66"/>
      <c r="AL528" s="66"/>
      <c r="AM528" s="66"/>
      <c r="AN528" s="83"/>
      <c r="AO528" s="83"/>
      <c r="AP528" s="83"/>
      <c r="AQ528" s="66"/>
      <c r="AR528" s="66"/>
      <c r="AS528" s="66"/>
      <c r="AT528" s="81"/>
      <c r="AU528" s="81"/>
      <c r="AV528" s="81"/>
      <c r="AW528" s="81"/>
      <c r="AX528" s="83">
        <f>SUM(Prog_23[[#This Row],[ADIANTAMENTO]]+Prog_23[[#This Row],[SALDO]]+Prog_23[[#This Row],[MARGEM]]+Prog_23[[#This Row],[ESTADIA 1]])</f>
        <v>0</v>
      </c>
      <c r="AY5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28" s="81"/>
      <c r="BA528" s="81"/>
      <c r="BB528" s="81">
        <f>Prog_23[[#This Row],[VLR NF]]*0.1%</f>
        <v>0</v>
      </c>
      <c r="BC528" s="81">
        <f>Prog_23[[#This Row],[VLR NF]]*0.05%</f>
        <v>0</v>
      </c>
      <c r="BD528" s="81"/>
      <c r="BE528" s="81"/>
      <c r="BF528" s="81"/>
      <c r="BG528" s="81"/>
      <c r="BH528" s="81"/>
      <c r="BI528" s="81"/>
      <c r="BJ528" s="81"/>
      <c r="BK528" s="81"/>
      <c r="BL528" s="81"/>
      <c r="BM528" s="81"/>
      <c r="BN528" s="66"/>
      <c r="BO528" s="66"/>
      <c r="BP528" s="66"/>
      <c r="BQ528" s="66" t="str">
        <f>PROPER(TEXT(Prog_23[[#This Row],[PROGRAMAÇÃO CLIENTE]],"mmm"))</f>
        <v>Jan</v>
      </c>
      <c r="BR528" s="66">
        <f>YEAR(Prog_23[[#This Row],[PROGRAMAÇÃO CLIENTE]])</f>
        <v>1900</v>
      </c>
    </row>
    <row r="529" spans="1:70" x14ac:dyDescent="0.25">
      <c r="A529" s="200">
        <f>Prog_23[[#This Row],[CONTEINER]]</f>
        <v>0</v>
      </c>
      <c r="B529" s="86"/>
      <c r="C5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29" s="44"/>
      <c r="E529" s="66"/>
      <c r="F529" s="66"/>
      <c r="G529" s="66"/>
      <c r="H529" s="44"/>
      <c r="I529" s="44"/>
      <c r="J529" s="66"/>
      <c r="K529" s="66"/>
      <c r="L529" s="66"/>
      <c r="M529" s="66"/>
      <c r="N529" s="66">
        <f>SUM(Prog_23[[#This Row],[TARA]]+Prog_23[[#This Row],[PESO]])</f>
        <v>0</v>
      </c>
      <c r="O529" s="44"/>
      <c r="P529" s="66"/>
      <c r="Q529" s="66"/>
      <c r="R529" s="66"/>
      <c r="S529" s="66"/>
      <c r="T529" s="138" t="str">
        <f>IFERROR(LOOKUP($S529,MOTORISTAS!$D$3:$D$916,MOTORISTAS!E$3:$E$916),"")</f>
        <v/>
      </c>
      <c r="U529" s="138" t="str">
        <f>IFERROR(LOOKUP($S529,MOTORISTAS!$D$3:$D$916,MOTORISTAS!F$3:$F$916),"")</f>
        <v/>
      </c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44"/>
      <c r="AG529" s="254">
        <f>Prog_23[[#This Row],[SAÍDA DO CLIENTE]]-Prog_23[[#This Row],[PROGRAMAÇÃO CLIENTE]]</f>
        <v>0</v>
      </c>
      <c r="AH529" s="44"/>
      <c r="AI529" s="66"/>
      <c r="AJ529" s="66"/>
      <c r="AK529" s="66"/>
      <c r="AL529" s="66"/>
      <c r="AM529" s="66"/>
      <c r="AN529" s="83"/>
      <c r="AO529" s="83"/>
      <c r="AP529" s="83"/>
      <c r="AQ529" s="66"/>
      <c r="AR529" s="66"/>
      <c r="AS529" s="66"/>
      <c r="AT529" s="81"/>
      <c r="AU529" s="81"/>
      <c r="AV529" s="81"/>
      <c r="AW529" s="81"/>
      <c r="AX529" s="83">
        <f>SUM(Prog_23[[#This Row],[ADIANTAMENTO]]+Prog_23[[#This Row],[SALDO]]+Prog_23[[#This Row],[MARGEM]]+Prog_23[[#This Row],[ESTADIA 1]])</f>
        <v>0</v>
      </c>
      <c r="AY5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29" s="81"/>
      <c r="BA529" s="81"/>
      <c r="BB529" s="81">
        <f>Prog_23[[#This Row],[VLR NF]]*0.1%</f>
        <v>0</v>
      </c>
      <c r="BC529" s="81">
        <f>Prog_23[[#This Row],[VLR NF]]*0.05%</f>
        <v>0</v>
      </c>
      <c r="BD529" s="81"/>
      <c r="BE529" s="81"/>
      <c r="BF529" s="81"/>
      <c r="BG529" s="81"/>
      <c r="BH529" s="81"/>
      <c r="BI529" s="81"/>
      <c r="BJ529" s="81"/>
      <c r="BK529" s="81"/>
      <c r="BL529" s="81"/>
      <c r="BM529" s="81"/>
      <c r="BN529" s="66"/>
      <c r="BO529" s="66"/>
      <c r="BP529" s="66"/>
      <c r="BQ529" s="66" t="str">
        <f>PROPER(TEXT(Prog_23[[#This Row],[PROGRAMAÇÃO CLIENTE]],"mmm"))</f>
        <v>Jan</v>
      </c>
      <c r="BR529" s="66">
        <f>YEAR(Prog_23[[#This Row],[PROGRAMAÇÃO CLIENTE]])</f>
        <v>1900</v>
      </c>
    </row>
    <row r="530" spans="1:70" x14ac:dyDescent="0.25">
      <c r="A530" s="201">
        <f>Prog_23[[#This Row],[CONTEINER]]</f>
        <v>0</v>
      </c>
      <c r="B530" s="86"/>
      <c r="C5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30" s="44"/>
      <c r="E530" s="66"/>
      <c r="F530" s="66"/>
      <c r="G530" s="66"/>
      <c r="H530" s="44"/>
      <c r="I530" s="44"/>
      <c r="J530" s="66"/>
      <c r="K530" s="66"/>
      <c r="L530" s="66"/>
      <c r="M530" s="66"/>
      <c r="N530" s="66">
        <f>SUM(Prog_23[[#This Row],[TARA]]+Prog_23[[#This Row],[PESO]])</f>
        <v>0</v>
      </c>
      <c r="O530" s="44"/>
      <c r="P530" s="66"/>
      <c r="Q530" s="66"/>
      <c r="R530" s="66"/>
      <c r="S530" s="66"/>
      <c r="T530" s="138" t="str">
        <f>IFERROR(LOOKUP($S530,MOTORISTAS!$D$3:$D$916,MOTORISTAS!E$3:$E$916),"")</f>
        <v/>
      </c>
      <c r="U530" s="138" t="str">
        <f>IFERROR(LOOKUP($S530,MOTORISTAS!$D$3:$D$916,MOTORISTAS!F$3:$F$916),"")</f>
        <v/>
      </c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44"/>
      <c r="AG530" s="254">
        <f>Prog_23[[#This Row],[SAÍDA DO CLIENTE]]-Prog_23[[#This Row],[PROGRAMAÇÃO CLIENTE]]</f>
        <v>0</v>
      </c>
      <c r="AH530" s="44"/>
      <c r="AI530" s="66"/>
      <c r="AJ530" s="66"/>
      <c r="AK530" s="66"/>
      <c r="AL530" s="66"/>
      <c r="AM530" s="66"/>
      <c r="AN530" s="83"/>
      <c r="AO530" s="83"/>
      <c r="AP530" s="83"/>
      <c r="AQ530" s="66"/>
      <c r="AR530" s="66"/>
      <c r="AS530" s="66"/>
      <c r="AT530" s="81"/>
      <c r="AU530" s="81"/>
      <c r="AV530" s="81"/>
      <c r="AW530" s="81"/>
      <c r="AX530" s="83">
        <f>SUM(Prog_23[[#This Row],[ADIANTAMENTO]]+Prog_23[[#This Row],[SALDO]]+Prog_23[[#This Row],[MARGEM]]+Prog_23[[#This Row],[ESTADIA 1]])</f>
        <v>0</v>
      </c>
      <c r="AY5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30" s="81"/>
      <c r="BA530" s="81"/>
      <c r="BB530" s="81">
        <f>Prog_23[[#This Row],[VLR NF]]*0.1%</f>
        <v>0</v>
      </c>
      <c r="BC530" s="81">
        <f>Prog_23[[#This Row],[VLR NF]]*0.05%</f>
        <v>0</v>
      </c>
      <c r="BD530" s="81"/>
      <c r="BE530" s="81"/>
      <c r="BF530" s="81"/>
      <c r="BG530" s="81"/>
      <c r="BH530" s="81"/>
      <c r="BI530" s="81"/>
      <c r="BJ530" s="81"/>
      <c r="BK530" s="81"/>
      <c r="BL530" s="81"/>
      <c r="BM530" s="81"/>
      <c r="BN530" s="66"/>
      <c r="BO530" s="66"/>
      <c r="BP530" s="66"/>
      <c r="BQ530" s="66" t="str">
        <f>PROPER(TEXT(Prog_23[[#This Row],[PROGRAMAÇÃO CLIENTE]],"mmm"))</f>
        <v>Jan</v>
      </c>
      <c r="BR530" s="66">
        <f>YEAR(Prog_23[[#This Row],[PROGRAMAÇÃO CLIENTE]])</f>
        <v>1900</v>
      </c>
    </row>
    <row r="531" spans="1:70" x14ac:dyDescent="0.25">
      <c r="A531" s="200">
        <f>Prog_23[[#This Row],[CONTEINER]]</f>
        <v>0</v>
      </c>
      <c r="B531" s="86"/>
      <c r="C5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31" s="44"/>
      <c r="E531" s="66"/>
      <c r="F531" s="66"/>
      <c r="G531" s="66"/>
      <c r="H531" s="44"/>
      <c r="I531" s="44"/>
      <c r="J531" s="66"/>
      <c r="K531" s="66"/>
      <c r="L531" s="66"/>
      <c r="M531" s="66"/>
      <c r="N531" s="66">
        <f>SUM(Prog_23[[#This Row],[TARA]]+Prog_23[[#This Row],[PESO]])</f>
        <v>0</v>
      </c>
      <c r="O531" s="44"/>
      <c r="P531" s="66"/>
      <c r="Q531" s="66"/>
      <c r="R531" s="66"/>
      <c r="S531" s="66"/>
      <c r="T531" s="138" t="str">
        <f>IFERROR(LOOKUP($S531,MOTORISTAS!$D$3:$D$916,MOTORISTAS!E$3:$E$916),"")</f>
        <v/>
      </c>
      <c r="U531" s="138" t="str">
        <f>IFERROR(LOOKUP($S531,MOTORISTAS!$D$3:$D$916,MOTORISTAS!F$3:$F$916),"")</f>
        <v/>
      </c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44"/>
      <c r="AG531" s="254">
        <f>Prog_23[[#This Row],[SAÍDA DO CLIENTE]]-Prog_23[[#This Row],[PROGRAMAÇÃO CLIENTE]]</f>
        <v>0</v>
      </c>
      <c r="AH531" s="44"/>
      <c r="AI531" s="66"/>
      <c r="AJ531" s="66"/>
      <c r="AK531" s="66"/>
      <c r="AL531" s="66"/>
      <c r="AM531" s="66"/>
      <c r="AN531" s="83"/>
      <c r="AO531" s="83"/>
      <c r="AP531" s="83"/>
      <c r="AQ531" s="66"/>
      <c r="AR531" s="66"/>
      <c r="AS531" s="66"/>
      <c r="AT531" s="81"/>
      <c r="AU531" s="81"/>
      <c r="AV531" s="81"/>
      <c r="AW531" s="81"/>
      <c r="AX531" s="83">
        <f>SUM(Prog_23[[#This Row],[ADIANTAMENTO]]+Prog_23[[#This Row],[SALDO]]+Prog_23[[#This Row],[MARGEM]]+Prog_23[[#This Row],[ESTADIA 1]])</f>
        <v>0</v>
      </c>
      <c r="AY5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31" s="81"/>
      <c r="BA531" s="81"/>
      <c r="BB531" s="81">
        <f>Prog_23[[#This Row],[VLR NF]]*0.1%</f>
        <v>0</v>
      </c>
      <c r="BC531" s="81">
        <f>Prog_23[[#This Row],[VLR NF]]*0.05%</f>
        <v>0</v>
      </c>
      <c r="BD531" s="81"/>
      <c r="BE531" s="81"/>
      <c r="BF531" s="81"/>
      <c r="BG531" s="81"/>
      <c r="BH531" s="81"/>
      <c r="BI531" s="81"/>
      <c r="BJ531" s="81"/>
      <c r="BK531" s="81"/>
      <c r="BL531" s="81"/>
      <c r="BM531" s="81"/>
      <c r="BN531" s="66"/>
      <c r="BO531" s="66"/>
      <c r="BP531" s="66"/>
      <c r="BQ531" s="66" t="str">
        <f>PROPER(TEXT(Prog_23[[#This Row],[PROGRAMAÇÃO CLIENTE]],"mmm"))</f>
        <v>Jan</v>
      </c>
      <c r="BR531" s="66">
        <f>YEAR(Prog_23[[#This Row],[PROGRAMAÇÃO CLIENTE]])</f>
        <v>1900</v>
      </c>
    </row>
    <row r="532" spans="1:70" x14ac:dyDescent="0.25">
      <c r="A532" s="201">
        <f>Prog_23[[#This Row],[CONTEINER]]</f>
        <v>0</v>
      </c>
      <c r="B532" s="86"/>
      <c r="C5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32" s="44"/>
      <c r="E532" s="66"/>
      <c r="F532" s="66"/>
      <c r="G532" s="66"/>
      <c r="H532" s="44"/>
      <c r="I532" s="44"/>
      <c r="J532" s="66"/>
      <c r="K532" s="66"/>
      <c r="L532" s="66"/>
      <c r="M532" s="66"/>
      <c r="N532" s="66">
        <f>SUM(Prog_23[[#This Row],[TARA]]+Prog_23[[#This Row],[PESO]])</f>
        <v>0</v>
      </c>
      <c r="O532" s="44"/>
      <c r="P532" s="66"/>
      <c r="Q532" s="66"/>
      <c r="R532" s="66"/>
      <c r="S532" s="66"/>
      <c r="T532" s="138" t="str">
        <f>IFERROR(LOOKUP($S532,MOTORISTAS!$D$3:$D$916,MOTORISTAS!E$3:$E$916),"")</f>
        <v/>
      </c>
      <c r="U532" s="138" t="str">
        <f>IFERROR(LOOKUP($S532,MOTORISTAS!$D$3:$D$916,MOTORISTAS!F$3:$F$916),"")</f>
        <v/>
      </c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44"/>
      <c r="AG532" s="254">
        <f>Prog_23[[#This Row],[SAÍDA DO CLIENTE]]-Prog_23[[#This Row],[PROGRAMAÇÃO CLIENTE]]</f>
        <v>0</v>
      </c>
      <c r="AH532" s="44"/>
      <c r="AI532" s="66"/>
      <c r="AJ532" s="66"/>
      <c r="AK532" s="66"/>
      <c r="AL532" s="66"/>
      <c r="AM532" s="66"/>
      <c r="AN532" s="83"/>
      <c r="AO532" s="83"/>
      <c r="AP532" s="83"/>
      <c r="AQ532" s="66"/>
      <c r="AR532" s="66"/>
      <c r="AS532" s="66"/>
      <c r="AT532" s="81"/>
      <c r="AU532" s="81"/>
      <c r="AV532" s="81"/>
      <c r="AW532" s="81"/>
      <c r="AX532" s="83">
        <f>SUM(Prog_23[[#This Row],[ADIANTAMENTO]]+Prog_23[[#This Row],[SALDO]]+Prog_23[[#This Row],[MARGEM]]+Prog_23[[#This Row],[ESTADIA 1]])</f>
        <v>0</v>
      </c>
      <c r="AY5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32" s="81"/>
      <c r="BA532" s="81"/>
      <c r="BB532" s="81">
        <f>Prog_23[[#This Row],[VLR NF]]*0.1%</f>
        <v>0</v>
      </c>
      <c r="BC532" s="81">
        <f>Prog_23[[#This Row],[VLR NF]]*0.05%</f>
        <v>0</v>
      </c>
      <c r="BD532" s="81"/>
      <c r="BE532" s="81"/>
      <c r="BF532" s="81"/>
      <c r="BG532" s="81"/>
      <c r="BH532" s="81"/>
      <c r="BI532" s="81"/>
      <c r="BJ532" s="81"/>
      <c r="BK532" s="81"/>
      <c r="BL532" s="81"/>
      <c r="BM532" s="81"/>
      <c r="BN532" s="66"/>
      <c r="BO532" s="66"/>
      <c r="BP532" s="66"/>
      <c r="BQ532" s="66" t="str">
        <f>PROPER(TEXT(Prog_23[[#This Row],[PROGRAMAÇÃO CLIENTE]],"mmm"))</f>
        <v>Jan</v>
      </c>
      <c r="BR532" s="66">
        <f>YEAR(Prog_23[[#This Row],[PROGRAMAÇÃO CLIENTE]])</f>
        <v>1900</v>
      </c>
    </row>
    <row r="533" spans="1:70" x14ac:dyDescent="0.25">
      <c r="A533" s="200">
        <f>Prog_23[[#This Row],[CONTEINER]]</f>
        <v>0</v>
      </c>
      <c r="B533" s="86"/>
      <c r="C5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33" s="44"/>
      <c r="E533" s="66"/>
      <c r="F533" s="66"/>
      <c r="G533" s="66"/>
      <c r="H533" s="44"/>
      <c r="I533" s="44"/>
      <c r="J533" s="66"/>
      <c r="K533" s="66"/>
      <c r="L533" s="66"/>
      <c r="M533" s="66"/>
      <c r="N533" s="66">
        <f>SUM(Prog_23[[#This Row],[TARA]]+Prog_23[[#This Row],[PESO]])</f>
        <v>0</v>
      </c>
      <c r="O533" s="44"/>
      <c r="P533" s="66"/>
      <c r="Q533" s="66"/>
      <c r="R533" s="66"/>
      <c r="S533" s="66"/>
      <c r="T533" s="138" t="str">
        <f>IFERROR(LOOKUP($S533,MOTORISTAS!$D$3:$D$916,MOTORISTAS!E$3:$E$916),"")</f>
        <v/>
      </c>
      <c r="U533" s="138" t="str">
        <f>IFERROR(LOOKUP($S533,MOTORISTAS!$D$3:$D$916,MOTORISTAS!F$3:$F$916),"")</f>
        <v/>
      </c>
      <c r="V533" s="66"/>
      <c r="W533" s="66"/>
      <c r="X533" s="66"/>
      <c r="Y533" s="66"/>
      <c r="Z533" s="66"/>
      <c r="AA533" s="66" t="s">
        <v>6336</v>
      </c>
      <c r="AB533" s="66"/>
      <c r="AC533" s="66"/>
      <c r="AD533" s="66"/>
      <c r="AE533" s="66"/>
      <c r="AF533" s="44"/>
      <c r="AG533" s="254">
        <f>Prog_23[[#This Row],[SAÍDA DO CLIENTE]]-Prog_23[[#This Row],[PROGRAMAÇÃO CLIENTE]]</f>
        <v>0</v>
      </c>
      <c r="AH533" s="44"/>
      <c r="AI533" s="66"/>
      <c r="AJ533" s="66"/>
      <c r="AK533" s="66"/>
      <c r="AL533" s="66"/>
      <c r="AM533" s="66"/>
      <c r="AN533" s="83"/>
      <c r="AO533" s="83"/>
      <c r="AP533" s="83"/>
      <c r="AQ533" s="66"/>
      <c r="AR533" s="66"/>
      <c r="AS533" s="66"/>
      <c r="AT533" s="81"/>
      <c r="AU533" s="81"/>
      <c r="AV533" s="81"/>
      <c r="AW533" s="81"/>
      <c r="AX533" s="83">
        <f>SUM(Prog_23[[#This Row],[ADIANTAMENTO]]+Prog_23[[#This Row],[SALDO]]+Prog_23[[#This Row],[MARGEM]]+Prog_23[[#This Row],[ESTADIA 1]])</f>
        <v>0</v>
      </c>
      <c r="AY5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33" s="81"/>
      <c r="BA533" s="81"/>
      <c r="BB533" s="81">
        <f>Prog_23[[#This Row],[VLR NF]]*0.1%</f>
        <v>0</v>
      </c>
      <c r="BC533" s="81">
        <f>Prog_23[[#This Row],[VLR NF]]*0.05%</f>
        <v>0</v>
      </c>
      <c r="BD533" s="81"/>
      <c r="BE533" s="81"/>
      <c r="BF533" s="81"/>
      <c r="BG533" s="81"/>
      <c r="BH533" s="81"/>
      <c r="BI533" s="81"/>
      <c r="BJ533" s="81"/>
      <c r="BK533" s="81"/>
      <c r="BL533" s="81"/>
      <c r="BM533" s="81"/>
      <c r="BN533" s="66"/>
      <c r="BO533" s="66"/>
      <c r="BP533" s="66"/>
      <c r="BQ533" s="66" t="str">
        <f>PROPER(TEXT(Prog_23[[#This Row],[PROGRAMAÇÃO CLIENTE]],"mmm"))</f>
        <v>Jan</v>
      </c>
      <c r="BR533" s="66">
        <f>YEAR(Prog_23[[#This Row],[PROGRAMAÇÃO CLIENTE]])</f>
        <v>1900</v>
      </c>
    </row>
    <row r="534" spans="1:70" x14ac:dyDescent="0.25">
      <c r="A534" s="201">
        <f>Prog_23[[#This Row],[CONTEINER]]</f>
        <v>0</v>
      </c>
      <c r="B534" s="86"/>
      <c r="C5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34" s="44"/>
      <c r="E534" s="66"/>
      <c r="F534" s="66"/>
      <c r="G534" s="66"/>
      <c r="H534" s="44"/>
      <c r="I534" s="44"/>
      <c r="J534" s="66"/>
      <c r="K534" s="66"/>
      <c r="L534" s="66"/>
      <c r="M534" s="66"/>
      <c r="N534" s="66">
        <f>SUM(Prog_23[[#This Row],[TARA]]+Prog_23[[#This Row],[PESO]])</f>
        <v>0</v>
      </c>
      <c r="O534" s="44"/>
      <c r="P534" s="66"/>
      <c r="Q534" s="66"/>
      <c r="R534" s="66"/>
      <c r="S534" s="66"/>
      <c r="T534" s="138" t="str">
        <f>IFERROR(LOOKUP($S534,MOTORISTAS!$D$3:$D$916,MOTORISTAS!E$3:$E$916),"")</f>
        <v/>
      </c>
      <c r="U534" s="138" t="str">
        <f>IFERROR(LOOKUP($S534,MOTORISTAS!$D$3:$D$916,MOTORISTAS!F$3:$F$916),"")</f>
        <v/>
      </c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44"/>
      <c r="AG534" s="254">
        <f>Prog_23[[#This Row],[SAÍDA DO CLIENTE]]-Prog_23[[#This Row],[PROGRAMAÇÃO CLIENTE]]</f>
        <v>0</v>
      </c>
      <c r="AH534" s="44"/>
      <c r="AI534" s="66"/>
      <c r="AJ534" s="66"/>
      <c r="AK534" s="66"/>
      <c r="AL534" s="66"/>
      <c r="AM534" s="66"/>
      <c r="AN534" s="83"/>
      <c r="AO534" s="83"/>
      <c r="AP534" s="83"/>
      <c r="AQ534" s="66"/>
      <c r="AR534" s="66"/>
      <c r="AS534" s="66"/>
      <c r="AT534" s="81"/>
      <c r="AU534" s="81"/>
      <c r="AV534" s="81"/>
      <c r="AW534" s="81"/>
      <c r="AX534" s="83">
        <f>SUM(Prog_23[[#This Row],[ADIANTAMENTO]]+Prog_23[[#This Row],[SALDO]]+Prog_23[[#This Row],[MARGEM]]+Prog_23[[#This Row],[ESTADIA 1]])</f>
        <v>0</v>
      </c>
      <c r="AY5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34" s="81"/>
      <c r="BA534" s="81"/>
      <c r="BB534" s="81">
        <f>Prog_23[[#This Row],[VLR NF]]*0.1%</f>
        <v>0</v>
      </c>
      <c r="BC534" s="81">
        <f>Prog_23[[#This Row],[VLR NF]]*0.05%</f>
        <v>0</v>
      </c>
      <c r="BD534" s="81"/>
      <c r="BE534" s="81"/>
      <c r="BF534" s="81"/>
      <c r="BG534" s="81"/>
      <c r="BH534" s="81"/>
      <c r="BI534" s="81"/>
      <c r="BJ534" s="81"/>
      <c r="BK534" s="81"/>
      <c r="BL534" s="81"/>
      <c r="BM534" s="81"/>
      <c r="BN534" s="66"/>
      <c r="BO534" s="66"/>
      <c r="BP534" s="66"/>
      <c r="BQ534" s="66" t="str">
        <f>PROPER(TEXT(Prog_23[[#This Row],[PROGRAMAÇÃO CLIENTE]],"mmm"))</f>
        <v>Jan</v>
      </c>
      <c r="BR534" s="66">
        <f>YEAR(Prog_23[[#This Row],[PROGRAMAÇÃO CLIENTE]])</f>
        <v>1900</v>
      </c>
    </row>
    <row r="535" spans="1:70" x14ac:dyDescent="0.25">
      <c r="A535" s="200">
        <f>Prog_23[[#This Row],[CONTEINER]]</f>
        <v>0</v>
      </c>
      <c r="B535" s="86"/>
      <c r="C5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35" s="44"/>
      <c r="E535" s="66"/>
      <c r="F535" s="66"/>
      <c r="G535" s="66"/>
      <c r="H535" s="44"/>
      <c r="I535" s="44"/>
      <c r="J535" s="66"/>
      <c r="K535" s="66"/>
      <c r="L535" s="66"/>
      <c r="M535" s="66"/>
      <c r="N535" s="66">
        <f>SUM(Prog_23[[#This Row],[TARA]]+Prog_23[[#This Row],[PESO]])</f>
        <v>0</v>
      </c>
      <c r="O535" s="44"/>
      <c r="P535" s="66"/>
      <c r="Q535" s="66"/>
      <c r="R535" s="66"/>
      <c r="S535" s="66"/>
      <c r="T535" s="138" t="str">
        <f>IFERROR(LOOKUP($S535,MOTORISTAS!$D$3:$D$916,MOTORISTAS!E$3:$E$916),"")</f>
        <v/>
      </c>
      <c r="U535" s="138" t="str">
        <f>IFERROR(LOOKUP($S535,MOTORISTAS!$D$3:$D$916,MOTORISTAS!F$3:$F$916),"")</f>
        <v/>
      </c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44"/>
      <c r="AG535" s="254">
        <f>Prog_23[[#This Row],[SAÍDA DO CLIENTE]]-Prog_23[[#This Row],[PROGRAMAÇÃO CLIENTE]]</f>
        <v>0</v>
      </c>
      <c r="AH535" s="44"/>
      <c r="AI535" s="66"/>
      <c r="AJ535" s="66"/>
      <c r="AK535" s="66"/>
      <c r="AL535" s="66"/>
      <c r="AM535" s="66"/>
      <c r="AN535" s="83"/>
      <c r="AO535" s="83"/>
      <c r="AP535" s="83"/>
      <c r="AQ535" s="66"/>
      <c r="AR535" s="66"/>
      <c r="AS535" s="66"/>
      <c r="AT535" s="81"/>
      <c r="AU535" s="81"/>
      <c r="AV535" s="81"/>
      <c r="AW535" s="81"/>
      <c r="AX535" s="83">
        <f>SUM(Prog_23[[#This Row],[ADIANTAMENTO]]+Prog_23[[#This Row],[SALDO]]+Prog_23[[#This Row],[MARGEM]]+Prog_23[[#This Row],[ESTADIA 1]])</f>
        <v>0</v>
      </c>
      <c r="AY5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35" s="81"/>
      <c r="BA535" s="81"/>
      <c r="BB535" s="81">
        <f>Prog_23[[#This Row],[VLR NF]]*0.1%</f>
        <v>0</v>
      </c>
      <c r="BC535" s="81">
        <f>Prog_23[[#This Row],[VLR NF]]*0.05%</f>
        <v>0</v>
      </c>
      <c r="BD535" s="81"/>
      <c r="BE535" s="81"/>
      <c r="BF535" s="81"/>
      <c r="BG535" s="81"/>
      <c r="BH535" s="81"/>
      <c r="BI535" s="81"/>
      <c r="BJ535" s="81"/>
      <c r="BK535" s="81"/>
      <c r="BL535" s="81"/>
      <c r="BM535" s="81"/>
      <c r="BN535" s="66"/>
      <c r="BO535" s="66"/>
      <c r="BP535" s="66"/>
      <c r="BQ535" s="66" t="str">
        <f>PROPER(TEXT(Prog_23[[#This Row],[PROGRAMAÇÃO CLIENTE]],"mmm"))</f>
        <v>Jan</v>
      </c>
      <c r="BR535" s="66">
        <f>YEAR(Prog_23[[#This Row],[PROGRAMAÇÃO CLIENTE]])</f>
        <v>1900</v>
      </c>
    </row>
    <row r="536" spans="1:70" x14ac:dyDescent="0.25">
      <c r="A536" s="201">
        <f>Prog_23[[#This Row],[CONTEINER]]</f>
        <v>0</v>
      </c>
      <c r="B536" s="86"/>
      <c r="C5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36" s="44"/>
      <c r="E536" s="66"/>
      <c r="F536" s="66"/>
      <c r="G536" s="66"/>
      <c r="H536" s="44"/>
      <c r="I536" s="44"/>
      <c r="J536" s="66"/>
      <c r="K536" s="66"/>
      <c r="L536" s="66"/>
      <c r="M536" s="66"/>
      <c r="N536" s="66">
        <f>SUM(Prog_23[[#This Row],[TARA]]+Prog_23[[#This Row],[PESO]])</f>
        <v>0</v>
      </c>
      <c r="O536" s="44"/>
      <c r="P536" s="66"/>
      <c r="Q536" s="66"/>
      <c r="R536" s="66"/>
      <c r="S536" s="66"/>
      <c r="T536" s="138" t="str">
        <f>IFERROR(LOOKUP($S536,MOTORISTAS!$D$3:$D$916,MOTORISTAS!E$3:$E$916),"")</f>
        <v/>
      </c>
      <c r="U536" s="138" t="str">
        <f>IFERROR(LOOKUP($S536,MOTORISTAS!$D$3:$D$916,MOTORISTAS!F$3:$F$916),"")</f>
        <v/>
      </c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44"/>
      <c r="AG536" s="254">
        <f>Prog_23[[#This Row],[SAÍDA DO CLIENTE]]-Prog_23[[#This Row],[PROGRAMAÇÃO CLIENTE]]</f>
        <v>0</v>
      </c>
      <c r="AH536" s="44"/>
      <c r="AI536" s="66"/>
      <c r="AJ536" s="66"/>
      <c r="AK536" s="66"/>
      <c r="AL536" s="66"/>
      <c r="AM536" s="66"/>
      <c r="AN536" s="83"/>
      <c r="AO536" s="83"/>
      <c r="AP536" s="83"/>
      <c r="AQ536" s="66"/>
      <c r="AR536" s="66"/>
      <c r="AS536" s="66"/>
      <c r="AT536" s="81"/>
      <c r="AU536" s="81"/>
      <c r="AV536" s="81"/>
      <c r="AW536" s="81"/>
      <c r="AX536" s="83">
        <f>SUM(Prog_23[[#This Row],[ADIANTAMENTO]]+Prog_23[[#This Row],[SALDO]]+Prog_23[[#This Row],[MARGEM]]+Prog_23[[#This Row],[ESTADIA 1]])</f>
        <v>0</v>
      </c>
      <c r="AY5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36" s="81"/>
      <c r="BA536" s="81"/>
      <c r="BB536" s="81">
        <f>Prog_23[[#This Row],[VLR NF]]*0.1%</f>
        <v>0</v>
      </c>
      <c r="BC536" s="81">
        <f>Prog_23[[#This Row],[VLR NF]]*0.05%</f>
        <v>0</v>
      </c>
      <c r="BD536" s="81"/>
      <c r="BE536" s="81"/>
      <c r="BF536" s="81"/>
      <c r="BG536" s="81"/>
      <c r="BH536" s="81"/>
      <c r="BI536" s="81"/>
      <c r="BJ536" s="81"/>
      <c r="BK536" s="81"/>
      <c r="BL536" s="81"/>
      <c r="BM536" s="81"/>
      <c r="BN536" s="66"/>
      <c r="BO536" s="66"/>
      <c r="BP536" s="66"/>
      <c r="BQ536" s="66" t="str">
        <f>PROPER(TEXT(Prog_23[[#This Row],[PROGRAMAÇÃO CLIENTE]],"mmm"))</f>
        <v>Jan</v>
      </c>
      <c r="BR536" s="66">
        <f>YEAR(Prog_23[[#This Row],[PROGRAMAÇÃO CLIENTE]])</f>
        <v>1900</v>
      </c>
    </row>
    <row r="537" spans="1:70" x14ac:dyDescent="0.25">
      <c r="A537" s="200">
        <f>Prog_23[[#This Row],[CONTEINER]]</f>
        <v>0</v>
      </c>
      <c r="B537" s="86"/>
      <c r="C5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37" s="44"/>
      <c r="E537" s="66"/>
      <c r="F537" s="66"/>
      <c r="G537" s="66"/>
      <c r="H537" s="44"/>
      <c r="I537" s="44"/>
      <c r="J537" s="66"/>
      <c r="K537" s="66"/>
      <c r="L537" s="66"/>
      <c r="M537" s="66"/>
      <c r="N537" s="66">
        <f>SUM(Prog_23[[#This Row],[TARA]]+Prog_23[[#This Row],[PESO]])</f>
        <v>0</v>
      </c>
      <c r="O537" s="44"/>
      <c r="P537" s="66"/>
      <c r="Q537" s="66"/>
      <c r="R537" s="66"/>
      <c r="S537" s="66"/>
      <c r="T537" s="138" t="str">
        <f>IFERROR(LOOKUP($S537,MOTORISTAS!$D$3:$D$916,MOTORISTAS!E$3:$E$916),"")</f>
        <v/>
      </c>
      <c r="U537" s="138" t="str">
        <f>IFERROR(LOOKUP($S537,MOTORISTAS!$D$3:$D$916,MOTORISTAS!F$3:$F$916),"")</f>
        <v/>
      </c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44"/>
      <c r="AG537" s="254">
        <f>Prog_23[[#This Row],[SAÍDA DO CLIENTE]]-Prog_23[[#This Row],[PROGRAMAÇÃO CLIENTE]]</f>
        <v>0</v>
      </c>
      <c r="AH537" s="44"/>
      <c r="AI537" s="66"/>
      <c r="AJ537" s="66"/>
      <c r="AK537" s="66"/>
      <c r="AL537" s="66"/>
      <c r="AM537" s="66"/>
      <c r="AN537" s="83"/>
      <c r="AO537" s="83"/>
      <c r="AP537" s="83"/>
      <c r="AQ537" s="66"/>
      <c r="AR537" s="66"/>
      <c r="AS537" s="66"/>
      <c r="AT537" s="81"/>
      <c r="AU537" s="81"/>
      <c r="AV537" s="81"/>
      <c r="AW537" s="81"/>
      <c r="AX537" s="83">
        <f>SUM(Prog_23[[#This Row],[ADIANTAMENTO]]+Prog_23[[#This Row],[SALDO]]+Prog_23[[#This Row],[MARGEM]]+Prog_23[[#This Row],[ESTADIA 1]])</f>
        <v>0</v>
      </c>
      <c r="AY5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37" s="81"/>
      <c r="BA537" s="81"/>
      <c r="BB537" s="81">
        <f>Prog_23[[#This Row],[VLR NF]]*0.1%</f>
        <v>0</v>
      </c>
      <c r="BC537" s="81">
        <f>Prog_23[[#This Row],[VLR NF]]*0.05%</f>
        <v>0</v>
      </c>
      <c r="BD537" s="81"/>
      <c r="BE537" s="81"/>
      <c r="BF537" s="81"/>
      <c r="BG537" s="81"/>
      <c r="BH537" s="81"/>
      <c r="BI537" s="81"/>
      <c r="BJ537" s="81"/>
      <c r="BK537" s="81"/>
      <c r="BL537" s="81"/>
      <c r="BM537" s="81"/>
      <c r="BN537" s="66"/>
      <c r="BO537" s="66"/>
      <c r="BP537" s="66"/>
      <c r="BQ537" s="66" t="str">
        <f>PROPER(TEXT(Prog_23[[#This Row],[PROGRAMAÇÃO CLIENTE]],"mmm"))</f>
        <v>Jan</v>
      </c>
      <c r="BR537" s="66">
        <f>YEAR(Prog_23[[#This Row],[PROGRAMAÇÃO CLIENTE]])</f>
        <v>1900</v>
      </c>
    </row>
    <row r="538" spans="1:70" x14ac:dyDescent="0.25">
      <c r="A538" s="201">
        <f>Prog_23[[#This Row],[CONTEINER]]</f>
        <v>0</v>
      </c>
      <c r="B538" s="86"/>
      <c r="C5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38" s="44"/>
      <c r="E538" s="66"/>
      <c r="F538" s="66"/>
      <c r="G538" s="66"/>
      <c r="H538" s="44"/>
      <c r="I538" s="44"/>
      <c r="J538" s="66"/>
      <c r="K538" s="66"/>
      <c r="L538" s="66"/>
      <c r="M538" s="66"/>
      <c r="N538" s="66">
        <f>SUM(Prog_23[[#This Row],[TARA]]+Prog_23[[#This Row],[PESO]])</f>
        <v>0</v>
      </c>
      <c r="O538" s="44"/>
      <c r="P538" s="66"/>
      <c r="Q538" s="66"/>
      <c r="R538" s="66"/>
      <c r="S538" s="66"/>
      <c r="T538" s="138" t="str">
        <f>IFERROR(LOOKUP($S538,MOTORISTAS!$D$3:$D$916,MOTORISTAS!E$3:$E$916),"")</f>
        <v/>
      </c>
      <c r="U538" s="138" t="str">
        <f>IFERROR(LOOKUP($S538,MOTORISTAS!$D$3:$D$916,MOTORISTAS!F$3:$F$916),"")</f>
        <v/>
      </c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44"/>
      <c r="AG538" s="254">
        <f>Prog_23[[#This Row],[SAÍDA DO CLIENTE]]-Prog_23[[#This Row],[PROGRAMAÇÃO CLIENTE]]</f>
        <v>0</v>
      </c>
      <c r="AH538" s="44"/>
      <c r="AI538" s="66"/>
      <c r="AJ538" s="66"/>
      <c r="AK538" s="66"/>
      <c r="AL538" s="66"/>
      <c r="AM538" s="66"/>
      <c r="AN538" s="83"/>
      <c r="AO538" s="83"/>
      <c r="AP538" s="83"/>
      <c r="AQ538" s="66"/>
      <c r="AR538" s="66"/>
      <c r="AS538" s="66"/>
      <c r="AT538" s="81"/>
      <c r="AU538" s="81"/>
      <c r="AV538" s="81"/>
      <c r="AW538" s="81"/>
      <c r="AX538" s="83">
        <f>SUM(Prog_23[[#This Row],[ADIANTAMENTO]]+Prog_23[[#This Row],[SALDO]]+Prog_23[[#This Row],[MARGEM]]+Prog_23[[#This Row],[ESTADIA 1]])</f>
        <v>0</v>
      </c>
      <c r="AY5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38" s="81"/>
      <c r="BA538" s="81"/>
      <c r="BB538" s="81">
        <f>Prog_23[[#This Row],[VLR NF]]*0.1%</f>
        <v>0</v>
      </c>
      <c r="BC538" s="81">
        <f>Prog_23[[#This Row],[VLR NF]]*0.05%</f>
        <v>0</v>
      </c>
      <c r="BD538" s="81"/>
      <c r="BE538" s="81"/>
      <c r="BF538" s="81"/>
      <c r="BG538" s="81"/>
      <c r="BH538" s="81"/>
      <c r="BI538" s="81"/>
      <c r="BJ538" s="81"/>
      <c r="BK538" s="81"/>
      <c r="BL538" s="81"/>
      <c r="BM538" s="81"/>
      <c r="BN538" s="66"/>
      <c r="BO538" s="66"/>
      <c r="BP538" s="66"/>
      <c r="BQ538" s="66" t="str">
        <f>PROPER(TEXT(Prog_23[[#This Row],[PROGRAMAÇÃO CLIENTE]],"mmm"))</f>
        <v>Jan</v>
      </c>
      <c r="BR538" s="66">
        <f>YEAR(Prog_23[[#This Row],[PROGRAMAÇÃO CLIENTE]])</f>
        <v>1900</v>
      </c>
    </row>
    <row r="539" spans="1:70" x14ac:dyDescent="0.25">
      <c r="A539" s="200">
        <f>Prog_23[[#This Row],[CONTEINER]]</f>
        <v>0</v>
      </c>
      <c r="B539" s="86"/>
      <c r="C5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39" s="44"/>
      <c r="E539" s="66"/>
      <c r="F539" s="66"/>
      <c r="G539" s="66"/>
      <c r="H539" s="44"/>
      <c r="I539" s="44"/>
      <c r="J539" s="66"/>
      <c r="K539" s="66"/>
      <c r="L539" s="66"/>
      <c r="M539" s="66"/>
      <c r="N539" s="66">
        <f>SUM(Prog_23[[#This Row],[TARA]]+Prog_23[[#This Row],[PESO]])</f>
        <v>0</v>
      </c>
      <c r="O539" s="44"/>
      <c r="P539" s="66"/>
      <c r="Q539" s="66"/>
      <c r="R539" s="66"/>
      <c r="S539" s="66"/>
      <c r="T539" s="138" t="str">
        <f>IFERROR(LOOKUP($S539,MOTORISTAS!$D$3:$D$916,MOTORISTAS!E$3:$E$916),"")</f>
        <v/>
      </c>
      <c r="U539" s="138" t="str">
        <f>IFERROR(LOOKUP($S539,MOTORISTAS!$D$3:$D$916,MOTORISTAS!F$3:$F$916),"")</f>
        <v/>
      </c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44"/>
      <c r="AG539" s="254">
        <f>Prog_23[[#This Row],[SAÍDA DO CLIENTE]]-Prog_23[[#This Row],[PROGRAMAÇÃO CLIENTE]]</f>
        <v>0</v>
      </c>
      <c r="AH539" s="44"/>
      <c r="AI539" s="66"/>
      <c r="AJ539" s="66"/>
      <c r="AK539" s="66"/>
      <c r="AL539" s="66"/>
      <c r="AM539" s="66"/>
      <c r="AN539" s="83"/>
      <c r="AO539" s="83"/>
      <c r="AP539" s="83"/>
      <c r="AQ539" s="66"/>
      <c r="AR539" s="66"/>
      <c r="AS539" s="66"/>
      <c r="AT539" s="81"/>
      <c r="AU539" s="81"/>
      <c r="AV539" s="81"/>
      <c r="AW539" s="81"/>
      <c r="AX539" s="83">
        <f>SUM(Prog_23[[#This Row],[ADIANTAMENTO]]+Prog_23[[#This Row],[SALDO]]+Prog_23[[#This Row],[MARGEM]]+Prog_23[[#This Row],[ESTADIA 1]])</f>
        <v>0</v>
      </c>
      <c r="AY5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39" s="81"/>
      <c r="BA539" s="81"/>
      <c r="BB539" s="81">
        <f>Prog_23[[#This Row],[VLR NF]]*0.1%</f>
        <v>0</v>
      </c>
      <c r="BC539" s="81">
        <f>Prog_23[[#This Row],[VLR NF]]*0.05%</f>
        <v>0</v>
      </c>
      <c r="BD539" s="81"/>
      <c r="BE539" s="81"/>
      <c r="BF539" s="81"/>
      <c r="BG539" s="81"/>
      <c r="BH539" s="81"/>
      <c r="BI539" s="81"/>
      <c r="BJ539" s="81"/>
      <c r="BK539" s="81"/>
      <c r="BL539" s="81"/>
      <c r="BM539" s="81"/>
      <c r="BN539" s="66"/>
      <c r="BO539" s="66"/>
      <c r="BP539" s="66"/>
      <c r="BQ539" s="66" t="str">
        <f>PROPER(TEXT(Prog_23[[#This Row],[PROGRAMAÇÃO CLIENTE]],"mmm"))</f>
        <v>Jan</v>
      </c>
      <c r="BR539" s="66">
        <f>YEAR(Prog_23[[#This Row],[PROGRAMAÇÃO CLIENTE]])</f>
        <v>1900</v>
      </c>
    </row>
    <row r="540" spans="1:70" x14ac:dyDescent="0.25">
      <c r="A540" s="201">
        <f>Prog_23[[#This Row],[CONTEINER]]</f>
        <v>0</v>
      </c>
      <c r="B540" s="86"/>
      <c r="C5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40" s="44"/>
      <c r="E540" s="66"/>
      <c r="F540" s="66"/>
      <c r="G540" s="66"/>
      <c r="H540" s="44"/>
      <c r="I540" s="44"/>
      <c r="J540" s="66"/>
      <c r="K540" s="66"/>
      <c r="L540" s="66"/>
      <c r="M540" s="66"/>
      <c r="N540" s="66">
        <f>SUM(Prog_23[[#This Row],[TARA]]+Prog_23[[#This Row],[PESO]])</f>
        <v>0</v>
      </c>
      <c r="O540" s="44"/>
      <c r="P540" s="66"/>
      <c r="Q540" s="66"/>
      <c r="R540" s="66"/>
      <c r="S540" s="66"/>
      <c r="T540" s="138" t="str">
        <f>IFERROR(LOOKUP($S540,MOTORISTAS!$D$3:$D$916,MOTORISTAS!E$3:$E$916),"")</f>
        <v/>
      </c>
      <c r="U540" s="138" t="str">
        <f>IFERROR(LOOKUP($S540,MOTORISTAS!$D$3:$D$916,MOTORISTAS!F$3:$F$916),"")</f>
        <v/>
      </c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44"/>
      <c r="AG540" s="254">
        <f>Prog_23[[#This Row],[SAÍDA DO CLIENTE]]-Prog_23[[#This Row],[PROGRAMAÇÃO CLIENTE]]</f>
        <v>0</v>
      </c>
      <c r="AH540" s="44"/>
      <c r="AI540" s="66"/>
      <c r="AJ540" s="66"/>
      <c r="AK540" s="66"/>
      <c r="AL540" s="66"/>
      <c r="AM540" s="66"/>
      <c r="AN540" s="83"/>
      <c r="AO540" s="83"/>
      <c r="AP540" s="83"/>
      <c r="AQ540" s="66"/>
      <c r="AR540" s="66"/>
      <c r="AS540" s="66"/>
      <c r="AT540" s="81"/>
      <c r="AU540" s="81"/>
      <c r="AV540" s="81"/>
      <c r="AW540" s="81"/>
      <c r="AX540" s="83">
        <f>SUM(Prog_23[[#This Row],[ADIANTAMENTO]]+Prog_23[[#This Row],[SALDO]]+Prog_23[[#This Row],[MARGEM]]+Prog_23[[#This Row],[ESTADIA 1]])</f>
        <v>0</v>
      </c>
      <c r="AY5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40" s="81"/>
      <c r="BA540" s="81"/>
      <c r="BB540" s="81">
        <f>Prog_23[[#This Row],[VLR NF]]*0.1%</f>
        <v>0</v>
      </c>
      <c r="BC540" s="81">
        <f>Prog_23[[#This Row],[VLR NF]]*0.05%</f>
        <v>0</v>
      </c>
      <c r="BD540" s="81"/>
      <c r="BE540" s="81"/>
      <c r="BF540" s="81"/>
      <c r="BG540" s="81"/>
      <c r="BH540" s="81"/>
      <c r="BI540" s="81"/>
      <c r="BJ540" s="81"/>
      <c r="BK540" s="81"/>
      <c r="BL540" s="81"/>
      <c r="BM540" s="81"/>
      <c r="BN540" s="66"/>
      <c r="BO540" s="66"/>
      <c r="BP540" s="66"/>
      <c r="BQ540" s="66" t="str">
        <f>PROPER(TEXT(Prog_23[[#This Row],[PROGRAMAÇÃO CLIENTE]],"mmm"))</f>
        <v>Jan</v>
      </c>
      <c r="BR540" s="66">
        <f>YEAR(Prog_23[[#This Row],[PROGRAMAÇÃO CLIENTE]])</f>
        <v>1900</v>
      </c>
    </row>
    <row r="541" spans="1:70" x14ac:dyDescent="0.25">
      <c r="A541" s="200">
        <f>Prog_23[[#This Row],[CONTEINER]]</f>
        <v>0</v>
      </c>
      <c r="B541" s="86"/>
      <c r="C5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41" s="44"/>
      <c r="E541" s="66"/>
      <c r="F541" s="66"/>
      <c r="G541" s="66"/>
      <c r="H541" s="44"/>
      <c r="I541" s="44"/>
      <c r="J541" s="66"/>
      <c r="K541" s="66"/>
      <c r="L541" s="66"/>
      <c r="M541" s="66"/>
      <c r="N541" s="66">
        <f>SUM(Prog_23[[#This Row],[TARA]]+Prog_23[[#This Row],[PESO]])</f>
        <v>0</v>
      </c>
      <c r="O541" s="44"/>
      <c r="P541" s="66"/>
      <c r="Q541" s="66"/>
      <c r="R541" s="66"/>
      <c r="S541" s="66"/>
      <c r="T541" s="138" t="str">
        <f>IFERROR(LOOKUP($S541,MOTORISTAS!$D$3:$D$916,MOTORISTAS!E$3:$E$916),"")</f>
        <v/>
      </c>
      <c r="U541" s="138" t="str">
        <f>IFERROR(LOOKUP($S541,MOTORISTAS!$D$3:$D$916,MOTORISTAS!F$3:$F$916),"")</f>
        <v/>
      </c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44"/>
      <c r="AG541" s="254">
        <f>Prog_23[[#This Row],[SAÍDA DO CLIENTE]]-Prog_23[[#This Row],[PROGRAMAÇÃO CLIENTE]]</f>
        <v>0</v>
      </c>
      <c r="AH541" s="44"/>
      <c r="AI541" s="66"/>
      <c r="AJ541" s="66"/>
      <c r="AK541" s="66"/>
      <c r="AL541" s="66"/>
      <c r="AM541" s="66"/>
      <c r="AN541" s="83"/>
      <c r="AO541" s="83"/>
      <c r="AP541" s="83"/>
      <c r="AQ541" s="66"/>
      <c r="AR541" s="66"/>
      <c r="AS541" s="66"/>
      <c r="AT541" s="81"/>
      <c r="AU541" s="81"/>
      <c r="AV541" s="81"/>
      <c r="AW541" s="81"/>
      <c r="AX541" s="83">
        <f>SUM(Prog_23[[#This Row],[ADIANTAMENTO]]+Prog_23[[#This Row],[SALDO]]+Prog_23[[#This Row],[MARGEM]]+Prog_23[[#This Row],[ESTADIA 1]])</f>
        <v>0</v>
      </c>
      <c r="AY5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41" s="81"/>
      <c r="BA541" s="81"/>
      <c r="BB541" s="81">
        <f>Prog_23[[#This Row],[VLR NF]]*0.1%</f>
        <v>0</v>
      </c>
      <c r="BC541" s="81">
        <f>Prog_23[[#This Row],[VLR NF]]*0.05%</f>
        <v>0</v>
      </c>
      <c r="BD541" s="81"/>
      <c r="BE541" s="81"/>
      <c r="BF541" s="81"/>
      <c r="BG541" s="81"/>
      <c r="BH541" s="81"/>
      <c r="BI541" s="81"/>
      <c r="BJ541" s="81"/>
      <c r="BK541" s="81"/>
      <c r="BL541" s="81"/>
      <c r="BM541" s="81"/>
      <c r="BN541" s="66"/>
      <c r="BO541" s="66"/>
      <c r="BP541" s="66"/>
      <c r="BQ541" s="66" t="str">
        <f>PROPER(TEXT(Prog_23[[#This Row],[PROGRAMAÇÃO CLIENTE]],"mmm"))</f>
        <v>Jan</v>
      </c>
      <c r="BR541" s="66">
        <f>YEAR(Prog_23[[#This Row],[PROGRAMAÇÃO CLIENTE]])</f>
        <v>1900</v>
      </c>
    </row>
    <row r="542" spans="1:70" x14ac:dyDescent="0.25">
      <c r="A542" s="201">
        <f>Prog_23[[#This Row],[CONTEINER]]</f>
        <v>0</v>
      </c>
      <c r="B542" s="86"/>
      <c r="C5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42" s="44"/>
      <c r="E542" s="66"/>
      <c r="F542" s="66"/>
      <c r="G542" s="66"/>
      <c r="H542" s="44"/>
      <c r="I542" s="44"/>
      <c r="J542" s="66"/>
      <c r="K542" s="66"/>
      <c r="L542" s="66"/>
      <c r="M542" s="66"/>
      <c r="N542" s="66">
        <f>SUM(Prog_23[[#This Row],[TARA]]+Prog_23[[#This Row],[PESO]])</f>
        <v>0</v>
      </c>
      <c r="O542" s="44"/>
      <c r="P542" s="66"/>
      <c r="Q542" s="66"/>
      <c r="R542" s="66"/>
      <c r="S542" s="66"/>
      <c r="T542" s="138" t="str">
        <f>IFERROR(LOOKUP($S542,MOTORISTAS!$D$3:$D$916,MOTORISTAS!E$3:$E$916),"")</f>
        <v/>
      </c>
      <c r="U542" s="138" t="str">
        <f>IFERROR(LOOKUP($S542,MOTORISTAS!$D$3:$D$916,MOTORISTAS!F$3:$F$916),"")</f>
        <v/>
      </c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44"/>
      <c r="AG542" s="254">
        <f>Prog_23[[#This Row],[SAÍDA DO CLIENTE]]-Prog_23[[#This Row],[PROGRAMAÇÃO CLIENTE]]</f>
        <v>0</v>
      </c>
      <c r="AH542" s="44"/>
      <c r="AI542" s="66"/>
      <c r="AJ542" s="66"/>
      <c r="AK542" s="66"/>
      <c r="AL542" s="66"/>
      <c r="AM542" s="66"/>
      <c r="AN542" s="83"/>
      <c r="AO542" s="83"/>
      <c r="AP542" s="83"/>
      <c r="AQ542" s="66"/>
      <c r="AR542" s="66"/>
      <c r="AS542" s="66"/>
      <c r="AT542" s="81"/>
      <c r="AU542" s="81"/>
      <c r="AV542" s="81"/>
      <c r="AW542" s="81"/>
      <c r="AX542" s="83">
        <f>SUM(Prog_23[[#This Row],[ADIANTAMENTO]]+Prog_23[[#This Row],[SALDO]]+Prog_23[[#This Row],[MARGEM]]+Prog_23[[#This Row],[ESTADIA 1]])</f>
        <v>0</v>
      </c>
      <c r="AY5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42" s="81"/>
      <c r="BA542" s="81"/>
      <c r="BB542" s="81">
        <f>Prog_23[[#This Row],[VLR NF]]*0.1%</f>
        <v>0</v>
      </c>
      <c r="BC542" s="81">
        <f>Prog_23[[#This Row],[VLR NF]]*0.05%</f>
        <v>0</v>
      </c>
      <c r="BD542" s="81"/>
      <c r="BE542" s="81"/>
      <c r="BF542" s="81"/>
      <c r="BG542" s="81"/>
      <c r="BH542" s="81"/>
      <c r="BI542" s="81"/>
      <c r="BJ542" s="81"/>
      <c r="BK542" s="81"/>
      <c r="BL542" s="81"/>
      <c r="BM542" s="81"/>
      <c r="BN542" s="66"/>
      <c r="BO542" s="66"/>
      <c r="BP542" s="66"/>
      <c r="BQ542" s="66" t="str">
        <f>PROPER(TEXT(Prog_23[[#This Row],[PROGRAMAÇÃO CLIENTE]],"mmm"))</f>
        <v>Jan</v>
      </c>
      <c r="BR542" s="66">
        <f>YEAR(Prog_23[[#This Row],[PROGRAMAÇÃO CLIENTE]])</f>
        <v>1900</v>
      </c>
    </row>
    <row r="543" spans="1:70" x14ac:dyDescent="0.25">
      <c r="A543" s="200">
        <f>Prog_23[[#This Row],[CONTEINER]]</f>
        <v>0</v>
      </c>
      <c r="B543" s="86"/>
      <c r="C5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43" s="44"/>
      <c r="E543" s="66"/>
      <c r="F543" s="66"/>
      <c r="G543" s="66"/>
      <c r="H543" s="44"/>
      <c r="I543" s="44"/>
      <c r="J543" s="66"/>
      <c r="K543" s="66"/>
      <c r="L543" s="66"/>
      <c r="M543" s="66"/>
      <c r="N543" s="66">
        <f>SUM(Prog_23[[#This Row],[TARA]]+Prog_23[[#This Row],[PESO]])</f>
        <v>0</v>
      </c>
      <c r="O543" s="44"/>
      <c r="P543" s="66"/>
      <c r="Q543" s="66"/>
      <c r="R543" s="66"/>
      <c r="S543" s="66"/>
      <c r="T543" s="138" t="str">
        <f>IFERROR(LOOKUP($S543,MOTORISTAS!$D$3:$D$916,MOTORISTAS!E$3:$E$916),"")</f>
        <v/>
      </c>
      <c r="U543" s="138" t="str">
        <f>IFERROR(LOOKUP($S543,MOTORISTAS!$D$3:$D$916,MOTORISTAS!F$3:$F$916),"")</f>
        <v/>
      </c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44"/>
      <c r="AG543" s="254">
        <f>Prog_23[[#This Row],[SAÍDA DO CLIENTE]]-Prog_23[[#This Row],[PROGRAMAÇÃO CLIENTE]]</f>
        <v>0</v>
      </c>
      <c r="AH543" s="44"/>
      <c r="AI543" s="66"/>
      <c r="AJ543" s="66"/>
      <c r="AK543" s="66"/>
      <c r="AL543" s="66"/>
      <c r="AM543" s="66"/>
      <c r="AN543" s="83"/>
      <c r="AO543" s="83"/>
      <c r="AP543" s="83"/>
      <c r="AQ543" s="66"/>
      <c r="AR543" s="66"/>
      <c r="AS543" s="66"/>
      <c r="AT543" s="81"/>
      <c r="AU543" s="81"/>
      <c r="AV543" s="81"/>
      <c r="AW543" s="81"/>
      <c r="AX543" s="83">
        <f>SUM(Prog_23[[#This Row],[ADIANTAMENTO]]+Prog_23[[#This Row],[SALDO]]+Prog_23[[#This Row],[MARGEM]]+Prog_23[[#This Row],[ESTADIA 1]])</f>
        <v>0</v>
      </c>
      <c r="AY5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43" s="81"/>
      <c r="BA543" s="81"/>
      <c r="BB543" s="81">
        <f>Prog_23[[#This Row],[VLR NF]]*0.1%</f>
        <v>0</v>
      </c>
      <c r="BC543" s="81">
        <f>Prog_23[[#This Row],[VLR NF]]*0.05%</f>
        <v>0</v>
      </c>
      <c r="BD543" s="81"/>
      <c r="BE543" s="81"/>
      <c r="BF543" s="81"/>
      <c r="BG543" s="81"/>
      <c r="BH543" s="81"/>
      <c r="BI543" s="81"/>
      <c r="BJ543" s="81"/>
      <c r="BK543" s="81"/>
      <c r="BL543" s="81"/>
      <c r="BM543" s="81"/>
      <c r="BN543" s="66"/>
      <c r="BO543" s="66"/>
      <c r="BP543" s="66"/>
      <c r="BQ543" s="66" t="str">
        <f>PROPER(TEXT(Prog_23[[#This Row],[PROGRAMAÇÃO CLIENTE]],"mmm"))</f>
        <v>Jan</v>
      </c>
      <c r="BR543" s="66">
        <f>YEAR(Prog_23[[#This Row],[PROGRAMAÇÃO CLIENTE]])</f>
        <v>1900</v>
      </c>
    </row>
    <row r="544" spans="1:70" x14ac:dyDescent="0.25">
      <c r="A544" s="201">
        <f>Prog_23[[#This Row],[CONTEINER]]</f>
        <v>0</v>
      </c>
      <c r="B544" s="86"/>
      <c r="C5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44" s="44"/>
      <c r="E544" s="66"/>
      <c r="F544" s="66"/>
      <c r="G544" s="66"/>
      <c r="H544" s="44"/>
      <c r="I544" s="44"/>
      <c r="J544" s="66"/>
      <c r="K544" s="66"/>
      <c r="L544" s="66"/>
      <c r="M544" s="66"/>
      <c r="N544" s="66">
        <f>SUM(Prog_23[[#This Row],[TARA]]+Prog_23[[#This Row],[PESO]])</f>
        <v>0</v>
      </c>
      <c r="O544" s="44"/>
      <c r="P544" s="66"/>
      <c r="Q544" s="66"/>
      <c r="R544" s="66"/>
      <c r="S544" s="66"/>
      <c r="T544" s="138" t="str">
        <f>IFERROR(LOOKUP($S544,MOTORISTAS!$D$3:$D$916,MOTORISTAS!E$3:$E$916),"")</f>
        <v/>
      </c>
      <c r="U544" s="138" t="str">
        <f>IFERROR(LOOKUP($S544,MOTORISTAS!$D$3:$D$916,MOTORISTAS!F$3:$F$916),"")</f>
        <v/>
      </c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44"/>
      <c r="AG544" s="254">
        <f>Prog_23[[#This Row],[SAÍDA DO CLIENTE]]-Prog_23[[#This Row],[PROGRAMAÇÃO CLIENTE]]</f>
        <v>0</v>
      </c>
      <c r="AH544" s="44"/>
      <c r="AI544" s="66"/>
      <c r="AJ544" s="66"/>
      <c r="AK544" s="66"/>
      <c r="AL544" s="66"/>
      <c r="AM544" s="66"/>
      <c r="AN544" s="83"/>
      <c r="AO544" s="83"/>
      <c r="AP544" s="83"/>
      <c r="AQ544" s="66"/>
      <c r="AR544" s="66"/>
      <c r="AS544" s="66"/>
      <c r="AT544" s="81"/>
      <c r="AU544" s="81"/>
      <c r="AV544" s="81"/>
      <c r="AW544" s="81"/>
      <c r="AX544" s="83">
        <f>SUM(Prog_23[[#This Row],[ADIANTAMENTO]]+Prog_23[[#This Row],[SALDO]]+Prog_23[[#This Row],[MARGEM]]+Prog_23[[#This Row],[ESTADIA 1]])</f>
        <v>0</v>
      </c>
      <c r="AY5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44" s="81"/>
      <c r="BA544" s="81"/>
      <c r="BB544" s="81">
        <f>Prog_23[[#This Row],[VLR NF]]*0.1%</f>
        <v>0</v>
      </c>
      <c r="BC544" s="81">
        <f>Prog_23[[#This Row],[VLR NF]]*0.05%</f>
        <v>0</v>
      </c>
      <c r="BD544" s="81"/>
      <c r="BE544" s="81"/>
      <c r="BF544" s="81"/>
      <c r="BG544" s="81"/>
      <c r="BH544" s="81"/>
      <c r="BI544" s="81"/>
      <c r="BJ544" s="81"/>
      <c r="BK544" s="81"/>
      <c r="BL544" s="81"/>
      <c r="BM544" s="81"/>
      <c r="BN544" s="66"/>
      <c r="BO544" s="66"/>
      <c r="BP544" s="66"/>
      <c r="BQ544" s="66" t="str">
        <f>PROPER(TEXT(Prog_23[[#This Row],[PROGRAMAÇÃO CLIENTE]],"mmm"))</f>
        <v>Jan</v>
      </c>
      <c r="BR544" s="66">
        <f>YEAR(Prog_23[[#This Row],[PROGRAMAÇÃO CLIENTE]])</f>
        <v>1900</v>
      </c>
    </row>
    <row r="545" spans="1:70" x14ac:dyDescent="0.25">
      <c r="A545" s="200">
        <f>Prog_23[[#This Row],[CONTEINER]]</f>
        <v>0</v>
      </c>
      <c r="B545" s="86"/>
      <c r="C5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45" s="44"/>
      <c r="E545" s="66"/>
      <c r="F545" s="66"/>
      <c r="G545" s="66"/>
      <c r="H545" s="44"/>
      <c r="I545" s="44"/>
      <c r="J545" s="66"/>
      <c r="K545" s="66"/>
      <c r="L545" s="66"/>
      <c r="M545" s="66"/>
      <c r="N545" s="66">
        <f>SUM(Prog_23[[#This Row],[TARA]]+Prog_23[[#This Row],[PESO]])</f>
        <v>0</v>
      </c>
      <c r="O545" s="44"/>
      <c r="P545" s="66"/>
      <c r="Q545" s="66"/>
      <c r="R545" s="66"/>
      <c r="S545" s="66"/>
      <c r="T545" s="138" t="str">
        <f>IFERROR(LOOKUP($S545,MOTORISTAS!$D$3:$D$916,MOTORISTAS!E$3:$E$916),"")</f>
        <v/>
      </c>
      <c r="U545" s="138" t="str">
        <f>IFERROR(LOOKUP($S545,MOTORISTAS!$D$3:$D$916,MOTORISTAS!F$3:$F$916),"")</f>
        <v/>
      </c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44"/>
      <c r="AG545" s="254">
        <f>Prog_23[[#This Row],[SAÍDA DO CLIENTE]]-Prog_23[[#This Row],[PROGRAMAÇÃO CLIENTE]]</f>
        <v>0</v>
      </c>
      <c r="AH545" s="44"/>
      <c r="AI545" s="66"/>
      <c r="AJ545" s="66"/>
      <c r="AK545" s="66"/>
      <c r="AL545" s="66"/>
      <c r="AM545" s="66"/>
      <c r="AN545" s="83"/>
      <c r="AO545" s="83"/>
      <c r="AP545" s="83"/>
      <c r="AQ545" s="66"/>
      <c r="AR545" s="66"/>
      <c r="AS545" s="66"/>
      <c r="AT545" s="81"/>
      <c r="AU545" s="81"/>
      <c r="AV545" s="81"/>
      <c r="AW545" s="81"/>
      <c r="AX545" s="83">
        <f>SUM(Prog_23[[#This Row],[ADIANTAMENTO]]+Prog_23[[#This Row],[SALDO]]+Prog_23[[#This Row],[MARGEM]]+Prog_23[[#This Row],[ESTADIA 1]])</f>
        <v>0</v>
      </c>
      <c r="AY5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45" s="81"/>
      <c r="BA545" s="81"/>
      <c r="BB545" s="81">
        <f>Prog_23[[#This Row],[VLR NF]]*0.1%</f>
        <v>0</v>
      </c>
      <c r="BC545" s="81">
        <f>Prog_23[[#This Row],[VLR NF]]*0.05%</f>
        <v>0</v>
      </c>
      <c r="BD545" s="81"/>
      <c r="BE545" s="81"/>
      <c r="BF545" s="81"/>
      <c r="BG545" s="81"/>
      <c r="BH545" s="81"/>
      <c r="BI545" s="81"/>
      <c r="BJ545" s="81"/>
      <c r="BK545" s="81"/>
      <c r="BL545" s="81"/>
      <c r="BM545" s="81"/>
      <c r="BN545" s="66"/>
      <c r="BO545" s="66"/>
      <c r="BP545" s="66"/>
      <c r="BQ545" s="66" t="str">
        <f>PROPER(TEXT(Prog_23[[#This Row],[PROGRAMAÇÃO CLIENTE]],"mmm"))</f>
        <v>Jan</v>
      </c>
      <c r="BR545" s="66">
        <f>YEAR(Prog_23[[#This Row],[PROGRAMAÇÃO CLIENTE]])</f>
        <v>1900</v>
      </c>
    </row>
    <row r="546" spans="1:70" x14ac:dyDescent="0.25">
      <c r="A546" s="201">
        <f>Prog_23[[#This Row],[CONTEINER]]</f>
        <v>0</v>
      </c>
      <c r="B546" s="86"/>
      <c r="C5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46" s="44"/>
      <c r="E546" s="66"/>
      <c r="F546" s="66"/>
      <c r="G546" s="66"/>
      <c r="H546" s="44"/>
      <c r="I546" s="44"/>
      <c r="J546" s="66"/>
      <c r="K546" s="66"/>
      <c r="L546" s="66"/>
      <c r="M546" s="66"/>
      <c r="N546" s="66">
        <f>SUM(Prog_23[[#This Row],[TARA]]+Prog_23[[#This Row],[PESO]])</f>
        <v>0</v>
      </c>
      <c r="O546" s="44"/>
      <c r="P546" s="66"/>
      <c r="Q546" s="66"/>
      <c r="R546" s="66"/>
      <c r="S546" s="66"/>
      <c r="T546" s="138" t="str">
        <f>IFERROR(LOOKUP($S546,MOTORISTAS!$D$3:$D$916,MOTORISTAS!E$3:$E$916),"")</f>
        <v/>
      </c>
      <c r="U546" s="138" t="str">
        <f>IFERROR(LOOKUP($S546,MOTORISTAS!$D$3:$D$916,MOTORISTAS!F$3:$F$916),"")</f>
        <v/>
      </c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44"/>
      <c r="AG546" s="254">
        <f>Prog_23[[#This Row],[SAÍDA DO CLIENTE]]-Prog_23[[#This Row],[PROGRAMAÇÃO CLIENTE]]</f>
        <v>0</v>
      </c>
      <c r="AH546" s="44"/>
      <c r="AI546" s="66"/>
      <c r="AJ546" s="66"/>
      <c r="AK546" s="66"/>
      <c r="AL546" s="66"/>
      <c r="AM546" s="66"/>
      <c r="AN546" s="83"/>
      <c r="AO546" s="83"/>
      <c r="AP546" s="83"/>
      <c r="AQ546" s="66"/>
      <c r="AR546" s="66"/>
      <c r="AS546" s="66"/>
      <c r="AT546" s="81"/>
      <c r="AU546" s="81"/>
      <c r="AV546" s="81"/>
      <c r="AW546" s="81"/>
      <c r="AX546" s="83">
        <f>SUM(Prog_23[[#This Row],[ADIANTAMENTO]]+Prog_23[[#This Row],[SALDO]]+Prog_23[[#This Row],[MARGEM]]+Prog_23[[#This Row],[ESTADIA 1]])</f>
        <v>0</v>
      </c>
      <c r="AY5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46" s="81"/>
      <c r="BA546" s="81"/>
      <c r="BB546" s="81">
        <f>Prog_23[[#This Row],[VLR NF]]*0.1%</f>
        <v>0</v>
      </c>
      <c r="BC546" s="81">
        <f>Prog_23[[#This Row],[VLR NF]]*0.05%</f>
        <v>0</v>
      </c>
      <c r="BD546" s="81"/>
      <c r="BE546" s="81"/>
      <c r="BF546" s="81"/>
      <c r="BG546" s="81"/>
      <c r="BH546" s="81"/>
      <c r="BI546" s="81"/>
      <c r="BJ546" s="81"/>
      <c r="BK546" s="81"/>
      <c r="BL546" s="81"/>
      <c r="BM546" s="81"/>
      <c r="BN546" s="66"/>
      <c r="BO546" s="66"/>
      <c r="BP546" s="66"/>
      <c r="BQ546" s="66" t="str">
        <f>PROPER(TEXT(Prog_23[[#This Row],[PROGRAMAÇÃO CLIENTE]],"mmm"))</f>
        <v>Jan</v>
      </c>
      <c r="BR546" s="66">
        <f>YEAR(Prog_23[[#This Row],[PROGRAMAÇÃO CLIENTE]])</f>
        <v>1900</v>
      </c>
    </row>
    <row r="547" spans="1:70" x14ac:dyDescent="0.25">
      <c r="A547" s="200">
        <f>Prog_23[[#This Row],[CONTEINER]]</f>
        <v>0</v>
      </c>
      <c r="B547" s="86"/>
      <c r="C5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47" s="44"/>
      <c r="E547" s="66"/>
      <c r="F547" s="66"/>
      <c r="G547" s="66"/>
      <c r="H547" s="44"/>
      <c r="I547" s="44"/>
      <c r="J547" s="66"/>
      <c r="K547" s="66"/>
      <c r="L547" s="66"/>
      <c r="M547" s="66"/>
      <c r="N547" s="66">
        <f>SUM(Prog_23[[#This Row],[TARA]]+Prog_23[[#This Row],[PESO]])</f>
        <v>0</v>
      </c>
      <c r="O547" s="44"/>
      <c r="P547" s="66"/>
      <c r="Q547" s="66"/>
      <c r="R547" s="66"/>
      <c r="S547" s="66"/>
      <c r="T547" s="138" t="str">
        <f>IFERROR(LOOKUP($S547,MOTORISTAS!$D$3:$D$916,MOTORISTAS!E$3:$E$916),"")</f>
        <v/>
      </c>
      <c r="U547" s="138" t="str">
        <f>IFERROR(LOOKUP($S547,MOTORISTAS!$D$3:$D$916,MOTORISTAS!F$3:$F$916),"")</f>
        <v/>
      </c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44"/>
      <c r="AG547" s="254">
        <f>Prog_23[[#This Row],[SAÍDA DO CLIENTE]]-Prog_23[[#This Row],[PROGRAMAÇÃO CLIENTE]]</f>
        <v>0</v>
      </c>
      <c r="AH547" s="44"/>
      <c r="AI547" s="66"/>
      <c r="AJ547" s="66"/>
      <c r="AK547" s="66"/>
      <c r="AL547" s="66"/>
      <c r="AM547" s="66"/>
      <c r="AN547" s="83"/>
      <c r="AO547" s="83"/>
      <c r="AP547" s="83"/>
      <c r="AQ547" s="66"/>
      <c r="AR547" s="66"/>
      <c r="AS547" s="66"/>
      <c r="AT547" s="81"/>
      <c r="AU547" s="81"/>
      <c r="AV547" s="81"/>
      <c r="AW547" s="81"/>
      <c r="AX547" s="83">
        <f>SUM(Prog_23[[#This Row],[ADIANTAMENTO]]+Prog_23[[#This Row],[SALDO]]+Prog_23[[#This Row],[MARGEM]]+Prog_23[[#This Row],[ESTADIA 1]])</f>
        <v>0</v>
      </c>
      <c r="AY5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47" s="81"/>
      <c r="BA547" s="81"/>
      <c r="BB547" s="81">
        <f>Prog_23[[#This Row],[VLR NF]]*0.1%</f>
        <v>0</v>
      </c>
      <c r="BC547" s="81">
        <f>Prog_23[[#This Row],[VLR NF]]*0.05%</f>
        <v>0</v>
      </c>
      <c r="BD547" s="81"/>
      <c r="BE547" s="81"/>
      <c r="BF547" s="81"/>
      <c r="BG547" s="81"/>
      <c r="BH547" s="81"/>
      <c r="BI547" s="81"/>
      <c r="BJ547" s="81"/>
      <c r="BK547" s="81"/>
      <c r="BL547" s="81"/>
      <c r="BM547" s="81"/>
      <c r="BN547" s="66"/>
      <c r="BO547" s="66"/>
      <c r="BP547" s="66"/>
      <c r="BQ547" s="66" t="str">
        <f>PROPER(TEXT(Prog_23[[#This Row],[PROGRAMAÇÃO CLIENTE]],"mmm"))</f>
        <v>Jan</v>
      </c>
      <c r="BR547" s="66">
        <f>YEAR(Prog_23[[#This Row],[PROGRAMAÇÃO CLIENTE]])</f>
        <v>1900</v>
      </c>
    </row>
    <row r="548" spans="1:70" x14ac:dyDescent="0.25">
      <c r="A548" s="201">
        <f>Prog_23[[#This Row],[CONTEINER]]</f>
        <v>0</v>
      </c>
      <c r="B548" s="86"/>
      <c r="C5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48" s="44"/>
      <c r="E548" s="66"/>
      <c r="F548" s="66"/>
      <c r="G548" s="66"/>
      <c r="H548" s="44"/>
      <c r="I548" s="44"/>
      <c r="J548" s="66"/>
      <c r="K548" s="66"/>
      <c r="L548" s="66"/>
      <c r="M548" s="66"/>
      <c r="N548" s="66">
        <f>SUM(Prog_23[[#This Row],[TARA]]+Prog_23[[#This Row],[PESO]])</f>
        <v>0</v>
      </c>
      <c r="O548" s="44"/>
      <c r="P548" s="66"/>
      <c r="Q548" s="66"/>
      <c r="R548" s="66"/>
      <c r="S548" s="66"/>
      <c r="T548" s="138" t="str">
        <f>IFERROR(LOOKUP($S548,MOTORISTAS!$D$3:$D$916,MOTORISTAS!E$3:$E$916),"")</f>
        <v/>
      </c>
      <c r="U548" s="138" t="str">
        <f>IFERROR(LOOKUP($S548,MOTORISTAS!$D$3:$D$916,MOTORISTAS!F$3:$F$916),"")</f>
        <v/>
      </c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44"/>
      <c r="AG548" s="254">
        <f>Prog_23[[#This Row],[SAÍDA DO CLIENTE]]-Prog_23[[#This Row],[PROGRAMAÇÃO CLIENTE]]</f>
        <v>0</v>
      </c>
      <c r="AH548" s="44"/>
      <c r="AI548" s="66"/>
      <c r="AJ548" s="66"/>
      <c r="AK548" s="66"/>
      <c r="AL548" s="66"/>
      <c r="AM548" s="66"/>
      <c r="AN548" s="83"/>
      <c r="AO548" s="83"/>
      <c r="AP548" s="83"/>
      <c r="AQ548" s="66"/>
      <c r="AR548" s="66"/>
      <c r="AS548" s="66"/>
      <c r="AT548" s="81"/>
      <c r="AU548" s="81"/>
      <c r="AV548" s="81"/>
      <c r="AW548" s="81"/>
      <c r="AX548" s="83">
        <f>SUM(Prog_23[[#This Row],[ADIANTAMENTO]]+Prog_23[[#This Row],[SALDO]]+Prog_23[[#This Row],[MARGEM]]+Prog_23[[#This Row],[ESTADIA 1]])</f>
        <v>0</v>
      </c>
      <c r="AY5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48" s="81"/>
      <c r="BA548" s="81"/>
      <c r="BB548" s="81">
        <f>Prog_23[[#This Row],[VLR NF]]*0.1%</f>
        <v>0</v>
      </c>
      <c r="BC548" s="81">
        <f>Prog_23[[#This Row],[VLR NF]]*0.05%</f>
        <v>0</v>
      </c>
      <c r="BD548" s="81"/>
      <c r="BE548" s="81"/>
      <c r="BF548" s="81"/>
      <c r="BG548" s="81"/>
      <c r="BH548" s="81"/>
      <c r="BI548" s="81"/>
      <c r="BJ548" s="81"/>
      <c r="BK548" s="81"/>
      <c r="BL548" s="81"/>
      <c r="BM548" s="81"/>
      <c r="BN548" s="66"/>
      <c r="BO548" s="66"/>
      <c r="BP548" s="66"/>
      <c r="BQ548" s="66" t="str">
        <f>PROPER(TEXT(Prog_23[[#This Row],[PROGRAMAÇÃO CLIENTE]],"mmm"))</f>
        <v>Jan</v>
      </c>
      <c r="BR548" s="66">
        <f>YEAR(Prog_23[[#This Row],[PROGRAMAÇÃO CLIENTE]])</f>
        <v>1900</v>
      </c>
    </row>
    <row r="549" spans="1:70" x14ac:dyDescent="0.25">
      <c r="A549" s="200">
        <f>Prog_23[[#This Row],[CONTEINER]]</f>
        <v>0</v>
      </c>
      <c r="B549" s="86"/>
      <c r="C5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49" s="44"/>
      <c r="E549" s="66"/>
      <c r="F549" s="66"/>
      <c r="G549" s="66"/>
      <c r="H549" s="44"/>
      <c r="I549" s="44"/>
      <c r="J549" s="66"/>
      <c r="K549" s="66"/>
      <c r="L549" s="66"/>
      <c r="M549" s="66"/>
      <c r="N549" s="66">
        <f>SUM(Prog_23[[#This Row],[TARA]]+Prog_23[[#This Row],[PESO]])</f>
        <v>0</v>
      </c>
      <c r="O549" s="44"/>
      <c r="P549" s="66"/>
      <c r="Q549" s="66"/>
      <c r="R549" s="66"/>
      <c r="S549" s="66"/>
      <c r="T549" s="138" t="str">
        <f>IFERROR(LOOKUP($S549,MOTORISTAS!$D$3:$D$916,MOTORISTAS!E$3:$E$916),"")</f>
        <v/>
      </c>
      <c r="U549" s="138" t="str">
        <f>IFERROR(LOOKUP($S549,MOTORISTAS!$D$3:$D$916,MOTORISTAS!F$3:$F$916),"")</f>
        <v/>
      </c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44"/>
      <c r="AG549" s="254">
        <f>Prog_23[[#This Row],[SAÍDA DO CLIENTE]]-Prog_23[[#This Row],[PROGRAMAÇÃO CLIENTE]]</f>
        <v>0</v>
      </c>
      <c r="AH549" s="44"/>
      <c r="AI549" s="66"/>
      <c r="AJ549" s="66"/>
      <c r="AK549" s="66"/>
      <c r="AL549" s="66"/>
      <c r="AM549" s="66"/>
      <c r="AN549" s="83"/>
      <c r="AO549" s="83"/>
      <c r="AP549" s="83"/>
      <c r="AQ549" s="66"/>
      <c r="AR549" s="66"/>
      <c r="AS549" s="66"/>
      <c r="AT549" s="81"/>
      <c r="AU549" s="81"/>
      <c r="AV549" s="81"/>
      <c r="AW549" s="81"/>
      <c r="AX549" s="83">
        <f>SUM(Prog_23[[#This Row],[ADIANTAMENTO]]+Prog_23[[#This Row],[SALDO]]+Prog_23[[#This Row],[MARGEM]]+Prog_23[[#This Row],[ESTADIA 1]])</f>
        <v>0</v>
      </c>
      <c r="AY5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49" s="81"/>
      <c r="BA549" s="81"/>
      <c r="BB549" s="81">
        <f>Prog_23[[#This Row],[VLR NF]]*0.1%</f>
        <v>0</v>
      </c>
      <c r="BC549" s="81">
        <f>Prog_23[[#This Row],[VLR NF]]*0.05%</f>
        <v>0</v>
      </c>
      <c r="BD549" s="81"/>
      <c r="BE549" s="81"/>
      <c r="BF549" s="81"/>
      <c r="BG549" s="81"/>
      <c r="BH549" s="81"/>
      <c r="BI549" s="81"/>
      <c r="BJ549" s="81"/>
      <c r="BK549" s="81"/>
      <c r="BL549" s="81"/>
      <c r="BM549" s="81"/>
      <c r="BN549" s="66"/>
      <c r="BO549" s="66"/>
      <c r="BP549" s="66"/>
      <c r="BQ549" s="66" t="str">
        <f>PROPER(TEXT(Prog_23[[#This Row],[PROGRAMAÇÃO CLIENTE]],"mmm"))</f>
        <v>Jan</v>
      </c>
      <c r="BR549" s="66">
        <f>YEAR(Prog_23[[#This Row],[PROGRAMAÇÃO CLIENTE]])</f>
        <v>1900</v>
      </c>
    </row>
    <row r="550" spans="1:70" x14ac:dyDescent="0.25">
      <c r="A550" s="201">
        <f>Prog_23[[#This Row],[CONTEINER]]</f>
        <v>0</v>
      </c>
      <c r="B550" s="86"/>
      <c r="C5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50" s="44"/>
      <c r="E550" s="66"/>
      <c r="F550" s="66"/>
      <c r="G550" s="66"/>
      <c r="H550" s="44"/>
      <c r="I550" s="44"/>
      <c r="J550" s="66"/>
      <c r="K550" s="66"/>
      <c r="L550" s="66"/>
      <c r="M550" s="66"/>
      <c r="N550" s="66">
        <f>SUM(Prog_23[[#This Row],[TARA]]+Prog_23[[#This Row],[PESO]])</f>
        <v>0</v>
      </c>
      <c r="O550" s="44"/>
      <c r="P550" s="66"/>
      <c r="Q550" s="66"/>
      <c r="R550" s="66"/>
      <c r="S550" s="66"/>
      <c r="T550" s="138" t="str">
        <f>IFERROR(LOOKUP($S550,MOTORISTAS!$D$3:$D$916,MOTORISTAS!E$3:$E$916),"")</f>
        <v/>
      </c>
      <c r="U550" s="138" t="str">
        <f>IFERROR(LOOKUP($S550,MOTORISTAS!$D$3:$D$916,MOTORISTAS!F$3:$F$916),"")</f>
        <v/>
      </c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44"/>
      <c r="AG550" s="254">
        <f>Prog_23[[#This Row],[SAÍDA DO CLIENTE]]-Prog_23[[#This Row],[PROGRAMAÇÃO CLIENTE]]</f>
        <v>0</v>
      </c>
      <c r="AH550" s="44"/>
      <c r="AI550" s="66"/>
      <c r="AJ550" s="66"/>
      <c r="AK550" s="66"/>
      <c r="AL550" s="66"/>
      <c r="AM550" s="66"/>
      <c r="AN550" s="83"/>
      <c r="AO550" s="83"/>
      <c r="AP550" s="83"/>
      <c r="AQ550" s="66"/>
      <c r="AR550" s="66"/>
      <c r="AS550" s="66"/>
      <c r="AT550" s="81"/>
      <c r="AU550" s="81"/>
      <c r="AV550" s="81"/>
      <c r="AW550" s="81"/>
      <c r="AX550" s="83">
        <f>SUM(Prog_23[[#This Row],[ADIANTAMENTO]]+Prog_23[[#This Row],[SALDO]]+Prog_23[[#This Row],[MARGEM]]+Prog_23[[#This Row],[ESTADIA 1]])</f>
        <v>0</v>
      </c>
      <c r="AY5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50" s="81"/>
      <c r="BA550" s="81"/>
      <c r="BB550" s="81">
        <f>Prog_23[[#This Row],[VLR NF]]*0.1%</f>
        <v>0</v>
      </c>
      <c r="BC550" s="81">
        <f>Prog_23[[#This Row],[VLR NF]]*0.05%</f>
        <v>0</v>
      </c>
      <c r="BD550" s="81"/>
      <c r="BE550" s="81"/>
      <c r="BF550" s="81"/>
      <c r="BG550" s="81"/>
      <c r="BH550" s="81"/>
      <c r="BI550" s="81"/>
      <c r="BJ550" s="81"/>
      <c r="BK550" s="81"/>
      <c r="BL550" s="81"/>
      <c r="BM550" s="81"/>
      <c r="BN550" s="66"/>
      <c r="BO550" s="66"/>
      <c r="BP550" s="66"/>
      <c r="BQ550" s="66" t="str">
        <f>PROPER(TEXT(Prog_23[[#This Row],[PROGRAMAÇÃO CLIENTE]],"mmm"))</f>
        <v>Jan</v>
      </c>
      <c r="BR550" s="66">
        <f>YEAR(Prog_23[[#This Row],[PROGRAMAÇÃO CLIENTE]])</f>
        <v>1900</v>
      </c>
    </row>
    <row r="551" spans="1:70" x14ac:dyDescent="0.25">
      <c r="A551" s="200">
        <f>Prog_23[[#This Row],[CONTEINER]]</f>
        <v>0</v>
      </c>
      <c r="B551" s="86"/>
      <c r="C5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51" s="44"/>
      <c r="E551" s="66"/>
      <c r="F551" s="66"/>
      <c r="G551" s="66"/>
      <c r="H551" s="44"/>
      <c r="I551" s="44"/>
      <c r="J551" s="66"/>
      <c r="K551" s="66"/>
      <c r="L551" s="66"/>
      <c r="M551" s="66"/>
      <c r="N551" s="66">
        <f>SUM(Prog_23[[#This Row],[TARA]]+Prog_23[[#This Row],[PESO]])</f>
        <v>0</v>
      </c>
      <c r="O551" s="44"/>
      <c r="P551" s="66"/>
      <c r="Q551" s="66"/>
      <c r="R551" s="66"/>
      <c r="S551" s="66"/>
      <c r="T551" s="138" t="str">
        <f>IFERROR(LOOKUP($S551,MOTORISTAS!$D$3:$D$916,MOTORISTAS!E$3:$E$916),"")</f>
        <v/>
      </c>
      <c r="U551" s="138" t="str">
        <f>IFERROR(LOOKUP($S551,MOTORISTAS!$D$3:$D$916,MOTORISTAS!F$3:$F$916),"")</f>
        <v/>
      </c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44"/>
      <c r="AG551" s="254">
        <f>Prog_23[[#This Row],[SAÍDA DO CLIENTE]]-Prog_23[[#This Row],[PROGRAMAÇÃO CLIENTE]]</f>
        <v>0</v>
      </c>
      <c r="AH551" s="44"/>
      <c r="AI551" s="66"/>
      <c r="AJ551" s="66"/>
      <c r="AK551" s="66"/>
      <c r="AL551" s="66"/>
      <c r="AM551" s="66"/>
      <c r="AN551" s="83"/>
      <c r="AO551" s="83"/>
      <c r="AP551" s="83"/>
      <c r="AQ551" s="66"/>
      <c r="AR551" s="66"/>
      <c r="AS551" s="66"/>
      <c r="AT551" s="81"/>
      <c r="AU551" s="81"/>
      <c r="AV551" s="81"/>
      <c r="AW551" s="81"/>
      <c r="AX551" s="83">
        <f>SUM(Prog_23[[#This Row],[ADIANTAMENTO]]+Prog_23[[#This Row],[SALDO]]+Prog_23[[#This Row],[MARGEM]]+Prog_23[[#This Row],[ESTADIA 1]])</f>
        <v>0</v>
      </c>
      <c r="AY5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51" s="81"/>
      <c r="BA551" s="81"/>
      <c r="BB551" s="81">
        <f>Prog_23[[#This Row],[VLR NF]]*0.1%</f>
        <v>0</v>
      </c>
      <c r="BC551" s="81">
        <f>Prog_23[[#This Row],[VLR NF]]*0.05%</f>
        <v>0</v>
      </c>
      <c r="BD551" s="81"/>
      <c r="BE551" s="81"/>
      <c r="BF551" s="81"/>
      <c r="BG551" s="81"/>
      <c r="BH551" s="81"/>
      <c r="BI551" s="81"/>
      <c r="BJ551" s="81"/>
      <c r="BK551" s="81"/>
      <c r="BL551" s="81"/>
      <c r="BM551" s="81"/>
      <c r="BN551" s="66"/>
      <c r="BO551" s="66"/>
      <c r="BP551" s="66"/>
      <c r="BQ551" s="66" t="str">
        <f>PROPER(TEXT(Prog_23[[#This Row],[PROGRAMAÇÃO CLIENTE]],"mmm"))</f>
        <v>Jan</v>
      </c>
      <c r="BR551" s="66">
        <f>YEAR(Prog_23[[#This Row],[PROGRAMAÇÃO CLIENTE]])</f>
        <v>1900</v>
      </c>
    </row>
    <row r="552" spans="1:70" x14ac:dyDescent="0.25">
      <c r="A552" s="201">
        <f>Prog_23[[#This Row],[CONTEINER]]</f>
        <v>0</v>
      </c>
      <c r="B552" s="86"/>
      <c r="C5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52" s="44"/>
      <c r="E552" s="66"/>
      <c r="F552" s="66"/>
      <c r="G552" s="66"/>
      <c r="H552" s="44"/>
      <c r="I552" s="44"/>
      <c r="J552" s="66"/>
      <c r="K552" s="66"/>
      <c r="L552" s="66"/>
      <c r="M552" s="66"/>
      <c r="N552" s="66">
        <f>SUM(Prog_23[[#This Row],[TARA]]+Prog_23[[#This Row],[PESO]])</f>
        <v>0</v>
      </c>
      <c r="O552" s="44"/>
      <c r="P552" s="66"/>
      <c r="Q552" s="66"/>
      <c r="R552" s="66"/>
      <c r="S552" s="66"/>
      <c r="T552" s="138" t="str">
        <f>IFERROR(LOOKUP($S552,MOTORISTAS!$D$3:$D$916,MOTORISTAS!E$3:$E$916),"")</f>
        <v/>
      </c>
      <c r="U552" s="138" t="str">
        <f>IFERROR(LOOKUP($S552,MOTORISTAS!$D$3:$D$916,MOTORISTAS!F$3:$F$916),"")</f>
        <v/>
      </c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44"/>
      <c r="AG552" s="254">
        <f>Prog_23[[#This Row],[SAÍDA DO CLIENTE]]-Prog_23[[#This Row],[PROGRAMAÇÃO CLIENTE]]</f>
        <v>0</v>
      </c>
      <c r="AH552" s="44"/>
      <c r="AI552" s="66"/>
      <c r="AJ552" s="66"/>
      <c r="AK552" s="66"/>
      <c r="AL552" s="66"/>
      <c r="AM552" s="66"/>
      <c r="AN552" s="83"/>
      <c r="AO552" s="83"/>
      <c r="AP552" s="83"/>
      <c r="AQ552" s="66"/>
      <c r="AR552" s="66"/>
      <c r="AS552" s="66"/>
      <c r="AT552" s="81"/>
      <c r="AU552" s="81"/>
      <c r="AV552" s="81"/>
      <c r="AW552" s="81"/>
      <c r="AX552" s="83">
        <f>SUM(Prog_23[[#This Row],[ADIANTAMENTO]]+Prog_23[[#This Row],[SALDO]]+Prog_23[[#This Row],[MARGEM]]+Prog_23[[#This Row],[ESTADIA 1]])</f>
        <v>0</v>
      </c>
      <c r="AY5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52" s="81"/>
      <c r="BA552" s="81"/>
      <c r="BB552" s="81">
        <f>Prog_23[[#This Row],[VLR NF]]*0.1%</f>
        <v>0</v>
      </c>
      <c r="BC552" s="81">
        <f>Prog_23[[#This Row],[VLR NF]]*0.05%</f>
        <v>0</v>
      </c>
      <c r="BD552" s="81"/>
      <c r="BE552" s="81"/>
      <c r="BF552" s="81"/>
      <c r="BG552" s="81"/>
      <c r="BH552" s="81"/>
      <c r="BI552" s="81"/>
      <c r="BJ552" s="81"/>
      <c r="BK552" s="81"/>
      <c r="BL552" s="81"/>
      <c r="BM552" s="81"/>
      <c r="BN552" s="66"/>
      <c r="BO552" s="66"/>
      <c r="BP552" s="66"/>
      <c r="BQ552" s="66" t="str">
        <f>PROPER(TEXT(Prog_23[[#This Row],[PROGRAMAÇÃO CLIENTE]],"mmm"))</f>
        <v>Jan</v>
      </c>
      <c r="BR552" s="66">
        <f>YEAR(Prog_23[[#This Row],[PROGRAMAÇÃO CLIENTE]])</f>
        <v>1900</v>
      </c>
    </row>
    <row r="553" spans="1:70" x14ac:dyDescent="0.25">
      <c r="A553" s="200">
        <f>Prog_23[[#This Row],[CONTEINER]]</f>
        <v>0</v>
      </c>
      <c r="B553" s="86"/>
      <c r="C5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53" s="44"/>
      <c r="E553" s="66"/>
      <c r="F553" s="66"/>
      <c r="G553" s="66"/>
      <c r="H553" s="44"/>
      <c r="I553" s="44"/>
      <c r="J553" s="66"/>
      <c r="K553" s="66"/>
      <c r="L553" s="66"/>
      <c r="M553" s="66"/>
      <c r="N553" s="66">
        <f>SUM(Prog_23[[#This Row],[TARA]]+Prog_23[[#This Row],[PESO]])</f>
        <v>0</v>
      </c>
      <c r="O553" s="44"/>
      <c r="P553" s="66"/>
      <c r="Q553" s="66"/>
      <c r="R553" s="66"/>
      <c r="S553" s="66"/>
      <c r="T553" s="138" t="str">
        <f>IFERROR(LOOKUP($S553,MOTORISTAS!$D$3:$D$916,MOTORISTAS!E$3:$E$916),"")</f>
        <v/>
      </c>
      <c r="U553" s="138" t="str">
        <f>IFERROR(LOOKUP($S553,MOTORISTAS!$D$3:$D$916,MOTORISTAS!F$3:$F$916),"")</f>
        <v/>
      </c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44"/>
      <c r="AG553" s="254">
        <f>Prog_23[[#This Row],[SAÍDA DO CLIENTE]]-Prog_23[[#This Row],[PROGRAMAÇÃO CLIENTE]]</f>
        <v>0</v>
      </c>
      <c r="AH553" s="44"/>
      <c r="AI553" s="66"/>
      <c r="AJ553" s="66"/>
      <c r="AK553" s="66"/>
      <c r="AL553" s="66"/>
      <c r="AM553" s="66"/>
      <c r="AN553" s="83"/>
      <c r="AO553" s="83"/>
      <c r="AP553" s="83"/>
      <c r="AQ553" s="66"/>
      <c r="AR553" s="66"/>
      <c r="AS553" s="66"/>
      <c r="AT553" s="81"/>
      <c r="AU553" s="81"/>
      <c r="AV553" s="81"/>
      <c r="AW553" s="81"/>
      <c r="AX553" s="83">
        <f>SUM(Prog_23[[#This Row],[ADIANTAMENTO]]+Prog_23[[#This Row],[SALDO]]+Prog_23[[#This Row],[MARGEM]]+Prog_23[[#This Row],[ESTADIA 1]])</f>
        <v>0</v>
      </c>
      <c r="AY5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53" s="81"/>
      <c r="BA553" s="81"/>
      <c r="BB553" s="81">
        <f>Prog_23[[#This Row],[VLR NF]]*0.1%</f>
        <v>0</v>
      </c>
      <c r="BC553" s="81">
        <f>Prog_23[[#This Row],[VLR NF]]*0.05%</f>
        <v>0</v>
      </c>
      <c r="BD553" s="81"/>
      <c r="BE553" s="81"/>
      <c r="BF553" s="81"/>
      <c r="BG553" s="81"/>
      <c r="BH553" s="81"/>
      <c r="BI553" s="81"/>
      <c r="BJ553" s="81"/>
      <c r="BK553" s="81"/>
      <c r="BL553" s="81"/>
      <c r="BM553" s="81"/>
      <c r="BN553" s="66"/>
      <c r="BO553" s="66"/>
      <c r="BP553" s="66"/>
      <c r="BQ553" s="66" t="str">
        <f>PROPER(TEXT(Prog_23[[#This Row],[PROGRAMAÇÃO CLIENTE]],"mmm"))</f>
        <v>Jan</v>
      </c>
      <c r="BR553" s="66">
        <f>YEAR(Prog_23[[#This Row],[PROGRAMAÇÃO CLIENTE]])</f>
        <v>1900</v>
      </c>
    </row>
    <row r="554" spans="1:70" x14ac:dyDescent="0.25">
      <c r="A554" s="201">
        <f>Prog_23[[#This Row],[CONTEINER]]</f>
        <v>0</v>
      </c>
      <c r="B554" s="86"/>
      <c r="C5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54" s="44"/>
      <c r="E554" s="66"/>
      <c r="F554" s="66"/>
      <c r="G554" s="66"/>
      <c r="H554" s="44"/>
      <c r="I554" s="44"/>
      <c r="J554" s="66"/>
      <c r="K554" s="66"/>
      <c r="L554" s="66"/>
      <c r="M554" s="66"/>
      <c r="N554" s="66">
        <f>SUM(Prog_23[[#This Row],[TARA]]+Prog_23[[#This Row],[PESO]])</f>
        <v>0</v>
      </c>
      <c r="O554" s="44"/>
      <c r="P554" s="66"/>
      <c r="Q554" s="66"/>
      <c r="R554" s="66"/>
      <c r="S554" s="66"/>
      <c r="T554" s="138" t="str">
        <f>IFERROR(LOOKUP($S554,MOTORISTAS!$D$3:$D$916,MOTORISTAS!E$3:$E$916),"")</f>
        <v/>
      </c>
      <c r="U554" s="138" t="str">
        <f>IFERROR(LOOKUP($S554,MOTORISTAS!$D$3:$D$916,MOTORISTAS!F$3:$F$916),"")</f>
        <v/>
      </c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44"/>
      <c r="AG554" s="254">
        <f>Prog_23[[#This Row],[SAÍDA DO CLIENTE]]-Prog_23[[#This Row],[PROGRAMAÇÃO CLIENTE]]</f>
        <v>0</v>
      </c>
      <c r="AH554" s="44"/>
      <c r="AI554" s="66"/>
      <c r="AJ554" s="66"/>
      <c r="AK554" s="66"/>
      <c r="AL554" s="66"/>
      <c r="AM554" s="66"/>
      <c r="AN554" s="83"/>
      <c r="AO554" s="83"/>
      <c r="AP554" s="83"/>
      <c r="AQ554" s="66"/>
      <c r="AR554" s="66"/>
      <c r="AS554" s="66"/>
      <c r="AT554" s="81"/>
      <c r="AU554" s="81"/>
      <c r="AV554" s="81"/>
      <c r="AW554" s="81"/>
      <c r="AX554" s="83">
        <f>SUM(Prog_23[[#This Row],[ADIANTAMENTO]]+Prog_23[[#This Row],[SALDO]]+Prog_23[[#This Row],[MARGEM]]+Prog_23[[#This Row],[ESTADIA 1]])</f>
        <v>0</v>
      </c>
      <c r="AY5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54" s="81"/>
      <c r="BA554" s="81"/>
      <c r="BB554" s="81">
        <f>Prog_23[[#This Row],[VLR NF]]*0.1%</f>
        <v>0</v>
      </c>
      <c r="BC554" s="81">
        <f>Prog_23[[#This Row],[VLR NF]]*0.05%</f>
        <v>0</v>
      </c>
      <c r="BD554" s="81"/>
      <c r="BE554" s="81"/>
      <c r="BF554" s="81"/>
      <c r="BG554" s="81"/>
      <c r="BH554" s="81"/>
      <c r="BI554" s="81"/>
      <c r="BJ554" s="81"/>
      <c r="BK554" s="81"/>
      <c r="BL554" s="81"/>
      <c r="BM554" s="81"/>
      <c r="BN554" s="66"/>
      <c r="BO554" s="66"/>
      <c r="BP554" s="66"/>
      <c r="BQ554" s="66" t="str">
        <f>PROPER(TEXT(Prog_23[[#This Row],[PROGRAMAÇÃO CLIENTE]],"mmm"))</f>
        <v>Jan</v>
      </c>
      <c r="BR554" s="66">
        <f>YEAR(Prog_23[[#This Row],[PROGRAMAÇÃO CLIENTE]])</f>
        <v>1900</v>
      </c>
    </row>
    <row r="555" spans="1:70" x14ac:dyDescent="0.25">
      <c r="A555" s="200">
        <f>Prog_23[[#This Row],[CONTEINER]]</f>
        <v>0</v>
      </c>
      <c r="B555" s="86"/>
      <c r="C5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55" s="44"/>
      <c r="E555" s="66"/>
      <c r="F555" s="66"/>
      <c r="G555" s="66"/>
      <c r="H555" s="44"/>
      <c r="I555" s="44"/>
      <c r="J555" s="66"/>
      <c r="K555" s="66"/>
      <c r="L555" s="66"/>
      <c r="M555" s="66"/>
      <c r="N555" s="66">
        <f>SUM(Prog_23[[#This Row],[TARA]]+Prog_23[[#This Row],[PESO]])</f>
        <v>0</v>
      </c>
      <c r="O555" s="44"/>
      <c r="P555" s="66"/>
      <c r="Q555" s="66"/>
      <c r="R555" s="66"/>
      <c r="S555" s="66"/>
      <c r="T555" s="138" t="str">
        <f>IFERROR(LOOKUP($S555,MOTORISTAS!$D$3:$D$916,MOTORISTAS!E$3:$E$916),"")</f>
        <v/>
      </c>
      <c r="U555" s="138" t="str">
        <f>IFERROR(LOOKUP($S555,MOTORISTAS!$D$3:$D$916,MOTORISTAS!F$3:$F$916),"")</f>
        <v/>
      </c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44"/>
      <c r="AG555" s="254">
        <f>Prog_23[[#This Row],[SAÍDA DO CLIENTE]]-Prog_23[[#This Row],[PROGRAMAÇÃO CLIENTE]]</f>
        <v>0</v>
      </c>
      <c r="AH555" s="44"/>
      <c r="AI555" s="66"/>
      <c r="AJ555" s="66"/>
      <c r="AK555" s="66"/>
      <c r="AL555" s="66"/>
      <c r="AM555" s="66"/>
      <c r="AN555" s="83"/>
      <c r="AO555" s="83"/>
      <c r="AP555" s="83"/>
      <c r="AQ555" s="66"/>
      <c r="AR555" s="66"/>
      <c r="AS555" s="66"/>
      <c r="AT555" s="81"/>
      <c r="AU555" s="81"/>
      <c r="AV555" s="81"/>
      <c r="AW555" s="81"/>
      <c r="AX555" s="83">
        <f>SUM(Prog_23[[#This Row],[ADIANTAMENTO]]+Prog_23[[#This Row],[SALDO]]+Prog_23[[#This Row],[MARGEM]]+Prog_23[[#This Row],[ESTADIA 1]])</f>
        <v>0</v>
      </c>
      <c r="AY5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55" s="81"/>
      <c r="BA555" s="81"/>
      <c r="BB555" s="81">
        <f>Prog_23[[#This Row],[VLR NF]]*0.1%</f>
        <v>0</v>
      </c>
      <c r="BC555" s="81">
        <f>Prog_23[[#This Row],[VLR NF]]*0.05%</f>
        <v>0</v>
      </c>
      <c r="BD555" s="81"/>
      <c r="BE555" s="81"/>
      <c r="BF555" s="81"/>
      <c r="BG555" s="81"/>
      <c r="BH555" s="81"/>
      <c r="BI555" s="81"/>
      <c r="BJ555" s="81"/>
      <c r="BK555" s="81"/>
      <c r="BL555" s="81"/>
      <c r="BM555" s="81"/>
      <c r="BN555" s="66"/>
      <c r="BO555" s="66"/>
      <c r="BP555" s="66"/>
      <c r="BQ555" s="66" t="str">
        <f>PROPER(TEXT(Prog_23[[#This Row],[PROGRAMAÇÃO CLIENTE]],"mmm"))</f>
        <v>Jan</v>
      </c>
      <c r="BR555" s="66">
        <f>YEAR(Prog_23[[#This Row],[PROGRAMAÇÃO CLIENTE]])</f>
        <v>1900</v>
      </c>
    </row>
    <row r="556" spans="1:70" x14ac:dyDescent="0.25">
      <c r="A556" s="201">
        <f>Prog_23[[#This Row],[CONTEINER]]</f>
        <v>0</v>
      </c>
      <c r="B556" s="86"/>
      <c r="C5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56" s="44"/>
      <c r="E556" s="66"/>
      <c r="F556" s="66"/>
      <c r="G556" s="66"/>
      <c r="H556" s="44"/>
      <c r="I556" s="44"/>
      <c r="J556" s="66"/>
      <c r="K556" s="66"/>
      <c r="L556" s="66"/>
      <c r="M556" s="66"/>
      <c r="N556" s="66">
        <f>SUM(Prog_23[[#This Row],[TARA]]+Prog_23[[#This Row],[PESO]])</f>
        <v>0</v>
      </c>
      <c r="O556" s="44"/>
      <c r="P556" s="66"/>
      <c r="Q556" s="66"/>
      <c r="R556" s="66"/>
      <c r="S556" s="66"/>
      <c r="T556" s="138" t="str">
        <f>IFERROR(LOOKUP($S556,MOTORISTAS!$D$3:$D$916,MOTORISTAS!E$3:$E$916),"")</f>
        <v/>
      </c>
      <c r="U556" s="138" t="str">
        <f>IFERROR(LOOKUP($S556,MOTORISTAS!$D$3:$D$916,MOTORISTAS!F$3:$F$916),"")</f>
        <v/>
      </c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44"/>
      <c r="AG556" s="254">
        <f>Prog_23[[#This Row],[SAÍDA DO CLIENTE]]-Prog_23[[#This Row],[PROGRAMAÇÃO CLIENTE]]</f>
        <v>0</v>
      </c>
      <c r="AH556" s="44"/>
      <c r="AI556" s="66"/>
      <c r="AJ556" s="66"/>
      <c r="AK556" s="66"/>
      <c r="AL556" s="66"/>
      <c r="AM556" s="66"/>
      <c r="AN556" s="83"/>
      <c r="AO556" s="83"/>
      <c r="AP556" s="83"/>
      <c r="AQ556" s="66"/>
      <c r="AR556" s="66"/>
      <c r="AS556" s="66"/>
      <c r="AT556" s="81"/>
      <c r="AU556" s="81"/>
      <c r="AV556" s="81"/>
      <c r="AW556" s="81"/>
      <c r="AX556" s="83">
        <f>SUM(Prog_23[[#This Row],[ADIANTAMENTO]]+Prog_23[[#This Row],[SALDO]]+Prog_23[[#This Row],[MARGEM]]+Prog_23[[#This Row],[ESTADIA 1]])</f>
        <v>0</v>
      </c>
      <c r="AY5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56" s="81"/>
      <c r="BA556" s="81"/>
      <c r="BB556" s="81">
        <f>Prog_23[[#This Row],[VLR NF]]*0.1%</f>
        <v>0</v>
      </c>
      <c r="BC556" s="81">
        <f>Prog_23[[#This Row],[VLR NF]]*0.05%</f>
        <v>0</v>
      </c>
      <c r="BD556" s="81"/>
      <c r="BE556" s="81"/>
      <c r="BF556" s="81"/>
      <c r="BG556" s="81"/>
      <c r="BH556" s="81"/>
      <c r="BI556" s="81"/>
      <c r="BJ556" s="81"/>
      <c r="BK556" s="81"/>
      <c r="BL556" s="81"/>
      <c r="BM556" s="81"/>
      <c r="BN556" s="66"/>
      <c r="BO556" s="66"/>
      <c r="BP556" s="66"/>
      <c r="BQ556" s="66" t="str">
        <f>PROPER(TEXT(Prog_23[[#This Row],[PROGRAMAÇÃO CLIENTE]],"mmm"))</f>
        <v>Jan</v>
      </c>
      <c r="BR556" s="66">
        <f>YEAR(Prog_23[[#This Row],[PROGRAMAÇÃO CLIENTE]])</f>
        <v>1900</v>
      </c>
    </row>
    <row r="557" spans="1:70" x14ac:dyDescent="0.25">
      <c r="A557" s="200">
        <f>Prog_23[[#This Row],[CONTEINER]]</f>
        <v>0</v>
      </c>
      <c r="B557" s="86"/>
      <c r="C5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57" s="44"/>
      <c r="E557" s="66"/>
      <c r="F557" s="66"/>
      <c r="G557" s="66"/>
      <c r="H557" s="44"/>
      <c r="I557" s="44"/>
      <c r="J557" s="66"/>
      <c r="K557" s="66"/>
      <c r="L557" s="66"/>
      <c r="M557" s="66"/>
      <c r="N557" s="66">
        <f>SUM(Prog_23[[#This Row],[TARA]]+Prog_23[[#This Row],[PESO]])</f>
        <v>0</v>
      </c>
      <c r="O557" s="44"/>
      <c r="P557" s="66"/>
      <c r="Q557" s="66"/>
      <c r="R557" s="66"/>
      <c r="S557" s="66"/>
      <c r="T557" s="138" t="str">
        <f>IFERROR(LOOKUP($S557,MOTORISTAS!$D$3:$D$916,MOTORISTAS!E$3:$E$916),"")</f>
        <v/>
      </c>
      <c r="U557" s="138" t="str">
        <f>IFERROR(LOOKUP($S557,MOTORISTAS!$D$3:$D$916,MOTORISTAS!F$3:$F$916),"")</f>
        <v/>
      </c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44"/>
      <c r="AG557" s="254">
        <f>Prog_23[[#This Row],[SAÍDA DO CLIENTE]]-Prog_23[[#This Row],[PROGRAMAÇÃO CLIENTE]]</f>
        <v>0</v>
      </c>
      <c r="AH557" s="44"/>
      <c r="AI557" s="66"/>
      <c r="AJ557" s="66"/>
      <c r="AK557" s="66"/>
      <c r="AL557" s="66"/>
      <c r="AM557" s="66"/>
      <c r="AN557" s="83"/>
      <c r="AO557" s="83"/>
      <c r="AP557" s="83"/>
      <c r="AQ557" s="66"/>
      <c r="AR557" s="66"/>
      <c r="AS557" s="66"/>
      <c r="AT557" s="81"/>
      <c r="AU557" s="81"/>
      <c r="AV557" s="81"/>
      <c r="AW557" s="81"/>
      <c r="AX557" s="83">
        <f>SUM(Prog_23[[#This Row],[ADIANTAMENTO]]+Prog_23[[#This Row],[SALDO]]+Prog_23[[#This Row],[MARGEM]]+Prog_23[[#This Row],[ESTADIA 1]])</f>
        <v>0</v>
      </c>
      <c r="AY5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57" s="81"/>
      <c r="BA557" s="81"/>
      <c r="BB557" s="81">
        <f>Prog_23[[#This Row],[VLR NF]]*0.1%</f>
        <v>0</v>
      </c>
      <c r="BC557" s="81">
        <f>Prog_23[[#This Row],[VLR NF]]*0.05%</f>
        <v>0</v>
      </c>
      <c r="BD557" s="81"/>
      <c r="BE557" s="81"/>
      <c r="BF557" s="81"/>
      <c r="BG557" s="81"/>
      <c r="BH557" s="81"/>
      <c r="BI557" s="81"/>
      <c r="BJ557" s="81"/>
      <c r="BK557" s="81"/>
      <c r="BL557" s="81"/>
      <c r="BM557" s="81"/>
      <c r="BN557" s="66"/>
      <c r="BO557" s="66"/>
      <c r="BP557" s="66"/>
      <c r="BQ557" s="66" t="str">
        <f>PROPER(TEXT(Prog_23[[#This Row],[PROGRAMAÇÃO CLIENTE]],"mmm"))</f>
        <v>Jan</v>
      </c>
      <c r="BR557" s="66">
        <f>YEAR(Prog_23[[#This Row],[PROGRAMAÇÃO CLIENTE]])</f>
        <v>1900</v>
      </c>
    </row>
    <row r="558" spans="1:70" x14ac:dyDescent="0.25">
      <c r="A558" s="201">
        <f>Prog_23[[#This Row],[CONTEINER]]</f>
        <v>0</v>
      </c>
      <c r="B558" s="86"/>
      <c r="C5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58" s="44"/>
      <c r="E558" s="66"/>
      <c r="F558" s="66"/>
      <c r="G558" s="66"/>
      <c r="H558" s="44"/>
      <c r="I558" s="44"/>
      <c r="J558" s="66"/>
      <c r="K558" s="66"/>
      <c r="L558" s="66"/>
      <c r="M558" s="66"/>
      <c r="N558" s="66">
        <f>SUM(Prog_23[[#This Row],[TARA]]+Prog_23[[#This Row],[PESO]])</f>
        <v>0</v>
      </c>
      <c r="O558" s="44"/>
      <c r="P558" s="66"/>
      <c r="Q558" s="66"/>
      <c r="R558" s="66"/>
      <c r="S558" s="66"/>
      <c r="T558" s="138" t="str">
        <f>IFERROR(LOOKUP($S558,MOTORISTAS!$D$3:$D$916,MOTORISTAS!E$3:$E$916),"")</f>
        <v/>
      </c>
      <c r="U558" s="138" t="str">
        <f>IFERROR(LOOKUP($S558,MOTORISTAS!$D$3:$D$916,MOTORISTAS!F$3:$F$916),"")</f>
        <v/>
      </c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44"/>
      <c r="AG558" s="254">
        <f>Prog_23[[#This Row],[SAÍDA DO CLIENTE]]-Prog_23[[#This Row],[PROGRAMAÇÃO CLIENTE]]</f>
        <v>0</v>
      </c>
      <c r="AH558" s="44"/>
      <c r="AI558" s="66"/>
      <c r="AJ558" s="66"/>
      <c r="AK558" s="66"/>
      <c r="AL558" s="66"/>
      <c r="AM558" s="66"/>
      <c r="AN558" s="83"/>
      <c r="AO558" s="83"/>
      <c r="AP558" s="83"/>
      <c r="AQ558" s="66"/>
      <c r="AR558" s="66"/>
      <c r="AS558" s="66"/>
      <c r="AT558" s="81"/>
      <c r="AU558" s="81"/>
      <c r="AV558" s="81"/>
      <c r="AW558" s="81"/>
      <c r="AX558" s="83">
        <f>SUM(Prog_23[[#This Row],[ADIANTAMENTO]]+Prog_23[[#This Row],[SALDO]]+Prog_23[[#This Row],[MARGEM]]+Prog_23[[#This Row],[ESTADIA 1]])</f>
        <v>0</v>
      </c>
      <c r="AY5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58" s="81"/>
      <c r="BA558" s="81"/>
      <c r="BB558" s="81">
        <f>Prog_23[[#This Row],[VLR NF]]*0.1%</f>
        <v>0</v>
      </c>
      <c r="BC558" s="81">
        <f>Prog_23[[#This Row],[VLR NF]]*0.05%</f>
        <v>0</v>
      </c>
      <c r="BD558" s="81"/>
      <c r="BE558" s="81"/>
      <c r="BF558" s="81"/>
      <c r="BG558" s="81"/>
      <c r="BH558" s="81"/>
      <c r="BI558" s="81"/>
      <c r="BJ558" s="81"/>
      <c r="BK558" s="81"/>
      <c r="BL558" s="81"/>
      <c r="BM558" s="81"/>
      <c r="BN558" s="66"/>
      <c r="BO558" s="66"/>
      <c r="BP558" s="66"/>
      <c r="BQ558" s="66" t="str">
        <f>PROPER(TEXT(Prog_23[[#This Row],[PROGRAMAÇÃO CLIENTE]],"mmm"))</f>
        <v>Jan</v>
      </c>
      <c r="BR558" s="66">
        <f>YEAR(Prog_23[[#This Row],[PROGRAMAÇÃO CLIENTE]])</f>
        <v>1900</v>
      </c>
    </row>
    <row r="559" spans="1:70" x14ac:dyDescent="0.25">
      <c r="A559" s="200">
        <f>Prog_23[[#This Row],[CONTEINER]]</f>
        <v>0</v>
      </c>
      <c r="B559" s="86"/>
      <c r="C5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59" s="44"/>
      <c r="E559" s="66"/>
      <c r="F559" s="66"/>
      <c r="G559" s="66"/>
      <c r="H559" s="44"/>
      <c r="I559" s="44"/>
      <c r="J559" s="66"/>
      <c r="K559" s="66"/>
      <c r="L559" s="66"/>
      <c r="M559" s="66"/>
      <c r="N559" s="66">
        <f>SUM(Prog_23[[#This Row],[TARA]]+Prog_23[[#This Row],[PESO]])</f>
        <v>0</v>
      </c>
      <c r="O559" s="44"/>
      <c r="P559" s="66"/>
      <c r="Q559" s="66"/>
      <c r="R559" s="66"/>
      <c r="S559" s="66"/>
      <c r="T559" s="138" t="str">
        <f>IFERROR(LOOKUP($S559,MOTORISTAS!$D$3:$D$916,MOTORISTAS!E$3:$E$916),"")</f>
        <v/>
      </c>
      <c r="U559" s="138" t="str">
        <f>IFERROR(LOOKUP($S559,MOTORISTAS!$D$3:$D$916,MOTORISTAS!F$3:$F$916),"")</f>
        <v/>
      </c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44"/>
      <c r="AG559" s="254">
        <f>Prog_23[[#This Row],[SAÍDA DO CLIENTE]]-Prog_23[[#This Row],[PROGRAMAÇÃO CLIENTE]]</f>
        <v>0</v>
      </c>
      <c r="AH559" s="44"/>
      <c r="AI559" s="66"/>
      <c r="AJ559" s="66"/>
      <c r="AK559" s="66"/>
      <c r="AL559" s="66"/>
      <c r="AM559" s="66"/>
      <c r="AN559" s="83"/>
      <c r="AO559" s="83"/>
      <c r="AP559" s="83"/>
      <c r="AQ559" s="66"/>
      <c r="AR559" s="66"/>
      <c r="AS559" s="66"/>
      <c r="AT559" s="81"/>
      <c r="AU559" s="81"/>
      <c r="AV559" s="81"/>
      <c r="AW559" s="81"/>
      <c r="AX559" s="83">
        <f>SUM(Prog_23[[#This Row],[ADIANTAMENTO]]+Prog_23[[#This Row],[SALDO]]+Prog_23[[#This Row],[MARGEM]]+Prog_23[[#This Row],[ESTADIA 1]])</f>
        <v>0</v>
      </c>
      <c r="AY5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59" s="81"/>
      <c r="BA559" s="81"/>
      <c r="BB559" s="81">
        <f>Prog_23[[#This Row],[VLR NF]]*0.1%</f>
        <v>0</v>
      </c>
      <c r="BC559" s="81">
        <f>Prog_23[[#This Row],[VLR NF]]*0.05%</f>
        <v>0</v>
      </c>
      <c r="BD559" s="81"/>
      <c r="BE559" s="81"/>
      <c r="BF559" s="81"/>
      <c r="BG559" s="81"/>
      <c r="BH559" s="81"/>
      <c r="BI559" s="81"/>
      <c r="BJ559" s="81"/>
      <c r="BK559" s="81"/>
      <c r="BL559" s="81"/>
      <c r="BM559" s="81"/>
      <c r="BN559" s="66"/>
      <c r="BO559" s="66"/>
      <c r="BP559" s="66"/>
      <c r="BQ559" s="66" t="str">
        <f>PROPER(TEXT(Prog_23[[#This Row],[PROGRAMAÇÃO CLIENTE]],"mmm"))</f>
        <v>Jan</v>
      </c>
      <c r="BR559" s="66">
        <f>YEAR(Prog_23[[#This Row],[PROGRAMAÇÃO CLIENTE]])</f>
        <v>1900</v>
      </c>
    </row>
    <row r="560" spans="1:70" x14ac:dyDescent="0.25">
      <c r="A560" s="201">
        <f>Prog_23[[#This Row],[CONTEINER]]</f>
        <v>0</v>
      </c>
      <c r="B560" s="86"/>
      <c r="C5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60" s="44"/>
      <c r="E560" s="66"/>
      <c r="F560" s="66"/>
      <c r="G560" s="66"/>
      <c r="H560" s="44"/>
      <c r="I560" s="44"/>
      <c r="J560" s="66"/>
      <c r="K560" s="66"/>
      <c r="L560" s="66"/>
      <c r="M560" s="66"/>
      <c r="N560" s="66">
        <f>SUM(Prog_23[[#This Row],[TARA]]+Prog_23[[#This Row],[PESO]])</f>
        <v>0</v>
      </c>
      <c r="O560" s="44"/>
      <c r="P560" s="66"/>
      <c r="Q560" s="66"/>
      <c r="R560" s="66"/>
      <c r="S560" s="66"/>
      <c r="T560" s="138" t="str">
        <f>IFERROR(LOOKUP($S560,MOTORISTAS!$D$3:$D$916,MOTORISTAS!E$3:$E$916),"")</f>
        <v/>
      </c>
      <c r="U560" s="138" t="str">
        <f>IFERROR(LOOKUP($S560,MOTORISTAS!$D$3:$D$916,MOTORISTAS!F$3:$F$916),"")</f>
        <v/>
      </c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44"/>
      <c r="AG560" s="254">
        <f>Prog_23[[#This Row],[SAÍDA DO CLIENTE]]-Prog_23[[#This Row],[PROGRAMAÇÃO CLIENTE]]</f>
        <v>0</v>
      </c>
      <c r="AH560" s="44"/>
      <c r="AI560" s="66"/>
      <c r="AJ560" s="66"/>
      <c r="AK560" s="66"/>
      <c r="AL560" s="66"/>
      <c r="AM560" s="66"/>
      <c r="AN560" s="83"/>
      <c r="AO560" s="83"/>
      <c r="AP560" s="83"/>
      <c r="AQ560" s="66"/>
      <c r="AR560" s="66"/>
      <c r="AS560" s="66"/>
      <c r="AT560" s="81"/>
      <c r="AU560" s="81"/>
      <c r="AV560" s="81"/>
      <c r="AW560" s="81"/>
      <c r="AX560" s="83">
        <f>SUM(Prog_23[[#This Row],[ADIANTAMENTO]]+Prog_23[[#This Row],[SALDO]]+Prog_23[[#This Row],[MARGEM]]+Prog_23[[#This Row],[ESTADIA 1]])</f>
        <v>0</v>
      </c>
      <c r="AY5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60" s="81"/>
      <c r="BA560" s="81"/>
      <c r="BB560" s="81">
        <f>Prog_23[[#This Row],[VLR NF]]*0.1%</f>
        <v>0</v>
      </c>
      <c r="BC560" s="81">
        <f>Prog_23[[#This Row],[VLR NF]]*0.05%</f>
        <v>0</v>
      </c>
      <c r="BD560" s="81"/>
      <c r="BE560" s="81"/>
      <c r="BF560" s="81"/>
      <c r="BG560" s="81"/>
      <c r="BH560" s="81"/>
      <c r="BI560" s="81"/>
      <c r="BJ560" s="81"/>
      <c r="BK560" s="81"/>
      <c r="BL560" s="81"/>
      <c r="BM560" s="81"/>
      <c r="BN560" s="66"/>
      <c r="BO560" s="66"/>
      <c r="BP560" s="66"/>
      <c r="BQ560" s="66" t="str">
        <f>PROPER(TEXT(Prog_23[[#This Row],[PROGRAMAÇÃO CLIENTE]],"mmm"))</f>
        <v>Jan</v>
      </c>
      <c r="BR560" s="66">
        <f>YEAR(Prog_23[[#This Row],[PROGRAMAÇÃO CLIENTE]])</f>
        <v>1900</v>
      </c>
    </row>
    <row r="561" spans="1:70" x14ac:dyDescent="0.25">
      <c r="A561" s="200">
        <f>Prog_23[[#This Row],[CONTEINER]]</f>
        <v>0</v>
      </c>
      <c r="B561" s="86"/>
      <c r="C5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61" s="44"/>
      <c r="E561" s="66"/>
      <c r="F561" s="66"/>
      <c r="G561" s="66"/>
      <c r="H561" s="44"/>
      <c r="I561" s="44"/>
      <c r="J561" s="66"/>
      <c r="K561" s="66"/>
      <c r="L561" s="66"/>
      <c r="M561" s="66"/>
      <c r="N561" s="66">
        <f>SUM(Prog_23[[#This Row],[TARA]]+Prog_23[[#This Row],[PESO]])</f>
        <v>0</v>
      </c>
      <c r="O561" s="44"/>
      <c r="P561" s="66"/>
      <c r="Q561" s="66"/>
      <c r="R561" s="66"/>
      <c r="S561" s="66"/>
      <c r="T561" s="138" t="str">
        <f>IFERROR(LOOKUP($S561,MOTORISTAS!$D$3:$D$916,MOTORISTAS!E$3:$E$916),"")</f>
        <v/>
      </c>
      <c r="U561" s="138" t="str">
        <f>IFERROR(LOOKUP($S561,MOTORISTAS!$D$3:$D$916,MOTORISTAS!F$3:$F$916),"")</f>
        <v/>
      </c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44"/>
      <c r="AG561" s="254">
        <f>Prog_23[[#This Row],[SAÍDA DO CLIENTE]]-Prog_23[[#This Row],[PROGRAMAÇÃO CLIENTE]]</f>
        <v>0</v>
      </c>
      <c r="AH561" s="44"/>
      <c r="AI561" s="66"/>
      <c r="AJ561" s="66"/>
      <c r="AK561" s="66"/>
      <c r="AL561" s="66"/>
      <c r="AM561" s="66"/>
      <c r="AN561" s="83"/>
      <c r="AO561" s="83"/>
      <c r="AP561" s="83"/>
      <c r="AQ561" s="66"/>
      <c r="AR561" s="66"/>
      <c r="AS561" s="66"/>
      <c r="AT561" s="81"/>
      <c r="AU561" s="81"/>
      <c r="AV561" s="81"/>
      <c r="AW561" s="81"/>
      <c r="AX561" s="83">
        <f>SUM(Prog_23[[#This Row],[ADIANTAMENTO]]+Prog_23[[#This Row],[SALDO]]+Prog_23[[#This Row],[MARGEM]]+Prog_23[[#This Row],[ESTADIA 1]])</f>
        <v>0</v>
      </c>
      <c r="AY5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61" s="81"/>
      <c r="BA561" s="81"/>
      <c r="BB561" s="81">
        <f>Prog_23[[#This Row],[VLR NF]]*0.1%</f>
        <v>0</v>
      </c>
      <c r="BC561" s="81">
        <f>Prog_23[[#This Row],[VLR NF]]*0.05%</f>
        <v>0</v>
      </c>
      <c r="BD561" s="81"/>
      <c r="BE561" s="81"/>
      <c r="BF561" s="81"/>
      <c r="BG561" s="81"/>
      <c r="BH561" s="81"/>
      <c r="BI561" s="81"/>
      <c r="BJ561" s="81"/>
      <c r="BK561" s="81"/>
      <c r="BL561" s="81"/>
      <c r="BM561" s="81"/>
      <c r="BN561" s="66"/>
      <c r="BO561" s="66"/>
      <c r="BP561" s="66"/>
      <c r="BQ561" s="66" t="str">
        <f>PROPER(TEXT(Prog_23[[#This Row],[PROGRAMAÇÃO CLIENTE]],"mmm"))</f>
        <v>Jan</v>
      </c>
      <c r="BR561" s="66">
        <f>YEAR(Prog_23[[#This Row],[PROGRAMAÇÃO CLIENTE]])</f>
        <v>1900</v>
      </c>
    </row>
    <row r="562" spans="1:70" x14ac:dyDescent="0.25">
      <c r="A562" s="201">
        <f>Prog_23[[#This Row],[CONTEINER]]</f>
        <v>0</v>
      </c>
      <c r="B562" s="86"/>
      <c r="C5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62" s="44"/>
      <c r="E562" s="66"/>
      <c r="F562" s="66"/>
      <c r="G562" s="66"/>
      <c r="H562" s="44"/>
      <c r="I562" s="44"/>
      <c r="J562" s="66"/>
      <c r="K562" s="66"/>
      <c r="L562" s="66"/>
      <c r="M562" s="66"/>
      <c r="N562" s="66">
        <f>SUM(Prog_23[[#This Row],[TARA]]+Prog_23[[#This Row],[PESO]])</f>
        <v>0</v>
      </c>
      <c r="O562" s="44"/>
      <c r="P562" s="66"/>
      <c r="Q562" s="66"/>
      <c r="R562" s="66"/>
      <c r="S562" s="66"/>
      <c r="T562" s="138" t="str">
        <f>IFERROR(LOOKUP($S562,MOTORISTAS!$D$3:$D$916,MOTORISTAS!E$3:$E$916),"")</f>
        <v/>
      </c>
      <c r="U562" s="138" t="str">
        <f>IFERROR(LOOKUP($S562,MOTORISTAS!$D$3:$D$916,MOTORISTAS!F$3:$F$916),"")</f>
        <v/>
      </c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44"/>
      <c r="AG562" s="254">
        <f>Prog_23[[#This Row],[SAÍDA DO CLIENTE]]-Prog_23[[#This Row],[PROGRAMAÇÃO CLIENTE]]</f>
        <v>0</v>
      </c>
      <c r="AH562" s="44"/>
      <c r="AI562" s="66"/>
      <c r="AJ562" s="66"/>
      <c r="AK562" s="66"/>
      <c r="AL562" s="66"/>
      <c r="AM562" s="66"/>
      <c r="AN562" s="83"/>
      <c r="AO562" s="83"/>
      <c r="AP562" s="83"/>
      <c r="AQ562" s="66"/>
      <c r="AR562" s="66"/>
      <c r="AS562" s="66"/>
      <c r="AT562" s="81"/>
      <c r="AU562" s="81"/>
      <c r="AV562" s="81"/>
      <c r="AW562" s="81"/>
      <c r="AX562" s="83">
        <f>SUM(Prog_23[[#This Row],[ADIANTAMENTO]]+Prog_23[[#This Row],[SALDO]]+Prog_23[[#This Row],[MARGEM]]+Prog_23[[#This Row],[ESTADIA 1]])</f>
        <v>0</v>
      </c>
      <c r="AY5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62" s="81"/>
      <c r="BA562" s="81"/>
      <c r="BB562" s="81">
        <f>Prog_23[[#This Row],[VLR NF]]*0.1%</f>
        <v>0</v>
      </c>
      <c r="BC562" s="81">
        <f>Prog_23[[#This Row],[VLR NF]]*0.05%</f>
        <v>0</v>
      </c>
      <c r="BD562" s="81"/>
      <c r="BE562" s="81"/>
      <c r="BF562" s="81"/>
      <c r="BG562" s="81"/>
      <c r="BH562" s="81"/>
      <c r="BI562" s="81"/>
      <c r="BJ562" s="81"/>
      <c r="BK562" s="81"/>
      <c r="BL562" s="81"/>
      <c r="BM562" s="81"/>
      <c r="BN562" s="66"/>
      <c r="BO562" s="66"/>
      <c r="BP562" s="66"/>
      <c r="BQ562" s="66" t="str">
        <f>PROPER(TEXT(Prog_23[[#This Row],[PROGRAMAÇÃO CLIENTE]],"mmm"))</f>
        <v>Jan</v>
      </c>
      <c r="BR562" s="66">
        <f>YEAR(Prog_23[[#This Row],[PROGRAMAÇÃO CLIENTE]])</f>
        <v>1900</v>
      </c>
    </row>
    <row r="563" spans="1:70" x14ac:dyDescent="0.25">
      <c r="A563" s="200">
        <f>Prog_23[[#This Row],[CONTEINER]]</f>
        <v>0</v>
      </c>
      <c r="B563" s="86"/>
      <c r="C5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63" s="44"/>
      <c r="E563" s="66"/>
      <c r="F563" s="66"/>
      <c r="G563" s="66"/>
      <c r="H563" s="44"/>
      <c r="I563" s="44"/>
      <c r="J563" s="66"/>
      <c r="K563" s="66"/>
      <c r="L563" s="66"/>
      <c r="M563" s="66"/>
      <c r="N563" s="66">
        <f>SUM(Prog_23[[#This Row],[TARA]]+Prog_23[[#This Row],[PESO]])</f>
        <v>0</v>
      </c>
      <c r="O563" s="44"/>
      <c r="P563" s="66"/>
      <c r="Q563" s="66"/>
      <c r="R563" s="66"/>
      <c r="S563" s="66"/>
      <c r="T563" s="138" t="str">
        <f>IFERROR(LOOKUP($S563,MOTORISTAS!$D$3:$D$916,MOTORISTAS!E$3:$E$916),"")</f>
        <v/>
      </c>
      <c r="U563" s="138" t="str">
        <f>IFERROR(LOOKUP($S563,MOTORISTAS!$D$3:$D$916,MOTORISTAS!F$3:$F$916),"")</f>
        <v/>
      </c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44"/>
      <c r="AG563" s="254">
        <f>Prog_23[[#This Row],[SAÍDA DO CLIENTE]]-Prog_23[[#This Row],[PROGRAMAÇÃO CLIENTE]]</f>
        <v>0</v>
      </c>
      <c r="AH563" s="44"/>
      <c r="AI563" s="66"/>
      <c r="AJ563" s="66"/>
      <c r="AK563" s="66"/>
      <c r="AL563" s="66"/>
      <c r="AM563" s="66"/>
      <c r="AN563" s="83"/>
      <c r="AO563" s="83"/>
      <c r="AP563" s="83"/>
      <c r="AQ563" s="66"/>
      <c r="AR563" s="66"/>
      <c r="AS563" s="66"/>
      <c r="AT563" s="81"/>
      <c r="AU563" s="81"/>
      <c r="AV563" s="81"/>
      <c r="AW563" s="81"/>
      <c r="AX563" s="83">
        <f>SUM(Prog_23[[#This Row],[ADIANTAMENTO]]+Prog_23[[#This Row],[SALDO]]+Prog_23[[#This Row],[MARGEM]]+Prog_23[[#This Row],[ESTADIA 1]])</f>
        <v>0</v>
      </c>
      <c r="AY5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63" s="81"/>
      <c r="BA563" s="81"/>
      <c r="BB563" s="81">
        <f>Prog_23[[#This Row],[VLR NF]]*0.1%</f>
        <v>0</v>
      </c>
      <c r="BC563" s="81">
        <f>Prog_23[[#This Row],[VLR NF]]*0.05%</f>
        <v>0</v>
      </c>
      <c r="BD563" s="81"/>
      <c r="BE563" s="81"/>
      <c r="BF563" s="81"/>
      <c r="BG563" s="81"/>
      <c r="BH563" s="81"/>
      <c r="BI563" s="81"/>
      <c r="BJ563" s="81"/>
      <c r="BK563" s="81"/>
      <c r="BL563" s="81"/>
      <c r="BM563" s="81"/>
      <c r="BN563" s="66"/>
      <c r="BO563" s="66"/>
      <c r="BP563" s="66"/>
      <c r="BQ563" s="66" t="str">
        <f>PROPER(TEXT(Prog_23[[#This Row],[PROGRAMAÇÃO CLIENTE]],"mmm"))</f>
        <v>Jan</v>
      </c>
      <c r="BR563" s="66">
        <f>YEAR(Prog_23[[#This Row],[PROGRAMAÇÃO CLIENTE]])</f>
        <v>1900</v>
      </c>
    </row>
    <row r="564" spans="1:70" x14ac:dyDescent="0.25">
      <c r="A564" s="201">
        <f>Prog_23[[#This Row],[CONTEINER]]</f>
        <v>0</v>
      </c>
      <c r="B564" s="86"/>
      <c r="C5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64" s="44"/>
      <c r="E564" s="66"/>
      <c r="F564" s="66"/>
      <c r="G564" s="66"/>
      <c r="H564" s="44"/>
      <c r="I564" s="44"/>
      <c r="J564" s="66"/>
      <c r="K564" s="66"/>
      <c r="L564" s="66"/>
      <c r="M564" s="66"/>
      <c r="N564" s="66">
        <f>SUM(Prog_23[[#This Row],[TARA]]+Prog_23[[#This Row],[PESO]])</f>
        <v>0</v>
      </c>
      <c r="O564" s="44"/>
      <c r="P564" s="66"/>
      <c r="Q564" s="66"/>
      <c r="R564" s="66"/>
      <c r="S564" s="66"/>
      <c r="T564" s="138" t="str">
        <f>IFERROR(LOOKUP($S564,MOTORISTAS!$D$3:$D$916,MOTORISTAS!E$3:$E$916),"")</f>
        <v/>
      </c>
      <c r="U564" s="138" t="str">
        <f>IFERROR(LOOKUP($S564,MOTORISTAS!$D$3:$D$916,MOTORISTAS!F$3:$F$916),"")</f>
        <v/>
      </c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44"/>
      <c r="AG564" s="254">
        <f>Prog_23[[#This Row],[SAÍDA DO CLIENTE]]-Prog_23[[#This Row],[PROGRAMAÇÃO CLIENTE]]</f>
        <v>0</v>
      </c>
      <c r="AH564" s="44"/>
      <c r="AI564" s="66"/>
      <c r="AJ564" s="66"/>
      <c r="AK564" s="66"/>
      <c r="AL564" s="66"/>
      <c r="AM564" s="66"/>
      <c r="AN564" s="83"/>
      <c r="AO564" s="83"/>
      <c r="AP564" s="83"/>
      <c r="AQ564" s="66"/>
      <c r="AR564" s="66"/>
      <c r="AS564" s="66"/>
      <c r="AT564" s="81"/>
      <c r="AU564" s="81"/>
      <c r="AV564" s="81"/>
      <c r="AW564" s="81"/>
      <c r="AX564" s="83">
        <f>SUM(Prog_23[[#This Row],[ADIANTAMENTO]]+Prog_23[[#This Row],[SALDO]]+Prog_23[[#This Row],[MARGEM]]+Prog_23[[#This Row],[ESTADIA 1]])</f>
        <v>0</v>
      </c>
      <c r="AY5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64" s="81"/>
      <c r="BA564" s="81"/>
      <c r="BB564" s="81">
        <f>Prog_23[[#This Row],[VLR NF]]*0.1%</f>
        <v>0</v>
      </c>
      <c r="BC564" s="81">
        <f>Prog_23[[#This Row],[VLR NF]]*0.05%</f>
        <v>0</v>
      </c>
      <c r="BD564" s="81"/>
      <c r="BE564" s="81"/>
      <c r="BF564" s="81"/>
      <c r="BG564" s="81"/>
      <c r="BH564" s="81"/>
      <c r="BI564" s="81"/>
      <c r="BJ564" s="81"/>
      <c r="BK564" s="81"/>
      <c r="BL564" s="81"/>
      <c r="BM564" s="81"/>
      <c r="BN564" s="66"/>
      <c r="BO564" s="66"/>
      <c r="BP564" s="66"/>
      <c r="BQ564" s="66" t="str">
        <f>PROPER(TEXT(Prog_23[[#This Row],[PROGRAMAÇÃO CLIENTE]],"mmm"))</f>
        <v>Jan</v>
      </c>
      <c r="BR564" s="66">
        <f>YEAR(Prog_23[[#This Row],[PROGRAMAÇÃO CLIENTE]])</f>
        <v>1900</v>
      </c>
    </row>
    <row r="565" spans="1:70" x14ac:dyDescent="0.25">
      <c r="A565" s="200">
        <f>Prog_23[[#This Row],[CONTEINER]]</f>
        <v>0</v>
      </c>
      <c r="B565" s="86"/>
      <c r="C5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65" s="44"/>
      <c r="E565" s="66"/>
      <c r="F565" s="66"/>
      <c r="G565" s="66"/>
      <c r="H565" s="44"/>
      <c r="I565" s="44"/>
      <c r="J565" s="66"/>
      <c r="K565" s="66"/>
      <c r="L565" s="66"/>
      <c r="M565" s="66"/>
      <c r="N565" s="66">
        <f>SUM(Prog_23[[#This Row],[TARA]]+Prog_23[[#This Row],[PESO]])</f>
        <v>0</v>
      </c>
      <c r="O565" s="44"/>
      <c r="P565" s="66"/>
      <c r="Q565" s="66"/>
      <c r="R565" s="66"/>
      <c r="S565" s="66"/>
      <c r="T565" s="138" t="str">
        <f>IFERROR(LOOKUP($S565,MOTORISTAS!$D$3:$D$916,MOTORISTAS!E$3:$E$916),"")</f>
        <v/>
      </c>
      <c r="U565" s="138" t="str">
        <f>IFERROR(LOOKUP($S565,MOTORISTAS!$D$3:$D$916,MOTORISTAS!F$3:$F$916),"")</f>
        <v/>
      </c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44"/>
      <c r="AG565" s="254">
        <f>Prog_23[[#This Row],[SAÍDA DO CLIENTE]]-Prog_23[[#This Row],[PROGRAMAÇÃO CLIENTE]]</f>
        <v>0</v>
      </c>
      <c r="AH565" s="44"/>
      <c r="AI565" s="66"/>
      <c r="AJ565" s="66"/>
      <c r="AK565" s="66"/>
      <c r="AL565" s="66"/>
      <c r="AM565" s="66"/>
      <c r="AN565" s="83"/>
      <c r="AO565" s="83"/>
      <c r="AP565" s="83"/>
      <c r="AQ565" s="66"/>
      <c r="AR565" s="66"/>
      <c r="AS565" s="66"/>
      <c r="AT565" s="81"/>
      <c r="AU565" s="81"/>
      <c r="AV565" s="81"/>
      <c r="AW565" s="81"/>
      <c r="AX565" s="83">
        <f>SUM(Prog_23[[#This Row],[ADIANTAMENTO]]+Prog_23[[#This Row],[SALDO]]+Prog_23[[#This Row],[MARGEM]]+Prog_23[[#This Row],[ESTADIA 1]])</f>
        <v>0</v>
      </c>
      <c r="AY5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65" s="81"/>
      <c r="BA565" s="81"/>
      <c r="BB565" s="81">
        <f>Prog_23[[#This Row],[VLR NF]]*0.1%</f>
        <v>0</v>
      </c>
      <c r="BC565" s="81">
        <f>Prog_23[[#This Row],[VLR NF]]*0.05%</f>
        <v>0</v>
      </c>
      <c r="BD565" s="81"/>
      <c r="BE565" s="81"/>
      <c r="BF565" s="81"/>
      <c r="BG565" s="81"/>
      <c r="BH565" s="81"/>
      <c r="BI565" s="81"/>
      <c r="BJ565" s="81"/>
      <c r="BK565" s="81"/>
      <c r="BL565" s="81"/>
      <c r="BM565" s="81"/>
      <c r="BN565" s="66"/>
      <c r="BO565" s="66"/>
      <c r="BP565" s="66"/>
      <c r="BQ565" s="66" t="str">
        <f>PROPER(TEXT(Prog_23[[#This Row],[PROGRAMAÇÃO CLIENTE]],"mmm"))</f>
        <v>Jan</v>
      </c>
      <c r="BR565" s="66">
        <f>YEAR(Prog_23[[#This Row],[PROGRAMAÇÃO CLIENTE]])</f>
        <v>1900</v>
      </c>
    </row>
    <row r="566" spans="1:70" x14ac:dyDescent="0.25">
      <c r="A566" s="201">
        <f>Prog_23[[#This Row],[CONTEINER]]</f>
        <v>0</v>
      </c>
      <c r="B566" s="86"/>
      <c r="C5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66" s="44"/>
      <c r="E566" s="66"/>
      <c r="F566" s="66"/>
      <c r="G566" s="66"/>
      <c r="H566" s="44"/>
      <c r="I566" s="44"/>
      <c r="J566" s="66"/>
      <c r="K566" s="66"/>
      <c r="L566" s="66"/>
      <c r="M566" s="66"/>
      <c r="N566" s="66">
        <f>SUM(Prog_23[[#This Row],[TARA]]+Prog_23[[#This Row],[PESO]])</f>
        <v>0</v>
      </c>
      <c r="O566" s="44"/>
      <c r="P566" s="66"/>
      <c r="Q566" s="66"/>
      <c r="R566" s="66"/>
      <c r="S566" s="66"/>
      <c r="T566" s="138" t="str">
        <f>IFERROR(LOOKUP($S566,MOTORISTAS!$D$3:$D$916,MOTORISTAS!E$3:$E$916),"")</f>
        <v/>
      </c>
      <c r="U566" s="138" t="str">
        <f>IFERROR(LOOKUP($S566,MOTORISTAS!$D$3:$D$916,MOTORISTAS!F$3:$F$916),"")</f>
        <v/>
      </c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44"/>
      <c r="AG566" s="254">
        <f>Prog_23[[#This Row],[SAÍDA DO CLIENTE]]-Prog_23[[#This Row],[PROGRAMAÇÃO CLIENTE]]</f>
        <v>0</v>
      </c>
      <c r="AH566" s="44"/>
      <c r="AI566" s="66"/>
      <c r="AJ566" s="66"/>
      <c r="AK566" s="66"/>
      <c r="AL566" s="66"/>
      <c r="AM566" s="66"/>
      <c r="AN566" s="83"/>
      <c r="AO566" s="83"/>
      <c r="AP566" s="83"/>
      <c r="AQ566" s="66"/>
      <c r="AR566" s="66"/>
      <c r="AS566" s="66"/>
      <c r="AT566" s="81"/>
      <c r="AU566" s="81"/>
      <c r="AV566" s="81"/>
      <c r="AW566" s="81"/>
      <c r="AX566" s="83">
        <f>SUM(Prog_23[[#This Row],[ADIANTAMENTO]]+Prog_23[[#This Row],[SALDO]]+Prog_23[[#This Row],[MARGEM]]+Prog_23[[#This Row],[ESTADIA 1]])</f>
        <v>0</v>
      </c>
      <c r="AY5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66" s="81"/>
      <c r="BA566" s="81"/>
      <c r="BB566" s="81">
        <f>Prog_23[[#This Row],[VLR NF]]*0.1%</f>
        <v>0</v>
      </c>
      <c r="BC566" s="81">
        <f>Prog_23[[#This Row],[VLR NF]]*0.05%</f>
        <v>0</v>
      </c>
      <c r="BD566" s="81"/>
      <c r="BE566" s="81"/>
      <c r="BF566" s="81"/>
      <c r="BG566" s="81"/>
      <c r="BH566" s="81"/>
      <c r="BI566" s="81"/>
      <c r="BJ566" s="81"/>
      <c r="BK566" s="81"/>
      <c r="BL566" s="81"/>
      <c r="BM566" s="81"/>
      <c r="BN566" s="66"/>
      <c r="BO566" s="66"/>
      <c r="BP566" s="66"/>
      <c r="BQ566" s="66" t="str">
        <f>PROPER(TEXT(Prog_23[[#This Row],[PROGRAMAÇÃO CLIENTE]],"mmm"))</f>
        <v>Jan</v>
      </c>
      <c r="BR566" s="66">
        <f>YEAR(Prog_23[[#This Row],[PROGRAMAÇÃO CLIENTE]])</f>
        <v>1900</v>
      </c>
    </row>
    <row r="567" spans="1:70" x14ac:dyDescent="0.25">
      <c r="A567" s="200">
        <f>Prog_23[[#This Row],[CONTEINER]]</f>
        <v>0</v>
      </c>
      <c r="B567" s="86"/>
      <c r="C5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67" s="44"/>
      <c r="E567" s="66"/>
      <c r="F567" s="66"/>
      <c r="G567" s="66"/>
      <c r="H567" s="44"/>
      <c r="I567" s="44"/>
      <c r="J567" s="66"/>
      <c r="K567" s="66"/>
      <c r="L567" s="66"/>
      <c r="M567" s="66"/>
      <c r="N567" s="66">
        <f>SUM(Prog_23[[#This Row],[TARA]]+Prog_23[[#This Row],[PESO]])</f>
        <v>0</v>
      </c>
      <c r="O567" s="44"/>
      <c r="P567" s="66"/>
      <c r="Q567" s="66"/>
      <c r="R567" s="66"/>
      <c r="S567" s="66"/>
      <c r="T567" s="138" t="str">
        <f>IFERROR(LOOKUP($S567,MOTORISTAS!$D$3:$D$916,MOTORISTAS!E$3:$E$916),"")</f>
        <v/>
      </c>
      <c r="U567" s="138" t="str">
        <f>IFERROR(LOOKUP($S567,MOTORISTAS!$D$3:$D$916,MOTORISTAS!F$3:$F$916),"")</f>
        <v/>
      </c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44"/>
      <c r="AG567" s="254">
        <f>Prog_23[[#This Row],[SAÍDA DO CLIENTE]]-Prog_23[[#This Row],[PROGRAMAÇÃO CLIENTE]]</f>
        <v>0</v>
      </c>
      <c r="AH567" s="44"/>
      <c r="AI567" s="66"/>
      <c r="AJ567" s="66"/>
      <c r="AK567" s="66"/>
      <c r="AL567" s="66"/>
      <c r="AM567" s="66"/>
      <c r="AN567" s="83"/>
      <c r="AO567" s="83"/>
      <c r="AP567" s="83"/>
      <c r="AQ567" s="66"/>
      <c r="AR567" s="66"/>
      <c r="AS567" s="66"/>
      <c r="AT567" s="81"/>
      <c r="AU567" s="81"/>
      <c r="AV567" s="81"/>
      <c r="AW567" s="81"/>
      <c r="AX567" s="83">
        <f>SUM(Prog_23[[#This Row],[ADIANTAMENTO]]+Prog_23[[#This Row],[SALDO]]+Prog_23[[#This Row],[MARGEM]]+Prog_23[[#This Row],[ESTADIA 1]])</f>
        <v>0</v>
      </c>
      <c r="AY5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67" s="81"/>
      <c r="BA567" s="81"/>
      <c r="BB567" s="81">
        <f>Prog_23[[#This Row],[VLR NF]]*0.1%</f>
        <v>0</v>
      </c>
      <c r="BC567" s="81">
        <f>Prog_23[[#This Row],[VLR NF]]*0.05%</f>
        <v>0</v>
      </c>
      <c r="BD567" s="81"/>
      <c r="BE567" s="81"/>
      <c r="BF567" s="81"/>
      <c r="BG567" s="81"/>
      <c r="BH567" s="81"/>
      <c r="BI567" s="81"/>
      <c r="BJ567" s="81"/>
      <c r="BK567" s="81"/>
      <c r="BL567" s="81"/>
      <c r="BM567" s="81"/>
      <c r="BN567" s="66"/>
      <c r="BO567" s="66"/>
      <c r="BP567" s="66"/>
      <c r="BQ567" s="66" t="str">
        <f>PROPER(TEXT(Prog_23[[#This Row],[PROGRAMAÇÃO CLIENTE]],"mmm"))</f>
        <v>Jan</v>
      </c>
      <c r="BR567" s="66">
        <f>YEAR(Prog_23[[#This Row],[PROGRAMAÇÃO CLIENTE]])</f>
        <v>1900</v>
      </c>
    </row>
    <row r="568" spans="1:70" x14ac:dyDescent="0.25">
      <c r="A568" s="201">
        <f>Prog_23[[#This Row],[CONTEINER]]</f>
        <v>0</v>
      </c>
      <c r="B568" s="86"/>
      <c r="C5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68" s="44"/>
      <c r="E568" s="66"/>
      <c r="F568" s="66"/>
      <c r="G568" s="66"/>
      <c r="H568" s="44"/>
      <c r="I568" s="44"/>
      <c r="J568" s="66"/>
      <c r="K568" s="66"/>
      <c r="L568" s="66"/>
      <c r="M568" s="66"/>
      <c r="N568" s="66">
        <f>SUM(Prog_23[[#This Row],[TARA]]+Prog_23[[#This Row],[PESO]])</f>
        <v>0</v>
      </c>
      <c r="O568" s="44"/>
      <c r="P568" s="66"/>
      <c r="Q568" s="66"/>
      <c r="R568" s="66"/>
      <c r="S568" s="66"/>
      <c r="T568" s="138" t="str">
        <f>IFERROR(LOOKUP($S568,MOTORISTAS!$D$3:$D$916,MOTORISTAS!E$3:$E$916),"")</f>
        <v/>
      </c>
      <c r="U568" s="138" t="str">
        <f>IFERROR(LOOKUP($S568,MOTORISTAS!$D$3:$D$916,MOTORISTAS!F$3:$F$916),"")</f>
        <v/>
      </c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44"/>
      <c r="AG568" s="254">
        <f>Prog_23[[#This Row],[SAÍDA DO CLIENTE]]-Prog_23[[#This Row],[PROGRAMAÇÃO CLIENTE]]</f>
        <v>0</v>
      </c>
      <c r="AH568" s="44"/>
      <c r="AI568" s="66"/>
      <c r="AJ568" s="66"/>
      <c r="AK568" s="66"/>
      <c r="AL568" s="66"/>
      <c r="AM568" s="66"/>
      <c r="AN568" s="83"/>
      <c r="AO568" s="83"/>
      <c r="AP568" s="83"/>
      <c r="AQ568" s="66"/>
      <c r="AR568" s="66"/>
      <c r="AS568" s="66"/>
      <c r="AT568" s="81"/>
      <c r="AU568" s="81"/>
      <c r="AV568" s="81"/>
      <c r="AW568" s="81"/>
      <c r="AX568" s="83">
        <f>SUM(Prog_23[[#This Row],[ADIANTAMENTO]]+Prog_23[[#This Row],[SALDO]]+Prog_23[[#This Row],[MARGEM]]+Prog_23[[#This Row],[ESTADIA 1]])</f>
        <v>0</v>
      </c>
      <c r="AY5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68" s="81"/>
      <c r="BA568" s="81"/>
      <c r="BB568" s="81">
        <f>Prog_23[[#This Row],[VLR NF]]*0.1%</f>
        <v>0</v>
      </c>
      <c r="BC568" s="81">
        <f>Prog_23[[#This Row],[VLR NF]]*0.05%</f>
        <v>0</v>
      </c>
      <c r="BD568" s="81"/>
      <c r="BE568" s="81"/>
      <c r="BF568" s="81"/>
      <c r="BG568" s="81"/>
      <c r="BH568" s="81"/>
      <c r="BI568" s="81"/>
      <c r="BJ568" s="81"/>
      <c r="BK568" s="81"/>
      <c r="BL568" s="81"/>
      <c r="BM568" s="81"/>
      <c r="BN568" s="66"/>
      <c r="BO568" s="66"/>
      <c r="BP568" s="66"/>
      <c r="BQ568" s="66" t="str">
        <f>PROPER(TEXT(Prog_23[[#This Row],[PROGRAMAÇÃO CLIENTE]],"mmm"))</f>
        <v>Jan</v>
      </c>
      <c r="BR568" s="66">
        <f>YEAR(Prog_23[[#This Row],[PROGRAMAÇÃO CLIENTE]])</f>
        <v>1900</v>
      </c>
    </row>
    <row r="569" spans="1:70" x14ac:dyDescent="0.25">
      <c r="A569" s="200">
        <f>Prog_23[[#This Row],[CONTEINER]]</f>
        <v>0</v>
      </c>
      <c r="B569" s="86"/>
      <c r="C5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69" s="44"/>
      <c r="E569" s="66"/>
      <c r="F569" s="66"/>
      <c r="G569" s="66"/>
      <c r="H569" s="44"/>
      <c r="I569" s="44"/>
      <c r="J569" s="66"/>
      <c r="K569" s="66"/>
      <c r="L569" s="66"/>
      <c r="M569" s="66"/>
      <c r="N569" s="66">
        <f>SUM(Prog_23[[#This Row],[TARA]]+Prog_23[[#This Row],[PESO]])</f>
        <v>0</v>
      </c>
      <c r="O569" s="44"/>
      <c r="P569" s="66"/>
      <c r="Q569" s="66"/>
      <c r="R569" s="66"/>
      <c r="S569" s="66"/>
      <c r="T569" s="138" t="str">
        <f>IFERROR(LOOKUP($S569,MOTORISTAS!$D$3:$D$916,MOTORISTAS!E$3:$E$916),"")</f>
        <v/>
      </c>
      <c r="U569" s="138" t="str">
        <f>IFERROR(LOOKUP($S569,MOTORISTAS!$D$3:$D$916,MOTORISTAS!F$3:$F$916),"")</f>
        <v/>
      </c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44"/>
      <c r="AG569" s="254">
        <f>Prog_23[[#This Row],[SAÍDA DO CLIENTE]]-Prog_23[[#This Row],[PROGRAMAÇÃO CLIENTE]]</f>
        <v>0</v>
      </c>
      <c r="AH569" s="44"/>
      <c r="AI569" s="66"/>
      <c r="AJ569" s="66"/>
      <c r="AK569" s="66"/>
      <c r="AL569" s="66"/>
      <c r="AM569" s="66"/>
      <c r="AN569" s="83"/>
      <c r="AO569" s="83"/>
      <c r="AP569" s="83"/>
      <c r="AQ569" s="66"/>
      <c r="AR569" s="66"/>
      <c r="AS569" s="66"/>
      <c r="AT569" s="81"/>
      <c r="AU569" s="81"/>
      <c r="AV569" s="81"/>
      <c r="AW569" s="81"/>
      <c r="AX569" s="83">
        <f>SUM(Prog_23[[#This Row],[ADIANTAMENTO]]+Prog_23[[#This Row],[SALDO]]+Prog_23[[#This Row],[MARGEM]]+Prog_23[[#This Row],[ESTADIA 1]])</f>
        <v>0</v>
      </c>
      <c r="AY5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69" s="81"/>
      <c r="BA569" s="81"/>
      <c r="BB569" s="81">
        <f>Prog_23[[#This Row],[VLR NF]]*0.1%</f>
        <v>0</v>
      </c>
      <c r="BC569" s="81">
        <f>Prog_23[[#This Row],[VLR NF]]*0.05%</f>
        <v>0</v>
      </c>
      <c r="BD569" s="81"/>
      <c r="BE569" s="81"/>
      <c r="BF569" s="81"/>
      <c r="BG569" s="81"/>
      <c r="BH569" s="81"/>
      <c r="BI569" s="81"/>
      <c r="BJ569" s="81"/>
      <c r="BK569" s="81"/>
      <c r="BL569" s="81"/>
      <c r="BM569" s="81"/>
      <c r="BN569" s="66"/>
      <c r="BO569" s="66"/>
      <c r="BP569" s="66"/>
      <c r="BQ569" s="66" t="str">
        <f>PROPER(TEXT(Prog_23[[#This Row],[PROGRAMAÇÃO CLIENTE]],"mmm"))</f>
        <v>Jan</v>
      </c>
      <c r="BR569" s="66">
        <f>YEAR(Prog_23[[#This Row],[PROGRAMAÇÃO CLIENTE]])</f>
        <v>1900</v>
      </c>
    </row>
    <row r="570" spans="1:70" x14ac:dyDescent="0.25">
      <c r="A570" s="201">
        <f>Prog_23[[#This Row],[CONTEINER]]</f>
        <v>0</v>
      </c>
      <c r="B570" s="86"/>
      <c r="C5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70" s="44"/>
      <c r="E570" s="66"/>
      <c r="F570" s="66"/>
      <c r="G570" s="66"/>
      <c r="H570" s="44"/>
      <c r="I570" s="44"/>
      <c r="J570" s="66"/>
      <c r="K570" s="66"/>
      <c r="L570" s="66"/>
      <c r="M570" s="66"/>
      <c r="N570" s="66">
        <f>SUM(Prog_23[[#This Row],[TARA]]+Prog_23[[#This Row],[PESO]])</f>
        <v>0</v>
      </c>
      <c r="O570" s="44"/>
      <c r="P570" s="66"/>
      <c r="Q570" s="66"/>
      <c r="R570" s="66"/>
      <c r="S570" s="66"/>
      <c r="T570" s="138" t="str">
        <f>IFERROR(LOOKUP($S570,MOTORISTAS!$D$3:$D$916,MOTORISTAS!E$3:$E$916),"")</f>
        <v/>
      </c>
      <c r="U570" s="138" t="str">
        <f>IFERROR(LOOKUP($S570,MOTORISTAS!$D$3:$D$916,MOTORISTAS!F$3:$F$916),"")</f>
        <v/>
      </c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44"/>
      <c r="AG570" s="254">
        <f>Prog_23[[#This Row],[SAÍDA DO CLIENTE]]-Prog_23[[#This Row],[PROGRAMAÇÃO CLIENTE]]</f>
        <v>0</v>
      </c>
      <c r="AH570" s="44"/>
      <c r="AI570" s="66"/>
      <c r="AJ570" s="66"/>
      <c r="AK570" s="66"/>
      <c r="AL570" s="66"/>
      <c r="AM570" s="66"/>
      <c r="AN570" s="83"/>
      <c r="AO570" s="83"/>
      <c r="AP570" s="83"/>
      <c r="AQ570" s="66"/>
      <c r="AR570" s="66"/>
      <c r="AS570" s="66"/>
      <c r="AT570" s="81"/>
      <c r="AU570" s="81"/>
      <c r="AV570" s="81"/>
      <c r="AW570" s="81"/>
      <c r="AX570" s="83">
        <f>SUM(Prog_23[[#This Row],[ADIANTAMENTO]]+Prog_23[[#This Row],[SALDO]]+Prog_23[[#This Row],[MARGEM]]+Prog_23[[#This Row],[ESTADIA 1]])</f>
        <v>0</v>
      </c>
      <c r="AY5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70" s="81"/>
      <c r="BA570" s="81"/>
      <c r="BB570" s="81">
        <f>Prog_23[[#This Row],[VLR NF]]*0.1%</f>
        <v>0</v>
      </c>
      <c r="BC570" s="81">
        <f>Prog_23[[#This Row],[VLR NF]]*0.05%</f>
        <v>0</v>
      </c>
      <c r="BD570" s="81"/>
      <c r="BE570" s="81"/>
      <c r="BF570" s="81"/>
      <c r="BG570" s="81"/>
      <c r="BH570" s="81"/>
      <c r="BI570" s="81"/>
      <c r="BJ570" s="81"/>
      <c r="BK570" s="81"/>
      <c r="BL570" s="81"/>
      <c r="BM570" s="81"/>
      <c r="BN570" s="66"/>
      <c r="BO570" s="66"/>
      <c r="BP570" s="66"/>
      <c r="BQ570" s="66" t="str">
        <f>PROPER(TEXT(Prog_23[[#This Row],[PROGRAMAÇÃO CLIENTE]],"mmm"))</f>
        <v>Jan</v>
      </c>
      <c r="BR570" s="66">
        <f>YEAR(Prog_23[[#This Row],[PROGRAMAÇÃO CLIENTE]])</f>
        <v>1900</v>
      </c>
    </row>
    <row r="571" spans="1:70" x14ac:dyDescent="0.25">
      <c r="A571" s="200">
        <f>Prog_23[[#This Row],[CONTEINER]]</f>
        <v>0</v>
      </c>
      <c r="B571" s="86"/>
      <c r="C5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71" s="44"/>
      <c r="E571" s="66"/>
      <c r="F571" s="66"/>
      <c r="G571" s="66"/>
      <c r="H571" s="44"/>
      <c r="I571" s="44"/>
      <c r="J571" s="66"/>
      <c r="K571" s="66"/>
      <c r="L571" s="66"/>
      <c r="M571" s="66"/>
      <c r="N571" s="66">
        <f>SUM(Prog_23[[#This Row],[TARA]]+Prog_23[[#This Row],[PESO]])</f>
        <v>0</v>
      </c>
      <c r="O571" s="44"/>
      <c r="P571" s="66"/>
      <c r="Q571" s="66"/>
      <c r="R571" s="66"/>
      <c r="S571" s="66"/>
      <c r="T571" s="138" t="str">
        <f>IFERROR(LOOKUP($S571,MOTORISTAS!$D$3:$D$916,MOTORISTAS!E$3:$E$916),"")</f>
        <v/>
      </c>
      <c r="U571" s="138" t="str">
        <f>IFERROR(LOOKUP($S571,MOTORISTAS!$D$3:$D$916,MOTORISTAS!F$3:$F$916),"")</f>
        <v/>
      </c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44"/>
      <c r="AG571" s="254">
        <f>Prog_23[[#This Row],[SAÍDA DO CLIENTE]]-Prog_23[[#This Row],[PROGRAMAÇÃO CLIENTE]]</f>
        <v>0</v>
      </c>
      <c r="AH571" s="44"/>
      <c r="AI571" s="66"/>
      <c r="AJ571" s="66"/>
      <c r="AK571" s="66"/>
      <c r="AL571" s="66"/>
      <c r="AM571" s="66"/>
      <c r="AN571" s="83"/>
      <c r="AO571" s="83"/>
      <c r="AP571" s="83"/>
      <c r="AQ571" s="66"/>
      <c r="AR571" s="66"/>
      <c r="AS571" s="66"/>
      <c r="AT571" s="81"/>
      <c r="AU571" s="81"/>
      <c r="AV571" s="81"/>
      <c r="AW571" s="81"/>
      <c r="AX571" s="83">
        <f>SUM(Prog_23[[#This Row],[ADIANTAMENTO]]+Prog_23[[#This Row],[SALDO]]+Prog_23[[#This Row],[MARGEM]]+Prog_23[[#This Row],[ESTADIA 1]])</f>
        <v>0</v>
      </c>
      <c r="AY5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71" s="81"/>
      <c r="BA571" s="81"/>
      <c r="BB571" s="81">
        <f>Prog_23[[#This Row],[VLR NF]]*0.1%</f>
        <v>0</v>
      </c>
      <c r="BC571" s="81">
        <f>Prog_23[[#This Row],[VLR NF]]*0.05%</f>
        <v>0</v>
      </c>
      <c r="BD571" s="81"/>
      <c r="BE571" s="81"/>
      <c r="BF571" s="81"/>
      <c r="BG571" s="81"/>
      <c r="BH571" s="81"/>
      <c r="BI571" s="81"/>
      <c r="BJ571" s="81"/>
      <c r="BK571" s="81"/>
      <c r="BL571" s="81"/>
      <c r="BM571" s="81"/>
      <c r="BN571" s="66"/>
      <c r="BO571" s="66"/>
      <c r="BP571" s="66"/>
      <c r="BQ571" s="66" t="str">
        <f>PROPER(TEXT(Prog_23[[#This Row],[PROGRAMAÇÃO CLIENTE]],"mmm"))</f>
        <v>Jan</v>
      </c>
      <c r="BR571" s="66">
        <f>YEAR(Prog_23[[#This Row],[PROGRAMAÇÃO CLIENTE]])</f>
        <v>1900</v>
      </c>
    </row>
    <row r="572" spans="1:70" x14ac:dyDescent="0.25">
      <c r="A572" s="201">
        <f>Prog_23[[#This Row],[CONTEINER]]</f>
        <v>0</v>
      </c>
      <c r="B572" s="86"/>
      <c r="C5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72" s="44"/>
      <c r="E572" s="66"/>
      <c r="F572" s="66"/>
      <c r="G572" s="66"/>
      <c r="H572" s="44"/>
      <c r="I572" s="44"/>
      <c r="J572" s="66"/>
      <c r="K572" s="66"/>
      <c r="L572" s="66"/>
      <c r="M572" s="66"/>
      <c r="N572" s="66">
        <f>SUM(Prog_23[[#This Row],[TARA]]+Prog_23[[#This Row],[PESO]])</f>
        <v>0</v>
      </c>
      <c r="O572" s="44"/>
      <c r="P572" s="66"/>
      <c r="Q572" s="66"/>
      <c r="R572" s="66"/>
      <c r="S572" s="66"/>
      <c r="T572" s="138" t="str">
        <f>IFERROR(LOOKUP($S572,MOTORISTAS!$D$3:$D$916,MOTORISTAS!E$3:$E$916),"")</f>
        <v/>
      </c>
      <c r="U572" s="138" t="str">
        <f>IFERROR(LOOKUP($S572,MOTORISTAS!$D$3:$D$916,MOTORISTAS!F$3:$F$916),"")</f>
        <v/>
      </c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44"/>
      <c r="AG572" s="254">
        <f>Prog_23[[#This Row],[SAÍDA DO CLIENTE]]-Prog_23[[#This Row],[PROGRAMAÇÃO CLIENTE]]</f>
        <v>0</v>
      </c>
      <c r="AH572" s="44"/>
      <c r="AI572" s="66"/>
      <c r="AJ572" s="66"/>
      <c r="AK572" s="66"/>
      <c r="AL572" s="66"/>
      <c r="AM572" s="66"/>
      <c r="AN572" s="83"/>
      <c r="AO572" s="83"/>
      <c r="AP572" s="83"/>
      <c r="AQ572" s="66"/>
      <c r="AR572" s="66"/>
      <c r="AS572" s="66"/>
      <c r="AT572" s="81"/>
      <c r="AU572" s="81"/>
      <c r="AV572" s="81"/>
      <c r="AW572" s="81"/>
      <c r="AX572" s="83">
        <f>SUM(Prog_23[[#This Row],[ADIANTAMENTO]]+Prog_23[[#This Row],[SALDO]]+Prog_23[[#This Row],[MARGEM]]+Prog_23[[#This Row],[ESTADIA 1]])</f>
        <v>0</v>
      </c>
      <c r="AY5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72" s="81"/>
      <c r="BA572" s="81"/>
      <c r="BB572" s="81">
        <f>Prog_23[[#This Row],[VLR NF]]*0.1%</f>
        <v>0</v>
      </c>
      <c r="BC572" s="81">
        <f>Prog_23[[#This Row],[VLR NF]]*0.05%</f>
        <v>0</v>
      </c>
      <c r="BD572" s="81"/>
      <c r="BE572" s="81"/>
      <c r="BF572" s="81"/>
      <c r="BG572" s="81"/>
      <c r="BH572" s="81"/>
      <c r="BI572" s="81"/>
      <c r="BJ572" s="81"/>
      <c r="BK572" s="81"/>
      <c r="BL572" s="81"/>
      <c r="BM572" s="81"/>
      <c r="BN572" s="66"/>
      <c r="BO572" s="66"/>
      <c r="BP572" s="66"/>
      <c r="BQ572" s="66" t="str">
        <f>PROPER(TEXT(Prog_23[[#This Row],[PROGRAMAÇÃO CLIENTE]],"mmm"))</f>
        <v>Jan</v>
      </c>
      <c r="BR572" s="66">
        <f>YEAR(Prog_23[[#This Row],[PROGRAMAÇÃO CLIENTE]])</f>
        <v>1900</v>
      </c>
    </row>
    <row r="573" spans="1:70" x14ac:dyDescent="0.25">
      <c r="A573" s="200">
        <f>Prog_23[[#This Row],[CONTEINER]]</f>
        <v>0</v>
      </c>
      <c r="B573" s="86"/>
      <c r="C5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73" s="44"/>
      <c r="E573" s="66"/>
      <c r="F573" s="66"/>
      <c r="G573" s="66"/>
      <c r="H573" s="44"/>
      <c r="I573" s="44"/>
      <c r="J573" s="66"/>
      <c r="K573" s="66"/>
      <c r="L573" s="66"/>
      <c r="M573" s="66"/>
      <c r="N573" s="66">
        <f>SUM(Prog_23[[#This Row],[TARA]]+Prog_23[[#This Row],[PESO]])</f>
        <v>0</v>
      </c>
      <c r="O573" s="44"/>
      <c r="P573" s="66"/>
      <c r="Q573" s="66"/>
      <c r="R573" s="66"/>
      <c r="S573" s="66"/>
      <c r="T573" s="138" t="str">
        <f>IFERROR(LOOKUP($S573,MOTORISTAS!$D$3:$D$916,MOTORISTAS!E$3:$E$916),"")</f>
        <v/>
      </c>
      <c r="U573" s="138" t="str">
        <f>IFERROR(LOOKUP($S573,MOTORISTAS!$D$3:$D$916,MOTORISTAS!F$3:$F$916),"")</f>
        <v/>
      </c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44"/>
      <c r="AG573" s="254">
        <f>Prog_23[[#This Row],[SAÍDA DO CLIENTE]]-Prog_23[[#This Row],[PROGRAMAÇÃO CLIENTE]]</f>
        <v>0</v>
      </c>
      <c r="AH573" s="44"/>
      <c r="AI573" s="66"/>
      <c r="AJ573" s="66"/>
      <c r="AK573" s="66"/>
      <c r="AL573" s="66"/>
      <c r="AM573" s="66"/>
      <c r="AN573" s="83"/>
      <c r="AO573" s="83"/>
      <c r="AP573" s="83"/>
      <c r="AQ573" s="66"/>
      <c r="AR573" s="66"/>
      <c r="AS573" s="66"/>
      <c r="AT573" s="81"/>
      <c r="AU573" s="81"/>
      <c r="AV573" s="81"/>
      <c r="AW573" s="81"/>
      <c r="AX573" s="83">
        <f>SUM(Prog_23[[#This Row],[ADIANTAMENTO]]+Prog_23[[#This Row],[SALDO]]+Prog_23[[#This Row],[MARGEM]]+Prog_23[[#This Row],[ESTADIA 1]])</f>
        <v>0</v>
      </c>
      <c r="AY5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73" s="81"/>
      <c r="BA573" s="81"/>
      <c r="BB573" s="81">
        <f>Prog_23[[#This Row],[VLR NF]]*0.1%</f>
        <v>0</v>
      </c>
      <c r="BC573" s="81">
        <f>Prog_23[[#This Row],[VLR NF]]*0.05%</f>
        <v>0</v>
      </c>
      <c r="BD573" s="81"/>
      <c r="BE573" s="81"/>
      <c r="BF573" s="81"/>
      <c r="BG573" s="81"/>
      <c r="BH573" s="81"/>
      <c r="BI573" s="81"/>
      <c r="BJ573" s="81"/>
      <c r="BK573" s="81"/>
      <c r="BL573" s="81"/>
      <c r="BM573" s="81"/>
      <c r="BN573" s="66"/>
      <c r="BO573" s="66"/>
      <c r="BP573" s="66"/>
      <c r="BQ573" s="66" t="str">
        <f>PROPER(TEXT(Prog_23[[#This Row],[PROGRAMAÇÃO CLIENTE]],"mmm"))</f>
        <v>Jan</v>
      </c>
      <c r="BR573" s="66">
        <f>YEAR(Prog_23[[#This Row],[PROGRAMAÇÃO CLIENTE]])</f>
        <v>1900</v>
      </c>
    </row>
    <row r="574" spans="1:70" x14ac:dyDescent="0.25">
      <c r="A574" s="201">
        <f>Prog_23[[#This Row],[CONTEINER]]</f>
        <v>0</v>
      </c>
      <c r="B574" s="86"/>
      <c r="C5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74" s="44"/>
      <c r="E574" s="66"/>
      <c r="F574" s="66"/>
      <c r="G574" s="66"/>
      <c r="H574" s="44"/>
      <c r="I574" s="44"/>
      <c r="J574" s="66"/>
      <c r="K574" s="66"/>
      <c r="L574" s="66"/>
      <c r="M574" s="66"/>
      <c r="N574" s="66">
        <f>SUM(Prog_23[[#This Row],[TARA]]+Prog_23[[#This Row],[PESO]])</f>
        <v>0</v>
      </c>
      <c r="O574" s="44"/>
      <c r="P574" s="66"/>
      <c r="Q574" s="66"/>
      <c r="R574" s="66"/>
      <c r="S574" s="66"/>
      <c r="T574" s="138" t="str">
        <f>IFERROR(LOOKUP($S574,MOTORISTAS!$D$3:$D$916,MOTORISTAS!E$3:$E$916),"")</f>
        <v/>
      </c>
      <c r="U574" s="138" t="str">
        <f>IFERROR(LOOKUP($S574,MOTORISTAS!$D$3:$D$916,MOTORISTAS!F$3:$F$916),"")</f>
        <v/>
      </c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44"/>
      <c r="AG574" s="254">
        <f>Prog_23[[#This Row],[SAÍDA DO CLIENTE]]-Prog_23[[#This Row],[PROGRAMAÇÃO CLIENTE]]</f>
        <v>0</v>
      </c>
      <c r="AH574" s="44"/>
      <c r="AI574" s="66"/>
      <c r="AJ574" s="66"/>
      <c r="AK574" s="66"/>
      <c r="AL574" s="66"/>
      <c r="AM574" s="66"/>
      <c r="AN574" s="83"/>
      <c r="AO574" s="83"/>
      <c r="AP574" s="83"/>
      <c r="AQ574" s="66"/>
      <c r="AR574" s="66"/>
      <c r="AS574" s="66"/>
      <c r="AT574" s="81"/>
      <c r="AU574" s="81"/>
      <c r="AV574" s="81"/>
      <c r="AW574" s="81"/>
      <c r="AX574" s="83">
        <f>SUM(Prog_23[[#This Row],[ADIANTAMENTO]]+Prog_23[[#This Row],[SALDO]]+Prog_23[[#This Row],[MARGEM]]+Prog_23[[#This Row],[ESTADIA 1]])</f>
        <v>0</v>
      </c>
      <c r="AY5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74" s="81"/>
      <c r="BA574" s="81"/>
      <c r="BB574" s="81">
        <f>Prog_23[[#This Row],[VLR NF]]*0.1%</f>
        <v>0</v>
      </c>
      <c r="BC574" s="81">
        <f>Prog_23[[#This Row],[VLR NF]]*0.05%</f>
        <v>0</v>
      </c>
      <c r="BD574" s="81"/>
      <c r="BE574" s="81"/>
      <c r="BF574" s="81"/>
      <c r="BG574" s="81"/>
      <c r="BH574" s="81"/>
      <c r="BI574" s="81"/>
      <c r="BJ574" s="81"/>
      <c r="BK574" s="81"/>
      <c r="BL574" s="81"/>
      <c r="BM574" s="81"/>
      <c r="BN574" s="66"/>
      <c r="BO574" s="66"/>
      <c r="BP574" s="66"/>
      <c r="BQ574" s="66" t="str">
        <f>PROPER(TEXT(Prog_23[[#This Row],[PROGRAMAÇÃO CLIENTE]],"mmm"))</f>
        <v>Jan</v>
      </c>
      <c r="BR574" s="66">
        <f>YEAR(Prog_23[[#This Row],[PROGRAMAÇÃO CLIENTE]])</f>
        <v>1900</v>
      </c>
    </row>
    <row r="575" spans="1:70" x14ac:dyDescent="0.25">
      <c r="A575" s="200">
        <f>Prog_23[[#This Row],[CONTEINER]]</f>
        <v>0</v>
      </c>
      <c r="B575" s="86"/>
      <c r="C5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75" s="44"/>
      <c r="E575" s="66"/>
      <c r="F575" s="66"/>
      <c r="G575" s="66"/>
      <c r="H575" s="44"/>
      <c r="I575" s="44"/>
      <c r="J575" s="66"/>
      <c r="K575" s="66"/>
      <c r="L575" s="66"/>
      <c r="M575" s="66"/>
      <c r="N575" s="66">
        <f>SUM(Prog_23[[#This Row],[TARA]]+Prog_23[[#This Row],[PESO]])</f>
        <v>0</v>
      </c>
      <c r="O575" s="44"/>
      <c r="P575" s="66"/>
      <c r="Q575" s="66"/>
      <c r="R575" s="66"/>
      <c r="S575" s="66"/>
      <c r="T575" s="138" t="str">
        <f>IFERROR(LOOKUP($S575,MOTORISTAS!$D$3:$D$916,MOTORISTAS!E$3:$E$916),"")</f>
        <v/>
      </c>
      <c r="U575" s="138" t="str">
        <f>IFERROR(LOOKUP($S575,MOTORISTAS!$D$3:$D$916,MOTORISTAS!F$3:$F$916),"")</f>
        <v/>
      </c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44"/>
      <c r="AG575" s="254">
        <f>Prog_23[[#This Row],[SAÍDA DO CLIENTE]]-Prog_23[[#This Row],[PROGRAMAÇÃO CLIENTE]]</f>
        <v>0</v>
      </c>
      <c r="AH575" s="44"/>
      <c r="AI575" s="66"/>
      <c r="AJ575" s="66"/>
      <c r="AK575" s="66"/>
      <c r="AL575" s="66"/>
      <c r="AM575" s="66"/>
      <c r="AN575" s="83"/>
      <c r="AO575" s="83"/>
      <c r="AP575" s="83"/>
      <c r="AQ575" s="66"/>
      <c r="AR575" s="66"/>
      <c r="AS575" s="66"/>
      <c r="AT575" s="81"/>
      <c r="AU575" s="81"/>
      <c r="AV575" s="81"/>
      <c r="AW575" s="81"/>
      <c r="AX575" s="83">
        <f>SUM(Prog_23[[#This Row],[ADIANTAMENTO]]+Prog_23[[#This Row],[SALDO]]+Prog_23[[#This Row],[MARGEM]]+Prog_23[[#This Row],[ESTADIA 1]])</f>
        <v>0</v>
      </c>
      <c r="AY5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75" s="81"/>
      <c r="BA575" s="81"/>
      <c r="BB575" s="81">
        <f>Prog_23[[#This Row],[VLR NF]]*0.1%</f>
        <v>0</v>
      </c>
      <c r="BC575" s="81">
        <f>Prog_23[[#This Row],[VLR NF]]*0.05%</f>
        <v>0</v>
      </c>
      <c r="BD575" s="81"/>
      <c r="BE575" s="81"/>
      <c r="BF575" s="81"/>
      <c r="BG575" s="81"/>
      <c r="BH575" s="81"/>
      <c r="BI575" s="81"/>
      <c r="BJ575" s="81"/>
      <c r="BK575" s="81"/>
      <c r="BL575" s="81"/>
      <c r="BM575" s="81"/>
      <c r="BN575" s="66"/>
      <c r="BO575" s="66"/>
      <c r="BP575" s="66"/>
      <c r="BQ575" s="66" t="str">
        <f>PROPER(TEXT(Prog_23[[#This Row],[PROGRAMAÇÃO CLIENTE]],"mmm"))</f>
        <v>Jan</v>
      </c>
      <c r="BR575" s="66">
        <f>YEAR(Prog_23[[#This Row],[PROGRAMAÇÃO CLIENTE]])</f>
        <v>1900</v>
      </c>
    </row>
    <row r="576" spans="1:70" x14ac:dyDescent="0.25">
      <c r="A576" s="201">
        <f>Prog_23[[#This Row],[CONTEINER]]</f>
        <v>0</v>
      </c>
      <c r="B576" s="86"/>
      <c r="C5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76" s="44"/>
      <c r="E576" s="66"/>
      <c r="F576" s="66"/>
      <c r="G576" s="66"/>
      <c r="H576" s="44"/>
      <c r="I576" s="44"/>
      <c r="J576" s="66"/>
      <c r="K576" s="66"/>
      <c r="L576" s="66"/>
      <c r="M576" s="66"/>
      <c r="N576" s="66">
        <f>SUM(Prog_23[[#This Row],[TARA]]+Prog_23[[#This Row],[PESO]])</f>
        <v>0</v>
      </c>
      <c r="O576" s="44"/>
      <c r="P576" s="66"/>
      <c r="Q576" s="66"/>
      <c r="R576" s="66"/>
      <c r="S576" s="66"/>
      <c r="T576" s="138" t="str">
        <f>IFERROR(LOOKUP($S576,MOTORISTAS!$D$3:$D$916,MOTORISTAS!E$3:$E$916),"")</f>
        <v/>
      </c>
      <c r="U576" s="138" t="str">
        <f>IFERROR(LOOKUP($S576,MOTORISTAS!$D$3:$D$916,MOTORISTAS!F$3:$F$916),"")</f>
        <v/>
      </c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44"/>
      <c r="AG576" s="254">
        <f>Prog_23[[#This Row],[SAÍDA DO CLIENTE]]-Prog_23[[#This Row],[PROGRAMAÇÃO CLIENTE]]</f>
        <v>0</v>
      </c>
      <c r="AH576" s="44"/>
      <c r="AI576" s="66"/>
      <c r="AJ576" s="66"/>
      <c r="AK576" s="66"/>
      <c r="AL576" s="66"/>
      <c r="AM576" s="66"/>
      <c r="AN576" s="83"/>
      <c r="AO576" s="83"/>
      <c r="AP576" s="83"/>
      <c r="AQ576" s="66"/>
      <c r="AR576" s="66"/>
      <c r="AS576" s="66"/>
      <c r="AT576" s="81"/>
      <c r="AU576" s="81"/>
      <c r="AV576" s="81"/>
      <c r="AW576" s="81"/>
      <c r="AX576" s="83">
        <f>SUM(Prog_23[[#This Row],[ADIANTAMENTO]]+Prog_23[[#This Row],[SALDO]]+Prog_23[[#This Row],[MARGEM]]+Prog_23[[#This Row],[ESTADIA 1]])</f>
        <v>0</v>
      </c>
      <c r="AY5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76" s="81"/>
      <c r="BA576" s="81"/>
      <c r="BB576" s="81">
        <f>Prog_23[[#This Row],[VLR NF]]*0.1%</f>
        <v>0</v>
      </c>
      <c r="BC576" s="81">
        <f>Prog_23[[#This Row],[VLR NF]]*0.05%</f>
        <v>0</v>
      </c>
      <c r="BD576" s="81"/>
      <c r="BE576" s="81"/>
      <c r="BF576" s="81"/>
      <c r="BG576" s="81"/>
      <c r="BH576" s="81"/>
      <c r="BI576" s="81"/>
      <c r="BJ576" s="81"/>
      <c r="BK576" s="81"/>
      <c r="BL576" s="81"/>
      <c r="BM576" s="81"/>
      <c r="BN576" s="66"/>
      <c r="BO576" s="66"/>
      <c r="BP576" s="66"/>
      <c r="BQ576" s="66" t="str">
        <f>PROPER(TEXT(Prog_23[[#This Row],[PROGRAMAÇÃO CLIENTE]],"mmm"))</f>
        <v>Jan</v>
      </c>
      <c r="BR576" s="66">
        <f>YEAR(Prog_23[[#This Row],[PROGRAMAÇÃO CLIENTE]])</f>
        <v>1900</v>
      </c>
    </row>
    <row r="577" spans="1:70" x14ac:dyDescent="0.25">
      <c r="A577" s="200">
        <f>Prog_23[[#This Row],[CONTEINER]]</f>
        <v>0</v>
      </c>
      <c r="B577" s="86"/>
      <c r="C5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77" s="44"/>
      <c r="E577" s="66"/>
      <c r="F577" s="66"/>
      <c r="G577" s="66"/>
      <c r="H577" s="44"/>
      <c r="I577" s="44"/>
      <c r="J577" s="66"/>
      <c r="K577" s="66"/>
      <c r="L577" s="66"/>
      <c r="M577" s="66"/>
      <c r="N577" s="66">
        <f>SUM(Prog_23[[#This Row],[TARA]]+Prog_23[[#This Row],[PESO]])</f>
        <v>0</v>
      </c>
      <c r="O577" s="44"/>
      <c r="P577" s="66"/>
      <c r="Q577" s="66"/>
      <c r="R577" s="66"/>
      <c r="S577" s="66"/>
      <c r="T577" s="138" t="str">
        <f>IFERROR(LOOKUP($S577,MOTORISTAS!$D$3:$D$916,MOTORISTAS!E$3:$E$916),"")</f>
        <v/>
      </c>
      <c r="U577" s="138" t="str">
        <f>IFERROR(LOOKUP($S577,MOTORISTAS!$D$3:$D$916,MOTORISTAS!F$3:$F$916),"")</f>
        <v/>
      </c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44"/>
      <c r="AG577" s="254">
        <f>Prog_23[[#This Row],[SAÍDA DO CLIENTE]]-Prog_23[[#This Row],[PROGRAMAÇÃO CLIENTE]]</f>
        <v>0</v>
      </c>
      <c r="AH577" s="44"/>
      <c r="AI577" s="66"/>
      <c r="AJ577" s="66"/>
      <c r="AK577" s="66"/>
      <c r="AL577" s="66"/>
      <c r="AM577" s="66"/>
      <c r="AN577" s="83"/>
      <c r="AO577" s="83"/>
      <c r="AP577" s="83"/>
      <c r="AQ577" s="66"/>
      <c r="AR577" s="66"/>
      <c r="AS577" s="66"/>
      <c r="AT577" s="81"/>
      <c r="AU577" s="81"/>
      <c r="AV577" s="81"/>
      <c r="AW577" s="81"/>
      <c r="AX577" s="83">
        <f>SUM(Prog_23[[#This Row],[ADIANTAMENTO]]+Prog_23[[#This Row],[SALDO]]+Prog_23[[#This Row],[MARGEM]]+Prog_23[[#This Row],[ESTADIA 1]])</f>
        <v>0</v>
      </c>
      <c r="AY5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77" s="81"/>
      <c r="BA577" s="81"/>
      <c r="BB577" s="81">
        <f>Prog_23[[#This Row],[VLR NF]]*0.1%</f>
        <v>0</v>
      </c>
      <c r="BC577" s="81">
        <f>Prog_23[[#This Row],[VLR NF]]*0.05%</f>
        <v>0</v>
      </c>
      <c r="BD577" s="81"/>
      <c r="BE577" s="81"/>
      <c r="BF577" s="81"/>
      <c r="BG577" s="81"/>
      <c r="BH577" s="81"/>
      <c r="BI577" s="81"/>
      <c r="BJ577" s="81"/>
      <c r="BK577" s="81"/>
      <c r="BL577" s="81"/>
      <c r="BM577" s="81"/>
      <c r="BN577" s="66"/>
      <c r="BO577" s="66"/>
      <c r="BP577" s="66"/>
      <c r="BQ577" s="66" t="str">
        <f>PROPER(TEXT(Prog_23[[#This Row],[PROGRAMAÇÃO CLIENTE]],"mmm"))</f>
        <v>Jan</v>
      </c>
      <c r="BR577" s="66">
        <f>YEAR(Prog_23[[#This Row],[PROGRAMAÇÃO CLIENTE]])</f>
        <v>1900</v>
      </c>
    </row>
    <row r="578" spans="1:70" x14ac:dyDescent="0.25">
      <c r="A578" s="201">
        <f>Prog_23[[#This Row],[CONTEINER]]</f>
        <v>0</v>
      </c>
      <c r="B578" s="86"/>
      <c r="C5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78" s="44"/>
      <c r="E578" s="66"/>
      <c r="F578" s="66"/>
      <c r="G578" s="66"/>
      <c r="H578" s="44"/>
      <c r="I578" s="44"/>
      <c r="J578" s="66"/>
      <c r="K578" s="66"/>
      <c r="L578" s="66"/>
      <c r="M578" s="66"/>
      <c r="N578" s="66">
        <f>SUM(Prog_23[[#This Row],[TARA]]+Prog_23[[#This Row],[PESO]])</f>
        <v>0</v>
      </c>
      <c r="O578" s="44"/>
      <c r="P578" s="66"/>
      <c r="Q578" s="66"/>
      <c r="R578" s="66"/>
      <c r="S578" s="66"/>
      <c r="T578" s="138" t="str">
        <f>IFERROR(LOOKUP($S578,MOTORISTAS!$D$3:$D$916,MOTORISTAS!E$3:$E$916),"")</f>
        <v/>
      </c>
      <c r="U578" s="138" t="str">
        <f>IFERROR(LOOKUP($S578,MOTORISTAS!$D$3:$D$916,MOTORISTAS!F$3:$F$916),"")</f>
        <v/>
      </c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44"/>
      <c r="AG578" s="254">
        <f>Prog_23[[#This Row],[SAÍDA DO CLIENTE]]-Prog_23[[#This Row],[PROGRAMAÇÃO CLIENTE]]</f>
        <v>0</v>
      </c>
      <c r="AH578" s="44"/>
      <c r="AI578" s="66"/>
      <c r="AJ578" s="66"/>
      <c r="AK578" s="66"/>
      <c r="AL578" s="66"/>
      <c r="AM578" s="66"/>
      <c r="AN578" s="83"/>
      <c r="AO578" s="83"/>
      <c r="AP578" s="83"/>
      <c r="AQ578" s="66"/>
      <c r="AR578" s="66"/>
      <c r="AS578" s="66"/>
      <c r="AT578" s="81"/>
      <c r="AU578" s="81"/>
      <c r="AV578" s="81"/>
      <c r="AW578" s="81"/>
      <c r="AX578" s="83">
        <f>SUM(Prog_23[[#This Row],[ADIANTAMENTO]]+Prog_23[[#This Row],[SALDO]]+Prog_23[[#This Row],[MARGEM]]+Prog_23[[#This Row],[ESTADIA 1]])</f>
        <v>0</v>
      </c>
      <c r="AY5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78" s="81"/>
      <c r="BA578" s="81"/>
      <c r="BB578" s="81">
        <f>Prog_23[[#This Row],[VLR NF]]*0.1%</f>
        <v>0</v>
      </c>
      <c r="BC578" s="81">
        <f>Prog_23[[#This Row],[VLR NF]]*0.05%</f>
        <v>0</v>
      </c>
      <c r="BD578" s="81"/>
      <c r="BE578" s="81"/>
      <c r="BF578" s="81"/>
      <c r="BG578" s="81"/>
      <c r="BH578" s="81"/>
      <c r="BI578" s="81"/>
      <c r="BJ578" s="81"/>
      <c r="BK578" s="81"/>
      <c r="BL578" s="81"/>
      <c r="BM578" s="81"/>
      <c r="BN578" s="66"/>
      <c r="BO578" s="66"/>
      <c r="BP578" s="66"/>
      <c r="BQ578" s="66" t="str">
        <f>PROPER(TEXT(Prog_23[[#This Row],[PROGRAMAÇÃO CLIENTE]],"mmm"))</f>
        <v>Jan</v>
      </c>
      <c r="BR578" s="66">
        <f>YEAR(Prog_23[[#This Row],[PROGRAMAÇÃO CLIENTE]])</f>
        <v>1900</v>
      </c>
    </row>
    <row r="579" spans="1:70" x14ac:dyDescent="0.25">
      <c r="A579" s="200">
        <f>Prog_23[[#This Row],[CONTEINER]]</f>
        <v>0</v>
      </c>
      <c r="B579" s="86"/>
      <c r="C5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79" s="44"/>
      <c r="E579" s="66"/>
      <c r="F579" s="66"/>
      <c r="G579" s="66"/>
      <c r="H579" s="44"/>
      <c r="I579" s="44"/>
      <c r="J579" s="66"/>
      <c r="K579" s="66"/>
      <c r="L579" s="66"/>
      <c r="M579" s="66"/>
      <c r="N579" s="66">
        <f>SUM(Prog_23[[#This Row],[TARA]]+Prog_23[[#This Row],[PESO]])</f>
        <v>0</v>
      </c>
      <c r="O579" s="44"/>
      <c r="P579" s="66"/>
      <c r="Q579" s="66"/>
      <c r="R579" s="66"/>
      <c r="S579" s="66"/>
      <c r="T579" s="138" t="str">
        <f>IFERROR(LOOKUP($S579,MOTORISTAS!$D$3:$D$916,MOTORISTAS!E$3:$E$916),"")</f>
        <v/>
      </c>
      <c r="U579" s="138" t="str">
        <f>IFERROR(LOOKUP($S579,MOTORISTAS!$D$3:$D$916,MOTORISTAS!F$3:$F$916),"")</f>
        <v/>
      </c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44"/>
      <c r="AG579" s="254">
        <f>Prog_23[[#This Row],[SAÍDA DO CLIENTE]]-Prog_23[[#This Row],[PROGRAMAÇÃO CLIENTE]]</f>
        <v>0</v>
      </c>
      <c r="AH579" s="44"/>
      <c r="AI579" s="66"/>
      <c r="AJ579" s="66"/>
      <c r="AK579" s="66"/>
      <c r="AL579" s="66"/>
      <c r="AM579" s="66"/>
      <c r="AN579" s="83"/>
      <c r="AO579" s="83"/>
      <c r="AP579" s="83"/>
      <c r="AQ579" s="66"/>
      <c r="AR579" s="66"/>
      <c r="AS579" s="66"/>
      <c r="AT579" s="81"/>
      <c r="AU579" s="81"/>
      <c r="AV579" s="81"/>
      <c r="AW579" s="81"/>
      <c r="AX579" s="83">
        <f>SUM(Prog_23[[#This Row],[ADIANTAMENTO]]+Prog_23[[#This Row],[SALDO]]+Prog_23[[#This Row],[MARGEM]]+Prog_23[[#This Row],[ESTADIA 1]])</f>
        <v>0</v>
      </c>
      <c r="AY5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79" s="81"/>
      <c r="BA579" s="81"/>
      <c r="BB579" s="81">
        <f>Prog_23[[#This Row],[VLR NF]]*0.1%</f>
        <v>0</v>
      </c>
      <c r="BC579" s="81">
        <f>Prog_23[[#This Row],[VLR NF]]*0.05%</f>
        <v>0</v>
      </c>
      <c r="BD579" s="81"/>
      <c r="BE579" s="81"/>
      <c r="BF579" s="81"/>
      <c r="BG579" s="81"/>
      <c r="BH579" s="81"/>
      <c r="BI579" s="81"/>
      <c r="BJ579" s="81"/>
      <c r="BK579" s="81"/>
      <c r="BL579" s="81"/>
      <c r="BM579" s="81"/>
      <c r="BN579" s="66"/>
      <c r="BO579" s="66"/>
      <c r="BP579" s="66"/>
      <c r="BQ579" s="66" t="str">
        <f>PROPER(TEXT(Prog_23[[#This Row],[PROGRAMAÇÃO CLIENTE]],"mmm"))</f>
        <v>Jan</v>
      </c>
      <c r="BR579" s="66">
        <f>YEAR(Prog_23[[#This Row],[PROGRAMAÇÃO CLIENTE]])</f>
        <v>1900</v>
      </c>
    </row>
    <row r="580" spans="1:70" x14ac:dyDescent="0.25">
      <c r="A580" s="201">
        <f>Prog_23[[#This Row],[CONTEINER]]</f>
        <v>0</v>
      </c>
      <c r="B580" s="86"/>
      <c r="C5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0" s="44"/>
      <c r="E580" s="66"/>
      <c r="F580" s="66"/>
      <c r="G580" s="66"/>
      <c r="H580" s="44"/>
      <c r="I580" s="44"/>
      <c r="J580" s="66"/>
      <c r="K580" s="66"/>
      <c r="L580" s="66"/>
      <c r="M580" s="66"/>
      <c r="N580" s="66">
        <f>SUM(Prog_23[[#This Row],[TARA]]+Prog_23[[#This Row],[PESO]])</f>
        <v>0</v>
      </c>
      <c r="O580" s="44"/>
      <c r="P580" s="66"/>
      <c r="Q580" s="66"/>
      <c r="R580" s="66"/>
      <c r="S580" s="66"/>
      <c r="T580" s="138" t="str">
        <f>IFERROR(LOOKUP($S580,MOTORISTAS!$D$3:$D$916,MOTORISTAS!E$3:$E$916),"")</f>
        <v/>
      </c>
      <c r="U580" s="138" t="str">
        <f>IFERROR(LOOKUP($S580,MOTORISTAS!$D$3:$D$916,MOTORISTAS!F$3:$F$916),"")</f>
        <v/>
      </c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44"/>
      <c r="AG580" s="254">
        <f>Prog_23[[#This Row],[SAÍDA DO CLIENTE]]-Prog_23[[#This Row],[PROGRAMAÇÃO CLIENTE]]</f>
        <v>0</v>
      </c>
      <c r="AH580" s="44"/>
      <c r="AI580" s="66"/>
      <c r="AJ580" s="66"/>
      <c r="AK580" s="66"/>
      <c r="AL580" s="66"/>
      <c r="AM580" s="66"/>
      <c r="AN580" s="83"/>
      <c r="AO580" s="83"/>
      <c r="AP580" s="83"/>
      <c r="AQ580" s="66"/>
      <c r="AR580" s="66"/>
      <c r="AS580" s="66"/>
      <c r="AT580" s="81"/>
      <c r="AU580" s="81"/>
      <c r="AV580" s="81"/>
      <c r="AW580" s="81"/>
      <c r="AX580" s="83">
        <f>SUM(Prog_23[[#This Row],[ADIANTAMENTO]]+Prog_23[[#This Row],[SALDO]]+Prog_23[[#This Row],[MARGEM]]+Prog_23[[#This Row],[ESTADIA 1]])</f>
        <v>0</v>
      </c>
      <c r="AY5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80" s="81"/>
      <c r="BA580" s="81"/>
      <c r="BB580" s="81">
        <f>Prog_23[[#This Row],[VLR NF]]*0.1%</f>
        <v>0</v>
      </c>
      <c r="BC580" s="81">
        <f>Prog_23[[#This Row],[VLR NF]]*0.05%</f>
        <v>0</v>
      </c>
      <c r="BD580" s="81"/>
      <c r="BE580" s="81"/>
      <c r="BF580" s="81"/>
      <c r="BG580" s="81"/>
      <c r="BH580" s="81"/>
      <c r="BI580" s="81"/>
      <c r="BJ580" s="81"/>
      <c r="BK580" s="81"/>
      <c r="BL580" s="81"/>
      <c r="BM580" s="81"/>
      <c r="BN580" s="66"/>
      <c r="BO580" s="66"/>
      <c r="BP580" s="66"/>
      <c r="BQ580" s="66" t="str">
        <f>PROPER(TEXT(Prog_23[[#This Row],[PROGRAMAÇÃO CLIENTE]],"mmm"))</f>
        <v>Jan</v>
      </c>
      <c r="BR580" s="66">
        <f>YEAR(Prog_23[[#This Row],[PROGRAMAÇÃO CLIENTE]])</f>
        <v>1900</v>
      </c>
    </row>
    <row r="581" spans="1:70" x14ac:dyDescent="0.25">
      <c r="A581" s="200">
        <f>Prog_23[[#This Row],[CONTEINER]]</f>
        <v>0</v>
      </c>
      <c r="B581" s="86"/>
      <c r="C5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1" s="44"/>
      <c r="E581" s="66"/>
      <c r="F581" s="66"/>
      <c r="G581" s="66"/>
      <c r="H581" s="44"/>
      <c r="I581" s="44"/>
      <c r="J581" s="66"/>
      <c r="K581" s="66"/>
      <c r="L581" s="66"/>
      <c r="M581" s="66"/>
      <c r="N581" s="66">
        <f>SUM(Prog_23[[#This Row],[TARA]]+Prog_23[[#This Row],[PESO]])</f>
        <v>0</v>
      </c>
      <c r="O581" s="44"/>
      <c r="P581" s="66"/>
      <c r="Q581" s="66"/>
      <c r="R581" s="66"/>
      <c r="S581" s="66"/>
      <c r="T581" s="138" t="str">
        <f>IFERROR(LOOKUP($S581,MOTORISTAS!$D$3:$D$916,MOTORISTAS!E$3:$E$916),"")</f>
        <v/>
      </c>
      <c r="U581" s="138" t="str">
        <f>IFERROR(LOOKUP($S581,MOTORISTAS!$D$3:$D$916,MOTORISTAS!F$3:$F$916),"")</f>
        <v/>
      </c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44"/>
      <c r="AG581" s="254">
        <f>Prog_23[[#This Row],[SAÍDA DO CLIENTE]]-Prog_23[[#This Row],[PROGRAMAÇÃO CLIENTE]]</f>
        <v>0</v>
      </c>
      <c r="AH581" s="44"/>
      <c r="AI581" s="66"/>
      <c r="AJ581" s="66"/>
      <c r="AK581" s="66"/>
      <c r="AL581" s="66"/>
      <c r="AM581" s="66"/>
      <c r="AN581" s="83"/>
      <c r="AO581" s="83"/>
      <c r="AP581" s="83"/>
      <c r="AQ581" s="66"/>
      <c r="AR581" s="66"/>
      <c r="AS581" s="66"/>
      <c r="AT581" s="81"/>
      <c r="AU581" s="81"/>
      <c r="AV581" s="81"/>
      <c r="AW581" s="81"/>
      <c r="AX581" s="83">
        <f>SUM(Prog_23[[#This Row],[ADIANTAMENTO]]+Prog_23[[#This Row],[SALDO]]+Prog_23[[#This Row],[MARGEM]]+Prog_23[[#This Row],[ESTADIA 1]])</f>
        <v>0</v>
      </c>
      <c r="AY5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81" s="81"/>
      <c r="BA581" s="81"/>
      <c r="BB581" s="81">
        <f>Prog_23[[#This Row],[VLR NF]]*0.1%</f>
        <v>0</v>
      </c>
      <c r="BC581" s="81">
        <f>Prog_23[[#This Row],[VLR NF]]*0.05%</f>
        <v>0</v>
      </c>
      <c r="BD581" s="81"/>
      <c r="BE581" s="81"/>
      <c r="BF581" s="81"/>
      <c r="BG581" s="81"/>
      <c r="BH581" s="81"/>
      <c r="BI581" s="81"/>
      <c r="BJ581" s="81"/>
      <c r="BK581" s="81"/>
      <c r="BL581" s="81"/>
      <c r="BM581" s="81"/>
      <c r="BN581" s="66"/>
      <c r="BO581" s="66"/>
      <c r="BP581" s="66"/>
      <c r="BQ581" s="66" t="str">
        <f>PROPER(TEXT(Prog_23[[#This Row],[PROGRAMAÇÃO CLIENTE]],"mmm"))</f>
        <v>Jan</v>
      </c>
      <c r="BR581" s="66">
        <f>YEAR(Prog_23[[#This Row],[PROGRAMAÇÃO CLIENTE]])</f>
        <v>1900</v>
      </c>
    </row>
    <row r="582" spans="1:70" x14ac:dyDescent="0.25">
      <c r="A582" s="201">
        <f>Prog_23[[#This Row],[CONTEINER]]</f>
        <v>0</v>
      </c>
      <c r="B582" s="86"/>
      <c r="C5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2" s="44"/>
      <c r="E582" s="66"/>
      <c r="F582" s="66"/>
      <c r="G582" s="66"/>
      <c r="H582" s="44"/>
      <c r="I582" s="44"/>
      <c r="J582" s="66"/>
      <c r="K582" s="66"/>
      <c r="L582" s="66"/>
      <c r="M582" s="66"/>
      <c r="N582" s="66">
        <f>SUM(Prog_23[[#This Row],[TARA]]+Prog_23[[#This Row],[PESO]])</f>
        <v>0</v>
      </c>
      <c r="O582" s="44"/>
      <c r="P582" s="66"/>
      <c r="Q582" s="66"/>
      <c r="R582" s="66"/>
      <c r="S582" s="66"/>
      <c r="T582" s="138" t="str">
        <f>IFERROR(LOOKUP($S582,MOTORISTAS!$D$3:$D$916,MOTORISTAS!E$3:$E$916),"")</f>
        <v/>
      </c>
      <c r="U582" s="138" t="str">
        <f>IFERROR(LOOKUP($S582,MOTORISTAS!$D$3:$D$916,MOTORISTAS!F$3:$F$916),"")</f>
        <v/>
      </c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44"/>
      <c r="AG582" s="254">
        <f>Prog_23[[#This Row],[SAÍDA DO CLIENTE]]-Prog_23[[#This Row],[PROGRAMAÇÃO CLIENTE]]</f>
        <v>0</v>
      </c>
      <c r="AH582" s="44"/>
      <c r="AI582" s="66"/>
      <c r="AJ582" s="66"/>
      <c r="AK582" s="66"/>
      <c r="AL582" s="66"/>
      <c r="AM582" s="66"/>
      <c r="AN582" s="83"/>
      <c r="AO582" s="83"/>
      <c r="AP582" s="83"/>
      <c r="AQ582" s="66"/>
      <c r="AR582" s="66"/>
      <c r="AS582" s="66"/>
      <c r="AT582" s="81"/>
      <c r="AU582" s="81"/>
      <c r="AV582" s="81"/>
      <c r="AW582" s="81"/>
      <c r="AX582" s="83">
        <f>SUM(Prog_23[[#This Row],[ADIANTAMENTO]]+Prog_23[[#This Row],[SALDO]]+Prog_23[[#This Row],[MARGEM]]+Prog_23[[#This Row],[ESTADIA 1]])</f>
        <v>0</v>
      </c>
      <c r="AY5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82" s="81"/>
      <c r="BA582" s="81"/>
      <c r="BB582" s="81">
        <f>Prog_23[[#This Row],[VLR NF]]*0.1%</f>
        <v>0</v>
      </c>
      <c r="BC582" s="81">
        <f>Prog_23[[#This Row],[VLR NF]]*0.05%</f>
        <v>0</v>
      </c>
      <c r="BD582" s="81"/>
      <c r="BE582" s="81"/>
      <c r="BF582" s="81"/>
      <c r="BG582" s="81"/>
      <c r="BH582" s="81"/>
      <c r="BI582" s="81"/>
      <c r="BJ582" s="81"/>
      <c r="BK582" s="81"/>
      <c r="BL582" s="81"/>
      <c r="BM582" s="81"/>
      <c r="BN582" s="66"/>
      <c r="BO582" s="66"/>
      <c r="BP582" s="66"/>
      <c r="BQ582" s="66" t="str">
        <f>PROPER(TEXT(Prog_23[[#This Row],[PROGRAMAÇÃO CLIENTE]],"mmm"))</f>
        <v>Jan</v>
      </c>
      <c r="BR582" s="66">
        <f>YEAR(Prog_23[[#This Row],[PROGRAMAÇÃO CLIENTE]])</f>
        <v>1900</v>
      </c>
    </row>
    <row r="583" spans="1:70" x14ac:dyDescent="0.25">
      <c r="A583" s="200">
        <f>Prog_23[[#This Row],[CONTEINER]]</f>
        <v>0</v>
      </c>
      <c r="B583" s="86"/>
      <c r="C5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3" s="44"/>
      <c r="E583" s="66"/>
      <c r="F583" s="66"/>
      <c r="G583" s="66"/>
      <c r="H583" s="44"/>
      <c r="I583" s="44"/>
      <c r="J583" s="66"/>
      <c r="K583" s="66"/>
      <c r="L583" s="66"/>
      <c r="M583" s="66"/>
      <c r="N583" s="66">
        <f>SUM(Prog_23[[#This Row],[TARA]]+Prog_23[[#This Row],[PESO]])</f>
        <v>0</v>
      </c>
      <c r="O583" s="44"/>
      <c r="P583" s="66"/>
      <c r="Q583" s="66"/>
      <c r="R583" s="66"/>
      <c r="S583" s="66"/>
      <c r="T583" s="138" t="str">
        <f>IFERROR(LOOKUP($S583,MOTORISTAS!$D$3:$D$916,MOTORISTAS!E$3:$E$916),"")</f>
        <v/>
      </c>
      <c r="U583" s="138" t="str">
        <f>IFERROR(LOOKUP($S583,MOTORISTAS!$D$3:$D$916,MOTORISTAS!F$3:$F$916),"")</f>
        <v/>
      </c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44"/>
      <c r="AG583" s="254">
        <f>Prog_23[[#This Row],[SAÍDA DO CLIENTE]]-Prog_23[[#This Row],[PROGRAMAÇÃO CLIENTE]]</f>
        <v>0</v>
      </c>
      <c r="AH583" s="44"/>
      <c r="AI583" s="66"/>
      <c r="AJ583" s="66"/>
      <c r="AK583" s="66"/>
      <c r="AL583" s="66"/>
      <c r="AM583" s="66"/>
      <c r="AN583" s="83"/>
      <c r="AO583" s="83"/>
      <c r="AP583" s="83"/>
      <c r="AQ583" s="66"/>
      <c r="AR583" s="66"/>
      <c r="AS583" s="66"/>
      <c r="AT583" s="81"/>
      <c r="AU583" s="81"/>
      <c r="AV583" s="81"/>
      <c r="AW583" s="81"/>
      <c r="AX583" s="83">
        <f>SUM(Prog_23[[#This Row],[ADIANTAMENTO]]+Prog_23[[#This Row],[SALDO]]+Prog_23[[#This Row],[MARGEM]]+Prog_23[[#This Row],[ESTADIA 1]])</f>
        <v>0</v>
      </c>
      <c r="AY5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83" s="81"/>
      <c r="BA583" s="81"/>
      <c r="BB583" s="81">
        <f>Prog_23[[#This Row],[VLR NF]]*0.1%</f>
        <v>0</v>
      </c>
      <c r="BC583" s="81">
        <f>Prog_23[[#This Row],[VLR NF]]*0.05%</f>
        <v>0</v>
      </c>
      <c r="BD583" s="81"/>
      <c r="BE583" s="81"/>
      <c r="BF583" s="81"/>
      <c r="BG583" s="81"/>
      <c r="BH583" s="81"/>
      <c r="BI583" s="81"/>
      <c r="BJ583" s="81"/>
      <c r="BK583" s="81"/>
      <c r="BL583" s="81"/>
      <c r="BM583" s="81"/>
      <c r="BN583" s="66"/>
      <c r="BO583" s="66"/>
      <c r="BP583" s="66"/>
      <c r="BQ583" s="66" t="str">
        <f>PROPER(TEXT(Prog_23[[#This Row],[PROGRAMAÇÃO CLIENTE]],"mmm"))</f>
        <v>Jan</v>
      </c>
      <c r="BR583" s="66">
        <f>YEAR(Prog_23[[#This Row],[PROGRAMAÇÃO CLIENTE]])</f>
        <v>1900</v>
      </c>
    </row>
    <row r="584" spans="1:70" x14ac:dyDescent="0.25">
      <c r="A584" s="201">
        <f>Prog_23[[#This Row],[CONTEINER]]</f>
        <v>0</v>
      </c>
      <c r="B584" s="86"/>
      <c r="C5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4" s="44"/>
      <c r="E584" s="66"/>
      <c r="F584" s="66"/>
      <c r="G584" s="66"/>
      <c r="H584" s="44"/>
      <c r="I584" s="44"/>
      <c r="J584" s="66"/>
      <c r="K584" s="66"/>
      <c r="L584" s="66"/>
      <c r="M584" s="66"/>
      <c r="N584" s="66">
        <f>SUM(Prog_23[[#This Row],[TARA]]+Prog_23[[#This Row],[PESO]])</f>
        <v>0</v>
      </c>
      <c r="O584" s="44"/>
      <c r="P584" s="66"/>
      <c r="Q584" s="66"/>
      <c r="R584" s="66"/>
      <c r="S584" s="66"/>
      <c r="T584" s="138" t="str">
        <f>IFERROR(LOOKUP($S584,MOTORISTAS!$D$3:$D$916,MOTORISTAS!E$3:$E$916),"")</f>
        <v/>
      </c>
      <c r="U584" s="138" t="str">
        <f>IFERROR(LOOKUP($S584,MOTORISTAS!$D$3:$D$916,MOTORISTAS!F$3:$F$916),"")</f>
        <v/>
      </c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44"/>
      <c r="AG584" s="254">
        <f>Prog_23[[#This Row],[SAÍDA DO CLIENTE]]-Prog_23[[#This Row],[PROGRAMAÇÃO CLIENTE]]</f>
        <v>0</v>
      </c>
      <c r="AH584" s="44"/>
      <c r="AI584" s="66"/>
      <c r="AJ584" s="66"/>
      <c r="AK584" s="66"/>
      <c r="AL584" s="66"/>
      <c r="AM584" s="66"/>
      <c r="AN584" s="83"/>
      <c r="AO584" s="83"/>
      <c r="AP584" s="83"/>
      <c r="AQ584" s="66"/>
      <c r="AR584" s="66"/>
      <c r="AS584" s="66"/>
      <c r="AT584" s="81"/>
      <c r="AU584" s="81"/>
      <c r="AV584" s="81"/>
      <c r="AW584" s="81"/>
      <c r="AX584" s="83">
        <f>SUM(Prog_23[[#This Row],[ADIANTAMENTO]]+Prog_23[[#This Row],[SALDO]]+Prog_23[[#This Row],[MARGEM]]+Prog_23[[#This Row],[ESTADIA 1]])</f>
        <v>0</v>
      </c>
      <c r="AY5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84" s="81"/>
      <c r="BA584" s="81"/>
      <c r="BB584" s="81">
        <f>Prog_23[[#This Row],[VLR NF]]*0.1%</f>
        <v>0</v>
      </c>
      <c r="BC584" s="81">
        <f>Prog_23[[#This Row],[VLR NF]]*0.05%</f>
        <v>0</v>
      </c>
      <c r="BD584" s="81"/>
      <c r="BE584" s="81"/>
      <c r="BF584" s="81"/>
      <c r="BG584" s="81"/>
      <c r="BH584" s="81"/>
      <c r="BI584" s="81"/>
      <c r="BJ584" s="81"/>
      <c r="BK584" s="81"/>
      <c r="BL584" s="81"/>
      <c r="BM584" s="81"/>
      <c r="BN584" s="66"/>
      <c r="BO584" s="66"/>
      <c r="BP584" s="66"/>
      <c r="BQ584" s="66" t="str">
        <f>PROPER(TEXT(Prog_23[[#This Row],[PROGRAMAÇÃO CLIENTE]],"mmm"))</f>
        <v>Jan</v>
      </c>
      <c r="BR584" s="66">
        <f>YEAR(Prog_23[[#This Row],[PROGRAMAÇÃO CLIENTE]])</f>
        <v>1900</v>
      </c>
    </row>
    <row r="585" spans="1:70" x14ac:dyDescent="0.25">
      <c r="A585" s="200">
        <f>Prog_23[[#This Row],[CONTEINER]]</f>
        <v>0</v>
      </c>
      <c r="B585" s="86"/>
      <c r="C5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5" s="44"/>
      <c r="E585" s="66"/>
      <c r="F585" s="66"/>
      <c r="G585" s="66"/>
      <c r="H585" s="44"/>
      <c r="I585" s="44"/>
      <c r="J585" s="66"/>
      <c r="K585" s="66"/>
      <c r="L585" s="66"/>
      <c r="M585" s="66"/>
      <c r="N585" s="66">
        <f>SUM(Prog_23[[#This Row],[TARA]]+Prog_23[[#This Row],[PESO]])</f>
        <v>0</v>
      </c>
      <c r="O585" s="44"/>
      <c r="P585" s="66"/>
      <c r="Q585" s="66"/>
      <c r="R585" s="66"/>
      <c r="S585" s="66"/>
      <c r="T585" s="138" t="str">
        <f>IFERROR(LOOKUP($S585,MOTORISTAS!$D$3:$D$916,MOTORISTAS!E$3:$E$916),"")</f>
        <v/>
      </c>
      <c r="U585" s="138" t="str">
        <f>IFERROR(LOOKUP($S585,MOTORISTAS!$D$3:$D$916,MOTORISTAS!F$3:$F$916),"")</f>
        <v/>
      </c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44"/>
      <c r="AG585" s="254">
        <f>Prog_23[[#This Row],[SAÍDA DO CLIENTE]]-Prog_23[[#This Row],[PROGRAMAÇÃO CLIENTE]]</f>
        <v>0</v>
      </c>
      <c r="AH585" s="44"/>
      <c r="AI585" s="66"/>
      <c r="AJ585" s="66"/>
      <c r="AK585" s="66"/>
      <c r="AL585" s="66"/>
      <c r="AM585" s="66"/>
      <c r="AN585" s="83"/>
      <c r="AO585" s="83"/>
      <c r="AP585" s="83"/>
      <c r="AQ585" s="66"/>
      <c r="AR585" s="66"/>
      <c r="AS585" s="66"/>
      <c r="AT585" s="81"/>
      <c r="AU585" s="81"/>
      <c r="AV585" s="81"/>
      <c r="AW585" s="81"/>
      <c r="AX585" s="83">
        <f>SUM(Prog_23[[#This Row],[ADIANTAMENTO]]+Prog_23[[#This Row],[SALDO]]+Prog_23[[#This Row],[MARGEM]]+Prog_23[[#This Row],[ESTADIA 1]])</f>
        <v>0</v>
      </c>
      <c r="AY5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85" s="81"/>
      <c r="BA585" s="81"/>
      <c r="BB585" s="81">
        <f>Prog_23[[#This Row],[VLR NF]]*0.1%</f>
        <v>0</v>
      </c>
      <c r="BC585" s="81">
        <f>Prog_23[[#This Row],[VLR NF]]*0.05%</f>
        <v>0</v>
      </c>
      <c r="BD585" s="81"/>
      <c r="BE585" s="81"/>
      <c r="BF585" s="81"/>
      <c r="BG585" s="81"/>
      <c r="BH585" s="81"/>
      <c r="BI585" s="81"/>
      <c r="BJ585" s="81"/>
      <c r="BK585" s="81"/>
      <c r="BL585" s="81"/>
      <c r="BM585" s="81"/>
      <c r="BN585" s="66"/>
      <c r="BO585" s="66"/>
      <c r="BP585" s="66"/>
      <c r="BQ585" s="66" t="str">
        <f>PROPER(TEXT(Prog_23[[#This Row],[PROGRAMAÇÃO CLIENTE]],"mmm"))</f>
        <v>Jan</v>
      </c>
      <c r="BR585" s="66">
        <f>YEAR(Prog_23[[#This Row],[PROGRAMAÇÃO CLIENTE]])</f>
        <v>1900</v>
      </c>
    </row>
    <row r="586" spans="1:70" x14ac:dyDescent="0.25">
      <c r="A586" s="201">
        <f>Prog_23[[#This Row],[CONTEINER]]</f>
        <v>0</v>
      </c>
      <c r="B586" s="86"/>
      <c r="C5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6" s="44"/>
      <c r="E586" s="66"/>
      <c r="F586" s="66"/>
      <c r="G586" s="66"/>
      <c r="H586" s="44"/>
      <c r="I586" s="44"/>
      <c r="J586" s="66"/>
      <c r="K586" s="66"/>
      <c r="L586" s="66"/>
      <c r="M586" s="66"/>
      <c r="N586" s="66">
        <f>SUM(Prog_23[[#This Row],[TARA]]+Prog_23[[#This Row],[PESO]])</f>
        <v>0</v>
      </c>
      <c r="O586" s="44"/>
      <c r="P586" s="66"/>
      <c r="Q586" s="66"/>
      <c r="R586" s="66"/>
      <c r="S586" s="66"/>
      <c r="T586" s="138" t="str">
        <f>IFERROR(LOOKUP($S586,MOTORISTAS!$D$3:$D$916,MOTORISTAS!E$3:$E$916),"")</f>
        <v/>
      </c>
      <c r="U586" s="138" t="str">
        <f>IFERROR(LOOKUP($S586,MOTORISTAS!$D$3:$D$916,MOTORISTAS!F$3:$F$916),"")</f>
        <v/>
      </c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44"/>
      <c r="AG586" s="254">
        <f>Prog_23[[#This Row],[SAÍDA DO CLIENTE]]-Prog_23[[#This Row],[PROGRAMAÇÃO CLIENTE]]</f>
        <v>0</v>
      </c>
      <c r="AH586" s="44"/>
      <c r="AI586" s="66"/>
      <c r="AJ586" s="66"/>
      <c r="AK586" s="66"/>
      <c r="AL586" s="66"/>
      <c r="AM586" s="66"/>
      <c r="AN586" s="83"/>
      <c r="AO586" s="83"/>
      <c r="AP586" s="83"/>
      <c r="AQ586" s="66"/>
      <c r="AR586" s="66"/>
      <c r="AS586" s="66"/>
      <c r="AT586" s="81"/>
      <c r="AU586" s="81"/>
      <c r="AV586" s="81"/>
      <c r="AW586" s="81"/>
      <c r="AX586" s="83">
        <f>SUM(Prog_23[[#This Row],[ADIANTAMENTO]]+Prog_23[[#This Row],[SALDO]]+Prog_23[[#This Row],[MARGEM]]+Prog_23[[#This Row],[ESTADIA 1]])</f>
        <v>0</v>
      </c>
      <c r="AY5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86" s="81"/>
      <c r="BA586" s="81"/>
      <c r="BB586" s="81">
        <f>Prog_23[[#This Row],[VLR NF]]*0.1%</f>
        <v>0</v>
      </c>
      <c r="BC586" s="81">
        <f>Prog_23[[#This Row],[VLR NF]]*0.05%</f>
        <v>0</v>
      </c>
      <c r="BD586" s="81"/>
      <c r="BE586" s="81"/>
      <c r="BF586" s="81"/>
      <c r="BG586" s="81"/>
      <c r="BH586" s="81"/>
      <c r="BI586" s="81"/>
      <c r="BJ586" s="81"/>
      <c r="BK586" s="81"/>
      <c r="BL586" s="81"/>
      <c r="BM586" s="81"/>
      <c r="BN586" s="66"/>
      <c r="BO586" s="66"/>
      <c r="BP586" s="66"/>
      <c r="BQ586" s="66" t="str">
        <f>PROPER(TEXT(Prog_23[[#This Row],[PROGRAMAÇÃO CLIENTE]],"mmm"))</f>
        <v>Jan</v>
      </c>
      <c r="BR586" s="66">
        <f>YEAR(Prog_23[[#This Row],[PROGRAMAÇÃO CLIENTE]])</f>
        <v>1900</v>
      </c>
    </row>
    <row r="587" spans="1:70" x14ac:dyDescent="0.25">
      <c r="A587" s="200">
        <f>Prog_23[[#This Row],[CONTEINER]]</f>
        <v>0</v>
      </c>
      <c r="B587" s="86"/>
      <c r="C5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7" s="44"/>
      <c r="E587" s="66"/>
      <c r="F587" s="66"/>
      <c r="G587" s="66"/>
      <c r="H587" s="44"/>
      <c r="I587" s="44"/>
      <c r="J587" s="66"/>
      <c r="K587" s="66"/>
      <c r="L587" s="66"/>
      <c r="M587" s="66"/>
      <c r="N587" s="66">
        <f>SUM(Prog_23[[#This Row],[TARA]]+Prog_23[[#This Row],[PESO]])</f>
        <v>0</v>
      </c>
      <c r="O587" s="44"/>
      <c r="P587" s="66"/>
      <c r="Q587" s="66"/>
      <c r="R587" s="66"/>
      <c r="S587" s="66"/>
      <c r="T587" s="138" t="str">
        <f>IFERROR(LOOKUP($S587,MOTORISTAS!$D$3:$D$916,MOTORISTAS!E$3:$E$916),"")</f>
        <v/>
      </c>
      <c r="U587" s="138" t="str">
        <f>IFERROR(LOOKUP($S587,MOTORISTAS!$D$3:$D$916,MOTORISTAS!F$3:$F$916),"")</f>
        <v/>
      </c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44"/>
      <c r="AG587" s="254">
        <f>Prog_23[[#This Row],[SAÍDA DO CLIENTE]]-Prog_23[[#This Row],[PROGRAMAÇÃO CLIENTE]]</f>
        <v>0</v>
      </c>
      <c r="AH587" s="44"/>
      <c r="AI587" s="66"/>
      <c r="AJ587" s="66"/>
      <c r="AK587" s="66"/>
      <c r="AL587" s="66"/>
      <c r="AM587" s="66"/>
      <c r="AN587" s="83"/>
      <c r="AO587" s="83"/>
      <c r="AP587" s="83"/>
      <c r="AQ587" s="66"/>
      <c r="AR587" s="66"/>
      <c r="AS587" s="66"/>
      <c r="AT587" s="81"/>
      <c r="AU587" s="81"/>
      <c r="AV587" s="81"/>
      <c r="AW587" s="81"/>
      <c r="AX587" s="83">
        <f>SUM(Prog_23[[#This Row],[ADIANTAMENTO]]+Prog_23[[#This Row],[SALDO]]+Prog_23[[#This Row],[MARGEM]]+Prog_23[[#This Row],[ESTADIA 1]])</f>
        <v>0</v>
      </c>
      <c r="AY5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87" s="81"/>
      <c r="BA587" s="81"/>
      <c r="BB587" s="81">
        <f>Prog_23[[#This Row],[VLR NF]]*0.1%</f>
        <v>0</v>
      </c>
      <c r="BC587" s="81">
        <f>Prog_23[[#This Row],[VLR NF]]*0.05%</f>
        <v>0</v>
      </c>
      <c r="BD587" s="81"/>
      <c r="BE587" s="81"/>
      <c r="BF587" s="81"/>
      <c r="BG587" s="81"/>
      <c r="BH587" s="81"/>
      <c r="BI587" s="81"/>
      <c r="BJ587" s="81"/>
      <c r="BK587" s="81"/>
      <c r="BL587" s="81"/>
      <c r="BM587" s="81"/>
      <c r="BN587" s="66"/>
      <c r="BO587" s="66"/>
      <c r="BP587" s="66"/>
      <c r="BQ587" s="66" t="str">
        <f>PROPER(TEXT(Prog_23[[#This Row],[PROGRAMAÇÃO CLIENTE]],"mmm"))</f>
        <v>Jan</v>
      </c>
      <c r="BR587" s="66">
        <f>YEAR(Prog_23[[#This Row],[PROGRAMAÇÃO CLIENTE]])</f>
        <v>1900</v>
      </c>
    </row>
    <row r="588" spans="1:70" x14ac:dyDescent="0.25">
      <c r="A588" s="201">
        <f>Prog_23[[#This Row],[CONTEINER]]</f>
        <v>0</v>
      </c>
      <c r="B588" s="86"/>
      <c r="C5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8" s="44"/>
      <c r="E588" s="66"/>
      <c r="F588" s="66"/>
      <c r="G588" s="66"/>
      <c r="H588" s="44"/>
      <c r="I588" s="44"/>
      <c r="J588" s="66"/>
      <c r="K588" s="66"/>
      <c r="L588" s="66"/>
      <c r="M588" s="66"/>
      <c r="N588" s="66">
        <f>SUM(Prog_23[[#This Row],[TARA]]+Prog_23[[#This Row],[PESO]])</f>
        <v>0</v>
      </c>
      <c r="O588" s="44"/>
      <c r="P588" s="66"/>
      <c r="Q588" s="66"/>
      <c r="R588" s="66"/>
      <c r="S588" s="66"/>
      <c r="T588" s="138" t="str">
        <f>IFERROR(LOOKUP($S588,MOTORISTAS!$D$3:$D$916,MOTORISTAS!E$3:$E$916),"")</f>
        <v/>
      </c>
      <c r="U588" s="138" t="str">
        <f>IFERROR(LOOKUP($S588,MOTORISTAS!$D$3:$D$916,MOTORISTAS!F$3:$F$916),"")</f>
        <v/>
      </c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44"/>
      <c r="AG588" s="254">
        <f>Prog_23[[#This Row],[SAÍDA DO CLIENTE]]-Prog_23[[#This Row],[PROGRAMAÇÃO CLIENTE]]</f>
        <v>0</v>
      </c>
      <c r="AH588" s="44"/>
      <c r="AI588" s="66"/>
      <c r="AJ588" s="66"/>
      <c r="AK588" s="66"/>
      <c r="AL588" s="66"/>
      <c r="AM588" s="66"/>
      <c r="AN588" s="83"/>
      <c r="AO588" s="83"/>
      <c r="AP588" s="83"/>
      <c r="AQ588" s="66"/>
      <c r="AR588" s="66"/>
      <c r="AS588" s="66"/>
      <c r="AT588" s="81"/>
      <c r="AU588" s="81"/>
      <c r="AV588" s="81"/>
      <c r="AW588" s="81"/>
      <c r="AX588" s="83">
        <f>SUM(Prog_23[[#This Row],[ADIANTAMENTO]]+Prog_23[[#This Row],[SALDO]]+Prog_23[[#This Row],[MARGEM]]+Prog_23[[#This Row],[ESTADIA 1]])</f>
        <v>0</v>
      </c>
      <c r="AY5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88" s="81"/>
      <c r="BA588" s="81"/>
      <c r="BB588" s="81">
        <f>Prog_23[[#This Row],[VLR NF]]*0.1%</f>
        <v>0</v>
      </c>
      <c r="BC588" s="81">
        <f>Prog_23[[#This Row],[VLR NF]]*0.05%</f>
        <v>0</v>
      </c>
      <c r="BD588" s="81"/>
      <c r="BE588" s="81"/>
      <c r="BF588" s="81"/>
      <c r="BG588" s="81"/>
      <c r="BH588" s="81"/>
      <c r="BI588" s="81"/>
      <c r="BJ588" s="81"/>
      <c r="BK588" s="81"/>
      <c r="BL588" s="81"/>
      <c r="BM588" s="81"/>
      <c r="BN588" s="66"/>
      <c r="BO588" s="66"/>
      <c r="BP588" s="66"/>
      <c r="BQ588" s="66" t="str">
        <f>PROPER(TEXT(Prog_23[[#This Row],[PROGRAMAÇÃO CLIENTE]],"mmm"))</f>
        <v>Jan</v>
      </c>
      <c r="BR588" s="66">
        <f>YEAR(Prog_23[[#This Row],[PROGRAMAÇÃO CLIENTE]])</f>
        <v>1900</v>
      </c>
    </row>
    <row r="589" spans="1:70" x14ac:dyDescent="0.25">
      <c r="A589" s="200">
        <f>Prog_23[[#This Row],[CONTEINER]]</f>
        <v>0</v>
      </c>
      <c r="B589" s="86"/>
      <c r="C5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89" s="44"/>
      <c r="E589" s="66"/>
      <c r="F589" s="66"/>
      <c r="G589" s="66"/>
      <c r="H589" s="44"/>
      <c r="I589" s="44"/>
      <c r="J589" s="66"/>
      <c r="K589" s="66"/>
      <c r="L589" s="66"/>
      <c r="M589" s="66"/>
      <c r="N589" s="66">
        <f>SUM(Prog_23[[#This Row],[TARA]]+Prog_23[[#This Row],[PESO]])</f>
        <v>0</v>
      </c>
      <c r="O589" s="44"/>
      <c r="P589" s="66"/>
      <c r="Q589" s="66"/>
      <c r="R589" s="66"/>
      <c r="S589" s="66"/>
      <c r="T589" s="138" t="str">
        <f>IFERROR(LOOKUP($S589,MOTORISTAS!$D$3:$D$916,MOTORISTAS!E$3:$E$916),"")</f>
        <v/>
      </c>
      <c r="U589" s="138" t="str">
        <f>IFERROR(LOOKUP($S589,MOTORISTAS!$D$3:$D$916,MOTORISTAS!F$3:$F$916),"")</f>
        <v/>
      </c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44"/>
      <c r="AG589" s="254">
        <f>Prog_23[[#This Row],[SAÍDA DO CLIENTE]]-Prog_23[[#This Row],[PROGRAMAÇÃO CLIENTE]]</f>
        <v>0</v>
      </c>
      <c r="AH589" s="44"/>
      <c r="AI589" s="66"/>
      <c r="AJ589" s="66"/>
      <c r="AK589" s="66"/>
      <c r="AL589" s="66"/>
      <c r="AM589" s="66"/>
      <c r="AN589" s="83"/>
      <c r="AO589" s="83"/>
      <c r="AP589" s="83"/>
      <c r="AQ589" s="66"/>
      <c r="AR589" s="66"/>
      <c r="AS589" s="66"/>
      <c r="AT589" s="81"/>
      <c r="AU589" s="81"/>
      <c r="AV589" s="81"/>
      <c r="AW589" s="81"/>
      <c r="AX589" s="83">
        <f>SUM(Prog_23[[#This Row],[ADIANTAMENTO]]+Prog_23[[#This Row],[SALDO]]+Prog_23[[#This Row],[MARGEM]]+Prog_23[[#This Row],[ESTADIA 1]])</f>
        <v>0</v>
      </c>
      <c r="AY5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89" s="81"/>
      <c r="BA589" s="81"/>
      <c r="BB589" s="81">
        <f>Prog_23[[#This Row],[VLR NF]]*0.1%</f>
        <v>0</v>
      </c>
      <c r="BC589" s="81">
        <f>Prog_23[[#This Row],[VLR NF]]*0.05%</f>
        <v>0</v>
      </c>
      <c r="BD589" s="81"/>
      <c r="BE589" s="81"/>
      <c r="BF589" s="81"/>
      <c r="BG589" s="81"/>
      <c r="BH589" s="81"/>
      <c r="BI589" s="81"/>
      <c r="BJ589" s="81"/>
      <c r="BK589" s="81"/>
      <c r="BL589" s="81"/>
      <c r="BM589" s="81"/>
      <c r="BN589" s="66"/>
      <c r="BO589" s="66"/>
      <c r="BP589" s="66"/>
      <c r="BQ589" s="66" t="str">
        <f>PROPER(TEXT(Prog_23[[#This Row],[PROGRAMAÇÃO CLIENTE]],"mmm"))</f>
        <v>Jan</v>
      </c>
      <c r="BR589" s="66">
        <f>YEAR(Prog_23[[#This Row],[PROGRAMAÇÃO CLIENTE]])</f>
        <v>1900</v>
      </c>
    </row>
    <row r="590" spans="1:70" x14ac:dyDescent="0.25">
      <c r="A590" s="201">
        <f>Prog_23[[#This Row],[CONTEINER]]</f>
        <v>0</v>
      </c>
      <c r="B590" s="86"/>
      <c r="C5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90" s="44"/>
      <c r="E590" s="66"/>
      <c r="F590" s="66"/>
      <c r="G590" s="66"/>
      <c r="H590" s="44"/>
      <c r="I590" s="44"/>
      <c r="J590" s="66"/>
      <c r="K590" s="66"/>
      <c r="L590" s="66"/>
      <c r="M590" s="66"/>
      <c r="N590" s="66">
        <f>SUM(Prog_23[[#This Row],[TARA]]+Prog_23[[#This Row],[PESO]])</f>
        <v>0</v>
      </c>
      <c r="O590" s="44"/>
      <c r="P590" s="66"/>
      <c r="Q590" s="66"/>
      <c r="R590" s="66"/>
      <c r="S590" s="66"/>
      <c r="T590" s="138" t="str">
        <f>IFERROR(LOOKUP($S590,MOTORISTAS!$D$3:$D$916,MOTORISTAS!E$3:$E$916),"")</f>
        <v/>
      </c>
      <c r="U590" s="138" t="str">
        <f>IFERROR(LOOKUP($S590,MOTORISTAS!$D$3:$D$916,MOTORISTAS!F$3:$F$916),"")</f>
        <v/>
      </c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44"/>
      <c r="AG590" s="254">
        <f>Prog_23[[#This Row],[SAÍDA DO CLIENTE]]-Prog_23[[#This Row],[PROGRAMAÇÃO CLIENTE]]</f>
        <v>0</v>
      </c>
      <c r="AH590" s="44"/>
      <c r="AI590" s="66"/>
      <c r="AJ590" s="66"/>
      <c r="AK590" s="66"/>
      <c r="AL590" s="66"/>
      <c r="AM590" s="66"/>
      <c r="AN590" s="83"/>
      <c r="AO590" s="83"/>
      <c r="AP590" s="83"/>
      <c r="AQ590" s="66"/>
      <c r="AR590" s="66"/>
      <c r="AS590" s="66"/>
      <c r="AT590" s="81"/>
      <c r="AU590" s="81"/>
      <c r="AV590" s="81"/>
      <c r="AW590" s="81"/>
      <c r="AX590" s="83">
        <f>SUM(Prog_23[[#This Row],[ADIANTAMENTO]]+Prog_23[[#This Row],[SALDO]]+Prog_23[[#This Row],[MARGEM]]+Prog_23[[#This Row],[ESTADIA 1]])</f>
        <v>0</v>
      </c>
      <c r="AY5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90" s="81"/>
      <c r="BA590" s="81"/>
      <c r="BB590" s="81">
        <f>Prog_23[[#This Row],[VLR NF]]*0.1%</f>
        <v>0</v>
      </c>
      <c r="BC590" s="81">
        <f>Prog_23[[#This Row],[VLR NF]]*0.05%</f>
        <v>0</v>
      </c>
      <c r="BD590" s="81"/>
      <c r="BE590" s="81"/>
      <c r="BF590" s="81"/>
      <c r="BG590" s="81"/>
      <c r="BH590" s="81"/>
      <c r="BI590" s="81"/>
      <c r="BJ590" s="81"/>
      <c r="BK590" s="81"/>
      <c r="BL590" s="81"/>
      <c r="BM590" s="81"/>
      <c r="BN590" s="66"/>
      <c r="BO590" s="66"/>
      <c r="BP590" s="66"/>
      <c r="BQ590" s="66" t="str">
        <f>PROPER(TEXT(Prog_23[[#This Row],[PROGRAMAÇÃO CLIENTE]],"mmm"))</f>
        <v>Jan</v>
      </c>
      <c r="BR590" s="66">
        <f>YEAR(Prog_23[[#This Row],[PROGRAMAÇÃO CLIENTE]])</f>
        <v>1900</v>
      </c>
    </row>
    <row r="591" spans="1:70" x14ac:dyDescent="0.25">
      <c r="A591" s="200">
        <f>Prog_23[[#This Row],[CONTEINER]]</f>
        <v>0</v>
      </c>
      <c r="B591" s="86"/>
      <c r="C5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91" s="44"/>
      <c r="E591" s="66"/>
      <c r="F591" s="66"/>
      <c r="G591" s="66"/>
      <c r="H591" s="44"/>
      <c r="I591" s="44"/>
      <c r="J591" s="66"/>
      <c r="K591" s="66"/>
      <c r="L591" s="66"/>
      <c r="M591" s="66"/>
      <c r="N591" s="66">
        <f>SUM(Prog_23[[#This Row],[TARA]]+Prog_23[[#This Row],[PESO]])</f>
        <v>0</v>
      </c>
      <c r="O591" s="44"/>
      <c r="P591" s="66"/>
      <c r="Q591" s="66"/>
      <c r="R591" s="66"/>
      <c r="S591" s="66"/>
      <c r="T591" s="138" t="str">
        <f>IFERROR(LOOKUP($S591,MOTORISTAS!$D$3:$D$916,MOTORISTAS!E$3:$E$916),"")</f>
        <v/>
      </c>
      <c r="U591" s="138" t="str">
        <f>IFERROR(LOOKUP($S591,MOTORISTAS!$D$3:$D$916,MOTORISTAS!F$3:$F$916),"")</f>
        <v/>
      </c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44"/>
      <c r="AG591" s="254">
        <f>Prog_23[[#This Row],[SAÍDA DO CLIENTE]]-Prog_23[[#This Row],[PROGRAMAÇÃO CLIENTE]]</f>
        <v>0</v>
      </c>
      <c r="AH591" s="44"/>
      <c r="AI591" s="66"/>
      <c r="AJ591" s="66"/>
      <c r="AK591" s="66"/>
      <c r="AL591" s="66"/>
      <c r="AM591" s="66"/>
      <c r="AN591" s="83"/>
      <c r="AO591" s="83"/>
      <c r="AP591" s="83"/>
      <c r="AQ591" s="66"/>
      <c r="AR591" s="66"/>
      <c r="AS591" s="66"/>
      <c r="AT591" s="81"/>
      <c r="AU591" s="81"/>
      <c r="AV591" s="81"/>
      <c r="AW591" s="81"/>
      <c r="AX591" s="83">
        <f>SUM(Prog_23[[#This Row],[ADIANTAMENTO]]+Prog_23[[#This Row],[SALDO]]+Prog_23[[#This Row],[MARGEM]]+Prog_23[[#This Row],[ESTADIA 1]])</f>
        <v>0</v>
      </c>
      <c r="AY5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91" s="81"/>
      <c r="BA591" s="81"/>
      <c r="BB591" s="81">
        <f>Prog_23[[#This Row],[VLR NF]]*0.1%</f>
        <v>0</v>
      </c>
      <c r="BC591" s="81">
        <f>Prog_23[[#This Row],[VLR NF]]*0.05%</f>
        <v>0</v>
      </c>
      <c r="BD591" s="81"/>
      <c r="BE591" s="81"/>
      <c r="BF591" s="81"/>
      <c r="BG591" s="81"/>
      <c r="BH591" s="81"/>
      <c r="BI591" s="81"/>
      <c r="BJ591" s="81"/>
      <c r="BK591" s="81"/>
      <c r="BL591" s="81"/>
      <c r="BM591" s="81"/>
      <c r="BN591" s="66"/>
      <c r="BO591" s="66"/>
      <c r="BP591" s="66"/>
      <c r="BQ591" s="66" t="str">
        <f>PROPER(TEXT(Prog_23[[#This Row],[PROGRAMAÇÃO CLIENTE]],"mmm"))</f>
        <v>Jan</v>
      </c>
      <c r="BR591" s="66">
        <f>YEAR(Prog_23[[#This Row],[PROGRAMAÇÃO CLIENTE]])</f>
        <v>1900</v>
      </c>
    </row>
    <row r="592" spans="1:70" x14ac:dyDescent="0.25">
      <c r="A592" s="201">
        <f>Prog_23[[#This Row],[CONTEINER]]</f>
        <v>0</v>
      </c>
      <c r="B592" s="86"/>
      <c r="C5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92" s="44"/>
      <c r="E592" s="66"/>
      <c r="F592" s="66"/>
      <c r="G592" s="66"/>
      <c r="H592" s="44"/>
      <c r="I592" s="44"/>
      <c r="J592" s="66"/>
      <c r="K592" s="66"/>
      <c r="L592" s="66"/>
      <c r="M592" s="66"/>
      <c r="N592" s="66">
        <f>SUM(Prog_23[[#This Row],[TARA]]+Prog_23[[#This Row],[PESO]])</f>
        <v>0</v>
      </c>
      <c r="O592" s="44"/>
      <c r="P592" s="66"/>
      <c r="Q592" s="66"/>
      <c r="R592" s="66"/>
      <c r="S592" s="66"/>
      <c r="T592" s="138" t="str">
        <f>IFERROR(LOOKUP($S592,MOTORISTAS!$D$3:$D$916,MOTORISTAS!E$3:$E$916),"")</f>
        <v/>
      </c>
      <c r="U592" s="138" t="str">
        <f>IFERROR(LOOKUP($S592,MOTORISTAS!$D$3:$D$916,MOTORISTAS!F$3:$F$916),"")</f>
        <v/>
      </c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44"/>
      <c r="AG592" s="254">
        <f>Prog_23[[#This Row],[SAÍDA DO CLIENTE]]-Prog_23[[#This Row],[PROGRAMAÇÃO CLIENTE]]</f>
        <v>0</v>
      </c>
      <c r="AH592" s="44"/>
      <c r="AI592" s="66"/>
      <c r="AJ592" s="66"/>
      <c r="AK592" s="66"/>
      <c r="AL592" s="66"/>
      <c r="AM592" s="66"/>
      <c r="AN592" s="83"/>
      <c r="AO592" s="83"/>
      <c r="AP592" s="83"/>
      <c r="AQ592" s="66"/>
      <c r="AR592" s="66"/>
      <c r="AS592" s="66"/>
      <c r="AT592" s="81"/>
      <c r="AU592" s="81"/>
      <c r="AV592" s="81"/>
      <c r="AW592" s="81"/>
      <c r="AX592" s="83">
        <f>SUM(Prog_23[[#This Row],[ADIANTAMENTO]]+Prog_23[[#This Row],[SALDO]]+Prog_23[[#This Row],[MARGEM]]+Prog_23[[#This Row],[ESTADIA 1]])</f>
        <v>0</v>
      </c>
      <c r="AY5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92" s="81"/>
      <c r="BA592" s="81"/>
      <c r="BB592" s="81">
        <f>Prog_23[[#This Row],[VLR NF]]*0.1%</f>
        <v>0</v>
      </c>
      <c r="BC592" s="81">
        <f>Prog_23[[#This Row],[VLR NF]]*0.05%</f>
        <v>0</v>
      </c>
      <c r="BD592" s="81"/>
      <c r="BE592" s="81"/>
      <c r="BF592" s="81"/>
      <c r="BG592" s="81"/>
      <c r="BH592" s="81"/>
      <c r="BI592" s="81"/>
      <c r="BJ592" s="81"/>
      <c r="BK592" s="81"/>
      <c r="BL592" s="81"/>
      <c r="BM592" s="81"/>
      <c r="BN592" s="66"/>
      <c r="BO592" s="66"/>
      <c r="BP592" s="66"/>
      <c r="BQ592" s="66" t="str">
        <f>PROPER(TEXT(Prog_23[[#This Row],[PROGRAMAÇÃO CLIENTE]],"mmm"))</f>
        <v>Jan</v>
      </c>
      <c r="BR592" s="66">
        <f>YEAR(Prog_23[[#This Row],[PROGRAMAÇÃO CLIENTE]])</f>
        <v>1900</v>
      </c>
    </row>
    <row r="593" spans="1:70" x14ac:dyDescent="0.25">
      <c r="A593" s="200">
        <f>Prog_23[[#This Row],[CONTEINER]]</f>
        <v>0</v>
      </c>
      <c r="B593" s="86"/>
      <c r="C5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93" s="44"/>
      <c r="E593" s="66"/>
      <c r="F593" s="66"/>
      <c r="G593" s="66"/>
      <c r="H593" s="44"/>
      <c r="I593" s="44"/>
      <c r="J593" s="66"/>
      <c r="K593" s="66"/>
      <c r="L593" s="66"/>
      <c r="M593" s="66"/>
      <c r="N593" s="66">
        <f>SUM(Prog_23[[#This Row],[TARA]]+Prog_23[[#This Row],[PESO]])</f>
        <v>0</v>
      </c>
      <c r="O593" s="44"/>
      <c r="P593" s="66"/>
      <c r="Q593" s="66"/>
      <c r="R593" s="66"/>
      <c r="S593" s="66"/>
      <c r="T593" s="138" t="str">
        <f>IFERROR(LOOKUP($S593,MOTORISTAS!$D$3:$D$916,MOTORISTAS!E$3:$E$916),"")</f>
        <v/>
      </c>
      <c r="U593" s="138" t="str">
        <f>IFERROR(LOOKUP($S593,MOTORISTAS!$D$3:$D$916,MOTORISTAS!F$3:$F$916),"")</f>
        <v/>
      </c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44"/>
      <c r="AG593" s="254">
        <f>Prog_23[[#This Row],[SAÍDA DO CLIENTE]]-Prog_23[[#This Row],[PROGRAMAÇÃO CLIENTE]]</f>
        <v>0</v>
      </c>
      <c r="AH593" s="44"/>
      <c r="AI593" s="66"/>
      <c r="AJ593" s="66"/>
      <c r="AK593" s="66"/>
      <c r="AL593" s="66"/>
      <c r="AM593" s="66"/>
      <c r="AN593" s="83"/>
      <c r="AO593" s="83"/>
      <c r="AP593" s="83"/>
      <c r="AQ593" s="66"/>
      <c r="AR593" s="66"/>
      <c r="AS593" s="66"/>
      <c r="AT593" s="81"/>
      <c r="AU593" s="81"/>
      <c r="AV593" s="81"/>
      <c r="AW593" s="81"/>
      <c r="AX593" s="83">
        <f>SUM(Prog_23[[#This Row],[ADIANTAMENTO]]+Prog_23[[#This Row],[SALDO]]+Prog_23[[#This Row],[MARGEM]]+Prog_23[[#This Row],[ESTADIA 1]])</f>
        <v>0</v>
      </c>
      <c r="AY5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93" s="81"/>
      <c r="BA593" s="81"/>
      <c r="BB593" s="81">
        <f>Prog_23[[#This Row],[VLR NF]]*0.1%</f>
        <v>0</v>
      </c>
      <c r="BC593" s="81">
        <f>Prog_23[[#This Row],[VLR NF]]*0.05%</f>
        <v>0</v>
      </c>
      <c r="BD593" s="81"/>
      <c r="BE593" s="81"/>
      <c r="BF593" s="81"/>
      <c r="BG593" s="81"/>
      <c r="BH593" s="81"/>
      <c r="BI593" s="81"/>
      <c r="BJ593" s="81"/>
      <c r="BK593" s="81"/>
      <c r="BL593" s="81"/>
      <c r="BM593" s="81"/>
      <c r="BN593" s="66"/>
      <c r="BO593" s="66"/>
      <c r="BP593" s="66"/>
      <c r="BQ593" s="66" t="str">
        <f>PROPER(TEXT(Prog_23[[#This Row],[PROGRAMAÇÃO CLIENTE]],"mmm"))</f>
        <v>Jan</v>
      </c>
      <c r="BR593" s="66">
        <f>YEAR(Prog_23[[#This Row],[PROGRAMAÇÃO CLIENTE]])</f>
        <v>1900</v>
      </c>
    </row>
    <row r="594" spans="1:70" x14ac:dyDescent="0.25">
      <c r="A594" s="201">
        <f>Prog_23[[#This Row],[CONTEINER]]</f>
        <v>0</v>
      </c>
      <c r="B594" s="86"/>
      <c r="C5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94" s="44"/>
      <c r="E594" s="66"/>
      <c r="F594" s="66"/>
      <c r="G594" s="66"/>
      <c r="H594" s="44"/>
      <c r="I594" s="44"/>
      <c r="J594" s="66"/>
      <c r="K594" s="66"/>
      <c r="L594" s="66"/>
      <c r="M594" s="66"/>
      <c r="N594" s="66">
        <f>SUM(Prog_23[[#This Row],[TARA]]+Prog_23[[#This Row],[PESO]])</f>
        <v>0</v>
      </c>
      <c r="O594" s="44"/>
      <c r="P594" s="66"/>
      <c r="Q594" s="66"/>
      <c r="R594" s="66"/>
      <c r="S594" s="66"/>
      <c r="T594" s="138" t="str">
        <f>IFERROR(LOOKUP($S594,MOTORISTAS!$D$3:$D$916,MOTORISTAS!E$3:$E$916),"")</f>
        <v/>
      </c>
      <c r="U594" s="138" t="str">
        <f>IFERROR(LOOKUP($S594,MOTORISTAS!$D$3:$D$916,MOTORISTAS!F$3:$F$916),"")</f>
        <v/>
      </c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44"/>
      <c r="AG594" s="254">
        <f>Prog_23[[#This Row],[SAÍDA DO CLIENTE]]-Prog_23[[#This Row],[PROGRAMAÇÃO CLIENTE]]</f>
        <v>0</v>
      </c>
      <c r="AH594" s="44"/>
      <c r="AI594" s="66"/>
      <c r="AJ594" s="66"/>
      <c r="AK594" s="66"/>
      <c r="AL594" s="66"/>
      <c r="AM594" s="66"/>
      <c r="AN594" s="83"/>
      <c r="AO594" s="83"/>
      <c r="AP594" s="83"/>
      <c r="AQ594" s="66"/>
      <c r="AR594" s="66"/>
      <c r="AS594" s="66"/>
      <c r="AT594" s="81"/>
      <c r="AU594" s="81"/>
      <c r="AV594" s="81"/>
      <c r="AW594" s="81"/>
      <c r="AX594" s="83">
        <f>SUM(Prog_23[[#This Row],[ADIANTAMENTO]]+Prog_23[[#This Row],[SALDO]]+Prog_23[[#This Row],[MARGEM]]+Prog_23[[#This Row],[ESTADIA 1]])</f>
        <v>0</v>
      </c>
      <c r="AY5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94" s="81"/>
      <c r="BA594" s="81"/>
      <c r="BB594" s="81">
        <f>Prog_23[[#This Row],[VLR NF]]*0.1%</f>
        <v>0</v>
      </c>
      <c r="BC594" s="81">
        <f>Prog_23[[#This Row],[VLR NF]]*0.05%</f>
        <v>0</v>
      </c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66"/>
      <c r="BO594" s="66"/>
      <c r="BP594" s="66"/>
      <c r="BQ594" s="66" t="str">
        <f>PROPER(TEXT(Prog_23[[#This Row],[PROGRAMAÇÃO CLIENTE]],"mmm"))</f>
        <v>Jan</v>
      </c>
      <c r="BR594" s="66">
        <f>YEAR(Prog_23[[#This Row],[PROGRAMAÇÃO CLIENTE]])</f>
        <v>1900</v>
      </c>
    </row>
    <row r="595" spans="1:70" x14ac:dyDescent="0.25">
      <c r="A595" s="200">
        <f>Prog_23[[#This Row],[CONTEINER]]</f>
        <v>0</v>
      </c>
      <c r="B595" s="86"/>
      <c r="C5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95" s="44"/>
      <c r="E595" s="66"/>
      <c r="F595" s="66"/>
      <c r="G595" s="66"/>
      <c r="H595" s="44"/>
      <c r="I595" s="44"/>
      <c r="J595" s="66"/>
      <c r="K595" s="66"/>
      <c r="L595" s="66"/>
      <c r="M595" s="66"/>
      <c r="N595" s="66">
        <f>SUM(Prog_23[[#This Row],[TARA]]+Prog_23[[#This Row],[PESO]])</f>
        <v>0</v>
      </c>
      <c r="O595" s="44"/>
      <c r="P595" s="66"/>
      <c r="Q595" s="66"/>
      <c r="R595" s="66"/>
      <c r="S595" s="66"/>
      <c r="T595" s="138" t="str">
        <f>IFERROR(LOOKUP($S595,MOTORISTAS!$D$3:$D$916,MOTORISTAS!E$3:$E$916),"")</f>
        <v/>
      </c>
      <c r="U595" s="138" t="str">
        <f>IFERROR(LOOKUP($S595,MOTORISTAS!$D$3:$D$916,MOTORISTAS!F$3:$F$916),"")</f>
        <v/>
      </c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44"/>
      <c r="AG595" s="254">
        <f>Prog_23[[#This Row],[SAÍDA DO CLIENTE]]-Prog_23[[#This Row],[PROGRAMAÇÃO CLIENTE]]</f>
        <v>0</v>
      </c>
      <c r="AH595" s="44"/>
      <c r="AI595" s="66"/>
      <c r="AJ595" s="66"/>
      <c r="AK595" s="66"/>
      <c r="AL595" s="66"/>
      <c r="AM595" s="66"/>
      <c r="AN595" s="83"/>
      <c r="AO595" s="83"/>
      <c r="AP595" s="83"/>
      <c r="AQ595" s="66"/>
      <c r="AR595" s="66"/>
      <c r="AS595" s="66"/>
      <c r="AT595" s="81"/>
      <c r="AU595" s="81"/>
      <c r="AV595" s="81"/>
      <c r="AW595" s="81"/>
      <c r="AX595" s="83">
        <f>SUM(Prog_23[[#This Row],[ADIANTAMENTO]]+Prog_23[[#This Row],[SALDO]]+Prog_23[[#This Row],[MARGEM]]+Prog_23[[#This Row],[ESTADIA 1]])</f>
        <v>0</v>
      </c>
      <c r="AY5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95" s="81"/>
      <c r="BA595" s="81"/>
      <c r="BB595" s="81">
        <f>Prog_23[[#This Row],[VLR NF]]*0.1%</f>
        <v>0</v>
      </c>
      <c r="BC595" s="81">
        <f>Prog_23[[#This Row],[VLR NF]]*0.05%</f>
        <v>0</v>
      </c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66"/>
      <c r="BO595" s="66"/>
      <c r="BP595" s="66"/>
      <c r="BQ595" s="66" t="str">
        <f>PROPER(TEXT(Prog_23[[#This Row],[PROGRAMAÇÃO CLIENTE]],"mmm"))</f>
        <v>Jan</v>
      </c>
      <c r="BR595" s="66">
        <f>YEAR(Prog_23[[#This Row],[PROGRAMAÇÃO CLIENTE]])</f>
        <v>1900</v>
      </c>
    </row>
    <row r="596" spans="1:70" x14ac:dyDescent="0.25">
      <c r="A596" s="201">
        <f>Prog_23[[#This Row],[CONTEINER]]</f>
        <v>0</v>
      </c>
      <c r="B596" s="86"/>
      <c r="C5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96" s="44"/>
      <c r="E596" s="66"/>
      <c r="F596" s="66"/>
      <c r="G596" s="66"/>
      <c r="H596" s="44"/>
      <c r="I596" s="44"/>
      <c r="J596" s="66"/>
      <c r="K596" s="66"/>
      <c r="L596" s="66"/>
      <c r="M596" s="66"/>
      <c r="N596" s="66">
        <f>SUM(Prog_23[[#This Row],[TARA]]+Prog_23[[#This Row],[PESO]])</f>
        <v>0</v>
      </c>
      <c r="O596" s="44"/>
      <c r="P596" s="66"/>
      <c r="Q596" s="66"/>
      <c r="R596" s="66"/>
      <c r="S596" s="66"/>
      <c r="T596" s="138" t="str">
        <f>IFERROR(LOOKUP($S596,MOTORISTAS!$D$3:$D$916,MOTORISTAS!E$3:$E$916),"")</f>
        <v/>
      </c>
      <c r="U596" s="138" t="str">
        <f>IFERROR(LOOKUP($S596,MOTORISTAS!$D$3:$D$916,MOTORISTAS!F$3:$F$916),"")</f>
        <v/>
      </c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44"/>
      <c r="AG596" s="254">
        <f>Prog_23[[#This Row],[SAÍDA DO CLIENTE]]-Prog_23[[#This Row],[PROGRAMAÇÃO CLIENTE]]</f>
        <v>0</v>
      </c>
      <c r="AH596" s="44"/>
      <c r="AI596" s="66"/>
      <c r="AJ596" s="66"/>
      <c r="AK596" s="66"/>
      <c r="AL596" s="66"/>
      <c r="AM596" s="66"/>
      <c r="AN596" s="83"/>
      <c r="AO596" s="83"/>
      <c r="AP596" s="83"/>
      <c r="AQ596" s="66"/>
      <c r="AR596" s="66"/>
      <c r="AS596" s="66"/>
      <c r="AT596" s="81"/>
      <c r="AU596" s="81"/>
      <c r="AV596" s="81"/>
      <c r="AW596" s="81"/>
      <c r="AX596" s="83">
        <f>SUM(Prog_23[[#This Row],[ADIANTAMENTO]]+Prog_23[[#This Row],[SALDO]]+Prog_23[[#This Row],[MARGEM]]+Prog_23[[#This Row],[ESTADIA 1]])</f>
        <v>0</v>
      </c>
      <c r="AY5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96" s="81"/>
      <c r="BA596" s="81"/>
      <c r="BB596" s="81">
        <f>Prog_23[[#This Row],[VLR NF]]*0.1%</f>
        <v>0</v>
      </c>
      <c r="BC596" s="81">
        <f>Prog_23[[#This Row],[VLR NF]]*0.05%</f>
        <v>0</v>
      </c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66"/>
      <c r="BO596" s="66"/>
      <c r="BP596" s="66"/>
      <c r="BQ596" s="66" t="str">
        <f>PROPER(TEXT(Prog_23[[#This Row],[PROGRAMAÇÃO CLIENTE]],"mmm"))</f>
        <v>Jan</v>
      </c>
      <c r="BR596" s="66">
        <f>YEAR(Prog_23[[#This Row],[PROGRAMAÇÃO CLIENTE]])</f>
        <v>1900</v>
      </c>
    </row>
    <row r="597" spans="1:70" x14ac:dyDescent="0.25">
      <c r="A597" s="200">
        <f>Prog_23[[#This Row],[CONTEINER]]</f>
        <v>0</v>
      </c>
      <c r="B597" s="86"/>
      <c r="C5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97" s="44"/>
      <c r="E597" s="66"/>
      <c r="F597" s="66"/>
      <c r="G597" s="66"/>
      <c r="H597" s="44"/>
      <c r="I597" s="44"/>
      <c r="J597" s="66"/>
      <c r="K597" s="66"/>
      <c r="L597" s="66"/>
      <c r="M597" s="66"/>
      <c r="N597" s="66">
        <f>SUM(Prog_23[[#This Row],[TARA]]+Prog_23[[#This Row],[PESO]])</f>
        <v>0</v>
      </c>
      <c r="O597" s="44"/>
      <c r="P597" s="66"/>
      <c r="Q597" s="66"/>
      <c r="R597" s="66"/>
      <c r="S597" s="66"/>
      <c r="T597" s="138" t="str">
        <f>IFERROR(LOOKUP($S597,MOTORISTAS!$D$3:$D$916,MOTORISTAS!E$3:$E$916),"")</f>
        <v/>
      </c>
      <c r="U597" s="138" t="str">
        <f>IFERROR(LOOKUP($S597,MOTORISTAS!$D$3:$D$916,MOTORISTAS!F$3:$F$916),"")</f>
        <v/>
      </c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44"/>
      <c r="AG597" s="254">
        <f>Prog_23[[#This Row],[SAÍDA DO CLIENTE]]-Prog_23[[#This Row],[PROGRAMAÇÃO CLIENTE]]</f>
        <v>0</v>
      </c>
      <c r="AH597" s="44"/>
      <c r="AI597" s="66"/>
      <c r="AJ597" s="66"/>
      <c r="AK597" s="66"/>
      <c r="AL597" s="66"/>
      <c r="AM597" s="66"/>
      <c r="AN597" s="83"/>
      <c r="AO597" s="83"/>
      <c r="AP597" s="83"/>
      <c r="AQ597" s="66"/>
      <c r="AR597" s="66"/>
      <c r="AS597" s="66"/>
      <c r="AT597" s="81"/>
      <c r="AU597" s="81"/>
      <c r="AV597" s="81"/>
      <c r="AW597" s="81"/>
      <c r="AX597" s="83">
        <f>SUM(Prog_23[[#This Row],[ADIANTAMENTO]]+Prog_23[[#This Row],[SALDO]]+Prog_23[[#This Row],[MARGEM]]+Prog_23[[#This Row],[ESTADIA 1]])</f>
        <v>0</v>
      </c>
      <c r="AY5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97" s="81"/>
      <c r="BA597" s="81"/>
      <c r="BB597" s="81">
        <f>Prog_23[[#This Row],[VLR NF]]*0.1%</f>
        <v>0</v>
      </c>
      <c r="BC597" s="81">
        <f>Prog_23[[#This Row],[VLR NF]]*0.05%</f>
        <v>0</v>
      </c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66"/>
      <c r="BO597" s="66"/>
      <c r="BP597" s="66"/>
      <c r="BQ597" s="66" t="str">
        <f>PROPER(TEXT(Prog_23[[#This Row],[PROGRAMAÇÃO CLIENTE]],"mmm"))</f>
        <v>Jan</v>
      </c>
      <c r="BR597" s="66">
        <f>YEAR(Prog_23[[#This Row],[PROGRAMAÇÃO CLIENTE]])</f>
        <v>1900</v>
      </c>
    </row>
    <row r="598" spans="1:70" x14ac:dyDescent="0.25">
      <c r="A598" s="201">
        <f>Prog_23[[#This Row],[CONTEINER]]</f>
        <v>0</v>
      </c>
      <c r="B598" s="86"/>
      <c r="C5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98" s="44"/>
      <c r="E598" s="66"/>
      <c r="F598" s="66"/>
      <c r="G598" s="66"/>
      <c r="H598" s="44"/>
      <c r="I598" s="44"/>
      <c r="J598" s="66"/>
      <c r="K598" s="66"/>
      <c r="L598" s="66"/>
      <c r="M598" s="66"/>
      <c r="N598" s="66">
        <f>SUM(Prog_23[[#This Row],[TARA]]+Prog_23[[#This Row],[PESO]])</f>
        <v>0</v>
      </c>
      <c r="O598" s="44"/>
      <c r="P598" s="66"/>
      <c r="Q598" s="66"/>
      <c r="R598" s="66"/>
      <c r="S598" s="66"/>
      <c r="T598" s="138" t="str">
        <f>IFERROR(LOOKUP($S598,MOTORISTAS!$D$3:$D$916,MOTORISTAS!E$3:$E$916),"")</f>
        <v/>
      </c>
      <c r="U598" s="138" t="str">
        <f>IFERROR(LOOKUP($S598,MOTORISTAS!$D$3:$D$916,MOTORISTAS!F$3:$F$916),"")</f>
        <v/>
      </c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44"/>
      <c r="AG598" s="254">
        <f>Prog_23[[#This Row],[SAÍDA DO CLIENTE]]-Prog_23[[#This Row],[PROGRAMAÇÃO CLIENTE]]</f>
        <v>0</v>
      </c>
      <c r="AH598" s="44"/>
      <c r="AI598" s="66"/>
      <c r="AJ598" s="66"/>
      <c r="AK598" s="66"/>
      <c r="AL598" s="66"/>
      <c r="AM598" s="66"/>
      <c r="AN598" s="83"/>
      <c r="AO598" s="83"/>
      <c r="AP598" s="83"/>
      <c r="AQ598" s="66"/>
      <c r="AR598" s="66"/>
      <c r="AS598" s="66"/>
      <c r="AT598" s="81"/>
      <c r="AU598" s="81"/>
      <c r="AV598" s="81"/>
      <c r="AW598" s="81"/>
      <c r="AX598" s="83">
        <f>SUM(Prog_23[[#This Row],[ADIANTAMENTO]]+Prog_23[[#This Row],[SALDO]]+Prog_23[[#This Row],[MARGEM]]+Prog_23[[#This Row],[ESTADIA 1]])</f>
        <v>0</v>
      </c>
      <c r="AY5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98" s="81"/>
      <c r="BA598" s="81"/>
      <c r="BB598" s="81">
        <f>Prog_23[[#This Row],[VLR NF]]*0.1%</f>
        <v>0</v>
      </c>
      <c r="BC598" s="81">
        <f>Prog_23[[#This Row],[VLR NF]]*0.05%</f>
        <v>0</v>
      </c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66"/>
      <c r="BO598" s="66"/>
      <c r="BP598" s="66"/>
      <c r="BQ598" s="66" t="str">
        <f>PROPER(TEXT(Prog_23[[#This Row],[PROGRAMAÇÃO CLIENTE]],"mmm"))</f>
        <v>Jan</v>
      </c>
      <c r="BR598" s="66">
        <f>YEAR(Prog_23[[#This Row],[PROGRAMAÇÃO CLIENTE]])</f>
        <v>1900</v>
      </c>
    </row>
    <row r="599" spans="1:70" x14ac:dyDescent="0.25">
      <c r="A599" s="200">
        <f>Prog_23[[#This Row],[CONTEINER]]</f>
        <v>0</v>
      </c>
      <c r="B599" s="86"/>
      <c r="C5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599" s="44"/>
      <c r="E599" s="66"/>
      <c r="F599" s="66"/>
      <c r="G599" s="66"/>
      <c r="H599" s="44"/>
      <c r="I599" s="44"/>
      <c r="J599" s="66"/>
      <c r="K599" s="66"/>
      <c r="L599" s="66"/>
      <c r="M599" s="66"/>
      <c r="N599" s="66">
        <f>SUM(Prog_23[[#This Row],[TARA]]+Prog_23[[#This Row],[PESO]])</f>
        <v>0</v>
      </c>
      <c r="O599" s="44"/>
      <c r="P599" s="66"/>
      <c r="Q599" s="66"/>
      <c r="R599" s="66"/>
      <c r="S599" s="66"/>
      <c r="T599" s="138" t="str">
        <f>IFERROR(LOOKUP($S599,MOTORISTAS!$D$3:$D$916,MOTORISTAS!E$3:$E$916),"")</f>
        <v/>
      </c>
      <c r="U599" s="138" t="str">
        <f>IFERROR(LOOKUP($S599,MOTORISTAS!$D$3:$D$916,MOTORISTAS!F$3:$F$916),"")</f>
        <v/>
      </c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44"/>
      <c r="AG599" s="254">
        <f>Prog_23[[#This Row],[SAÍDA DO CLIENTE]]-Prog_23[[#This Row],[PROGRAMAÇÃO CLIENTE]]</f>
        <v>0</v>
      </c>
      <c r="AH599" s="44"/>
      <c r="AI599" s="66"/>
      <c r="AJ599" s="66"/>
      <c r="AK599" s="66"/>
      <c r="AL599" s="66"/>
      <c r="AM599" s="66"/>
      <c r="AN599" s="83"/>
      <c r="AO599" s="83"/>
      <c r="AP599" s="83"/>
      <c r="AQ599" s="66"/>
      <c r="AR599" s="66"/>
      <c r="AS599" s="66"/>
      <c r="AT599" s="81"/>
      <c r="AU599" s="81"/>
      <c r="AV599" s="81"/>
      <c r="AW599" s="81"/>
      <c r="AX599" s="83">
        <f>SUM(Prog_23[[#This Row],[ADIANTAMENTO]]+Prog_23[[#This Row],[SALDO]]+Prog_23[[#This Row],[MARGEM]]+Prog_23[[#This Row],[ESTADIA 1]])</f>
        <v>0</v>
      </c>
      <c r="AY5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599" s="81"/>
      <c r="BA599" s="81"/>
      <c r="BB599" s="81">
        <f>Prog_23[[#This Row],[VLR NF]]*0.1%</f>
        <v>0</v>
      </c>
      <c r="BC599" s="81">
        <f>Prog_23[[#This Row],[VLR NF]]*0.05%</f>
        <v>0</v>
      </c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66"/>
      <c r="BO599" s="66"/>
      <c r="BP599" s="66"/>
      <c r="BQ599" s="66" t="str">
        <f>PROPER(TEXT(Prog_23[[#This Row],[PROGRAMAÇÃO CLIENTE]],"mmm"))</f>
        <v>Jan</v>
      </c>
      <c r="BR599" s="66">
        <f>YEAR(Prog_23[[#This Row],[PROGRAMAÇÃO CLIENTE]])</f>
        <v>1900</v>
      </c>
    </row>
    <row r="600" spans="1:70" x14ac:dyDescent="0.25">
      <c r="A600" s="201">
        <f>Prog_23[[#This Row],[CONTEINER]]</f>
        <v>0</v>
      </c>
      <c r="B600" s="86"/>
      <c r="C6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0" s="44"/>
      <c r="E600" s="66"/>
      <c r="F600" s="66"/>
      <c r="G600" s="66"/>
      <c r="H600" s="44"/>
      <c r="I600" s="44"/>
      <c r="J600" s="66"/>
      <c r="K600" s="66"/>
      <c r="L600" s="66"/>
      <c r="M600" s="66"/>
      <c r="N600" s="66">
        <f>SUM(Prog_23[[#This Row],[TARA]]+Prog_23[[#This Row],[PESO]])</f>
        <v>0</v>
      </c>
      <c r="O600" s="44"/>
      <c r="P600" s="66"/>
      <c r="Q600" s="66"/>
      <c r="R600" s="66"/>
      <c r="S600" s="66"/>
      <c r="T600" s="138" t="str">
        <f>IFERROR(LOOKUP($S600,MOTORISTAS!$D$3:$D$916,MOTORISTAS!E$3:$E$916),"")</f>
        <v/>
      </c>
      <c r="U600" s="138" t="str">
        <f>IFERROR(LOOKUP($S600,MOTORISTAS!$D$3:$D$916,MOTORISTAS!F$3:$F$916),"")</f>
        <v/>
      </c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44"/>
      <c r="AG600" s="254">
        <f>Prog_23[[#This Row],[SAÍDA DO CLIENTE]]-Prog_23[[#This Row],[PROGRAMAÇÃO CLIENTE]]</f>
        <v>0</v>
      </c>
      <c r="AH600" s="44"/>
      <c r="AI600" s="66"/>
      <c r="AJ600" s="66"/>
      <c r="AK600" s="66"/>
      <c r="AL600" s="66"/>
      <c r="AM600" s="66"/>
      <c r="AN600" s="83"/>
      <c r="AO600" s="83"/>
      <c r="AP600" s="83"/>
      <c r="AQ600" s="66"/>
      <c r="AR600" s="66"/>
      <c r="AS600" s="66"/>
      <c r="AT600" s="81"/>
      <c r="AU600" s="81"/>
      <c r="AV600" s="81"/>
      <c r="AW600" s="81"/>
      <c r="AX600" s="83">
        <f>SUM(Prog_23[[#This Row],[ADIANTAMENTO]]+Prog_23[[#This Row],[SALDO]]+Prog_23[[#This Row],[MARGEM]]+Prog_23[[#This Row],[ESTADIA 1]])</f>
        <v>0</v>
      </c>
      <c r="AY6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00" s="81"/>
      <c r="BA600" s="81"/>
      <c r="BB600" s="81">
        <f>Prog_23[[#This Row],[VLR NF]]*0.1%</f>
        <v>0</v>
      </c>
      <c r="BC600" s="81">
        <f>Prog_23[[#This Row],[VLR NF]]*0.05%</f>
        <v>0</v>
      </c>
      <c r="BD600" s="81"/>
      <c r="BE600" s="81"/>
      <c r="BF600" s="81"/>
      <c r="BG600" s="81"/>
      <c r="BH600" s="81"/>
      <c r="BI600" s="81"/>
      <c r="BJ600" s="81"/>
      <c r="BK600" s="81"/>
      <c r="BL600" s="81"/>
      <c r="BM600" s="81"/>
      <c r="BN600" s="66"/>
      <c r="BO600" s="66"/>
      <c r="BP600" s="66"/>
      <c r="BQ600" s="66" t="str">
        <f>PROPER(TEXT(Prog_23[[#This Row],[PROGRAMAÇÃO CLIENTE]],"mmm"))</f>
        <v>Jan</v>
      </c>
      <c r="BR600" s="66">
        <f>YEAR(Prog_23[[#This Row],[PROGRAMAÇÃO CLIENTE]])</f>
        <v>1900</v>
      </c>
    </row>
    <row r="601" spans="1:70" x14ac:dyDescent="0.25">
      <c r="A601" s="200">
        <f>Prog_23[[#This Row],[CONTEINER]]</f>
        <v>0</v>
      </c>
      <c r="B601" s="86"/>
      <c r="C6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1" s="44"/>
      <c r="E601" s="66"/>
      <c r="F601" s="66"/>
      <c r="G601" s="66"/>
      <c r="H601" s="44"/>
      <c r="I601" s="44"/>
      <c r="J601" s="66"/>
      <c r="K601" s="66"/>
      <c r="L601" s="66"/>
      <c r="M601" s="66"/>
      <c r="N601" s="66">
        <f>SUM(Prog_23[[#This Row],[TARA]]+Prog_23[[#This Row],[PESO]])</f>
        <v>0</v>
      </c>
      <c r="O601" s="44"/>
      <c r="P601" s="66"/>
      <c r="Q601" s="66"/>
      <c r="R601" s="66"/>
      <c r="S601" s="66"/>
      <c r="T601" s="138" t="str">
        <f>IFERROR(LOOKUP($S601,MOTORISTAS!$D$3:$D$916,MOTORISTAS!E$3:$E$916),"")</f>
        <v/>
      </c>
      <c r="U601" s="138" t="str">
        <f>IFERROR(LOOKUP($S601,MOTORISTAS!$D$3:$D$916,MOTORISTAS!F$3:$F$916),"")</f>
        <v/>
      </c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44"/>
      <c r="AG601" s="254">
        <f>Prog_23[[#This Row],[SAÍDA DO CLIENTE]]-Prog_23[[#This Row],[PROGRAMAÇÃO CLIENTE]]</f>
        <v>0</v>
      </c>
      <c r="AH601" s="44"/>
      <c r="AI601" s="66"/>
      <c r="AJ601" s="66"/>
      <c r="AK601" s="66"/>
      <c r="AL601" s="66"/>
      <c r="AM601" s="66"/>
      <c r="AN601" s="83"/>
      <c r="AO601" s="83"/>
      <c r="AP601" s="83"/>
      <c r="AQ601" s="66"/>
      <c r="AR601" s="66"/>
      <c r="AS601" s="66"/>
      <c r="AT601" s="81"/>
      <c r="AU601" s="81"/>
      <c r="AV601" s="81"/>
      <c r="AW601" s="81"/>
      <c r="AX601" s="83">
        <f>SUM(Prog_23[[#This Row],[ADIANTAMENTO]]+Prog_23[[#This Row],[SALDO]]+Prog_23[[#This Row],[MARGEM]]+Prog_23[[#This Row],[ESTADIA 1]])</f>
        <v>0</v>
      </c>
      <c r="AY6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01" s="81"/>
      <c r="BA601" s="81"/>
      <c r="BB601" s="81">
        <f>Prog_23[[#This Row],[VLR NF]]*0.1%</f>
        <v>0</v>
      </c>
      <c r="BC601" s="81">
        <f>Prog_23[[#This Row],[VLR NF]]*0.05%</f>
        <v>0</v>
      </c>
      <c r="BD601" s="81"/>
      <c r="BE601" s="81"/>
      <c r="BF601" s="81"/>
      <c r="BG601" s="81"/>
      <c r="BH601" s="81"/>
      <c r="BI601" s="81"/>
      <c r="BJ601" s="81"/>
      <c r="BK601" s="81"/>
      <c r="BL601" s="81"/>
      <c r="BM601" s="81"/>
      <c r="BN601" s="66"/>
      <c r="BO601" s="66"/>
      <c r="BP601" s="66"/>
      <c r="BQ601" s="66" t="str">
        <f>PROPER(TEXT(Prog_23[[#This Row],[PROGRAMAÇÃO CLIENTE]],"mmm"))</f>
        <v>Jan</v>
      </c>
      <c r="BR601" s="66">
        <f>YEAR(Prog_23[[#This Row],[PROGRAMAÇÃO CLIENTE]])</f>
        <v>1900</v>
      </c>
    </row>
    <row r="602" spans="1:70" x14ac:dyDescent="0.25">
      <c r="A602" s="201">
        <f>Prog_23[[#This Row],[CONTEINER]]</f>
        <v>0</v>
      </c>
      <c r="B602" s="86"/>
      <c r="C6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2" s="44"/>
      <c r="E602" s="66"/>
      <c r="F602" s="66"/>
      <c r="G602" s="66"/>
      <c r="H602" s="44"/>
      <c r="I602" s="44"/>
      <c r="J602" s="66"/>
      <c r="K602" s="66"/>
      <c r="L602" s="66"/>
      <c r="M602" s="66"/>
      <c r="N602" s="66">
        <f>SUM(Prog_23[[#This Row],[TARA]]+Prog_23[[#This Row],[PESO]])</f>
        <v>0</v>
      </c>
      <c r="O602" s="44"/>
      <c r="P602" s="66"/>
      <c r="Q602" s="66"/>
      <c r="R602" s="66"/>
      <c r="S602" s="66"/>
      <c r="T602" s="138" t="str">
        <f>IFERROR(LOOKUP($S602,MOTORISTAS!$D$3:$D$916,MOTORISTAS!E$3:$E$916),"")</f>
        <v/>
      </c>
      <c r="U602" s="138" t="str">
        <f>IFERROR(LOOKUP($S602,MOTORISTAS!$D$3:$D$916,MOTORISTAS!F$3:$F$916),"")</f>
        <v/>
      </c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44"/>
      <c r="AG602" s="254">
        <f>Prog_23[[#This Row],[SAÍDA DO CLIENTE]]-Prog_23[[#This Row],[PROGRAMAÇÃO CLIENTE]]</f>
        <v>0</v>
      </c>
      <c r="AH602" s="44"/>
      <c r="AI602" s="66"/>
      <c r="AJ602" s="66"/>
      <c r="AK602" s="66"/>
      <c r="AL602" s="66"/>
      <c r="AM602" s="66"/>
      <c r="AN602" s="83"/>
      <c r="AO602" s="83"/>
      <c r="AP602" s="83"/>
      <c r="AQ602" s="66"/>
      <c r="AR602" s="66"/>
      <c r="AS602" s="66"/>
      <c r="AT602" s="81"/>
      <c r="AU602" s="81"/>
      <c r="AV602" s="81"/>
      <c r="AW602" s="81"/>
      <c r="AX602" s="83">
        <f>SUM(Prog_23[[#This Row],[ADIANTAMENTO]]+Prog_23[[#This Row],[SALDO]]+Prog_23[[#This Row],[MARGEM]]+Prog_23[[#This Row],[ESTADIA 1]])</f>
        <v>0</v>
      </c>
      <c r="AY6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02" s="81"/>
      <c r="BA602" s="81"/>
      <c r="BB602" s="81">
        <f>Prog_23[[#This Row],[VLR NF]]*0.1%</f>
        <v>0</v>
      </c>
      <c r="BC602" s="81">
        <f>Prog_23[[#This Row],[VLR NF]]*0.05%</f>
        <v>0</v>
      </c>
      <c r="BD602" s="81"/>
      <c r="BE602" s="81"/>
      <c r="BF602" s="81"/>
      <c r="BG602" s="81"/>
      <c r="BH602" s="81"/>
      <c r="BI602" s="81"/>
      <c r="BJ602" s="81"/>
      <c r="BK602" s="81"/>
      <c r="BL602" s="81"/>
      <c r="BM602" s="81"/>
      <c r="BN602" s="66"/>
      <c r="BO602" s="66"/>
      <c r="BP602" s="66"/>
      <c r="BQ602" s="66" t="str">
        <f>PROPER(TEXT(Prog_23[[#This Row],[PROGRAMAÇÃO CLIENTE]],"mmm"))</f>
        <v>Jan</v>
      </c>
      <c r="BR602" s="66">
        <f>YEAR(Prog_23[[#This Row],[PROGRAMAÇÃO CLIENTE]])</f>
        <v>1900</v>
      </c>
    </row>
    <row r="603" spans="1:70" x14ac:dyDescent="0.25">
      <c r="A603" s="200">
        <f>Prog_23[[#This Row],[CONTEINER]]</f>
        <v>0</v>
      </c>
      <c r="B603" s="86"/>
      <c r="C6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3" s="44"/>
      <c r="E603" s="66"/>
      <c r="F603" s="66"/>
      <c r="G603" s="66"/>
      <c r="H603" s="44"/>
      <c r="I603" s="44"/>
      <c r="J603" s="66"/>
      <c r="K603" s="66"/>
      <c r="L603" s="66"/>
      <c r="M603" s="66"/>
      <c r="N603" s="66">
        <f>SUM(Prog_23[[#This Row],[TARA]]+Prog_23[[#This Row],[PESO]])</f>
        <v>0</v>
      </c>
      <c r="O603" s="44"/>
      <c r="P603" s="66"/>
      <c r="Q603" s="66"/>
      <c r="R603" s="66"/>
      <c r="S603" s="66"/>
      <c r="T603" s="138" t="str">
        <f>IFERROR(LOOKUP($S603,MOTORISTAS!$D$3:$D$916,MOTORISTAS!E$3:$E$916),"")</f>
        <v/>
      </c>
      <c r="U603" s="138" t="str">
        <f>IFERROR(LOOKUP($S603,MOTORISTAS!$D$3:$D$916,MOTORISTAS!F$3:$F$916),"")</f>
        <v/>
      </c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44"/>
      <c r="AG603" s="254">
        <f>Prog_23[[#This Row],[SAÍDA DO CLIENTE]]-Prog_23[[#This Row],[PROGRAMAÇÃO CLIENTE]]</f>
        <v>0</v>
      </c>
      <c r="AH603" s="44"/>
      <c r="AI603" s="66"/>
      <c r="AJ603" s="66"/>
      <c r="AK603" s="66"/>
      <c r="AL603" s="66"/>
      <c r="AM603" s="66"/>
      <c r="AN603" s="83"/>
      <c r="AO603" s="83"/>
      <c r="AP603" s="83"/>
      <c r="AQ603" s="66"/>
      <c r="AR603" s="66"/>
      <c r="AS603" s="66"/>
      <c r="AT603" s="81"/>
      <c r="AU603" s="81"/>
      <c r="AV603" s="81"/>
      <c r="AW603" s="81"/>
      <c r="AX603" s="83">
        <f>SUM(Prog_23[[#This Row],[ADIANTAMENTO]]+Prog_23[[#This Row],[SALDO]]+Prog_23[[#This Row],[MARGEM]]+Prog_23[[#This Row],[ESTADIA 1]])</f>
        <v>0</v>
      </c>
      <c r="AY6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03" s="81"/>
      <c r="BA603" s="81"/>
      <c r="BB603" s="81">
        <f>Prog_23[[#This Row],[VLR NF]]*0.1%</f>
        <v>0</v>
      </c>
      <c r="BC603" s="81">
        <f>Prog_23[[#This Row],[VLR NF]]*0.05%</f>
        <v>0</v>
      </c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66"/>
      <c r="BO603" s="66"/>
      <c r="BP603" s="66"/>
      <c r="BQ603" s="66" t="str">
        <f>PROPER(TEXT(Prog_23[[#This Row],[PROGRAMAÇÃO CLIENTE]],"mmm"))</f>
        <v>Jan</v>
      </c>
      <c r="BR603" s="66">
        <f>YEAR(Prog_23[[#This Row],[PROGRAMAÇÃO CLIENTE]])</f>
        <v>1900</v>
      </c>
    </row>
    <row r="604" spans="1:70" x14ac:dyDescent="0.25">
      <c r="A604" s="201">
        <f>Prog_23[[#This Row],[CONTEINER]]</f>
        <v>0</v>
      </c>
      <c r="B604" s="86"/>
      <c r="C6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4" s="44"/>
      <c r="E604" s="66"/>
      <c r="F604" s="66"/>
      <c r="G604" s="66"/>
      <c r="H604" s="44"/>
      <c r="I604" s="44"/>
      <c r="J604" s="66"/>
      <c r="K604" s="66"/>
      <c r="L604" s="66"/>
      <c r="M604" s="66"/>
      <c r="N604" s="66">
        <f>SUM(Prog_23[[#This Row],[TARA]]+Prog_23[[#This Row],[PESO]])</f>
        <v>0</v>
      </c>
      <c r="O604" s="44"/>
      <c r="P604" s="66"/>
      <c r="Q604" s="66"/>
      <c r="R604" s="66"/>
      <c r="S604" s="66"/>
      <c r="T604" s="138" t="str">
        <f>IFERROR(LOOKUP($S604,MOTORISTAS!$D$3:$D$916,MOTORISTAS!E$3:$E$916),"")</f>
        <v/>
      </c>
      <c r="U604" s="138" t="str">
        <f>IFERROR(LOOKUP($S604,MOTORISTAS!$D$3:$D$916,MOTORISTAS!F$3:$F$916),"")</f>
        <v/>
      </c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44"/>
      <c r="AG604" s="254">
        <f>Prog_23[[#This Row],[SAÍDA DO CLIENTE]]-Prog_23[[#This Row],[PROGRAMAÇÃO CLIENTE]]</f>
        <v>0</v>
      </c>
      <c r="AH604" s="44"/>
      <c r="AI604" s="66"/>
      <c r="AJ604" s="66"/>
      <c r="AK604" s="66"/>
      <c r="AL604" s="66"/>
      <c r="AM604" s="66"/>
      <c r="AN604" s="83"/>
      <c r="AO604" s="83"/>
      <c r="AP604" s="83"/>
      <c r="AQ604" s="66"/>
      <c r="AR604" s="66"/>
      <c r="AS604" s="66"/>
      <c r="AT604" s="81"/>
      <c r="AU604" s="81"/>
      <c r="AV604" s="81"/>
      <c r="AW604" s="81"/>
      <c r="AX604" s="83">
        <f>SUM(Prog_23[[#This Row],[ADIANTAMENTO]]+Prog_23[[#This Row],[SALDO]]+Prog_23[[#This Row],[MARGEM]]+Prog_23[[#This Row],[ESTADIA 1]])</f>
        <v>0</v>
      </c>
      <c r="AY6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04" s="81"/>
      <c r="BA604" s="81"/>
      <c r="BB604" s="81">
        <f>Prog_23[[#This Row],[VLR NF]]*0.1%</f>
        <v>0</v>
      </c>
      <c r="BC604" s="81">
        <f>Prog_23[[#This Row],[VLR NF]]*0.05%</f>
        <v>0</v>
      </c>
      <c r="BD604" s="81"/>
      <c r="BE604" s="81"/>
      <c r="BF604" s="81"/>
      <c r="BG604" s="81"/>
      <c r="BH604" s="81"/>
      <c r="BI604" s="81"/>
      <c r="BJ604" s="81"/>
      <c r="BK604" s="81"/>
      <c r="BL604" s="81"/>
      <c r="BM604" s="81"/>
      <c r="BN604" s="66"/>
      <c r="BO604" s="66"/>
      <c r="BP604" s="66"/>
      <c r="BQ604" s="66" t="str">
        <f>PROPER(TEXT(Prog_23[[#This Row],[PROGRAMAÇÃO CLIENTE]],"mmm"))</f>
        <v>Jan</v>
      </c>
      <c r="BR604" s="66">
        <f>YEAR(Prog_23[[#This Row],[PROGRAMAÇÃO CLIENTE]])</f>
        <v>1900</v>
      </c>
    </row>
    <row r="605" spans="1:70" x14ac:dyDescent="0.25">
      <c r="A605" s="200">
        <f>Prog_23[[#This Row],[CONTEINER]]</f>
        <v>0</v>
      </c>
      <c r="B605" s="86"/>
      <c r="C6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5" s="44"/>
      <c r="E605" s="66"/>
      <c r="F605" s="66"/>
      <c r="G605" s="66"/>
      <c r="H605" s="44"/>
      <c r="I605" s="44"/>
      <c r="J605" s="66"/>
      <c r="K605" s="66"/>
      <c r="L605" s="66"/>
      <c r="M605" s="66"/>
      <c r="N605" s="66">
        <f>SUM(Prog_23[[#This Row],[TARA]]+Prog_23[[#This Row],[PESO]])</f>
        <v>0</v>
      </c>
      <c r="O605" s="44"/>
      <c r="P605" s="66"/>
      <c r="Q605" s="66"/>
      <c r="R605" s="66"/>
      <c r="S605" s="66"/>
      <c r="T605" s="138" t="str">
        <f>IFERROR(LOOKUP($S605,MOTORISTAS!$D$3:$D$916,MOTORISTAS!E$3:$E$916),"")</f>
        <v/>
      </c>
      <c r="U605" s="138" t="str">
        <f>IFERROR(LOOKUP($S605,MOTORISTAS!$D$3:$D$916,MOTORISTAS!F$3:$F$916),"")</f>
        <v/>
      </c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44"/>
      <c r="AG605" s="254">
        <f>Prog_23[[#This Row],[SAÍDA DO CLIENTE]]-Prog_23[[#This Row],[PROGRAMAÇÃO CLIENTE]]</f>
        <v>0</v>
      </c>
      <c r="AH605" s="44"/>
      <c r="AI605" s="66"/>
      <c r="AJ605" s="66"/>
      <c r="AK605" s="66"/>
      <c r="AL605" s="66"/>
      <c r="AM605" s="66"/>
      <c r="AN605" s="83"/>
      <c r="AO605" s="83"/>
      <c r="AP605" s="83"/>
      <c r="AQ605" s="66"/>
      <c r="AR605" s="66"/>
      <c r="AS605" s="66"/>
      <c r="AT605" s="81"/>
      <c r="AU605" s="81"/>
      <c r="AV605" s="81"/>
      <c r="AW605" s="81"/>
      <c r="AX605" s="83">
        <f>SUM(Prog_23[[#This Row],[ADIANTAMENTO]]+Prog_23[[#This Row],[SALDO]]+Prog_23[[#This Row],[MARGEM]]+Prog_23[[#This Row],[ESTADIA 1]])</f>
        <v>0</v>
      </c>
      <c r="AY6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05" s="81"/>
      <c r="BA605" s="81"/>
      <c r="BB605" s="81">
        <f>Prog_23[[#This Row],[VLR NF]]*0.1%</f>
        <v>0</v>
      </c>
      <c r="BC605" s="81">
        <f>Prog_23[[#This Row],[VLR NF]]*0.05%</f>
        <v>0</v>
      </c>
      <c r="BD605" s="81"/>
      <c r="BE605" s="81"/>
      <c r="BF605" s="81"/>
      <c r="BG605" s="81"/>
      <c r="BH605" s="81"/>
      <c r="BI605" s="81"/>
      <c r="BJ605" s="81"/>
      <c r="BK605" s="81"/>
      <c r="BL605" s="81"/>
      <c r="BM605" s="81"/>
      <c r="BN605" s="66"/>
      <c r="BO605" s="66"/>
      <c r="BP605" s="66"/>
      <c r="BQ605" s="66" t="str">
        <f>PROPER(TEXT(Prog_23[[#This Row],[PROGRAMAÇÃO CLIENTE]],"mmm"))</f>
        <v>Jan</v>
      </c>
      <c r="BR605" s="66">
        <f>YEAR(Prog_23[[#This Row],[PROGRAMAÇÃO CLIENTE]])</f>
        <v>1900</v>
      </c>
    </row>
    <row r="606" spans="1:70" x14ac:dyDescent="0.25">
      <c r="A606" s="201">
        <f>Prog_23[[#This Row],[CONTEINER]]</f>
        <v>0</v>
      </c>
      <c r="B606" s="86"/>
      <c r="C6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6" s="44"/>
      <c r="E606" s="66"/>
      <c r="F606" s="66"/>
      <c r="G606" s="66"/>
      <c r="H606" s="44"/>
      <c r="I606" s="44"/>
      <c r="J606" s="66"/>
      <c r="K606" s="66"/>
      <c r="L606" s="66"/>
      <c r="M606" s="66"/>
      <c r="N606" s="66">
        <f>SUM(Prog_23[[#This Row],[TARA]]+Prog_23[[#This Row],[PESO]])</f>
        <v>0</v>
      </c>
      <c r="O606" s="44"/>
      <c r="P606" s="66"/>
      <c r="Q606" s="66"/>
      <c r="R606" s="66"/>
      <c r="S606" s="66"/>
      <c r="T606" s="138" t="str">
        <f>IFERROR(LOOKUP($S606,MOTORISTAS!$D$3:$D$916,MOTORISTAS!E$3:$E$916),"")</f>
        <v/>
      </c>
      <c r="U606" s="138" t="str">
        <f>IFERROR(LOOKUP($S606,MOTORISTAS!$D$3:$D$916,MOTORISTAS!F$3:$F$916),"")</f>
        <v/>
      </c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44"/>
      <c r="AG606" s="254">
        <f>Prog_23[[#This Row],[SAÍDA DO CLIENTE]]-Prog_23[[#This Row],[PROGRAMAÇÃO CLIENTE]]</f>
        <v>0</v>
      </c>
      <c r="AH606" s="44"/>
      <c r="AI606" s="66"/>
      <c r="AJ606" s="66"/>
      <c r="AK606" s="66"/>
      <c r="AL606" s="66"/>
      <c r="AM606" s="66"/>
      <c r="AN606" s="83"/>
      <c r="AO606" s="83"/>
      <c r="AP606" s="83"/>
      <c r="AQ606" s="66"/>
      <c r="AR606" s="66"/>
      <c r="AS606" s="66"/>
      <c r="AT606" s="81"/>
      <c r="AU606" s="81"/>
      <c r="AV606" s="81"/>
      <c r="AW606" s="81"/>
      <c r="AX606" s="83">
        <f>SUM(Prog_23[[#This Row],[ADIANTAMENTO]]+Prog_23[[#This Row],[SALDO]]+Prog_23[[#This Row],[MARGEM]]+Prog_23[[#This Row],[ESTADIA 1]])</f>
        <v>0</v>
      </c>
      <c r="AY6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06" s="81"/>
      <c r="BA606" s="81"/>
      <c r="BB606" s="81">
        <f>Prog_23[[#This Row],[VLR NF]]*0.1%</f>
        <v>0</v>
      </c>
      <c r="BC606" s="81">
        <f>Prog_23[[#This Row],[VLR NF]]*0.05%</f>
        <v>0</v>
      </c>
      <c r="BD606" s="81"/>
      <c r="BE606" s="81"/>
      <c r="BF606" s="81"/>
      <c r="BG606" s="81"/>
      <c r="BH606" s="81"/>
      <c r="BI606" s="81"/>
      <c r="BJ606" s="81"/>
      <c r="BK606" s="81"/>
      <c r="BL606" s="81"/>
      <c r="BM606" s="81"/>
      <c r="BN606" s="66"/>
      <c r="BO606" s="66"/>
      <c r="BP606" s="66"/>
      <c r="BQ606" s="66" t="str">
        <f>PROPER(TEXT(Prog_23[[#This Row],[PROGRAMAÇÃO CLIENTE]],"mmm"))</f>
        <v>Jan</v>
      </c>
      <c r="BR606" s="66">
        <f>YEAR(Prog_23[[#This Row],[PROGRAMAÇÃO CLIENTE]])</f>
        <v>1900</v>
      </c>
    </row>
    <row r="607" spans="1:70" x14ac:dyDescent="0.25">
      <c r="A607" s="200">
        <f>Prog_23[[#This Row],[CONTEINER]]</f>
        <v>0</v>
      </c>
      <c r="B607" s="86"/>
      <c r="C6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7" s="44"/>
      <c r="E607" s="66"/>
      <c r="F607" s="66"/>
      <c r="G607" s="66"/>
      <c r="H607" s="44"/>
      <c r="I607" s="44"/>
      <c r="J607" s="66"/>
      <c r="K607" s="66"/>
      <c r="L607" s="66"/>
      <c r="M607" s="66"/>
      <c r="N607" s="66">
        <f>SUM(Prog_23[[#This Row],[TARA]]+Prog_23[[#This Row],[PESO]])</f>
        <v>0</v>
      </c>
      <c r="O607" s="44"/>
      <c r="P607" s="66"/>
      <c r="Q607" s="66"/>
      <c r="R607" s="66"/>
      <c r="S607" s="66"/>
      <c r="T607" s="138" t="str">
        <f>IFERROR(LOOKUP($S607,MOTORISTAS!$D$3:$D$916,MOTORISTAS!E$3:$E$916),"")</f>
        <v/>
      </c>
      <c r="U607" s="138" t="str">
        <f>IFERROR(LOOKUP($S607,MOTORISTAS!$D$3:$D$916,MOTORISTAS!F$3:$F$916),"")</f>
        <v/>
      </c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44"/>
      <c r="AG607" s="254">
        <f>Prog_23[[#This Row],[SAÍDA DO CLIENTE]]-Prog_23[[#This Row],[PROGRAMAÇÃO CLIENTE]]</f>
        <v>0</v>
      </c>
      <c r="AH607" s="44"/>
      <c r="AI607" s="66"/>
      <c r="AJ607" s="66"/>
      <c r="AK607" s="66"/>
      <c r="AL607" s="66"/>
      <c r="AM607" s="66"/>
      <c r="AN607" s="83"/>
      <c r="AO607" s="83"/>
      <c r="AP607" s="83"/>
      <c r="AQ607" s="66"/>
      <c r="AR607" s="66"/>
      <c r="AS607" s="66"/>
      <c r="AT607" s="81"/>
      <c r="AU607" s="81"/>
      <c r="AV607" s="81"/>
      <c r="AW607" s="81"/>
      <c r="AX607" s="83">
        <f>SUM(Prog_23[[#This Row],[ADIANTAMENTO]]+Prog_23[[#This Row],[SALDO]]+Prog_23[[#This Row],[MARGEM]]+Prog_23[[#This Row],[ESTADIA 1]])</f>
        <v>0</v>
      </c>
      <c r="AY6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07" s="81"/>
      <c r="BA607" s="81"/>
      <c r="BB607" s="81">
        <f>Prog_23[[#This Row],[VLR NF]]*0.1%</f>
        <v>0</v>
      </c>
      <c r="BC607" s="81">
        <f>Prog_23[[#This Row],[VLR NF]]*0.05%</f>
        <v>0</v>
      </c>
      <c r="BD607" s="81"/>
      <c r="BE607" s="81"/>
      <c r="BF607" s="81"/>
      <c r="BG607" s="81"/>
      <c r="BH607" s="81"/>
      <c r="BI607" s="81"/>
      <c r="BJ607" s="81"/>
      <c r="BK607" s="81"/>
      <c r="BL607" s="81"/>
      <c r="BM607" s="81"/>
      <c r="BN607" s="66"/>
      <c r="BO607" s="66"/>
      <c r="BP607" s="66"/>
      <c r="BQ607" s="66" t="str">
        <f>PROPER(TEXT(Prog_23[[#This Row],[PROGRAMAÇÃO CLIENTE]],"mmm"))</f>
        <v>Jan</v>
      </c>
      <c r="BR607" s="66">
        <f>YEAR(Prog_23[[#This Row],[PROGRAMAÇÃO CLIENTE]])</f>
        <v>1900</v>
      </c>
    </row>
    <row r="608" spans="1:70" x14ac:dyDescent="0.25">
      <c r="A608" s="201">
        <f>Prog_23[[#This Row],[CONTEINER]]</f>
        <v>0</v>
      </c>
      <c r="B608" s="86"/>
      <c r="C6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8" s="44"/>
      <c r="E608" s="66"/>
      <c r="F608" s="66"/>
      <c r="G608" s="66"/>
      <c r="H608" s="44"/>
      <c r="I608" s="44"/>
      <c r="J608" s="66"/>
      <c r="K608" s="66"/>
      <c r="L608" s="66"/>
      <c r="M608" s="66"/>
      <c r="N608" s="66">
        <f>SUM(Prog_23[[#This Row],[TARA]]+Prog_23[[#This Row],[PESO]])</f>
        <v>0</v>
      </c>
      <c r="O608" s="44"/>
      <c r="P608" s="66"/>
      <c r="Q608" s="66"/>
      <c r="R608" s="66"/>
      <c r="S608" s="66"/>
      <c r="T608" s="138" t="str">
        <f>IFERROR(LOOKUP($S608,MOTORISTAS!$D$3:$D$916,MOTORISTAS!E$3:$E$916),"")</f>
        <v/>
      </c>
      <c r="U608" s="138" t="str">
        <f>IFERROR(LOOKUP($S608,MOTORISTAS!$D$3:$D$916,MOTORISTAS!F$3:$F$916),"")</f>
        <v/>
      </c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44"/>
      <c r="AG608" s="254">
        <f>Prog_23[[#This Row],[SAÍDA DO CLIENTE]]-Prog_23[[#This Row],[PROGRAMAÇÃO CLIENTE]]</f>
        <v>0</v>
      </c>
      <c r="AH608" s="44"/>
      <c r="AI608" s="66"/>
      <c r="AJ608" s="66"/>
      <c r="AK608" s="66"/>
      <c r="AL608" s="66"/>
      <c r="AM608" s="66"/>
      <c r="AN608" s="83"/>
      <c r="AO608" s="83"/>
      <c r="AP608" s="83"/>
      <c r="AQ608" s="66"/>
      <c r="AR608" s="66"/>
      <c r="AS608" s="66"/>
      <c r="AT608" s="81"/>
      <c r="AU608" s="81"/>
      <c r="AV608" s="81"/>
      <c r="AW608" s="81"/>
      <c r="AX608" s="83">
        <f>SUM(Prog_23[[#This Row],[ADIANTAMENTO]]+Prog_23[[#This Row],[SALDO]]+Prog_23[[#This Row],[MARGEM]]+Prog_23[[#This Row],[ESTADIA 1]])</f>
        <v>0</v>
      </c>
      <c r="AY6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08" s="81"/>
      <c r="BA608" s="81"/>
      <c r="BB608" s="81">
        <f>Prog_23[[#This Row],[VLR NF]]*0.1%</f>
        <v>0</v>
      </c>
      <c r="BC608" s="81">
        <f>Prog_23[[#This Row],[VLR NF]]*0.05%</f>
        <v>0</v>
      </c>
      <c r="BD608" s="81"/>
      <c r="BE608" s="81"/>
      <c r="BF608" s="81"/>
      <c r="BG608" s="81"/>
      <c r="BH608" s="81"/>
      <c r="BI608" s="81"/>
      <c r="BJ608" s="81"/>
      <c r="BK608" s="81"/>
      <c r="BL608" s="81"/>
      <c r="BM608" s="81"/>
      <c r="BN608" s="66"/>
      <c r="BO608" s="66"/>
      <c r="BP608" s="66"/>
      <c r="BQ608" s="66" t="str">
        <f>PROPER(TEXT(Prog_23[[#This Row],[PROGRAMAÇÃO CLIENTE]],"mmm"))</f>
        <v>Jan</v>
      </c>
      <c r="BR608" s="66">
        <f>YEAR(Prog_23[[#This Row],[PROGRAMAÇÃO CLIENTE]])</f>
        <v>1900</v>
      </c>
    </row>
    <row r="609" spans="1:70" x14ac:dyDescent="0.25">
      <c r="A609" s="200">
        <f>Prog_23[[#This Row],[CONTEINER]]</f>
        <v>0</v>
      </c>
      <c r="B609" s="86"/>
      <c r="C6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09" s="44"/>
      <c r="E609" s="66"/>
      <c r="F609" s="66"/>
      <c r="G609" s="66"/>
      <c r="H609" s="44"/>
      <c r="I609" s="44"/>
      <c r="J609" s="66"/>
      <c r="K609" s="66"/>
      <c r="L609" s="66"/>
      <c r="M609" s="66"/>
      <c r="N609" s="66">
        <f>SUM(Prog_23[[#This Row],[TARA]]+Prog_23[[#This Row],[PESO]])</f>
        <v>0</v>
      </c>
      <c r="O609" s="44"/>
      <c r="P609" s="66"/>
      <c r="Q609" s="66"/>
      <c r="R609" s="66"/>
      <c r="S609" s="66"/>
      <c r="T609" s="138" t="str">
        <f>IFERROR(LOOKUP($S609,MOTORISTAS!$D$3:$D$916,MOTORISTAS!E$3:$E$916),"")</f>
        <v/>
      </c>
      <c r="U609" s="138" t="str">
        <f>IFERROR(LOOKUP($S609,MOTORISTAS!$D$3:$D$916,MOTORISTAS!F$3:$F$916),"")</f>
        <v/>
      </c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44"/>
      <c r="AG609" s="254">
        <f>Prog_23[[#This Row],[SAÍDA DO CLIENTE]]-Prog_23[[#This Row],[PROGRAMAÇÃO CLIENTE]]</f>
        <v>0</v>
      </c>
      <c r="AH609" s="44"/>
      <c r="AI609" s="66"/>
      <c r="AJ609" s="66"/>
      <c r="AK609" s="66"/>
      <c r="AL609" s="66"/>
      <c r="AM609" s="66"/>
      <c r="AN609" s="83"/>
      <c r="AO609" s="83"/>
      <c r="AP609" s="83"/>
      <c r="AQ609" s="66"/>
      <c r="AR609" s="66"/>
      <c r="AS609" s="66"/>
      <c r="AT609" s="81"/>
      <c r="AU609" s="81"/>
      <c r="AV609" s="81"/>
      <c r="AW609" s="81"/>
      <c r="AX609" s="83">
        <f>SUM(Prog_23[[#This Row],[ADIANTAMENTO]]+Prog_23[[#This Row],[SALDO]]+Prog_23[[#This Row],[MARGEM]]+Prog_23[[#This Row],[ESTADIA 1]])</f>
        <v>0</v>
      </c>
      <c r="AY6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09" s="81"/>
      <c r="BA609" s="81"/>
      <c r="BB609" s="81">
        <f>Prog_23[[#This Row],[VLR NF]]*0.1%</f>
        <v>0</v>
      </c>
      <c r="BC609" s="81">
        <f>Prog_23[[#This Row],[VLR NF]]*0.05%</f>
        <v>0</v>
      </c>
      <c r="BD609" s="81"/>
      <c r="BE609" s="81"/>
      <c r="BF609" s="81"/>
      <c r="BG609" s="81"/>
      <c r="BH609" s="81"/>
      <c r="BI609" s="81"/>
      <c r="BJ609" s="81"/>
      <c r="BK609" s="81"/>
      <c r="BL609" s="81"/>
      <c r="BM609" s="81"/>
      <c r="BN609" s="66"/>
      <c r="BO609" s="66"/>
      <c r="BP609" s="66"/>
      <c r="BQ609" s="66" t="str">
        <f>PROPER(TEXT(Prog_23[[#This Row],[PROGRAMAÇÃO CLIENTE]],"mmm"))</f>
        <v>Jan</v>
      </c>
      <c r="BR609" s="66">
        <f>YEAR(Prog_23[[#This Row],[PROGRAMAÇÃO CLIENTE]])</f>
        <v>1900</v>
      </c>
    </row>
    <row r="610" spans="1:70" x14ac:dyDescent="0.25">
      <c r="A610" s="201">
        <f>Prog_23[[#This Row],[CONTEINER]]</f>
        <v>0</v>
      </c>
      <c r="B610" s="86"/>
      <c r="C6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0" s="44"/>
      <c r="E610" s="66"/>
      <c r="F610" s="66"/>
      <c r="G610" s="66"/>
      <c r="H610" s="44"/>
      <c r="I610" s="44"/>
      <c r="J610" s="66"/>
      <c r="K610" s="66"/>
      <c r="L610" s="66"/>
      <c r="M610" s="66"/>
      <c r="N610" s="66">
        <f>SUM(Prog_23[[#This Row],[TARA]]+Prog_23[[#This Row],[PESO]])</f>
        <v>0</v>
      </c>
      <c r="O610" s="44"/>
      <c r="P610" s="66"/>
      <c r="Q610" s="66"/>
      <c r="R610" s="66"/>
      <c r="S610" s="66"/>
      <c r="T610" s="138" t="str">
        <f>IFERROR(LOOKUP($S610,MOTORISTAS!$D$3:$D$916,MOTORISTAS!E$3:$E$916),"")</f>
        <v/>
      </c>
      <c r="U610" s="138" t="str">
        <f>IFERROR(LOOKUP($S610,MOTORISTAS!$D$3:$D$916,MOTORISTAS!F$3:$F$916),"")</f>
        <v/>
      </c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44"/>
      <c r="AG610" s="254">
        <f>Prog_23[[#This Row],[SAÍDA DO CLIENTE]]-Prog_23[[#This Row],[PROGRAMAÇÃO CLIENTE]]</f>
        <v>0</v>
      </c>
      <c r="AH610" s="44"/>
      <c r="AI610" s="66"/>
      <c r="AJ610" s="66"/>
      <c r="AK610" s="66"/>
      <c r="AL610" s="66"/>
      <c r="AM610" s="66"/>
      <c r="AN610" s="83"/>
      <c r="AO610" s="83"/>
      <c r="AP610" s="83"/>
      <c r="AQ610" s="66"/>
      <c r="AR610" s="66"/>
      <c r="AS610" s="66"/>
      <c r="AT610" s="81"/>
      <c r="AU610" s="81"/>
      <c r="AV610" s="81"/>
      <c r="AW610" s="81"/>
      <c r="AX610" s="83">
        <f>SUM(Prog_23[[#This Row],[ADIANTAMENTO]]+Prog_23[[#This Row],[SALDO]]+Prog_23[[#This Row],[MARGEM]]+Prog_23[[#This Row],[ESTADIA 1]])</f>
        <v>0</v>
      </c>
      <c r="AY6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10" s="81"/>
      <c r="BA610" s="81"/>
      <c r="BB610" s="81">
        <f>Prog_23[[#This Row],[VLR NF]]*0.1%</f>
        <v>0</v>
      </c>
      <c r="BC610" s="81">
        <f>Prog_23[[#This Row],[VLR NF]]*0.05%</f>
        <v>0</v>
      </c>
      <c r="BD610" s="81"/>
      <c r="BE610" s="81"/>
      <c r="BF610" s="81"/>
      <c r="BG610" s="81"/>
      <c r="BH610" s="81"/>
      <c r="BI610" s="81"/>
      <c r="BJ610" s="81"/>
      <c r="BK610" s="81"/>
      <c r="BL610" s="81"/>
      <c r="BM610" s="81"/>
      <c r="BN610" s="66"/>
      <c r="BO610" s="66"/>
      <c r="BP610" s="66"/>
      <c r="BQ610" s="66" t="str">
        <f>PROPER(TEXT(Prog_23[[#This Row],[PROGRAMAÇÃO CLIENTE]],"mmm"))</f>
        <v>Jan</v>
      </c>
      <c r="BR610" s="66">
        <f>YEAR(Prog_23[[#This Row],[PROGRAMAÇÃO CLIENTE]])</f>
        <v>1900</v>
      </c>
    </row>
    <row r="611" spans="1:70" x14ac:dyDescent="0.25">
      <c r="A611" s="200">
        <f>Prog_23[[#This Row],[CONTEINER]]</f>
        <v>0</v>
      </c>
      <c r="B611" s="86"/>
      <c r="C6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1" s="44"/>
      <c r="E611" s="66"/>
      <c r="F611" s="66"/>
      <c r="G611" s="66"/>
      <c r="H611" s="44"/>
      <c r="I611" s="44"/>
      <c r="J611" s="66"/>
      <c r="K611" s="66"/>
      <c r="L611" s="66"/>
      <c r="M611" s="66"/>
      <c r="N611" s="66">
        <f>SUM(Prog_23[[#This Row],[TARA]]+Prog_23[[#This Row],[PESO]])</f>
        <v>0</v>
      </c>
      <c r="O611" s="44"/>
      <c r="P611" s="66"/>
      <c r="Q611" s="66"/>
      <c r="R611" s="66"/>
      <c r="S611" s="66"/>
      <c r="T611" s="138" t="str">
        <f>IFERROR(LOOKUP($S611,MOTORISTAS!$D$3:$D$916,MOTORISTAS!E$3:$E$916),"")</f>
        <v/>
      </c>
      <c r="U611" s="138" t="str">
        <f>IFERROR(LOOKUP($S611,MOTORISTAS!$D$3:$D$916,MOTORISTAS!F$3:$F$916),"")</f>
        <v/>
      </c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44"/>
      <c r="AG611" s="254">
        <f>Prog_23[[#This Row],[SAÍDA DO CLIENTE]]-Prog_23[[#This Row],[PROGRAMAÇÃO CLIENTE]]</f>
        <v>0</v>
      </c>
      <c r="AH611" s="44"/>
      <c r="AI611" s="66"/>
      <c r="AJ611" s="66"/>
      <c r="AK611" s="66"/>
      <c r="AL611" s="66"/>
      <c r="AM611" s="66"/>
      <c r="AN611" s="83"/>
      <c r="AO611" s="83"/>
      <c r="AP611" s="83"/>
      <c r="AQ611" s="66"/>
      <c r="AR611" s="66"/>
      <c r="AS611" s="66"/>
      <c r="AT611" s="81"/>
      <c r="AU611" s="81"/>
      <c r="AV611" s="81"/>
      <c r="AW611" s="81"/>
      <c r="AX611" s="83">
        <f>SUM(Prog_23[[#This Row],[ADIANTAMENTO]]+Prog_23[[#This Row],[SALDO]]+Prog_23[[#This Row],[MARGEM]]+Prog_23[[#This Row],[ESTADIA 1]])</f>
        <v>0</v>
      </c>
      <c r="AY6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11" s="81"/>
      <c r="BA611" s="81"/>
      <c r="BB611" s="81">
        <f>Prog_23[[#This Row],[VLR NF]]*0.1%</f>
        <v>0</v>
      </c>
      <c r="BC611" s="81">
        <f>Prog_23[[#This Row],[VLR NF]]*0.05%</f>
        <v>0</v>
      </c>
      <c r="BD611" s="81"/>
      <c r="BE611" s="81"/>
      <c r="BF611" s="81"/>
      <c r="BG611" s="81"/>
      <c r="BH611" s="81"/>
      <c r="BI611" s="81"/>
      <c r="BJ611" s="81"/>
      <c r="BK611" s="81"/>
      <c r="BL611" s="81"/>
      <c r="BM611" s="81"/>
      <c r="BN611" s="66"/>
      <c r="BO611" s="66"/>
      <c r="BP611" s="66"/>
      <c r="BQ611" s="66" t="str">
        <f>PROPER(TEXT(Prog_23[[#This Row],[PROGRAMAÇÃO CLIENTE]],"mmm"))</f>
        <v>Jan</v>
      </c>
      <c r="BR611" s="66">
        <f>YEAR(Prog_23[[#This Row],[PROGRAMAÇÃO CLIENTE]])</f>
        <v>1900</v>
      </c>
    </row>
    <row r="612" spans="1:70" x14ac:dyDescent="0.25">
      <c r="A612" s="201">
        <f>Prog_23[[#This Row],[CONTEINER]]</f>
        <v>0</v>
      </c>
      <c r="B612" s="86"/>
      <c r="C6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2" s="44"/>
      <c r="E612" s="66"/>
      <c r="F612" s="66"/>
      <c r="G612" s="66"/>
      <c r="H612" s="44"/>
      <c r="I612" s="44"/>
      <c r="J612" s="66"/>
      <c r="K612" s="66"/>
      <c r="L612" s="66"/>
      <c r="M612" s="66"/>
      <c r="N612" s="66">
        <f>SUM(Prog_23[[#This Row],[TARA]]+Prog_23[[#This Row],[PESO]])</f>
        <v>0</v>
      </c>
      <c r="O612" s="44"/>
      <c r="P612" s="66"/>
      <c r="Q612" s="66"/>
      <c r="R612" s="66"/>
      <c r="S612" s="66"/>
      <c r="T612" s="138" t="str">
        <f>IFERROR(LOOKUP($S612,MOTORISTAS!$D$3:$D$916,MOTORISTAS!E$3:$E$916),"")</f>
        <v/>
      </c>
      <c r="U612" s="138" t="str">
        <f>IFERROR(LOOKUP($S612,MOTORISTAS!$D$3:$D$916,MOTORISTAS!F$3:$F$916),"")</f>
        <v/>
      </c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44"/>
      <c r="AG612" s="254">
        <f>Prog_23[[#This Row],[SAÍDA DO CLIENTE]]-Prog_23[[#This Row],[PROGRAMAÇÃO CLIENTE]]</f>
        <v>0</v>
      </c>
      <c r="AH612" s="44"/>
      <c r="AI612" s="66"/>
      <c r="AJ612" s="66"/>
      <c r="AK612" s="66"/>
      <c r="AL612" s="66"/>
      <c r="AM612" s="66"/>
      <c r="AN612" s="83"/>
      <c r="AO612" s="83"/>
      <c r="AP612" s="83"/>
      <c r="AQ612" s="66"/>
      <c r="AR612" s="66"/>
      <c r="AS612" s="66"/>
      <c r="AT612" s="81"/>
      <c r="AU612" s="81"/>
      <c r="AV612" s="81"/>
      <c r="AW612" s="81"/>
      <c r="AX612" s="83">
        <f>SUM(Prog_23[[#This Row],[ADIANTAMENTO]]+Prog_23[[#This Row],[SALDO]]+Prog_23[[#This Row],[MARGEM]]+Prog_23[[#This Row],[ESTADIA 1]])</f>
        <v>0</v>
      </c>
      <c r="AY6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12" s="81"/>
      <c r="BA612" s="81"/>
      <c r="BB612" s="81">
        <f>Prog_23[[#This Row],[VLR NF]]*0.1%</f>
        <v>0</v>
      </c>
      <c r="BC612" s="81">
        <f>Prog_23[[#This Row],[VLR NF]]*0.05%</f>
        <v>0</v>
      </c>
      <c r="BD612" s="81"/>
      <c r="BE612" s="81"/>
      <c r="BF612" s="81"/>
      <c r="BG612" s="81"/>
      <c r="BH612" s="81"/>
      <c r="BI612" s="81"/>
      <c r="BJ612" s="81"/>
      <c r="BK612" s="81"/>
      <c r="BL612" s="81"/>
      <c r="BM612" s="81"/>
      <c r="BN612" s="66"/>
      <c r="BO612" s="66"/>
      <c r="BP612" s="66"/>
      <c r="BQ612" s="66" t="str">
        <f>PROPER(TEXT(Prog_23[[#This Row],[PROGRAMAÇÃO CLIENTE]],"mmm"))</f>
        <v>Jan</v>
      </c>
      <c r="BR612" s="66">
        <f>YEAR(Prog_23[[#This Row],[PROGRAMAÇÃO CLIENTE]])</f>
        <v>1900</v>
      </c>
    </row>
    <row r="613" spans="1:70" x14ac:dyDescent="0.25">
      <c r="A613" s="200">
        <f>Prog_23[[#This Row],[CONTEINER]]</f>
        <v>0</v>
      </c>
      <c r="B613" s="86"/>
      <c r="C6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3" s="44"/>
      <c r="E613" s="66"/>
      <c r="F613" s="66"/>
      <c r="G613" s="66"/>
      <c r="H613" s="44"/>
      <c r="I613" s="44"/>
      <c r="J613" s="66"/>
      <c r="K613" s="66"/>
      <c r="L613" s="66"/>
      <c r="M613" s="66"/>
      <c r="N613" s="66">
        <f>SUM(Prog_23[[#This Row],[TARA]]+Prog_23[[#This Row],[PESO]])</f>
        <v>0</v>
      </c>
      <c r="O613" s="44"/>
      <c r="P613" s="66"/>
      <c r="Q613" s="66"/>
      <c r="R613" s="66"/>
      <c r="S613" s="66"/>
      <c r="T613" s="138" t="str">
        <f>IFERROR(LOOKUP($S613,MOTORISTAS!$D$3:$D$916,MOTORISTAS!E$3:$E$916),"")</f>
        <v/>
      </c>
      <c r="U613" s="138" t="str">
        <f>IFERROR(LOOKUP($S613,MOTORISTAS!$D$3:$D$916,MOTORISTAS!F$3:$F$916),"")</f>
        <v/>
      </c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44"/>
      <c r="AG613" s="254">
        <f>Prog_23[[#This Row],[SAÍDA DO CLIENTE]]-Prog_23[[#This Row],[PROGRAMAÇÃO CLIENTE]]</f>
        <v>0</v>
      </c>
      <c r="AH613" s="44"/>
      <c r="AI613" s="66"/>
      <c r="AJ613" s="66"/>
      <c r="AK613" s="66"/>
      <c r="AL613" s="66"/>
      <c r="AM613" s="66"/>
      <c r="AN613" s="83"/>
      <c r="AO613" s="83"/>
      <c r="AP613" s="83"/>
      <c r="AQ613" s="66"/>
      <c r="AR613" s="66"/>
      <c r="AS613" s="66"/>
      <c r="AT613" s="81"/>
      <c r="AU613" s="81"/>
      <c r="AV613" s="81"/>
      <c r="AW613" s="81"/>
      <c r="AX613" s="83">
        <f>SUM(Prog_23[[#This Row],[ADIANTAMENTO]]+Prog_23[[#This Row],[SALDO]]+Prog_23[[#This Row],[MARGEM]]+Prog_23[[#This Row],[ESTADIA 1]])</f>
        <v>0</v>
      </c>
      <c r="AY6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13" s="81"/>
      <c r="BA613" s="81"/>
      <c r="BB613" s="81">
        <f>Prog_23[[#This Row],[VLR NF]]*0.1%</f>
        <v>0</v>
      </c>
      <c r="BC613" s="81">
        <f>Prog_23[[#This Row],[VLR NF]]*0.05%</f>
        <v>0</v>
      </c>
      <c r="BD613" s="81"/>
      <c r="BE613" s="81"/>
      <c r="BF613" s="81"/>
      <c r="BG613" s="81"/>
      <c r="BH613" s="81"/>
      <c r="BI613" s="81"/>
      <c r="BJ613" s="81"/>
      <c r="BK613" s="81"/>
      <c r="BL613" s="81"/>
      <c r="BM613" s="81"/>
      <c r="BN613" s="66"/>
      <c r="BO613" s="66"/>
      <c r="BP613" s="66"/>
      <c r="BQ613" s="66" t="str">
        <f>PROPER(TEXT(Prog_23[[#This Row],[PROGRAMAÇÃO CLIENTE]],"mmm"))</f>
        <v>Jan</v>
      </c>
      <c r="BR613" s="66">
        <f>YEAR(Prog_23[[#This Row],[PROGRAMAÇÃO CLIENTE]])</f>
        <v>1900</v>
      </c>
    </row>
    <row r="614" spans="1:70" x14ac:dyDescent="0.25">
      <c r="A614" s="201">
        <f>Prog_23[[#This Row],[CONTEINER]]</f>
        <v>0</v>
      </c>
      <c r="B614" s="86"/>
      <c r="C6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4" s="44"/>
      <c r="E614" s="66"/>
      <c r="F614" s="66"/>
      <c r="G614" s="66"/>
      <c r="H614" s="44"/>
      <c r="I614" s="44"/>
      <c r="J614" s="66"/>
      <c r="K614" s="66"/>
      <c r="L614" s="66"/>
      <c r="M614" s="66"/>
      <c r="N614" s="66">
        <f>SUM(Prog_23[[#This Row],[TARA]]+Prog_23[[#This Row],[PESO]])</f>
        <v>0</v>
      </c>
      <c r="O614" s="44"/>
      <c r="P614" s="66"/>
      <c r="Q614" s="66"/>
      <c r="R614" s="66"/>
      <c r="S614" s="66"/>
      <c r="T614" s="138" t="str">
        <f>IFERROR(LOOKUP($S614,MOTORISTAS!$D$3:$D$916,MOTORISTAS!E$3:$E$916),"")</f>
        <v/>
      </c>
      <c r="U614" s="138" t="str">
        <f>IFERROR(LOOKUP($S614,MOTORISTAS!$D$3:$D$916,MOTORISTAS!F$3:$F$916),"")</f>
        <v/>
      </c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44"/>
      <c r="AG614" s="254">
        <f>Prog_23[[#This Row],[SAÍDA DO CLIENTE]]-Prog_23[[#This Row],[PROGRAMAÇÃO CLIENTE]]</f>
        <v>0</v>
      </c>
      <c r="AH614" s="44"/>
      <c r="AI614" s="66"/>
      <c r="AJ614" s="66"/>
      <c r="AK614" s="66"/>
      <c r="AL614" s="66"/>
      <c r="AM614" s="66"/>
      <c r="AN614" s="83"/>
      <c r="AO614" s="83"/>
      <c r="AP614" s="83"/>
      <c r="AQ614" s="66"/>
      <c r="AR614" s="66"/>
      <c r="AS614" s="66"/>
      <c r="AT614" s="81"/>
      <c r="AU614" s="81"/>
      <c r="AV614" s="81"/>
      <c r="AW614" s="81"/>
      <c r="AX614" s="83">
        <f>SUM(Prog_23[[#This Row],[ADIANTAMENTO]]+Prog_23[[#This Row],[SALDO]]+Prog_23[[#This Row],[MARGEM]]+Prog_23[[#This Row],[ESTADIA 1]])</f>
        <v>0</v>
      </c>
      <c r="AY6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14" s="81"/>
      <c r="BA614" s="81"/>
      <c r="BB614" s="81">
        <f>Prog_23[[#This Row],[VLR NF]]*0.1%</f>
        <v>0</v>
      </c>
      <c r="BC614" s="81">
        <f>Prog_23[[#This Row],[VLR NF]]*0.05%</f>
        <v>0</v>
      </c>
      <c r="BD614" s="81"/>
      <c r="BE614" s="81"/>
      <c r="BF614" s="81"/>
      <c r="BG614" s="81"/>
      <c r="BH614" s="81"/>
      <c r="BI614" s="81"/>
      <c r="BJ614" s="81"/>
      <c r="BK614" s="81"/>
      <c r="BL614" s="81"/>
      <c r="BM614" s="81"/>
      <c r="BN614" s="66"/>
      <c r="BO614" s="66"/>
      <c r="BP614" s="66"/>
      <c r="BQ614" s="66" t="str">
        <f>PROPER(TEXT(Prog_23[[#This Row],[PROGRAMAÇÃO CLIENTE]],"mmm"))</f>
        <v>Jan</v>
      </c>
      <c r="BR614" s="66">
        <f>YEAR(Prog_23[[#This Row],[PROGRAMAÇÃO CLIENTE]])</f>
        <v>1900</v>
      </c>
    </row>
    <row r="615" spans="1:70" x14ac:dyDescent="0.25">
      <c r="A615" s="200">
        <f>Prog_23[[#This Row],[CONTEINER]]</f>
        <v>0</v>
      </c>
      <c r="B615" s="86"/>
      <c r="C6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5" s="44"/>
      <c r="E615" s="66"/>
      <c r="F615" s="66"/>
      <c r="G615" s="66"/>
      <c r="H615" s="44"/>
      <c r="I615" s="44"/>
      <c r="J615" s="66"/>
      <c r="K615" s="66"/>
      <c r="L615" s="66"/>
      <c r="M615" s="66"/>
      <c r="N615" s="66">
        <f>SUM(Prog_23[[#This Row],[TARA]]+Prog_23[[#This Row],[PESO]])</f>
        <v>0</v>
      </c>
      <c r="O615" s="44"/>
      <c r="P615" s="66"/>
      <c r="Q615" s="66"/>
      <c r="R615" s="66"/>
      <c r="S615" s="66"/>
      <c r="T615" s="138" t="str">
        <f>IFERROR(LOOKUP($S615,MOTORISTAS!$D$3:$D$916,MOTORISTAS!E$3:$E$916),"")</f>
        <v/>
      </c>
      <c r="U615" s="138" t="str">
        <f>IFERROR(LOOKUP($S615,MOTORISTAS!$D$3:$D$916,MOTORISTAS!F$3:$F$916),"")</f>
        <v/>
      </c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44"/>
      <c r="AG615" s="254">
        <f>Prog_23[[#This Row],[SAÍDA DO CLIENTE]]-Prog_23[[#This Row],[PROGRAMAÇÃO CLIENTE]]</f>
        <v>0</v>
      </c>
      <c r="AH615" s="44"/>
      <c r="AI615" s="66"/>
      <c r="AJ615" s="66"/>
      <c r="AK615" s="66"/>
      <c r="AL615" s="66"/>
      <c r="AM615" s="66"/>
      <c r="AN615" s="83"/>
      <c r="AO615" s="83"/>
      <c r="AP615" s="83"/>
      <c r="AQ615" s="66"/>
      <c r="AR615" s="66"/>
      <c r="AS615" s="66"/>
      <c r="AT615" s="81"/>
      <c r="AU615" s="81"/>
      <c r="AV615" s="81"/>
      <c r="AW615" s="81"/>
      <c r="AX615" s="83">
        <f>SUM(Prog_23[[#This Row],[ADIANTAMENTO]]+Prog_23[[#This Row],[SALDO]]+Prog_23[[#This Row],[MARGEM]]+Prog_23[[#This Row],[ESTADIA 1]])</f>
        <v>0</v>
      </c>
      <c r="AY6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15" s="81"/>
      <c r="BA615" s="81"/>
      <c r="BB615" s="81">
        <f>Prog_23[[#This Row],[VLR NF]]*0.1%</f>
        <v>0</v>
      </c>
      <c r="BC615" s="81">
        <f>Prog_23[[#This Row],[VLR NF]]*0.05%</f>
        <v>0</v>
      </c>
      <c r="BD615" s="81"/>
      <c r="BE615" s="81"/>
      <c r="BF615" s="81"/>
      <c r="BG615" s="81"/>
      <c r="BH615" s="81"/>
      <c r="BI615" s="81"/>
      <c r="BJ615" s="81"/>
      <c r="BK615" s="81"/>
      <c r="BL615" s="81"/>
      <c r="BM615" s="81"/>
      <c r="BN615" s="66"/>
      <c r="BO615" s="66"/>
      <c r="BP615" s="66"/>
      <c r="BQ615" s="66" t="str">
        <f>PROPER(TEXT(Prog_23[[#This Row],[PROGRAMAÇÃO CLIENTE]],"mmm"))</f>
        <v>Jan</v>
      </c>
      <c r="BR615" s="66">
        <f>YEAR(Prog_23[[#This Row],[PROGRAMAÇÃO CLIENTE]])</f>
        <v>1900</v>
      </c>
    </row>
    <row r="616" spans="1:70" x14ac:dyDescent="0.25">
      <c r="A616" s="201">
        <f>Prog_23[[#This Row],[CONTEINER]]</f>
        <v>0</v>
      </c>
      <c r="B616" s="86"/>
      <c r="C6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6" s="44"/>
      <c r="E616" s="66"/>
      <c r="F616" s="66"/>
      <c r="G616" s="66"/>
      <c r="H616" s="44"/>
      <c r="I616" s="44"/>
      <c r="J616" s="66"/>
      <c r="K616" s="66"/>
      <c r="L616" s="66"/>
      <c r="M616" s="66"/>
      <c r="N616" s="66">
        <f>SUM(Prog_23[[#This Row],[TARA]]+Prog_23[[#This Row],[PESO]])</f>
        <v>0</v>
      </c>
      <c r="O616" s="44"/>
      <c r="P616" s="66"/>
      <c r="Q616" s="66"/>
      <c r="R616" s="66"/>
      <c r="S616" s="66"/>
      <c r="T616" s="138" t="str">
        <f>IFERROR(LOOKUP($S616,MOTORISTAS!$D$3:$D$916,MOTORISTAS!E$3:$E$916),"")</f>
        <v/>
      </c>
      <c r="U616" s="138" t="str">
        <f>IFERROR(LOOKUP($S616,MOTORISTAS!$D$3:$D$916,MOTORISTAS!F$3:$F$916),"")</f>
        <v/>
      </c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44"/>
      <c r="AG616" s="254">
        <f>Prog_23[[#This Row],[SAÍDA DO CLIENTE]]-Prog_23[[#This Row],[PROGRAMAÇÃO CLIENTE]]</f>
        <v>0</v>
      </c>
      <c r="AH616" s="44"/>
      <c r="AI616" s="66"/>
      <c r="AJ616" s="66"/>
      <c r="AK616" s="66"/>
      <c r="AL616" s="66"/>
      <c r="AM616" s="66"/>
      <c r="AN616" s="83"/>
      <c r="AO616" s="83"/>
      <c r="AP616" s="83"/>
      <c r="AQ616" s="66"/>
      <c r="AR616" s="66"/>
      <c r="AS616" s="66"/>
      <c r="AT616" s="81"/>
      <c r="AU616" s="81"/>
      <c r="AV616" s="81"/>
      <c r="AW616" s="81"/>
      <c r="AX616" s="83">
        <f>SUM(Prog_23[[#This Row],[ADIANTAMENTO]]+Prog_23[[#This Row],[SALDO]]+Prog_23[[#This Row],[MARGEM]]+Prog_23[[#This Row],[ESTADIA 1]])</f>
        <v>0</v>
      </c>
      <c r="AY6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16" s="81"/>
      <c r="BA616" s="81"/>
      <c r="BB616" s="81">
        <f>Prog_23[[#This Row],[VLR NF]]*0.1%</f>
        <v>0</v>
      </c>
      <c r="BC616" s="81">
        <f>Prog_23[[#This Row],[VLR NF]]*0.05%</f>
        <v>0</v>
      </c>
      <c r="BD616" s="81"/>
      <c r="BE616" s="81"/>
      <c r="BF616" s="81"/>
      <c r="BG616" s="81"/>
      <c r="BH616" s="81"/>
      <c r="BI616" s="81"/>
      <c r="BJ616" s="81"/>
      <c r="BK616" s="81"/>
      <c r="BL616" s="81"/>
      <c r="BM616" s="81"/>
      <c r="BN616" s="66"/>
      <c r="BO616" s="66"/>
      <c r="BP616" s="66"/>
      <c r="BQ616" s="66" t="str">
        <f>PROPER(TEXT(Prog_23[[#This Row],[PROGRAMAÇÃO CLIENTE]],"mmm"))</f>
        <v>Jan</v>
      </c>
      <c r="BR616" s="66">
        <f>YEAR(Prog_23[[#This Row],[PROGRAMAÇÃO CLIENTE]])</f>
        <v>1900</v>
      </c>
    </row>
    <row r="617" spans="1:70" x14ac:dyDescent="0.25">
      <c r="A617" s="200">
        <f>Prog_23[[#This Row],[CONTEINER]]</f>
        <v>0</v>
      </c>
      <c r="B617" s="86"/>
      <c r="C6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7" s="44"/>
      <c r="E617" s="66"/>
      <c r="F617" s="66"/>
      <c r="G617" s="66"/>
      <c r="H617" s="44"/>
      <c r="I617" s="44"/>
      <c r="J617" s="66"/>
      <c r="K617" s="66"/>
      <c r="L617" s="66"/>
      <c r="M617" s="66"/>
      <c r="N617" s="66">
        <f>SUM(Prog_23[[#This Row],[TARA]]+Prog_23[[#This Row],[PESO]])</f>
        <v>0</v>
      </c>
      <c r="O617" s="44"/>
      <c r="P617" s="66"/>
      <c r="Q617" s="66"/>
      <c r="R617" s="66"/>
      <c r="S617" s="66"/>
      <c r="T617" s="138" t="str">
        <f>IFERROR(LOOKUP($S617,MOTORISTAS!$D$3:$D$916,MOTORISTAS!E$3:$E$916),"")</f>
        <v/>
      </c>
      <c r="U617" s="138" t="str">
        <f>IFERROR(LOOKUP($S617,MOTORISTAS!$D$3:$D$916,MOTORISTAS!F$3:$F$916),"")</f>
        <v/>
      </c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44"/>
      <c r="AG617" s="254">
        <f>Prog_23[[#This Row],[SAÍDA DO CLIENTE]]-Prog_23[[#This Row],[PROGRAMAÇÃO CLIENTE]]</f>
        <v>0</v>
      </c>
      <c r="AH617" s="44"/>
      <c r="AI617" s="66"/>
      <c r="AJ617" s="66"/>
      <c r="AK617" s="66"/>
      <c r="AL617" s="66"/>
      <c r="AM617" s="66"/>
      <c r="AN617" s="83"/>
      <c r="AO617" s="83"/>
      <c r="AP617" s="83"/>
      <c r="AQ617" s="66"/>
      <c r="AR617" s="66"/>
      <c r="AS617" s="66"/>
      <c r="AT617" s="81"/>
      <c r="AU617" s="81"/>
      <c r="AV617" s="81"/>
      <c r="AW617" s="81"/>
      <c r="AX617" s="83">
        <f>SUM(Prog_23[[#This Row],[ADIANTAMENTO]]+Prog_23[[#This Row],[SALDO]]+Prog_23[[#This Row],[MARGEM]]+Prog_23[[#This Row],[ESTADIA 1]])</f>
        <v>0</v>
      </c>
      <c r="AY6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17" s="81"/>
      <c r="BA617" s="81"/>
      <c r="BB617" s="81">
        <f>Prog_23[[#This Row],[VLR NF]]*0.1%</f>
        <v>0</v>
      </c>
      <c r="BC617" s="81">
        <f>Prog_23[[#This Row],[VLR NF]]*0.05%</f>
        <v>0</v>
      </c>
      <c r="BD617" s="81"/>
      <c r="BE617" s="81"/>
      <c r="BF617" s="81"/>
      <c r="BG617" s="81"/>
      <c r="BH617" s="81"/>
      <c r="BI617" s="81"/>
      <c r="BJ617" s="81"/>
      <c r="BK617" s="81"/>
      <c r="BL617" s="81"/>
      <c r="BM617" s="81"/>
      <c r="BN617" s="66"/>
      <c r="BO617" s="66"/>
      <c r="BP617" s="66"/>
      <c r="BQ617" s="66" t="str">
        <f>PROPER(TEXT(Prog_23[[#This Row],[PROGRAMAÇÃO CLIENTE]],"mmm"))</f>
        <v>Jan</v>
      </c>
      <c r="BR617" s="66">
        <f>YEAR(Prog_23[[#This Row],[PROGRAMAÇÃO CLIENTE]])</f>
        <v>1900</v>
      </c>
    </row>
    <row r="618" spans="1:70" x14ac:dyDescent="0.25">
      <c r="A618" s="201">
        <f>Prog_23[[#This Row],[CONTEINER]]</f>
        <v>0</v>
      </c>
      <c r="B618" s="86"/>
      <c r="C6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8" s="44"/>
      <c r="E618" s="66"/>
      <c r="F618" s="66"/>
      <c r="G618" s="66"/>
      <c r="H618" s="44"/>
      <c r="I618" s="44"/>
      <c r="J618" s="66"/>
      <c r="K618" s="66"/>
      <c r="L618" s="66"/>
      <c r="M618" s="66"/>
      <c r="N618" s="66">
        <f>SUM(Prog_23[[#This Row],[TARA]]+Prog_23[[#This Row],[PESO]])</f>
        <v>0</v>
      </c>
      <c r="O618" s="44"/>
      <c r="P618" s="66"/>
      <c r="Q618" s="66"/>
      <c r="R618" s="66"/>
      <c r="S618" s="66"/>
      <c r="T618" s="138" t="str">
        <f>IFERROR(LOOKUP($S618,MOTORISTAS!$D$3:$D$916,MOTORISTAS!E$3:$E$916),"")</f>
        <v/>
      </c>
      <c r="U618" s="138" t="str">
        <f>IFERROR(LOOKUP($S618,MOTORISTAS!$D$3:$D$916,MOTORISTAS!F$3:$F$916),"")</f>
        <v/>
      </c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44"/>
      <c r="AG618" s="254">
        <f>Prog_23[[#This Row],[SAÍDA DO CLIENTE]]-Prog_23[[#This Row],[PROGRAMAÇÃO CLIENTE]]</f>
        <v>0</v>
      </c>
      <c r="AH618" s="44"/>
      <c r="AI618" s="66"/>
      <c r="AJ618" s="66"/>
      <c r="AK618" s="66"/>
      <c r="AL618" s="66"/>
      <c r="AM618" s="66"/>
      <c r="AN618" s="83"/>
      <c r="AO618" s="83"/>
      <c r="AP618" s="83"/>
      <c r="AQ618" s="66"/>
      <c r="AR618" s="66"/>
      <c r="AS618" s="66"/>
      <c r="AT618" s="81"/>
      <c r="AU618" s="81"/>
      <c r="AV618" s="81"/>
      <c r="AW618" s="81"/>
      <c r="AX618" s="83">
        <f>SUM(Prog_23[[#This Row],[ADIANTAMENTO]]+Prog_23[[#This Row],[SALDO]]+Prog_23[[#This Row],[MARGEM]]+Prog_23[[#This Row],[ESTADIA 1]])</f>
        <v>0</v>
      </c>
      <c r="AY6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18" s="81"/>
      <c r="BA618" s="81"/>
      <c r="BB618" s="81">
        <f>Prog_23[[#This Row],[VLR NF]]*0.1%</f>
        <v>0</v>
      </c>
      <c r="BC618" s="81">
        <f>Prog_23[[#This Row],[VLR NF]]*0.05%</f>
        <v>0</v>
      </c>
      <c r="BD618" s="81"/>
      <c r="BE618" s="81"/>
      <c r="BF618" s="81"/>
      <c r="BG618" s="81"/>
      <c r="BH618" s="81"/>
      <c r="BI618" s="81"/>
      <c r="BJ618" s="81"/>
      <c r="BK618" s="81"/>
      <c r="BL618" s="81"/>
      <c r="BM618" s="81"/>
      <c r="BN618" s="66"/>
      <c r="BO618" s="66"/>
      <c r="BP618" s="66"/>
      <c r="BQ618" s="66" t="str">
        <f>PROPER(TEXT(Prog_23[[#This Row],[PROGRAMAÇÃO CLIENTE]],"mmm"))</f>
        <v>Jan</v>
      </c>
      <c r="BR618" s="66">
        <f>YEAR(Prog_23[[#This Row],[PROGRAMAÇÃO CLIENTE]])</f>
        <v>1900</v>
      </c>
    </row>
    <row r="619" spans="1:70" x14ac:dyDescent="0.25">
      <c r="A619" s="200">
        <f>Prog_23[[#This Row],[CONTEINER]]</f>
        <v>0</v>
      </c>
      <c r="B619" s="86"/>
      <c r="C6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19" s="44"/>
      <c r="E619" s="66"/>
      <c r="F619" s="66"/>
      <c r="G619" s="66"/>
      <c r="H619" s="44"/>
      <c r="I619" s="44"/>
      <c r="J619" s="66"/>
      <c r="K619" s="66"/>
      <c r="L619" s="66"/>
      <c r="M619" s="66"/>
      <c r="N619" s="66">
        <f>SUM(Prog_23[[#This Row],[TARA]]+Prog_23[[#This Row],[PESO]])</f>
        <v>0</v>
      </c>
      <c r="O619" s="44"/>
      <c r="P619" s="66"/>
      <c r="Q619" s="66"/>
      <c r="R619" s="66"/>
      <c r="S619" s="66"/>
      <c r="T619" s="138" t="str">
        <f>IFERROR(LOOKUP($S619,MOTORISTAS!$D$3:$D$916,MOTORISTAS!E$3:$E$916),"")</f>
        <v/>
      </c>
      <c r="U619" s="138" t="str">
        <f>IFERROR(LOOKUP($S619,MOTORISTAS!$D$3:$D$916,MOTORISTAS!F$3:$F$916),"")</f>
        <v/>
      </c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44"/>
      <c r="AG619" s="254">
        <f>Prog_23[[#This Row],[SAÍDA DO CLIENTE]]-Prog_23[[#This Row],[PROGRAMAÇÃO CLIENTE]]</f>
        <v>0</v>
      </c>
      <c r="AH619" s="44"/>
      <c r="AI619" s="66"/>
      <c r="AJ619" s="66"/>
      <c r="AK619" s="66"/>
      <c r="AL619" s="66"/>
      <c r="AM619" s="66"/>
      <c r="AN619" s="83"/>
      <c r="AO619" s="83"/>
      <c r="AP619" s="83"/>
      <c r="AQ619" s="66"/>
      <c r="AR619" s="66"/>
      <c r="AS619" s="66"/>
      <c r="AT619" s="81"/>
      <c r="AU619" s="81"/>
      <c r="AV619" s="81"/>
      <c r="AW619" s="81"/>
      <c r="AX619" s="83">
        <f>SUM(Prog_23[[#This Row],[ADIANTAMENTO]]+Prog_23[[#This Row],[SALDO]]+Prog_23[[#This Row],[MARGEM]]+Prog_23[[#This Row],[ESTADIA 1]])</f>
        <v>0</v>
      </c>
      <c r="AY6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19" s="81"/>
      <c r="BA619" s="81"/>
      <c r="BB619" s="81">
        <f>Prog_23[[#This Row],[VLR NF]]*0.1%</f>
        <v>0</v>
      </c>
      <c r="BC619" s="81">
        <f>Prog_23[[#This Row],[VLR NF]]*0.05%</f>
        <v>0</v>
      </c>
      <c r="BD619" s="81"/>
      <c r="BE619" s="81"/>
      <c r="BF619" s="81"/>
      <c r="BG619" s="81"/>
      <c r="BH619" s="81"/>
      <c r="BI619" s="81"/>
      <c r="BJ619" s="81"/>
      <c r="BK619" s="81"/>
      <c r="BL619" s="81"/>
      <c r="BM619" s="81"/>
      <c r="BN619" s="66"/>
      <c r="BO619" s="66"/>
      <c r="BP619" s="66"/>
      <c r="BQ619" s="66" t="str">
        <f>PROPER(TEXT(Prog_23[[#This Row],[PROGRAMAÇÃO CLIENTE]],"mmm"))</f>
        <v>Jan</v>
      </c>
      <c r="BR619" s="66">
        <f>YEAR(Prog_23[[#This Row],[PROGRAMAÇÃO CLIENTE]])</f>
        <v>1900</v>
      </c>
    </row>
    <row r="620" spans="1:70" x14ac:dyDescent="0.25">
      <c r="A620" s="201">
        <f>Prog_23[[#This Row],[CONTEINER]]</f>
        <v>0</v>
      </c>
      <c r="B620" s="86"/>
      <c r="C6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0" s="44"/>
      <c r="E620" s="66"/>
      <c r="F620" s="66"/>
      <c r="G620" s="66"/>
      <c r="H620" s="44"/>
      <c r="I620" s="44"/>
      <c r="J620" s="66"/>
      <c r="K620" s="66"/>
      <c r="L620" s="66"/>
      <c r="M620" s="66"/>
      <c r="N620" s="66">
        <f>SUM(Prog_23[[#This Row],[TARA]]+Prog_23[[#This Row],[PESO]])</f>
        <v>0</v>
      </c>
      <c r="O620" s="44"/>
      <c r="P620" s="66"/>
      <c r="Q620" s="66"/>
      <c r="R620" s="66"/>
      <c r="S620" s="66"/>
      <c r="T620" s="138" t="str">
        <f>IFERROR(LOOKUP($S620,MOTORISTAS!$D$3:$D$916,MOTORISTAS!E$3:$E$916),"")</f>
        <v/>
      </c>
      <c r="U620" s="138" t="str">
        <f>IFERROR(LOOKUP($S620,MOTORISTAS!$D$3:$D$916,MOTORISTAS!F$3:$F$916),"")</f>
        <v/>
      </c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44"/>
      <c r="AG620" s="254">
        <f>Prog_23[[#This Row],[SAÍDA DO CLIENTE]]-Prog_23[[#This Row],[PROGRAMAÇÃO CLIENTE]]</f>
        <v>0</v>
      </c>
      <c r="AH620" s="44"/>
      <c r="AI620" s="66"/>
      <c r="AJ620" s="66"/>
      <c r="AK620" s="66"/>
      <c r="AL620" s="66"/>
      <c r="AM620" s="66"/>
      <c r="AN620" s="83"/>
      <c r="AO620" s="83"/>
      <c r="AP620" s="83"/>
      <c r="AQ620" s="66"/>
      <c r="AR620" s="66"/>
      <c r="AS620" s="66"/>
      <c r="AT620" s="81"/>
      <c r="AU620" s="81"/>
      <c r="AV620" s="81"/>
      <c r="AW620" s="81"/>
      <c r="AX620" s="83">
        <f>SUM(Prog_23[[#This Row],[ADIANTAMENTO]]+Prog_23[[#This Row],[SALDO]]+Prog_23[[#This Row],[MARGEM]]+Prog_23[[#This Row],[ESTADIA 1]])</f>
        <v>0</v>
      </c>
      <c r="AY6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20" s="81"/>
      <c r="BA620" s="81"/>
      <c r="BB620" s="81">
        <f>Prog_23[[#This Row],[VLR NF]]*0.1%</f>
        <v>0</v>
      </c>
      <c r="BC620" s="81">
        <f>Prog_23[[#This Row],[VLR NF]]*0.05%</f>
        <v>0</v>
      </c>
      <c r="BD620" s="81"/>
      <c r="BE620" s="81"/>
      <c r="BF620" s="81"/>
      <c r="BG620" s="81"/>
      <c r="BH620" s="81"/>
      <c r="BI620" s="81"/>
      <c r="BJ620" s="81"/>
      <c r="BK620" s="81"/>
      <c r="BL620" s="81"/>
      <c r="BM620" s="81"/>
      <c r="BN620" s="66"/>
      <c r="BO620" s="66"/>
      <c r="BP620" s="66"/>
      <c r="BQ620" s="66" t="str">
        <f>PROPER(TEXT(Prog_23[[#This Row],[PROGRAMAÇÃO CLIENTE]],"mmm"))</f>
        <v>Jan</v>
      </c>
      <c r="BR620" s="66">
        <f>YEAR(Prog_23[[#This Row],[PROGRAMAÇÃO CLIENTE]])</f>
        <v>1900</v>
      </c>
    </row>
    <row r="621" spans="1:70" x14ac:dyDescent="0.25">
      <c r="A621" s="200">
        <f>Prog_23[[#This Row],[CONTEINER]]</f>
        <v>0</v>
      </c>
      <c r="B621" s="86"/>
      <c r="C6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1" s="44"/>
      <c r="E621" s="66"/>
      <c r="F621" s="66"/>
      <c r="G621" s="66"/>
      <c r="H621" s="44"/>
      <c r="I621" s="44"/>
      <c r="J621" s="66"/>
      <c r="K621" s="66"/>
      <c r="L621" s="66"/>
      <c r="M621" s="66"/>
      <c r="N621" s="66">
        <f>SUM(Prog_23[[#This Row],[TARA]]+Prog_23[[#This Row],[PESO]])</f>
        <v>0</v>
      </c>
      <c r="O621" s="44"/>
      <c r="P621" s="66"/>
      <c r="Q621" s="66"/>
      <c r="R621" s="66"/>
      <c r="S621" s="66"/>
      <c r="T621" s="138" t="str">
        <f>IFERROR(LOOKUP($S621,MOTORISTAS!$D$3:$D$916,MOTORISTAS!E$3:$E$916),"")</f>
        <v/>
      </c>
      <c r="U621" s="138" t="str">
        <f>IFERROR(LOOKUP($S621,MOTORISTAS!$D$3:$D$916,MOTORISTAS!F$3:$F$916),"")</f>
        <v/>
      </c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44"/>
      <c r="AG621" s="254">
        <f>Prog_23[[#This Row],[SAÍDA DO CLIENTE]]-Prog_23[[#This Row],[PROGRAMAÇÃO CLIENTE]]</f>
        <v>0</v>
      </c>
      <c r="AH621" s="44"/>
      <c r="AI621" s="66"/>
      <c r="AJ621" s="66"/>
      <c r="AK621" s="66"/>
      <c r="AL621" s="66"/>
      <c r="AM621" s="66"/>
      <c r="AN621" s="83"/>
      <c r="AO621" s="83"/>
      <c r="AP621" s="83"/>
      <c r="AQ621" s="66"/>
      <c r="AR621" s="66"/>
      <c r="AS621" s="66"/>
      <c r="AT621" s="81"/>
      <c r="AU621" s="81"/>
      <c r="AV621" s="81"/>
      <c r="AW621" s="81"/>
      <c r="AX621" s="83">
        <f>SUM(Prog_23[[#This Row],[ADIANTAMENTO]]+Prog_23[[#This Row],[SALDO]]+Prog_23[[#This Row],[MARGEM]]+Prog_23[[#This Row],[ESTADIA 1]])</f>
        <v>0</v>
      </c>
      <c r="AY6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21" s="81"/>
      <c r="BA621" s="81"/>
      <c r="BB621" s="81">
        <f>Prog_23[[#This Row],[VLR NF]]*0.1%</f>
        <v>0</v>
      </c>
      <c r="BC621" s="81">
        <f>Prog_23[[#This Row],[VLR NF]]*0.05%</f>
        <v>0</v>
      </c>
      <c r="BD621" s="81"/>
      <c r="BE621" s="81"/>
      <c r="BF621" s="81"/>
      <c r="BG621" s="81"/>
      <c r="BH621" s="81"/>
      <c r="BI621" s="81"/>
      <c r="BJ621" s="81"/>
      <c r="BK621" s="81"/>
      <c r="BL621" s="81"/>
      <c r="BM621" s="81"/>
      <c r="BN621" s="66"/>
      <c r="BO621" s="66"/>
      <c r="BP621" s="66"/>
      <c r="BQ621" s="66" t="str">
        <f>PROPER(TEXT(Prog_23[[#This Row],[PROGRAMAÇÃO CLIENTE]],"mmm"))</f>
        <v>Jan</v>
      </c>
      <c r="BR621" s="66">
        <f>YEAR(Prog_23[[#This Row],[PROGRAMAÇÃO CLIENTE]])</f>
        <v>1900</v>
      </c>
    </row>
    <row r="622" spans="1:70" x14ac:dyDescent="0.25">
      <c r="A622" s="201">
        <f>Prog_23[[#This Row],[CONTEINER]]</f>
        <v>0</v>
      </c>
      <c r="B622" s="86"/>
      <c r="C6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2" s="44"/>
      <c r="E622" s="66"/>
      <c r="F622" s="66"/>
      <c r="G622" s="66"/>
      <c r="H622" s="44"/>
      <c r="I622" s="44"/>
      <c r="J622" s="66"/>
      <c r="K622" s="66"/>
      <c r="L622" s="66"/>
      <c r="M622" s="66"/>
      <c r="N622" s="66">
        <f>SUM(Prog_23[[#This Row],[TARA]]+Prog_23[[#This Row],[PESO]])</f>
        <v>0</v>
      </c>
      <c r="O622" s="44"/>
      <c r="P622" s="66"/>
      <c r="Q622" s="66"/>
      <c r="R622" s="66"/>
      <c r="S622" s="66"/>
      <c r="T622" s="138" t="str">
        <f>IFERROR(LOOKUP($S622,MOTORISTAS!$D$3:$D$916,MOTORISTAS!E$3:$E$916),"")</f>
        <v/>
      </c>
      <c r="U622" s="138" t="str">
        <f>IFERROR(LOOKUP($S622,MOTORISTAS!$D$3:$D$916,MOTORISTAS!F$3:$F$916),"")</f>
        <v/>
      </c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44"/>
      <c r="AG622" s="254">
        <f>Prog_23[[#This Row],[SAÍDA DO CLIENTE]]-Prog_23[[#This Row],[PROGRAMAÇÃO CLIENTE]]</f>
        <v>0</v>
      </c>
      <c r="AH622" s="44"/>
      <c r="AI622" s="66"/>
      <c r="AJ622" s="66"/>
      <c r="AK622" s="66"/>
      <c r="AL622" s="66"/>
      <c r="AM622" s="66"/>
      <c r="AN622" s="83"/>
      <c r="AO622" s="83"/>
      <c r="AP622" s="83"/>
      <c r="AQ622" s="66"/>
      <c r="AR622" s="66"/>
      <c r="AS622" s="66"/>
      <c r="AT622" s="81"/>
      <c r="AU622" s="81"/>
      <c r="AV622" s="81"/>
      <c r="AW622" s="81"/>
      <c r="AX622" s="83">
        <f>SUM(Prog_23[[#This Row],[ADIANTAMENTO]]+Prog_23[[#This Row],[SALDO]]+Prog_23[[#This Row],[MARGEM]]+Prog_23[[#This Row],[ESTADIA 1]])</f>
        <v>0</v>
      </c>
      <c r="AY6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22" s="81"/>
      <c r="BA622" s="81"/>
      <c r="BB622" s="81">
        <f>Prog_23[[#This Row],[VLR NF]]*0.1%</f>
        <v>0</v>
      </c>
      <c r="BC622" s="81">
        <f>Prog_23[[#This Row],[VLR NF]]*0.05%</f>
        <v>0</v>
      </c>
      <c r="BD622" s="81"/>
      <c r="BE622" s="81"/>
      <c r="BF622" s="81"/>
      <c r="BG622" s="81"/>
      <c r="BH622" s="81"/>
      <c r="BI622" s="81"/>
      <c r="BJ622" s="81"/>
      <c r="BK622" s="81"/>
      <c r="BL622" s="81"/>
      <c r="BM622" s="81"/>
      <c r="BN622" s="66"/>
      <c r="BO622" s="66"/>
      <c r="BP622" s="66"/>
      <c r="BQ622" s="66" t="str">
        <f>PROPER(TEXT(Prog_23[[#This Row],[PROGRAMAÇÃO CLIENTE]],"mmm"))</f>
        <v>Jan</v>
      </c>
      <c r="BR622" s="66">
        <f>YEAR(Prog_23[[#This Row],[PROGRAMAÇÃO CLIENTE]])</f>
        <v>1900</v>
      </c>
    </row>
    <row r="623" spans="1:70" x14ac:dyDescent="0.25">
      <c r="A623" s="200">
        <f>Prog_23[[#This Row],[CONTEINER]]</f>
        <v>0</v>
      </c>
      <c r="B623" s="86"/>
      <c r="C6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3" s="44"/>
      <c r="E623" s="66"/>
      <c r="F623" s="66"/>
      <c r="G623" s="66"/>
      <c r="H623" s="44"/>
      <c r="I623" s="44"/>
      <c r="J623" s="66"/>
      <c r="K623" s="66"/>
      <c r="L623" s="66"/>
      <c r="M623" s="66"/>
      <c r="N623" s="66">
        <f>SUM(Prog_23[[#This Row],[TARA]]+Prog_23[[#This Row],[PESO]])</f>
        <v>0</v>
      </c>
      <c r="O623" s="44"/>
      <c r="P623" s="66"/>
      <c r="Q623" s="66"/>
      <c r="R623" s="66"/>
      <c r="S623" s="66"/>
      <c r="T623" s="138" t="str">
        <f>IFERROR(LOOKUP($S623,MOTORISTAS!$D$3:$D$916,MOTORISTAS!E$3:$E$916),"")</f>
        <v/>
      </c>
      <c r="U623" s="138" t="str">
        <f>IFERROR(LOOKUP($S623,MOTORISTAS!$D$3:$D$916,MOTORISTAS!F$3:$F$916),"")</f>
        <v/>
      </c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44"/>
      <c r="AG623" s="254">
        <f>Prog_23[[#This Row],[SAÍDA DO CLIENTE]]-Prog_23[[#This Row],[PROGRAMAÇÃO CLIENTE]]</f>
        <v>0</v>
      </c>
      <c r="AH623" s="44"/>
      <c r="AI623" s="66"/>
      <c r="AJ623" s="66"/>
      <c r="AK623" s="66"/>
      <c r="AL623" s="66"/>
      <c r="AM623" s="66"/>
      <c r="AN623" s="83"/>
      <c r="AO623" s="83"/>
      <c r="AP623" s="83"/>
      <c r="AQ623" s="66"/>
      <c r="AR623" s="66"/>
      <c r="AS623" s="66"/>
      <c r="AT623" s="81"/>
      <c r="AU623" s="81"/>
      <c r="AV623" s="81"/>
      <c r="AW623" s="81"/>
      <c r="AX623" s="83">
        <f>SUM(Prog_23[[#This Row],[ADIANTAMENTO]]+Prog_23[[#This Row],[SALDO]]+Prog_23[[#This Row],[MARGEM]]+Prog_23[[#This Row],[ESTADIA 1]])</f>
        <v>0</v>
      </c>
      <c r="AY6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23" s="81"/>
      <c r="BA623" s="81"/>
      <c r="BB623" s="81">
        <f>Prog_23[[#This Row],[VLR NF]]*0.1%</f>
        <v>0</v>
      </c>
      <c r="BC623" s="81">
        <f>Prog_23[[#This Row],[VLR NF]]*0.05%</f>
        <v>0</v>
      </c>
      <c r="BD623" s="81"/>
      <c r="BE623" s="81"/>
      <c r="BF623" s="81"/>
      <c r="BG623" s="81"/>
      <c r="BH623" s="81"/>
      <c r="BI623" s="81"/>
      <c r="BJ623" s="81"/>
      <c r="BK623" s="81"/>
      <c r="BL623" s="81"/>
      <c r="BM623" s="81"/>
      <c r="BN623" s="66"/>
      <c r="BO623" s="66"/>
      <c r="BP623" s="66"/>
      <c r="BQ623" s="66" t="str">
        <f>PROPER(TEXT(Prog_23[[#This Row],[PROGRAMAÇÃO CLIENTE]],"mmm"))</f>
        <v>Jan</v>
      </c>
      <c r="BR623" s="66">
        <f>YEAR(Prog_23[[#This Row],[PROGRAMAÇÃO CLIENTE]])</f>
        <v>1900</v>
      </c>
    </row>
    <row r="624" spans="1:70" x14ac:dyDescent="0.25">
      <c r="A624" s="201">
        <f>Prog_23[[#This Row],[CONTEINER]]</f>
        <v>0</v>
      </c>
      <c r="B624" s="86"/>
      <c r="C6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4" s="44"/>
      <c r="E624" s="66"/>
      <c r="F624" s="66"/>
      <c r="G624" s="66"/>
      <c r="H624" s="44"/>
      <c r="I624" s="44"/>
      <c r="J624" s="66"/>
      <c r="K624" s="66"/>
      <c r="L624" s="66"/>
      <c r="M624" s="66"/>
      <c r="N624" s="66">
        <f>SUM(Prog_23[[#This Row],[TARA]]+Prog_23[[#This Row],[PESO]])</f>
        <v>0</v>
      </c>
      <c r="O624" s="44"/>
      <c r="P624" s="66"/>
      <c r="Q624" s="66"/>
      <c r="R624" s="66"/>
      <c r="S624" s="66"/>
      <c r="T624" s="138" t="str">
        <f>IFERROR(LOOKUP($S624,MOTORISTAS!$D$3:$D$916,MOTORISTAS!E$3:$E$916),"")</f>
        <v/>
      </c>
      <c r="U624" s="138" t="str">
        <f>IFERROR(LOOKUP($S624,MOTORISTAS!$D$3:$D$916,MOTORISTAS!F$3:$F$916),"")</f>
        <v/>
      </c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44"/>
      <c r="AG624" s="254">
        <f>Prog_23[[#This Row],[SAÍDA DO CLIENTE]]-Prog_23[[#This Row],[PROGRAMAÇÃO CLIENTE]]</f>
        <v>0</v>
      </c>
      <c r="AH624" s="44"/>
      <c r="AI624" s="66"/>
      <c r="AJ624" s="66"/>
      <c r="AK624" s="66"/>
      <c r="AL624" s="66"/>
      <c r="AM624" s="66"/>
      <c r="AN624" s="83"/>
      <c r="AO624" s="83"/>
      <c r="AP624" s="83"/>
      <c r="AQ624" s="66"/>
      <c r="AR624" s="66"/>
      <c r="AS624" s="66"/>
      <c r="AT624" s="81"/>
      <c r="AU624" s="81"/>
      <c r="AV624" s="81"/>
      <c r="AW624" s="81"/>
      <c r="AX624" s="83">
        <f>SUM(Prog_23[[#This Row],[ADIANTAMENTO]]+Prog_23[[#This Row],[SALDO]]+Prog_23[[#This Row],[MARGEM]]+Prog_23[[#This Row],[ESTADIA 1]])</f>
        <v>0</v>
      </c>
      <c r="AY6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24" s="81"/>
      <c r="BA624" s="81"/>
      <c r="BB624" s="81">
        <f>Prog_23[[#This Row],[VLR NF]]*0.1%</f>
        <v>0</v>
      </c>
      <c r="BC624" s="81">
        <f>Prog_23[[#This Row],[VLR NF]]*0.05%</f>
        <v>0</v>
      </c>
      <c r="BD624" s="81"/>
      <c r="BE624" s="81"/>
      <c r="BF624" s="81"/>
      <c r="BG624" s="81"/>
      <c r="BH624" s="81"/>
      <c r="BI624" s="81"/>
      <c r="BJ624" s="81"/>
      <c r="BK624" s="81"/>
      <c r="BL624" s="81"/>
      <c r="BM624" s="81"/>
      <c r="BN624" s="66"/>
      <c r="BO624" s="66"/>
      <c r="BP624" s="66"/>
      <c r="BQ624" s="66" t="str">
        <f>PROPER(TEXT(Prog_23[[#This Row],[PROGRAMAÇÃO CLIENTE]],"mmm"))</f>
        <v>Jan</v>
      </c>
      <c r="BR624" s="66">
        <f>YEAR(Prog_23[[#This Row],[PROGRAMAÇÃO CLIENTE]])</f>
        <v>1900</v>
      </c>
    </row>
    <row r="625" spans="1:70" x14ac:dyDescent="0.25">
      <c r="A625" s="200">
        <f>Prog_23[[#This Row],[CONTEINER]]</f>
        <v>0</v>
      </c>
      <c r="B625" s="86"/>
      <c r="C6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5" s="44"/>
      <c r="E625" s="66"/>
      <c r="F625" s="66"/>
      <c r="G625" s="66"/>
      <c r="H625" s="44"/>
      <c r="I625" s="44"/>
      <c r="J625" s="66"/>
      <c r="K625" s="66"/>
      <c r="L625" s="66"/>
      <c r="M625" s="66"/>
      <c r="N625" s="66">
        <f>SUM(Prog_23[[#This Row],[TARA]]+Prog_23[[#This Row],[PESO]])</f>
        <v>0</v>
      </c>
      <c r="O625" s="44"/>
      <c r="P625" s="66"/>
      <c r="Q625" s="66"/>
      <c r="R625" s="66"/>
      <c r="S625" s="66"/>
      <c r="T625" s="138" t="str">
        <f>IFERROR(LOOKUP($S625,MOTORISTAS!$D$3:$D$916,MOTORISTAS!E$3:$E$916),"")</f>
        <v/>
      </c>
      <c r="U625" s="138" t="str">
        <f>IFERROR(LOOKUP($S625,MOTORISTAS!$D$3:$D$916,MOTORISTAS!F$3:$F$916),"")</f>
        <v/>
      </c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44"/>
      <c r="AG625" s="254">
        <f>Prog_23[[#This Row],[SAÍDA DO CLIENTE]]-Prog_23[[#This Row],[PROGRAMAÇÃO CLIENTE]]</f>
        <v>0</v>
      </c>
      <c r="AH625" s="44"/>
      <c r="AI625" s="66"/>
      <c r="AJ625" s="66"/>
      <c r="AK625" s="66"/>
      <c r="AL625" s="66"/>
      <c r="AM625" s="66"/>
      <c r="AN625" s="83"/>
      <c r="AO625" s="83"/>
      <c r="AP625" s="83"/>
      <c r="AQ625" s="66"/>
      <c r="AR625" s="66"/>
      <c r="AS625" s="66"/>
      <c r="AT625" s="81"/>
      <c r="AU625" s="81"/>
      <c r="AV625" s="81"/>
      <c r="AW625" s="81"/>
      <c r="AX625" s="83">
        <f>SUM(Prog_23[[#This Row],[ADIANTAMENTO]]+Prog_23[[#This Row],[SALDO]]+Prog_23[[#This Row],[MARGEM]]+Prog_23[[#This Row],[ESTADIA 1]])</f>
        <v>0</v>
      </c>
      <c r="AY6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25" s="81"/>
      <c r="BA625" s="81"/>
      <c r="BB625" s="81">
        <f>Prog_23[[#This Row],[VLR NF]]*0.1%</f>
        <v>0</v>
      </c>
      <c r="BC625" s="81">
        <f>Prog_23[[#This Row],[VLR NF]]*0.05%</f>
        <v>0</v>
      </c>
      <c r="BD625" s="81"/>
      <c r="BE625" s="81"/>
      <c r="BF625" s="81"/>
      <c r="BG625" s="81"/>
      <c r="BH625" s="81"/>
      <c r="BI625" s="81"/>
      <c r="BJ625" s="81"/>
      <c r="BK625" s="81"/>
      <c r="BL625" s="81"/>
      <c r="BM625" s="81"/>
      <c r="BN625" s="66"/>
      <c r="BO625" s="66"/>
      <c r="BP625" s="66"/>
      <c r="BQ625" s="66" t="str">
        <f>PROPER(TEXT(Prog_23[[#This Row],[PROGRAMAÇÃO CLIENTE]],"mmm"))</f>
        <v>Jan</v>
      </c>
      <c r="BR625" s="66">
        <f>YEAR(Prog_23[[#This Row],[PROGRAMAÇÃO CLIENTE]])</f>
        <v>1900</v>
      </c>
    </row>
    <row r="626" spans="1:70" x14ac:dyDescent="0.25">
      <c r="A626" s="201">
        <f>Prog_23[[#This Row],[CONTEINER]]</f>
        <v>0</v>
      </c>
      <c r="B626" s="86"/>
      <c r="C6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6" s="44"/>
      <c r="E626" s="66"/>
      <c r="F626" s="66"/>
      <c r="G626" s="66"/>
      <c r="H626" s="44"/>
      <c r="I626" s="44"/>
      <c r="J626" s="66"/>
      <c r="K626" s="66"/>
      <c r="L626" s="66"/>
      <c r="M626" s="66"/>
      <c r="N626" s="66">
        <f>SUM(Prog_23[[#This Row],[TARA]]+Prog_23[[#This Row],[PESO]])</f>
        <v>0</v>
      </c>
      <c r="O626" s="44"/>
      <c r="P626" s="66"/>
      <c r="Q626" s="66"/>
      <c r="R626" s="66"/>
      <c r="S626" s="66"/>
      <c r="T626" s="138" t="str">
        <f>IFERROR(LOOKUP($S626,MOTORISTAS!$D$3:$D$916,MOTORISTAS!E$3:$E$916),"")</f>
        <v/>
      </c>
      <c r="U626" s="138" t="str">
        <f>IFERROR(LOOKUP($S626,MOTORISTAS!$D$3:$D$916,MOTORISTAS!F$3:$F$916),"")</f>
        <v/>
      </c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44"/>
      <c r="AG626" s="254">
        <f>Prog_23[[#This Row],[SAÍDA DO CLIENTE]]-Prog_23[[#This Row],[PROGRAMAÇÃO CLIENTE]]</f>
        <v>0</v>
      </c>
      <c r="AH626" s="44"/>
      <c r="AI626" s="66"/>
      <c r="AJ626" s="66"/>
      <c r="AK626" s="66"/>
      <c r="AL626" s="66"/>
      <c r="AM626" s="66"/>
      <c r="AN626" s="83"/>
      <c r="AO626" s="83"/>
      <c r="AP626" s="83"/>
      <c r="AQ626" s="66"/>
      <c r="AR626" s="66"/>
      <c r="AS626" s="66"/>
      <c r="AT626" s="81"/>
      <c r="AU626" s="81"/>
      <c r="AV626" s="81"/>
      <c r="AW626" s="81"/>
      <c r="AX626" s="83">
        <f>SUM(Prog_23[[#This Row],[ADIANTAMENTO]]+Prog_23[[#This Row],[SALDO]]+Prog_23[[#This Row],[MARGEM]]+Prog_23[[#This Row],[ESTADIA 1]])</f>
        <v>0</v>
      </c>
      <c r="AY6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26" s="81"/>
      <c r="BA626" s="81"/>
      <c r="BB626" s="81">
        <f>Prog_23[[#This Row],[VLR NF]]*0.1%</f>
        <v>0</v>
      </c>
      <c r="BC626" s="81">
        <f>Prog_23[[#This Row],[VLR NF]]*0.05%</f>
        <v>0</v>
      </c>
      <c r="BD626" s="81"/>
      <c r="BE626" s="81"/>
      <c r="BF626" s="81"/>
      <c r="BG626" s="81"/>
      <c r="BH626" s="81"/>
      <c r="BI626" s="81"/>
      <c r="BJ626" s="81"/>
      <c r="BK626" s="81"/>
      <c r="BL626" s="81"/>
      <c r="BM626" s="81"/>
      <c r="BN626" s="66"/>
      <c r="BO626" s="66"/>
      <c r="BP626" s="66"/>
      <c r="BQ626" s="66" t="str">
        <f>PROPER(TEXT(Prog_23[[#This Row],[PROGRAMAÇÃO CLIENTE]],"mmm"))</f>
        <v>Jan</v>
      </c>
      <c r="BR626" s="66">
        <f>YEAR(Prog_23[[#This Row],[PROGRAMAÇÃO CLIENTE]])</f>
        <v>1900</v>
      </c>
    </row>
    <row r="627" spans="1:70" x14ac:dyDescent="0.25">
      <c r="A627" s="200">
        <f>Prog_23[[#This Row],[CONTEINER]]</f>
        <v>0</v>
      </c>
      <c r="B627" s="86"/>
      <c r="C6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7" s="44"/>
      <c r="E627" s="66"/>
      <c r="F627" s="66"/>
      <c r="G627" s="66"/>
      <c r="H627" s="44"/>
      <c r="I627" s="44"/>
      <c r="J627" s="66"/>
      <c r="K627" s="66"/>
      <c r="L627" s="66"/>
      <c r="M627" s="66"/>
      <c r="N627" s="66">
        <f>SUM(Prog_23[[#This Row],[TARA]]+Prog_23[[#This Row],[PESO]])</f>
        <v>0</v>
      </c>
      <c r="O627" s="44"/>
      <c r="P627" s="66"/>
      <c r="Q627" s="66"/>
      <c r="R627" s="66"/>
      <c r="S627" s="66"/>
      <c r="T627" s="138" t="str">
        <f>IFERROR(LOOKUP($S627,MOTORISTAS!$D$3:$D$916,MOTORISTAS!E$3:$E$916),"")</f>
        <v/>
      </c>
      <c r="U627" s="138" t="str">
        <f>IFERROR(LOOKUP($S627,MOTORISTAS!$D$3:$D$916,MOTORISTAS!F$3:$F$916),"")</f>
        <v/>
      </c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44"/>
      <c r="AG627" s="254">
        <f>Prog_23[[#This Row],[SAÍDA DO CLIENTE]]-Prog_23[[#This Row],[PROGRAMAÇÃO CLIENTE]]</f>
        <v>0</v>
      </c>
      <c r="AH627" s="44"/>
      <c r="AI627" s="66"/>
      <c r="AJ627" s="66"/>
      <c r="AK627" s="66"/>
      <c r="AL627" s="66"/>
      <c r="AM627" s="66"/>
      <c r="AN627" s="83"/>
      <c r="AO627" s="83"/>
      <c r="AP627" s="83"/>
      <c r="AQ627" s="66"/>
      <c r="AR627" s="66"/>
      <c r="AS627" s="66"/>
      <c r="AT627" s="81"/>
      <c r="AU627" s="81"/>
      <c r="AV627" s="81"/>
      <c r="AW627" s="81"/>
      <c r="AX627" s="83">
        <f>SUM(Prog_23[[#This Row],[ADIANTAMENTO]]+Prog_23[[#This Row],[SALDO]]+Prog_23[[#This Row],[MARGEM]]+Prog_23[[#This Row],[ESTADIA 1]])</f>
        <v>0</v>
      </c>
      <c r="AY6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27" s="81"/>
      <c r="BA627" s="81"/>
      <c r="BB627" s="81">
        <f>Prog_23[[#This Row],[VLR NF]]*0.1%</f>
        <v>0</v>
      </c>
      <c r="BC627" s="81">
        <f>Prog_23[[#This Row],[VLR NF]]*0.05%</f>
        <v>0</v>
      </c>
      <c r="BD627" s="81"/>
      <c r="BE627" s="81"/>
      <c r="BF627" s="81"/>
      <c r="BG627" s="81"/>
      <c r="BH627" s="81"/>
      <c r="BI627" s="81"/>
      <c r="BJ627" s="81"/>
      <c r="BK627" s="81"/>
      <c r="BL627" s="81"/>
      <c r="BM627" s="81"/>
      <c r="BN627" s="66"/>
      <c r="BO627" s="66"/>
      <c r="BP627" s="66"/>
      <c r="BQ627" s="66" t="str">
        <f>PROPER(TEXT(Prog_23[[#This Row],[PROGRAMAÇÃO CLIENTE]],"mmm"))</f>
        <v>Jan</v>
      </c>
      <c r="BR627" s="66">
        <f>YEAR(Prog_23[[#This Row],[PROGRAMAÇÃO CLIENTE]])</f>
        <v>1900</v>
      </c>
    </row>
    <row r="628" spans="1:70" x14ac:dyDescent="0.25">
      <c r="A628" s="201">
        <f>Prog_23[[#This Row],[CONTEINER]]</f>
        <v>0</v>
      </c>
      <c r="B628" s="86"/>
      <c r="C6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8" s="44"/>
      <c r="E628" s="66"/>
      <c r="F628" s="66"/>
      <c r="G628" s="66"/>
      <c r="H628" s="44"/>
      <c r="I628" s="44"/>
      <c r="J628" s="66"/>
      <c r="K628" s="66"/>
      <c r="L628" s="66"/>
      <c r="M628" s="66"/>
      <c r="N628" s="66">
        <f>SUM(Prog_23[[#This Row],[TARA]]+Prog_23[[#This Row],[PESO]])</f>
        <v>0</v>
      </c>
      <c r="O628" s="44"/>
      <c r="P628" s="66"/>
      <c r="Q628" s="66"/>
      <c r="R628" s="66"/>
      <c r="S628" s="66"/>
      <c r="T628" s="138" t="str">
        <f>IFERROR(LOOKUP($S628,MOTORISTAS!$D$3:$D$916,MOTORISTAS!E$3:$E$916),"")</f>
        <v/>
      </c>
      <c r="U628" s="138" t="str">
        <f>IFERROR(LOOKUP($S628,MOTORISTAS!$D$3:$D$916,MOTORISTAS!F$3:$F$916),"")</f>
        <v/>
      </c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44"/>
      <c r="AG628" s="254">
        <f>Prog_23[[#This Row],[SAÍDA DO CLIENTE]]-Prog_23[[#This Row],[PROGRAMAÇÃO CLIENTE]]</f>
        <v>0</v>
      </c>
      <c r="AH628" s="44"/>
      <c r="AI628" s="66"/>
      <c r="AJ628" s="66"/>
      <c r="AK628" s="66"/>
      <c r="AL628" s="66"/>
      <c r="AM628" s="66"/>
      <c r="AN628" s="83"/>
      <c r="AO628" s="83"/>
      <c r="AP628" s="83"/>
      <c r="AQ628" s="66"/>
      <c r="AR628" s="66"/>
      <c r="AS628" s="66"/>
      <c r="AT628" s="81"/>
      <c r="AU628" s="81"/>
      <c r="AV628" s="81"/>
      <c r="AW628" s="81"/>
      <c r="AX628" s="83">
        <f>SUM(Prog_23[[#This Row],[ADIANTAMENTO]]+Prog_23[[#This Row],[SALDO]]+Prog_23[[#This Row],[MARGEM]]+Prog_23[[#This Row],[ESTADIA 1]])</f>
        <v>0</v>
      </c>
      <c r="AY6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28" s="81"/>
      <c r="BA628" s="81"/>
      <c r="BB628" s="81">
        <f>Prog_23[[#This Row],[VLR NF]]*0.1%</f>
        <v>0</v>
      </c>
      <c r="BC628" s="81">
        <f>Prog_23[[#This Row],[VLR NF]]*0.05%</f>
        <v>0</v>
      </c>
      <c r="BD628" s="81"/>
      <c r="BE628" s="81"/>
      <c r="BF628" s="81"/>
      <c r="BG628" s="81"/>
      <c r="BH628" s="81"/>
      <c r="BI628" s="81"/>
      <c r="BJ628" s="81"/>
      <c r="BK628" s="81"/>
      <c r="BL628" s="81"/>
      <c r="BM628" s="81"/>
      <c r="BN628" s="66"/>
      <c r="BO628" s="66"/>
      <c r="BP628" s="66"/>
      <c r="BQ628" s="66" t="str">
        <f>PROPER(TEXT(Prog_23[[#This Row],[PROGRAMAÇÃO CLIENTE]],"mmm"))</f>
        <v>Jan</v>
      </c>
      <c r="BR628" s="66">
        <f>YEAR(Prog_23[[#This Row],[PROGRAMAÇÃO CLIENTE]])</f>
        <v>1900</v>
      </c>
    </row>
    <row r="629" spans="1:70" x14ac:dyDescent="0.25">
      <c r="A629" s="200">
        <f>Prog_23[[#This Row],[CONTEINER]]</f>
        <v>0</v>
      </c>
      <c r="B629" s="86"/>
      <c r="C6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29" s="44"/>
      <c r="E629" s="66"/>
      <c r="F629" s="66"/>
      <c r="G629" s="66"/>
      <c r="H629" s="44"/>
      <c r="I629" s="44"/>
      <c r="J629" s="66"/>
      <c r="K629" s="66"/>
      <c r="L629" s="66"/>
      <c r="M629" s="66"/>
      <c r="N629" s="66">
        <f>SUM(Prog_23[[#This Row],[TARA]]+Prog_23[[#This Row],[PESO]])</f>
        <v>0</v>
      </c>
      <c r="O629" s="44"/>
      <c r="P629" s="66"/>
      <c r="Q629" s="66"/>
      <c r="R629" s="66"/>
      <c r="S629" s="66"/>
      <c r="T629" s="138" t="str">
        <f>IFERROR(LOOKUP($S629,MOTORISTAS!$D$3:$D$916,MOTORISTAS!E$3:$E$916),"")</f>
        <v/>
      </c>
      <c r="U629" s="138" t="str">
        <f>IFERROR(LOOKUP($S629,MOTORISTAS!$D$3:$D$916,MOTORISTAS!F$3:$F$916),"")</f>
        <v/>
      </c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44"/>
      <c r="AG629" s="254">
        <f>Prog_23[[#This Row],[SAÍDA DO CLIENTE]]-Prog_23[[#This Row],[PROGRAMAÇÃO CLIENTE]]</f>
        <v>0</v>
      </c>
      <c r="AH629" s="44"/>
      <c r="AI629" s="66"/>
      <c r="AJ629" s="66"/>
      <c r="AK629" s="66"/>
      <c r="AL629" s="66"/>
      <c r="AM629" s="66"/>
      <c r="AN629" s="83"/>
      <c r="AO629" s="83"/>
      <c r="AP629" s="83"/>
      <c r="AQ629" s="66"/>
      <c r="AR629" s="66"/>
      <c r="AS629" s="66"/>
      <c r="AT629" s="81"/>
      <c r="AU629" s="81"/>
      <c r="AV629" s="81"/>
      <c r="AW629" s="81"/>
      <c r="AX629" s="83">
        <f>SUM(Prog_23[[#This Row],[ADIANTAMENTO]]+Prog_23[[#This Row],[SALDO]]+Prog_23[[#This Row],[MARGEM]]+Prog_23[[#This Row],[ESTADIA 1]])</f>
        <v>0</v>
      </c>
      <c r="AY6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29" s="81"/>
      <c r="BA629" s="81"/>
      <c r="BB629" s="81">
        <f>Prog_23[[#This Row],[VLR NF]]*0.1%</f>
        <v>0</v>
      </c>
      <c r="BC629" s="81">
        <f>Prog_23[[#This Row],[VLR NF]]*0.05%</f>
        <v>0</v>
      </c>
      <c r="BD629" s="81"/>
      <c r="BE629" s="81"/>
      <c r="BF629" s="81"/>
      <c r="BG629" s="81"/>
      <c r="BH629" s="81"/>
      <c r="BI629" s="81"/>
      <c r="BJ629" s="81"/>
      <c r="BK629" s="81"/>
      <c r="BL629" s="81"/>
      <c r="BM629" s="81"/>
      <c r="BN629" s="66"/>
      <c r="BO629" s="66"/>
      <c r="BP629" s="66"/>
      <c r="BQ629" s="66" t="str">
        <f>PROPER(TEXT(Prog_23[[#This Row],[PROGRAMAÇÃO CLIENTE]],"mmm"))</f>
        <v>Jan</v>
      </c>
      <c r="BR629" s="66">
        <f>YEAR(Prog_23[[#This Row],[PROGRAMAÇÃO CLIENTE]])</f>
        <v>1900</v>
      </c>
    </row>
    <row r="630" spans="1:70" x14ac:dyDescent="0.25">
      <c r="A630" s="201">
        <f>Prog_23[[#This Row],[CONTEINER]]</f>
        <v>0</v>
      </c>
      <c r="B630" s="86"/>
      <c r="C6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0" s="44"/>
      <c r="E630" s="66"/>
      <c r="F630" s="66"/>
      <c r="G630" s="66"/>
      <c r="H630" s="44"/>
      <c r="I630" s="44"/>
      <c r="J630" s="66"/>
      <c r="K630" s="66"/>
      <c r="L630" s="66"/>
      <c r="M630" s="66"/>
      <c r="N630" s="66">
        <f>SUM(Prog_23[[#This Row],[TARA]]+Prog_23[[#This Row],[PESO]])</f>
        <v>0</v>
      </c>
      <c r="O630" s="44"/>
      <c r="P630" s="66"/>
      <c r="Q630" s="66"/>
      <c r="R630" s="66"/>
      <c r="S630" s="66"/>
      <c r="T630" s="138" t="str">
        <f>IFERROR(LOOKUP($S630,MOTORISTAS!$D$3:$D$916,MOTORISTAS!E$3:$E$916),"")</f>
        <v/>
      </c>
      <c r="U630" s="138" t="str">
        <f>IFERROR(LOOKUP($S630,MOTORISTAS!$D$3:$D$916,MOTORISTAS!F$3:$F$916),"")</f>
        <v/>
      </c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44"/>
      <c r="AG630" s="254">
        <f>Prog_23[[#This Row],[SAÍDA DO CLIENTE]]-Prog_23[[#This Row],[PROGRAMAÇÃO CLIENTE]]</f>
        <v>0</v>
      </c>
      <c r="AH630" s="44"/>
      <c r="AI630" s="66"/>
      <c r="AJ630" s="66"/>
      <c r="AK630" s="66"/>
      <c r="AL630" s="66"/>
      <c r="AM630" s="66"/>
      <c r="AN630" s="83"/>
      <c r="AO630" s="83"/>
      <c r="AP630" s="83"/>
      <c r="AQ630" s="66"/>
      <c r="AR630" s="66"/>
      <c r="AS630" s="66"/>
      <c r="AT630" s="81"/>
      <c r="AU630" s="81"/>
      <c r="AV630" s="81"/>
      <c r="AW630" s="81"/>
      <c r="AX630" s="83">
        <f>SUM(Prog_23[[#This Row],[ADIANTAMENTO]]+Prog_23[[#This Row],[SALDO]]+Prog_23[[#This Row],[MARGEM]]+Prog_23[[#This Row],[ESTADIA 1]])</f>
        <v>0</v>
      </c>
      <c r="AY6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30" s="81"/>
      <c r="BA630" s="81"/>
      <c r="BB630" s="81">
        <f>Prog_23[[#This Row],[VLR NF]]*0.1%</f>
        <v>0</v>
      </c>
      <c r="BC630" s="81">
        <f>Prog_23[[#This Row],[VLR NF]]*0.05%</f>
        <v>0</v>
      </c>
      <c r="BD630" s="81"/>
      <c r="BE630" s="81"/>
      <c r="BF630" s="81"/>
      <c r="BG630" s="81"/>
      <c r="BH630" s="81"/>
      <c r="BI630" s="81"/>
      <c r="BJ630" s="81"/>
      <c r="BK630" s="81"/>
      <c r="BL630" s="81"/>
      <c r="BM630" s="81"/>
      <c r="BN630" s="66"/>
      <c r="BO630" s="66"/>
      <c r="BP630" s="66"/>
      <c r="BQ630" s="66" t="str">
        <f>PROPER(TEXT(Prog_23[[#This Row],[PROGRAMAÇÃO CLIENTE]],"mmm"))</f>
        <v>Jan</v>
      </c>
      <c r="BR630" s="66">
        <f>YEAR(Prog_23[[#This Row],[PROGRAMAÇÃO CLIENTE]])</f>
        <v>1900</v>
      </c>
    </row>
    <row r="631" spans="1:70" x14ac:dyDescent="0.25">
      <c r="A631" s="200">
        <f>Prog_23[[#This Row],[CONTEINER]]</f>
        <v>0</v>
      </c>
      <c r="B631" s="86"/>
      <c r="C6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1" s="44"/>
      <c r="E631" s="66"/>
      <c r="F631" s="66"/>
      <c r="G631" s="66"/>
      <c r="H631" s="44"/>
      <c r="I631" s="44"/>
      <c r="J631" s="66"/>
      <c r="K631" s="66"/>
      <c r="L631" s="66"/>
      <c r="M631" s="66"/>
      <c r="N631" s="66">
        <f>SUM(Prog_23[[#This Row],[TARA]]+Prog_23[[#This Row],[PESO]])</f>
        <v>0</v>
      </c>
      <c r="O631" s="44"/>
      <c r="P631" s="66"/>
      <c r="Q631" s="66"/>
      <c r="R631" s="66"/>
      <c r="S631" s="66"/>
      <c r="T631" s="138" t="str">
        <f>IFERROR(LOOKUP($S631,MOTORISTAS!$D$3:$D$916,MOTORISTAS!E$3:$E$916),"")</f>
        <v/>
      </c>
      <c r="U631" s="138" t="str">
        <f>IFERROR(LOOKUP($S631,MOTORISTAS!$D$3:$D$916,MOTORISTAS!F$3:$F$916),"")</f>
        <v/>
      </c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44"/>
      <c r="AG631" s="254">
        <f>Prog_23[[#This Row],[SAÍDA DO CLIENTE]]-Prog_23[[#This Row],[PROGRAMAÇÃO CLIENTE]]</f>
        <v>0</v>
      </c>
      <c r="AH631" s="44"/>
      <c r="AI631" s="66"/>
      <c r="AJ631" s="66"/>
      <c r="AK631" s="66"/>
      <c r="AL631" s="66"/>
      <c r="AM631" s="66"/>
      <c r="AN631" s="83"/>
      <c r="AO631" s="83"/>
      <c r="AP631" s="83"/>
      <c r="AQ631" s="66"/>
      <c r="AR631" s="66"/>
      <c r="AS631" s="66"/>
      <c r="AT631" s="81"/>
      <c r="AU631" s="81"/>
      <c r="AV631" s="81"/>
      <c r="AW631" s="81"/>
      <c r="AX631" s="83">
        <f>SUM(Prog_23[[#This Row],[ADIANTAMENTO]]+Prog_23[[#This Row],[SALDO]]+Prog_23[[#This Row],[MARGEM]]+Prog_23[[#This Row],[ESTADIA 1]])</f>
        <v>0</v>
      </c>
      <c r="AY6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31" s="81"/>
      <c r="BA631" s="81"/>
      <c r="BB631" s="81">
        <f>Prog_23[[#This Row],[VLR NF]]*0.1%</f>
        <v>0</v>
      </c>
      <c r="BC631" s="81">
        <f>Prog_23[[#This Row],[VLR NF]]*0.05%</f>
        <v>0</v>
      </c>
      <c r="BD631" s="81"/>
      <c r="BE631" s="81"/>
      <c r="BF631" s="81"/>
      <c r="BG631" s="81"/>
      <c r="BH631" s="81"/>
      <c r="BI631" s="81"/>
      <c r="BJ631" s="81"/>
      <c r="BK631" s="81"/>
      <c r="BL631" s="81"/>
      <c r="BM631" s="81"/>
      <c r="BN631" s="66"/>
      <c r="BO631" s="66"/>
      <c r="BP631" s="66"/>
      <c r="BQ631" s="66" t="str">
        <f>PROPER(TEXT(Prog_23[[#This Row],[PROGRAMAÇÃO CLIENTE]],"mmm"))</f>
        <v>Jan</v>
      </c>
      <c r="BR631" s="66">
        <f>YEAR(Prog_23[[#This Row],[PROGRAMAÇÃO CLIENTE]])</f>
        <v>1900</v>
      </c>
    </row>
    <row r="632" spans="1:70" x14ac:dyDescent="0.25">
      <c r="A632" s="201">
        <f>Prog_23[[#This Row],[CONTEINER]]</f>
        <v>0</v>
      </c>
      <c r="B632" s="86"/>
      <c r="C6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2" s="44"/>
      <c r="E632" s="66"/>
      <c r="F632" s="66"/>
      <c r="G632" s="66"/>
      <c r="H632" s="44"/>
      <c r="I632" s="44"/>
      <c r="J632" s="66"/>
      <c r="K632" s="66"/>
      <c r="L632" s="66"/>
      <c r="M632" s="66"/>
      <c r="N632" s="66">
        <f>SUM(Prog_23[[#This Row],[TARA]]+Prog_23[[#This Row],[PESO]])</f>
        <v>0</v>
      </c>
      <c r="O632" s="44"/>
      <c r="P632" s="66"/>
      <c r="Q632" s="66"/>
      <c r="R632" s="66"/>
      <c r="S632" s="66"/>
      <c r="T632" s="138" t="str">
        <f>IFERROR(LOOKUP($S632,MOTORISTAS!$D$3:$D$916,MOTORISTAS!E$3:$E$916),"")</f>
        <v/>
      </c>
      <c r="U632" s="138" t="str">
        <f>IFERROR(LOOKUP($S632,MOTORISTAS!$D$3:$D$916,MOTORISTAS!F$3:$F$916),"")</f>
        <v/>
      </c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44"/>
      <c r="AG632" s="254">
        <f>Prog_23[[#This Row],[SAÍDA DO CLIENTE]]-Prog_23[[#This Row],[PROGRAMAÇÃO CLIENTE]]</f>
        <v>0</v>
      </c>
      <c r="AH632" s="44"/>
      <c r="AI632" s="66"/>
      <c r="AJ632" s="66"/>
      <c r="AK632" s="66"/>
      <c r="AL632" s="66"/>
      <c r="AM632" s="66"/>
      <c r="AN632" s="83"/>
      <c r="AO632" s="83"/>
      <c r="AP632" s="83"/>
      <c r="AQ632" s="66"/>
      <c r="AR632" s="66"/>
      <c r="AS632" s="66"/>
      <c r="AT632" s="81"/>
      <c r="AU632" s="81"/>
      <c r="AV632" s="81"/>
      <c r="AW632" s="81"/>
      <c r="AX632" s="83">
        <f>SUM(Prog_23[[#This Row],[ADIANTAMENTO]]+Prog_23[[#This Row],[SALDO]]+Prog_23[[#This Row],[MARGEM]]+Prog_23[[#This Row],[ESTADIA 1]])</f>
        <v>0</v>
      </c>
      <c r="AY6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32" s="81"/>
      <c r="BA632" s="81"/>
      <c r="BB632" s="81">
        <f>Prog_23[[#This Row],[VLR NF]]*0.1%</f>
        <v>0</v>
      </c>
      <c r="BC632" s="81">
        <f>Prog_23[[#This Row],[VLR NF]]*0.05%</f>
        <v>0</v>
      </c>
      <c r="BD632" s="81"/>
      <c r="BE632" s="81"/>
      <c r="BF632" s="81"/>
      <c r="BG632" s="81"/>
      <c r="BH632" s="81"/>
      <c r="BI632" s="81"/>
      <c r="BJ632" s="81"/>
      <c r="BK632" s="81"/>
      <c r="BL632" s="81"/>
      <c r="BM632" s="81"/>
      <c r="BN632" s="66"/>
      <c r="BO632" s="66"/>
      <c r="BP632" s="66"/>
      <c r="BQ632" s="66" t="str">
        <f>PROPER(TEXT(Prog_23[[#This Row],[PROGRAMAÇÃO CLIENTE]],"mmm"))</f>
        <v>Jan</v>
      </c>
      <c r="BR632" s="66">
        <f>YEAR(Prog_23[[#This Row],[PROGRAMAÇÃO CLIENTE]])</f>
        <v>1900</v>
      </c>
    </row>
    <row r="633" spans="1:70" x14ac:dyDescent="0.25">
      <c r="A633" s="200">
        <f>Prog_23[[#This Row],[CONTEINER]]</f>
        <v>0</v>
      </c>
      <c r="B633" s="86"/>
      <c r="C6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3" s="44"/>
      <c r="E633" s="66"/>
      <c r="F633" s="66"/>
      <c r="G633" s="66"/>
      <c r="H633" s="44"/>
      <c r="I633" s="44"/>
      <c r="J633" s="66"/>
      <c r="K633" s="66"/>
      <c r="L633" s="66"/>
      <c r="M633" s="66"/>
      <c r="N633" s="66">
        <f>SUM(Prog_23[[#This Row],[TARA]]+Prog_23[[#This Row],[PESO]])</f>
        <v>0</v>
      </c>
      <c r="O633" s="44"/>
      <c r="P633" s="66"/>
      <c r="Q633" s="66"/>
      <c r="R633" s="66"/>
      <c r="S633" s="66"/>
      <c r="T633" s="138" t="str">
        <f>IFERROR(LOOKUP($S633,MOTORISTAS!$D$3:$D$916,MOTORISTAS!E$3:$E$916),"")</f>
        <v/>
      </c>
      <c r="U633" s="138" t="str">
        <f>IFERROR(LOOKUP($S633,MOTORISTAS!$D$3:$D$916,MOTORISTAS!F$3:$F$916),"")</f>
        <v/>
      </c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44"/>
      <c r="AG633" s="254">
        <f>Prog_23[[#This Row],[SAÍDA DO CLIENTE]]-Prog_23[[#This Row],[PROGRAMAÇÃO CLIENTE]]</f>
        <v>0</v>
      </c>
      <c r="AH633" s="44"/>
      <c r="AI633" s="66"/>
      <c r="AJ633" s="66"/>
      <c r="AK633" s="66"/>
      <c r="AL633" s="66"/>
      <c r="AM633" s="66"/>
      <c r="AN633" s="83"/>
      <c r="AO633" s="83"/>
      <c r="AP633" s="83"/>
      <c r="AQ633" s="66"/>
      <c r="AR633" s="66"/>
      <c r="AS633" s="66"/>
      <c r="AT633" s="81"/>
      <c r="AU633" s="81"/>
      <c r="AV633" s="81"/>
      <c r="AW633" s="81"/>
      <c r="AX633" s="83">
        <f>SUM(Prog_23[[#This Row],[ADIANTAMENTO]]+Prog_23[[#This Row],[SALDO]]+Prog_23[[#This Row],[MARGEM]]+Prog_23[[#This Row],[ESTADIA 1]])</f>
        <v>0</v>
      </c>
      <c r="AY6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33" s="81"/>
      <c r="BA633" s="81"/>
      <c r="BB633" s="81">
        <f>Prog_23[[#This Row],[VLR NF]]*0.1%</f>
        <v>0</v>
      </c>
      <c r="BC633" s="81">
        <f>Prog_23[[#This Row],[VLR NF]]*0.05%</f>
        <v>0</v>
      </c>
      <c r="BD633" s="81"/>
      <c r="BE633" s="81"/>
      <c r="BF633" s="81"/>
      <c r="BG633" s="81"/>
      <c r="BH633" s="81"/>
      <c r="BI633" s="81"/>
      <c r="BJ633" s="81"/>
      <c r="BK633" s="81"/>
      <c r="BL633" s="81"/>
      <c r="BM633" s="81"/>
      <c r="BN633" s="66"/>
      <c r="BO633" s="66"/>
      <c r="BP633" s="66"/>
      <c r="BQ633" s="66" t="str">
        <f>PROPER(TEXT(Prog_23[[#This Row],[PROGRAMAÇÃO CLIENTE]],"mmm"))</f>
        <v>Jan</v>
      </c>
      <c r="BR633" s="66">
        <f>YEAR(Prog_23[[#This Row],[PROGRAMAÇÃO CLIENTE]])</f>
        <v>1900</v>
      </c>
    </row>
    <row r="634" spans="1:70" x14ac:dyDescent="0.25">
      <c r="A634" s="201">
        <f>Prog_23[[#This Row],[CONTEINER]]</f>
        <v>0</v>
      </c>
      <c r="B634" s="86"/>
      <c r="C6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4" s="44"/>
      <c r="E634" s="66"/>
      <c r="F634" s="66"/>
      <c r="G634" s="66"/>
      <c r="H634" s="44"/>
      <c r="I634" s="44"/>
      <c r="J634" s="66"/>
      <c r="K634" s="66"/>
      <c r="L634" s="66"/>
      <c r="M634" s="66"/>
      <c r="N634" s="66">
        <f>SUM(Prog_23[[#This Row],[TARA]]+Prog_23[[#This Row],[PESO]])</f>
        <v>0</v>
      </c>
      <c r="O634" s="44"/>
      <c r="P634" s="66"/>
      <c r="Q634" s="66"/>
      <c r="R634" s="66"/>
      <c r="S634" s="66"/>
      <c r="T634" s="138" t="str">
        <f>IFERROR(LOOKUP($S634,MOTORISTAS!$D$3:$D$916,MOTORISTAS!E$3:$E$916),"")</f>
        <v/>
      </c>
      <c r="U634" s="138" t="str">
        <f>IFERROR(LOOKUP($S634,MOTORISTAS!$D$3:$D$916,MOTORISTAS!F$3:$F$916),"")</f>
        <v/>
      </c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44"/>
      <c r="AG634" s="254">
        <f>Prog_23[[#This Row],[SAÍDA DO CLIENTE]]-Prog_23[[#This Row],[PROGRAMAÇÃO CLIENTE]]</f>
        <v>0</v>
      </c>
      <c r="AH634" s="44"/>
      <c r="AI634" s="66"/>
      <c r="AJ634" s="66"/>
      <c r="AK634" s="66"/>
      <c r="AL634" s="66"/>
      <c r="AM634" s="66"/>
      <c r="AN634" s="83"/>
      <c r="AO634" s="83"/>
      <c r="AP634" s="83"/>
      <c r="AQ634" s="66"/>
      <c r="AR634" s="66"/>
      <c r="AS634" s="66"/>
      <c r="AT634" s="81"/>
      <c r="AU634" s="81"/>
      <c r="AV634" s="81"/>
      <c r="AW634" s="81"/>
      <c r="AX634" s="83">
        <f>SUM(Prog_23[[#This Row],[ADIANTAMENTO]]+Prog_23[[#This Row],[SALDO]]+Prog_23[[#This Row],[MARGEM]]+Prog_23[[#This Row],[ESTADIA 1]])</f>
        <v>0</v>
      </c>
      <c r="AY6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34" s="81"/>
      <c r="BA634" s="81"/>
      <c r="BB634" s="81">
        <f>Prog_23[[#This Row],[VLR NF]]*0.1%</f>
        <v>0</v>
      </c>
      <c r="BC634" s="81">
        <f>Prog_23[[#This Row],[VLR NF]]*0.05%</f>
        <v>0</v>
      </c>
      <c r="BD634" s="81"/>
      <c r="BE634" s="81"/>
      <c r="BF634" s="81"/>
      <c r="BG634" s="81"/>
      <c r="BH634" s="81"/>
      <c r="BI634" s="81"/>
      <c r="BJ634" s="81"/>
      <c r="BK634" s="81"/>
      <c r="BL634" s="81"/>
      <c r="BM634" s="81"/>
      <c r="BN634" s="66"/>
      <c r="BO634" s="66"/>
      <c r="BP634" s="66"/>
      <c r="BQ634" s="66" t="str">
        <f>PROPER(TEXT(Prog_23[[#This Row],[PROGRAMAÇÃO CLIENTE]],"mmm"))</f>
        <v>Jan</v>
      </c>
      <c r="BR634" s="66">
        <f>YEAR(Prog_23[[#This Row],[PROGRAMAÇÃO CLIENTE]])</f>
        <v>1900</v>
      </c>
    </row>
    <row r="635" spans="1:70" x14ac:dyDescent="0.25">
      <c r="A635" s="200">
        <f>Prog_23[[#This Row],[CONTEINER]]</f>
        <v>0</v>
      </c>
      <c r="B635" s="86"/>
      <c r="C6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5" s="44"/>
      <c r="E635" s="66"/>
      <c r="F635" s="66"/>
      <c r="G635" s="66"/>
      <c r="H635" s="44"/>
      <c r="I635" s="44"/>
      <c r="J635" s="66"/>
      <c r="K635" s="66"/>
      <c r="L635" s="66"/>
      <c r="M635" s="66"/>
      <c r="N635" s="66">
        <f>SUM(Prog_23[[#This Row],[TARA]]+Prog_23[[#This Row],[PESO]])</f>
        <v>0</v>
      </c>
      <c r="O635" s="44"/>
      <c r="P635" s="66"/>
      <c r="Q635" s="66"/>
      <c r="R635" s="66"/>
      <c r="S635" s="66"/>
      <c r="T635" s="138" t="str">
        <f>IFERROR(LOOKUP($S635,MOTORISTAS!$D$3:$D$916,MOTORISTAS!E$3:$E$916),"")</f>
        <v/>
      </c>
      <c r="U635" s="138" t="str">
        <f>IFERROR(LOOKUP($S635,MOTORISTAS!$D$3:$D$916,MOTORISTAS!F$3:$F$916),"")</f>
        <v/>
      </c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44"/>
      <c r="AG635" s="254">
        <f>Prog_23[[#This Row],[SAÍDA DO CLIENTE]]-Prog_23[[#This Row],[PROGRAMAÇÃO CLIENTE]]</f>
        <v>0</v>
      </c>
      <c r="AH635" s="44"/>
      <c r="AI635" s="66"/>
      <c r="AJ635" s="66"/>
      <c r="AK635" s="66"/>
      <c r="AL635" s="66"/>
      <c r="AM635" s="66"/>
      <c r="AN635" s="83"/>
      <c r="AO635" s="83"/>
      <c r="AP635" s="83"/>
      <c r="AQ635" s="66"/>
      <c r="AR635" s="66"/>
      <c r="AS635" s="66"/>
      <c r="AT635" s="81"/>
      <c r="AU635" s="81"/>
      <c r="AV635" s="81"/>
      <c r="AW635" s="81"/>
      <c r="AX635" s="83">
        <f>SUM(Prog_23[[#This Row],[ADIANTAMENTO]]+Prog_23[[#This Row],[SALDO]]+Prog_23[[#This Row],[MARGEM]]+Prog_23[[#This Row],[ESTADIA 1]])</f>
        <v>0</v>
      </c>
      <c r="AY6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35" s="81"/>
      <c r="BA635" s="81"/>
      <c r="BB635" s="81">
        <f>Prog_23[[#This Row],[VLR NF]]*0.1%</f>
        <v>0</v>
      </c>
      <c r="BC635" s="81">
        <f>Prog_23[[#This Row],[VLR NF]]*0.05%</f>
        <v>0</v>
      </c>
      <c r="BD635" s="81"/>
      <c r="BE635" s="81"/>
      <c r="BF635" s="81"/>
      <c r="BG635" s="81"/>
      <c r="BH635" s="81"/>
      <c r="BI635" s="81"/>
      <c r="BJ635" s="81"/>
      <c r="BK635" s="81"/>
      <c r="BL635" s="81"/>
      <c r="BM635" s="81"/>
      <c r="BN635" s="66"/>
      <c r="BO635" s="66"/>
      <c r="BP635" s="66"/>
      <c r="BQ635" s="66" t="str">
        <f>PROPER(TEXT(Prog_23[[#This Row],[PROGRAMAÇÃO CLIENTE]],"mmm"))</f>
        <v>Jan</v>
      </c>
      <c r="BR635" s="66">
        <f>YEAR(Prog_23[[#This Row],[PROGRAMAÇÃO CLIENTE]])</f>
        <v>1900</v>
      </c>
    </row>
    <row r="636" spans="1:70" x14ac:dyDescent="0.25">
      <c r="A636" s="201">
        <f>Prog_23[[#This Row],[CONTEINER]]</f>
        <v>0</v>
      </c>
      <c r="B636" s="86"/>
      <c r="C6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6" s="44"/>
      <c r="E636" s="66"/>
      <c r="F636" s="66"/>
      <c r="G636" s="66"/>
      <c r="H636" s="44"/>
      <c r="I636" s="44"/>
      <c r="J636" s="66"/>
      <c r="K636" s="66"/>
      <c r="L636" s="66"/>
      <c r="M636" s="66"/>
      <c r="N636" s="66">
        <f>SUM(Prog_23[[#This Row],[TARA]]+Prog_23[[#This Row],[PESO]])</f>
        <v>0</v>
      </c>
      <c r="O636" s="44"/>
      <c r="P636" s="66"/>
      <c r="Q636" s="66"/>
      <c r="R636" s="66"/>
      <c r="S636" s="66"/>
      <c r="T636" s="138" t="str">
        <f>IFERROR(LOOKUP($S636,MOTORISTAS!$D$3:$D$916,MOTORISTAS!E$3:$E$916),"")</f>
        <v/>
      </c>
      <c r="U636" s="138" t="str">
        <f>IFERROR(LOOKUP($S636,MOTORISTAS!$D$3:$D$916,MOTORISTAS!F$3:$F$916),"")</f>
        <v/>
      </c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44"/>
      <c r="AG636" s="254">
        <f>Prog_23[[#This Row],[SAÍDA DO CLIENTE]]-Prog_23[[#This Row],[PROGRAMAÇÃO CLIENTE]]</f>
        <v>0</v>
      </c>
      <c r="AH636" s="44"/>
      <c r="AI636" s="66"/>
      <c r="AJ636" s="66"/>
      <c r="AK636" s="66"/>
      <c r="AL636" s="66"/>
      <c r="AM636" s="66"/>
      <c r="AN636" s="83"/>
      <c r="AO636" s="83"/>
      <c r="AP636" s="83"/>
      <c r="AQ636" s="66"/>
      <c r="AR636" s="66"/>
      <c r="AS636" s="66"/>
      <c r="AT636" s="81"/>
      <c r="AU636" s="81"/>
      <c r="AV636" s="81"/>
      <c r="AW636" s="81"/>
      <c r="AX636" s="83">
        <f>SUM(Prog_23[[#This Row],[ADIANTAMENTO]]+Prog_23[[#This Row],[SALDO]]+Prog_23[[#This Row],[MARGEM]]+Prog_23[[#This Row],[ESTADIA 1]])</f>
        <v>0</v>
      </c>
      <c r="AY6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36" s="81"/>
      <c r="BA636" s="81"/>
      <c r="BB636" s="81">
        <f>Prog_23[[#This Row],[VLR NF]]*0.1%</f>
        <v>0</v>
      </c>
      <c r="BC636" s="81">
        <f>Prog_23[[#This Row],[VLR NF]]*0.05%</f>
        <v>0</v>
      </c>
      <c r="BD636" s="81"/>
      <c r="BE636" s="81"/>
      <c r="BF636" s="81"/>
      <c r="BG636" s="81"/>
      <c r="BH636" s="81"/>
      <c r="BI636" s="81"/>
      <c r="BJ636" s="81"/>
      <c r="BK636" s="81"/>
      <c r="BL636" s="81"/>
      <c r="BM636" s="81"/>
      <c r="BN636" s="66"/>
      <c r="BO636" s="66"/>
      <c r="BP636" s="66"/>
      <c r="BQ636" s="66" t="str">
        <f>PROPER(TEXT(Prog_23[[#This Row],[PROGRAMAÇÃO CLIENTE]],"mmm"))</f>
        <v>Jan</v>
      </c>
      <c r="BR636" s="66">
        <f>YEAR(Prog_23[[#This Row],[PROGRAMAÇÃO CLIENTE]])</f>
        <v>1900</v>
      </c>
    </row>
    <row r="637" spans="1:70" x14ac:dyDescent="0.25">
      <c r="A637" s="200">
        <f>Prog_23[[#This Row],[CONTEINER]]</f>
        <v>0</v>
      </c>
      <c r="B637" s="86"/>
      <c r="C6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7" s="44"/>
      <c r="E637" s="66"/>
      <c r="F637" s="66"/>
      <c r="G637" s="66"/>
      <c r="H637" s="44"/>
      <c r="I637" s="44"/>
      <c r="J637" s="66"/>
      <c r="K637" s="66"/>
      <c r="L637" s="66"/>
      <c r="M637" s="66"/>
      <c r="N637" s="66">
        <f>SUM(Prog_23[[#This Row],[TARA]]+Prog_23[[#This Row],[PESO]])</f>
        <v>0</v>
      </c>
      <c r="O637" s="44"/>
      <c r="P637" s="66"/>
      <c r="Q637" s="66"/>
      <c r="R637" s="66"/>
      <c r="S637" s="66"/>
      <c r="T637" s="138" t="str">
        <f>IFERROR(LOOKUP($S637,MOTORISTAS!$D$3:$D$916,MOTORISTAS!E$3:$E$916),"")</f>
        <v/>
      </c>
      <c r="U637" s="138" t="str">
        <f>IFERROR(LOOKUP($S637,MOTORISTAS!$D$3:$D$916,MOTORISTAS!F$3:$F$916),"")</f>
        <v/>
      </c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44"/>
      <c r="AG637" s="254">
        <f>Prog_23[[#This Row],[SAÍDA DO CLIENTE]]-Prog_23[[#This Row],[PROGRAMAÇÃO CLIENTE]]</f>
        <v>0</v>
      </c>
      <c r="AH637" s="44"/>
      <c r="AI637" s="66"/>
      <c r="AJ637" s="66"/>
      <c r="AK637" s="66"/>
      <c r="AL637" s="66"/>
      <c r="AM637" s="66"/>
      <c r="AN637" s="83"/>
      <c r="AO637" s="83"/>
      <c r="AP637" s="83"/>
      <c r="AQ637" s="66"/>
      <c r="AR637" s="66"/>
      <c r="AS637" s="66"/>
      <c r="AT637" s="81"/>
      <c r="AU637" s="81"/>
      <c r="AV637" s="81"/>
      <c r="AW637" s="81"/>
      <c r="AX637" s="83">
        <f>SUM(Prog_23[[#This Row],[ADIANTAMENTO]]+Prog_23[[#This Row],[SALDO]]+Prog_23[[#This Row],[MARGEM]]+Prog_23[[#This Row],[ESTADIA 1]])</f>
        <v>0</v>
      </c>
      <c r="AY6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37" s="81"/>
      <c r="BA637" s="81"/>
      <c r="BB637" s="81">
        <f>Prog_23[[#This Row],[VLR NF]]*0.1%</f>
        <v>0</v>
      </c>
      <c r="BC637" s="81">
        <f>Prog_23[[#This Row],[VLR NF]]*0.05%</f>
        <v>0</v>
      </c>
      <c r="BD637" s="81"/>
      <c r="BE637" s="81"/>
      <c r="BF637" s="81"/>
      <c r="BG637" s="81"/>
      <c r="BH637" s="81"/>
      <c r="BI637" s="81"/>
      <c r="BJ637" s="81"/>
      <c r="BK637" s="81"/>
      <c r="BL637" s="81"/>
      <c r="BM637" s="81"/>
      <c r="BN637" s="66"/>
      <c r="BO637" s="66"/>
      <c r="BP637" s="66"/>
      <c r="BQ637" s="66" t="str">
        <f>PROPER(TEXT(Prog_23[[#This Row],[PROGRAMAÇÃO CLIENTE]],"mmm"))</f>
        <v>Jan</v>
      </c>
      <c r="BR637" s="66">
        <f>YEAR(Prog_23[[#This Row],[PROGRAMAÇÃO CLIENTE]])</f>
        <v>1900</v>
      </c>
    </row>
    <row r="638" spans="1:70" x14ac:dyDescent="0.25">
      <c r="A638" s="201">
        <f>Prog_23[[#This Row],[CONTEINER]]</f>
        <v>0</v>
      </c>
      <c r="B638" s="86"/>
      <c r="C6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8" s="44"/>
      <c r="E638" s="66"/>
      <c r="F638" s="66"/>
      <c r="G638" s="66"/>
      <c r="H638" s="44"/>
      <c r="I638" s="44"/>
      <c r="J638" s="66"/>
      <c r="K638" s="66"/>
      <c r="L638" s="66"/>
      <c r="M638" s="66"/>
      <c r="N638" s="66">
        <f>SUM(Prog_23[[#This Row],[TARA]]+Prog_23[[#This Row],[PESO]])</f>
        <v>0</v>
      </c>
      <c r="O638" s="44"/>
      <c r="P638" s="66"/>
      <c r="Q638" s="66"/>
      <c r="R638" s="66"/>
      <c r="S638" s="66"/>
      <c r="T638" s="138" t="str">
        <f>IFERROR(LOOKUP($S638,MOTORISTAS!$D$3:$D$916,MOTORISTAS!E$3:$E$916),"")</f>
        <v/>
      </c>
      <c r="U638" s="138" t="str">
        <f>IFERROR(LOOKUP($S638,MOTORISTAS!$D$3:$D$916,MOTORISTAS!F$3:$F$916),"")</f>
        <v/>
      </c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44"/>
      <c r="AG638" s="254">
        <f>Prog_23[[#This Row],[SAÍDA DO CLIENTE]]-Prog_23[[#This Row],[PROGRAMAÇÃO CLIENTE]]</f>
        <v>0</v>
      </c>
      <c r="AH638" s="44"/>
      <c r="AI638" s="66"/>
      <c r="AJ638" s="66"/>
      <c r="AK638" s="66"/>
      <c r="AL638" s="66"/>
      <c r="AM638" s="66"/>
      <c r="AN638" s="83"/>
      <c r="AO638" s="83"/>
      <c r="AP638" s="83"/>
      <c r="AQ638" s="66"/>
      <c r="AR638" s="66"/>
      <c r="AS638" s="66"/>
      <c r="AT638" s="81"/>
      <c r="AU638" s="81"/>
      <c r="AV638" s="81"/>
      <c r="AW638" s="81"/>
      <c r="AX638" s="83">
        <f>SUM(Prog_23[[#This Row],[ADIANTAMENTO]]+Prog_23[[#This Row],[SALDO]]+Prog_23[[#This Row],[MARGEM]]+Prog_23[[#This Row],[ESTADIA 1]])</f>
        <v>0</v>
      </c>
      <c r="AY6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38" s="81"/>
      <c r="BA638" s="81"/>
      <c r="BB638" s="81">
        <f>Prog_23[[#This Row],[VLR NF]]*0.1%</f>
        <v>0</v>
      </c>
      <c r="BC638" s="81">
        <f>Prog_23[[#This Row],[VLR NF]]*0.05%</f>
        <v>0</v>
      </c>
      <c r="BD638" s="81"/>
      <c r="BE638" s="81"/>
      <c r="BF638" s="81"/>
      <c r="BG638" s="81"/>
      <c r="BH638" s="81"/>
      <c r="BI638" s="81"/>
      <c r="BJ638" s="81"/>
      <c r="BK638" s="81"/>
      <c r="BL638" s="81"/>
      <c r="BM638" s="81"/>
      <c r="BN638" s="66"/>
      <c r="BO638" s="66"/>
      <c r="BP638" s="66"/>
      <c r="BQ638" s="66" t="str">
        <f>PROPER(TEXT(Prog_23[[#This Row],[PROGRAMAÇÃO CLIENTE]],"mmm"))</f>
        <v>Jan</v>
      </c>
      <c r="BR638" s="66">
        <f>YEAR(Prog_23[[#This Row],[PROGRAMAÇÃO CLIENTE]])</f>
        <v>1900</v>
      </c>
    </row>
    <row r="639" spans="1:70" x14ac:dyDescent="0.25">
      <c r="A639" s="200">
        <f>Prog_23[[#This Row],[CONTEINER]]</f>
        <v>0</v>
      </c>
      <c r="B639" s="86"/>
      <c r="C6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39" s="44"/>
      <c r="E639" s="66"/>
      <c r="F639" s="66"/>
      <c r="G639" s="66"/>
      <c r="H639" s="44"/>
      <c r="I639" s="44"/>
      <c r="J639" s="66"/>
      <c r="K639" s="66"/>
      <c r="L639" s="66"/>
      <c r="M639" s="66"/>
      <c r="N639" s="66">
        <f>SUM(Prog_23[[#This Row],[TARA]]+Prog_23[[#This Row],[PESO]])</f>
        <v>0</v>
      </c>
      <c r="O639" s="44"/>
      <c r="P639" s="66"/>
      <c r="Q639" s="66"/>
      <c r="R639" s="66"/>
      <c r="S639" s="66"/>
      <c r="T639" s="138" t="str">
        <f>IFERROR(LOOKUP($S639,MOTORISTAS!$D$3:$D$916,MOTORISTAS!E$3:$E$916),"")</f>
        <v/>
      </c>
      <c r="U639" s="138" t="str">
        <f>IFERROR(LOOKUP($S639,MOTORISTAS!$D$3:$D$916,MOTORISTAS!F$3:$F$916),"")</f>
        <v/>
      </c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44"/>
      <c r="AG639" s="254">
        <f>Prog_23[[#This Row],[SAÍDA DO CLIENTE]]-Prog_23[[#This Row],[PROGRAMAÇÃO CLIENTE]]</f>
        <v>0</v>
      </c>
      <c r="AH639" s="44"/>
      <c r="AI639" s="66"/>
      <c r="AJ639" s="66"/>
      <c r="AK639" s="66"/>
      <c r="AL639" s="66"/>
      <c r="AM639" s="66"/>
      <c r="AN639" s="83"/>
      <c r="AO639" s="83"/>
      <c r="AP639" s="83"/>
      <c r="AQ639" s="66"/>
      <c r="AR639" s="66"/>
      <c r="AS639" s="66"/>
      <c r="AT639" s="81"/>
      <c r="AU639" s="81"/>
      <c r="AV639" s="81"/>
      <c r="AW639" s="81"/>
      <c r="AX639" s="83">
        <f>SUM(Prog_23[[#This Row],[ADIANTAMENTO]]+Prog_23[[#This Row],[SALDO]]+Prog_23[[#This Row],[MARGEM]]+Prog_23[[#This Row],[ESTADIA 1]])</f>
        <v>0</v>
      </c>
      <c r="AY6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39" s="81"/>
      <c r="BA639" s="81"/>
      <c r="BB639" s="81">
        <f>Prog_23[[#This Row],[VLR NF]]*0.1%</f>
        <v>0</v>
      </c>
      <c r="BC639" s="81">
        <f>Prog_23[[#This Row],[VLR NF]]*0.05%</f>
        <v>0</v>
      </c>
      <c r="BD639" s="81"/>
      <c r="BE639" s="81"/>
      <c r="BF639" s="81"/>
      <c r="BG639" s="81"/>
      <c r="BH639" s="81"/>
      <c r="BI639" s="81"/>
      <c r="BJ639" s="81"/>
      <c r="BK639" s="81"/>
      <c r="BL639" s="81"/>
      <c r="BM639" s="81"/>
      <c r="BN639" s="66"/>
      <c r="BO639" s="66"/>
      <c r="BP639" s="66"/>
      <c r="BQ639" s="66" t="str">
        <f>PROPER(TEXT(Prog_23[[#This Row],[PROGRAMAÇÃO CLIENTE]],"mmm"))</f>
        <v>Jan</v>
      </c>
      <c r="BR639" s="66">
        <f>YEAR(Prog_23[[#This Row],[PROGRAMAÇÃO CLIENTE]])</f>
        <v>1900</v>
      </c>
    </row>
    <row r="640" spans="1:70" x14ac:dyDescent="0.25">
      <c r="A640" s="201">
        <f>Prog_23[[#This Row],[CONTEINER]]</f>
        <v>0</v>
      </c>
      <c r="B640" s="86"/>
      <c r="C6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0" s="44"/>
      <c r="E640" s="66"/>
      <c r="F640" s="66"/>
      <c r="G640" s="66"/>
      <c r="H640" s="44"/>
      <c r="I640" s="44"/>
      <c r="J640" s="66"/>
      <c r="K640" s="66"/>
      <c r="L640" s="66"/>
      <c r="M640" s="66"/>
      <c r="N640" s="66">
        <f>SUM(Prog_23[[#This Row],[TARA]]+Prog_23[[#This Row],[PESO]])</f>
        <v>0</v>
      </c>
      <c r="O640" s="44"/>
      <c r="P640" s="66"/>
      <c r="Q640" s="66"/>
      <c r="R640" s="66"/>
      <c r="S640" s="66"/>
      <c r="T640" s="138" t="str">
        <f>IFERROR(LOOKUP($S640,MOTORISTAS!$D$3:$D$916,MOTORISTAS!E$3:$E$916),"")</f>
        <v/>
      </c>
      <c r="U640" s="138" t="str">
        <f>IFERROR(LOOKUP($S640,MOTORISTAS!$D$3:$D$916,MOTORISTAS!F$3:$F$916),"")</f>
        <v/>
      </c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44"/>
      <c r="AG640" s="254">
        <f>Prog_23[[#This Row],[SAÍDA DO CLIENTE]]-Prog_23[[#This Row],[PROGRAMAÇÃO CLIENTE]]</f>
        <v>0</v>
      </c>
      <c r="AH640" s="44"/>
      <c r="AI640" s="66"/>
      <c r="AJ640" s="66"/>
      <c r="AK640" s="66"/>
      <c r="AL640" s="66"/>
      <c r="AM640" s="66"/>
      <c r="AN640" s="83"/>
      <c r="AO640" s="83"/>
      <c r="AP640" s="83"/>
      <c r="AQ640" s="66"/>
      <c r="AR640" s="66"/>
      <c r="AS640" s="66"/>
      <c r="AT640" s="81"/>
      <c r="AU640" s="81"/>
      <c r="AV640" s="81"/>
      <c r="AW640" s="81"/>
      <c r="AX640" s="83">
        <f>SUM(Prog_23[[#This Row],[ADIANTAMENTO]]+Prog_23[[#This Row],[SALDO]]+Prog_23[[#This Row],[MARGEM]]+Prog_23[[#This Row],[ESTADIA 1]])</f>
        <v>0</v>
      </c>
      <c r="AY6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40" s="81"/>
      <c r="BA640" s="81"/>
      <c r="BB640" s="81">
        <f>Prog_23[[#This Row],[VLR NF]]*0.1%</f>
        <v>0</v>
      </c>
      <c r="BC640" s="81">
        <f>Prog_23[[#This Row],[VLR NF]]*0.05%</f>
        <v>0</v>
      </c>
      <c r="BD640" s="81"/>
      <c r="BE640" s="81"/>
      <c r="BF640" s="81"/>
      <c r="BG640" s="81"/>
      <c r="BH640" s="81"/>
      <c r="BI640" s="81"/>
      <c r="BJ640" s="81"/>
      <c r="BK640" s="81"/>
      <c r="BL640" s="81"/>
      <c r="BM640" s="81"/>
      <c r="BN640" s="66"/>
      <c r="BO640" s="66"/>
      <c r="BP640" s="66"/>
      <c r="BQ640" s="66" t="str">
        <f>PROPER(TEXT(Prog_23[[#This Row],[PROGRAMAÇÃO CLIENTE]],"mmm"))</f>
        <v>Jan</v>
      </c>
      <c r="BR640" s="66">
        <f>YEAR(Prog_23[[#This Row],[PROGRAMAÇÃO CLIENTE]])</f>
        <v>1900</v>
      </c>
    </row>
    <row r="641" spans="1:70" x14ac:dyDescent="0.25">
      <c r="A641" s="200">
        <f>Prog_23[[#This Row],[CONTEINER]]</f>
        <v>0</v>
      </c>
      <c r="B641" s="86"/>
      <c r="C6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1" s="44"/>
      <c r="E641" s="66"/>
      <c r="F641" s="66"/>
      <c r="G641" s="66"/>
      <c r="H641" s="44"/>
      <c r="I641" s="44"/>
      <c r="J641" s="66"/>
      <c r="K641" s="66"/>
      <c r="L641" s="66"/>
      <c r="M641" s="66"/>
      <c r="N641" s="66">
        <f>SUM(Prog_23[[#This Row],[TARA]]+Prog_23[[#This Row],[PESO]])</f>
        <v>0</v>
      </c>
      <c r="O641" s="44"/>
      <c r="P641" s="66"/>
      <c r="Q641" s="66"/>
      <c r="R641" s="66"/>
      <c r="S641" s="66"/>
      <c r="T641" s="138" t="str">
        <f>IFERROR(LOOKUP($S641,MOTORISTAS!$D$3:$D$916,MOTORISTAS!E$3:$E$916),"")</f>
        <v/>
      </c>
      <c r="U641" s="138" t="str">
        <f>IFERROR(LOOKUP($S641,MOTORISTAS!$D$3:$D$916,MOTORISTAS!F$3:$F$916),"")</f>
        <v/>
      </c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44"/>
      <c r="AG641" s="254">
        <f>Prog_23[[#This Row],[SAÍDA DO CLIENTE]]-Prog_23[[#This Row],[PROGRAMAÇÃO CLIENTE]]</f>
        <v>0</v>
      </c>
      <c r="AH641" s="44"/>
      <c r="AI641" s="66"/>
      <c r="AJ641" s="66"/>
      <c r="AK641" s="66"/>
      <c r="AL641" s="66"/>
      <c r="AM641" s="66"/>
      <c r="AN641" s="83"/>
      <c r="AO641" s="83"/>
      <c r="AP641" s="83"/>
      <c r="AQ641" s="66"/>
      <c r="AR641" s="66"/>
      <c r="AS641" s="66"/>
      <c r="AT641" s="81"/>
      <c r="AU641" s="81"/>
      <c r="AV641" s="81"/>
      <c r="AW641" s="81"/>
      <c r="AX641" s="83">
        <f>SUM(Prog_23[[#This Row],[ADIANTAMENTO]]+Prog_23[[#This Row],[SALDO]]+Prog_23[[#This Row],[MARGEM]]+Prog_23[[#This Row],[ESTADIA 1]])</f>
        <v>0</v>
      </c>
      <c r="AY6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41" s="81"/>
      <c r="BA641" s="81"/>
      <c r="BB641" s="81">
        <f>Prog_23[[#This Row],[VLR NF]]*0.1%</f>
        <v>0</v>
      </c>
      <c r="BC641" s="81">
        <f>Prog_23[[#This Row],[VLR NF]]*0.05%</f>
        <v>0</v>
      </c>
      <c r="BD641" s="81"/>
      <c r="BE641" s="81"/>
      <c r="BF641" s="81"/>
      <c r="BG641" s="81"/>
      <c r="BH641" s="81"/>
      <c r="BI641" s="81"/>
      <c r="BJ641" s="81"/>
      <c r="BK641" s="81"/>
      <c r="BL641" s="81"/>
      <c r="BM641" s="81"/>
      <c r="BN641" s="66"/>
      <c r="BO641" s="66"/>
      <c r="BP641" s="66"/>
      <c r="BQ641" s="66" t="str">
        <f>PROPER(TEXT(Prog_23[[#This Row],[PROGRAMAÇÃO CLIENTE]],"mmm"))</f>
        <v>Jan</v>
      </c>
      <c r="BR641" s="66">
        <f>YEAR(Prog_23[[#This Row],[PROGRAMAÇÃO CLIENTE]])</f>
        <v>1900</v>
      </c>
    </row>
    <row r="642" spans="1:70" x14ac:dyDescent="0.25">
      <c r="A642" s="201">
        <f>Prog_23[[#This Row],[CONTEINER]]</f>
        <v>0</v>
      </c>
      <c r="B642" s="86"/>
      <c r="C6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2" s="44"/>
      <c r="E642" s="66"/>
      <c r="F642" s="66"/>
      <c r="G642" s="66"/>
      <c r="H642" s="44"/>
      <c r="I642" s="44"/>
      <c r="J642" s="66"/>
      <c r="K642" s="66"/>
      <c r="L642" s="66"/>
      <c r="M642" s="66"/>
      <c r="N642" s="66">
        <f>SUM(Prog_23[[#This Row],[TARA]]+Prog_23[[#This Row],[PESO]])</f>
        <v>0</v>
      </c>
      <c r="O642" s="44"/>
      <c r="P642" s="66"/>
      <c r="Q642" s="66"/>
      <c r="R642" s="66"/>
      <c r="S642" s="66"/>
      <c r="T642" s="138" t="str">
        <f>IFERROR(LOOKUP($S642,MOTORISTAS!$D$3:$D$916,MOTORISTAS!E$3:$E$916),"")</f>
        <v/>
      </c>
      <c r="U642" s="138" t="str">
        <f>IFERROR(LOOKUP($S642,MOTORISTAS!$D$3:$D$916,MOTORISTAS!F$3:$F$916),"")</f>
        <v/>
      </c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44"/>
      <c r="AG642" s="254">
        <f>Prog_23[[#This Row],[SAÍDA DO CLIENTE]]-Prog_23[[#This Row],[PROGRAMAÇÃO CLIENTE]]</f>
        <v>0</v>
      </c>
      <c r="AH642" s="44"/>
      <c r="AI642" s="66"/>
      <c r="AJ642" s="66"/>
      <c r="AK642" s="66"/>
      <c r="AL642" s="66"/>
      <c r="AM642" s="66"/>
      <c r="AN642" s="83"/>
      <c r="AO642" s="83"/>
      <c r="AP642" s="83"/>
      <c r="AQ642" s="66"/>
      <c r="AR642" s="66"/>
      <c r="AS642" s="66"/>
      <c r="AT642" s="81"/>
      <c r="AU642" s="81"/>
      <c r="AV642" s="81"/>
      <c r="AW642" s="81"/>
      <c r="AX642" s="83">
        <f>SUM(Prog_23[[#This Row],[ADIANTAMENTO]]+Prog_23[[#This Row],[SALDO]]+Prog_23[[#This Row],[MARGEM]]+Prog_23[[#This Row],[ESTADIA 1]])</f>
        <v>0</v>
      </c>
      <c r="AY6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42" s="81"/>
      <c r="BA642" s="81"/>
      <c r="BB642" s="81">
        <f>Prog_23[[#This Row],[VLR NF]]*0.1%</f>
        <v>0</v>
      </c>
      <c r="BC642" s="81">
        <f>Prog_23[[#This Row],[VLR NF]]*0.05%</f>
        <v>0</v>
      </c>
      <c r="BD642" s="81"/>
      <c r="BE642" s="81"/>
      <c r="BF642" s="81"/>
      <c r="BG642" s="81"/>
      <c r="BH642" s="81"/>
      <c r="BI642" s="81"/>
      <c r="BJ642" s="81"/>
      <c r="BK642" s="81"/>
      <c r="BL642" s="81"/>
      <c r="BM642" s="81"/>
      <c r="BN642" s="66"/>
      <c r="BO642" s="66"/>
      <c r="BP642" s="66"/>
      <c r="BQ642" s="66" t="str">
        <f>PROPER(TEXT(Prog_23[[#This Row],[PROGRAMAÇÃO CLIENTE]],"mmm"))</f>
        <v>Jan</v>
      </c>
      <c r="BR642" s="66">
        <f>YEAR(Prog_23[[#This Row],[PROGRAMAÇÃO CLIENTE]])</f>
        <v>1900</v>
      </c>
    </row>
    <row r="643" spans="1:70" x14ac:dyDescent="0.25">
      <c r="A643" s="200">
        <f>Prog_23[[#This Row],[CONTEINER]]</f>
        <v>0</v>
      </c>
      <c r="B643" s="86"/>
      <c r="C6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3" s="44"/>
      <c r="E643" s="66"/>
      <c r="F643" s="66"/>
      <c r="G643" s="66"/>
      <c r="H643" s="44"/>
      <c r="I643" s="44"/>
      <c r="J643" s="66"/>
      <c r="K643" s="66"/>
      <c r="L643" s="66"/>
      <c r="M643" s="66"/>
      <c r="N643" s="66">
        <f>SUM(Prog_23[[#This Row],[TARA]]+Prog_23[[#This Row],[PESO]])</f>
        <v>0</v>
      </c>
      <c r="O643" s="44"/>
      <c r="P643" s="66"/>
      <c r="Q643" s="66"/>
      <c r="R643" s="66"/>
      <c r="S643" s="66"/>
      <c r="T643" s="138" t="str">
        <f>IFERROR(LOOKUP($S643,MOTORISTAS!$D$3:$D$916,MOTORISTAS!E$3:$E$916),"")</f>
        <v/>
      </c>
      <c r="U643" s="138" t="str">
        <f>IFERROR(LOOKUP($S643,MOTORISTAS!$D$3:$D$916,MOTORISTAS!F$3:$F$916),"")</f>
        <v/>
      </c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44"/>
      <c r="AG643" s="254">
        <f>Prog_23[[#This Row],[SAÍDA DO CLIENTE]]-Prog_23[[#This Row],[PROGRAMAÇÃO CLIENTE]]</f>
        <v>0</v>
      </c>
      <c r="AH643" s="44"/>
      <c r="AI643" s="66"/>
      <c r="AJ643" s="66"/>
      <c r="AK643" s="66"/>
      <c r="AL643" s="66"/>
      <c r="AM643" s="66"/>
      <c r="AN643" s="83"/>
      <c r="AO643" s="83"/>
      <c r="AP643" s="83"/>
      <c r="AQ643" s="66"/>
      <c r="AR643" s="66"/>
      <c r="AS643" s="66"/>
      <c r="AT643" s="81"/>
      <c r="AU643" s="81"/>
      <c r="AV643" s="81"/>
      <c r="AW643" s="81"/>
      <c r="AX643" s="83">
        <f>SUM(Prog_23[[#This Row],[ADIANTAMENTO]]+Prog_23[[#This Row],[SALDO]]+Prog_23[[#This Row],[MARGEM]]+Prog_23[[#This Row],[ESTADIA 1]])</f>
        <v>0</v>
      </c>
      <c r="AY6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43" s="81"/>
      <c r="BA643" s="81"/>
      <c r="BB643" s="81">
        <f>Prog_23[[#This Row],[VLR NF]]*0.1%</f>
        <v>0</v>
      </c>
      <c r="BC643" s="81">
        <f>Prog_23[[#This Row],[VLR NF]]*0.05%</f>
        <v>0</v>
      </c>
      <c r="BD643" s="81"/>
      <c r="BE643" s="81"/>
      <c r="BF643" s="81"/>
      <c r="BG643" s="81"/>
      <c r="BH643" s="81"/>
      <c r="BI643" s="81"/>
      <c r="BJ643" s="81"/>
      <c r="BK643" s="81"/>
      <c r="BL643" s="81"/>
      <c r="BM643" s="81"/>
      <c r="BN643" s="66"/>
      <c r="BO643" s="66"/>
      <c r="BP643" s="66"/>
      <c r="BQ643" s="66" t="str">
        <f>PROPER(TEXT(Prog_23[[#This Row],[PROGRAMAÇÃO CLIENTE]],"mmm"))</f>
        <v>Jan</v>
      </c>
      <c r="BR643" s="66">
        <f>YEAR(Prog_23[[#This Row],[PROGRAMAÇÃO CLIENTE]])</f>
        <v>1900</v>
      </c>
    </row>
    <row r="644" spans="1:70" x14ac:dyDescent="0.25">
      <c r="A644" s="201">
        <f>Prog_23[[#This Row],[CONTEINER]]</f>
        <v>0</v>
      </c>
      <c r="B644" s="86"/>
      <c r="C6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4" s="44"/>
      <c r="E644" s="66"/>
      <c r="F644" s="66"/>
      <c r="G644" s="66"/>
      <c r="H644" s="44"/>
      <c r="I644" s="44"/>
      <c r="J644" s="66"/>
      <c r="K644" s="66"/>
      <c r="L644" s="66"/>
      <c r="M644" s="66"/>
      <c r="N644" s="66">
        <f>SUM(Prog_23[[#This Row],[TARA]]+Prog_23[[#This Row],[PESO]])</f>
        <v>0</v>
      </c>
      <c r="O644" s="44"/>
      <c r="P644" s="66"/>
      <c r="Q644" s="66"/>
      <c r="R644" s="66"/>
      <c r="S644" s="66"/>
      <c r="T644" s="138" t="str">
        <f>IFERROR(LOOKUP($S644,MOTORISTAS!$D$3:$D$916,MOTORISTAS!E$3:$E$916),"")</f>
        <v/>
      </c>
      <c r="U644" s="138" t="str">
        <f>IFERROR(LOOKUP($S644,MOTORISTAS!$D$3:$D$916,MOTORISTAS!F$3:$F$916),"")</f>
        <v/>
      </c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44"/>
      <c r="AG644" s="254">
        <f>Prog_23[[#This Row],[SAÍDA DO CLIENTE]]-Prog_23[[#This Row],[PROGRAMAÇÃO CLIENTE]]</f>
        <v>0</v>
      </c>
      <c r="AH644" s="44"/>
      <c r="AI644" s="66"/>
      <c r="AJ644" s="66"/>
      <c r="AK644" s="66"/>
      <c r="AL644" s="66"/>
      <c r="AM644" s="66"/>
      <c r="AN644" s="83"/>
      <c r="AO644" s="83"/>
      <c r="AP644" s="83"/>
      <c r="AQ644" s="66"/>
      <c r="AR644" s="66"/>
      <c r="AS644" s="66"/>
      <c r="AT644" s="81"/>
      <c r="AU644" s="81"/>
      <c r="AV644" s="81"/>
      <c r="AW644" s="81"/>
      <c r="AX644" s="83">
        <f>SUM(Prog_23[[#This Row],[ADIANTAMENTO]]+Prog_23[[#This Row],[SALDO]]+Prog_23[[#This Row],[MARGEM]]+Prog_23[[#This Row],[ESTADIA 1]])</f>
        <v>0</v>
      </c>
      <c r="AY6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44" s="81"/>
      <c r="BA644" s="81"/>
      <c r="BB644" s="81">
        <f>Prog_23[[#This Row],[VLR NF]]*0.1%</f>
        <v>0</v>
      </c>
      <c r="BC644" s="81">
        <f>Prog_23[[#This Row],[VLR NF]]*0.05%</f>
        <v>0</v>
      </c>
      <c r="BD644" s="81"/>
      <c r="BE644" s="81"/>
      <c r="BF644" s="81"/>
      <c r="BG644" s="81"/>
      <c r="BH644" s="81"/>
      <c r="BI644" s="81"/>
      <c r="BJ644" s="81"/>
      <c r="BK644" s="81"/>
      <c r="BL644" s="81"/>
      <c r="BM644" s="81"/>
      <c r="BN644" s="66"/>
      <c r="BO644" s="66"/>
      <c r="BP644" s="66"/>
      <c r="BQ644" s="66" t="str">
        <f>PROPER(TEXT(Prog_23[[#This Row],[PROGRAMAÇÃO CLIENTE]],"mmm"))</f>
        <v>Jan</v>
      </c>
      <c r="BR644" s="66">
        <f>YEAR(Prog_23[[#This Row],[PROGRAMAÇÃO CLIENTE]])</f>
        <v>1900</v>
      </c>
    </row>
    <row r="645" spans="1:70" x14ac:dyDescent="0.25">
      <c r="A645" s="200">
        <f>Prog_23[[#This Row],[CONTEINER]]</f>
        <v>0</v>
      </c>
      <c r="B645" s="86"/>
      <c r="C6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5" s="44"/>
      <c r="E645" s="66"/>
      <c r="F645" s="66"/>
      <c r="G645" s="66"/>
      <c r="H645" s="44"/>
      <c r="I645" s="44"/>
      <c r="J645" s="66"/>
      <c r="K645" s="66"/>
      <c r="L645" s="66"/>
      <c r="M645" s="66"/>
      <c r="N645" s="66">
        <f>SUM(Prog_23[[#This Row],[TARA]]+Prog_23[[#This Row],[PESO]])</f>
        <v>0</v>
      </c>
      <c r="O645" s="44"/>
      <c r="P645" s="66"/>
      <c r="Q645" s="66"/>
      <c r="R645" s="66"/>
      <c r="S645" s="66"/>
      <c r="T645" s="138" t="str">
        <f>IFERROR(LOOKUP($S645,MOTORISTAS!$D$3:$D$916,MOTORISTAS!E$3:$E$916),"")</f>
        <v/>
      </c>
      <c r="U645" s="138" t="str">
        <f>IFERROR(LOOKUP($S645,MOTORISTAS!$D$3:$D$916,MOTORISTAS!F$3:$F$916),"")</f>
        <v/>
      </c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44"/>
      <c r="AG645" s="254">
        <f>Prog_23[[#This Row],[SAÍDA DO CLIENTE]]-Prog_23[[#This Row],[PROGRAMAÇÃO CLIENTE]]</f>
        <v>0</v>
      </c>
      <c r="AH645" s="44"/>
      <c r="AI645" s="66"/>
      <c r="AJ645" s="66"/>
      <c r="AK645" s="66"/>
      <c r="AL645" s="66"/>
      <c r="AM645" s="66"/>
      <c r="AN645" s="83"/>
      <c r="AO645" s="83"/>
      <c r="AP645" s="83"/>
      <c r="AQ645" s="66"/>
      <c r="AR645" s="66"/>
      <c r="AS645" s="66"/>
      <c r="AT645" s="81"/>
      <c r="AU645" s="81"/>
      <c r="AV645" s="81"/>
      <c r="AW645" s="81"/>
      <c r="AX645" s="83">
        <f>SUM(Prog_23[[#This Row],[ADIANTAMENTO]]+Prog_23[[#This Row],[SALDO]]+Prog_23[[#This Row],[MARGEM]]+Prog_23[[#This Row],[ESTADIA 1]])</f>
        <v>0</v>
      </c>
      <c r="AY6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45" s="81"/>
      <c r="BA645" s="81"/>
      <c r="BB645" s="81">
        <f>Prog_23[[#This Row],[VLR NF]]*0.1%</f>
        <v>0</v>
      </c>
      <c r="BC645" s="81">
        <f>Prog_23[[#This Row],[VLR NF]]*0.05%</f>
        <v>0</v>
      </c>
      <c r="BD645" s="81"/>
      <c r="BE645" s="81"/>
      <c r="BF645" s="81"/>
      <c r="BG645" s="81"/>
      <c r="BH645" s="81"/>
      <c r="BI645" s="81"/>
      <c r="BJ645" s="81"/>
      <c r="BK645" s="81"/>
      <c r="BL645" s="81"/>
      <c r="BM645" s="81"/>
      <c r="BN645" s="66"/>
      <c r="BO645" s="66"/>
      <c r="BP645" s="66"/>
      <c r="BQ645" s="66" t="str">
        <f>PROPER(TEXT(Prog_23[[#This Row],[PROGRAMAÇÃO CLIENTE]],"mmm"))</f>
        <v>Jan</v>
      </c>
      <c r="BR645" s="66">
        <f>YEAR(Prog_23[[#This Row],[PROGRAMAÇÃO CLIENTE]])</f>
        <v>1900</v>
      </c>
    </row>
    <row r="646" spans="1:70" x14ac:dyDescent="0.25">
      <c r="A646" s="201">
        <f>Prog_23[[#This Row],[CONTEINER]]</f>
        <v>0</v>
      </c>
      <c r="B646" s="86"/>
      <c r="C6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6" s="44"/>
      <c r="E646" s="66"/>
      <c r="F646" s="66"/>
      <c r="G646" s="66"/>
      <c r="H646" s="44"/>
      <c r="I646" s="44"/>
      <c r="J646" s="66"/>
      <c r="K646" s="66"/>
      <c r="L646" s="66"/>
      <c r="M646" s="66"/>
      <c r="N646" s="66">
        <f>SUM(Prog_23[[#This Row],[TARA]]+Prog_23[[#This Row],[PESO]])</f>
        <v>0</v>
      </c>
      <c r="O646" s="44"/>
      <c r="P646" s="66"/>
      <c r="Q646" s="66"/>
      <c r="R646" s="66"/>
      <c r="S646" s="66"/>
      <c r="T646" s="138" t="str">
        <f>IFERROR(LOOKUP($S646,MOTORISTAS!$D$3:$D$916,MOTORISTAS!E$3:$E$916),"")</f>
        <v/>
      </c>
      <c r="U646" s="138" t="str">
        <f>IFERROR(LOOKUP($S646,MOTORISTAS!$D$3:$D$916,MOTORISTAS!F$3:$F$916),"")</f>
        <v/>
      </c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44"/>
      <c r="AG646" s="254">
        <f>Prog_23[[#This Row],[SAÍDA DO CLIENTE]]-Prog_23[[#This Row],[PROGRAMAÇÃO CLIENTE]]</f>
        <v>0</v>
      </c>
      <c r="AH646" s="44"/>
      <c r="AI646" s="66"/>
      <c r="AJ646" s="66"/>
      <c r="AK646" s="66"/>
      <c r="AL646" s="66"/>
      <c r="AM646" s="66"/>
      <c r="AN646" s="83"/>
      <c r="AO646" s="83"/>
      <c r="AP646" s="83"/>
      <c r="AQ646" s="66"/>
      <c r="AR646" s="66"/>
      <c r="AS646" s="66"/>
      <c r="AT646" s="81"/>
      <c r="AU646" s="81"/>
      <c r="AV646" s="81"/>
      <c r="AW646" s="81"/>
      <c r="AX646" s="83">
        <f>SUM(Prog_23[[#This Row],[ADIANTAMENTO]]+Prog_23[[#This Row],[SALDO]]+Prog_23[[#This Row],[MARGEM]]+Prog_23[[#This Row],[ESTADIA 1]])</f>
        <v>0</v>
      </c>
      <c r="AY6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46" s="81"/>
      <c r="BA646" s="81"/>
      <c r="BB646" s="81">
        <f>Prog_23[[#This Row],[VLR NF]]*0.1%</f>
        <v>0</v>
      </c>
      <c r="BC646" s="81">
        <f>Prog_23[[#This Row],[VLR NF]]*0.05%</f>
        <v>0</v>
      </c>
      <c r="BD646" s="81"/>
      <c r="BE646" s="81"/>
      <c r="BF646" s="81"/>
      <c r="BG646" s="81"/>
      <c r="BH646" s="81"/>
      <c r="BI646" s="81"/>
      <c r="BJ646" s="81"/>
      <c r="BK646" s="81"/>
      <c r="BL646" s="81"/>
      <c r="BM646" s="81"/>
      <c r="BN646" s="66"/>
      <c r="BO646" s="66"/>
      <c r="BP646" s="66"/>
      <c r="BQ646" s="66" t="str">
        <f>PROPER(TEXT(Prog_23[[#This Row],[PROGRAMAÇÃO CLIENTE]],"mmm"))</f>
        <v>Jan</v>
      </c>
      <c r="BR646" s="66">
        <f>YEAR(Prog_23[[#This Row],[PROGRAMAÇÃO CLIENTE]])</f>
        <v>1900</v>
      </c>
    </row>
    <row r="647" spans="1:70" x14ac:dyDescent="0.25">
      <c r="A647" s="200">
        <f>Prog_23[[#This Row],[CONTEINER]]</f>
        <v>0</v>
      </c>
      <c r="B647" s="86"/>
      <c r="C6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7" s="44"/>
      <c r="E647" s="66"/>
      <c r="F647" s="66"/>
      <c r="G647" s="66"/>
      <c r="H647" s="44"/>
      <c r="I647" s="44"/>
      <c r="J647" s="66"/>
      <c r="K647" s="66"/>
      <c r="L647" s="66"/>
      <c r="M647" s="66"/>
      <c r="N647" s="66">
        <f>SUM(Prog_23[[#This Row],[TARA]]+Prog_23[[#This Row],[PESO]])</f>
        <v>0</v>
      </c>
      <c r="O647" s="44"/>
      <c r="P647" s="66"/>
      <c r="Q647" s="66"/>
      <c r="R647" s="66"/>
      <c r="S647" s="66"/>
      <c r="T647" s="138" t="str">
        <f>IFERROR(LOOKUP($S647,MOTORISTAS!$D$3:$D$916,MOTORISTAS!E$3:$E$916),"")</f>
        <v/>
      </c>
      <c r="U647" s="138" t="str">
        <f>IFERROR(LOOKUP($S647,MOTORISTAS!$D$3:$D$916,MOTORISTAS!F$3:$F$916),"")</f>
        <v/>
      </c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44"/>
      <c r="AG647" s="254">
        <f>Prog_23[[#This Row],[SAÍDA DO CLIENTE]]-Prog_23[[#This Row],[PROGRAMAÇÃO CLIENTE]]</f>
        <v>0</v>
      </c>
      <c r="AH647" s="44"/>
      <c r="AI647" s="66"/>
      <c r="AJ647" s="66"/>
      <c r="AK647" s="66"/>
      <c r="AL647" s="66"/>
      <c r="AM647" s="66"/>
      <c r="AN647" s="83"/>
      <c r="AO647" s="83"/>
      <c r="AP647" s="83"/>
      <c r="AQ647" s="66"/>
      <c r="AR647" s="66"/>
      <c r="AS647" s="66"/>
      <c r="AT647" s="81"/>
      <c r="AU647" s="81"/>
      <c r="AV647" s="81"/>
      <c r="AW647" s="81"/>
      <c r="AX647" s="83">
        <f>SUM(Prog_23[[#This Row],[ADIANTAMENTO]]+Prog_23[[#This Row],[SALDO]]+Prog_23[[#This Row],[MARGEM]]+Prog_23[[#This Row],[ESTADIA 1]])</f>
        <v>0</v>
      </c>
      <c r="AY6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47" s="81"/>
      <c r="BA647" s="81"/>
      <c r="BB647" s="81">
        <f>Prog_23[[#This Row],[VLR NF]]*0.1%</f>
        <v>0</v>
      </c>
      <c r="BC647" s="81">
        <f>Prog_23[[#This Row],[VLR NF]]*0.05%</f>
        <v>0</v>
      </c>
      <c r="BD647" s="81"/>
      <c r="BE647" s="81"/>
      <c r="BF647" s="81"/>
      <c r="BG647" s="81"/>
      <c r="BH647" s="81"/>
      <c r="BI647" s="81"/>
      <c r="BJ647" s="81"/>
      <c r="BK647" s="81"/>
      <c r="BL647" s="81"/>
      <c r="BM647" s="81"/>
      <c r="BN647" s="66"/>
      <c r="BO647" s="66"/>
      <c r="BP647" s="66"/>
      <c r="BQ647" s="66" t="str">
        <f>PROPER(TEXT(Prog_23[[#This Row],[PROGRAMAÇÃO CLIENTE]],"mmm"))</f>
        <v>Jan</v>
      </c>
      <c r="BR647" s="66">
        <f>YEAR(Prog_23[[#This Row],[PROGRAMAÇÃO CLIENTE]])</f>
        <v>1900</v>
      </c>
    </row>
    <row r="648" spans="1:70" x14ac:dyDescent="0.25">
      <c r="A648" s="201">
        <f>Prog_23[[#This Row],[CONTEINER]]</f>
        <v>0</v>
      </c>
      <c r="B648" s="86"/>
      <c r="C6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8" s="44"/>
      <c r="E648" s="66"/>
      <c r="F648" s="66"/>
      <c r="G648" s="66"/>
      <c r="H648" s="44"/>
      <c r="I648" s="44"/>
      <c r="J648" s="66"/>
      <c r="K648" s="66"/>
      <c r="L648" s="66"/>
      <c r="M648" s="66"/>
      <c r="N648" s="66">
        <f>SUM(Prog_23[[#This Row],[TARA]]+Prog_23[[#This Row],[PESO]])</f>
        <v>0</v>
      </c>
      <c r="O648" s="44"/>
      <c r="P648" s="66"/>
      <c r="Q648" s="66"/>
      <c r="R648" s="66"/>
      <c r="S648" s="66"/>
      <c r="T648" s="138" t="str">
        <f>IFERROR(LOOKUP($S648,MOTORISTAS!$D$3:$D$916,MOTORISTAS!E$3:$E$916),"")</f>
        <v/>
      </c>
      <c r="U648" s="138" t="str">
        <f>IFERROR(LOOKUP($S648,MOTORISTAS!$D$3:$D$916,MOTORISTAS!F$3:$F$916),"")</f>
        <v/>
      </c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44"/>
      <c r="AG648" s="254">
        <f>Prog_23[[#This Row],[SAÍDA DO CLIENTE]]-Prog_23[[#This Row],[PROGRAMAÇÃO CLIENTE]]</f>
        <v>0</v>
      </c>
      <c r="AH648" s="44"/>
      <c r="AI648" s="66"/>
      <c r="AJ648" s="66"/>
      <c r="AK648" s="66"/>
      <c r="AL648" s="66"/>
      <c r="AM648" s="66"/>
      <c r="AN648" s="83"/>
      <c r="AO648" s="83"/>
      <c r="AP648" s="83"/>
      <c r="AQ648" s="66"/>
      <c r="AR648" s="66"/>
      <c r="AS648" s="66"/>
      <c r="AT648" s="81"/>
      <c r="AU648" s="81"/>
      <c r="AV648" s="81"/>
      <c r="AW648" s="81"/>
      <c r="AX648" s="83">
        <f>SUM(Prog_23[[#This Row],[ADIANTAMENTO]]+Prog_23[[#This Row],[SALDO]]+Prog_23[[#This Row],[MARGEM]]+Prog_23[[#This Row],[ESTADIA 1]])</f>
        <v>0</v>
      </c>
      <c r="AY6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48" s="81"/>
      <c r="BA648" s="81"/>
      <c r="BB648" s="81">
        <f>Prog_23[[#This Row],[VLR NF]]*0.1%</f>
        <v>0</v>
      </c>
      <c r="BC648" s="81">
        <f>Prog_23[[#This Row],[VLR NF]]*0.05%</f>
        <v>0</v>
      </c>
      <c r="BD648" s="81"/>
      <c r="BE648" s="81"/>
      <c r="BF648" s="81"/>
      <c r="BG648" s="81"/>
      <c r="BH648" s="81"/>
      <c r="BI648" s="81"/>
      <c r="BJ648" s="81"/>
      <c r="BK648" s="81"/>
      <c r="BL648" s="81"/>
      <c r="BM648" s="81"/>
      <c r="BN648" s="66"/>
      <c r="BO648" s="66"/>
      <c r="BP648" s="66"/>
      <c r="BQ648" s="66" t="str">
        <f>PROPER(TEXT(Prog_23[[#This Row],[PROGRAMAÇÃO CLIENTE]],"mmm"))</f>
        <v>Jan</v>
      </c>
      <c r="BR648" s="66">
        <f>YEAR(Prog_23[[#This Row],[PROGRAMAÇÃO CLIENTE]])</f>
        <v>1900</v>
      </c>
    </row>
    <row r="649" spans="1:70" x14ac:dyDescent="0.25">
      <c r="A649" s="200">
        <f>Prog_23[[#This Row],[CONTEINER]]</f>
        <v>0</v>
      </c>
      <c r="B649" s="86"/>
      <c r="C6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49" s="44"/>
      <c r="E649" s="66"/>
      <c r="F649" s="66"/>
      <c r="G649" s="66"/>
      <c r="H649" s="44"/>
      <c r="I649" s="44"/>
      <c r="J649" s="66"/>
      <c r="K649" s="66"/>
      <c r="L649" s="66"/>
      <c r="M649" s="66"/>
      <c r="N649" s="66">
        <f>SUM(Prog_23[[#This Row],[TARA]]+Prog_23[[#This Row],[PESO]])</f>
        <v>0</v>
      </c>
      <c r="O649" s="44"/>
      <c r="P649" s="66"/>
      <c r="Q649" s="66"/>
      <c r="R649" s="66"/>
      <c r="S649" s="66"/>
      <c r="T649" s="138" t="str">
        <f>IFERROR(LOOKUP($S649,MOTORISTAS!$D$3:$D$916,MOTORISTAS!E$3:$E$916),"")</f>
        <v/>
      </c>
      <c r="U649" s="138" t="str">
        <f>IFERROR(LOOKUP($S649,MOTORISTAS!$D$3:$D$916,MOTORISTAS!F$3:$F$916),"")</f>
        <v/>
      </c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44"/>
      <c r="AG649" s="254">
        <f>Prog_23[[#This Row],[SAÍDA DO CLIENTE]]-Prog_23[[#This Row],[PROGRAMAÇÃO CLIENTE]]</f>
        <v>0</v>
      </c>
      <c r="AH649" s="44"/>
      <c r="AI649" s="66"/>
      <c r="AJ649" s="66"/>
      <c r="AK649" s="66"/>
      <c r="AL649" s="66"/>
      <c r="AM649" s="66"/>
      <c r="AN649" s="83"/>
      <c r="AO649" s="83"/>
      <c r="AP649" s="83"/>
      <c r="AQ649" s="66"/>
      <c r="AR649" s="66"/>
      <c r="AS649" s="66"/>
      <c r="AT649" s="81"/>
      <c r="AU649" s="81"/>
      <c r="AV649" s="81"/>
      <c r="AW649" s="81"/>
      <c r="AX649" s="83">
        <f>SUM(Prog_23[[#This Row],[ADIANTAMENTO]]+Prog_23[[#This Row],[SALDO]]+Prog_23[[#This Row],[MARGEM]]+Prog_23[[#This Row],[ESTADIA 1]])</f>
        <v>0</v>
      </c>
      <c r="AY6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49" s="81"/>
      <c r="BA649" s="81"/>
      <c r="BB649" s="81">
        <f>Prog_23[[#This Row],[VLR NF]]*0.1%</f>
        <v>0</v>
      </c>
      <c r="BC649" s="81">
        <f>Prog_23[[#This Row],[VLR NF]]*0.05%</f>
        <v>0</v>
      </c>
      <c r="BD649" s="81"/>
      <c r="BE649" s="81"/>
      <c r="BF649" s="81"/>
      <c r="BG649" s="81"/>
      <c r="BH649" s="81"/>
      <c r="BI649" s="81"/>
      <c r="BJ649" s="81"/>
      <c r="BK649" s="81"/>
      <c r="BL649" s="81"/>
      <c r="BM649" s="81"/>
      <c r="BN649" s="66"/>
      <c r="BO649" s="66"/>
      <c r="BP649" s="66"/>
      <c r="BQ649" s="66" t="str">
        <f>PROPER(TEXT(Prog_23[[#This Row],[PROGRAMAÇÃO CLIENTE]],"mmm"))</f>
        <v>Jan</v>
      </c>
      <c r="BR649" s="66">
        <f>YEAR(Prog_23[[#This Row],[PROGRAMAÇÃO CLIENTE]])</f>
        <v>1900</v>
      </c>
    </row>
    <row r="650" spans="1:70" x14ac:dyDescent="0.25">
      <c r="A650" s="201">
        <f>Prog_23[[#This Row],[CONTEINER]]</f>
        <v>0</v>
      </c>
      <c r="B650" s="86"/>
      <c r="C6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0" s="44"/>
      <c r="E650" s="66"/>
      <c r="F650" s="66"/>
      <c r="G650" s="66"/>
      <c r="H650" s="44"/>
      <c r="I650" s="44"/>
      <c r="J650" s="66"/>
      <c r="K650" s="66"/>
      <c r="L650" s="66"/>
      <c r="M650" s="66"/>
      <c r="N650" s="66">
        <f>SUM(Prog_23[[#This Row],[TARA]]+Prog_23[[#This Row],[PESO]])</f>
        <v>0</v>
      </c>
      <c r="O650" s="44"/>
      <c r="P650" s="66"/>
      <c r="Q650" s="66"/>
      <c r="R650" s="66"/>
      <c r="S650" s="66"/>
      <c r="T650" s="138" t="str">
        <f>IFERROR(LOOKUP($S650,MOTORISTAS!$D$3:$D$916,MOTORISTAS!E$3:$E$916),"")</f>
        <v/>
      </c>
      <c r="U650" s="138" t="str">
        <f>IFERROR(LOOKUP($S650,MOTORISTAS!$D$3:$D$916,MOTORISTAS!F$3:$F$916),"")</f>
        <v/>
      </c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44"/>
      <c r="AG650" s="254">
        <f>Prog_23[[#This Row],[SAÍDA DO CLIENTE]]-Prog_23[[#This Row],[PROGRAMAÇÃO CLIENTE]]</f>
        <v>0</v>
      </c>
      <c r="AH650" s="44"/>
      <c r="AI650" s="66"/>
      <c r="AJ650" s="66"/>
      <c r="AK650" s="66"/>
      <c r="AL650" s="66"/>
      <c r="AM650" s="66"/>
      <c r="AN650" s="83"/>
      <c r="AO650" s="83"/>
      <c r="AP650" s="83"/>
      <c r="AQ650" s="66"/>
      <c r="AR650" s="66"/>
      <c r="AS650" s="66"/>
      <c r="AT650" s="81"/>
      <c r="AU650" s="81"/>
      <c r="AV650" s="81"/>
      <c r="AW650" s="81"/>
      <c r="AX650" s="83">
        <f>SUM(Prog_23[[#This Row],[ADIANTAMENTO]]+Prog_23[[#This Row],[SALDO]]+Prog_23[[#This Row],[MARGEM]]+Prog_23[[#This Row],[ESTADIA 1]])</f>
        <v>0</v>
      </c>
      <c r="AY6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50" s="81"/>
      <c r="BA650" s="81"/>
      <c r="BB650" s="81">
        <f>Prog_23[[#This Row],[VLR NF]]*0.1%</f>
        <v>0</v>
      </c>
      <c r="BC650" s="81">
        <f>Prog_23[[#This Row],[VLR NF]]*0.05%</f>
        <v>0</v>
      </c>
      <c r="BD650" s="81"/>
      <c r="BE650" s="81"/>
      <c r="BF650" s="81"/>
      <c r="BG650" s="81"/>
      <c r="BH650" s="81"/>
      <c r="BI650" s="81"/>
      <c r="BJ650" s="81"/>
      <c r="BK650" s="81"/>
      <c r="BL650" s="81"/>
      <c r="BM650" s="81"/>
      <c r="BN650" s="66"/>
      <c r="BO650" s="66"/>
      <c r="BP650" s="66"/>
      <c r="BQ650" s="66" t="str">
        <f>PROPER(TEXT(Prog_23[[#This Row],[PROGRAMAÇÃO CLIENTE]],"mmm"))</f>
        <v>Jan</v>
      </c>
      <c r="BR650" s="66">
        <f>YEAR(Prog_23[[#This Row],[PROGRAMAÇÃO CLIENTE]])</f>
        <v>1900</v>
      </c>
    </row>
    <row r="651" spans="1:70" x14ac:dyDescent="0.25">
      <c r="A651" s="200">
        <f>Prog_23[[#This Row],[CONTEINER]]</f>
        <v>0</v>
      </c>
      <c r="B651" s="86"/>
      <c r="C6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1" s="44"/>
      <c r="E651" s="66"/>
      <c r="F651" s="66"/>
      <c r="G651" s="66"/>
      <c r="H651" s="44"/>
      <c r="I651" s="44"/>
      <c r="J651" s="66"/>
      <c r="K651" s="66"/>
      <c r="L651" s="66"/>
      <c r="M651" s="66"/>
      <c r="N651" s="66">
        <f>SUM(Prog_23[[#This Row],[TARA]]+Prog_23[[#This Row],[PESO]])</f>
        <v>0</v>
      </c>
      <c r="O651" s="44"/>
      <c r="P651" s="66"/>
      <c r="Q651" s="66"/>
      <c r="R651" s="66"/>
      <c r="S651" s="66"/>
      <c r="T651" s="138" t="str">
        <f>IFERROR(LOOKUP($S651,MOTORISTAS!$D$3:$D$916,MOTORISTAS!E$3:$E$916),"")</f>
        <v/>
      </c>
      <c r="U651" s="138" t="str">
        <f>IFERROR(LOOKUP($S651,MOTORISTAS!$D$3:$D$916,MOTORISTAS!F$3:$F$916),"")</f>
        <v/>
      </c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44"/>
      <c r="AG651" s="254">
        <f>Prog_23[[#This Row],[SAÍDA DO CLIENTE]]-Prog_23[[#This Row],[PROGRAMAÇÃO CLIENTE]]</f>
        <v>0</v>
      </c>
      <c r="AH651" s="44"/>
      <c r="AI651" s="66"/>
      <c r="AJ651" s="66"/>
      <c r="AK651" s="66"/>
      <c r="AL651" s="66"/>
      <c r="AM651" s="66"/>
      <c r="AN651" s="83"/>
      <c r="AO651" s="83"/>
      <c r="AP651" s="83"/>
      <c r="AQ651" s="66"/>
      <c r="AR651" s="66"/>
      <c r="AS651" s="66"/>
      <c r="AT651" s="81"/>
      <c r="AU651" s="81"/>
      <c r="AV651" s="81"/>
      <c r="AW651" s="81"/>
      <c r="AX651" s="83">
        <f>SUM(Prog_23[[#This Row],[ADIANTAMENTO]]+Prog_23[[#This Row],[SALDO]]+Prog_23[[#This Row],[MARGEM]]+Prog_23[[#This Row],[ESTADIA 1]])</f>
        <v>0</v>
      </c>
      <c r="AY6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51" s="81"/>
      <c r="BA651" s="81"/>
      <c r="BB651" s="81">
        <f>Prog_23[[#This Row],[VLR NF]]*0.1%</f>
        <v>0</v>
      </c>
      <c r="BC651" s="81">
        <f>Prog_23[[#This Row],[VLR NF]]*0.05%</f>
        <v>0</v>
      </c>
      <c r="BD651" s="81"/>
      <c r="BE651" s="81"/>
      <c r="BF651" s="81"/>
      <c r="BG651" s="81"/>
      <c r="BH651" s="81"/>
      <c r="BI651" s="81"/>
      <c r="BJ651" s="81"/>
      <c r="BK651" s="81"/>
      <c r="BL651" s="81"/>
      <c r="BM651" s="81"/>
      <c r="BN651" s="66"/>
      <c r="BO651" s="66"/>
      <c r="BP651" s="66"/>
      <c r="BQ651" s="66" t="str">
        <f>PROPER(TEXT(Prog_23[[#This Row],[PROGRAMAÇÃO CLIENTE]],"mmm"))</f>
        <v>Jan</v>
      </c>
      <c r="BR651" s="66">
        <f>YEAR(Prog_23[[#This Row],[PROGRAMAÇÃO CLIENTE]])</f>
        <v>1900</v>
      </c>
    </row>
    <row r="652" spans="1:70" x14ac:dyDescent="0.25">
      <c r="A652" s="201">
        <f>Prog_23[[#This Row],[CONTEINER]]</f>
        <v>0</v>
      </c>
      <c r="B652" s="86"/>
      <c r="C6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2" s="44"/>
      <c r="E652" s="66"/>
      <c r="F652" s="66"/>
      <c r="G652" s="66"/>
      <c r="H652" s="44"/>
      <c r="I652" s="44"/>
      <c r="J652" s="66"/>
      <c r="K652" s="66"/>
      <c r="L652" s="66"/>
      <c r="M652" s="66"/>
      <c r="N652" s="66">
        <f>SUM(Prog_23[[#This Row],[TARA]]+Prog_23[[#This Row],[PESO]])</f>
        <v>0</v>
      </c>
      <c r="O652" s="44"/>
      <c r="P652" s="66"/>
      <c r="Q652" s="66"/>
      <c r="R652" s="66"/>
      <c r="S652" s="66"/>
      <c r="T652" s="138" t="str">
        <f>IFERROR(LOOKUP($S652,MOTORISTAS!$D$3:$D$916,MOTORISTAS!E$3:$E$916),"")</f>
        <v/>
      </c>
      <c r="U652" s="138" t="str">
        <f>IFERROR(LOOKUP($S652,MOTORISTAS!$D$3:$D$916,MOTORISTAS!F$3:$F$916),"")</f>
        <v/>
      </c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44"/>
      <c r="AG652" s="254">
        <f>Prog_23[[#This Row],[SAÍDA DO CLIENTE]]-Prog_23[[#This Row],[PROGRAMAÇÃO CLIENTE]]</f>
        <v>0</v>
      </c>
      <c r="AH652" s="44"/>
      <c r="AI652" s="66"/>
      <c r="AJ652" s="66"/>
      <c r="AK652" s="66"/>
      <c r="AL652" s="66"/>
      <c r="AM652" s="66"/>
      <c r="AN652" s="83"/>
      <c r="AO652" s="83"/>
      <c r="AP652" s="83"/>
      <c r="AQ652" s="66"/>
      <c r="AR652" s="66"/>
      <c r="AS652" s="66"/>
      <c r="AT652" s="81"/>
      <c r="AU652" s="81"/>
      <c r="AV652" s="81"/>
      <c r="AW652" s="81"/>
      <c r="AX652" s="83">
        <f>SUM(Prog_23[[#This Row],[ADIANTAMENTO]]+Prog_23[[#This Row],[SALDO]]+Prog_23[[#This Row],[MARGEM]]+Prog_23[[#This Row],[ESTADIA 1]])</f>
        <v>0</v>
      </c>
      <c r="AY6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52" s="81"/>
      <c r="BA652" s="81"/>
      <c r="BB652" s="81">
        <f>Prog_23[[#This Row],[VLR NF]]*0.1%</f>
        <v>0</v>
      </c>
      <c r="BC652" s="81">
        <f>Prog_23[[#This Row],[VLR NF]]*0.05%</f>
        <v>0</v>
      </c>
      <c r="BD652" s="81"/>
      <c r="BE652" s="81"/>
      <c r="BF652" s="81"/>
      <c r="BG652" s="81"/>
      <c r="BH652" s="81"/>
      <c r="BI652" s="81"/>
      <c r="BJ652" s="81"/>
      <c r="BK652" s="81"/>
      <c r="BL652" s="81"/>
      <c r="BM652" s="81"/>
      <c r="BN652" s="66"/>
      <c r="BO652" s="66"/>
      <c r="BP652" s="66"/>
      <c r="BQ652" s="66" t="str">
        <f>PROPER(TEXT(Prog_23[[#This Row],[PROGRAMAÇÃO CLIENTE]],"mmm"))</f>
        <v>Jan</v>
      </c>
      <c r="BR652" s="66">
        <f>YEAR(Prog_23[[#This Row],[PROGRAMAÇÃO CLIENTE]])</f>
        <v>1900</v>
      </c>
    </row>
    <row r="653" spans="1:70" x14ac:dyDescent="0.25">
      <c r="A653" s="200">
        <f>Prog_23[[#This Row],[CONTEINER]]</f>
        <v>0</v>
      </c>
      <c r="B653" s="86"/>
      <c r="C6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3" s="44"/>
      <c r="E653" s="66"/>
      <c r="F653" s="66"/>
      <c r="G653" s="66"/>
      <c r="H653" s="44"/>
      <c r="I653" s="44"/>
      <c r="J653" s="66"/>
      <c r="K653" s="66"/>
      <c r="L653" s="66"/>
      <c r="M653" s="66"/>
      <c r="N653" s="66">
        <f>SUM(Prog_23[[#This Row],[TARA]]+Prog_23[[#This Row],[PESO]])</f>
        <v>0</v>
      </c>
      <c r="O653" s="44"/>
      <c r="P653" s="66"/>
      <c r="Q653" s="66"/>
      <c r="R653" s="66"/>
      <c r="S653" s="66"/>
      <c r="T653" s="138" t="str">
        <f>IFERROR(LOOKUP($S653,MOTORISTAS!$D$3:$D$916,MOTORISTAS!E$3:$E$916),"")</f>
        <v/>
      </c>
      <c r="U653" s="138" t="str">
        <f>IFERROR(LOOKUP($S653,MOTORISTAS!$D$3:$D$916,MOTORISTAS!F$3:$F$916),"")</f>
        <v/>
      </c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44"/>
      <c r="AG653" s="254">
        <f>Prog_23[[#This Row],[SAÍDA DO CLIENTE]]-Prog_23[[#This Row],[PROGRAMAÇÃO CLIENTE]]</f>
        <v>0</v>
      </c>
      <c r="AH653" s="44"/>
      <c r="AI653" s="66"/>
      <c r="AJ653" s="66"/>
      <c r="AK653" s="66"/>
      <c r="AL653" s="66"/>
      <c r="AM653" s="66"/>
      <c r="AN653" s="83"/>
      <c r="AO653" s="83"/>
      <c r="AP653" s="83"/>
      <c r="AQ653" s="66"/>
      <c r="AR653" s="66"/>
      <c r="AS653" s="66"/>
      <c r="AT653" s="81"/>
      <c r="AU653" s="81"/>
      <c r="AV653" s="81"/>
      <c r="AW653" s="81"/>
      <c r="AX653" s="83">
        <f>SUM(Prog_23[[#This Row],[ADIANTAMENTO]]+Prog_23[[#This Row],[SALDO]]+Prog_23[[#This Row],[MARGEM]]+Prog_23[[#This Row],[ESTADIA 1]])</f>
        <v>0</v>
      </c>
      <c r="AY6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53" s="81"/>
      <c r="BA653" s="81"/>
      <c r="BB653" s="81">
        <f>Prog_23[[#This Row],[VLR NF]]*0.1%</f>
        <v>0</v>
      </c>
      <c r="BC653" s="81">
        <f>Prog_23[[#This Row],[VLR NF]]*0.05%</f>
        <v>0</v>
      </c>
      <c r="BD653" s="81"/>
      <c r="BE653" s="81"/>
      <c r="BF653" s="81"/>
      <c r="BG653" s="81"/>
      <c r="BH653" s="81"/>
      <c r="BI653" s="81"/>
      <c r="BJ653" s="81"/>
      <c r="BK653" s="81"/>
      <c r="BL653" s="81"/>
      <c r="BM653" s="81"/>
      <c r="BN653" s="66"/>
      <c r="BO653" s="66"/>
      <c r="BP653" s="66"/>
      <c r="BQ653" s="66" t="str">
        <f>PROPER(TEXT(Prog_23[[#This Row],[PROGRAMAÇÃO CLIENTE]],"mmm"))</f>
        <v>Jan</v>
      </c>
      <c r="BR653" s="66">
        <f>YEAR(Prog_23[[#This Row],[PROGRAMAÇÃO CLIENTE]])</f>
        <v>1900</v>
      </c>
    </row>
    <row r="654" spans="1:70" x14ac:dyDescent="0.25">
      <c r="A654" s="201">
        <f>Prog_23[[#This Row],[CONTEINER]]</f>
        <v>0</v>
      </c>
      <c r="B654" s="86"/>
      <c r="C6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4" s="44"/>
      <c r="E654" s="66"/>
      <c r="F654" s="66"/>
      <c r="G654" s="66"/>
      <c r="H654" s="44"/>
      <c r="I654" s="44"/>
      <c r="J654" s="66"/>
      <c r="K654" s="66"/>
      <c r="L654" s="66"/>
      <c r="M654" s="66"/>
      <c r="N654" s="66">
        <f>SUM(Prog_23[[#This Row],[TARA]]+Prog_23[[#This Row],[PESO]])</f>
        <v>0</v>
      </c>
      <c r="O654" s="44"/>
      <c r="P654" s="66"/>
      <c r="Q654" s="66"/>
      <c r="R654" s="66"/>
      <c r="S654" s="66"/>
      <c r="T654" s="138" t="str">
        <f>IFERROR(LOOKUP($S654,MOTORISTAS!$D$3:$D$916,MOTORISTAS!E$3:$E$916),"")</f>
        <v/>
      </c>
      <c r="U654" s="138" t="str">
        <f>IFERROR(LOOKUP($S654,MOTORISTAS!$D$3:$D$916,MOTORISTAS!F$3:$F$916),"")</f>
        <v/>
      </c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44"/>
      <c r="AG654" s="254">
        <f>Prog_23[[#This Row],[SAÍDA DO CLIENTE]]-Prog_23[[#This Row],[PROGRAMAÇÃO CLIENTE]]</f>
        <v>0</v>
      </c>
      <c r="AH654" s="44"/>
      <c r="AI654" s="66"/>
      <c r="AJ654" s="66"/>
      <c r="AK654" s="66"/>
      <c r="AL654" s="66"/>
      <c r="AM654" s="66"/>
      <c r="AN654" s="83"/>
      <c r="AO654" s="83"/>
      <c r="AP654" s="83"/>
      <c r="AQ654" s="66"/>
      <c r="AR654" s="66"/>
      <c r="AS654" s="66"/>
      <c r="AT654" s="81"/>
      <c r="AU654" s="81"/>
      <c r="AV654" s="81"/>
      <c r="AW654" s="81"/>
      <c r="AX654" s="83">
        <f>SUM(Prog_23[[#This Row],[ADIANTAMENTO]]+Prog_23[[#This Row],[SALDO]]+Prog_23[[#This Row],[MARGEM]]+Prog_23[[#This Row],[ESTADIA 1]])</f>
        <v>0</v>
      </c>
      <c r="AY6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54" s="81"/>
      <c r="BA654" s="81"/>
      <c r="BB654" s="81">
        <f>Prog_23[[#This Row],[VLR NF]]*0.1%</f>
        <v>0</v>
      </c>
      <c r="BC654" s="81">
        <f>Prog_23[[#This Row],[VLR NF]]*0.05%</f>
        <v>0</v>
      </c>
      <c r="BD654" s="81"/>
      <c r="BE654" s="81"/>
      <c r="BF654" s="81"/>
      <c r="BG654" s="81"/>
      <c r="BH654" s="81"/>
      <c r="BI654" s="81"/>
      <c r="BJ654" s="81"/>
      <c r="BK654" s="81"/>
      <c r="BL654" s="81"/>
      <c r="BM654" s="81"/>
      <c r="BN654" s="66"/>
      <c r="BO654" s="66"/>
      <c r="BP654" s="66"/>
      <c r="BQ654" s="66" t="str">
        <f>PROPER(TEXT(Prog_23[[#This Row],[PROGRAMAÇÃO CLIENTE]],"mmm"))</f>
        <v>Jan</v>
      </c>
      <c r="BR654" s="66">
        <f>YEAR(Prog_23[[#This Row],[PROGRAMAÇÃO CLIENTE]])</f>
        <v>1900</v>
      </c>
    </row>
    <row r="655" spans="1:70" x14ac:dyDescent="0.25">
      <c r="A655" s="200">
        <f>Prog_23[[#This Row],[CONTEINER]]</f>
        <v>0</v>
      </c>
      <c r="B655" s="86"/>
      <c r="C6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5" s="44"/>
      <c r="E655" s="66"/>
      <c r="F655" s="66"/>
      <c r="G655" s="66"/>
      <c r="H655" s="44"/>
      <c r="I655" s="44"/>
      <c r="J655" s="66"/>
      <c r="K655" s="66"/>
      <c r="L655" s="66"/>
      <c r="M655" s="66"/>
      <c r="N655" s="66">
        <f>SUM(Prog_23[[#This Row],[TARA]]+Prog_23[[#This Row],[PESO]])</f>
        <v>0</v>
      </c>
      <c r="O655" s="44"/>
      <c r="P655" s="66"/>
      <c r="Q655" s="66"/>
      <c r="R655" s="66"/>
      <c r="S655" s="66"/>
      <c r="T655" s="138" t="str">
        <f>IFERROR(LOOKUP($S655,MOTORISTAS!$D$3:$D$916,MOTORISTAS!E$3:$E$916),"")</f>
        <v/>
      </c>
      <c r="U655" s="138" t="str">
        <f>IFERROR(LOOKUP($S655,MOTORISTAS!$D$3:$D$916,MOTORISTAS!F$3:$F$916),"")</f>
        <v/>
      </c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44"/>
      <c r="AG655" s="254">
        <f>Prog_23[[#This Row],[SAÍDA DO CLIENTE]]-Prog_23[[#This Row],[PROGRAMAÇÃO CLIENTE]]</f>
        <v>0</v>
      </c>
      <c r="AH655" s="44"/>
      <c r="AI655" s="66"/>
      <c r="AJ655" s="66"/>
      <c r="AK655" s="66"/>
      <c r="AL655" s="66"/>
      <c r="AM655" s="66"/>
      <c r="AN655" s="83"/>
      <c r="AO655" s="83"/>
      <c r="AP655" s="83"/>
      <c r="AQ655" s="66"/>
      <c r="AR655" s="66"/>
      <c r="AS655" s="66"/>
      <c r="AT655" s="81"/>
      <c r="AU655" s="81"/>
      <c r="AV655" s="81"/>
      <c r="AW655" s="81"/>
      <c r="AX655" s="83">
        <f>SUM(Prog_23[[#This Row],[ADIANTAMENTO]]+Prog_23[[#This Row],[SALDO]]+Prog_23[[#This Row],[MARGEM]]+Prog_23[[#This Row],[ESTADIA 1]])</f>
        <v>0</v>
      </c>
      <c r="AY6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55" s="81"/>
      <c r="BA655" s="81"/>
      <c r="BB655" s="81">
        <f>Prog_23[[#This Row],[VLR NF]]*0.1%</f>
        <v>0</v>
      </c>
      <c r="BC655" s="81">
        <f>Prog_23[[#This Row],[VLR NF]]*0.05%</f>
        <v>0</v>
      </c>
      <c r="BD655" s="81"/>
      <c r="BE655" s="81"/>
      <c r="BF655" s="81"/>
      <c r="BG655" s="81"/>
      <c r="BH655" s="81"/>
      <c r="BI655" s="81"/>
      <c r="BJ655" s="81"/>
      <c r="BK655" s="81"/>
      <c r="BL655" s="81"/>
      <c r="BM655" s="81"/>
      <c r="BN655" s="66"/>
      <c r="BO655" s="66"/>
      <c r="BP655" s="66"/>
      <c r="BQ655" s="66" t="str">
        <f>PROPER(TEXT(Prog_23[[#This Row],[PROGRAMAÇÃO CLIENTE]],"mmm"))</f>
        <v>Jan</v>
      </c>
      <c r="BR655" s="66">
        <f>YEAR(Prog_23[[#This Row],[PROGRAMAÇÃO CLIENTE]])</f>
        <v>1900</v>
      </c>
    </row>
    <row r="656" spans="1:70" x14ac:dyDescent="0.25">
      <c r="A656" s="201">
        <f>Prog_23[[#This Row],[CONTEINER]]</f>
        <v>0</v>
      </c>
      <c r="B656" s="86"/>
      <c r="C6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6" s="44"/>
      <c r="E656" s="66"/>
      <c r="F656" s="66"/>
      <c r="G656" s="66"/>
      <c r="H656" s="44"/>
      <c r="I656" s="44"/>
      <c r="J656" s="66"/>
      <c r="K656" s="66"/>
      <c r="L656" s="66"/>
      <c r="M656" s="66"/>
      <c r="N656" s="66">
        <f>SUM(Prog_23[[#This Row],[TARA]]+Prog_23[[#This Row],[PESO]])</f>
        <v>0</v>
      </c>
      <c r="O656" s="44"/>
      <c r="P656" s="66"/>
      <c r="Q656" s="66"/>
      <c r="R656" s="66"/>
      <c r="S656" s="66"/>
      <c r="T656" s="138" t="str">
        <f>IFERROR(LOOKUP($S656,MOTORISTAS!$D$3:$D$916,MOTORISTAS!E$3:$E$916),"")</f>
        <v/>
      </c>
      <c r="U656" s="138" t="str">
        <f>IFERROR(LOOKUP($S656,MOTORISTAS!$D$3:$D$916,MOTORISTAS!F$3:$F$916),"")</f>
        <v/>
      </c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44"/>
      <c r="AG656" s="254">
        <f>Prog_23[[#This Row],[SAÍDA DO CLIENTE]]-Prog_23[[#This Row],[PROGRAMAÇÃO CLIENTE]]</f>
        <v>0</v>
      </c>
      <c r="AH656" s="44"/>
      <c r="AI656" s="66"/>
      <c r="AJ656" s="66"/>
      <c r="AK656" s="66"/>
      <c r="AL656" s="66"/>
      <c r="AM656" s="66"/>
      <c r="AN656" s="83"/>
      <c r="AO656" s="83"/>
      <c r="AP656" s="83"/>
      <c r="AQ656" s="66"/>
      <c r="AR656" s="66"/>
      <c r="AS656" s="66"/>
      <c r="AT656" s="81"/>
      <c r="AU656" s="81"/>
      <c r="AV656" s="81"/>
      <c r="AW656" s="81"/>
      <c r="AX656" s="83">
        <f>SUM(Prog_23[[#This Row],[ADIANTAMENTO]]+Prog_23[[#This Row],[SALDO]]+Prog_23[[#This Row],[MARGEM]]+Prog_23[[#This Row],[ESTADIA 1]])</f>
        <v>0</v>
      </c>
      <c r="AY6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56" s="81"/>
      <c r="BA656" s="81"/>
      <c r="BB656" s="81">
        <f>Prog_23[[#This Row],[VLR NF]]*0.1%</f>
        <v>0</v>
      </c>
      <c r="BC656" s="81">
        <f>Prog_23[[#This Row],[VLR NF]]*0.05%</f>
        <v>0</v>
      </c>
      <c r="BD656" s="81"/>
      <c r="BE656" s="81"/>
      <c r="BF656" s="81"/>
      <c r="BG656" s="81"/>
      <c r="BH656" s="81"/>
      <c r="BI656" s="81"/>
      <c r="BJ656" s="81"/>
      <c r="BK656" s="81"/>
      <c r="BL656" s="81"/>
      <c r="BM656" s="81"/>
      <c r="BN656" s="66"/>
      <c r="BO656" s="66"/>
      <c r="BP656" s="66"/>
      <c r="BQ656" s="66" t="str">
        <f>PROPER(TEXT(Prog_23[[#This Row],[PROGRAMAÇÃO CLIENTE]],"mmm"))</f>
        <v>Jan</v>
      </c>
      <c r="BR656" s="66">
        <f>YEAR(Prog_23[[#This Row],[PROGRAMAÇÃO CLIENTE]])</f>
        <v>1900</v>
      </c>
    </row>
    <row r="657" spans="1:70" x14ac:dyDescent="0.25">
      <c r="A657" s="200">
        <f>Prog_23[[#This Row],[CONTEINER]]</f>
        <v>0</v>
      </c>
      <c r="B657" s="86"/>
      <c r="C6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7" s="44"/>
      <c r="E657" s="66"/>
      <c r="F657" s="66"/>
      <c r="G657" s="66"/>
      <c r="H657" s="44"/>
      <c r="I657" s="44"/>
      <c r="J657" s="66"/>
      <c r="K657" s="66"/>
      <c r="L657" s="66"/>
      <c r="M657" s="66"/>
      <c r="N657" s="66">
        <f>SUM(Prog_23[[#This Row],[TARA]]+Prog_23[[#This Row],[PESO]])</f>
        <v>0</v>
      </c>
      <c r="O657" s="44"/>
      <c r="P657" s="66"/>
      <c r="Q657" s="66"/>
      <c r="R657" s="66"/>
      <c r="S657" s="66"/>
      <c r="T657" s="138" t="str">
        <f>IFERROR(LOOKUP($S657,MOTORISTAS!$D$3:$D$916,MOTORISTAS!E$3:$E$916),"")</f>
        <v/>
      </c>
      <c r="U657" s="138" t="str">
        <f>IFERROR(LOOKUP($S657,MOTORISTAS!$D$3:$D$916,MOTORISTAS!F$3:$F$916),"")</f>
        <v/>
      </c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44"/>
      <c r="AG657" s="254">
        <f>Prog_23[[#This Row],[SAÍDA DO CLIENTE]]-Prog_23[[#This Row],[PROGRAMAÇÃO CLIENTE]]</f>
        <v>0</v>
      </c>
      <c r="AH657" s="44"/>
      <c r="AI657" s="66"/>
      <c r="AJ657" s="66"/>
      <c r="AK657" s="66"/>
      <c r="AL657" s="66"/>
      <c r="AM657" s="66"/>
      <c r="AN657" s="83"/>
      <c r="AO657" s="83"/>
      <c r="AP657" s="83"/>
      <c r="AQ657" s="66"/>
      <c r="AR657" s="66"/>
      <c r="AS657" s="66"/>
      <c r="AT657" s="81"/>
      <c r="AU657" s="81"/>
      <c r="AV657" s="81"/>
      <c r="AW657" s="81"/>
      <c r="AX657" s="83">
        <f>SUM(Prog_23[[#This Row],[ADIANTAMENTO]]+Prog_23[[#This Row],[SALDO]]+Prog_23[[#This Row],[MARGEM]]+Prog_23[[#This Row],[ESTADIA 1]])</f>
        <v>0</v>
      </c>
      <c r="AY6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57" s="81"/>
      <c r="BA657" s="81"/>
      <c r="BB657" s="81">
        <f>Prog_23[[#This Row],[VLR NF]]*0.1%</f>
        <v>0</v>
      </c>
      <c r="BC657" s="81">
        <f>Prog_23[[#This Row],[VLR NF]]*0.05%</f>
        <v>0</v>
      </c>
      <c r="BD657" s="81"/>
      <c r="BE657" s="81"/>
      <c r="BF657" s="81"/>
      <c r="BG657" s="81"/>
      <c r="BH657" s="81"/>
      <c r="BI657" s="81"/>
      <c r="BJ657" s="81"/>
      <c r="BK657" s="81"/>
      <c r="BL657" s="81"/>
      <c r="BM657" s="81"/>
      <c r="BN657" s="66"/>
      <c r="BO657" s="66"/>
      <c r="BP657" s="66"/>
      <c r="BQ657" s="66" t="str">
        <f>PROPER(TEXT(Prog_23[[#This Row],[PROGRAMAÇÃO CLIENTE]],"mmm"))</f>
        <v>Jan</v>
      </c>
      <c r="BR657" s="66">
        <f>YEAR(Prog_23[[#This Row],[PROGRAMAÇÃO CLIENTE]])</f>
        <v>1900</v>
      </c>
    </row>
    <row r="658" spans="1:70" x14ac:dyDescent="0.25">
      <c r="A658" s="201">
        <f>Prog_23[[#This Row],[CONTEINER]]</f>
        <v>0</v>
      </c>
      <c r="B658" s="86"/>
      <c r="C6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8" s="44"/>
      <c r="E658" s="66"/>
      <c r="F658" s="66"/>
      <c r="G658" s="66"/>
      <c r="H658" s="44"/>
      <c r="I658" s="44"/>
      <c r="J658" s="66"/>
      <c r="K658" s="66"/>
      <c r="L658" s="66"/>
      <c r="M658" s="66"/>
      <c r="N658" s="66">
        <f>SUM(Prog_23[[#This Row],[TARA]]+Prog_23[[#This Row],[PESO]])</f>
        <v>0</v>
      </c>
      <c r="O658" s="44"/>
      <c r="P658" s="66"/>
      <c r="Q658" s="66"/>
      <c r="R658" s="66"/>
      <c r="S658" s="66"/>
      <c r="T658" s="138" t="str">
        <f>IFERROR(LOOKUP($S658,MOTORISTAS!$D$3:$D$916,MOTORISTAS!E$3:$E$916),"")</f>
        <v/>
      </c>
      <c r="U658" s="138" t="str">
        <f>IFERROR(LOOKUP($S658,MOTORISTAS!$D$3:$D$916,MOTORISTAS!F$3:$F$916),"")</f>
        <v/>
      </c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44"/>
      <c r="AG658" s="254">
        <f>Prog_23[[#This Row],[SAÍDA DO CLIENTE]]-Prog_23[[#This Row],[PROGRAMAÇÃO CLIENTE]]</f>
        <v>0</v>
      </c>
      <c r="AH658" s="44"/>
      <c r="AI658" s="66"/>
      <c r="AJ658" s="66"/>
      <c r="AK658" s="66"/>
      <c r="AL658" s="66"/>
      <c r="AM658" s="66"/>
      <c r="AN658" s="83"/>
      <c r="AO658" s="83"/>
      <c r="AP658" s="83"/>
      <c r="AQ658" s="66"/>
      <c r="AR658" s="66"/>
      <c r="AS658" s="66"/>
      <c r="AT658" s="81"/>
      <c r="AU658" s="81"/>
      <c r="AV658" s="81"/>
      <c r="AW658" s="81"/>
      <c r="AX658" s="83">
        <f>SUM(Prog_23[[#This Row],[ADIANTAMENTO]]+Prog_23[[#This Row],[SALDO]]+Prog_23[[#This Row],[MARGEM]]+Prog_23[[#This Row],[ESTADIA 1]])</f>
        <v>0</v>
      </c>
      <c r="AY6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58" s="81"/>
      <c r="BA658" s="81"/>
      <c r="BB658" s="81">
        <f>Prog_23[[#This Row],[VLR NF]]*0.1%</f>
        <v>0</v>
      </c>
      <c r="BC658" s="81">
        <f>Prog_23[[#This Row],[VLR NF]]*0.05%</f>
        <v>0</v>
      </c>
      <c r="BD658" s="81"/>
      <c r="BE658" s="81"/>
      <c r="BF658" s="81"/>
      <c r="BG658" s="81"/>
      <c r="BH658" s="81"/>
      <c r="BI658" s="81"/>
      <c r="BJ658" s="81"/>
      <c r="BK658" s="81"/>
      <c r="BL658" s="81"/>
      <c r="BM658" s="81"/>
      <c r="BN658" s="66"/>
      <c r="BO658" s="66"/>
      <c r="BP658" s="66"/>
      <c r="BQ658" s="66" t="str">
        <f>PROPER(TEXT(Prog_23[[#This Row],[PROGRAMAÇÃO CLIENTE]],"mmm"))</f>
        <v>Jan</v>
      </c>
      <c r="BR658" s="66">
        <f>YEAR(Prog_23[[#This Row],[PROGRAMAÇÃO CLIENTE]])</f>
        <v>1900</v>
      </c>
    </row>
    <row r="659" spans="1:70" x14ac:dyDescent="0.25">
      <c r="A659" s="200">
        <f>Prog_23[[#This Row],[CONTEINER]]</f>
        <v>0</v>
      </c>
      <c r="B659" s="86"/>
      <c r="C6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59" s="44"/>
      <c r="E659" s="66"/>
      <c r="F659" s="66"/>
      <c r="G659" s="66"/>
      <c r="H659" s="44"/>
      <c r="I659" s="44"/>
      <c r="J659" s="66"/>
      <c r="K659" s="66"/>
      <c r="L659" s="66"/>
      <c r="M659" s="66"/>
      <c r="N659" s="66">
        <f>SUM(Prog_23[[#This Row],[TARA]]+Prog_23[[#This Row],[PESO]])</f>
        <v>0</v>
      </c>
      <c r="O659" s="44"/>
      <c r="P659" s="66"/>
      <c r="Q659" s="66"/>
      <c r="R659" s="66"/>
      <c r="S659" s="66"/>
      <c r="T659" s="138" t="str">
        <f>IFERROR(LOOKUP($S659,MOTORISTAS!$D$3:$D$916,MOTORISTAS!E$3:$E$916),"")</f>
        <v/>
      </c>
      <c r="U659" s="138" t="str">
        <f>IFERROR(LOOKUP($S659,MOTORISTAS!$D$3:$D$916,MOTORISTAS!F$3:$F$916),"")</f>
        <v/>
      </c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44"/>
      <c r="AG659" s="254">
        <f>Prog_23[[#This Row],[SAÍDA DO CLIENTE]]-Prog_23[[#This Row],[PROGRAMAÇÃO CLIENTE]]</f>
        <v>0</v>
      </c>
      <c r="AH659" s="44"/>
      <c r="AI659" s="66"/>
      <c r="AJ659" s="66"/>
      <c r="AK659" s="66"/>
      <c r="AL659" s="66"/>
      <c r="AM659" s="66"/>
      <c r="AN659" s="83"/>
      <c r="AO659" s="83"/>
      <c r="AP659" s="83"/>
      <c r="AQ659" s="66"/>
      <c r="AR659" s="66"/>
      <c r="AS659" s="66"/>
      <c r="AT659" s="81"/>
      <c r="AU659" s="81"/>
      <c r="AV659" s="81"/>
      <c r="AW659" s="81"/>
      <c r="AX659" s="83">
        <f>SUM(Prog_23[[#This Row],[ADIANTAMENTO]]+Prog_23[[#This Row],[SALDO]]+Prog_23[[#This Row],[MARGEM]]+Prog_23[[#This Row],[ESTADIA 1]])</f>
        <v>0</v>
      </c>
      <c r="AY6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59" s="81"/>
      <c r="BA659" s="81"/>
      <c r="BB659" s="81">
        <f>Prog_23[[#This Row],[VLR NF]]*0.1%</f>
        <v>0</v>
      </c>
      <c r="BC659" s="81">
        <f>Prog_23[[#This Row],[VLR NF]]*0.05%</f>
        <v>0</v>
      </c>
      <c r="BD659" s="81"/>
      <c r="BE659" s="81"/>
      <c r="BF659" s="81"/>
      <c r="BG659" s="81"/>
      <c r="BH659" s="81"/>
      <c r="BI659" s="81"/>
      <c r="BJ659" s="81"/>
      <c r="BK659" s="81"/>
      <c r="BL659" s="81"/>
      <c r="BM659" s="81"/>
      <c r="BN659" s="66"/>
      <c r="BO659" s="66"/>
      <c r="BP659" s="66"/>
      <c r="BQ659" s="66" t="str">
        <f>PROPER(TEXT(Prog_23[[#This Row],[PROGRAMAÇÃO CLIENTE]],"mmm"))</f>
        <v>Jan</v>
      </c>
      <c r="BR659" s="66">
        <f>YEAR(Prog_23[[#This Row],[PROGRAMAÇÃO CLIENTE]])</f>
        <v>1900</v>
      </c>
    </row>
    <row r="660" spans="1:70" x14ac:dyDescent="0.25">
      <c r="A660" s="201">
        <f>Prog_23[[#This Row],[CONTEINER]]</f>
        <v>0</v>
      </c>
      <c r="B660" s="86"/>
      <c r="C6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60" s="44"/>
      <c r="E660" s="66"/>
      <c r="F660" s="66"/>
      <c r="G660" s="66"/>
      <c r="H660" s="44"/>
      <c r="I660" s="44"/>
      <c r="J660" s="66"/>
      <c r="K660" s="66"/>
      <c r="L660" s="66"/>
      <c r="M660" s="66"/>
      <c r="N660" s="66">
        <f>SUM(Prog_23[[#This Row],[TARA]]+Prog_23[[#This Row],[PESO]])</f>
        <v>0</v>
      </c>
      <c r="O660" s="44"/>
      <c r="P660" s="66"/>
      <c r="Q660" s="66"/>
      <c r="R660" s="66"/>
      <c r="S660" s="66"/>
      <c r="T660" s="138" t="str">
        <f>IFERROR(LOOKUP($S660,MOTORISTAS!$D$3:$D$916,MOTORISTAS!E$3:$E$916),"")</f>
        <v/>
      </c>
      <c r="U660" s="138" t="str">
        <f>IFERROR(LOOKUP($S660,MOTORISTAS!$D$3:$D$916,MOTORISTAS!F$3:$F$916),"")</f>
        <v/>
      </c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44"/>
      <c r="AG660" s="254">
        <f>Prog_23[[#This Row],[SAÍDA DO CLIENTE]]-Prog_23[[#This Row],[PROGRAMAÇÃO CLIENTE]]</f>
        <v>0</v>
      </c>
      <c r="AH660" s="44"/>
      <c r="AI660" s="66"/>
      <c r="AJ660" s="66"/>
      <c r="AK660" s="66"/>
      <c r="AL660" s="66"/>
      <c r="AM660" s="66"/>
      <c r="AN660" s="83"/>
      <c r="AO660" s="83"/>
      <c r="AP660" s="83"/>
      <c r="AQ660" s="66"/>
      <c r="AR660" s="66"/>
      <c r="AS660" s="66"/>
      <c r="AT660" s="81"/>
      <c r="AU660" s="81"/>
      <c r="AV660" s="81"/>
      <c r="AW660" s="81"/>
      <c r="AX660" s="83">
        <f>SUM(Prog_23[[#This Row],[ADIANTAMENTO]]+Prog_23[[#This Row],[SALDO]]+Prog_23[[#This Row],[MARGEM]]+Prog_23[[#This Row],[ESTADIA 1]])</f>
        <v>0</v>
      </c>
      <c r="AY6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60" s="81"/>
      <c r="BA660" s="81"/>
      <c r="BB660" s="81">
        <f>Prog_23[[#This Row],[VLR NF]]*0.1%</f>
        <v>0</v>
      </c>
      <c r="BC660" s="81">
        <f>Prog_23[[#This Row],[VLR NF]]*0.05%</f>
        <v>0</v>
      </c>
      <c r="BD660" s="81"/>
      <c r="BE660" s="81"/>
      <c r="BF660" s="81"/>
      <c r="BG660" s="81"/>
      <c r="BH660" s="81"/>
      <c r="BI660" s="81"/>
      <c r="BJ660" s="81"/>
      <c r="BK660" s="81"/>
      <c r="BL660" s="81"/>
      <c r="BM660" s="81"/>
      <c r="BN660" s="66"/>
      <c r="BO660" s="66"/>
      <c r="BP660" s="66"/>
      <c r="BQ660" s="66" t="str">
        <f>PROPER(TEXT(Prog_23[[#This Row],[PROGRAMAÇÃO CLIENTE]],"mmm"))</f>
        <v>Jan</v>
      </c>
      <c r="BR660" s="66">
        <f>YEAR(Prog_23[[#This Row],[PROGRAMAÇÃO CLIENTE]])</f>
        <v>1900</v>
      </c>
    </row>
    <row r="661" spans="1:70" x14ac:dyDescent="0.25">
      <c r="A661" s="200">
        <f>Prog_23[[#This Row],[CONTEINER]]</f>
        <v>0</v>
      </c>
      <c r="B661" s="86"/>
      <c r="C6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61" s="44"/>
      <c r="E661" s="66"/>
      <c r="F661" s="66"/>
      <c r="G661" s="66"/>
      <c r="H661" s="44"/>
      <c r="I661" s="44"/>
      <c r="J661" s="66"/>
      <c r="K661" s="66"/>
      <c r="L661" s="66"/>
      <c r="M661" s="66"/>
      <c r="N661" s="66">
        <f>SUM(Prog_23[[#This Row],[TARA]]+Prog_23[[#This Row],[PESO]])</f>
        <v>0</v>
      </c>
      <c r="O661" s="44"/>
      <c r="P661" s="66"/>
      <c r="Q661" s="66"/>
      <c r="R661" s="66"/>
      <c r="S661" s="66"/>
      <c r="T661" s="138" t="str">
        <f>IFERROR(LOOKUP($S661,MOTORISTAS!$D$3:$D$916,MOTORISTAS!E$3:$E$916),"")</f>
        <v/>
      </c>
      <c r="U661" s="138" t="str">
        <f>IFERROR(LOOKUP($S661,MOTORISTAS!$D$3:$D$916,MOTORISTAS!F$3:$F$916),"")</f>
        <v/>
      </c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44"/>
      <c r="AG661" s="254">
        <f>Prog_23[[#This Row],[SAÍDA DO CLIENTE]]-Prog_23[[#This Row],[PROGRAMAÇÃO CLIENTE]]</f>
        <v>0</v>
      </c>
      <c r="AH661" s="44"/>
      <c r="AI661" s="66"/>
      <c r="AJ661" s="66"/>
      <c r="AK661" s="66"/>
      <c r="AL661" s="66"/>
      <c r="AM661" s="66"/>
      <c r="AN661" s="83"/>
      <c r="AO661" s="83"/>
      <c r="AP661" s="83"/>
      <c r="AQ661" s="66"/>
      <c r="AR661" s="66"/>
      <c r="AS661" s="66"/>
      <c r="AT661" s="81"/>
      <c r="AU661" s="81"/>
      <c r="AV661" s="81"/>
      <c r="AW661" s="81"/>
      <c r="AX661" s="83">
        <f>SUM(Prog_23[[#This Row],[ADIANTAMENTO]]+Prog_23[[#This Row],[SALDO]]+Prog_23[[#This Row],[MARGEM]]+Prog_23[[#This Row],[ESTADIA 1]])</f>
        <v>0</v>
      </c>
      <c r="AY6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61" s="81"/>
      <c r="BA661" s="81"/>
      <c r="BB661" s="81">
        <f>Prog_23[[#This Row],[VLR NF]]*0.1%</f>
        <v>0</v>
      </c>
      <c r="BC661" s="81">
        <f>Prog_23[[#This Row],[VLR NF]]*0.05%</f>
        <v>0</v>
      </c>
      <c r="BD661" s="81"/>
      <c r="BE661" s="81"/>
      <c r="BF661" s="81"/>
      <c r="BG661" s="81"/>
      <c r="BH661" s="81"/>
      <c r="BI661" s="81"/>
      <c r="BJ661" s="81"/>
      <c r="BK661" s="81"/>
      <c r="BL661" s="81"/>
      <c r="BM661" s="81"/>
      <c r="BN661" s="66"/>
      <c r="BO661" s="66"/>
      <c r="BP661" s="66"/>
      <c r="BQ661" s="66" t="str">
        <f>PROPER(TEXT(Prog_23[[#This Row],[PROGRAMAÇÃO CLIENTE]],"mmm"))</f>
        <v>Jan</v>
      </c>
      <c r="BR661" s="66">
        <f>YEAR(Prog_23[[#This Row],[PROGRAMAÇÃO CLIENTE]])</f>
        <v>1900</v>
      </c>
    </row>
    <row r="662" spans="1:70" x14ac:dyDescent="0.25">
      <c r="A662" s="201">
        <f>Prog_23[[#This Row],[CONTEINER]]</f>
        <v>0</v>
      </c>
      <c r="B662" s="86"/>
      <c r="C6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62" s="44"/>
      <c r="E662" s="66"/>
      <c r="F662" s="66"/>
      <c r="G662" s="66"/>
      <c r="H662" s="44"/>
      <c r="I662" s="44"/>
      <c r="J662" s="66"/>
      <c r="K662" s="66"/>
      <c r="L662" s="66"/>
      <c r="M662" s="66"/>
      <c r="N662" s="66">
        <f>SUM(Prog_23[[#This Row],[TARA]]+Prog_23[[#This Row],[PESO]])</f>
        <v>0</v>
      </c>
      <c r="O662" s="44"/>
      <c r="P662" s="66"/>
      <c r="Q662" s="66"/>
      <c r="R662" s="66"/>
      <c r="S662" s="66"/>
      <c r="T662" s="138" t="str">
        <f>IFERROR(LOOKUP($S662,MOTORISTAS!$D$3:$D$916,MOTORISTAS!E$3:$E$916),"")</f>
        <v/>
      </c>
      <c r="U662" s="138" t="str">
        <f>IFERROR(LOOKUP($S662,MOTORISTAS!$D$3:$D$916,MOTORISTAS!F$3:$F$916),"")</f>
        <v/>
      </c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44"/>
      <c r="AG662" s="254">
        <f>Prog_23[[#This Row],[SAÍDA DO CLIENTE]]-Prog_23[[#This Row],[PROGRAMAÇÃO CLIENTE]]</f>
        <v>0</v>
      </c>
      <c r="AH662" s="44"/>
      <c r="AI662" s="66"/>
      <c r="AJ662" s="66"/>
      <c r="AK662" s="66"/>
      <c r="AL662" s="66"/>
      <c r="AM662" s="66"/>
      <c r="AN662" s="83"/>
      <c r="AO662" s="83"/>
      <c r="AP662" s="83"/>
      <c r="AQ662" s="66"/>
      <c r="AR662" s="66"/>
      <c r="AS662" s="66"/>
      <c r="AT662" s="81"/>
      <c r="AU662" s="81"/>
      <c r="AV662" s="81"/>
      <c r="AW662" s="81"/>
      <c r="AX662" s="83">
        <f>SUM(Prog_23[[#This Row],[ADIANTAMENTO]]+Prog_23[[#This Row],[SALDO]]+Prog_23[[#This Row],[MARGEM]]+Prog_23[[#This Row],[ESTADIA 1]])</f>
        <v>0</v>
      </c>
      <c r="AY6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62" s="81"/>
      <c r="BA662" s="81"/>
      <c r="BB662" s="81">
        <f>Prog_23[[#This Row],[VLR NF]]*0.1%</f>
        <v>0</v>
      </c>
      <c r="BC662" s="81">
        <f>Prog_23[[#This Row],[VLR NF]]*0.05%</f>
        <v>0</v>
      </c>
      <c r="BD662" s="81"/>
      <c r="BE662" s="81"/>
      <c r="BF662" s="81"/>
      <c r="BG662" s="81"/>
      <c r="BH662" s="81"/>
      <c r="BI662" s="81"/>
      <c r="BJ662" s="81"/>
      <c r="BK662" s="81"/>
      <c r="BL662" s="81"/>
      <c r="BM662" s="81"/>
      <c r="BN662" s="66"/>
      <c r="BO662" s="66"/>
      <c r="BP662" s="66"/>
      <c r="BQ662" s="66" t="str">
        <f>PROPER(TEXT(Prog_23[[#This Row],[PROGRAMAÇÃO CLIENTE]],"mmm"))</f>
        <v>Jan</v>
      </c>
      <c r="BR662" s="66">
        <f>YEAR(Prog_23[[#This Row],[PROGRAMAÇÃO CLIENTE]])</f>
        <v>1900</v>
      </c>
    </row>
    <row r="663" spans="1:70" x14ac:dyDescent="0.25">
      <c r="A663" s="200">
        <f>Prog_23[[#This Row],[CONTEINER]]</f>
        <v>0</v>
      </c>
      <c r="B663" s="86"/>
      <c r="C6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63" s="44"/>
      <c r="E663" s="66"/>
      <c r="F663" s="66"/>
      <c r="G663" s="66"/>
      <c r="H663" s="44"/>
      <c r="I663" s="44"/>
      <c r="J663" s="66"/>
      <c r="K663" s="66"/>
      <c r="L663" s="66"/>
      <c r="M663" s="66"/>
      <c r="N663" s="66">
        <f>SUM(Prog_23[[#This Row],[TARA]]+Prog_23[[#This Row],[PESO]])</f>
        <v>0</v>
      </c>
      <c r="O663" s="44"/>
      <c r="P663" s="66"/>
      <c r="Q663" s="66"/>
      <c r="R663" s="66"/>
      <c r="S663" s="66"/>
      <c r="T663" s="138" t="str">
        <f>IFERROR(LOOKUP($S663,MOTORISTAS!$D$3:$D$916,MOTORISTAS!E$3:$E$916),"")</f>
        <v/>
      </c>
      <c r="U663" s="138" t="str">
        <f>IFERROR(LOOKUP($S663,MOTORISTAS!$D$3:$D$916,MOTORISTAS!F$3:$F$916),"")</f>
        <v/>
      </c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44"/>
      <c r="AG663" s="254">
        <f>Prog_23[[#This Row],[SAÍDA DO CLIENTE]]-Prog_23[[#This Row],[PROGRAMAÇÃO CLIENTE]]</f>
        <v>0</v>
      </c>
      <c r="AH663" s="44"/>
      <c r="AI663" s="66"/>
      <c r="AJ663" s="66"/>
      <c r="AK663" s="66"/>
      <c r="AL663" s="66"/>
      <c r="AM663" s="66"/>
      <c r="AN663" s="83"/>
      <c r="AO663" s="83"/>
      <c r="AP663" s="83"/>
      <c r="AQ663" s="66"/>
      <c r="AR663" s="66"/>
      <c r="AS663" s="66"/>
      <c r="AT663" s="81"/>
      <c r="AU663" s="81"/>
      <c r="AV663" s="81"/>
      <c r="AW663" s="81"/>
      <c r="AX663" s="83">
        <f>SUM(Prog_23[[#This Row],[ADIANTAMENTO]]+Prog_23[[#This Row],[SALDO]]+Prog_23[[#This Row],[MARGEM]]+Prog_23[[#This Row],[ESTADIA 1]])</f>
        <v>0</v>
      </c>
      <c r="AY6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63" s="81"/>
      <c r="BA663" s="81"/>
      <c r="BB663" s="81">
        <f>Prog_23[[#This Row],[VLR NF]]*0.1%</f>
        <v>0</v>
      </c>
      <c r="BC663" s="81">
        <f>Prog_23[[#This Row],[VLR NF]]*0.05%</f>
        <v>0</v>
      </c>
      <c r="BD663" s="81"/>
      <c r="BE663" s="81"/>
      <c r="BF663" s="81"/>
      <c r="BG663" s="81"/>
      <c r="BH663" s="81"/>
      <c r="BI663" s="81"/>
      <c r="BJ663" s="81"/>
      <c r="BK663" s="81"/>
      <c r="BL663" s="81"/>
      <c r="BM663" s="81"/>
      <c r="BN663" s="66"/>
      <c r="BO663" s="66"/>
      <c r="BP663" s="66"/>
      <c r="BQ663" s="66" t="str">
        <f>PROPER(TEXT(Prog_23[[#This Row],[PROGRAMAÇÃO CLIENTE]],"mmm"))</f>
        <v>Jan</v>
      </c>
      <c r="BR663" s="66">
        <f>YEAR(Prog_23[[#This Row],[PROGRAMAÇÃO CLIENTE]])</f>
        <v>1900</v>
      </c>
    </row>
    <row r="664" spans="1:70" x14ac:dyDescent="0.25">
      <c r="A664" s="201">
        <f>Prog_23[[#This Row],[CONTEINER]]</f>
        <v>0</v>
      </c>
      <c r="B664" s="86"/>
      <c r="C6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64" s="44"/>
      <c r="E664" s="66"/>
      <c r="F664" s="66"/>
      <c r="G664" s="66"/>
      <c r="H664" s="44"/>
      <c r="I664" s="44"/>
      <c r="J664" s="66"/>
      <c r="K664" s="66"/>
      <c r="L664" s="66"/>
      <c r="M664" s="66"/>
      <c r="N664" s="66">
        <f>SUM(Prog_23[[#This Row],[TARA]]+Prog_23[[#This Row],[PESO]])</f>
        <v>0</v>
      </c>
      <c r="O664" s="44"/>
      <c r="P664" s="66"/>
      <c r="Q664" s="66"/>
      <c r="R664" s="66"/>
      <c r="S664" s="66"/>
      <c r="T664" s="138" t="str">
        <f>IFERROR(LOOKUP($S664,MOTORISTAS!$D$3:$D$916,MOTORISTAS!E$3:$E$916),"")</f>
        <v/>
      </c>
      <c r="U664" s="138" t="str">
        <f>IFERROR(LOOKUP($S664,MOTORISTAS!$D$3:$D$916,MOTORISTAS!F$3:$F$916),"")</f>
        <v/>
      </c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44"/>
      <c r="AG664" s="254">
        <f>Prog_23[[#This Row],[SAÍDA DO CLIENTE]]-Prog_23[[#This Row],[PROGRAMAÇÃO CLIENTE]]</f>
        <v>0</v>
      </c>
      <c r="AH664" s="44"/>
      <c r="AI664" s="66"/>
      <c r="AJ664" s="66"/>
      <c r="AK664" s="66"/>
      <c r="AL664" s="66"/>
      <c r="AM664" s="66"/>
      <c r="AN664" s="83"/>
      <c r="AO664" s="83"/>
      <c r="AP664" s="83"/>
      <c r="AQ664" s="66"/>
      <c r="AR664" s="66"/>
      <c r="AS664" s="66"/>
      <c r="AT664" s="81"/>
      <c r="AU664" s="81"/>
      <c r="AV664" s="81"/>
      <c r="AW664" s="81"/>
      <c r="AX664" s="83">
        <f>SUM(Prog_23[[#This Row],[ADIANTAMENTO]]+Prog_23[[#This Row],[SALDO]]+Prog_23[[#This Row],[MARGEM]]+Prog_23[[#This Row],[ESTADIA 1]])</f>
        <v>0</v>
      </c>
      <c r="AY6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64" s="81"/>
      <c r="BA664" s="81"/>
      <c r="BB664" s="81">
        <f>Prog_23[[#This Row],[VLR NF]]*0.1%</f>
        <v>0</v>
      </c>
      <c r="BC664" s="81">
        <f>Prog_23[[#This Row],[VLR NF]]*0.05%</f>
        <v>0</v>
      </c>
      <c r="BD664" s="81"/>
      <c r="BE664" s="81"/>
      <c r="BF664" s="81"/>
      <c r="BG664" s="81"/>
      <c r="BH664" s="81"/>
      <c r="BI664" s="81"/>
      <c r="BJ664" s="81"/>
      <c r="BK664" s="81"/>
      <c r="BL664" s="81"/>
      <c r="BM664" s="81"/>
      <c r="BN664" s="66"/>
      <c r="BO664" s="66"/>
      <c r="BP664" s="66"/>
      <c r="BQ664" s="66" t="str">
        <f>PROPER(TEXT(Prog_23[[#This Row],[PROGRAMAÇÃO CLIENTE]],"mmm"))</f>
        <v>Jan</v>
      </c>
      <c r="BR664" s="66">
        <f>YEAR(Prog_23[[#This Row],[PROGRAMAÇÃO CLIENTE]])</f>
        <v>1900</v>
      </c>
    </row>
    <row r="665" spans="1:70" x14ac:dyDescent="0.25">
      <c r="A665" s="200">
        <f>Prog_23[[#This Row],[CONTEINER]]</f>
        <v>0</v>
      </c>
      <c r="B665" s="86"/>
      <c r="C6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65" s="44"/>
      <c r="E665" s="66"/>
      <c r="F665" s="66"/>
      <c r="G665" s="66"/>
      <c r="H665" s="44"/>
      <c r="I665" s="44"/>
      <c r="J665" s="66"/>
      <c r="K665" s="66"/>
      <c r="L665" s="66"/>
      <c r="M665" s="66"/>
      <c r="N665" s="66">
        <f>SUM(Prog_23[[#This Row],[TARA]]+Prog_23[[#This Row],[PESO]])</f>
        <v>0</v>
      </c>
      <c r="O665" s="44"/>
      <c r="P665" s="66"/>
      <c r="Q665" s="66"/>
      <c r="R665" s="66"/>
      <c r="S665" s="66"/>
      <c r="T665" s="138" t="str">
        <f>IFERROR(LOOKUP($S665,MOTORISTAS!$D$3:$D$916,MOTORISTAS!E$3:$E$916),"")</f>
        <v/>
      </c>
      <c r="U665" s="138" t="str">
        <f>IFERROR(LOOKUP($S665,MOTORISTAS!$D$3:$D$916,MOTORISTAS!F$3:$F$916),"")</f>
        <v/>
      </c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44"/>
      <c r="AG665" s="254">
        <f>Prog_23[[#This Row],[SAÍDA DO CLIENTE]]-Prog_23[[#This Row],[PROGRAMAÇÃO CLIENTE]]</f>
        <v>0</v>
      </c>
      <c r="AH665" s="44"/>
      <c r="AI665" s="66"/>
      <c r="AJ665" s="66"/>
      <c r="AK665" s="66"/>
      <c r="AL665" s="66"/>
      <c r="AM665" s="66"/>
      <c r="AN665" s="83"/>
      <c r="AO665" s="83"/>
      <c r="AP665" s="83"/>
      <c r="AQ665" s="66"/>
      <c r="AR665" s="66"/>
      <c r="AS665" s="66"/>
      <c r="AT665" s="81"/>
      <c r="AU665" s="81"/>
      <c r="AV665" s="81"/>
      <c r="AW665" s="81"/>
      <c r="AX665" s="83">
        <f>SUM(Prog_23[[#This Row],[ADIANTAMENTO]]+Prog_23[[#This Row],[SALDO]]+Prog_23[[#This Row],[MARGEM]]+Prog_23[[#This Row],[ESTADIA 1]])</f>
        <v>0</v>
      </c>
      <c r="AY6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65" s="81"/>
      <c r="BA665" s="81"/>
      <c r="BB665" s="81">
        <f>Prog_23[[#This Row],[VLR NF]]*0.1%</f>
        <v>0</v>
      </c>
      <c r="BC665" s="81">
        <f>Prog_23[[#This Row],[VLR NF]]*0.05%</f>
        <v>0</v>
      </c>
      <c r="BD665" s="81"/>
      <c r="BE665" s="81"/>
      <c r="BF665" s="81"/>
      <c r="BG665" s="81"/>
      <c r="BH665" s="81"/>
      <c r="BI665" s="81"/>
      <c r="BJ665" s="81"/>
      <c r="BK665" s="81"/>
      <c r="BL665" s="81"/>
      <c r="BM665" s="81"/>
      <c r="BN665" s="66"/>
      <c r="BO665" s="66"/>
      <c r="BP665" s="66"/>
      <c r="BQ665" s="66" t="str">
        <f>PROPER(TEXT(Prog_23[[#This Row],[PROGRAMAÇÃO CLIENTE]],"mmm"))</f>
        <v>Jan</v>
      </c>
      <c r="BR665" s="66">
        <f>YEAR(Prog_23[[#This Row],[PROGRAMAÇÃO CLIENTE]])</f>
        <v>1900</v>
      </c>
    </row>
    <row r="666" spans="1:70" x14ac:dyDescent="0.25">
      <c r="A666" s="201">
        <f>Prog_23[[#This Row],[CONTEINER]]</f>
        <v>0</v>
      </c>
      <c r="B666" s="86"/>
      <c r="C6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66" s="44"/>
      <c r="E666" s="66"/>
      <c r="F666" s="66"/>
      <c r="G666" s="66"/>
      <c r="H666" s="44"/>
      <c r="I666" s="44"/>
      <c r="J666" s="66"/>
      <c r="K666" s="66"/>
      <c r="L666" s="66"/>
      <c r="M666" s="66"/>
      <c r="N666" s="66">
        <f>SUM(Prog_23[[#This Row],[TARA]]+Prog_23[[#This Row],[PESO]])</f>
        <v>0</v>
      </c>
      <c r="O666" s="44"/>
      <c r="P666" s="66"/>
      <c r="Q666" s="66"/>
      <c r="R666" s="66"/>
      <c r="S666" s="66"/>
      <c r="T666" s="138" t="str">
        <f>IFERROR(LOOKUP($S666,MOTORISTAS!$D$3:$D$916,MOTORISTAS!E$3:$E$916),"")</f>
        <v/>
      </c>
      <c r="U666" s="138" t="str">
        <f>IFERROR(LOOKUP($S666,MOTORISTAS!$D$3:$D$916,MOTORISTAS!F$3:$F$916),"")</f>
        <v/>
      </c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44"/>
      <c r="AG666" s="254">
        <f>Prog_23[[#This Row],[SAÍDA DO CLIENTE]]-Prog_23[[#This Row],[PROGRAMAÇÃO CLIENTE]]</f>
        <v>0</v>
      </c>
      <c r="AH666" s="44"/>
      <c r="AI666" s="66"/>
      <c r="AJ666" s="66"/>
      <c r="AK666" s="66"/>
      <c r="AL666" s="66"/>
      <c r="AM666" s="66"/>
      <c r="AN666" s="83"/>
      <c r="AO666" s="83"/>
      <c r="AP666" s="83"/>
      <c r="AQ666" s="66"/>
      <c r="AR666" s="66"/>
      <c r="AS666" s="66"/>
      <c r="AT666" s="81"/>
      <c r="AU666" s="81"/>
      <c r="AV666" s="81"/>
      <c r="AW666" s="81"/>
      <c r="AX666" s="83">
        <f>SUM(Prog_23[[#This Row],[ADIANTAMENTO]]+Prog_23[[#This Row],[SALDO]]+Prog_23[[#This Row],[MARGEM]]+Prog_23[[#This Row],[ESTADIA 1]])</f>
        <v>0</v>
      </c>
      <c r="AY6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66" s="81"/>
      <c r="BA666" s="81"/>
      <c r="BB666" s="81">
        <f>Prog_23[[#This Row],[VLR NF]]*0.1%</f>
        <v>0</v>
      </c>
      <c r="BC666" s="81">
        <f>Prog_23[[#This Row],[VLR NF]]*0.05%</f>
        <v>0</v>
      </c>
      <c r="BD666" s="81"/>
      <c r="BE666" s="81"/>
      <c r="BF666" s="81"/>
      <c r="BG666" s="81"/>
      <c r="BH666" s="81"/>
      <c r="BI666" s="81"/>
      <c r="BJ666" s="81"/>
      <c r="BK666" s="81"/>
      <c r="BL666" s="81"/>
      <c r="BM666" s="81"/>
      <c r="BN666" s="66"/>
      <c r="BO666" s="66"/>
      <c r="BP666" s="66"/>
      <c r="BQ666" s="66" t="str">
        <f>PROPER(TEXT(Prog_23[[#This Row],[PROGRAMAÇÃO CLIENTE]],"mmm"))</f>
        <v>Jan</v>
      </c>
      <c r="BR666" s="66">
        <f>YEAR(Prog_23[[#This Row],[PROGRAMAÇÃO CLIENTE]])</f>
        <v>1900</v>
      </c>
    </row>
    <row r="667" spans="1:70" x14ac:dyDescent="0.25">
      <c r="A667" s="200">
        <f>Prog_23[[#This Row],[CONTEINER]]</f>
        <v>0</v>
      </c>
      <c r="B667" s="86"/>
      <c r="C6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67" s="44"/>
      <c r="E667" s="66"/>
      <c r="F667" s="66"/>
      <c r="G667" s="66"/>
      <c r="H667" s="44"/>
      <c r="I667" s="44"/>
      <c r="J667" s="66"/>
      <c r="K667" s="66"/>
      <c r="L667" s="66"/>
      <c r="M667" s="66"/>
      <c r="N667" s="66">
        <f>SUM(Prog_23[[#This Row],[TARA]]+Prog_23[[#This Row],[PESO]])</f>
        <v>0</v>
      </c>
      <c r="O667" s="44"/>
      <c r="P667" s="66"/>
      <c r="Q667" s="66"/>
      <c r="R667" s="66"/>
      <c r="S667" s="66"/>
      <c r="T667" s="138" t="str">
        <f>IFERROR(LOOKUP($S667,MOTORISTAS!$D$3:$D$916,MOTORISTAS!E$3:$E$916),"")</f>
        <v/>
      </c>
      <c r="U667" s="138" t="str">
        <f>IFERROR(LOOKUP($S667,MOTORISTAS!$D$3:$D$916,MOTORISTAS!F$3:$F$916),"")</f>
        <v/>
      </c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44"/>
      <c r="AG667" s="254">
        <f>Prog_23[[#This Row],[SAÍDA DO CLIENTE]]-Prog_23[[#This Row],[PROGRAMAÇÃO CLIENTE]]</f>
        <v>0</v>
      </c>
      <c r="AH667" s="44"/>
      <c r="AI667" s="66"/>
      <c r="AJ667" s="66"/>
      <c r="AK667" s="66"/>
      <c r="AL667" s="66"/>
      <c r="AM667" s="66"/>
      <c r="AN667" s="83"/>
      <c r="AO667" s="83"/>
      <c r="AP667" s="83"/>
      <c r="AQ667" s="66"/>
      <c r="AR667" s="66"/>
      <c r="AS667" s="66"/>
      <c r="AT667" s="81"/>
      <c r="AU667" s="81"/>
      <c r="AV667" s="81"/>
      <c r="AW667" s="81"/>
      <c r="AX667" s="83">
        <f>SUM(Prog_23[[#This Row],[ADIANTAMENTO]]+Prog_23[[#This Row],[SALDO]]+Prog_23[[#This Row],[MARGEM]]+Prog_23[[#This Row],[ESTADIA 1]])</f>
        <v>0</v>
      </c>
      <c r="AY6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67" s="81"/>
      <c r="BA667" s="81"/>
      <c r="BB667" s="81">
        <f>Prog_23[[#This Row],[VLR NF]]*0.1%</f>
        <v>0</v>
      </c>
      <c r="BC667" s="81">
        <f>Prog_23[[#This Row],[VLR NF]]*0.05%</f>
        <v>0</v>
      </c>
      <c r="BD667" s="81"/>
      <c r="BE667" s="81"/>
      <c r="BF667" s="81"/>
      <c r="BG667" s="81"/>
      <c r="BH667" s="81"/>
      <c r="BI667" s="81"/>
      <c r="BJ667" s="81"/>
      <c r="BK667" s="81"/>
      <c r="BL667" s="81"/>
      <c r="BM667" s="81"/>
      <c r="BN667" s="66"/>
      <c r="BO667" s="66"/>
      <c r="BP667" s="66"/>
      <c r="BQ667" s="66" t="str">
        <f>PROPER(TEXT(Prog_23[[#This Row],[PROGRAMAÇÃO CLIENTE]],"mmm"))</f>
        <v>Jan</v>
      </c>
      <c r="BR667" s="66">
        <f>YEAR(Prog_23[[#This Row],[PROGRAMAÇÃO CLIENTE]])</f>
        <v>1900</v>
      </c>
    </row>
    <row r="668" spans="1:70" x14ac:dyDescent="0.25">
      <c r="A668" s="201">
        <f>Prog_23[[#This Row],[CONTEINER]]</f>
        <v>0</v>
      </c>
      <c r="B668" s="86"/>
      <c r="C6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68" s="44"/>
      <c r="E668" s="66"/>
      <c r="F668" s="66"/>
      <c r="G668" s="66"/>
      <c r="H668" s="44"/>
      <c r="I668" s="44"/>
      <c r="J668" s="66"/>
      <c r="K668" s="66"/>
      <c r="L668" s="66"/>
      <c r="M668" s="66"/>
      <c r="N668" s="66">
        <f>SUM(Prog_23[[#This Row],[TARA]]+Prog_23[[#This Row],[PESO]])</f>
        <v>0</v>
      </c>
      <c r="O668" s="44"/>
      <c r="P668" s="66"/>
      <c r="Q668" s="66"/>
      <c r="R668" s="66"/>
      <c r="S668" s="66"/>
      <c r="T668" s="138" t="str">
        <f>IFERROR(LOOKUP($S668,MOTORISTAS!$D$3:$D$916,MOTORISTAS!E$3:$E$916),"")</f>
        <v/>
      </c>
      <c r="U668" s="138" t="str">
        <f>IFERROR(LOOKUP($S668,MOTORISTAS!$D$3:$D$916,MOTORISTAS!F$3:$F$916),"")</f>
        <v/>
      </c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44"/>
      <c r="AG668" s="254">
        <f>Prog_23[[#This Row],[SAÍDA DO CLIENTE]]-Prog_23[[#This Row],[PROGRAMAÇÃO CLIENTE]]</f>
        <v>0</v>
      </c>
      <c r="AH668" s="44"/>
      <c r="AI668" s="66"/>
      <c r="AJ668" s="66"/>
      <c r="AK668" s="66"/>
      <c r="AL668" s="66"/>
      <c r="AM668" s="66"/>
      <c r="AN668" s="83"/>
      <c r="AO668" s="83"/>
      <c r="AP668" s="83"/>
      <c r="AQ668" s="66"/>
      <c r="AR668" s="66"/>
      <c r="AS668" s="66"/>
      <c r="AT668" s="81"/>
      <c r="AU668" s="81"/>
      <c r="AV668" s="81"/>
      <c r="AW668" s="81"/>
      <c r="AX668" s="83">
        <f>SUM(Prog_23[[#This Row],[ADIANTAMENTO]]+Prog_23[[#This Row],[SALDO]]+Prog_23[[#This Row],[MARGEM]]+Prog_23[[#This Row],[ESTADIA 1]])</f>
        <v>0</v>
      </c>
      <c r="AY6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68" s="81"/>
      <c r="BA668" s="81"/>
      <c r="BB668" s="81">
        <f>Prog_23[[#This Row],[VLR NF]]*0.1%</f>
        <v>0</v>
      </c>
      <c r="BC668" s="81">
        <f>Prog_23[[#This Row],[VLR NF]]*0.05%</f>
        <v>0</v>
      </c>
      <c r="BD668" s="81"/>
      <c r="BE668" s="81"/>
      <c r="BF668" s="81"/>
      <c r="BG668" s="81"/>
      <c r="BH668" s="81"/>
      <c r="BI668" s="81"/>
      <c r="BJ668" s="81"/>
      <c r="BK668" s="81"/>
      <c r="BL668" s="81"/>
      <c r="BM668" s="81"/>
      <c r="BN668" s="66"/>
      <c r="BO668" s="66"/>
      <c r="BP668" s="66"/>
      <c r="BQ668" s="66" t="str">
        <f>PROPER(TEXT(Prog_23[[#This Row],[PROGRAMAÇÃO CLIENTE]],"mmm"))</f>
        <v>Jan</v>
      </c>
      <c r="BR668" s="66">
        <f>YEAR(Prog_23[[#This Row],[PROGRAMAÇÃO CLIENTE]])</f>
        <v>1900</v>
      </c>
    </row>
    <row r="669" spans="1:70" x14ac:dyDescent="0.25">
      <c r="A669" s="200">
        <f>Prog_23[[#This Row],[CONTEINER]]</f>
        <v>0</v>
      </c>
      <c r="B669" s="86"/>
      <c r="C6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69" s="44"/>
      <c r="E669" s="66"/>
      <c r="F669" s="66"/>
      <c r="G669" s="66"/>
      <c r="H669" s="44"/>
      <c r="I669" s="44"/>
      <c r="J669" s="66"/>
      <c r="K669" s="66"/>
      <c r="L669" s="66"/>
      <c r="M669" s="66"/>
      <c r="N669" s="66">
        <f>SUM(Prog_23[[#This Row],[TARA]]+Prog_23[[#This Row],[PESO]])</f>
        <v>0</v>
      </c>
      <c r="O669" s="44"/>
      <c r="P669" s="66"/>
      <c r="Q669" s="66"/>
      <c r="R669" s="66"/>
      <c r="S669" s="66"/>
      <c r="T669" s="138" t="str">
        <f>IFERROR(LOOKUP($S669,MOTORISTAS!$D$3:$D$916,MOTORISTAS!E$3:$E$916),"")</f>
        <v/>
      </c>
      <c r="U669" s="138" t="str">
        <f>IFERROR(LOOKUP($S669,MOTORISTAS!$D$3:$D$916,MOTORISTAS!F$3:$F$916),"")</f>
        <v/>
      </c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44"/>
      <c r="AG669" s="254">
        <f>Prog_23[[#This Row],[SAÍDA DO CLIENTE]]-Prog_23[[#This Row],[PROGRAMAÇÃO CLIENTE]]</f>
        <v>0</v>
      </c>
      <c r="AH669" s="44"/>
      <c r="AI669" s="66"/>
      <c r="AJ669" s="66"/>
      <c r="AK669" s="66"/>
      <c r="AL669" s="66"/>
      <c r="AM669" s="66"/>
      <c r="AN669" s="83"/>
      <c r="AO669" s="83"/>
      <c r="AP669" s="83"/>
      <c r="AQ669" s="66"/>
      <c r="AR669" s="66"/>
      <c r="AS669" s="66"/>
      <c r="AT669" s="81"/>
      <c r="AU669" s="81"/>
      <c r="AV669" s="81"/>
      <c r="AW669" s="81"/>
      <c r="AX669" s="83">
        <f>SUM(Prog_23[[#This Row],[ADIANTAMENTO]]+Prog_23[[#This Row],[SALDO]]+Prog_23[[#This Row],[MARGEM]]+Prog_23[[#This Row],[ESTADIA 1]])</f>
        <v>0</v>
      </c>
      <c r="AY6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69" s="81"/>
      <c r="BA669" s="81"/>
      <c r="BB669" s="81">
        <f>Prog_23[[#This Row],[VLR NF]]*0.1%</f>
        <v>0</v>
      </c>
      <c r="BC669" s="81">
        <f>Prog_23[[#This Row],[VLR NF]]*0.05%</f>
        <v>0</v>
      </c>
      <c r="BD669" s="81"/>
      <c r="BE669" s="81"/>
      <c r="BF669" s="81"/>
      <c r="BG669" s="81"/>
      <c r="BH669" s="81"/>
      <c r="BI669" s="81"/>
      <c r="BJ669" s="81"/>
      <c r="BK669" s="81"/>
      <c r="BL669" s="81"/>
      <c r="BM669" s="81"/>
      <c r="BN669" s="66"/>
      <c r="BO669" s="66"/>
      <c r="BP669" s="66"/>
      <c r="BQ669" s="66" t="str">
        <f>PROPER(TEXT(Prog_23[[#This Row],[PROGRAMAÇÃO CLIENTE]],"mmm"))</f>
        <v>Jan</v>
      </c>
      <c r="BR669" s="66">
        <f>YEAR(Prog_23[[#This Row],[PROGRAMAÇÃO CLIENTE]])</f>
        <v>1900</v>
      </c>
    </row>
    <row r="670" spans="1:70" x14ac:dyDescent="0.25">
      <c r="A670" s="201">
        <f>Prog_23[[#This Row],[CONTEINER]]</f>
        <v>0</v>
      </c>
      <c r="B670" s="86"/>
      <c r="C6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70" s="44"/>
      <c r="E670" s="66"/>
      <c r="F670" s="66"/>
      <c r="G670" s="66"/>
      <c r="H670" s="44"/>
      <c r="I670" s="44"/>
      <c r="J670" s="66"/>
      <c r="K670" s="66"/>
      <c r="L670" s="66"/>
      <c r="M670" s="66"/>
      <c r="N670" s="66">
        <f>SUM(Prog_23[[#This Row],[TARA]]+Prog_23[[#This Row],[PESO]])</f>
        <v>0</v>
      </c>
      <c r="O670" s="44"/>
      <c r="P670" s="66"/>
      <c r="Q670" s="66"/>
      <c r="R670" s="66"/>
      <c r="S670" s="66"/>
      <c r="T670" s="138" t="str">
        <f>IFERROR(LOOKUP($S670,MOTORISTAS!$D$3:$D$916,MOTORISTAS!E$3:$E$916),"")</f>
        <v/>
      </c>
      <c r="U670" s="138" t="str">
        <f>IFERROR(LOOKUP($S670,MOTORISTAS!$D$3:$D$916,MOTORISTAS!F$3:$F$916),"")</f>
        <v/>
      </c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44"/>
      <c r="AG670" s="254">
        <f>Prog_23[[#This Row],[SAÍDA DO CLIENTE]]-Prog_23[[#This Row],[PROGRAMAÇÃO CLIENTE]]</f>
        <v>0</v>
      </c>
      <c r="AH670" s="44"/>
      <c r="AI670" s="66"/>
      <c r="AJ670" s="66"/>
      <c r="AK670" s="66"/>
      <c r="AL670" s="66"/>
      <c r="AM670" s="66"/>
      <c r="AN670" s="83"/>
      <c r="AO670" s="83"/>
      <c r="AP670" s="83"/>
      <c r="AQ670" s="66"/>
      <c r="AR670" s="66"/>
      <c r="AS670" s="66"/>
      <c r="AT670" s="81"/>
      <c r="AU670" s="81"/>
      <c r="AV670" s="81"/>
      <c r="AW670" s="81"/>
      <c r="AX670" s="83">
        <f>SUM(Prog_23[[#This Row],[ADIANTAMENTO]]+Prog_23[[#This Row],[SALDO]]+Prog_23[[#This Row],[MARGEM]]+Prog_23[[#This Row],[ESTADIA 1]])</f>
        <v>0</v>
      </c>
      <c r="AY6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70" s="81"/>
      <c r="BA670" s="81"/>
      <c r="BB670" s="81">
        <f>Prog_23[[#This Row],[VLR NF]]*0.1%</f>
        <v>0</v>
      </c>
      <c r="BC670" s="81">
        <f>Prog_23[[#This Row],[VLR NF]]*0.05%</f>
        <v>0</v>
      </c>
      <c r="BD670" s="81"/>
      <c r="BE670" s="81"/>
      <c r="BF670" s="81"/>
      <c r="BG670" s="81"/>
      <c r="BH670" s="81"/>
      <c r="BI670" s="81"/>
      <c r="BJ670" s="81"/>
      <c r="BK670" s="81"/>
      <c r="BL670" s="81"/>
      <c r="BM670" s="81"/>
      <c r="BN670" s="66"/>
      <c r="BO670" s="66"/>
      <c r="BP670" s="66"/>
      <c r="BQ670" s="66" t="str">
        <f>PROPER(TEXT(Prog_23[[#This Row],[PROGRAMAÇÃO CLIENTE]],"mmm"))</f>
        <v>Jan</v>
      </c>
      <c r="BR670" s="66">
        <f>YEAR(Prog_23[[#This Row],[PROGRAMAÇÃO CLIENTE]])</f>
        <v>1900</v>
      </c>
    </row>
    <row r="671" spans="1:70" x14ac:dyDescent="0.25">
      <c r="A671" s="200">
        <f>Prog_23[[#This Row],[CONTEINER]]</f>
        <v>0</v>
      </c>
      <c r="B671" s="86"/>
      <c r="C6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71" s="44"/>
      <c r="E671" s="66"/>
      <c r="F671" s="66"/>
      <c r="G671" s="66"/>
      <c r="H671" s="44"/>
      <c r="I671" s="44"/>
      <c r="J671" s="66"/>
      <c r="K671" s="66"/>
      <c r="L671" s="66"/>
      <c r="M671" s="66"/>
      <c r="N671" s="66">
        <f>SUM(Prog_23[[#This Row],[TARA]]+Prog_23[[#This Row],[PESO]])</f>
        <v>0</v>
      </c>
      <c r="O671" s="44"/>
      <c r="P671" s="66"/>
      <c r="Q671" s="66"/>
      <c r="R671" s="66"/>
      <c r="S671" s="66"/>
      <c r="T671" s="138" t="str">
        <f>IFERROR(LOOKUP($S671,MOTORISTAS!$D$3:$D$916,MOTORISTAS!E$3:$E$916),"")</f>
        <v/>
      </c>
      <c r="U671" s="138" t="str">
        <f>IFERROR(LOOKUP($S671,MOTORISTAS!$D$3:$D$916,MOTORISTAS!F$3:$F$916),"")</f>
        <v/>
      </c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44"/>
      <c r="AG671" s="254">
        <f>Prog_23[[#This Row],[SAÍDA DO CLIENTE]]-Prog_23[[#This Row],[PROGRAMAÇÃO CLIENTE]]</f>
        <v>0</v>
      </c>
      <c r="AH671" s="44"/>
      <c r="AI671" s="66"/>
      <c r="AJ671" s="66"/>
      <c r="AK671" s="66"/>
      <c r="AL671" s="66"/>
      <c r="AM671" s="66"/>
      <c r="AN671" s="83"/>
      <c r="AO671" s="83"/>
      <c r="AP671" s="83"/>
      <c r="AQ671" s="66"/>
      <c r="AR671" s="66"/>
      <c r="AS671" s="66"/>
      <c r="AT671" s="81"/>
      <c r="AU671" s="81"/>
      <c r="AV671" s="81"/>
      <c r="AW671" s="81"/>
      <c r="AX671" s="83">
        <f>SUM(Prog_23[[#This Row],[ADIANTAMENTO]]+Prog_23[[#This Row],[SALDO]]+Prog_23[[#This Row],[MARGEM]]+Prog_23[[#This Row],[ESTADIA 1]])</f>
        <v>0</v>
      </c>
      <c r="AY6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71" s="81"/>
      <c r="BA671" s="81"/>
      <c r="BB671" s="81">
        <f>Prog_23[[#This Row],[VLR NF]]*0.1%</f>
        <v>0</v>
      </c>
      <c r="BC671" s="81">
        <f>Prog_23[[#This Row],[VLR NF]]*0.05%</f>
        <v>0</v>
      </c>
      <c r="BD671" s="81"/>
      <c r="BE671" s="81"/>
      <c r="BF671" s="81"/>
      <c r="BG671" s="81"/>
      <c r="BH671" s="81"/>
      <c r="BI671" s="81"/>
      <c r="BJ671" s="81"/>
      <c r="BK671" s="81"/>
      <c r="BL671" s="81"/>
      <c r="BM671" s="81"/>
      <c r="BN671" s="66"/>
      <c r="BO671" s="66"/>
      <c r="BP671" s="66"/>
      <c r="BQ671" s="66" t="str">
        <f>PROPER(TEXT(Prog_23[[#This Row],[PROGRAMAÇÃO CLIENTE]],"mmm"))</f>
        <v>Jan</v>
      </c>
      <c r="BR671" s="66">
        <f>YEAR(Prog_23[[#This Row],[PROGRAMAÇÃO CLIENTE]])</f>
        <v>1900</v>
      </c>
    </row>
    <row r="672" spans="1:70" x14ac:dyDescent="0.25">
      <c r="A672" s="201">
        <f>Prog_23[[#This Row],[CONTEINER]]</f>
        <v>0</v>
      </c>
      <c r="B672" s="86"/>
      <c r="C6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72" s="44"/>
      <c r="E672" s="66"/>
      <c r="F672" s="66"/>
      <c r="G672" s="66"/>
      <c r="H672" s="44"/>
      <c r="I672" s="44"/>
      <c r="J672" s="66"/>
      <c r="K672" s="66"/>
      <c r="L672" s="66"/>
      <c r="M672" s="66"/>
      <c r="N672" s="66">
        <f>SUM(Prog_23[[#This Row],[TARA]]+Prog_23[[#This Row],[PESO]])</f>
        <v>0</v>
      </c>
      <c r="O672" s="44"/>
      <c r="P672" s="66"/>
      <c r="Q672" s="66"/>
      <c r="R672" s="66"/>
      <c r="S672" s="66"/>
      <c r="T672" s="138" t="str">
        <f>IFERROR(LOOKUP($S672,MOTORISTAS!$D$3:$D$916,MOTORISTAS!E$3:$E$916),"")</f>
        <v/>
      </c>
      <c r="U672" s="138" t="str">
        <f>IFERROR(LOOKUP($S672,MOTORISTAS!$D$3:$D$916,MOTORISTAS!F$3:$F$916),"")</f>
        <v/>
      </c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44"/>
      <c r="AG672" s="254">
        <f>Prog_23[[#This Row],[SAÍDA DO CLIENTE]]-Prog_23[[#This Row],[PROGRAMAÇÃO CLIENTE]]</f>
        <v>0</v>
      </c>
      <c r="AH672" s="44"/>
      <c r="AI672" s="66"/>
      <c r="AJ672" s="66"/>
      <c r="AK672" s="66"/>
      <c r="AL672" s="66"/>
      <c r="AM672" s="66"/>
      <c r="AN672" s="83"/>
      <c r="AO672" s="83"/>
      <c r="AP672" s="83"/>
      <c r="AQ672" s="66"/>
      <c r="AR672" s="66"/>
      <c r="AS672" s="66"/>
      <c r="AT672" s="81"/>
      <c r="AU672" s="81"/>
      <c r="AV672" s="81"/>
      <c r="AW672" s="81"/>
      <c r="AX672" s="83">
        <f>SUM(Prog_23[[#This Row],[ADIANTAMENTO]]+Prog_23[[#This Row],[SALDO]]+Prog_23[[#This Row],[MARGEM]]+Prog_23[[#This Row],[ESTADIA 1]])</f>
        <v>0</v>
      </c>
      <c r="AY6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72" s="81"/>
      <c r="BA672" s="81"/>
      <c r="BB672" s="81">
        <f>Prog_23[[#This Row],[VLR NF]]*0.1%</f>
        <v>0</v>
      </c>
      <c r="BC672" s="81">
        <f>Prog_23[[#This Row],[VLR NF]]*0.05%</f>
        <v>0</v>
      </c>
      <c r="BD672" s="81"/>
      <c r="BE672" s="81"/>
      <c r="BF672" s="81"/>
      <c r="BG672" s="81"/>
      <c r="BH672" s="81"/>
      <c r="BI672" s="81"/>
      <c r="BJ672" s="81"/>
      <c r="BK672" s="81"/>
      <c r="BL672" s="81"/>
      <c r="BM672" s="81"/>
      <c r="BN672" s="66"/>
      <c r="BO672" s="66"/>
      <c r="BP672" s="66"/>
      <c r="BQ672" s="66" t="str">
        <f>PROPER(TEXT(Prog_23[[#This Row],[PROGRAMAÇÃO CLIENTE]],"mmm"))</f>
        <v>Jan</v>
      </c>
      <c r="BR672" s="66">
        <f>YEAR(Prog_23[[#This Row],[PROGRAMAÇÃO CLIENTE]])</f>
        <v>1900</v>
      </c>
    </row>
    <row r="673" spans="1:70" x14ac:dyDescent="0.25">
      <c r="A673" s="200">
        <f>Prog_23[[#This Row],[CONTEINER]]</f>
        <v>0</v>
      </c>
      <c r="B673" s="86"/>
      <c r="C6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73" s="44"/>
      <c r="E673" s="66"/>
      <c r="F673" s="66"/>
      <c r="G673" s="66"/>
      <c r="H673" s="44"/>
      <c r="I673" s="44"/>
      <c r="J673" s="66"/>
      <c r="K673" s="66"/>
      <c r="L673" s="66"/>
      <c r="M673" s="66"/>
      <c r="N673" s="66">
        <f>SUM(Prog_23[[#This Row],[TARA]]+Prog_23[[#This Row],[PESO]])</f>
        <v>0</v>
      </c>
      <c r="O673" s="44"/>
      <c r="P673" s="66"/>
      <c r="Q673" s="66"/>
      <c r="R673" s="66"/>
      <c r="S673" s="66"/>
      <c r="T673" s="138" t="str">
        <f>IFERROR(LOOKUP($S673,MOTORISTAS!$D$3:$D$916,MOTORISTAS!E$3:$E$916),"")</f>
        <v/>
      </c>
      <c r="U673" s="138" t="str">
        <f>IFERROR(LOOKUP($S673,MOTORISTAS!$D$3:$D$916,MOTORISTAS!F$3:$F$916),"")</f>
        <v/>
      </c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44"/>
      <c r="AG673" s="254">
        <f>Prog_23[[#This Row],[SAÍDA DO CLIENTE]]-Prog_23[[#This Row],[PROGRAMAÇÃO CLIENTE]]</f>
        <v>0</v>
      </c>
      <c r="AH673" s="44"/>
      <c r="AI673" s="66"/>
      <c r="AJ673" s="66"/>
      <c r="AK673" s="66"/>
      <c r="AL673" s="66"/>
      <c r="AM673" s="66"/>
      <c r="AN673" s="83"/>
      <c r="AO673" s="83"/>
      <c r="AP673" s="83"/>
      <c r="AQ673" s="66"/>
      <c r="AR673" s="66"/>
      <c r="AS673" s="66"/>
      <c r="AT673" s="81"/>
      <c r="AU673" s="81"/>
      <c r="AV673" s="81"/>
      <c r="AW673" s="81"/>
      <c r="AX673" s="83">
        <f>SUM(Prog_23[[#This Row],[ADIANTAMENTO]]+Prog_23[[#This Row],[SALDO]]+Prog_23[[#This Row],[MARGEM]]+Prog_23[[#This Row],[ESTADIA 1]])</f>
        <v>0</v>
      </c>
      <c r="AY6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73" s="81"/>
      <c r="BA673" s="81"/>
      <c r="BB673" s="81">
        <f>Prog_23[[#This Row],[VLR NF]]*0.1%</f>
        <v>0</v>
      </c>
      <c r="BC673" s="81">
        <f>Prog_23[[#This Row],[VLR NF]]*0.05%</f>
        <v>0</v>
      </c>
      <c r="BD673" s="81"/>
      <c r="BE673" s="81"/>
      <c r="BF673" s="81"/>
      <c r="BG673" s="81"/>
      <c r="BH673" s="81"/>
      <c r="BI673" s="81"/>
      <c r="BJ673" s="81"/>
      <c r="BK673" s="81"/>
      <c r="BL673" s="81"/>
      <c r="BM673" s="81"/>
      <c r="BN673" s="66"/>
      <c r="BO673" s="66"/>
      <c r="BP673" s="66"/>
      <c r="BQ673" s="66" t="str">
        <f>PROPER(TEXT(Prog_23[[#This Row],[PROGRAMAÇÃO CLIENTE]],"mmm"))</f>
        <v>Jan</v>
      </c>
      <c r="BR673" s="66">
        <f>YEAR(Prog_23[[#This Row],[PROGRAMAÇÃO CLIENTE]])</f>
        <v>1900</v>
      </c>
    </row>
    <row r="674" spans="1:70" x14ac:dyDescent="0.25">
      <c r="A674" s="201">
        <f>Prog_23[[#This Row],[CONTEINER]]</f>
        <v>0</v>
      </c>
      <c r="B674" s="86"/>
      <c r="C6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74" s="44"/>
      <c r="E674" s="66"/>
      <c r="F674" s="66"/>
      <c r="G674" s="66"/>
      <c r="H674" s="44"/>
      <c r="I674" s="44"/>
      <c r="J674" s="66"/>
      <c r="K674" s="66"/>
      <c r="L674" s="66"/>
      <c r="M674" s="66"/>
      <c r="N674" s="66">
        <f>SUM(Prog_23[[#This Row],[TARA]]+Prog_23[[#This Row],[PESO]])</f>
        <v>0</v>
      </c>
      <c r="O674" s="44"/>
      <c r="P674" s="66"/>
      <c r="Q674" s="66"/>
      <c r="R674" s="66"/>
      <c r="S674" s="66"/>
      <c r="T674" s="138" t="str">
        <f>IFERROR(LOOKUP($S674,MOTORISTAS!$D$3:$D$916,MOTORISTAS!E$3:$E$916),"")</f>
        <v/>
      </c>
      <c r="U674" s="138" t="str">
        <f>IFERROR(LOOKUP($S674,MOTORISTAS!$D$3:$D$916,MOTORISTAS!F$3:$F$916),"")</f>
        <v/>
      </c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44"/>
      <c r="AG674" s="254">
        <f>Prog_23[[#This Row],[SAÍDA DO CLIENTE]]-Prog_23[[#This Row],[PROGRAMAÇÃO CLIENTE]]</f>
        <v>0</v>
      </c>
      <c r="AH674" s="44"/>
      <c r="AI674" s="66"/>
      <c r="AJ674" s="66"/>
      <c r="AK674" s="66"/>
      <c r="AL674" s="66"/>
      <c r="AM674" s="66"/>
      <c r="AN674" s="83"/>
      <c r="AO674" s="83"/>
      <c r="AP674" s="83"/>
      <c r="AQ674" s="66"/>
      <c r="AR674" s="66"/>
      <c r="AS674" s="66"/>
      <c r="AT674" s="81"/>
      <c r="AU674" s="81"/>
      <c r="AV674" s="81"/>
      <c r="AW674" s="81"/>
      <c r="AX674" s="83">
        <f>SUM(Prog_23[[#This Row],[ADIANTAMENTO]]+Prog_23[[#This Row],[SALDO]]+Prog_23[[#This Row],[MARGEM]]+Prog_23[[#This Row],[ESTADIA 1]])</f>
        <v>0</v>
      </c>
      <c r="AY6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74" s="81"/>
      <c r="BA674" s="81"/>
      <c r="BB674" s="81">
        <f>Prog_23[[#This Row],[VLR NF]]*0.1%</f>
        <v>0</v>
      </c>
      <c r="BC674" s="81">
        <f>Prog_23[[#This Row],[VLR NF]]*0.05%</f>
        <v>0</v>
      </c>
      <c r="BD674" s="81"/>
      <c r="BE674" s="81"/>
      <c r="BF674" s="81"/>
      <c r="BG674" s="81"/>
      <c r="BH674" s="81"/>
      <c r="BI674" s="81"/>
      <c r="BJ674" s="81"/>
      <c r="BK674" s="81"/>
      <c r="BL674" s="81"/>
      <c r="BM674" s="81"/>
      <c r="BN674" s="66"/>
      <c r="BO674" s="66"/>
      <c r="BP674" s="66"/>
      <c r="BQ674" s="66" t="str">
        <f>PROPER(TEXT(Prog_23[[#This Row],[PROGRAMAÇÃO CLIENTE]],"mmm"))</f>
        <v>Jan</v>
      </c>
      <c r="BR674" s="66">
        <f>YEAR(Prog_23[[#This Row],[PROGRAMAÇÃO CLIENTE]])</f>
        <v>1900</v>
      </c>
    </row>
    <row r="675" spans="1:70" x14ac:dyDescent="0.25">
      <c r="A675" s="200">
        <f>Prog_23[[#This Row],[CONTEINER]]</f>
        <v>0</v>
      </c>
      <c r="B675" s="86"/>
      <c r="C6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75" s="44"/>
      <c r="E675" s="66"/>
      <c r="F675" s="66"/>
      <c r="G675" s="66"/>
      <c r="H675" s="44"/>
      <c r="I675" s="44"/>
      <c r="J675" s="66"/>
      <c r="K675" s="66"/>
      <c r="L675" s="66"/>
      <c r="M675" s="66"/>
      <c r="N675" s="66">
        <f>SUM(Prog_23[[#This Row],[TARA]]+Prog_23[[#This Row],[PESO]])</f>
        <v>0</v>
      </c>
      <c r="O675" s="44"/>
      <c r="P675" s="66"/>
      <c r="Q675" s="66"/>
      <c r="R675" s="66"/>
      <c r="S675" s="66"/>
      <c r="T675" s="138" t="str">
        <f>IFERROR(LOOKUP($S675,MOTORISTAS!$D$3:$D$916,MOTORISTAS!E$3:$E$916),"")</f>
        <v/>
      </c>
      <c r="U675" s="138" t="str">
        <f>IFERROR(LOOKUP($S675,MOTORISTAS!$D$3:$D$916,MOTORISTAS!F$3:$F$916),"")</f>
        <v/>
      </c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44"/>
      <c r="AG675" s="254">
        <f>Prog_23[[#This Row],[SAÍDA DO CLIENTE]]-Prog_23[[#This Row],[PROGRAMAÇÃO CLIENTE]]</f>
        <v>0</v>
      </c>
      <c r="AH675" s="44"/>
      <c r="AI675" s="66"/>
      <c r="AJ675" s="66"/>
      <c r="AK675" s="66"/>
      <c r="AL675" s="66"/>
      <c r="AM675" s="66"/>
      <c r="AN675" s="83"/>
      <c r="AO675" s="83"/>
      <c r="AP675" s="83"/>
      <c r="AQ675" s="66"/>
      <c r="AR675" s="66"/>
      <c r="AS675" s="66"/>
      <c r="AT675" s="81"/>
      <c r="AU675" s="81"/>
      <c r="AV675" s="81"/>
      <c r="AW675" s="81"/>
      <c r="AX675" s="83">
        <f>SUM(Prog_23[[#This Row],[ADIANTAMENTO]]+Prog_23[[#This Row],[SALDO]]+Prog_23[[#This Row],[MARGEM]]+Prog_23[[#This Row],[ESTADIA 1]])</f>
        <v>0</v>
      </c>
      <c r="AY6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75" s="81"/>
      <c r="BA675" s="81"/>
      <c r="BB675" s="81">
        <f>Prog_23[[#This Row],[VLR NF]]*0.1%</f>
        <v>0</v>
      </c>
      <c r="BC675" s="81">
        <f>Prog_23[[#This Row],[VLR NF]]*0.05%</f>
        <v>0</v>
      </c>
      <c r="BD675" s="81"/>
      <c r="BE675" s="81"/>
      <c r="BF675" s="81"/>
      <c r="BG675" s="81"/>
      <c r="BH675" s="81"/>
      <c r="BI675" s="81"/>
      <c r="BJ675" s="81"/>
      <c r="BK675" s="81"/>
      <c r="BL675" s="81"/>
      <c r="BM675" s="81"/>
      <c r="BN675" s="66"/>
      <c r="BO675" s="66"/>
      <c r="BP675" s="66"/>
      <c r="BQ675" s="66" t="str">
        <f>PROPER(TEXT(Prog_23[[#This Row],[PROGRAMAÇÃO CLIENTE]],"mmm"))</f>
        <v>Jan</v>
      </c>
      <c r="BR675" s="66">
        <f>YEAR(Prog_23[[#This Row],[PROGRAMAÇÃO CLIENTE]])</f>
        <v>1900</v>
      </c>
    </row>
    <row r="676" spans="1:70" x14ac:dyDescent="0.25">
      <c r="A676" s="201">
        <f>Prog_23[[#This Row],[CONTEINER]]</f>
        <v>0</v>
      </c>
      <c r="B676" s="86"/>
      <c r="C6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76" s="44"/>
      <c r="E676" s="66"/>
      <c r="F676" s="66"/>
      <c r="G676" s="66"/>
      <c r="H676" s="44"/>
      <c r="I676" s="44"/>
      <c r="J676" s="66"/>
      <c r="K676" s="66"/>
      <c r="L676" s="66"/>
      <c r="M676" s="66"/>
      <c r="N676" s="66">
        <f>SUM(Prog_23[[#This Row],[TARA]]+Prog_23[[#This Row],[PESO]])</f>
        <v>0</v>
      </c>
      <c r="O676" s="44"/>
      <c r="P676" s="66"/>
      <c r="Q676" s="66"/>
      <c r="R676" s="66"/>
      <c r="S676" s="66"/>
      <c r="T676" s="138" t="str">
        <f>IFERROR(LOOKUP($S676,MOTORISTAS!$D$3:$D$916,MOTORISTAS!E$3:$E$916),"")</f>
        <v/>
      </c>
      <c r="U676" s="138" t="str">
        <f>IFERROR(LOOKUP($S676,MOTORISTAS!$D$3:$D$916,MOTORISTAS!F$3:$F$916),"")</f>
        <v/>
      </c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44"/>
      <c r="AG676" s="254">
        <f>Prog_23[[#This Row],[SAÍDA DO CLIENTE]]-Prog_23[[#This Row],[PROGRAMAÇÃO CLIENTE]]</f>
        <v>0</v>
      </c>
      <c r="AH676" s="44"/>
      <c r="AI676" s="66"/>
      <c r="AJ676" s="66"/>
      <c r="AK676" s="66"/>
      <c r="AL676" s="66"/>
      <c r="AM676" s="66"/>
      <c r="AN676" s="83"/>
      <c r="AO676" s="83"/>
      <c r="AP676" s="83"/>
      <c r="AQ676" s="66"/>
      <c r="AR676" s="66"/>
      <c r="AS676" s="66"/>
      <c r="AT676" s="81"/>
      <c r="AU676" s="81"/>
      <c r="AV676" s="81"/>
      <c r="AW676" s="81"/>
      <c r="AX676" s="83">
        <f>SUM(Prog_23[[#This Row],[ADIANTAMENTO]]+Prog_23[[#This Row],[SALDO]]+Prog_23[[#This Row],[MARGEM]]+Prog_23[[#This Row],[ESTADIA 1]])</f>
        <v>0</v>
      </c>
      <c r="AY6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76" s="81"/>
      <c r="BA676" s="81"/>
      <c r="BB676" s="81">
        <f>Prog_23[[#This Row],[VLR NF]]*0.1%</f>
        <v>0</v>
      </c>
      <c r="BC676" s="81">
        <f>Prog_23[[#This Row],[VLR NF]]*0.05%</f>
        <v>0</v>
      </c>
      <c r="BD676" s="81"/>
      <c r="BE676" s="81"/>
      <c r="BF676" s="81"/>
      <c r="BG676" s="81"/>
      <c r="BH676" s="81"/>
      <c r="BI676" s="81"/>
      <c r="BJ676" s="81"/>
      <c r="BK676" s="81"/>
      <c r="BL676" s="81"/>
      <c r="BM676" s="81"/>
      <c r="BN676" s="66"/>
      <c r="BO676" s="66"/>
      <c r="BP676" s="66"/>
      <c r="BQ676" s="66" t="str">
        <f>PROPER(TEXT(Prog_23[[#This Row],[PROGRAMAÇÃO CLIENTE]],"mmm"))</f>
        <v>Jan</v>
      </c>
      <c r="BR676" s="66">
        <f>YEAR(Prog_23[[#This Row],[PROGRAMAÇÃO CLIENTE]])</f>
        <v>1900</v>
      </c>
    </row>
    <row r="677" spans="1:70" x14ac:dyDescent="0.25">
      <c r="A677" s="200">
        <f>Prog_23[[#This Row],[CONTEINER]]</f>
        <v>0</v>
      </c>
      <c r="B677" s="86"/>
      <c r="C6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77" s="44"/>
      <c r="E677" s="66"/>
      <c r="F677" s="66"/>
      <c r="G677" s="66"/>
      <c r="H677" s="44"/>
      <c r="I677" s="44"/>
      <c r="J677" s="66"/>
      <c r="K677" s="66"/>
      <c r="L677" s="66"/>
      <c r="M677" s="66"/>
      <c r="N677" s="66">
        <f>SUM(Prog_23[[#This Row],[TARA]]+Prog_23[[#This Row],[PESO]])</f>
        <v>0</v>
      </c>
      <c r="O677" s="44"/>
      <c r="P677" s="66"/>
      <c r="Q677" s="66"/>
      <c r="R677" s="66"/>
      <c r="S677" s="66"/>
      <c r="T677" s="138" t="str">
        <f>IFERROR(LOOKUP($S677,MOTORISTAS!$D$3:$D$916,MOTORISTAS!E$3:$E$916),"")</f>
        <v/>
      </c>
      <c r="U677" s="138" t="str">
        <f>IFERROR(LOOKUP($S677,MOTORISTAS!$D$3:$D$916,MOTORISTAS!F$3:$F$916),"")</f>
        <v/>
      </c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44"/>
      <c r="AG677" s="254">
        <f>Prog_23[[#This Row],[SAÍDA DO CLIENTE]]-Prog_23[[#This Row],[PROGRAMAÇÃO CLIENTE]]</f>
        <v>0</v>
      </c>
      <c r="AH677" s="44"/>
      <c r="AI677" s="66"/>
      <c r="AJ677" s="66"/>
      <c r="AK677" s="66"/>
      <c r="AL677" s="66"/>
      <c r="AM677" s="66"/>
      <c r="AN677" s="83"/>
      <c r="AO677" s="83"/>
      <c r="AP677" s="83"/>
      <c r="AQ677" s="66"/>
      <c r="AR677" s="66"/>
      <c r="AS677" s="66"/>
      <c r="AT677" s="81"/>
      <c r="AU677" s="81"/>
      <c r="AV677" s="81"/>
      <c r="AW677" s="81"/>
      <c r="AX677" s="83">
        <f>SUM(Prog_23[[#This Row],[ADIANTAMENTO]]+Prog_23[[#This Row],[SALDO]]+Prog_23[[#This Row],[MARGEM]]+Prog_23[[#This Row],[ESTADIA 1]])</f>
        <v>0</v>
      </c>
      <c r="AY6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77" s="81"/>
      <c r="BA677" s="81"/>
      <c r="BB677" s="81">
        <f>Prog_23[[#This Row],[VLR NF]]*0.1%</f>
        <v>0</v>
      </c>
      <c r="BC677" s="81">
        <f>Prog_23[[#This Row],[VLR NF]]*0.05%</f>
        <v>0</v>
      </c>
      <c r="BD677" s="81"/>
      <c r="BE677" s="81"/>
      <c r="BF677" s="81"/>
      <c r="BG677" s="81"/>
      <c r="BH677" s="81"/>
      <c r="BI677" s="81"/>
      <c r="BJ677" s="81"/>
      <c r="BK677" s="81"/>
      <c r="BL677" s="81"/>
      <c r="BM677" s="81"/>
      <c r="BN677" s="66"/>
      <c r="BO677" s="66"/>
      <c r="BP677" s="66"/>
      <c r="BQ677" s="66" t="str">
        <f>PROPER(TEXT(Prog_23[[#This Row],[PROGRAMAÇÃO CLIENTE]],"mmm"))</f>
        <v>Jan</v>
      </c>
      <c r="BR677" s="66">
        <f>YEAR(Prog_23[[#This Row],[PROGRAMAÇÃO CLIENTE]])</f>
        <v>1900</v>
      </c>
    </row>
    <row r="678" spans="1:70" x14ac:dyDescent="0.25">
      <c r="A678" s="201">
        <f>Prog_23[[#This Row],[CONTEINER]]</f>
        <v>0</v>
      </c>
      <c r="B678" s="86"/>
      <c r="C6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78" s="44"/>
      <c r="E678" s="66"/>
      <c r="F678" s="66"/>
      <c r="G678" s="66"/>
      <c r="H678" s="44"/>
      <c r="I678" s="44"/>
      <c r="J678" s="66"/>
      <c r="K678" s="66"/>
      <c r="L678" s="66"/>
      <c r="M678" s="66"/>
      <c r="N678" s="66">
        <f>SUM(Prog_23[[#This Row],[TARA]]+Prog_23[[#This Row],[PESO]])</f>
        <v>0</v>
      </c>
      <c r="O678" s="44"/>
      <c r="P678" s="66"/>
      <c r="Q678" s="66"/>
      <c r="R678" s="66"/>
      <c r="S678" s="66"/>
      <c r="T678" s="138" t="str">
        <f>IFERROR(LOOKUP($S678,MOTORISTAS!$D$3:$D$916,MOTORISTAS!E$3:$E$916),"")</f>
        <v/>
      </c>
      <c r="U678" s="138" t="str">
        <f>IFERROR(LOOKUP($S678,MOTORISTAS!$D$3:$D$916,MOTORISTAS!F$3:$F$916),"")</f>
        <v/>
      </c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44"/>
      <c r="AG678" s="254">
        <f>Prog_23[[#This Row],[SAÍDA DO CLIENTE]]-Prog_23[[#This Row],[PROGRAMAÇÃO CLIENTE]]</f>
        <v>0</v>
      </c>
      <c r="AH678" s="44"/>
      <c r="AI678" s="66"/>
      <c r="AJ678" s="66"/>
      <c r="AK678" s="66"/>
      <c r="AL678" s="66"/>
      <c r="AM678" s="66"/>
      <c r="AN678" s="83"/>
      <c r="AO678" s="83"/>
      <c r="AP678" s="83"/>
      <c r="AQ678" s="66"/>
      <c r="AR678" s="66"/>
      <c r="AS678" s="66"/>
      <c r="AT678" s="81"/>
      <c r="AU678" s="81"/>
      <c r="AV678" s="81"/>
      <c r="AW678" s="81"/>
      <c r="AX678" s="83">
        <f>SUM(Prog_23[[#This Row],[ADIANTAMENTO]]+Prog_23[[#This Row],[SALDO]]+Prog_23[[#This Row],[MARGEM]]+Prog_23[[#This Row],[ESTADIA 1]])</f>
        <v>0</v>
      </c>
      <c r="AY6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78" s="81"/>
      <c r="BA678" s="81"/>
      <c r="BB678" s="81">
        <f>Prog_23[[#This Row],[VLR NF]]*0.1%</f>
        <v>0</v>
      </c>
      <c r="BC678" s="81">
        <f>Prog_23[[#This Row],[VLR NF]]*0.05%</f>
        <v>0</v>
      </c>
      <c r="BD678" s="81"/>
      <c r="BE678" s="81"/>
      <c r="BF678" s="81"/>
      <c r="BG678" s="81"/>
      <c r="BH678" s="81"/>
      <c r="BI678" s="81"/>
      <c r="BJ678" s="81"/>
      <c r="BK678" s="81"/>
      <c r="BL678" s="81"/>
      <c r="BM678" s="81"/>
      <c r="BN678" s="66"/>
      <c r="BO678" s="66"/>
      <c r="BP678" s="66"/>
      <c r="BQ678" s="66" t="str">
        <f>PROPER(TEXT(Prog_23[[#This Row],[PROGRAMAÇÃO CLIENTE]],"mmm"))</f>
        <v>Jan</v>
      </c>
      <c r="BR678" s="66">
        <f>YEAR(Prog_23[[#This Row],[PROGRAMAÇÃO CLIENTE]])</f>
        <v>1900</v>
      </c>
    </row>
    <row r="679" spans="1:70" x14ac:dyDescent="0.25">
      <c r="A679" s="200">
        <f>Prog_23[[#This Row],[CONTEINER]]</f>
        <v>0</v>
      </c>
      <c r="B679" s="86"/>
      <c r="C6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79" s="44"/>
      <c r="E679" s="66"/>
      <c r="F679" s="66"/>
      <c r="G679" s="66"/>
      <c r="H679" s="44"/>
      <c r="I679" s="44"/>
      <c r="J679" s="66"/>
      <c r="K679" s="66"/>
      <c r="L679" s="66"/>
      <c r="M679" s="66"/>
      <c r="N679" s="66">
        <f>SUM(Prog_23[[#This Row],[TARA]]+Prog_23[[#This Row],[PESO]])</f>
        <v>0</v>
      </c>
      <c r="O679" s="44"/>
      <c r="P679" s="66"/>
      <c r="Q679" s="66"/>
      <c r="R679" s="66"/>
      <c r="S679" s="66"/>
      <c r="T679" s="138" t="str">
        <f>IFERROR(LOOKUP($S679,MOTORISTAS!$D$3:$D$916,MOTORISTAS!E$3:$E$916),"")</f>
        <v/>
      </c>
      <c r="U679" s="138" t="str">
        <f>IFERROR(LOOKUP($S679,MOTORISTAS!$D$3:$D$916,MOTORISTAS!F$3:$F$916),"")</f>
        <v/>
      </c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44"/>
      <c r="AG679" s="254">
        <f>Prog_23[[#This Row],[SAÍDA DO CLIENTE]]-Prog_23[[#This Row],[PROGRAMAÇÃO CLIENTE]]</f>
        <v>0</v>
      </c>
      <c r="AH679" s="44"/>
      <c r="AI679" s="66"/>
      <c r="AJ679" s="66"/>
      <c r="AK679" s="66"/>
      <c r="AL679" s="66"/>
      <c r="AM679" s="66"/>
      <c r="AN679" s="83"/>
      <c r="AO679" s="83"/>
      <c r="AP679" s="83"/>
      <c r="AQ679" s="66"/>
      <c r="AR679" s="66"/>
      <c r="AS679" s="66"/>
      <c r="AT679" s="81"/>
      <c r="AU679" s="81"/>
      <c r="AV679" s="81"/>
      <c r="AW679" s="81"/>
      <c r="AX679" s="83">
        <f>SUM(Prog_23[[#This Row],[ADIANTAMENTO]]+Prog_23[[#This Row],[SALDO]]+Prog_23[[#This Row],[MARGEM]]+Prog_23[[#This Row],[ESTADIA 1]])</f>
        <v>0</v>
      </c>
      <c r="AY6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79" s="81"/>
      <c r="BA679" s="81"/>
      <c r="BB679" s="81">
        <f>Prog_23[[#This Row],[VLR NF]]*0.1%</f>
        <v>0</v>
      </c>
      <c r="BC679" s="81">
        <f>Prog_23[[#This Row],[VLR NF]]*0.05%</f>
        <v>0</v>
      </c>
      <c r="BD679" s="81"/>
      <c r="BE679" s="81"/>
      <c r="BF679" s="81"/>
      <c r="BG679" s="81"/>
      <c r="BH679" s="81"/>
      <c r="BI679" s="81"/>
      <c r="BJ679" s="81"/>
      <c r="BK679" s="81"/>
      <c r="BL679" s="81"/>
      <c r="BM679" s="81"/>
      <c r="BN679" s="66"/>
      <c r="BO679" s="66"/>
      <c r="BP679" s="66"/>
      <c r="BQ679" s="66" t="str">
        <f>PROPER(TEXT(Prog_23[[#This Row],[PROGRAMAÇÃO CLIENTE]],"mmm"))</f>
        <v>Jan</v>
      </c>
      <c r="BR679" s="66">
        <f>YEAR(Prog_23[[#This Row],[PROGRAMAÇÃO CLIENTE]])</f>
        <v>1900</v>
      </c>
    </row>
    <row r="680" spans="1:70" x14ac:dyDescent="0.25">
      <c r="A680" s="201">
        <f>Prog_23[[#This Row],[CONTEINER]]</f>
        <v>0</v>
      </c>
      <c r="B680" s="86"/>
      <c r="C6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80" s="44"/>
      <c r="E680" s="66"/>
      <c r="F680" s="66"/>
      <c r="G680" s="66"/>
      <c r="H680" s="44"/>
      <c r="I680" s="44"/>
      <c r="J680" s="66"/>
      <c r="K680" s="66"/>
      <c r="L680" s="66"/>
      <c r="M680" s="66"/>
      <c r="N680" s="66">
        <f>SUM(Prog_23[[#This Row],[TARA]]+Prog_23[[#This Row],[PESO]])</f>
        <v>0</v>
      </c>
      <c r="O680" s="44"/>
      <c r="P680" s="66"/>
      <c r="Q680" s="66"/>
      <c r="R680" s="66"/>
      <c r="S680" s="66"/>
      <c r="T680" s="138" t="str">
        <f>IFERROR(LOOKUP($S680,MOTORISTAS!$D$3:$D$916,MOTORISTAS!E$3:$E$916),"")</f>
        <v/>
      </c>
      <c r="U680" s="138" t="str">
        <f>IFERROR(LOOKUP($S680,MOTORISTAS!$D$3:$D$916,MOTORISTAS!F$3:$F$916),"")</f>
        <v/>
      </c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44"/>
      <c r="AG680" s="254">
        <f>Prog_23[[#This Row],[SAÍDA DO CLIENTE]]-Prog_23[[#This Row],[PROGRAMAÇÃO CLIENTE]]</f>
        <v>0</v>
      </c>
      <c r="AH680" s="44"/>
      <c r="AI680" s="66"/>
      <c r="AJ680" s="66"/>
      <c r="AK680" s="66"/>
      <c r="AL680" s="66"/>
      <c r="AM680" s="66"/>
      <c r="AN680" s="83"/>
      <c r="AO680" s="83"/>
      <c r="AP680" s="83"/>
      <c r="AQ680" s="66"/>
      <c r="AR680" s="66"/>
      <c r="AS680" s="66"/>
      <c r="AT680" s="81"/>
      <c r="AU680" s="81"/>
      <c r="AV680" s="81"/>
      <c r="AW680" s="81"/>
      <c r="AX680" s="83">
        <f>SUM(Prog_23[[#This Row],[ADIANTAMENTO]]+Prog_23[[#This Row],[SALDO]]+Prog_23[[#This Row],[MARGEM]]+Prog_23[[#This Row],[ESTADIA 1]])</f>
        <v>0</v>
      </c>
      <c r="AY6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80" s="81"/>
      <c r="BA680" s="81"/>
      <c r="BB680" s="81">
        <f>Prog_23[[#This Row],[VLR NF]]*0.1%</f>
        <v>0</v>
      </c>
      <c r="BC680" s="81">
        <f>Prog_23[[#This Row],[VLR NF]]*0.05%</f>
        <v>0</v>
      </c>
      <c r="BD680" s="81"/>
      <c r="BE680" s="81"/>
      <c r="BF680" s="81"/>
      <c r="BG680" s="81"/>
      <c r="BH680" s="81"/>
      <c r="BI680" s="81"/>
      <c r="BJ680" s="81"/>
      <c r="BK680" s="81"/>
      <c r="BL680" s="81"/>
      <c r="BM680" s="81"/>
      <c r="BN680" s="66"/>
      <c r="BO680" s="66"/>
      <c r="BP680" s="66"/>
      <c r="BQ680" s="66" t="str">
        <f>PROPER(TEXT(Prog_23[[#This Row],[PROGRAMAÇÃO CLIENTE]],"mmm"))</f>
        <v>Jan</v>
      </c>
      <c r="BR680" s="66">
        <f>YEAR(Prog_23[[#This Row],[PROGRAMAÇÃO CLIENTE]])</f>
        <v>1900</v>
      </c>
    </row>
    <row r="681" spans="1:70" x14ac:dyDescent="0.25">
      <c r="A681" s="200">
        <f>Prog_23[[#This Row],[CONTEINER]]</f>
        <v>0</v>
      </c>
      <c r="B681" s="86"/>
      <c r="C6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81" s="44"/>
      <c r="E681" s="66"/>
      <c r="F681" s="66"/>
      <c r="G681" s="66"/>
      <c r="H681" s="44"/>
      <c r="I681" s="44"/>
      <c r="J681" s="66"/>
      <c r="K681" s="66"/>
      <c r="L681" s="66"/>
      <c r="M681" s="66"/>
      <c r="N681" s="66">
        <f>SUM(Prog_23[[#This Row],[TARA]]+Prog_23[[#This Row],[PESO]])</f>
        <v>0</v>
      </c>
      <c r="O681" s="44"/>
      <c r="P681" s="66"/>
      <c r="Q681" s="66"/>
      <c r="R681" s="66"/>
      <c r="S681" s="66"/>
      <c r="T681" s="138" t="str">
        <f>IFERROR(LOOKUP($S681,MOTORISTAS!$D$3:$D$916,MOTORISTAS!E$3:$E$916),"")</f>
        <v/>
      </c>
      <c r="U681" s="138" t="str">
        <f>IFERROR(LOOKUP($S681,MOTORISTAS!$D$3:$D$916,MOTORISTAS!F$3:$F$916),"")</f>
        <v/>
      </c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44"/>
      <c r="AG681" s="254">
        <f>Prog_23[[#This Row],[SAÍDA DO CLIENTE]]-Prog_23[[#This Row],[PROGRAMAÇÃO CLIENTE]]</f>
        <v>0</v>
      </c>
      <c r="AH681" s="44"/>
      <c r="AI681" s="66"/>
      <c r="AJ681" s="66"/>
      <c r="AK681" s="66"/>
      <c r="AL681" s="66"/>
      <c r="AM681" s="66"/>
      <c r="AN681" s="83"/>
      <c r="AO681" s="83"/>
      <c r="AP681" s="83"/>
      <c r="AQ681" s="66"/>
      <c r="AR681" s="66"/>
      <c r="AS681" s="66"/>
      <c r="AT681" s="81"/>
      <c r="AU681" s="81"/>
      <c r="AV681" s="81"/>
      <c r="AW681" s="81"/>
      <c r="AX681" s="83">
        <f>SUM(Prog_23[[#This Row],[ADIANTAMENTO]]+Prog_23[[#This Row],[SALDO]]+Prog_23[[#This Row],[MARGEM]]+Prog_23[[#This Row],[ESTADIA 1]])</f>
        <v>0</v>
      </c>
      <c r="AY6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81" s="81"/>
      <c r="BA681" s="81"/>
      <c r="BB681" s="81">
        <f>Prog_23[[#This Row],[VLR NF]]*0.1%</f>
        <v>0</v>
      </c>
      <c r="BC681" s="81">
        <f>Prog_23[[#This Row],[VLR NF]]*0.05%</f>
        <v>0</v>
      </c>
      <c r="BD681" s="81"/>
      <c r="BE681" s="81"/>
      <c r="BF681" s="81"/>
      <c r="BG681" s="81"/>
      <c r="BH681" s="81"/>
      <c r="BI681" s="81"/>
      <c r="BJ681" s="81"/>
      <c r="BK681" s="81"/>
      <c r="BL681" s="81"/>
      <c r="BM681" s="81"/>
      <c r="BN681" s="66"/>
      <c r="BO681" s="66"/>
      <c r="BP681" s="66"/>
      <c r="BQ681" s="66" t="str">
        <f>PROPER(TEXT(Prog_23[[#This Row],[PROGRAMAÇÃO CLIENTE]],"mmm"))</f>
        <v>Jan</v>
      </c>
      <c r="BR681" s="66">
        <f>YEAR(Prog_23[[#This Row],[PROGRAMAÇÃO CLIENTE]])</f>
        <v>1900</v>
      </c>
    </row>
    <row r="682" spans="1:70" x14ac:dyDescent="0.25">
      <c r="A682" s="201">
        <f>Prog_23[[#This Row],[CONTEINER]]</f>
        <v>0</v>
      </c>
      <c r="B682" s="86"/>
      <c r="C6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82" s="44"/>
      <c r="E682" s="66"/>
      <c r="F682" s="66"/>
      <c r="G682" s="66"/>
      <c r="H682" s="44"/>
      <c r="I682" s="44"/>
      <c r="J682" s="66"/>
      <c r="K682" s="66"/>
      <c r="L682" s="66"/>
      <c r="M682" s="66"/>
      <c r="N682" s="66">
        <f>SUM(Prog_23[[#This Row],[TARA]]+Prog_23[[#This Row],[PESO]])</f>
        <v>0</v>
      </c>
      <c r="O682" s="44"/>
      <c r="P682" s="66"/>
      <c r="Q682" s="66"/>
      <c r="R682" s="66"/>
      <c r="S682" s="66"/>
      <c r="T682" s="138" t="str">
        <f>IFERROR(LOOKUP($S682,MOTORISTAS!$D$3:$D$916,MOTORISTAS!E$3:$E$916),"")</f>
        <v/>
      </c>
      <c r="U682" s="138" t="str">
        <f>IFERROR(LOOKUP($S682,MOTORISTAS!$D$3:$D$916,MOTORISTAS!F$3:$F$916),"")</f>
        <v/>
      </c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44"/>
      <c r="AG682" s="254">
        <f>Prog_23[[#This Row],[SAÍDA DO CLIENTE]]-Prog_23[[#This Row],[PROGRAMAÇÃO CLIENTE]]</f>
        <v>0</v>
      </c>
      <c r="AH682" s="44"/>
      <c r="AI682" s="66"/>
      <c r="AJ682" s="66"/>
      <c r="AK682" s="66"/>
      <c r="AL682" s="66"/>
      <c r="AM682" s="66"/>
      <c r="AN682" s="83"/>
      <c r="AO682" s="83"/>
      <c r="AP682" s="83"/>
      <c r="AQ682" s="66"/>
      <c r="AR682" s="66"/>
      <c r="AS682" s="66"/>
      <c r="AT682" s="81"/>
      <c r="AU682" s="81"/>
      <c r="AV682" s="81"/>
      <c r="AW682" s="81"/>
      <c r="AX682" s="83">
        <f>SUM(Prog_23[[#This Row],[ADIANTAMENTO]]+Prog_23[[#This Row],[SALDO]]+Prog_23[[#This Row],[MARGEM]]+Prog_23[[#This Row],[ESTADIA 1]])</f>
        <v>0</v>
      </c>
      <c r="AY6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82" s="81"/>
      <c r="BA682" s="81"/>
      <c r="BB682" s="81">
        <f>Prog_23[[#This Row],[VLR NF]]*0.1%</f>
        <v>0</v>
      </c>
      <c r="BC682" s="81">
        <f>Prog_23[[#This Row],[VLR NF]]*0.05%</f>
        <v>0</v>
      </c>
      <c r="BD682" s="81"/>
      <c r="BE682" s="81"/>
      <c r="BF682" s="81"/>
      <c r="BG682" s="81"/>
      <c r="BH682" s="81"/>
      <c r="BI682" s="81"/>
      <c r="BJ682" s="81"/>
      <c r="BK682" s="81"/>
      <c r="BL682" s="81"/>
      <c r="BM682" s="81"/>
      <c r="BN682" s="66"/>
      <c r="BO682" s="66"/>
      <c r="BP682" s="66"/>
      <c r="BQ682" s="66" t="str">
        <f>PROPER(TEXT(Prog_23[[#This Row],[PROGRAMAÇÃO CLIENTE]],"mmm"))</f>
        <v>Jan</v>
      </c>
      <c r="BR682" s="66">
        <f>YEAR(Prog_23[[#This Row],[PROGRAMAÇÃO CLIENTE]])</f>
        <v>1900</v>
      </c>
    </row>
    <row r="683" spans="1:70" x14ac:dyDescent="0.25">
      <c r="A683" s="200">
        <f>Prog_23[[#This Row],[CONTEINER]]</f>
        <v>0</v>
      </c>
      <c r="B683" s="86"/>
      <c r="C6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83" s="44"/>
      <c r="E683" s="66"/>
      <c r="F683" s="66"/>
      <c r="G683" s="66"/>
      <c r="H683" s="44"/>
      <c r="I683" s="44"/>
      <c r="J683" s="66"/>
      <c r="K683" s="66"/>
      <c r="L683" s="66"/>
      <c r="M683" s="66"/>
      <c r="N683" s="66">
        <f>SUM(Prog_23[[#This Row],[TARA]]+Prog_23[[#This Row],[PESO]])</f>
        <v>0</v>
      </c>
      <c r="O683" s="44"/>
      <c r="P683" s="66"/>
      <c r="Q683" s="66"/>
      <c r="R683" s="66"/>
      <c r="S683" s="66"/>
      <c r="T683" s="138" t="str">
        <f>IFERROR(LOOKUP($S683,MOTORISTAS!$D$3:$D$916,MOTORISTAS!E$3:$E$916),"")</f>
        <v/>
      </c>
      <c r="U683" s="138" t="str">
        <f>IFERROR(LOOKUP($S683,MOTORISTAS!$D$3:$D$916,MOTORISTAS!F$3:$F$916),"")</f>
        <v/>
      </c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44"/>
      <c r="AG683" s="254">
        <f>Prog_23[[#This Row],[SAÍDA DO CLIENTE]]-Prog_23[[#This Row],[PROGRAMAÇÃO CLIENTE]]</f>
        <v>0</v>
      </c>
      <c r="AH683" s="44"/>
      <c r="AI683" s="66"/>
      <c r="AJ683" s="66"/>
      <c r="AK683" s="66"/>
      <c r="AL683" s="66"/>
      <c r="AM683" s="66"/>
      <c r="AN683" s="83"/>
      <c r="AO683" s="83"/>
      <c r="AP683" s="83"/>
      <c r="AQ683" s="66"/>
      <c r="AR683" s="66"/>
      <c r="AS683" s="66"/>
      <c r="AT683" s="81"/>
      <c r="AU683" s="81"/>
      <c r="AV683" s="81"/>
      <c r="AW683" s="81"/>
      <c r="AX683" s="83">
        <f>SUM(Prog_23[[#This Row],[ADIANTAMENTO]]+Prog_23[[#This Row],[SALDO]]+Prog_23[[#This Row],[MARGEM]]+Prog_23[[#This Row],[ESTADIA 1]])</f>
        <v>0</v>
      </c>
      <c r="AY6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83" s="81"/>
      <c r="BA683" s="81"/>
      <c r="BB683" s="81">
        <f>Prog_23[[#This Row],[VLR NF]]*0.1%</f>
        <v>0</v>
      </c>
      <c r="BC683" s="81">
        <f>Prog_23[[#This Row],[VLR NF]]*0.05%</f>
        <v>0</v>
      </c>
      <c r="BD683" s="81"/>
      <c r="BE683" s="81"/>
      <c r="BF683" s="81"/>
      <c r="BG683" s="81"/>
      <c r="BH683" s="81"/>
      <c r="BI683" s="81"/>
      <c r="BJ683" s="81"/>
      <c r="BK683" s="81"/>
      <c r="BL683" s="81"/>
      <c r="BM683" s="81"/>
      <c r="BN683" s="66"/>
      <c r="BO683" s="66"/>
      <c r="BP683" s="66"/>
      <c r="BQ683" s="66" t="str">
        <f>PROPER(TEXT(Prog_23[[#This Row],[PROGRAMAÇÃO CLIENTE]],"mmm"))</f>
        <v>Jan</v>
      </c>
      <c r="BR683" s="66">
        <f>YEAR(Prog_23[[#This Row],[PROGRAMAÇÃO CLIENTE]])</f>
        <v>1900</v>
      </c>
    </row>
    <row r="684" spans="1:70" x14ac:dyDescent="0.25">
      <c r="A684" s="201">
        <f>Prog_23[[#This Row],[CONTEINER]]</f>
        <v>0</v>
      </c>
      <c r="B684" s="86"/>
      <c r="C6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84" s="44"/>
      <c r="E684" s="66"/>
      <c r="F684" s="66"/>
      <c r="G684" s="66"/>
      <c r="H684" s="44"/>
      <c r="I684" s="44"/>
      <c r="J684" s="66"/>
      <c r="K684" s="66"/>
      <c r="L684" s="66"/>
      <c r="M684" s="66"/>
      <c r="N684" s="66">
        <f>SUM(Prog_23[[#This Row],[TARA]]+Prog_23[[#This Row],[PESO]])</f>
        <v>0</v>
      </c>
      <c r="O684" s="44"/>
      <c r="P684" s="66"/>
      <c r="Q684" s="66"/>
      <c r="R684" s="66"/>
      <c r="S684" s="66"/>
      <c r="T684" s="138" t="str">
        <f>IFERROR(LOOKUP($S684,MOTORISTAS!$D$3:$D$916,MOTORISTAS!E$3:$E$916),"")</f>
        <v/>
      </c>
      <c r="U684" s="138" t="str">
        <f>IFERROR(LOOKUP($S684,MOTORISTAS!$D$3:$D$916,MOTORISTAS!F$3:$F$916),"")</f>
        <v/>
      </c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44"/>
      <c r="AG684" s="254">
        <f>Prog_23[[#This Row],[SAÍDA DO CLIENTE]]-Prog_23[[#This Row],[PROGRAMAÇÃO CLIENTE]]</f>
        <v>0</v>
      </c>
      <c r="AH684" s="44"/>
      <c r="AI684" s="66"/>
      <c r="AJ684" s="66"/>
      <c r="AK684" s="66"/>
      <c r="AL684" s="66"/>
      <c r="AM684" s="66"/>
      <c r="AN684" s="83"/>
      <c r="AO684" s="83"/>
      <c r="AP684" s="83"/>
      <c r="AQ684" s="66"/>
      <c r="AR684" s="66"/>
      <c r="AS684" s="66"/>
      <c r="AT684" s="81"/>
      <c r="AU684" s="81"/>
      <c r="AV684" s="81"/>
      <c r="AW684" s="81"/>
      <c r="AX684" s="83">
        <f>SUM(Prog_23[[#This Row],[ADIANTAMENTO]]+Prog_23[[#This Row],[SALDO]]+Prog_23[[#This Row],[MARGEM]]+Prog_23[[#This Row],[ESTADIA 1]])</f>
        <v>0</v>
      </c>
      <c r="AY6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84" s="81"/>
      <c r="BA684" s="81"/>
      <c r="BB684" s="81">
        <f>Prog_23[[#This Row],[VLR NF]]*0.1%</f>
        <v>0</v>
      </c>
      <c r="BC684" s="81">
        <f>Prog_23[[#This Row],[VLR NF]]*0.05%</f>
        <v>0</v>
      </c>
      <c r="BD684" s="81"/>
      <c r="BE684" s="81"/>
      <c r="BF684" s="81"/>
      <c r="BG684" s="81"/>
      <c r="BH684" s="81"/>
      <c r="BI684" s="81"/>
      <c r="BJ684" s="81"/>
      <c r="BK684" s="81"/>
      <c r="BL684" s="81"/>
      <c r="BM684" s="81"/>
      <c r="BN684" s="66"/>
      <c r="BO684" s="66"/>
      <c r="BP684" s="66"/>
      <c r="BQ684" s="66" t="str">
        <f>PROPER(TEXT(Prog_23[[#This Row],[PROGRAMAÇÃO CLIENTE]],"mmm"))</f>
        <v>Jan</v>
      </c>
      <c r="BR684" s="66">
        <f>YEAR(Prog_23[[#This Row],[PROGRAMAÇÃO CLIENTE]])</f>
        <v>1900</v>
      </c>
    </row>
    <row r="685" spans="1:70" x14ac:dyDescent="0.25">
      <c r="A685" s="200">
        <f>Prog_23[[#This Row],[CONTEINER]]</f>
        <v>0</v>
      </c>
      <c r="B685" s="86"/>
      <c r="C6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85" s="44"/>
      <c r="E685" s="66"/>
      <c r="F685" s="66"/>
      <c r="G685" s="66"/>
      <c r="H685" s="44"/>
      <c r="I685" s="44"/>
      <c r="J685" s="66"/>
      <c r="K685" s="66"/>
      <c r="L685" s="66"/>
      <c r="M685" s="66"/>
      <c r="N685" s="66">
        <f>SUM(Prog_23[[#This Row],[TARA]]+Prog_23[[#This Row],[PESO]])</f>
        <v>0</v>
      </c>
      <c r="O685" s="44"/>
      <c r="P685" s="66"/>
      <c r="Q685" s="66"/>
      <c r="R685" s="66"/>
      <c r="S685" s="66"/>
      <c r="T685" s="138" t="str">
        <f>IFERROR(LOOKUP($S685,MOTORISTAS!$D$3:$D$916,MOTORISTAS!E$3:$E$916),"")</f>
        <v/>
      </c>
      <c r="U685" s="138" t="str">
        <f>IFERROR(LOOKUP($S685,MOTORISTAS!$D$3:$D$916,MOTORISTAS!F$3:$F$916),"")</f>
        <v/>
      </c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44"/>
      <c r="AG685" s="254">
        <f>Prog_23[[#This Row],[SAÍDA DO CLIENTE]]-Prog_23[[#This Row],[PROGRAMAÇÃO CLIENTE]]</f>
        <v>0</v>
      </c>
      <c r="AH685" s="44"/>
      <c r="AI685" s="66"/>
      <c r="AJ685" s="66"/>
      <c r="AK685" s="66"/>
      <c r="AL685" s="66"/>
      <c r="AM685" s="66"/>
      <c r="AN685" s="83"/>
      <c r="AO685" s="83"/>
      <c r="AP685" s="83"/>
      <c r="AQ685" s="66"/>
      <c r="AR685" s="66"/>
      <c r="AS685" s="66"/>
      <c r="AT685" s="81"/>
      <c r="AU685" s="81"/>
      <c r="AV685" s="81"/>
      <c r="AW685" s="81"/>
      <c r="AX685" s="83">
        <f>SUM(Prog_23[[#This Row],[ADIANTAMENTO]]+Prog_23[[#This Row],[SALDO]]+Prog_23[[#This Row],[MARGEM]]+Prog_23[[#This Row],[ESTADIA 1]])</f>
        <v>0</v>
      </c>
      <c r="AY6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85" s="81"/>
      <c r="BA685" s="81"/>
      <c r="BB685" s="81">
        <f>Prog_23[[#This Row],[VLR NF]]*0.1%</f>
        <v>0</v>
      </c>
      <c r="BC685" s="81">
        <f>Prog_23[[#This Row],[VLR NF]]*0.05%</f>
        <v>0</v>
      </c>
      <c r="BD685" s="81"/>
      <c r="BE685" s="81"/>
      <c r="BF685" s="81"/>
      <c r="BG685" s="81"/>
      <c r="BH685" s="81"/>
      <c r="BI685" s="81"/>
      <c r="BJ685" s="81"/>
      <c r="BK685" s="81"/>
      <c r="BL685" s="81"/>
      <c r="BM685" s="81"/>
      <c r="BN685" s="66"/>
      <c r="BO685" s="66"/>
      <c r="BP685" s="66"/>
      <c r="BQ685" s="66" t="str">
        <f>PROPER(TEXT(Prog_23[[#This Row],[PROGRAMAÇÃO CLIENTE]],"mmm"))</f>
        <v>Jan</v>
      </c>
      <c r="BR685" s="66">
        <f>YEAR(Prog_23[[#This Row],[PROGRAMAÇÃO CLIENTE]])</f>
        <v>1900</v>
      </c>
    </row>
    <row r="686" spans="1:70" x14ac:dyDescent="0.25">
      <c r="A686" s="201">
        <f>Prog_23[[#This Row],[CONTEINER]]</f>
        <v>0</v>
      </c>
      <c r="B686" s="86"/>
      <c r="C6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86" s="44"/>
      <c r="E686" s="66"/>
      <c r="F686" s="66"/>
      <c r="G686" s="66"/>
      <c r="H686" s="44"/>
      <c r="I686" s="44"/>
      <c r="J686" s="66"/>
      <c r="K686" s="66"/>
      <c r="L686" s="66"/>
      <c r="M686" s="66"/>
      <c r="N686" s="66">
        <f>SUM(Prog_23[[#This Row],[TARA]]+Prog_23[[#This Row],[PESO]])</f>
        <v>0</v>
      </c>
      <c r="O686" s="44"/>
      <c r="P686" s="66"/>
      <c r="Q686" s="66"/>
      <c r="R686" s="66"/>
      <c r="S686" s="66"/>
      <c r="T686" s="138" t="str">
        <f>IFERROR(LOOKUP($S686,MOTORISTAS!$D$3:$D$916,MOTORISTAS!E$3:$E$916),"")</f>
        <v/>
      </c>
      <c r="U686" s="138" t="str">
        <f>IFERROR(LOOKUP($S686,MOTORISTAS!$D$3:$D$916,MOTORISTAS!F$3:$F$916),"")</f>
        <v/>
      </c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44"/>
      <c r="AG686" s="254">
        <f>Prog_23[[#This Row],[SAÍDA DO CLIENTE]]-Prog_23[[#This Row],[PROGRAMAÇÃO CLIENTE]]</f>
        <v>0</v>
      </c>
      <c r="AH686" s="44"/>
      <c r="AI686" s="66"/>
      <c r="AJ686" s="66"/>
      <c r="AK686" s="66"/>
      <c r="AL686" s="66"/>
      <c r="AM686" s="66"/>
      <c r="AN686" s="83"/>
      <c r="AO686" s="83"/>
      <c r="AP686" s="83"/>
      <c r="AQ686" s="66"/>
      <c r="AR686" s="66"/>
      <c r="AS686" s="66"/>
      <c r="AT686" s="81"/>
      <c r="AU686" s="81"/>
      <c r="AV686" s="81"/>
      <c r="AW686" s="81"/>
      <c r="AX686" s="83">
        <f>SUM(Prog_23[[#This Row],[ADIANTAMENTO]]+Prog_23[[#This Row],[SALDO]]+Prog_23[[#This Row],[MARGEM]]+Prog_23[[#This Row],[ESTADIA 1]])</f>
        <v>0</v>
      </c>
      <c r="AY6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86" s="81"/>
      <c r="BA686" s="81"/>
      <c r="BB686" s="81">
        <f>Prog_23[[#This Row],[VLR NF]]*0.1%</f>
        <v>0</v>
      </c>
      <c r="BC686" s="81">
        <f>Prog_23[[#This Row],[VLR NF]]*0.05%</f>
        <v>0</v>
      </c>
      <c r="BD686" s="81"/>
      <c r="BE686" s="81"/>
      <c r="BF686" s="81"/>
      <c r="BG686" s="81"/>
      <c r="BH686" s="81"/>
      <c r="BI686" s="81"/>
      <c r="BJ686" s="81"/>
      <c r="BK686" s="81"/>
      <c r="BL686" s="81"/>
      <c r="BM686" s="81"/>
      <c r="BN686" s="66"/>
      <c r="BO686" s="66"/>
      <c r="BP686" s="66"/>
      <c r="BQ686" s="66" t="str">
        <f>PROPER(TEXT(Prog_23[[#This Row],[PROGRAMAÇÃO CLIENTE]],"mmm"))</f>
        <v>Jan</v>
      </c>
      <c r="BR686" s="66">
        <f>YEAR(Prog_23[[#This Row],[PROGRAMAÇÃO CLIENTE]])</f>
        <v>1900</v>
      </c>
    </row>
    <row r="687" spans="1:70" x14ac:dyDescent="0.25">
      <c r="A687" s="200">
        <f>Prog_23[[#This Row],[CONTEINER]]</f>
        <v>0</v>
      </c>
      <c r="B687" s="86"/>
      <c r="C6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87" s="44"/>
      <c r="E687" s="66"/>
      <c r="F687" s="66"/>
      <c r="G687" s="66"/>
      <c r="H687" s="44"/>
      <c r="I687" s="44"/>
      <c r="J687" s="66"/>
      <c r="K687" s="66"/>
      <c r="L687" s="66"/>
      <c r="M687" s="66"/>
      <c r="N687" s="66">
        <f>SUM(Prog_23[[#This Row],[TARA]]+Prog_23[[#This Row],[PESO]])</f>
        <v>0</v>
      </c>
      <c r="O687" s="44"/>
      <c r="P687" s="66"/>
      <c r="Q687" s="66"/>
      <c r="R687" s="66"/>
      <c r="S687" s="66"/>
      <c r="T687" s="138" t="str">
        <f>IFERROR(LOOKUP($S687,MOTORISTAS!$D$3:$D$916,MOTORISTAS!E$3:$E$916),"")</f>
        <v/>
      </c>
      <c r="U687" s="138" t="str">
        <f>IFERROR(LOOKUP($S687,MOTORISTAS!$D$3:$D$916,MOTORISTAS!F$3:$F$916),"")</f>
        <v/>
      </c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44"/>
      <c r="AG687" s="254">
        <f>Prog_23[[#This Row],[SAÍDA DO CLIENTE]]-Prog_23[[#This Row],[PROGRAMAÇÃO CLIENTE]]</f>
        <v>0</v>
      </c>
      <c r="AH687" s="44"/>
      <c r="AI687" s="66"/>
      <c r="AJ687" s="66"/>
      <c r="AK687" s="66"/>
      <c r="AL687" s="66"/>
      <c r="AM687" s="66"/>
      <c r="AN687" s="83"/>
      <c r="AO687" s="83"/>
      <c r="AP687" s="83"/>
      <c r="AQ687" s="66"/>
      <c r="AR687" s="66"/>
      <c r="AS687" s="66"/>
      <c r="AT687" s="81"/>
      <c r="AU687" s="81"/>
      <c r="AV687" s="81"/>
      <c r="AW687" s="81"/>
      <c r="AX687" s="83">
        <f>SUM(Prog_23[[#This Row],[ADIANTAMENTO]]+Prog_23[[#This Row],[SALDO]]+Prog_23[[#This Row],[MARGEM]]+Prog_23[[#This Row],[ESTADIA 1]])</f>
        <v>0</v>
      </c>
      <c r="AY6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87" s="81"/>
      <c r="BA687" s="81"/>
      <c r="BB687" s="81">
        <f>Prog_23[[#This Row],[VLR NF]]*0.1%</f>
        <v>0</v>
      </c>
      <c r="BC687" s="81">
        <f>Prog_23[[#This Row],[VLR NF]]*0.05%</f>
        <v>0</v>
      </c>
      <c r="BD687" s="81"/>
      <c r="BE687" s="81"/>
      <c r="BF687" s="81"/>
      <c r="BG687" s="81"/>
      <c r="BH687" s="81"/>
      <c r="BI687" s="81"/>
      <c r="BJ687" s="81"/>
      <c r="BK687" s="81"/>
      <c r="BL687" s="81"/>
      <c r="BM687" s="81"/>
      <c r="BN687" s="66"/>
      <c r="BO687" s="66"/>
      <c r="BP687" s="66"/>
      <c r="BQ687" s="66" t="str">
        <f>PROPER(TEXT(Prog_23[[#This Row],[PROGRAMAÇÃO CLIENTE]],"mmm"))</f>
        <v>Jan</v>
      </c>
      <c r="BR687" s="66">
        <f>YEAR(Prog_23[[#This Row],[PROGRAMAÇÃO CLIENTE]])</f>
        <v>1900</v>
      </c>
    </row>
    <row r="688" spans="1:70" x14ac:dyDescent="0.25">
      <c r="A688" s="201">
        <f>Prog_23[[#This Row],[CONTEINER]]</f>
        <v>0</v>
      </c>
      <c r="B688" s="86"/>
      <c r="C6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88" s="44"/>
      <c r="E688" s="66"/>
      <c r="F688" s="66"/>
      <c r="G688" s="66"/>
      <c r="H688" s="44"/>
      <c r="I688" s="44"/>
      <c r="J688" s="66"/>
      <c r="K688" s="66"/>
      <c r="L688" s="66"/>
      <c r="M688" s="66"/>
      <c r="N688" s="66">
        <f>SUM(Prog_23[[#This Row],[TARA]]+Prog_23[[#This Row],[PESO]])</f>
        <v>0</v>
      </c>
      <c r="O688" s="44"/>
      <c r="P688" s="66"/>
      <c r="Q688" s="66"/>
      <c r="R688" s="66"/>
      <c r="S688" s="66"/>
      <c r="T688" s="138" t="str">
        <f>IFERROR(LOOKUP($S688,MOTORISTAS!$D$3:$D$916,MOTORISTAS!E$3:$E$916),"")</f>
        <v/>
      </c>
      <c r="U688" s="138" t="str">
        <f>IFERROR(LOOKUP($S688,MOTORISTAS!$D$3:$D$916,MOTORISTAS!F$3:$F$916),"")</f>
        <v/>
      </c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44"/>
      <c r="AG688" s="254">
        <f>Prog_23[[#This Row],[SAÍDA DO CLIENTE]]-Prog_23[[#This Row],[PROGRAMAÇÃO CLIENTE]]</f>
        <v>0</v>
      </c>
      <c r="AH688" s="44"/>
      <c r="AI688" s="66"/>
      <c r="AJ688" s="66"/>
      <c r="AK688" s="66"/>
      <c r="AL688" s="66"/>
      <c r="AM688" s="66"/>
      <c r="AN688" s="83"/>
      <c r="AO688" s="83"/>
      <c r="AP688" s="83"/>
      <c r="AQ688" s="66"/>
      <c r="AR688" s="66"/>
      <c r="AS688" s="66"/>
      <c r="AT688" s="81"/>
      <c r="AU688" s="81"/>
      <c r="AV688" s="81"/>
      <c r="AW688" s="81"/>
      <c r="AX688" s="83">
        <f>SUM(Prog_23[[#This Row],[ADIANTAMENTO]]+Prog_23[[#This Row],[SALDO]]+Prog_23[[#This Row],[MARGEM]]+Prog_23[[#This Row],[ESTADIA 1]])</f>
        <v>0</v>
      </c>
      <c r="AY6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88" s="81"/>
      <c r="BA688" s="81"/>
      <c r="BB688" s="81">
        <f>Prog_23[[#This Row],[VLR NF]]*0.1%</f>
        <v>0</v>
      </c>
      <c r="BC688" s="81">
        <f>Prog_23[[#This Row],[VLR NF]]*0.05%</f>
        <v>0</v>
      </c>
      <c r="BD688" s="81"/>
      <c r="BE688" s="81"/>
      <c r="BF688" s="81"/>
      <c r="BG688" s="81"/>
      <c r="BH688" s="81"/>
      <c r="BI688" s="81"/>
      <c r="BJ688" s="81"/>
      <c r="BK688" s="81"/>
      <c r="BL688" s="81"/>
      <c r="BM688" s="81"/>
      <c r="BN688" s="66"/>
      <c r="BO688" s="66"/>
      <c r="BP688" s="66"/>
      <c r="BQ688" s="66" t="str">
        <f>PROPER(TEXT(Prog_23[[#This Row],[PROGRAMAÇÃO CLIENTE]],"mmm"))</f>
        <v>Jan</v>
      </c>
      <c r="BR688" s="66">
        <f>YEAR(Prog_23[[#This Row],[PROGRAMAÇÃO CLIENTE]])</f>
        <v>1900</v>
      </c>
    </row>
    <row r="689" spans="1:70" x14ac:dyDescent="0.25">
      <c r="A689" s="200">
        <f>Prog_23[[#This Row],[CONTEINER]]</f>
        <v>0</v>
      </c>
      <c r="B689" s="86"/>
      <c r="C6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89" s="44"/>
      <c r="E689" s="66"/>
      <c r="F689" s="66"/>
      <c r="G689" s="66"/>
      <c r="H689" s="44"/>
      <c r="I689" s="44"/>
      <c r="J689" s="66"/>
      <c r="K689" s="66"/>
      <c r="L689" s="66"/>
      <c r="M689" s="66"/>
      <c r="N689" s="66">
        <f>SUM(Prog_23[[#This Row],[TARA]]+Prog_23[[#This Row],[PESO]])</f>
        <v>0</v>
      </c>
      <c r="O689" s="44"/>
      <c r="P689" s="66"/>
      <c r="Q689" s="66"/>
      <c r="R689" s="66"/>
      <c r="S689" s="66"/>
      <c r="T689" s="138" t="str">
        <f>IFERROR(LOOKUP($S689,MOTORISTAS!$D$3:$D$916,MOTORISTAS!E$3:$E$916),"")</f>
        <v/>
      </c>
      <c r="U689" s="138" t="str">
        <f>IFERROR(LOOKUP($S689,MOTORISTAS!$D$3:$D$916,MOTORISTAS!F$3:$F$916),"")</f>
        <v/>
      </c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44"/>
      <c r="AG689" s="254">
        <f>Prog_23[[#This Row],[SAÍDA DO CLIENTE]]-Prog_23[[#This Row],[PROGRAMAÇÃO CLIENTE]]</f>
        <v>0</v>
      </c>
      <c r="AH689" s="44"/>
      <c r="AI689" s="66"/>
      <c r="AJ689" s="66"/>
      <c r="AK689" s="66"/>
      <c r="AL689" s="66"/>
      <c r="AM689" s="66"/>
      <c r="AN689" s="83"/>
      <c r="AO689" s="83"/>
      <c r="AP689" s="83"/>
      <c r="AQ689" s="66"/>
      <c r="AR689" s="66"/>
      <c r="AS689" s="66"/>
      <c r="AT689" s="81"/>
      <c r="AU689" s="81"/>
      <c r="AV689" s="81"/>
      <c r="AW689" s="81"/>
      <c r="AX689" s="83">
        <f>SUM(Prog_23[[#This Row],[ADIANTAMENTO]]+Prog_23[[#This Row],[SALDO]]+Prog_23[[#This Row],[MARGEM]]+Prog_23[[#This Row],[ESTADIA 1]])</f>
        <v>0</v>
      </c>
      <c r="AY6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89" s="81"/>
      <c r="BA689" s="81"/>
      <c r="BB689" s="81">
        <f>Prog_23[[#This Row],[VLR NF]]*0.1%</f>
        <v>0</v>
      </c>
      <c r="BC689" s="81">
        <f>Prog_23[[#This Row],[VLR NF]]*0.05%</f>
        <v>0</v>
      </c>
      <c r="BD689" s="81"/>
      <c r="BE689" s="81"/>
      <c r="BF689" s="81"/>
      <c r="BG689" s="81"/>
      <c r="BH689" s="81"/>
      <c r="BI689" s="81"/>
      <c r="BJ689" s="81"/>
      <c r="BK689" s="81"/>
      <c r="BL689" s="81"/>
      <c r="BM689" s="81"/>
      <c r="BN689" s="66"/>
      <c r="BO689" s="66"/>
      <c r="BP689" s="66"/>
      <c r="BQ689" s="66" t="str">
        <f>PROPER(TEXT(Prog_23[[#This Row],[PROGRAMAÇÃO CLIENTE]],"mmm"))</f>
        <v>Jan</v>
      </c>
      <c r="BR689" s="66">
        <f>YEAR(Prog_23[[#This Row],[PROGRAMAÇÃO CLIENTE]])</f>
        <v>1900</v>
      </c>
    </row>
    <row r="690" spans="1:70" x14ac:dyDescent="0.25">
      <c r="A690" s="201">
        <f>Prog_23[[#This Row],[CONTEINER]]</f>
        <v>0</v>
      </c>
      <c r="B690" s="86"/>
      <c r="C6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90" s="44"/>
      <c r="E690" s="66"/>
      <c r="F690" s="66"/>
      <c r="G690" s="66"/>
      <c r="H690" s="44"/>
      <c r="I690" s="44"/>
      <c r="J690" s="66"/>
      <c r="K690" s="66"/>
      <c r="L690" s="66"/>
      <c r="M690" s="66"/>
      <c r="N690" s="66">
        <f>SUM(Prog_23[[#This Row],[TARA]]+Prog_23[[#This Row],[PESO]])</f>
        <v>0</v>
      </c>
      <c r="O690" s="44"/>
      <c r="P690" s="66"/>
      <c r="Q690" s="66"/>
      <c r="R690" s="66"/>
      <c r="S690" s="66"/>
      <c r="T690" s="138" t="str">
        <f>IFERROR(LOOKUP($S690,MOTORISTAS!$D$3:$D$916,MOTORISTAS!E$3:$E$916),"")</f>
        <v/>
      </c>
      <c r="U690" s="138" t="str">
        <f>IFERROR(LOOKUP($S690,MOTORISTAS!$D$3:$D$916,MOTORISTAS!F$3:$F$916),"")</f>
        <v/>
      </c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44"/>
      <c r="AG690" s="254">
        <f>Prog_23[[#This Row],[SAÍDA DO CLIENTE]]-Prog_23[[#This Row],[PROGRAMAÇÃO CLIENTE]]</f>
        <v>0</v>
      </c>
      <c r="AH690" s="44"/>
      <c r="AI690" s="66"/>
      <c r="AJ690" s="66"/>
      <c r="AK690" s="66"/>
      <c r="AL690" s="66"/>
      <c r="AM690" s="66"/>
      <c r="AN690" s="83"/>
      <c r="AO690" s="83"/>
      <c r="AP690" s="83"/>
      <c r="AQ690" s="66"/>
      <c r="AR690" s="66"/>
      <c r="AS690" s="66"/>
      <c r="AT690" s="81"/>
      <c r="AU690" s="81"/>
      <c r="AV690" s="81"/>
      <c r="AW690" s="81"/>
      <c r="AX690" s="83">
        <f>SUM(Prog_23[[#This Row],[ADIANTAMENTO]]+Prog_23[[#This Row],[SALDO]]+Prog_23[[#This Row],[MARGEM]]+Prog_23[[#This Row],[ESTADIA 1]])</f>
        <v>0</v>
      </c>
      <c r="AY6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90" s="81"/>
      <c r="BA690" s="81"/>
      <c r="BB690" s="81">
        <f>Prog_23[[#This Row],[VLR NF]]*0.1%</f>
        <v>0</v>
      </c>
      <c r="BC690" s="81">
        <f>Prog_23[[#This Row],[VLR NF]]*0.05%</f>
        <v>0</v>
      </c>
      <c r="BD690" s="81"/>
      <c r="BE690" s="81"/>
      <c r="BF690" s="81"/>
      <c r="BG690" s="81"/>
      <c r="BH690" s="81"/>
      <c r="BI690" s="81"/>
      <c r="BJ690" s="81"/>
      <c r="BK690" s="81"/>
      <c r="BL690" s="81"/>
      <c r="BM690" s="81"/>
      <c r="BN690" s="66"/>
      <c r="BO690" s="66"/>
      <c r="BP690" s="66"/>
      <c r="BQ690" s="66" t="str">
        <f>PROPER(TEXT(Prog_23[[#This Row],[PROGRAMAÇÃO CLIENTE]],"mmm"))</f>
        <v>Jan</v>
      </c>
      <c r="BR690" s="66">
        <f>YEAR(Prog_23[[#This Row],[PROGRAMAÇÃO CLIENTE]])</f>
        <v>1900</v>
      </c>
    </row>
    <row r="691" spans="1:70" x14ac:dyDescent="0.25">
      <c r="A691" s="200">
        <f>Prog_23[[#This Row],[CONTEINER]]</f>
        <v>0</v>
      </c>
      <c r="B691" s="86"/>
      <c r="C6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91" s="44"/>
      <c r="E691" s="66"/>
      <c r="F691" s="66"/>
      <c r="G691" s="66"/>
      <c r="H691" s="44"/>
      <c r="I691" s="44"/>
      <c r="J691" s="66"/>
      <c r="K691" s="66"/>
      <c r="L691" s="66"/>
      <c r="M691" s="66"/>
      <c r="N691" s="66">
        <f>SUM(Prog_23[[#This Row],[TARA]]+Prog_23[[#This Row],[PESO]])</f>
        <v>0</v>
      </c>
      <c r="O691" s="44"/>
      <c r="P691" s="66"/>
      <c r="Q691" s="66"/>
      <c r="R691" s="66"/>
      <c r="S691" s="66"/>
      <c r="T691" s="138" t="str">
        <f>IFERROR(LOOKUP($S691,MOTORISTAS!$D$3:$D$916,MOTORISTAS!E$3:$E$916),"")</f>
        <v/>
      </c>
      <c r="U691" s="138" t="str">
        <f>IFERROR(LOOKUP($S691,MOTORISTAS!$D$3:$D$916,MOTORISTAS!F$3:$F$916),"")</f>
        <v/>
      </c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44"/>
      <c r="AG691" s="254">
        <f>Prog_23[[#This Row],[SAÍDA DO CLIENTE]]-Prog_23[[#This Row],[PROGRAMAÇÃO CLIENTE]]</f>
        <v>0</v>
      </c>
      <c r="AH691" s="44"/>
      <c r="AI691" s="66"/>
      <c r="AJ691" s="66"/>
      <c r="AK691" s="66"/>
      <c r="AL691" s="66"/>
      <c r="AM691" s="66"/>
      <c r="AN691" s="83"/>
      <c r="AO691" s="83"/>
      <c r="AP691" s="83"/>
      <c r="AQ691" s="66"/>
      <c r="AR691" s="66"/>
      <c r="AS691" s="66"/>
      <c r="AT691" s="81"/>
      <c r="AU691" s="81"/>
      <c r="AV691" s="81"/>
      <c r="AW691" s="81"/>
      <c r="AX691" s="83">
        <f>SUM(Prog_23[[#This Row],[ADIANTAMENTO]]+Prog_23[[#This Row],[SALDO]]+Prog_23[[#This Row],[MARGEM]]+Prog_23[[#This Row],[ESTADIA 1]])</f>
        <v>0</v>
      </c>
      <c r="AY6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91" s="81"/>
      <c r="BA691" s="81"/>
      <c r="BB691" s="81">
        <f>Prog_23[[#This Row],[VLR NF]]*0.1%</f>
        <v>0</v>
      </c>
      <c r="BC691" s="81">
        <f>Prog_23[[#This Row],[VLR NF]]*0.05%</f>
        <v>0</v>
      </c>
      <c r="BD691" s="81"/>
      <c r="BE691" s="81"/>
      <c r="BF691" s="81"/>
      <c r="BG691" s="81"/>
      <c r="BH691" s="81"/>
      <c r="BI691" s="81"/>
      <c r="BJ691" s="81"/>
      <c r="BK691" s="81"/>
      <c r="BL691" s="81"/>
      <c r="BM691" s="81"/>
      <c r="BN691" s="66"/>
      <c r="BO691" s="66"/>
      <c r="BP691" s="66"/>
      <c r="BQ691" s="66" t="str">
        <f>PROPER(TEXT(Prog_23[[#This Row],[PROGRAMAÇÃO CLIENTE]],"mmm"))</f>
        <v>Jan</v>
      </c>
      <c r="BR691" s="66">
        <f>YEAR(Prog_23[[#This Row],[PROGRAMAÇÃO CLIENTE]])</f>
        <v>1900</v>
      </c>
    </row>
    <row r="692" spans="1:70" x14ac:dyDescent="0.25">
      <c r="A692" s="201">
        <f>Prog_23[[#This Row],[CONTEINER]]</f>
        <v>0</v>
      </c>
      <c r="B692" s="86"/>
      <c r="C6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92" s="44"/>
      <c r="E692" s="66"/>
      <c r="F692" s="66"/>
      <c r="G692" s="66"/>
      <c r="H692" s="44"/>
      <c r="I692" s="44"/>
      <c r="J692" s="66"/>
      <c r="K692" s="66"/>
      <c r="L692" s="66"/>
      <c r="M692" s="66"/>
      <c r="N692" s="66">
        <f>SUM(Prog_23[[#This Row],[TARA]]+Prog_23[[#This Row],[PESO]])</f>
        <v>0</v>
      </c>
      <c r="O692" s="44"/>
      <c r="P692" s="66"/>
      <c r="Q692" s="66"/>
      <c r="R692" s="66"/>
      <c r="S692" s="66"/>
      <c r="T692" s="138" t="str">
        <f>IFERROR(LOOKUP($S692,MOTORISTAS!$D$3:$D$916,MOTORISTAS!E$3:$E$916),"")</f>
        <v/>
      </c>
      <c r="U692" s="138" t="str">
        <f>IFERROR(LOOKUP($S692,MOTORISTAS!$D$3:$D$916,MOTORISTAS!F$3:$F$916),"")</f>
        <v/>
      </c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44"/>
      <c r="AG692" s="254">
        <f>Prog_23[[#This Row],[SAÍDA DO CLIENTE]]-Prog_23[[#This Row],[PROGRAMAÇÃO CLIENTE]]</f>
        <v>0</v>
      </c>
      <c r="AH692" s="44"/>
      <c r="AI692" s="66"/>
      <c r="AJ692" s="66"/>
      <c r="AK692" s="66"/>
      <c r="AL692" s="66"/>
      <c r="AM692" s="66"/>
      <c r="AN692" s="83"/>
      <c r="AO692" s="83"/>
      <c r="AP692" s="83"/>
      <c r="AQ692" s="66"/>
      <c r="AR692" s="66"/>
      <c r="AS692" s="66"/>
      <c r="AT692" s="81"/>
      <c r="AU692" s="81"/>
      <c r="AV692" s="81"/>
      <c r="AW692" s="81"/>
      <c r="AX692" s="83">
        <f>SUM(Prog_23[[#This Row],[ADIANTAMENTO]]+Prog_23[[#This Row],[SALDO]]+Prog_23[[#This Row],[MARGEM]]+Prog_23[[#This Row],[ESTADIA 1]])</f>
        <v>0</v>
      </c>
      <c r="AY6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92" s="81"/>
      <c r="BA692" s="81"/>
      <c r="BB692" s="81">
        <f>Prog_23[[#This Row],[VLR NF]]*0.1%</f>
        <v>0</v>
      </c>
      <c r="BC692" s="81">
        <f>Prog_23[[#This Row],[VLR NF]]*0.05%</f>
        <v>0</v>
      </c>
      <c r="BD692" s="81"/>
      <c r="BE692" s="81"/>
      <c r="BF692" s="81"/>
      <c r="BG692" s="81"/>
      <c r="BH692" s="81"/>
      <c r="BI692" s="81"/>
      <c r="BJ692" s="81"/>
      <c r="BK692" s="81"/>
      <c r="BL692" s="81"/>
      <c r="BM692" s="81"/>
      <c r="BN692" s="66"/>
      <c r="BO692" s="66"/>
      <c r="BP692" s="66"/>
      <c r="BQ692" s="66" t="str">
        <f>PROPER(TEXT(Prog_23[[#This Row],[PROGRAMAÇÃO CLIENTE]],"mmm"))</f>
        <v>Jan</v>
      </c>
      <c r="BR692" s="66">
        <f>YEAR(Prog_23[[#This Row],[PROGRAMAÇÃO CLIENTE]])</f>
        <v>1900</v>
      </c>
    </row>
    <row r="693" spans="1:70" x14ac:dyDescent="0.25">
      <c r="A693" s="200">
        <f>Prog_23[[#This Row],[CONTEINER]]</f>
        <v>0</v>
      </c>
      <c r="B693" s="86"/>
      <c r="C6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93" s="44"/>
      <c r="E693" s="66"/>
      <c r="F693" s="66"/>
      <c r="G693" s="66"/>
      <c r="H693" s="44"/>
      <c r="I693" s="44"/>
      <c r="J693" s="66"/>
      <c r="K693" s="66"/>
      <c r="L693" s="66"/>
      <c r="M693" s="66"/>
      <c r="N693" s="66">
        <f>SUM(Prog_23[[#This Row],[TARA]]+Prog_23[[#This Row],[PESO]])</f>
        <v>0</v>
      </c>
      <c r="O693" s="44"/>
      <c r="P693" s="66"/>
      <c r="Q693" s="66"/>
      <c r="R693" s="66"/>
      <c r="S693" s="66"/>
      <c r="T693" s="138" t="str">
        <f>IFERROR(LOOKUP($S693,MOTORISTAS!$D$3:$D$916,MOTORISTAS!E$3:$E$916),"")</f>
        <v/>
      </c>
      <c r="U693" s="138" t="str">
        <f>IFERROR(LOOKUP($S693,MOTORISTAS!$D$3:$D$916,MOTORISTAS!F$3:$F$916),"")</f>
        <v/>
      </c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44"/>
      <c r="AG693" s="254">
        <f>Prog_23[[#This Row],[SAÍDA DO CLIENTE]]-Prog_23[[#This Row],[PROGRAMAÇÃO CLIENTE]]</f>
        <v>0</v>
      </c>
      <c r="AH693" s="44"/>
      <c r="AI693" s="66"/>
      <c r="AJ693" s="66"/>
      <c r="AK693" s="66"/>
      <c r="AL693" s="66"/>
      <c r="AM693" s="66"/>
      <c r="AN693" s="83"/>
      <c r="AO693" s="83"/>
      <c r="AP693" s="83"/>
      <c r="AQ693" s="66"/>
      <c r="AR693" s="66"/>
      <c r="AS693" s="66"/>
      <c r="AT693" s="81"/>
      <c r="AU693" s="81"/>
      <c r="AV693" s="81"/>
      <c r="AW693" s="81"/>
      <c r="AX693" s="83">
        <f>SUM(Prog_23[[#This Row],[ADIANTAMENTO]]+Prog_23[[#This Row],[SALDO]]+Prog_23[[#This Row],[MARGEM]]+Prog_23[[#This Row],[ESTADIA 1]])</f>
        <v>0</v>
      </c>
      <c r="AY6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93" s="81"/>
      <c r="BA693" s="81"/>
      <c r="BB693" s="81">
        <f>Prog_23[[#This Row],[VLR NF]]*0.1%</f>
        <v>0</v>
      </c>
      <c r="BC693" s="81">
        <f>Prog_23[[#This Row],[VLR NF]]*0.05%</f>
        <v>0</v>
      </c>
      <c r="BD693" s="81"/>
      <c r="BE693" s="81"/>
      <c r="BF693" s="81"/>
      <c r="BG693" s="81"/>
      <c r="BH693" s="81"/>
      <c r="BI693" s="81"/>
      <c r="BJ693" s="81"/>
      <c r="BK693" s="81"/>
      <c r="BL693" s="81"/>
      <c r="BM693" s="81"/>
      <c r="BN693" s="66"/>
      <c r="BO693" s="66"/>
      <c r="BP693" s="66"/>
      <c r="BQ693" s="66" t="str">
        <f>PROPER(TEXT(Prog_23[[#This Row],[PROGRAMAÇÃO CLIENTE]],"mmm"))</f>
        <v>Jan</v>
      </c>
      <c r="BR693" s="66">
        <f>YEAR(Prog_23[[#This Row],[PROGRAMAÇÃO CLIENTE]])</f>
        <v>1900</v>
      </c>
    </row>
    <row r="694" spans="1:70" x14ac:dyDescent="0.25">
      <c r="A694" s="201">
        <f>Prog_23[[#This Row],[CONTEINER]]</f>
        <v>0</v>
      </c>
      <c r="B694" s="86"/>
      <c r="C6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94" s="44"/>
      <c r="E694" s="66"/>
      <c r="F694" s="66"/>
      <c r="G694" s="66"/>
      <c r="H694" s="44"/>
      <c r="I694" s="44"/>
      <c r="J694" s="66"/>
      <c r="K694" s="66"/>
      <c r="L694" s="66"/>
      <c r="M694" s="66"/>
      <c r="N694" s="66">
        <f>SUM(Prog_23[[#This Row],[TARA]]+Prog_23[[#This Row],[PESO]])</f>
        <v>0</v>
      </c>
      <c r="O694" s="44"/>
      <c r="P694" s="66"/>
      <c r="Q694" s="66"/>
      <c r="R694" s="66"/>
      <c r="S694" s="66"/>
      <c r="T694" s="138" t="str">
        <f>IFERROR(LOOKUP($S694,MOTORISTAS!$D$3:$D$916,MOTORISTAS!E$3:$E$916),"")</f>
        <v/>
      </c>
      <c r="U694" s="138" t="str">
        <f>IFERROR(LOOKUP($S694,MOTORISTAS!$D$3:$D$916,MOTORISTAS!F$3:$F$916),"")</f>
        <v/>
      </c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44"/>
      <c r="AG694" s="254">
        <f>Prog_23[[#This Row],[SAÍDA DO CLIENTE]]-Prog_23[[#This Row],[PROGRAMAÇÃO CLIENTE]]</f>
        <v>0</v>
      </c>
      <c r="AH694" s="44"/>
      <c r="AI694" s="66"/>
      <c r="AJ694" s="66"/>
      <c r="AK694" s="66"/>
      <c r="AL694" s="66"/>
      <c r="AM694" s="66"/>
      <c r="AN694" s="83"/>
      <c r="AO694" s="83"/>
      <c r="AP694" s="83"/>
      <c r="AQ694" s="66"/>
      <c r="AR694" s="66"/>
      <c r="AS694" s="66"/>
      <c r="AT694" s="81"/>
      <c r="AU694" s="81"/>
      <c r="AV694" s="81"/>
      <c r="AW694" s="81"/>
      <c r="AX694" s="83">
        <f>SUM(Prog_23[[#This Row],[ADIANTAMENTO]]+Prog_23[[#This Row],[SALDO]]+Prog_23[[#This Row],[MARGEM]]+Prog_23[[#This Row],[ESTADIA 1]])</f>
        <v>0</v>
      </c>
      <c r="AY6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94" s="81"/>
      <c r="BA694" s="81"/>
      <c r="BB694" s="81">
        <f>Prog_23[[#This Row],[VLR NF]]*0.1%</f>
        <v>0</v>
      </c>
      <c r="BC694" s="81">
        <f>Prog_23[[#This Row],[VLR NF]]*0.05%</f>
        <v>0</v>
      </c>
      <c r="BD694" s="81"/>
      <c r="BE694" s="81"/>
      <c r="BF694" s="81"/>
      <c r="BG694" s="81"/>
      <c r="BH694" s="81"/>
      <c r="BI694" s="81"/>
      <c r="BJ694" s="81"/>
      <c r="BK694" s="81"/>
      <c r="BL694" s="81"/>
      <c r="BM694" s="81"/>
      <c r="BN694" s="66"/>
      <c r="BO694" s="66"/>
      <c r="BP694" s="66"/>
      <c r="BQ694" s="66" t="str">
        <f>PROPER(TEXT(Prog_23[[#This Row],[PROGRAMAÇÃO CLIENTE]],"mmm"))</f>
        <v>Jan</v>
      </c>
      <c r="BR694" s="66">
        <f>YEAR(Prog_23[[#This Row],[PROGRAMAÇÃO CLIENTE]])</f>
        <v>1900</v>
      </c>
    </row>
    <row r="695" spans="1:70" x14ac:dyDescent="0.25">
      <c r="A695" s="200">
        <f>Prog_23[[#This Row],[CONTEINER]]</f>
        <v>0</v>
      </c>
      <c r="B695" s="86"/>
      <c r="C6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95" s="44"/>
      <c r="E695" s="66"/>
      <c r="F695" s="66"/>
      <c r="G695" s="66"/>
      <c r="H695" s="44"/>
      <c r="I695" s="44"/>
      <c r="J695" s="66"/>
      <c r="K695" s="66"/>
      <c r="L695" s="66"/>
      <c r="M695" s="66"/>
      <c r="N695" s="66">
        <f>SUM(Prog_23[[#This Row],[TARA]]+Prog_23[[#This Row],[PESO]])</f>
        <v>0</v>
      </c>
      <c r="O695" s="44"/>
      <c r="P695" s="66"/>
      <c r="Q695" s="66"/>
      <c r="R695" s="66"/>
      <c r="S695" s="66"/>
      <c r="T695" s="138" t="str">
        <f>IFERROR(LOOKUP($S695,MOTORISTAS!$D$3:$D$916,MOTORISTAS!E$3:$E$916),"")</f>
        <v/>
      </c>
      <c r="U695" s="138" t="str">
        <f>IFERROR(LOOKUP($S695,MOTORISTAS!$D$3:$D$916,MOTORISTAS!F$3:$F$916),"")</f>
        <v/>
      </c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44"/>
      <c r="AG695" s="254">
        <f>Prog_23[[#This Row],[SAÍDA DO CLIENTE]]-Prog_23[[#This Row],[PROGRAMAÇÃO CLIENTE]]</f>
        <v>0</v>
      </c>
      <c r="AH695" s="44"/>
      <c r="AI695" s="66"/>
      <c r="AJ695" s="66"/>
      <c r="AK695" s="66"/>
      <c r="AL695" s="66"/>
      <c r="AM695" s="66"/>
      <c r="AN695" s="83"/>
      <c r="AO695" s="83"/>
      <c r="AP695" s="83"/>
      <c r="AQ695" s="66"/>
      <c r="AR695" s="66"/>
      <c r="AS695" s="66"/>
      <c r="AT695" s="81"/>
      <c r="AU695" s="81"/>
      <c r="AV695" s="81"/>
      <c r="AW695" s="81"/>
      <c r="AX695" s="83">
        <f>SUM(Prog_23[[#This Row],[ADIANTAMENTO]]+Prog_23[[#This Row],[SALDO]]+Prog_23[[#This Row],[MARGEM]]+Prog_23[[#This Row],[ESTADIA 1]])</f>
        <v>0</v>
      </c>
      <c r="AY6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95" s="81"/>
      <c r="BA695" s="81"/>
      <c r="BB695" s="81">
        <f>Prog_23[[#This Row],[VLR NF]]*0.1%</f>
        <v>0</v>
      </c>
      <c r="BC695" s="81">
        <f>Prog_23[[#This Row],[VLR NF]]*0.05%</f>
        <v>0</v>
      </c>
      <c r="BD695" s="81"/>
      <c r="BE695" s="81"/>
      <c r="BF695" s="81"/>
      <c r="BG695" s="81"/>
      <c r="BH695" s="81"/>
      <c r="BI695" s="81"/>
      <c r="BJ695" s="81"/>
      <c r="BK695" s="81"/>
      <c r="BL695" s="81"/>
      <c r="BM695" s="81"/>
      <c r="BN695" s="66"/>
      <c r="BO695" s="66"/>
      <c r="BP695" s="66"/>
      <c r="BQ695" s="66" t="str">
        <f>PROPER(TEXT(Prog_23[[#This Row],[PROGRAMAÇÃO CLIENTE]],"mmm"))</f>
        <v>Jan</v>
      </c>
      <c r="BR695" s="66">
        <f>YEAR(Prog_23[[#This Row],[PROGRAMAÇÃO CLIENTE]])</f>
        <v>1900</v>
      </c>
    </row>
    <row r="696" spans="1:70" x14ac:dyDescent="0.25">
      <c r="A696" s="201">
        <f>Prog_23[[#This Row],[CONTEINER]]</f>
        <v>0</v>
      </c>
      <c r="B696" s="86"/>
      <c r="C6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96" s="44"/>
      <c r="E696" s="66"/>
      <c r="F696" s="66"/>
      <c r="G696" s="66"/>
      <c r="H696" s="44"/>
      <c r="I696" s="44"/>
      <c r="J696" s="66"/>
      <c r="K696" s="66"/>
      <c r="L696" s="66"/>
      <c r="M696" s="66"/>
      <c r="N696" s="66">
        <f>SUM(Prog_23[[#This Row],[TARA]]+Prog_23[[#This Row],[PESO]])</f>
        <v>0</v>
      </c>
      <c r="O696" s="44"/>
      <c r="P696" s="66"/>
      <c r="Q696" s="66"/>
      <c r="R696" s="66"/>
      <c r="S696" s="66"/>
      <c r="T696" s="138" t="str">
        <f>IFERROR(LOOKUP($S696,MOTORISTAS!$D$3:$D$916,MOTORISTAS!E$3:$E$916),"")</f>
        <v/>
      </c>
      <c r="U696" s="138" t="str">
        <f>IFERROR(LOOKUP($S696,MOTORISTAS!$D$3:$D$916,MOTORISTAS!F$3:$F$916),"")</f>
        <v/>
      </c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44"/>
      <c r="AG696" s="254">
        <f>Prog_23[[#This Row],[SAÍDA DO CLIENTE]]-Prog_23[[#This Row],[PROGRAMAÇÃO CLIENTE]]</f>
        <v>0</v>
      </c>
      <c r="AH696" s="44"/>
      <c r="AI696" s="66"/>
      <c r="AJ696" s="66"/>
      <c r="AK696" s="66"/>
      <c r="AL696" s="66"/>
      <c r="AM696" s="66"/>
      <c r="AN696" s="83"/>
      <c r="AO696" s="83"/>
      <c r="AP696" s="83"/>
      <c r="AQ696" s="66"/>
      <c r="AR696" s="66"/>
      <c r="AS696" s="66"/>
      <c r="AT696" s="81"/>
      <c r="AU696" s="81"/>
      <c r="AV696" s="81"/>
      <c r="AW696" s="81"/>
      <c r="AX696" s="83">
        <f>SUM(Prog_23[[#This Row],[ADIANTAMENTO]]+Prog_23[[#This Row],[SALDO]]+Prog_23[[#This Row],[MARGEM]]+Prog_23[[#This Row],[ESTADIA 1]])</f>
        <v>0</v>
      </c>
      <c r="AY6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96" s="81"/>
      <c r="BA696" s="81"/>
      <c r="BB696" s="81">
        <f>Prog_23[[#This Row],[VLR NF]]*0.1%</f>
        <v>0</v>
      </c>
      <c r="BC696" s="81">
        <f>Prog_23[[#This Row],[VLR NF]]*0.05%</f>
        <v>0</v>
      </c>
      <c r="BD696" s="81"/>
      <c r="BE696" s="81"/>
      <c r="BF696" s="81"/>
      <c r="BG696" s="81"/>
      <c r="BH696" s="81"/>
      <c r="BI696" s="81"/>
      <c r="BJ696" s="81"/>
      <c r="BK696" s="81"/>
      <c r="BL696" s="81"/>
      <c r="BM696" s="81"/>
      <c r="BN696" s="66"/>
      <c r="BO696" s="66"/>
      <c r="BP696" s="66"/>
      <c r="BQ696" s="66" t="str">
        <f>PROPER(TEXT(Prog_23[[#This Row],[PROGRAMAÇÃO CLIENTE]],"mmm"))</f>
        <v>Jan</v>
      </c>
      <c r="BR696" s="66">
        <f>YEAR(Prog_23[[#This Row],[PROGRAMAÇÃO CLIENTE]])</f>
        <v>1900</v>
      </c>
    </row>
    <row r="697" spans="1:70" x14ac:dyDescent="0.25">
      <c r="A697" s="200">
        <f>Prog_23[[#This Row],[CONTEINER]]</f>
        <v>0</v>
      </c>
      <c r="B697" s="86"/>
      <c r="C6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97" s="44"/>
      <c r="E697" s="66"/>
      <c r="F697" s="66"/>
      <c r="G697" s="66"/>
      <c r="H697" s="44"/>
      <c r="I697" s="44"/>
      <c r="J697" s="66"/>
      <c r="K697" s="66"/>
      <c r="L697" s="66"/>
      <c r="M697" s="66"/>
      <c r="N697" s="66">
        <f>SUM(Prog_23[[#This Row],[TARA]]+Prog_23[[#This Row],[PESO]])</f>
        <v>0</v>
      </c>
      <c r="O697" s="44"/>
      <c r="P697" s="66"/>
      <c r="Q697" s="66"/>
      <c r="R697" s="66"/>
      <c r="S697" s="66"/>
      <c r="T697" s="138" t="str">
        <f>IFERROR(LOOKUP($S697,MOTORISTAS!$D$3:$D$916,MOTORISTAS!E$3:$E$916),"")</f>
        <v/>
      </c>
      <c r="U697" s="138" t="str">
        <f>IFERROR(LOOKUP($S697,MOTORISTAS!$D$3:$D$916,MOTORISTAS!F$3:$F$916),"")</f>
        <v/>
      </c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44"/>
      <c r="AG697" s="254">
        <f>Prog_23[[#This Row],[SAÍDA DO CLIENTE]]-Prog_23[[#This Row],[PROGRAMAÇÃO CLIENTE]]</f>
        <v>0</v>
      </c>
      <c r="AH697" s="44"/>
      <c r="AI697" s="66"/>
      <c r="AJ697" s="66"/>
      <c r="AK697" s="66"/>
      <c r="AL697" s="66"/>
      <c r="AM697" s="66"/>
      <c r="AN697" s="83"/>
      <c r="AO697" s="83"/>
      <c r="AP697" s="83"/>
      <c r="AQ697" s="66"/>
      <c r="AR697" s="66"/>
      <c r="AS697" s="66"/>
      <c r="AT697" s="81"/>
      <c r="AU697" s="81"/>
      <c r="AV697" s="81"/>
      <c r="AW697" s="81"/>
      <c r="AX697" s="83">
        <f>SUM(Prog_23[[#This Row],[ADIANTAMENTO]]+Prog_23[[#This Row],[SALDO]]+Prog_23[[#This Row],[MARGEM]]+Prog_23[[#This Row],[ESTADIA 1]])</f>
        <v>0</v>
      </c>
      <c r="AY6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97" s="81"/>
      <c r="BA697" s="81"/>
      <c r="BB697" s="81">
        <f>Prog_23[[#This Row],[VLR NF]]*0.1%</f>
        <v>0</v>
      </c>
      <c r="BC697" s="81">
        <f>Prog_23[[#This Row],[VLR NF]]*0.05%</f>
        <v>0</v>
      </c>
      <c r="BD697" s="81"/>
      <c r="BE697" s="81"/>
      <c r="BF697" s="81"/>
      <c r="BG697" s="81"/>
      <c r="BH697" s="81"/>
      <c r="BI697" s="81"/>
      <c r="BJ697" s="81"/>
      <c r="BK697" s="81"/>
      <c r="BL697" s="81"/>
      <c r="BM697" s="81"/>
      <c r="BN697" s="66"/>
      <c r="BO697" s="66"/>
      <c r="BP697" s="66"/>
      <c r="BQ697" s="66" t="str">
        <f>PROPER(TEXT(Prog_23[[#This Row],[PROGRAMAÇÃO CLIENTE]],"mmm"))</f>
        <v>Jan</v>
      </c>
      <c r="BR697" s="66">
        <f>YEAR(Prog_23[[#This Row],[PROGRAMAÇÃO CLIENTE]])</f>
        <v>1900</v>
      </c>
    </row>
    <row r="698" spans="1:70" x14ac:dyDescent="0.25">
      <c r="A698" s="201">
        <f>Prog_23[[#This Row],[CONTEINER]]</f>
        <v>0</v>
      </c>
      <c r="B698" s="86"/>
      <c r="C6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98" s="44"/>
      <c r="E698" s="66"/>
      <c r="F698" s="66"/>
      <c r="G698" s="66"/>
      <c r="H698" s="44"/>
      <c r="I698" s="44"/>
      <c r="J698" s="66"/>
      <c r="K698" s="66"/>
      <c r="L698" s="66"/>
      <c r="M698" s="66"/>
      <c r="N698" s="66">
        <f>SUM(Prog_23[[#This Row],[TARA]]+Prog_23[[#This Row],[PESO]])</f>
        <v>0</v>
      </c>
      <c r="O698" s="44"/>
      <c r="P698" s="66"/>
      <c r="Q698" s="66"/>
      <c r="R698" s="66"/>
      <c r="S698" s="66"/>
      <c r="T698" s="138" t="str">
        <f>IFERROR(LOOKUP($S698,MOTORISTAS!$D$3:$D$916,MOTORISTAS!E$3:$E$916),"")</f>
        <v/>
      </c>
      <c r="U698" s="138" t="str">
        <f>IFERROR(LOOKUP($S698,MOTORISTAS!$D$3:$D$916,MOTORISTAS!F$3:$F$916),"")</f>
        <v/>
      </c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44"/>
      <c r="AG698" s="254">
        <f>Prog_23[[#This Row],[SAÍDA DO CLIENTE]]-Prog_23[[#This Row],[PROGRAMAÇÃO CLIENTE]]</f>
        <v>0</v>
      </c>
      <c r="AH698" s="44"/>
      <c r="AI698" s="66"/>
      <c r="AJ698" s="66"/>
      <c r="AK698" s="66"/>
      <c r="AL698" s="66"/>
      <c r="AM698" s="66"/>
      <c r="AN698" s="83"/>
      <c r="AO698" s="83"/>
      <c r="AP698" s="83"/>
      <c r="AQ698" s="66"/>
      <c r="AR698" s="66"/>
      <c r="AS698" s="66"/>
      <c r="AT698" s="81"/>
      <c r="AU698" s="81"/>
      <c r="AV698" s="81"/>
      <c r="AW698" s="81"/>
      <c r="AX698" s="83">
        <f>SUM(Prog_23[[#This Row],[ADIANTAMENTO]]+Prog_23[[#This Row],[SALDO]]+Prog_23[[#This Row],[MARGEM]]+Prog_23[[#This Row],[ESTADIA 1]])</f>
        <v>0</v>
      </c>
      <c r="AY6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98" s="81"/>
      <c r="BA698" s="81"/>
      <c r="BB698" s="81">
        <f>Prog_23[[#This Row],[VLR NF]]*0.1%</f>
        <v>0</v>
      </c>
      <c r="BC698" s="81">
        <f>Prog_23[[#This Row],[VLR NF]]*0.05%</f>
        <v>0</v>
      </c>
      <c r="BD698" s="81"/>
      <c r="BE698" s="81"/>
      <c r="BF698" s="81"/>
      <c r="BG698" s="81"/>
      <c r="BH698" s="81"/>
      <c r="BI698" s="81"/>
      <c r="BJ698" s="81"/>
      <c r="BK698" s="81"/>
      <c r="BL698" s="81"/>
      <c r="BM698" s="81"/>
      <c r="BN698" s="66"/>
      <c r="BO698" s="66"/>
      <c r="BP698" s="66"/>
      <c r="BQ698" s="66" t="str">
        <f>PROPER(TEXT(Prog_23[[#This Row],[PROGRAMAÇÃO CLIENTE]],"mmm"))</f>
        <v>Jan</v>
      </c>
      <c r="BR698" s="66">
        <f>YEAR(Prog_23[[#This Row],[PROGRAMAÇÃO CLIENTE]])</f>
        <v>1900</v>
      </c>
    </row>
    <row r="699" spans="1:70" x14ac:dyDescent="0.25">
      <c r="A699" s="200">
        <f>Prog_23[[#This Row],[CONTEINER]]</f>
        <v>0</v>
      </c>
      <c r="B699" s="86"/>
      <c r="C6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699" s="44"/>
      <c r="E699" s="66"/>
      <c r="F699" s="66"/>
      <c r="G699" s="66"/>
      <c r="H699" s="44"/>
      <c r="I699" s="44"/>
      <c r="J699" s="66"/>
      <c r="K699" s="66"/>
      <c r="L699" s="66"/>
      <c r="M699" s="66"/>
      <c r="N699" s="66">
        <f>SUM(Prog_23[[#This Row],[TARA]]+Prog_23[[#This Row],[PESO]])</f>
        <v>0</v>
      </c>
      <c r="O699" s="44"/>
      <c r="P699" s="66"/>
      <c r="Q699" s="66"/>
      <c r="R699" s="66"/>
      <c r="S699" s="66"/>
      <c r="T699" s="138" t="str">
        <f>IFERROR(LOOKUP($S699,MOTORISTAS!$D$3:$D$916,MOTORISTAS!E$3:$E$916),"")</f>
        <v/>
      </c>
      <c r="U699" s="138" t="str">
        <f>IFERROR(LOOKUP($S699,MOTORISTAS!$D$3:$D$916,MOTORISTAS!F$3:$F$916),"")</f>
        <v/>
      </c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44"/>
      <c r="AG699" s="254">
        <f>Prog_23[[#This Row],[SAÍDA DO CLIENTE]]-Prog_23[[#This Row],[PROGRAMAÇÃO CLIENTE]]</f>
        <v>0</v>
      </c>
      <c r="AH699" s="44"/>
      <c r="AI699" s="66"/>
      <c r="AJ699" s="66"/>
      <c r="AK699" s="66"/>
      <c r="AL699" s="66"/>
      <c r="AM699" s="66"/>
      <c r="AN699" s="83"/>
      <c r="AO699" s="83"/>
      <c r="AP699" s="83"/>
      <c r="AQ699" s="66"/>
      <c r="AR699" s="66"/>
      <c r="AS699" s="66"/>
      <c r="AT699" s="81"/>
      <c r="AU699" s="81"/>
      <c r="AV699" s="81"/>
      <c r="AW699" s="81"/>
      <c r="AX699" s="83">
        <f>SUM(Prog_23[[#This Row],[ADIANTAMENTO]]+Prog_23[[#This Row],[SALDO]]+Prog_23[[#This Row],[MARGEM]]+Prog_23[[#This Row],[ESTADIA 1]])</f>
        <v>0</v>
      </c>
      <c r="AY6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699" s="81"/>
      <c r="BA699" s="81"/>
      <c r="BB699" s="81">
        <f>Prog_23[[#This Row],[VLR NF]]*0.1%</f>
        <v>0</v>
      </c>
      <c r="BC699" s="81">
        <f>Prog_23[[#This Row],[VLR NF]]*0.05%</f>
        <v>0</v>
      </c>
      <c r="BD699" s="81"/>
      <c r="BE699" s="81"/>
      <c r="BF699" s="81"/>
      <c r="BG699" s="81"/>
      <c r="BH699" s="81"/>
      <c r="BI699" s="81"/>
      <c r="BJ699" s="81"/>
      <c r="BK699" s="81"/>
      <c r="BL699" s="81"/>
      <c r="BM699" s="81"/>
      <c r="BN699" s="66"/>
      <c r="BO699" s="66"/>
      <c r="BP699" s="66"/>
      <c r="BQ699" s="66" t="str">
        <f>PROPER(TEXT(Prog_23[[#This Row],[PROGRAMAÇÃO CLIENTE]],"mmm"))</f>
        <v>Jan</v>
      </c>
      <c r="BR699" s="66">
        <f>YEAR(Prog_23[[#This Row],[PROGRAMAÇÃO CLIENTE]])</f>
        <v>1900</v>
      </c>
    </row>
    <row r="700" spans="1:70" x14ac:dyDescent="0.25">
      <c r="A700" s="201">
        <f>Prog_23[[#This Row],[CONTEINER]]</f>
        <v>0</v>
      </c>
      <c r="B700" s="86"/>
      <c r="C7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00" s="44"/>
      <c r="E700" s="66"/>
      <c r="F700" s="66"/>
      <c r="G700" s="66"/>
      <c r="H700" s="44"/>
      <c r="I700" s="44"/>
      <c r="J700" s="66"/>
      <c r="K700" s="66"/>
      <c r="L700" s="66"/>
      <c r="M700" s="66"/>
      <c r="N700" s="66">
        <f>SUM(Prog_23[[#This Row],[TARA]]+Prog_23[[#This Row],[PESO]])</f>
        <v>0</v>
      </c>
      <c r="O700" s="44"/>
      <c r="P700" s="66"/>
      <c r="Q700" s="66"/>
      <c r="R700" s="66"/>
      <c r="S700" s="66"/>
      <c r="T700" s="138" t="str">
        <f>IFERROR(LOOKUP($S700,MOTORISTAS!$D$3:$D$916,MOTORISTAS!E$3:$E$916),"")</f>
        <v/>
      </c>
      <c r="U700" s="138" t="str">
        <f>IFERROR(LOOKUP($S700,MOTORISTAS!$D$3:$D$916,MOTORISTAS!F$3:$F$916),"")</f>
        <v/>
      </c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44"/>
      <c r="AG700" s="254">
        <f>Prog_23[[#This Row],[SAÍDA DO CLIENTE]]-Prog_23[[#This Row],[PROGRAMAÇÃO CLIENTE]]</f>
        <v>0</v>
      </c>
      <c r="AH700" s="44"/>
      <c r="AI700" s="66"/>
      <c r="AJ700" s="66"/>
      <c r="AK700" s="66"/>
      <c r="AL700" s="66"/>
      <c r="AM700" s="66"/>
      <c r="AN700" s="83"/>
      <c r="AO700" s="83"/>
      <c r="AP700" s="83"/>
      <c r="AQ700" s="66"/>
      <c r="AR700" s="66"/>
      <c r="AS700" s="66"/>
      <c r="AT700" s="81"/>
      <c r="AU700" s="81"/>
      <c r="AV700" s="81"/>
      <c r="AW700" s="81"/>
      <c r="AX700" s="83">
        <f>SUM(Prog_23[[#This Row],[ADIANTAMENTO]]+Prog_23[[#This Row],[SALDO]]+Prog_23[[#This Row],[MARGEM]]+Prog_23[[#This Row],[ESTADIA 1]])</f>
        <v>0</v>
      </c>
      <c r="AY7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00" s="81"/>
      <c r="BA700" s="81"/>
      <c r="BB700" s="81">
        <f>Prog_23[[#This Row],[VLR NF]]*0.1%</f>
        <v>0</v>
      </c>
      <c r="BC700" s="81">
        <f>Prog_23[[#This Row],[VLR NF]]*0.05%</f>
        <v>0</v>
      </c>
      <c r="BD700" s="81"/>
      <c r="BE700" s="81"/>
      <c r="BF700" s="81"/>
      <c r="BG700" s="81"/>
      <c r="BH700" s="81"/>
      <c r="BI700" s="81"/>
      <c r="BJ700" s="81"/>
      <c r="BK700" s="81"/>
      <c r="BL700" s="81"/>
      <c r="BM700" s="81"/>
      <c r="BN700" s="66"/>
      <c r="BO700" s="66"/>
      <c r="BP700" s="66"/>
      <c r="BQ700" s="66" t="str">
        <f>PROPER(TEXT(Prog_23[[#This Row],[PROGRAMAÇÃO CLIENTE]],"mmm"))</f>
        <v>Jan</v>
      </c>
      <c r="BR700" s="66">
        <f>YEAR(Prog_23[[#This Row],[PROGRAMAÇÃO CLIENTE]])</f>
        <v>1900</v>
      </c>
    </row>
    <row r="701" spans="1:70" x14ac:dyDescent="0.25">
      <c r="A701" s="200">
        <f>Prog_23[[#This Row],[CONTEINER]]</f>
        <v>0</v>
      </c>
      <c r="B701" s="86"/>
      <c r="C7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01" s="44"/>
      <c r="E701" s="66"/>
      <c r="F701" s="66"/>
      <c r="G701" s="66"/>
      <c r="H701" s="44"/>
      <c r="I701" s="44"/>
      <c r="J701" s="66"/>
      <c r="K701" s="66"/>
      <c r="L701" s="66"/>
      <c r="M701" s="66"/>
      <c r="N701" s="66">
        <f>SUM(Prog_23[[#This Row],[TARA]]+Prog_23[[#This Row],[PESO]])</f>
        <v>0</v>
      </c>
      <c r="O701" s="44"/>
      <c r="P701" s="66"/>
      <c r="Q701" s="66"/>
      <c r="R701" s="66"/>
      <c r="S701" s="66"/>
      <c r="T701" s="138" t="str">
        <f>IFERROR(LOOKUP($S701,MOTORISTAS!$D$3:$D$916,MOTORISTAS!E$3:$E$916),"")</f>
        <v/>
      </c>
      <c r="U701" s="138" t="str">
        <f>IFERROR(LOOKUP($S701,MOTORISTAS!$D$3:$D$916,MOTORISTAS!F$3:$F$916),"")</f>
        <v/>
      </c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44"/>
      <c r="AG701" s="254">
        <f>Prog_23[[#This Row],[SAÍDA DO CLIENTE]]-Prog_23[[#This Row],[PROGRAMAÇÃO CLIENTE]]</f>
        <v>0</v>
      </c>
      <c r="AH701" s="44"/>
      <c r="AI701" s="66"/>
      <c r="AJ701" s="66"/>
      <c r="AK701" s="66"/>
      <c r="AL701" s="66"/>
      <c r="AM701" s="66"/>
      <c r="AN701" s="83"/>
      <c r="AO701" s="83"/>
      <c r="AP701" s="83"/>
      <c r="AQ701" s="66"/>
      <c r="AR701" s="66"/>
      <c r="AS701" s="66"/>
      <c r="AT701" s="81"/>
      <c r="AU701" s="81"/>
      <c r="AV701" s="81"/>
      <c r="AW701" s="81"/>
      <c r="AX701" s="83">
        <f>SUM(Prog_23[[#This Row],[ADIANTAMENTO]]+Prog_23[[#This Row],[SALDO]]+Prog_23[[#This Row],[MARGEM]]+Prog_23[[#This Row],[ESTADIA 1]])</f>
        <v>0</v>
      </c>
      <c r="AY7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01" s="81"/>
      <c r="BA701" s="81"/>
      <c r="BB701" s="81">
        <f>Prog_23[[#This Row],[VLR NF]]*0.1%</f>
        <v>0</v>
      </c>
      <c r="BC701" s="81">
        <f>Prog_23[[#This Row],[VLR NF]]*0.05%</f>
        <v>0</v>
      </c>
      <c r="BD701" s="81"/>
      <c r="BE701" s="81"/>
      <c r="BF701" s="81"/>
      <c r="BG701" s="81"/>
      <c r="BH701" s="81"/>
      <c r="BI701" s="81"/>
      <c r="BJ701" s="81"/>
      <c r="BK701" s="81"/>
      <c r="BL701" s="81"/>
      <c r="BM701" s="81"/>
      <c r="BN701" s="66"/>
      <c r="BO701" s="66"/>
      <c r="BP701" s="66"/>
      <c r="BQ701" s="66" t="str">
        <f>PROPER(TEXT(Prog_23[[#This Row],[PROGRAMAÇÃO CLIENTE]],"mmm"))</f>
        <v>Jan</v>
      </c>
      <c r="BR701" s="66">
        <f>YEAR(Prog_23[[#This Row],[PROGRAMAÇÃO CLIENTE]])</f>
        <v>1900</v>
      </c>
    </row>
    <row r="702" spans="1:70" x14ac:dyDescent="0.25">
      <c r="A702" s="201">
        <f>Prog_23[[#This Row],[CONTEINER]]</f>
        <v>0</v>
      </c>
      <c r="B702" s="86"/>
      <c r="C7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02" s="44"/>
      <c r="E702" s="66"/>
      <c r="F702" s="66"/>
      <c r="G702" s="66"/>
      <c r="H702" s="44"/>
      <c r="I702" s="44"/>
      <c r="J702" s="66"/>
      <c r="K702" s="66"/>
      <c r="L702" s="66"/>
      <c r="M702" s="66"/>
      <c r="N702" s="66">
        <f>SUM(Prog_23[[#This Row],[TARA]]+Prog_23[[#This Row],[PESO]])</f>
        <v>0</v>
      </c>
      <c r="O702" s="44"/>
      <c r="P702" s="66"/>
      <c r="Q702" s="66"/>
      <c r="R702" s="66"/>
      <c r="S702" s="66"/>
      <c r="T702" s="138" t="str">
        <f>IFERROR(LOOKUP($S702,MOTORISTAS!$D$3:$D$916,MOTORISTAS!E$3:$E$916),"")</f>
        <v/>
      </c>
      <c r="U702" s="138" t="str">
        <f>IFERROR(LOOKUP($S702,MOTORISTAS!$D$3:$D$916,MOTORISTAS!F$3:$F$916),"")</f>
        <v/>
      </c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44"/>
      <c r="AG702" s="254">
        <f>Prog_23[[#This Row],[SAÍDA DO CLIENTE]]-Prog_23[[#This Row],[PROGRAMAÇÃO CLIENTE]]</f>
        <v>0</v>
      </c>
      <c r="AH702" s="44"/>
      <c r="AI702" s="66"/>
      <c r="AJ702" s="66"/>
      <c r="AK702" s="66"/>
      <c r="AL702" s="66"/>
      <c r="AM702" s="66"/>
      <c r="AN702" s="83"/>
      <c r="AO702" s="83"/>
      <c r="AP702" s="83"/>
      <c r="AQ702" s="66"/>
      <c r="AR702" s="66"/>
      <c r="AS702" s="66"/>
      <c r="AT702" s="81"/>
      <c r="AU702" s="81"/>
      <c r="AV702" s="81"/>
      <c r="AW702" s="81"/>
      <c r="AX702" s="83">
        <f>SUM(Prog_23[[#This Row],[ADIANTAMENTO]]+Prog_23[[#This Row],[SALDO]]+Prog_23[[#This Row],[MARGEM]]+Prog_23[[#This Row],[ESTADIA 1]])</f>
        <v>0</v>
      </c>
      <c r="AY7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02" s="81"/>
      <c r="BA702" s="81"/>
      <c r="BB702" s="81">
        <f>Prog_23[[#This Row],[VLR NF]]*0.1%</f>
        <v>0</v>
      </c>
      <c r="BC702" s="81">
        <f>Prog_23[[#This Row],[VLR NF]]*0.05%</f>
        <v>0</v>
      </c>
      <c r="BD702" s="81"/>
      <c r="BE702" s="81"/>
      <c r="BF702" s="81"/>
      <c r="BG702" s="81"/>
      <c r="BH702" s="81"/>
      <c r="BI702" s="81"/>
      <c r="BJ702" s="81"/>
      <c r="BK702" s="81"/>
      <c r="BL702" s="81"/>
      <c r="BM702" s="81"/>
      <c r="BN702" s="66"/>
      <c r="BO702" s="66"/>
      <c r="BP702" s="66"/>
      <c r="BQ702" s="66" t="str">
        <f>PROPER(TEXT(Prog_23[[#This Row],[PROGRAMAÇÃO CLIENTE]],"mmm"))</f>
        <v>Jan</v>
      </c>
      <c r="BR702" s="66">
        <f>YEAR(Prog_23[[#This Row],[PROGRAMAÇÃO CLIENTE]])</f>
        <v>1900</v>
      </c>
    </row>
    <row r="703" spans="1:70" x14ac:dyDescent="0.25">
      <c r="A703" s="200">
        <f>Prog_23[[#This Row],[CONTEINER]]</f>
        <v>0</v>
      </c>
      <c r="B703" s="86"/>
      <c r="C7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03" s="44"/>
      <c r="E703" s="66"/>
      <c r="F703" s="66"/>
      <c r="G703" s="66"/>
      <c r="H703" s="44"/>
      <c r="I703" s="44"/>
      <c r="J703" s="66"/>
      <c r="K703" s="66"/>
      <c r="L703" s="66"/>
      <c r="M703" s="66"/>
      <c r="N703" s="66">
        <f>SUM(Prog_23[[#This Row],[TARA]]+Prog_23[[#This Row],[PESO]])</f>
        <v>0</v>
      </c>
      <c r="O703" s="44"/>
      <c r="P703" s="66"/>
      <c r="Q703" s="66"/>
      <c r="R703" s="66"/>
      <c r="S703" s="66"/>
      <c r="T703" s="138" t="str">
        <f>IFERROR(LOOKUP($S703,MOTORISTAS!$D$3:$D$916,MOTORISTAS!E$3:$E$916),"")</f>
        <v/>
      </c>
      <c r="U703" s="138" t="str">
        <f>IFERROR(LOOKUP($S703,MOTORISTAS!$D$3:$D$916,MOTORISTAS!F$3:$F$916),"")</f>
        <v/>
      </c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44"/>
      <c r="AG703" s="254">
        <f>Prog_23[[#This Row],[SAÍDA DO CLIENTE]]-Prog_23[[#This Row],[PROGRAMAÇÃO CLIENTE]]</f>
        <v>0</v>
      </c>
      <c r="AH703" s="44"/>
      <c r="AI703" s="66"/>
      <c r="AJ703" s="66"/>
      <c r="AK703" s="66"/>
      <c r="AL703" s="66"/>
      <c r="AM703" s="66"/>
      <c r="AN703" s="83"/>
      <c r="AO703" s="83"/>
      <c r="AP703" s="83"/>
      <c r="AQ703" s="66"/>
      <c r="AR703" s="66"/>
      <c r="AS703" s="66"/>
      <c r="AT703" s="81"/>
      <c r="AU703" s="81"/>
      <c r="AV703" s="81"/>
      <c r="AW703" s="81"/>
      <c r="AX703" s="83">
        <f>SUM(Prog_23[[#This Row],[ADIANTAMENTO]]+Prog_23[[#This Row],[SALDO]]+Prog_23[[#This Row],[MARGEM]]+Prog_23[[#This Row],[ESTADIA 1]])</f>
        <v>0</v>
      </c>
      <c r="AY7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03" s="81"/>
      <c r="BA703" s="81"/>
      <c r="BB703" s="81">
        <f>Prog_23[[#This Row],[VLR NF]]*0.1%</f>
        <v>0</v>
      </c>
      <c r="BC703" s="81">
        <f>Prog_23[[#This Row],[VLR NF]]*0.05%</f>
        <v>0</v>
      </c>
      <c r="BD703" s="81"/>
      <c r="BE703" s="81"/>
      <c r="BF703" s="81"/>
      <c r="BG703" s="81"/>
      <c r="BH703" s="81"/>
      <c r="BI703" s="81"/>
      <c r="BJ703" s="81"/>
      <c r="BK703" s="81"/>
      <c r="BL703" s="81"/>
      <c r="BM703" s="81"/>
      <c r="BN703" s="66"/>
      <c r="BO703" s="66"/>
      <c r="BP703" s="66"/>
      <c r="BQ703" s="66" t="str">
        <f>PROPER(TEXT(Prog_23[[#This Row],[PROGRAMAÇÃO CLIENTE]],"mmm"))</f>
        <v>Jan</v>
      </c>
      <c r="BR703" s="66">
        <f>YEAR(Prog_23[[#This Row],[PROGRAMAÇÃO CLIENTE]])</f>
        <v>1900</v>
      </c>
    </row>
    <row r="704" spans="1:70" x14ac:dyDescent="0.25">
      <c r="A704" s="201">
        <f>Prog_23[[#This Row],[CONTEINER]]</f>
        <v>0</v>
      </c>
      <c r="B704" s="86"/>
      <c r="C7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04" s="44"/>
      <c r="E704" s="66"/>
      <c r="F704" s="66"/>
      <c r="G704" s="66"/>
      <c r="H704" s="44"/>
      <c r="I704" s="44"/>
      <c r="J704" s="66"/>
      <c r="K704" s="66"/>
      <c r="L704" s="66"/>
      <c r="M704" s="66"/>
      <c r="N704" s="66">
        <f>SUM(Prog_23[[#This Row],[TARA]]+Prog_23[[#This Row],[PESO]])</f>
        <v>0</v>
      </c>
      <c r="O704" s="44"/>
      <c r="P704" s="66"/>
      <c r="Q704" s="66"/>
      <c r="R704" s="66"/>
      <c r="S704" s="66"/>
      <c r="T704" s="138" t="str">
        <f>IFERROR(LOOKUP($S704,MOTORISTAS!$D$3:$D$916,MOTORISTAS!E$3:$E$916),"")</f>
        <v/>
      </c>
      <c r="U704" s="138" t="str">
        <f>IFERROR(LOOKUP($S704,MOTORISTAS!$D$3:$D$916,MOTORISTAS!F$3:$F$916),"")</f>
        <v/>
      </c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44"/>
      <c r="AG704" s="254">
        <f>Prog_23[[#This Row],[SAÍDA DO CLIENTE]]-Prog_23[[#This Row],[PROGRAMAÇÃO CLIENTE]]</f>
        <v>0</v>
      </c>
      <c r="AH704" s="44"/>
      <c r="AI704" s="66"/>
      <c r="AJ704" s="66"/>
      <c r="AK704" s="66"/>
      <c r="AL704" s="66"/>
      <c r="AM704" s="66"/>
      <c r="AN704" s="83"/>
      <c r="AO704" s="83"/>
      <c r="AP704" s="83"/>
      <c r="AQ704" s="66"/>
      <c r="AR704" s="66"/>
      <c r="AS704" s="66"/>
      <c r="AT704" s="81"/>
      <c r="AU704" s="81"/>
      <c r="AV704" s="81"/>
      <c r="AW704" s="81"/>
      <c r="AX704" s="83">
        <f>SUM(Prog_23[[#This Row],[ADIANTAMENTO]]+Prog_23[[#This Row],[SALDO]]+Prog_23[[#This Row],[MARGEM]]+Prog_23[[#This Row],[ESTADIA 1]])</f>
        <v>0</v>
      </c>
      <c r="AY7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04" s="81"/>
      <c r="BA704" s="81"/>
      <c r="BB704" s="81">
        <f>Prog_23[[#This Row],[VLR NF]]*0.1%</f>
        <v>0</v>
      </c>
      <c r="BC704" s="81">
        <f>Prog_23[[#This Row],[VLR NF]]*0.05%</f>
        <v>0</v>
      </c>
      <c r="BD704" s="81"/>
      <c r="BE704" s="81"/>
      <c r="BF704" s="81"/>
      <c r="BG704" s="81"/>
      <c r="BH704" s="81"/>
      <c r="BI704" s="81"/>
      <c r="BJ704" s="81"/>
      <c r="BK704" s="81"/>
      <c r="BL704" s="81"/>
      <c r="BM704" s="81"/>
      <c r="BN704" s="66"/>
      <c r="BO704" s="66"/>
      <c r="BP704" s="66"/>
      <c r="BQ704" s="66" t="str">
        <f>PROPER(TEXT(Prog_23[[#This Row],[PROGRAMAÇÃO CLIENTE]],"mmm"))</f>
        <v>Jan</v>
      </c>
      <c r="BR704" s="66">
        <f>YEAR(Prog_23[[#This Row],[PROGRAMAÇÃO CLIENTE]])</f>
        <v>1900</v>
      </c>
    </row>
    <row r="705" spans="1:70" x14ac:dyDescent="0.25">
      <c r="A705" s="200">
        <f>Prog_23[[#This Row],[CONTEINER]]</f>
        <v>0</v>
      </c>
      <c r="B705" s="86"/>
      <c r="C7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05" s="44"/>
      <c r="E705" s="66"/>
      <c r="F705" s="66"/>
      <c r="G705" s="66"/>
      <c r="H705" s="44"/>
      <c r="I705" s="44"/>
      <c r="J705" s="66"/>
      <c r="K705" s="66"/>
      <c r="L705" s="66"/>
      <c r="M705" s="66"/>
      <c r="N705" s="66">
        <f>SUM(Prog_23[[#This Row],[TARA]]+Prog_23[[#This Row],[PESO]])</f>
        <v>0</v>
      </c>
      <c r="O705" s="44"/>
      <c r="P705" s="66"/>
      <c r="Q705" s="66"/>
      <c r="R705" s="66"/>
      <c r="S705" s="66"/>
      <c r="T705" s="138" t="str">
        <f>IFERROR(LOOKUP($S705,MOTORISTAS!$D$3:$D$916,MOTORISTAS!E$3:$E$916),"")</f>
        <v/>
      </c>
      <c r="U705" s="138" t="str">
        <f>IFERROR(LOOKUP($S705,MOTORISTAS!$D$3:$D$916,MOTORISTAS!F$3:$F$916),"")</f>
        <v/>
      </c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44"/>
      <c r="AG705" s="254">
        <f>Prog_23[[#This Row],[SAÍDA DO CLIENTE]]-Prog_23[[#This Row],[PROGRAMAÇÃO CLIENTE]]</f>
        <v>0</v>
      </c>
      <c r="AH705" s="44"/>
      <c r="AI705" s="66"/>
      <c r="AJ705" s="66"/>
      <c r="AK705" s="66"/>
      <c r="AL705" s="66"/>
      <c r="AM705" s="66"/>
      <c r="AN705" s="83"/>
      <c r="AO705" s="83"/>
      <c r="AP705" s="83"/>
      <c r="AQ705" s="66"/>
      <c r="AR705" s="66"/>
      <c r="AS705" s="66"/>
      <c r="AT705" s="81"/>
      <c r="AU705" s="81"/>
      <c r="AV705" s="81"/>
      <c r="AW705" s="81"/>
      <c r="AX705" s="83">
        <f>SUM(Prog_23[[#This Row],[ADIANTAMENTO]]+Prog_23[[#This Row],[SALDO]]+Prog_23[[#This Row],[MARGEM]]+Prog_23[[#This Row],[ESTADIA 1]])</f>
        <v>0</v>
      </c>
      <c r="AY7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05" s="81"/>
      <c r="BA705" s="81"/>
      <c r="BB705" s="81">
        <f>Prog_23[[#This Row],[VLR NF]]*0.1%</f>
        <v>0</v>
      </c>
      <c r="BC705" s="81">
        <f>Prog_23[[#This Row],[VLR NF]]*0.05%</f>
        <v>0</v>
      </c>
      <c r="BD705" s="81"/>
      <c r="BE705" s="81"/>
      <c r="BF705" s="81"/>
      <c r="BG705" s="81"/>
      <c r="BH705" s="81"/>
      <c r="BI705" s="81"/>
      <c r="BJ705" s="81"/>
      <c r="BK705" s="81"/>
      <c r="BL705" s="81"/>
      <c r="BM705" s="81"/>
      <c r="BN705" s="66"/>
      <c r="BO705" s="66"/>
      <c r="BP705" s="66"/>
      <c r="BQ705" s="66" t="str">
        <f>PROPER(TEXT(Prog_23[[#This Row],[PROGRAMAÇÃO CLIENTE]],"mmm"))</f>
        <v>Jan</v>
      </c>
      <c r="BR705" s="66">
        <f>YEAR(Prog_23[[#This Row],[PROGRAMAÇÃO CLIENTE]])</f>
        <v>1900</v>
      </c>
    </row>
    <row r="706" spans="1:70" x14ac:dyDescent="0.25">
      <c r="A706" s="201">
        <f>Prog_23[[#This Row],[CONTEINER]]</f>
        <v>0</v>
      </c>
      <c r="B706" s="86"/>
      <c r="C7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06" s="44"/>
      <c r="E706" s="66"/>
      <c r="F706" s="66"/>
      <c r="G706" s="66"/>
      <c r="H706" s="44"/>
      <c r="I706" s="44"/>
      <c r="J706" s="66"/>
      <c r="K706" s="66"/>
      <c r="L706" s="66"/>
      <c r="M706" s="66"/>
      <c r="N706" s="66">
        <f>SUM(Prog_23[[#This Row],[TARA]]+Prog_23[[#This Row],[PESO]])</f>
        <v>0</v>
      </c>
      <c r="O706" s="44"/>
      <c r="P706" s="66"/>
      <c r="Q706" s="66"/>
      <c r="R706" s="66"/>
      <c r="S706" s="66"/>
      <c r="T706" s="138" t="str">
        <f>IFERROR(LOOKUP($S706,MOTORISTAS!$D$3:$D$916,MOTORISTAS!E$3:$E$916),"")</f>
        <v/>
      </c>
      <c r="U706" s="138" t="str">
        <f>IFERROR(LOOKUP($S706,MOTORISTAS!$D$3:$D$916,MOTORISTAS!F$3:$F$916),"")</f>
        <v/>
      </c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44"/>
      <c r="AG706" s="254">
        <f>Prog_23[[#This Row],[SAÍDA DO CLIENTE]]-Prog_23[[#This Row],[PROGRAMAÇÃO CLIENTE]]</f>
        <v>0</v>
      </c>
      <c r="AH706" s="44"/>
      <c r="AI706" s="66"/>
      <c r="AJ706" s="66"/>
      <c r="AK706" s="66"/>
      <c r="AL706" s="66"/>
      <c r="AM706" s="66"/>
      <c r="AN706" s="83"/>
      <c r="AO706" s="83"/>
      <c r="AP706" s="83"/>
      <c r="AQ706" s="66"/>
      <c r="AR706" s="66"/>
      <c r="AS706" s="66"/>
      <c r="AT706" s="81"/>
      <c r="AU706" s="81"/>
      <c r="AV706" s="81"/>
      <c r="AW706" s="81"/>
      <c r="AX706" s="83">
        <f>SUM(Prog_23[[#This Row],[ADIANTAMENTO]]+Prog_23[[#This Row],[SALDO]]+Prog_23[[#This Row],[MARGEM]]+Prog_23[[#This Row],[ESTADIA 1]])</f>
        <v>0</v>
      </c>
      <c r="AY7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06" s="81"/>
      <c r="BA706" s="81"/>
      <c r="BB706" s="81">
        <f>Prog_23[[#This Row],[VLR NF]]*0.1%</f>
        <v>0</v>
      </c>
      <c r="BC706" s="81">
        <f>Prog_23[[#This Row],[VLR NF]]*0.05%</f>
        <v>0</v>
      </c>
      <c r="BD706" s="81"/>
      <c r="BE706" s="81"/>
      <c r="BF706" s="81"/>
      <c r="BG706" s="81"/>
      <c r="BH706" s="81"/>
      <c r="BI706" s="81"/>
      <c r="BJ706" s="81"/>
      <c r="BK706" s="81"/>
      <c r="BL706" s="81"/>
      <c r="BM706" s="81"/>
      <c r="BN706" s="66"/>
      <c r="BO706" s="66"/>
      <c r="BP706" s="66"/>
      <c r="BQ706" s="66" t="str">
        <f>PROPER(TEXT(Prog_23[[#This Row],[PROGRAMAÇÃO CLIENTE]],"mmm"))</f>
        <v>Jan</v>
      </c>
      <c r="BR706" s="66">
        <f>YEAR(Prog_23[[#This Row],[PROGRAMAÇÃO CLIENTE]])</f>
        <v>1900</v>
      </c>
    </row>
    <row r="707" spans="1:70" x14ac:dyDescent="0.25">
      <c r="A707" s="200">
        <f>Prog_23[[#This Row],[CONTEINER]]</f>
        <v>0</v>
      </c>
      <c r="B707" s="86"/>
      <c r="C7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07" s="44"/>
      <c r="E707" s="66"/>
      <c r="F707" s="66"/>
      <c r="G707" s="66"/>
      <c r="H707" s="44"/>
      <c r="I707" s="44"/>
      <c r="J707" s="66"/>
      <c r="K707" s="66"/>
      <c r="L707" s="66"/>
      <c r="M707" s="66"/>
      <c r="N707" s="66">
        <f>SUM(Prog_23[[#This Row],[TARA]]+Prog_23[[#This Row],[PESO]])</f>
        <v>0</v>
      </c>
      <c r="O707" s="44"/>
      <c r="P707" s="66"/>
      <c r="Q707" s="66"/>
      <c r="R707" s="66"/>
      <c r="S707" s="66"/>
      <c r="T707" s="138" t="str">
        <f>IFERROR(LOOKUP($S707,MOTORISTAS!$D$3:$D$916,MOTORISTAS!E$3:$E$916),"")</f>
        <v/>
      </c>
      <c r="U707" s="138" t="str">
        <f>IFERROR(LOOKUP($S707,MOTORISTAS!$D$3:$D$916,MOTORISTAS!F$3:$F$916),"")</f>
        <v/>
      </c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44"/>
      <c r="AG707" s="254">
        <f>Prog_23[[#This Row],[SAÍDA DO CLIENTE]]-Prog_23[[#This Row],[PROGRAMAÇÃO CLIENTE]]</f>
        <v>0</v>
      </c>
      <c r="AH707" s="44"/>
      <c r="AI707" s="66"/>
      <c r="AJ707" s="66"/>
      <c r="AK707" s="66"/>
      <c r="AL707" s="66"/>
      <c r="AM707" s="66"/>
      <c r="AN707" s="83"/>
      <c r="AO707" s="83"/>
      <c r="AP707" s="83"/>
      <c r="AQ707" s="66"/>
      <c r="AR707" s="66"/>
      <c r="AS707" s="66"/>
      <c r="AT707" s="81"/>
      <c r="AU707" s="81"/>
      <c r="AV707" s="81"/>
      <c r="AW707" s="81"/>
      <c r="AX707" s="83">
        <f>SUM(Prog_23[[#This Row],[ADIANTAMENTO]]+Prog_23[[#This Row],[SALDO]]+Prog_23[[#This Row],[MARGEM]]+Prog_23[[#This Row],[ESTADIA 1]])</f>
        <v>0</v>
      </c>
      <c r="AY7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07" s="81"/>
      <c r="BA707" s="81"/>
      <c r="BB707" s="81">
        <f>Prog_23[[#This Row],[VLR NF]]*0.1%</f>
        <v>0</v>
      </c>
      <c r="BC707" s="81">
        <f>Prog_23[[#This Row],[VLR NF]]*0.05%</f>
        <v>0</v>
      </c>
      <c r="BD707" s="81"/>
      <c r="BE707" s="81"/>
      <c r="BF707" s="81"/>
      <c r="BG707" s="81"/>
      <c r="BH707" s="81"/>
      <c r="BI707" s="81"/>
      <c r="BJ707" s="81"/>
      <c r="BK707" s="81"/>
      <c r="BL707" s="81"/>
      <c r="BM707" s="81"/>
      <c r="BN707" s="66"/>
      <c r="BO707" s="66"/>
      <c r="BP707" s="66"/>
      <c r="BQ707" s="66" t="str">
        <f>PROPER(TEXT(Prog_23[[#This Row],[PROGRAMAÇÃO CLIENTE]],"mmm"))</f>
        <v>Jan</v>
      </c>
      <c r="BR707" s="66">
        <f>YEAR(Prog_23[[#This Row],[PROGRAMAÇÃO CLIENTE]])</f>
        <v>1900</v>
      </c>
    </row>
    <row r="708" spans="1:70" x14ac:dyDescent="0.25">
      <c r="A708" s="201">
        <f>Prog_23[[#This Row],[CONTEINER]]</f>
        <v>0</v>
      </c>
      <c r="B708" s="86"/>
      <c r="C7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08" s="44"/>
      <c r="E708" s="66"/>
      <c r="F708" s="66"/>
      <c r="G708" s="66"/>
      <c r="H708" s="44"/>
      <c r="I708" s="44"/>
      <c r="J708" s="66"/>
      <c r="K708" s="66"/>
      <c r="L708" s="66"/>
      <c r="M708" s="66"/>
      <c r="N708" s="66">
        <f>SUM(Prog_23[[#This Row],[TARA]]+Prog_23[[#This Row],[PESO]])</f>
        <v>0</v>
      </c>
      <c r="O708" s="44"/>
      <c r="P708" s="66"/>
      <c r="Q708" s="66"/>
      <c r="R708" s="66"/>
      <c r="S708" s="66"/>
      <c r="T708" s="138" t="str">
        <f>IFERROR(LOOKUP($S708,MOTORISTAS!$D$3:$D$916,MOTORISTAS!E$3:$E$916),"")</f>
        <v/>
      </c>
      <c r="U708" s="138" t="str">
        <f>IFERROR(LOOKUP($S708,MOTORISTAS!$D$3:$D$916,MOTORISTAS!F$3:$F$916),"")</f>
        <v/>
      </c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44"/>
      <c r="AG708" s="254">
        <f>Prog_23[[#This Row],[SAÍDA DO CLIENTE]]-Prog_23[[#This Row],[PROGRAMAÇÃO CLIENTE]]</f>
        <v>0</v>
      </c>
      <c r="AH708" s="44"/>
      <c r="AI708" s="66"/>
      <c r="AJ708" s="66"/>
      <c r="AK708" s="66"/>
      <c r="AL708" s="66"/>
      <c r="AM708" s="66"/>
      <c r="AN708" s="83"/>
      <c r="AO708" s="83"/>
      <c r="AP708" s="83"/>
      <c r="AQ708" s="66"/>
      <c r="AR708" s="66"/>
      <c r="AS708" s="66"/>
      <c r="AT708" s="81"/>
      <c r="AU708" s="81"/>
      <c r="AV708" s="81"/>
      <c r="AW708" s="81"/>
      <c r="AX708" s="83">
        <f>SUM(Prog_23[[#This Row],[ADIANTAMENTO]]+Prog_23[[#This Row],[SALDO]]+Prog_23[[#This Row],[MARGEM]]+Prog_23[[#This Row],[ESTADIA 1]])</f>
        <v>0</v>
      </c>
      <c r="AY7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08" s="81"/>
      <c r="BA708" s="81"/>
      <c r="BB708" s="81">
        <f>Prog_23[[#This Row],[VLR NF]]*0.1%</f>
        <v>0</v>
      </c>
      <c r="BC708" s="81">
        <f>Prog_23[[#This Row],[VLR NF]]*0.05%</f>
        <v>0</v>
      </c>
      <c r="BD708" s="81"/>
      <c r="BE708" s="81"/>
      <c r="BF708" s="81"/>
      <c r="BG708" s="81"/>
      <c r="BH708" s="81"/>
      <c r="BI708" s="81"/>
      <c r="BJ708" s="81"/>
      <c r="BK708" s="81"/>
      <c r="BL708" s="81"/>
      <c r="BM708" s="81"/>
      <c r="BN708" s="66"/>
      <c r="BO708" s="66"/>
      <c r="BP708" s="66"/>
      <c r="BQ708" s="66" t="str">
        <f>PROPER(TEXT(Prog_23[[#This Row],[PROGRAMAÇÃO CLIENTE]],"mmm"))</f>
        <v>Jan</v>
      </c>
      <c r="BR708" s="66">
        <f>YEAR(Prog_23[[#This Row],[PROGRAMAÇÃO CLIENTE]])</f>
        <v>1900</v>
      </c>
    </row>
    <row r="709" spans="1:70" x14ac:dyDescent="0.25">
      <c r="A709" s="200">
        <f>Prog_23[[#This Row],[CONTEINER]]</f>
        <v>0</v>
      </c>
      <c r="B709" s="86"/>
      <c r="C7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09" s="44"/>
      <c r="E709" s="66"/>
      <c r="F709" s="66"/>
      <c r="G709" s="66"/>
      <c r="H709" s="44"/>
      <c r="I709" s="44"/>
      <c r="J709" s="66"/>
      <c r="K709" s="66"/>
      <c r="L709" s="66"/>
      <c r="M709" s="66"/>
      <c r="N709" s="66">
        <f>SUM(Prog_23[[#This Row],[TARA]]+Prog_23[[#This Row],[PESO]])</f>
        <v>0</v>
      </c>
      <c r="O709" s="44"/>
      <c r="P709" s="66"/>
      <c r="Q709" s="66"/>
      <c r="R709" s="66"/>
      <c r="S709" s="66"/>
      <c r="T709" s="138" t="str">
        <f>IFERROR(LOOKUP($S709,MOTORISTAS!$D$3:$D$916,MOTORISTAS!E$3:$E$916),"")</f>
        <v/>
      </c>
      <c r="U709" s="138" t="str">
        <f>IFERROR(LOOKUP($S709,MOTORISTAS!$D$3:$D$916,MOTORISTAS!F$3:$F$916),"")</f>
        <v/>
      </c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44"/>
      <c r="AG709" s="254">
        <f>Prog_23[[#This Row],[SAÍDA DO CLIENTE]]-Prog_23[[#This Row],[PROGRAMAÇÃO CLIENTE]]</f>
        <v>0</v>
      </c>
      <c r="AH709" s="44"/>
      <c r="AI709" s="66"/>
      <c r="AJ709" s="66"/>
      <c r="AK709" s="66"/>
      <c r="AL709" s="66"/>
      <c r="AM709" s="66"/>
      <c r="AN709" s="83"/>
      <c r="AO709" s="83"/>
      <c r="AP709" s="83"/>
      <c r="AQ709" s="66"/>
      <c r="AR709" s="66"/>
      <c r="AS709" s="66"/>
      <c r="AT709" s="81"/>
      <c r="AU709" s="81"/>
      <c r="AV709" s="81"/>
      <c r="AW709" s="81"/>
      <c r="AX709" s="83">
        <f>SUM(Prog_23[[#This Row],[ADIANTAMENTO]]+Prog_23[[#This Row],[SALDO]]+Prog_23[[#This Row],[MARGEM]]+Prog_23[[#This Row],[ESTADIA 1]])</f>
        <v>0</v>
      </c>
      <c r="AY7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09" s="81"/>
      <c r="BA709" s="81"/>
      <c r="BB709" s="81">
        <f>Prog_23[[#This Row],[VLR NF]]*0.1%</f>
        <v>0</v>
      </c>
      <c r="BC709" s="81">
        <f>Prog_23[[#This Row],[VLR NF]]*0.05%</f>
        <v>0</v>
      </c>
      <c r="BD709" s="81"/>
      <c r="BE709" s="81"/>
      <c r="BF709" s="81"/>
      <c r="BG709" s="81"/>
      <c r="BH709" s="81"/>
      <c r="BI709" s="81"/>
      <c r="BJ709" s="81"/>
      <c r="BK709" s="81"/>
      <c r="BL709" s="81"/>
      <c r="BM709" s="81"/>
      <c r="BN709" s="66"/>
      <c r="BO709" s="66"/>
      <c r="BP709" s="66"/>
      <c r="BQ709" s="66" t="str">
        <f>PROPER(TEXT(Prog_23[[#This Row],[PROGRAMAÇÃO CLIENTE]],"mmm"))</f>
        <v>Jan</v>
      </c>
      <c r="BR709" s="66">
        <f>YEAR(Prog_23[[#This Row],[PROGRAMAÇÃO CLIENTE]])</f>
        <v>1900</v>
      </c>
    </row>
    <row r="710" spans="1:70" x14ac:dyDescent="0.25">
      <c r="A710" s="201">
        <f>Prog_23[[#This Row],[CONTEINER]]</f>
        <v>0</v>
      </c>
      <c r="B710" s="86"/>
      <c r="C7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10" s="44"/>
      <c r="E710" s="66"/>
      <c r="F710" s="66"/>
      <c r="G710" s="66"/>
      <c r="H710" s="44"/>
      <c r="I710" s="44"/>
      <c r="J710" s="66"/>
      <c r="K710" s="66"/>
      <c r="L710" s="66"/>
      <c r="M710" s="66"/>
      <c r="N710" s="66">
        <f>SUM(Prog_23[[#This Row],[TARA]]+Prog_23[[#This Row],[PESO]])</f>
        <v>0</v>
      </c>
      <c r="O710" s="44"/>
      <c r="P710" s="66"/>
      <c r="Q710" s="66"/>
      <c r="R710" s="66"/>
      <c r="S710" s="66"/>
      <c r="T710" s="138" t="str">
        <f>IFERROR(LOOKUP($S710,MOTORISTAS!$D$3:$D$916,MOTORISTAS!E$3:$E$916),"")</f>
        <v/>
      </c>
      <c r="U710" s="138" t="str">
        <f>IFERROR(LOOKUP($S710,MOTORISTAS!$D$3:$D$916,MOTORISTAS!F$3:$F$916),"")</f>
        <v/>
      </c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44"/>
      <c r="AG710" s="254">
        <f>Prog_23[[#This Row],[SAÍDA DO CLIENTE]]-Prog_23[[#This Row],[PROGRAMAÇÃO CLIENTE]]</f>
        <v>0</v>
      </c>
      <c r="AH710" s="44"/>
      <c r="AI710" s="66"/>
      <c r="AJ710" s="66"/>
      <c r="AK710" s="66"/>
      <c r="AL710" s="66"/>
      <c r="AM710" s="66"/>
      <c r="AN710" s="83"/>
      <c r="AO710" s="83"/>
      <c r="AP710" s="83"/>
      <c r="AQ710" s="66"/>
      <c r="AR710" s="66"/>
      <c r="AS710" s="66"/>
      <c r="AT710" s="81"/>
      <c r="AU710" s="81"/>
      <c r="AV710" s="81"/>
      <c r="AW710" s="81"/>
      <c r="AX710" s="83">
        <f>SUM(Prog_23[[#This Row],[ADIANTAMENTO]]+Prog_23[[#This Row],[SALDO]]+Prog_23[[#This Row],[MARGEM]]+Prog_23[[#This Row],[ESTADIA 1]])</f>
        <v>0</v>
      </c>
      <c r="AY7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10" s="81"/>
      <c r="BA710" s="81"/>
      <c r="BB710" s="81">
        <f>Prog_23[[#This Row],[VLR NF]]*0.1%</f>
        <v>0</v>
      </c>
      <c r="BC710" s="81">
        <f>Prog_23[[#This Row],[VLR NF]]*0.05%</f>
        <v>0</v>
      </c>
      <c r="BD710" s="81"/>
      <c r="BE710" s="81"/>
      <c r="BF710" s="81"/>
      <c r="BG710" s="81"/>
      <c r="BH710" s="81"/>
      <c r="BI710" s="81"/>
      <c r="BJ710" s="81"/>
      <c r="BK710" s="81"/>
      <c r="BL710" s="81"/>
      <c r="BM710" s="81"/>
      <c r="BN710" s="66"/>
      <c r="BO710" s="66"/>
      <c r="BP710" s="66"/>
      <c r="BQ710" s="66" t="str">
        <f>PROPER(TEXT(Prog_23[[#This Row],[PROGRAMAÇÃO CLIENTE]],"mmm"))</f>
        <v>Jan</v>
      </c>
      <c r="BR710" s="66">
        <f>YEAR(Prog_23[[#This Row],[PROGRAMAÇÃO CLIENTE]])</f>
        <v>1900</v>
      </c>
    </row>
    <row r="711" spans="1:70" x14ac:dyDescent="0.25">
      <c r="A711" s="200">
        <f>Prog_23[[#This Row],[CONTEINER]]</f>
        <v>0</v>
      </c>
      <c r="B711" s="86"/>
      <c r="C7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11" s="44"/>
      <c r="E711" s="66"/>
      <c r="F711" s="66"/>
      <c r="G711" s="66"/>
      <c r="H711" s="44"/>
      <c r="I711" s="44"/>
      <c r="J711" s="66"/>
      <c r="K711" s="66"/>
      <c r="L711" s="66"/>
      <c r="M711" s="66"/>
      <c r="N711" s="66">
        <f>SUM(Prog_23[[#This Row],[TARA]]+Prog_23[[#This Row],[PESO]])</f>
        <v>0</v>
      </c>
      <c r="O711" s="44"/>
      <c r="P711" s="66"/>
      <c r="Q711" s="66"/>
      <c r="R711" s="66"/>
      <c r="S711" s="66"/>
      <c r="T711" s="138" t="str">
        <f>IFERROR(LOOKUP($S711,MOTORISTAS!$D$3:$D$916,MOTORISTAS!E$3:$E$916),"")</f>
        <v/>
      </c>
      <c r="U711" s="138" t="str">
        <f>IFERROR(LOOKUP($S711,MOTORISTAS!$D$3:$D$916,MOTORISTAS!F$3:$F$916),"")</f>
        <v/>
      </c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44"/>
      <c r="AG711" s="254">
        <f>Prog_23[[#This Row],[SAÍDA DO CLIENTE]]-Prog_23[[#This Row],[PROGRAMAÇÃO CLIENTE]]</f>
        <v>0</v>
      </c>
      <c r="AH711" s="44"/>
      <c r="AI711" s="66"/>
      <c r="AJ711" s="66"/>
      <c r="AK711" s="66"/>
      <c r="AL711" s="66"/>
      <c r="AM711" s="66"/>
      <c r="AN711" s="83"/>
      <c r="AO711" s="83"/>
      <c r="AP711" s="83"/>
      <c r="AQ711" s="66"/>
      <c r="AR711" s="66"/>
      <c r="AS711" s="66"/>
      <c r="AT711" s="81"/>
      <c r="AU711" s="81"/>
      <c r="AV711" s="81"/>
      <c r="AW711" s="81"/>
      <c r="AX711" s="83">
        <f>SUM(Prog_23[[#This Row],[ADIANTAMENTO]]+Prog_23[[#This Row],[SALDO]]+Prog_23[[#This Row],[MARGEM]]+Prog_23[[#This Row],[ESTADIA 1]])</f>
        <v>0</v>
      </c>
      <c r="AY7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11" s="81"/>
      <c r="BA711" s="81"/>
      <c r="BB711" s="81">
        <f>Prog_23[[#This Row],[VLR NF]]*0.1%</f>
        <v>0</v>
      </c>
      <c r="BC711" s="81">
        <f>Prog_23[[#This Row],[VLR NF]]*0.05%</f>
        <v>0</v>
      </c>
      <c r="BD711" s="81"/>
      <c r="BE711" s="81"/>
      <c r="BF711" s="81"/>
      <c r="BG711" s="81"/>
      <c r="BH711" s="81"/>
      <c r="BI711" s="81"/>
      <c r="BJ711" s="81"/>
      <c r="BK711" s="81"/>
      <c r="BL711" s="81"/>
      <c r="BM711" s="81"/>
      <c r="BN711" s="66"/>
      <c r="BO711" s="66"/>
      <c r="BP711" s="66"/>
      <c r="BQ711" s="66" t="str">
        <f>PROPER(TEXT(Prog_23[[#This Row],[PROGRAMAÇÃO CLIENTE]],"mmm"))</f>
        <v>Jan</v>
      </c>
      <c r="BR711" s="66">
        <f>YEAR(Prog_23[[#This Row],[PROGRAMAÇÃO CLIENTE]])</f>
        <v>1900</v>
      </c>
    </row>
    <row r="712" spans="1:70" x14ac:dyDescent="0.25">
      <c r="A712" s="201">
        <f>Prog_23[[#This Row],[CONTEINER]]</f>
        <v>0</v>
      </c>
      <c r="B712" s="86"/>
      <c r="C7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12" s="44"/>
      <c r="E712" s="66"/>
      <c r="F712" s="66"/>
      <c r="G712" s="66"/>
      <c r="H712" s="44"/>
      <c r="I712" s="44"/>
      <c r="J712" s="66"/>
      <c r="K712" s="66"/>
      <c r="L712" s="66"/>
      <c r="M712" s="66"/>
      <c r="N712" s="66">
        <f>SUM(Prog_23[[#This Row],[TARA]]+Prog_23[[#This Row],[PESO]])</f>
        <v>0</v>
      </c>
      <c r="O712" s="44"/>
      <c r="P712" s="66"/>
      <c r="Q712" s="66"/>
      <c r="R712" s="66"/>
      <c r="S712" s="66"/>
      <c r="T712" s="138" t="str">
        <f>IFERROR(LOOKUP($S712,MOTORISTAS!$D$3:$D$916,MOTORISTAS!E$3:$E$916),"")</f>
        <v/>
      </c>
      <c r="U712" s="138" t="str">
        <f>IFERROR(LOOKUP($S712,MOTORISTAS!$D$3:$D$916,MOTORISTAS!F$3:$F$916),"")</f>
        <v/>
      </c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44"/>
      <c r="AG712" s="254">
        <f>Prog_23[[#This Row],[SAÍDA DO CLIENTE]]-Prog_23[[#This Row],[PROGRAMAÇÃO CLIENTE]]</f>
        <v>0</v>
      </c>
      <c r="AH712" s="44"/>
      <c r="AI712" s="66"/>
      <c r="AJ712" s="66"/>
      <c r="AK712" s="66"/>
      <c r="AL712" s="66"/>
      <c r="AM712" s="66"/>
      <c r="AN712" s="83"/>
      <c r="AO712" s="83"/>
      <c r="AP712" s="83"/>
      <c r="AQ712" s="66"/>
      <c r="AR712" s="66"/>
      <c r="AS712" s="66"/>
      <c r="AT712" s="81"/>
      <c r="AU712" s="81"/>
      <c r="AV712" s="81"/>
      <c r="AW712" s="81"/>
      <c r="AX712" s="83">
        <f>SUM(Prog_23[[#This Row],[ADIANTAMENTO]]+Prog_23[[#This Row],[SALDO]]+Prog_23[[#This Row],[MARGEM]]+Prog_23[[#This Row],[ESTADIA 1]])</f>
        <v>0</v>
      </c>
      <c r="AY7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12" s="81"/>
      <c r="BA712" s="81"/>
      <c r="BB712" s="81">
        <f>Prog_23[[#This Row],[VLR NF]]*0.1%</f>
        <v>0</v>
      </c>
      <c r="BC712" s="81">
        <f>Prog_23[[#This Row],[VLR NF]]*0.05%</f>
        <v>0</v>
      </c>
      <c r="BD712" s="81"/>
      <c r="BE712" s="81"/>
      <c r="BF712" s="81"/>
      <c r="BG712" s="81"/>
      <c r="BH712" s="81"/>
      <c r="BI712" s="81"/>
      <c r="BJ712" s="81"/>
      <c r="BK712" s="81"/>
      <c r="BL712" s="81"/>
      <c r="BM712" s="81"/>
      <c r="BN712" s="66"/>
      <c r="BO712" s="66"/>
      <c r="BP712" s="66"/>
      <c r="BQ712" s="66" t="str">
        <f>PROPER(TEXT(Prog_23[[#This Row],[PROGRAMAÇÃO CLIENTE]],"mmm"))</f>
        <v>Jan</v>
      </c>
      <c r="BR712" s="66">
        <f>YEAR(Prog_23[[#This Row],[PROGRAMAÇÃO CLIENTE]])</f>
        <v>1900</v>
      </c>
    </row>
    <row r="713" spans="1:70" x14ac:dyDescent="0.25">
      <c r="A713" s="200">
        <f>Prog_23[[#This Row],[CONTEINER]]</f>
        <v>0</v>
      </c>
      <c r="B713" s="86"/>
      <c r="C7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13" s="44"/>
      <c r="E713" s="66"/>
      <c r="F713" s="66"/>
      <c r="G713" s="66"/>
      <c r="H713" s="44"/>
      <c r="I713" s="44"/>
      <c r="J713" s="66"/>
      <c r="K713" s="66"/>
      <c r="L713" s="66"/>
      <c r="M713" s="66"/>
      <c r="N713" s="66">
        <f>SUM(Prog_23[[#This Row],[TARA]]+Prog_23[[#This Row],[PESO]])</f>
        <v>0</v>
      </c>
      <c r="O713" s="44"/>
      <c r="P713" s="66"/>
      <c r="Q713" s="66"/>
      <c r="R713" s="66"/>
      <c r="S713" s="66"/>
      <c r="T713" s="138" t="str">
        <f>IFERROR(LOOKUP($S713,MOTORISTAS!$D$3:$D$916,MOTORISTAS!E$3:$E$916),"")</f>
        <v/>
      </c>
      <c r="U713" s="138" t="str">
        <f>IFERROR(LOOKUP($S713,MOTORISTAS!$D$3:$D$916,MOTORISTAS!F$3:$F$916),"")</f>
        <v/>
      </c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44"/>
      <c r="AG713" s="254">
        <f>Prog_23[[#This Row],[SAÍDA DO CLIENTE]]-Prog_23[[#This Row],[PROGRAMAÇÃO CLIENTE]]</f>
        <v>0</v>
      </c>
      <c r="AH713" s="44"/>
      <c r="AI713" s="66"/>
      <c r="AJ713" s="66"/>
      <c r="AK713" s="66"/>
      <c r="AL713" s="66"/>
      <c r="AM713" s="66"/>
      <c r="AN713" s="83"/>
      <c r="AO713" s="83"/>
      <c r="AP713" s="83"/>
      <c r="AQ713" s="66"/>
      <c r="AR713" s="66"/>
      <c r="AS713" s="66"/>
      <c r="AT713" s="81"/>
      <c r="AU713" s="81"/>
      <c r="AV713" s="81"/>
      <c r="AW713" s="81"/>
      <c r="AX713" s="83">
        <f>SUM(Prog_23[[#This Row],[ADIANTAMENTO]]+Prog_23[[#This Row],[SALDO]]+Prog_23[[#This Row],[MARGEM]]+Prog_23[[#This Row],[ESTADIA 1]])</f>
        <v>0</v>
      </c>
      <c r="AY7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13" s="81"/>
      <c r="BA713" s="81"/>
      <c r="BB713" s="81">
        <f>Prog_23[[#This Row],[VLR NF]]*0.1%</f>
        <v>0</v>
      </c>
      <c r="BC713" s="81">
        <f>Prog_23[[#This Row],[VLR NF]]*0.05%</f>
        <v>0</v>
      </c>
      <c r="BD713" s="81"/>
      <c r="BE713" s="81"/>
      <c r="BF713" s="81"/>
      <c r="BG713" s="81"/>
      <c r="BH713" s="81"/>
      <c r="BI713" s="81"/>
      <c r="BJ713" s="81"/>
      <c r="BK713" s="81"/>
      <c r="BL713" s="81"/>
      <c r="BM713" s="81"/>
      <c r="BN713" s="66"/>
      <c r="BO713" s="66"/>
      <c r="BP713" s="66"/>
      <c r="BQ713" s="66" t="str">
        <f>PROPER(TEXT(Prog_23[[#This Row],[PROGRAMAÇÃO CLIENTE]],"mmm"))</f>
        <v>Jan</v>
      </c>
      <c r="BR713" s="66">
        <f>YEAR(Prog_23[[#This Row],[PROGRAMAÇÃO CLIENTE]])</f>
        <v>1900</v>
      </c>
    </row>
    <row r="714" spans="1:70" x14ac:dyDescent="0.25">
      <c r="A714" s="201">
        <f>Prog_23[[#This Row],[CONTEINER]]</f>
        <v>0</v>
      </c>
      <c r="B714" s="86"/>
      <c r="C7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14" s="44"/>
      <c r="E714" s="66"/>
      <c r="F714" s="66"/>
      <c r="G714" s="66"/>
      <c r="H714" s="44"/>
      <c r="I714" s="44"/>
      <c r="J714" s="66"/>
      <c r="K714" s="66"/>
      <c r="L714" s="66"/>
      <c r="M714" s="66"/>
      <c r="N714" s="66">
        <f>SUM(Prog_23[[#This Row],[TARA]]+Prog_23[[#This Row],[PESO]])</f>
        <v>0</v>
      </c>
      <c r="O714" s="44"/>
      <c r="P714" s="66"/>
      <c r="Q714" s="66"/>
      <c r="R714" s="66"/>
      <c r="S714" s="66"/>
      <c r="T714" s="138" t="str">
        <f>IFERROR(LOOKUP($S714,MOTORISTAS!$D$3:$D$916,MOTORISTAS!E$3:$E$916),"")</f>
        <v/>
      </c>
      <c r="U714" s="138" t="str">
        <f>IFERROR(LOOKUP($S714,MOTORISTAS!$D$3:$D$916,MOTORISTAS!F$3:$F$916),"")</f>
        <v/>
      </c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44"/>
      <c r="AG714" s="254">
        <f>Prog_23[[#This Row],[SAÍDA DO CLIENTE]]-Prog_23[[#This Row],[PROGRAMAÇÃO CLIENTE]]</f>
        <v>0</v>
      </c>
      <c r="AH714" s="44"/>
      <c r="AI714" s="66"/>
      <c r="AJ714" s="66"/>
      <c r="AK714" s="66"/>
      <c r="AL714" s="66"/>
      <c r="AM714" s="66"/>
      <c r="AN714" s="83"/>
      <c r="AO714" s="83"/>
      <c r="AP714" s="83"/>
      <c r="AQ714" s="66"/>
      <c r="AR714" s="66"/>
      <c r="AS714" s="66"/>
      <c r="AT714" s="81"/>
      <c r="AU714" s="81"/>
      <c r="AV714" s="81"/>
      <c r="AW714" s="81"/>
      <c r="AX714" s="83">
        <f>SUM(Prog_23[[#This Row],[ADIANTAMENTO]]+Prog_23[[#This Row],[SALDO]]+Prog_23[[#This Row],[MARGEM]]+Prog_23[[#This Row],[ESTADIA 1]])</f>
        <v>0</v>
      </c>
      <c r="AY7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14" s="81"/>
      <c r="BA714" s="81"/>
      <c r="BB714" s="81">
        <f>Prog_23[[#This Row],[VLR NF]]*0.1%</f>
        <v>0</v>
      </c>
      <c r="BC714" s="81">
        <f>Prog_23[[#This Row],[VLR NF]]*0.05%</f>
        <v>0</v>
      </c>
      <c r="BD714" s="81"/>
      <c r="BE714" s="81"/>
      <c r="BF714" s="81"/>
      <c r="BG714" s="81"/>
      <c r="BH714" s="81"/>
      <c r="BI714" s="81"/>
      <c r="BJ714" s="81"/>
      <c r="BK714" s="81"/>
      <c r="BL714" s="81"/>
      <c r="BM714" s="81"/>
      <c r="BN714" s="66"/>
      <c r="BO714" s="66"/>
      <c r="BP714" s="66"/>
      <c r="BQ714" s="66" t="str">
        <f>PROPER(TEXT(Prog_23[[#This Row],[PROGRAMAÇÃO CLIENTE]],"mmm"))</f>
        <v>Jan</v>
      </c>
      <c r="BR714" s="66">
        <f>YEAR(Prog_23[[#This Row],[PROGRAMAÇÃO CLIENTE]])</f>
        <v>1900</v>
      </c>
    </row>
    <row r="715" spans="1:70" x14ac:dyDescent="0.25">
      <c r="A715" s="200">
        <f>Prog_23[[#This Row],[CONTEINER]]</f>
        <v>0</v>
      </c>
      <c r="B715" s="86"/>
      <c r="C7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15" s="44"/>
      <c r="E715" s="66"/>
      <c r="F715" s="66"/>
      <c r="G715" s="66"/>
      <c r="H715" s="44"/>
      <c r="I715" s="44"/>
      <c r="J715" s="66"/>
      <c r="K715" s="66"/>
      <c r="L715" s="66"/>
      <c r="M715" s="66"/>
      <c r="N715" s="66">
        <f>SUM(Prog_23[[#This Row],[TARA]]+Prog_23[[#This Row],[PESO]])</f>
        <v>0</v>
      </c>
      <c r="O715" s="44"/>
      <c r="P715" s="66"/>
      <c r="Q715" s="66"/>
      <c r="R715" s="66"/>
      <c r="S715" s="66"/>
      <c r="T715" s="138" t="str">
        <f>IFERROR(LOOKUP($S715,MOTORISTAS!$D$3:$D$916,MOTORISTAS!E$3:$E$916),"")</f>
        <v/>
      </c>
      <c r="U715" s="138" t="str">
        <f>IFERROR(LOOKUP($S715,MOTORISTAS!$D$3:$D$916,MOTORISTAS!F$3:$F$916),"")</f>
        <v/>
      </c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44"/>
      <c r="AG715" s="254">
        <f>Prog_23[[#This Row],[SAÍDA DO CLIENTE]]-Prog_23[[#This Row],[PROGRAMAÇÃO CLIENTE]]</f>
        <v>0</v>
      </c>
      <c r="AH715" s="44"/>
      <c r="AI715" s="66"/>
      <c r="AJ715" s="66"/>
      <c r="AK715" s="66"/>
      <c r="AL715" s="66"/>
      <c r="AM715" s="66"/>
      <c r="AN715" s="83"/>
      <c r="AO715" s="83"/>
      <c r="AP715" s="83"/>
      <c r="AQ715" s="66"/>
      <c r="AR715" s="66"/>
      <c r="AS715" s="66"/>
      <c r="AT715" s="81"/>
      <c r="AU715" s="81"/>
      <c r="AV715" s="81"/>
      <c r="AW715" s="81"/>
      <c r="AX715" s="83">
        <f>SUM(Prog_23[[#This Row],[ADIANTAMENTO]]+Prog_23[[#This Row],[SALDO]]+Prog_23[[#This Row],[MARGEM]]+Prog_23[[#This Row],[ESTADIA 1]])</f>
        <v>0</v>
      </c>
      <c r="AY7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15" s="81"/>
      <c r="BA715" s="81"/>
      <c r="BB715" s="81">
        <f>Prog_23[[#This Row],[VLR NF]]*0.1%</f>
        <v>0</v>
      </c>
      <c r="BC715" s="81">
        <f>Prog_23[[#This Row],[VLR NF]]*0.05%</f>
        <v>0</v>
      </c>
      <c r="BD715" s="81"/>
      <c r="BE715" s="81"/>
      <c r="BF715" s="81"/>
      <c r="BG715" s="81"/>
      <c r="BH715" s="81"/>
      <c r="BI715" s="81"/>
      <c r="BJ715" s="81"/>
      <c r="BK715" s="81"/>
      <c r="BL715" s="81"/>
      <c r="BM715" s="81"/>
      <c r="BN715" s="66"/>
      <c r="BO715" s="66"/>
      <c r="BP715" s="66"/>
      <c r="BQ715" s="66" t="str">
        <f>PROPER(TEXT(Prog_23[[#This Row],[PROGRAMAÇÃO CLIENTE]],"mmm"))</f>
        <v>Jan</v>
      </c>
      <c r="BR715" s="66">
        <f>YEAR(Prog_23[[#This Row],[PROGRAMAÇÃO CLIENTE]])</f>
        <v>1900</v>
      </c>
    </row>
    <row r="716" spans="1:70" x14ac:dyDescent="0.25">
      <c r="A716" s="201">
        <f>Prog_23[[#This Row],[CONTEINER]]</f>
        <v>0</v>
      </c>
      <c r="B716" s="86"/>
      <c r="C7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16" s="44"/>
      <c r="E716" s="66"/>
      <c r="F716" s="66"/>
      <c r="G716" s="66"/>
      <c r="H716" s="44"/>
      <c r="I716" s="44"/>
      <c r="J716" s="66"/>
      <c r="K716" s="66"/>
      <c r="L716" s="66"/>
      <c r="M716" s="66"/>
      <c r="N716" s="66">
        <f>SUM(Prog_23[[#This Row],[TARA]]+Prog_23[[#This Row],[PESO]])</f>
        <v>0</v>
      </c>
      <c r="O716" s="44"/>
      <c r="P716" s="66"/>
      <c r="Q716" s="66"/>
      <c r="R716" s="66"/>
      <c r="S716" s="66"/>
      <c r="T716" s="138" t="str">
        <f>IFERROR(LOOKUP($S716,MOTORISTAS!$D$3:$D$916,MOTORISTAS!E$3:$E$916),"")</f>
        <v/>
      </c>
      <c r="U716" s="138" t="str">
        <f>IFERROR(LOOKUP($S716,MOTORISTAS!$D$3:$D$916,MOTORISTAS!F$3:$F$916),"")</f>
        <v/>
      </c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44"/>
      <c r="AG716" s="254">
        <f>Prog_23[[#This Row],[SAÍDA DO CLIENTE]]-Prog_23[[#This Row],[PROGRAMAÇÃO CLIENTE]]</f>
        <v>0</v>
      </c>
      <c r="AH716" s="44"/>
      <c r="AI716" s="66"/>
      <c r="AJ716" s="66"/>
      <c r="AK716" s="66"/>
      <c r="AL716" s="66"/>
      <c r="AM716" s="66"/>
      <c r="AN716" s="83"/>
      <c r="AO716" s="83"/>
      <c r="AP716" s="83"/>
      <c r="AQ716" s="66"/>
      <c r="AR716" s="66"/>
      <c r="AS716" s="66"/>
      <c r="AT716" s="81"/>
      <c r="AU716" s="81"/>
      <c r="AV716" s="81"/>
      <c r="AW716" s="81"/>
      <c r="AX716" s="83">
        <f>SUM(Prog_23[[#This Row],[ADIANTAMENTO]]+Prog_23[[#This Row],[SALDO]]+Prog_23[[#This Row],[MARGEM]]+Prog_23[[#This Row],[ESTADIA 1]])</f>
        <v>0</v>
      </c>
      <c r="AY7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16" s="81"/>
      <c r="BA716" s="81"/>
      <c r="BB716" s="81">
        <f>Prog_23[[#This Row],[VLR NF]]*0.1%</f>
        <v>0</v>
      </c>
      <c r="BC716" s="81">
        <f>Prog_23[[#This Row],[VLR NF]]*0.05%</f>
        <v>0</v>
      </c>
      <c r="BD716" s="81"/>
      <c r="BE716" s="81"/>
      <c r="BF716" s="81"/>
      <c r="BG716" s="81"/>
      <c r="BH716" s="81"/>
      <c r="BI716" s="81"/>
      <c r="BJ716" s="81"/>
      <c r="BK716" s="81"/>
      <c r="BL716" s="81"/>
      <c r="BM716" s="81"/>
      <c r="BN716" s="66"/>
      <c r="BO716" s="66"/>
      <c r="BP716" s="66"/>
      <c r="BQ716" s="66" t="str">
        <f>PROPER(TEXT(Prog_23[[#This Row],[PROGRAMAÇÃO CLIENTE]],"mmm"))</f>
        <v>Jan</v>
      </c>
      <c r="BR716" s="66">
        <f>YEAR(Prog_23[[#This Row],[PROGRAMAÇÃO CLIENTE]])</f>
        <v>1900</v>
      </c>
    </row>
    <row r="717" spans="1:70" x14ac:dyDescent="0.25">
      <c r="A717" s="200">
        <f>Prog_23[[#This Row],[CONTEINER]]</f>
        <v>0</v>
      </c>
      <c r="B717" s="86"/>
      <c r="C7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17" s="44"/>
      <c r="E717" s="66"/>
      <c r="F717" s="66"/>
      <c r="G717" s="66"/>
      <c r="H717" s="44"/>
      <c r="I717" s="44"/>
      <c r="J717" s="66"/>
      <c r="K717" s="66"/>
      <c r="L717" s="66"/>
      <c r="M717" s="66"/>
      <c r="N717" s="66">
        <f>SUM(Prog_23[[#This Row],[TARA]]+Prog_23[[#This Row],[PESO]])</f>
        <v>0</v>
      </c>
      <c r="O717" s="44"/>
      <c r="P717" s="66"/>
      <c r="Q717" s="66"/>
      <c r="R717" s="66"/>
      <c r="S717" s="66"/>
      <c r="T717" s="138" t="str">
        <f>IFERROR(LOOKUP($S717,MOTORISTAS!$D$3:$D$916,MOTORISTAS!E$3:$E$916),"")</f>
        <v/>
      </c>
      <c r="U717" s="138" t="str">
        <f>IFERROR(LOOKUP($S717,MOTORISTAS!$D$3:$D$916,MOTORISTAS!F$3:$F$916),"")</f>
        <v/>
      </c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44"/>
      <c r="AG717" s="254">
        <f>Prog_23[[#This Row],[SAÍDA DO CLIENTE]]-Prog_23[[#This Row],[PROGRAMAÇÃO CLIENTE]]</f>
        <v>0</v>
      </c>
      <c r="AH717" s="44"/>
      <c r="AI717" s="66"/>
      <c r="AJ717" s="66"/>
      <c r="AK717" s="66"/>
      <c r="AL717" s="66"/>
      <c r="AM717" s="66"/>
      <c r="AN717" s="83"/>
      <c r="AO717" s="83"/>
      <c r="AP717" s="83"/>
      <c r="AQ717" s="66"/>
      <c r="AR717" s="66"/>
      <c r="AS717" s="66"/>
      <c r="AT717" s="81"/>
      <c r="AU717" s="81"/>
      <c r="AV717" s="81"/>
      <c r="AW717" s="81"/>
      <c r="AX717" s="83">
        <f>SUM(Prog_23[[#This Row],[ADIANTAMENTO]]+Prog_23[[#This Row],[SALDO]]+Prog_23[[#This Row],[MARGEM]]+Prog_23[[#This Row],[ESTADIA 1]])</f>
        <v>0</v>
      </c>
      <c r="AY7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17" s="81"/>
      <c r="BA717" s="81"/>
      <c r="BB717" s="81">
        <f>Prog_23[[#This Row],[VLR NF]]*0.1%</f>
        <v>0</v>
      </c>
      <c r="BC717" s="81">
        <f>Prog_23[[#This Row],[VLR NF]]*0.05%</f>
        <v>0</v>
      </c>
      <c r="BD717" s="81"/>
      <c r="BE717" s="81"/>
      <c r="BF717" s="81"/>
      <c r="BG717" s="81"/>
      <c r="BH717" s="81"/>
      <c r="BI717" s="81"/>
      <c r="BJ717" s="81"/>
      <c r="BK717" s="81"/>
      <c r="BL717" s="81"/>
      <c r="BM717" s="81"/>
      <c r="BN717" s="66"/>
      <c r="BO717" s="66"/>
      <c r="BP717" s="66"/>
      <c r="BQ717" s="66" t="str">
        <f>PROPER(TEXT(Prog_23[[#This Row],[PROGRAMAÇÃO CLIENTE]],"mmm"))</f>
        <v>Jan</v>
      </c>
      <c r="BR717" s="66">
        <f>YEAR(Prog_23[[#This Row],[PROGRAMAÇÃO CLIENTE]])</f>
        <v>1900</v>
      </c>
    </row>
    <row r="718" spans="1:70" x14ac:dyDescent="0.25">
      <c r="A718" s="201">
        <f>Prog_23[[#This Row],[CONTEINER]]</f>
        <v>0</v>
      </c>
      <c r="B718" s="86"/>
      <c r="C7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18" s="44"/>
      <c r="E718" s="66"/>
      <c r="F718" s="66"/>
      <c r="G718" s="66"/>
      <c r="H718" s="44"/>
      <c r="I718" s="44"/>
      <c r="J718" s="66"/>
      <c r="K718" s="66"/>
      <c r="L718" s="66"/>
      <c r="M718" s="66"/>
      <c r="N718" s="66">
        <f>SUM(Prog_23[[#This Row],[TARA]]+Prog_23[[#This Row],[PESO]])</f>
        <v>0</v>
      </c>
      <c r="O718" s="44"/>
      <c r="P718" s="66"/>
      <c r="Q718" s="66"/>
      <c r="R718" s="66"/>
      <c r="S718" s="66"/>
      <c r="T718" s="138" t="str">
        <f>IFERROR(LOOKUP($S718,MOTORISTAS!$D$3:$D$916,MOTORISTAS!E$3:$E$916),"")</f>
        <v/>
      </c>
      <c r="U718" s="138" t="str">
        <f>IFERROR(LOOKUP($S718,MOTORISTAS!$D$3:$D$916,MOTORISTAS!F$3:$F$916),"")</f>
        <v/>
      </c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44"/>
      <c r="AG718" s="254">
        <f>Prog_23[[#This Row],[SAÍDA DO CLIENTE]]-Prog_23[[#This Row],[PROGRAMAÇÃO CLIENTE]]</f>
        <v>0</v>
      </c>
      <c r="AH718" s="44"/>
      <c r="AI718" s="66"/>
      <c r="AJ718" s="66"/>
      <c r="AK718" s="66"/>
      <c r="AL718" s="66"/>
      <c r="AM718" s="66"/>
      <c r="AN718" s="83"/>
      <c r="AO718" s="83"/>
      <c r="AP718" s="83"/>
      <c r="AQ718" s="66"/>
      <c r="AR718" s="66"/>
      <c r="AS718" s="66"/>
      <c r="AT718" s="81"/>
      <c r="AU718" s="81"/>
      <c r="AV718" s="81"/>
      <c r="AW718" s="81"/>
      <c r="AX718" s="83">
        <f>SUM(Prog_23[[#This Row],[ADIANTAMENTO]]+Prog_23[[#This Row],[SALDO]]+Prog_23[[#This Row],[MARGEM]]+Prog_23[[#This Row],[ESTADIA 1]])</f>
        <v>0</v>
      </c>
      <c r="AY7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18" s="81"/>
      <c r="BA718" s="81"/>
      <c r="BB718" s="81">
        <f>Prog_23[[#This Row],[VLR NF]]*0.1%</f>
        <v>0</v>
      </c>
      <c r="BC718" s="81">
        <f>Prog_23[[#This Row],[VLR NF]]*0.05%</f>
        <v>0</v>
      </c>
      <c r="BD718" s="81"/>
      <c r="BE718" s="81"/>
      <c r="BF718" s="81"/>
      <c r="BG718" s="81"/>
      <c r="BH718" s="81"/>
      <c r="BI718" s="81"/>
      <c r="BJ718" s="81"/>
      <c r="BK718" s="81"/>
      <c r="BL718" s="81"/>
      <c r="BM718" s="81"/>
      <c r="BN718" s="66"/>
      <c r="BO718" s="66"/>
      <c r="BP718" s="66"/>
      <c r="BQ718" s="66" t="str">
        <f>PROPER(TEXT(Prog_23[[#This Row],[PROGRAMAÇÃO CLIENTE]],"mmm"))</f>
        <v>Jan</v>
      </c>
      <c r="BR718" s="66">
        <f>YEAR(Prog_23[[#This Row],[PROGRAMAÇÃO CLIENTE]])</f>
        <v>1900</v>
      </c>
    </row>
    <row r="719" spans="1:70" x14ac:dyDescent="0.25">
      <c r="A719" s="200">
        <f>Prog_23[[#This Row],[CONTEINER]]</f>
        <v>0</v>
      </c>
      <c r="B719" s="86"/>
      <c r="C7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19" s="44"/>
      <c r="E719" s="66"/>
      <c r="F719" s="66"/>
      <c r="G719" s="66"/>
      <c r="H719" s="44"/>
      <c r="I719" s="44"/>
      <c r="J719" s="66"/>
      <c r="K719" s="66"/>
      <c r="L719" s="66"/>
      <c r="M719" s="66"/>
      <c r="N719" s="66">
        <f>SUM(Prog_23[[#This Row],[TARA]]+Prog_23[[#This Row],[PESO]])</f>
        <v>0</v>
      </c>
      <c r="O719" s="44"/>
      <c r="P719" s="66"/>
      <c r="Q719" s="66"/>
      <c r="R719" s="66"/>
      <c r="S719" s="66"/>
      <c r="T719" s="138" t="str">
        <f>IFERROR(LOOKUP($S719,MOTORISTAS!$D$3:$D$916,MOTORISTAS!E$3:$E$916),"")</f>
        <v/>
      </c>
      <c r="U719" s="138" t="str">
        <f>IFERROR(LOOKUP($S719,MOTORISTAS!$D$3:$D$916,MOTORISTAS!F$3:$F$916),"")</f>
        <v/>
      </c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44"/>
      <c r="AG719" s="254">
        <f>Prog_23[[#This Row],[SAÍDA DO CLIENTE]]-Prog_23[[#This Row],[PROGRAMAÇÃO CLIENTE]]</f>
        <v>0</v>
      </c>
      <c r="AH719" s="44"/>
      <c r="AI719" s="66"/>
      <c r="AJ719" s="66"/>
      <c r="AK719" s="66"/>
      <c r="AL719" s="66"/>
      <c r="AM719" s="66"/>
      <c r="AN719" s="83"/>
      <c r="AO719" s="83"/>
      <c r="AP719" s="83"/>
      <c r="AQ719" s="66"/>
      <c r="AR719" s="66"/>
      <c r="AS719" s="66"/>
      <c r="AT719" s="81"/>
      <c r="AU719" s="81"/>
      <c r="AV719" s="81"/>
      <c r="AW719" s="81"/>
      <c r="AX719" s="83">
        <f>SUM(Prog_23[[#This Row],[ADIANTAMENTO]]+Prog_23[[#This Row],[SALDO]]+Prog_23[[#This Row],[MARGEM]]+Prog_23[[#This Row],[ESTADIA 1]])</f>
        <v>0</v>
      </c>
      <c r="AY7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19" s="81"/>
      <c r="BA719" s="81"/>
      <c r="BB719" s="81">
        <f>Prog_23[[#This Row],[VLR NF]]*0.1%</f>
        <v>0</v>
      </c>
      <c r="BC719" s="81">
        <f>Prog_23[[#This Row],[VLR NF]]*0.05%</f>
        <v>0</v>
      </c>
      <c r="BD719" s="81"/>
      <c r="BE719" s="81"/>
      <c r="BF719" s="81"/>
      <c r="BG719" s="81"/>
      <c r="BH719" s="81"/>
      <c r="BI719" s="81"/>
      <c r="BJ719" s="81"/>
      <c r="BK719" s="81"/>
      <c r="BL719" s="81"/>
      <c r="BM719" s="81"/>
      <c r="BN719" s="66"/>
      <c r="BO719" s="66"/>
      <c r="BP719" s="66"/>
      <c r="BQ719" s="66" t="str">
        <f>PROPER(TEXT(Prog_23[[#This Row],[PROGRAMAÇÃO CLIENTE]],"mmm"))</f>
        <v>Jan</v>
      </c>
      <c r="BR719" s="66">
        <f>YEAR(Prog_23[[#This Row],[PROGRAMAÇÃO CLIENTE]])</f>
        <v>1900</v>
      </c>
    </row>
    <row r="720" spans="1:70" x14ac:dyDescent="0.25">
      <c r="A720" s="201">
        <f>Prog_23[[#This Row],[CONTEINER]]</f>
        <v>0</v>
      </c>
      <c r="B720" s="86"/>
      <c r="C7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20" s="44"/>
      <c r="E720" s="66"/>
      <c r="F720" s="66"/>
      <c r="G720" s="66"/>
      <c r="H720" s="44"/>
      <c r="I720" s="44"/>
      <c r="J720" s="66"/>
      <c r="K720" s="66"/>
      <c r="L720" s="66"/>
      <c r="M720" s="66"/>
      <c r="N720" s="66">
        <f>SUM(Prog_23[[#This Row],[TARA]]+Prog_23[[#This Row],[PESO]])</f>
        <v>0</v>
      </c>
      <c r="O720" s="44"/>
      <c r="P720" s="66"/>
      <c r="Q720" s="66"/>
      <c r="R720" s="66"/>
      <c r="S720" s="66"/>
      <c r="T720" s="138" t="str">
        <f>IFERROR(LOOKUP($S720,MOTORISTAS!$D$3:$D$916,MOTORISTAS!E$3:$E$916),"")</f>
        <v/>
      </c>
      <c r="U720" s="138" t="str">
        <f>IFERROR(LOOKUP($S720,MOTORISTAS!$D$3:$D$916,MOTORISTAS!F$3:$F$916),"")</f>
        <v/>
      </c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44"/>
      <c r="AG720" s="254">
        <f>Prog_23[[#This Row],[SAÍDA DO CLIENTE]]-Prog_23[[#This Row],[PROGRAMAÇÃO CLIENTE]]</f>
        <v>0</v>
      </c>
      <c r="AH720" s="44"/>
      <c r="AI720" s="66"/>
      <c r="AJ720" s="66"/>
      <c r="AK720" s="66"/>
      <c r="AL720" s="66"/>
      <c r="AM720" s="66"/>
      <c r="AN720" s="83"/>
      <c r="AO720" s="83"/>
      <c r="AP720" s="83"/>
      <c r="AQ720" s="66"/>
      <c r="AR720" s="66"/>
      <c r="AS720" s="66"/>
      <c r="AT720" s="81"/>
      <c r="AU720" s="81"/>
      <c r="AV720" s="81"/>
      <c r="AW720" s="81"/>
      <c r="AX720" s="83">
        <f>SUM(Prog_23[[#This Row],[ADIANTAMENTO]]+Prog_23[[#This Row],[SALDO]]+Prog_23[[#This Row],[MARGEM]]+Prog_23[[#This Row],[ESTADIA 1]])</f>
        <v>0</v>
      </c>
      <c r="AY7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20" s="81"/>
      <c r="BA720" s="81"/>
      <c r="BB720" s="81">
        <f>Prog_23[[#This Row],[VLR NF]]*0.1%</f>
        <v>0</v>
      </c>
      <c r="BC720" s="81">
        <f>Prog_23[[#This Row],[VLR NF]]*0.05%</f>
        <v>0</v>
      </c>
      <c r="BD720" s="81"/>
      <c r="BE720" s="81"/>
      <c r="BF720" s="81"/>
      <c r="BG720" s="81"/>
      <c r="BH720" s="81"/>
      <c r="BI720" s="81"/>
      <c r="BJ720" s="81"/>
      <c r="BK720" s="81"/>
      <c r="BL720" s="81"/>
      <c r="BM720" s="81"/>
      <c r="BN720" s="66"/>
      <c r="BO720" s="66"/>
      <c r="BP720" s="66"/>
      <c r="BQ720" s="66" t="str">
        <f>PROPER(TEXT(Prog_23[[#This Row],[PROGRAMAÇÃO CLIENTE]],"mmm"))</f>
        <v>Jan</v>
      </c>
      <c r="BR720" s="66">
        <f>YEAR(Prog_23[[#This Row],[PROGRAMAÇÃO CLIENTE]])</f>
        <v>1900</v>
      </c>
    </row>
    <row r="721" spans="1:70" x14ac:dyDescent="0.25">
      <c r="A721" s="200">
        <f>Prog_23[[#This Row],[CONTEINER]]</f>
        <v>0</v>
      </c>
      <c r="B721" s="86"/>
      <c r="C7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21" s="44"/>
      <c r="E721" s="66"/>
      <c r="F721" s="66"/>
      <c r="G721" s="66"/>
      <c r="H721" s="44"/>
      <c r="I721" s="44"/>
      <c r="J721" s="66"/>
      <c r="K721" s="66"/>
      <c r="L721" s="66"/>
      <c r="M721" s="66"/>
      <c r="N721" s="66">
        <f>SUM(Prog_23[[#This Row],[TARA]]+Prog_23[[#This Row],[PESO]])</f>
        <v>0</v>
      </c>
      <c r="O721" s="44"/>
      <c r="P721" s="66"/>
      <c r="Q721" s="66"/>
      <c r="R721" s="66"/>
      <c r="S721" s="66"/>
      <c r="T721" s="138" t="str">
        <f>IFERROR(LOOKUP($S721,MOTORISTAS!$D$3:$D$916,MOTORISTAS!E$3:$E$916),"")</f>
        <v/>
      </c>
      <c r="U721" s="138" t="str">
        <f>IFERROR(LOOKUP($S721,MOTORISTAS!$D$3:$D$916,MOTORISTAS!F$3:$F$916),"")</f>
        <v/>
      </c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44"/>
      <c r="AG721" s="254">
        <f>Prog_23[[#This Row],[SAÍDA DO CLIENTE]]-Prog_23[[#This Row],[PROGRAMAÇÃO CLIENTE]]</f>
        <v>0</v>
      </c>
      <c r="AH721" s="44"/>
      <c r="AI721" s="66"/>
      <c r="AJ721" s="66"/>
      <c r="AK721" s="66"/>
      <c r="AL721" s="66"/>
      <c r="AM721" s="66"/>
      <c r="AN721" s="83"/>
      <c r="AO721" s="83"/>
      <c r="AP721" s="83"/>
      <c r="AQ721" s="66"/>
      <c r="AR721" s="66"/>
      <c r="AS721" s="66"/>
      <c r="AT721" s="81"/>
      <c r="AU721" s="81"/>
      <c r="AV721" s="81"/>
      <c r="AW721" s="81"/>
      <c r="AX721" s="83">
        <f>SUM(Prog_23[[#This Row],[ADIANTAMENTO]]+Prog_23[[#This Row],[SALDO]]+Prog_23[[#This Row],[MARGEM]]+Prog_23[[#This Row],[ESTADIA 1]])</f>
        <v>0</v>
      </c>
      <c r="AY7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21" s="81"/>
      <c r="BA721" s="81"/>
      <c r="BB721" s="81">
        <f>Prog_23[[#This Row],[VLR NF]]*0.1%</f>
        <v>0</v>
      </c>
      <c r="BC721" s="81">
        <f>Prog_23[[#This Row],[VLR NF]]*0.05%</f>
        <v>0</v>
      </c>
      <c r="BD721" s="81"/>
      <c r="BE721" s="81"/>
      <c r="BF721" s="81"/>
      <c r="BG721" s="81"/>
      <c r="BH721" s="81"/>
      <c r="BI721" s="81"/>
      <c r="BJ721" s="81"/>
      <c r="BK721" s="81"/>
      <c r="BL721" s="81"/>
      <c r="BM721" s="81"/>
      <c r="BN721" s="66"/>
      <c r="BO721" s="66"/>
      <c r="BP721" s="66"/>
      <c r="BQ721" s="66" t="str">
        <f>PROPER(TEXT(Prog_23[[#This Row],[PROGRAMAÇÃO CLIENTE]],"mmm"))</f>
        <v>Jan</v>
      </c>
      <c r="BR721" s="66">
        <f>YEAR(Prog_23[[#This Row],[PROGRAMAÇÃO CLIENTE]])</f>
        <v>1900</v>
      </c>
    </row>
    <row r="722" spans="1:70" x14ac:dyDescent="0.25">
      <c r="A722" s="201">
        <f>Prog_23[[#This Row],[CONTEINER]]</f>
        <v>0</v>
      </c>
      <c r="B722" s="86"/>
      <c r="C7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22" s="44"/>
      <c r="E722" s="66"/>
      <c r="F722" s="66"/>
      <c r="G722" s="66"/>
      <c r="H722" s="44"/>
      <c r="I722" s="44"/>
      <c r="J722" s="66"/>
      <c r="K722" s="66"/>
      <c r="L722" s="66"/>
      <c r="M722" s="66"/>
      <c r="N722" s="66">
        <f>SUM(Prog_23[[#This Row],[TARA]]+Prog_23[[#This Row],[PESO]])</f>
        <v>0</v>
      </c>
      <c r="O722" s="44"/>
      <c r="P722" s="66"/>
      <c r="Q722" s="66"/>
      <c r="R722" s="66"/>
      <c r="S722" s="66"/>
      <c r="T722" s="138" t="str">
        <f>IFERROR(LOOKUP($S722,MOTORISTAS!$D$3:$D$916,MOTORISTAS!E$3:$E$916),"")</f>
        <v/>
      </c>
      <c r="U722" s="138" t="str">
        <f>IFERROR(LOOKUP($S722,MOTORISTAS!$D$3:$D$916,MOTORISTAS!F$3:$F$916),"")</f>
        <v/>
      </c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44"/>
      <c r="AG722" s="254">
        <f>Prog_23[[#This Row],[SAÍDA DO CLIENTE]]-Prog_23[[#This Row],[PROGRAMAÇÃO CLIENTE]]</f>
        <v>0</v>
      </c>
      <c r="AH722" s="44"/>
      <c r="AI722" s="66"/>
      <c r="AJ722" s="66"/>
      <c r="AK722" s="66"/>
      <c r="AL722" s="66"/>
      <c r="AM722" s="66"/>
      <c r="AN722" s="83"/>
      <c r="AO722" s="83"/>
      <c r="AP722" s="83"/>
      <c r="AQ722" s="66"/>
      <c r="AR722" s="66"/>
      <c r="AS722" s="66"/>
      <c r="AT722" s="81"/>
      <c r="AU722" s="81"/>
      <c r="AV722" s="81"/>
      <c r="AW722" s="81"/>
      <c r="AX722" s="83">
        <f>SUM(Prog_23[[#This Row],[ADIANTAMENTO]]+Prog_23[[#This Row],[SALDO]]+Prog_23[[#This Row],[MARGEM]]+Prog_23[[#This Row],[ESTADIA 1]])</f>
        <v>0</v>
      </c>
      <c r="AY7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22" s="81"/>
      <c r="BA722" s="81"/>
      <c r="BB722" s="81">
        <f>Prog_23[[#This Row],[VLR NF]]*0.1%</f>
        <v>0</v>
      </c>
      <c r="BC722" s="81">
        <f>Prog_23[[#This Row],[VLR NF]]*0.05%</f>
        <v>0</v>
      </c>
      <c r="BD722" s="81"/>
      <c r="BE722" s="81"/>
      <c r="BF722" s="81"/>
      <c r="BG722" s="81"/>
      <c r="BH722" s="81"/>
      <c r="BI722" s="81"/>
      <c r="BJ722" s="81"/>
      <c r="BK722" s="81"/>
      <c r="BL722" s="81"/>
      <c r="BM722" s="81"/>
      <c r="BN722" s="66"/>
      <c r="BO722" s="66"/>
      <c r="BP722" s="66"/>
      <c r="BQ722" s="66" t="str">
        <f>PROPER(TEXT(Prog_23[[#This Row],[PROGRAMAÇÃO CLIENTE]],"mmm"))</f>
        <v>Jan</v>
      </c>
      <c r="BR722" s="66">
        <f>YEAR(Prog_23[[#This Row],[PROGRAMAÇÃO CLIENTE]])</f>
        <v>1900</v>
      </c>
    </row>
    <row r="723" spans="1:70" x14ac:dyDescent="0.25">
      <c r="A723" s="200">
        <f>Prog_23[[#This Row],[CONTEINER]]</f>
        <v>0</v>
      </c>
      <c r="B723" s="86"/>
      <c r="C7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23" s="44"/>
      <c r="E723" s="66"/>
      <c r="F723" s="66"/>
      <c r="G723" s="66"/>
      <c r="H723" s="44"/>
      <c r="I723" s="44"/>
      <c r="J723" s="66"/>
      <c r="K723" s="66"/>
      <c r="L723" s="66"/>
      <c r="M723" s="66"/>
      <c r="N723" s="66">
        <f>SUM(Prog_23[[#This Row],[TARA]]+Prog_23[[#This Row],[PESO]])</f>
        <v>0</v>
      </c>
      <c r="O723" s="44"/>
      <c r="P723" s="66"/>
      <c r="Q723" s="66"/>
      <c r="R723" s="66"/>
      <c r="S723" s="66"/>
      <c r="T723" s="138" t="str">
        <f>IFERROR(LOOKUP($S723,MOTORISTAS!$D$3:$D$916,MOTORISTAS!E$3:$E$916),"")</f>
        <v/>
      </c>
      <c r="U723" s="138" t="str">
        <f>IFERROR(LOOKUP($S723,MOTORISTAS!$D$3:$D$916,MOTORISTAS!F$3:$F$916),"")</f>
        <v/>
      </c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44"/>
      <c r="AG723" s="254">
        <f>Prog_23[[#This Row],[SAÍDA DO CLIENTE]]-Prog_23[[#This Row],[PROGRAMAÇÃO CLIENTE]]</f>
        <v>0</v>
      </c>
      <c r="AH723" s="44"/>
      <c r="AI723" s="66"/>
      <c r="AJ723" s="66"/>
      <c r="AK723" s="66"/>
      <c r="AL723" s="66"/>
      <c r="AM723" s="66"/>
      <c r="AN723" s="83"/>
      <c r="AO723" s="83"/>
      <c r="AP723" s="83"/>
      <c r="AQ723" s="66"/>
      <c r="AR723" s="66"/>
      <c r="AS723" s="66"/>
      <c r="AT723" s="81"/>
      <c r="AU723" s="81"/>
      <c r="AV723" s="81"/>
      <c r="AW723" s="81"/>
      <c r="AX723" s="83">
        <f>SUM(Prog_23[[#This Row],[ADIANTAMENTO]]+Prog_23[[#This Row],[SALDO]]+Prog_23[[#This Row],[MARGEM]]+Prog_23[[#This Row],[ESTADIA 1]])</f>
        <v>0</v>
      </c>
      <c r="AY7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23" s="81"/>
      <c r="BA723" s="81"/>
      <c r="BB723" s="81">
        <f>Prog_23[[#This Row],[VLR NF]]*0.1%</f>
        <v>0</v>
      </c>
      <c r="BC723" s="81">
        <f>Prog_23[[#This Row],[VLR NF]]*0.05%</f>
        <v>0</v>
      </c>
      <c r="BD723" s="81"/>
      <c r="BE723" s="81"/>
      <c r="BF723" s="81"/>
      <c r="BG723" s="81"/>
      <c r="BH723" s="81"/>
      <c r="BI723" s="81"/>
      <c r="BJ723" s="81"/>
      <c r="BK723" s="81"/>
      <c r="BL723" s="81"/>
      <c r="BM723" s="81"/>
      <c r="BN723" s="66"/>
      <c r="BO723" s="66"/>
      <c r="BP723" s="66"/>
      <c r="BQ723" s="66" t="str">
        <f>PROPER(TEXT(Prog_23[[#This Row],[PROGRAMAÇÃO CLIENTE]],"mmm"))</f>
        <v>Jan</v>
      </c>
      <c r="BR723" s="66">
        <f>YEAR(Prog_23[[#This Row],[PROGRAMAÇÃO CLIENTE]])</f>
        <v>1900</v>
      </c>
    </row>
    <row r="724" spans="1:70" x14ac:dyDescent="0.25">
      <c r="A724" s="201">
        <f>Prog_23[[#This Row],[CONTEINER]]</f>
        <v>0</v>
      </c>
      <c r="B724" s="86"/>
      <c r="C7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24" s="44"/>
      <c r="E724" s="66"/>
      <c r="F724" s="66"/>
      <c r="G724" s="66"/>
      <c r="H724" s="44"/>
      <c r="I724" s="44"/>
      <c r="J724" s="66"/>
      <c r="K724" s="66"/>
      <c r="L724" s="66"/>
      <c r="M724" s="66"/>
      <c r="N724" s="66">
        <f>SUM(Prog_23[[#This Row],[TARA]]+Prog_23[[#This Row],[PESO]])</f>
        <v>0</v>
      </c>
      <c r="O724" s="44"/>
      <c r="P724" s="66"/>
      <c r="Q724" s="66"/>
      <c r="R724" s="66"/>
      <c r="S724" s="66"/>
      <c r="T724" s="138" t="str">
        <f>IFERROR(LOOKUP($S724,MOTORISTAS!$D$3:$D$916,MOTORISTAS!E$3:$E$916),"")</f>
        <v/>
      </c>
      <c r="U724" s="138" t="str">
        <f>IFERROR(LOOKUP($S724,MOTORISTAS!$D$3:$D$916,MOTORISTAS!F$3:$F$916),"")</f>
        <v/>
      </c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44"/>
      <c r="AG724" s="254">
        <f>Prog_23[[#This Row],[SAÍDA DO CLIENTE]]-Prog_23[[#This Row],[PROGRAMAÇÃO CLIENTE]]</f>
        <v>0</v>
      </c>
      <c r="AH724" s="44"/>
      <c r="AI724" s="66"/>
      <c r="AJ724" s="66"/>
      <c r="AK724" s="66"/>
      <c r="AL724" s="66"/>
      <c r="AM724" s="66"/>
      <c r="AN724" s="83"/>
      <c r="AO724" s="83"/>
      <c r="AP724" s="83"/>
      <c r="AQ724" s="66"/>
      <c r="AR724" s="66"/>
      <c r="AS724" s="66"/>
      <c r="AT724" s="81"/>
      <c r="AU724" s="81"/>
      <c r="AV724" s="81"/>
      <c r="AW724" s="81"/>
      <c r="AX724" s="83">
        <f>SUM(Prog_23[[#This Row],[ADIANTAMENTO]]+Prog_23[[#This Row],[SALDO]]+Prog_23[[#This Row],[MARGEM]]+Prog_23[[#This Row],[ESTADIA 1]])</f>
        <v>0</v>
      </c>
      <c r="AY7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24" s="81"/>
      <c r="BA724" s="81"/>
      <c r="BB724" s="81">
        <f>Prog_23[[#This Row],[VLR NF]]*0.1%</f>
        <v>0</v>
      </c>
      <c r="BC724" s="81">
        <f>Prog_23[[#This Row],[VLR NF]]*0.05%</f>
        <v>0</v>
      </c>
      <c r="BD724" s="81"/>
      <c r="BE724" s="81"/>
      <c r="BF724" s="81"/>
      <c r="BG724" s="81"/>
      <c r="BH724" s="81"/>
      <c r="BI724" s="81"/>
      <c r="BJ724" s="81"/>
      <c r="BK724" s="81"/>
      <c r="BL724" s="81"/>
      <c r="BM724" s="81"/>
      <c r="BN724" s="66"/>
      <c r="BO724" s="66"/>
      <c r="BP724" s="66"/>
      <c r="BQ724" s="66" t="str">
        <f>PROPER(TEXT(Prog_23[[#This Row],[PROGRAMAÇÃO CLIENTE]],"mmm"))</f>
        <v>Jan</v>
      </c>
      <c r="BR724" s="66">
        <f>YEAR(Prog_23[[#This Row],[PROGRAMAÇÃO CLIENTE]])</f>
        <v>1900</v>
      </c>
    </row>
    <row r="725" spans="1:70" x14ac:dyDescent="0.25">
      <c r="A725" s="200">
        <f>Prog_23[[#This Row],[CONTEINER]]</f>
        <v>0</v>
      </c>
      <c r="B725" s="86"/>
      <c r="C7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25" s="44"/>
      <c r="E725" s="66"/>
      <c r="F725" s="66"/>
      <c r="G725" s="66"/>
      <c r="H725" s="44"/>
      <c r="I725" s="44"/>
      <c r="J725" s="66"/>
      <c r="K725" s="66"/>
      <c r="L725" s="66"/>
      <c r="M725" s="66"/>
      <c r="N725" s="66">
        <f>SUM(Prog_23[[#This Row],[TARA]]+Prog_23[[#This Row],[PESO]])</f>
        <v>0</v>
      </c>
      <c r="O725" s="44"/>
      <c r="P725" s="66"/>
      <c r="Q725" s="66"/>
      <c r="R725" s="66"/>
      <c r="S725" s="66"/>
      <c r="T725" s="138" t="str">
        <f>IFERROR(LOOKUP($S725,MOTORISTAS!$D$3:$D$916,MOTORISTAS!E$3:$E$916),"")</f>
        <v/>
      </c>
      <c r="U725" s="138" t="str">
        <f>IFERROR(LOOKUP($S725,MOTORISTAS!$D$3:$D$916,MOTORISTAS!F$3:$F$916),"")</f>
        <v/>
      </c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44"/>
      <c r="AG725" s="254">
        <f>Prog_23[[#This Row],[SAÍDA DO CLIENTE]]-Prog_23[[#This Row],[PROGRAMAÇÃO CLIENTE]]</f>
        <v>0</v>
      </c>
      <c r="AH725" s="44"/>
      <c r="AI725" s="66"/>
      <c r="AJ725" s="66"/>
      <c r="AK725" s="66"/>
      <c r="AL725" s="66"/>
      <c r="AM725" s="66"/>
      <c r="AN725" s="83"/>
      <c r="AO725" s="83"/>
      <c r="AP725" s="83"/>
      <c r="AQ725" s="66"/>
      <c r="AR725" s="66"/>
      <c r="AS725" s="66"/>
      <c r="AT725" s="81"/>
      <c r="AU725" s="81"/>
      <c r="AV725" s="81"/>
      <c r="AW725" s="81"/>
      <c r="AX725" s="83">
        <f>SUM(Prog_23[[#This Row],[ADIANTAMENTO]]+Prog_23[[#This Row],[SALDO]]+Prog_23[[#This Row],[MARGEM]]+Prog_23[[#This Row],[ESTADIA 1]])</f>
        <v>0</v>
      </c>
      <c r="AY7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25" s="81"/>
      <c r="BA725" s="81"/>
      <c r="BB725" s="81">
        <f>Prog_23[[#This Row],[VLR NF]]*0.1%</f>
        <v>0</v>
      </c>
      <c r="BC725" s="81">
        <f>Prog_23[[#This Row],[VLR NF]]*0.05%</f>
        <v>0</v>
      </c>
      <c r="BD725" s="81"/>
      <c r="BE725" s="81"/>
      <c r="BF725" s="81"/>
      <c r="BG725" s="81"/>
      <c r="BH725" s="81"/>
      <c r="BI725" s="81"/>
      <c r="BJ725" s="81"/>
      <c r="BK725" s="81"/>
      <c r="BL725" s="81"/>
      <c r="BM725" s="81"/>
      <c r="BN725" s="66"/>
      <c r="BO725" s="66"/>
      <c r="BP725" s="66"/>
      <c r="BQ725" s="66" t="str">
        <f>PROPER(TEXT(Prog_23[[#This Row],[PROGRAMAÇÃO CLIENTE]],"mmm"))</f>
        <v>Jan</v>
      </c>
      <c r="BR725" s="66">
        <f>YEAR(Prog_23[[#This Row],[PROGRAMAÇÃO CLIENTE]])</f>
        <v>1900</v>
      </c>
    </row>
    <row r="726" spans="1:70" x14ac:dyDescent="0.25">
      <c r="A726" s="201">
        <f>Prog_23[[#This Row],[CONTEINER]]</f>
        <v>0</v>
      </c>
      <c r="B726" s="86"/>
      <c r="C7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26" s="44"/>
      <c r="E726" s="66"/>
      <c r="F726" s="66"/>
      <c r="G726" s="66"/>
      <c r="H726" s="44"/>
      <c r="I726" s="44"/>
      <c r="J726" s="66"/>
      <c r="K726" s="66"/>
      <c r="L726" s="66"/>
      <c r="M726" s="66"/>
      <c r="N726" s="66">
        <f>SUM(Prog_23[[#This Row],[TARA]]+Prog_23[[#This Row],[PESO]])</f>
        <v>0</v>
      </c>
      <c r="O726" s="44"/>
      <c r="P726" s="66"/>
      <c r="Q726" s="66"/>
      <c r="R726" s="66"/>
      <c r="S726" s="66"/>
      <c r="T726" s="138" t="str">
        <f>IFERROR(LOOKUP($S726,MOTORISTAS!$D$3:$D$916,MOTORISTAS!E$3:$E$916),"")</f>
        <v/>
      </c>
      <c r="U726" s="138" t="str">
        <f>IFERROR(LOOKUP($S726,MOTORISTAS!$D$3:$D$916,MOTORISTAS!F$3:$F$916),"")</f>
        <v/>
      </c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44"/>
      <c r="AG726" s="254">
        <f>Prog_23[[#This Row],[SAÍDA DO CLIENTE]]-Prog_23[[#This Row],[PROGRAMAÇÃO CLIENTE]]</f>
        <v>0</v>
      </c>
      <c r="AH726" s="44"/>
      <c r="AI726" s="66"/>
      <c r="AJ726" s="66"/>
      <c r="AK726" s="66"/>
      <c r="AL726" s="66"/>
      <c r="AM726" s="66"/>
      <c r="AN726" s="83"/>
      <c r="AO726" s="83"/>
      <c r="AP726" s="83"/>
      <c r="AQ726" s="66"/>
      <c r="AR726" s="66"/>
      <c r="AS726" s="66"/>
      <c r="AT726" s="81"/>
      <c r="AU726" s="81"/>
      <c r="AV726" s="81"/>
      <c r="AW726" s="81"/>
      <c r="AX726" s="83">
        <f>SUM(Prog_23[[#This Row],[ADIANTAMENTO]]+Prog_23[[#This Row],[SALDO]]+Prog_23[[#This Row],[MARGEM]]+Prog_23[[#This Row],[ESTADIA 1]])</f>
        <v>0</v>
      </c>
      <c r="AY7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26" s="81"/>
      <c r="BA726" s="81"/>
      <c r="BB726" s="81">
        <f>Prog_23[[#This Row],[VLR NF]]*0.1%</f>
        <v>0</v>
      </c>
      <c r="BC726" s="81">
        <f>Prog_23[[#This Row],[VLR NF]]*0.05%</f>
        <v>0</v>
      </c>
      <c r="BD726" s="81"/>
      <c r="BE726" s="81"/>
      <c r="BF726" s="81"/>
      <c r="BG726" s="81"/>
      <c r="BH726" s="81"/>
      <c r="BI726" s="81"/>
      <c r="BJ726" s="81"/>
      <c r="BK726" s="81"/>
      <c r="BL726" s="81"/>
      <c r="BM726" s="81"/>
      <c r="BN726" s="66"/>
      <c r="BO726" s="66"/>
      <c r="BP726" s="66"/>
      <c r="BQ726" s="66" t="str">
        <f>PROPER(TEXT(Prog_23[[#This Row],[PROGRAMAÇÃO CLIENTE]],"mmm"))</f>
        <v>Jan</v>
      </c>
      <c r="BR726" s="66">
        <f>YEAR(Prog_23[[#This Row],[PROGRAMAÇÃO CLIENTE]])</f>
        <v>1900</v>
      </c>
    </row>
    <row r="727" spans="1:70" x14ac:dyDescent="0.25">
      <c r="A727" s="200">
        <f>Prog_23[[#This Row],[CONTEINER]]</f>
        <v>0</v>
      </c>
      <c r="B727" s="86"/>
      <c r="C7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27" s="44"/>
      <c r="E727" s="66"/>
      <c r="F727" s="66"/>
      <c r="G727" s="66"/>
      <c r="H727" s="44"/>
      <c r="I727" s="44"/>
      <c r="J727" s="66"/>
      <c r="K727" s="66"/>
      <c r="L727" s="66"/>
      <c r="M727" s="66"/>
      <c r="N727" s="66">
        <f>SUM(Prog_23[[#This Row],[TARA]]+Prog_23[[#This Row],[PESO]])</f>
        <v>0</v>
      </c>
      <c r="O727" s="44"/>
      <c r="P727" s="66"/>
      <c r="Q727" s="66"/>
      <c r="R727" s="66"/>
      <c r="S727" s="66"/>
      <c r="T727" s="138" t="str">
        <f>IFERROR(LOOKUP($S727,MOTORISTAS!$D$3:$D$916,MOTORISTAS!E$3:$E$916),"")</f>
        <v/>
      </c>
      <c r="U727" s="138" t="str">
        <f>IFERROR(LOOKUP($S727,MOTORISTAS!$D$3:$D$916,MOTORISTAS!F$3:$F$916),"")</f>
        <v/>
      </c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44"/>
      <c r="AG727" s="254">
        <f>Prog_23[[#This Row],[SAÍDA DO CLIENTE]]-Prog_23[[#This Row],[PROGRAMAÇÃO CLIENTE]]</f>
        <v>0</v>
      </c>
      <c r="AH727" s="44"/>
      <c r="AI727" s="66"/>
      <c r="AJ727" s="66"/>
      <c r="AK727" s="66"/>
      <c r="AL727" s="66"/>
      <c r="AM727" s="66"/>
      <c r="AN727" s="83"/>
      <c r="AO727" s="83"/>
      <c r="AP727" s="83"/>
      <c r="AQ727" s="66"/>
      <c r="AR727" s="66"/>
      <c r="AS727" s="66"/>
      <c r="AT727" s="81"/>
      <c r="AU727" s="81"/>
      <c r="AV727" s="81"/>
      <c r="AW727" s="81"/>
      <c r="AX727" s="83">
        <f>SUM(Prog_23[[#This Row],[ADIANTAMENTO]]+Prog_23[[#This Row],[SALDO]]+Prog_23[[#This Row],[MARGEM]]+Prog_23[[#This Row],[ESTADIA 1]])</f>
        <v>0</v>
      </c>
      <c r="AY7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27" s="81"/>
      <c r="BA727" s="81"/>
      <c r="BB727" s="81">
        <f>Prog_23[[#This Row],[VLR NF]]*0.1%</f>
        <v>0</v>
      </c>
      <c r="BC727" s="81">
        <f>Prog_23[[#This Row],[VLR NF]]*0.05%</f>
        <v>0</v>
      </c>
      <c r="BD727" s="81"/>
      <c r="BE727" s="81"/>
      <c r="BF727" s="81"/>
      <c r="BG727" s="81"/>
      <c r="BH727" s="81"/>
      <c r="BI727" s="81"/>
      <c r="BJ727" s="81"/>
      <c r="BK727" s="81"/>
      <c r="BL727" s="81"/>
      <c r="BM727" s="81"/>
      <c r="BN727" s="66"/>
      <c r="BO727" s="66"/>
      <c r="BP727" s="66"/>
      <c r="BQ727" s="66" t="str">
        <f>PROPER(TEXT(Prog_23[[#This Row],[PROGRAMAÇÃO CLIENTE]],"mmm"))</f>
        <v>Jan</v>
      </c>
      <c r="BR727" s="66">
        <f>YEAR(Prog_23[[#This Row],[PROGRAMAÇÃO CLIENTE]])</f>
        <v>1900</v>
      </c>
    </row>
    <row r="728" spans="1:70" x14ac:dyDescent="0.25">
      <c r="A728" s="201">
        <f>Prog_23[[#This Row],[CONTEINER]]</f>
        <v>0</v>
      </c>
      <c r="B728" s="86"/>
      <c r="C7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28" s="44"/>
      <c r="E728" s="66"/>
      <c r="F728" s="66"/>
      <c r="G728" s="66"/>
      <c r="H728" s="44"/>
      <c r="I728" s="44"/>
      <c r="J728" s="66"/>
      <c r="K728" s="66"/>
      <c r="L728" s="66"/>
      <c r="M728" s="66"/>
      <c r="N728" s="66">
        <f>SUM(Prog_23[[#This Row],[TARA]]+Prog_23[[#This Row],[PESO]])</f>
        <v>0</v>
      </c>
      <c r="O728" s="44"/>
      <c r="P728" s="66"/>
      <c r="Q728" s="66"/>
      <c r="R728" s="66"/>
      <c r="S728" s="66"/>
      <c r="T728" s="138" t="str">
        <f>IFERROR(LOOKUP($S728,MOTORISTAS!$D$3:$D$916,MOTORISTAS!E$3:$E$916),"")</f>
        <v/>
      </c>
      <c r="U728" s="138" t="str">
        <f>IFERROR(LOOKUP($S728,MOTORISTAS!$D$3:$D$916,MOTORISTAS!F$3:$F$916),"")</f>
        <v/>
      </c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44"/>
      <c r="AG728" s="254">
        <f>Prog_23[[#This Row],[SAÍDA DO CLIENTE]]-Prog_23[[#This Row],[PROGRAMAÇÃO CLIENTE]]</f>
        <v>0</v>
      </c>
      <c r="AH728" s="44"/>
      <c r="AI728" s="66"/>
      <c r="AJ728" s="66"/>
      <c r="AK728" s="66"/>
      <c r="AL728" s="66"/>
      <c r="AM728" s="66"/>
      <c r="AN728" s="83"/>
      <c r="AO728" s="83"/>
      <c r="AP728" s="83"/>
      <c r="AQ728" s="66"/>
      <c r="AR728" s="66"/>
      <c r="AS728" s="66"/>
      <c r="AT728" s="81"/>
      <c r="AU728" s="81"/>
      <c r="AV728" s="81"/>
      <c r="AW728" s="81"/>
      <c r="AX728" s="83">
        <f>SUM(Prog_23[[#This Row],[ADIANTAMENTO]]+Prog_23[[#This Row],[SALDO]]+Prog_23[[#This Row],[MARGEM]]+Prog_23[[#This Row],[ESTADIA 1]])</f>
        <v>0</v>
      </c>
      <c r="AY7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28" s="81"/>
      <c r="BA728" s="81"/>
      <c r="BB728" s="81">
        <f>Prog_23[[#This Row],[VLR NF]]*0.1%</f>
        <v>0</v>
      </c>
      <c r="BC728" s="81">
        <f>Prog_23[[#This Row],[VLR NF]]*0.05%</f>
        <v>0</v>
      </c>
      <c r="BD728" s="81"/>
      <c r="BE728" s="81"/>
      <c r="BF728" s="81"/>
      <c r="BG728" s="81"/>
      <c r="BH728" s="81"/>
      <c r="BI728" s="81"/>
      <c r="BJ728" s="81"/>
      <c r="BK728" s="81"/>
      <c r="BL728" s="81"/>
      <c r="BM728" s="81"/>
      <c r="BN728" s="66"/>
      <c r="BO728" s="66"/>
      <c r="BP728" s="66"/>
      <c r="BQ728" s="66" t="str">
        <f>PROPER(TEXT(Prog_23[[#This Row],[PROGRAMAÇÃO CLIENTE]],"mmm"))</f>
        <v>Jan</v>
      </c>
      <c r="BR728" s="66">
        <f>YEAR(Prog_23[[#This Row],[PROGRAMAÇÃO CLIENTE]])</f>
        <v>1900</v>
      </c>
    </row>
    <row r="729" spans="1:70" x14ac:dyDescent="0.25">
      <c r="A729" s="200">
        <f>Prog_23[[#This Row],[CONTEINER]]</f>
        <v>0</v>
      </c>
      <c r="B729" s="86"/>
      <c r="C7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29" s="44"/>
      <c r="E729" s="66"/>
      <c r="F729" s="66"/>
      <c r="G729" s="66"/>
      <c r="H729" s="44"/>
      <c r="I729" s="44"/>
      <c r="J729" s="66"/>
      <c r="K729" s="66"/>
      <c r="L729" s="66"/>
      <c r="M729" s="66"/>
      <c r="N729" s="66">
        <f>SUM(Prog_23[[#This Row],[TARA]]+Prog_23[[#This Row],[PESO]])</f>
        <v>0</v>
      </c>
      <c r="O729" s="44"/>
      <c r="P729" s="66"/>
      <c r="Q729" s="66"/>
      <c r="R729" s="66"/>
      <c r="S729" s="66"/>
      <c r="T729" s="138" t="str">
        <f>IFERROR(LOOKUP($S729,MOTORISTAS!$D$3:$D$916,MOTORISTAS!E$3:$E$916),"")</f>
        <v/>
      </c>
      <c r="U729" s="138" t="str">
        <f>IFERROR(LOOKUP($S729,MOTORISTAS!$D$3:$D$916,MOTORISTAS!F$3:$F$916),"")</f>
        <v/>
      </c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44"/>
      <c r="AG729" s="254">
        <f>Prog_23[[#This Row],[SAÍDA DO CLIENTE]]-Prog_23[[#This Row],[PROGRAMAÇÃO CLIENTE]]</f>
        <v>0</v>
      </c>
      <c r="AH729" s="44"/>
      <c r="AI729" s="66"/>
      <c r="AJ729" s="66"/>
      <c r="AK729" s="66"/>
      <c r="AL729" s="66"/>
      <c r="AM729" s="66"/>
      <c r="AN729" s="83"/>
      <c r="AO729" s="83"/>
      <c r="AP729" s="83"/>
      <c r="AQ729" s="66"/>
      <c r="AR729" s="66"/>
      <c r="AS729" s="66"/>
      <c r="AT729" s="81"/>
      <c r="AU729" s="81"/>
      <c r="AV729" s="81"/>
      <c r="AW729" s="81"/>
      <c r="AX729" s="83">
        <f>SUM(Prog_23[[#This Row],[ADIANTAMENTO]]+Prog_23[[#This Row],[SALDO]]+Prog_23[[#This Row],[MARGEM]]+Prog_23[[#This Row],[ESTADIA 1]])</f>
        <v>0</v>
      </c>
      <c r="AY7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29" s="81"/>
      <c r="BA729" s="81"/>
      <c r="BB729" s="81">
        <f>Prog_23[[#This Row],[VLR NF]]*0.1%</f>
        <v>0</v>
      </c>
      <c r="BC729" s="81">
        <f>Prog_23[[#This Row],[VLR NF]]*0.05%</f>
        <v>0</v>
      </c>
      <c r="BD729" s="81"/>
      <c r="BE729" s="81"/>
      <c r="BF729" s="81"/>
      <c r="BG729" s="81"/>
      <c r="BH729" s="81"/>
      <c r="BI729" s="81"/>
      <c r="BJ729" s="81"/>
      <c r="BK729" s="81"/>
      <c r="BL729" s="81"/>
      <c r="BM729" s="81"/>
      <c r="BN729" s="66"/>
      <c r="BO729" s="66"/>
      <c r="BP729" s="66"/>
      <c r="BQ729" s="66" t="str">
        <f>PROPER(TEXT(Prog_23[[#This Row],[PROGRAMAÇÃO CLIENTE]],"mmm"))</f>
        <v>Jan</v>
      </c>
      <c r="BR729" s="66">
        <f>YEAR(Prog_23[[#This Row],[PROGRAMAÇÃO CLIENTE]])</f>
        <v>1900</v>
      </c>
    </row>
    <row r="730" spans="1:70" x14ac:dyDescent="0.25">
      <c r="A730" s="201">
        <f>Prog_23[[#This Row],[CONTEINER]]</f>
        <v>0</v>
      </c>
      <c r="B730" s="86"/>
      <c r="C7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30" s="44"/>
      <c r="E730" s="66"/>
      <c r="F730" s="66"/>
      <c r="G730" s="66"/>
      <c r="H730" s="44"/>
      <c r="I730" s="44"/>
      <c r="J730" s="66"/>
      <c r="K730" s="66"/>
      <c r="L730" s="66"/>
      <c r="M730" s="66"/>
      <c r="N730" s="66">
        <f>SUM(Prog_23[[#This Row],[TARA]]+Prog_23[[#This Row],[PESO]])</f>
        <v>0</v>
      </c>
      <c r="O730" s="44"/>
      <c r="P730" s="66"/>
      <c r="Q730" s="66"/>
      <c r="R730" s="66"/>
      <c r="S730" s="66"/>
      <c r="T730" s="138" t="str">
        <f>IFERROR(LOOKUP($S730,MOTORISTAS!$D$3:$D$916,MOTORISTAS!E$3:$E$916),"")</f>
        <v/>
      </c>
      <c r="U730" s="138" t="str">
        <f>IFERROR(LOOKUP($S730,MOTORISTAS!$D$3:$D$916,MOTORISTAS!F$3:$F$916),"")</f>
        <v/>
      </c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44"/>
      <c r="AG730" s="254">
        <f>Prog_23[[#This Row],[SAÍDA DO CLIENTE]]-Prog_23[[#This Row],[PROGRAMAÇÃO CLIENTE]]</f>
        <v>0</v>
      </c>
      <c r="AH730" s="44"/>
      <c r="AI730" s="66"/>
      <c r="AJ730" s="66"/>
      <c r="AK730" s="66"/>
      <c r="AL730" s="66"/>
      <c r="AM730" s="66"/>
      <c r="AN730" s="83"/>
      <c r="AO730" s="83"/>
      <c r="AP730" s="83"/>
      <c r="AQ730" s="66"/>
      <c r="AR730" s="66"/>
      <c r="AS730" s="66"/>
      <c r="AT730" s="81"/>
      <c r="AU730" s="81"/>
      <c r="AV730" s="81"/>
      <c r="AW730" s="81"/>
      <c r="AX730" s="83">
        <f>SUM(Prog_23[[#This Row],[ADIANTAMENTO]]+Prog_23[[#This Row],[SALDO]]+Prog_23[[#This Row],[MARGEM]]+Prog_23[[#This Row],[ESTADIA 1]])</f>
        <v>0</v>
      </c>
      <c r="AY7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30" s="81"/>
      <c r="BA730" s="81"/>
      <c r="BB730" s="81">
        <f>Prog_23[[#This Row],[VLR NF]]*0.1%</f>
        <v>0</v>
      </c>
      <c r="BC730" s="81">
        <f>Prog_23[[#This Row],[VLR NF]]*0.05%</f>
        <v>0</v>
      </c>
      <c r="BD730" s="81"/>
      <c r="BE730" s="81"/>
      <c r="BF730" s="81"/>
      <c r="BG730" s="81"/>
      <c r="BH730" s="81"/>
      <c r="BI730" s="81"/>
      <c r="BJ730" s="81"/>
      <c r="BK730" s="81"/>
      <c r="BL730" s="81"/>
      <c r="BM730" s="81"/>
      <c r="BN730" s="66"/>
      <c r="BO730" s="66"/>
      <c r="BP730" s="66"/>
      <c r="BQ730" s="66" t="str">
        <f>PROPER(TEXT(Prog_23[[#This Row],[PROGRAMAÇÃO CLIENTE]],"mmm"))</f>
        <v>Jan</v>
      </c>
      <c r="BR730" s="66">
        <f>YEAR(Prog_23[[#This Row],[PROGRAMAÇÃO CLIENTE]])</f>
        <v>1900</v>
      </c>
    </row>
    <row r="731" spans="1:70" x14ac:dyDescent="0.25">
      <c r="A731" s="200">
        <f>Prog_23[[#This Row],[CONTEINER]]</f>
        <v>0</v>
      </c>
      <c r="B731" s="86"/>
      <c r="C7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31" s="44"/>
      <c r="E731" s="66"/>
      <c r="F731" s="66"/>
      <c r="G731" s="66"/>
      <c r="H731" s="44"/>
      <c r="I731" s="44"/>
      <c r="J731" s="66"/>
      <c r="K731" s="66"/>
      <c r="L731" s="66"/>
      <c r="M731" s="66"/>
      <c r="N731" s="66">
        <f>SUM(Prog_23[[#This Row],[TARA]]+Prog_23[[#This Row],[PESO]])</f>
        <v>0</v>
      </c>
      <c r="O731" s="44"/>
      <c r="P731" s="66"/>
      <c r="Q731" s="66"/>
      <c r="R731" s="66"/>
      <c r="S731" s="66"/>
      <c r="T731" s="138" t="str">
        <f>IFERROR(LOOKUP($S731,MOTORISTAS!$D$3:$D$916,MOTORISTAS!E$3:$E$916),"")</f>
        <v/>
      </c>
      <c r="U731" s="138" t="str">
        <f>IFERROR(LOOKUP($S731,MOTORISTAS!$D$3:$D$916,MOTORISTAS!F$3:$F$916),"")</f>
        <v/>
      </c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44"/>
      <c r="AG731" s="254">
        <f>Prog_23[[#This Row],[SAÍDA DO CLIENTE]]-Prog_23[[#This Row],[PROGRAMAÇÃO CLIENTE]]</f>
        <v>0</v>
      </c>
      <c r="AH731" s="44"/>
      <c r="AI731" s="66"/>
      <c r="AJ731" s="66"/>
      <c r="AK731" s="66"/>
      <c r="AL731" s="66"/>
      <c r="AM731" s="66"/>
      <c r="AN731" s="83"/>
      <c r="AO731" s="83"/>
      <c r="AP731" s="83"/>
      <c r="AQ731" s="66"/>
      <c r="AR731" s="66"/>
      <c r="AS731" s="66"/>
      <c r="AT731" s="81"/>
      <c r="AU731" s="81"/>
      <c r="AV731" s="81"/>
      <c r="AW731" s="81"/>
      <c r="AX731" s="83">
        <f>SUM(Prog_23[[#This Row],[ADIANTAMENTO]]+Prog_23[[#This Row],[SALDO]]+Prog_23[[#This Row],[MARGEM]]+Prog_23[[#This Row],[ESTADIA 1]])</f>
        <v>0</v>
      </c>
      <c r="AY7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31" s="81"/>
      <c r="BA731" s="81"/>
      <c r="BB731" s="81">
        <f>Prog_23[[#This Row],[VLR NF]]*0.1%</f>
        <v>0</v>
      </c>
      <c r="BC731" s="81">
        <f>Prog_23[[#This Row],[VLR NF]]*0.05%</f>
        <v>0</v>
      </c>
      <c r="BD731" s="81"/>
      <c r="BE731" s="81"/>
      <c r="BF731" s="81"/>
      <c r="BG731" s="81"/>
      <c r="BH731" s="81"/>
      <c r="BI731" s="81"/>
      <c r="BJ731" s="81"/>
      <c r="BK731" s="81"/>
      <c r="BL731" s="81"/>
      <c r="BM731" s="81"/>
      <c r="BN731" s="66"/>
      <c r="BO731" s="66"/>
      <c r="BP731" s="66"/>
      <c r="BQ731" s="66" t="str">
        <f>PROPER(TEXT(Prog_23[[#This Row],[PROGRAMAÇÃO CLIENTE]],"mmm"))</f>
        <v>Jan</v>
      </c>
      <c r="BR731" s="66">
        <f>YEAR(Prog_23[[#This Row],[PROGRAMAÇÃO CLIENTE]])</f>
        <v>1900</v>
      </c>
    </row>
    <row r="732" spans="1:70" x14ac:dyDescent="0.25">
      <c r="A732" s="201">
        <f>Prog_23[[#This Row],[CONTEINER]]</f>
        <v>0</v>
      </c>
      <c r="B732" s="86"/>
      <c r="C7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32" s="44"/>
      <c r="E732" s="66"/>
      <c r="F732" s="66"/>
      <c r="G732" s="66"/>
      <c r="H732" s="44"/>
      <c r="I732" s="44"/>
      <c r="J732" s="66"/>
      <c r="K732" s="66"/>
      <c r="L732" s="66"/>
      <c r="M732" s="66"/>
      <c r="N732" s="66">
        <f>SUM(Prog_23[[#This Row],[TARA]]+Prog_23[[#This Row],[PESO]])</f>
        <v>0</v>
      </c>
      <c r="O732" s="44"/>
      <c r="P732" s="66"/>
      <c r="Q732" s="66"/>
      <c r="R732" s="66"/>
      <c r="S732" s="66"/>
      <c r="T732" s="138" t="str">
        <f>IFERROR(LOOKUP($S732,MOTORISTAS!$D$3:$D$916,MOTORISTAS!E$3:$E$916),"")</f>
        <v/>
      </c>
      <c r="U732" s="138" t="str">
        <f>IFERROR(LOOKUP($S732,MOTORISTAS!$D$3:$D$916,MOTORISTAS!F$3:$F$916),"")</f>
        <v/>
      </c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44"/>
      <c r="AG732" s="254">
        <f>Prog_23[[#This Row],[SAÍDA DO CLIENTE]]-Prog_23[[#This Row],[PROGRAMAÇÃO CLIENTE]]</f>
        <v>0</v>
      </c>
      <c r="AH732" s="44"/>
      <c r="AI732" s="66"/>
      <c r="AJ732" s="66"/>
      <c r="AK732" s="66"/>
      <c r="AL732" s="66"/>
      <c r="AM732" s="66"/>
      <c r="AN732" s="83"/>
      <c r="AO732" s="83"/>
      <c r="AP732" s="83"/>
      <c r="AQ732" s="66"/>
      <c r="AR732" s="66"/>
      <c r="AS732" s="66"/>
      <c r="AT732" s="81"/>
      <c r="AU732" s="81"/>
      <c r="AV732" s="81"/>
      <c r="AW732" s="81"/>
      <c r="AX732" s="83">
        <f>SUM(Prog_23[[#This Row],[ADIANTAMENTO]]+Prog_23[[#This Row],[SALDO]]+Prog_23[[#This Row],[MARGEM]]+Prog_23[[#This Row],[ESTADIA 1]])</f>
        <v>0</v>
      </c>
      <c r="AY7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32" s="81"/>
      <c r="BA732" s="81"/>
      <c r="BB732" s="81">
        <f>Prog_23[[#This Row],[VLR NF]]*0.1%</f>
        <v>0</v>
      </c>
      <c r="BC732" s="81">
        <f>Prog_23[[#This Row],[VLR NF]]*0.05%</f>
        <v>0</v>
      </c>
      <c r="BD732" s="81"/>
      <c r="BE732" s="81"/>
      <c r="BF732" s="81"/>
      <c r="BG732" s="81"/>
      <c r="BH732" s="81"/>
      <c r="BI732" s="81"/>
      <c r="BJ732" s="81"/>
      <c r="BK732" s="81"/>
      <c r="BL732" s="81"/>
      <c r="BM732" s="81"/>
      <c r="BN732" s="66"/>
      <c r="BO732" s="66"/>
      <c r="BP732" s="66"/>
      <c r="BQ732" s="66" t="str">
        <f>PROPER(TEXT(Prog_23[[#This Row],[PROGRAMAÇÃO CLIENTE]],"mmm"))</f>
        <v>Jan</v>
      </c>
      <c r="BR732" s="66">
        <f>YEAR(Prog_23[[#This Row],[PROGRAMAÇÃO CLIENTE]])</f>
        <v>1900</v>
      </c>
    </row>
    <row r="733" spans="1:70" x14ac:dyDescent="0.25">
      <c r="A733" s="200">
        <f>Prog_23[[#This Row],[CONTEINER]]</f>
        <v>0</v>
      </c>
      <c r="B733" s="86"/>
      <c r="C7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33" s="44"/>
      <c r="E733" s="66"/>
      <c r="F733" s="66"/>
      <c r="G733" s="66"/>
      <c r="H733" s="44"/>
      <c r="I733" s="44"/>
      <c r="J733" s="66"/>
      <c r="K733" s="66"/>
      <c r="L733" s="66"/>
      <c r="M733" s="66"/>
      <c r="N733" s="66">
        <f>SUM(Prog_23[[#This Row],[TARA]]+Prog_23[[#This Row],[PESO]])</f>
        <v>0</v>
      </c>
      <c r="O733" s="44"/>
      <c r="P733" s="66"/>
      <c r="Q733" s="66"/>
      <c r="R733" s="66"/>
      <c r="S733" s="66"/>
      <c r="T733" s="138" t="str">
        <f>IFERROR(LOOKUP($S733,MOTORISTAS!$D$3:$D$916,MOTORISTAS!E$3:$E$916),"")</f>
        <v/>
      </c>
      <c r="U733" s="138" t="str">
        <f>IFERROR(LOOKUP($S733,MOTORISTAS!$D$3:$D$916,MOTORISTAS!F$3:$F$916),"")</f>
        <v/>
      </c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44"/>
      <c r="AG733" s="254">
        <f>Prog_23[[#This Row],[SAÍDA DO CLIENTE]]-Prog_23[[#This Row],[PROGRAMAÇÃO CLIENTE]]</f>
        <v>0</v>
      </c>
      <c r="AH733" s="44"/>
      <c r="AI733" s="66"/>
      <c r="AJ733" s="66"/>
      <c r="AK733" s="66"/>
      <c r="AL733" s="66"/>
      <c r="AM733" s="66"/>
      <c r="AN733" s="83"/>
      <c r="AO733" s="83"/>
      <c r="AP733" s="83"/>
      <c r="AQ733" s="66"/>
      <c r="AR733" s="66"/>
      <c r="AS733" s="66"/>
      <c r="AT733" s="81"/>
      <c r="AU733" s="81"/>
      <c r="AV733" s="81"/>
      <c r="AW733" s="81"/>
      <c r="AX733" s="83">
        <f>SUM(Prog_23[[#This Row],[ADIANTAMENTO]]+Prog_23[[#This Row],[SALDO]]+Prog_23[[#This Row],[MARGEM]]+Prog_23[[#This Row],[ESTADIA 1]])</f>
        <v>0</v>
      </c>
      <c r="AY7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33" s="81"/>
      <c r="BA733" s="81"/>
      <c r="BB733" s="81">
        <f>Prog_23[[#This Row],[VLR NF]]*0.1%</f>
        <v>0</v>
      </c>
      <c r="BC733" s="81">
        <f>Prog_23[[#This Row],[VLR NF]]*0.05%</f>
        <v>0</v>
      </c>
      <c r="BD733" s="81"/>
      <c r="BE733" s="81"/>
      <c r="BF733" s="81"/>
      <c r="BG733" s="81"/>
      <c r="BH733" s="81"/>
      <c r="BI733" s="81"/>
      <c r="BJ733" s="81"/>
      <c r="BK733" s="81"/>
      <c r="BL733" s="81"/>
      <c r="BM733" s="81"/>
      <c r="BN733" s="66"/>
      <c r="BO733" s="66"/>
      <c r="BP733" s="66"/>
      <c r="BQ733" s="66" t="str">
        <f>PROPER(TEXT(Prog_23[[#This Row],[PROGRAMAÇÃO CLIENTE]],"mmm"))</f>
        <v>Jan</v>
      </c>
      <c r="BR733" s="66">
        <f>YEAR(Prog_23[[#This Row],[PROGRAMAÇÃO CLIENTE]])</f>
        <v>1900</v>
      </c>
    </row>
    <row r="734" spans="1:70" x14ac:dyDescent="0.25">
      <c r="A734" s="201">
        <f>Prog_23[[#This Row],[CONTEINER]]</f>
        <v>0</v>
      </c>
      <c r="B734" s="86"/>
      <c r="C7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34" s="44"/>
      <c r="E734" s="66"/>
      <c r="F734" s="66"/>
      <c r="G734" s="66"/>
      <c r="H734" s="44"/>
      <c r="I734" s="44"/>
      <c r="J734" s="66"/>
      <c r="K734" s="66"/>
      <c r="L734" s="66"/>
      <c r="M734" s="66"/>
      <c r="N734" s="66">
        <f>SUM(Prog_23[[#This Row],[TARA]]+Prog_23[[#This Row],[PESO]])</f>
        <v>0</v>
      </c>
      <c r="O734" s="44"/>
      <c r="P734" s="66"/>
      <c r="Q734" s="66"/>
      <c r="R734" s="66"/>
      <c r="S734" s="66"/>
      <c r="T734" s="138" t="str">
        <f>IFERROR(LOOKUP($S734,MOTORISTAS!$D$3:$D$916,MOTORISTAS!E$3:$E$916),"")</f>
        <v/>
      </c>
      <c r="U734" s="138" t="str">
        <f>IFERROR(LOOKUP($S734,MOTORISTAS!$D$3:$D$916,MOTORISTAS!F$3:$F$916),"")</f>
        <v/>
      </c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44"/>
      <c r="AG734" s="254">
        <f>Prog_23[[#This Row],[SAÍDA DO CLIENTE]]-Prog_23[[#This Row],[PROGRAMAÇÃO CLIENTE]]</f>
        <v>0</v>
      </c>
      <c r="AH734" s="44"/>
      <c r="AI734" s="66"/>
      <c r="AJ734" s="66"/>
      <c r="AK734" s="66"/>
      <c r="AL734" s="66"/>
      <c r="AM734" s="66"/>
      <c r="AN734" s="83"/>
      <c r="AO734" s="83"/>
      <c r="AP734" s="83"/>
      <c r="AQ734" s="66"/>
      <c r="AR734" s="66"/>
      <c r="AS734" s="66"/>
      <c r="AT734" s="81"/>
      <c r="AU734" s="81"/>
      <c r="AV734" s="81"/>
      <c r="AW734" s="81"/>
      <c r="AX734" s="83">
        <f>SUM(Prog_23[[#This Row],[ADIANTAMENTO]]+Prog_23[[#This Row],[SALDO]]+Prog_23[[#This Row],[MARGEM]]+Prog_23[[#This Row],[ESTADIA 1]])</f>
        <v>0</v>
      </c>
      <c r="AY7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34" s="81"/>
      <c r="BA734" s="81"/>
      <c r="BB734" s="81">
        <f>Prog_23[[#This Row],[VLR NF]]*0.1%</f>
        <v>0</v>
      </c>
      <c r="BC734" s="81">
        <f>Prog_23[[#This Row],[VLR NF]]*0.05%</f>
        <v>0</v>
      </c>
      <c r="BD734" s="81"/>
      <c r="BE734" s="81"/>
      <c r="BF734" s="81"/>
      <c r="BG734" s="81"/>
      <c r="BH734" s="81"/>
      <c r="BI734" s="81"/>
      <c r="BJ734" s="81"/>
      <c r="BK734" s="81"/>
      <c r="BL734" s="81"/>
      <c r="BM734" s="81"/>
      <c r="BN734" s="66"/>
      <c r="BO734" s="66"/>
      <c r="BP734" s="66"/>
      <c r="BQ734" s="66" t="str">
        <f>PROPER(TEXT(Prog_23[[#This Row],[PROGRAMAÇÃO CLIENTE]],"mmm"))</f>
        <v>Jan</v>
      </c>
      <c r="BR734" s="66">
        <f>YEAR(Prog_23[[#This Row],[PROGRAMAÇÃO CLIENTE]])</f>
        <v>1900</v>
      </c>
    </row>
    <row r="735" spans="1:70" x14ac:dyDescent="0.25">
      <c r="A735" s="200">
        <f>Prog_23[[#This Row],[CONTEINER]]</f>
        <v>0</v>
      </c>
      <c r="B735" s="86"/>
      <c r="C7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35" s="44"/>
      <c r="E735" s="66"/>
      <c r="F735" s="66"/>
      <c r="G735" s="66"/>
      <c r="H735" s="44"/>
      <c r="I735" s="44"/>
      <c r="J735" s="66"/>
      <c r="K735" s="66"/>
      <c r="L735" s="66"/>
      <c r="M735" s="66"/>
      <c r="N735" s="66">
        <f>SUM(Prog_23[[#This Row],[TARA]]+Prog_23[[#This Row],[PESO]])</f>
        <v>0</v>
      </c>
      <c r="O735" s="44"/>
      <c r="P735" s="66"/>
      <c r="Q735" s="66"/>
      <c r="R735" s="66"/>
      <c r="S735" s="66"/>
      <c r="T735" s="138" t="str">
        <f>IFERROR(LOOKUP($S735,MOTORISTAS!$D$3:$D$916,MOTORISTAS!E$3:$E$916),"")</f>
        <v/>
      </c>
      <c r="U735" s="138" t="str">
        <f>IFERROR(LOOKUP($S735,MOTORISTAS!$D$3:$D$916,MOTORISTAS!F$3:$F$916),"")</f>
        <v/>
      </c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44"/>
      <c r="AG735" s="254">
        <f>Prog_23[[#This Row],[SAÍDA DO CLIENTE]]-Prog_23[[#This Row],[PROGRAMAÇÃO CLIENTE]]</f>
        <v>0</v>
      </c>
      <c r="AH735" s="44"/>
      <c r="AI735" s="66"/>
      <c r="AJ735" s="66"/>
      <c r="AK735" s="66"/>
      <c r="AL735" s="66"/>
      <c r="AM735" s="66"/>
      <c r="AN735" s="83"/>
      <c r="AO735" s="83"/>
      <c r="AP735" s="83"/>
      <c r="AQ735" s="66"/>
      <c r="AR735" s="66"/>
      <c r="AS735" s="66"/>
      <c r="AT735" s="81"/>
      <c r="AU735" s="81"/>
      <c r="AV735" s="81"/>
      <c r="AW735" s="81"/>
      <c r="AX735" s="83">
        <f>SUM(Prog_23[[#This Row],[ADIANTAMENTO]]+Prog_23[[#This Row],[SALDO]]+Prog_23[[#This Row],[MARGEM]]+Prog_23[[#This Row],[ESTADIA 1]])</f>
        <v>0</v>
      </c>
      <c r="AY7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35" s="81"/>
      <c r="BA735" s="81"/>
      <c r="BB735" s="81">
        <f>Prog_23[[#This Row],[VLR NF]]*0.1%</f>
        <v>0</v>
      </c>
      <c r="BC735" s="81">
        <f>Prog_23[[#This Row],[VLR NF]]*0.05%</f>
        <v>0</v>
      </c>
      <c r="BD735" s="81"/>
      <c r="BE735" s="81"/>
      <c r="BF735" s="81"/>
      <c r="BG735" s="81"/>
      <c r="BH735" s="81"/>
      <c r="BI735" s="81"/>
      <c r="BJ735" s="81"/>
      <c r="BK735" s="81"/>
      <c r="BL735" s="81"/>
      <c r="BM735" s="81"/>
      <c r="BN735" s="66"/>
      <c r="BO735" s="66"/>
      <c r="BP735" s="66"/>
      <c r="BQ735" s="66" t="str">
        <f>PROPER(TEXT(Prog_23[[#This Row],[PROGRAMAÇÃO CLIENTE]],"mmm"))</f>
        <v>Jan</v>
      </c>
      <c r="BR735" s="66">
        <f>YEAR(Prog_23[[#This Row],[PROGRAMAÇÃO CLIENTE]])</f>
        <v>1900</v>
      </c>
    </row>
    <row r="736" spans="1:70" x14ac:dyDescent="0.25">
      <c r="A736" s="201">
        <f>Prog_23[[#This Row],[CONTEINER]]</f>
        <v>0</v>
      </c>
      <c r="B736" s="86"/>
      <c r="C7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36" s="44"/>
      <c r="E736" s="66"/>
      <c r="F736" s="66"/>
      <c r="G736" s="66"/>
      <c r="H736" s="44"/>
      <c r="I736" s="44"/>
      <c r="J736" s="66"/>
      <c r="K736" s="66"/>
      <c r="L736" s="66"/>
      <c r="M736" s="66"/>
      <c r="N736" s="66">
        <f>SUM(Prog_23[[#This Row],[TARA]]+Prog_23[[#This Row],[PESO]])</f>
        <v>0</v>
      </c>
      <c r="O736" s="44"/>
      <c r="P736" s="66"/>
      <c r="Q736" s="66"/>
      <c r="R736" s="66"/>
      <c r="S736" s="66"/>
      <c r="T736" s="138" t="str">
        <f>IFERROR(LOOKUP($S736,MOTORISTAS!$D$3:$D$916,MOTORISTAS!E$3:$E$916),"")</f>
        <v/>
      </c>
      <c r="U736" s="138" t="str">
        <f>IFERROR(LOOKUP($S736,MOTORISTAS!$D$3:$D$916,MOTORISTAS!F$3:$F$916),"")</f>
        <v/>
      </c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44"/>
      <c r="AG736" s="254">
        <f>Prog_23[[#This Row],[SAÍDA DO CLIENTE]]-Prog_23[[#This Row],[PROGRAMAÇÃO CLIENTE]]</f>
        <v>0</v>
      </c>
      <c r="AH736" s="44"/>
      <c r="AI736" s="66"/>
      <c r="AJ736" s="66"/>
      <c r="AK736" s="66"/>
      <c r="AL736" s="66"/>
      <c r="AM736" s="66"/>
      <c r="AN736" s="83"/>
      <c r="AO736" s="83"/>
      <c r="AP736" s="83"/>
      <c r="AQ736" s="66"/>
      <c r="AR736" s="66"/>
      <c r="AS736" s="66"/>
      <c r="AT736" s="81"/>
      <c r="AU736" s="81"/>
      <c r="AV736" s="81"/>
      <c r="AW736" s="81"/>
      <c r="AX736" s="83">
        <f>SUM(Prog_23[[#This Row],[ADIANTAMENTO]]+Prog_23[[#This Row],[SALDO]]+Prog_23[[#This Row],[MARGEM]]+Prog_23[[#This Row],[ESTADIA 1]])</f>
        <v>0</v>
      </c>
      <c r="AY7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36" s="81"/>
      <c r="BA736" s="81"/>
      <c r="BB736" s="81">
        <f>Prog_23[[#This Row],[VLR NF]]*0.1%</f>
        <v>0</v>
      </c>
      <c r="BC736" s="81">
        <f>Prog_23[[#This Row],[VLR NF]]*0.05%</f>
        <v>0</v>
      </c>
      <c r="BD736" s="81"/>
      <c r="BE736" s="81"/>
      <c r="BF736" s="81"/>
      <c r="BG736" s="81"/>
      <c r="BH736" s="81"/>
      <c r="BI736" s="81"/>
      <c r="BJ736" s="81"/>
      <c r="BK736" s="81"/>
      <c r="BL736" s="81"/>
      <c r="BM736" s="81"/>
      <c r="BN736" s="66"/>
      <c r="BO736" s="66"/>
      <c r="BP736" s="66"/>
      <c r="BQ736" s="66" t="str">
        <f>PROPER(TEXT(Prog_23[[#This Row],[PROGRAMAÇÃO CLIENTE]],"mmm"))</f>
        <v>Jan</v>
      </c>
      <c r="BR736" s="66">
        <f>YEAR(Prog_23[[#This Row],[PROGRAMAÇÃO CLIENTE]])</f>
        <v>1900</v>
      </c>
    </row>
    <row r="737" spans="1:70" x14ac:dyDescent="0.25">
      <c r="A737" s="200">
        <f>Prog_23[[#This Row],[CONTEINER]]</f>
        <v>0</v>
      </c>
      <c r="B737" s="86"/>
      <c r="C7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37" s="44"/>
      <c r="E737" s="66"/>
      <c r="F737" s="66"/>
      <c r="G737" s="66"/>
      <c r="H737" s="44"/>
      <c r="I737" s="44"/>
      <c r="J737" s="66"/>
      <c r="K737" s="66"/>
      <c r="L737" s="66"/>
      <c r="M737" s="66"/>
      <c r="N737" s="66">
        <f>SUM(Prog_23[[#This Row],[TARA]]+Prog_23[[#This Row],[PESO]])</f>
        <v>0</v>
      </c>
      <c r="O737" s="44"/>
      <c r="P737" s="66"/>
      <c r="Q737" s="66"/>
      <c r="R737" s="66"/>
      <c r="S737" s="66"/>
      <c r="T737" s="138" t="str">
        <f>IFERROR(LOOKUP($S737,MOTORISTAS!$D$3:$D$916,MOTORISTAS!E$3:$E$916),"")</f>
        <v/>
      </c>
      <c r="U737" s="138" t="str">
        <f>IFERROR(LOOKUP($S737,MOTORISTAS!$D$3:$D$916,MOTORISTAS!F$3:$F$916),"")</f>
        <v/>
      </c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44"/>
      <c r="AG737" s="254">
        <f>Prog_23[[#This Row],[SAÍDA DO CLIENTE]]-Prog_23[[#This Row],[PROGRAMAÇÃO CLIENTE]]</f>
        <v>0</v>
      </c>
      <c r="AH737" s="44"/>
      <c r="AI737" s="66"/>
      <c r="AJ737" s="66"/>
      <c r="AK737" s="66"/>
      <c r="AL737" s="66"/>
      <c r="AM737" s="66"/>
      <c r="AN737" s="83"/>
      <c r="AO737" s="83"/>
      <c r="AP737" s="83"/>
      <c r="AQ737" s="66"/>
      <c r="AR737" s="66"/>
      <c r="AS737" s="66"/>
      <c r="AT737" s="81"/>
      <c r="AU737" s="81"/>
      <c r="AV737" s="81"/>
      <c r="AW737" s="81"/>
      <c r="AX737" s="83">
        <f>SUM(Prog_23[[#This Row],[ADIANTAMENTO]]+Prog_23[[#This Row],[SALDO]]+Prog_23[[#This Row],[MARGEM]]+Prog_23[[#This Row],[ESTADIA 1]])</f>
        <v>0</v>
      </c>
      <c r="AY7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37" s="81"/>
      <c r="BA737" s="81"/>
      <c r="BB737" s="81">
        <f>Prog_23[[#This Row],[VLR NF]]*0.1%</f>
        <v>0</v>
      </c>
      <c r="BC737" s="81">
        <f>Prog_23[[#This Row],[VLR NF]]*0.05%</f>
        <v>0</v>
      </c>
      <c r="BD737" s="81"/>
      <c r="BE737" s="81"/>
      <c r="BF737" s="81"/>
      <c r="BG737" s="81"/>
      <c r="BH737" s="81"/>
      <c r="BI737" s="81"/>
      <c r="BJ737" s="81"/>
      <c r="BK737" s="81"/>
      <c r="BL737" s="81"/>
      <c r="BM737" s="81"/>
      <c r="BN737" s="66"/>
      <c r="BO737" s="66"/>
      <c r="BP737" s="66"/>
      <c r="BQ737" s="66" t="str">
        <f>PROPER(TEXT(Prog_23[[#This Row],[PROGRAMAÇÃO CLIENTE]],"mmm"))</f>
        <v>Jan</v>
      </c>
      <c r="BR737" s="66">
        <f>YEAR(Prog_23[[#This Row],[PROGRAMAÇÃO CLIENTE]])</f>
        <v>1900</v>
      </c>
    </row>
    <row r="738" spans="1:70" x14ac:dyDescent="0.25">
      <c r="A738" s="201">
        <f>Prog_23[[#This Row],[CONTEINER]]</f>
        <v>0</v>
      </c>
      <c r="B738" s="86"/>
      <c r="C7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38" s="44"/>
      <c r="E738" s="66"/>
      <c r="F738" s="66"/>
      <c r="G738" s="66"/>
      <c r="H738" s="44"/>
      <c r="I738" s="44"/>
      <c r="J738" s="66"/>
      <c r="K738" s="66"/>
      <c r="L738" s="66"/>
      <c r="M738" s="66"/>
      <c r="N738" s="66">
        <f>SUM(Prog_23[[#This Row],[TARA]]+Prog_23[[#This Row],[PESO]])</f>
        <v>0</v>
      </c>
      <c r="O738" s="44"/>
      <c r="P738" s="66"/>
      <c r="Q738" s="66"/>
      <c r="R738" s="66"/>
      <c r="S738" s="66"/>
      <c r="T738" s="138" t="str">
        <f>IFERROR(LOOKUP($S738,MOTORISTAS!$D$3:$D$916,MOTORISTAS!E$3:$E$916),"")</f>
        <v/>
      </c>
      <c r="U738" s="138" t="str">
        <f>IFERROR(LOOKUP($S738,MOTORISTAS!$D$3:$D$916,MOTORISTAS!F$3:$F$916),"")</f>
        <v/>
      </c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44"/>
      <c r="AG738" s="254">
        <f>Prog_23[[#This Row],[SAÍDA DO CLIENTE]]-Prog_23[[#This Row],[PROGRAMAÇÃO CLIENTE]]</f>
        <v>0</v>
      </c>
      <c r="AH738" s="44"/>
      <c r="AI738" s="66"/>
      <c r="AJ738" s="66"/>
      <c r="AK738" s="66"/>
      <c r="AL738" s="66"/>
      <c r="AM738" s="66"/>
      <c r="AN738" s="83"/>
      <c r="AO738" s="83"/>
      <c r="AP738" s="83"/>
      <c r="AQ738" s="66"/>
      <c r="AR738" s="66"/>
      <c r="AS738" s="66"/>
      <c r="AT738" s="81"/>
      <c r="AU738" s="81"/>
      <c r="AV738" s="81"/>
      <c r="AW738" s="81"/>
      <c r="AX738" s="83">
        <f>SUM(Prog_23[[#This Row],[ADIANTAMENTO]]+Prog_23[[#This Row],[SALDO]]+Prog_23[[#This Row],[MARGEM]]+Prog_23[[#This Row],[ESTADIA 1]])</f>
        <v>0</v>
      </c>
      <c r="AY7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38" s="81"/>
      <c r="BA738" s="81"/>
      <c r="BB738" s="81">
        <f>Prog_23[[#This Row],[VLR NF]]*0.1%</f>
        <v>0</v>
      </c>
      <c r="BC738" s="81">
        <f>Prog_23[[#This Row],[VLR NF]]*0.05%</f>
        <v>0</v>
      </c>
      <c r="BD738" s="81"/>
      <c r="BE738" s="81"/>
      <c r="BF738" s="81"/>
      <c r="BG738" s="81"/>
      <c r="BH738" s="81"/>
      <c r="BI738" s="81"/>
      <c r="BJ738" s="81"/>
      <c r="BK738" s="81"/>
      <c r="BL738" s="81"/>
      <c r="BM738" s="81"/>
      <c r="BN738" s="66"/>
      <c r="BO738" s="66"/>
      <c r="BP738" s="66"/>
      <c r="BQ738" s="66" t="str">
        <f>PROPER(TEXT(Prog_23[[#This Row],[PROGRAMAÇÃO CLIENTE]],"mmm"))</f>
        <v>Jan</v>
      </c>
      <c r="BR738" s="66">
        <f>YEAR(Prog_23[[#This Row],[PROGRAMAÇÃO CLIENTE]])</f>
        <v>1900</v>
      </c>
    </row>
    <row r="739" spans="1:70" x14ac:dyDescent="0.25">
      <c r="A739" s="200">
        <f>Prog_23[[#This Row],[CONTEINER]]</f>
        <v>0</v>
      </c>
      <c r="B739" s="86"/>
      <c r="C7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39" s="44"/>
      <c r="E739" s="66"/>
      <c r="F739" s="66"/>
      <c r="G739" s="66"/>
      <c r="H739" s="44"/>
      <c r="I739" s="44"/>
      <c r="J739" s="66"/>
      <c r="K739" s="66"/>
      <c r="L739" s="66"/>
      <c r="M739" s="66"/>
      <c r="N739" s="66">
        <f>SUM(Prog_23[[#This Row],[TARA]]+Prog_23[[#This Row],[PESO]])</f>
        <v>0</v>
      </c>
      <c r="O739" s="44"/>
      <c r="P739" s="66"/>
      <c r="Q739" s="66"/>
      <c r="R739" s="66"/>
      <c r="S739" s="66"/>
      <c r="T739" s="138" t="str">
        <f>IFERROR(LOOKUP($S739,MOTORISTAS!$D$3:$D$916,MOTORISTAS!E$3:$E$916),"")</f>
        <v/>
      </c>
      <c r="U739" s="138" t="str">
        <f>IFERROR(LOOKUP($S739,MOTORISTAS!$D$3:$D$916,MOTORISTAS!F$3:$F$916),"")</f>
        <v/>
      </c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44"/>
      <c r="AG739" s="254">
        <f>Prog_23[[#This Row],[SAÍDA DO CLIENTE]]-Prog_23[[#This Row],[PROGRAMAÇÃO CLIENTE]]</f>
        <v>0</v>
      </c>
      <c r="AH739" s="44"/>
      <c r="AI739" s="66"/>
      <c r="AJ739" s="66"/>
      <c r="AK739" s="66"/>
      <c r="AL739" s="66"/>
      <c r="AM739" s="66"/>
      <c r="AN739" s="83"/>
      <c r="AO739" s="83"/>
      <c r="AP739" s="83"/>
      <c r="AQ739" s="66"/>
      <c r="AR739" s="66"/>
      <c r="AS739" s="66"/>
      <c r="AT739" s="81"/>
      <c r="AU739" s="81"/>
      <c r="AV739" s="81"/>
      <c r="AW739" s="81"/>
      <c r="AX739" s="83">
        <f>SUM(Prog_23[[#This Row],[ADIANTAMENTO]]+Prog_23[[#This Row],[SALDO]]+Prog_23[[#This Row],[MARGEM]]+Prog_23[[#This Row],[ESTADIA 1]])</f>
        <v>0</v>
      </c>
      <c r="AY7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39" s="81"/>
      <c r="BA739" s="81"/>
      <c r="BB739" s="81">
        <f>Prog_23[[#This Row],[VLR NF]]*0.1%</f>
        <v>0</v>
      </c>
      <c r="BC739" s="81">
        <f>Prog_23[[#This Row],[VLR NF]]*0.05%</f>
        <v>0</v>
      </c>
      <c r="BD739" s="81"/>
      <c r="BE739" s="81"/>
      <c r="BF739" s="81"/>
      <c r="BG739" s="81"/>
      <c r="BH739" s="81"/>
      <c r="BI739" s="81"/>
      <c r="BJ739" s="81"/>
      <c r="BK739" s="81"/>
      <c r="BL739" s="81"/>
      <c r="BM739" s="81"/>
      <c r="BN739" s="66"/>
      <c r="BO739" s="66"/>
      <c r="BP739" s="66"/>
      <c r="BQ739" s="66" t="str">
        <f>PROPER(TEXT(Prog_23[[#This Row],[PROGRAMAÇÃO CLIENTE]],"mmm"))</f>
        <v>Jan</v>
      </c>
      <c r="BR739" s="66">
        <f>YEAR(Prog_23[[#This Row],[PROGRAMAÇÃO CLIENTE]])</f>
        <v>1900</v>
      </c>
    </row>
    <row r="740" spans="1:70" x14ac:dyDescent="0.25">
      <c r="A740" s="201">
        <f>Prog_23[[#This Row],[CONTEINER]]</f>
        <v>0</v>
      </c>
      <c r="B740" s="86"/>
      <c r="C7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40" s="44"/>
      <c r="E740" s="66"/>
      <c r="F740" s="66"/>
      <c r="G740" s="66"/>
      <c r="H740" s="44"/>
      <c r="I740" s="44"/>
      <c r="J740" s="66"/>
      <c r="K740" s="66"/>
      <c r="L740" s="66"/>
      <c r="M740" s="66"/>
      <c r="N740" s="66">
        <f>SUM(Prog_23[[#This Row],[TARA]]+Prog_23[[#This Row],[PESO]])</f>
        <v>0</v>
      </c>
      <c r="O740" s="44"/>
      <c r="P740" s="66"/>
      <c r="Q740" s="66"/>
      <c r="R740" s="66"/>
      <c r="S740" s="66"/>
      <c r="T740" s="138" t="str">
        <f>IFERROR(LOOKUP($S740,MOTORISTAS!$D$3:$D$916,MOTORISTAS!E$3:$E$916),"")</f>
        <v/>
      </c>
      <c r="U740" s="138" t="str">
        <f>IFERROR(LOOKUP($S740,MOTORISTAS!$D$3:$D$916,MOTORISTAS!F$3:$F$916),"")</f>
        <v/>
      </c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44"/>
      <c r="AG740" s="254">
        <f>Prog_23[[#This Row],[SAÍDA DO CLIENTE]]-Prog_23[[#This Row],[PROGRAMAÇÃO CLIENTE]]</f>
        <v>0</v>
      </c>
      <c r="AH740" s="44"/>
      <c r="AI740" s="66"/>
      <c r="AJ740" s="66"/>
      <c r="AK740" s="66"/>
      <c r="AL740" s="66"/>
      <c r="AM740" s="66"/>
      <c r="AN740" s="83"/>
      <c r="AO740" s="83"/>
      <c r="AP740" s="83"/>
      <c r="AQ740" s="66"/>
      <c r="AR740" s="66"/>
      <c r="AS740" s="66"/>
      <c r="AT740" s="81"/>
      <c r="AU740" s="81"/>
      <c r="AV740" s="81"/>
      <c r="AW740" s="81"/>
      <c r="AX740" s="83">
        <f>SUM(Prog_23[[#This Row],[ADIANTAMENTO]]+Prog_23[[#This Row],[SALDO]]+Prog_23[[#This Row],[MARGEM]]+Prog_23[[#This Row],[ESTADIA 1]])</f>
        <v>0</v>
      </c>
      <c r="AY7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40" s="81"/>
      <c r="BA740" s="81"/>
      <c r="BB740" s="81">
        <f>Prog_23[[#This Row],[VLR NF]]*0.1%</f>
        <v>0</v>
      </c>
      <c r="BC740" s="81">
        <f>Prog_23[[#This Row],[VLR NF]]*0.05%</f>
        <v>0</v>
      </c>
      <c r="BD740" s="81"/>
      <c r="BE740" s="81"/>
      <c r="BF740" s="81"/>
      <c r="BG740" s="81"/>
      <c r="BH740" s="81"/>
      <c r="BI740" s="81"/>
      <c r="BJ740" s="81"/>
      <c r="BK740" s="81"/>
      <c r="BL740" s="81"/>
      <c r="BM740" s="81"/>
      <c r="BN740" s="66"/>
      <c r="BO740" s="66"/>
      <c r="BP740" s="66"/>
      <c r="BQ740" s="66" t="str">
        <f>PROPER(TEXT(Prog_23[[#This Row],[PROGRAMAÇÃO CLIENTE]],"mmm"))</f>
        <v>Jan</v>
      </c>
      <c r="BR740" s="66">
        <f>YEAR(Prog_23[[#This Row],[PROGRAMAÇÃO CLIENTE]])</f>
        <v>1900</v>
      </c>
    </row>
    <row r="741" spans="1:70" x14ac:dyDescent="0.25">
      <c r="A741" s="200">
        <f>Prog_23[[#This Row],[CONTEINER]]</f>
        <v>0</v>
      </c>
      <c r="B741" s="86"/>
      <c r="C7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41" s="44"/>
      <c r="E741" s="66"/>
      <c r="F741" s="66"/>
      <c r="G741" s="66"/>
      <c r="H741" s="44"/>
      <c r="I741" s="44"/>
      <c r="J741" s="66"/>
      <c r="K741" s="66"/>
      <c r="L741" s="66"/>
      <c r="M741" s="66"/>
      <c r="N741" s="66">
        <f>SUM(Prog_23[[#This Row],[TARA]]+Prog_23[[#This Row],[PESO]])</f>
        <v>0</v>
      </c>
      <c r="O741" s="44"/>
      <c r="P741" s="66"/>
      <c r="Q741" s="66"/>
      <c r="R741" s="66"/>
      <c r="S741" s="66"/>
      <c r="T741" s="138" t="str">
        <f>IFERROR(LOOKUP($S741,MOTORISTAS!$D$3:$D$916,MOTORISTAS!E$3:$E$916),"")</f>
        <v/>
      </c>
      <c r="U741" s="138" t="str">
        <f>IFERROR(LOOKUP($S741,MOTORISTAS!$D$3:$D$916,MOTORISTAS!F$3:$F$916),"")</f>
        <v/>
      </c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44"/>
      <c r="AG741" s="254">
        <f>Prog_23[[#This Row],[SAÍDA DO CLIENTE]]-Prog_23[[#This Row],[PROGRAMAÇÃO CLIENTE]]</f>
        <v>0</v>
      </c>
      <c r="AH741" s="44"/>
      <c r="AI741" s="66"/>
      <c r="AJ741" s="66"/>
      <c r="AK741" s="66"/>
      <c r="AL741" s="66"/>
      <c r="AM741" s="66"/>
      <c r="AN741" s="83"/>
      <c r="AO741" s="83"/>
      <c r="AP741" s="83"/>
      <c r="AQ741" s="66"/>
      <c r="AR741" s="66"/>
      <c r="AS741" s="66"/>
      <c r="AT741" s="81"/>
      <c r="AU741" s="81"/>
      <c r="AV741" s="81"/>
      <c r="AW741" s="81"/>
      <c r="AX741" s="83">
        <f>SUM(Prog_23[[#This Row],[ADIANTAMENTO]]+Prog_23[[#This Row],[SALDO]]+Prog_23[[#This Row],[MARGEM]]+Prog_23[[#This Row],[ESTADIA 1]])</f>
        <v>0</v>
      </c>
      <c r="AY7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41" s="81"/>
      <c r="BA741" s="81"/>
      <c r="BB741" s="81">
        <f>Prog_23[[#This Row],[VLR NF]]*0.1%</f>
        <v>0</v>
      </c>
      <c r="BC741" s="81">
        <f>Prog_23[[#This Row],[VLR NF]]*0.05%</f>
        <v>0</v>
      </c>
      <c r="BD741" s="81"/>
      <c r="BE741" s="81"/>
      <c r="BF741" s="81"/>
      <c r="BG741" s="81"/>
      <c r="BH741" s="81"/>
      <c r="BI741" s="81"/>
      <c r="BJ741" s="81"/>
      <c r="BK741" s="81"/>
      <c r="BL741" s="81"/>
      <c r="BM741" s="81"/>
      <c r="BN741" s="66"/>
      <c r="BO741" s="66"/>
      <c r="BP741" s="66"/>
      <c r="BQ741" s="66" t="str">
        <f>PROPER(TEXT(Prog_23[[#This Row],[PROGRAMAÇÃO CLIENTE]],"mmm"))</f>
        <v>Jan</v>
      </c>
      <c r="BR741" s="66">
        <f>YEAR(Prog_23[[#This Row],[PROGRAMAÇÃO CLIENTE]])</f>
        <v>1900</v>
      </c>
    </row>
    <row r="742" spans="1:70" x14ac:dyDescent="0.25">
      <c r="A742" s="201">
        <f>Prog_23[[#This Row],[CONTEINER]]</f>
        <v>0</v>
      </c>
      <c r="B742" s="86"/>
      <c r="C7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42" s="44"/>
      <c r="E742" s="66"/>
      <c r="F742" s="66"/>
      <c r="G742" s="66"/>
      <c r="H742" s="44"/>
      <c r="I742" s="44"/>
      <c r="J742" s="66"/>
      <c r="K742" s="66"/>
      <c r="L742" s="66"/>
      <c r="M742" s="66"/>
      <c r="N742" s="66">
        <f>SUM(Prog_23[[#This Row],[TARA]]+Prog_23[[#This Row],[PESO]])</f>
        <v>0</v>
      </c>
      <c r="O742" s="44"/>
      <c r="P742" s="66"/>
      <c r="Q742" s="66"/>
      <c r="R742" s="66"/>
      <c r="S742" s="66"/>
      <c r="T742" s="138" t="str">
        <f>IFERROR(LOOKUP($S742,MOTORISTAS!$D$3:$D$916,MOTORISTAS!E$3:$E$916),"")</f>
        <v/>
      </c>
      <c r="U742" s="138" t="str">
        <f>IFERROR(LOOKUP($S742,MOTORISTAS!$D$3:$D$916,MOTORISTAS!F$3:$F$916),"")</f>
        <v/>
      </c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44"/>
      <c r="AG742" s="254">
        <f>Prog_23[[#This Row],[SAÍDA DO CLIENTE]]-Prog_23[[#This Row],[PROGRAMAÇÃO CLIENTE]]</f>
        <v>0</v>
      </c>
      <c r="AH742" s="44"/>
      <c r="AI742" s="66"/>
      <c r="AJ742" s="66"/>
      <c r="AK742" s="66"/>
      <c r="AL742" s="66"/>
      <c r="AM742" s="66"/>
      <c r="AN742" s="83"/>
      <c r="AO742" s="83"/>
      <c r="AP742" s="83"/>
      <c r="AQ742" s="66"/>
      <c r="AR742" s="66"/>
      <c r="AS742" s="66"/>
      <c r="AT742" s="81"/>
      <c r="AU742" s="81"/>
      <c r="AV742" s="81"/>
      <c r="AW742" s="81"/>
      <c r="AX742" s="83">
        <f>SUM(Prog_23[[#This Row],[ADIANTAMENTO]]+Prog_23[[#This Row],[SALDO]]+Prog_23[[#This Row],[MARGEM]]+Prog_23[[#This Row],[ESTADIA 1]])</f>
        <v>0</v>
      </c>
      <c r="AY7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42" s="81"/>
      <c r="BA742" s="81"/>
      <c r="BB742" s="81">
        <f>Prog_23[[#This Row],[VLR NF]]*0.1%</f>
        <v>0</v>
      </c>
      <c r="BC742" s="81">
        <f>Prog_23[[#This Row],[VLR NF]]*0.05%</f>
        <v>0</v>
      </c>
      <c r="BD742" s="81"/>
      <c r="BE742" s="81"/>
      <c r="BF742" s="81"/>
      <c r="BG742" s="81"/>
      <c r="BH742" s="81"/>
      <c r="BI742" s="81"/>
      <c r="BJ742" s="81"/>
      <c r="BK742" s="81"/>
      <c r="BL742" s="81"/>
      <c r="BM742" s="81"/>
      <c r="BN742" s="66"/>
      <c r="BO742" s="66"/>
      <c r="BP742" s="66"/>
      <c r="BQ742" s="66" t="str">
        <f>PROPER(TEXT(Prog_23[[#This Row],[PROGRAMAÇÃO CLIENTE]],"mmm"))</f>
        <v>Jan</v>
      </c>
      <c r="BR742" s="66">
        <f>YEAR(Prog_23[[#This Row],[PROGRAMAÇÃO CLIENTE]])</f>
        <v>1900</v>
      </c>
    </row>
    <row r="743" spans="1:70" x14ac:dyDescent="0.25">
      <c r="A743" s="200">
        <f>Prog_23[[#This Row],[CONTEINER]]</f>
        <v>0</v>
      </c>
      <c r="B743" s="86"/>
      <c r="C7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43" s="44"/>
      <c r="E743" s="66"/>
      <c r="F743" s="66"/>
      <c r="G743" s="66"/>
      <c r="H743" s="44"/>
      <c r="I743" s="44"/>
      <c r="J743" s="66"/>
      <c r="K743" s="66"/>
      <c r="L743" s="66"/>
      <c r="M743" s="66"/>
      <c r="N743" s="66">
        <f>SUM(Prog_23[[#This Row],[TARA]]+Prog_23[[#This Row],[PESO]])</f>
        <v>0</v>
      </c>
      <c r="O743" s="44"/>
      <c r="P743" s="66"/>
      <c r="Q743" s="66"/>
      <c r="R743" s="66"/>
      <c r="S743" s="66"/>
      <c r="T743" s="138" t="str">
        <f>IFERROR(LOOKUP($S743,MOTORISTAS!$D$3:$D$916,MOTORISTAS!E$3:$E$916),"")</f>
        <v/>
      </c>
      <c r="U743" s="138" t="str">
        <f>IFERROR(LOOKUP($S743,MOTORISTAS!$D$3:$D$916,MOTORISTAS!F$3:$F$916),"")</f>
        <v/>
      </c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44"/>
      <c r="AG743" s="254">
        <f>Prog_23[[#This Row],[SAÍDA DO CLIENTE]]-Prog_23[[#This Row],[PROGRAMAÇÃO CLIENTE]]</f>
        <v>0</v>
      </c>
      <c r="AH743" s="44"/>
      <c r="AI743" s="66"/>
      <c r="AJ743" s="66"/>
      <c r="AK743" s="66"/>
      <c r="AL743" s="66"/>
      <c r="AM743" s="66"/>
      <c r="AN743" s="83"/>
      <c r="AO743" s="83"/>
      <c r="AP743" s="83"/>
      <c r="AQ743" s="66"/>
      <c r="AR743" s="66"/>
      <c r="AS743" s="66"/>
      <c r="AT743" s="81"/>
      <c r="AU743" s="81"/>
      <c r="AV743" s="81"/>
      <c r="AW743" s="81"/>
      <c r="AX743" s="83">
        <f>SUM(Prog_23[[#This Row],[ADIANTAMENTO]]+Prog_23[[#This Row],[SALDO]]+Prog_23[[#This Row],[MARGEM]]+Prog_23[[#This Row],[ESTADIA 1]])</f>
        <v>0</v>
      </c>
      <c r="AY7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43" s="81"/>
      <c r="BA743" s="81"/>
      <c r="BB743" s="81">
        <f>Prog_23[[#This Row],[VLR NF]]*0.1%</f>
        <v>0</v>
      </c>
      <c r="BC743" s="81">
        <f>Prog_23[[#This Row],[VLR NF]]*0.05%</f>
        <v>0</v>
      </c>
      <c r="BD743" s="81"/>
      <c r="BE743" s="81"/>
      <c r="BF743" s="81"/>
      <c r="BG743" s="81"/>
      <c r="BH743" s="81"/>
      <c r="BI743" s="81"/>
      <c r="BJ743" s="81"/>
      <c r="BK743" s="81"/>
      <c r="BL743" s="81"/>
      <c r="BM743" s="81"/>
      <c r="BN743" s="66"/>
      <c r="BO743" s="66"/>
      <c r="BP743" s="66"/>
      <c r="BQ743" s="66" t="str">
        <f>PROPER(TEXT(Prog_23[[#This Row],[PROGRAMAÇÃO CLIENTE]],"mmm"))</f>
        <v>Jan</v>
      </c>
      <c r="BR743" s="66">
        <f>YEAR(Prog_23[[#This Row],[PROGRAMAÇÃO CLIENTE]])</f>
        <v>1900</v>
      </c>
    </row>
    <row r="744" spans="1:70" x14ac:dyDescent="0.25">
      <c r="A744" s="201">
        <f>Prog_23[[#This Row],[CONTEINER]]</f>
        <v>0</v>
      </c>
      <c r="B744" s="86"/>
      <c r="C7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44" s="44"/>
      <c r="E744" s="66"/>
      <c r="F744" s="66"/>
      <c r="G744" s="66"/>
      <c r="H744" s="44"/>
      <c r="I744" s="44"/>
      <c r="J744" s="66"/>
      <c r="K744" s="66"/>
      <c r="L744" s="66"/>
      <c r="M744" s="66"/>
      <c r="N744" s="66">
        <f>SUM(Prog_23[[#This Row],[TARA]]+Prog_23[[#This Row],[PESO]])</f>
        <v>0</v>
      </c>
      <c r="O744" s="44"/>
      <c r="P744" s="66"/>
      <c r="Q744" s="66"/>
      <c r="R744" s="66"/>
      <c r="S744" s="66"/>
      <c r="T744" s="138" t="str">
        <f>IFERROR(LOOKUP($S744,MOTORISTAS!$D$3:$D$916,MOTORISTAS!E$3:$E$916),"")</f>
        <v/>
      </c>
      <c r="U744" s="138" t="str">
        <f>IFERROR(LOOKUP($S744,MOTORISTAS!$D$3:$D$916,MOTORISTAS!F$3:$F$916),"")</f>
        <v/>
      </c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44"/>
      <c r="AG744" s="254">
        <f>Prog_23[[#This Row],[SAÍDA DO CLIENTE]]-Prog_23[[#This Row],[PROGRAMAÇÃO CLIENTE]]</f>
        <v>0</v>
      </c>
      <c r="AH744" s="44"/>
      <c r="AI744" s="66"/>
      <c r="AJ744" s="66"/>
      <c r="AK744" s="66"/>
      <c r="AL744" s="66"/>
      <c r="AM744" s="66"/>
      <c r="AN744" s="83"/>
      <c r="AO744" s="83"/>
      <c r="AP744" s="83"/>
      <c r="AQ744" s="66"/>
      <c r="AR744" s="66"/>
      <c r="AS744" s="66"/>
      <c r="AT744" s="81"/>
      <c r="AU744" s="81"/>
      <c r="AV744" s="81"/>
      <c r="AW744" s="81"/>
      <c r="AX744" s="83">
        <f>SUM(Prog_23[[#This Row],[ADIANTAMENTO]]+Prog_23[[#This Row],[SALDO]]+Prog_23[[#This Row],[MARGEM]]+Prog_23[[#This Row],[ESTADIA 1]])</f>
        <v>0</v>
      </c>
      <c r="AY7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44" s="81"/>
      <c r="BA744" s="81"/>
      <c r="BB744" s="81">
        <f>Prog_23[[#This Row],[VLR NF]]*0.1%</f>
        <v>0</v>
      </c>
      <c r="BC744" s="81">
        <f>Prog_23[[#This Row],[VLR NF]]*0.05%</f>
        <v>0</v>
      </c>
      <c r="BD744" s="81"/>
      <c r="BE744" s="81"/>
      <c r="BF744" s="81"/>
      <c r="BG744" s="81"/>
      <c r="BH744" s="81"/>
      <c r="BI744" s="81"/>
      <c r="BJ744" s="81"/>
      <c r="BK744" s="81"/>
      <c r="BL744" s="81"/>
      <c r="BM744" s="81"/>
      <c r="BN744" s="66"/>
      <c r="BO744" s="66"/>
      <c r="BP744" s="66"/>
      <c r="BQ744" s="66" t="str">
        <f>PROPER(TEXT(Prog_23[[#This Row],[PROGRAMAÇÃO CLIENTE]],"mmm"))</f>
        <v>Jan</v>
      </c>
      <c r="BR744" s="66">
        <f>YEAR(Prog_23[[#This Row],[PROGRAMAÇÃO CLIENTE]])</f>
        <v>1900</v>
      </c>
    </row>
    <row r="745" spans="1:70" x14ac:dyDescent="0.25">
      <c r="A745" s="200">
        <f>Prog_23[[#This Row],[CONTEINER]]</f>
        <v>0</v>
      </c>
      <c r="B745" s="86"/>
      <c r="C7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45" s="44"/>
      <c r="E745" s="66"/>
      <c r="F745" s="66"/>
      <c r="G745" s="66"/>
      <c r="H745" s="44"/>
      <c r="I745" s="44"/>
      <c r="J745" s="66"/>
      <c r="K745" s="66"/>
      <c r="L745" s="66"/>
      <c r="M745" s="66"/>
      <c r="N745" s="66">
        <f>SUM(Prog_23[[#This Row],[TARA]]+Prog_23[[#This Row],[PESO]])</f>
        <v>0</v>
      </c>
      <c r="O745" s="44"/>
      <c r="P745" s="66"/>
      <c r="Q745" s="66"/>
      <c r="R745" s="66"/>
      <c r="S745" s="66"/>
      <c r="T745" s="138" t="str">
        <f>IFERROR(LOOKUP($S745,MOTORISTAS!$D$3:$D$916,MOTORISTAS!E$3:$E$916),"")</f>
        <v/>
      </c>
      <c r="U745" s="138" t="str">
        <f>IFERROR(LOOKUP($S745,MOTORISTAS!$D$3:$D$916,MOTORISTAS!F$3:$F$916),"")</f>
        <v/>
      </c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44"/>
      <c r="AG745" s="254">
        <f>Prog_23[[#This Row],[SAÍDA DO CLIENTE]]-Prog_23[[#This Row],[PROGRAMAÇÃO CLIENTE]]</f>
        <v>0</v>
      </c>
      <c r="AH745" s="44"/>
      <c r="AI745" s="66"/>
      <c r="AJ745" s="66"/>
      <c r="AK745" s="66"/>
      <c r="AL745" s="66"/>
      <c r="AM745" s="66"/>
      <c r="AN745" s="83"/>
      <c r="AO745" s="83"/>
      <c r="AP745" s="83"/>
      <c r="AQ745" s="66"/>
      <c r="AR745" s="66"/>
      <c r="AS745" s="66"/>
      <c r="AT745" s="81"/>
      <c r="AU745" s="81"/>
      <c r="AV745" s="81"/>
      <c r="AW745" s="81"/>
      <c r="AX745" s="83">
        <f>SUM(Prog_23[[#This Row],[ADIANTAMENTO]]+Prog_23[[#This Row],[SALDO]]+Prog_23[[#This Row],[MARGEM]]+Prog_23[[#This Row],[ESTADIA 1]])</f>
        <v>0</v>
      </c>
      <c r="AY7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45" s="81"/>
      <c r="BA745" s="81"/>
      <c r="BB745" s="81">
        <f>Prog_23[[#This Row],[VLR NF]]*0.1%</f>
        <v>0</v>
      </c>
      <c r="BC745" s="81">
        <f>Prog_23[[#This Row],[VLR NF]]*0.05%</f>
        <v>0</v>
      </c>
      <c r="BD745" s="81"/>
      <c r="BE745" s="81"/>
      <c r="BF745" s="81"/>
      <c r="BG745" s="81"/>
      <c r="BH745" s="81"/>
      <c r="BI745" s="81"/>
      <c r="BJ745" s="81"/>
      <c r="BK745" s="81"/>
      <c r="BL745" s="81"/>
      <c r="BM745" s="81"/>
      <c r="BN745" s="66"/>
      <c r="BO745" s="66"/>
      <c r="BP745" s="66"/>
      <c r="BQ745" s="66" t="str">
        <f>PROPER(TEXT(Prog_23[[#This Row],[PROGRAMAÇÃO CLIENTE]],"mmm"))</f>
        <v>Jan</v>
      </c>
      <c r="BR745" s="66">
        <f>YEAR(Prog_23[[#This Row],[PROGRAMAÇÃO CLIENTE]])</f>
        <v>1900</v>
      </c>
    </row>
    <row r="746" spans="1:70" x14ac:dyDescent="0.25">
      <c r="A746" s="201">
        <f>Prog_23[[#This Row],[CONTEINER]]</f>
        <v>0</v>
      </c>
      <c r="B746" s="86"/>
      <c r="C7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46" s="44"/>
      <c r="E746" s="66"/>
      <c r="F746" s="66"/>
      <c r="G746" s="66"/>
      <c r="H746" s="44"/>
      <c r="I746" s="44"/>
      <c r="J746" s="66"/>
      <c r="K746" s="66"/>
      <c r="L746" s="66"/>
      <c r="M746" s="66"/>
      <c r="N746" s="66">
        <f>SUM(Prog_23[[#This Row],[TARA]]+Prog_23[[#This Row],[PESO]])</f>
        <v>0</v>
      </c>
      <c r="O746" s="44"/>
      <c r="P746" s="66"/>
      <c r="Q746" s="66"/>
      <c r="R746" s="66"/>
      <c r="S746" s="66"/>
      <c r="T746" s="138" t="str">
        <f>IFERROR(LOOKUP($S746,MOTORISTAS!$D$3:$D$916,MOTORISTAS!E$3:$E$916),"")</f>
        <v/>
      </c>
      <c r="U746" s="138" t="str">
        <f>IFERROR(LOOKUP($S746,MOTORISTAS!$D$3:$D$916,MOTORISTAS!F$3:$F$916),"")</f>
        <v/>
      </c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44"/>
      <c r="AG746" s="254">
        <f>Prog_23[[#This Row],[SAÍDA DO CLIENTE]]-Prog_23[[#This Row],[PROGRAMAÇÃO CLIENTE]]</f>
        <v>0</v>
      </c>
      <c r="AH746" s="44"/>
      <c r="AI746" s="66"/>
      <c r="AJ746" s="66"/>
      <c r="AK746" s="66"/>
      <c r="AL746" s="66"/>
      <c r="AM746" s="66"/>
      <c r="AN746" s="83"/>
      <c r="AO746" s="83"/>
      <c r="AP746" s="83"/>
      <c r="AQ746" s="66"/>
      <c r="AR746" s="66"/>
      <c r="AS746" s="66"/>
      <c r="AT746" s="81"/>
      <c r="AU746" s="81"/>
      <c r="AV746" s="81"/>
      <c r="AW746" s="81"/>
      <c r="AX746" s="83">
        <f>SUM(Prog_23[[#This Row],[ADIANTAMENTO]]+Prog_23[[#This Row],[SALDO]]+Prog_23[[#This Row],[MARGEM]]+Prog_23[[#This Row],[ESTADIA 1]])</f>
        <v>0</v>
      </c>
      <c r="AY7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46" s="81"/>
      <c r="BA746" s="81"/>
      <c r="BB746" s="81">
        <f>Prog_23[[#This Row],[VLR NF]]*0.1%</f>
        <v>0</v>
      </c>
      <c r="BC746" s="81">
        <f>Prog_23[[#This Row],[VLR NF]]*0.05%</f>
        <v>0</v>
      </c>
      <c r="BD746" s="81"/>
      <c r="BE746" s="81"/>
      <c r="BF746" s="81"/>
      <c r="BG746" s="81"/>
      <c r="BH746" s="81"/>
      <c r="BI746" s="81"/>
      <c r="BJ746" s="81"/>
      <c r="BK746" s="81"/>
      <c r="BL746" s="81"/>
      <c r="BM746" s="81"/>
      <c r="BN746" s="66"/>
      <c r="BO746" s="66"/>
      <c r="BP746" s="66"/>
      <c r="BQ746" s="66" t="str">
        <f>PROPER(TEXT(Prog_23[[#This Row],[PROGRAMAÇÃO CLIENTE]],"mmm"))</f>
        <v>Jan</v>
      </c>
      <c r="BR746" s="66">
        <f>YEAR(Prog_23[[#This Row],[PROGRAMAÇÃO CLIENTE]])</f>
        <v>1900</v>
      </c>
    </row>
    <row r="747" spans="1:70" x14ac:dyDescent="0.25">
      <c r="A747" s="200">
        <f>Prog_23[[#This Row],[CONTEINER]]</f>
        <v>0</v>
      </c>
      <c r="B747" s="86"/>
      <c r="C7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47" s="44"/>
      <c r="E747" s="66"/>
      <c r="F747" s="66"/>
      <c r="G747" s="66"/>
      <c r="H747" s="44"/>
      <c r="I747" s="44"/>
      <c r="J747" s="66"/>
      <c r="K747" s="66"/>
      <c r="L747" s="66"/>
      <c r="M747" s="66"/>
      <c r="N747" s="66">
        <f>SUM(Prog_23[[#This Row],[TARA]]+Prog_23[[#This Row],[PESO]])</f>
        <v>0</v>
      </c>
      <c r="O747" s="44"/>
      <c r="P747" s="66"/>
      <c r="Q747" s="66"/>
      <c r="R747" s="66"/>
      <c r="S747" s="66"/>
      <c r="T747" s="138" t="str">
        <f>IFERROR(LOOKUP($S747,MOTORISTAS!$D$3:$D$916,MOTORISTAS!E$3:$E$916),"")</f>
        <v/>
      </c>
      <c r="U747" s="138" t="str">
        <f>IFERROR(LOOKUP($S747,MOTORISTAS!$D$3:$D$916,MOTORISTAS!F$3:$F$916),"")</f>
        <v/>
      </c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44"/>
      <c r="AG747" s="254">
        <f>Prog_23[[#This Row],[SAÍDA DO CLIENTE]]-Prog_23[[#This Row],[PROGRAMAÇÃO CLIENTE]]</f>
        <v>0</v>
      </c>
      <c r="AH747" s="44"/>
      <c r="AI747" s="66"/>
      <c r="AJ747" s="66"/>
      <c r="AK747" s="66"/>
      <c r="AL747" s="66"/>
      <c r="AM747" s="66"/>
      <c r="AN747" s="83"/>
      <c r="AO747" s="83"/>
      <c r="AP747" s="83"/>
      <c r="AQ747" s="66"/>
      <c r="AR747" s="66"/>
      <c r="AS747" s="66"/>
      <c r="AT747" s="81"/>
      <c r="AU747" s="81"/>
      <c r="AV747" s="81"/>
      <c r="AW747" s="81"/>
      <c r="AX747" s="83">
        <f>SUM(Prog_23[[#This Row],[ADIANTAMENTO]]+Prog_23[[#This Row],[SALDO]]+Prog_23[[#This Row],[MARGEM]]+Prog_23[[#This Row],[ESTADIA 1]])</f>
        <v>0</v>
      </c>
      <c r="AY7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47" s="81"/>
      <c r="BA747" s="81"/>
      <c r="BB747" s="81">
        <f>Prog_23[[#This Row],[VLR NF]]*0.1%</f>
        <v>0</v>
      </c>
      <c r="BC747" s="81">
        <f>Prog_23[[#This Row],[VLR NF]]*0.05%</f>
        <v>0</v>
      </c>
      <c r="BD747" s="81"/>
      <c r="BE747" s="81"/>
      <c r="BF747" s="81"/>
      <c r="BG747" s="81"/>
      <c r="BH747" s="81"/>
      <c r="BI747" s="81"/>
      <c r="BJ747" s="81"/>
      <c r="BK747" s="81"/>
      <c r="BL747" s="81"/>
      <c r="BM747" s="81"/>
      <c r="BN747" s="66"/>
      <c r="BO747" s="66"/>
      <c r="BP747" s="66"/>
      <c r="BQ747" s="66" t="str">
        <f>PROPER(TEXT(Prog_23[[#This Row],[PROGRAMAÇÃO CLIENTE]],"mmm"))</f>
        <v>Jan</v>
      </c>
      <c r="BR747" s="66">
        <f>YEAR(Prog_23[[#This Row],[PROGRAMAÇÃO CLIENTE]])</f>
        <v>1900</v>
      </c>
    </row>
    <row r="748" spans="1:70" x14ac:dyDescent="0.25">
      <c r="A748" s="201">
        <f>Prog_23[[#This Row],[CONTEINER]]</f>
        <v>0</v>
      </c>
      <c r="B748" s="86"/>
      <c r="C7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48" s="44"/>
      <c r="E748" s="66"/>
      <c r="F748" s="66"/>
      <c r="G748" s="66"/>
      <c r="H748" s="44"/>
      <c r="I748" s="44"/>
      <c r="J748" s="66"/>
      <c r="K748" s="66"/>
      <c r="L748" s="66"/>
      <c r="M748" s="66"/>
      <c r="N748" s="66">
        <f>SUM(Prog_23[[#This Row],[TARA]]+Prog_23[[#This Row],[PESO]])</f>
        <v>0</v>
      </c>
      <c r="O748" s="44"/>
      <c r="P748" s="66"/>
      <c r="Q748" s="66"/>
      <c r="R748" s="66"/>
      <c r="S748" s="66"/>
      <c r="T748" s="138" t="str">
        <f>IFERROR(LOOKUP($S748,MOTORISTAS!$D$3:$D$916,MOTORISTAS!E$3:$E$916),"")</f>
        <v/>
      </c>
      <c r="U748" s="138" t="str">
        <f>IFERROR(LOOKUP($S748,MOTORISTAS!$D$3:$D$916,MOTORISTAS!F$3:$F$916),"")</f>
        <v/>
      </c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44"/>
      <c r="AG748" s="254">
        <f>Prog_23[[#This Row],[SAÍDA DO CLIENTE]]-Prog_23[[#This Row],[PROGRAMAÇÃO CLIENTE]]</f>
        <v>0</v>
      </c>
      <c r="AH748" s="44"/>
      <c r="AI748" s="66"/>
      <c r="AJ748" s="66"/>
      <c r="AK748" s="66"/>
      <c r="AL748" s="66"/>
      <c r="AM748" s="66"/>
      <c r="AN748" s="83"/>
      <c r="AO748" s="83"/>
      <c r="AP748" s="83"/>
      <c r="AQ748" s="66"/>
      <c r="AR748" s="66"/>
      <c r="AS748" s="66"/>
      <c r="AT748" s="81"/>
      <c r="AU748" s="81"/>
      <c r="AV748" s="81"/>
      <c r="AW748" s="81"/>
      <c r="AX748" s="83">
        <f>SUM(Prog_23[[#This Row],[ADIANTAMENTO]]+Prog_23[[#This Row],[SALDO]]+Prog_23[[#This Row],[MARGEM]]+Prog_23[[#This Row],[ESTADIA 1]])</f>
        <v>0</v>
      </c>
      <c r="AY7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48" s="81"/>
      <c r="BA748" s="81"/>
      <c r="BB748" s="81">
        <f>Prog_23[[#This Row],[VLR NF]]*0.1%</f>
        <v>0</v>
      </c>
      <c r="BC748" s="81">
        <f>Prog_23[[#This Row],[VLR NF]]*0.05%</f>
        <v>0</v>
      </c>
      <c r="BD748" s="81"/>
      <c r="BE748" s="81"/>
      <c r="BF748" s="81"/>
      <c r="BG748" s="81"/>
      <c r="BH748" s="81"/>
      <c r="BI748" s="81"/>
      <c r="BJ748" s="81"/>
      <c r="BK748" s="81"/>
      <c r="BL748" s="81"/>
      <c r="BM748" s="81"/>
      <c r="BN748" s="66"/>
      <c r="BO748" s="66"/>
      <c r="BP748" s="66"/>
      <c r="BQ748" s="66" t="str">
        <f>PROPER(TEXT(Prog_23[[#This Row],[PROGRAMAÇÃO CLIENTE]],"mmm"))</f>
        <v>Jan</v>
      </c>
      <c r="BR748" s="66">
        <f>YEAR(Prog_23[[#This Row],[PROGRAMAÇÃO CLIENTE]])</f>
        <v>1900</v>
      </c>
    </row>
    <row r="749" spans="1:70" x14ac:dyDescent="0.25">
      <c r="A749" s="200">
        <f>Prog_23[[#This Row],[CONTEINER]]</f>
        <v>0</v>
      </c>
      <c r="B749" s="86"/>
      <c r="C7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49" s="44"/>
      <c r="E749" s="66"/>
      <c r="F749" s="66"/>
      <c r="G749" s="66"/>
      <c r="H749" s="44"/>
      <c r="I749" s="44"/>
      <c r="J749" s="66"/>
      <c r="K749" s="66"/>
      <c r="L749" s="66"/>
      <c r="M749" s="66"/>
      <c r="N749" s="66">
        <f>SUM(Prog_23[[#This Row],[TARA]]+Prog_23[[#This Row],[PESO]])</f>
        <v>0</v>
      </c>
      <c r="O749" s="44"/>
      <c r="P749" s="66"/>
      <c r="Q749" s="66"/>
      <c r="R749" s="66"/>
      <c r="S749" s="66"/>
      <c r="T749" s="138" t="str">
        <f>IFERROR(LOOKUP($S749,MOTORISTAS!$D$3:$D$916,MOTORISTAS!E$3:$E$916),"")</f>
        <v/>
      </c>
      <c r="U749" s="138" t="str">
        <f>IFERROR(LOOKUP($S749,MOTORISTAS!$D$3:$D$916,MOTORISTAS!F$3:$F$916),"")</f>
        <v/>
      </c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44"/>
      <c r="AG749" s="254">
        <f>Prog_23[[#This Row],[SAÍDA DO CLIENTE]]-Prog_23[[#This Row],[PROGRAMAÇÃO CLIENTE]]</f>
        <v>0</v>
      </c>
      <c r="AH749" s="44"/>
      <c r="AI749" s="66"/>
      <c r="AJ749" s="66"/>
      <c r="AK749" s="66"/>
      <c r="AL749" s="66"/>
      <c r="AM749" s="66"/>
      <c r="AN749" s="83"/>
      <c r="AO749" s="83"/>
      <c r="AP749" s="83"/>
      <c r="AQ749" s="66"/>
      <c r="AR749" s="66"/>
      <c r="AS749" s="66"/>
      <c r="AT749" s="81"/>
      <c r="AU749" s="81"/>
      <c r="AV749" s="81"/>
      <c r="AW749" s="81"/>
      <c r="AX749" s="83">
        <f>SUM(Prog_23[[#This Row],[ADIANTAMENTO]]+Prog_23[[#This Row],[SALDO]]+Prog_23[[#This Row],[MARGEM]]+Prog_23[[#This Row],[ESTADIA 1]])</f>
        <v>0</v>
      </c>
      <c r="AY7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49" s="81"/>
      <c r="BA749" s="81"/>
      <c r="BB749" s="81">
        <f>Prog_23[[#This Row],[VLR NF]]*0.1%</f>
        <v>0</v>
      </c>
      <c r="BC749" s="81">
        <f>Prog_23[[#This Row],[VLR NF]]*0.05%</f>
        <v>0</v>
      </c>
      <c r="BD749" s="81"/>
      <c r="BE749" s="81"/>
      <c r="BF749" s="81"/>
      <c r="BG749" s="81"/>
      <c r="BH749" s="81"/>
      <c r="BI749" s="81"/>
      <c r="BJ749" s="81"/>
      <c r="BK749" s="81"/>
      <c r="BL749" s="81"/>
      <c r="BM749" s="81"/>
      <c r="BN749" s="66"/>
      <c r="BO749" s="66"/>
      <c r="BP749" s="66"/>
      <c r="BQ749" s="66" t="str">
        <f>PROPER(TEXT(Prog_23[[#This Row],[PROGRAMAÇÃO CLIENTE]],"mmm"))</f>
        <v>Jan</v>
      </c>
      <c r="BR749" s="66">
        <f>YEAR(Prog_23[[#This Row],[PROGRAMAÇÃO CLIENTE]])</f>
        <v>1900</v>
      </c>
    </row>
    <row r="750" spans="1:70" x14ac:dyDescent="0.25">
      <c r="A750" s="201">
        <f>Prog_23[[#This Row],[CONTEINER]]</f>
        <v>0</v>
      </c>
      <c r="B750" s="86"/>
      <c r="C7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50" s="44"/>
      <c r="E750" s="66"/>
      <c r="F750" s="66"/>
      <c r="G750" s="66"/>
      <c r="H750" s="44"/>
      <c r="I750" s="44"/>
      <c r="J750" s="66"/>
      <c r="K750" s="66"/>
      <c r="L750" s="66"/>
      <c r="M750" s="66"/>
      <c r="N750" s="66">
        <f>SUM(Prog_23[[#This Row],[TARA]]+Prog_23[[#This Row],[PESO]])</f>
        <v>0</v>
      </c>
      <c r="O750" s="44"/>
      <c r="P750" s="66"/>
      <c r="Q750" s="66"/>
      <c r="R750" s="66"/>
      <c r="S750" s="66"/>
      <c r="T750" s="138" t="str">
        <f>IFERROR(LOOKUP($S750,MOTORISTAS!$D$3:$D$916,MOTORISTAS!E$3:$E$916),"")</f>
        <v/>
      </c>
      <c r="U750" s="138" t="str">
        <f>IFERROR(LOOKUP($S750,MOTORISTAS!$D$3:$D$916,MOTORISTAS!F$3:$F$916),"")</f>
        <v/>
      </c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44"/>
      <c r="AG750" s="254">
        <f>Prog_23[[#This Row],[SAÍDA DO CLIENTE]]-Prog_23[[#This Row],[PROGRAMAÇÃO CLIENTE]]</f>
        <v>0</v>
      </c>
      <c r="AH750" s="44"/>
      <c r="AI750" s="66"/>
      <c r="AJ750" s="66"/>
      <c r="AK750" s="66"/>
      <c r="AL750" s="66"/>
      <c r="AM750" s="66"/>
      <c r="AN750" s="83"/>
      <c r="AO750" s="83"/>
      <c r="AP750" s="83"/>
      <c r="AQ750" s="66"/>
      <c r="AR750" s="66"/>
      <c r="AS750" s="66"/>
      <c r="AT750" s="81"/>
      <c r="AU750" s="81"/>
      <c r="AV750" s="81"/>
      <c r="AW750" s="81"/>
      <c r="AX750" s="83">
        <f>SUM(Prog_23[[#This Row],[ADIANTAMENTO]]+Prog_23[[#This Row],[SALDO]]+Prog_23[[#This Row],[MARGEM]]+Prog_23[[#This Row],[ESTADIA 1]])</f>
        <v>0</v>
      </c>
      <c r="AY7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50" s="81"/>
      <c r="BA750" s="81"/>
      <c r="BB750" s="81">
        <f>Prog_23[[#This Row],[VLR NF]]*0.1%</f>
        <v>0</v>
      </c>
      <c r="BC750" s="81">
        <f>Prog_23[[#This Row],[VLR NF]]*0.05%</f>
        <v>0</v>
      </c>
      <c r="BD750" s="81"/>
      <c r="BE750" s="81"/>
      <c r="BF750" s="81"/>
      <c r="BG750" s="81"/>
      <c r="BH750" s="81"/>
      <c r="BI750" s="81"/>
      <c r="BJ750" s="81"/>
      <c r="BK750" s="81"/>
      <c r="BL750" s="81"/>
      <c r="BM750" s="81"/>
      <c r="BN750" s="66"/>
      <c r="BO750" s="66"/>
      <c r="BP750" s="66"/>
      <c r="BQ750" s="66" t="str">
        <f>PROPER(TEXT(Prog_23[[#This Row],[PROGRAMAÇÃO CLIENTE]],"mmm"))</f>
        <v>Jan</v>
      </c>
      <c r="BR750" s="66">
        <f>YEAR(Prog_23[[#This Row],[PROGRAMAÇÃO CLIENTE]])</f>
        <v>1900</v>
      </c>
    </row>
    <row r="751" spans="1:70" x14ac:dyDescent="0.25">
      <c r="A751" s="200">
        <f>Prog_23[[#This Row],[CONTEINER]]</f>
        <v>0</v>
      </c>
      <c r="B751" s="86"/>
      <c r="C7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51" s="44"/>
      <c r="E751" s="66"/>
      <c r="F751" s="66"/>
      <c r="G751" s="66"/>
      <c r="H751" s="44"/>
      <c r="I751" s="44"/>
      <c r="J751" s="66"/>
      <c r="K751" s="66"/>
      <c r="L751" s="66"/>
      <c r="M751" s="66"/>
      <c r="N751" s="66">
        <f>SUM(Prog_23[[#This Row],[TARA]]+Prog_23[[#This Row],[PESO]])</f>
        <v>0</v>
      </c>
      <c r="O751" s="44"/>
      <c r="P751" s="66"/>
      <c r="Q751" s="66"/>
      <c r="R751" s="66"/>
      <c r="S751" s="66"/>
      <c r="T751" s="138" t="str">
        <f>IFERROR(LOOKUP($S751,MOTORISTAS!$D$3:$D$916,MOTORISTAS!E$3:$E$916),"")</f>
        <v/>
      </c>
      <c r="U751" s="138" t="str">
        <f>IFERROR(LOOKUP($S751,MOTORISTAS!$D$3:$D$916,MOTORISTAS!F$3:$F$916),"")</f>
        <v/>
      </c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44"/>
      <c r="AG751" s="254">
        <f>Prog_23[[#This Row],[SAÍDA DO CLIENTE]]-Prog_23[[#This Row],[PROGRAMAÇÃO CLIENTE]]</f>
        <v>0</v>
      </c>
      <c r="AH751" s="44"/>
      <c r="AI751" s="66"/>
      <c r="AJ751" s="66"/>
      <c r="AK751" s="66"/>
      <c r="AL751" s="66"/>
      <c r="AM751" s="66"/>
      <c r="AN751" s="83"/>
      <c r="AO751" s="83"/>
      <c r="AP751" s="83"/>
      <c r="AQ751" s="66"/>
      <c r="AR751" s="66"/>
      <c r="AS751" s="66"/>
      <c r="AT751" s="81"/>
      <c r="AU751" s="81"/>
      <c r="AV751" s="81"/>
      <c r="AW751" s="81"/>
      <c r="AX751" s="83">
        <f>SUM(Prog_23[[#This Row],[ADIANTAMENTO]]+Prog_23[[#This Row],[SALDO]]+Prog_23[[#This Row],[MARGEM]]+Prog_23[[#This Row],[ESTADIA 1]])</f>
        <v>0</v>
      </c>
      <c r="AY7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51" s="81"/>
      <c r="BA751" s="81"/>
      <c r="BB751" s="81">
        <f>Prog_23[[#This Row],[VLR NF]]*0.1%</f>
        <v>0</v>
      </c>
      <c r="BC751" s="81">
        <f>Prog_23[[#This Row],[VLR NF]]*0.05%</f>
        <v>0</v>
      </c>
      <c r="BD751" s="81"/>
      <c r="BE751" s="81"/>
      <c r="BF751" s="81"/>
      <c r="BG751" s="81"/>
      <c r="BH751" s="81"/>
      <c r="BI751" s="81"/>
      <c r="BJ751" s="81"/>
      <c r="BK751" s="81"/>
      <c r="BL751" s="81"/>
      <c r="BM751" s="81"/>
      <c r="BN751" s="66"/>
      <c r="BO751" s="66"/>
      <c r="BP751" s="66"/>
      <c r="BQ751" s="66" t="str">
        <f>PROPER(TEXT(Prog_23[[#This Row],[PROGRAMAÇÃO CLIENTE]],"mmm"))</f>
        <v>Jan</v>
      </c>
      <c r="BR751" s="66">
        <f>YEAR(Prog_23[[#This Row],[PROGRAMAÇÃO CLIENTE]])</f>
        <v>1900</v>
      </c>
    </row>
    <row r="752" spans="1:70" x14ac:dyDescent="0.25">
      <c r="A752" s="201">
        <f>Prog_23[[#This Row],[CONTEINER]]</f>
        <v>0</v>
      </c>
      <c r="B752" s="86"/>
      <c r="C7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52" s="44"/>
      <c r="E752" s="66"/>
      <c r="F752" s="66"/>
      <c r="G752" s="66"/>
      <c r="H752" s="44"/>
      <c r="I752" s="44"/>
      <c r="J752" s="66"/>
      <c r="K752" s="66"/>
      <c r="L752" s="66"/>
      <c r="M752" s="66"/>
      <c r="N752" s="66">
        <f>SUM(Prog_23[[#This Row],[TARA]]+Prog_23[[#This Row],[PESO]])</f>
        <v>0</v>
      </c>
      <c r="O752" s="44"/>
      <c r="P752" s="66"/>
      <c r="Q752" s="66"/>
      <c r="R752" s="66"/>
      <c r="S752" s="66"/>
      <c r="T752" s="138" t="str">
        <f>IFERROR(LOOKUP($S752,MOTORISTAS!$D$3:$D$916,MOTORISTAS!E$3:$E$916),"")</f>
        <v/>
      </c>
      <c r="U752" s="138" t="str">
        <f>IFERROR(LOOKUP($S752,MOTORISTAS!$D$3:$D$916,MOTORISTAS!F$3:$F$916),"")</f>
        <v/>
      </c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44"/>
      <c r="AG752" s="254">
        <f>Prog_23[[#This Row],[SAÍDA DO CLIENTE]]-Prog_23[[#This Row],[PROGRAMAÇÃO CLIENTE]]</f>
        <v>0</v>
      </c>
      <c r="AH752" s="44"/>
      <c r="AI752" s="66"/>
      <c r="AJ752" s="66"/>
      <c r="AK752" s="66"/>
      <c r="AL752" s="66"/>
      <c r="AM752" s="66"/>
      <c r="AN752" s="83"/>
      <c r="AO752" s="83"/>
      <c r="AP752" s="83"/>
      <c r="AQ752" s="66"/>
      <c r="AR752" s="66"/>
      <c r="AS752" s="66"/>
      <c r="AT752" s="81"/>
      <c r="AU752" s="81"/>
      <c r="AV752" s="81"/>
      <c r="AW752" s="81"/>
      <c r="AX752" s="83">
        <f>SUM(Prog_23[[#This Row],[ADIANTAMENTO]]+Prog_23[[#This Row],[SALDO]]+Prog_23[[#This Row],[MARGEM]]+Prog_23[[#This Row],[ESTADIA 1]])</f>
        <v>0</v>
      </c>
      <c r="AY7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52" s="81"/>
      <c r="BA752" s="81"/>
      <c r="BB752" s="81">
        <f>Prog_23[[#This Row],[VLR NF]]*0.1%</f>
        <v>0</v>
      </c>
      <c r="BC752" s="81">
        <f>Prog_23[[#This Row],[VLR NF]]*0.05%</f>
        <v>0</v>
      </c>
      <c r="BD752" s="81"/>
      <c r="BE752" s="81"/>
      <c r="BF752" s="81"/>
      <c r="BG752" s="81"/>
      <c r="BH752" s="81"/>
      <c r="BI752" s="81"/>
      <c r="BJ752" s="81"/>
      <c r="BK752" s="81"/>
      <c r="BL752" s="81"/>
      <c r="BM752" s="81"/>
      <c r="BN752" s="66"/>
      <c r="BO752" s="66"/>
      <c r="BP752" s="66"/>
      <c r="BQ752" s="66" t="str">
        <f>PROPER(TEXT(Prog_23[[#This Row],[PROGRAMAÇÃO CLIENTE]],"mmm"))</f>
        <v>Jan</v>
      </c>
      <c r="BR752" s="66">
        <f>YEAR(Prog_23[[#This Row],[PROGRAMAÇÃO CLIENTE]])</f>
        <v>1900</v>
      </c>
    </row>
    <row r="753" spans="1:70" x14ac:dyDescent="0.25">
      <c r="A753" s="200">
        <f>Prog_23[[#This Row],[CONTEINER]]</f>
        <v>0</v>
      </c>
      <c r="B753" s="86"/>
      <c r="C7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53" s="44"/>
      <c r="E753" s="66"/>
      <c r="F753" s="66"/>
      <c r="G753" s="66"/>
      <c r="H753" s="44"/>
      <c r="I753" s="44"/>
      <c r="J753" s="66"/>
      <c r="K753" s="66"/>
      <c r="L753" s="66"/>
      <c r="M753" s="66"/>
      <c r="N753" s="66">
        <f>SUM(Prog_23[[#This Row],[TARA]]+Prog_23[[#This Row],[PESO]])</f>
        <v>0</v>
      </c>
      <c r="O753" s="44"/>
      <c r="P753" s="66"/>
      <c r="Q753" s="66"/>
      <c r="R753" s="66"/>
      <c r="S753" s="66"/>
      <c r="T753" s="138" t="str">
        <f>IFERROR(LOOKUP($S753,MOTORISTAS!$D$3:$D$916,MOTORISTAS!E$3:$E$916),"")</f>
        <v/>
      </c>
      <c r="U753" s="138" t="str">
        <f>IFERROR(LOOKUP($S753,MOTORISTAS!$D$3:$D$916,MOTORISTAS!F$3:$F$916),"")</f>
        <v/>
      </c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44"/>
      <c r="AG753" s="254">
        <f>Prog_23[[#This Row],[SAÍDA DO CLIENTE]]-Prog_23[[#This Row],[PROGRAMAÇÃO CLIENTE]]</f>
        <v>0</v>
      </c>
      <c r="AH753" s="44"/>
      <c r="AI753" s="66"/>
      <c r="AJ753" s="66"/>
      <c r="AK753" s="66"/>
      <c r="AL753" s="66"/>
      <c r="AM753" s="66"/>
      <c r="AN753" s="83"/>
      <c r="AO753" s="83"/>
      <c r="AP753" s="83"/>
      <c r="AQ753" s="66"/>
      <c r="AR753" s="66"/>
      <c r="AS753" s="66"/>
      <c r="AT753" s="81"/>
      <c r="AU753" s="81"/>
      <c r="AV753" s="81"/>
      <c r="AW753" s="81"/>
      <c r="AX753" s="83">
        <f>SUM(Prog_23[[#This Row],[ADIANTAMENTO]]+Prog_23[[#This Row],[SALDO]]+Prog_23[[#This Row],[MARGEM]]+Prog_23[[#This Row],[ESTADIA 1]])</f>
        <v>0</v>
      </c>
      <c r="AY7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53" s="81"/>
      <c r="BA753" s="81"/>
      <c r="BB753" s="81">
        <f>Prog_23[[#This Row],[VLR NF]]*0.1%</f>
        <v>0</v>
      </c>
      <c r="BC753" s="81">
        <f>Prog_23[[#This Row],[VLR NF]]*0.05%</f>
        <v>0</v>
      </c>
      <c r="BD753" s="81"/>
      <c r="BE753" s="81"/>
      <c r="BF753" s="81"/>
      <c r="BG753" s="81"/>
      <c r="BH753" s="81"/>
      <c r="BI753" s="81"/>
      <c r="BJ753" s="81"/>
      <c r="BK753" s="81"/>
      <c r="BL753" s="81"/>
      <c r="BM753" s="81"/>
      <c r="BN753" s="66"/>
      <c r="BO753" s="66"/>
      <c r="BP753" s="66"/>
      <c r="BQ753" s="66" t="str">
        <f>PROPER(TEXT(Prog_23[[#This Row],[PROGRAMAÇÃO CLIENTE]],"mmm"))</f>
        <v>Jan</v>
      </c>
      <c r="BR753" s="66">
        <f>YEAR(Prog_23[[#This Row],[PROGRAMAÇÃO CLIENTE]])</f>
        <v>1900</v>
      </c>
    </row>
    <row r="754" spans="1:70" x14ac:dyDescent="0.25">
      <c r="A754" s="201">
        <f>Prog_23[[#This Row],[CONTEINER]]</f>
        <v>0</v>
      </c>
      <c r="B754" s="86"/>
      <c r="C7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54" s="44"/>
      <c r="E754" s="66"/>
      <c r="F754" s="66"/>
      <c r="G754" s="66"/>
      <c r="H754" s="44"/>
      <c r="I754" s="44"/>
      <c r="J754" s="66"/>
      <c r="K754" s="66"/>
      <c r="L754" s="66"/>
      <c r="M754" s="66"/>
      <c r="N754" s="66">
        <f>SUM(Prog_23[[#This Row],[TARA]]+Prog_23[[#This Row],[PESO]])</f>
        <v>0</v>
      </c>
      <c r="O754" s="44"/>
      <c r="P754" s="66"/>
      <c r="Q754" s="66"/>
      <c r="R754" s="66"/>
      <c r="S754" s="66"/>
      <c r="T754" s="138" t="str">
        <f>IFERROR(LOOKUP($S754,MOTORISTAS!$D$3:$D$916,MOTORISTAS!E$3:$E$916),"")</f>
        <v/>
      </c>
      <c r="U754" s="138" t="str">
        <f>IFERROR(LOOKUP($S754,MOTORISTAS!$D$3:$D$916,MOTORISTAS!F$3:$F$916),"")</f>
        <v/>
      </c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44"/>
      <c r="AG754" s="254">
        <f>Prog_23[[#This Row],[SAÍDA DO CLIENTE]]-Prog_23[[#This Row],[PROGRAMAÇÃO CLIENTE]]</f>
        <v>0</v>
      </c>
      <c r="AH754" s="44"/>
      <c r="AI754" s="66"/>
      <c r="AJ754" s="66"/>
      <c r="AK754" s="66"/>
      <c r="AL754" s="66"/>
      <c r="AM754" s="66"/>
      <c r="AN754" s="83"/>
      <c r="AO754" s="83"/>
      <c r="AP754" s="83"/>
      <c r="AQ754" s="66"/>
      <c r="AR754" s="66"/>
      <c r="AS754" s="66"/>
      <c r="AT754" s="81"/>
      <c r="AU754" s="81"/>
      <c r="AV754" s="81"/>
      <c r="AW754" s="81"/>
      <c r="AX754" s="83">
        <f>SUM(Prog_23[[#This Row],[ADIANTAMENTO]]+Prog_23[[#This Row],[SALDO]]+Prog_23[[#This Row],[MARGEM]]+Prog_23[[#This Row],[ESTADIA 1]])</f>
        <v>0</v>
      </c>
      <c r="AY7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54" s="81"/>
      <c r="BA754" s="81"/>
      <c r="BB754" s="81">
        <f>Prog_23[[#This Row],[VLR NF]]*0.1%</f>
        <v>0</v>
      </c>
      <c r="BC754" s="81">
        <f>Prog_23[[#This Row],[VLR NF]]*0.05%</f>
        <v>0</v>
      </c>
      <c r="BD754" s="81"/>
      <c r="BE754" s="81"/>
      <c r="BF754" s="81"/>
      <c r="BG754" s="81"/>
      <c r="BH754" s="81"/>
      <c r="BI754" s="81"/>
      <c r="BJ754" s="81"/>
      <c r="BK754" s="81"/>
      <c r="BL754" s="81"/>
      <c r="BM754" s="81"/>
      <c r="BN754" s="66"/>
      <c r="BO754" s="66"/>
      <c r="BP754" s="66"/>
      <c r="BQ754" s="66" t="str">
        <f>PROPER(TEXT(Prog_23[[#This Row],[PROGRAMAÇÃO CLIENTE]],"mmm"))</f>
        <v>Jan</v>
      </c>
      <c r="BR754" s="66">
        <f>YEAR(Prog_23[[#This Row],[PROGRAMAÇÃO CLIENTE]])</f>
        <v>1900</v>
      </c>
    </row>
    <row r="755" spans="1:70" x14ac:dyDescent="0.25">
      <c r="A755" s="200">
        <f>Prog_23[[#This Row],[CONTEINER]]</f>
        <v>0</v>
      </c>
      <c r="B755" s="86"/>
      <c r="C7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55" s="44"/>
      <c r="E755" s="66"/>
      <c r="F755" s="66"/>
      <c r="G755" s="66"/>
      <c r="H755" s="44"/>
      <c r="I755" s="44"/>
      <c r="J755" s="66"/>
      <c r="K755" s="66"/>
      <c r="L755" s="66"/>
      <c r="M755" s="66"/>
      <c r="N755" s="66">
        <f>SUM(Prog_23[[#This Row],[TARA]]+Prog_23[[#This Row],[PESO]])</f>
        <v>0</v>
      </c>
      <c r="O755" s="44"/>
      <c r="P755" s="66"/>
      <c r="Q755" s="66"/>
      <c r="R755" s="66"/>
      <c r="S755" s="66"/>
      <c r="T755" s="138" t="str">
        <f>IFERROR(LOOKUP($S755,MOTORISTAS!$D$3:$D$916,MOTORISTAS!E$3:$E$916),"")</f>
        <v/>
      </c>
      <c r="U755" s="138" t="str">
        <f>IFERROR(LOOKUP($S755,MOTORISTAS!$D$3:$D$916,MOTORISTAS!F$3:$F$916),"")</f>
        <v/>
      </c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44"/>
      <c r="AG755" s="254">
        <f>Prog_23[[#This Row],[SAÍDA DO CLIENTE]]-Prog_23[[#This Row],[PROGRAMAÇÃO CLIENTE]]</f>
        <v>0</v>
      </c>
      <c r="AH755" s="44"/>
      <c r="AI755" s="66"/>
      <c r="AJ755" s="66"/>
      <c r="AK755" s="66"/>
      <c r="AL755" s="66"/>
      <c r="AM755" s="66"/>
      <c r="AN755" s="83"/>
      <c r="AO755" s="83"/>
      <c r="AP755" s="83"/>
      <c r="AQ755" s="66"/>
      <c r="AR755" s="66"/>
      <c r="AS755" s="66"/>
      <c r="AT755" s="81"/>
      <c r="AU755" s="81"/>
      <c r="AV755" s="81"/>
      <c r="AW755" s="81"/>
      <c r="AX755" s="83">
        <f>SUM(Prog_23[[#This Row],[ADIANTAMENTO]]+Prog_23[[#This Row],[SALDO]]+Prog_23[[#This Row],[MARGEM]]+Prog_23[[#This Row],[ESTADIA 1]])</f>
        <v>0</v>
      </c>
      <c r="AY7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55" s="81"/>
      <c r="BA755" s="81"/>
      <c r="BB755" s="81">
        <f>Prog_23[[#This Row],[VLR NF]]*0.1%</f>
        <v>0</v>
      </c>
      <c r="BC755" s="81">
        <f>Prog_23[[#This Row],[VLR NF]]*0.05%</f>
        <v>0</v>
      </c>
      <c r="BD755" s="81"/>
      <c r="BE755" s="81"/>
      <c r="BF755" s="81"/>
      <c r="BG755" s="81"/>
      <c r="BH755" s="81"/>
      <c r="BI755" s="81"/>
      <c r="BJ755" s="81"/>
      <c r="BK755" s="81"/>
      <c r="BL755" s="81"/>
      <c r="BM755" s="81"/>
      <c r="BN755" s="66"/>
      <c r="BO755" s="66"/>
      <c r="BP755" s="66"/>
      <c r="BQ755" s="66" t="str">
        <f>PROPER(TEXT(Prog_23[[#This Row],[PROGRAMAÇÃO CLIENTE]],"mmm"))</f>
        <v>Jan</v>
      </c>
      <c r="BR755" s="66">
        <f>YEAR(Prog_23[[#This Row],[PROGRAMAÇÃO CLIENTE]])</f>
        <v>1900</v>
      </c>
    </row>
    <row r="756" spans="1:70" x14ac:dyDescent="0.25">
      <c r="A756" s="201">
        <f>Prog_23[[#This Row],[CONTEINER]]</f>
        <v>0</v>
      </c>
      <c r="B756" s="86"/>
      <c r="C7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56" s="44"/>
      <c r="E756" s="66"/>
      <c r="F756" s="66"/>
      <c r="G756" s="66"/>
      <c r="H756" s="44"/>
      <c r="I756" s="44"/>
      <c r="J756" s="66"/>
      <c r="K756" s="66"/>
      <c r="L756" s="66"/>
      <c r="M756" s="66"/>
      <c r="N756" s="66">
        <f>SUM(Prog_23[[#This Row],[TARA]]+Prog_23[[#This Row],[PESO]])</f>
        <v>0</v>
      </c>
      <c r="O756" s="44"/>
      <c r="P756" s="66"/>
      <c r="Q756" s="66"/>
      <c r="R756" s="66"/>
      <c r="S756" s="66"/>
      <c r="T756" s="138" t="str">
        <f>IFERROR(LOOKUP($S756,MOTORISTAS!$D$3:$D$916,MOTORISTAS!E$3:$E$916),"")</f>
        <v/>
      </c>
      <c r="U756" s="138" t="str">
        <f>IFERROR(LOOKUP($S756,MOTORISTAS!$D$3:$D$916,MOTORISTAS!F$3:$F$916),"")</f>
        <v/>
      </c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44"/>
      <c r="AG756" s="254">
        <f>Prog_23[[#This Row],[SAÍDA DO CLIENTE]]-Prog_23[[#This Row],[PROGRAMAÇÃO CLIENTE]]</f>
        <v>0</v>
      </c>
      <c r="AH756" s="44"/>
      <c r="AI756" s="66"/>
      <c r="AJ756" s="66"/>
      <c r="AK756" s="66"/>
      <c r="AL756" s="66"/>
      <c r="AM756" s="66"/>
      <c r="AN756" s="83"/>
      <c r="AO756" s="83"/>
      <c r="AP756" s="83"/>
      <c r="AQ756" s="66"/>
      <c r="AR756" s="66"/>
      <c r="AS756" s="66"/>
      <c r="AT756" s="81"/>
      <c r="AU756" s="81"/>
      <c r="AV756" s="81"/>
      <c r="AW756" s="81"/>
      <c r="AX756" s="83">
        <f>SUM(Prog_23[[#This Row],[ADIANTAMENTO]]+Prog_23[[#This Row],[SALDO]]+Prog_23[[#This Row],[MARGEM]]+Prog_23[[#This Row],[ESTADIA 1]])</f>
        <v>0</v>
      </c>
      <c r="AY7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56" s="81"/>
      <c r="BA756" s="81"/>
      <c r="BB756" s="81">
        <f>Prog_23[[#This Row],[VLR NF]]*0.1%</f>
        <v>0</v>
      </c>
      <c r="BC756" s="81">
        <f>Prog_23[[#This Row],[VLR NF]]*0.05%</f>
        <v>0</v>
      </c>
      <c r="BD756" s="81"/>
      <c r="BE756" s="81"/>
      <c r="BF756" s="81"/>
      <c r="BG756" s="81"/>
      <c r="BH756" s="81"/>
      <c r="BI756" s="81"/>
      <c r="BJ756" s="81"/>
      <c r="BK756" s="81"/>
      <c r="BL756" s="81"/>
      <c r="BM756" s="81"/>
      <c r="BN756" s="66"/>
      <c r="BO756" s="66"/>
      <c r="BP756" s="66"/>
      <c r="BQ756" s="66" t="str">
        <f>PROPER(TEXT(Prog_23[[#This Row],[PROGRAMAÇÃO CLIENTE]],"mmm"))</f>
        <v>Jan</v>
      </c>
      <c r="BR756" s="66">
        <f>YEAR(Prog_23[[#This Row],[PROGRAMAÇÃO CLIENTE]])</f>
        <v>1900</v>
      </c>
    </row>
    <row r="757" spans="1:70" x14ac:dyDescent="0.25">
      <c r="A757" s="200">
        <f>Prog_23[[#This Row],[CONTEINER]]</f>
        <v>0</v>
      </c>
      <c r="B757" s="86"/>
      <c r="C7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57" s="44"/>
      <c r="E757" s="66"/>
      <c r="F757" s="66"/>
      <c r="G757" s="66"/>
      <c r="H757" s="44"/>
      <c r="I757" s="44"/>
      <c r="J757" s="66"/>
      <c r="K757" s="66"/>
      <c r="L757" s="66"/>
      <c r="M757" s="66"/>
      <c r="N757" s="66">
        <f>SUM(Prog_23[[#This Row],[TARA]]+Prog_23[[#This Row],[PESO]])</f>
        <v>0</v>
      </c>
      <c r="O757" s="44"/>
      <c r="P757" s="66"/>
      <c r="Q757" s="66"/>
      <c r="R757" s="66"/>
      <c r="S757" s="66"/>
      <c r="T757" s="138" t="str">
        <f>IFERROR(LOOKUP($S757,MOTORISTAS!$D$3:$D$916,MOTORISTAS!E$3:$E$916),"")</f>
        <v/>
      </c>
      <c r="U757" s="138" t="str">
        <f>IFERROR(LOOKUP($S757,MOTORISTAS!$D$3:$D$916,MOTORISTAS!F$3:$F$916),"")</f>
        <v/>
      </c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44"/>
      <c r="AG757" s="254">
        <f>Prog_23[[#This Row],[SAÍDA DO CLIENTE]]-Prog_23[[#This Row],[PROGRAMAÇÃO CLIENTE]]</f>
        <v>0</v>
      </c>
      <c r="AH757" s="44"/>
      <c r="AI757" s="66"/>
      <c r="AJ757" s="66"/>
      <c r="AK757" s="66"/>
      <c r="AL757" s="66"/>
      <c r="AM757" s="66"/>
      <c r="AN757" s="83"/>
      <c r="AO757" s="83"/>
      <c r="AP757" s="83"/>
      <c r="AQ757" s="66"/>
      <c r="AR757" s="66"/>
      <c r="AS757" s="66"/>
      <c r="AT757" s="81"/>
      <c r="AU757" s="81"/>
      <c r="AV757" s="81"/>
      <c r="AW757" s="81"/>
      <c r="AX757" s="83">
        <f>SUM(Prog_23[[#This Row],[ADIANTAMENTO]]+Prog_23[[#This Row],[SALDO]]+Prog_23[[#This Row],[MARGEM]]+Prog_23[[#This Row],[ESTADIA 1]])</f>
        <v>0</v>
      </c>
      <c r="AY7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57" s="81"/>
      <c r="BA757" s="81"/>
      <c r="BB757" s="81">
        <f>Prog_23[[#This Row],[VLR NF]]*0.1%</f>
        <v>0</v>
      </c>
      <c r="BC757" s="81">
        <f>Prog_23[[#This Row],[VLR NF]]*0.05%</f>
        <v>0</v>
      </c>
      <c r="BD757" s="81"/>
      <c r="BE757" s="81"/>
      <c r="BF757" s="81"/>
      <c r="BG757" s="81"/>
      <c r="BH757" s="81"/>
      <c r="BI757" s="81"/>
      <c r="BJ757" s="81"/>
      <c r="BK757" s="81"/>
      <c r="BL757" s="81"/>
      <c r="BM757" s="81"/>
      <c r="BN757" s="66"/>
      <c r="BO757" s="66"/>
      <c r="BP757" s="66"/>
      <c r="BQ757" s="66" t="str">
        <f>PROPER(TEXT(Prog_23[[#This Row],[PROGRAMAÇÃO CLIENTE]],"mmm"))</f>
        <v>Jan</v>
      </c>
      <c r="BR757" s="66">
        <f>YEAR(Prog_23[[#This Row],[PROGRAMAÇÃO CLIENTE]])</f>
        <v>1900</v>
      </c>
    </row>
    <row r="758" spans="1:70" x14ac:dyDescent="0.25">
      <c r="A758" s="201">
        <f>Prog_23[[#This Row],[CONTEINER]]</f>
        <v>0</v>
      </c>
      <c r="B758" s="86"/>
      <c r="C7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58" s="44"/>
      <c r="E758" s="66"/>
      <c r="F758" s="66"/>
      <c r="G758" s="66"/>
      <c r="H758" s="44"/>
      <c r="I758" s="44"/>
      <c r="J758" s="66"/>
      <c r="K758" s="66"/>
      <c r="L758" s="66"/>
      <c r="M758" s="66"/>
      <c r="N758" s="66">
        <f>SUM(Prog_23[[#This Row],[TARA]]+Prog_23[[#This Row],[PESO]])</f>
        <v>0</v>
      </c>
      <c r="O758" s="44"/>
      <c r="P758" s="66"/>
      <c r="Q758" s="66"/>
      <c r="R758" s="66"/>
      <c r="S758" s="66"/>
      <c r="T758" s="138" t="str">
        <f>IFERROR(LOOKUP($S758,MOTORISTAS!$D$3:$D$916,MOTORISTAS!E$3:$E$916),"")</f>
        <v/>
      </c>
      <c r="U758" s="138" t="str">
        <f>IFERROR(LOOKUP($S758,MOTORISTAS!$D$3:$D$916,MOTORISTAS!F$3:$F$916),"")</f>
        <v/>
      </c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44"/>
      <c r="AG758" s="254">
        <f>Prog_23[[#This Row],[SAÍDA DO CLIENTE]]-Prog_23[[#This Row],[PROGRAMAÇÃO CLIENTE]]</f>
        <v>0</v>
      </c>
      <c r="AH758" s="44"/>
      <c r="AI758" s="66"/>
      <c r="AJ758" s="66"/>
      <c r="AK758" s="66"/>
      <c r="AL758" s="66"/>
      <c r="AM758" s="66"/>
      <c r="AN758" s="83"/>
      <c r="AO758" s="83"/>
      <c r="AP758" s="83"/>
      <c r="AQ758" s="66"/>
      <c r="AR758" s="66"/>
      <c r="AS758" s="66"/>
      <c r="AT758" s="81"/>
      <c r="AU758" s="81"/>
      <c r="AV758" s="81"/>
      <c r="AW758" s="81"/>
      <c r="AX758" s="83">
        <f>SUM(Prog_23[[#This Row],[ADIANTAMENTO]]+Prog_23[[#This Row],[SALDO]]+Prog_23[[#This Row],[MARGEM]]+Prog_23[[#This Row],[ESTADIA 1]])</f>
        <v>0</v>
      </c>
      <c r="AY7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58" s="81"/>
      <c r="BA758" s="81"/>
      <c r="BB758" s="81">
        <f>Prog_23[[#This Row],[VLR NF]]*0.1%</f>
        <v>0</v>
      </c>
      <c r="BC758" s="81">
        <f>Prog_23[[#This Row],[VLR NF]]*0.05%</f>
        <v>0</v>
      </c>
      <c r="BD758" s="81"/>
      <c r="BE758" s="81"/>
      <c r="BF758" s="81"/>
      <c r="BG758" s="81"/>
      <c r="BH758" s="81"/>
      <c r="BI758" s="81"/>
      <c r="BJ758" s="81"/>
      <c r="BK758" s="81"/>
      <c r="BL758" s="81"/>
      <c r="BM758" s="81"/>
      <c r="BN758" s="66"/>
      <c r="BO758" s="66"/>
      <c r="BP758" s="66"/>
      <c r="BQ758" s="66" t="str">
        <f>PROPER(TEXT(Prog_23[[#This Row],[PROGRAMAÇÃO CLIENTE]],"mmm"))</f>
        <v>Jan</v>
      </c>
      <c r="BR758" s="66">
        <f>YEAR(Prog_23[[#This Row],[PROGRAMAÇÃO CLIENTE]])</f>
        <v>1900</v>
      </c>
    </row>
    <row r="759" spans="1:70" x14ac:dyDescent="0.25">
      <c r="A759" s="200">
        <f>Prog_23[[#This Row],[CONTEINER]]</f>
        <v>0</v>
      </c>
      <c r="B759" s="86"/>
      <c r="C7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59" s="44"/>
      <c r="E759" s="66"/>
      <c r="F759" s="66"/>
      <c r="G759" s="66"/>
      <c r="H759" s="44"/>
      <c r="I759" s="44"/>
      <c r="J759" s="66"/>
      <c r="K759" s="66"/>
      <c r="L759" s="66"/>
      <c r="M759" s="66"/>
      <c r="N759" s="66">
        <f>SUM(Prog_23[[#This Row],[TARA]]+Prog_23[[#This Row],[PESO]])</f>
        <v>0</v>
      </c>
      <c r="O759" s="44"/>
      <c r="P759" s="66"/>
      <c r="Q759" s="66"/>
      <c r="R759" s="66"/>
      <c r="S759" s="66"/>
      <c r="T759" s="138" t="str">
        <f>IFERROR(LOOKUP($S759,MOTORISTAS!$D$3:$D$916,MOTORISTAS!E$3:$E$916),"")</f>
        <v/>
      </c>
      <c r="U759" s="138" t="str">
        <f>IFERROR(LOOKUP($S759,MOTORISTAS!$D$3:$D$916,MOTORISTAS!F$3:$F$916),"")</f>
        <v/>
      </c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44"/>
      <c r="AG759" s="254">
        <f>Prog_23[[#This Row],[SAÍDA DO CLIENTE]]-Prog_23[[#This Row],[PROGRAMAÇÃO CLIENTE]]</f>
        <v>0</v>
      </c>
      <c r="AH759" s="44"/>
      <c r="AI759" s="66"/>
      <c r="AJ759" s="66"/>
      <c r="AK759" s="66"/>
      <c r="AL759" s="66"/>
      <c r="AM759" s="66"/>
      <c r="AN759" s="83"/>
      <c r="AO759" s="83"/>
      <c r="AP759" s="83"/>
      <c r="AQ759" s="66"/>
      <c r="AR759" s="66"/>
      <c r="AS759" s="66"/>
      <c r="AT759" s="81"/>
      <c r="AU759" s="81"/>
      <c r="AV759" s="81"/>
      <c r="AW759" s="81"/>
      <c r="AX759" s="83">
        <f>SUM(Prog_23[[#This Row],[ADIANTAMENTO]]+Prog_23[[#This Row],[SALDO]]+Prog_23[[#This Row],[MARGEM]]+Prog_23[[#This Row],[ESTADIA 1]])</f>
        <v>0</v>
      </c>
      <c r="AY7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59" s="81"/>
      <c r="BA759" s="81"/>
      <c r="BB759" s="81">
        <f>Prog_23[[#This Row],[VLR NF]]*0.1%</f>
        <v>0</v>
      </c>
      <c r="BC759" s="81">
        <f>Prog_23[[#This Row],[VLR NF]]*0.05%</f>
        <v>0</v>
      </c>
      <c r="BD759" s="81"/>
      <c r="BE759" s="81"/>
      <c r="BF759" s="81"/>
      <c r="BG759" s="81"/>
      <c r="BH759" s="81"/>
      <c r="BI759" s="81"/>
      <c r="BJ759" s="81"/>
      <c r="BK759" s="81"/>
      <c r="BL759" s="81"/>
      <c r="BM759" s="81"/>
      <c r="BN759" s="66"/>
      <c r="BO759" s="66"/>
      <c r="BP759" s="66"/>
      <c r="BQ759" s="66" t="str">
        <f>PROPER(TEXT(Prog_23[[#This Row],[PROGRAMAÇÃO CLIENTE]],"mmm"))</f>
        <v>Jan</v>
      </c>
      <c r="BR759" s="66">
        <f>YEAR(Prog_23[[#This Row],[PROGRAMAÇÃO CLIENTE]])</f>
        <v>1900</v>
      </c>
    </row>
    <row r="760" spans="1:70" x14ac:dyDescent="0.25">
      <c r="A760" s="201">
        <f>Prog_23[[#This Row],[CONTEINER]]</f>
        <v>0</v>
      </c>
      <c r="B760" s="86"/>
      <c r="C7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60" s="44"/>
      <c r="E760" s="66"/>
      <c r="F760" s="66"/>
      <c r="G760" s="66"/>
      <c r="H760" s="44"/>
      <c r="I760" s="44"/>
      <c r="J760" s="66"/>
      <c r="K760" s="66"/>
      <c r="L760" s="66"/>
      <c r="M760" s="66"/>
      <c r="N760" s="66">
        <f>SUM(Prog_23[[#This Row],[TARA]]+Prog_23[[#This Row],[PESO]])</f>
        <v>0</v>
      </c>
      <c r="O760" s="44"/>
      <c r="P760" s="66"/>
      <c r="Q760" s="66"/>
      <c r="R760" s="66"/>
      <c r="S760" s="66"/>
      <c r="T760" s="138" t="str">
        <f>IFERROR(LOOKUP($S760,MOTORISTAS!$D$3:$D$916,MOTORISTAS!E$3:$E$916),"")</f>
        <v/>
      </c>
      <c r="U760" s="138" t="str">
        <f>IFERROR(LOOKUP($S760,MOTORISTAS!$D$3:$D$916,MOTORISTAS!F$3:$F$916),"")</f>
        <v/>
      </c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44"/>
      <c r="AG760" s="254">
        <f>Prog_23[[#This Row],[SAÍDA DO CLIENTE]]-Prog_23[[#This Row],[PROGRAMAÇÃO CLIENTE]]</f>
        <v>0</v>
      </c>
      <c r="AH760" s="44"/>
      <c r="AI760" s="66"/>
      <c r="AJ760" s="66"/>
      <c r="AK760" s="66"/>
      <c r="AL760" s="66"/>
      <c r="AM760" s="66"/>
      <c r="AN760" s="83"/>
      <c r="AO760" s="83"/>
      <c r="AP760" s="83"/>
      <c r="AQ760" s="66"/>
      <c r="AR760" s="66"/>
      <c r="AS760" s="66"/>
      <c r="AT760" s="81"/>
      <c r="AU760" s="81"/>
      <c r="AV760" s="81"/>
      <c r="AW760" s="81"/>
      <c r="AX760" s="83">
        <f>SUM(Prog_23[[#This Row],[ADIANTAMENTO]]+Prog_23[[#This Row],[SALDO]]+Prog_23[[#This Row],[MARGEM]]+Prog_23[[#This Row],[ESTADIA 1]])</f>
        <v>0</v>
      </c>
      <c r="AY7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60" s="81"/>
      <c r="BA760" s="81"/>
      <c r="BB760" s="81">
        <f>Prog_23[[#This Row],[VLR NF]]*0.1%</f>
        <v>0</v>
      </c>
      <c r="BC760" s="81">
        <f>Prog_23[[#This Row],[VLR NF]]*0.05%</f>
        <v>0</v>
      </c>
      <c r="BD760" s="81"/>
      <c r="BE760" s="81"/>
      <c r="BF760" s="81"/>
      <c r="BG760" s="81"/>
      <c r="BH760" s="81"/>
      <c r="BI760" s="81"/>
      <c r="BJ760" s="81"/>
      <c r="BK760" s="81"/>
      <c r="BL760" s="81"/>
      <c r="BM760" s="81"/>
      <c r="BN760" s="66"/>
      <c r="BO760" s="66"/>
      <c r="BP760" s="66"/>
      <c r="BQ760" s="66" t="str">
        <f>PROPER(TEXT(Prog_23[[#This Row],[PROGRAMAÇÃO CLIENTE]],"mmm"))</f>
        <v>Jan</v>
      </c>
      <c r="BR760" s="66">
        <f>YEAR(Prog_23[[#This Row],[PROGRAMAÇÃO CLIENTE]])</f>
        <v>1900</v>
      </c>
    </row>
    <row r="761" spans="1:70" x14ac:dyDescent="0.25">
      <c r="A761" s="200">
        <f>Prog_23[[#This Row],[CONTEINER]]</f>
        <v>0</v>
      </c>
      <c r="B761" s="86"/>
      <c r="C7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61" s="44"/>
      <c r="E761" s="66"/>
      <c r="F761" s="66"/>
      <c r="G761" s="66"/>
      <c r="H761" s="44"/>
      <c r="I761" s="44"/>
      <c r="J761" s="66"/>
      <c r="K761" s="66"/>
      <c r="L761" s="66"/>
      <c r="M761" s="66"/>
      <c r="N761" s="66">
        <f>SUM(Prog_23[[#This Row],[TARA]]+Prog_23[[#This Row],[PESO]])</f>
        <v>0</v>
      </c>
      <c r="O761" s="44"/>
      <c r="P761" s="66"/>
      <c r="Q761" s="66"/>
      <c r="R761" s="66"/>
      <c r="S761" s="66"/>
      <c r="T761" s="138" t="str">
        <f>IFERROR(LOOKUP($S761,MOTORISTAS!$D$3:$D$916,MOTORISTAS!E$3:$E$916),"")</f>
        <v/>
      </c>
      <c r="U761" s="138" t="str">
        <f>IFERROR(LOOKUP($S761,MOTORISTAS!$D$3:$D$916,MOTORISTAS!F$3:$F$916),"")</f>
        <v/>
      </c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44"/>
      <c r="AG761" s="254">
        <f>Prog_23[[#This Row],[SAÍDA DO CLIENTE]]-Prog_23[[#This Row],[PROGRAMAÇÃO CLIENTE]]</f>
        <v>0</v>
      </c>
      <c r="AH761" s="44"/>
      <c r="AI761" s="66"/>
      <c r="AJ761" s="66"/>
      <c r="AK761" s="66"/>
      <c r="AL761" s="66"/>
      <c r="AM761" s="66"/>
      <c r="AN761" s="83"/>
      <c r="AO761" s="83"/>
      <c r="AP761" s="83"/>
      <c r="AQ761" s="66"/>
      <c r="AR761" s="66"/>
      <c r="AS761" s="66"/>
      <c r="AT761" s="81"/>
      <c r="AU761" s="81"/>
      <c r="AV761" s="81"/>
      <c r="AW761" s="81"/>
      <c r="AX761" s="83">
        <f>SUM(Prog_23[[#This Row],[ADIANTAMENTO]]+Prog_23[[#This Row],[SALDO]]+Prog_23[[#This Row],[MARGEM]]+Prog_23[[#This Row],[ESTADIA 1]])</f>
        <v>0</v>
      </c>
      <c r="AY7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61" s="81"/>
      <c r="BA761" s="81"/>
      <c r="BB761" s="81">
        <f>Prog_23[[#This Row],[VLR NF]]*0.1%</f>
        <v>0</v>
      </c>
      <c r="BC761" s="81">
        <f>Prog_23[[#This Row],[VLR NF]]*0.05%</f>
        <v>0</v>
      </c>
      <c r="BD761" s="81"/>
      <c r="BE761" s="81"/>
      <c r="BF761" s="81"/>
      <c r="BG761" s="81"/>
      <c r="BH761" s="81"/>
      <c r="BI761" s="81"/>
      <c r="BJ761" s="81"/>
      <c r="BK761" s="81"/>
      <c r="BL761" s="81"/>
      <c r="BM761" s="81"/>
      <c r="BN761" s="66"/>
      <c r="BO761" s="66"/>
      <c r="BP761" s="66"/>
      <c r="BQ761" s="66" t="str">
        <f>PROPER(TEXT(Prog_23[[#This Row],[PROGRAMAÇÃO CLIENTE]],"mmm"))</f>
        <v>Jan</v>
      </c>
      <c r="BR761" s="66">
        <f>YEAR(Prog_23[[#This Row],[PROGRAMAÇÃO CLIENTE]])</f>
        <v>1900</v>
      </c>
    </row>
    <row r="762" spans="1:70" x14ac:dyDescent="0.25">
      <c r="A762" s="201">
        <f>Prog_23[[#This Row],[CONTEINER]]</f>
        <v>0</v>
      </c>
      <c r="B762" s="86"/>
      <c r="C7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62" s="44"/>
      <c r="E762" s="66"/>
      <c r="F762" s="66"/>
      <c r="G762" s="66"/>
      <c r="H762" s="44"/>
      <c r="I762" s="44"/>
      <c r="J762" s="66"/>
      <c r="K762" s="66"/>
      <c r="L762" s="66"/>
      <c r="M762" s="66"/>
      <c r="N762" s="66">
        <f>SUM(Prog_23[[#This Row],[TARA]]+Prog_23[[#This Row],[PESO]])</f>
        <v>0</v>
      </c>
      <c r="O762" s="44"/>
      <c r="P762" s="66"/>
      <c r="Q762" s="66"/>
      <c r="R762" s="66"/>
      <c r="S762" s="66"/>
      <c r="T762" s="138" t="str">
        <f>IFERROR(LOOKUP($S762,MOTORISTAS!$D$3:$D$916,MOTORISTAS!E$3:$E$916),"")</f>
        <v/>
      </c>
      <c r="U762" s="138" t="str">
        <f>IFERROR(LOOKUP($S762,MOTORISTAS!$D$3:$D$916,MOTORISTAS!F$3:$F$916),"")</f>
        <v/>
      </c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44"/>
      <c r="AG762" s="254">
        <f>Prog_23[[#This Row],[SAÍDA DO CLIENTE]]-Prog_23[[#This Row],[PROGRAMAÇÃO CLIENTE]]</f>
        <v>0</v>
      </c>
      <c r="AH762" s="44"/>
      <c r="AI762" s="66"/>
      <c r="AJ762" s="66"/>
      <c r="AK762" s="66"/>
      <c r="AL762" s="66"/>
      <c r="AM762" s="66"/>
      <c r="AN762" s="83"/>
      <c r="AO762" s="83"/>
      <c r="AP762" s="83"/>
      <c r="AQ762" s="66"/>
      <c r="AR762" s="66"/>
      <c r="AS762" s="66"/>
      <c r="AT762" s="81"/>
      <c r="AU762" s="81"/>
      <c r="AV762" s="81"/>
      <c r="AW762" s="81"/>
      <c r="AX762" s="83">
        <f>SUM(Prog_23[[#This Row],[ADIANTAMENTO]]+Prog_23[[#This Row],[SALDO]]+Prog_23[[#This Row],[MARGEM]]+Prog_23[[#This Row],[ESTADIA 1]])</f>
        <v>0</v>
      </c>
      <c r="AY7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62" s="81"/>
      <c r="BA762" s="81"/>
      <c r="BB762" s="81">
        <f>Prog_23[[#This Row],[VLR NF]]*0.1%</f>
        <v>0</v>
      </c>
      <c r="BC762" s="81">
        <f>Prog_23[[#This Row],[VLR NF]]*0.05%</f>
        <v>0</v>
      </c>
      <c r="BD762" s="81"/>
      <c r="BE762" s="81"/>
      <c r="BF762" s="81"/>
      <c r="BG762" s="81"/>
      <c r="BH762" s="81"/>
      <c r="BI762" s="81"/>
      <c r="BJ762" s="81"/>
      <c r="BK762" s="81"/>
      <c r="BL762" s="81"/>
      <c r="BM762" s="81"/>
      <c r="BN762" s="66"/>
      <c r="BO762" s="66"/>
      <c r="BP762" s="66"/>
      <c r="BQ762" s="66" t="str">
        <f>PROPER(TEXT(Prog_23[[#This Row],[PROGRAMAÇÃO CLIENTE]],"mmm"))</f>
        <v>Jan</v>
      </c>
      <c r="BR762" s="66">
        <f>YEAR(Prog_23[[#This Row],[PROGRAMAÇÃO CLIENTE]])</f>
        <v>1900</v>
      </c>
    </row>
    <row r="763" spans="1:70" x14ac:dyDescent="0.25">
      <c r="A763" s="200">
        <f>Prog_23[[#This Row],[CONTEINER]]</f>
        <v>0</v>
      </c>
      <c r="B763" s="86"/>
      <c r="C7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63" s="44"/>
      <c r="E763" s="66"/>
      <c r="F763" s="66"/>
      <c r="G763" s="66"/>
      <c r="H763" s="44"/>
      <c r="I763" s="44"/>
      <c r="J763" s="66"/>
      <c r="K763" s="66"/>
      <c r="L763" s="66"/>
      <c r="M763" s="66"/>
      <c r="N763" s="66">
        <f>SUM(Prog_23[[#This Row],[TARA]]+Prog_23[[#This Row],[PESO]])</f>
        <v>0</v>
      </c>
      <c r="O763" s="44"/>
      <c r="P763" s="66"/>
      <c r="Q763" s="66"/>
      <c r="R763" s="66"/>
      <c r="S763" s="66"/>
      <c r="T763" s="138" t="str">
        <f>IFERROR(LOOKUP($S763,MOTORISTAS!$D$3:$D$916,MOTORISTAS!E$3:$E$916),"")</f>
        <v/>
      </c>
      <c r="U763" s="138" t="str">
        <f>IFERROR(LOOKUP($S763,MOTORISTAS!$D$3:$D$916,MOTORISTAS!F$3:$F$916),"")</f>
        <v/>
      </c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44"/>
      <c r="AG763" s="254">
        <f>Prog_23[[#This Row],[SAÍDA DO CLIENTE]]-Prog_23[[#This Row],[PROGRAMAÇÃO CLIENTE]]</f>
        <v>0</v>
      </c>
      <c r="AH763" s="44"/>
      <c r="AI763" s="66"/>
      <c r="AJ763" s="66"/>
      <c r="AK763" s="66"/>
      <c r="AL763" s="66"/>
      <c r="AM763" s="66"/>
      <c r="AN763" s="83"/>
      <c r="AO763" s="83"/>
      <c r="AP763" s="83"/>
      <c r="AQ763" s="66"/>
      <c r="AR763" s="66"/>
      <c r="AS763" s="66"/>
      <c r="AT763" s="81"/>
      <c r="AU763" s="81"/>
      <c r="AV763" s="81"/>
      <c r="AW763" s="81"/>
      <c r="AX763" s="83">
        <f>SUM(Prog_23[[#This Row],[ADIANTAMENTO]]+Prog_23[[#This Row],[SALDO]]+Prog_23[[#This Row],[MARGEM]]+Prog_23[[#This Row],[ESTADIA 1]])</f>
        <v>0</v>
      </c>
      <c r="AY7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63" s="81"/>
      <c r="BA763" s="81"/>
      <c r="BB763" s="81">
        <f>Prog_23[[#This Row],[VLR NF]]*0.1%</f>
        <v>0</v>
      </c>
      <c r="BC763" s="81">
        <f>Prog_23[[#This Row],[VLR NF]]*0.05%</f>
        <v>0</v>
      </c>
      <c r="BD763" s="81"/>
      <c r="BE763" s="81"/>
      <c r="BF763" s="81"/>
      <c r="BG763" s="81"/>
      <c r="BH763" s="81"/>
      <c r="BI763" s="81"/>
      <c r="BJ763" s="81"/>
      <c r="BK763" s="81"/>
      <c r="BL763" s="81"/>
      <c r="BM763" s="81"/>
      <c r="BN763" s="66"/>
      <c r="BO763" s="66"/>
      <c r="BP763" s="66"/>
      <c r="BQ763" s="66" t="str">
        <f>PROPER(TEXT(Prog_23[[#This Row],[PROGRAMAÇÃO CLIENTE]],"mmm"))</f>
        <v>Jan</v>
      </c>
      <c r="BR763" s="66">
        <f>YEAR(Prog_23[[#This Row],[PROGRAMAÇÃO CLIENTE]])</f>
        <v>1900</v>
      </c>
    </row>
    <row r="764" spans="1:70" x14ac:dyDescent="0.25">
      <c r="A764" s="201">
        <f>Prog_23[[#This Row],[CONTEINER]]</f>
        <v>0</v>
      </c>
      <c r="B764" s="86"/>
      <c r="C7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64" s="44"/>
      <c r="E764" s="66"/>
      <c r="F764" s="66"/>
      <c r="G764" s="66"/>
      <c r="H764" s="44"/>
      <c r="I764" s="44"/>
      <c r="J764" s="66"/>
      <c r="K764" s="66"/>
      <c r="L764" s="66"/>
      <c r="M764" s="66"/>
      <c r="N764" s="66">
        <f>SUM(Prog_23[[#This Row],[TARA]]+Prog_23[[#This Row],[PESO]])</f>
        <v>0</v>
      </c>
      <c r="O764" s="44"/>
      <c r="P764" s="66"/>
      <c r="Q764" s="66"/>
      <c r="R764" s="66"/>
      <c r="S764" s="66"/>
      <c r="T764" s="138" t="str">
        <f>IFERROR(LOOKUP($S764,MOTORISTAS!$D$3:$D$916,MOTORISTAS!E$3:$E$916),"")</f>
        <v/>
      </c>
      <c r="U764" s="138" t="str">
        <f>IFERROR(LOOKUP($S764,MOTORISTAS!$D$3:$D$916,MOTORISTAS!F$3:$F$916),"")</f>
        <v/>
      </c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44"/>
      <c r="AG764" s="254">
        <f>Prog_23[[#This Row],[SAÍDA DO CLIENTE]]-Prog_23[[#This Row],[PROGRAMAÇÃO CLIENTE]]</f>
        <v>0</v>
      </c>
      <c r="AH764" s="44"/>
      <c r="AI764" s="66"/>
      <c r="AJ764" s="66"/>
      <c r="AK764" s="66"/>
      <c r="AL764" s="66"/>
      <c r="AM764" s="66"/>
      <c r="AN764" s="83"/>
      <c r="AO764" s="83"/>
      <c r="AP764" s="83"/>
      <c r="AQ764" s="66"/>
      <c r="AR764" s="66"/>
      <c r="AS764" s="66"/>
      <c r="AT764" s="81"/>
      <c r="AU764" s="81"/>
      <c r="AV764" s="81"/>
      <c r="AW764" s="81"/>
      <c r="AX764" s="83">
        <f>SUM(Prog_23[[#This Row],[ADIANTAMENTO]]+Prog_23[[#This Row],[SALDO]]+Prog_23[[#This Row],[MARGEM]]+Prog_23[[#This Row],[ESTADIA 1]])</f>
        <v>0</v>
      </c>
      <c r="AY7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64" s="81"/>
      <c r="BA764" s="81"/>
      <c r="BB764" s="81">
        <f>Prog_23[[#This Row],[VLR NF]]*0.1%</f>
        <v>0</v>
      </c>
      <c r="BC764" s="81">
        <f>Prog_23[[#This Row],[VLR NF]]*0.05%</f>
        <v>0</v>
      </c>
      <c r="BD764" s="81"/>
      <c r="BE764" s="81"/>
      <c r="BF764" s="81"/>
      <c r="BG764" s="81"/>
      <c r="BH764" s="81"/>
      <c r="BI764" s="81"/>
      <c r="BJ764" s="81"/>
      <c r="BK764" s="81"/>
      <c r="BL764" s="81"/>
      <c r="BM764" s="81"/>
      <c r="BN764" s="66"/>
      <c r="BO764" s="66"/>
      <c r="BP764" s="66"/>
      <c r="BQ764" s="66" t="str">
        <f>PROPER(TEXT(Prog_23[[#This Row],[PROGRAMAÇÃO CLIENTE]],"mmm"))</f>
        <v>Jan</v>
      </c>
      <c r="BR764" s="66">
        <f>YEAR(Prog_23[[#This Row],[PROGRAMAÇÃO CLIENTE]])</f>
        <v>1900</v>
      </c>
    </row>
    <row r="765" spans="1:70" x14ac:dyDescent="0.25">
      <c r="A765" s="200">
        <f>Prog_23[[#This Row],[CONTEINER]]</f>
        <v>0</v>
      </c>
      <c r="B765" s="86"/>
      <c r="C7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65" s="44"/>
      <c r="E765" s="66"/>
      <c r="F765" s="66"/>
      <c r="G765" s="66"/>
      <c r="H765" s="44"/>
      <c r="I765" s="44"/>
      <c r="J765" s="66"/>
      <c r="K765" s="66"/>
      <c r="L765" s="66"/>
      <c r="M765" s="66"/>
      <c r="N765" s="66">
        <f>SUM(Prog_23[[#This Row],[TARA]]+Prog_23[[#This Row],[PESO]])</f>
        <v>0</v>
      </c>
      <c r="O765" s="44"/>
      <c r="P765" s="66"/>
      <c r="Q765" s="66"/>
      <c r="R765" s="66"/>
      <c r="S765" s="66"/>
      <c r="T765" s="138" t="str">
        <f>IFERROR(LOOKUP($S765,MOTORISTAS!$D$3:$D$916,MOTORISTAS!E$3:$E$916),"")</f>
        <v/>
      </c>
      <c r="U765" s="138" t="str">
        <f>IFERROR(LOOKUP($S765,MOTORISTAS!$D$3:$D$916,MOTORISTAS!F$3:$F$916),"")</f>
        <v/>
      </c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44"/>
      <c r="AG765" s="254">
        <f>Prog_23[[#This Row],[SAÍDA DO CLIENTE]]-Prog_23[[#This Row],[PROGRAMAÇÃO CLIENTE]]</f>
        <v>0</v>
      </c>
      <c r="AH765" s="44"/>
      <c r="AI765" s="66"/>
      <c r="AJ765" s="66"/>
      <c r="AK765" s="66"/>
      <c r="AL765" s="66"/>
      <c r="AM765" s="66"/>
      <c r="AN765" s="83"/>
      <c r="AO765" s="83"/>
      <c r="AP765" s="83"/>
      <c r="AQ765" s="66"/>
      <c r="AR765" s="66"/>
      <c r="AS765" s="66"/>
      <c r="AT765" s="81"/>
      <c r="AU765" s="81"/>
      <c r="AV765" s="81"/>
      <c r="AW765" s="81"/>
      <c r="AX765" s="83">
        <f>SUM(Prog_23[[#This Row],[ADIANTAMENTO]]+Prog_23[[#This Row],[SALDO]]+Prog_23[[#This Row],[MARGEM]]+Prog_23[[#This Row],[ESTADIA 1]])</f>
        <v>0</v>
      </c>
      <c r="AY7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65" s="81"/>
      <c r="BA765" s="81"/>
      <c r="BB765" s="81">
        <f>Prog_23[[#This Row],[VLR NF]]*0.1%</f>
        <v>0</v>
      </c>
      <c r="BC765" s="81">
        <f>Prog_23[[#This Row],[VLR NF]]*0.05%</f>
        <v>0</v>
      </c>
      <c r="BD765" s="81"/>
      <c r="BE765" s="81"/>
      <c r="BF765" s="81"/>
      <c r="BG765" s="81"/>
      <c r="BH765" s="81"/>
      <c r="BI765" s="81"/>
      <c r="BJ765" s="81"/>
      <c r="BK765" s="81"/>
      <c r="BL765" s="81"/>
      <c r="BM765" s="81"/>
      <c r="BN765" s="66"/>
      <c r="BO765" s="66"/>
      <c r="BP765" s="66"/>
      <c r="BQ765" s="66" t="str">
        <f>PROPER(TEXT(Prog_23[[#This Row],[PROGRAMAÇÃO CLIENTE]],"mmm"))</f>
        <v>Jan</v>
      </c>
      <c r="BR765" s="66">
        <f>YEAR(Prog_23[[#This Row],[PROGRAMAÇÃO CLIENTE]])</f>
        <v>1900</v>
      </c>
    </row>
    <row r="766" spans="1:70" x14ac:dyDescent="0.25">
      <c r="A766" s="201">
        <f>Prog_23[[#This Row],[CONTEINER]]</f>
        <v>0</v>
      </c>
      <c r="B766" s="86"/>
      <c r="C7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66" s="44"/>
      <c r="E766" s="66"/>
      <c r="F766" s="66"/>
      <c r="G766" s="66"/>
      <c r="H766" s="44"/>
      <c r="I766" s="44"/>
      <c r="J766" s="66"/>
      <c r="K766" s="66"/>
      <c r="L766" s="66"/>
      <c r="M766" s="66"/>
      <c r="N766" s="66">
        <f>SUM(Prog_23[[#This Row],[TARA]]+Prog_23[[#This Row],[PESO]])</f>
        <v>0</v>
      </c>
      <c r="O766" s="44"/>
      <c r="P766" s="66"/>
      <c r="Q766" s="66"/>
      <c r="R766" s="66"/>
      <c r="S766" s="66"/>
      <c r="T766" s="138" t="str">
        <f>IFERROR(LOOKUP($S766,MOTORISTAS!$D$3:$D$916,MOTORISTAS!E$3:$E$916),"")</f>
        <v/>
      </c>
      <c r="U766" s="138" t="str">
        <f>IFERROR(LOOKUP($S766,MOTORISTAS!$D$3:$D$916,MOTORISTAS!F$3:$F$916),"")</f>
        <v/>
      </c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44"/>
      <c r="AG766" s="254">
        <f>Prog_23[[#This Row],[SAÍDA DO CLIENTE]]-Prog_23[[#This Row],[PROGRAMAÇÃO CLIENTE]]</f>
        <v>0</v>
      </c>
      <c r="AH766" s="44"/>
      <c r="AI766" s="66"/>
      <c r="AJ766" s="66"/>
      <c r="AK766" s="66"/>
      <c r="AL766" s="66"/>
      <c r="AM766" s="66"/>
      <c r="AN766" s="83"/>
      <c r="AO766" s="83"/>
      <c r="AP766" s="83"/>
      <c r="AQ766" s="66"/>
      <c r="AR766" s="66"/>
      <c r="AS766" s="66"/>
      <c r="AT766" s="81"/>
      <c r="AU766" s="81"/>
      <c r="AV766" s="81"/>
      <c r="AW766" s="81"/>
      <c r="AX766" s="83">
        <f>SUM(Prog_23[[#This Row],[ADIANTAMENTO]]+Prog_23[[#This Row],[SALDO]]+Prog_23[[#This Row],[MARGEM]]+Prog_23[[#This Row],[ESTADIA 1]])</f>
        <v>0</v>
      </c>
      <c r="AY7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66" s="81"/>
      <c r="BA766" s="81"/>
      <c r="BB766" s="81">
        <f>Prog_23[[#This Row],[VLR NF]]*0.1%</f>
        <v>0</v>
      </c>
      <c r="BC766" s="81">
        <f>Prog_23[[#This Row],[VLR NF]]*0.05%</f>
        <v>0</v>
      </c>
      <c r="BD766" s="81"/>
      <c r="BE766" s="81"/>
      <c r="BF766" s="81"/>
      <c r="BG766" s="81"/>
      <c r="BH766" s="81"/>
      <c r="BI766" s="81"/>
      <c r="BJ766" s="81"/>
      <c r="BK766" s="81"/>
      <c r="BL766" s="81"/>
      <c r="BM766" s="81"/>
      <c r="BN766" s="66"/>
      <c r="BO766" s="66"/>
      <c r="BP766" s="66"/>
      <c r="BQ766" s="66" t="str">
        <f>PROPER(TEXT(Prog_23[[#This Row],[PROGRAMAÇÃO CLIENTE]],"mmm"))</f>
        <v>Jan</v>
      </c>
      <c r="BR766" s="66">
        <f>YEAR(Prog_23[[#This Row],[PROGRAMAÇÃO CLIENTE]])</f>
        <v>1900</v>
      </c>
    </row>
    <row r="767" spans="1:70" x14ac:dyDescent="0.25">
      <c r="A767" s="200">
        <f>Prog_23[[#This Row],[CONTEINER]]</f>
        <v>0</v>
      </c>
      <c r="B767" s="86"/>
      <c r="C7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67" s="44"/>
      <c r="E767" s="66"/>
      <c r="F767" s="66"/>
      <c r="G767" s="66"/>
      <c r="H767" s="44"/>
      <c r="I767" s="44"/>
      <c r="J767" s="66"/>
      <c r="K767" s="66"/>
      <c r="L767" s="66"/>
      <c r="M767" s="66"/>
      <c r="N767" s="66">
        <f>SUM(Prog_23[[#This Row],[TARA]]+Prog_23[[#This Row],[PESO]])</f>
        <v>0</v>
      </c>
      <c r="O767" s="44"/>
      <c r="P767" s="66"/>
      <c r="Q767" s="66"/>
      <c r="R767" s="66"/>
      <c r="S767" s="66"/>
      <c r="T767" s="138" t="str">
        <f>IFERROR(LOOKUP($S767,MOTORISTAS!$D$3:$D$916,MOTORISTAS!E$3:$E$916),"")</f>
        <v/>
      </c>
      <c r="U767" s="138" t="str">
        <f>IFERROR(LOOKUP($S767,MOTORISTAS!$D$3:$D$916,MOTORISTAS!F$3:$F$916),"")</f>
        <v/>
      </c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44"/>
      <c r="AG767" s="254">
        <f>Prog_23[[#This Row],[SAÍDA DO CLIENTE]]-Prog_23[[#This Row],[PROGRAMAÇÃO CLIENTE]]</f>
        <v>0</v>
      </c>
      <c r="AH767" s="44"/>
      <c r="AI767" s="66"/>
      <c r="AJ767" s="66"/>
      <c r="AK767" s="66"/>
      <c r="AL767" s="66"/>
      <c r="AM767" s="66"/>
      <c r="AN767" s="83"/>
      <c r="AO767" s="83"/>
      <c r="AP767" s="83"/>
      <c r="AQ767" s="66"/>
      <c r="AR767" s="66"/>
      <c r="AS767" s="66"/>
      <c r="AT767" s="81"/>
      <c r="AU767" s="81"/>
      <c r="AV767" s="81"/>
      <c r="AW767" s="81"/>
      <c r="AX767" s="83">
        <f>SUM(Prog_23[[#This Row],[ADIANTAMENTO]]+Prog_23[[#This Row],[SALDO]]+Prog_23[[#This Row],[MARGEM]]+Prog_23[[#This Row],[ESTADIA 1]])</f>
        <v>0</v>
      </c>
      <c r="AY7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67" s="81"/>
      <c r="BA767" s="81"/>
      <c r="BB767" s="81">
        <f>Prog_23[[#This Row],[VLR NF]]*0.1%</f>
        <v>0</v>
      </c>
      <c r="BC767" s="81">
        <f>Prog_23[[#This Row],[VLR NF]]*0.05%</f>
        <v>0</v>
      </c>
      <c r="BD767" s="81"/>
      <c r="BE767" s="81"/>
      <c r="BF767" s="81"/>
      <c r="BG767" s="81"/>
      <c r="BH767" s="81"/>
      <c r="BI767" s="81"/>
      <c r="BJ767" s="81"/>
      <c r="BK767" s="81"/>
      <c r="BL767" s="81"/>
      <c r="BM767" s="81"/>
      <c r="BN767" s="66"/>
      <c r="BO767" s="66"/>
      <c r="BP767" s="66"/>
      <c r="BQ767" s="66" t="str">
        <f>PROPER(TEXT(Prog_23[[#This Row],[PROGRAMAÇÃO CLIENTE]],"mmm"))</f>
        <v>Jan</v>
      </c>
      <c r="BR767" s="66">
        <f>YEAR(Prog_23[[#This Row],[PROGRAMAÇÃO CLIENTE]])</f>
        <v>1900</v>
      </c>
    </row>
    <row r="768" spans="1:70" x14ac:dyDescent="0.25">
      <c r="A768" s="201">
        <f>Prog_23[[#This Row],[CONTEINER]]</f>
        <v>0</v>
      </c>
      <c r="B768" s="86"/>
      <c r="C7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68" s="44"/>
      <c r="E768" s="66"/>
      <c r="F768" s="66"/>
      <c r="G768" s="66"/>
      <c r="H768" s="44"/>
      <c r="I768" s="44"/>
      <c r="J768" s="66"/>
      <c r="K768" s="66"/>
      <c r="L768" s="66"/>
      <c r="M768" s="66"/>
      <c r="N768" s="66">
        <f>SUM(Prog_23[[#This Row],[TARA]]+Prog_23[[#This Row],[PESO]])</f>
        <v>0</v>
      </c>
      <c r="O768" s="44"/>
      <c r="P768" s="66"/>
      <c r="Q768" s="66"/>
      <c r="R768" s="66"/>
      <c r="S768" s="66"/>
      <c r="T768" s="138" t="str">
        <f>IFERROR(LOOKUP($S768,MOTORISTAS!$D$3:$D$916,MOTORISTAS!E$3:$E$916),"")</f>
        <v/>
      </c>
      <c r="U768" s="138" t="str">
        <f>IFERROR(LOOKUP($S768,MOTORISTAS!$D$3:$D$916,MOTORISTAS!F$3:$F$916),"")</f>
        <v/>
      </c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44"/>
      <c r="AG768" s="254">
        <f>Prog_23[[#This Row],[SAÍDA DO CLIENTE]]-Prog_23[[#This Row],[PROGRAMAÇÃO CLIENTE]]</f>
        <v>0</v>
      </c>
      <c r="AH768" s="44"/>
      <c r="AI768" s="66"/>
      <c r="AJ768" s="66"/>
      <c r="AK768" s="66"/>
      <c r="AL768" s="66"/>
      <c r="AM768" s="66"/>
      <c r="AN768" s="83"/>
      <c r="AO768" s="83"/>
      <c r="AP768" s="83"/>
      <c r="AQ768" s="66"/>
      <c r="AR768" s="66"/>
      <c r="AS768" s="66"/>
      <c r="AT768" s="81"/>
      <c r="AU768" s="81"/>
      <c r="AV768" s="81"/>
      <c r="AW768" s="81"/>
      <c r="AX768" s="83">
        <f>SUM(Prog_23[[#This Row],[ADIANTAMENTO]]+Prog_23[[#This Row],[SALDO]]+Prog_23[[#This Row],[MARGEM]]+Prog_23[[#This Row],[ESTADIA 1]])</f>
        <v>0</v>
      </c>
      <c r="AY7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68" s="81"/>
      <c r="BA768" s="81"/>
      <c r="BB768" s="81">
        <f>Prog_23[[#This Row],[VLR NF]]*0.1%</f>
        <v>0</v>
      </c>
      <c r="BC768" s="81">
        <f>Prog_23[[#This Row],[VLR NF]]*0.05%</f>
        <v>0</v>
      </c>
      <c r="BD768" s="81"/>
      <c r="BE768" s="81"/>
      <c r="BF768" s="81"/>
      <c r="BG768" s="81"/>
      <c r="BH768" s="81"/>
      <c r="BI768" s="81"/>
      <c r="BJ768" s="81"/>
      <c r="BK768" s="81"/>
      <c r="BL768" s="81"/>
      <c r="BM768" s="81"/>
      <c r="BN768" s="66"/>
      <c r="BO768" s="66"/>
      <c r="BP768" s="66"/>
      <c r="BQ768" s="66" t="str">
        <f>PROPER(TEXT(Prog_23[[#This Row],[PROGRAMAÇÃO CLIENTE]],"mmm"))</f>
        <v>Jan</v>
      </c>
      <c r="BR768" s="66">
        <f>YEAR(Prog_23[[#This Row],[PROGRAMAÇÃO CLIENTE]])</f>
        <v>1900</v>
      </c>
    </row>
    <row r="769" spans="1:70" x14ac:dyDescent="0.25">
      <c r="A769" s="200">
        <f>Prog_23[[#This Row],[CONTEINER]]</f>
        <v>0</v>
      </c>
      <c r="B769" s="86"/>
      <c r="C7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69" s="44"/>
      <c r="E769" s="66"/>
      <c r="F769" s="66"/>
      <c r="G769" s="66"/>
      <c r="H769" s="44"/>
      <c r="I769" s="44"/>
      <c r="J769" s="66"/>
      <c r="K769" s="66"/>
      <c r="L769" s="66"/>
      <c r="M769" s="66"/>
      <c r="N769" s="66">
        <f>SUM(Prog_23[[#This Row],[TARA]]+Prog_23[[#This Row],[PESO]])</f>
        <v>0</v>
      </c>
      <c r="O769" s="44"/>
      <c r="P769" s="66"/>
      <c r="Q769" s="66"/>
      <c r="R769" s="66"/>
      <c r="S769" s="66"/>
      <c r="T769" s="138" t="str">
        <f>IFERROR(LOOKUP($S769,MOTORISTAS!$D$3:$D$916,MOTORISTAS!E$3:$E$916),"")</f>
        <v/>
      </c>
      <c r="U769" s="138" t="str">
        <f>IFERROR(LOOKUP($S769,MOTORISTAS!$D$3:$D$916,MOTORISTAS!F$3:$F$916),"")</f>
        <v/>
      </c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44"/>
      <c r="AG769" s="254">
        <f>Prog_23[[#This Row],[SAÍDA DO CLIENTE]]-Prog_23[[#This Row],[PROGRAMAÇÃO CLIENTE]]</f>
        <v>0</v>
      </c>
      <c r="AH769" s="44"/>
      <c r="AI769" s="66"/>
      <c r="AJ769" s="66"/>
      <c r="AK769" s="66"/>
      <c r="AL769" s="66"/>
      <c r="AM769" s="66"/>
      <c r="AN769" s="83"/>
      <c r="AO769" s="83"/>
      <c r="AP769" s="83"/>
      <c r="AQ769" s="66"/>
      <c r="AR769" s="66"/>
      <c r="AS769" s="66"/>
      <c r="AT769" s="81"/>
      <c r="AU769" s="81"/>
      <c r="AV769" s="81"/>
      <c r="AW769" s="81"/>
      <c r="AX769" s="83">
        <f>SUM(Prog_23[[#This Row],[ADIANTAMENTO]]+Prog_23[[#This Row],[SALDO]]+Prog_23[[#This Row],[MARGEM]]+Prog_23[[#This Row],[ESTADIA 1]])</f>
        <v>0</v>
      </c>
      <c r="AY7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69" s="81"/>
      <c r="BA769" s="81"/>
      <c r="BB769" s="81">
        <f>Prog_23[[#This Row],[VLR NF]]*0.1%</f>
        <v>0</v>
      </c>
      <c r="BC769" s="81">
        <f>Prog_23[[#This Row],[VLR NF]]*0.05%</f>
        <v>0</v>
      </c>
      <c r="BD769" s="81"/>
      <c r="BE769" s="81"/>
      <c r="BF769" s="81"/>
      <c r="BG769" s="81"/>
      <c r="BH769" s="81"/>
      <c r="BI769" s="81"/>
      <c r="BJ769" s="81"/>
      <c r="BK769" s="81"/>
      <c r="BL769" s="81"/>
      <c r="BM769" s="81"/>
      <c r="BN769" s="66"/>
      <c r="BO769" s="66"/>
      <c r="BP769" s="66"/>
      <c r="BQ769" s="66" t="str">
        <f>PROPER(TEXT(Prog_23[[#This Row],[PROGRAMAÇÃO CLIENTE]],"mmm"))</f>
        <v>Jan</v>
      </c>
      <c r="BR769" s="66">
        <f>YEAR(Prog_23[[#This Row],[PROGRAMAÇÃO CLIENTE]])</f>
        <v>1900</v>
      </c>
    </row>
    <row r="770" spans="1:70" x14ac:dyDescent="0.25">
      <c r="A770" s="201">
        <f>Prog_23[[#This Row],[CONTEINER]]</f>
        <v>0</v>
      </c>
      <c r="B770" s="86"/>
      <c r="C7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70" s="44"/>
      <c r="E770" s="66"/>
      <c r="F770" s="66"/>
      <c r="G770" s="66"/>
      <c r="H770" s="44"/>
      <c r="I770" s="44"/>
      <c r="J770" s="66"/>
      <c r="K770" s="66"/>
      <c r="L770" s="66"/>
      <c r="M770" s="66"/>
      <c r="N770" s="66">
        <f>SUM(Prog_23[[#This Row],[TARA]]+Prog_23[[#This Row],[PESO]])</f>
        <v>0</v>
      </c>
      <c r="O770" s="44"/>
      <c r="P770" s="66"/>
      <c r="Q770" s="66"/>
      <c r="R770" s="66"/>
      <c r="S770" s="66"/>
      <c r="T770" s="138" t="str">
        <f>IFERROR(LOOKUP($S770,MOTORISTAS!$D$3:$D$916,MOTORISTAS!E$3:$E$916),"")</f>
        <v/>
      </c>
      <c r="U770" s="138" t="str">
        <f>IFERROR(LOOKUP($S770,MOTORISTAS!$D$3:$D$916,MOTORISTAS!F$3:$F$916),"")</f>
        <v/>
      </c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44"/>
      <c r="AG770" s="254">
        <f>Prog_23[[#This Row],[SAÍDA DO CLIENTE]]-Prog_23[[#This Row],[PROGRAMAÇÃO CLIENTE]]</f>
        <v>0</v>
      </c>
      <c r="AH770" s="44"/>
      <c r="AI770" s="66"/>
      <c r="AJ770" s="66"/>
      <c r="AK770" s="66"/>
      <c r="AL770" s="66"/>
      <c r="AM770" s="66"/>
      <c r="AN770" s="83"/>
      <c r="AO770" s="83"/>
      <c r="AP770" s="83"/>
      <c r="AQ770" s="66"/>
      <c r="AR770" s="66"/>
      <c r="AS770" s="66"/>
      <c r="AT770" s="81"/>
      <c r="AU770" s="81"/>
      <c r="AV770" s="81"/>
      <c r="AW770" s="81"/>
      <c r="AX770" s="83">
        <f>SUM(Prog_23[[#This Row],[ADIANTAMENTO]]+Prog_23[[#This Row],[SALDO]]+Prog_23[[#This Row],[MARGEM]]+Prog_23[[#This Row],[ESTADIA 1]])</f>
        <v>0</v>
      </c>
      <c r="AY7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70" s="81"/>
      <c r="BA770" s="81"/>
      <c r="BB770" s="81">
        <f>Prog_23[[#This Row],[VLR NF]]*0.1%</f>
        <v>0</v>
      </c>
      <c r="BC770" s="81">
        <f>Prog_23[[#This Row],[VLR NF]]*0.05%</f>
        <v>0</v>
      </c>
      <c r="BD770" s="81"/>
      <c r="BE770" s="81"/>
      <c r="BF770" s="81"/>
      <c r="BG770" s="81"/>
      <c r="BH770" s="81"/>
      <c r="BI770" s="81"/>
      <c r="BJ770" s="81"/>
      <c r="BK770" s="81"/>
      <c r="BL770" s="81"/>
      <c r="BM770" s="81"/>
      <c r="BN770" s="66"/>
      <c r="BO770" s="66"/>
      <c r="BP770" s="66"/>
      <c r="BQ770" s="66" t="str">
        <f>PROPER(TEXT(Prog_23[[#This Row],[PROGRAMAÇÃO CLIENTE]],"mmm"))</f>
        <v>Jan</v>
      </c>
      <c r="BR770" s="66">
        <f>YEAR(Prog_23[[#This Row],[PROGRAMAÇÃO CLIENTE]])</f>
        <v>1900</v>
      </c>
    </row>
    <row r="771" spans="1:70" x14ac:dyDescent="0.25">
      <c r="A771" s="200">
        <f>Prog_23[[#This Row],[CONTEINER]]</f>
        <v>0</v>
      </c>
      <c r="B771" s="86"/>
      <c r="C7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71" s="44"/>
      <c r="E771" s="66"/>
      <c r="F771" s="66"/>
      <c r="G771" s="66"/>
      <c r="H771" s="44"/>
      <c r="I771" s="44"/>
      <c r="J771" s="66"/>
      <c r="K771" s="66"/>
      <c r="L771" s="66"/>
      <c r="M771" s="66"/>
      <c r="N771" s="66">
        <f>SUM(Prog_23[[#This Row],[TARA]]+Prog_23[[#This Row],[PESO]])</f>
        <v>0</v>
      </c>
      <c r="O771" s="44"/>
      <c r="P771" s="66"/>
      <c r="Q771" s="66"/>
      <c r="R771" s="66"/>
      <c r="S771" s="66"/>
      <c r="T771" s="138" t="str">
        <f>IFERROR(LOOKUP($S771,MOTORISTAS!$D$3:$D$916,MOTORISTAS!E$3:$E$916),"")</f>
        <v/>
      </c>
      <c r="U771" s="138" t="str">
        <f>IFERROR(LOOKUP($S771,MOTORISTAS!$D$3:$D$916,MOTORISTAS!F$3:$F$916),"")</f>
        <v/>
      </c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44"/>
      <c r="AG771" s="254">
        <f>Prog_23[[#This Row],[SAÍDA DO CLIENTE]]-Prog_23[[#This Row],[PROGRAMAÇÃO CLIENTE]]</f>
        <v>0</v>
      </c>
      <c r="AH771" s="44"/>
      <c r="AI771" s="66"/>
      <c r="AJ771" s="66"/>
      <c r="AK771" s="66"/>
      <c r="AL771" s="66"/>
      <c r="AM771" s="66"/>
      <c r="AN771" s="83"/>
      <c r="AO771" s="83"/>
      <c r="AP771" s="83"/>
      <c r="AQ771" s="66"/>
      <c r="AR771" s="66"/>
      <c r="AS771" s="66"/>
      <c r="AT771" s="81"/>
      <c r="AU771" s="81"/>
      <c r="AV771" s="81"/>
      <c r="AW771" s="81"/>
      <c r="AX771" s="83">
        <f>SUM(Prog_23[[#This Row],[ADIANTAMENTO]]+Prog_23[[#This Row],[SALDO]]+Prog_23[[#This Row],[MARGEM]]+Prog_23[[#This Row],[ESTADIA 1]])</f>
        <v>0</v>
      </c>
      <c r="AY7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71" s="81"/>
      <c r="BA771" s="81"/>
      <c r="BB771" s="81">
        <f>Prog_23[[#This Row],[VLR NF]]*0.1%</f>
        <v>0</v>
      </c>
      <c r="BC771" s="81">
        <f>Prog_23[[#This Row],[VLR NF]]*0.05%</f>
        <v>0</v>
      </c>
      <c r="BD771" s="81"/>
      <c r="BE771" s="81"/>
      <c r="BF771" s="81"/>
      <c r="BG771" s="81"/>
      <c r="BH771" s="81"/>
      <c r="BI771" s="81"/>
      <c r="BJ771" s="81"/>
      <c r="BK771" s="81"/>
      <c r="BL771" s="81"/>
      <c r="BM771" s="81"/>
      <c r="BN771" s="66"/>
      <c r="BO771" s="66"/>
      <c r="BP771" s="66"/>
      <c r="BQ771" s="66" t="str">
        <f>PROPER(TEXT(Prog_23[[#This Row],[PROGRAMAÇÃO CLIENTE]],"mmm"))</f>
        <v>Jan</v>
      </c>
      <c r="BR771" s="66">
        <f>YEAR(Prog_23[[#This Row],[PROGRAMAÇÃO CLIENTE]])</f>
        <v>1900</v>
      </c>
    </row>
    <row r="772" spans="1:70" x14ac:dyDescent="0.25">
      <c r="A772" s="201">
        <f>Prog_23[[#This Row],[CONTEINER]]</f>
        <v>0</v>
      </c>
      <c r="B772" s="86"/>
      <c r="C7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72" s="44"/>
      <c r="E772" s="66"/>
      <c r="F772" s="66"/>
      <c r="G772" s="66"/>
      <c r="H772" s="44"/>
      <c r="I772" s="44"/>
      <c r="J772" s="66"/>
      <c r="K772" s="66"/>
      <c r="L772" s="66"/>
      <c r="M772" s="66"/>
      <c r="N772" s="66">
        <f>SUM(Prog_23[[#This Row],[TARA]]+Prog_23[[#This Row],[PESO]])</f>
        <v>0</v>
      </c>
      <c r="O772" s="44"/>
      <c r="P772" s="66"/>
      <c r="Q772" s="66"/>
      <c r="R772" s="66"/>
      <c r="S772" s="66"/>
      <c r="T772" s="138" t="str">
        <f>IFERROR(LOOKUP($S772,MOTORISTAS!$D$3:$D$916,MOTORISTAS!E$3:$E$916),"")</f>
        <v/>
      </c>
      <c r="U772" s="138" t="str">
        <f>IFERROR(LOOKUP($S772,MOTORISTAS!$D$3:$D$916,MOTORISTAS!F$3:$F$916),"")</f>
        <v/>
      </c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44"/>
      <c r="AG772" s="254">
        <f>Prog_23[[#This Row],[SAÍDA DO CLIENTE]]-Prog_23[[#This Row],[PROGRAMAÇÃO CLIENTE]]</f>
        <v>0</v>
      </c>
      <c r="AH772" s="44"/>
      <c r="AI772" s="66"/>
      <c r="AJ772" s="66"/>
      <c r="AK772" s="66"/>
      <c r="AL772" s="66"/>
      <c r="AM772" s="66"/>
      <c r="AN772" s="83"/>
      <c r="AO772" s="83"/>
      <c r="AP772" s="83"/>
      <c r="AQ772" s="66"/>
      <c r="AR772" s="66"/>
      <c r="AS772" s="66"/>
      <c r="AT772" s="81"/>
      <c r="AU772" s="81"/>
      <c r="AV772" s="81"/>
      <c r="AW772" s="81"/>
      <c r="AX772" s="83">
        <f>SUM(Prog_23[[#This Row],[ADIANTAMENTO]]+Prog_23[[#This Row],[SALDO]]+Prog_23[[#This Row],[MARGEM]]+Prog_23[[#This Row],[ESTADIA 1]])</f>
        <v>0</v>
      </c>
      <c r="AY7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72" s="81"/>
      <c r="BA772" s="81"/>
      <c r="BB772" s="81">
        <f>Prog_23[[#This Row],[VLR NF]]*0.1%</f>
        <v>0</v>
      </c>
      <c r="BC772" s="81">
        <f>Prog_23[[#This Row],[VLR NF]]*0.05%</f>
        <v>0</v>
      </c>
      <c r="BD772" s="81"/>
      <c r="BE772" s="81"/>
      <c r="BF772" s="81"/>
      <c r="BG772" s="81"/>
      <c r="BH772" s="81"/>
      <c r="BI772" s="81"/>
      <c r="BJ772" s="81"/>
      <c r="BK772" s="81"/>
      <c r="BL772" s="81"/>
      <c r="BM772" s="81"/>
      <c r="BN772" s="66"/>
      <c r="BO772" s="66"/>
      <c r="BP772" s="66"/>
      <c r="BQ772" s="66" t="str">
        <f>PROPER(TEXT(Prog_23[[#This Row],[PROGRAMAÇÃO CLIENTE]],"mmm"))</f>
        <v>Jan</v>
      </c>
      <c r="BR772" s="66">
        <f>YEAR(Prog_23[[#This Row],[PROGRAMAÇÃO CLIENTE]])</f>
        <v>1900</v>
      </c>
    </row>
    <row r="773" spans="1:70" x14ac:dyDescent="0.25">
      <c r="A773" s="200">
        <f>Prog_23[[#This Row],[CONTEINER]]</f>
        <v>0</v>
      </c>
      <c r="B773" s="86"/>
      <c r="C7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73" s="44"/>
      <c r="E773" s="66"/>
      <c r="F773" s="66"/>
      <c r="G773" s="66"/>
      <c r="H773" s="44"/>
      <c r="I773" s="44"/>
      <c r="J773" s="66"/>
      <c r="K773" s="66"/>
      <c r="L773" s="66"/>
      <c r="M773" s="66"/>
      <c r="N773" s="66">
        <f>SUM(Prog_23[[#This Row],[TARA]]+Prog_23[[#This Row],[PESO]])</f>
        <v>0</v>
      </c>
      <c r="O773" s="44"/>
      <c r="P773" s="66"/>
      <c r="Q773" s="66"/>
      <c r="R773" s="66"/>
      <c r="S773" s="66"/>
      <c r="T773" s="138" t="str">
        <f>IFERROR(LOOKUP($S773,MOTORISTAS!$D$3:$D$916,MOTORISTAS!E$3:$E$916),"")</f>
        <v/>
      </c>
      <c r="U773" s="138" t="str">
        <f>IFERROR(LOOKUP($S773,MOTORISTAS!$D$3:$D$916,MOTORISTAS!F$3:$F$916),"")</f>
        <v/>
      </c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44"/>
      <c r="AG773" s="254">
        <f>Prog_23[[#This Row],[SAÍDA DO CLIENTE]]-Prog_23[[#This Row],[PROGRAMAÇÃO CLIENTE]]</f>
        <v>0</v>
      </c>
      <c r="AH773" s="44"/>
      <c r="AI773" s="66"/>
      <c r="AJ773" s="66"/>
      <c r="AK773" s="66"/>
      <c r="AL773" s="66"/>
      <c r="AM773" s="66"/>
      <c r="AN773" s="83"/>
      <c r="AO773" s="83"/>
      <c r="AP773" s="83"/>
      <c r="AQ773" s="66"/>
      <c r="AR773" s="66"/>
      <c r="AS773" s="66"/>
      <c r="AT773" s="81"/>
      <c r="AU773" s="81"/>
      <c r="AV773" s="81"/>
      <c r="AW773" s="81"/>
      <c r="AX773" s="83">
        <f>SUM(Prog_23[[#This Row],[ADIANTAMENTO]]+Prog_23[[#This Row],[SALDO]]+Prog_23[[#This Row],[MARGEM]]+Prog_23[[#This Row],[ESTADIA 1]])</f>
        <v>0</v>
      </c>
      <c r="AY7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73" s="81"/>
      <c r="BA773" s="81"/>
      <c r="BB773" s="81">
        <f>Prog_23[[#This Row],[VLR NF]]*0.1%</f>
        <v>0</v>
      </c>
      <c r="BC773" s="81">
        <f>Prog_23[[#This Row],[VLR NF]]*0.05%</f>
        <v>0</v>
      </c>
      <c r="BD773" s="81"/>
      <c r="BE773" s="81"/>
      <c r="BF773" s="81"/>
      <c r="BG773" s="81"/>
      <c r="BH773" s="81"/>
      <c r="BI773" s="81"/>
      <c r="BJ773" s="81"/>
      <c r="BK773" s="81"/>
      <c r="BL773" s="81"/>
      <c r="BM773" s="81"/>
      <c r="BN773" s="66"/>
      <c r="BO773" s="66"/>
      <c r="BP773" s="66"/>
      <c r="BQ773" s="66" t="str">
        <f>PROPER(TEXT(Prog_23[[#This Row],[PROGRAMAÇÃO CLIENTE]],"mmm"))</f>
        <v>Jan</v>
      </c>
      <c r="BR773" s="66">
        <f>YEAR(Prog_23[[#This Row],[PROGRAMAÇÃO CLIENTE]])</f>
        <v>1900</v>
      </c>
    </row>
    <row r="774" spans="1:70" x14ac:dyDescent="0.25">
      <c r="A774" s="201">
        <f>Prog_23[[#This Row],[CONTEINER]]</f>
        <v>0</v>
      </c>
      <c r="B774" s="86"/>
      <c r="C7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74" s="44"/>
      <c r="E774" s="66"/>
      <c r="F774" s="66"/>
      <c r="G774" s="66"/>
      <c r="H774" s="44"/>
      <c r="I774" s="44"/>
      <c r="J774" s="66"/>
      <c r="K774" s="66"/>
      <c r="L774" s="66"/>
      <c r="M774" s="66"/>
      <c r="N774" s="66">
        <f>SUM(Prog_23[[#This Row],[TARA]]+Prog_23[[#This Row],[PESO]])</f>
        <v>0</v>
      </c>
      <c r="O774" s="44"/>
      <c r="P774" s="66"/>
      <c r="Q774" s="66"/>
      <c r="R774" s="66"/>
      <c r="S774" s="66"/>
      <c r="T774" s="138" t="str">
        <f>IFERROR(LOOKUP($S774,MOTORISTAS!$D$3:$D$916,MOTORISTAS!E$3:$E$916),"")</f>
        <v/>
      </c>
      <c r="U774" s="138" t="str">
        <f>IFERROR(LOOKUP($S774,MOTORISTAS!$D$3:$D$916,MOTORISTAS!F$3:$F$916),"")</f>
        <v/>
      </c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44"/>
      <c r="AG774" s="254">
        <f>Prog_23[[#This Row],[SAÍDA DO CLIENTE]]-Prog_23[[#This Row],[PROGRAMAÇÃO CLIENTE]]</f>
        <v>0</v>
      </c>
      <c r="AH774" s="44"/>
      <c r="AI774" s="66"/>
      <c r="AJ774" s="66"/>
      <c r="AK774" s="66"/>
      <c r="AL774" s="66"/>
      <c r="AM774" s="66"/>
      <c r="AN774" s="83"/>
      <c r="AO774" s="83"/>
      <c r="AP774" s="83"/>
      <c r="AQ774" s="66"/>
      <c r="AR774" s="66"/>
      <c r="AS774" s="66"/>
      <c r="AT774" s="81"/>
      <c r="AU774" s="81"/>
      <c r="AV774" s="81"/>
      <c r="AW774" s="81"/>
      <c r="AX774" s="83">
        <f>SUM(Prog_23[[#This Row],[ADIANTAMENTO]]+Prog_23[[#This Row],[SALDO]]+Prog_23[[#This Row],[MARGEM]]+Prog_23[[#This Row],[ESTADIA 1]])</f>
        <v>0</v>
      </c>
      <c r="AY7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74" s="81"/>
      <c r="BA774" s="81"/>
      <c r="BB774" s="81">
        <f>Prog_23[[#This Row],[VLR NF]]*0.1%</f>
        <v>0</v>
      </c>
      <c r="BC774" s="81">
        <f>Prog_23[[#This Row],[VLR NF]]*0.05%</f>
        <v>0</v>
      </c>
      <c r="BD774" s="81"/>
      <c r="BE774" s="81"/>
      <c r="BF774" s="81"/>
      <c r="BG774" s="81"/>
      <c r="BH774" s="81"/>
      <c r="BI774" s="81"/>
      <c r="BJ774" s="81"/>
      <c r="BK774" s="81"/>
      <c r="BL774" s="81"/>
      <c r="BM774" s="81"/>
      <c r="BN774" s="66"/>
      <c r="BO774" s="66"/>
      <c r="BP774" s="66"/>
      <c r="BQ774" s="66" t="str">
        <f>PROPER(TEXT(Prog_23[[#This Row],[PROGRAMAÇÃO CLIENTE]],"mmm"))</f>
        <v>Jan</v>
      </c>
      <c r="BR774" s="66">
        <f>YEAR(Prog_23[[#This Row],[PROGRAMAÇÃO CLIENTE]])</f>
        <v>1900</v>
      </c>
    </row>
    <row r="775" spans="1:70" x14ac:dyDescent="0.25">
      <c r="A775" s="200">
        <f>Prog_23[[#This Row],[CONTEINER]]</f>
        <v>0</v>
      </c>
      <c r="B775" s="86"/>
      <c r="C7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75" s="44"/>
      <c r="E775" s="66"/>
      <c r="F775" s="66"/>
      <c r="G775" s="66"/>
      <c r="H775" s="44"/>
      <c r="I775" s="44"/>
      <c r="J775" s="66"/>
      <c r="K775" s="66"/>
      <c r="L775" s="66"/>
      <c r="M775" s="66"/>
      <c r="N775" s="66">
        <f>SUM(Prog_23[[#This Row],[TARA]]+Prog_23[[#This Row],[PESO]])</f>
        <v>0</v>
      </c>
      <c r="O775" s="44"/>
      <c r="P775" s="66"/>
      <c r="Q775" s="66"/>
      <c r="R775" s="66"/>
      <c r="S775" s="66"/>
      <c r="T775" s="138" t="str">
        <f>IFERROR(LOOKUP($S775,MOTORISTAS!$D$3:$D$916,MOTORISTAS!E$3:$E$916),"")</f>
        <v/>
      </c>
      <c r="U775" s="138" t="str">
        <f>IFERROR(LOOKUP($S775,MOTORISTAS!$D$3:$D$916,MOTORISTAS!F$3:$F$916),"")</f>
        <v/>
      </c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44"/>
      <c r="AG775" s="254">
        <f>Prog_23[[#This Row],[SAÍDA DO CLIENTE]]-Prog_23[[#This Row],[PROGRAMAÇÃO CLIENTE]]</f>
        <v>0</v>
      </c>
      <c r="AH775" s="44"/>
      <c r="AI775" s="66"/>
      <c r="AJ775" s="66"/>
      <c r="AK775" s="66"/>
      <c r="AL775" s="66"/>
      <c r="AM775" s="66"/>
      <c r="AN775" s="83"/>
      <c r="AO775" s="83"/>
      <c r="AP775" s="83"/>
      <c r="AQ775" s="66"/>
      <c r="AR775" s="66"/>
      <c r="AS775" s="66"/>
      <c r="AT775" s="81"/>
      <c r="AU775" s="81"/>
      <c r="AV775" s="81"/>
      <c r="AW775" s="81"/>
      <c r="AX775" s="83">
        <f>SUM(Prog_23[[#This Row],[ADIANTAMENTO]]+Prog_23[[#This Row],[SALDO]]+Prog_23[[#This Row],[MARGEM]]+Prog_23[[#This Row],[ESTADIA 1]])</f>
        <v>0</v>
      </c>
      <c r="AY7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75" s="81"/>
      <c r="BA775" s="81"/>
      <c r="BB775" s="81">
        <f>Prog_23[[#This Row],[VLR NF]]*0.1%</f>
        <v>0</v>
      </c>
      <c r="BC775" s="81">
        <f>Prog_23[[#This Row],[VLR NF]]*0.05%</f>
        <v>0</v>
      </c>
      <c r="BD775" s="81"/>
      <c r="BE775" s="81"/>
      <c r="BF775" s="81"/>
      <c r="BG775" s="81"/>
      <c r="BH775" s="81"/>
      <c r="BI775" s="81"/>
      <c r="BJ775" s="81"/>
      <c r="BK775" s="81"/>
      <c r="BL775" s="81"/>
      <c r="BM775" s="81"/>
      <c r="BN775" s="66"/>
      <c r="BO775" s="66"/>
      <c r="BP775" s="66"/>
      <c r="BQ775" s="66" t="str">
        <f>PROPER(TEXT(Prog_23[[#This Row],[PROGRAMAÇÃO CLIENTE]],"mmm"))</f>
        <v>Jan</v>
      </c>
      <c r="BR775" s="66">
        <f>YEAR(Prog_23[[#This Row],[PROGRAMAÇÃO CLIENTE]])</f>
        <v>1900</v>
      </c>
    </row>
    <row r="776" spans="1:70" x14ac:dyDescent="0.25">
      <c r="A776" s="201">
        <f>Prog_23[[#This Row],[CONTEINER]]</f>
        <v>0</v>
      </c>
      <c r="B776" s="86"/>
      <c r="C7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76" s="44"/>
      <c r="E776" s="66"/>
      <c r="F776" s="66"/>
      <c r="G776" s="66"/>
      <c r="H776" s="44"/>
      <c r="I776" s="44"/>
      <c r="J776" s="66"/>
      <c r="K776" s="66"/>
      <c r="L776" s="66"/>
      <c r="M776" s="66"/>
      <c r="N776" s="66">
        <f>SUM(Prog_23[[#This Row],[TARA]]+Prog_23[[#This Row],[PESO]])</f>
        <v>0</v>
      </c>
      <c r="O776" s="44"/>
      <c r="P776" s="66"/>
      <c r="Q776" s="66"/>
      <c r="R776" s="66"/>
      <c r="S776" s="66"/>
      <c r="T776" s="138" t="str">
        <f>IFERROR(LOOKUP($S776,MOTORISTAS!$D$3:$D$916,MOTORISTAS!E$3:$E$916),"")</f>
        <v/>
      </c>
      <c r="U776" s="138" t="str">
        <f>IFERROR(LOOKUP($S776,MOTORISTAS!$D$3:$D$916,MOTORISTAS!F$3:$F$916),"")</f>
        <v/>
      </c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44"/>
      <c r="AG776" s="254">
        <f>Prog_23[[#This Row],[SAÍDA DO CLIENTE]]-Prog_23[[#This Row],[PROGRAMAÇÃO CLIENTE]]</f>
        <v>0</v>
      </c>
      <c r="AH776" s="44"/>
      <c r="AI776" s="66"/>
      <c r="AJ776" s="66"/>
      <c r="AK776" s="66"/>
      <c r="AL776" s="66"/>
      <c r="AM776" s="66"/>
      <c r="AN776" s="83"/>
      <c r="AO776" s="83"/>
      <c r="AP776" s="83"/>
      <c r="AQ776" s="66"/>
      <c r="AR776" s="66"/>
      <c r="AS776" s="66"/>
      <c r="AT776" s="81"/>
      <c r="AU776" s="81"/>
      <c r="AV776" s="81"/>
      <c r="AW776" s="81"/>
      <c r="AX776" s="83">
        <f>SUM(Prog_23[[#This Row],[ADIANTAMENTO]]+Prog_23[[#This Row],[SALDO]]+Prog_23[[#This Row],[MARGEM]]+Prog_23[[#This Row],[ESTADIA 1]])</f>
        <v>0</v>
      </c>
      <c r="AY7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76" s="81"/>
      <c r="BA776" s="81"/>
      <c r="BB776" s="81">
        <f>Prog_23[[#This Row],[VLR NF]]*0.1%</f>
        <v>0</v>
      </c>
      <c r="BC776" s="81">
        <f>Prog_23[[#This Row],[VLR NF]]*0.05%</f>
        <v>0</v>
      </c>
      <c r="BD776" s="81"/>
      <c r="BE776" s="81"/>
      <c r="BF776" s="81"/>
      <c r="BG776" s="81"/>
      <c r="BH776" s="81"/>
      <c r="BI776" s="81"/>
      <c r="BJ776" s="81"/>
      <c r="BK776" s="81"/>
      <c r="BL776" s="81"/>
      <c r="BM776" s="81"/>
      <c r="BN776" s="66"/>
      <c r="BO776" s="66"/>
      <c r="BP776" s="66"/>
      <c r="BQ776" s="66" t="str">
        <f>PROPER(TEXT(Prog_23[[#This Row],[PROGRAMAÇÃO CLIENTE]],"mmm"))</f>
        <v>Jan</v>
      </c>
      <c r="BR776" s="66">
        <f>YEAR(Prog_23[[#This Row],[PROGRAMAÇÃO CLIENTE]])</f>
        <v>1900</v>
      </c>
    </row>
    <row r="777" spans="1:70" x14ac:dyDescent="0.25">
      <c r="A777" s="200">
        <f>Prog_23[[#This Row],[CONTEINER]]</f>
        <v>0</v>
      </c>
      <c r="B777" s="86"/>
      <c r="C7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77" s="44"/>
      <c r="E777" s="66"/>
      <c r="F777" s="66"/>
      <c r="G777" s="66"/>
      <c r="H777" s="44"/>
      <c r="I777" s="44"/>
      <c r="J777" s="66"/>
      <c r="K777" s="66"/>
      <c r="L777" s="66"/>
      <c r="M777" s="66"/>
      <c r="N777" s="66">
        <f>SUM(Prog_23[[#This Row],[TARA]]+Prog_23[[#This Row],[PESO]])</f>
        <v>0</v>
      </c>
      <c r="O777" s="44"/>
      <c r="P777" s="66"/>
      <c r="Q777" s="66"/>
      <c r="R777" s="66"/>
      <c r="S777" s="66"/>
      <c r="T777" s="138" t="str">
        <f>IFERROR(LOOKUP($S777,MOTORISTAS!$D$3:$D$916,MOTORISTAS!E$3:$E$916),"")</f>
        <v/>
      </c>
      <c r="U777" s="138" t="str">
        <f>IFERROR(LOOKUP($S777,MOTORISTAS!$D$3:$D$916,MOTORISTAS!F$3:$F$916),"")</f>
        <v/>
      </c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44"/>
      <c r="AG777" s="254">
        <f>Prog_23[[#This Row],[SAÍDA DO CLIENTE]]-Prog_23[[#This Row],[PROGRAMAÇÃO CLIENTE]]</f>
        <v>0</v>
      </c>
      <c r="AH777" s="44"/>
      <c r="AI777" s="66"/>
      <c r="AJ777" s="66"/>
      <c r="AK777" s="66"/>
      <c r="AL777" s="66"/>
      <c r="AM777" s="66"/>
      <c r="AN777" s="83"/>
      <c r="AO777" s="83"/>
      <c r="AP777" s="83"/>
      <c r="AQ777" s="66"/>
      <c r="AR777" s="66"/>
      <c r="AS777" s="66"/>
      <c r="AT777" s="81"/>
      <c r="AU777" s="81"/>
      <c r="AV777" s="81"/>
      <c r="AW777" s="81"/>
      <c r="AX777" s="83">
        <f>SUM(Prog_23[[#This Row],[ADIANTAMENTO]]+Prog_23[[#This Row],[SALDO]]+Prog_23[[#This Row],[MARGEM]]+Prog_23[[#This Row],[ESTADIA 1]])</f>
        <v>0</v>
      </c>
      <c r="AY7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77" s="81"/>
      <c r="BA777" s="81"/>
      <c r="BB777" s="81">
        <f>Prog_23[[#This Row],[VLR NF]]*0.1%</f>
        <v>0</v>
      </c>
      <c r="BC777" s="81">
        <f>Prog_23[[#This Row],[VLR NF]]*0.05%</f>
        <v>0</v>
      </c>
      <c r="BD777" s="81"/>
      <c r="BE777" s="81"/>
      <c r="BF777" s="81"/>
      <c r="BG777" s="81"/>
      <c r="BH777" s="81"/>
      <c r="BI777" s="81"/>
      <c r="BJ777" s="81"/>
      <c r="BK777" s="81"/>
      <c r="BL777" s="81"/>
      <c r="BM777" s="81"/>
      <c r="BN777" s="66"/>
      <c r="BO777" s="66"/>
      <c r="BP777" s="66"/>
      <c r="BQ777" s="66" t="str">
        <f>PROPER(TEXT(Prog_23[[#This Row],[PROGRAMAÇÃO CLIENTE]],"mmm"))</f>
        <v>Jan</v>
      </c>
      <c r="BR777" s="66">
        <f>YEAR(Prog_23[[#This Row],[PROGRAMAÇÃO CLIENTE]])</f>
        <v>1900</v>
      </c>
    </row>
    <row r="778" spans="1:70" x14ac:dyDescent="0.25">
      <c r="A778" s="201">
        <f>Prog_23[[#This Row],[CONTEINER]]</f>
        <v>0</v>
      </c>
      <c r="B778" s="86"/>
      <c r="C7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78" s="44"/>
      <c r="E778" s="66"/>
      <c r="F778" s="66"/>
      <c r="G778" s="66"/>
      <c r="H778" s="44"/>
      <c r="I778" s="44"/>
      <c r="J778" s="66"/>
      <c r="K778" s="66"/>
      <c r="L778" s="66"/>
      <c r="M778" s="66"/>
      <c r="N778" s="66">
        <f>SUM(Prog_23[[#This Row],[TARA]]+Prog_23[[#This Row],[PESO]])</f>
        <v>0</v>
      </c>
      <c r="O778" s="44"/>
      <c r="P778" s="66"/>
      <c r="Q778" s="66"/>
      <c r="R778" s="66"/>
      <c r="S778" s="66"/>
      <c r="T778" s="138" t="str">
        <f>IFERROR(LOOKUP($S778,MOTORISTAS!$D$3:$D$916,MOTORISTAS!E$3:$E$916),"")</f>
        <v/>
      </c>
      <c r="U778" s="138" t="str">
        <f>IFERROR(LOOKUP($S778,MOTORISTAS!$D$3:$D$916,MOTORISTAS!F$3:$F$916),"")</f>
        <v/>
      </c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44"/>
      <c r="AG778" s="254">
        <f>Prog_23[[#This Row],[SAÍDA DO CLIENTE]]-Prog_23[[#This Row],[PROGRAMAÇÃO CLIENTE]]</f>
        <v>0</v>
      </c>
      <c r="AH778" s="44"/>
      <c r="AI778" s="66"/>
      <c r="AJ778" s="66"/>
      <c r="AK778" s="66"/>
      <c r="AL778" s="66"/>
      <c r="AM778" s="66"/>
      <c r="AN778" s="83"/>
      <c r="AO778" s="83"/>
      <c r="AP778" s="83"/>
      <c r="AQ778" s="66"/>
      <c r="AR778" s="66"/>
      <c r="AS778" s="66"/>
      <c r="AT778" s="81"/>
      <c r="AU778" s="81"/>
      <c r="AV778" s="81"/>
      <c r="AW778" s="81"/>
      <c r="AX778" s="83">
        <f>SUM(Prog_23[[#This Row],[ADIANTAMENTO]]+Prog_23[[#This Row],[SALDO]]+Prog_23[[#This Row],[MARGEM]]+Prog_23[[#This Row],[ESTADIA 1]])</f>
        <v>0</v>
      </c>
      <c r="AY7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78" s="81"/>
      <c r="BA778" s="81"/>
      <c r="BB778" s="81">
        <f>Prog_23[[#This Row],[VLR NF]]*0.1%</f>
        <v>0</v>
      </c>
      <c r="BC778" s="81">
        <f>Prog_23[[#This Row],[VLR NF]]*0.05%</f>
        <v>0</v>
      </c>
      <c r="BD778" s="81"/>
      <c r="BE778" s="81"/>
      <c r="BF778" s="81"/>
      <c r="BG778" s="81"/>
      <c r="BH778" s="81"/>
      <c r="BI778" s="81"/>
      <c r="BJ778" s="81"/>
      <c r="BK778" s="81"/>
      <c r="BL778" s="81"/>
      <c r="BM778" s="81"/>
      <c r="BN778" s="66"/>
      <c r="BO778" s="66"/>
      <c r="BP778" s="66"/>
      <c r="BQ778" s="66" t="str">
        <f>PROPER(TEXT(Prog_23[[#This Row],[PROGRAMAÇÃO CLIENTE]],"mmm"))</f>
        <v>Jan</v>
      </c>
      <c r="BR778" s="66">
        <f>YEAR(Prog_23[[#This Row],[PROGRAMAÇÃO CLIENTE]])</f>
        <v>1900</v>
      </c>
    </row>
    <row r="779" spans="1:70" x14ac:dyDescent="0.25">
      <c r="A779" s="200">
        <f>Prog_23[[#This Row],[CONTEINER]]</f>
        <v>0</v>
      </c>
      <c r="B779" s="86"/>
      <c r="C7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79" s="44"/>
      <c r="E779" s="66"/>
      <c r="F779" s="66"/>
      <c r="G779" s="66"/>
      <c r="H779" s="44"/>
      <c r="I779" s="44"/>
      <c r="J779" s="66"/>
      <c r="K779" s="66"/>
      <c r="L779" s="66"/>
      <c r="M779" s="66"/>
      <c r="N779" s="66">
        <f>SUM(Prog_23[[#This Row],[TARA]]+Prog_23[[#This Row],[PESO]])</f>
        <v>0</v>
      </c>
      <c r="O779" s="44"/>
      <c r="P779" s="66"/>
      <c r="Q779" s="66"/>
      <c r="R779" s="66"/>
      <c r="S779" s="66"/>
      <c r="T779" s="138" t="str">
        <f>IFERROR(LOOKUP($S779,MOTORISTAS!$D$3:$D$916,MOTORISTAS!E$3:$E$916),"")</f>
        <v/>
      </c>
      <c r="U779" s="138" t="str">
        <f>IFERROR(LOOKUP($S779,MOTORISTAS!$D$3:$D$916,MOTORISTAS!F$3:$F$916),"")</f>
        <v/>
      </c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44"/>
      <c r="AG779" s="254">
        <f>Prog_23[[#This Row],[SAÍDA DO CLIENTE]]-Prog_23[[#This Row],[PROGRAMAÇÃO CLIENTE]]</f>
        <v>0</v>
      </c>
      <c r="AH779" s="44"/>
      <c r="AI779" s="66"/>
      <c r="AJ779" s="66"/>
      <c r="AK779" s="66"/>
      <c r="AL779" s="66"/>
      <c r="AM779" s="66"/>
      <c r="AN779" s="83"/>
      <c r="AO779" s="83"/>
      <c r="AP779" s="83"/>
      <c r="AQ779" s="66"/>
      <c r="AR779" s="66"/>
      <c r="AS779" s="66"/>
      <c r="AT779" s="81"/>
      <c r="AU779" s="81"/>
      <c r="AV779" s="81"/>
      <c r="AW779" s="81"/>
      <c r="AX779" s="83">
        <f>SUM(Prog_23[[#This Row],[ADIANTAMENTO]]+Prog_23[[#This Row],[SALDO]]+Prog_23[[#This Row],[MARGEM]]+Prog_23[[#This Row],[ESTADIA 1]])</f>
        <v>0</v>
      </c>
      <c r="AY7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79" s="81"/>
      <c r="BA779" s="81"/>
      <c r="BB779" s="81">
        <f>Prog_23[[#This Row],[VLR NF]]*0.1%</f>
        <v>0</v>
      </c>
      <c r="BC779" s="81">
        <f>Prog_23[[#This Row],[VLR NF]]*0.05%</f>
        <v>0</v>
      </c>
      <c r="BD779" s="81"/>
      <c r="BE779" s="81"/>
      <c r="BF779" s="81"/>
      <c r="BG779" s="81"/>
      <c r="BH779" s="81"/>
      <c r="BI779" s="81"/>
      <c r="BJ779" s="81"/>
      <c r="BK779" s="81"/>
      <c r="BL779" s="81"/>
      <c r="BM779" s="81"/>
      <c r="BN779" s="66"/>
      <c r="BO779" s="66"/>
      <c r="BP779" s="66"/>
      <c r="BQ779" s="66" t="str">
        <f>PROPER(TEXT(Prog_23[[#This Row],[PROGRAMAÇÃO CLIENTE]],"mmm"))</f>
        <v>Jan</v>
      </c>
      <c r="BR779" s="66">
        <f>YEAR(Prog_23[[#This Row],[PROGRAMAÇÃO CLIENTE]])</f>
        <v>1900</v>
      </c>
    </row>
    <row r="780" spans="1:70" x14ac:dyDescent="0.25">
      <c r="A780" s="201">
        <f>Prog_23[[#This Row],[CONTEINER]]</f>
        <v>0</v>
      </c>
      <c r="B780" s="86"/>
      <c r="C7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80" s="44"/>
      <c r="E780" s="66"/>
      <c r="F780" s="66"/>
      <c r="G780" s="66"/>
      <c r="H780" s="44"/>
      <c r="I780" s="44"/>
      <c r="J780" s="66"/>
      <c r="K780" s="66"/>
      <c r="L780" s="66"/>
      <c r="M780" s="66"/>
      <c r="N780" s="66">
        <f>SUM(Prog_23[[#This Row],[TARA]]+Prog_23[[#This Row],[PESO]])</f>
        <v>0</v>
      </c>
      <c r="O780" s="44"/>
      <c r="P780" s="66"/>
      <c r="Q780" s="66"/>
      <c r="R780" s="66"/>
      <c r="S780" s="66"/>
      <c r="T780" s="138" t="str">
        <f>IFERROR(LOOKUP($S780,MOTORISTAS!$D$3:$D$916,MOTORISTAS!E$3:$E$916),"")</f>
        <v/>
      </c>
      <c r="U780" s="138" t="str">
        <f>IFERROR(LOOKUP($S780,MOTORISTAS!$D$3:$D$916,MOTORISTAS!F$3:$F$916),"")</f>
        <v/>
      </c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44"/>
      <c r="AG780" s="254">
        <f>Prog_23[[#This Row],[SAÍDA DO CLIENTE]]-Prog_23[[#This Row],[PROGRAMAÇÃO CLIENTE]]</f>
        <v>0</v>
      </c>
      <c r="AH780" s="44"/>
      <c r="AI780" s="66"/>
      <c r="AJ780" s="66"/>
      <c r="AK780" s="66"/>
      <c r="AL780" s="66"/>
      <c r="AM780" s="66"/>
      <c r="AN780" s="83"/>
      <c r="AO780" s="83"/>
      <c r="AP780" s="83"/>
      <c r="AQ780" s="66"/>
      <c r="AR780" s="66"/>
      <c r="AS780" s="66"/>
      <c r="AT780" s="81"/>
      <c r="AU780" s="81"/>
      <c r="AV780" s="81"/>
      <c r="AW780" s="81"/>
      <c r="AX780" s="83">
        <f>SUM(Prog_23[[#This Row],[ADIANTAMENTO]]+Prog_23[[#This Row],[SALDO]]+Prog_23[[#This Row],[MARGEM]]+Prog_23[[#This Row],[ESTADIA 1]])</f>
        <v>0</v>
      </c>
      <c r="AY7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80" s="81"/>
      <c r="BA780" s="81"/>
      <c r="BB780" s="81">
        <f>Prog_23[[#This Row],[VLR NF]]*0.1%</f>
        <v>0</v>
      </c>
      <c r="BC780" s="81">
        <f>Prog_23[[#This Row],[VLR NF]]*0.05%</f>
        <v>0</v>
      </c>
      <c r="BD780" s="81"/>
      <c r="BE780" s="81"/>
      <c r="BF780" s="81"/>
      <c r="BG780" s="81"/>
      <c r="BH780" s="81"/>
      <c r="BI780" s="81"/>
      <c r="BJ780" s="81"/>
      <c r="BK780" s="81"/>
      <c r="BL780" s="81"/>
      <c r="BM780" s="81"/>
      <c r="BN780" s="66"/>
      <c r="BO780" s="66"/>
      <c r="BP780" s="66"/>
      <c r="BQ780" s="66" t="str">
        <f>PROPER(TEXT(Prog_23[[#This Row],[PROGRAMAÇÃO CLIENTE]],"mmm"))</f>
        <v>Jan</v>
      </c>
      <c r="BR780" s="66">
        <f>YEAR(Prog_23[[#This Row],[PROGRAMAÇÃO CLIENTE]])</f>
        <v>1900</v>
      </c>
    </row>
    <row r="781" spans="1:70" x14ac:dyDescent="0.25">
      <c r="A781" s="200">
        <f>Prog_23[[#This Row],[CONTEINER]]</f>
        <v>0</v>
      </c>
      <c r="B781" s="86"/>
      <c r="C7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81" s="44"/>
      <c r="E781" s="66"/>
      <c r="F781" s="66"/>
      <c r="G781" s="66"/>
      <c r="H781" s="44"/>
      <c r="I781" s="44"/>
      <c r="J781" s="66"/>
      <c r="K781" s="66"/>
      <c r="L781" s="66"/>
      <c r="M781" s="66"/>
      <c r="N781" s="66">
        <f>SUM(Prog_23[[#This Row],[TARA]]+Prog_23[[#This Row],[PESO]])</f>
        <v>0</v>
      </c>
      <c r="O781" s="44"/>
      <c r="P781" s="66"/>
      <c r="Q781" s="66"/>
      <c r="R781" s="66"/>
      <c r="S781" s="66"/>
      <c r="T781" s="138" t="str">
        <f>IFERROR(LOOKUP($S781,MOTORISTAS!$D$3:$D$916,MOTORISTAS!E$3:$E$916),"")</f>
        <v/>
      </c>
      <c r="U781" s="138" t="str">
        <f>IFERROR(LOOKUP($S781,MOTORISTAS!$D$3:$D$916,MOTORISTAS!F$3:$F$916),"")</f>
        <v/>
      </c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44"/>
      <c r="AG781" s="254">
        <f>Prog_23[[#This Row],[SAÍDA DO CLIENTE]]-Prog_23[[#This Row],[PROGRAMAÇÃO CLIENTE]]</f>
        <v>0</v>
      </c>
      <c r="AH781" s="44"/>
      <c r="AI781" s="66"/>
      <c r="AJ781" s="66"/>
      <c r="AK781" s="66"/>
      <c r="AL781" s="66"/>
      <c r="AM781" s="66"/>
      <c r="AN781" s="83"/>
      <c r="AO781" s="83"/>
      <c r="AP781" s="83"/>
      <c r="AQ781" s="66"/>
      <c r="AR781" s="66"/>
      <c r="AS781" s="66"/>
      <c r="AT781" s="81"/>
      <c r="AU781" s="81"/>
      <c r="AV781" s="81"/>
      <c r="AW781" s="81"/>
      <c r="AX781" s="83">
        <f>SUM(Prog_23[[#This Row],[ADIANTAMENTO]]+Prog_23[[#This Row],[SALDO]]+Prog_23[[#This Row],[MARGEM]]+Prog_23[[#This Row],[ESTADIA 1]])</f>
        <v>0</v>
      </c>
      <c r="AY7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81" s="81"/>
      <c r="BA781" s="81"/>
      <c r="BB781" s="81">
        <f>Prog_23[[#This Row],[VLR NF]]*0.1%</f>
        <v>0</v>
      </c>
      <c r="BC781" s="81">
        <f>Prog_23[[#This Row],[VLR NF]]*0.05%</f>
        <v>0</v>
      </c>
      <c r="BD781" s="81"/>
      <c r="BE781" s="81"/>
      <c r="BF781" s="81"/>
      <c r="BG781" s="81"/>
      <c r="BH781" s="81"/>
      <c r="BI781" s="81"/>
      <c r="BJ781" s="81"/>
      <c r="BK781" s="81"/>
      <c r="BL781" s="81"/>
      <c r="BM781" s="81"/>
      <c r="BN781" s="66"/>
      <c r="BO781" s="66"/>
      <c r="BP781" s="66"/>
      <c r="BQ781" s="66" t="str">
        <f>PROPER(TEXT(Prog_23[[#This Row],[PROGRAMAÇÃO CLIENTE]],"mmm"))</f>
        <v>Jan</v>
      </c>
      <c r="BR781" s="66">
        <f>YEAR(Prog_23[[#This Row],[PROGRAMAÇÃO CLIENTE]])</f>
        <v>1900</v>
      </c>
    </row>
    <row r="782" spans="1:70" x14ac:dyDescent="0.25">
      <c r="A782" s="201">
        <f>Prog_23[[#This Row],[CONTEINER]]</f>
        <v>0</v>
      </c>
      <c r="B782" s="86"/>
      <c r="C7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82" s="44"/>
      <c r="E782" s="66"/>
      <c r="F782" s="66"/>
      <c r="G782" s="66"/>
      <c r="H782" s="44"/>
      <c r="I782" s="44"/>
      <c r="J782" s="66"/>
      <c r="K782" s="66"/>
      <c r="L782" s="66"/>
      <c r="M782" s="66"/>
      <c r="N782" s="66">
        <f>SUM(Prog_23[[#This Row],[TARA]]+Prog_23[[#This Row],[PESO]])</f>
        <v>0</v>
      </c>
      <c r="O782" s="44"/>
      <c r="P782" s="66"/>
      <c r="Q782" s="66"/>
      <c r="R782" s="66"/>
      <c r="S782" s="66"/>
      <c r="T782" s="138" t="str">
        <f>IFERROR(LOOKUP($S782,MOTORISTAS!$D$3:$D$916,MOTORISTAS!E$3:$E$916),"")</f>
        <v/>
      </c>
      <c r="U782" s="138" t="str">
        <f>IFERROR(LOOKUP($S782,MOTORISTAS!$D$3:$D$916,MOTORISTAS!F$3:$F$916),"")</f>
        <v/>
      </c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44"/>
      <c r="AG782" s="254">
        <f>Prog_23[[#This Row],[SAÍDA DO CLIENTE]]-Prog_23[[#This Row],[PROGRAMAÇÃO CLIENTE]]</f>
        <v>0</v>
      </c>
      <c r="AH782" s="44"/>
      <c r="AI782" s="66"/>
      <c r="AJ782" s="66"/>
      <c r="AK782" s="66"/>
      <c r="AL782" s="66"/>
      <c r="AM782" s="66"/>
      <c r="AN782" s="83"/>
      <c r="AO782" s="83"/>
      <c r="AP782" s="83"/>
      <c r="AQ782" s="66"/>
      <c r="AR782" s="66"/>
      <c r="AS782" s="66"/>
      <c r="AT782" s="81"/>
      <c r="AU782" s="81"/>
      <c r="AV782" s="81"/>
      <c r="AW782" s="81"/>
      <c r="AX782" s="83">
        <f>SUM(Prog_23[[#This Row],[ADIANTAMENTO]]+Prog_23[[#This Row],[SALDO]]+Prog_23[[#This Row],[MARGEM]]+Prog_23[[#This Row],[ESTADIA 1]])</f>
        <v>0</v>
      </c>
      <c r="AY7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82" s="81"/>
      <c r="BA782" s="81"/>
      <c r="BB782" s="81">
        <f>Prog_23[[#This Row],[VLR NF]]*0.1%</f>
        <v>0</v>
      </c>
      <c r="BC782" s="81">
        <f>Prog_23[[#This Row],[VLR NF]]*0.05%</f>
        <v>0</v>
      </c>
      <c r="BD782" s="81"/>
      <c r="BE782" s="81"/>
      <c r="BF782" s="81"/>
      <c r="BG782" s="81"/>
      <c r="BH782" s="81"/>
      <c r="BI782" s="81"/>
      <c r="BJ782" s="81"/>
      <c r="BK782" s="81"/>
      <c r="BL782" s="81"/>
      <c r="BM782" s="81"/>
      <c r="BN782" s="66"/>
      <c r="BO782" s="66"/>
      <c r="BP782" s="66"/>
      <c r="BQ782" s="66" t="str">
        <f>PROPER(TEXT(Prog_23[[#This Row],[PROGRAMAÇÃO CLIENTE]],"mmm"))</f>
        <v>Jan</v>
      </c>
      <c r="BR782" s="66">
        <f>YEAR(Prog_23[[#This Row],[PROGRAMAÇÃO CLIENTE]])</f>
        <v>1900</v>
      </c>
    </row>
    <row r="783" spans="1:70" x14ac:dyDescent="0.25">
      <c r="A783" s="200">
        <f>Prog_23[[#This Row],[CONTEINER]]</f>
        <v>0</v>
      </c>
      <c r="B783" s="86"/>
      <c r="C7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83" s="44"/>
      <c r="E783" s="66"/>
      <c r="F783" s="66"/>
      <c r="G783" s="66"/>
      <c r="H783" s="44"/>
      <c r="I783" s="44"/>
      <c r="J783" s="66"/>
      <c r="K783" s="66"/>
      <c r="L783" s="66"/>
      <c r="M783" s="66"/>
      <c r="N783" s="66">
        <f>SUM(Prog_23[[#This Row],[TARA]]+Prog_23[[#This Row],[PESO]])</f>
        <v>0</v>
      </c>
      <c r="O783" s="44"/>
      <c r="P783" s="66"/>
      <c r="Q783" s="66"/>
      <c r="R783" s="66"/>
      <c r="S783" s="66"/>
      <c r="T783" s="138" t="str">
        <f>IFERROR(LOOKUP($S783,MOTORISTAS!$D$3:$D$916,MOTORISTAS!E$3:$E$916),"")</f>
        <v/>
      </c>
      <c r="U783" s="138" t="str">
        <f>IFERROR(LOOKUP($S783,MOTORISTAS!$D$3:$D$916,MOTORISTAS!F$3:$F$916),"")</f>
        <v/>
      </c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44"/>
      <c r="AG783" s="254">
        <f>Prog_23[[#This Row],[SAÍDA DO CLIENTE]]-Prog_23[[#This Row],[PROGRAMAÇÃO CLIENTE]]</f>
        <v>0</v>
      </c>
      <c r="AH783" s="44"/>
      <c r="AI783" s="66"/>
      <c r="AJ783" s="66"/>
      <c r="AK783" s="66"/>
      <c r="AL783" s="66"/>
      <c r="AM783" s="66"/>
      <c r="AN783" s="83"/>
      <c r="AO783" s="83"/>
      <c r="AP783" s="83"/>
      <c r="AQ783" s="66"/>
      <c r="AR783" s="66"/>
      <c r="AS783" s="66"/>
      <c r="AT783" s="81"/>
      <c r="AU783" s="81"/>
      <c r="AV783" s="81"/>
      <c r="AW783" s="81"/>
      <c r="AX783" s="83">
        <f>SUM(Prog_23[[#This Row],[ADIANTAMENTO]]+Prog_23[[#This Row],[SALDO]]+Prog_23[[#This Row],[MARGEM]]+Prog_23[[#This Row],[ESTADIA 1]])</f>
        <v>0</v>
      </c>
      <c r="AY7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83" s="81"/>
      <c r="BA783" s="81"/>
      <c r="BB783" s="81">
        <f>Prog_23[[#This Row],[VLR NF]]*0.1%</f>
        <v>0</v>
      </c>
      <c r="BC783" s="81">
        <f>Prog_23[[#This Row],[VLR NF]]*0.05%</f>
        <v>0</v>
      </c>
      <c r="BD783" s="81"/>
      <c r="BE783" s="81"/>
      <c r="BF783" s="81"/>
      <c r="BG783" s="81"/>
      <c r="BH783" s="81"/>
      <c r="BI783" s="81"/>
      <c r="BJ783" s="81"/>
      <c r="BK783" s="81"/>
      <c r="BL783" s="81"/>
      <c r="BM783" s="81"/>
      <c r="BN783" s="66"/>
      <c r="BO783" s="66"/>
      <c r="BP783" s="66"/>
      <c r="BQ783" s="66" t="str">
        <f>PROPER(TEXT(Prog_23[[#This Row],[PROGRAMAÇÃO CLIENTE]],"mmm"))</f>
        <v>Jan</v>
      </c>
      <c r="BR783" s="66">
        <f>YEAR(Prog_23[[#This Row],[PROGRAMAÇÃO CLIENTE]])</f>
        <v>1900</v>
      </c>
    </row>
    <row r="784" spans="1:70" x14ac:dyDescent="0.25">
      <c r="A784" s="201">
        <f>Prog_23[[#This Row],[CONTEINER]]</f>
        <v>0</v>
      </c>
      <c r="B784" s="86"/>
      <c r="C7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84" s="44"/>
      <c r="E784" s="66"/>
      <c r="F784" s="66"/>
      <c r="G784" s="66"/>
      <c r="H784" s="44"/>
      <c r="I784" s="44"/>
      <c r="J784" s="66"/>
      <c r="K784" s="66"/>
      <c r="L784" s="66"/>
      <c r="M784" s="66"/>
      <c r="N784" s="66">
        <f>SUM(Prog_23[[#This Row],[TARA]]+Prog_23[[#This Row],[PESO]])</f>
        <v>0</v>
      </c>
      <c r="O784" s="44"/>
      <c r="P784" s="66"/>
      <c r="Q784" s="66"/>
      <c r="R784" s="66"/>
      <c r="S784" s="66"/>
      <c r="T784" s="138" t="str">
        <f>IFERROR(LOOKUP($S784,MOTORISTAS!$D$3:$D$916,MOTORISTAS!E$3:$E$916),"")</f>
        <v/>
      </c>
      <c r="U784" s="138" t="str">
        <f>IFERROR(LOOKUP($S784,MOTORISTAS!$D$3:$D$916,MOTORISTAS!F$3:$F$916),"")</f>
        <v/>
      </c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44"/>
      <c r="AG784" s="254">
        <f>Prog_23[[#This Row],[SAÍDA DO CLIENTE]]-Prog_23[[#This Row],[PROGRAMAÇÃO CLIENTE]]</f>
        <v>0</v>
      </c>
      <c r="AH784" s="44"/>
      <c r="AI784" s="66"/>
      <c r="AJ784" s="66"/>
      <c r="AK784" s="66"/>
      <c r="AL784" s="66"/>
      <c r="AM784" s="66"/>
      <c r="AN784" s="83"/>
      <c r="AO784" s="83"/>
      <c r="AP784" s="83"/>
      <c r="AQ784" s="66"/>
      <c r="AR784" s="66"/>
      <c r="AS784" s="66"/>
      <c r="AT784" s="81"/>
      <c r="AU784" s="81"/>
      <c r="AV784" s="81"/>
      <c r="AW784" s="81"/>
      <c r="AX784" s="83">
        <f>SUM(Prog_23[[#This Row],[ADIANTAMENTO]]+Prog_23[[#This Row],[SALDO]]+Prog_23[[#This Row],[MARGEM]]+Prog_23[[#This Row],[ESTADIA 1]])</f>
        <v>0</v>
      </c>
      <c r="AY7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84" s="81"/>
      <c r="BA784" s="81"/>
      <c r="BB784" s="81">
        <f>Prog_23[[#This Row],[VLR NF]]*0.1%</f>
        <v>0</v>
      </c>
      <c r="BC784" s="81">
        <f>Prog_23[[#This Row],[VLR NF]]*0.05%</f>
        <v>0</v>
      </c>
      <c r="BD784" s="81"/>
      <c r="BE784" s="81"/>
      <c r="BF784" s="81"/>
      <c r="BG784" s="81"/>
      <c r="BH784" s="81"/>
      <c r="BI784" s="81"/>
      <c r="BJ784" s="81"/>
      <c r="BK784" s="81"/>
      <c r="BL784" s="81"/>
      <c r="BM784" s="81"/>
      <c r="BN784" s="66"/>
      <c r="BO784" s="66"/>
      <c r="BP784" s="66"/>
      <c r="BQ784" s="66" t="str">
        <f>PROPER(TEXT(Prog_23[[#This Row],[PROGRAMAÇÃO CLIENTE]],"mmm"))</f>
        <v>Jan</v>
      </c>
      <c r="BR784" s="66">
        <f>YEAR(Prog_23[[#This Row],[PROGRAMAÇÃO CLIENTE]])</f>
        <v>1900</v>
      </c>
    </row>
    <row r="785" spans="1:70" x14ac:dyDescent="0.25">
      <c r="A785" s="200">
        <f>Prog_23[[#This Row],[CONTEINER]]</f>
        <v>0</v>
      </c>
      <c r="B785" s="86"/>
      <c r="C7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85" s="44"/>
      <c r="E785" s="66"/>
      <c r="F785" s="66"/>
      <c r="G785" s="66"/>
      <c r="H785" s="44"/>
      <c r="I785" s="44"/>
      <c r="J785" s="66"/>
      <c r="K785" s="66"/>
      <c r="L785" s="66"/>
      <c r="M785" s="66"/>
      <c r="N785" s="66">
        <f>SUM(Prog_23[[#This Row],[TARA]]+Prog_23[[#This Row],[PESO]])</f>
        <v>0</v>
      </c>
      <c r="O785" s="44"/>
      <c r="P785" s="66"/>
      <c r="Q785" s="66"/>
      <c r="R785" s="66"/>
      <c r="S785" s="66"/>
      <c r="T785" s="138" t="str">
        <f>IFERROR(LOOKUP($S785,MOTORISTAS!$D$3:$D$916,MOTORISTAS!E$3:$E$916),"")</f>
        <v/>
      </c>
      <c r="U785" s="138" t="str">
        <f>IFERROR(LOOKUP($S785,MOTORISTAS!$D$3:$D$916,MOTORISTAS!F$3:$F$916),"")</f>
        <v/>
      </c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44"/>
      <c r="AG785" s="254">
        <f>Prog_23[[#This Row],[SAÍDA DO CLIENTE]]-Prog_23[[#This Row],[PROGRAMAÇÃO CLIENTE]]</f>
        <v>0</v>
      </c>
      <c r="AH785" s="44"/>
      <c r="AI785" s="66"/>
      <c r="AJ785" s="66"/>
      <c r="AK785" s="66"/>
      <c r="AL785" s="66"/>
      <c r="AM785" s="66"/>
      <c r="AN785" s="83"/>
      <c r="AO785" s="83"/>
      <c r="AP785" s="83"/>
      <c r="AQ785" s="66"/>
      <c r="AR785" s="66"/>
      <c r="AS785" s="66"/>
      <c r="AT785" s="81"/>
      <c r="AU785" s="81"/>
      <c r="AV785" s="81"/>
      <c r="AW785" s="81"/>
      <c r="AX785" s="83">
        <f>SUM(Prog_23[[#This Row],[ADIANTAMENTO]]+Prog_23[[#This Row],[SALDO]]+Prog_23[[#This Row],[MARGEM]]+Prog_23[[#This Row],[ESTADIA 1]])</f>
        <v>0</v>
      </c>
      <c r="AY7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85" s="81"/>
      <c r="BA785" s="81"/>
      <c r="BB785" s="81">
        <f>Prog_23[[#This Row],[VLR NF]]*0.1%</f>
        <v>0</v>
      </c>
      <c r="BC785" s="81">
        <f>Prog_23[[#This Row],[VLR NF]]*0.05%</f>
        <v>0</v>
      </c>
      <c r="BD785" s="81"/>
      <c r="BE785" s="81"/>
      <c r="BF785" s="81"/>
      <c r="BG785" s="81"/>
      <c r="BH785" s="81"/>
      <c r="BI785" s="81"/>
      <c r="BJ785" s="81"/>
      <c r="BK785" s="81"/>
      <c r="BL785" s="81"/>
      <c r="BM785" s="81"/>
      <c r="BN785" s="66"/>
      <c r="BO785" s="66"/>
      <c r="BP785" s="66"/>
      <c r="BQ785" s="66" t="str">
        <f>PROPER(TEXT(Prog_23[[#This Row],[PROGRAMAÇÃO CLIENTE]],"mmm"))</f>
        <v>Jan</v>
      </c>
      <c r="BR785" s="66">
        <f>YEAR(Prog_23[[#This Row],[PROGRAMAÇÃO CLIENTE]])</f>
        <v>1900</v>
      </c>
    </row>
    <row r="786" spans="1:70" x14ac:dyDescent="0.25">
      <c r="A786" s="201">
        <f>Prog_23[[#This Row],[CONTEINER]]</f>
        <v>0</v>
      </c>
      <c r="B786" s="86"/>
      <c r="C7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86" s="44"/>
      <c r="E786" s="66"/>
      <c r="F786" s="66"/>
      <c r="G786" s="66"/>
      <c r="H786" s="44"/>
      <c r="I786" s="44"/>
      <c r="J786" s="66"/>
      <c r="K786" s="66"/>
      <c r="L786" s="66"/>
      <c r="M786" s="66"/>
      <c r="N786" s="66">
        <f>SUM(Prog_23[[#This Row],[TARA]]+Prog_23[[#This Row],[PESO]])</f>
        <v>0</v>
      </c>
      <c r="O786" s="44"/>
      <c r="P786" s="66"/>
      <c r="Q786" s="66"/>
      <c r="R786" s="66"/>
      <c r="S786" s="66"/>
      <c r="T786" s="138" t="str">
        <f>IFERROR(LOOKUP($S786,MOTORISTAS!$D$3:$D$916,MOTORISTAS!E$3:$E$916),"")</f>
        <v/>
      </c>
      <c r="U786" s="138" t="str">
        <f>IFERROR(LOOKUP($S786,MOTORISTAS!$D$3:$D$916,MOTORISTAS!F$3:$F$916),"")</f>
        <v/>
      </c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44"/>
      <c r="AG786" s="254">
        <f>Prog_23[[#This Row],[SAÍDA DO CLIENTE]]-Prog_23[[#This Row],[PROGRAMAÇÃO CLIENTE]]</f>
        <v>0</v>
      </c>
      <c r="AH786" s="44"/>
      <c r="AI786" s="66"/>
      <c r="AJ786" s="66"/>
      <c r="AK786" s="66"/>
      <c r="AL786" s="66"/>
      <c r="AM786" s="66"/>
      <c r="AN786" s="83"/>
      <c r="AO786" s="83"/>
      <c r="AP786" s="83"/>
      <c r="AQ786" s="66"/>
      <c r="AR786" s="66"/>
      <c r="AS786" s="66"/>
      <c r="AT786" s="81"/>
      <c r="AU786" s="81"/>
      <c r="AV786" s="81"/>
      <c r="AW786" s="81"/>
      <c r="AX786" s="83">
        <f>SUM(Prog_23[[#This Row],[ADIANTAMENTO]]+Prog_23[[#This Row],[SALDO]]+Prog_23[[#This Row],[MARGEM]]+Prog_23[[#This Row],[ESTADIA 1]])</f>
        <v>0</v>
      </c>
      <c r="AY7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86" s="81"/>
      <c r="BA786" s="81"/>
      <c r="BB786" s="81">
        <f>Prog_23[[#This Row],[VLR NF]]*0.1%</f>
        <v>0</v>
      </c>
      <c r="BC786" s="81">
        <f>Prog_23[[#This Row],[VLR NF]]*0.05%</f>
        <v>0</v>
      </c>
      <c r="BD786" s="81"/>
      <c r="BE786" s="81"/>
      <c r="BF786" s="81"/>
      <c r="BG786" s="81"/>
      <c r="BH786" s="81"/>
      <c r="BI786" s="81"/>
      <c r="BJ786" s="81"/>
      <c r="BK786" s="81"/>
      <c r="BL786" s="81"/>
      <c r="BM786" s="81"/>
      <c r="BN786" s="66"/>
      <c r="BO786" s="66"/>
      <c r="BP786" s="66"/>
      <c r="BQ786" s="66" t="str">
        <f>PROPER(TEXT(Prog_23[[#This Row],[PROGRAMAÇÃO CLIENTE]],"mmm"))</f>
        <v>Jan</v>
      </c>
      <c r="BR786" s="66">
        <f>YEAR(Prog_23[[#This Row],[PROGRAMAÇÃO CLIENTE]])</f>
        <v>1900</v>
      </c>
    </row>
    <row r="787" spans="1:70" x14ac:dyDescent="0.25">
      <c r="A787" s="200">
        <f>Prog_23[[#This Row],[CONTEINER]]</f>
        <v>0</v>
      </c>
      <c r="B787" s="86"/>
      <c r="C7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87" s="44"/>
      <c r="E787" s="66"/>
      <c r="F787" s="66"/>
      <c r="G787" s="66"/>
      <c r="H787" s="44"/>
      <c r="I787" s="44"/>
      <c r="J787" s="66"/>
      <c r="K787" s="66"/>
      <c r="L787" s="66"/>
      <c r="M787" s="66"/>
      <c r="N787" s="66">
        <f>SUM(Prog_23[[#This Row],[TARA]]+Prog_23[[#This Row],[PESO]])</f>
        <v>0</v>
      </c>
      <c r="O787" s="44"/>
      <c r="P787" s="66"/>
      <c r="Q787" s="66"/>
      <c r="R787" s="66"/>
      <c r="S787" s="66"/>
      <c r="T787" s="138" t="str">
        <f>IFERROR(LOOKUP($S787,MOTORISTAS!$D$3:$D$916,MOTORISTAS!E$3:$E$916),"")</f>
        <v/>
      </c>
      <c r="U787" s="138" t="str">
        <f>IFERROR(LOOKUP($S787,MOTORISTAS!$D$3:$D$916,MOTORISTAS!F$3:$F$916),"")</f>
        <v/>
      </c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44"/>
      <c r="AG787" s="254">
        <f>Prog_23[[#This Row],[SAÍDA DO CLIENTE]]-Prog_23[[#This Row],[PROGRAMAÇÃO CLIENTE]]</f>
        <v>0</v>
      </c>
      <c r="AH787" s="44"/>
      <c r="AI787" s="66"/>
      <c r="AJ787" s="66"/>
      <c r="AK787" s="66"/>
      <c r="AL787" s="66"/>
      <c r="AM787" s="66"/>
      <c r="AN787" s="83"/>
      <c r="AO787" s="83"/>
      <c r="AP787" s="83"/>
      <c r="AQ787" s="66"/>
      <c r="AR787" s="66"/>
      <c r="AS787" s="66"/>
      <c r="AT787" s="81"/>
      <c r="AU787" s="81"/>
      <c r="AV787" s="81"/>
      <c r="AW787" s="81"/>
      <c r="AX787" s="83">
        <f>SUM(Prog_23[[#This Row],[ADIANTAMENTO]]+Prog_23[[#This Row],[SALDO]]+Prog_23[[#This Row],[MARGEM]]+Prog_23[[#This Row],[ESTADIA 1]])</f>
        <v>0</v>
      </c>
      <c r="AY7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87" s="81"/>
      <c r="BA787" s="81"/>
      <c r="BB787" s="81">
        <f>Prog_23[[#This Row],[VLR NF]]*0.1%</f>
        <v>0</v>
      </c>
      <c r="BC787" s="81">
        <f>Prog_23[[#This Row],[VLR NF]]*0.05%</f>
        <v>0</v>
      </c>
      <c r="BD787" s="81"/>
      <c r="BE787" s="81"/>
      <c r="BF787" s="81"/>
      <c r="BG787" s="81"/>
      <c r="BH787" s="81"/>
      <c r="BI787" s="81"/>
      <c r="BJ787" s="81"/>
      <c r="BK787" s="81"/>
      <c r="BL787" s="81"/>
      <c r="BM787" s="81"/>
      <c r="BN787" s="66"/>
      <c r="BO787" s="66"/>
      <c r="BP787" s="66"/>
      <c r="BQ787" s="66" t="str">
        <f>PROPER(TEXT(Prog_23[[#This Row],[PROGRAMAÇÃO CLIENTE]],"mmm"))</f>
        <v>Jan</v>
      </c>
      <c r="BR787" s="66">
        <f>YEAR(Prog_23[[#This Row],[PROGRAMAÇÃO CLIENTE]])</f>
        <v>1900</v>
      </c>
    </row>
    <row r="788" spans="1:70" x14ac:dyDescent="0.25">
      <c r="A788" s="201">
        <f>Prog_23[[#This Row],[CONTEINER]]</f>
        <v>0</v>
      </c>
      <c r="B788" s="86"/>
      <c r="C7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88" s="44"/>
      <c r="E788" s="66"/>
      <c r="F788" s="66"/>
      <c r="G788" s="66"/>
      <c r="H788" s="44"/>
      <c r="I788" s="44"/>
      <c r="J788" s="66"/>
      <c r="K788" s="66"/>
      <c r="L788" s="66"/>
      <c r="M788" s="66"/>
      <c r="N788" s="66">
        <f>SUM(Prog_23[[#This Row],[TARA]]+Prog_23[[#This Row],[PESO]])</f>
        <v>0</v>
      </c>
      <c r="O788" s="44"/>
      <c r="P788" s="66"/>
      <c r="Q788" s="66"/>
      <c r="R788" s="66"/>
      <c r="S788" s="66"/>
      <c r="T788" s="138" t="str">
        <f>IFERROR(LOOKUP($S788,MOTORISTAS!$D$3:$D$916,MOTORISTAS!E$3:$E$916),"")</f>
        <v/>
      </c>
      <c r="U788" s="138" t="str">
        <f>IFERROR(LOOKUP($S788,MOTORISTAS!$D$3:$D$916,MOTORISTAS!F$3:$F$916),"")</f>
        <v/>
      </c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44"/>
      <c r="AG788" s="254">
        <f>Prog_23[[#This Row],[SAÍDA DO CLIENTE]]-Prog_23[[#This Row],[PROGRAMAÇÃO CLIENTE]]</f>
        <v>0</v>
      </c>
      <c r="AH788" s="44"/>
      <c r="AI788" s="66"/>
      <c r="AJ788" s="66"/>
      <c r="AK788" s="66"/>
      <c r="AL788" s="66"/>
      <c r="AM788" s="66"/>
      <c r="AN788" s="83"/>
      <c r="AO788" s="83"/>
      <c r="AP788" s="83"/>
      <c r="AQ788" s="66"/>
      <c r="AR788" s="66"/>
      <c r="AS788" s="66"/>
      <c r="AT788" s="81"/>
      <c r="AU788" s="81"/>
      <c r="AV788" s="81"/>
      <c r="AW788" s="81"/>
      <c r="AX788" s="83">
        <f>SUM(Prog_23[[#This Row],[ADIANTAMENTO]]+Prog_23[[#This Row],[SALDO]]+Prog_23[[#This Row],[MARGEM]]+Prog_23[[#This Row],[ESTADIA 1]])</f>
        <v>0</v>
      </c>
      <c r="AY7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88" s="81"/>
      <c r="BA788" s="81"/>
      <c r="BB788" s="81">
        <f>Prog_23[[#This Row],[VLR NF]]*0.1%</f>
        <v>0</v>
      </c>
      <c r="BC788" s="81">
        <f>Prog_23[[#This Row],[VLR NF]]*0.05%</f>
        <v>0</v>
      </c>
      <c r="BD788" s="81"/>
      <c r="BE788" s="81"/>
      <c r="BF788" s="81"/>
      <c r="BG788" s="81"/>
      <c r="BH788" s="81"/>
      <c r="BI788" s="81"/>
      <c r="BJ788" s="81"/>
      <c r="BK788" s="81"/>
      <c r="BL788" s="81"/>
      <c r="BM788" s="81"/>
      <c r="BN788" s="66"/>
      <c r="BO788" s="66"/>
      <c r="BP788" s="66"/>
      <c r="BQ788" s="66" t="str">
        <f>PROPER(TEXT(Prog_23[[#This Row],[PROGRAMAÇÃO CLIENTE]],"mmm"))</f>
        <v>Jan</v>
      </c>
      <c r="BR788" s="66">
        <f>YEAR(Prog_23[[#This Row],[PROGRAMAÇÃO CLIENTE]])</f>
        <v>1900</v>
      </c>
    </row>
    <row r="789" spans="1:70" x14ac:dyDescent="0.25">
      <c r="A789" s="200">
        <f>Prog_23[[#This Row],[CONTEINER]]</f>
        <v>0</v>
      </c>
      <c r="B789" s="86"/>
      <c r="C7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89" s="44"/>
      <c r="E789" s="66"/>
      <c r="F789" s="66"/>
      <c r="G789" s="66"/>
      <c r="H789" s="44"/>
      <c r="I789" s="44"/>
      <c r="J789" s="66"/>
      <c r="K789" s="66"/>
      <c r="L789" s="66"/>
      <c r="M789" s="66"/>
      <c r="N789" s="66">
        <f>SUM(Prog_23[[#This Row],[TARA]]+Prog_23[[#This Row],[PESO]])</f>
        <v>0</v>
      </c>
      <c r="O789" s="44"/>
      <c r="P789" s="66"/>
      <c r="Q789" s="66"/>
      <c r="R789" s="66"/>
      <c r="S789" s="66"/>
      <c r="T789" s="138" t="str">
        <f>IFERROR(LOOKUP($S789,MOTORISTAS!$D$3:$D$916,MOTORISTAS!E$3:$E$916),"")</f>
        <v/>
      </c>
      <c r="U789" s="138" t="str">
        <f>IFERROR(LOOKUP($S789,MOTORISTAS!$D$3:$D$916,MOTORISTAS!F$3:$F$916),"")</f>
        <v/>
      </c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44"/>
      <c r="AG789" s="254">
        <f>Prog_23[[#This Row],[SAÍDA DO CLIENTE]]-Prog_23[[#This Row],[PROGRAMAÇÃO CLIENTE]]</f>
        <v>0</v>
      </c>
      <c r="AH789" s="44"/>
      <c r="AI789" s="66"/>
      <c r="AJ789" s="66"/>
      <c r="AK789" s="66"/>
      <c r="AL789" s="66"/>
      <c r="AM789" s="66"/>
      <c r="AN789" s="83"/>
      <c r="AO789" s="83"/>
      <c r="AP789" s="83"/>
      <c r="AQ789" s="66"/>
      <c r="AR789" s="66"/>
      <c r="AS789" s="66"/>
      <c r="AT789" s="81"/>
      <c r="AU789" s="81"/>
      <c r="AV789" s="81"/>
      <c r="AW789" s="81"/>
      <c r="AX789" s="83">
        <f>SUM(Prog_23[[#This Row],[ADIANTAMENTO]]+Prog_23[[#This Row],[SALDO]]+Prog_23[[#This Row],[MARGEM]]+Prog_23[[#This Row],[ESTADIA 1]])</f>
        <v>0</v>
      </c>
      <c r="AY7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89" s="81"/>
      <c r="BA789" s="81"/>
      <c r="BB789" s="81">
        <f>Prog_23[[#This Row],[VLR NF]]*0.1%</f>
        <v>0</v>
      </c>
      <c r="BC789" s="81">
        <f>Prog_23[[#This Row],[VLR NF]]*0.05%</f>
        <v>0</v>
      </c>
      <c r="BD789" s="81"/>
      <c r="BE789" s="81"/>
      <c r="BF789" s="81"/>
      <c r="BG789" s="81"/>
      <c r="BH789" s="81"/>
      <c r="BI789" s="81"/>
      <c r="BJ789" s="81"/>
      <c r="BK789" s="81"/>
      <c r="BL789" s="81"/>
      <c r="BM789" s="81"/>
      <c r="BN789" s="66"/>
      <c r="BO789" s="66"/>
      <c r="BP789" s="66"/>
      <c r="BQ789" s="66" t="str">
        <f>PROPER(TEXT(Prog_23[[#This Row],[PROGRAMAÇÃO CLIENTE]],"mmm"))</f>
        <v>Jan</v>
      </c>
      <c r="BR789" s="66">
        <f>YEAR(Prog_23[[#This Row],[PROGRAMAÇÃO CLIENTE]])</f>
        <v>1900</v>
      </c>
    </row>
    <row r="790" spans="1:70" x14ac:dyDescent="0.25">
      <c r="A790" s="201">
        <f>Prog_23[[#This Row],[CONTEINER]]</f>
        <v>0</v>
      </c>
      <c r="B790" s="86"/>
      <c r="C7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90" s="44"/>
      <c r="E790" s="66"/>
      <c r="F790" s="66"/>
      <c r="G790" s="66"/>
      <c r="H790" s="44"/>
      <c r="I790" s="44"/>
      <c r="J790" s="66"/>
      <c r="K790" s="66"/>
      <c r="L790" s="66"/>
      <c r="M790" s="66"/>
      <c r="N790" s="66">
        <f>SUM(Prog_23[[#This Row],[TARA]]+Prog_23[[#This Row],[PESO]])</f>
        <v>0</v>
      </c>
      <c r="O790" s="44"/>
      <c r="P790" s="66"/>
      <c r="Q790" s="66"/>
      <c r="R790" s="66"/>
      <c r="S790" s="66"/>
      <c r="T790" s="138" t="str">
        <f>IFERROR(LOOKUP($S790,MOTORISTAS!$D$3:$D$916,MOTORISTAS!E$3:$E$916),"")</f>
        <v/>
      </c>
      <c r="U790" s="138" t="str">
        <f>IFERROR(LOOKUP($S790,MOTORISTAS!$D$3:$D$916,MOTORISTAS!F$3:$F$916),"")</f>
        <v/>
      </c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44"/>
      <c r="AG790" s="254">
        <f>Prog_23[[#This Row],[SAÍDA DO CLIENTE]]-Prog_23[[#This Row],[PROGRAMAÇÃO CLIENTE]]</f>
        <v>0</v>
      </c>
      <c r="AH790" s="44"/>
      <c r="AI790" s="66"/>
      <c r="AJ790" s="66"/>
      <c r="AK790" s="66"/>
      <c r="AL790" s="66"/>
      <c r="AM790" s="66"/>
      <c r="AN790" s="83"/>
      <c r="AO790" s="83"/>
      <c r="AP790" s="83"/>
      <c r="AQ790" s="66"/>
      <c r="AR790" s="66"/>
      <c r="AS790" s="66"/>
      <c r="AT790" s="81"/>
      <c r="AU790" s="81"/>
      <c r="AV790" s="81"/>
      <c r="AW790" s="81"/>
      <c r="AX790" s="83">
        <f>SUM(Prog_23[[#This Row],[ADIANTAMENTO]]+Prog_23[[#This Row],[SALDO]]+Prog_23[[#This Row],[MARGEM]]+Prog_23[[#This Row],[ESTADIA 1]])</f>
        <v>0</v>
      </c>
      <c r="AY7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90" s="81"/>
      <c r="BA790" s="81"/>
      <c r="BB790" s="81">
        <f>Prog_23[[#This Row],[VLR NF]]*0.1%</f>
        <v>0</v>
      </c>
      <c r="BC790" s="81">
        <f>Prog_23[[#This Row],[VLR NF]]*0.05%</f>
        <v>0</v>
      </c>
      <c r="BD790" s="81"/>
      <c r="BE790" s="81"/>
      <c r="BF790" s="81"/>
      <c r="BG790" s="81"/>
      <c r="BH790" s="81"/>
      <c r="BI790" s="81"/>
      <c r="BJ790" s="81"/>
      <c r="BK790" s="81"/>
      <c r="BL790" s="81"/>
      <c r="BM790" s="81"/>
      <c r="BN790" s="66"/>
      <c r="BO790" s="66"/>
      <c r="BP790" s="66"/>
      <c r="BQ790" s="66" t="str">
        <f>PROPER(TEXT(Prog_23[[#This Row],[PROGRAMAÇÃO CLIENTE]],"mmm"))</f>
        <v>Jan</v>
      </c>
      <c r="BR790" s="66">
        <f>YEAR(Prog_23[[#This Row],[PROGRAMAÇÃO CLIENTE]])</f>
        <v>1900</v>
      </c>
    </row>
    <row r="791" spans="1:70" x14ac:dyDescent="0.25">
      <c r="A791" s="200">
        <f>Prog_23[[#This Row],[CONTEINER]]</f>
        <v>0</v>
      </c>
      <c r="B791" s="86"/>
      <c r="C7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91" s="44"/>
      <c r="E791" s="66"/>
      <c r="F791" s="66"/>
      <c r="G791" s="66"/>
      <c r="H791" s="44"/>
      <c r="I791" s="44"/>
      <c r="J791" s="66"/>
      <c r="K791" s="66"/>
      <c r="L791" s="66"/>
      <c r="M791" s="66"/>
      <c r="N791" s="66">
        <f>SUM(Prog_23[[#This Row],[TARA]]+Prog_23[[#This Row],[PESO]])</f>
        <v>0</v>
      </c>
      <c r="O791" s="44"/>
      <c r="P791" s="66"/>
      <c r="Q791" s="66"/>
      <c r="R791" s="66"/>
      <c r="S791" s="66"/>
      <c r="T791" s="138" t="str">
        <f>IFERROR(LOOKUP($S791,MOTORISTAS!$D$3:$D$916,MOTORISTAS!E$3:$E$916),"")</f>
        <v/>
      </c>
      <c r="U791" s="138" t="str">
        <f>IFERROR(LOOKUP($S791,MOTORISTAS!$D$3:$D$916,MOTORISTAS!F$3:$F$916),"")</f>
        <v/>
      </c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44"/>
      <c r="AG791" s="254">
        <f>Prog_23[[#This Row],[SAÍDA DO CLIENTE]]-Prog_23[[#This Row],[PROGRAMAÇÃO CLIENTE]]</f>
        <v>0</v>
      </c>
      <c r="AH791" s="44"/>
      <c r="AI791" s="66"/>
      <c r="AJ791" s="66"/>
      <c r="AK791" s="66"/>
      <c r="AL791" s="66"/>
      <c r="AM791" s="66"/>
      <c r="AN791" s="83"/>
      <c r="AO791" s="83"/>
      <c r="AP791" s="83"/>
      <c r="AQ791" s="66"/>
      <c r="AR791" s="66"/>
      <c r="AS791" s="66"/>
      <c r="AT791" s="81"/>
      <c r="AU791" s="81"/>
      <c r="AV791" s="81"/>
      <c r="AW791" s="81"/>
      <c r="AX791" s="83">
        <f>SUM(Prog_23[[#This Row],[ADIANTAMENTO]]+Prog_23[[#This Row],[SALDO]]+Prog_23[[#This Row],[MARGEM]]+Prog_23[[#This Row],[ESTADIA 1]])</f>
        <v>0</v>
      </c>
      <c r="AY7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91" s="81"/>
      <c r="BA791" s="81"/>
      <c r="BB791" s="81">
        <f>Prog_23[[#This Row],[VLR NF]]*0.1%</f>
        <v>0</v>
      </c>
      <c r="BC791" s="81">
        <f>Prog_23[[#This Row],[VLR NF]]*0.05%</f>
        <v>0</v>
      </c>
      <c r="BD791" s="81"/>
      <c r="BE791" s="81"/>
      <c r="BF791" s="81"/>
      <c r="BG791" s="81"/>
      <c r="BH791" s="81"/>
      <c r="BI791" s="81"/>
      <c r="BJ791" s="81"/>
      <c r="BK791" s="81"/>
      <c r="BL791" s="81"/>
      <c r="BM791" s="81"/>
      <c r="BN791" s="66"/>
      <c r="BO791" s="66"/>
      <c r="BP791" s="66"/>
      <c r="BQ791" s="66" t="str">
        <f>PROPER(TEXT(Prog_23[[#This Row],[PROGRAMAÇÃO CLIENTE]],"mmm"))</f>
        <v>Jan</v>
      </c>
      <c r="BR791" s="66">
        <f>YEAR(Prog_23[[#This Row],[PROGRAMAÇÃO CLIENTE]])</f>
        <v>1900</v>
      </c>
    </row>
    <row r="792" spans="1:70" x14ac:dyDescent="0.25">
      <c r="A792" s="201">
        <f>Prog_23[[#This Row],[CONTEINER]]</f>
        <v>0</v>
      </c>
      <c r="B792" s="86"/>
      <c r="C7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92" s="44"/>
      <c r="E792" s="66"/>
      <c r="F792" s="66"/>
      <c r="G792" s="66"/>
      <c r="H792" s="44"/>
      <c r="I792" s="44"/>
      <c r="J792" s="66"/>
      <c r="K792" s="66"/>
      <c r="L792" s="66"/>
      <c r="M792" s="66"/>
      <c r="N792" s="66">
        <f>SUM(Prog_23[[#This Row],[TARA]]+Prog_23[[#This Row],[PESO]])</f>
        <v>0</v>
      </c>
      <c r="O792" s="44"/>
      <c r="P792" s="66"/>
      <c r="Q792" s="66"/>
      <c r="R792" s="66"/>
      <c r="S792" s="66"/>
      <c r="T792" s="138" t="str">
        <f>IFERROR(LOOKUP($S792,MOTORISTAS!$D$3:$D$916,MOTORISTAS!E$3:$E$916),"")</f>
        <v/>
      </c>
      <c r="U792" s="138" t="str">
        <f>IFERROR(LOOKUP($S792,MOTORISTAS!$D$3:$D$916,MOTORISTAS!F$3:$F$916),"")</f>
        <v/>
      </c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44"/>
      <c r="AG792" s="254">
        <f>Prog_23[[#This Row],[SAÍDA DO CLIENTE]]-Prog_23[[#This Row],[PROGRAMAÇÃO CLIENTE]]</f>
        <v>0</v>
      </c>
      <c r="AH792" s="44"/>
      <c r="AI792" s="66"/>
      <c r="AJ792" s="66"/>
      <c r="AK792" s="66"/>
      <c r="AL792" s="66"/>
      <c r="AM792" s="66"/>
      <c r="AN792" s="83"/>
      <c r="AO792" s="83"/>
      <c r="AP792" s="83"/>
      <c r="AQ792" s="66"/>
      <c r="AR792" s="66"/>
      <c r="AS792" s="66"/>
      <c r="AT792" s="81"/>
      <c r="AU792" s="81"/>
      <c r="AV792" s="81"/>
      <c r="AW792" s="81"/>
      <c r="AX792" s="83">
        <f>SUM(Prog_23[[#This Row],[ADIANTAMENTO]]+Prog_23[[#This Row],[SALDO]]+Prog_23[[#This Row],[MARGEM]]+Prog_23[[#This Row],[ESTADIA 1]])</f>
        <v>0</v>
      </c>
      <c r="AY7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92" s="81"/>
      <c r="BA792" s="81"/>
      <c r="BB792" s="81">
        <f>Prog_23[[#This Row],[VLR NF]]*0.1%</f>
        <v>0</v>
      </c>
      <c r="BC792" s="81">
        <f>Prog_23[[#This Row],[VLR NF]]*0.05%</f>
        <v>0</v>
      </c>
      <c r="BD792" s="81"/>
      <c r="BE792" s="81"/>
      <c r="BF792" s="81"/>
      <c r="BG792" s="81"/>
      <c r="BH792" s="81"/>
      <c r="BI792" s="81"/>
      <c r="BJ792" s="81"/>
      <c r="BK792" s="81"/>
      <c r="BL792" s="81"/>
      <c r="BM792" s="81"/>
      <c r="BN792" s="66"/>
      <c r="BO792" s="66"/>
      <c r="BP792" s="66"/>
      <c r="BQ792" s="66" t="str">
        <f>PROPER(TEXT(Prog_23[[#This Row],[PROGRAMAÇÃO CLIENTE]],"mmm"))</f>
        <v>Jan</v>
      </c>
      <c r="BR792" s="66">
        <f>YEAR(Prog_23[[#This Row],[PROGRAMAÇÃO CLIENTE]])</f>
        <v>1900</v>
      </c>
    </row>
    <row r="793" spans="1:70" x14ac:dyDescent="0.25">
      <c r="A793" s="200">
        <f>Prog_23[[#This Row],[CONTEINER]]</f>
        <v>0</v>
      </c>
      <c r="B793" s="86"/>
      <c r="C7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93" s="44"/>
      <c r="E793" s="66"/>
      <c r="F793" s="66"/>
      <c r="G793" s="66"/>
      <c r="H793" s="44"/>
      <c r="I793" s="44"/>
      <c r="J793" s="66"/>
      <c r="K793" s="66"/>
      <c r="L793" s="66"/>
      <c r="M793" s="66"/>
      <c r="N793" s="66">
        <f>SUM(Prog_23[[#This Row],[TARA]]+Prog_23[[#This Row],[PESO]])</f>
        <v>0</v>
      </c>
      <c r="O793" s="44"/>
      <c r="P793" s="66"/>
      <c r="Q793" s="66"/>
      <c r="R793" s="66"/>
      <c r="S793" s="66"/>
      <c r="T793" s="138" t="str">
        <f>IFERROR(LOOKUP($S793,MOTORISTAS!$D$3:$D$916,MOTORISTAS!E$3:$E$916),"")</f>
        <v/>
      </c>
      <c r="U793" s="138" t="str">
        <f>IFERROR(LOOKUP($S793,MOTORISTAS!$D$3:$D$916,MOTORISTAS!F$3:$F$916),"")</f>
        <v/>
      </c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44"/>
      <c r="AG793" s="254">
        <f>Prog_23[[#This Row],[SAÍDA DO CLIENTE]]-Prog_23[[#This Row],[PROGRAMAÇÃO CLIENTE]]</f>
        <v>0</v>
      </c>
      <c r="AH793" s="44"/>
      <c r="AI793" s="66"/>
      <c r="AJ793" s="66"/>
      <c r="AK793" s="66"/>
      <c r="AL793" s="66"/>
      <c r="AM793" s="66"/>
      <c r="AN793" s="83"/>
      <c r="AO793" s="83"/>
      <c r="AP793" s="83"/>
      <c r="AQ793" s="66"/>
      <c r="AR793" s="66"/>
      <c r="AS793" s="66"/>
      <c r="AT793" s="81"/>
      <c r="AU793" s="81"/>
      <c r="AV793" s="81"/>
      <c r="AW793" s="81"/>
      <c r="AX793" s="83">
        <f>SUM(Prog_23[[#This Row],[ADIANTAMENTO]]+Prog_23[[#This Row],[SALDO]]+Prog_23[[#This Row],[MARGEM]]+Prog_23[[#This Row],[ESTADIA 1]])</f>
        <v>0</v>
      </c>
      <c r="AY7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93" s="81"/>
      <c r="BA793" s="81"/>
      <c r="BB793" s="81">
        <f>Prog_23[[#This Row],[VLR NF]]*0.1%</f>
        <v>0</v>
      </c>
      <c r="BC793" s="81">
        <f>Prog_23[[#This Row],[VLR NF]]*0.05%</f>
        <v>0</v>
      </c>
      <c r="BD793" s="81"/>
      <c r="BE793" s="81"/>
      <c r="BF793" s="81"/>
      <c r="BG793" s="81"/>
      <c r="BH793" s="81"/>
      <c r="BI793" s="81"/>
      <c r="BJ793" s="81"/>
      <c r="BK793" s="81"/>
      <c r="BL793" s="81"/>
      <c r="BM793" s="81"/>
      <c r="BN793" s="66"/>
      <c r="BO793" s="66"/>
      <c r="BP793" s="66"/>
      <c r="BQ793" s="66" t="str">
        <f>PROPER(TEXT(Prog_23[[#This Row],[PROGRAMAÇÃO CLIENTE]],"mmm"))</f>
        <v>Jan</v>
      </c>
      <c r="BR793" s="66">
        <f>YEAR(Prog_23[[#This Row],[PROGRAMAÇÃO CLIENTE]])</f>
        <v>1900</v>
      </c>
    </row>
    <row r="794" spans="1:70" x14ac:dyDescent="0.25">
      <c r="A794" s="201">
        <f>Prog_23[[#This Row],[CONTEINER]]</f>
        <v>0</v>
      </c>
      <c r="B794" s="86"/>
      <c r="C7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94" s="44"/>
      <c r="E794" s="66"/>
      <c r="F794" s="66"/>
      <c r="G794" s="66"/>
      <c r="H794" s="44"/>
      <c r="I794" s="44"/>
      <c r="J794" s="66"/>
      <c r="K794" s="66"/>
      <c r="L794" s="66"/>
      <c r="M794" s="66"/>
      <c r="N794" s="66">
        <f>SUM(Prog_23[[#This Row],[TARA]]+Prog_23[[#This Row],[PESO]])</f>
        <v>0</v>
      </c>
      <c r="O794" s="44"/>
      <c r="P794" s="66"/>
      <c r="Q794" s="66"/>
      <c r="R794" s="66"/>
      <c r="S794" s="66"/>
      <c r="T794" s="138" t="str">
        <f>IFERROR(LOOKUP($S794,MOTORISTAS!$D$3:$D$916,MOTORISTAS!E$3:$E$916),"")</f>
        <v/>
      </c>
      <c r="U794" s="138" t="str">
        <f>IFERROR(LOOKUP($S794,MOTORISTAS!$D$3:$D$916,MOTORISTAS!F$3:$F$916),"")</f>
        <v/>
      </c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44"/>
      <c r="AG794" s="254">
        <f>Prog_23[[#This Row],[SAÍDA DO CLIENTE]]-Prog_23[[#This Row],[PROGRAMAÇÃO CLIENTE]]</f>
        <v>0</v>
      </c>
      <c r="AH794" s="44"/>
      <c r="AI794" s="66"/>
      <c r="AJ794" s="66"/>
      <c r="AK794" s="66"/>
      <c r="AL794" s="66"/>
      <c r="AM794" s="66"/>
      <c r="AN794" s="83"/>
      <c r="AO794" s="83"/>
      <c r="AP794" s="83"/>
      <c r="AQ794" s="66"/>
      <c r="AR794" s="66"/>
      <c r="AS794" s="66"/>
      <c r="AT794" s="81"/>
      <c r="AU794" s="81"/>
      <c r="AV794" s="81"/>
      <c r="AW794" s="81"/>
      <c r="AX794" s="83">
        <f>SUM(Prog_23[[#This Row],[ADIANTAMENTO]]+Prog_23[[#This Row],[SALDO]]+Prog_23[[#This Row],[MARGEM]]+Prog_23[[#This Row],[ESTADIA 1]])</f>
        <v>0</v>
      </c>
      <c r="AY7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94" s="81"/>
      <c r="BA794" s="81"/>
      <c r="BB794" s="81">
        <f>Prog_23[[#This Row],[VLR NF]]*0.1%</f>
        <v>0</v>
      </c>
      <c r="BC794" s="81">
        <f>Prog_23[[#This Row],[VLR NF]]*0.05%</f>
        <v>0</v>
      </c>
      <c r="BD794" s="81"/>
      <c r="BE794" s="81"/>
      <c r="BF794" s="81"/>
      <c r="BG794" s="81"/>
      <c r="BH794" s="81"/>
      <c r="BI794" s="81"/>
      <c r="BJ794" s="81"/>
      <c r="BK794" s="81"/>
      <c r="BL794" s="81"/>
      <c r="BM794" s="81"/>
      <c r="BN794" s="66"/>
      <c r="BO794" s="66"/>
      <c r="BP794" s="66"/>
      <c r="BQ794" s="66" t="str">
        <f>PROPER(TEXT(Prog_23[[#This Row],[PROGRAMAÇÃO CLIENTE]],"mmm"))</f>
        <v>Jan</v>
      </c>
      <c r="BR794" s="66">
        <f>YEAR(Prog_23[[#This Row],[PROGRAMAÇÃO CLIENTE]])</f>
        <v>1900</v>
      </c>
    </row>
    <row r="795" spans="1:70" x14ac:dyDescent="0.25">
      <c r="A795" s="200">
        <f>Prog_23[[#This Row],[CONTEINER]]</f>
        <v>0</v>
      </c>
      <c r="B795" s="86"/>
      <c r="C7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95" s="44"/>
      <c r="E795" s="66"/>
      <c r="F795" s="66"/>
      <c r="G795" s="66"/>
      <c r="H795" s="44"/>
      <c r="I795" s="44"/>
      <c r="J795" s="66"/>
      <c r="K795" s="66"/>
      <c r="L795" s="66"/>
      <c r="M795" s="66"/>
      <c r="N795" s="66">
        <f>SUM(Prog_23[[#This Row],[TARA]]+Prog_23[[#This Row],[PESO]])</f>
        <v>0</v>
      </c>
      <c r="O795" s="44"/>
      <c r="P795" s="66"/>
      <c r="Q795" s="66"/>
      <c r="R795" s="66"/>
      <c r="S795" s="66"/>
      <c r="T795" s="138" t="str">
        <f>IFERROR(LOOKUP($S795,MOTORISTAS!$D$3:$D$916,MOTORISTAS!E$3:$E$916),"")</f>
        <v/>
      </c>
      <c r="U795" s="138" t="str">
        <f>IFERROR(LOOKUP($S795,MOTORISTAS!$D$3:$D$916,MOTORISTAS!F$3:$F$916),"")</f>
        <v/>
      </c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44"/>
      <c r="AG795" s="254">
        <f>Prog_23[[#This Row],[SAÍDA DO CLIENTE]]-Prog_23[[#This Row],[PROGRAMAÇÃO CLIENTE]]</f>
        <v>0</v>
      </c>
      <c r="AH795" s="44"/>
      <c r="AI795" s="66"/>
      <c r="AJ795" s="66"/>
      <c r="AK795" s="66"/>
      <c r="AL795" s="66"/>
      <c r="AM795" s="66"/>
      <c r="AN795" s="83"/>
      <c r="AO795" s="83"/>
      <c r="AP795" s="83"/>
      <c r="AQ795" s="66"/>
      <c r="AR795" s="66"/>
      <c r="AS795" s="66"/>
      <c r="AT795" s="81"/>
      <c r="AU795" s="81"/>
      <c r="AV795" s="81"/>
      <c r="AW795" s="81"/>
      <c r="AX795" s="83">
        <f>SUM(Prog_23[[#This Row],[ADIANTAMENTO]]+Prog_23[[#This Row],[SALDO]]+Prog_23[[#This Row],[MARGEM]]+Prog_23[[#This Row],[ESTADIA 1]])</f>
        <v>0</v>
      </c>
      <c r="AY7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95" s="81"/>
      <c r="BA795" s="81"/>
      <c r="BB795" s="81">
        <f>Prog_23[[#This Row],[VLR NF]]*0.1%</f>
        <v>0</v>
      </c>
      <c r="BC795" s="81">
        <f>Prog_23[[#This Row],[VLR NF]]*0.05%</f>
        <v>0</v>
      </c>
      <c r="BD795" s="81"/>
      <c r="BE795" s="81"/>
      <c r="BF795" s="81"/>
      <c r="BG795" s="81"/>
      <c r="BH795" s="81"/>
      <c r="BI795" s="81"/>
      <c r="BJ795" s="81"/>
      <c r="BK795" s="81"/>
      <c r="BL795" s="81"/>
      <c r="BM795" s="81"/>
      <c r="BN795" s="66"/>
      <c r="BO795" s="66"/>
      <c r="BP795" s="66"/>
      <c r="BQ795" s="66" t="str">
        <f>PROPER(TEXT(Prog_23[[#This Row],[PROGRAMAÇÃO CLIENTE]],"mmm"))</f>
        <v>Jan</v>
      </c>
      <c r="BR795" s="66">
        <f>YEAR(Prog_23[[#This Row],[PROGRAMAÇÃO CLIENTE]])</f>
        <v>1900</v>
      </c>
    </row>
    <row r="796" spans="1:70" x14ac:dyDescent="0.25">
      <c r="A796" s="201">
        <f>Prog_23[[#This Row],[CONTEINER]]</f>
        <v>0</v>
      </c>
      <c r="B796" s="86"/>
      <c r="C7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96" s="44"/>
      <c r="E796" s="66"/>
      <c r="F796" s="66"/>
      <c r="G796" s="66"/>
      <c r="H796" s="44"/>
      <c r="I796" s="44"/>
      <c r="J796" s="66"/>
      <c r="K796" s="66"/>
      <c r="L796" s="66"/>
      <c r="M796" s="66"/>
      <c r="N796" s="66">
        <f>SUM(Prog_23[[#This Row],[TARA]]+Prog_23[[#This Row],[PESO]])</f>
        <v>0</v>
      </c>
      <c r="O796" s="44"/>
      <c r="P796" s="66"/>
      <c r="Q796" s="66"/>
      <c r="R796" s="66"/>
      <c r="S796" s="66"/>
      <c r="T796" s="138" t="str">
        <f>IFERROR(LOOKUP($S796,MOTORISTAS!$D$3:$D$916,MOTORISTAS!E$3:$E$916),"")</f>
        <v/>
      </c>
      <c r="U796" s="138" t="str">
        <f>IFERROR(LOOKUP($S796,MOTORISTAS!$D$3:$D$916,MOTORISTAS!F$3:$F$916),"")</f>
        <v/>
      </c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44"/>
      <c r="AG796" s="254">
        <f>Prog_23[[#This Row],[SAÍDA DO CLIENTE]]-Prog_23[[#This Row],[PROGRAMAÇÃO CLIENTE]]</f>
        <v>0</v>
      </c>
      <c r="AH796" s="44"/>
      <c r="AI796" s="66"/>
      <c r="AJ796" s="66"/>
      <c r="AK796" s="66"/>
      <c r="AL796" s="66"/>
      <c r="AM796" s="66"/>
      <c r="AN796" s="83"/>
      <c r="AO796" s="83"/>
      <c r="AP796" s="83"/>
      <c r="AQ796" s="66"/>
      <c r="AR796" s="66"/>
      <c r="AS796" s="66"/>
      <c r="AT796" s="81"/>
      <c r="AU796" s="81"/>
      <c r="AV796" s="81"/>
      <c r="AW796" s="81"/>
      <c r="AX796" s="83">
        <f>SUM(Prog_23[[#This Row],[ADIANTAMENTO]]+Prog_23[[#This Row],[SALDO]]+Prog_23[[#This Row],[MARGEM]]+Prog_23[[#This Row],[ESTADIA 1]])</f>
        <v>0</v>
      </c>
      <c r="AY7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96" s="81"/>
      <c r="BA796" s="81"/>
      <c r="BB796" s="81">
        <f>Prog_23[[#This Row],[VLR NF]]*0.1%</f>
        <v>0</v>
      </c>
      <c r="BC796" s="81">
        <f>Prog_23[[#This Row],[VLR NF]]*0.05%</f>
        <v>0</v>
      </c>
      <c r="BD796" s="81"/>
      <c r="BE796" s="81"/>
      <c r="BF796" s="81"/>
      <c r="BG796" s="81"/>
      <c r="BH796" s="81"/>
      <c r="BI796" s="81"/>
      <c r="BJ796" s="81"/>
      <c r="BK796" s="81"/>
      <c r="BL796" s="81"/>
      <c r="BM796" s="81"/>
      <c r="BN796" s="66"/>
      <c r="BO796" s="66"/>
      <c r="BP796" s="66"/>
      <c r="BQ796" s="66" t="str">
        <f>PROPER(TEXT(Prog_23[[#This Row],[PROGRAMAÇÃO CLIENTE]],"mmm"))</f>
        <v>Jan</v>
      </c>
      <c r="BR796" s="66">
        <f>YEAR(Prog_23[[#This Row],[PROGRAMAÇÃO CLIENTE]])</f>
        <v>1900</v>
      </c>
    </row>
    <row r="797" spans="1:70" x14ac:dyDescent="0.25">
      <c r="A797" s="200">
        <f>Prog_23[[#This Row],[CONTEINER]]</f>
        <v>0</v>
      </c>
      <c r="B797" s="86"/>
      <c r="C7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97" s="44"/>
      <c r="E797" s="66"/>
      <c r="F797" s="66"/>
      <c r="G797" s="66"/>
      <c r="H797" s="44"/>
      <c r="I797" s="44"/>
      <c r="J797" s="66"/>
      <c r="K797" s="66"/>
      <c r="L797" s="66"/>
      <c r="M797" s="66"/>
      <c r="N797" s="66">
        <f>SUM(Prog_23[[#This Row],[TARA]]+Prog_23[[#This Row],[PESO]])</f>
        <v>0</v>
      </c>
      <c r="O797" s="44"/>
      <c r="P797" s="66"/>
      <c r="Q797" s="66"/>
      <c r="R797" s="66"/>
      <c r="S797" s="66"/>
      <c r="T797" s="138" t="str">
        <f>IFERROR(LOOKUP($S797,MOTORISTAS!$D$3:$D$916,MOTORISTAS!E$3:$E$916),"")</f>
        <v/>
      </c>
      <c r="U797" s="138" t="str">
        <f>IFERROR(LOOKUP($S797,MOTORISTAS!$D$3:$D$916,MOTORISTAS!F$3:$F$916),"")</f>
        <v/>
      </c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44"/>
      <c r="AG797" s="254">
        <f>Prog_23[[#This Row],[SAÍDA DO CLIENTE]]-Prog_23[[#This Row],[PROGRAMAÇÃO CLIENTE]]</f>
        <v>0</v>
      </c>
      <c r="AH797" s="44"/>
      <c r="AI797" s="66"/>
      <c r="AJ797" s="66"/>
      <c r="AK797" s="66"/>
      <c r="AL797" s="66"/>
      <c r="AM797" s="66"/>
      <c r="AN797" s="83"/>
      <c r="AO797" s="83"/>
      <c r="AP797" s="83"/>
      <c r="AQ797" s="66"/>
      <c r="AR797" s="66"/>
      <c r="AS797" s="66"/>
      <c r="AT797" s="81"/>
      <c r="AU797" s="81"/>
      <c r="AV797" s="81"/>
      <c r="AW797" s="81"/>
      <c r="AX797" s="83">
        <f>SUM(Prog_23[[#This Row],[ADIANTAMENTO]]+Prog_23[[#This Row],[SALDO]]+Prog_23[[#This Row],[MARGEM]]+Prog_23[[#This Row],[ESTADIA 1]])</f>
        <v>0</v>
      </c>
      <c r="AY7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97" s="81"/>
      <c r="BA797" s="81"/>
      <c r="BB797" s="81">
        <f>Prog_23[[#This Row],[VLR NF]]*0.1%</f>
        <v>0</v>
      </c>
      <c r="BC797" s="81">
        <f>Prog_23[[#This Row],[VLR NF]]*0.05%</f>
        <v>0</v>
      </c>
      <c r="BD797" s="81"/>
      <c r="BE797" s="81"/>
      <c r="BF797" s="81"/>
      <c r="BG797" s="81"/>
      <c r="BH797" s="81"/>
      <c r="BI797" s="81"/>
      <c r="BJ797" s="81"/>
      <c r="BK797" s="81"/>
      <c r="BL797" s="81"/>
      <c r="BM797" s="81"/>
      <c r="BN797" s="66"/>
      <c r="BO797" s="66"/>
      <c r="BP797" s="66"/>
      <c r="BQ797" s="66" t="str">
        <f>PROPER(TEXT(Prog_23[[#This Row],[PROGRAMAÇÃO CLIENTE]],"mmm"))</f>
        <v>Jan</v>
      </c>
      <c r="BR797" s="66">
        <f>YEAR(Prog_23[[#This Row],[PROGRAMAÇÃO CLIENTE]])</f>
        <v>1900</v>
      </c>
    </row>
    <row r="798" spans="1:70" x14ac:dyDescent="0.25">
      <c r="A798" s="201">
        <f>Prog_23[[#This Row],[CONTEINER]]</f>
        <v>0</v>
      </c>
      <c r="B798" s="86"/>
      <c r="C7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98" s="44"/>
      <c r="E798" s="66"/>
      <c r="F798" s="66"/>
      <c r="G798" s="66"/>
      <c r="H798" s="44"/>
      <c r="I798" s="44"/>
      <c r="J798" s="66"/>
      <c r="K798" s="66"/>
      <c r="L798" s="66"/>
      <c r="M798" s="66"/>
      <c r="N798" s="66">
        <f>SUM(Prog_23[[#This Row],[TARA]]+Prog_23[[#This Row],[PESO]])</f>
        <v>0</v>
      </c>
      <c r="O798" s="44"/>
      <c r="P798" s="66"/>
      <c r="Q798" s="66"/>
      <c r="R798" s="66"/>
      <c r="S798" s="66"/>
      <c r="T798" s="138" t="str">
        <f>IFERROR(LOOKUP($S798,MOTORISTAS!$D$3:$D$916,MOTORISTAS!E$3:$E$916),"")</f>
        <v/>
      </c>
      <c r="U798" s="138" t="str">
        <f>IFERROR(LOOKUP($S798,MOTORISTAS!$D$3:$D$916,MOTORISTAS!F$3:$F$916),"")</f>
        <v/>
      </c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44"/>
      <c r="AG798" s="254">
        <f>Prog_23[[#This Row],[SAÍDA DO CLIENTE]]-Prog_23[[#This Row],[PROGRAMAÇÃO CLIENTE]]</f>
        <v>0</v>
      </c>
      <c r="AH798" s="44"/>
      <c r="AI798" s="66"/>
      <c r="AJ798" s="66"/>
      <c r="AK798" s="66"/>
      <c r="AL798" s="66"/>
      <c r="AM798" s="66"/>
      <c r="AN798" s="83"/>
      <c r="AO798" s="83"/>
      <c r="AP798" s="83"/>
      <c r="AQ798" s="66"/>
      <c r="AR798" s="66"/>
      <c r="AS798" s="66"/>
      <c r="AT798" s="81"/>
      <c r="AU798" s="81"/>
      <c r="AV798" s="81"/>
      <c r="AW798" s="81"/>
      <c r="AX798" s="83">
        <f>SUM(Prog_23[[#This Row],[ADIANTAMENTO]]+Prog_23[[#This Row],[SALDO]]+Prog_23[[#This Row],[MARGEM]]+Prog_23[[#This Row],[ESTADIA 1]])</f>
        <v>0</v>
      </c>
      <c r="AY7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98" s="81"/>
      <c r="BA798" s="81"/>
      <c r="BB798" s="81">
        <f>Prog_23[[#This Row],[VLR NF]]*0.1%</f>
        <v>0</v>
      </c>
      <c r="BC798" s="81">
        <f>Prog_23[[#This Row],[VLR NF]]*0.05%</f>
        <v>0</v>
      </c>
      <c r="BD798" s="81"/>
      <c r="BE798" s="81"/>
      <c r="BF798" s="81"/>
      <c r="BG798" s="81"/>
      <c r="BH798" s="81"/>
      <c r="BI798" s="81"/>
      <c r="BJ798" s="81"/>
      <c r="BK798" s="81"/>
      <c r="BL798" s="81"/>
      <c r="BM798" s="81"/>
      <c r="BN798" s="66"/>
      <c r="BO798" s="66"/>
      <c r="BP798" s="66"/>
      <c r="BQ798" s="66" t="str">
        <f>PROPER(TEXT(Prog_23[[#This Row],[PROGRAMAÇÃO CLIENTE]],"mmm"))</f>
        <v>Jan</v>
      </c>
      <c r="BR798" s="66">
        <f>YEAR(Prog_23[[#This Row],[PROGRAMAÇÃO CLIENTE]])</f>
        <v>1900</v>
      </c>
    </row>
    <row r="799" spans="1:70" x14ac:dyDescent="0.25">
      <c r="A799" s="200">
        <f>Prog_23[[#This Row],[CONTEINER]]</f>
        <v>0</v>
      </c>
      <c r="B799" s="86"/>
      <c r="C7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799" s="44"/>
      <c r="E799" s="66"/>
      <c r="F799" s="66"/>
      <c r="G799" s="66"/>
      <c r="H799" s="44"/>
      <c r="I799" s="44"/>
      <c r="J799" s="66"/>
      <c r="K799" s="66"/>
      <c r="L799" s="66"/>
      <c r="M799" s="66"/>
      <c r="N799" s="66">
        <f>SUM(Prog_23[[#This Row],[TARA]]+Prog_23[[#This Row],[PESO]])</f>
        <v>0</v>
      </c>
      <c r="O799" s="44"/>
      <c r="P799" s="66"/>
      <c r="Q799" s="66"/>
      <c r="R799" s="66"/>
      <c r="S799" s="66"/>
      <c r="T799" s="138" t="str">
        <f>IFERROR(LOOKUP($S799,MOTORISTAS!$D$3:$D$916,MOTORISTAS!E$3:$E$916),"")</f>
        <v/>
      </c>
      <c r="U799" s="138" t="str">
        <f>IFERROR(LOOKUP($S799,MOTORISTAS!$D$3:$D$916,MOTORISTAS!F$3:$F$916),"")</f>
        <v/>
      </c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44"/>
      <c r="AG799" s="254">
        <f>Prog_23[[#This Row],[SAÍDA DO CLIENTE]]-Prog_23[[#This Row],[PROGRAMAÇÃO CLIENTE]]</f>
        <v>0</v>
      </c>
      <c r="AH799" s="44"/>
      <c r="AI799" s="66"/>
      <c r="AJ799" s="66"/>
      <c r="AK799" s="66"/>
      <c r="AL799" s="66"/>
      <c r="AM799" s="66"/>
      <c r="AN799" s="83"/>
      <c r="AO799" s="83"/>
      <c r="AP799" s="83"/>
      <c r="AQ799" s="66"/>
      <c r="AR799" s="66"/>
      <c r="AS799" s="66"/>
      <c r="AT799" s="81"/>
      <c r="AU799" s="81"/>
      <c r="AV799" s="81"/>
      <c r="AW799" s="81"/>
      <c r="AX799" s="83">
        <f>SUM(Prog_23[[#This Row],[ADIANTAMENTO]]+Prog_23[[#This Row],[SALDO]]+Prog_23[[#This Row],[MARGEM]]+Prog_23[[#This Row],[ESTADIA 1]])</f>
        <v>0</v>
      </c>
      <c r="AY7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799" s="81"/>
      <c r="BA799" s="81"/>
      <c r="BB799" s="81">
        <f>Prog_23[[#This Row],[VLR NF]]*0.1%</f>
        <v>0</v>
      </c>
      <c r="BC799" s="81">
        <f>Prog_23[[#This Row],[VLR NF]]*0.05%</f>
        <v>0</v>
      </c>
      <c r="BD799" s="81"/>
      <c r="BE799" s="81"/>
      <c r="BF799" s="81"/>
      <c r="BG799" s="81"/>
      <c r="BH799" s="81"/>
      <c r="BI799" s="81"/>
      <c r="BJ799" s="81"/>
      <c r="BK799" s="81"/>
      <c r="BL799" s="81"/>
      <c r="BM799" s="81"/>
      <c r="BN799" s="66"/>
      <c r="BO799" s="66"/>
      <c r="BP799" s="66"/>
      <c r="BQ799" s="66" t="str">
        <f>PROPER(TEXT(Prog_23[[#This Row],[PROGRAMAÇÃO CLIENTE]],"mmm"))</f>
        <v>Jan</v>
      </c>
      <c r="BR799" s="66">
        <f>YEAR(Prog_23[[#This Row],[PROGRAMAÇÃO CLIENTE]])</f>
        <v>1900</v>
      </c>
    </row>
    <row r="800" spans="1:70" x14ac:dyDescent="0.25">
      <c r="A800" s="201">
        <f>Prog_23[[#This Row],[CONTEINER]]</f>
        <v>0</v>
      </c>
      <c r="B800" s="86"/>
      <c r="C8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00" s="44"/>
      <c r="E800" s="66"/>
      <c r="F800" s="66"/>
      <c r="G800" s="66"/>
      <c r="H800" s="44"/>
      <c r="I800" s="44"/>
      <c r="J800" s="66"/>
      <c r="K800" s="66"/>
      <c r="L800" s="66"/>
      <c r="M800" s="66"/>
      <c r="N800" s="66">
        <f>SUM(Prog_23[[#This Row],[TARA]]+Prog_23[[#This Row],[PESO]])</f>
        <v>0</v>
      </c>
      <c r="O800" s="44"/>
      <c r="P800" s="66"/>
      <c r="Q800" s="66"/>
      <c r="R800" s="66"/>
      <c r="S800" s="66"/>
      <c r="T800" s="138" t="str">
        <f>IFERROR(LOOKUP($S800,MOTORISTAS!$D$3:$D$916,MOTORISTAS!E$3:$E$916),"")</f>
        <v/>
      </c>
      <c r="U800" s="138" t="str">
        <f>IFERROR(LOOKUP($S800,MOTORISTAS!$D$3:$D$916,MOTORISTAS!F$3:$F$916),"")</f>
        <v/>
      </c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44"/>
      <c r="AG800" s="254">
        <f>Prog_23[[#This Row],[SAÍDA DO CLIENTE]]-Prog_23[[#This Row],[PROGRAMAÇÃO CLIENTE]]</f>
        <v>0</v>
      </c>
      <c r="AH800" s="44"/>
      <c r="AI800" s="66"/>
      <c r="AJ800" s="66"/>
      <c r="AK800" s="66"/>
      <c r="AL800" s="66"/>
      <c r="AM800" s="66"/>
      <c r="AN800" s="83"/>
      <c r="AO800" s="83"/>
      <c r="AP800" s="83"/>
      <c r="AQ800" s="66"/>
      <c r="AR800" s="66"/>
      <c r="AS800" s="66"/>
      <c r="AT800" s="81"/>
      <c r="AU800" s="81"/>
      <c r="AV800" s="81"/>
      <c r="AW800" s="81"/>
      <c r="AX800" s="83">
        <f>SUM(Prog_23[[#This Row],[ADIANTAMENTO]]+Prog_23[[#This Row],[SALDO]]+Prog_23[[#This Row],[MARGEM]]+Prog_23[[#This Row],[ESTADIA 1]])</f>
        <v>0</v>
      </c>
      <c r="AY8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00" s="81"/>
      <c r="BA800" s="81"/>
      <c r="BB800" s="81">
        <f>Prog_23[[#This Row],[VLR NF]]*0.1%</f>
        <v>0</v>
      </c>
      <c r="BC800" s="81">
        <f>Prog_23[[#This Row],[VLR NF]]*0.05%</f>
        <v>0</v>
      </c>
      <c r="BD800" s="81"/>
      <c r="BE800" s="81"/>
      <c r="BF800" s="81"/>
      <c r="BG800" s="81"/>
      <c r="BH800" s="81"/>
      <c r="BI800" s="81"/>
      <c r="BJ800" s="81"/>
      <c r="BK800" s="81"/>
      <c r="BL800" s="81"/>
      <c r="BM800" s="81"/>
      <c r="BN800" s="66"/>
      <c r="BO800" s="66"/>
      <c r="BP800" s="66"/>
      <c r="BQ800" s="66" t="str">
        <f>PROPER(TEXT(Prog_23[[#This Row],[PROGRAMAÇÃO CLIENTE]],"mmm"))</f>
        <v>Jan</v>
      </c>
      <c r="BR800" s="66">
        <f>YEAR(Prog_23[[#This Row],[PROGRAMAÇÃO CLIENTE]])</f>
        <v>1900</v>
      </c>
    </row>
    <row r="801" spans="1:70" x14ac:dyDescent="0.25">
      <c r="A801" s="200">
        <f>Prog_23[[#This Row],[CONTEINER]]</f>
        <v>0</v>
      </c>
      <c r="B801" s="86"/>
      <c r="C8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01" s="44"/>
      <c r="E801" s="66"/>
      <c r="F801" s="66"/>
      <c r="G801" s="66"/>
      <c r="H801" s="44"/>
      <c r="I801" s="44"/>
      <c r="J801" s="66"/>
      <c r="K801" s="66"/>
      <c r="L801" s="66"/>
      <c r="M801" s="66"/>
      <c r="N801" s="66">
        <f>SUM(Prog_23[[#This Row],[TARA]]+Prog_23[[#This Row],[PESO]])</f>
        <v>0</v>
      </c>
      <c r="O801" s="44"/>
      <c r="P801" s="66"/>
      <c r="Q801" s="66"/>
      <c r="R801" s="66"/>
      <c r="S801" s="66"/>
      <c r="T801" s="138" t="str">
        <f>IFERROR(LOOKUP($S801,MOTORISTAS!$D$3:$D$916,MOTORISTAS!E$3:$E$916),"")</f>
        <v/>
      </c>
      <c r="U801" s="138" t="str">
        <f>IFERROR(LOOKUP($S801,MOTORISTAS!$D$3:$D$916,MOTORISTAS!F$3:$F$916),"")</f>
        <v/>
      </c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44"/>
      <c r="AG801" s="254">
        <f>Prog_23[[#This Row],[SAÍDA DO CLIENTE]]-Prog_23[[#This Row],[PROGRAMAÇÃO CLIENTE]]</f>
        <v>0</v>
      </c>
      <c r="AH801" s="44"/>
      <c r="AI801" s="66"/>
      <c r="AJ801" s="66"/>
      <c r="AK801" s="66"/>
      <c r="AL801" s="66"/>
      <c r="AM801" s="66"/>
      <c r="AN801" s="83"/>
      <c r="AO801" s="83"/>
      <c r="AP801" s="83"/>
      <c r="AQ801" s="66"/>
      <c r="AR801" s="66"/>
      <c r="AS801" s="66"/>
      <c r="AT801" s="81"/>
      <c r="AU801" s="81"/>
      <c r="AV801" s="81"/>
      <c r="AW801" s="81"/>
      <c r="AX801" s="83">
        <f>SUM(Prog_23[[#This Row],[ADIANTAMENTO]]+Prog_23[[#This Row],[SALDO]]+Prog_23[[#This Row],[MARGEM]]+Prog_23[[#This Row],[ESTADIA 1]])</f>
        <v>0</v>
      </c>
      <c r="AY8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01" s="81"/>
      <c r="BA801" s="81"/>
      <c r="BB801" s="81">
        <f>Prog_23[[#This Row],[VLR NF]]*0.1%</f>
        <v>0</v>
      </c>
      <c r="BC801" s="81">
        <f>Prog_23[[#This Row],[VLR NF]]*0.05%</f>
        <v>0</v>
      </c>
      <c r="BD801" s="81"/>
      <c r="BE801" s="81"/>
      <c r="BF801" s="81"/>
      <c r="BG801" s="81"/>
      <c r="BH801" s="81"/>
      <c r="BI801" s="81"/>
      <c r="BJ801" s="81"/>
      <c r="BK801" s="81"/>
      <c r="BL801" s="81"/>
      <c r="BM801" s="81"/>
      <c r="BN801" s="66"/>
      <c r="BO801" s="66"/>
      <c r="BP801" s="66"/>
      <c r="BQ801" s="66" t="str">
        <f>PROPER(TEXT(Prog_23[[#This Row],[PROGRAMAÇÃO CLIENTE]],"mmm"))</f>
        <v>Jan</v>
      </c>
      <c r="BR801" s="66">
        <f>YEAR(Prog_23[[#This Row],[PROGRAMAÇÃO CLIENTE]])</f>
        <v>1900</v>
      </c>
    </row>
    <row r="802" spans="1:70" x14ac:dyDescent="0.25">
      <c r="A802" s="201">
        <f>Prog_23[[#This Row],[CONTEINER]]</f>
        <v>0</v>
      </c>
      <c r="B802" s="86"/>
      <c r="C8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02" s="44"/>
      <c r="E802" s="66"/>
      <c r="F802" s="66"/>
      <c r="G802" s="66"/>
      <c r="H802" s="44"/>
      <c r="I802" s="44"/>
      <c r="J802" s="66"/>
      <c r="K802" s="66"/>
      <c r="L802" s="66"/>
      <c r="M802" s="66"/>
      <c r="N802" s="66">
        <f>SUM(Prog_23[[#This Row],[TARA]]+Prog_23[[#This Row],[PESO]])</f>
        <v>0</v>
      </c>
      <c r="O802" s="44"/>
      <c r="P802" s="66"/>
      <c r="Q802" s="66"/>
      <c r="R802" s="66"/>
      <c r="S802" s="66"/>
      <c r="T802" s="138" t="str">
        <f>IFERROR(LOOKUP($S802,MOTORISTAS!$D$3:$D$916,MOTORISTAS!E$3:$E$916),"")</f>
        <v/>
      </c>
      <c r="U802" s="138" t="str">
        <f>IFERROR(LOOKUP($S802,MOTORISTAS!$D$3:$D$916,MOTORISTAS!F$3:$F$916),"")</f>
        <v/>
      </c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44"/>
      <c r="AG802" s="254">
        <f>Prog_23[[#This Row],[SAÍDA DO CLIENTE]]-Prog_23[[#This Row],[PROGRAMAÇÃO CLIENTE]]</f>
        <v>0</v>
      </c>
      <c r="AH802" s="44"/>
      <c r="AI802" s="66"/>
      <c r="AJ802" s="66"/>
      <c r="AK802" s="66"/>
      <c r="AL802" s="66"/>
      <c r="AM802" s="66"/>
      <c r="AN802" s="83"/>
      <c r="AO802" s="83"/>
      <c r="AP802" s="83"/>
      <c r="AQ802" s="66"/>
      <c r="AR802" s="66"/>
      <c r="AS802" s="66"/>
      <c r="AT802" s="81"/>
      <c r="AU802" s="81"/>
      <c r="AV802" s="81"/>
      <c r="AW802" s="81"/>
      <c r="AX802" s="83">
        <f>SUM(Prog_23[[#This Row],[ADIANTAMENTO]]+Prog_23[[#This Row],[SALDO]]+Prog_23[[#This Row],[MARGEM]]+Prog_23[[#This Row],[ESTADIA 1]])</f>
        <v>0</v>
      </c>
      <c r="AY8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02" s="81"/>
      <c r="BA802" s="81"/>
      <c r="BB802" s="81">
        <f>Prog_23[[#This Row],[VLR NF]]*0.1%</f>
        <v>0</v>
      </c>
      <c r="BC802" s="81">
        <f>Prog_23[[#This Row],[VLR NF]]*0.05%</f>
        <v>0</v>
      </c>
      <c r="BD802" s="81"/>
      <c r="BE802" s="81"/>
      <c r="BF802" s="81"/>
      <c r="BG802" s="81"/>
      <c r="BH802" s="81"/>
      <c r="BI802" s="81"/>
      <c r="BJ802" s="81"/>
      <c r="BK802" s="81"/>
      <c r="BL802" s="81"/>
      <c r="BM802" s="81"/>
      <c r="BN802" s="66"/>
      <c r="BO802" s="66"/>
      <c r="BP802" s="66"/>
      <c r="BQ802" s="66" t="str">
        <f>PROPER(TEXT(Prog_23[[#This Row],[PROGRAMAÇÃO CLIENTE]],"mmm"))</f>
        <v>Jan</v>
      </c>
      <c r="BR802" s="66">
        <f>YEAR(Prog_23[[#This Row],[PROGRAMAÇÃO CLIENTE]])</f>
        <v>1900</v>
      </c>
    </row>
    <row r="803" spans="1:70" x14ac:dyDescent="0.25">
      <c r="A803" s="200">
        <f>Prog_23[[#This Row],[CONTEINER]]</f>
        <v>0</v>
      </c>
      <c r="B803" s="86"/>
      <c r="C8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03" s="44"/>
      <c r="E803" s="66"/>
      <c r="F803" s="66"/>
      <c r="G803" s="66"/>
      <c r="H803" s="44"/>
      <c r="I803" s="44"/>
      <c r="J803" s="66"/>
      <c r="K803" s="66"/>
      <c r="L803" s="66"/>
      <c r="M803" s="66"/>
      <c r="N803" s="66">
        <f>SUM(Prog_23[[#This Row],[TARA]]+Prog_23[[#This Row],[PESO]])</f>
        <v>0</v>
      </c>
      <c r="O803" s="44"/>
      <c r="P803" s="66"/>
      <c r="Q803" s="66"/>
      <c r="R803" s="66"/>
      <c r="S803" s="66"/>
      <c r="T803" s="138" t="str">
        <f>IFERROR(LOOKUP($S803,MOTORISTAS!$D$3:$D$916,MOTORISTAS!E$3:$E$916),"")</f>
        <v/>
      </c>
      <c r="U803" s="138" t="str">
        <f>IFERROR(LOOKUP($S803,MOTORISTAS!$D$3:$D$916,MOTORISTAS!F$3:$F$916),"")</f>
        <v/>
      </c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44"/>
      <c r="AG803" s="254">
        <f>Prog_23[[#This Row],[SAÍDA DO CLIENTE]]-Prog_23[[#This Row],[PROGRAMAÇÃO CLIENTE]]</f>
        <v>0</v>
      </c>
      <c r="AH803" s="44"/>
      <c r="AI803" s="66"/>
      <c r="AJ803" s="66"/>
      <c r="AK803" s="66"/>
      <c r="AL803" s="66"/>
      <c r="AM803" s="66"/>
      <c r="AN803" s="83"/>
      <c r="AO803" s="83"/>
      <c r="AP803" s="83"/>
      <c r="AQ803" s="66"/>
      <c r="AR803" s="66"/>
      <c r="AS803" s="66"/>
      <c r="AT803" s="81"/>
      <c r="AU803" s="81"/>
      <c r="AV803" s="81"/>
      <c r="AW803" s="81"/>
      <c r="AX803" s="83">
        <f>SUM(Prog_23[[#This Row],[ADIANTAMENTO]]+Prog_23[[#This Row],[SALDO]]+Prog_23[[#This Row],[MARGEM]]+Prog_23[[#This Row],[ESTADIA 1]])</f>
        <v>0</v>
      </c>
      <c r="AY8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03" s="81"/>
      <c r="BA803" s="81"/>
      <c r="BB803" s="81">
        <f>Prog_23[[#This Row],[VLR NF]]*0.1%</f>
        <v>0</v>
      </c>
      <c r="BC803" s="81">
        <f>Prog_23[[#This Row],[VLR NF]]*0.05%</f>
        <v>0</v>
      </c>
      <c r="BD803" s="81"/>
      <c r="BE803" s="81"/>
      <c r="BF803" s="81"/>
      <c r="BG803" s="81"/>
      <c r="BH803" s="81"/>
      <c r="BI803" s="81"/>
      <c r="BJ803" s="81"/>
      <c r="BK803" s="81"/>
      <c r="BL803" s="81"/>
      <c r="BM803" s="81"/>
      <c r="BN803" s="66"/>
      <c r="BO803" s="66"/>
      <c r="BP803" s="66"/>
      <c r="BQ803" s="66" t="str">
        <f>PROPER(TEXT(Prog_23[[#This Row],[PROGRAMAÇÃO CLIENTE]],"mmm"))</f>
        <v>Jan</v>
      </c>
      <c r="BR803" s="66">
        <f>YEAR(Prog_23[[#This Row],[PROGRAMAÇÃO CLIENTE]])</f>
        <v>1900</v>
      </c>
    </row>
    <row r="804" spans="1:70" x14ac:dyDescent="0.25">
      <c r="A804" s="201">
        <f>Prog_23[[#This Row],[CONTEINER]]</f>
        <v>0</v>
      </c>
      <c r="B804" s="86"/>
      <c r="C8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04" s="44"/>
      <c r="E804" s="66"/>
      <c r="F804" s="66"/>
      <c r="G804" s="66"/>
      <c r="H804" s="44"/>
      <c r="I804" s="44"/>
      <c r="J804" s="66"/>
      <c r="K804" s="66"/>
      <c r="L804" s="66"/>
      <c r="M804" s="66"/>
      <c r="N804" s="66">
        <f>SUM(Prog_23[[#This Row],[TARA]]+Prog_23[[#This Row],[PESO]])</f>
        <v>0</v>
      </c>
      <c r="O804" s="44"/>
      <c r="P804" s="66"/>
      <c r="Q804" s="66"/>
      <c r="R804" s="66"/>
      <c r="S804" s="66"/>
      <c r="T804" s="138" t="str">
        <f>IFERROR(LOOKUP($S804,MOTORISTAS!$D$3:$D$916,MOTORISTAS!E$3:$E$916),"")</f>
        <v/>
      </c>
      <c r="U804" s="138" t="str">
        <f>IFERROR(LOOKUP($S804,MOTORISTAS!$D$3:$D$916,MOTORISTAS!F$3:$F$916),"")</f>
        <v/>
      </c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44"/>
      <c r="AG804" s="254">
        <f>Prog_23[[#This Row],[SAÍDA DO CLIENTE]]-Prog_23[[#This Row],[PROGRAMAÇÃO CLIENTE]]</f>
        <v>0</v>
      </c>
      <c r="AH804" s="44"/>
      <c r="AI804" s="66"/>
      <c r="AJ804" s="66"/>
      <c r="AK804" s="66"/>
      <c r="AL804" s="66"/>
      <c r="AM804" s="66"/>
      <c r="AN804" s="83"/>
      <c r="AO804" s="83"/>
      <c r="AP804" s="83"/>
      <c r="AQ804" s="66"/>
      <c r="AR804" s="66"/>
      <c r="AS804" s="66"/>
      <c r="AT804" s="81"/>
      <c r="AU804" s="81"/>
      <c r="AV804" s="81"/>
      <c r="AW804" s="81"/>
      <c r="AX804" s="83">
        <f>SUM(Prog_23[[#This Row],[ADIANTAMENTO]]+Prog_23[[#This Row],[SALDO]]+Prog_23[[#This Row],[MARGEM]]+Prog_23[[#This Row],[ESTADIA 1]])</f>
        <v>0</v>
      </c>
      <c r="AY8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04" s="81"/>
      <c r="BA804" s="81"/>
      <c r="BB804" s="81">
        <f>Prog_23[[#This Row],[VLR NF]]*0.1%</f>
        <v>0</v>
      </c>
      <c r="BC804" s="81">
        <f>Prog_23[[#This Row],[VLR NF]]*0.05%</f>
        <v>0</v>
      </c>
      <c r="BD804" s="81"/>
      <c r="BE804" s="81"/>
      <c r="BF804" s="81"/>
      <c r="BG804" s="81"/>
      <c r="BH804" s="81"/>
      <c r="BI804" s="81"/>
      <c r="BJ804" s="81"/>
      <c r="BK804" s="81"/>
      <c r="BL804" s="81"/>
      <c r="BM804" s="81"/>
      <c r="BN804" s="66"/>
      <c r="BO804" s="66"/>
      <c r="BP804" s="66"/>
      <c r="BQ804" s="66" t="str">
        <f>PROPER(TEXT(Prog_23[[#This Row],[PROGRAMAÇÃO CLIENTE]],"mmm"))</f>
        <v>Jan</v>
      </c>
      <c r="BR804" s="66">
        <f>YEAR(Prog_23[[#This Row],[PROGRAMAÇÃO CLIENTE]])</f>
        <v>1900</v>
      </c>
    </row>
    <row r="805" spans="1:70" x14ac:dyDescent="0.25">
      <c r="A805" s="200">
        <f>Prog_23[[#This Row],[CONTEINER]]</f>
        <v>0</v>
      </c>
      <c r="B805" s="86"/>
      <c r="C8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05" s="44"/>
      <c r="E805" s="66"/>
      <c r="F805" s="66"/>
      <c r="G805" s="66"/>
      <c r="H805" s="44"/>
      <c r="I805" s="44"/>
      <c r="J805" s="66"/>
      <c r="K805" s="66"/>
      <c r="L805" s="66"/>
      <c r="M805" s="66"/>
      <c r="N805" s="66">
        <f>SUM(Prog_23[[#This Row],[TARA]]+Prog_23[[#This Row],[PESO]])</f>
        <v>0</v>
      </c>
      <c r="O805" s="44"/>
      <c r="P805" s="66"/>
      <c r="Q805" s="66"/>
      <c r="R805" s="66"/>
      <c r="S805" s="66"/>
      <c r="T805" s="138" t="str">
        <f>IFERROR(LOOKUP($S805,MOTORISTAS!$D$3:$D$916,MOTORISTAS!E$3:$E$916),"")</f>
        <v/>
      </c>
      <c r="U805" s="138" t="str">
        <f>IFERROR(LOOKUP($S805,MOTORISTAS!$D$3:$D$916,MOTORISTAS!F$3:$F$916),"")</f>
        <v/>
      </c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44"/>
      <c r="AG805" s="254">
        <f>Prog_23[[#This Row],[SAÍDA DO CLIENTE]]-Prog_23[[#This Row],[PROGRAMAÇÃO CLIENTE]]</f>
        <v>0</v>
      </c>
      <c r="AH805" s="44"/>
      <c r="AI805" s="66"/>
      <c r="AJ805" s="66"/>
      <c r="AK805" s="66"/>
      <c r="AL805" s="66"/>
      <c r="AM805" s="66"/>
      <c r="AN805" s="83"/>
      <c r="AO805" s="83"/>
      <c r="AP805" s="83"/>
      <c r="AQ805" s="66"/>
      <c r="AR805" s="66"/>
      <c r="AS805" s="66"/>
      <c r="AT805" s="81"/>
      <c r="AU805" s="81"/>
      <c r="AV805" s="81"/>
      <c r="AW805" s="81"/>
      <c r="AX805" s="83">
        <f>SUM(Prog_23[[#This Row],[ADIANTAMENTO]]+Prog_23[[#This Row],[SALDO]]+Prog_23[[#This Row],[MARGEM]]+Prog_23[[#This Row],[ESTADIA 1]])</f>
        <v>0</v>
      </c>
      <c r="AY8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05" s="81"/>
      <c r="BA805" s="81"/>
      <c r="BB805" s="81">
        <f>Prog_23[[#This Row],[VLR NF]]*0.1%</f>
        <v>0</v>
      </c>
      <c r="BC805" s="81">
        <f>Prog_23[[#This Row],[VLR NF]]*0.05%</f>
        <v>0</v>
      </c>
      <c r="BD805" s="81"/>
      <c r="BE805" s="81"/>
      <c r="BF805" s="81"/>
      <c r="BG805" s="81"/>
      <c r="BH805" s="81"/>
      <c r="BI805" s="81"/>
      <c r="BJ805" s="81"/>
      <c r="BK805" s="81"/>
      <c r="BL805" s="81"/>
      <c r="BM805" s="81"/>
      <c r="BN805" s="66"/>
      <c r="BO805" s="66"/>
      <c r="BP805" s="66"/>
      <c r="BQ805" s="66" t="str">
        <f>PROPER(TEXT(Prog_23[[#This Row],[PROGRAMAÇÃO CLIENTE]],"mmm"))</f>
        <v>Jan</v>
      </c>
      <c r="BR805" s="66">
        <f>YEAR(Prog_23[[#This Row],[PROGRAMAÇÃO CLIENTE]])</f>
        <v>1900</v>
      </c>
    </row>
    <row r="806" spans="1:70" x14ac:dyDescent="0.25">
      <c r="A806" s="201">
        <f>Prog_23[[#This Row],[CONTEINER]]</f>
        <v>0</v>
      </c>
      <c r="B806" s="86"/>
      <c r="C8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06" s="44"/>
      <c r="E806" s="66"/>
      <c r="F806" s="66"/>
      <c r="G806" s="66"/>
      <c r="H806" s="44"/>
      <c r="I806" s="44"/>
      <c r="J806" s="66"/>
      <c r="K806" s="66"/>
      <c r="L806" s="66"/>
      <c r="M806" s="66"/>
      <c r="N806" s="66">
        <f>SUM(Prog_23[[#This Row],[TARA]]+Prog_23[[#This Row],[PESO]])</f>
        <v>0</v>
      </c>
      <c r="O806" s="44"/>
      <c r="P806" s="66"/>
      <c r="Q806" s="66"/>
      <c r="R806" s="66"/>
      <c r="S806" s="66"/>
      <c r="T806" s="138" t="str">
        <f>IFERROR(LOOKUP($S806,MOTORISTAS!$D$3:$D$916,MOTORISTAS!E$3:$E$916),"")</f>
        <v/>
      </c>
      <c r="U806" s="138" t="str">
        <f>IFERROR(LOOKUP($S806,MOTORISTAS!$D$3:$D$916,MOTORISTAS!F$3:$F$916),"")</f>
        <v/>
      </c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44"/>
      <c r="AG806" s="254">
        <f>Prog_23[[#This Row],[SAÍDA DO CLIENTE]]-Prog_23[[#This Row],[PROGRAMAÇÃO CLIENTE]]</f>
        <v>0</v>
      </c>
      <c r="AH806" s="44"/>
      <c r="AI806" s="66"/>
      <c r="AJ806" s="66"/>
      <c r="AK806" s="66"/>
      <c r="AL806" s="66"/>
      <c r="AM806" s="66"/>
      <c r="AN806" s="83"/>
      <c r="AO806" s="83"/>
      <c r="AP806" s="83"/>
      <c r="AQ806" s="66"/>
      <c r="AR806" s="66"/>
      <c r="AS806" s="66"/>
      <c r="AT806" s="81"/>
      <c r="AU806" s="81"/>
      <c r="AV806" s="81"/>
      <c r="AW806" s="81"/>
      <c r="AX806" s="83">
        <f>SUM(Prog_23[[#This Row],[ADIANTAMENTO]]+Prog_23[[#This Row],[SALDO]]+Prog_23[[#This Row],[MARGEM]]+Prog_23[[#This Row],[ESTADIA 1]])</f>
        <v>0</v>
      </c>
      <c r="AY8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06" s="81"/>
      <c r="BA806" s="81"/>
      <c r="BB806" s="81">
        <f>Prog_23[[#This Row],[VLR NF]]*0.1%</f>
        <v>0</v>
      </c>
      <c r="BC806" s="81">
        <f>Prog_23[[#This Row],[VLR NF]]*0.05%</f>
        <v>0</v>
      </c>
      <c r="BD806" s="81"/>
      <c r="BE806" s="81"/>
      <c r="BF806" s="81"/>
      <c r="BG806" s="81"/>
      <c r="BH806" s="81"/>
      <c r="BI806" s="81"/>
      <c r="BJ806" s="81"/>
      <c r="BK806" s="81"/>
      <c r="BL806" s="81"/>
      <c r="BM806" s="81"/>
      <c r="BN806" s="66"/>
      <c r="BO806" s="66"/>
      <c r="BP806" s="66"/>
      <c r="BQ806" s="66" t="str">
        <f>PROPER(TEXT(Prog_23[[#This Row],[PROGRAMAÇÃO CLIENTE]],"mmm"))</f>
        <v>Jan</v>
      </c>
      <c r="BR806" s="66">
        <f>YEAR(Prog_23[[#This Row],[PROGRAMAÇÃO CLIENTE]])</f>
        <v>1900</v>
      </c>
    </row>
    <row r="807" spans="1:70" x14ac:dyDescent="0.25">
      <c r="A807" s="200">
        <f>Prog_23[[#This Row],[CONTEINER]]</f>
        <v>0</v>
      </c>
      <c r="B807" s="86"/>
      <c r="C8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07" s="44"/>
      <c r="E807" s="66"/>
      <c r="F807" s="66"/>
      <c r="G807" s="66"/>
      <c r="H807" s="44"/>
      <c r="I807" s="44"/>
      <c r="J807" s="66"/>
      <c r="K807" s="66"/>
      <c r="L807" s="66"/>
      <c r="M807" s="66"/>
      <c r="N807" s="66">
        <f>SUM(Prog_23[[#This Row],[TARA]]+Prog_23[[#This Row],[PESO]])</f>
        <v>0</v>
      </c>
      <c r="O807" s="44"/>
      <c r="P807" s="66"/>
      <c r="Q807" s="66"/>
      <c r="R807" s="66"/>
      <c r="S807" s="66"/>
      <c r="T807" s="138" t="str">
        <f>IFERROR(LOOKUP($S807,MOTORISTAS!$D$3:$D$916,MOTORISTAS!E$3:$E$916),"")</f>
        <v/>
      </c>
      <c r="U807" s="138" t="str">
        <f>IFERROR(LOOKUP($S807,MOTORISTAS!$D$3:$D$916,MOTORISTAS!F$3:$F$916),"")</f>
        <v/>
      </c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44"/>
      <c r="AG807" s="254">
        <f>Prog_23[[#This Row],[SAÍDA DO CLIENTE]]-Prog_23[[#This Row],[PROGRAMAÇÃO CLIENTE]]</f>
        <v>0</v>
      </c>
      <c r="AH807" s="44"/>
      <c r="AI807" s="66"/>
      <c r="AJ807" s="66"/>
      <c r="AK807" s="66"/>
      <c r="AL807" s="66"/>
      <c r="AM807" s="66"/>
      <c r="AN807" s="83"/>
      <c r="AO807" s="83"/>
      <c r="AP807" s="83"/>
      <c r="AQ807" s="66"/>
      <c r="AR807" s="66"/>
      <c r="AS807" s="66"/>
      <c r="AT807" s="81"/>
      <c r="AU807" s="81"/>
      <c r="AV807" s="81"/>
      <c r="AW807" s="81"/>
      <c r="AX807" s="83">
        <f>SUM(Prog_23[[#This Row],[ADIANTAMENTO]]+Prog_23[[#This Row],[SALDO]]+Prog_23[[#This Row],[MARGEM]]+Prog_23[[#This Row],[ESTADIA 1]])</f>
        <v>0</v>
      </c>
      <c r="AY8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07" s="81"/>
      <c r="BA807" s="81"/>
      <c r="BB807" s="81">
        <f>Prog_23[[#This Row],[VLR NF]]*0.1%</f>
        <v>0</v>
      </c>
      <c r="BC807" s="81">
        <f>Prog_23[[#This Row],[VLR NF]]*0.05%</f>
        <v>0</v>
      </c>
      <c r="BD807" s="81"/>
      <c r="BE807" s="81"/>
      <c r="BF807" s="81"/>
      <c r="BG807" s="81"/>
      <c r="BH807" s="81"/>
      <c r="BI807" s="81"/>
      <c r="BJ807" s="81"/>
      <c r="BK807" s="81"/>
      <c r="BL807" s="81"/>
      <c r="BM807" s="81"/>
      <c r="BN807" s="66"/>
      <c r="BO807" s="66"/>
      <c r="BP807" s="66"/>
      <c r="BQ807" s="66" t="str">
        <f>PROPER(TEXT(Prog_23[[#This Row],[PROGRAMAÇÃO CLIENTE]],"mmm"))</f>
        <v>Jan</v>
      </c>
      <c r="BR807" s="66">
        <f>YEAR(Prog_23[[#This Row],[PROGRAMAÇÃO CLIENTE]])</f>
        <v>1900</v>
      </c>
    </row>
    <row r="808" spans="1:70" x14ac:dyDescent="0.25">
      <c r="A808" s="201">
        <f>Prog_23[[#This Row],[CONTEINER]]</f>
        <v>0</v>
      </c>
      <c r="B808" s="86"/>
      <c r="C8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08" s="44"/>
      <c r="E808" s="66"/>
      <c r="F808" s="66"/>
      <c r="G808" s="66"/>
      <c r="H808" s="44"/>
      <c r="I808" s="44"/>
      <c r="J808" s="66"/>
      <c r="K808" s="66"/>
      <c r="L808" s="66"/>
      <c r="M808" s="66"/>
      <c r="N808" s="66">
        <f>SUM(Prog_23[[#This Row],[TARA]]+Prog_23[[#This Row],[PESO]])</f>
        <v>0</v>
      </c>
      <c r="O808" s="44"/>
      <c r="P808" s="66"/>
      <c r="Q808" s="66"/>
      <c r="R808" s="66"/>
      <c r="S808" s="66"/>
      <c r="T808" s="138" t="str">
        <f>IFERROR(LOOKUP($S808,MOTORISTAS!$D$3:$D$916,MOTORISTAS!E$3:$E$916),"")</f>
        <v/>
      </c>
      <c r="U808" s="138" t="str">
        <f>IFERROR(LOOKUP($S808,MOTORISTAS!$D$3:$D$916,MOTORISTAS!F$3:$F$916),"")</f>
        <v/>
      </c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44"/>
      <c r="AG808" s="254">
        <f>Prog_23[[#This Row],[SAÍDA DO CLIENTE]]-Prog_23[[#This Row],[PROGRAMAÇÃO CLIENTE]]</f>
        <v>0</v>
      </c>
      <c r="AH808" s="44"/>
      <c r="AI808" s="66"/>
      <c r="AJ808" s="66"/>
      <c r="AK808" s="66"/>
      <c r="AL808" s="66"/>
      <c r="AM808" s="66"/>
      <c r="AN808" s="83"/>
      <c r="AO808" s="83"/>
      <c r="AP808" s="83"/>
      <c r="AQ808" s="66"/>
      <c r="AR808" s="66"/>
      <c r="AS808" s="66"/>
      <c r="AT808" s="81"/>
      <c r="AU808" s="81"/>
      <c r="AV808" s="81"/>
      <c r="AW808" s="81"/>
      <c r="AX808" s="83">
        <f>SUM(Prog_23[[#This Row],[ADIANTAMENTO]]+Prog_23[[#This Row],[SALDO]]+Prog_23[[#This Row],[MARGEM]]+Prog_23[[#This Row],[ESTADIA 1]])</f>
        <v>0</v>
      </c>
      <c r="AY8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08" s="81"/>
      <c r="BA808" s="81"/>
      <c r="BB808" s="81">
        <f>Prog_23[[#This Row],[VLR NF]]*0.1%</f>
        <v>0</v>
      </c>
      <c r="BC808" s="81">
        <f>Prog_23[[#This Row],[VLR NF]]*0.05%</f>
        <v>0</v>
      </c>
      <c r="BD808" s="81"/>
      <c r="BE808" s="81"/>
      <c r="BF808" s="81"/>
      <c r="BG808" s="81"/>
      <c r="BH808" s="81"/>
      <c r="BI808" s="81"/>
      <c r="BJ808" s="81"/>
      <c r="BK808" s="81"/>
      <c r="BL808" s="81"/>
      <c r="BM808" s="81"/>
      <c r="BN808" s="66"/>
      <c r="BO808" s="66"/>
      <c r="BP808" s="66"/>
      <c r="BQ808" s="66" t="str">
        <f>PROPER(TEXT(Prog_23[[#This Row],[PROGRAMAÇÃO CLIENTE]],"mmm"))</f>
        <v>Jan</v>
      </c>
      <c r="BR808" s="66">
        <f>YEAR(Prog_23[[#This Row],[PROGRAMAÇÃO CLIENTE]])</f>
        <v>1900</v>
      </c>
    </row>
    <row r="809" spans="1:70" x14ac:dyDescent="0.25">
      <c r="A809" s="200">
        <f>Prog_23[[#This Row],[CONTEINER]]</f>
        <v>0</v>
      </c>
      <c r="B809" s="86"/>
      <c r="C8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09" s="44"/>
      <c r="E809" s="66"/>
      <c r="F809" s="66"/>
      <c r="G809" s="66"/>
      <c r="H809" s="44"/>
      <c r="I809" s="44"/>
      <c r="J809" s="66"/>
      <c r="K809" s="66"/>
      <c r="L809" s="66"/>
      <c r="M809" s="66"/>
      <c r="N809" s="66">
        <f>SUM(Prog_23[[#This Row],[TARA]]+Prog_23[[#This Row],[PESO]])</f>
        <v>0</v>
      </c>
      <c r="O809" s="44"/>
      <c r="P809" s="66"/>
      <c r="Q809" s="66"/>
      <c r="R809" s="66"/>
      <c r="S809" s="66"/>
      <c r="T809" s="138" t="str">
        <f>IFERROR(LOOKUP($S809,MOTORISTAS!$D$3:$D$916,MOTORISTAS!E$3:$E$916),"")</f>
        <v/>
      </c>
      <c r="U809" s="138" t="str">
        <f>IFERROR(LOOKUP($S809,MOTORISTAS!$D$3:$D$916,MOTORISTAS!F$3:$F$916),"")</f>
        <v/>
      </c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44"/>
      <c r="AG809" s="254">
        <f>Prog_23[[#This Row],[SAÍDA DO CLIENTE]]-Prog_23[[#This Row],[PROGRAMAÇÃO CLIENTE]]</f>
        <v>0</v>
      </c>
      <c r="AH809" s="44"/>
      <c r="AI809" s="66"/>
      <c r="AJ809" s="66"/>
      <c r="AK809" s="66"/>
      <c r="AL809" s="66"/>
      <c r="AM809" s="66"/>
      <c r="AN809" s="83"/>
      <c r="AO809" s="83"/>
      <c r="AP809" s="83"/>
      <c r="AQ809" s="66"/>
      <c r="AR809" s="66"/>
      <c r="AS809" s="66"/>
      <c r="AT809" s="81"/>
      <c r="AU809" s="81"/>
      <c r="AV809" s="81"/>
      <c r="AW809" s="81"/>
      <c r="AX809" s="83">
        <f>SUM(Prog_23[[#This Row],[ADIANTAMENTO]]+Prog_23[[#This Row],[SALDO]]+Prog_23[[#This Row],[MARGEM]]+Prog_23[[#This Row],[ESTADIA 1]])</f>
        <v>0</v>
      </c>
      <c r="AY8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09" s="81"/>
      <c r="BA809" s="81"/>
      <c r="BB809" s="81">
        <f>Prog_23[[#This Row],[VLR NF]]*0.1%</f>
        <v>0</v>
      </c>
      <c r="BC809" s="81">
        <f>Prog_23[[#This Row],[VLR NF]]*0.05%</f>
        <v>0</v>
      </c>
      <c r="BD809" s="81"/>
      <c r="BE809" s="81"/>
      <c r="BF809" s="81"/>
      <c r="BG809" s="81"/>
      <c r="BH809" s="81"/>
      <c r="BI809" s="81"/>
      <c r="BJ809" s="81"/>
      <c r="BK809" s="81"/>
      <c r="BL809" s="81"/>
      <c r="BM809" s="81"/>
      <c r="BN809" s="66"/>
      <c r="BO809" s="66"/>
      <c r="BP809" s="66"/>
      <c r="BQ809" s="66" t="str">
        <f>PROPER(TEXT(Prog_23[[#This Row],[PROGRAMAÇÃO CLIENTE]],"mmm"))</f>
        <v>Jan</v>
      </c>
      <c r="BR809" s="66">
        <f>YEAR(Prog_23[[#This Row],[PROGRAMAÇÃO CLIENTE]])</f>
        <v>1900</v>
      </c>
    </row>
    <row r="810" spans="1:70" x14ac:dyDescent="0.25">
      <c r="A810" s="201">
        <f>Prog_23[[#This Row],[CONTEINER]]</f>
        <v>0</v>
      </c>
      <c r="B810" s="86"/>
      <c r="C8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10" s="44"/>
      <c r="E810" s="66"/>
      <c r="F810" s="66"/>
      <c r="G810" s="66"/>
      <c r="H810" s="44"/>
      <c r="I810" s="44"/>
      <c r="J810" s="66"/>
      <c r="K810" s="66"/>
      <c r="L810" s="66"/>
      <c r="M810" s="66"/>
      <c r="N810" s="66">
        <f>SUM(Prog_23[[#This Row],[TARA]]+Prog_23[[#This Row],[PESO]])</f>
        <v>0</v>
      </c>
      <c r="O810" s="44"/>
      <c r="P810" s="66"/>
      <c r="Q810" s="66"/>
      <c r="R810" s="66"/>
      <c r="S810" s="66"/>
      <c r="T810" s="138" t="str">
        <f>IFERROR(LOOKUP($S810,MOTORISTAS!$D$3:$D$916,MOTORISTAS!E$3:$E$916),"")</f>
        <v/>
      </c>
      <c r="U810" s="138" t="str">
        <f>IFERROR(LOOKUP($S810,MOTORISTAS!$D$3:$D$916,MOTORISTAS!F$3:$F$916),"")</f>
        <v/>
      </c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44"/>
      <c r="AG810" s="254">
        <f>Prog_23[[#This Row],[SAÍDA DO CLIENTE]]-Prog_23[[#This Row],[PROGRAMAÇÃO CLIENTE]]</f>
        <v>0</v>
      </c>
      <c r="AH810" s="44"/>
      <c r="AI810" s="66"/>
      <c r="AJ810" s="66"/>
      <c r="AK810" s="66"/>
      <c r="AL810" s="66"/>
      <c r="AM810" s="66"/>
      <c r="AN810" s="83"/>
      <c r="AO810" s="83"/>
      <c r="AP810" s="83"/>
      <c r="AQ810" s="66"/>
      <c r="AR810" s="66"/>
      <c r="AS810" s="66"/>
      <c r="AT810" s="81"/>
      <c r="AU810" s="81"/>
      <c r="AV810" s="81"/>
      <c r="AW810" s="81"/>
      <c r="AX810" s="83">
        <f>SUM(Prog_23[[#This Row],[ADIANTAMENTO]]+Prog_23[[#This Row],[SALDO]]+Prog_23[[#This Row],[MARGEM]]+Prog_23[[#This Row],[ESTADIA 1]])</f>
        <v>0</v>
      </c>
      <c r="AY8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10" s="81"/>
      <c r="BA810" s="81"/>
      <c r="BB810" s="81">
        <f>Prog_23[[#This Row],[VLR NF]]*0.1%</f>
        <v>0</v>
      </c>
      <c r="BC810" s="81">
        <f>Prog_23[[#This Row],[VLR NF]]*0.05%</f>
        <v>0</v>
      </c>
      <c r="BD810" s="81"/>
      <c r="BE810" s="81"/>
      <c r="BF810" s="81"/>
      <c r="BG810" s="81"/>
      <c r="BH810" s="81"/>
      <c r="BI810" s="81"/>
      <c r="BJ810" s="81"/>
      <c r="BK810" s="81"/>
      <c r="BL810" s="81"/>
      <c r="BM810" s="81"/>
      <c r="BN810" s="66"/>
      <c r="BO810" s="66"/>
      <c r="BP810" s="66"/>
      <c r="BQ810" s="66" t="str">
        <f>PROPER(TEXT(Prog_23[[#This Row],[PROGRAMAÇÃO CLIENTE]],"mmm"))</f>
        <v>Jan</v>
      </c>
      <c r="BR810" s="66">
        <f>YEAR(Prog_23[[#This Row],[PROGRAMAÇÃO CLIENTE]])</f>
        <v>1900</v>
      </c>
    </row>
    <row r="811" spans="1:70" x14ac:dyDescent="0.25">
      <c r="A811" s="200">
        <f>Prog_23[[#This Row],[CONTEINER]]</f>
        <v>0</v>
      </c>
      <c r="B811" s="86"/>
      <c r="C8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11" s="44"/>
      <c r="E811" s="66"/>
      <c r="F811" s="66"/>
      <c r="G811" s="66"/>
      <c r="H811" s="44"/>
      <c r="I811" s="44"/>
      <c r="J811" s="66"/>
      <c r="K811" s="66"/>
      <c r="L811" s="66"/>
      <c r="M811" s="66"/>
      <c r="N811" s="66">
        <f>SUM(Prog_23[[#This Row],[TARA]]+Prog_23[[#This Row],[PESO]])</f>
        <v>0</v>
      </c>
      <c r="O811" s="44"/>
      <c r="P811" s="66"/>
      <c r="Q811" s="66"/>
      <c r="R811" s="66"/>
      <c r="S811" s="66"/>
      <c r="T811" s="138" t="str">
        <f>IFERROR(LOOKUP($S811,MOTORISTAS!$D$3:$D$916,MOTORISTAS!E$3:$E$916),"")</f>
        <v/>
      </c>
      <c r="U811" s="138" t="str">
        <f>IFERROR(LOOKUP($S811,MOTORISTAS!$D$3:$D$916,MOTORISTAS!F$3:$F$916),"")</f>
        <v/>
      </c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44"/>
      <c r="AG811" s="254">
        <f>Prog_23[[#This Row],[SAÍDA DO CLIENTE]]-Prog_23[[#This Row],[PROGRAMAÇÃO CLIENTE]]</f>
        <v>0</v>
      </c>
      <c r="AH811" s="44"/>
      <c r="AI811" s="66"/>
      <c r="AJ811" s="66"/>
      <c r="AK811" s="66"/>
      <c r="AL811" s="66"/>
      <c r="AM811" s="66"/>
      <c r="AN811" s="83"/>
      <c r="AO811" s="83"/>
      <c r="AP811" s="83"/>
      <c r="AQ811" s="66"/>
      <c r="AR811" s="66"/>
      <c r="AS811" s="66"/>
      <c r="AT811" s="81"/>
      <c r="AU811" s="81"/>
      <c r="AV811" s="81"/>
      <c r="AW811" s="81"/>
      <c r="AX811" s="83">
        <f>SUM(Prog_23[[#This Row],[ADIANTAMENTO]]+Prog_23[[#This Row],[SALDO]]+Prog_23[[#This Row],[MARGEM]]+Prog_23[[#This Row],[ESTADIA 1]])</f>
        <v>0</v>
      </c>
      <c r="AY8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11" s="81"/>
      <c r="BA811" s="81"/>
      <c r="BB811" s="81">
        <f>Prog_23[[#This Row],[VLR NF]]*0.1%</f>
        <v>0</v>
      </c>
      <c r="BC811" s="81">
        <f>Prog_23[[#This Row],[VLR NF]]*0.05%</f>
        <v>0</v>
      </c>
      <c r="BD811" s="81"/>
      <c r="BE811" s="81"/>
      <c r="BF811" s="81"/>
      <c r="BG811" s="81"/>
      <c r="BH811" s="81"/>
      <c r="BI811" s="81"/>
      <c r="BJ811" s="81"/>
      <c r="BK811" s="81"/>
      <c r="BL811" s="81"/>
      <c r="BM811" s="81"/>
      <c r="BN811" s="66"/>
      <c r="BO811" s="66"/>
      <c r="BP811" s="66"/>
      <c r="BQ811" s="66" t="str">
        <f>PROPER(TEXT(Prog_23[[#This Row],[PROGRAMAÇÃO CLIENTE]],"mmm"))</f>
        <v>Jan</v>
      </c>
      <c r="BR811" s="66">
        <f>YEAR(Prog_23[[#This Row],[PROGRAMAÇÃO CLIENTE]])</f>
        <v>1900</v>
      </c>
    </row>
    <row r="812" spans="1:70" x14ac:dyDescent="0.25">
      <c r="A812" s="201">
        <f>Prog_23[[#This Row],[CONTEINER]]</f>
        <v>0</v>
      </c>
      <c r="B812" s="86"/>
      <c r="C8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12" s="44"/>
      <c r="E812" s="66"/>
      <c r="F812" s="66"/>
      <c r="G812" s="66"/>
      <c r="H812" s="44"/>
      <c r="I812" s="44"/>
      <c r="J812" s="66"/>
      <c r="K812" s="66"/>
      <c r="L812" s="66"/>
      <c r="M812" s="66"/>
      <c r="N812" s="66">
        <f>SUM(Prog_23[[#This Row],[TARA]]+Prog_23[[#This Row],[PESO]])</f>
        <v>0</v>
      </c>
      <c r="O812" s="44"/>
      <c r="P812" s="66"/>
      <c r="Q812" s="66"/>
      <c r="R812" s="66"/>
      <c r="S812" s="66"/>
      <c r="T812" s="138" t="str">
        <f>IFERROR(LOOKUP($S812,MOTORISTAS!$D$3:$D$916,MOTORISTAS!E$3:$E$916),"")</f>
        <v/>
      </c>
      <c r="U812" s="138" t="str">
        <f>IFERROR(LOOKUP($S812,MOTORISTAS!$D$3:$D$916,MOTORISTAS!F$3:$F$916),"")</f>
        <v/>
      </c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44"/>
      <c r="AG812" s="254">
        <f>Prog_23[[#This Row],[SAÍDA DO CLIENTE]]-Prog_23[[#This Row],[PROGRAMAÇÃO CLIENTE]]</f>
        <v>0</v>
      </c>
      <c r="AH812" s="44"/>
      <c r="AI812" s="66"/>
      <c r="AJ812" s="66"/>
      <c r="AK812" s="66"/>
      <c r="AL812" s="66"/>
      <c r="AM812" s="66"/>
      <c r="AN812" s="83"/>
      <c r="AO812" s="83"/>
      <c r="AP812" s="83"/>
      <c r="AQ812" s="66"/>
      <c r="AR812" s="66"/>
      <c r="AS812" s="66"/>
      <c r="AT812" s="81"/>
      <c r="AU812" s="81"/>
      <c r="AV812" s="81"/>
      <c r="AW812" s="81"/>
      <c r="AX812" s="83">
        <f>SUM(Prog_23[[#This Row],[ADIANTAMENTO]]+Prog_23[[#This Row],[SALDO]]+Prog_23[[#This Row],[MARGEM]]+Prog_23[[#This Row],[ESTADIA 1]])</f>
        <v>0</v>
      </c>
      <c r="AY8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12" s="81"/>
      <c r="BA812" s="81"/>
      <c r="BB812" s="81">
        <f>Prog_23[[#This Row],[VLR NF]]*0.1%</f>
        <v>0</v>
      </c>
      <c r="BC812" s="81">
        <f>Prog_23[[#This Row],[VLR NF]]*0.05%</f>
        <v>0</v>
      </c>
      <c r="BD812" s="81"/>
      <c r="BE812" s="81"/>
      <c r="BF812" s="81"/>
      <c r="BG812" s="81"/>
      <c r="BH812" s="81"/>
      <c r="BI812" s="81"/>
      <c r="BJ812" s="81"/>
      <c r="BK812" s="81"/>
      <c r="BL812" s="81"/>
      <c r="BM812" s="81"/>
      <c r="BN812" s="66"/>
      <c r="BO812" s="66"/>
      <c r="BP812" s="66"/>
      <c r="BQ812" s="66" t="str">
        <f>PROPER(TEXT(Prog_23[[#This Row],[PROGRAMAÇÃO CLIENTE]],"mmm"))</f>
        <v>Jan</v>
      </c>
      <c r="BR812" s="66">
        <f>YEAR(Prog_23[[#This Row],[PROGRAMAÇÃO CLIENTE]])</f>
        <v>1900</v>
      </c>
    </row>
    <row r="813" spans="1:70" x14ac:dyDescent="0.25">
      <c r="A813" s="200">
        <f>Prog_23[[#This Row],[CONTEINER]]</f>
        <v>0</v>
      </c>
      <c r="B813" s="86"/>
      <c r="C8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13" s="44"/>
      <c r="E813" s="66"/>
      <c r="F813" s="66"/>
      <c r="G813" s="66"/>
      <c r="H813" s="44"/>
      <c r="I813" s="44"/>
      <c r="J813" s="66"/>
      <c r="K813" s="66"/>
      <c r="L813" s="66"/>
      <c r="M813" s="66"/>
      <c r="N813" s="66">
        <f>SUM(Prog_23[[#This Row],[TARA]]+Prog_23[[#This Row],[PESO]])</f>
        <v>0</v>
      </c>
      <c r="O813" s="44"/>
      <c r="P813" s="66"/>
      <c r="Q813" s="66"/>
      <c r="R813" s="66"/>
      <c r="S813" s="66"/>
      <c r="T813" s="138" t="str">
        <f>IFERROR(LOOKUP($S813,MOTORISTAS!$D$3:$D$916,MOTORISTAS!E$3:$E$916),"")</f>
        <v/>
      </c>
      <c r="U813" s="138" t="str">
        <f>IFERROR(LOOKUP($S813,MOTORISTAS!$D$3:$D$916,MOTORISTAS!F$3:$F$916),"")</f>
        <v/>
      </c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44"/>
      <c r="AG813" s="254">
        <f>Prog_23[[#This Row],[SAÍDA DO CLIENTE]]-Prog_23[[#This Row],[PROGRAMAÇÃO CLIENTE]]</f>
        <v>0</v>
      </c>
      <c r="AH813" s="44"/>
      <c r="AI813" s="66"/>
      <c r="AJ813" s="66"/>
      <c r="AK813" s="66"/>
      <c r="AL813" s="66"/>
      <c r="AM813" s="66"/>
      <c r="AN813" s="83"/>
      <c r="AO813" s="83"/>
      <c r="AP813" s="83"/>
      <c r="AQ813" s="66"/>
      <c r="AR813" s="66"/>
      <c r="AS813" s="66"/>
      <c r="AT813" s="81"/>
      <c r="AU813" s="81"/>
      <c r="AV813" s="81"/>
      <c r="AW813" s="81"/>
      <c r="AX813" s="83">
        <f>SUM(Prog_23[[#This Row],[ADIANTAMENTO]]+Prog_23[[#This Row],[SALDO]]+Prog_23[[#This Row],[MARGEM]]+Prog_23[[#This Row],[ESTADIA 1]])</f>
        <v>0</v>
      </c>
      <c r="AY8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13" s="81"/>
      <c r="BA813" s="81"/>
      <c r="BB813" s="81">
        <f>Prog_23[[#This Row],[VLR NF]]*0.1%</f>
        <v>0</v>
      </c>
      <c r="BC813" s="81">
        <f>Prog_23[[#This Row],[VLR NF]]*0.05%</f>
        <v>0</v>
      </c>
      <c r="BD813" s="81"/>
      <c r="BE813" s="81"/>
      <c r="BF813" s="81"/>
      <c r="BG813" s="81"/>
      <c r="BH813" s="81"/>
      <c r="BI813" s="81"/>
      <c r="BJ813" s="81"/>
      <c r="BK813" s="81"/>
      <c r="BL813" s="81"/>
      <c r="BM813" s="81"/>
      <c r="BN813" s="66"/>
      <c r="BO813" s="66"/>
      <c r="BP813" s="66"/>
      <c r="BQ813" s="66" t="str">
        <f>PROPER(TEXT(Prog_23[[#This Row],[PROGRAMAÇÃO CLIENTE]],"mmm"))</f>
        <v>Jan</v>
      </c>
      <c r="BR813" s="66">
        <f>YEAR(Prog_23[[#This Row],[PROGRAMAÇÃO CLIENTE]])</f>
        <v>1900</v>
      </c>
    </row>
    <row r="814" spans="1:70" x14ac:dyDescent="0.25">
      <c r="A814" s="201">
        <f>Prog_23[[#This Row],[CONTEINER]]</f>
        <v>0</v>
      </c>
      <c r="B814" s="86"/>
      <c r="C8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14" s="44"/>
      <c r="E814" s="66"/>
      <c r="F814" s="66"/>
      <c r="G814" s="66"/>
      <c r="H814" s="44"/>
      <c r="I814" s="44"/>
      <c r="J814" s="66"/>
      <c r="K814" s="66"/>
      <c r="L814" s="66"/>
      <c r="M814" s="66"/>
      <c r="N814" s="66">
        <f>SUM(Prog_23[[#This Row],[TARA]]+Prog_23[[#This Row],[PESO]])</f>
        <v>0</v>
      </c>
      <c r="O814" s="44"/>
      <c r="P814" s="66"/>
      <c r="Q814" s="66"/>
      <c r="R814" s="66"/>
      <c r="S814" s="66"/>
      <c r="T814" s="138" t="str">
        <f>IFERROR(LOOKUP($S814,MOTORISTAS!$D$3:$D$916,MOTORISTAS!E$3:$E$916),"")</f>
        <v/>
      </c>
      <c r="U814" s="138" t="str">
        <f>IFERROR(LOOKUP($S814,MOTORISTAS!$D$3:$D$916,MOTORISTAS!F$3:$F$916),"")</f>
        <v/>
      </c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44"/>
      <c r="AG814" s="254">
        <f>Prog_23[[#This Row],[SAÍDA DO CLIENTE]]-Prog_23[[#This Row],[PROGRAMAÇÃO CLIENTE]]</f>
        <v>0</v>
      </c>
      <c r="AH814" s="44"/>
      <c r="AI814" s="66"/>
      <c r="AJ814" s="66"/>
      <c r="AK814" s="66"/>
      <c r="AL814" s="66"/>
      <c r="AM814" s="66"/>
      <c r="AN814" s="83"/>
      <c r="AO814" s="83"/>
      <c r="AP814" s="83"/>
      <c r="AQ814" s="66"/>
      <c r="AR814" s="66"/>
      <c r="AS814" s="66"/>
      <c r="AT814" s="81"/>
      <c r="AU814" s="81"/>
      <c r="AV814" s="81"/>
      <c r="AW814" s="81"/>
      <c r="AX814" s="83">
        <f>SUM(Prog_23[[#This Row],[ADIANTAMENTO]]+Prog_23[[#This Row],[SALDO]]+Prog_23[[#This Row],[MARGEM]]+Prog_23[[#This Row],[ESTADIA 1]])</f>
        <v>0</v>
      </c>
      <c r="AY8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14" s="81"/>
      <c r="BA814" s="81"/>
      <c r="BB814" s="81">
        <f>Prog_23[[#This Row],[VLR NF]]*0.1%</f>
        <v>0</v>
      </c>
      <c r="BC814" s="81">
        <f>Prog_23[[#This Row],[VLR NF]]*0.05%</f>
        <v>0</v>
      </c>
      <c r="BD814" s="81"/>
      <c r="BE814" s="81"/>
      <c r="BF814" s="81"/>
      <c r="BG814" s="81"/>
      <c r="BH814" s="81"/>
      <c r="BI814" s="81"/>
      <c r="BJ814" s="81"/>
      <c r="BK814" s="81"/>
      <c r="BL814" s="81"/>
      <c r="BM814" s="81"/>
      <c r="BN814" s="66"/>
      <c r="BO814" s="66"/>
      <c r="BP814" s="66"/>
      <c r="BQ814" s="66" t="str">
        <f>PROPER(TEXT(Prog_23[[#This Row],[PROGRAMAÇÃO CLIENTE]],"mmm"))</f>
        <v>Jan</v>
      </c>
      <c r="BR814" s="66">
        <f>YEAR(Prog_23[[#This Row],[PROGRAMAÇÃO CLIENTE]])</f>
        <v>1900</v>
      </c>
    </row>
    <row r="815" spans="1:70" x14ac:dyDescent="0.25">
      <c r="A815" s="200">
        <f>Prog_23[[#This Row],[CONTEINER]]</f>
        <v>0</v>
      </c>
      <c r="B815" s="86"/>
      <c r="C8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15" s="44"/>
      <c r="E815" s="66"/>
      <c r="F815" s="66"/>
      <c r="G815" s="66"/>
      <c r="H815" s="44"/>
      <c r="I815" s="44"/>
      <c r="J815" s="66"/>
      <c r="K815" s="66"/>
      <c r="L815" s="66"/>
      <c r="M815" s="66"/>
      <c r="N815" s="66">
        <f>SUM(Prog_23[[#This Row],[TARA]]+Prog_23[[#This Row],[PESO]])</f>
        <v>0</v>
      </c>
      <c r="O815" s="44"/>
      <c r="P815" s="66"/>
      <c r="Q815" s="66"/>
      <c r="R815" s="66"/>
      <c r="S815" s="66"/>
      <c r="T815" s="138" t="str">
        <f>IFERROR(LOOKUP($S815,MOTORISTAS!$D$3:$D$916,MOTORISTAS!E$3:$E$916),"")</f>
        <v/>
      </c>
      <c r="U815" s="138" t="str">
        <f>IFERROR(LOOKUP($S815,MOTORISTAS!$D$3:$D$916,MOTORISTAS!F$3:$F$916),"")</f>
        <v/>
      </c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44"/>
      <c r="AG815" s="254">
        <f>Prog_23[[#This Row],[SAÍDA DO CLIENTE]]-Prog_23[[#This Row],[PROGRAMAÇÃO CLIENTE]]</f>
        <v>0</v>
      </c>
      <c r="AH815" s="44"/>
      <c r="AI815" s="66"/>
      <c r="AJ815" s="66"/>
      <c r="AK815" s="66"/>
      <c r="AL815" s="66"/>
      <c r="AM815" s="66"/>
      <c r="AN815" s="83"/>
      <c r="AO815" s="83"/>
      <c r="AP815" s="83"/>
      <c r="AQ815" s="66"/>
      <c r="AR815" s="66"/>
      <c r="AS815" s="66"/>
      <c r="AT815" s="81"/>
      <c r="AU815" s="81"/>
      <c r="AV815" s="81"/>
      <c r="AW815" s="81"/>
      <c r="AX815" s="83">
        <f>SUM(Prog_23[[#This Row],[ADIANTAMENTO]]+Prog_23[[#This Row],[SALDO]]+Prog_23[[#This Row],[MARGEM]]+Prog_23[[#This Row],[ESTADIA 1]])</f>
        <v>0</v>
      </c>
      <c r="AY8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15" s="81"/>
      <c r="BA815" s="81"/>
      <c r="BB815" s="81">
        <f>Prog_23[[#This Row],[VLR NF]]*0.1%</f>
        <v>0</v>
      </c>
      <c r="BC815" s="81">
        <f>Prog_23[[#This Row],[VLR NF]]*0.05%</f>
        <v>0</v>
      </c>
      <c r="BD815" s="81"/>
      <c r="BE815" s="81"/>
      <c r="BF815" s="81"/>
      <c r="BG815" s="81"/>
      <c r="BH815" s="81"/>
      <c r="BI815" s="81"/>
      <c r="BJ815" s="81"/>
      <c r="BK815" s="81"/>
      <c r="BL815" s="81"/>
      <c r="BM815" s="81"/>
      <c r="BN815" s="66"/>
      <c r="BO815" s="66"/>
      <c r="BP815" s="66"/>
      <c r="BQ815" s="66" t="str">
        <f>PROPER(TEXT(Prog_23[[#This Row],[PROGRAMAÇÃO CLIENTE]],"mmm"))</f>
        <v>Jan</v>
      </c>
      <c r="BR815" s="66">
        <f>YEAR(Prog_23[[#This Row],[PROGRAMAÇÃO CLIENTE]])</f>
        <v>1900</v>
      </c>
    </row>
    <row r="816" spans="1:70" x14ac:dyDescent="0.25">
      <c r="A816" s="201">
        <f>Prog_23[[#This Row],[CONTEINER]]</f>
        <v>0</v>
      </c>
      <c r="B816" s="86"/>
      <c r="C8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16" s="44"/>
      <c r="E816" s="66"/>
      <c r="F816" s="66"/>
      <c r="G816" s="66"/>
      <c r="H816" s="44"/>
      <c r="I816" s="44"/>
      <c r="J816" s="66"/>
      <c r="K816" s="66"/>
      <c r="L816" s="66"/>
      <c r="M816" s="66"/>
      <c r="N816" s="66">
        <f>SUM(Prog_23[[#This Row],[TARA]]+Prog_23[[#This Row],[PESO]])</f>
        <v>0</v>
      </c>
      <c r="O816" s="44"/>
      <c r="P816" s="66"/>
      <c r="Q816" s="66"/>
      <c r="R816" s="66"/>
      <c r="S816" s="66"/>
      <c r="T816" s="138" t="str">
        <f>IFERROR(LOOKUP($S816,MOTORISTAS!$D$3:$D$916,MOTORISTAS!E$3:$E$916),"")</f>
        <v/>
      </c>
      <c r="U816" s="138" t="str">
        <f>IFERROR(LOOKUP($S816,MOTORISTAS!$D$3:$D$916,MOTORISTAS!F$3:$F$916),"")</f>
        <v/>
      </c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44"/>
      <c r="AG816" s="254">
        <f>Prog_23[[#This Row],[SAÍDA DO CLIENTE]]-Prog_23[[#This Row],[PROGRAMAÇÃO CLIENTE]]</f>
        <v>0</v>
      </c>
      <c r="AH816" s="44"/>
      <c r="AI816" s="66"/>
      <c r="AJ816" s="66"/>
      <c r="AK816" s="66"/>
      <c r="AL816" s="66"/>
      <c r="AM816" s="66"/>
      <c r="AN816" s="83"/>
      <c r="AO816" s="83"/>
      <c r="AP816" s="83"/>
      <c r="AQ816" s="66"/>
      <c r="AR816" s="66"/>
      <c r="AS816" s="66"/>
      <c r="AT816" s="81"/>
      <c r="AU816" s="81"/>
      <c r="AV816" s="81"/>
      <c r="AW816" s="81"/>
      <c r="AX816" s="83">
        <f>SUM(Prog_23[[#This Row],[ADIANTAMENTO]]+Prog_23[[#This Row],[SALDO]]+Prog_23[[#This Row],[MARGEM]]+Prog_23[[#This Row],[ESTADIA 1]])</f>
        <v>0</v>
      </c>
      <c r="AY8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16" s="81"/>
      <c r="BA816" s="81"/>
      <c r="BB816" s="81">
        <f>Prog_23[[#This Row],[VLR NF]]*0.1%</f>
        <v>0</v>
      </c>
      <c r="BC816" s="81">
        <f>Prog_23[[#This Row],[VLR NF]]*0.05%</f>
        <v>0</v>
      </c>
      <c r="BD816" s="81"/>
      <c r="BE816" s="81"/>
      <c r="BF816" s="81"/>
      <c r="BG816" s="81"/>
      <c r="BH816" s="81"/>
      <c r="BI816" s="81"/>
      <c r="BJ816" s="81"/>
      <c r="BK816" s="81"/>
      <c r="BL816" s="81"/>
      <c r="BM816" s="81"/>
      <c r="BN816" s="66"/>
      <c r="BO816" s="66"/>
      <c r="BP816" s="66"/>
      <c r="BQ816" s="66" t="str">
        <f>PROPER(TEXT(Prog_23[[#This Row],[PROGRAMAÇÃO CLIENTE]],"mmm"))</f>
        <v>Jan</v>
      </c>
      <c r="BR816" s="66">
        <f>YEAR(Prog_23[[#This Row],[PROGRAMAÇÃO CLIENTE]])</f>
        <v>1900</v>
      </c>
    </row>
    <row r="817" spans="1:70" x14ac:dyDescent="0.25">
      <c r="A817" s="200">
        <f>Prog_23[[#This Row],[CONTEINER]]</f>
        <v>0</v>
      </c>
      <c r="B817" s="86"/>
      <c r="C8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17" s="44"/>
      <c r="E817" s="66"/>
      <c r="F817" s="66"/>
      <c r="G817" s="66"/>
      <c r="H817" s="44"/>
      <c r="I817" s="44"/>
      <c r="J817" s="66"/>
      <c r="K817" s="66"/>
      <c r="L817" s="66"/>
      <c r="M817" s="66"/>
      <c r="N817" s="66">
        <f>SUM(Prog_23[[#This Row],[TARA]]+Prog_23[[#This Row],[PESO]])</f>
        <v>0</v>
      </c>
      <c r="O817" s="44"/>
      <c r="P817" s="66"/>
      <c r="Q817" s="66"/>
      <c r="R817" s="66"/>
      <c r="S817" s="66"/>
      <c r="T817" s="138" t="str">
        <f>IFERROR(LOOKUP($S817,MOTORISTAS!$D$3:$D$916,MOTORISTAS!E$3:$E$916),"")</f>
        <v/>
      </c>
      <c r="U817" s="138" t="str">
        <f>IFERROR(LOOKUP($S817,MOTORISTAS!$D$3:$D$916,MOTORISTAS!F$3:$F$916),"")</f>
        <v/>
      </c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44"/>
      <c r="AG817" s="254">
        <f>Prog_23[[#This Row],[SAÍDA DO CLIENTE]]-Prog_23[[#This Row],[PROGRAMAÇÃO CLIENTE]]</f>
        <v>0</v>
      </c>
      <c r="AH817" s="44"/>
      <c r="AI817" s="66"/>
      <c r="AJ817" s="66"/>
      <c r="AK817" s="66"/>
      <c r="AL817" s="66"/>
      <c r="AM817" s="66"/>
      <c r="AN817" s="83"/>
      <c r="AO817" s="83"/>
      <c r="AP817" s="83"/>
      <c r="AQ817" s="66"/>
      <c r="AR817" s="66"/>
      <c r="AS817" s="66"/>
      <c r="AT817" s="81"/>
      <c r="AU817" s="81"/>
      <c r="AV817" s="81"/>
      <c r="AW817" s="81"/>
      <c r="AX817" s="83">
        <f>SUM(Prog_23[[#This Row],[ADIANTAMENTO]]+Prog_23[[#This Row],[SALDO]]+Prog_23[[#This Row],[MARGEM]]+Prog_23[[#This Row],[ESTADIA 1]])</f>
        <v>0</v>
      </c>
      <c r="AY8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17" s="81"/>
      <c r="BA817" s="81"/>
      <c r="BB817" s="81">
        <f>Prog_23[[#This Row],[VLR NF]]*0.1%</f>
        <v>0</v>
      </c>
      <c r="BC817" s="81">
        <f>Prog_23[[#This Row],[VLR NF]]*0.05%</f>
        <v>0</v>
      </c>
      <c r="BD817" s="81"/>
      <c r="BE817" s="81"/>
      <c r="BF817" s="81"/>
      <c r="BG817" s="81"/>
      <c r="BH817" s="81"/>
      <c r="BI817" s="81"/>
      <c r="BJ817" s="81"/>
      <c r="BK817" s="81"/>
      <c r="BL817" s="81"/>
      <c r="BM817" s="81"/>
      <c r="BN817" s="66"/>
      <c r="BO817" s="66"/>
      <c r="BP817" s="66"/>
      <c r="BQ817" s="66" t="str">
        <f>PROPER(TEXT(Prog_23[[#This Row],[PROGRAMAÇÃO CLIENTE]],"mmm"))</f>
        <v>Jan</v>
      </c>
      <c r="BR817" s="66">
        <f>YEAR(Prog_23[[#This Row],[PROGRAMAÇÃO CLIENTE]])</f>
        <v>1900</v>
      </c>
    </row>
    <row r="818" spans="1:70" x14ac:dyDescent="0.25">
      <c r="A818" s="201">
        <f>Prog_23[[#This Row],[CONTEINER]]</f>
        <v>0</v>
      </c>
      <c r="B818" s="86"/>
      <c r="C8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18" s="44"/>
      <c r="E818" s="66"/>
      <c r="F818" s="66"/>
      <c r="G818" s="66"/>
      <c r="H818" s="44"/>
      <c r="I818" s="44"/>
      <c r="J818" s="66"/>
      <c r="K818" s="66"/>
      <c r="L818" s="66"/>
      <c r="M818" s="66"/>
      <c r="N818" s="66">
        <f>SUM(Prog_23[[#This Row],[TARA]]+Prog_23[[#This Row],[PESO]])</f>
        <v>0</v>
      </c>
      <c r="O818" s="44"/>
      <c r="P818" s="66"/>
      <c r="Q818" s="66"/>
      <c r="R818" s="66"/>
      <c r="S818" s="66"/>
      <c r="T818" s="138" t="str">
        <f>IFERROR(LOOKUP($S818,MOTORISTAS!$D$3:$D$916,MOTORISTAS!E$3:$E$916),"")</f>
        <v/>
      </c>
      <c r="U818" s="138" t="str">
        <f>IFERROR(LOOKUP($S818,MOTORISTAS!$D$3:$D$916,MOTORISTAS!F$3:$F$916),"")</f>
        <v/>
      </c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44"/>
      <c r="AG818" s="254">
        <f>Prog_23[[#This Row],[SAÍDA DO CLIENTE]]-Prog_23[[#This Row],[PROGRAMAÇÃO CLIENTE]]</f>
        <v>0</v>
      </c>
      <c r="AH818" s="44"/>
      <c r="AI818" s="66"/>
      <c r="AJ818" s="66"/>
      <c r="AK818" s="66"/>
      <c r="AL818" s="66"/>
      <c r="AM818" s="66"/>
      <c r="AN818" s="83"/>
      <c r="AO818" s="83"/>
      <c r="AP818" s="83"/>
      <c r="AQ818" s="66"/>
      <c r="AR818" s="66"/>
      <c r="AS818" s="66"/>
      <c r="AT818" s="81"/>
      <c r="AU818" s="81"/>
      <c r="AV818" s="81"/>
      <c r="AW818" s="81"/>
      <c r="AX818" s="83">
        <f>SUM(Prog_23[[#This Row],[ADIANTAMENTO]]+Prog_23[[#This Row],[SALDO]]+Prog_23[[#This Row],[MARGEM]]+Prog_23[[#This Row],[ESTADIA 1]])</f>
        <v>0</v>
      </c>
      <c r="AY8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18" s="81"/>
      <c r="BA818" s="81"/>
      <c r="BB818" s="81">
        <f>Prog_23[[#This Row],[VLR NF]]*0.1%</f>
        <v>0</v>
      </c>
      <c r="BC818" s="81">
        <f>Prog_23[[#This Row],[VLR NF]]*0.05%</f>
        <v>0</v>
      </c>
      <c r="BD818" s="81"/>
      <c r="BE818" s="81"/>
      <c r="BF818" s="81"/>
      <c r="BG818" s="81"/>
      <c r="BH818" s="81"/>
      <c r="BI818" s="81"/>
      <c r="BJ818" s="81"/>
      <c r="BK818" s="81"/>
      <c r="BL818" s="81"/>
      <c r="BM818" s="81"/>
      <c r="BN818" s="66"/>
      <c r="BO818" s="66"/>
      <c r="BP818" s="66"/>
      <c r="BQ818" s="66" t="str">
        <f>PROPER(TEXT(Prog_23[[#This Row],[PROGRAMAÇÃO CLIENTE]],"mmm"))</f>
        <v>Jan</v>
      </c>
      <c r="BR818" s="66">
        <f>YEAR(Prog_23[[#This Row],[PROGRAMAÇÃO CLIENTE]])</f>
        <v>1900</v>
      </c>
    </row>
    <row r="819" spans="1:70" x14ac:dyDescent="0.25">
      <c r="A819" s="200">
        <f>Prog_23[[#This Row],[CONTEINER]]</f>
        <v>0</v>
      </c>
      <c r="B819" s="86"/>
      <c r="C8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19" s="44"/>
      <c r="E819" s="66"/>
      <c r="F819" s="66"/>
      <c r="G819" s="66"/>
      <c r="H819" s="44"/>
      <c r="I819" s="44"/>
      <c r="J819" s="66"/>
      <c r="K819" s="66"/>
      <c r="L819" s="66"/>
      <c r="M819" s="66"/>
      <c r="N819" s="66">
        <f>SUM(Prog_23[[#This Row],[TARA]]+Prog_23[[#This Row],[PESO]])</f>
        <v>0</v>
      </c>
      <c r="O819" s="44"/>
      <c r="P819" s="66"/>
      <c r="Q819" s="66"/>
      <c r="R819" s="66"/>
      <c r="S819" s="66"/>
      <c r="T819" s="138" t="str">
        <f>IFERROR(LOOKUP($S819,MOTORISTAS!$D$3:$D$916,MOTORISTAS!E$3:$E$916),"")</f>
        <v/>
      </c>
      <c r="U819" s="138" t="str">
        <f>IFERROR(LOOKUP($S819,MOTORISTAS!$D$3:$D$916,MOTORISTAS!F$3:$F$916),"")</f>
        <v/>
      </c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44"/>
      <c r="AG819" s="254">
        <f>Prog_23[[#This Row],[SAÍDA DO CLIENTE]]-Prog_23[[#This Row],[PROGRAMAÇÃO CLIENTE]]</f>
        <v>0</v>
      </c>
      <c r="AH819" s="44"/>
      <c r="AI819" s="66"/>
      <c r="AJ819" s="66"/>
      <c r="AK819" s="66"/>
      <c r="AL819" s="66"/>
      <c r="AM819" s="66"/>
      <c r="AN819" s="83"/>
      <c r="AO819" s="83"/>
      <c r="AP819" s="83"/>
      <c r="AQ819" s="66"/>
      <c r="AR819" s="66"/>
      <c r="AS819" s="66"/>
      <c r="AT819" s="81"/>
      <c r="AU819" s="81"/>
      <c r="AV819" s="81"/>
      <c r="AW819" s="81"/>
      <c r="AX819" s="83">
        <f>SUM(Prog_23[[#This Row],[ADIANTAMENTO]]+Prog_23[[#This Row],[SALDO]]+Prog_23[[#This Row],[MARGEM]]+Prog_23[[#This Row],[ESTADIA 1]])</f>
        <v>0</v>
      </c>
      <c r="AY8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19" s="81"/>
      <c r="BA819" s="81"/>
      <c r="BB819" s="81">
        <f>Prog_23[[#This Row],[VLR NF]]*0.1%</f>
        <v>0</v>
      </c>
      <c r="BC819" s="81">
        <f>Prog_23[[#This Row],[VLR NF]]*0.05%</f>
        <v>0</v>
      </c>
      <c r="BD819" s="81"/>
      <c r="BE819" s="81"/>
      <c r="BF819" s="81"/>
      <c r="BG819" s="81"/>
      <c r="BH819" s="81"/>
      <c r="BI819" s="81"/>
      <c r="BJ819" s="81"/>
      <c r="BK819" s="81"/>
      <c r="BL819" s="81"/>
      <c r="BM819" s="81"/>
      <c r="BN819" s="66"/>
      <c r="BO819" s="66"/>
      <c r="BP819" s="66"/>
      <c r="BQ819" s="66" t="str">
        <f>PROPER(TEXT(Prog_23[[#This Row],[PROGRAMAÇÃO CLIENTE]],"mmm"))</f>
        <v>Jan</v>
      </c>
      <c r="BR819" s="66">
        <f>YEAR(Prog_23[[#This Row],[PROGRAMAÇÃO CLIENTE]])</f>
        <v>1900</v>
      </c>
    </row>
    <row r="820" spans="1:70" x14ac:dyDescent="0.25">
      <c r="A820" s="201">
        <f>Prog_23[[#This Row],[CONTEINER]]</f>
        <v>0</v>
      </c>
      <c r="B820" s="86"/>
      <c r="C8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20" s="44"/>
      <c r="E820" s="66"/>
      <c r="F820" s="66"/>
      <c r="G820" s="66"/>
      <c r="H820" s="44"/>
      <c r="I820" s="44"/>
      <c r="J820" s="66"/>
      <c r="K820" s="66"/>
      <c r="L820" s="66"/>
      <c r="M820" s="66"/>
      <c r="N820" s="66">
        <f>SUM(Prog_23[[#This Row],[TARA]]+Prog_23[[#This Row],[PESO]])</f>
        <v>0</v>
      </c>
      <c r="O820" s="44"/>
      <c r="P820" s="66"/>
      <c r="Q820" s="66"/>
      <c r="R820" s="66"/>
      <c r="S820" s="66"/>
      <c r="T820" s="138" t="str">
        <f>IFERROR(LOOKUP($S820,MOTORISTAS!$D$3:$D$916,MOTORISTAS!E$3:$E$916),"")</f>
        <v/>
      </c>
      <c r="U820" s="138" t="str">
        <f>IFERROR(LOOKUP($S820,MOTORISTAS!$D$3:$D$916,MOTORISTAS!F$3:$F$916),"")</f>
        <v/>
      </c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44"/>
      <c r="AG820" s="254">
        <f>Prog_23[[#This Row],[SAÍDA DO CLIENTE]]-Prog_23[[#This Row],[PROGRAMAÇÃO CLIENTE]]</f>
        <v>0</v>
      </c>
      <c r="AH820" s="44"/>
      <c r="AI820" s="66"/>
      <c r="AJ820" s="66"/>
      <c r="AK820" s="66"/>
      <c r="AL820" s="66"/>
      <c r="AM820" s="66"/>
      <c r="AN820" s="83"/>
      <c r="AO820" s="83"/>
      <c r="AP820" s="83"/>
      <c r="AQ820" s="66"/>
      <c r="AR820" s="66"/>
      <c r="AS820" s="66"/>
      <c r="AT820" s="81"/>
      <c r="AU820" s="81"/>
      <c r="AV820" s="81"/>
      <c r="AW820" s="81"/>
      <c r="AX820" s="83">
        <f>SUM(Prog_23[[#This Row],[ADIANTAMENTO]]+Prog_23[[#This Row],[SALDO]]+Prog_23[[#This Row],[MARGEM]]+Prog_23[[#This Row],[ESTADIA 1]])</f>
        <v>0</v>
      </c>
      <c r="AY8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20" s="81"/>
      <c r="BA820" s="81"/>
      <c r="BB820" s="81">
        <f>Prog_23[[#This Row],[VLR NF]]*0.1%</f>
        <v>0</v>
      </c>
      <c r="BC820" s="81">
        <f>Prog_23[[#This Row],[VLR NF]]*0.05%</f>
        <v>0</v>
      </c>
      <c r="BD820" s="81"/>
      <c r="BE820" s="81"/>
      <c r="BF820" s="81"/>
      <c r="BG820" s="81"/>
      <c r="BH820" s="81"/>
      <c r="BI820" s="81"/>
      <c r="BJ820" s="81"/>
      <c r="BK820" s="81"/>
      <c r="BL820" s="81"/>
      <c r="BM820" s="81"/>
      <c r="BN820" s="66"/>
      <c r="BO820" s="66"/>
      <c r="BP820" s="66"/>
      <c r="BQ820" s="66" t="str">
        <f>PROPER(TEXT(Prog_23[[#This Row],[PROGRAMAÇÃO CLIENTE]],"mmm"))</f>
        <v>Jan</v>
      </c>
      <c r="BR820" s="66">
        <f>YEAR(Prog_23[[#This Row],[PROGRAMAÇÃO CLIENTE]])</f>
        <v>1900</v>
      </c>
    </row>
    <row r="821" spans="1:70" x14ac:dyDescent="0.25">
      <c r="A821" s="200">
        <f>Prog_23[[#This Row],[CONTEINER]]</f>
        <v>0</v>
      </c>
      <c r="B821" s="86"/>
      <c r="C8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21" s="44"/>
      <c r="E821" s="66"/>
      <c r="F821" s="66"/>
      <c r="G821" s="66"/>
      <c r="H821" s="44"/>
      <c r="I821" s="44"/>
      <c r="J821" s="66"/>
      <c r="K821" s="66"/>
      <c r="L821" s="66"/>
      <c r="M821" s="66"/>
      <c r="N821" s="66">
        <f>SUM(Prog_23[[#This Row],[TARA]]+Prog_23[[#This Row],[PESO]])</f>
        <v>0</v>
      </c>
      <c r="O821" s="44"/>
      <c r="P821" s="66"/>
      <c r="Q821" s="66"/>
      <c r="R821" s="66"/>
      <c r="S821" s="66"/>
      <c r="T821" s="138" t="str">
        <f>IFERROR(LOOKUP($S821,MOTORISTAS!$D$3:$D$916,MOTORISTAS!E$3:$E$916),"")</f>
        <v/>
      </c>
      <c r="U821" s="138" t="str">
        <f>IFERROR(LOOKUP($S821,MOTORISTAS!$D$3:$D$916,MOTORISTAS!F$3:$F$916),"")</f>
        <v/>
      </c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44"/>
      <c r="AG821" s="254">
        <f>Prog_23[[#This Row],[SAÍDA DO CLIENTE]]-Prog_23[[#This Row],[PROGRAMAÇÃO CLIENTE]]</f>
        <v>0</v>
      </c>
      <c r="AH821" s="44"/>
      <c r="AI821" s="66"/>
      <c r="AJ821" s="66"/>
      <c r="AK821" s="66"/>
      <c r="AL821" s="66"/>
      <c r="AM821" s="66"/>
      <c r="AN821" s="83"/>
      <c r="AO821" s="83"/>
      <c r="AP821" s="83"/>
      <c r="AQ821" s="66"/>
      <c r="AR821" s="66"/>
      <c r="AS821" s="66"/>
      <c r="AT821" s="81"/>
      <c r="AU821" s="81"/>
      <c r="AV821" s="81"/>
      <c r="AW821" s="81"/>
      <c r="AX821" s="83">
        <f>SUM(Prog_23[[#This Row],[ADIANTAMENTO]]+Prog_23[[#This Row],[SALDO]]+Prog_23[[#This Row],[MARGEM]]+Prog_23[[#This Row],[ESTADIA 1]])</f>
        <v>0</v>
      </c>
      <c r="AY8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21" s="81"/>
      <c r="BA821" s="81"/>
      <c r="BB821" s="81">
        <f>Prog_23[[#This Row],[VLR NF]]*0.1%</f>
        <v>0</v>
      </c>
      <c r="BC821" s="81">
        <f>Prog_23[[#This Row],[VLR NF]]*0.05%</f>
        <v>0</v>
      </c>
      <c r="BD821" s="81"/>
      <c r="BE821" s="81"/>
      <c r="BF821" s="81"/>
      <c r="BG821" s="81"/>
      <c r="BH821" s="81"/>
      <c r="BI821" s="81"/>
      <c r="BJ821" s="81"/>
      <c r="BK821" s="81"/>
      <c r="BL821" s="81"/>
      <c r="BM821" s="81"/>
      <c r="BN821" s="66"/>
      <c r="BO821" s="66"/>
      <c r="BP821" s="66"/>
      <c r="BQ821" s="66" t="str">
        <f>PROPER(TEXT(Prog_23[[#This Row],[PROGRAMAÇÃO CLIENTE]],"mmm"))</f>
        <v>Jan</v>
      </c>
      <c r="BR821" s="66">
        <f>YEAR(Prog_23[[#This Row],[PROGRAMAÇÃO CLIENTE]])</f>
        <v>1900</v>
      </c>
    </row>
    <row r="822" spans="1:70" x14ac:dyDescent="0.25">
      <c r="A822" s="201">
        <f>Prog_23[[#This Row],[CONTEINER]]</f>
        <v>0</v>
      </c>
      <c r="B822" s="86"/>
      <c r="C8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22" s="44"/>
      <c r="E822" s="66"/>
      <c r="F822" s="66"/>
      <c r="G822" s="66"/>
      <c r="H822" s="44"/>
      <c r="I822" s="44"/>
      <c r="J822" s="66"/>
      <c r="K822" s="66"/>
      <c r="L822" s="66"/>
      <c r="M822" s="66"/>
      <c r="N822" s="66">
        <f>SUM(Prog_23[[#This Row],[TARA]]+Prog_23[[#This Row],[PESO]])</f>
        <v>0</v>
      </c>
      <c r="O822" s="44"/>
      <c r="P822" s="66"/>
      <c r="Q822" s="66"/>
      <c r="R822" s="66"/>
      <c r="S822" s="66"/>
      <c r="T822" s="138" t="str">
        <f>IFERROR(LOOKUP($S822,MOTORISTAS!$D$3:$D$916,MOTORISTAS!E$3:$E$916),"")</f>
        <v/>
      </c>
      <c r="U822" s="138" t="str">
        <f>IFERROR(LOOKUP($S822,MOTORISTAS!$D$3:$D$916,MOTORISTAS!F$3:$F$916),"")</f>
        <v/>
      </c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44"/>
      <c r="AG822" s="254">
        <f>Prog_23[[#This Row],[SAÍDA DO CLIENTE]]-Prog_23[[#This Row],[PROGRAMAÇÃO CLIENTE]]</f>
        <v>0</v>
      </c>
      <c r="AH822" s="44"/>
      <c r="AI822" s="66"/>
      <c r="AJ822" s="66"/>
      <c r="AK822" s="66"/>
      <c r="AL822" s="66"/>
      <c r="AM822" s="66"/>
      <c r="AN822" s="83"/>
      <c r="AO822" s="83"/>
      <c r="AP822" s="83"/>
      <c r="AQ822" s="66"/>
      <c r="AR822" s="66"/>
      <c r="AS822" s="66"/>
      <c r="AT822" s="81"/>
      <c r="AU822" s="81"/>
      <c r="AV822" s="81"/>
      <c r="AW822" s="81"/>
      <c r="AX822" s="83">
        <f>SUM(Prog_23[[#This Row],[ADIANTAMENTO]]+Prog_23[[#This Row],[SALDO]]+Prog_23[[#This Row],[MARGEM]]+Prog_23[[#This Row],[ESTADIA 1]])</f>
        <v>0</v>
      </c>
      <c r="AY8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22" s="81"/>
      <c r="BA822" s="81"/>
      <c r="BB822" s="81">
        <f>Prog_23[[#This Row],[VLR NF]]*0.1%</f>
        <v>0</v>
      </c>
      <c r="BC822" s="81">
        <f>Prog_23[[#This Row],[VLR NF]]*0.05%</f>
        <v>0</v>
      </c>
      <c r="BD822" s="81"/>
      <c r="BE822" s="81"/>
      <c r="BF822" s="81"/>
      <c r="BG822" s="81"/>
      <c r="BH822" s="81"/>
      <c r="BI822" s="81"/>
      <c r="BJ822" s="81"/>
      <c r="BK822" s="81"/>
      <c r="BL822" s="81"/>
      <c r="BM822" s="81"/>
      <c r="BN822" s="66"/>
      <c r="BO822" s="66"/>
      <c r="BP822" s="66"/>
      <c r="BQ822" s="66" t="str">
        <f>PROPER(TEXT(Prog_23[[#This Row],[PROGRAMAÇÃO CLIENTE]],"mmm"))</f>
        <v>Jan</v>
      </c>
      <c r="BR822" s="66">
        <f>YEAR(Prog_23[[#This Row],[PROGRAMAÇÃO CLIENTE]])</f>
        <v>1900</v>
      </c>
    </row>
    <row r="823" spans="1:70" x14ac:dyDescent="0.25">
      <c r="A823" s="200">
        <f>Prog_23[[#This Row],[CONTEINER]]</f>
        <v>0</v>
      </c>
      <c r="B823" s="86"/>
      <c r="C8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23" s="44"/>
      <c r="E823" s="66"/>
      <c r="F823" s="66"/>
      <c r="G823" s="66"/>
      <c r="H823" s="44"/>
      <c r="I823" s="44"/>
      <c r="J823" s="66"/>
      <c r="K823" s="66"/>
      <c r="L823" s="66"/>
      <c r="M823" s="66"/>
      <c r="N823" s="66">
        <f>SUM(Prog_23[[#This Row],[TARA]]+Prog_23[[#This Row],[PESO]])</f>
        <v>0</v>
      </c>
      <c r="O823" s="44"/>
      <c r="P823" s="66"/>
      <c r="Q823" s="66"/>
      <c r="R823" s="66"/>
      <c r="S823" s="66"/>
      <c r="T823" s="138" t="str">
        <f>IFERROR(LOOKUP($S823,MOTORISTAS!$D$3:$D$916,MOTORISTAS!E$3:$E$916),"")</f>
        <v/>
      </c>
      <c r="U823" s="138" t="str">
        <f>IFERROR(LOOKUP($S823,MOTORISTAS!$D$3:$D$916,MOTORISTAS!F$3:$F$916),"")</f>
        <v/>
      </c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44"/>
      <c r="AG823" s="254">
        <f>Prog_23[[#This Row],[SAÍDA DO CLIENTE]]-Prog_23[[#This Row],[PROGRAMAÇÃO CLIENTE]]</f>
        <v>0</v>
      </c>
      <c r="AH823" s="44"/>
      <c r="AI823" s="66"/>
      <c r="AJ823" s="66"/>
      <c r="AK823" s="66"/>
      <c r="AL823" s="66"/>
      <c r="AM823" s="66"/>
      <c r="AN823" s="83"/>
      <c r="AO823" s="83"/>
      <c r="AP823" s="83"/>
      <c r="AQ823" s="66"/>
      <c r="AR823" s="66"/>
      <c r="AS823" s="66"/>
      <c r="AT823" s="81"/>
      <c r="AU823" s="81"/>
      <c r="AV823" s="81"/>
      <c r="AW823" s="81"/>
      <c r="AX823" s="83">
        <f>SUM(Prog_23[[#This Row],[ADIANTAMENTO]]+Prog_23[[#This Row],[SALDO]]+Prog_23[[#This Row],[MARGEM]]+Prog_23[[#This Row],[ESTADIA 1]])</f>
        <v>0</v>
      </c>
      <c r="AY8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23" s="81"/>
      <c r="BA823" s="81"/>
      <c r="BB823" s="81">
        <f>Prog_23[[#This Row],[VLR NF]]*0.1%</f>
        <v>0</v>
      </c>
      <c r="BC823" s="81">
        <f>Prog_23[[#This Row],[VLR NF]]*0.05%</f>
        <v>0</v>
      </c>
      <c r="BD823" s="81"/>
      <c r="BE823" s="81"/>
      <c r="BF823" s="81"/>
      <c r="BG823" s="81"/>
      <c r="BH823" s="81"/>
      <c r="BI823" s="81"/>
      <c r="BJ823" s="81"/>
      <c r="BK823" s="81"/>
      <c r="BL823" s="81"/>
      <c r="BM823" s="81"/>
      <c r="BN823" s="66"/>
      <c r="BO823" s="66"/>
      <c r="BP823" s="66"/>
      <c r="BQ823" s="66" t="str">
        <f>PROPER(TEXT(Prog_23[[#This Row],[PROGRAMAÇÃO CLIENTE]],"mmm"))</f>
        <v>Jan</v>
      </c>
      <c r="BR823" s="66">
        <f>YEAR(Prog_23[[#This Row],[PROGRAMAÇÃO CLIENTE]])</f>
        <v>1900</v>
      </c>
    </row>
    <row r="824" spans="1:70" x14ac:dyDescent="0.25">
      <c r="A824" s="201">
        <f>Prog_23[[#This Row],[CONTEINER]]</f>
        <v>0</v>
      </c>
      <c r="B824" s="86"/>
      <c r="C8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24" s="44"/>
      <c r="E824" s="66"/>
      <c r="F824" s="66"/>
      <c r="G824" s="66"/>
      <c r="H824" s="44"/>
      <c r="I824" s="44"/>
      <c r="J824" s="66"/>
      <c r="K824" s="66"/>
      <c r="L824" s="66"/>
      <c r="M824" s="66"/>
      <c r="N824" s="66">
        <f>SUM(Prog_23[[#This Row],[TARA]]+Prog_23[[#This Row],[PESO]])</f>
        <v>0</v>
      </c>
      <c r="O824" s="44"/>
      <c r="P824" s="66"/>
      <c r="Q824" s="66"/>
      <c r="R824" s="66"/>
      <c r="S824" s="66"/>
      <c r="T824" s="138" t="str">
        <f>IFERROR(LOOKUP($S824,MOTORISTAS!$D$3:$D$916,MOTORISTAS!E$3:$E$916),"")</f>
        <v/>
      </c>
      <c r="U824" s="138" t="str">
        <f>IFERROR(LOOKUP($S824,MOTORISTAS!$D$3:$D$916,MOTORISTAS!F$3:$F$916),"")</f>
        <v/>
      </c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44"/>
      <c r="AG824" s="254">
        <f>Prog_23[[#This Row],[SAÍDA DO CLIENTE]]-Prog_23[[#This Row],[PROGRAMAÇÃO CLIENTE]]</f>
        <v>0</v>
      </c>
      <c r="AH824" s="44"/>
      <c r="AI824" s="66"/>
      <c r="AJ824" s="66"/>
      <c r="AK824" s="66"/>
      <c r="AL824" s="66"/>
      <c r="AM824" s="66"/>
      <c r="AN824" s="83"/>
      <c r="AO824" s="83"/>
      <c r="AP824" s="83"/>
      <c r="AQ824" s="66"/>
      <c r="AR824" s="66"/>
      <c r="AS824" s="66"/>
      <c r="AT824" s="81"/>
      <c r="AU824" s="81"/>
      <c r="AV824" s="81"/>
      <c r="AW824" s="81"/>
      <c r="AX824" s="83">
        <f>SUM(Prog_23[[#This Row],[ADIANTAMENTO]]+Prog_23[[#This Row],[SALDO]]+Prog_23[[#This Row],[MARGEM]]+Prog_23[[#This Row],[ESTADIA 1]])</f>
        <v>0</v>
      </c>
      <c r="AY8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24" s="81"/>
      <c r="BA824" s="81"/>
      <c r="BB824" s="81">
        <f>Prog_23[[#This Row],[VLR NF]]*0.1%</f>
        <v>0</v>
      </c>
      <c r="BC824" s="81">
        <f>Prog_23[[#This Row],[VLR NF]]*0.05%</f>
        <v>0</v>
      </c>
      <c r="BD824" s="81"/>
      <c r="BE824" s="81"/>
      <c r="BF824" s="81"/>
      <c r="BG824" s="81"/>
      <c r="BH824" s="81"/>
      <c r="BI824" s="81"/>
      <c r="BJ824" s="81"/>
      <c r="BK824" s="81"/>
      <c r="BL824" s="81"/>
      <c r="BM824" s="81"/>
      <c r="BN824" s="66"/>
      <c r="BO824" s="66"/>
      <c r="BP824" s="66"/>
      <c r="BQ824" s="66" t="str">
        <f>PROPER(TEXT(Prog_23[[#This Row],[PROGRAMAÇÃO CLIENTE]],"mmm"))</f>
        <v>Jan</v>
      </c>
      <c r="BR824" s="66">
        <f>YEAR(Prog_23[[#This Row],[PROGRAMAÇÃO CLIENTE]])</f>
        <v>1900</v>
      </c>
    </row>
    <row r="825" spans="1:70" x14ac:dyDescent="0.25">
      <c r="A825" s="200">
        <f>Prog_23[[#This Row],[CONTEINER]]</f>
        <v>0</v>
      </c>
      <c r="B825" s="86"/>
      <c r="C8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25" s="44"/>
      <c r="E825" s="66"/>
      <c r="F825" s="66"/>
      <c r="G825" s="66"/>
      <c r="H825" s="44"/>
      <c r="I825" s="44"/>
      <c r="J825" s="66"/>
      <c r="K825" s="66"/>
      <c r="L825" s="66"/>
      <c r="M825" s="66"/>
      <c r="N825" s="66">
        <f>SUM(Prog_23[[#This Row],[TARA]]+Prog_23[[#This Row],[PESO]])</f>
        <v>0</v>
      </c>
      <c r="O825" s="44"/>
      <c r="P825" s="66"/>
      <c r="Q825" s="66"/>
      <c r="R825" s="66"/>
      <c r="S825" s="66"/>
      <c r="T825" s="138" t="str">
        <f>IFERROR(LOOKUP($S825,MOTORISTAS!$D$3:$D$916,MOTORISTAS!E$3:$E$916),"")</f>
        <v/>
      </c>
      <c r="U825" s="138" t="str">
        <f>IFERROR(LOOKUP($S825,MOTORISTAS!$D$3:$D$916,MOTORISTAS!F$3:$F$916),"")</f>
        <v/>
      </c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44"/>
      <c r="AG825" s="254">
        <f>Prog_23[[#This Row],[SAÍDA DO CLIENTE]]-Prog_23[[#This Row],[PROGRAMAÇÃO CLIENTE]]</f>
        <v>0</v>
      </c>
      <c r="AH825" s="44"/>
      <c r="AI825" s="66"/>
      <c r="AJ825" s="66"/>
      <c r="AK825" s="66"/>
      <c r="AL825" s="66"/>
      <c r="AM825" s="66"/>
      <c r="AN825" s="83"/>
      <c r="AO825" s="83"/>
      <c r="AP825" s="83"/>
      <c r="AQ825" s="66"/>
      <c r="AR825" s="66"/>
      <c r="AS825" s="66"/>
      <c r="AT825" s="81"/>
      <c r="AU825" s="81"/>
      <c r="AV825" s="81"/>
      <c r="AW825" s="81"/>
      <c r="AX825" s="83">
        <f>SUM(Prog_23[[#This Row],[ADIANTAMENTO]]+Prog_23[[#This Row],[SALDO]]+Prog_23[[#This Row],[MARGEM]]+Prog_23[[#This Row],[ESTADIA 1]])</f>
        <v>0</v>
      </c>
      <c r="AY8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25" s="81"/>
      <c r="BA825" s="81"/>
      <c r="BB825" s="81">
        <f>Prog_23[[#This Row],[VLR NF]]*0.1%</f>
        <v>0</v>
      </c>
      <c r="BC825" s="81">
        <f>Prog_23[[#This Row],[VLR NF]]*0.05%</f>
        <v>0</v>
      </c>
      <c r="BD825" s="81"/>
      <c r="BE825" s="81"/>
      <c r="BF825" s="81"/>
      <c r="BG825" s="81"/>
      <c r="BH825" s="81"/>
      <c r="BI825" s="81"/>
      <c r="BJ825" s="81"/>
      <c r="BK825" s="81"/>
      <c r="BL825" s="81"/>
      <c r="BM825" s="81"/>
      <c r="BN825" s="66"/>
      <c r="BO825" s="66"/>
      <c r="BP825" s="66"/>
      <c r="BQ825" s="66" t="str">
        <f>PROPER(TEXT(Prog_23[[#This Row],[PROGRAMAÇÃO CLIENTE]],"mmm"))</f>
        <v>Jan</v>
      </c>
      <c r="BR825" s="66">
        <f>YEAR(Prog_23[[#This Row],[PROGRAMAÇÃO CLIENTE]])</f>
        <v>1900</v>
      </c>
    </row>
    <row r="826" spans="1:70" x14ac:dyDescent="0.25">
      <c r="A826" s="201">
        <f>Prog_23[[#This Row],[CONTEINER]]</f>
        <v>0</v>
      </c>
      <c r="B826" s="86"/>
      <c r="C8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26" s="44"/>
      <c r="E826" s="66"/>
      <c r="F826" s="66"/>
      <c r="G826" s="66"/>
      <c r="H826" s="44"/>
      <c r="I826" s="44"/>
      <c r="J826" s="66"/>
      <c r="K826" s="66"/>
      <c r="L826" s="66"/>
      <c r="M826" s="66"/>
      <c r="N826" s="66">
        <f>SUM(Prog_23[[#This Row],[TARA]]+Prog_23[[#This Row],[PESO]])</f>
        <v>0</v>
      </c>
      <c r="O826" s="44"/>
      <c r="P826" s="66"/>
      <c r="Q826" s="66"/>
      <c r="R826" s="66"/>
      <c r="S826" s="66"/>
      <c r="T826" s="138" t="str">
        <f>IFERROR(LOOKUP($S826,MOTORISTAS!$D$3:$D$916,MOTORISTAS!E$3:$E$916),"")</f>
        <v/>
      </c>
      <c r="U826" s="138" t="str">
        <f>IFERROR(LOOKUP($S826,MOTORISTAS!$D$3:$D$916,MOTORISTAS!F$3:$F$916),"")</f>
        <v/>
      </c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44"/>
      <c r="AG826" s="254">
        <f>Prog_23[[#This Row],[SAÍDA DO CLIENTE]]-Prog_23[[#This Row],[PROGRAMAÇÃO CLIENTE]]</f>
        <v>0</v>
      </c>
      <c r="AH826" s="44"/>
      <c r="AI826" s="66"/>
      <c r="AJ826" s="66"/>
      <c r="AK826" s="66"/>
      <c r="AL826" s="66"/>
      <c r="AM826" s="66"/>
      <c r="AN826" s="83"/>
      <c r="AO826" s="83"/>
      <c r="AP826" s="83"/>
      <c r="AQ826" s="66"/>
      <c r="AR826" s="66"/>
      <c r="AS826" s="66"/>
      <c r="AT826" s="81"/>
      <c r="AU826" s="81"/>
      <c r="AV826" s="81"/>
      <c r="AW826" s="81"/>
      <c r="AX826" s="83">
        <f>SUM(Prog_23[[#This Row],[ADIANTAMENTO]]+Prog_23[[#This Row],[SALDO]]+Prog_23[[#This Row],[MARGEM]]+Prog_23[[#This Row],[ESTADIA 1]])</f>
        <v>0</v>
      </c>
      <c r="AY8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26" s="81"/>
      <c r="BA826" s="81"/>
      <c r="BB826" s="81">
        <f>Prog_23[[#This Row],[VLR NF]]*0.1%</f>
        <v>0</v>
      </c>
      <c r="BC826" s="81">
        <f>Prog_23[[#This Row],[VLR NF]]*0.05%</f>
        <v>0</v>
      </c>
      <c r="BD826" s="81"/>
      <c r="BE826" s="81"/>
      <c r="BF826" s="81"/>
      <c r="BG826" s="81"/>
      <c r="BH826" s="81"/>
      <c r="BI826" s="81"/>
      <c r="BJ826" s="81"/>
      <c r="BK826" s="81"/>
      <c r="BL826" s="81"/>
      <c r="BM826" s="81"/>
      <c r="BN826" s="66"/>
      <c r="BO826" s="66"/>
      <c r="BP826" s="66"/>
      <c r="BQ826" s="66" t="str">
        <f>PROPER(TEXT(Prog_23[[#This Row],[PROGRAMAÇÃO CLIENTE]],"mmm"))</f>
        <v>Jan</v>
      </c>
      <c r="BR826" s="66">
        <f>YEAR(Prog_23[[#This Row],[PROGRAMAÇÃO CLIENTE]])</f>
        <v>1900</v>
      </c>
    </row>
    <row r="827" spans="1:70" x14ac:dyDescent="0.25">
      <c r="A827" s="200">
        <f>Prog_23[[#This Row],[CONTEINER]]</f>
        <v>0</v>
      </c>
      <c r="B827" s="86"/>
      <c r="C8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27" s="44"/>
      <c r="E827" s="66"/>
      <c r="F827" s="66"/>
      <c r="G827" s="66"/>
      <c r="H827" s="44"/>
      <c r="I827" s="44"/>
      <c r="J827" s="66"/>
      <c r="K827" s="66"/>
      <c r="L827" s="66"/>
      <c r="M827" s="66"/>
      <c r="N827" s="66">
        <f>SUM(Prog_23[[#This Row],[TARA]]+Prog_23[[#This Row],[PESO]])</f>
        <v>0</v>
      </c>
      <c r="O827" s="44"/>
      <c r="P827" s="66"/>
      <c r="Q827" s="66"/>
      <c r="R827" s="66"/>
      <c r="S827" s="66"/>
      <c r="T827" s="138" t="str">
        <f>IFERROR(LOOKUP($S827,MOTORISTAS!$D$3:$D$916,MOTORISTAS!E$3:$E$916),"")</f>
        <v/>
      </c>
      <c r="U827" s="138" t="str">
        <f>IFERROR(LOOKUP($S827,MOTORISTAS!$D$3:$D$916,MOTORISTAS!F$3:$F$916),"")</f>
        <v/>
      </c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44"/>
      <c r="AG827" s="254">
        <f>Prog_23[[#This Row],[SAÍDA DO CLIENTE]]-Prog_23[[#This Row],[PROGRAMAÇÃO CLIENTE]]</f>
        <v>0</v>
      </c>
      <c r="AH827" s="44"/>
      <c r="AI827" s="66"/>
      <c r="AJ827" s="66"/>
      <c r="AK827" s="66"/>
      <c r="AL827" s="66"/>
      <c r="AM827" s="66"/>
      <c r="AN827" s="83"/>
      <c r="AO827" s="83"/>
      <c r="AP827" s="83"/>
      <c r="AQ827" s="66"/>
      <c r="AR827" s="66"/>
      <c r="AS827" s="66"/>
      <c r="AT827" s="81"/>
      <c r="AU827" s="81"/>
      <c r="AV827" s="81"/>
      <c r="AW827" s="81"/>
      <c r="AX827" s="83">
        <f>SUM(Prog_23[[#This Row],[ADIANTAMENTO]]+Prog_23[[#This Row],[SALDO]]+Prog_23[[#This Row],[MARGEM]]+Prog_23[[#This Row],[ESTADIA 1]])</f>
        <v>0</v>
      </c>
      <c r="AY8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27" s="81"/>
      <c r="BA827" s="81"/>
      <c r="BB827" s="81">
        <f>Prog_23[[#This Row],[VLR NF]]*0.1%</f>
        <v>0</v>
      </c>
      <c r="BC827" s="81">
        <f>Prog_23[[#This Row],[VLR NF]]*0.05%</f>
        <v>0</v>
      </c>
      <c r="BD827" s="81"/>
      <c r="BE827" s="81"/>
      <c r="BF827" s="81"/>
      <c r="BG827" s="81"/>
      <c r="BH827" s="81"/>
      <c r="BI827" s="81"/>
      <c r="BJ827" s="81"/>
      <c r="BK827" s="81"/>
      <c r="BL827" s="81"/>
      <c r="BM827" s="81"/>
      <c r="BN827" s="66"/>
      <c r="BO827" s="66"/>
      <c r="BP827" s="66"/>
      <c r="BQ827" s="66" t="str">
        <f>PROPER(TEXT(Prog_23[[#This Row],[PROGRAMAÇÃO CLIENTE]],"mmm"))</f>
        <v>Jan</v>
      </c>
      <c r="BR827" s="66">
        <f>YEAR(Prog_23[[#This Row],[PROGRAMAÇÃO CLIENTE]])</f>
        <v>1900</v>
      </c>
    </row>
    <row r="828" spans="1:70" x14ac:dyDescent="0.25">
      <c r="A828" s="201">
        <f>Prog_23[[#This Row],[CONTEINER]]</f>
        <v>0</v>
      </c>
      <c r="B828" s="86"/>
      <c r="C8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28" s="44"/>
      <c r="E828" s="66"/>
      <c r="F828" s="66"/>
      <c r="G828" s="66"/>
      <c r="H828" s="44"/>
      <c r="I828" s="44"/>
      <c r="J828" s="66"/>
      <c r="K828" s="66"/>
      <c r="L828" s="66"/>
      <c r="M828" s="66"/>
      <c r="N828" s="66">
        <f>SUM(Prog_23[[#This Row],[TARA]]+Prog_23[[#This Row],[PESO]])</f>
        <v>0</v>
      </c>
      <c r="O828" s="44"/>
      <c r="P828" s="66"/>
      <c r="Q828" s="66"/>
      <c r="R828" s="66"/>
      <c r="S828" s="66"/>
      <c r="T828" s="138" t="str">
        <f>IFERROR(LOOKUP($S828,MOTORISTAS!$D$3:$D$916,MOTORISTAS!E$3:$E$916),"")</f>
        <v/>
      </c>
      <c r="U828" s="138" t="str">
        <f>IFERROR(LOOKUP($S828,MOTORISTAS!$D$3:$D$916,MOTORISTAS!F$3:$F$916),"")</f>
        <v/>
      </c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44"/>
      <c r="AG828" s="254">
        <f>Prog_23[[#This Row],[SAÍDA DO CLIENTE]]-Prog_23[[#This Row],[PROGRAMAÇÃO CLIENTE]]</f>
        <v>0</v>
      </c>
      <c r="AH828" s="44"/>
      <c r="AI828" s="66"/>
      <c r="AJ828" s="66"/>
      <c r="AK828" s="66"/>
      <c r="AL828" s="66"/>
      <c r="AM828" s="66"/>
      <c r="AN828" s="83"/>
      <c r="AO828" s="83"/>
      <c r="AP828" s="83"/>
      <c r="AQ828" s="66"/>
      <c r="AR828" s="66"/>
      <c r="AS828" s="66"/>
      <c r="AT828" s="81"/>
      <c r="AU828" s="81"/>
      <c r="AV828" s="81"/>
      <c r="AW828" s="81"/>
      <c r="AX828" s="83">
        <f>SUM(Prog_23[[#This Row],[ADIANTAMENTO]]+Prog_23[[#This Row],[SALDO]]+Prog_23[[#This Row],[MARGEM]]+Prog_23[[#This Row],[ESTADIA 1]])</f>
        <v>0</v>
      </c>
      <c r="AY8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28" s="81"/>
      <c r="BA828" s="81"/>
      <c r="BB828" s="81">
        <f>Prog_23[[#This Row],[VLR NF]]*0.1%</f>
        <v>0</v>
      </c>
      <c r="BC828" s="81">
        <f>Prog_23[[#This Row],[VLR NF]]*0.05%</f>
        <v>0</v>
      </c>
      <c r="BD828" s="81"/>
      <c r="BE828" s="81"/>
      <c r="BF828" s="81"/>
      <c r="BG828" s="81"/>
      <c r="BH828" s="81"/>
      <c r="BI828" s="81"/>
      <c r="BJ828" s="81"/>
      <c r="BK828" s="81"/>
      <c r="BL828" s="81"/>
      <c r="BM828" s="81"/>
      <c r="BN828" s="66"/>
      <c r="BO828" s="66"/>
      <c r="BP828" s="66"/>
      <c r="BQ828" s="66" t="str">
        <f>PROPER(TEXT(Prog_23[[#This Row],[PROGRAMAÇÃO CLIENTE]],"mmm"))</f>
        <v>Jan</v>
      </c>
      <c r="BR828" s="66">
        <f>YEAR(Prog_23[[#This Row],[PROGRAMAÇÃO CLIENTE]])</f>
        <v>1900</v>
      </c>
    </row>
    <row r="829" spans="1:70" x14ac:dyDescent="0.25">
      <c r="A829" s="200">
        <f>Prog_23[[#This Row],[CONTEINER]]</f>
        <v>0</v>
      </c>
      <c r="B829" s="86"/>
      <c r="C8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29" s="44"/>
      <c r="E829" s="66"/>
      <c r="F829" s="66"/>
      <c r="G829" s="66"/>
      <c r="H829" s="44"/>
      <c r="I829" s="44"/>
      <c r="J829" s="66"/>
      <c r="K829" s="66"/>
      <c r="L829" s="66"/>
      <c r="M829" s="66"/>
      <c r="N829" s="66">
        <f>SUM(Prog_23[[#This Row],[TARA]]+Prog_23[[#This Row],[PESO]])</f>
        <v>0</v>
      </c>
      <c r="O829" s="44"/>
      <c r="P829" s="66"/>
      <c r="Q829" s="66"/>
      <c r="R829" s="66"/>
      <c r="S829" s="66"/>
      <c r="T829" s="138" t="str">
        <f>IFERROR(LOOKUP($S829,MOTORISTAS!$D$3:$D$916,MOTORISTAS!E$3:$E$916),"")</f>
        <v/>
      </c>
      <c r="U829" s="138" t="str">
        <f>IFERROR(LOOKUP($S829,MOTORISTAS!$D$3:$D$916,MOTORISTAS!F$3:$F$916),"")</f>
        <v/>
      </c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44"/>
      <c r="AG829" s="254">
        <f>Prog_23[[#This Row],[SAÍDA DO CLIENTE]]-Prog_23[[#This Row],[PROGRAMAÇÃO CLIENTE]]</f>
        <v>0</v>
      </c>
      <c r="AH829" s="44"/>
      <c r="AI829" s="66"/>
      <c r="AJ829" s="66"/>
      <c r="AK829" s="66"/>
      <c r="AL829" s="66"/>
      <c r="AM829" s="66"/>
      <c r="AN829" s="83"/>
      <c r="AO829" s="83"/>
      <c r="AP829" s="83"/>
      <c r="AQ829" s="66"/>
      <c r="AR829" s="66"/>
      <c r="AS829" s="66"/>
      <c r="AT829" s="81"/>
      <c r="AU829" s="81"/>
      <c r="AV829" s="81"/>
      <c r="AW829" s="81"/>
      <c r="AX829" s="83">
        <f>SUM(Prog_23[[#This Row],[ADIANTAMENTO]]+Prog_23[[#This Row],[SALDO]]+Prog_23[[#This Row],[MARGEM]]+Prog_23[[#This Row],[ESTADIA 1]])</f>
        <v>0</v>
      </c>
      <c r="AY8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29" s="81"/>
      <c r="BA829" s="81"/>
      <c r="BB829" s="81">
        <f>Prog_23[[#This Row],[VLR NF]]*0.1%</f>
        <v>0</v>
      </c>
      <c r="BC829" s="81">
        <f>Prog_23[[#This Row],[VLR NF]]*0.05%</f>
        <v>0</v>
      </c>
      <c r="BD829" s="81"/>
      <c r="BE829" s="81"/>
      <c r="BF829" s="81"/>
      <c r="BG829" s="81"/>
      <c r="BH829" s="81"/>
      <c r="BI829" s="81"/>
      <c r="BJ829" s="81"/>
      <c r="BK829" s="81"/>
      <c r="BL829" s="81"/>
      <c r="BM829" s="81"/>
      <c r="BN829" s="66"/>
      <c r="BO829" s="66"/>
      <c r="BP829" s="66"/>
      <c r="BQ829" s="66" t="str">
        <f>PROPER(TEXT(Prog_23[[#This Row],[PROGRAMAÇÃO CLIENTE]],"mmm"))</f>
        <v>Jan</v>
      </c>
      <c r="BR829" s="66">
        <f>YEAR(Prog_23[[#This Row],[PROGRAMAÇÃO CLIENTE]])</f>
        <v>1900</v>
      </c>
    </row>
    <row r="830" spans="1:70" x14ac:dyDescent="0.25">
      <c r="A830" s="201">
        <f>Prog_23[[#This Row],[CONTEINER]]</f>
        <v>0</v>
      </c>
      <c r="B830" s="86"/>
      <c r="C8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30" s="44"/>
      <c r="E830" s="66"/>
      <c r="F830" s="66"/>
      <c r="G830" s="66"/>
      <c r="H830" s="44"/>
      <c r="I830" s="44"/>
      <c r="J830" s="66"/>
      <c r="K830" s="66"/>
      <c r="L830" s="66"/>
      <c r="M830" s="66"/>
      <c r="N830" s="66">
        <f>SUM(Prog_23[[#This Row],[TARA]]+Prog_23[[#This Row],[PESO]])</f>
        <v>0</v>
      </c>
      <c r="O830" s="44"/>
      <c r="P830" s="66"/>
      <c r="Q830" s="66"/>
      <c r="R830" s="66"/>
      <c r="S830" s="66"/>
      <c r="T830" s="138" t="str">
        <f>IFERROR(LOOKUP($S830,MOTORISTAS!$D$3:$D$916,MOTORISTAS!E$3:$E$916),"")</f>
        <v/>
      </c>
      <c r="U830" s="138" t="str">
        <f>IFERROR(LOOKUP($S830,MOTORISTAS!$D$3:$D$916,MOTORISTAS!F$3:$F$916),"")</f>
        <v/>
      </c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44"/>
      <c r="AG830" s="254">
        <f>Prog_23[[#This Row],[SAÍDA DO CLIENTE]]-Prog_23[[#This Row],[PROGRAMAÇÃO CLIENTE]]</f>
        <v>0</v>
      </c>
      <c r="AH830" s="44"/>
      <c r="AI830" s="66"/>
      <c r="AJ830" s="66"/>
      <c r="AK830" s="66"/>
      <c r="AL830" s="66"/>
      <c r="AM830" s="66"/>
      <c r="AN830" s="83"/>
      <c r="AO830" s="83"/>
      <c r="AP830" s="83"/>
      <c r="AQ830" s="66"/>
      <c r="AR830" s="66"/>
      <c r="AS830" s="66"/>
      <c r="AT830" s="81"/>
      <c r="AU830" s="81"/>
      <c r="AV830" s="81"/>
      <c r="AW830" s="81"/>
      <c r="AX830" s="83">
        <f>SUM(Prog_23[[#This Row],[ADIANTAMENTO]]+Prog_23[[#This Row],[SALDO]]+Prog_23[[#This Row],[MARGEM]]+Prog_23[[#This Row],[ESTADIA 1]])</f>
        <v>0</v>
      </c>
      <c r="AY8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30" s="81"/>
      <c r="BA830" s="81"/>
      <c r="BB830" s="81">
        <f>Prog_23[[#This Row],[VLR NF]]*0.1%</f>
        <v>0</v>
      </c>
      <c r="BC830" s="81">
        <f>Prog_23[[#This Row],[VLR NF]]*0.05%</f>
        <v>0</v>
      </c>
      <c r="BD830" s="81"/>
      <c r="BE830" s="81"/>
      <c r="BF830" s="81"/>
      <c r="BG830" s="81"/>
      <c r="BH830" s="81"/>
      <c r="BI830" s="81"/>
      <c r="BJ830" s="81"/>
      <c r="BK830" s="81"/>
      <c r="BL830" s="81"/>
      <c r="BM830" s="81"/>
      <c r="BN830" s="66"/>
      <c r="BO830" s="66"/>
      <c r="BP830" s="66"/>
      <c r="BQ830" s="66" t="str">
        <f>PROPER(TEXT(Prog_23[[#This Row],[PROGRAMAÇÃO CLIENTE]],"mmm"))</f>
        <v>Jan</v>
      </c>
      <c r="BR830" s="66">
        <f>YEAR(Prog_23[[#This Row],[PROGRAMAÇÃO CLIENTE]])</f>
        <v>1900</v>
      </c>
    </row>
    <row r="831" spans="1:70" x14ac:dyDescent="0.25">
      <c r="A831" s="200">
        <f>Prog_23[[#This Row],[CONTEINER]]</f>
        <v>0</v>
      </c>
      <c r="B831" s="86"/>
      <c r="C8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31" s="44"/>
      <c r="E831" s="66"/>
      <c r="F831" s="66"/>
      <c r="G831" s="66"/>
      <c r="H831" s="44"/>
      <c r="I831" s="44"/>
      <c r="J831" s="66"/>
      <c r="K831" s="66"/>
      <c r="L831" s="66"/>
      <c r="M831" s="66"/>
      <c r="N831" s="66">
        <f>SUM(Prog_23[[#This Row],[TARA]]+Prog_23[[#This Row],[PESO]])</f>
        <v>0</v>
      </c>
      <c r="O831" s="44"/>
      <c r="P831" s="66"/>
      <c r="Q831" s="66"/>
      <c r="R831" s="66"/>
      <c r="S831" s="66"/>
      <c r="T831" s="138" t="str">
        <f>IFERROR(LOOKUP($S831,MOTORISTAS!$D$3:$D$916,MOTORISTAS!E$3:$E$916),"")</f>
        <v/>
      </c>
      <c r="U831" s="138" t="str">
        <f>IFERROR(LOOKUP($S831,MOTORISTAS!$D$3:$D$916,MOTORISTAS!F$3:$F$916),"")</f>
        <v/>
      </c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44"/>
      <c r="AG831" s="254">
        <f>Prog_23[[#This Row],[SAÍDA DO CLIENTE]]-Prog_23[[#This Row],[PROGRAMAÇÃO CLIENTE]]</f>
        <v>0</v>
      </c>
      <c r="AH831" s="44"/>
      <c r="AI831" s="66"/>
      <c r="AJ831" s="66"/>
      <c r="AK831" s="66"/>
      <c r="AL831" s="66"/>
      <c r="AM831" s="66"/>
      <c r="AN831" s="83"/>
      <c r="AO831" s="83"/>
      <c r="AP831" s="83"/>
      <c r="AQ831" s="66"/>
      <c r="AR831" s="66"/>
      <c r="AS831" s="66"/>
      <c r="AT831" s="81"/>
      <c r="AU831" s="81"/>
      <c r="AV831" s="81"/>
      <c r="AW831" s="81"/>
      <c r="AX831" s="83">
        <f>SUM(Prog_23[[#This Row],[ADIANTAMENTO]]+Prog_23[[#This Row],[SALDO]]+Prog_23[[#This Row],[MARGEM]]+Prog_23[[#This Row],[ESTADIA 1]])</f>
        <v>0</v>
      </c>
      <c r="AY8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31" s="81"/>
      <c r="BA831" s="81"/>
      <c r="BB831" s="81">
        <f>Prog_23[[#This Row],[VLR NF]]*0.1%</f>
        <v>0</v>
      </c>
      <c r="BC831" s="81">
        <f>Prog_23[[#This Row],[VLR NF]]*0.05%</f>
        <v>0</v>
      </c>
      <c r="BD831" s="81"/>
      <c r="BE831" s="81"/>
      <c r="BF831" s="81"/>
      <c r="BG831" s="81"/>
      <c r="BH831" s="81"/>
      <c r="BI831" s="81"/>
      <c r="BJ831" s="81"/>
      <c r="BK831" s="81"/>
      <c r="BL831" s="81"/>
      <c r="BM831" s="81"/>
      <c r="BN831" s="66"/>
      <c r="BO831" s="66"/>
      <c r="BP831" s="66"/>
      <c r="BQ831" s="66" t="str">
        <f>PROPER(TEXT(Prog_23[[#This Row],[PROGRAMAÇÃO CLIENTE]],"mmm"))</f>
        <v>Jan</v>
      </c>
      <c r="BR831" s="66">
        <f>YEAR(Prog_23[[#This Row],[PROGRAMAÇÃO CLIENTE]])</f>
        <v>1900</v>
      </c>
    </row>
    <row r="832" spans="1:70" x14ac:dyDescent="0.25">
      <c r="A832" s="201">
        <f>Prog_23[[#This Row],[CONTEINER]]</f>
        <v>0</v>
      </c>
      <c r="B832" s="86"/>
      <c r="C8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32" s="44"/>
      <c r="E832" s="66"/>
      <c r="F832" s="66"/>
      <c r="G832" s="66"/>
      <c r="H832" s="44"/>
      <c r="I832" s="44"/>
      <c r="J832" s="66"/>
      <c r="K832" s="66"/>
      <c r="L832" s="66"/>
      <c r="M832" s="66"/>
      <c r="N832" s="66">
        <f>SUM(Prog_23[[#This Row],[TARA]]+Prog_23[[#This Row],[PESO]])</f>
        <v>0</v>
      </c>
      <c r="O832" s="44"/>
      <c r="P832" s="66"/>
      <c r="Q832" s="66"/>
      <c r="R832" s="66"/>
      <c r="S832" s="66"/>
      <c r="T832" s="138" t="str">
        <f>IFERROR(LOOKUP($S832,MOTORISTAS!$D$3:$D$916,MOTORISTAS!E$3:$E$916),"")</f>
        <v/>
      </c>
      <c r="U832" s="138" t="str">
        <f>IFERROR(LOOKUP($S832,MOTORISTAS!$D$3:$D$916,MOTORISTAS!F$3:$F$916),"")</f>
        <v/>
      </c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44"/>
      <c r="AG832" s="254">
        <f>Prog_23[[#This Row],[SAÍDA DO CLIENTE]]-Prog_23[[#This Row],[PROGRAMAÇÃO CLIENTE]]</f>
        <v>0</v>
      </c>
      <c r="AH832" s="44"/>
      <c r="AI832" s="66"/>
      <c r="AJ832" s="66"/>
      <c r="AK832" s="66"/>
      <c r="AL832" s="66"/>
      <c r="AM832" s="66"/>
      <c r="AN832" s="83"/>
      <c r="AO832" s="83"/>
      <c r="AP832" s="83"/>
      <c r="AQ832" s="66"/>
      <c r="AR832" s="66"/>
      <c r="AS832" s="66"/>
      <c r="AT832" s="81"/>
      <c r="AU832" s="81"/>
      <c r="AV832" s="81"/>
      <c r="AW832" s="81"/>
      <c r="AX832" s="83">
        <f>SUM(Prog_23[[#This Row],[ADIANTAMENTO]]+Prog_23[[#This Row],[SALDO]]+Prog_23[[#This Row],[MARGEM]]+Prog_23[[#This Row],[ESTADIA 1]])</f>
        <v>0</v>
      </c>
      <c r="AY8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32" s="81"/>
      <c r="BA832" s="81"/>
      <c r="BB832" s="81">
        <f>Prog_23[[#This Row],[VLR NF]]*0.1%</f>
        <v>0</v>
      </c>
      <c r="BC832" s="81">
        <f>Prog_23[[#This Row],[VLR NF]]*0.05%</f>
        <v>0</v>
      </c>
      <c r="BD832" s="81"/>
      <c r="BE832" s="81"/>
      <c r="BF832" s="81"/>
      <c r="BG832" s="81"/>
      <c r="BH832" s="81"/>
      <c r="BI832" s="81"/>
      <c r="BJ832" s="81"/>
      <c r="BK832" s="81"/>
      <c r="BL832" s="81"/>
      <c r="BM832" s="81"/>
      <c r="BN832" s="66"/>
      <c r="BO832" s="66"/>
      <c r="BP832" s="66"/>
      <c r="BQ832" s="66" t="str">
        <f>PROPER(TEXT(Prog_23[[#This Row],[PROGRAMAÇÃO CLIENTE]],"mmm"))</f>
        <v>Jan</v>
      </c>
      <c r="BR832" s="66">
        <f>YEAR(Prog_23[[#This Row],[PROGRAMAÇÃO CLIENTE]])</f>
        <v>1900</v>
      </c>
    </row>
    <row r="833" spans="1:70" x14ac:dyDescent="0.25">
      <c r="A833" s="200">
        <f>Prog_23[[#This Row],[CONTEINER]]</f>
        <v>0</v>
      </c>
      <c r="B833" s="86"/>
      <c r="C8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33" s="44"/>
      <c r="E833" s="66"/>
      <c r="F833" s="66"/>
      <c r="G833" s="66"/>
      <c r="H833" s="44"/>
      <c r="I833" s="44"/>
      <c r="J833" s="66"/>
      <c r="K833" s="66"/>
      <c r="L833" s="66"/>
      <c r="M833" s="66"/>
      <c r="N833" s="66">
        <f>SUM(Prog_23[[#This Row],[TARA]]+Prog_23[[#This Row],[PESO]])</f>
        <v>0</v>
      </c>
      <c r="O833" s="44"/>
      <c r="P833" s="66"/>
      <c r="Q833" s="66"/>
      <c r="R833" s="66"/>
      <c r="S833" s="66"/>
      <c r="T833" s="138" t="str">
        <f>IFERROR(LOOKUP($S833,MOTORISTAS!$D$3:$D$916,MOTORISTAS!E$3:$E$916),"")</f>
        <v/>
      </c>
      <c r="U833" s="138" t="str">
        <f>IFERROR(LOOKUP($S833,MOTORISTAS!$D$3:$D$916,MOTORISTAS!F$3:$F$916),"")</f>
        <v/>
      </c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44"/>
      <c r="AG833" s="254">
        <f>Prog_23[[#This Row],[SAÍDA DO CLIENTE]]-Prog_23[[#This Row],[PROGRAMAÇÃO CLIENTE]]</f>
        <v>0</v>
      </c>
      <c r="AH833" s="44"/>
      <c r="AI833" s="66"/>
      <c r="AJ833" s="66"/>
      <c r="AK833" s="66"/>
      <c r="AL833" s="66"/>
      <c r="AM833" s="66"/>
      <c r="AN833" s="83"/>
      <c r="AO833" s="83"/>
      <c r="AP833" s="83"/>
      <c r="AQ833" s="66"/>
      <c r="AR833" s="66"/>
      <c r="AS833" s="66"/>
      <c r="AT833" s="81"/>
      <c r="AU833" s="81"/>
      <c r="AV833" s="81"/>
      <c r="AW833" s="81"/>
      <c r="AX833" s="83">
        <f>SUM(Prog_23[[#This Row],[ADIANTAMENTO]]+Prog_23[[#This Row],[SALDO]]+Prog_23[[#This Row],[MARGEM]]+Prog_23[[#This Row],[ESTADIA 1]])</f>
        <v>0</v>
      </c>
      <c r="AY8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33" s="81"/>
      <c r="BA833" s="81"/>
      <c r="BB833" s="81">
        <f>Prog_23[[#This Row],[VLR NF]]*0.1%</f>
        <v>0</v>
      </c>
      <c r="BC833" s="81">
        <f>Prog_23[[#This Row],[VLR NF]]*0.05%</f>
        <v>0</v>
      </c>
      <c r="BD833" s="81"/>
      <c r="BE833" s="81"/>
      <c r="BF833" s="81"/>
      <c r="BG833" s="81"/>
      <c r="BH833" s="81"/>
      <c r="BI833" s="81"/>
      <c r="BJ833" s="81"/>
      <c r="BK833" s="81"/>
      <c r="BL833" s="81"/>
      <c r="BM833" s="81"/>
      <c r="BN833" s="66"/>
      <c r="BO833" s="66"/>
      <c r="BP833" s="66"/>
      <c r="BQ833" s="66" t="str">
        <f>PROPER(TEXT(Prog_23[[#This Row],[PROGRAMAÇÃO CLIENTE]],"mmm"))</f>
        <v>Jan</v>
      </c>
      <c r="BR833" s="66">
        <f>YEAR(Prog_23[[#This Row],[PROGRAMAÇÃO CLIENTE]])</f>
        <v>1900</v>
      </c>
    </row>
    <row r="834" spans="1:70" x14ac:dyDescent="0.25">
      <c r="A834" s="201">
        <f>Prog_23[[#This Row],[CONTEINER]]</f>
        <v>0</v>
      </c>
      <c r="B834" s="86"/>
      <c r="C8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34" s="44"/>
      <c r="E834" s="66"/>
      <c r="F834" s="66"/>
      <c r="G834" s="66"/>
      <c r="H834" s="44"/>
      <c r="I834" s="44"/>
      <c r="J834" s="66"/>
      <c r="K834" s="66"/>
      <c r="L834" s="66"/>
      <c r="M834" s="66"/>
      <c r="N834" s="66">
        <f>SUM(Prog_23[[#This Row],[TARA]]+Prog_23[[#This Row],[PESO]])</f>
        <v>0</v>
      </c>
      <c r="O834" s="44"/>
      <c r="P834" s="66"/>
      <c r="Q834" s="66"/>
      <c r="R834" s="66"/>
      <c r="S834" s="66"/>
      <c r="T834" s="138" t="str">
        <f>IFERROR(LOOKUP($S834,MOTORISTAS!$D$3:$D$916,MOTORISTAS!E$3:$E$916),"")</f>
        <v/>
      </c>
      <c r="U834" s="138" t="str">
        <f>IFERROR(LOOKUP($S834,MOTORISTAS!$D$3:$D$916,MOTORISTAS!F$3:$F$916),"")</f>
        <v/>
      </c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44"/>
      <c r="AG834" s="254">
        <f>Prog_23[[#This Row],[SAÍDA DO CLIENTE]]-Prog_23[[#This Row],[PROGRAMAÇÃO CLIENTE]]</f>
        <v>0</v>
      </c>
      <c r="AH834" s="44"/>
      <c r="AI834" s="66"/>
      <c r="AJ834" s="66"/>
      <c r="AK834" s="66"/>
      <c r="AL834" s="66"/>
      <c r="AM834" s="66"/>
      <c r="AN834" s="83"/>
      <c r="AO834" s="83"/>
      <c r="AP834" s="83"/>
      <c r="AQ834" s="66"/>
      <c r="AR834" s="66"/>
      <c r="AS834" s="66"/>
      <c r="AT834" s="81"/>
      <c r="AU834" s="81"/>
      <c r="AV834" s="81"/>
      <c r="AW834" s="81"/>
      <c r="AX834" s="83">
        <f>SUM(Prog_23[[#This Row],[ADIANTAMENTO]]+Prog_23[[#This Row],[SALDO]]+Prog_23[[#This Row],[MARGEM]]+Prog_23[[#This Row],[ESTADIA 1]])</f>
        <v>0</v>
      </c>
      <c r="AY8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34" s="81"/>
      <c r="BA834" s="81"/>
      <c r="BB834" s="81">
        <f>Prog_23[[#This Row],[VLR NF]]*0.1%</f>
        <v>0</v>
      </c>
      <c r="BC834" s="81">
        <f>Prog_23[[#This Row],[VLR NF]]*0.05%</f>
        <v>0</v>
      </c>
      <c r="BD834" s="81"/>
      <c r="BE834" s="81"/>
      <c r="BF834" s="81"/>
      <c r="BG834" s="81"/>
      <c r="BH834" s="81"/>
      <c r="BI834" s="81"/>
      <c r="BJ834" s="81"/>
      <c r="BK834" s="81"/>
      <c r="BL834" s="81"/>
      <c r="BM834" s="81"/>
      <c r="BN834" s="66"/>
      <c r="BO834" s="66"/>
      <c r="BP834" s="66"/>
      <c r="BQ834" s="66" t="str">
        <f>PROPER(TEXT(Prog_23[[#This Row],[PROGRAMAÇÃO CLIENTE]],"mmm"))</f>
        <v>Jan</v>
      </c>
      <c r="BR834" s="66">
        <f>YEAR(Prog_23[[#This Row],[PROGRAMAÇÃO CLIENTE]])</f>
        <v>1900</v>
      </c>
    </row>
    <row r="835" spans="1:70" x14ac:dyDescent="0.25">
      <c r="A835" s="200">
        <f>Prog_23[[#This Row],[CONTEINER]]</f>
        <v>0</v>
      </c>
      <c r="B835" s="86"/>
      <c r="C8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35" s="44"/>
      <c r="E835" s="66"/>
      <c r="F835" s="66"/>
      <c r="G835" s="66"/>
      <c r="H835" s="44"/>
      <c r="I835" s="44"/>
      <c r="J835" s="66"/>
      <c r="K835" s="66"/>
      <c r="L835" s="66"/>
      <c r="M835" s="66"/>
      <c r="N835" s="66">
        <f>SUM(Prog_23[[#This Row],[TARA]]+Prog_23[[#This Row],[PESO]])</f>
        <v>0</v>
      </c>
      <c r="O835" s="44"/>
      <c r="P835" s="66"/>
      <c r="Q835" s="66"/>
      <c r="R835" s="66"/>
      <c r="S835" s="66"/>
      <c r="T835" s="138" t="str">
        <f>IFERROR(LOOKUP($S835,MOTORISTAS!$D$3:$D$916,MOTORISTAS!E$3:$E$916),"")</f>
        <v/>
      </c>
      <c r="U835" s="138" t="str">
        <f>IFERROR(LOOKUP($S835,MOTORISTAS!$D$3:$D$916,MOTORISTAS!F$3:$F$916),"")</f>
        <v/>
      </c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44"/>
      <c r="AG835" s="254">
        <f>Prog_23[[#This Row],[SAÍDA DO CLIENTE]]-Prog_23[[#This Row],[PROGRAMAÇÃO CLIENTE]]</f>
        <v>0</v>
      </c>
      <c r="AH835" s="44"/>
      <c r="AI835" s="66"/>
      <c r="AJ835" s="66"/>
      <c r="AK835" s="66"/>
      <c r="AL835" s="66"/>
      <c r="AM835" s="66"/>
      <c r="AN835" s="83"/>
      <c r="AO835" s="83"/>
      <c r="AP835" s="83"/>
      <c r="AQ835" s="66"/>
      <c r="AR835" s="66"/>
      <c r="AS835" s="66"/>
      <c r="AT835" s="81"/>
      <c r="AU835" s="81"/>
      <c r="AV835" s="81"/>
      <c r="AW835" s="81"/>
      <c r="AX835" s="83">
        <f>SUM(Prog_23[[#This Row],[ADIANTAMENTO]]+Prog_23[[#This Row],[SALDO]]+Prog_23[[#This Row],[MARGEM]]+Prog_23[[#This Row],[ESTADIA 1]])</f>
        <v>0</v>
      </c>
      <c r="AY8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35" s="81"/>
      <c r="BA835" s="81"/>
      <c r="BB835" s="81">
        <f>Prog_23[[#This Row],[VLR NF]]*0.1%</f>
        <v>0</v>
      </c>
      <c r="BC835" s="81">
        <f>Prog_23[[#This Row],[VLR NF]]*0.05%</f>
        <v>0</v>
      </c>
      <c r="BD835" s="81"/>
      <c r="BE835" s="81"/>
      <c r="BF835" s="81"/>
      <c r="BG835" s="81"/>
      <c r="BH835" s="81"/>
      <c r="BI835" s="81"/>
      <c r="BJ835" s="81"/>
      <c r="BK835" s="81"/>
      <c r="BL835" s="81"/>
      <c r="BM835" s="81"/>
      <c r="BN835" s="66"/>
      <c r="BO835" s="66"/>
      <c r="BP835" s="66"/>
      <c r="BQ835" s="66" t="str">
        <f>PROPER(TEXT(Prog_23[[#This Row],[PROGRAMAÇÃO CLIENTE]],"mmm"))</f>
        <v>Jan</v>
      </c>
      <c r="BR835" s="66">
        <f>YEAR(Prog_23[[#This Row],[PROGRAMAÇÃO CLIENTE]])</f>
        <v>1900</v>
      </c>
    </row>
    <row r="836" spans="1:70" x14ac:dyDescent="0.25">
      <c r="A836" s="201">
        <f>Prog_23[[#This Row],[CONTEINER]]</f>
        <v>0</v>
      </c>
      <c r="B836" s="86"/>
      <c r="C8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36" s="44"/>
      <c r="E836" s="66"/>
      <c r="F836" s="66"/>
      <c r="G836" s="66"/>
      <c r="H836" s="44"/>
      <c r="I836" s="44"/>
      <c r="J836" s="66"/>
      <c r="K836" s="66"/>
      <c r="L836" s="66"/>
      <c r="M836" s="66"/>
      <c r="N836" s="66">
        <f>SUM(Prog_23[[#This Row],[TARA]]+Prog_23[[#This Row],[PESO]])</f>
        <v>0</v>
      </c>
      <c r="O836" s="44"/>
      <c r="P836" s="66"/>
      <c r="Q836" s="66"/>
      <c r="R836" s="66"/>
      <c r="S836" s="66"/>
      <c r="T836" s="138" t="str">
        <f>IFERROR(LOOKUP($S836,MOTORISTAS!$D$3:$D$916,MOTORISTAS!E$3:$E$916),"")</f>
        <v/>
      </c>
      <c r="U836" s="138" t="str">
        <f>IFERROR(LOOKUP($S836,MOTORISTAS!$D$3:$D$916,MOTORISTAS!F$3:$F$916),"")</f>
        <v/>
      </c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44"/>
      <c r="AG836" s="254">
        <f>Prog_23[[#This Row],[SAÍDA DO CLIENTE]]-Prog_23[[#This Row],[PROGRAMAÇÃO CLIENTE]]</f>
        <v>0</v>
      </c>
      <c r="AH836" s="44"/>
      <c r="AI836" s="66"/>
      <c r="AJ836" s="66"/>
      <c r="AK836" s="66"/>
      <c r="AL836" s="66"/>
      <c r="AM836" s="66"/>
      <c r="AN836" s="83"/>
      <c r="AO836" s="83"/>
      <c r="AP836" s="83"/>
      <c r="AQ836" s="66"/>
      <c r="AR836" s="66"/>
      <c r="AS836" s="66"/>
      <c r="AT836" s="81"/>
      <c r="AU836" s="81"/>
      <c r="AV836" s="81"/>
      <c r="AW836" s="81"/>
      <c r="AX836" s="83">
        <f>SUM(Prog_23[[#This Row],[ADIANTAMENTO]]+Prog_23[[#This Row],[SALDO]]+Prog_23[[#This Row],[MARGEM]]+Prog_23[[#This Row],[ESTADIA 1]])</f>
        <v>0</v>
      </c>
      <c r="AY8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36" s="81"/>
      <c r="BA836" s="81"/>
      <c r="BB836" s="81">
        <f>Prog_23[[#This Row],[VLR NF]]*0.1%</f>
        <v>0</v>
      </c>
      <c r="BC836" s="81">
        <f>Prog_23[[#This Row],[VLR NF]]*0.05%</f>
        <v>0</v>
      </c>
      <c r="BD836" s="81"/>
      <c r="BE836" s="81"/>
      <c r="BF836" s="81"/>
      <c r="BG836" s="81"/>
      <c r="BH836" s="81"/>
      <c r="BI836" s="81"/>
      <c r="BJ836" s="81"/>
      <c r="BK836" s="81"/>
      <c r="BL836" s="81"/>
      <c r="BM836" s="81"/>
      <c r="BN836" s="66"/>
      <c r="BO836" s="66"/>
      <c r="BP836" s="66"/>
      <c r="BQ836" s="66" t="str">
        <f>PROPER(TEXT(Prog_23[[#This Row],[PROGRAMAÇÃO CLIENTE]],"mmm"))</f>
        <v>Jan</v>
      </c>
      <c r="BR836" s="66">
        <f>YEAR(Prog_23[[#This Row],[PROGRAMAÇÃO CLIENTE]])</f>
        <v>1900</v>
      </c>
    </row>
    <row r="837" spans="1:70" x14ac:dyDescent="0.25">
      <c r="A837" s="200">
        <f>Prog_23[[#This Row],[CONTEINER]]</f>
        <v>0</v>
      </c>
      <c r="B837" s="86"/>
      <c r="C8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37" s="44"/>
      <c r="E837" s="66"/>
      <c r="F837" s="66"/>
      <c r="G837" s="66"/>
      <c r="H837" s="44"/>
      <c r="I837" s="44"/>
      <c r="J837" s="66"/>
      <c r="K837" s="66"/>
      <c r="L837" s="66"/>
      <c r="M837" s="66"/>
      <c r="N837" s="66">
        <f>SUM(Prog_23[[#This Row],[TARA]]+Prog_23[[#This Row],[PESO]])</f>
        <v>0</v>
      </c>
      <c r="O837" s="44"/>
      <c r="P837" s="66"/>
      <c r="Q837" s="66"/>
      <c r="R837" s="66"/>
      <c r="S837" s="66"/>
      <c r="T837" s="138" t="str">
        <f>IFERROR(LOOKUP($S837,MOTORISTAS!$D$3:$D$916,MOTORISTAS!E$3:$E$916),"")</f>
        <v/>
      </c>
      <c r="U837" s="138" t="str">
        <f>IFERROR(LOOKUP($S837,MOTORISTAS!$D$3:$D$916,MOTORISTAS!F$3:$F$916),"")</f>
        <v/>
      </c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44"/>
      <c r="AG837" s="254">
        <f>Prog_23[[#This Row],[SAÍDA DO CLIENTE]]-Prog_23[[#This Row],[PROGRAMAÇÃO CLIENTE]]</f>
        <v>0</v>
      </c>
      <c r="AH837" s="44"/>
      <c r="AI837" s="66"/>
      <c r="AJ837" s="66"/>
      <c r="AK837" s="66"/>
      <c r="AL837" s="66"/>
      <c r="AM837" s="66"/>
      <c r="AN837" s="83"/>
      <c r="AO837" s="83"/>
      <c r="AP837" s="83"/>
      <c r="AQ837" s="66"/>
      <c r="AR837" s="66"/>
      <c r="AS837" s="66"/>
      <c r="AT837" s="81"/>
      <c r="AU837" s="81"/>
      <c r="AV837" s="81"/>
      <c r="AW837" s="81"/>
      <c r="AX837" s="83">
        <f>SUM(Prog_23[[#This Row],[ADIANTAMENTO]]+Prog_23[[#This Row],[SALDO]]+Prog_23[[#This Row],[MARGEM]]+Prog_23[[#This Row],[ESTADIA 1]])</f>
        <v>0</v>
      </c>
      <c r="AY8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37" s="81"/>
      <c r="BA837" s="81"/>
      <c r="BB837" s="81">
        <f>Prog_23[[#This Row],[VLR NF]]*0.1%</f>
        <v>0</v>
      </c>
      <c r="BC837" s="81">
        <f>Prog_23[[#This Row],[VLR NF]]*0.05%</f>
        <v>0</v>
      </c>
      <c r="BD837" s="81"/>
      <c r="BE837" s="81"/>
      <c r="BF837" s="81"/>
      <c r="BG837" s="81"/>
      <c r="BH837" s="81"/>
      <c r="BI837" s="81"/>
      <c r="BJ837" s="81"/>
      <c r="BK837" s="81"/>
      <c r="BL837" s="81"/>
      <c r="BM837" s="81"/>
      <c r="BN837" s="66"/>
      <c r="BO837" s="66"/>
      <c r="BP837" s="66"/>
      <c r="BQ837" s="66" t="str">
        <f>PROPER(TEXT(Prog_23[[#This Row],[PROGRAMAÇÃO CLIENTE]],"mmm"))</f>
        <v>Jan</v>
      </c>
      <c r="BR837" s="66">
        <f>YEAR(Prog_23[[#This Row],[PROGRAMAÇÃO CLIENTE]])</f>
        <v>1900</v>
      </c>
    </row>
    <row r="838" spans="1:70" x14ac:dyDescent="0.25">
      <c r="A838" s="201">
        <f>Prog_23[[#This Row],[CONTEINER]]</f>
        <v>0</v>
      </c>
      <c r="B838" s="86"/>
      <c r="C8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38" s="44"/>
      <c r="E838" s="66"/>
      <c r="F838" s="66"/>
      <c r="G838" s="66"/>
      <c r="H838" s="44"/>
      <c r="I838" s="44"/>
      <c r="J838" s="66"/>
      <c r="K838" s="66"/>
      <c r="L838" s="66"/>
      <c r="M838" s="66"/>
      <c r="N838" s="66">
        <f>SUM(Prog_23[[#This Row],[TARA]]+Prog_23[[#This Row],[PESO]])</f>
        <v>0</v>
      </c>
      <c r="O838" s="44"/>
      <c r="P838" s="66"/>
      <c r="Q838" s="66"/>
      <c r="R838" s="66"/>
      <c r="S838" s="66"/>
      <c r="T838" s="138" t="str">
        <f>IFERROR(LOOKUP($S838,MOTORISTAS!$D$3:$D$916,MOTORISTAS!E$3:$E$916),"")</f>
        <v/>
      </c>
      <c r="U838" s="138" t="str">
        <f>IFERROR(LOOKUP($S838,MOTORISTAS!$D$3:$D$916,MOTORISTAS!F$3:$F$916),"")</f>
        <v/>
      </c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44"/>
      <c r="AG838" s="254">
        <f>Prog_23[[#This Row],[SAÍDA DO CLIENTE]]-Prog_23[[#This Row],[PROGRAMAÇÃO CLIENTE]]</f>
        <v>0</v>
      </c>
      <c r="AH838" s="44"/>
      <c r="AI838" s="66"/>
      <c r="AJ838" s="66"/>
      <c r="AK838" s="66"/>
      <c r="AL838" s="66"/>
      <c r="AM838" s="66"/>
      <c r="AN838" s="83"/>
      <c r="AO838" s="83"/>
      <c r="AP838" s="83"/>
      <c r="AQ838" s="66"/>
      <c r="AR838" s="66"/>
      <c r="AS838" s="66"/>
      <c r="AT838" s="81"/>
      <c r="AU838" s="81"/>
      <c r="AV838" s="81"/>
      <c r="AW838" s="81"/>
      <c r="AX838" s="83">
        <f>SUM(Prog_23[[#This Row],[ADIANTAMENTO]]+Prog_23[[#This Row],[SALDO]]+Prog_23[[#This Row],[MARGEM]]+Prog_23[[#This Row],[ESTADIA 1]])</f>
        <v>0</v>
      </c>
      <c r="AY8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38" s="81"/>
      <c r="BA838" s="81"/>
      <c r="BB838" s="81">
        <f>Prog_23[[#This Row],[VLR NF]]*0.1%</f>
        <v>0</v>
      </c>
      <c r="BC838" s="81">
        <f>Prog_23[[#This Row],[VLR NF]]*0.05%</f>
        <v>0</v>
      </c>
      <c r="BD838" s="81"/>
      <c r="BE838" s="81"/>
      <c r="BF838" s="81"/>
      <c r="BG838" s="81"/>
      <c r="BH838" s="81"/>
      <c r="BI838" s="81"/>
      <c r="BJ838" s="81"/>
      <c r="BK838" s="81"/>
      <c r="BL838" s="81"/>
      <c r="BM838" s="81"/>
      <c r="BN838" s="66"/>
      <c r="BO838" s="66"/>
      <c r="BP838" s="66"/>
      <c r="BQ838" s="66" t="str">
        <f>PROPER(TEXT(Prog_23[[#This Row],[PROGRAMAÇÃO CLIENTE]],"mmm"))</f>
        <v>Jan</v>
      </c>
      <c r="BR838" s="66">
        <f>YEAR(Prog_23[[#This Row],[PROGRAMAÇÃO CLIENTE]])</f>
        <v>1900</v>
      </c>
    </row>
    <row r="839" spans="1:70" x14ac:dyDescent="0.25">
      <c r="A839" s="200">
        <f>Prog_23[[#This Row],[CONTEINER]]</f>
        <v>0</v>
      </c>
      <c r="B839" s="86"/>
      <c r="C8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39" s="44"/>
      <c r="E839" s="66"/>
      <c r="F839" s="66"/>
      <c r="G839" s="66"/>
      <c r="H839" s="44"/>
      <c r="I839" s="44"/>
      <c r="J839" s="66"/>
      <c r="K839" s="66"/>
      <c r="L839" s="66"/>
      <c r="M839" s="66"/>
      <c r="N839" s="66">
        <f>SUM(Prog_23[[#This Row],[TARA]]+Prog_23[[#This Row],[PESO]])</f>
        <v>0</v>
      </c>
      <c r="O839" s="44"/>
      <c r="P839" s="66"/>
      <c r="Q839" s="66"/>
      <c r="R839" s="66"/>
      <c r="S839" s="66"/>
      <c r="T839" s="138" t="str">
        <f>IFERROR(LOOKUP($S839,MOTORISTAS!$D$3:$D$916,MOTORISTAS!E$3:$E$916),"")</f>
        <v/>
      </c>
      <c r="U839" s="138" t="str">
        <f>IFERROR(LOOKUP($S839,MOTORISTAS!$D$3:$D$916,MOTORISTAS!F$3:$F$916),"")</f>
        <v/>
      </c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44"/>
      <c r="AG839" s="254">
        <f>Prog_23[[#This Row],[SAÍDA DO CLIENTE]]-Prog_23[[#This Row],[PROGRAMAÇÃO CLIENTE]]</f>
        <v>0</v>
      </c>
      <c r="AH839" s="44"/>
      <c r="AI839" s="66"/>
      <c r="AJ839" s="66"/>
      <c r="AK839" s="66"/>
      <c r="AL839" s="66"/>
      <c r="AM839" s="66"/>
      <c r="AN839" s="83"/>
      <c r="AO839" s="83"/>
      <c r="AP839" s="83"/>
      <c r="AQ839" s="66"/>
      <c r="AR839" s="66"/>
      <c r="AS839" s="66"/>
      <c r="AT839" s="81"/>
      <c r="AU839" s="81"/>
      <c r="AV839" s="81"/>
      <c r="AW839" s="81"/>
      <c r="AX839" s="83">
        <f>SUM(Prog_23[[#This Row],[ADIANTAMENTO]]+Prog_23[[#This Row],[SALDO]]+Prog_23[[#This Row],[MARGEM]]+Prog_23[[#This Row],[ESTADIA 1]])</f>
        <v>0</v>
      </c>
      <c r="AY8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39" s="81"/>
      <c r="BA839" s="81"/>
      <c r="BB839" s="81">
        <f>Prog_23[[#This Row],[VLR NF]]*0.1%</f>
        <v>0</v>
      </c>
      <c r="BC839" s="81">
        <f>Prog_23[[#This Row],[VLR NF]]*0.05%</f>
        <v>0</v>
      </c>
      <c r="BD839" s="81"/>
      <c r="BE839" s="81"/>
      <c r="BF839" s="81"/>
      <c r="BG839" s="81"/>
      <c r="BH839" s="81"/>
      <c r="BI839" s="81"/>
      <c r="BJ839" s="81"/>
      <c r="BK839" s="81"/>
      <c r="BL839" s="81"/>
      <c r="BM839" s="81"/>
      <c r="BN839" s="66"/>
      <c r="BO839" s="66"/>
      <c r="BP839" s="66"/>
      <c r="BQ839" s="66" t="str">
        <f>PROPER(TEXT(Prog_23[[#This Row],[PROGRAMAÇÃO CLIENTE]],"mmm"))</f>
        <v>Jan</v>
      </c>
      <c r="BR839" s="66">
        <f>YEAR(Prog_23[[#This Row],[PROGRAMAÇÃO CLIENTE]])</f>
        <v>1900</v>
      </c>
    </row>
    <row r="840" spans="1:70" x14ac:dyDescent="0.25">
      <c r="A840" s="201">
        <f>Prog_23[[#This Row],[CONTEINER]]</f>
        <v>0</v>
      </c>
      <c r="B840" s="86"/>
      <c r="C8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40" s="44"/>
      <c r="E840" s="66"/>
      <c r="F840" s="66"/>
      <c r="G840" s="66"/>
      <c r="H840" s="44"/>
      <c r="I840" s="44"/>
      <c r="J840" s="66"/>
      <c r="K840" s="66"/>
      <c r="L840" s="66"/>
      <c r="M840" s="66"/>
      <c r="N840" s="66">
        <f>SUM(Prog_23[[#This Row],[TARA]]+Prog_23[[#This Row],[PESO]])</f>
        <v>0</v>
      </c>
      <c r="O840" s="44"/>
      <c r="P840" s="66"/>
      <c r="Q840" s="66"/>
      <c r="R840" s="66"/>
      <c r="S840" s="66"/>
      <c r="T840" s="138" t="str">
        <f>IFERROR(LOOKUP($S840,MOTORISTAS!$D$3:$D$916,MOTORISTAS!E$3:$E$916),"")</f>
        <v/>
      </c>
      <c r="U840" s="138" t="str">
        <f>IFERROR(LOOKUP($S840,MOTORISTAS!$D$3:$D$916,MOTORISTAS!F$3:$F$916),"")</f>
        <v/>
      </c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44"/>
      <c r="AG840" s="254">
        <f>Prog_23[[#This Row],[SAÍDA DO CLIENTE]]-Prog_23[[#This Row],[PROGRAMAÇÃO CLIENTE]]</f>
        <v>0</v>
      </c>
      <c r="AH840" s="44"/>
      <c r="AI840" s="66"/>
      <c r="AJ840" s="66"/>
      <c r="AK840" s="66"/>
      <c r="AL840" s="66"/>
      <c r="AM840" s="66"/>
      <c r="AN840" s="83"/>
      <c r="AO840" s="83"/>
      <c r="AP840" s="83"/>
      <c r="AQ840" s="66"/>
      <c r="AR840" s="66"/>
      <c r="AS840" s="66"/>
      <c r="AT840" s="81"/>
      <c r="AU840" s="81"/>
      <c r="AV840" s="81"/>
      <c r="AW840" s="81"/>
      <c r="AX840" s="83">
        <f>SUM(Prog_23[[#This Row],[ADIANTAMENTO]]+Prog_23[[#This Row],[SALDO]]+Prog_23[[#This Row],[MARGEM]]+Prog_23[[#This Row],[ESTADIA 1]])</f>
        <v>0</v>
      </c>
      <c r="AY8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40" s="81"/>
      <c r="BA840" s="81"/>
      <c r="BB840" s="81">
        <f>Prog_23[[#This Row],[VLR NF]]*0.1%</f>
        <v>0</v>
      </c>
      <c r="BC840" s="81">
        <f>Prog_23[[#This Row],[VLR NF]]*0.05%</f>
        <v>0</v>
      </c>
      <c r="BD840" s="81"/>
      <c r="BE840" s="81"/>
      <c r="BF840" s="81"/>
      <c r="BG840" s="81"/>
      <c r="BH840" s="81"/>
      <c r="BI840" s="81"/>
      <c r="BJ840" s="81"/>
      <c r="BK840" s="81"/>
      <c r="BL840" s="81"/>
      <c r="BM840" s="81"/>
      <c r="BN840" s="66"/>
      <c r="BO840" s="66"/>
      <c r="BP840" s="66"/>
      <c r="BQ840" s="66" t="str">
        <f>PROPER(TEXT(Prog_23[[#This Row],[PROGRAMAÇÃO CLIENTE]],"mmm"))</f>
        <v>Jan</v>
      </c>
      <c r="BR840" s="66">
        <f>YEAR(Prog_23[[#This Row],[PROGRAMAÇÃO CLIENTE]])</f>
        <v>1900</v>
      </c>
    </row>
    <row r="841" spans="1:70" x14ac:dyDescent="0.25">
      <c r="A841" s="200">
        <f>Prog_23[[#This Row],[CONTEINER]]</f>
        <v>0</v>
      </c>
      <c r="B841" s="86"/>
      <c r="C8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41" s="44"/>
      <c r="E841" s="66"/>
      <c r="F841" s="66"/>
      <c r="G841" s="66"/>
      <c r="H841" s="44"/>
      <c r="I841" s="44"/>
      <c r="J841" s="66"/>
      <c r="K841" s="66"/>
      <c r="L841" s="66"/>
      <c r="M841" s="66"/>
      <c r="N841" s="66">
        <f>SUM(Prog_23[[#This Row],[TARA]]+Prog_23[[#This Row],[PESO]])</f>
        <v>0</v>
      </c>
      <c r="O841" s="44"/>
      <c r="P841" s="66"/>
      <c r="Q841" s="66"/>
      <c r="R841" s="66"/>
      <c r="S841" s="66"/>
      <c r="T841" s="138" t="str">
        <f>IFERROR(LOOKUP($S841,MOTORISTAS!$D$3:$D$916,MOTORISTAS!E$3:$E$916),"")</f>
        <v/>
      </c>
      <c r="U841" s="138" t="str">
        <f>IFERROR(LOOKUP($S841,MOTORISTAS!$D$3:$D$916,MOTORISTAS!F$3:$F$916),"")</f>
        <v/>
      </c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44"/>
      <c r="AG841" s="254">
        <f>Prog_23[[#This Row],[SAÍDA DO CLIENTE]]-Prog_23[[#This Row],[PROGRAMAÇÃO CLIENTE]]</f>
        <v>0</v>
      </c>
      <c r="AH841" s="44"/>
      <c r="AI841" s="66"/>
      <c r="AJ841" s="66"/>
      <c r="AK841" s="66"/>
      <c r="AL841" s="66"/>
      <c r="AM841" s="66"/>
      <c r="AN841" s="83"/>
      <c r="AO841" s="83"/>
      <c r="AP841" s="83"/>
      <c r="AQ841" s="66"/>
      <c r="AR841" s="66"/>
      <c r="AS841" s="66"/>
      <c r="AT841" s="81"/>
      <c r="AU841" s="81"/>
      <c r="AV841" s="81"/>
      <c r="AW841" s="81"/>
      <c r="AX841" s="83">
        <f>SUM(Prog_23[[#This Row],[ADIANTAMENTO]]+Prog_23[[#This Row],[SALDO]]+Prog_23[[#This Row],[MARGEM]]+Prog_23[[#This Row],[ESTADIA 1]])</f>
        <v>0</v>
      </c>
      <c r="AY8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41" s="81"/>
      <c r="BA841" s="81"/>
      <c r="BB841" s="81">
        <f>Prog_23[[#This Row],[VLR NF]]*0.1%</f>
        <v>0</v>
      </c>
      <c r="BC841" s="81">
        <f>Prog_23[[#This Row],[VLR NF]]*0.05%</f>
        <v>0</v>
      </c>
      <c r="BD841" s="81"/>
      <c r="BE841" s="81"/>
      <c r="BF841" s="81"/>
      <c r="BG841" s="81"/>
      <c r="BH841" s="81"/>
      <c r="BI841" s="81"/>
      <c r="BJ841" s="81"/>
      <c r="BK841" s="81"/>
      <c r="BL841" s="81"/>
      <c r="BM841" s="81"/>
      <c r="BN841" s="66"/>
      <c r="BO841" s="66"/>
      <c r="BP841" s="66"/>
      <c r="BQ841" s="66" t="str">
        <f>PROPER(TEXT(Prog_23[[#This Row],[PROGRAMAÇÃO CLIENTE]],"mmm"))</f>
        <v>Jan</v>
      </c>
      <c r="BR841" s="66">
        <f>YEAR(Prog_23[[#This Row],[PROGRAMAÇÃO CLIENTE]])</f>
        <v>1900</v>
      </c>
    </row>
    <row r="842" spans="1:70" x14ac:dyDescent="0.25">
      <c r="A842" s="201">
        <f>Prog_23[[#This Row],[CONTEINER]]</f>
        <v>0</v>
      </c>
      <c r="B842" s="86"/>
      <c r="C8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42" s="44"/>
      <c r="E842" s="66"/>
      <c r="F842" s="66"/>
      <c r="G842" s="66"/>
      <c r="H842" s="44"/>
      <c r="I842" s="44"/>
      <c r="J842" s="66"/>
      <c r="K842" s="66"/>
      <c r="L842" s="66"/>
      <c r="M842" s="66"/>
      <c r="N842" s="66">
        <f>SUM(Prog_23[[#This Row],[TARA]]+Prog_23[[#This Row],[PESO]])</f>
        <v>0</v>
      </c>
      <c r="O842" s="44"/>
      <c r="P842" s="66"/>
      <c r="Q842" s="66"/>
      <c r="R842" s="66"/>
      <c r="S842" s="66"/>
      <c r="T842" s="138" t="str">
        <f>IFERROR(LOOKUP($S842,MOTORISTAS!$D$3:$D$916,MOTORISTAS!E$3:$E$916),"")</f>
        <v/>
      </c>
      <c r="U842" s="138" t="str">
        <f>IFERROR(LOOKUP($S842,MOTORISTAS!$D$3:$D$916,MOTORISTAS!F$3:$F$916),"")</f>
        <v/>
      </c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44"/>
      <c r="AG842" s="254">
        <f>Prog_23[[#This Row],[SAÍDA DO CLIENTE]]-Prog_23[[#This Row],[PROGRAMAÇÃO CLIENTE]]</f>
        <v>0</v>
      </c>
      <c r="AH842" s="44"/>
      <c r="AI842" s="66"/>
      <c r="AJ842" s="66"/>
      <c r="AK842" s="66"/>
      <c r="AL842" s="66"/>
      <c r="AM842" s="66"/>
      <c r="AN842" s="83"/>
      <c r="AO842" s="83"/>
      <c r="AP842" s="83"/>
      <c r="AQ842" s="66"/>
      <c r="AR842" s="66"/>
      <c r="AS842" s="66"/>
      <c r="AT842" s="81"/>
      <c r="AU842" s="81"/>
      <c r="AV842" s="81"/>
      <c r="AW842" s="81"/>
      <c r="AX842" s="83">
        <f>SUM(Prog_23[[#This Row],[ADIANTAMENTO]]+Prog_23[[#This Row],[SALDO]]+Prog_23[[#This Row],[MARGEM]]+Prog_23[[#This Row],[ESTADIA 1]])</f>
        <v>0</v>
      </c>
      <c r="AY8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42" s="81"/>
      <c r="BA842" s="81"/>
      <c r="BB842" s="81">
        <f>Prog_23[[#This Row],[VLR NF]]*0.1%</f>
        <v>0</v>
      </c>
      <c r="BC842" s="81">
        <f>Prog_23[[#This Row],[VLR NF]]*0.05%</f>
        <v>0</v>
      </c>
      <c r="BD842" s="81"/>
      <c r="BE842" s="81"/>
      <c r="BF842" s="81"/>
      <c r="BG842" s="81"/>
      <c r="BH842" s="81"/>
      <c r="BI842" s="81"/>
      <c r="BJ842" s="81"/>
      <c r="BK842" s="81"/>
      <c r="BL842" s="81"/>
      <c r="BM842" s="81"/>
      <c r="BN842" s="66"/>
      <c r="BO842" s="66"/>
      <c r="BP842" s="66"/>
      <c r="BQ842" s="66" t="str">
        <f>PROPER(TEXT(Prog_23[[#This Row],[PROGRAMAÇÃO CLIENTE]],"mmm"))</f>
        <v>Jan</v>
      </c>
      <c r="BR842" s="66">
        <f>YEAR(Prog_23[[#This Row],[PROGRAMAÇÃO CLIENTE]])</f>
        <v>1900</v>
      </c>
    </row>
    <row r="843" spans="1:70" x14ac:dyDescent="0.25">
      <c r="A843" s="200">
        <f>Prog_23[[#This Row],[CONTEINER]]</f>
        <v>0</v>
      </c>
      <c r="B843" s="86"/>
      <c r="C8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43" s="44"/>
      <c r="E843" s="66"/>
      <c r="F843" s="66"/>
      <c r="G843" s="66"/>
      <c r="H843" s="44"/>
      <c r="I843" s="44"/>
      <c r="J843" s="66"/>
      <c r="K843" s="66"/>
      <c r="L843" s="66"/>
      <c r="M843" s="66"/>
      <c r="N843" s="66">
        <f>SUM(Prog_23[[#This Row],[TARA]]+Prog_23[[#This Row],[PESO]])</f>
        <v>0</v>
      </c>
      <c r="O843" s="44"/>
      <c r="P843" s="66"/>
      <c r="Q843" s="66"/>
      <c r="R843" s="66"/>
      <c r="S843" s="66"/>
      <c r="T843" s="138" t="str">
        <f>IFERROR(LOOKUP($S843,MOTORISTAS!$D$3:$D$916,MOTORISTAS!E$3:$E$916),"")</f>
        <v/>
      </c>
      <c r="U843" s="138" t="str">
        <f>IFERROR(LOOKUP($S843,MOTORISTAS!$D$3:$D$916,MOTORISTAS!F$3:$F$916),"")</f>
        <v/>
      </c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44"/>
      <c r="AG843" s="254">
        <f>Prog_23[[#This Row],[SAÍDA DO CLIENTE]]-Prog_23[[#This Row],[PROGRAMAÇÃO CLIENTE]]</f>
        <v>0</v>
      </c>
      <c r="AH843" s="44"/>
      <c r="AI843" s="66"/>
      <c r="AJ843" s="66"/>
      <c r="AK843" s="66"/>
      <c r="AL843" s="66"/>
      <c r="AM843" s="66"/>
      <c r="AN843" s="83"/>
      <c r="AO843" s="83"/>
      <c r="AP843" s="83"/>
      <c r="AQ843" s="66"/>
      <c r="AR843" s="66"/>
      <c r="AS843" s="66"/>
      <c r="AT843" s="81"/>
      <c r="AU843" s="81"/>
      <c r="AV843" s="81"/>
      <c r="AW843" s="81"/>
      <c r="AX843" s="83">
        <f>SUM(Prog_23[[#This Row],[ADIANTAMENTO]]+Prog_23[[#This Row],[SALDO]]+Prog_23[[#This Row],[MARGEM]]+Prog_23[[#This Row],[ESTADIA 1]])</f>
        <v>0</v>
      </c>
      <c r="AY8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43" s="81"/>
      <c r="BA843" s="81"/>
      <c r="BB843" s="81">
        <f>Prog_23[[#This Row],[VLR NF]]*0.1%</f>
        <v>0</v>
      </c>
      <c r="BC843" s="81">
        <f>Prog_23[[#This Row],[VLR NF]]*0.05%</f>
        <v>0</v>
      </c>
      <c r="BD843" s="81"/>
      <c r="BE843" s="81"/>
      <c r="BF843" s="81"/>
      <c r="BG843" s="81"/>
      <c r="BH843" s="81"/>
      <c r="BI843" s="81"/>
      <c r="BJ843" s="81"/>
      <c r="BK843" s="81"/>
      <c r="BL843" s="81"/>
      <c r="BM843" s="81"/>
      <c r="BN843" s="66"/>
      <c r="BO843" s="66"/>
      <c r="BP843" s="66"/>
      <c r="BQ843" s="66" t="str">
        <f>PROPER(TEXT(Prog_23[[#This Row],[PROGRAMAÇÃO CLIENTE]],"mmm"))</f>
        <v>Jan</v>
      </c>
      <c r="BR843" s="66">
        <f>YEAR(Prog_23[[#This Row],[PROGRAMAÇÃO CLIENTE]])</f>
        <v>1900</v>
      </c>
    </row>
    <row r="844" spans="1:70" x14ac:dyDescent="0.25">
      <c r="A844" s="201">
        <f>Prog_23[[#This Row],[CONTEINER]]</f>
        <v>0</v>
      </c>
      <c r="B844" s="86"/>
      <c r="C8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44" s="44"/>
      <c r="E844" s="66"/>
      <c r="F844" s="66"/>
      <c r="G844" s="66"/>
      <c r="H844" s="44"/>
      <c r="I844" s="44"/>
      <c r="J844" s="66"/>
      <c r="K844" s="66"/>
      <c r="L844" s="66"/>
      <c r="M844" s="66"/>
      <c r="N844" s="66">
        <f>SUM(Prog_23[[#This Row],[TARA]]+Prog_23[[#This Row],[PESO]])</f>
        <v>0</v>
      </c>
      <c r="O844" s="44"/>
      <c r="P844" s="66"/>
      <c r="Q844" s="66"/>
      <c r="R844" s="66"/>
      <c r="S844" s="66"/>
      <c r="T844" s="138" t="str">
        <f>IFERROR(LOOKUP($S844,MOTORISTAS!$D$3:$D$916,MOTORISTAS!E$3:$E$916),"")</f>
        <v/>
      </c>
      <c r="U844" s="138" t="str">
        <f>IFERROR(LOOKUP($S844,MOTORISTAS!$D$3:$D$916,MOTORISTAS!F$3:$F$916),"")</f>
        <v/>
      </c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44"/>
      <c r="AG844" s="254">
        <f>Prog_23[[#This Row],[SAÍDA DO CLIENTE]]-Prog_23[[#This Row],[PROGRAMAÇÃO CLIENTE]]</f>
        <v>0</v>
      </c>
      <c r="AH844" s="44"/>
      <c r="AI844" s="66"/>
      <c r="AJ844" s="66"/>
      <c r="AK844" s="66"/>
      <c r="AL844" s="66"/>
      <c r="AM844" s="66"/>
      <c r="AN844" s="83"/>
      <c r="AO844" s="83"/>
      <c r="AP844" s="83"/>
      <c r="AQ844" s="66"/>
      <c r="AR844" s="66"/>
      <c r="AS844" s="66"/>
      <c r="AT844" s="81"/>
      <c r="AU844" s="81"/>
      <c r="AV844" s="81"/>
      <c r="AW844" s="81"/>
      <c r="AX844" s="83">
        <f>SUM(Prog_23[[#This Row],[ADIANTAMENTO]]+Prog_23[[#This Row],[SALDO]]+Prog_23[[#This Row],[MARGEM]]+Prog_23[[#This Row],[ESTADIA 1]])</f>
        <v>0</v>
      </c>
      <c r="AY8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44" s="81"/>
      <c r="BA844" s="81"/>
      <c r="BB844" s="81">
        <f>Prog_23[[#This Row],[VLR NF]]*0.1%</f>
        <v>0</v>
      </c>
      <c r="BC844" s="81">
        <f>Prog_23[[#This Row],[VLR NF]]*0.05%</f>
        <v>0</v>
      </c>
      <c r="BD844" s="81"/>
      <c r="BE844" s="81"/>
      <c r="BF844" s="81"/>
      <c r="BG844" s="81"/>
      <c r="BH844" s="81"/>
      <c r="BI844" s="81"/>
      <c r="BJ844" s="81"/>
      <c r="BK844" s="81"/>
      <c r="BL844" s="81"/>
      <c r="BM844" s="81"/>
      <c r="BN844" s="66"/>
      <c r="BO844" s="66"/>
      <c r="BP844" s="66"/>
      <c r="BQ844" s="66" t="str">
        <f>PROPER(TEXT(Prog_23[[#This Row],[PROGRAMAÇÃO CLIENTE]],"mmm"))</f>
        <v>Jan</v>
      </c>
      <c r="BR844" s="66">
        <f>YEAR(Prog_23[[#This Row],[PROGRAMAÇÃO CLIENTE]])</f>
        <v>1900</v>
      </c>
    </row>
    <row r="845" spans="1:70" x14ac:dyDescent="0.25">
      <c r="A845" s="200">
        <f>Prog_23[[#This Row],[CONTEINER]]</f>
        <v>0</v>
      </c>
      <c r="B845" s="86"/>
      <c r="C8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45" s="44"/>
      <c r="E845" s="66"/>
      <c r="F845" s="66"/>
      <c r="G845" s="66"/>
      <c r="H845" s="44"/>
      <c r="I845" s="44"/>
      <c r="J845" s="66"/>
      <c r="K845" s="66"/>
      <c r="L845" s="66"/>
      <c r="M845" s="66"/>
      <c r="N845" s="66">
        <f>SUM(Prog_23[[#This Row],[TARA]]+Prog_23[[#This Row],[PESO]])</f>
        <v>0</v>
      </c>
      <c r="O845" s="44"/>
      <c r="P845" s="66"/>
      <c r="Q845" s="66"/>
      <c r="R845" s="66"/>
      <c r="S845" s="66"/>
      <c r="T845" s="138" t="str">
        <f>IFERROR(LOOKUP($S845,MOTORISTAS!$D$3:$D$916,MOTORISTAS!E$3:$E$916),"")</f>
        <v/>
      </c>
      <c r="U845" s="138" t="str">
        <f>IFERROR(LOOKUP($S845,MOTORISTAS!$D$3:$D$916,MOTORISTAS!F$3:$F$916),"")</f>
        <v/>
      </c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44"/>
      <c r="AG845" s="254">
        <f>Prog_23[[#This Row],[SAÍDA DO CLIENTE]]-Prog_23[[#This Row],[PROGRAMAÇÃO CLIENTE]]</f>
        <v>0</v>
      </c>
      <c r="AH845" s="44"/>
      <c r="AI845" s="66"/>
      <c r="AJ845" s="66"/>
      <c r="AK845" s="66"/>
      <c r="AL845" s="66"/>
      <c r="AM845" s="66"/>
      <c r="AN845" s="83"/>
      <c r="AO845" s="83"/>
      <c r="AP845" s="83"/>
      <c r="AQ845" s="66"/>
      <c r="AR845" s="66"/>
      <c r="AS845" s="66"/>
      <c r="AT845" s="81"/>
      <c r="AU845" s="81"/>
      <c r="AV845" s="81"/>
      <c r="AW845" s="81"/>
      <c r="AX845" s="83">
        <f>SUM(Prog_23[[#This Row],[ADIANTAMENTO]]+Prog_23[[#This Row],[SALDO]]+Prog_23[[#This Row],[MARGEM]]+Prog_23[[#This Row],[ESTADIA 1]])</f>
        <v>0</v>
      </c>
      <c r="AY8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45" s="81"/>
      <c r="BA845" s="81"/>
      <c r="BB845" s="81">
        <f>Prog_23[[#This Row],[VLR NF]]*0.1%</f>
        <v>0</v>
      </c>
      <c r="BC845" s="81">
        <f>Prog_23[[#This Row],[VLR NF]]*0.05%</f>
        <v>0</v>
      </c>
      <c r="BD845" s="81"/>
      <c r="BE845" s="81"/>
      <c r="BF845" s="81"/>
      <c r="BG845" s="81"/>
      <c r="BH845" s="81"/>
      <c r="BI845" s="81"/>
      <c r="BJ845" s="81"/>
      <c r="BK845" s="81"/>
      <c r="BL845" s="81"/>
      <c r="BM845" s="81"/>
      <c r="BN845" s="66"/>
      <c r="BO845" s="66"/>
      <c r="BP845" s="66"/>
      <c r="BQ845" s="66" t="str">
        <f>PROPER(TEXT(Prog_23[[#This Row],[PROGRAMAÇÃO CLIENTE]],"mmm"))</f>
        <v>Jan</v>
      </c>
      <c r="BR845" s="66">
        <f>YEAR(Prog_23[[#This Row],[PROGRAMAÇÃO CLIENTE]])</f>
        <v>1900</v>
      </c>
    </row>
    <row r="846" spans="1:70" x14ac:dyDescent="0.25">
      <c r="A846" s="201">
        <f>Prog_23[[#This Row],[CONTEINER]]</f>
        <v>0</v>
      </c>
      <c r="B846" s="86"/>
      <c r="C8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46" s="44"/>
      <c r="E846" s="66"/>
      <c r="F846" s="66"/>
      <c r="G846" s="66"/>
      <c r="H846" s="44"/>
      <c r="I846" s="44"/>
      <c r="J846" s="66"/>
      <c r="K846" s="66"/>
      <c r="L846" s="66"/>
      <c r="M846" s="66"/>
      <c r="N846" s="66">
        <f>SUM(Prog_23[[#This Row],[TARA]]+Prog_23[[#This Row],[PESO]])</f>
        <v>0</v>
      </c>
      <c r="O846" s="44"/>
      <c r="P846" s="66"/>
      <c r="Q846" s="66"/>
      <c r="R846" s="66"/>
      <c r="S846" s="66"/>
      <c r="T846" s="138" t="str">
        <f>IFERROR(LOOKUP($S846,MOTORISTAS!$D$3:$D$916,MOTORISTAS!E$3:$E$916),"")</f>
        <v/>
      </c>
      <c r="U846" s="138" t="str">
        <f>IFERROR(LOOKUP($S846,MOTORISTAS!$D$3:$D$916,MOTORISTAS!F$3:$F$916),"")</f>
        <v/>
      </c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44"/>
      <c r="AG846" s="254">
        <f>Prog_23[[#This Row],[SAÍDA DO CLIENTE]]-Prog_23[[#This Row],[PROGRAMAÇÃO CLIENTE]]</f>
        <v>0</v>
      </c>
      <c r="AH846" s="44"/>
      <c r="AI846" s="66"/>
      <c r="AJ846" s="66"/>
      <c r="AK846" s="66"/>
      <c r="AL846" s="66"/>
      <c r="AM846" s="66"/>
      <c r="AN846" s="83"/>
      <c r="AO846" s="83"/>
      <c r="AP846" s="83"/>
      <c r="AQ846" s="66"/>
      <c r="AR846" s="66"/>
      <c r="AS846" s="66"/>
      <c r="AT846" s="81"/>
      <c r="AU846" s="81"/>
      <c r="AV846" s="81"/>
      <c r="AW846" s="81"/>
      <c r="AX846" s="83">
        <f>SUM(Prog_23[[#This Row],[ADIANTAMENTO]]+Prog_23[[#This Row],[SALDO]]+Prog_23[[#This Row],[MARGEM]]+Prog_23[[#This Row],[ESTADIA 1]])</f>
        <v>0</v>
      </c>
      <c r="AY8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46" s="81"/>
      <c r="BA846" s="81"/>
      <c r="BB846" s="81">
        <f>Prog_23[[#This Row],[VLR NF]]*0.1%</f>
        <v>0</v>
      </c>
      <c r="BC846" s="81">
        <f>Prog_23[[#This Row],[VLR NF]]*0.05%</f>
        <v>0</v>
      </c>
      <c r="BD846" s="81"/>
      <c r="BE846" s="81"/>
      <c r="BF846" s="81"/>
      <c r="BG846" s="81"/>
      <c r="BH846" s="81"/>
      <c r="BI846" s="81"/>
      <c r="BJ846" s="81"/>
      <c r="BK846" s="81"/>
      <c r="BL846" s="81"/>
      <c r="BM846" s="81"/>
      <c r="BN846" s="66"/>
      <c r="BO846" s="66"/>
      <c r="BP846" s="66"/>
      <c r="BQ846" s="66" t="str">
        <f>PROPER(TEXT(Prog_23[[#This Row],[PROGRAMAÇÃO CLIENTE]],"mmm"))</f>
        <v>Jan</v>
      </c>
      <c r="BR846" s="66">
        <f>YEAR(Prog_23[[#This Row],[PROGRAMAÇÃO CLIENTE]])</f>
        <v>1900</v>
      </c>
    </row>
    <row r="847" spans="1:70" x14ac:dyDescent="0.25">
      <c r="A847" s="200">
        <f>Prog_23[[#This Row],[CONTEINER]]</f>
        <v>0</v>
      </c>
      <c r="B847" s="86"/>
      <c r="C8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47" s="44"/>
      <c r="E847" s="66"/>
      <c r="F847" s="66"/>
      <c r="G847" s="66"/>
      <c r="H847" s="44"/>
      <c r="I847" s="44"/>
      <c r="J847" s="66"/>
      <c r="K847" s="66"/>
      <c r="L847" s="66"/>
      <c r="M847" s="66"/>
      <c r="N847" s="66">
        <f>SUM(Prog_23[[#This Row],[TARA]]+Prog_23[[#This Row],[PESO]])</f>
        <v>0</v>
      </c>
      <c r="O847" s="44"/>
      <c r="P847" s="66"/>
      <c r="Q847" s="66"/>
      <c r="R847" s="66"/>
      <c r="S847" s="66"/>
      <c r="T847" s="138" t="str">
        <f>IFERROR(LOOKUP($S847,MOTORISTAS!$D$3:$D$916,MOTORISTAS!E$3:$E$916),"")</f>
        <v/>
      </c>
      <c r="U847" s="138" t="str">
        <f>IFERROR(LOOKUP($S847,MOTORISTAS!$D$3:$D$916,MOTORISTAS!F$3:$F$916),"")</f>
        <v/>
      </c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44"/>
      <c r="AG847" s="254">
        <f>Prog_23[[#This Row],[SAÍDA DO CLIENTE]]-Prog_23[[#This Row],[PROGRAMAÇÃO CLIENTE]]</f>
        <v>0</v>
      </c>
      <c r="AH847" s="44"/>
      <c r="AI847" s="66"/>
      <c r="AJ847" s="66"/>
      <c r="AK847" s="66"/>
      <c r="AL847" s="66"/>
      <c r="AM847" s="66"/>
      <c r="AN847" s="83"/>
      <c r="AO847" s="83"/>
      <c r="AP847" s="83"/>
      <c r="AQ847" s="66"/>
      <c r="AR847" s="66"/>
      <c r="AS847" s="66"/>
      <c r="AT847" s="81"/>
      <c r="AU847" s="81"/>
      <c r="AV847" s="81"/>
      <c r="AW847" s="81"/>
      <c r="AX847" s="83">
        <f>SUM(Prog_23[[#This Row],[ADIANTAMENTO]]+Prog_23[[#This Row],[SALDO]]+Prog_23[[#This Row],[MARGEM]]+Prog_23[[#This Row],[ESTADIA 1]])</f>
        <v>0</v>
      </c>
      <c r="AY8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47" s="81"/>
      <c r="BA847" s="81"/>
      <c r="BB847" s="81">
        <f>Prog_23[[#This Row],[VLR NF]]*0.1%</f>
        <v>0</v>
      </c>
      <c r="BC847" s="81">
        <f>Prog_23[[#This Row],[VLR NF]]*0.05%</f>
        <v>0</v>
      </c>
      <c r="BD847" s="81"/>
      <c r="BE847" s="81"/>
      <c r="BF847" s="81"/>
      <c r="BG847" s="81"/>
      <c r="BH847" s="81"/>
      <c r="BI847" s="81"/>
      <c r="BJ847" s="81"/>
      <c r="BK847" s="81"/>
      <c r="BL847" s="81"/>
      <c r="BM847" s="81"/>
      <c r="BN847" s="66"/>
      <c r="BO847" s="66"/>
      <c r="BP847" s="66"/>
      <c r="BQ847" s="66" t="str">
        <f>PROPER(TEXT(Prog_23[[#This Row],[PROGRAMAÇÃO CLIENTE]],"mmm"))</f>
        <v>Jan</v>
      </c>
      <c r="BR847" s="66">
        <f>YEAR(Prog_23[[#This Row],[PROGRAMAÇÃO CLIENTE]])</f>
        <v>1900</v>
      </c>
    </row>
    <row r="848" spans="1:70" x14ac:dyDescent="0.25">
      <c r="A848" s="201">
        <f>Prog_23[[#This Row],[CONTEINER]]</f>
        <v>0</v>
      </c>
      <c r="B848" s="86"/>
      <c r="C8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48" s="44"/>
      <c r="E848" s="66"/>
      <c r="F848" s="66"/>
      <c r="G848" s="66"/>
      <c r="H848" s="44"/>
      <c r="I848" s="44"/>
      <c r="J848" s="66"/>
      <c r="K848" s="66"/>
      <c r="L848" s="66"/>
      <c r="M848" s="66"/>
      <c r="N848" s="66">
        <f>SUM(Prog_23[[#This Row],[TARA]]+Prog_23[[#This Row],[PESO]])</f>
        <v>0</v>
      </c>
      <c r="O848" s="44"/>
      <c r="P848" s="66"/>
      <c r="Q848" s="66"/>
      <c r="R848" s="66"/>
      <c r="S848" s="66"/>
      <c r="T848" s="138" t="str">
        <f>IFERROR(LOOKUP($S848,MOTORISTAS!$D$3:$D$916,MOTORISTAS!E$3:$E$916),"")</f>
        <v/>
      </c>
      <c r="U848" s="138" t="str">
        <f>IFERROR(LOOKUP($S848,MOTORISTAS!$D$3:$D$916,MOTORISTAS!F$3:$F$916),"")</f>
        <v/>
      </c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44"/>
      <c r="AG848" s="254">
        <f>Prog_23[[#This Row],[SAÍDA DO CLIENTE]]-Prog_23[[#This Row],[PROGRAMAÇÃO CLIENTE]]</f>
        <v>0</v>
      </c>
      <c r="AH848" s="44"/>
      <c r="AI848" s="66"/>
      <c r="AJ848" s="66"/>
      <c r="AK848" s="66"/>
      <c r="AL848" s="66"/>
      <c r="AM848" s="66"/>
      <c r="AN848" s="83"/>
      <c r="AO848" s="83"/>
      <c r="AP848" s="83"/>
      <c r="AQ848" s="66"/>
      <c r="AR848" s="66"/>
      <c r="AS848" s="66"/>
      <c r="AT848" s="81"/>
      <c r="AU848" s="81"/>
      <c r="AV848" s="81"/>
      <c r="AW848" s="81"/>
      <c r="AX848" s="83">
        <f>SUM(Prog_23[[#This Row],[ADIANTAMENTO]]+Prog_23[[#This Row],[SALDO]]+Prog_23[[#This Row],[MARGEM]]+Prog_23[[#This Row],[ESTADIA 1]])</f>
        <v>0</v>
      </c>
      <c r="AY8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48" s="81"/>
      <c r="BA848" s="81"/>
      <c r="BB848" s="81">
        <f>Prog_23[[#This Row],[VLR NF]]*0.1%</f>
        <v>0</v>
      </c>
      <c r="BC848" s="81">
        <f>Prog_23[[#This Row],[VLR NF]]*0.05%</f>
        <v>0</v>
      </c>
      <c r="BD848" s="81"/>
      <c r="BE848" s="81"/>
      <c r="BF848" s="81"/>
      <c r="BG848" s="81"/>
      <c r="BH848" s="81"/>
      <c r="BI848" s="81"/>
      <c r="BJ848" s="81"/>
      <c r="BK848" s="81"/>
      <c r="BL848" s="81"/>
      <c r="BM848" s="81"/>
      <c r="BN848" s="66"/>
      <c r="BO848" s="66"/>
      <c r="BP848" s="66"/>
      <c r="BQ848" s="66" t="str">
        <f>PROPER(TEXT(Prog_23[[#This Row],[PROGRAMAÇÃO CLIENTE]],"mmm"))</f>
        <v>Jan</v>
      </c>
      <c r="BR848" s="66">
        <f>YEAR(Prog_23[[#This Row],[PROGRAMAÇÃO CLIENTE]])</f>
        <v>1900</v>
      </c>
    </row>
    <row r="849" spans="1:70" x14ac:dyDescent="0.25">
      <c r="A849" s="200">
        <f>Prog_23[[#This Row],[CONTEINER]]</f>
        <v>0</v>
      </c>
      <c r="B849" s="86"/>
      <c r="C8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49" s="44"/>
      <c r="E849" s="66"/>
      <c r="F849" s="66"/>
      <c r="G849" s="66"/>
      <c r="H849" s="44"/>
      <c r="I849" s="44"/>
      <c r="J849" s="66"/>
      <c r="K849" s="66"/>
      <c r="L849" s="66"/>
      <c r="M849" s="66"/>
      <c r="N849" s="66">
        <f>SUM(Prog_23[[#This Row],[TARA]]+Prog_23[[#This Row],[PESO]])</f>
        <v>0</v>
      </c>
      <c r="O849" s="44"/>
      <c r="P849" s="66"/>
      <c r="Q849" s="66"/>
      <c r="R849" s="66"/>
      <c r="S849" s="66"/>
      <c r="T849" s="138" t="str">
        <f>IFERROR(LOOKUP($S849,MOTORISTAS!$D$3:$D$916,MOTORISTAS!E$3:$E$916),"")</f>
        <v/>
      </c>
      <c r="U849" s="138" t="str">
        <f>IFERROR(LOOKUP($S849,MOTORISTAS!$D$3:$D$916,MOTORISTAS!F$3:$F$916),"")</f>
        <v/>
      </c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44"/>
      <c r="AG849" s="254">
        <f>Prog_23[[#This Row],[SAÍDA DO CLIENTE]]-Prog_23[[#This Row],[PROGRAMAÇÃO CLIENTE]]</f>
        <v>0</v>
      </c>
      <c r="AH849" s="44"/>
      <c r="AI849" s="66"/>
      <c r="AJ849" s="66"/>
      <c r="AK849" s="66"/>
      <c r="AL849" s="66"/>
      <c r="AM849" s="66"/>
      <c r="AN849" s="83"/>
      <c r="AO849" s="83"/>
      <c r="AP849" s="83"/>
      <c r="AQ849" s="66"/>
      <c r="AR849" s="66"/>
      <c r="AS849" s="66"/>
      <c r="AT849" s="81"/>
      <c r="AU849" s="81"/>
      <c r="AV849" s="81"/>
      <c r="AW849" s="81"/>
      <c r="AX849" s="83">
        <f>SUM(Prog_23[[#This Row],[ADIANTAMENTO]]+Prog_23[[#This Row],[SALDO]]+Prog_23[[#This Row],[MARGEM]]+Prog_23[[#This Row],[ESTADIA 1]])</f>
        <v>0</v>
      </c>
      <c r="AY8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49" s="81"/>
      <c r="BA849" s="81"/>
      <c r="BB849" s="81">
        <f>Prog_23[[#This Row],[VLR NF]]*0.1%</f>
        <v>0</v>
      </c>
      <c r="BC849" s="81">
        <f>Prog_23[[#This Row],[VLR NF]]*0.05%</f>
        <v>0</v>
      </c>
      <c r="BD849" s="81"/>
      <c r="BE849" s="81"/>
      <c r="BF849" s="81"/>
      <c r="BG849" s="81"/>
      <c r="BH849" s="81"/>
      <c r="BI849" s="81"/>
      <c r="BJ849" s="81"/>
      <c r="BK849" s="81"/>
      <c r="BL849" s="81"/>
      <c r="BM849" s="81"/>
      <c r="BN849" s="66"/>
      <c r="BO849" s="66"/>
      <c r="BP849" s="66"/>
      <c r="BQ849" s="66" t="str">
        <f>PROPER(TEXT(Prog_23[[#This Row],[PROGRAMAÇÃO CLIENTE]],"mmm"))</f>
        <v>Jan</v>
      </c>
      <c r="BR849" s="66">
        <f>YEAR(Prog_23[[#This Row],[PROGRAMAÇÃO CLIENTE]])</f>
        <v>1900</v>
      </c>
    </row>
    <row r="850" spans="1:70" x14ac:dyDescent="0.25">
      <c r="A850" s="201">
        <f>Prog_23[[#This Row],[CONTEINER]]</f>
        <v>0</v>
      </c>
      <c r="B850" s="86"/>
      <c r="C8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50" s="44"/>
      <c r="E850" s="66"/>
      <c r="F850" s="66"/>
      <c r="G850" s="66"/>
      <c r="H850" s="44"/>
      <c r="I850" s="44"/>
      <c r="J850" s="66"/>
      <c r="K850" s="66"/>
      <c r="L850" s="66"/>
      <c r="M850" s="66"/>
      <c r="N850" s="66">
        <f>SUM(Prog_23[[#This Row],[TARA]]+Prog_23[[#This Row],[PESO]])</f>
        <v>0</v>
      </c>
      <c r="O850" s="44"/>
      <c r="P850" s="66"/>
      <c r="Q850" s="66"/>
      <c r="R850" s="66"/>
      <c r="S850" s="66"/>
      <c r="T850" s="138" t="str">
        <f>IFERROR(LOOKUP($S850,MOTORISTAS!$D$3:$D$916,MOTORISTAS!E$3:$E$916),"")</f>
        <v/>
      </c>
      <c r="U850" s="138" t="str">
        <f>IFERROR(LOOKUP($S850,MOTORISTAS!$D$3:$D$916,MOTORISTAS!F$3:$F$916),"")</f>
        <v/>
      </c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44"/>
      <c r="AG850" s="254">
        <f>Prog_23[[#This Row],[SAÍDA DO CLIENTE]]-Prog_23[[#This Row],[PROGRAMAÇÃO CLIENTE]]</f>
        <v>0</v>
      </c>
      <c r="AH850" s="44"/>
      <c r="AI850" s="66"/>
      <c r="AJ850" s="66"/>
      <c r="AK850" s="66"/>
      <c r="AL850" s="66"/>
      <c r="AM850" s="66"/>
      <c r="AN850" s="83"/>
      <c r="AO850" s="83"/>
      <c r="AP850" s="83"/>
      <c r="AQ850" s="66"/>
      <c r="AR850" s="66"/>
      <c r="AS850" s="66"/>
      <c r="AT850" s="81"/>
      <c r="AU850" s="81"/>
      <c r="AV850" s="81"/>
      <c r="AW850" s="81"/>
      <c r="AX850" s="83">
        <f>SUM(Prog_23[[#This Row],[ADIANTAMENTO]]+Prog_23[[#This Row],[SALDO]]+Prog_23[[#This Row],[MARGEM]]+Prog_23[[#This Row],[ESTADIA 1]])</f>
        <v>0</v>
      </c>
      <c r="AY8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50" s="81"/>
      <c r="BA850" s="81"/>
      <c r="BB850" s="81">
        <f>Prog_23[[#This Row],[VLR NF]]*0.1%</f>
        <v>0</v>
      </c>
      <c r="BC850" s="81">
        <f>Prog_23[[#This Row],[VLR NF]]*0.05%</f>
        <v>0</v>
      </c>
      <c r="BD850" s="81"/>
      <c r="BE850" s="81"/>
      <c r="BF850" s="81"/>
      <c r="BG850" s="81"/>
      <c r="BH850" s="81"/>
      <c r="BI850" s="81"/>
      <c r="BJ850" s="81"/>
      <c r="BK850" s="81"/>
      <c r="BL850" s="81"/>
      <c r="BM850" s="81"/>
      <c r="BN850" s="66"/>
      <c r="BO850" s="66"/>
      <c r="BP850" s="66"/>
      <c r="BQ850" s="66" t="str">
        <f>PROPER(TEXT(Prog_23[[#This Row],[PROGRAMAÇÃO CLIENTE]],"mmm"))</f>
        <v>Jan</v>
      </c>
      <c r="BR850" s="66">
        <f>YEAR(Prog_23[[#This Row],[PROGRAMAÇÃO CLIENTE]])</f>
        <v>1900</v>
      </c>
    </row>
    <row r="851" spans="1:70" x14ac:dyDescent="0.25">
      <c r="A851" s="200">
        <f>Prog_23[[#This Row],[CONTEINER]]</f>
        <v>0</v>
      </c>
      <c r="B851" s="86"/>
      <c r="C8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51" s="44"/>
      <c r="E851" s="66"/>
      <c r="F851" s="66"/>
      <c r="G851" s="66"/>
      <c r="H851" s="44"/>
      <c r="I851" s="44"/>
      <c r="J851" s="66"/>
      <c r="K851" s="66"/>
      <c r="L851" s="66"/>
      <c r="M851" s="66"/>
      <c r="N851" s="66">
        <f>SUM(Prog_23[[#This Row],[TARA]]+Prog_23[[#This Row],[PESO]])</f>
        <v>0</v>
      </c>
      <c r="O851" s="44"/>
      <c r="P851" s="66"/>
      <c r="Q851" s="66"/>
      <c r="R851" s="66"/>
      <c r="S851" s="66"/>
      <c r="T851" s="138" t="str">
        <f>IFERROR(LOOKUP($S851,MOTORISTAS!$D$3:$D$916,MOTORISTAS!E$3:$E$916),"")</f>
        <v/>
      </c>
      <c r="U851" s="138" t="str">
        <f>IFERROR(LOOKUP($S851,MOTORISTAS!$D$3:$D$916,MOTORISTAS!F$3:$F$916),"")</f>
        <v/>
      </c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44"/>
      <c r="AG851" s="254">
        <f>Prog_23[[#This Row],[SAÍDA DO CLIENTE]]-Prog_23[[#This Row],[PROGRAMAÇÃO CLIENTE]]</f>
        <v>0</v>
      </c>
      <c r="AH851" s="44"/>
      <c r="AI851" s="66"/>
      <c r="AJ851" s="66"/>
      <c r="AK851" s="66"/>
      <c r="AL851" s="66"/>
      <c r="AM851" s="66"/>
      <c r="AN851" s="83"/>
      <c r="AO851" s="83"/>
      <c r="AP851" s="83"/>
      <c r="AQ851" s="66"/>
      <c r="AR851" s="66"/>
      <c r="AS851" s="66"/>
      <c r="AT851" s="81"/>
      <c r="AU851" s="81"/>
      <c r="AV851" s="81"/>
      <c r="AW851" s="81"/>
      <c r="AX851" s="83">
        <f>SUM(Prog_23[[#This Row],[ADIANTAMENTO]]+Prog_23[[#This Row],[SALDO]]+Prog_23[[#This Row],[MARGEM]]+Prog_23[[#This Row],[ESTADIA 1]])</f>
        <v>0</v>
      </c>
      <c r="AY8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51" s="81"/>
      <c r="BA851" s="81"/>
      <c r="BB851" s="81">
        <f>Prog_23[[#This Row],[VLR NF]]*0.1%</f>
        <v>0</v>
      </c>
      <c r="BC851" s="81">
        <f>Prog_23[[#This Row],[VLR NF]]*0.05%</f>
        <v>0</v>
      </c>
      <c r="BD851" s="81"/>
      <c r="BE851" s="81"/>
      <c r="BF851" s="81"/>
      <c r="BG851" s="81"/>
      <c r="BH851" s="81"/>
      <c r="BI851" s="81"/>
      <c r="BJ851" s="81"/>
      <c r="BK851" s="81"/>
      <c r="BL851" s="81"/>
      <c r="BM851" s="81"/>
      <c r="BN851" s="66"/>
      <c r="BO851" s="66"/>
      <c r="BP851" s="66"/>
      <c r="BQ851" s="66" t="str">
        <f>PROPER(TEXT(Prog_23[[#This Row],[PROGRAMAÇÃO CLIENTE]],"mmm"))</f>
        <v>Jan</v>
      </c>
      <c r="BR851" s="66">
        <f>YEAR(Prog_23[[#This Row],[PROGRAMAÇÃO CLIENTE]])</f>
        <v>1900</v>
      </c>
    </row>
    <row r="852" spans="1:70" x14ac:dyDescent="0.25">
      <c r="A852" s="201">
        <f>Prog_23[[#This Row],[CONTEINER]]</f>
        <v>0</v>
      </c>
      <c r="B852" s="86"/>
      <c r="C8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52" s="44"/>
      <c r="E852" s="66"/>
      <c r="F852" s="66"/>
      <c r="G852" s="66"/>
      <c r="H852" s="44"/>
      <c r="I852" s="44"/>
      <c r="J852" s="66"/>
      <c r="K852" s="66"/>
      <c r="L852" s="66"/>
      <c r="M852" s="66"/>
      <c r="N852" s="66">
        <f>SUM(Prog_23[[#This Row],[TARA]]+Prog_23[[#This Row],[PESO]])</f>
        <v>0</v>
      </c>
      <c r="O852" s="44"/>
      <c r="P852" s="66"/>
      <c r="Q852" s="66"/>
      <c r="R852" s="66"/>
      <c r="S852" s="66"/>
      <c r="T852" s="138" t="str">
        <f>IFERROR(LOOKUP($S852,MOTORISTAS!$D$3:$D$916,MOTORISTAS!E$3:$E$916),"")</f>
        <v/>
      </c>
      <c r="U852" s="138" t="str">
        <f>IFERROR(LOOKUP($S852,MOTORISTAS!$D$3:$D$916,MOTORISTAS!F$3:$F$916),"")</f>
        <v/>
      </c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44"/>
      <c r="AG852" s="254">
        <f>Prog_23[[#This Row],[SAÍDA DO CLIENTE]]-Prog_23[[#This Row],[PROGRAMAÇÃO CLIENTE]]</f>
        <v>0</v>
      </c>
      <c r="AH852" s="44"/>
      <c r="AI852" s="66"/>
      <c r="AJ852" s="66"/>
      <c r="AK852" s="66"/>
      <c r="AL852" s="66"/>
      <c r="AM852" s="66"/>
      <c r="AN852" s="83"/>
      <c r="AO852" s="83"/>
      <c r="AP852" s="83"/>
      <c r="AQ852" s="66"/>
      <c r="AR852" s="66"/>
      <c r="AS852" s="66"/>
      <c r="AT852" s="81"/>
      <c r="AU852" s="81"/>
      <c r="AV852" s="81"/>
      <c r="AW852" s="81"/>
      <c r="AX852" s="83">
        <f>SUM(Prog_23[[#This Row],[ADIANTAMENTO]]+Prog_23[[#This Row],[SALDO]]+Prog_23[[#This Row],[MARGEM]]+Prog_23[[#This Row],[ESTADIA 1]])</f>
        <v>0</v>
      </c>
      <c r="AY8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52" s="81"/>
      <c r="BA852" s="81"/>
      <c r="BB852" s="81">
        <f>Prog_23[[#This Row],[VLR NF]]*0.1%</f>
        <v>0</v>
      </c>
      <c r="BC852" s="81">
        <f>Prog_23[[#This Row],[VLR NF]]*0.05%</f>
        <v>0</v>
      </c>
      <c r="BD852" s="81"/>
      <c r="BE852" s="81"/>
      <c r="BF852" s="81"/>
      <c r="BG852" s="81"/>
      <c r="BH852" s="81"/>
      <c r="BI852" s="81"/>
      <c r="BJ852" s="81"/>
      <c r="BK852" s="81"/>
      <c r="BL852" s="81"/>
      <c r="BM852" s="81"/>
      <c r="BN852" s="66"/>
      <c r="BO852" s="66"/>
      <c r="BP852" s="66"/>
      <c r="BQ852" s="66" t="str">
        <f>PROPER(TEXT(Prog_23[[#This Row],[PROGRAMAÇÃO CLIENTE]],"mmm"))</f>
        <v>Jan</v>
      </c>
      <c r="BR852" s="66">
        <f>YEAR(Prog_23[[#This Row],[PROGRAMAÇÃO CLIENTE]])</f>
        <v>1900</v>
      </c>
    </row>
    <row r="853" spans="1:70" x14ac:dyDescent="0.25">
      <c r="A853" s="200">
        <f>Prog_23[[#This Row],[CONTEINER]]</f>
        <v>0</v>
      </c>
      <c r="B853" s="86"/>
      <c r="C8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53" s="44"/>
      <c r="E853" s="66"/>
      <c r="F853" s="66"/>
      <c r="G853" s="66"/>
      <c r="H853" s="44"/>
      <c r="I853" s="44"/>
      <c r="J853" s="66"/>
      <c r="K853" s="66"/>
      <c r="L853" s="66"/>
      <c r="M853" s="66"/>
      <c r="N853" s="66">
        <f>SUM(Prog_23[[#This Row],[TARA]]+Prog_23[[#This Row],[PESO]])</f>
        <v>0</v>
      </c>
      <c r="O853" s="44"/>
      <c r="P853" s="66"/>
      <c r="Q853" s="66"/>
      <c r="R853" s="66"/>
      <c r="S853" s="66"/>
      <c r="T853" s="138" t="str">
        <f>IFERROR(LOOKUP($S853,MOTORISTAS!$D$3:$D$916,MOTORISTAS!E$3:$E$916),"")</f>
        <v/>
      </c>
      <c r="U853" s="138" t="str">
        <f>IFERROR(LOOKUP($S853,MOTORISTAS!$D$3:$D$916,MOTORISTAS!F$3:$F$916),"")</f>
        <v/>
      </c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44"/>
      <c r="AG853" s="254">
        <f>Prog_23[[#This Row],[SAÍDA DO CLIENTE]]-Prog_23[[#This Row],[PROGRAMAÇÃO CLIENTE]]</f>
        <v>0</v>
      </c>
      <c r="AH853" s="44"/>
      <c r="AI853" s="66"/>
      <c r="AJ853" s="66"/>
      <c r="AK853" s="66"/>
      <c r="AL853" s="66"/>
      <c r="AM853" s="66"/>
      <c r="AN853" s="83"/>
      <c r="AO853" s="83"/>
      <c r="AP853" s="83"/>
      <c r="AQ853" s="66"/>
      <c r="AR853" s="66"/>
      <c r="AS853" s="66"/>
      <c r="AT853" s="81"/>
      <c r="AU853" s="81"/>
      <c r="AV853" s="81"/>
      <c r="AW853" s="81"/>
      <c r="AX853" s="83">
        <f>SUM(Prog_23[[#This Row],[ADIANTAMENTO]]+Prog_23[[#This Row],[SALDO]]+Prog_23[[#This Row],[MARGEM]]+Prog_23[[#This Row],[ESTADIA 1]])</f>
        <v>0</v>
      </c>
      <c r="AY8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53" s="81"/>
      <c r="BA853" s="81"/>
      <c r="BB853" s="81">
        <f>Prog_23[[#This Row],[VLR NF]]*0.1%</f>
        <v>0</v>
      </c>
      <c r="BC853" s="81">
        <f>Prog_23[[#This Row],[VLR NF]]*0.05%</f>
        <v>0</v>
      </c>
      <c r="BD853" s="81"/>
      <c r="BE853" s="81"/>
      <c r="BF853" s="81"/>
      <c r="BG853" s="81"/>
      <c r="BH853" s="81"/>
      <c r="BI853" s="81"/>
      <c r="BJ853" s="81"/>
      <c r="BK853" s="81"/>
      <c r="BL853" s="81"/>
      <c r="BM853" s="81"/>
      <c r="BN853" s="66"/>
      <c r="BO853" s="66"/>
      <c r="BP853" s="66"/>
      <c r="BQ853" s="66" t="str">
        <f>PROPER(TEXT(Prog_23[[#This Row],[PROGRAMAÇÃO CLIENTE]],"mmm"))</f>
        <v>Jan</v>
      </c>
      <c r="BR853" s="66">
        <f>YEAR(Prog_23[[#This Row],[PROGRAMAÇÃO CLIENTE]])</f>
        <v>1900</v>
      </c>
    </row>
    <row r="854" spans="1:70" x14ac:dyDescent="0.25">
      <c r="A854" s="201">
        <f>Prog_23[[#This Row],[CONTEINER]]</f>
        <v>0</v>
      </c>
      <c r="B854" s="86"/>
      <c r="C8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54" s="44"/>
      <c r="E854" s="66"/>
      <c r="F854" s="66"/>
      <c r="G854" s="66"/>
      <c r="H854" s="44"/>
      <c r="I854" s="44"/>
      <c r="J854" s="66"/>
      <c r="K854" s="66"/>
      <c r="L854" s="66"/>
      <c r="M854" s="66"/>
      <c r="N854" s="66">
        <f>SUM(Prog_23[[#This Row],[TARA]]+Prog_23[[#This Row],[PESO]])</f>
        <v>0</v>
      </c>
      <c r="O854" s="44"/>
      <c r="P854" s="66"/>
      <c r="Q854" s="66"/>
      <c r="R854" s="66"/>
      <c r="S854" s="66"/>
      <c r="T854" s="138" t="str">
        <f>IFERROR(LOOKUP($S854,MOTORISTAS!$D$3:$D$916,MOTORISTAS!E$3:$E$916),"")</f>
        <v/>
      </c>
      <c r="U854" s="138" t="str">
        <f>IFERROR(LOOKUP($S854,MOTORISTAS!$D$3:$D$916,MOTORISTAS!F$3:$F$916),"")</f>
        <v/>
      </c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44"/>
      <c r="AG854" s="254">
        <f>Prog_23[[#This Row],[SAÍDA DO CLIENTE]]-Prog_23[[#This Row],[PROGRAMAÇÃO CLIENTE]]</f>
        <v>0</v>
      </c>
      <c r="AH854" s="44"/>
      <c r="AI854" s="66"/>
      <c r="AJ854" s="66"/>
      <c r="AK854" s="66"/>
      <c r="AL854" s="66"/>
      <c r="AM854" s="66"/>
      <c r="AN854" s="83"/>
      <c r="AO854" s="83"/>
      <c r="AP854" s="83"/>
      <c r="AQ854" s="66"/>
      <c r="AR854" s="66"/>
      <c r="AS854" s="66"/>
      <c r="AT854" s="81"/>
      <c r="AU854" s="81"/>
      <c r="AV854" s="81"/>
      <c r="AW854" s="81"/>
      <c r="AX854" s="83">
        <f>SUM(Prog_23[[#This Row],[ADIANTAMENTO]]+Prog_23[[#This Row],[SALDO]]+Prog_23[[#This Row],[MARGEM]]+Prog_23[[#This Row],[ESTADIA 1]])</f>
        <v>0</v>
      </c>
      <c r="AY8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54" s="81"/>
      <c r="BA854" s="81"/>
      <c r="BB854" s="81">
        <f>Prog_23[[#This Row],[VLR NF]]*0.1%</f>
        <v>0</v>
      </c>
      <c r="BC854" s="81">
        <f>Prog_23[[#This Row],[VLR NF]]*0.05%</f>
        <v>0</v>
      </c>
      <c r="BD854" s="81"/>
      <c r="BE854" s="81"/>
      <c r="BF854" s="81"/>
      <c r="BG854" s="81"/>
      <c r="BH854" s="81"/>
      <c r="BI854" s="81"/>
      <c r="BJ854" s="81"/>
      <c r="BK854" s="81"/>
      <c r="BL854" s="81"/>
      <c r="BM854" s="81"/>
      <c r="BN854" s="66"/>
      <c r="BO854" s="66"/>
      <c r="BP854" s="66"/>
      <c r="BQ854" s="66" t="str">
        <f>PROPER(TEXT(Prog_23[[#This Row],[PROGRAMAÇÃO CLIENTE]],"mmm"))</f>
        <v>Jan</v>
      </c>
      <c r="BR854" s="66">
        <f>YEAR(Prog_23[[#This Row],[PROGRAMAÇÃO CLIENTE]])</f>
        <v>1900</v>
      </c>
    </row>
    <row r="855" spans="1:70" x14ac:dyDescent="0.25">
      <c r="A855" s="200">
        <f>Prog_23[[#This Row],[CONTEINER]]</f>
        <v>0</v>
      </c>
      <c r="B855" s="86"/>
      <c r="C8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55" s="44"/>
      <c r="E855" s="66"/>
      <c r="F855" s="66"/>
      <c r="G855" s="66"/>
      <c r="H855" s="44"/>
      <c r="I855" s="44"/>
      <c r="J855" s="66"/>
      <c r="K855" s="66"/>
      <c r="L855" s="66"/>
      <c r="M855" s="66"/>
      <c r="N855" s="66">
        <f>SUM(Prog_23[[#This Row],[TARA]]+Prog_23[[#This Row],[PESO]])</f>
        <v>0</v>
      </c>
      <c r="O855" s="44"/>
      <c r="P855" s="66"/>
      <c r="Q855" s="66"/>
      <c r="R855" s="66"/>
      <c r="S855" s="66"/>
      <c r="T855" s="138" t="str">
        <f>IFERROR(LOOKUP($S855,MOTORISTAS!$D$3:$D$916,MOTORISTAS!E$3:$E$916),"")</f>
        <v/>
      </c>
      <c r="U855" s="138" t="str">
        <f>IFERROR(LOOKUP($S855,MOTORISTAS!$D$3:$D$916,MOTORISTAS!F$3:$F$916),"")</f>
        <v/>
      </c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44"/>
      <c r="AG855" s="254">
        <f>Prog_23[[#This Row],[SAÍDA DO CLIENTE]]-Prog_23[[#This Row],[PROGRAMAÇÃO CLIENTE]]</f>
        <v>0</v>
      </c>
      <c r="AH855" s="44"/>
      <c r="AI855" s="66"/>
      <c r="AJ855" s="66"/>
      <c r="AK855" s="66"/>
      <c r="AL855" s="66"/>
      <c r="AM855" s="66"/>
      <c r="AN855" s="83"/>
      <c r="AO855" s="83"/>
      <c r="AP855" s="83"/>
      <c r="AQ855" s="66"/>
      <c r="AR855" s="66"/>
      <c r="AS855" s="66"/>
      <c r="AT855" s="81"/>
      <c r="AU855" s="81"/>
      <c r="AV855" s="81"/>
      <c r="AW855" s="81"/>
      <c r="AX855" s="83">
        <f>SUM(Prog_23[[#This Row],[ADIANTAMENTO]]+Prog_23[[#This Row],[SALDO]]+Prog_23[[#This Row],[MARGEM]]+Prog_23[[#This Row],[ESTADIA 1]])</f>
        <v>0</v>
      </c>
      <c r="AY8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55" s="81"/>
      <c r="BA855" s="81"/>
      <c r="BB855" s="81">
        <f>Prog_23[[#This Row],[VLR NF]]*0.1%</f>
        <v>0</v>
      </c>
      <c r="BC855" s="81">
        <f>Prog_23[[#This Row],[VLR NF]]*0.05%</f>
        <v>0</v>
      </c>
      <c r="BD855" s="81"/>
      <c r="BE855" s="81"/>
      <c r="BF855" s="81"/>
      <c r="BG855" s="81"/>
      <c r="BH855" s="81"/>
      <c r="BI855" s="81"/>
      <c r="BJ855" s="81"/>
      <c r="BK855" s="81"/>
      <c r="BL855" s="81"/>
      <c r="BM855" s="81"/>
      <c r="BN855" s="66"/>
      <c r="BO855" s="66"/>
      <c r="BP855" s="66"/>
      <c r="BQ855" s="66" t="str">
        <f>PROPER(TEXT(Prog_23[[#This Row],[PROGRAMAÇÃO CLIENTE]],"mmm"))</f>
        <v>Jan</v>
      </c>
      <c r="BR855" s="66">
        <f>YEAR(Prog_23[[#This Row],[PROGRAMAÇÃO CLIENTE]])</f>
        <v>1900</v>
      </c>
    </row>
    <row r="856" spans="1:70" x14ac:dyDescent="0.25">
      <c r="A856" s="201">
        <f>Prog_23[[#This Row],[CONTEINER]]</f>
        <v>0</v>
      </c>
      <c r="B856" s="86"/>
      <c r="C8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56" s="44"/>
      <c r="E856" s="66"/>
      <c r="F856" s="66"/>
      <c r="G856" s="66"/>
      <c r="H856" s="44"/>
      <c r="I856" s="44"/>
      <c r="J856" s="66"/>
      <c r="K856" s="66"/>
      <c r="L856" s="66"/>
      <c r="M856" s="66"/>
      <c r="N856" s="66">
        <f>SUM(Prog_23[[#This Row],[TARA]]+Prog_23[[#This Row],[PESO]])</f>
        <v>0</v>
      </c>
      <c r="O856" s="44"/>
      <c r="P856" s="66"/>
      <c r="Q856" s="66"/>
      <c r="R856" s="66"/>
      <c r="S856" s="66"/>
      <c r="T856" s="138" t="str">
        <f>IFERROR(LOOKUP($S856,MOTORISTAS!$D$3:$D$916,MOTORISTAS!E$3:$E$916),"")</f>
        <v/>
      </c>
      <c r="U856" s="138" t="str">
        <f>IFERROR(LOOKUP($S856,MOTORISTAS!$D$3:$D$916,MOTORISTAS!F$3:$F$916),"")</f>
        <v/>
      </c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44"/>
      <c r="AG856" s="254">
        <f>Prog_23[[#This Row],[SAÍDA DO CLIENTE]]-Prog_23[[#This Row],[PROGRAMAÇÃO CLIENTE]]</f>
        <v>0</v>
      </c>
      <c r="AH856" s="44"/>
      <c r="AI856" s="66"/>
      <c r="AJ856" s="66"/>
      <c r="AK856" s="66"/>
      <c r="AL856" s="66"/>
      <c r="AM856" s="66"/>
      <c r="AN856" s="83"/>
      <c r="AO856" s="83"/>
      <c r="AP856" s="83"/>
      <c r="AQ856" s="66"/>
      <c r="AR856" s="66"/>
      <c r="AS856" s="66"/>
      <c r="AT856" s="81"/>
      <c r="AU856" s="81"/>
      <c r="AV856" s="81"/>
      <c r="AW856" s="81"/>
      <c r="AX856" s="83">
        <f>SUM(Prog_23[[#This Row],[ADIANTAMENTO]]+Prog_23[[#This Row],[SALDO]]+Prog_23[[#This Row],[MARGEM]]+Prog_23[[#This Row],[ESTADIA 1]])</f>
        <v>0</v>
      </c>
      <c r="AY8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56" s="81"/>
      <c r="BA856" s="81"/>
      <c r="BB856" s="81">
        <f>Prog_23[[#This Row],[VLR NF]]*0.1%</f>
        <v>0</v>
      </c>
      <c r="BC856" s="81">
        <f>Prog_23[[#This Row],[VLR NF]]*0.05%</f>
        <v>0</v>
      </c>
      <c r="BD856" s="81"/>
      <c r="BE856" s="81"/>
      <c r="BF856" s="81"/>
      <c r="BG856" s="81"/>
      <c r="BH856" s="81"/>
      <c r="BI856" s="81"/>
      <c r="BJ856" s="81"/>
      <c r="BK856" s="81"/>
      <c r="BL856" s="81"/>
      <c r="BM856" s="81"/>
      <c r="BN856" s="66"/>
      <c r="BO856" s="66"/>
      <c r="BP856" s="66"/>
      <c r="BQ856" s="66" t="str">
        <f>PROPER(TEXT(Prog_23[[#This Row],[PROGRAMAÇÃO CLIENTE]],"mmm"))</f>
        <v>Jan</v>
      </c>
      <c r="BR856" s="66">
        <f>YEAR(Prog_23[[#This Row],[PROGRAMAÇÃO CLIENTE]])</f>
        <v>1900</v>
      </c>
    </row>
    <row r="857" spans="1:70" x14ac:dyDescent="0.25">
      <c r="A857" s="200">
        <f>Prog_23[[#This Row],[CONTEINER]]</f>
        <v>0</v>
      </c>
      <c r="B857" s="86"/>
      <c r="C8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57" s="44"/>
      <c r="E857" s="66"/>
      <c r="F857" s="66"/>
      <c r="G857" s="66"/>
      <c r="H857" s="44"/>
      <c r="I857" s="44"/>
      <c r="J857" s="66"/>
      <c r="K857" s="66"/>
      <c r="L857" s="66"/>
      <c r="M857" s="66"/>
      <c r="N857" s="66">
        <f>SUM(Prog_23[[#This Row],[TARA]]+Prog_23[[#This Row],[PESO]])</f>
        <v>0</v>
      </c>
      <c r="O857" s="44"/>
      <c r="P857" s="66"/>
      <c r="Q857" s="66"/>
      <c r="R857" s="66"/>
      <c r="S857" s="66"/>
      <c r="T857" s="138" t="str">
        <f>IFERROR(LOOKUP($S857,MOTORISTAS!$D$3:$D$916,MOTORISTAS!E$3:$E$916),"")</f>
        <v/>
      </c>
      <c r="U857" s="138" t="str">
        <f>IFERROR(LOOKUP($S857,MOTORISTAS!$D$3:$D$916,MOTORISTAS!F$3:$F$916),"")</f>
        <v/>
      </c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44"/>
      <c r="AG857" s="254">
        <f>Prog_23[[#This Row],[SAÍDA DO CLIENTE]]-Prog_23[[#This Row],[PROGRAMAÇÃO CLIENTE]]</f>
        <v>0</v>
      </c>
      <c r="AH857" s="44"/>
      <c r="AI857" s="66"/>
      <c r="AJ857" s="66"/>
      <c r="AK857" s="66"/>
      <c r="AL857" s="66"/>
      <c r="AM857" s="66"/>
      <c r="AN857" s="83"/>
      <c r="AO857" s="83"/>
      <c r="AP857" s="83"/>
      <c r="AQ857" s="66"/>
      <c r="AR857" s="66"/>
      <c r="AS857" s="66"/>
      <c r="AT857" s="81"/>
      <c r="AU857" s="81"/>
      <c r="AV857" s="81"/>
      <c r="AW857" s="81"/>
      <c r="AX857" s="83">
        <f>SUM(Prog_23[[#This Row],[ADIANTAMENTO]]+Prog_23[[#This Row],[SALDO]]+Prog_23[[#This Row],[MARGEM]]+Prog_23[[#This Row],[ESTADIA 1]])</f>
        <v>0</v>
      </c>
      <c r="AY8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57" s="81"/>
      <c r="BA857" s="81"/>
      <c r="BB857" s="81">
        <f>Prog_23[[#This Row],[VLR NF]]*0.1%</f>
        <v>0</v>
      </c>
      <c r="BC857" s="81">
        <f>Prog_23[[#This Row],[VLR NF]]*0.05%</f>
        <v>0</v>
      </c>
      <c r="BD857" s="81"/>
      <c r="BE857" s="81"/>
      <c r="BF857" s="81"/>
      <c r="BG857" s="81"/>
      <c r="BH857" s="81"/>
      <c r="BI857" s="81"/>
      <c r="BJ857" s="81"/>
      <c r="BK857" s="81"/>
      <c r="BL857" s="81"/>
      <c r="BM857" s="81"/>
      <c r="BN857" s="66"/>
      <c r="BO857" s="66"/>
      <c r="BP857" s="66"/>
      <c r="BQ857" s="66" t="str">
        <f>PROPER(TEXT(Prog_23[[#This Row],[PROGRAMAÇÃO CLIENTE]],"mmm"))</f>
        <v>Jan</v>
      </c>
      <c r="BR857" s="66">
        <f>YEAR(Prog_23[[#This Row],[PROGRAMAÇÃO CLIENTE]])</f>
        <v>1900</v>
      </c>
    </row>
    <row r="858" spans="1:70" x14ac:dyDescent="0.25">
      <c r="A858" s="201">
        <f>Prog_23[[#This Row],[CONTEINER]]</f>
        <v>0</v>
      </c>
      <c r="B858" s="86"/>
      <c r="C8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58" s="44"/>
      <c r="E858" s="66"/>
      <c r="F858" s="66"/>
      <c r="G858" s="66"/>
      <c r="H858" s="44"/>
      <c r="I858" s="44"/>
      <c r="J858" s="66"/>
      <c r="K858" s="66"/>
      <c r="L858" s="66"/>
      <c r="M858" s="66"/>
      <c r="N858" s="66">
        <f>SUM(Prog_23[[#This Row],[TARA]]+Prog_23[[#This Row],[PESO]])</f>
        <v>0</v>
      </c>
      <c r="O858" s="44"/>
      <c r="P858" s="66"/>
      <c r="Q858" s="66"/>
      <c r="R858" s="66"/>
      <c r="S858" s="66"/>
      <c r="T858" s="138" t="str">
        <f>IFERROR(LOOKUP($S858,MOTORISTAS!$D$3:$D$916,MOTORISTAS!E$3:$E$916),"")</f>
        <v/>
      </c>
      <c r="U858" s="138" t="str">
        <f>IFERROR(LOOKUP($S858,MOTORISTAS!$D$3:$D$916,MOTORISTAS!F$3:$F$916),"")</f>
        <v/>
      </c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44"/>
      <c r="AG858" s="254">
        <f>Prog_23[[#This Row],[SAÍDA DO CLIENTE]]-Prog_23[[#This Row],[PROGRAMAÇÃO CLIENTE]]</f>
        <v>0</v>
      </c>
      <c r="AH858" s="44"/>
      <c r="AI858" s="66"/>
      <c r="AJ858" s="66"/>
      <c r="AK858" s="66"/>
      <c r="AL858" s="66"/>
      <c r="AM858" s="66"/>
      <c r="AN858" s="83"/>
      <c r="AO858" s="83"/>
      <c r="AP858" s="83"/>
      <c r="AQ858" s="66"/>
      <c r="AR858" s="66"/>
      <c r="AS858" s="66"/>
      <c r="AT858" s="81"/>
      <c r="AU858" s="81"/>
      <c r="AV858" s="81"/>
      <c r="AW858" s="81"/>
      <c r="AX858" s="83">
        <f>SUM(Prog_23[[#This Row],[ADIANTAMENTO]]+Prog_23[[#This Row],[SALDO]]+Prog_23[[#This Row],[MARGEM]]+Prog_23[[#This Row],[ESTADIA 1]])</f>
        <v>0</v>
      </c>
      <c r="AY8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58" s="81"/>
      <c r="BA858" s="81"/>
      <c r="BB858" s="81">
        <f>Prog_23[[#This Row],[VLR NF]]*0.1%</f>
        <v>0</v>
      </c>
      <c r="BC858" s="81">
        <f>Prog_23[[#This Row],[VLR NF]]*0.05%</f>
        <v>0</v>
      </c>
      <c r="BD858" s="81"/>
      <c r="BE858" s="81"/>
      <c r="BF858" s="81"/>
      <c r="BG858" s="81"/>
      <c r="BH858" s="81"/>
      <c r="BI858" s="81"/>
      <c r="BJ858" s="81"/>
      <c r="BK858" s="81"/>
      <c r="BL858" s="81"/>
      <c r="BM858" s="81"/>
      <c r="BN858" s="66"/>
      <c r="BO858" s="66"/>
      <c r="BP858" s="66"/>
      <c r="BQ858" s="66" t="str">
        <f>PROPER(TEXT(Prog_23[[#This Row],[PROGRAMAÇÃO CLIENTE]],"mmm"))</f>
        <v>Jan</v>
      </c>
      <c r="BR858" s="66">
        <f>YEAR(Prog_23[[#This Row],[PROGRAMAÇÃO CLIENTE]])</f>
        <v>1900</v>
      </c>
    </row>
    <row r="859" spans="1:70" x14ac:dyDescent="0.25">
      <c r="A859" s="200">
        <f>Prog_23[[#This Row],[CONTEINER]]</f>
        <v>0</v>
      </c>
      <c r="B859" s="86"/>
      <c r="C8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59" s="44"/>
      <c r="E859" s="66"/>
      <c r="F859" s="66"/>
      <c r="G859" s="66"/>
      <c r="H859" s="44"/>
      <c r="I859" s="44"/>
      <c r="J859" s="66"/>
      <c r="K859" s="66"/>
      <c r="L859" s="66"/>
      <c r="M859" s="66"/>
      <c r="N859" s="66">
        <f>SUM(Prog_23[[#This Row],[TARA]]+Prog_23[[#This Row],[PESO]])</f>
        <v>0</v>
      </c>
      <c r="O859" s="44"/>
      <c r="P859" s="66"/>
      <c r="Q859" s="66"/>
      <c r="R859" s="66"/>
      <c r="S859" s="66"/>
      <c r="T859" s="138" t="str">
        <f>IFERROR(LOOKUP($S859,MOTORISTAS!$D$3:$D$916,MOTORISTAS!E$3:$E$916),"")</f>
        <v/>
      </c>
      <c r="U859" s="138" t="str">
        <f>IFERROR(LOOKUP($S859,MOTORISTAS!$D$3:$D$916,MOTORISTAS!F$3:$F$916),"")</f>
        <v/>
      </c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44"/>
      <c r="AG859" s="254">
        <f>Prog_23[[#This Row],[SAÍDA DO CLIENTE]]-Prog_23[[#This Row],[PROGRAMAÇÃO CLIENTE]]</f>
        <v>0</v>
      </c>
      <c r="AH859" s="44"/>
      <c r="AI859" s="66"/>
      <c r="AJ859" s="66"/>
      <c r="AK859" s="66"/>
      <c r="AL859" s="66"/>
      <c r="AM859" s="66"/>
      <c r="AN859" s="83"/>
      <c r="AO859" s="83"/>
      <c r="AP859" s="83"/>
      <c r="AQ859" s="66"/>
      <c r="AR859" s="66"/>
      <c r="AS859" s="66"/>
      <c r="AT859" s="81"/>
      <c r="AU859" s="81"/>
      <c r="AV859" s="81"/>
      <c r="AW859" s="81"/>
      <c r="AX859" s="83">
        <f>SUM(Prog_23[[#This Row],[ADIANTAMENTO]]+Prog_23[[#This Row],[SALDO]]+Prog_23[[#This Row],[MARGEM]]+Prog_23[[#This Row],[ESTADIA 1]])</f>
        <v>0</v>
      </c>
      <c r="AY8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59" s="81"/>
      <c r="BA859" s="81"/>
      <c r="BB859" s="81">
        <f>Prog_23[[#This Row],[VLR NF]]*0.1%</f>
        <v>0</v>
      </c>
      <c r="BC859" s="81">
        <f>Prog_23[[#This Row],[VLR NF]]*0.05%</f>
        <v>0</v>
      </c>
      <c r="BD859" s="81"/>
      <c r="BE859" s="81"/>
      <c r="BF859" s="81"/>
      <c r="BG859" s="81"/>
      <c r="BH859" s="81"/>
      <c r="BI859" s="81"/>
      <c r="BJ859" s="81"/>
      <c r="BK859" s="81"/>
      <c r="BL859" s="81"/>
      <c r="BM859" s="81"/>
      <c r="BN859" s="66"/>
      <c r="BO859" s="66"/>
      <c r="BP859" s="66"/>
      <c r="BQ859" s="66" t="str">
        <f>PROPER(TEXT(Prog_23[[#This Row],[PROGRAMAÇÃO CLIENTE]],"mmm"))</f>
        <v>Jan</v>
      </c>
      <c r="BR859" s="66">
        <f>YEAR(Prog_23[[#This Row],[PROGRAMAÇÃO CLIENTE]])</f>
        <v>1900</v>
      </c>
    </row>
    <row r="860" spans="1:70" x14ac:dyDescent="0.25">
      <c r="A860" s="201">
        <f>Prog_23[[#This Row],[CONTEINER]]</f>
        <v>0</v>
      </c>
      <c r="B860" s="86"/>
      <c r="C8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60" s="44"/>
      <c r="E860" s="66"/>
      <c r="F860" s="66"/>
      <c r="G860" s="66"/>
      <c r="H860" s="44"/>
      <c r="I860" s="44"/>
      <c r="J860" s="66"/>
      <c r="K860" s="66"/>
      <c r="L860" s="66"/>
      <c r="M860" s="66"/>
      <c r="N860" s="66">
        <f>SUM(Prog_23[[#This Row],[TARA]]+Prog_23[[#This Row],[PESO]])</f>
        <v>0</v>
      </c>
      <c r="O860" s="44"/>
      <c r="P860" s="66"/>
      <c r="Q860" s="66"/>
      <c r="R860" s="66"/>
      <c r="S860" s="66"/>
      <c r="T860" s="138" t="str">
        <f>IFERROR(LOOKUP($S860,MOTORISTAS!$D$3:$D$916,MOTORISTAS!E$3:$E$916),"")</f>
        <v/>
      </c>
      <c r="U860" s="138" t="str">
        <f>IFERROR(LOOKUP($S860,MOTORISTAS!$D$3:$D$916,MOTORISTAS!F$3:$F$916),"")</f>
        <v/>
      </c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44"/>
      <c r="AG860" s="254">
        <f>Prog_23[[#This Row],[SAÍDA DO CLIENTE]]-Prog_23[[#This Row],[PROGRAMAÇÃO CLIENTE]]</f>
        <v>0</v>
      </c>
      <c r="AH860" s="44"/>
      <c r="AI860" s="66"/>
      <c r="AJ860" s="66"/>
      <c r="AK860" s="66"/>
      <c r="AL860" s="66"/>
      <c r="AM860" s="66"/>
      <c r="AN860" s="83"/>
      <c r="AO860" s="83"/>
      <c r="AP860" s="83"/>
      <c r="AQ860" s="66"/>
      <c r="AR860" s="66"/>
      <c r="AS860" s="66"/>
      <c r="AT860" s="81"/>
      <c r="AU860" s="81"/>
      <c r="AV860" s="81"/>
      <c r="AW860" s="81"/>
      <c r="AX860" s="83">
        <f>SUM(Prog_23[[#This Row],[ADIANTAMENTO]]+Prog_23[[#This Row],[SALDO]]+Prog_23[[#This Row],[MARGEM]]+Prog_23[[#This Row],[ESTADIA 1]])</f>
        <v>0</v>
      </c>
      <c r="AY8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60" s="81"/>
      <c r="BA860" s="81"/>
      <c r="BB860" s="81">
        <f>Prog_23[[#This Row],[VLR NF]]*0.1%</f>
        <v>0</v>
      </c>
      <c r="BC860" s="81">
        <f>Prog_23[[#This Row],[VLR NF]]*0.05%</f>
        <v>0</v>
      </c>
      <c r="BD860" s="81"/>
      <c r="BE860" s="81"/>
      <c r="BF860" s="81"/>
      <c r="BG860" s="81"/>
      <c r="BH860" s="81"/>
      <c r="BI860" s="81"/>
      <c r="BJ860" s="81"/>
      <c r="BK860" s="81"/>
      <c r="BL860" s="81"/>
      <c r="BM860" s="81"/>
      <c r="BN860" s="66"/>
      <c r="BO860" s="66"/>
      <c r="BP860" s="66"/>
      <c r="BQ860" s="66" t="str">
        <f>PROPER(TEXT(Prog_23[[#This Row],[PROGRAMAÇÃO CLIENTE]],"mmm"))</f>
        <v>Jan</v>
      </c>
      <c r="BR860" s="66">
        <f>YEAR(Prog_23[[#This Row],[PROGRAMAÇÃO CLIENTE]])</f>
        <v>1900</v>
      </c>
    </row>
    <row r="861" spans="1:70" x14ac:dyDescent="0.25">
      <c r="A861" s="200">
        <f>Prog_23[[#This Row],[CONTEINER]]</f>
        <v>0</v>
      </c>
      <c r="B861" s="86"/>
      <c r="C8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61" s="44"/>
      <c r="E861" s="66"/>
      <c r="F861" s="66"/>
      <c r="G861" s="66"/>
      <c r="H861" s="44"/>
      <c r="I861" s="44"/>
      <c r="J861" s="66"/>
      <c r="K861" s="66"/>
      <c r="L861" s="66"/>
      <c r="M861" s="66"/>
      <c r="N861" s="66">
        <f>SUM(Prog_23[[#This Row],[TARA]]+Prog_23[[#This Row],[PESO]])</f>
        <v>0</v>
      </c>
      <c r="O861" s="44"/>
      <c r="P861" s="66"/>
      <c r="Q861" s="66"/>
      <c r="R861" s="66"/>
      <c r="S861" s="66"/>
      <c r="T861" s="138" t="str">
        <f>IFERROR(LOOKUP($S861,MOTORISTAS!$D$3:$D$916,MOTORISTAS!E$3:$E$916),"")</f>
        <v/>
      </c>
      <c r="U861" s="138" t="str">
        <f>IFERROR(LOOKUP($S861,MOTORISTAS!$D$3:$D$916,MOTORISTAS!F$3:$F$916),"")</f>
        <v/>
      </c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44"/>
      <c r="AG861" s="254">
        <f>Prog_23[[#This Row],[SAÍDA DO CLIENTE]]-Prog_23[[#This Row],[PROGRAMAÇÃO CLIENTE]]</f>
        <v>0</v>
      </c>
      <c r="AH861" s="44"/>
      <c r="AI861" s="66"/>
      <c r="AJ861" s="66"/>
      <c r="AK861" s="66"/>
      <c r="AL861" s="66"/>
      <c r="AM861" s="66"/>
      <c r="AN861" s="83"/>
      <c r="AO861" s="83"/>
      <c r="AP861" s="83"/>
      <c r="AQ861" s="66"/>
      <c r="AR861" s="66"/>
      <c r="AS861" s="66"/>
      <c r="AT861" s="81"/>
      <c r="AU861" s="81"/>
      <c r="AV861" s="81"/>
      <c r="AW861" s="81"/>
      <c r="AX861" s="83">
        <f>SUM(Prog_23[[#This Row],[ADIANTAMENTO]]+Prog_23[[#This Row],[SALDO]]+Prog_23[[#This Row],[MARGEM]]+Prog_23[[#This Row],[ESTADIA 1]])</f>
        <v>0</v>
      </c>
      <c r="AY8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61" s="81"/>
      <c r="BA861" s="81"/>
      <c r="BB861" s="81">
        <f>Prog_23[[#This Row],[VLR NF]]*0.1%</f>
        <v>0</v>
      </c>
      <c r="BC861" s="81">
        <f>Prog_23[[#This Row],[VLR NF]]*0.05%</f>
        <v>0</v>
      </c>
      <c r="BD861" s="81"/>
      <c r="BE861" s="81"/>
      <c r="BF861" s="81"/>
      <c r="BG861" s="81"/>
      <c r="BH861" s="81"/>
      <c r="BI861" s="81"/>
      <c r="BJ861" s="81"/>
      <c r="BK861" s="81"/>
      <c r="BL861" s="81"/>
      <c r="BM861" s="81"/>
      <c r="BN861" s="66"/>
      <c r="BO861" s="66"/>
      <c r="BP861" s="66"/>
      <c r="BQ861" s="66" t="str">
        <f>PROPER(TEXT(Prog_23[[#This Row],[PROGRAMAÇÃO CLIENTE]],"mmm"))</f>
        <v>Jan</v>
      </c>
      <c r="BR861" s="66">
        <f>YEAR(Prog_23[[#This Row],[PROGRAMAÇÃO CLIENTE]])</f>
        <v>1900</v>
      </c>
    </row>
    <row r="862" spans="1:70" x14ac:dyDescent="0.25">
      <c r="A862" s="201">
        <f>Prog_23[[#This Row],[CONTEINER]]</f>
        <v>0</v>
      </c>
      <c r="B862" s="86"/>
      <c r="C8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62" s="44"/>
      <c r="E862" s="66"/>
      <c r="F862" s="66"/>
      <c r="G862" s="66"/>
      <c r="H862" s="44"/>
      <c r="I862" s="44"/>
      <c r="J862" s="66"/>
      <c r="K862" s="66"/>
      <c r="L862" s="66"/>
      <c r="M862" s="66"/>
      <c r="N862" s="66">
        <f>SUM(Prog_23[[#This Row],[TARA]]+Prog_23[[#This Row],[PESO]])</f>
        <v>0</v>
      </c>
      <c r="O862" s="44"/>
      <c r="P862" s="66"/>
      <c r="Q862" s="66"/>
      <c r="R862" s="66"/>
      <c r="S862" s="66"/>
      <c r="T862" s="138" t="str">
        <f>IFERROR(LOOKUP($S862,MOTORISTAS!$D$3:$D$916,MOTORISTAS!E$3:$E$916),"")</f>
        <v/>
      </c>
      <c r="U862" s="138" t="str">
        <f>IFERROR(LOOKUP($S862,MOTORISTAS!$D$3:$D$916,MOTORISTAS!F$3:$F$916),"")</f>
        <v/>
      </c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44"/>
      <c r="AG862" s="254">
        <f>Prog_23[[#This Row],[SAÍDA DO CLIENTE]]-Prog_23[[#This Row],[PROGRAMAÇÃO CLIENTE]]</f>
        <v>0</v>
      </c>
      <c r="AH862" s="44"/>
      <c r="AI862" s="66"/>
      <c r="AJ862" s="66"/>
      <c r="AK862" s="66"/>
      <c r="AL862" s="66"/>
      <c r="AM862" s="66"/>
      <c r="AN862" s="83"/>
      <c r="AO862" s="83"/>
      <c r="AP862" s="83"/>
      <c r="AQ862" s="66"/>
      <c r="AR862" s="66"/>
      <c r="AS862" s="66"/>
      <c r="AT862" s="81"/>
      <c r="AU862" s="81"/>
      <c r="AV862" s="81"/>
      <c r="AW862" s="81"/>
      <c r="AX862" s="83">
        <f>SUM(Prog_23[[#This Row],[ADIANTAMENTO]]+Prog_23[[#This Row],[SALDO]]+Prog_23[[#This Row],[MARGEM]]+Prog_23[[#This Row],[ESTADIA 1]])</f>
        <v>0</v>
      </c>
      <c r="AY8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62" s="81"/>
      <c r="BA862" s="81"/>
      <c r="BB862" s="81">
        <f>Prog_23[[#This Row],[VLR NF]]*0.1%</f>
        <v>0</v>
      </c>
      <c r="BC862" s="81">
        <f>Prog_23[[#This Row],[VLR NF]]*0.05%</f>
        <v>0</v>
      </c>
      <c r="BD862" s="81"/>
      <c r="BE862" s="81"/>
      <c r="BF862" s="81"/>
      <c r="BG862" s="81"/>
      <c r="BH862" s="81"/>
      <c r="BI862" s="81"/>
      <c r="BJ862" s="81"/>
      <c r="BK862" s="81"/>
      <c r="BL862" s="81"/>
      <c r="BM862" s="81"/>
      <c r="BN862" s="66"/>
      <c r="BO862" s="66"/>
      <c r="BP862" s="66"/>
      <c r="BQ862" s="66" t="str">
        <f>PROPER(TEXT(Prog_23[[#This Row],[PROGRAMAÇÃO CLIENTE]],"mmm"))</f>
        <v>Jan</v>
      </c>
      <c r="BR862" s="66">
        <f>YEAR(Prog_23[[#This Row],[PROGRAMAÇÃO CLIENTE]])</f>
        <v>1900</v>
      </c>
    </row>
    <row r="863" spans="1:70" x14ac:dyDescent="0.25">
      <c r="A863" s="200">
        <f>Prog_23[[#This Row],[CONTEINER]]</f>
        <v>0</v>
      </c>
      <c r="B863" s="86"/>
      <c r="C8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63" s="44"/>
      <c r="E863" s="66"/>
      <c r="F863" s="66"/>
      <c r="G863" s="66"/>
      <c r="H863" s="44"/>
      <c r="I863" s="44"/>
      <c r="J863" s="66"/>
      <c r="K863" s="66"/>
      <c r="L863" s="66"/>
      <c r="M863" s="66"/>
      <c r="N863" s="66">
        <f>SUM(Prog_23[[#This Row],[TARA]]+Prog_23[[#This Row],[PESO]])</f>
        <v>0</v>
      </c>
      <c r="O863" s="44"/>
      <c r="P863" s="66"/>
      <c r="Q863" s="66"/>
      <c r="R863" s="66"/>
      <c r="S863" s="66"/>
      <c r="T863" s="138" t="str">
        <f>IFERROR(LOOKUP($S863,MOTORISTAS!$D$3:$D$916,MOTORISTAS!E$3:$E$916),"")</f>
        <v/>
      </c>
      <c r="U863" s="138" t="str">
        <f>IFERROR(LOOKUP($S863,MOTORISTAS!$D$3:$D$916,MOTORISTAS!F$3:$F$916),"")</f>
        <v/>
      </c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44"/>
      <c r="AG863" s="254">
        <f>Prog_23[[#This Row],[SAÍDA DO CLIENTE]]-Prog_23[[#This Row],[PROGRAMAÇÃO CLIENTE]]</f>
        <v>0</v>
      </c>
      <c r="AH863" s="44"/>
      <c r="AI863" s="66"/>
      <c r="AJ863" s="66"/>
      <c r="AK863" s="66"/>
      <c r="AL863" s="66"/>
      <c r="AM863" s="66"/>
      <c r="AN863" s="83"/>
      <c r="AO863" s="83"/>
      <c r="AP863" s="83"/>
      <c r="AQ863" s="66"/>
      <c r="AR863" s="66"/>
      <c r="AS863" s="66"/>
      <c r="AT863" s="81"/>
      <c r="AU863" s="81"/>
      <c r="AV863" s="81"/>
      <c r="AW863" s="81"/>
      <c r="AX863" s="83">
        <f>SUM(Prog_23[[#This Row],[ADIANTAMENTO]]+Prog_23[[#This Row],[SALDO]]+Prog_23[[#This Row],[MARGEM]]+Prog_23[[#This Row],[ESTADIA 1]])</f>
        <v>0</v>
      </c>
      <c r="AY8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63" s="81"/>
      <c r="BA863" s="81"/>
      <c r="BB863" s="81">
        <f>Prog_23[[#This Row],[VLR NF]]*0.1%</f>
        <v>0</v>
      </c>
      <c r="BC863" s="81">
        <f>Prog_23[[#This Row],[VLR NF]]*0.05%</f>
        <v>0</v>
      </c>
      <c r="BD863" s="81"/>
      <c r="BE863" s="81"/>
      <c r="BF863" s="81"/>
      <c r="BG863" s="81"/>
      <c r="BH863" s="81"/>
      <c r="BI863" s="81"/>
      <c r="BJ863" s="81"/>
      <c r="BK863" s="81"/>
      <c r="BL863" s="81"/>
      <c r="BM863" s="81"/>
      <c r="BN863" s="66"/>
      <c r="BO863" s="66"/>
      <c r="BP863" s="66"/>
      <c r="BQ863" s="66" t="str">
        <f>PROPER(TEXT(Prog_23[[#This Row],[PROGRAMAÇÃO CLIENTE]],"mmm"))</f>
        <v>Jan</v>
      </c>
      <c r="BR863" s="66">
        <f>YEAR(Prog_23[[#This Row],[PROGRAMAÇÃO CLIENTE]])</f>
        <v>1900</v>
      </c>
    </row>
    <row r="864" spans="1:70" x14ac:dyDescent="0.25">
      <c r="A864" s="201">
        <f>Prog_23[[#This Row],[CONTEINER]]</f>
        <v>0</v>
      </c>
      <c r="B864" s="86"/>
      <c r="C8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64" s="44"/>
      <c r="E864" s="66"/>
      <c r="F864" s="66"/>
      <c r="G864" s="66"/>
      <c r="H864" s="44"/>
      <c r="I864" s="44"/>
      <c r="J864" s="66"/>
      <c r="K864" s="66"/>
      <c r="L864" s="66"/>
      <c r="M864" s="66"/>
      <c r="N864" s="66">
        <f>SUM(Prog_23[[#This Row],[TARA]]+Prog_23[[#This Row],[PESO]])</f>
        <v>0</v>
      </c>
      <c r="O864" s="44"/>
      <c r="P864" s="66"/>
      <c r="Q864" s="66"/>
      <c r="R864" s="66"/>
      <c r="S864" s="66"/>
      <c r="T864" s="138" t="str">
        <f>IFERROR(LOOKUP($S864,MOTORISTAS!$D$3:$D$916,MOTORISTAS!E$3:$E$916),"")</f>
        <v/>
      </c>
      <c r="U864" s="138" t="str">
        <f>IFERROR(LOOKUP($S864,MOTORISTAS!$D$3:$D$916,MOTORISTAS!F$3:$F$916),"")</f>
        <v/>
      </c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44"/>
      <c r="AG864" s="254">
        <f>Prog_23[[#This Row],[SAÍDA DO CLIENTE]]-Prog_23[[#This Row],[PROGRAMAÇÃO CLIENTE]]</f>
        <v>0</v>
      </c>
      <c r="AH864" s="44"/>
      <c r="AI864" s="66"/>
      <c r="AJ864" s="66"/>
      <c r="AK864" s="66"/>
      <c r="AL864" s="66"/>
      <c r="AM864" s="66"/>
      <c r="AN864" s="83"/>
      <c r="AO864" s="83"/>
      <c r="AP864" s="83"/>
      <c r="AQ864" s="66"/>
      <c r="AR864" s="66"/>
      <c r="AS864" s="66"/>
      <c r="AT864" s="81"/>
      <c r="AU864" s="81"/>
      <c r="AV864" s="81"/>
      <c r="AW864" s="81"/>
      <c r="AX864" s="83">
        <f>SUM(Prog_23[[#This Row],[ADIANTAMENTO]]+Prog_23[[#This Row],[SALDO]]+Prog_23[[#This Row],[MARGEM]]+Prog_23[[#This Row],[ESTADIA 1]])</f>
        <v>0</v>
      </c>
      <c r="AY8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64" s="81"/>
      <c r="BA864" s="81"/>
      <c r="BB864" s="81">
        <f>Prog_23[[#This Row],[VLR NF]]*0.1%</f>
        <v>0</v>
      </c>
      <c r="BC864" s="81">
        <f>Prog_23[[#This Row],[VLR NF]]*0.05%</f>
        <v>0</v>
      </c>
      <c r="BD864" s="81"/>
      <c r="BE864" s="81"/>
      <c r="BF864" s="81"/>
      <c r="BG864" s="81"/>
      <c r="BH864" s="81"/>
      <c r="BI864" s="81"/>
      <c r="BJ864" s="81"/>
      <c r="BK864" s="81"/>
      <c r="BL864" s="81"/>
      <c r="BM864" s="81"/>
      <c r="BN864" s="66"/>
      <c r="BO864" s="66"/>
      <c r="BP864" s="66"/>
      <c r="BQ864" s="66" t="str">
        <f>PROPER(TEXT(Prog_23[[#This Row],[PROGRAMAÇÃO CLIENTE]],"mmm"))</f>
        <v>Jan</v>
      </c>
      <c r="BR864" s="66">
        <f>YEAR(Prog_23[[#This Row],[PROGRAMAÇÃO CLIENTE]])</f>
        <v>1900</v>
      </c>
    </row>
    <row r="865" spans="1:70" x14ac:dyDescent="0.25">
      <c r="A865" s="200">
        <f>Prog_23[[#This Row],[CONTEINER]]</f>
        <v>0</v>
      </c>
      <c r="B865" s="86"/>
      <c r="C8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65" s="44"/>
      <c r="E865" s="66"/>
      <c r="F865" s="66"/>
      <c r="G865" s="66"/>
      <c r="H865" s="44"/>
      <c r="I865" s="44"/>
      <c r="J865" s="66"/>
      <c r="K865" s="66"/>
      <c r="L865" s="66"/>
      <c r="M865" s="66"/>
      <c r="N865" s="66">
        <f>SUM(Prog_23[[#This Row],[TARA]]+Prog_23[[#This Row],[PESO]])</f>
        <v>0</v>
      </c>
      <c r="O865" s="44"/>
      <c r="P865" s="66"/>
      <c r="Q865" s="66"/>
      <c r="R865" s="66"/>
      <c r="S865" s="66"/>
      <c r="T865" s="138" t="str">
        <f>IFERROR(LOOKUP($S865,MOTORISTAS!$D$3:$D$916,MOTORISTAS!E$3:$E$916),"")</f>
        <v/>
      </c>
      <c r="U865" s="138" t="str">
        <f>IFERROR(LOOKUP($S865,MOTORISTAS!$D$3:$D$916,MOTORISTAS!F$3:$F$916),"")</f>
        <v/>
      </c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44"/>
      <c r="AG865" s="254">
        <f>Prog_23[[#This Row],[SAÍDA DO CLIENTE]]-Prog_23[[#This Row],[PROGRAMAÇÃO CLIENTE]]</f>
        <v>0</v>
      </c>
      <c r="AH865" s="44"/>
      <c r="AI865" s="66"/>
      <c r="AJ865" s="66"/>
      <c r="AK865" s="66"/>
      <c r="AL865" s="66"/>
      <c r="AM865" s="66"/>
      <c r="AN865" s="83"/>
      <c r="AO865" s="83"/>
      <c r="AP865" s="83"/>
      <c r="AQ865" s="66"/>
      <c r="AR865" s="66"/>
      <c r="AS865" s="66"/>
      <c r="AT865" s="81"/>
      <c r="AU865" s="81"/>
      <c r="AV865" s="81"/>
      <c r="AW865" s="81"/>
      <c r="AX865" s="83">
        <f>SUM(Prog_23[[#This Row],[ADIANTAMENTO]]+Prog_23[[#This Row],[SALDO]]+Prog_23[[#This Row],[MARGEM]]+Prog_23[[#This Row],[ESTADIA 1]])</f>
        <v>0</v>
      </c>
      <c r="AY8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65" s="81"/>
      <c r="BA865" s="81"/>
      <c r="BB865" s="81">
        <f>Prog_23[[#This Row],[VLR NF]]*0.1%</f>
        <v>0</v>
      </c>
      <c r="BC865" s="81">
        <f>Prog_23[[#This Row],[VLR NF]]*0.05%</f>
        <v>0</v>
      </c>
      <c r="BD865" s="81"/>
      <c r="BE865" s="81"/>
      <c r="BF865" s="81"/>
      <c r="BG865" s="81"/>
      <c r="BH865" s="81"/>
      <c r="BI865" s="81"/>
      <c r="BJ865" s="81"/>
      <c r="BK865" s="81"/>
      <c r="BL865" s="81"/>
      <c r="BM865" s="81"/>
      <c r="BN865" s="66"/>
      <c r="BO865" s="66"/>
      <c r="BP865" s="66"/>
      <c r="BQ865" s="66" t="str">
        <f>PROPER(TEXT(Prog_23[[#This Row],[PROGRAMAÇÃO CLIENTE]],"mmm"))</f>
        <v>Jan</v>
      </c>
      <c r="BR865" s="66">
        <f>YEAR(Prog_23[[#This Row],[PROGRAMAÇÃO CLIENTE]])</f>
        <v>1900</v>
      </c>
    </row>
    <row r="866" spans="1:70" x14ac:dyDescent="0.25">
      <c r="A866" s="201">
        <f>Prog_23[[#This Row],[CONTEINER]]</f>
        <v>0</v>
      </c>
      <c r="B866" s="86"/>
      <c r="C8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66" s="44"/>
      <c r="E866" s="66"/>
      <c r="F866" s="66"/>
      <c r="G866" s="66"/>
      <c r="H866" s="44"/>
      <c r="I866" s="44"/>
      <c r="J866" s="66"/>
      <c r="K866" s="66"/>
      <c r="L866" s="66"/>
      <c r="M866" s="66"/>
      <c r="N866" s="66">
        <f>SUM(Prog_23[[#This Row],[TARA]]+Prog_23[[#This Row],[PESO]])</f>
        <v>0</v>
      </c>
      <c r="O866" s="44"/>
      <c r="P866" s="66"/>
      <c r="Q866" s="66"/>
      <c r="R866" s="66"/>
      <c r="S866" s="66"/>
      <c r="T866" s="138" t="str">
        <f>IFERROR(LOOKUP($S866,MOTORISTAS!$D$3:$D$916,MOTORISTAS!E$3:$E$916),"")</f>
        <v/>
      </c>
      <c r="U866" s="138" t="str">
        <f>IFERROR(LOOKUP($S866,MOTORISTAS!$D$3:$D$916,MOTORISTAS!F$3:$F$916),"")</f>
        <v/>
      </c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44"/>
      <c r="AG866" s="254">
        <f>Prog_23[[#This Row],[SAÍDA DO CLIENTE]]-Prog_23[[#This Row],[PROGRAMAÇÃO CLIENTE]]</f>
        <v>0</v>
      </c>
      <c r="AH866" s="44"/>
      <c r="AI866" s="66"/>
      <c r="AJ866" s="66"/>
      <c r="AK866" s="66"/>
      <c r="AL866" s="66"/>
      <c r="AM866" s="66"/>
      <c r="AN866" s="83"/>
      <c r="AO866" s="83"/>
      <c r="AP866" s="83"/>
      <c r="AQ866" s="66"/>
      <c r="AR866" s="66"/>
      <c r="AS866" s="66"/>
      <c r="AT866" s="81"/>
      <c r="AU866" s="81"/>
      <c r="AV866" s="81"/>
      <c r="AW866" s="81"/>
      <c r="AX866" s="83">
        <f>SUM(Prog_23[[#This Row],[ADIANTAMENTO]]+Prog_23[[#This Row],[SALDO]]+Prog_23[[#This Row],[MARGEM]]+Prog_23[[#This Row],[ESTADIA 1]])</f>
        <v>0</v>
      </c>
      <c r="AY8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66" s="81"/>
      <c r="BA866" s="81"/>
      <c r="BB866" s="81">
        <f>Prog_23[[#This Row],[VLR NF]]*0.1%</f>
        <v>0</v>
      </c>
      <c r="BC866" s="81">
        <f>Prog_23[[#This Row],[VLR NF]]*0.05%</f>
        <v>0</v>
      </c>
      <c r="BD866" s="81"/>
      <c r="BE866" s="81"/>
      <c r="BF866" s="81"/>
      <c r="BG866" s="81"/>
      <c r="BH866" s="81"/>
      <c r="BI866" s="81"/>
      <c r="BJ866" s="81"/>
      <c r="BK866" s="81"/>
      <c r="BL866" s="81"/>
      <c r="BM866" s="81"/>
      <c r="BN866" s="66"/>
      <c r="BO866" s="66"/>
      <c r="BP866" s="66"/>
      <c r="BQ866" s="66" t="str">
        <f>PROPER(TEXT(Prog_23[[#This Row],[PROGRAMAÇÃO CLIENTE]],"mmm"))</f>
        <v>Jan</v>
      </c>
      <c r="BR866" s="66">
        <f>YEAR(Prog_23[[#This Row],[PROGRAMAÇÃO CLIENTE]])</f>
        <v>1900</v>
      </c>
    </row>
    <row r="867" spans="1:70" x14ac:dyDescent="0.25">
      <c r="A867" s="200">
        <f>Prog_23[[#This Row],[CONTEINER]]</f>
        <v>0</v>
      </c>
      <c r="B867" s="86"/>
      <c r="C8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67" s="44"/>
      <c r="E867" s="66"/>
      <c r="F867" s="66"/>
      <c r="G867" s="66"/>
      <c r="H867" s="44"/>
      <c r="I867" s="44"/>
      <c r="J867" s="66"/>
      <c r="K867" s="66"/>
      <c r="L867" s="66"/>
      <c r="M867" s="66"/>
      <c r="N867" s="66">
        <f>SUM(Prog_23[[#This Row],[TARA]]+Prog_23[[#This Row],[PESO]])</f>
        <v>0</v>
      </c>
      <c r="O867" s="44"/>
      <c r="P867" s="66"/>
      <c r="Q867" s="66"/>
      <c r="R867" s="66"/>
      <c r="S867" s="66"/>
      <c r="T867" s="138" t="str">
        <f>IFERROR(LOOKUP($S867,MOTORISTAS!$D$3:$D$916,MOTORISTAS!E$3:$E$916),"")</f>
        <v/>
      </c>
      <c r="U867" s="138" t="str">
        <f>IFERROR(LOOKUP($S867,MOTORISTAS!$D$3:$D$916,MOTORISTAS!F$3:$F$916),"")</f>
        <v/>
      </c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44"/>
      <c r="AG867" s="254">
        <f>Prog_23[[#This Row],[SAÍDA DO CLIENTE]]-Prog_23[[#This Row],[PROGRAMAÇÃO CLIENTE]]</f>
        <v>0</v>
      </c>
      <c r="AH867" s="44"/>
      <c r="AI867" s="66"/>
      <c r="AJ867" s="66"/>
      <c r="AK867" s="66"/>
      <c r="AL867" s="66"/>
      <c r="AM867" s="66"/>
      <c r="AN867" s="83"/>
      <c r="AO867" s="83"/>
      <c r="AP867" s="83"/>
      <c r="AQ867" s="66"/>
      <c r="AR867" s="66"/>
      <c r="AS867" s="66"/>
      <c r="AT867" s="81"/>
      <c r="AU867" s="81"/>
      <c r="AV867" s="81"/>
      <c r="AW867" s="81"/>
      <c r="AX867" s="83">
        <f>SUM(Prog_23[[#This Row],[ADIANTAMENTO]]+Prog_23[[#This Row],[SALDO]]+Prog_23[[#This Row],[MARGEM]]+Prog_23[[#This Row],[ESTADIA 1]])</f>
        <v>0</v>
      </c>
      <c r="AY8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67" s="81"/>
      <c r="BA867" s="81"/>
      <c r="BB867" s="81">
        <f>Prog_23[[#This Row],[VLR NF]]*0.1%</f>
        <v>0</v>
      </c>
      <c r="BC867" s="81">
        <f>Prog_23[[#This Row],[VLR NF]]*0.05%</f>
        <v>0</v>
      </c>
      <c r="BD867" s="81"/>
      <c r="BE867" s="81"/>
      <c r="BF867" s="81"/>
      <c r="BG867" s="81"/>
      <c r="BH867" s="81"/>
      <c r="BI867" s="81"/>
      <c r="BJ867" s="81"/>
      <c r="BK867" s="81"/>
      <c r="BL867" s="81"/>
      <c r="BM867" s="81"/>
      <c r="BN867" s="66"/>
      <c r="BO867" s="66"/>
      <c r="BP867" s="66"/>
      <c r="BQ867" s="66" t="str">
        <f>PROPER(TEXT(Prog_23[[#This Row],[PROGRAMAÇÃO CLIENTE]],"mmm"))</f>
        <v>Jan</v>
      </c>
      <c r="BR867" s="66">
        <f>YEAR(Prog_23[[#This Row],[PROGRAMAÇÃO CLIENTE]])</f>
        <v>1900</v>
      </c>
    </row>
    <row r="868" spans="1:70" x14ac:dyDescent="0.25">
      <c r="A868" s="201">
        <f>Prog_23[[#This Row],[CONTEINER]]</f>
        <v>0</v>
      </c>
      <c r="B868" s="86"/>
      <c r="C8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68" s="44"/>
      <c r="E868" s="66"/>
      <c r="F868" s="66"/>
      <c r="G868" s="66"/>
      <c r="H868" s="44"/>
      <c r="I868" s="44"/>
      <c r="J868" s="66"/>
      <c r="K868" s="66"/>
      <c r="L868" s="66"/>
      <c r="M868" s="66"/>
      <c r="N868" s="66">
        <f>SUM(Prog_23[[#This Row],[TARA]]+Prog_23[[#This Row],[PESO]])</f>
        <v>0</v>
      </c>
      <c r="O868" s="44"/>
      <c r="P868" s="66"/>
      <c r="Q868" s="66"/>
      <c r="R868" s="66"/>
      <c r="S868" s="66"/>
      <c r="T868" s="138" t="str">
        <f>IFERROR(LOOKUP($S868,MOTORISTAS!$D$3:$D$916,MOTORISTAS!E$3:$E$916),"")</f>
        <v/>
      </c>
      <c r="U868" s="138" t="str">
        <f>IFERROR(LOOKUP($S868,MOTORISTAS!$D$3:$D$916,MOTORISTAS!F$3:$F$916),"")</f>
        <v/>
      </c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44"/>
      <c r="AG868" s="254">
        <f>Prog_23[[#This Row],[SAÍDA DO CLIENTE]]-Prog_23[[#This Row],[PROGRAMAÇÃO CLIENTE]]</f>
        <v>0</v>
      </c>
      <c r="AH868" s="44"/>
      <c r="AI868" s="66"/>
      <c r="AJ868" s="66"/>
      <c r="AK868" s="66"/>
      <c r="AL868" s="66"/>
      <c r="AM868" s="66"/>
      <c r="AN868" s="83"/>
      <c r="AO868" s="83"/>
      <c r="AP868" s="83"/>
      <c r="AQ868" s="66"/>
      <c r="AR868" s="66"/>
      <c r="AS868" s="66"/>
      <c r="AT868" s="81"/>
      <c r="AU868" s="81"/>
      <c r="AV868" s="81"/>
      <c r="AW868" s="81"/>
      <c r="AX868" s="83">
        <f>SUM(Prog_23[[#This Row],[ADIANTAMENTO]]+Prog_23[[#This Row],[SALDO]]+Prog_23[[#This Row],[MARGEM]]+Prog_23[[#This Row],[ESTADIA 1]])</f>
        <v>0</v>
      </c>
      <c r="AY8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68" s="81"/>
      <c r="BA868" s="81"/>
      <c r="BB868" s="81">
        <f>Prog_23[[#This Row],[VLR NF]]*0.1%</f>
        <v>0</v>
      </c>
      <c r="BC868" s="81">
        <f>Prog_23[[#This Row],[VLR NF]]*0.05%</f>
        <v>0</v>
      </c>
      <c r="BD868" s="81"/>
      <c r="BE868" s="81"/>
      <c r="BF868" s="81"/>
      <c r="BG868" s="81"/>
      <c r="BH868" s="81"/>
      <c r="BI868" s="81"/>
      <c r="BJ868" s="81"/>
      <c r="BK868" s="81"/>
      <c r="BL868" s="81"/>
      <c r="BM868" s="81"/>
      <c r="BN868" s="66"/>
      <c r="BO868" s="66"/>
      <c r="BP868" s="66"/>
      <c r="BQ868" s="66" t="str">
        <f>PROPER(TEXT(Prog_23[[#This Row],[PROGRAMAÇÃO CLIENTE]],"mmm"))</f>
        <v>Jan</v>
      </c>
      <c r="BR868" s="66">
        <f>YEAR(Prog_23[[#This Row],[PROGRAMAÇÃO CLIENTE]])</f>
        <v>1900</v>
      </c>
    </row>
    <row r="869" spans="1:70" x14ac:dyDescent="0.25">
      <c r="A869" s="200">
        <f>Prog_23[[#This Row],[CONTEINER]]</f>
        <v>0</v>
      </c>
      <c r="B869" s="86"/>
      <c r="C8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69" s="44"/>
      <c r="E869" s="66"/>
      <c r="F869" s="66"/>
      <c r="G869" s="66"/>
      <c r="H869" s="44"/>
      <c r="I869" s="44"/>
      <c r="J869" s="66"/>
      <c r="K869" s="66"/>
      <c r="L869" s="66"/>
      <c r="M869" s="66"/>
      <c r="N869" s="66">
        <f>SUM(Prog_23[[#This Row],[TARA]]+Prog_23[[#This Row],[PESO]])</f>
        <v>0</v>
      </c>
      <c r="O869" s="44"/>
      <c r="P869" s="66"/>
      <c r="Q869" s="66"/>
      <c r="R869" s="66"/>
      <c r="S869" s="66"/>
      <c r="T869" s="138" t="str">
        <f>IFERROR(LOOKUP($S869,MOTORISTAS!$D$3:$D$916,MOTORISTAS!E$3:$E$916),"")</f>
        <v/>
      </c>
      <c r="U869" s="138" t="str">
        <f>IFERROR(LOOKUP($S869,MOTORISTAS!$D$3:$D$916,MOTORISTAS!F$3:$F$916),"")</f>
        <v/>
      </c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44"/>
      <c r="AG869" s="254">
        <f>Prog_23[[#This Row],[SAÍDA DO CLIENTE]]-Prog_23[[#This Row],[PROGRAMAÇÃO CLIENTE]]</f>
        <v>0</v>
      </c>
      <c r="AH869" s="44"/>
      <c r="AI869" s="66"/>
      <c r="AJ869" s="66"/>
      <c r="AK869" s="66"/>
      <c r="AL869" s="66"/>
      <c r="AM869" s="66"/>
      <c r="AN869" s="83"/>
      <c r="AO869" s="83"/>
      <c r="AP869" s="83"/>
      <c r="AQ869" s="66"/>
      <c r="AR869" s="66"/>
      <c r="AS869" s="66"/>
      <c r="AT869" s="81"/>
      <c r="AU869" s="81"/>
      <c r="AV869" s="81"/>
      <c r="AW869" s="81"/>
      <c r="AX869" s="83">
        <f>SUM(Prog_23[[#This Row],[ADIANTAMENTO]]+Prog_23[[#This Row],[SALDO]]+Prog_23[[#This Row],[MARGEM]]+Prog_23[[#This Row],[ESTADIA 1]])</f>
        <v>0</v>
      </c>
      <c r="AY8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69" s="81"/>
      <c r="BA869" s="81"/>
      <c r="BB869" s="81">
        <f>Prog_23[[#This Row],[VLR NF]]*0.1%</f>
        <v>0</v>
      </c>
      <c r="BC869" s="81">
        <f>Prog_23[[#This Row],[VLR NF]]*0.05%</f>
        <v>0</v>
      </c>
      <c r="BD869" s="81"/>
      <c r="BE869" s="81"/>
      <c r="BF869" s="81"/>
      <c r="BG869" s="81"/>
      <c r="BH869" s="81"/>
      <c r="BI869" s="81"/>
      <c r="BJ869" s="81"/>
      <c r="BK869" s="81"/>
      <c r="BL869" s="81"/>
      <c r="BM869" s="81"/>
      <c r="BN869" s="66"/>
      <c r="BO869" s="66"/>
      <c r="BP869" s="66"/>
      <c r="BQ869" s="66" t="str">
        <f>PROPER(TEXT(Prog_23[[#This Row],[PROGRAMAÇÃO CLIENTE]],"mmm"))</f>
        <v>Jan</v>
      </c>
      <c r="BR869" s="66">
        <f>YEAR(Prog_23[[#This Row],[PROGRAMAÇÃO CLIENTE]])</f>
        <v>1900</v>
      </c>
    </row>
    <row r="870" spans="1:70" x14ac:dyDescent="0.25">
      <c r="A870" s="201">
        <f>Prog_23[[#This Row],[CONTEINER]]</f>
        <v>0</v>
      </c>
      <c r="B870" s="86"/>
      <c r="C8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70" s="44"/>
      <c r="E870" s="66"/>
      <c r="F870" s="66"/>
      <c r="G870" s="66"/>
      <c r="H870" s="44"/>
      <c r="I870" s="44"/>
      <c r="J870" s="66"/>
      <c r="K870" s="66"/>
      <c r="L870" s="66"/>
      <c r="M870" s="66"/>
      <c r="N870" s="66">
        <f>SUM(Prog_23[[#This Row],[TARA]]+Prog_23[[#This Row],[PESO]])</f>
        <v>0</v>
      </c>
      <c r="O870" s="44"/>
      <c r="P870" s="66"/>
      <c r="Q870" s="66"/>
      <c r="R870" s="66"/>
      <c r="S870" s="66"/>
      <c r="T870" s="138" t="str">
        <f>IFERROR(LOOKUP($S870,MOTORISTAS!$D$3:$D$916,MOTORISTAS!E$3:$E$916),"")</f>
        <v/>
      </c>
      <c r="U870" s="138" t="str">
        <f>IFERROR(LOOKUP($S870,MOTORISTAS!$D$3:$D$916,MOTORISTAS!F$3:$F$916),"")</f>
        <v/>
      </c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44"/>
      <c r="AG870" s="254">
        <f>Prog_23[[#This Row],[SAÍDA DO CLIENTE]]-Prog_23[[#This Row],[PROGRAMAÇÃO CLIENTE]]</f>
        <v>0</v>
      </c>
      <c r="AH870" s="44"/>
      <c r="AI870" s="66"/>
      <c r="AJ870" s="66"/>
      <c r="AK870" s="66"/>
      <c r="AL870" s="66"/>
      <c r="AM870" s="66"/>
      <c r="AN870" s="83"/>
      <c r="AO870" s="83"/>
      <c r="AP870" s="83"/>
      <c r="AQ870" s="66"/>
      <c r="AR870" s="66"/>
      <c r="AS870" s="66"/>
      <c r="AT870" s="81"/>
      <c r="AU870" s="81"/>
      <c r="AV870" s="81"/>
      <c r="AW870" s="81"/>
      <c r="AX870" s="83">
        <f>SUM(Prog_23[[#This Row],[ADIANTAMENTO]]+Prog_23[[#This Row],[SALDO]]+Prog_23[[#This Row],[MARGEM]]+Prog_23[[#This Row],[ESTADIA 1]])</f>
        <v>0</v>
      </c>
      <c r="AY8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70" s="81"/>
      <c r="BA870" s="81"/>
      <c r="BB870" s="81">
        <f>Prog_23[[#This Row],[VLR NF]]*0.1%</f>
        <v>0</v>
      </c>
      <c r="BC870" s="81">
        <f>Prog_23[[#This Row],[VLR NF]]*0.05%</f>
        <v>0</v>
      </c>
      <c r="BD870" s="81"/>
      <c r="BE870" s="81"/>
      <c r="BF870" s="81"/>
      <c r="BG870" s="81"/>
      <c r="BH870" s="81"/>
      <c r="BI870" s="81"/>
      <c r="BJ870" s="81"/>
      <c r="BK870" s="81"/>
      <c r="BL870" s="81"/>
      <c r="BM870" s="81"/>
      <c r="BN870" s="66"/>
      <c r="BO870" s="66"/>
      <c r="BP870" s="66"/>
      <c r="BQ870" s="66" t="str">
        <f>PROPER(TEXT(Prog_23[[#This Row],[PROGRAMAÇÃO CLIENTE]],"mmm"))</f>
        <v>Jan</v>
      </c>
      <c r="BR870" s="66">
        <f>YEAR(Prog_23[[#This Row],[PROGRAMAÇÃO CLIENTE]])</f>
        <v>1900</v>
      </c>
    </row>
    <row r="871" spans="1:70" x14ac:dyDescent="0.25">
      <c r="A871" s="200">
        <f>Prog_23[[#This Row],[CONTEINER]]</f>
        <v>0</v>
      </c>
      <c r="B871" s="86"/>
      <c r="C8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71" s="44"/>
      <c r="E871" s="66"/>
      <c r="F871" s="66"/>
      <c r="G871" s="66"/>
      <c r="H871" s="44"/>
      <c r="I871" s="44"/>
      <c r="J871" s="66"/>
      <c r="K871" s="66"/>
      <c r="L871" s="66"/>
      <c r="M871" s="66"/>
      <c r="N871" s="66">
        <f>SUM(Prog_23[[#This Row],[TARA]]+Prog_23[[#This Row],[PESO]])</f>
        <v>0</v>
      </c>
      <c r="O871" s="44"/>
      <c r="P871" s="66"/>
      <c r="Q871" s="66"/>
      <c r="R871" s="66"/>
      <c r="S871" s="66"/>
      <c r="T871" s="138" t="str">
        <f>IFERROR(LOOKUP($S871,MOTORISTAS!$D$3:$D$916,MOTORISTAS!E$3:$E$916),"")</f>
        <v/>
      </c>
      <c r="U871" s="138" t="str">
        <f>IFERROR(LOOKUP($S871,MOTORISTAS!$D$3:$D$916,MOTORISTAS!F$3:$F$916),"")</f>
        <v/>
      </c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44"/>
      <c r="AG871" s="254">
        <f>Prog_23[[#This Row],[SAÍDA DO CLIENTE]]-Prog_23[[#This Row],[PROGRAMAÇÃO CLIENTE]]</f>
        <v>0</v>
      </c>
      <c r="AH871" s="44"/>
      <c r="AI871" s="66"/>
      <c r="AJ871" s="66"/>
      <c r="AK871" s="66"/>
      <c r="AL871" s="66"/>
      <c r="AM871" s="66"/>
      <c r="AN871" s="83"/>
      <c r="AO871" s="83"/>
      <c r="AP871" s="83"/>
      <c r="AQ871" s="66"/>
      <c r="AR871" s="66"/>
      <c r="AS871" s="66"/>
      <c r="AT871" s="81"/>
      <c r="AU871" s="81"/>
      <c r="AV871" s="81"/>
      <c r="AW871" s="81"/>
      <c r="AX871" s="83">
        <f>SUM(Prog_23[[#This Row],[ADIANTAMENTO]]+Prog_23[[#This Row],[SALDO]]+Prog_23[[#This Row],[MARGEM]]+Prog_23[[#This Row],[ESTADIA 1]])</f>
        <v>0</v>
      </c>
      <c r="AY8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71" s="81"/>
      <c r="BA871" s="81"/>
      <c r="BB871" s="81">
        <f>Prog_23[[#This Row],[VLR NF]]*0.1%</f>
        <v>0</v>
      </c>
      <c r="BC871" s="81">
        <f>Prog_23[[#This Row],[VLR NF]]*0.05%</f>
        <v>0</v>
      </c>
      <c r="BD871" s="81"/>
      <c r="BE871" s="81"/>
      <c r="BF871" s="81"/>
      <c r="BG871" s="81"/>
      <c r="BH871" s="81"/>
      <c r="BI871" s="81"/>
      <c r="BJ871" s="81"/>
      <c r="BK871" s="81"/>
      <c r="BL871" s="81"/>
      <c r="BM871" s="81"/>
      <c r="BN871" s="66"/>
      <c r="BO871" s="66"/>
      <c r="BP871" s="66"/>
      <c r="BQ871" s="66" t="str">
        <f>PROPER(TEXT(Prog_23[[#This Row],[PROGRAMAÇÃO CLIENTE]],"mmm"))</f>
        <v>Jan</v>
      </c>
      <c r="BR871" s="66">
        <f>YEAR(Prog_23[[#This Row],[PROGRAMAÇÃO CLIENTE]])</f>
        <v>1900</v>
      </c>
    </row>
    <row r="872" spans="1:70" x14ac:dyDescent="0.25">
      <c r="A872" s="201">
        <f>Prog_23[[#This Row],[CONTEINER]]</f>
        <v>0</v>
      </c>
      <c r="B872" s="86"/>
      <c r="C8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72" s="44"/>
      <c r="E872" s="66"/>
      <c r="F872" s="66"/>
      <c r="G872" s="66"/>
      <c r="H872" s="44"/>
      <c r="I872" s="44"/>
      <c r="J872" s="66"/>
      <c r="K872" s="66"/>
      <c r="L872" s="66"/>
      <c r="M872" s="66"/>
      <c r="N872" s="66">
        <f>SUM(Prog_23[[#This Row],[TARA]]+Prog_23[[#This Row],[PESO]])</f>
        <v>0</v>
      </c>
      <c r="O872" s="44"/>
      <c r="P872" s="66"/>
      <c r="Q872" s="66"/>
      <c r="R872" s="66"/>
      <c r="S872" s="66"/>
      <c r="T872" s="138" t="str">
        <f>IFERROR(LOOKUP($S872,MOTORISTAS!$D$3:$D$916,MOTORISTAS!E$3:$E$916),"")</f>
        <v/>
      </c>
      <c r="U872" s="138" t="str">
        <f>IFERROR(LOOKUP($S872,MOTORISTAS!$D$3:$D$916,MOTORISTAS!F$3:$F$916),"")</f>
        <v/>
      </c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44"/>
      <c r="AG872" s="254">
        <f>Prog_23[[#This Row],[SAÍDA DO CLIENTE]]-Prog_23[[#This Row],[PROGRAMAÇÃO CLIENTE]]</f>
        <v>0</v>
      </c>
      <c r="AH872" s="44"/>
      <c r="AI872" s="66"/>
      <c r="AJ872" s="66"/>
      <c r="AK872" s="66"/>
      <c r="AL872" s="66"/>
      <c r="AM872" s="66"/>
      <c r="AN872" s="83"/>
      <c r="AO872" s="83"/>
      <c r="AP872" s="83"/>
      <c r="AQ872" s="66"/>
      <c r="AR872" s="66"/>
      <c r="AS872" s="66"/>
      <c r="AT872" s="81"/>
      <c r="AU872" s="81"/>
      <c r="AV872" s="81"/>
      <c r="AW872" s="81"/>
      <c r="AX872" s="83">
        <f>SUM(Prog_23[[#This Row],[ADIANTAMENTO]]+Prog_23[[#This Row],[SALDO]]+Prog_23[[#This Row],[MARGEM]]+Prog_23[[#This Row],[ESTADIA 1]])</f>
        <v>0</v>
      </c>
      <c r="AY8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72" s="81"/>
      <c r="BA872" s="81"/>
      <c r="BB872" s="81">
        <f>Prog_23[[#This Row],[VLR NF]]*0.1%</f>
        <v>0</v>
      </c>
      <c r="BC872" s="81">
        <f>Prog_23[[#This Row],[VLR NF]]*0.05%</f>
        <v>0</v>
      </c>
      <c r="BD872" s="81"/>
      <c r="BE872" s="81"/>
      <c r="BF872" s="81"/>
      <c r="BG872" s="81"/>
      <c r="BH872" s="81"/>
      <c r="BI872" s="81"/>
      <c r="BJ872" s="81"/>
      <c r="BK872" s="81"/>
      <c r="BL872" s="81"/>
      <c r="BM872" s="81"/>
      <c r="BN872" s="66"/>
      <c r="BO872" s="66"/>
      <c r="BP872" s="66"/>
      <c r="BQ872" s="66" t="str">
        <f>PROPER(TEXT(Prog_23[[#This Row],[PROGRAMAÇÃO CLIENTE]],"mmm"))</f>
        <v>Jan</v>
      </c>
      <c r="BR872" s="66">
        <f>YEAR(Prog_23[[#This Row],[PROGRAMAÇÃO CLIENTE]])</f>
        <v>1900</v>
      </c>
    </row>
    <row r="873" spans="1:70" x14ac:dyDescent="0.25">
      <c r="A873" s="200">
        <f>Prog_23[[#This Row],[CONTEINER]]</f>
        <v>0</v>
      </c>
      <c r="B873" s="86"/>
      <c r="C8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73" s="44"/>
      <c r="E873" s="66"/>
      <c r="F873" s="66"/>
      <c r="G873" s="66"/>
      <c r="H873" s="44"/>
      <c r="I873" s="44"/>
      <c r="J873" s="66"/>
      <c r="K873" s="66"/>
      <c r="L873" s="66"/>
      <c r="M873" s="66"/>
      <c r="N873" s="66">
        <f>SUM(Prog_23[[#This Row],[TARA]]+Prog_23[[#This Row],[PESO]])</f>
        <v>0</v>
      </c>
      <c r="O873" s="44"/>
      <c r="P873" s="66"/>
      <c r="Q873" s="66"/>
      <c r="R873" s="66"/>
      <c r="S873" s="66"/>
      <c r="T873" s="138" t="str">
        <f>IFERROR(LOOKUP($S873,MOTORISTAS!$D$3:$D$916,MOTORISTAS!E$3:$E$916),"")</f>
        <v/>
      </c>
      <c r="U873" s="138" t="str">
        <f>IFERROR(LOOKUP($S873,MOTORISTAS!$D$3:$D$916,MOTORISTAS!F$3:$F$916),"")</f>
        <v/>
      </c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44"/>
      <c r="AG873" s="254">
        <f>Prog_23[[#This Row],[SAÍDA DO CLIENTE]]-Prog_23[[#This Row],[PROGRAMAÇÃO CLIENTE]]</f>
        <v>0</v>
      </c>
      <c r="AH873" s="44"/>
      <c r="AI873" s="66"/>
      <c r="AJ873" s="66"/>
      <c r="AK873" s="66"/>
      <c r="AL873" s="66"/>
      <c r="AM873" s="66"/>
      <c r="AN873" s="83"/>
      <c r="AO873" s="83"/>
      <c r="AP873" s="83"/>
      <c r="AQ873" s="66"/>
      <c r="AR873" s="66"/>
      <c r="AS873" s="66"/>
      <c r="AT873" s="81"/>
      <c r="AU873" s="81"/>
      <c r="AV873" s="81"/>
      <c r="AW873" s="81"/>
      <c r="AX873" s="83">
        <f>SUM(Prog_23[[#This Row],[ADIANTAMENTO]]+Prog_23[[#This Row],[SALDO]]+Prog_23[[#This Row],[MARGEM]]+Prog_23[[#This Row],[ESTADIA 1]])</f>
        <v>0</v>
      </c>
      <c r="AY8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73" s="81"/>
      <c r="BA873" s="81"/>
      <c r="BB873" s="81">
        <f>Prog_23[[#This Row],[VLR NF]]*0.1%</f>
        <v>0</v>
      </c>
      <c r="BC873" s="81">
        <f>Prog_23[[#This Row],[VLR NF]]*0.05%</f>
        <v>0</v>
      </c>
      <c r="BD873" s="81"/>
      <c r="BE873" s="81"/>
      <c r="BF873" s="81"/>
      <c r="BG873" s="81"/>
      <c r="BH873" s="81"/>
      <c r="BI873" s="81"/>
      <c r="BJ873" s="81"/>
      <c r="BK873" s="81"/>
      <c r="BL873" s="81"/>
      <c r="BM873" s="81"/>
      <c r="BN873" s="66"/>
      <c r="BO873" s="66"/>
      <c r="BP873" s="66"/>
      <c r="BQ873" s="66" t="str">
        <f>PROPER(TEXT(Prog_23[[#This Row],[PROGRAMAÇÃO CLIENTE]],"mmm"))</f>
        <v>Jan</v>
      </c>
      <c r="BR873" s="66">
        <f>YEAR(Prog_23[[#This Row],[PROGRAMAÇÃO CLIENTE]])</f>
        <v>1900</v>
      </c>
    </row>
    <row r="874" spans="1:70" x14ac:dyDescent="0.25">
      <c r="A874" s="201">
        <f>Prog_23[[#This Row],[CONTEINER]]</f>
        <v>0</v>
      </c>
      <c r="B874" s="86"/>
      <c r="C8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74" s="44"/>
      <c r="E874" s="66"/>
      <c r="F874" s="66"/>
      <c r="G874" s="66"/>
      <c r="H874" s="44"/>
      <c r="I874" s="44"/>
      <c r="J874" s="66"/>
      <c r="K874" s="66"/>
      <c r="L874" s="66"/>
      <c r="M874" s="66"/>
      <c r="N874" s="66">
        <f>SUM(Prog_23[[#This Row],[TARA]]+Prog_23[[#This Row],[PESO]])</f>
        <v>0</v>
      </c>
      <c r="O874" s="44"/>
      <c r="P874" s="66"/>
      <c r="Q874" s="66"/>
      <c r="R874" s="66"/>
      <c r="S874" s="66"/>
      <c r="T874" s="138" t="str">
        <f>IFERROR(LOOKUP($S874,MOTORISTAS!$D$3:$D$916,MOTORISTAS!E$3:$E$916),"")</f>
        <v/>
      </c>
      <c r="U874" s="138" t="str">
        <f>IFERROR(LOOKUP($S874,MOTORISTAS!$D$3:$D$916,MOTORISTAS!F$3:$F$916),"")</f>
        <v/>
      </c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44"/>
      <c r="AG874" s="254">
        <f>Prog_23[[#This Row],[SAÍDA DO CLIENTE]]-Prog_23[[#This Row],[PROGRAMAÇÃO CLIENTE]]</f>
        <v>0</v>
      </c>
      <c r="AH874" s="44"/>
      <c r="AI874" s="66"/>
      <c r="AJ874" s="66"/>
      <c r="AK874" s="66"/>
      <c r="AL874" s="66"/>
      <c r="AM874" s="66"/>
      <c r="AN874" s="83"/>
      <c r="AO874" s="83"/>
      <c r="AP874" s="83"/>
      <c r="AQ874" s="66"/>
      <c r="AR874" s="66"/>
      <c r="AS874" s="66"/>
      <c r="AT874" s="81"/>
      <c r="AU874" s="81"/>
      <c r="AV874" s="81"/>
      <c r="AW874" s="81"/>
      <c r="AX874" s="83">
        <f>SUM(Prog_23[[#This Row],[ADIANTAMENTO]]+Prog_23[[#This Row],[SALDO]]+Prog_23[[#This Row],[MARGEM]]+Prog_23[[#This Row],[ESTADIA 1]])</f>
        <v>0</v>
      </c>
      <c r="AY8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74" s="81"/>
      <c r="BA874" s="81"/>
      <c r="BB874" s="81">
        <f>Prog_23[[#This Row],[VLR NF]]*0.1%</f>
        <v>0</v>
      </c>
      <c r="BC874" s="81">
        <f>Prog_23[[#This Row],[VLR NF]]*0.05%</f>
        <v>0</v>
      </c>
      <c r="BD874" s="81"/>
      <c r="BE874" s="81"/>
      <c r="BF874" s="81"/>
      <c r="BG874" s="81"/>
      <c r="BH874" s="81"/>
      <c r="BI874" s="81"/>
      <c r="BJ874" s="81"/>
      <c r="BK874" s="81"/>
      <c r="BL874" s="81"/>
      <c r="BM874" s="81"/>
      <c r="BN874" s="66"/>
      <c r="BO874" s="66"/>
      <c r="BP874" s="66"/>
      <c r="BQ874" s="66" t="str">
        <f>PROPER(TEXT(Prog_23[[#This Row],[PROGRAMAÇÃO CLIENTE]],"mmm"))</f>
        <v>Jan</v>
      </c>
      <c r="BR874" s="66">
        <f>YEAR(Prog_23[[#This Row],[PROGRAMAÇÃO CLIENTE]])</f>
        <v>1900</v>
      </c>
    </row>
    <row r="875" spans="1:70" x14ac:dyDescent="0.25">
      <c r="A875" s="200">
        <f>Prog_23[[#This Row],[CONTEINER]]</f>
        <v>0</v>
      </c>
      <c r="B875" s="86"/>
      <c r="C8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75" s="44"/>
      <c r="E875" s="66"/>
      <c r="F875" s="66"/>
      <c r="G875" s="66"/>
      <c r="H875" s="44"/>
      <c r="I875" s="44"/>
      <c r="J875" s="66"/>
      <c r="K875" s="66"/>
      <c r="L875" s="66"/>
      <c r="M875" s="66"/>
      <c r="N875" s="66">
        <f>SUM(Prog_23[[#This Row],[TARA]]+Prog_23[[#This Row],[PESO]])</f>
        <v>0</v>
      </c>
      <c r="O875" s="44"/>
      <c r="P875" s="66"/>
      <c r="Q875" s="66"/>
      <c r="R875" s="66"/>
      <c r="S875" s="66"/>
      <c r="T875" s="138" t="str">
        <f>IFERROR(LOOKUP($S875,MOTORISTAS!$D$3:$D$916,MOTORISTAS!E$3:$E$916),"")</f>
        <v/>
      </c>
      <c r="U875" s="138" t="str">
        <f>IFERROR(LOOKUP($S875,MOTORISTAS!$D$3:$D$916,MOTORISTAS!F$3:$F$916),"")</f>
        <v/>
      </c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44"/>
      <c r="AG875" s="254">
        <f>Prog_23[[#This Row],[SAÍDA DO CLIENTE]]-Prog_23[[#This Row],[PROGRAMAÇÃO CLIENTE]]</f>
        <v>0</v>
      </c>
      <c r="AH875" s="44"/>
      <c r="AI875" s="66"/>
      <c r="AJ875" s="66"/>
      <c r="AK875" s="66"/>
      <c r="AL875" s="66"/>
      <c r="AM875" s="66"/>
      <c r="AN875" s="83"/>
      <c r="AO875" s="83"/>
      <c r="AP875" s="83"/>
      <c r="AQ875" s="66"/>
      <c r="AR875" s="66"/>
      <c r="AS875" s="66"/>
      <c r="AT875" s="81"/>
      <c r="AU875" s="81"/>
      <c r="AV875" s="81"/>
      <c r="AW875" s="81"/>
      <c r="AX875" s="83">
        <f>SUM(Prog_23[[#This Row],[ADIANTAMENTO]]+Prog_23[[#This Row],[SALDO]]+Prog_23[[#This Row],[MARGEM]]+Prog_23[[#This Row],[ESTADIA 1]])</f>
        <v>0</v>
      </c>
      <c r="AY8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75" s="81"/>
      <c r="BA875" s="81"/>
      <c r="BB875" s="81">
        <f>Prog_23[[#This Row],[VLR NF]]*0.1%</f>
        <v>0</v>
      </c>
      <c r="BC875" s="81">
        <f>Prog_23[[#This Row],[VLR NF]]*0.05%</f>
        <v>0</v>
      </c>
      <c r="BD875" s="81"/>
      <c r="BE875" s="81"/>
      <c r="BF875" s="81"/>
      <c r="BG875" s="81"/>
      <c r="BH875" s="81"/>
      <c r="BI875" s="81"/>
      <c r="BJ875" s="81"/>
      <c r="BK875" s="81"/>
      <c r="BL875" s="81"/>
      <c r="BM875" s="81"/>
      <c r="BN875" s="66"/>
      <c r="BO875" s="66"/>
      <c r="BP875" s="66"/>
      <c r="BQ875" s="66" t="str">
        <f>PROPER(TEXT(Prog_23[[#This Row],[PROGRAMAÇÃO CLIENTE]],"mmm"))</f>
        <v>Jan</v>
      </c>
      <c r="BR875" s="66">
        <f>YEAR(Prog_23[[#This Row],[PROGRAMAÇÃO CLIENTE]])</f>
        <v>1900</v>
      </c>
    </row>
    <row r="876" spans="1:70" x14ac:dyDescent="0.25">
      <c r="A876" s="201">
        <f>Prog_23[[#This Row],[CONTEINER]]</f>
        <v>0</v>
      </c>
      <c r="B876" s="86"/>
      <c r="C8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76" s="44"/>
      <c r="E876" s="66"/>
      <c r="F876" s="66"/>
      <c r="G876" s="66"/>
      <c r="H876" s="44"/>
      <c r="I876" s="44"/>
      <c r="J876" s="66"/>
      <c r="K876" s="66"/>
      <c r="L876" s="66"/>
      <c r="M876" s="66"/>
      <c r="N876" s="66">
        <f>SUM(Prog_23[[#This Row],[TARA]]+Prog_23[[#This Row],[PESO]])</f>
        <v>0</v>
      </c>
      <c r="O876" s="44"/>
      <c r="P876" s="66"/>
      <c r="Q876" s="66"/>
      <c r="R876" s="66"/>
      <c r="S876" s="66"/>
      <c r="T876" s="138" t="str">
        <f>IFERROR(LOOKUP($S876,MOTORISTAS!$D$3:$D$916,MOTORISTAS!E$3:$E$916),"")</f>
        <v/>
      </c>
      <c r="U876" s="138" t="str">
        <f>IFERROR(LOOKUP($S876,MOTORISTAS!$D$3:$D$916,MOTORISTAS!F$3:$F$916),"")</f>
        <v/>
      </c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44"/>
      <c r="AG876" s="254">
        <f>Prog_23[[#This Row],[SAÍDA DO CLIENTE]]-Prog_23[[#This Row],[PROGRAMAÇÃO CLIENTE]]</f>
        <v>0</v>
      </c>
      <c r="AH876" s="44"/>
      <c r="AI876" s="66"/>
      <c r="AJ876" s="66"/>
      <c r="AK876" s="66"/>
      <c r="AL876" s="66"/>
      <c r="AM876" s="66"/>
      <c r="AN876" s="83"/>
      <c r="AO876" s="83"/>
      <c r="AP876" s="83"/>
      <c r="AQ876" s="66"/>
      <c r="AR876" s="66"/>
      <c r="AS876" s="66"/>
      <c r="AT876" s="81"/>
      <c r="AU876" s="81"/>
      <c r="AV876" s="81"/>
      <c r="AW876" s="81"/>
      <c r="AX876" s="83">
        <f>SUM(Prog_23[[#This Row],[ADIANTAMENTO]]+Prog_23[[#This Row],[SALDO]]+Prog_23[[#This Row],[MARGEM]]+Prog_23[[#This Row],[ESTADIA 1]])</f>
        <v>0</v>
      </c>
      <c r="AY8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76" s="81"/>
      <c r="BA876" s="81"/>
      <c r="BB876" s="81">
        <f>Prog_23[[#This Row],[VLR NF]]*0.1%</f>
        <v>0</v>
      </c>
      <c r="BC876" s="81">
        <f>Prog_23[[#This Row],[VLR NF]]*0.05%</f>
        <v>0</v>
      </c>
      <c r="BD876" s="81"/>
      <c r="BE876" s="81"/>
      <c r="BF876" s="81"/>
      <c r="BG876" s="81"/>
      <c r="BH876" s="81"/>
      <c r="BI876" s="81"/>
      <c r="BJ876" s="81"/>
      <c r="BK876" s="81"/>
      <c r="BL876" s="81"/>
      <c r="BM876" s="81"/>
      <c r="BN876" s="66"/>
      <c r="BO876" s="66"/>
      <c r="BP876" s="66"/>
      <c r="BQ876" s="66" t="str">
        <f>PROPER(TEXT(Prog_23[[#This Row],[PROGRAMAÇÃO CLIENTE]],"mmm"))</f>
        <v>Jan</v>
      </c>
      <c r="BR876" s="66">
        <f>YEAR(Prog_23[[#This Row],[PROGRAMAÇÃO CLIENTE]])</f>
        <v>1900</v>
      </c>
    </row>
    <row r="877" spans="1:70" x14ac:dyDescent="0.25">
      <c r="A877" s="200">
        <f>Prog_23[[#This Row],[CONTEINER]]</f>
        <v>0</v>
      </c>
      <c r="B877" s="86"/>
      <c r="C8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77" s="44"/>
      <c r="E877" s="66"/>
      <c r="F877" s="66"/>
      <c r="G877" s="66"/>
      <c r="H877" s="44"/>
      <c r="I877" s="44"/>
      <c r="J877" s="66"/>
      <c r="K877" s="66"/>
      <c r="L877" s="66"/>
      <c r="M877" s="66"/>
      <c r="N877" s="66">
        <f>SUM(Prog_23[[#This Row],[TARA]]+Prog_23[[#This Row],[PESO]])</f>
        <v>0</v>
      </c>
      <c r="O877" s="44"/>
      <c r="P877" s="66"/>
      <c r="Q877" s="66"/>
      <c r="R877" s="66"/>
      <c r="S877" s="66"/>
      <c r="T877" s="138" t="str">
        <f>IFERROR(LOOKUP($S877,MOTORISTAS!$D$3:$D$916,MOTORISTAS!E$3:$E$916),"")</f>
        <v/>
      </c>
      <c r="U877" s="138" t="str">
        <f>IFERROR(LOOKUP($S877,MOTORISTAS!$D$3:$D$916,MOTORISTAS!F$3:$F$916),"")</f>
        <v/>
      </c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44"/>
      <c r="AG877" s="254">
        <f>Prog_23[[#This Row],[SAÍDA DO CLIENTE]]-Prog_23[[#This Row],[PROGRAMAÇÃO CLIENTE]]</f>
        <v>0</v>
      </c>
      <c r="AH877" s="44"/>
      <c r="AI877" s="66"/>
      <c r="AJ877" s="66"/>
      <c r="AK877" s="66"/>
      <c r="AL877" s="66"/>
      <c r="AM877" s="66"/>
      <c r="AN877" s="83"/>
      <c r="AO877" s="83"/>
      <c r="AP877" s="83"/>
      <c r="AQ877" s="66"/>
      <c r="AR877" s="66"/>
      <c r="AS877" s="66"/>
      <c r="AT877" s="81"/>
      <c r="AU877" s="81"/>
      <c r="AV877" s="81"/>
      <c r="AW877" s="81"/>
      <c r="AX877" s="83">
        <f>SUM(Prog_23[[#This Row],[ADIANTAMENTO]]+Prog_23[[#This Row],[SALDO]]+Prog_23[[#This Row],[MARGEM]]+Prog_23[[#This Row],[ESTADIA 1]])</f>
        <v>0</v>
      </c>
      <c r="AY8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77" s="81"/>
      <c r="BA877" s="81"/>
      <c r="BB877" s="81">
        <f>Prog_23[[#This Row],[VLR NF]]*0.1%</f>
        <v>0</v>
      </c>
      <c r="BC877" s="81">
        <f>Prog_23[[#This Row],[VLR NF]]*0.05%</f>
        <v>0</v>
      </c>
      <c r="BD877" s="81"/>
      <c r="BE877" s="81"/>
      <c r="BF877" s="81"/>
      <c r="BG877" s="81"/>
      <c r="BH877" s="81"/>
      <c r="BI877" s="81"/>
      <c r="BJ877" s="81"/>
      <c r="BK877" s="81"/>
      <c r="BL877" s="81"/>
      <c r="BM877" s="81"/>
      <c r="BN877" s="66"/>
      <c r="BO877" s="66"/>
      <c r="BP877" s="66"/>
      <c r="BQ877" s="66" t="str">
        <f>PROPER(TEXT(Prog_23[[#This Row],[PROGRAMAÇÃO CLIENTE]],"mmm"))</f>
        <v>Jan</v>
      </c>
      <c r="BR877" s="66">
        <f>YEAR(Prog_23[[#This Row],[PROGRAMAÇÃO CLIENTE]])</f>
        <v>1900</v>
      </c>
    </row>
    <row r="878" spans="1:70" x14ac:dyDescent="0.25">
      <c r="A878" s="201">
        <f>Prog_23[[#This Row],[CONTEINER]]</f>
        <v>0</v>
      </c>
      <c r="B878" s="86"/>
      <c r="C8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78" s="44"/>
      <c r="E878" s="66"/>
      <c r="F878" s="66"/>
      <c r="G878" s="66"/>
      <c r="H878" s="44"/>
      <c r="I878" s="44"/>
      <c r="J878" s="66"/>
      <c r="K878" s="66"/>
      <c r="L878" s="66"/>
      <c r="M878" s="66"/>
      <c r="N878" s="66">
        <f>SUM(Prog_23[[#This Row],[TARA]]+Prog_23[[#This Row],[PESO]])</f>
        <v>0</v>
      </c>
      <c r="O878" s="44"/>
      <c r="P878" s="66"/>
      <c r="Q878" s="66"/>
      <c r="R878" s="66"/>
      <c r="S878" s="66"/>
      <c r="T878" s="138" t="str">
        <f>IFERROR(LOOKUP($S878,MOTORISTAS!$D$3:$D$916,MOTORISTAS!E$3:$E$916),"")</f>
        <v/>
      </c>
      <c r="U878" s="138" t="str">
        <f>IFERROR(LOOKUP($S878,MOTORISTAS!$D$3:$D$916,MOTORISTAS!F$3:$F$916),"")</f>
        <v/>
      </c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44"/>
      <c r="AG878" s="254">
        <f>Prog_23[[#This Row],[SAÍDA DO CLIENTE]]-Prog_23[[#This Row],[PROGRAMAÇÃO CLIENTE]]</f>
        <v>0</v>
      </c>
      <c r="AH878" s="44"/>
      <c r="AI878" s="66"/>
      <c r="AJ878" s="66"/>
      <c r="AK878" s="66"/>
      <c r="AL878" s="66"/>
      <c r="AM878" s="66"/>
      <c r="AN878" s="83"/>
      <c r="AO878" s="83"/>
      <c r="AP878" s="83"/>
      <c r="AQ878" s="66"/>
      <c r="AR878" s="66"/>
      <c r="AS878" s="66"/>
      <c r="AT878" s="81"/>
      <c r="AU878" s="81"/>
      <c r="AV878" s="81"/>
      <c r="AW878" s="81"/>
      <c r="AX878" s="83">
        <f>SUM(Prog_23[[#This Row],[ADIANTAMENTO]]+Prog_23[[#This Row],[SALDO]]+Prog_23[[#This Row],[MARGEM]]+Prog_23[[#This Row],[ESTADIA 1]])</f>
        <v>0</v>
      </c>
      <c r="AY8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78" s="81"/>
      <c r="BA878" s="81"/>
      <c r="BB878" s="81">
        <f>Prog_23[[#This Row],[VLR NF]]*0.1%</f>
        <v>0</v>
      </c>
      <c r="BC878" s="81">
        <f>Prog_23[[#This Row],[VLR NF]]*0.05%</f>
        <v>0</v>
      </c>
      <c r="BD878" s="81"/>
      <c r="BE878" s="81"/>
      <c r="BF878" s="81"/>
      <c r="BG878" s="81"/>
      <c r="BH878" s="81"/>
      <c r="BI878" s="81"/>
      <c r="BJ878" s="81"/>
      <c r="BK878" s="81"/>
      <c r="BL878" s="81"/>
      <c r="BM878" s="81"/>
      <c r="BN878" s="66"/>
      <c r="BO878" s="66"/>
      <c r="BP878" s="66"/>
      <c r="BQ878" s="66" t="str">
        <f>PROPER(TEXT(Prog_23[[#This Row],[PROGRAMAÇÃO CLIENTE]],"mmm"))</f>
        <v>Jan</v>
      </c>
      <c r="BR878" s="66">
        <f>YEAR(Prog_23[[#This Row],[PROGRAMAÇÃO CLIENTE]])</f>
        <v>1900</v>
      </c>
    </row>
    <row r="879" spans="1:70" x14ac:dyDescent="0.25">
      <c r="A879" s="200">
        <f>Prog_23[[#This Row],[CONTEINER]]</f>
        <v>0</v>
      </c>
      <c r="B879" s="86"/>
      <c r="C8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79" s="44"/>
      <c r="E879" s="66"/>
      <c r="F879" s="66"/>
      <c r="G879" s="66"/>
      <c r="H879" s="44"/>
      <c r="I879" s="44"/>
      <c r="J879" s="66"/>
      <c r="K879" s="66"/>
      <c r="L879" s="66"/>
      <c r="M879" s="66"/>
      <c r="N879" s="66">
        <f>SUM(Prog_23[[#This Row],[TARA]]+Prog_23[[#This Row],[PESO]])</f>
        <v>0</v>
      </c>
      <c r="O879" s="44"/>
      <c r="P879" s="66"/>
      <c r="Q879" s="66"/>
      <c r="R879" s="66"/>
      <c r="S879" s="66"/>
      <c r="T879" s="138" t="str">
        <f>IFERROR(LOOKUP($S879,MOTORISTAS!$D$3:$D$916,MOTORISTAS!E$3:$E$916),"")</f>
        <v/>
      </c>
      <c r="U879" s="138" t="str">
        <f>IFERROR(LOOKUP($S879,MOTORISTAS!$D$3:$D$916,MOTORISTAS!F$3:$F$916),"")</f>
        <v/>
      </c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44"/>
      <c r="AG879" s="254">
        <f>Prog_23[[#This Row],[SAÍDA DO CLIENTE]]-Prog_23[[#This Row],[PROGRAMAÇÃO CLIENTE]]</f>
        <v>0</v>
      </c>
      <c r="AH879" s="44"/>
      <c r="AI879" s="66"/>
      <c r="AJ879" s="66"/>
      <c r="AK879" s="66"/>
      <c r="AL879" s="66"/>
      <c r="AM879" s="66"/>
      <c r="AN879" s="83"/>
      <c r="AO879" s="83"/>
      <c r="AP879" s="83"/>
      <c r="AQ879" s="66"/>
      <c r="AR879" s="66"/>
      <c r="AS879" s="66"/>
      <c r="AT879" s="81"/>
      <c r="AU879" s="81"/>
      <c r="AV879" s="81"/>
      <c r="AW879" s="81"/>
      <c r="AX879" s="83">
        <f>SUM(Prog_23[[#This Row],[ADIANTAMENTO]]+Prog_23[[#This Row],[SALDO]]+Prog_23[[#This Row],[MARGEM]]+Prog_23[[#This Row],[ESTADIA 1]])</f>
        <v>0</v>
      </c>
      <c r="AY8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79" s="81"/>
      <c r="BA879" s="81"/>
      <c r="BB879" s="81">
        <f>Prog_23[[#This Row],[VLR NF]]*0.1%</f>
        <v>0</v>
      </c>
      <c r="BC879" s="81">
        <f>Prog_23[[#This Row],[VLR NF]]*0.05%</f>
        <v>0</v>
      </c>
      <c r="BD879" s="81"/>
      <c r="BE879" s="81"/>
      <c r="BF879" s="81"/>
      <c r="BG879" s="81"/>
      <c r="BH879" s="81"/>
      <c r="BI879" s="81"/>
      <c r="BJ879" s="81"/>
      <c r="BK879" s="81"/>
      <c r="BL879" s="81"/>
      <c r="BM879" s="81"/>
      <c r="BN879" s="66"/>
      <c r="BO879" s="66"/>
      <c r="BP879" s="66"/>
      <c r="BQ879" s="66" t="str">
        <f>PROPER(TEXT(Prog_23[[#This Row],[PROGRAMAÇÃO CLIENTE]],"mmm"))</f>
        <v>Jan</v>
      </c>
      <c r="BR879" s="66">
        <f>YEAR(Prog_23[[#This Row],[PROGRAMAÇÃO CLIENTE]])</f>
        <v>1900</v>
      </c>
    </row>
    <row r="880" spans="1:70" x14ac:dyDescent="0.25">
      <c r="A880" s="201">
        <f>Prog_23[[#This Row],[CONTEINER]]</f>
        <v>0</v>
      </c>
      <c r="B880" s="86"/>
      <c r="C8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80" s="44"/>
      <c r="E880" s="66"/>
      <c r="F880" s="66"/>
      <c r="G880" s="66"/>
      <c r="H880" s="44"/>
      <c r="I880" s="44"/>
      <c r="J880" s="66"/>
      <c r="K880" s="66"/>
      <c r="L880" s="66"/>
      <c r="M880" s="66"/>
      <c r="N880" s="66">
        <f>SUM(Prog_23[[#This Row],[TARA]]+Prog_23[[#This Row],[PESO]])</f>
        <v>0</v>
      </c>
      <c r="O880" s="44"/>
      <c r="P880" s="66"/>
      <c r="Q880" s="66"/>
      <c r="R880" s="66"/>
      <c r="S880" s="66"/>
      <c r="T880" s="138" t="str">
        <f>IFERROR(LOOKUP($S880,MOTORISTAS!$D$3:$D$916,MOTORISTAS!E$3:$E$916),"")</f>
        <v/>
      </c>
      <c r="U880" s="138" t="str">
        <f>IFERROR(LOOKUP($S880,MOTORISTAS!$D$3:$D$916,MOTORISTAS!F$3:$F$916),"")</f>
        <v/>
      </c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44"/>
      <c r="AG880" s="254">
        <f>Prog_23[[#This Row],[SAÍDA DO CLIENTE]]-Prog_23[[#This Row],[PROGRAMAÇÃO CLIENTE]]</f>
        <v>0</v>
      </c>
      <c r="AH880" s="44"/>
      <c r="AI880" s="66"/>
      <c r="AJ880" s="66"/>
      <c r="AK880" s="66"/>
      <c r="AL880" s="66"/>
      <c r="AM880" s="66"/>
      <c r="AN880" s="83"/>
      <c r="AO880" s="83"/>
      <c r="AP880" s="83"/>
      <c r="AQ880" s="66"/>
      <c r="AR880" s="66"/>
      <c r="AS880" s="66"/>
      <c r="AT880" s="81"/>
      <c r="AU880" s="81"/>
      <c r="AV880" s="81"/>
      <c r="AW880" s="81"/>
      <c r="AX880" s="83">
        <f>SUM(Prog_23[[#This Row],[ADIANTAMENTO]]+Prog_23[[#This Row],[SALDO]]+Prog_23[[#This Row],[MARGEM]]+Prog_23[[#This Row],[ESTADIA 1]])</f>
        <v>0</v>
      </c>
      <c r="AY8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80" s="81"/>
      <c r="BA880" s="81"/>
      <c r="BB880" s="81">
        <f>Prog_23[[#This Row],[VLR NF]]*0.1%</f>
        <v>0</v>
      </c>
      <c r="BC880" s="81">
        <f>Prog_23[[#This Row],[VLR NF]]*0.05%</f>
        <v>0</v>
      </c>
      <c r="BD880" s="81"/>
      <c r="BE880" s="81"/>
      <c r="BF880" s="81"/>
      <c r="BG880" s="81"/>
      <c r="BH880" s="81"/>
      <c r="BI880" s="81"/>
      <c r="BJ880" s="81"/>
      <c r="BK880" s="81"/>
      <c r="BL880" s="81"/>
      <c r="BM880" s="81"/>
      <c r="BN880" s="66"/>
      <c r="BO880" s="66"/>
      <c r="BP880" s="66"/>
      <c r="BQ880" s="66" t="str">
        <f>PROPER(TEXT(Prog_23[[#This Row],[PROGRAMAÇÃO CLIENTE]],"mmm"))</f>
        <v>Jan</v>
      </c>
      <c r="BR880" s="66">
        <f>YEAR(Prog_23[[#This Row],[PROGRAMAÇÃO CLIENTE]])</f>
        <v>1900</v>
      </c>
    </row>
    <row r="881" spans="1:70" x14ac:dyDescent="0.25">
      <c r="A881" s="200">
        <f>Prog_23[[#This Row],[CONTEINER]]</f>
        <v>0</v>
      </c>
      <c r="B881" s="86"/>
      <c r="C8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81" s="44"/>
      <c r="E881" s="66"/>
      <c r="F881" s="66"/>
      <c r="G881" s="66"/>
      <c r="H881" s="44"/>
      <c r="I881" s="44"/>
      <c r="J881" s="66"/>
      <c r="K881" s="66"/>
      <c r="L881" s="66"/>
      <c r="M881" s="66"/>
      <c r="N881" s="66">
        <f>SUM(Prog_23[[#This Row],[TARA]]+Prog_23[[#This Row],[PESO]])</f>
        <v>0</v>
      </c>
      <c r="O881" s="44"/>
      <c r="P881" s="66"/>
      <c r="Q881" s="66"/>
      <c r="R881" s="66"/>
      <c r="S881" s="66"/>
      <c r="T881" s="138" t="str">
        <f>IFERROR(LOOKUP($S881,MOTORISTAS!$D$3:$D$916,MOTORISTAS!E$3:$E$916),"")</f>
        <v/>
      </c>
      <c r="U881" s="138" t="str">
        <f>IFERROR(LOOKUP($S881,MOTORISTAS!$D$3:$D$916,MOTORISTAS!F$3:$F$916),"")</f>
        <v/>
      </c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44"/>
      <c r="AG881" s="254">
        <f>Prog_23[[#This Row],[SAÍDA DO CLIENTE]]-Prog_23[[#This Row],[PROGRAMAÇÃO CLIENTE]]</f>
        <v>0</v>
      </c>
      <c r="AH881" s="44"/>
      <c r="AI881" s="66"/>
      <c r="AJ881" s="66"/>
      <c r="AK881" s="66"/>
      <c r="AL881" s="66"/>
      <c r="AM881" s="66"/>
      <c r="AN881" s="83"/>
      <c r="AO881" s="83"/>
      <c r="AP881" s="83"/>
      <c r="AQ881" s="66"/>
      <c r="AR881" s="66"/>
      <c r="AS881" s="66"/>
      <c r="AT881" s="81"/>
      <c r="AU881" s="81"/>
      <c r="AV881" s="81"/>
      <c r="AW881" s="81"/>
      <c r="AX881" s="83">
        <f>SUM(Prog_23[[#This Row],[ADIANTAMENTO]]+Prog_23[[#This Row],[SALDO]]+Prog_23[[#This Row],[MARGEM]]+Prog_23[[#This Row],[ESTADIA 1]])</f>
        <v>0</v>
      </c>
      <c r="AY8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81" s="81"/>
      <c r="BA881" s="81"/>
      <c r="BB881" s="81">
        <f>Prog_23[[#This Row],[VLR NF]]*0.1%</f>
        <v>0</v>
      </c>
      <c r="BC881" s="81">
        <f>Prog_23[[#This Row],[VLR NF]]*0.05%</f>
        <v>0</v>
      </c>
      <c r="BD881" s="81"/>
      <c r="BE881" s="81"/>
      <c r="BF881" s="81"/>
      <c r="BG881" s="81"/>
      <c r="BH881" s="81"/>
      <c r="BI881" s="81"/>
      <c r="BJ881" s="81"/>
      <c r="BK881" s="81"/>
      <c r="BL881" s="81"/>
      <c r="BM881" s="81"/>
      <c r="BN881" s="66"/>
      <c r="BO881" s="66"/>
      <c r="BP881" s="66"/>
      <c r="BQ881" s="66" t="str">
        <f>PROPER(TEXT(Prog_23[[#This Row],[PROGRAMAÇÃO CLIENTE]],"mmm"))</f>
        <v>Jan</v>
      </c>
      <c r="BR881" s="66">
        <f>YEAR(Prog_23[[#This Row],[PROGRAMAÇÃO CLIENTE]])</f>
        <v>1900</v>
      </c>
    </row>
    <row r="882" spans="1:70" x14ac:dyDescent="0.25">
      <c r="A882" s="201">
        <f>Prog_23[[#This Row],[CONTEINER]]</f>
        <v>0</v>
      </c>
      <c r="B882" s="86"/>
      <c r="C8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82" s="44"/>
      <c r="E882" s="66"/>
      <c r="F882" s="66"/>
      <c r="G882" s="66"/>
      <c r="H882" s="44"/>
      <c r="I882" s="44"/>
      <c r="J882" s="66"/>
      <c r="K882" s="66"/>
      <c r="L882" s="66"/>
      <c r="M882" s="66"/>
      <c r="N882" s="66">
        <f>SUM(Prog_23[[#This Row],[TARA]]+Prog_23[[#This Row],[PESO]])</f>
        <v>0</v>
      </c>
      <c r="O882" s="44"/>
      <c r="P882" s="66"/>
      <c r="Q882" s="66"/>
      <c r="R882" s="66"/>
      <c r="S882" s="66"/>
      <c r="T882" s="138" t="str">
        <f>IFERROR(LOOKUP($S882,MOTORISTAS!$D$3:$D$916,MOTORISTAS!E$3:$E$916),"")</f>
        <v/>
      </c>
      <c r="U882" s="138" t="str">
        <f>IFERROR(LOOKUP($S882,MOTORISTAS!$D$3:$D$916,MOTORISTAS!F$3:$F$916),"")</f>
        <v/>
      </c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44"/>
      <c r="AG882" s="254">
        <f>Prog_23[[#This Row],[SAÍDA DO CLIENTE]]-Prog_23[[#This Row],[PROGRAMAÇÃO CLIENTE]]</f>
        <v>0</v>
      </c>
      <c r="AH882" s="44"/>
      <c r="AI882" s="66"/>
      <c r="AJ882" s="66"/>
      <c r="AK882" s="66"/>
      <c r="AL882" s="66"/>
      <c r="AM882" s="66"/>
      <c r="AN882" s="83"/>
      <c r="AO882" s="83"/>
      <c r="AP882" s="83"/>
      <c r="AQ882" s="66"/>
      <c r="AR882" s="66"/>
      <c r="AS882" s="66"/>
      <c r="AT882" s="81"/>
      <c r="AU882" s="81"/>
      <c r="AV882" s="81"/>
      <c r="AW882" s="81"/>
      <c r="AX882" s="83">
        <f>SUM(Prog_23[[#This Row],[ADIANTAMENTO]]+Prog_23[[#This Row],[SALDO]]+Prog_23[[#This Row],[MARGEM]]+Prog_23[[#This Row],[ESTADIA 1]])</f>
        <v>0</v>
      </c>
      <c r="AY8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82" s="81"/>
      <c r="BA882" s="81"/>
      <c r="BB882" s="81">
        <f>Prog_23[[#This Row],[VLR NF]]*0.1%</f>
        <v>0</v>
      </c>
      <c r="BC882" s="81">
        <f>Prog_23[[#This Row],[VLR NF]]*0.05%</f>
        <v>0</v>
      </c>
      <c r="BD882" s="81"/>
      <c r="BE882" s="81"/>
      <c r="BF882" s="81"/>
      <c r="BG882" s="81"/>
      <c r="BH882" s="81"/>
      <c r="BI882" s="81"/>
      <c r="BJ882" s="81"/>
      <c r="BK882" s="81"/>
      <c r="BL882" s="81"/>
      <c r="BM882" s="81"/>
      <c r="BN882" s="66"/>
      <c r="BO882" s="66"/>
      <c r="BP882" s="66"/>
      <c r="BQ882" s="66" t="str">
        <f>PROPER(TEXT(Prog_23[[#This Row],[PROGRAMAÇÃO CLIENTE]],"mmm"))</f>
        <v>Jan</v>
      </c>
      <c r="BR882" s="66">
        <f>YEAR(Prog_23[[#This Row],[PROGRAMAÇÃO CLIENTE]])</f>
        <v>1900</v>
      </c>
    </row>
    <row r="883" spans="1:70" x14ac:dyDescent="0.25">
      <c r="A883" s="200">
        <f>Prog_23[[#This Row],[CONTEINER]]</f>
        <v>0</v>
      </c>
      <c r="B883" s="86"/>
      <c r="C8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83" s="44"/>
      <c r="E883" s="66"/>
      <c r="F883" s="66"/>
      <c r="G883" s="66"/>
      <c r="H883" s="44"/>
      <c r="I883" s="44"/>
      <c r="J883" s="66"/>
      <c r="K883" s="66"/>
      <c r="L883" s="66"/>
      <c r="M883" s="66"/>
      <c r="N883" s="66">
        <f>SUM(Prog_23[[#This Row],[TARA]]+Prog_23[[#This Row],[PESO]])</f>
        <v>0</v>
      </c>
      <c r="O883" s="44"/>
      <c r="P883" s="66"/>
      <c r="Q883" s="66"/>
      <c r="R883" s="66"/>
      <c r="S883" s="66"/>
      <c r="T883" s="138" t="str">
        <f>IFERROR(LOOKUP($S883,MOTORISTAS!$D$3:$D$916,MOTORISTAS!E$3:$E$916),"")</f>
        <v/>
      </c>
      <c r="U883" s="138" t="str">
        <f>IFERROR(LOOKUP($S883,MOTORISTAS!$D$3:$D$916,MOTORISTAS!F$3:$F$916),"")</f>
        <v/>
      </c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44"/>
      <c r="AG883" s="254">
        <f>Prog_23[[#This Row],[SAÍDA DO CLIENTE]]-Prog_23[[#This Row],[PROGRAMAÇÃO CLIENTE]]</f>
        <v>0</v>
      </c>
      <c r="AH883" s="44"/>
      <c r="AI883" s="66"/>
      <c r="AJ883" s="66"/>
      <c r="AK883" s="66"/>
      <c r="AL883" s="66"/>
      <c r="AM883" s="66"/>
      <c r="AN883" s="83"/>
      <c r="AO883" s="83"/>
      <c r="AP883" s="83"/>
      <c r="AQ883" s="66"/>
      <c r="AR883" s="66"/>
      <c r="AS883" s="66"/>
      <c r="AT883" s="81"/>
      <c r="AU883" s="81"/>
      <c r="AV883" s="81"/>
      <c r="AW883" s="81"/>
      <c r="AX883" s="83">
        <f>SUM(Prog_23[[#This Row],[ADIANTAMENTO]]+Prog_23[[#This Row],[SALDO]]+Prog_23[[#This Row],[MARGEM]]+Prog_23[[#This Row],[ESTADIA 1]])</f>
        <v>0</v>
      </c>
      <c r="AY8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83" s="81"/>
      <c r="BA883" s="81"/>
      <c r="BB883" s="81">
        <f>Prog_23[[#This Row],[VLR NF]]*0.1%</f>
        <v>0</v>
      </c>
      <c r="BC883" s="81">
        <f>Prog_23[[#This Row],[VLR NF]]*0.05%</f>
        <v>0</v>
      </c>
      <c r="BD883" s="81"/>
      <c r="BE883" s="81"/>
      <c r="BF883" s="81"/>
      <c r="BG883" s="81"/>
      <c r="BH883" s="81"/>
      <c r="BI883" s="81"/>
      <c r="BJ883" s="81"/>
      <c r="BK883" s="81"/>
      <c r="BL883" s="81"/>
      <c r="BM883" s="81"/>
      <c r="BN883" s="66"/>
      <c r="BO883" s="66"/>
      <c r="BP883" s="66"/>
      <c r="BQ883" s="66" t="str">
        <f>PROPER(TEXT(Prog_23[[#This Row],[PROGRAMAÇÃO CLIENTE]],"mmm"))</f>
        <v>Jan</v>
      </c>
      <c r="BR883" s="66">
        <f>YEAR(Prog_23[[#This Row],[PROGRAMAÇÃO CLIENTE]])</f>
        <v>1900</v>
      </c>
    </row>
    <row r="884" spans="1:70" x14ac:dyDescent="0.25">
      <c r="A884" s="201">
        <f>Prog_23[[#This Row],[CONTEINER]]</f>
        <v>0</v>
      </c>
      <c r="B884" s="86"/>
      <c r="C8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84" s="44"/>
      <c r="E884" s="66"/>
      <c r="F884" s="66"/>
      <c r="G884" s="66"/>
      <c r="H884" s="44"/>
      <c r="I884" s="44"/>
      <c r="J884" s="66"/>
      <c r="K884" s="66"/>
      <c r="L884" s="66"/>
      <c r="M884" s="66"/>
      <c r="N884" s="66">
        <f>SUM(Prog_23[[#This Row],[TARA]]+Prog_23[[#This Row],[PESO]])</f>
        <v>0</v>
      </c>
      <c r="O884" s="44"/>
      <c r="P884" s="66"/>
      <c r="Q884" s="66"/>
      <c r="R884" s="66"/>
      <c r="S884" s="66"/>
      <c r="T884" s="138" t="str">
        <f>IFERROR(LOOKUP($S884,MOTORISTAS!$D$3:$D$916,MOTORISTAS!E$3:$E$916),"")</f>
        <v/>
      </c>
      <c r="U884" s="138" t="str">
        <f>IFERROR(LOOKUP($S884,MOTORISTAS!$D$3:$D$916,MOTORISTAS!F$3:$F$916),"")</f>
        <v/>
      </c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44"/>
      <c r="AG884" s="254">
        <f>Prog_23[[#This Row],[SAÍDA DO CLIENTE]]-Prog_23[[#This Row],[PROGRAMAÇÃO CLIENTE]]</f>
        <v>0</v>
      </c>
      <c r="AH884" s="44"/>
      <c r="AI884" s="66"/>
      <c r="AJ884" s="66"/>
      <c r="AK884" s="66"/>
      <c r="AL884" s="66"/>
      <c r="AM884" s="66"/>
      <c r="AN884" s="83"/>
      <c r="AO884" s="83"/>
      <c r="AP884" s="83"/>
      <c r="AQ884" s="66"/>
      <c r="AR884" s="66"/>
      <c r="AS884" s="66"/>
      <c r="AT884" s="81"/>
      <c r="AU884" s="81"/>
      <c r="AV884" s="81"/>
      <c r="AW884" s="81"/>
      <c r="AX884" s="83">
        <f>SUM(Prog_23[[#This Row],[ADIANTAMENTO]]+Prog_23[[#This Row],[SALDO]]+Prog_23[[#This Row],[MARGEM]]+Prog_23[[#This Row],[ESTADIA 1]])</f>
        <v>0</v>
      </c>
      <c r="AY8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84" s="81"/>
      <c r="BA884" s="81"/>
      <c r="BB884" s="81">
        <f>Prog_23[[#This Row],[VLR NF]]*0.1%</f>
        <v>0</v>
      </c>
      <c r="BC884" s="81">
        <f>Prog_23[[#This Row],[VLR NF]]*0.05%</f>
        <v>0</v>
      </c>
      <c r="BD884" s="81"/>
      <c r="BE884" s="81"/>
      <c r="BF884" s="81"/>
      <c r="BG884" s="81"/>
      <c r="BH884" s="81"/>
      <c r="BI884" s="81"/>
      <c r="BJ884" s="81"/>
      <c r="BK884" s="81"/>
      <c r="BL884" s="81"/>
      <c r="BM884" s="81"/>
      <c r="BN884" s="66"/>
      <c r="BO884" s="66"/>
      <c r="BP884" s="66"/>
      <c r="BQ884" s="66" t="str">
        <f>PROPER(TEXT(Prog_23[[#This Row],[PROGRAMAÇÃO CLIENTE]],"mmm"))</f>
        <v>Jan</v>
      </c>
      <c r="BR884" s="66">
        <f>YEAR(Prog_23[[#This Row],[PROGRAMAÇÃO CLIENTE]])</f>
        <v>1900</v>
      </c>
    </row>
    <row r="885" spans="1:70" x14ac:dyDescent="0.25">
      <c r="A885" s="200">
        <f>Prog_23[[#This Row],[CONTEINER]]</f>
        <v>0</v>
      </c>
      <c r="B885" s="86"/>
      <c r="C8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85" s="44"/>
      <c r="E885" s="66"/>
      <c r="F885" s="66"/>
      <c r="G885" s="66"/>
      <c r="H885" s="44"/>
      <c r="I885" s="44"/>
      <c r="J885" s="66"/>
      <c r="K885" s="66"/>
      <c r="L885" s="66"/>
      <c r="M885" s="66"/>
      <c r="N885" s="66">
        <f>SUM(Prog_23[[#This Row],[TARA]]+Prog_23[[#This Row],[PESO]])</f>
        <v>0</v>
      </c>
      <c r="O885" s="44"/>
      <c r="P885" s="66"/>
      <c r="Q885" s="66"/>
      <c r="R885" s="66"/>
      <c r="S885" s="66"/>
      <c r="T885" s="138" t="str">
        <f>IFERROR(LOOKUP($S885,MOTORISTAS!$D$3:$D$916,MOTORISTAS!E$3:$E$916),"")</f>
        <v/>
      </c>
      <c r="U885" s="138" t="str">
        <f>IFERROR(LOOKUP($S885,MOTORISTAS!$D$3:$D$916,MOTORISTAS!F$3:$F$916),"")</f>
        <v/>
      </c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44"/>
      <c r="AG885" s="254">
        <f>Prog_23[[#This Row],[SAÍDA DO CLIENTE]]-Prog_23[[#This Row],[PROGRAMAÇÃO CLIENTE]]</f>
        <v>0</v>
      </c>
      <c r="AH885" s="44"/>
      <c r="AI885" s="66"/>
      <c r="AJ885" s="66"/>
      <c r="AK885" s="66"/>
      <c r="AL885" s="66"/>
      <c r="AM885" s="66"/>
      <c r="AN885" s="83"/>
      <c r="AO885" s="83"/>
      <c r="AP885" s="83"/>
      <c r="AQ885" s="66"/>
      <c r="AR885" s="66"/>
      <c r="AS885" s="66"/>
      <c r="AT885" s="81"/>
      <c r="AU885" s="81"/>
      <c r="AV885" s="81"/>
      <c r="AW885" s="81"/>
      <c r="AX885" s="83">
        <f>SUM(Prog_23[[#This Row],[ADIANTAMENTO]]+Prog_23[[#This Row],[SALDO]]+Prog_23[[#This Row],[MARGEM]]+Prog_23[[#This Row],[ESTADIA 1]])</f>
        <v>0</v>
      </c>
      <c r="AY8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85" s="81"/>
      <c r="BA885" s="81"/>
      <c r="BB885" s="81">
        <f>Prog_23[[#This Row],[VLR NF]]*0.1%</f>
        <v>0</v>
      </c>
      <c r="BC885" s="81">
        <f>Prog_23[[#This Row],[VLR NF]]*0.05%</f>
        <v>0</v>
      </c>
      <c r="BD885" s="81"/>
      <c r="BE885" s="81"/>
      <c r="BF885" s="81"/>
      <c r="BG885" s="81"/>
      <c r="BH885" s="81"/>
      <c r="BI885" s="81"/>
      <c r="BJ885" s="81"/>
      <c r="BK885" s="81"/>
      <c r="BL885" s="81"/>
      <c r="BM885" s="81"/>
      <c r="BN885" s="66"/>
      <c r="BO885" s="66"/>
      <c r="BP885" s="66"/>
      <c r="BQ885" s="66" t="str">
        <f>PROPER(TEXT(Prog_23[[#This Row],[PROGRAMAÇÃO CLIENTE]],"mmm"))</f>
        <v>Jan</v>
      </c>
      <c r="BR885" s="66">
        <f>YEAR(Prog_23[[#This Row],[PROGRAMAÇÃO CLIENTE]])</f>
        <v>1900</v>
      </c>
    </row>
    <row r="886" spans="1:70" x14ac:dyDescent="0.25">
      <c r="A886" s="201">
        <f>Prog_23[[#This Row],[CONTEINER]]</f>
        <v>0</v>
      </c>
      <c r="B886" s="86"/>
      <c r="C8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86" s="44"/>
      <c r="E886" s="66"/>
      <c r="F886" s="66"/>
      <c r="G886" s="66"/>
      <c r="H886" s="44"/>
      <c r="I886" s="44"/>
      <c r="J886" s="66"/>
      <c r="K886" s="66"/>
      <c r="L886" s="66"/>
      <c r="M886" s="66"/>
      <c r="N886" s="66">
        <f>SUM(Prog_23[[#This Row],[TARA]]+Prog_23[[#This Row],[PESO]])</f>
        <v>0</v>
      </c>
      <c r="O886" s="44"/>
      <c r="P886" s="66"/>
      <c r="Q886" s="66"/>
      <c r="R886" s="66"/>
      <c r="S886" s="66"/>
      <c r="T886" s="138" t="str">
        <f>IFERROR(LOOKUP($S886,MOTORISTAS!$D$3:$D$916,MOTORISTAS!E$3:$E$916),"")</f>
        <v/>
      </c>
      <c r="U886" s="138" t="str">
        <f>IFERROR(LOOKUP($S886,MOTORISTAS!$D$3:$D$916,MOTORISTAS!F$3:$F$916),"")</f>
        <v/>
      </c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44"/>
      <c r="AG886" s="254">
        <f>Prog_23[[#This Row],[SAÍDA DO CLIENTE]]-Prog_23[[#This Row],[PROGRAMAÇÃO CLIENTE]]</f>
        <v>0</v>
      </c>
      <c r="AH886" s="44"/>
      <c r="AI886" s="66"/>
      <c r="AJ886" s="66"/>
      <c r="AK886" s="66"/>
      <c r="AL886" s="66"/>
      <c r="AM886" s="66"/>
      <c r="AN886" s="83"/>
      <c r="AO886" s="83"/>
      <c r="AP886" s="83"/>
      <c r="AQ886" s="66"/>
      <c r="AR886" s="66"/>
      <c r="AS886" s="66"/>
      <c r="AT886" s="81"/>
      <c r="AU886" s="81"/>
      <c r="AV886" s="81"/>
      <c r="AW886" s="81"/>
      <c r="AX886" s="83">
        <f>SUM(Prog_23[[#This Row],[ADIANTAMENTO]]+Prog_23[[#This Row],[SALDO]]+Prog_23[[#This Row],[MARGEM]]+Prog_23[[#This Row],[ESTADIA 1]])</f>
        <v>0</v>
      </c>
      <c r="AY8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86" s="81"/>
      <c r="BA886" s="81"/>
      <c r="BB886" s="81">
        <f>Prog_23[[#This Row],[VLR NF]]*0.1%</f>
        <v>0</v>
      </c>
      <c r="BC886" s="81">
        <f>Prog_23[[#This Row],[VLR NF]]*0.05%</f>
        <v>0</v>
      </c>
      <c r="BD886" s="81"/>
      <c r="BE886" s="81"/>
      <c r="BF886" s="81"/>
      <c r="BG886" s="81"/>
      <c r="BH886" s="81"/>
      <c r="BI886" s="81"/>
      <c r="BJ886" s="81"/>
      <c r="BK886" s="81"/>
      <c r="BL886" s="81"/>
      <c r="BM886" s="81"/>
      <c r="BN886" s="66"/>
      <c r="BO886" s="66"/>
      <c r="BP886" s="66"/>
      <c r="BQ886" s="66" t="str">
        <f>PROPER(TEXT(Prog_23[[#This Row],[PROGRAMAÇÃO CLIENTE]],"mmm"))</f>
        <v>Jan</v>
      </c>
      <c r="BR886" s="66">
        <f>YEAR(Prog_23[[#This Row],[PROGRAMAÇÃO CLIENTE]])</f>
        <v>1900</v>
      </c>
    </row>
    <row r="887" spans="1:70" x14ac:dyDescent="0.25">
      <c r="A887" s="200">
        <f>Prog_23[[#This Row],[CONTEINER]]</f>
        <v>0</v>
      </c>
      <c r="B887" s="86"/>
      <c r="C8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87" s="44"/>
      <c r="E887" s="66"/>
      <c r="F887" s="66"/>
      <c r="G887" s="66"/>
      <c r="H887" s="44"/>
      <c r="I887" s="44"/>
      <c r="J887" s="66"/>
      <c r="K887" s="66"/>
      <c r="L887" s="66"/>
      <c r="M887" s="66"/>
      <c r="N887" s="66">
        <f>SUM(Prog_23[[#This Row],[TARA]]+Prog_23[[#This Row],[PESO]])</f>
        <v>0</v>
      </c>
      <c r="O887" s="44"/>
      <c r="P887" s="66"/>
      <c r="Q887" s="66"/>
      <c r="R887" s="66"/>
      <c r="S887" s="66"/>
      <c r="T887" s="138" t="str">
        <f>IFERROR(LOOKUP($S887,MOTORISTAS!$D$3:$D$916,MOTORISTAS!E$3:$E$916),"")</f>
        <v/>
      </c>
      <c r="U887" s="138" t="str">
        <f>IFERROR(LOOKUP($S887,MOTORISTAS!$D$3:$D$916,MOTORISTAS!F$3:$F$916),"")</f>
        <v/>
      </c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44"/>
      <c r="AG887" s="254">
        <f>Prog_23[[#This Row],[SAÍDA DO CLIENTE]]-Prog_23[[#This Row],[PROGRAMAÇÃO CLIENTE]]</f>
        <v>0</v>
      </c>
      <c r="AH887" s="44"/>
      <c r="AI887" s="66"/>
      <c r="AJ887" s="66"/>
      <c r="AK887" s="66"/>
      <c r="AL887" s="66"/>
      <c r="AM887" s="66"/>
      <c r="AN887" s="83"/>
      <c r="AO887" s="83"/>
      <c r="AP887" s="83"/>
      <c r="AQ887" s="66"/>
      <c r="AR887" s="66"/>
      <c r="AS887" s="66"/>
      <c r="AT887" s="81"/>
      <c r="AU887" s="81"/>
      <c r="AV887" s="81"/>
      <c r="AW887" s="81"/>
      <c r="AX887" s="83">
        <f>SUM(Prog_23[[#This Row],[ADIANTAMENTO]]+Prog_23[[#This Row],[SALDO]]+Prog_23[[#This Row],[MARGEM]]+Prog_23[[#This Row],[ESTADIA 1]])</f>
        <v>0</v>
      </c>
      <c r="AY8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87" s="81"/>
      <c r="BA887" s="81"/>
      <c r="BB887" s="81">
        <f>Prog_23[[#This Row],[VLR NF]]*0.1%</f>
        <v>0</v>
      </c>
      <c r="BC887" s="81">
        <f>Prog_23[[#This Row],[VLR NF]]*0.05%</f>
        <v>0</v>
      </c>
      <c r="BD887" s="81"/>
      <c r="BE887" s="81"/>
      <c r="BF887" s="81"/>
      <c r="BG887" s="81"/>
      <c r="BH887" s="81"/>
      <c r="BI887" s="81"/>
      <c r="BJ887" s="81"/>
      <c r="BK887" s="81"/>
      <c r="BL887" s="81"/>
      <c r="BM887" s="81"/>
      <c r="BN887" s="66"/>
      <c r="BO887" s="66"/>
      <c r="BP887" s="66"/>
      <c r="BQ887" s="66" t="str">
        <f>PROPER(TEXT(Prog_23[[#This Row],[PROGRAMAÇÃO CLIENTE]],"mmm"))</f>
        <v>Jan</v>
      </c>
      <c r="BR887" s="66">
        <f>YEAR(Prog_23[[#This Row],[PROGRAMAÇÃO CLIENTE]])</f>
        <v>1900</v>
      </c>
    </row>
    <row r="888" spans="1:70" x14ac:dyDescent="0.25">
      <c r="A888" s="201">
        <f>Prog_23[[#This Row],[CONTEINER]]</f>
        <v>0</v>
      </c>
      <c r="B888" s="86"/>
      <c r="C8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88" s="44"/>
      <c r="E888" s="66"/>
      <c r="F888" s="66"/>
      <c r="G888" s="66"/>
      <c r="H888" s="44"/>
      <c r="I888" s="44"/>
      <c r="J888" s="66"/>
      <c r="K888" s="66"/>
      <c r="L888" s="66"/>
      <c r="M888" s="66"/>
      <c r="N888" s="66">
        <f>SUM(Prog_23[[#This Row],[TARA]]+Prog_23[[#This Row],[PESO]])</f>
        <v>0</v>
      </c>
      <c r="O888" s="44"/>
      <c r="P888" s="66"/>
      <c r="Q888" s="66"/>
      <c r="R888" s="66"/>
      <c r="S888" s="66"/>
      <c r="T888" s="138" t="str">
        <f>IFERROR(LOOKUP($S888,MOTORISTAS!$D$3:$D$916,MOTORISTAS!E$3:$E$916),"")</f>
        <v/>
      </c>
      <c r="U888" s="138" t="str">
        <f>IFERROR(LOOKUP($S888,MOTORISTAS!$D$3:$D$916,MOTORISTAS!F$3:$F$916),"")</f>
        <v/>
      </c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44"/>
      <c r="AG888" s="254">
        <f>Prog_23[[#This Row],[SAÍDA DO CLIENTE]]-Prog_23[[#This Row],[PROGRAMAÇÃO CLIENTE]]</f>
        <v>0</v>
      </c>
      <c r="AH888" s="44"/>
      <c r="AI888" s="66"/>
      <c r="AJ888" s="66"/>
      <c r="AK888" s="66"/>
      <c r="AL888" s="66"/>
      <c r="AM888" s="66"/>
      <c r="AN888" s="83"/>
      <c r="AO888" s="83"/>
      <c r="AP888" s="83"/>
      <c r="AQ888" s="66"/>
      <c r="AR888" s="66"/>
      <c r="AS888" s="66"/>
      <c r="AT888" s="81"/>
      <c r="AU888" s="81"/>
      <c r="AV888" s="81"/>
      <c r="AW888" s="81"/>
      <c r="AX888" s="83">
        <f>SUM(Prog_23[[#This Row],[ADIANTAMENTO]]+Prog_23[[#This Row],[SALDO]]+Prog_23[[#This Row],[MARGEM]]+Prog_23[[#This Row],[ESTADIA 1]])</f>
        <v>0</v>
      </c>
      <c r="AY8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88" s="81"/>
      <c r="BA888" s="81"/>
      <c r="BB888" s="81">
        <f>Prog_23[[#This Row],[VLR NF]]*0.1%</f>
        <v>0</v>
      </c>
      <c r="BC888" s="81">
        <f>Prog_23[[#This Row],[VLR NF]]*0.05%</f>
        <v>0</v>
      </c>
      <c r="BD888" s="81"/>
      <c r="BE888" s="81"/>
      <c r="BF888" s="81"/>
      <c r="BG888" s="81"/>
      <c r="BH888" s="81"/>
      <c r="BI888" s="81"/>
      <c r="BJ888" s="81"/>
      <c r="BK888" s="81"/>
      <c r="BL888" s="81"/>
      <c r="BM888" s="81"/>
      <c r="BN888" s="66"/>
      <c r="BO888" s="66"/>
      <c r="BP888" s="66"/>
      <c r="BQ888" s="66" t="str">
        <f>PROPER(TEXT(Prog_23[[#This Row],[PROGRAMAÇÃO CLIENTE]],"mmm"))</f>
        <v>Jan</v>
      </c>
      <c r="BR888" s="66">
        <f>YEAR(Prog_23[[#This Row],[PROGRAMAÇÃO CLIENTE]])</f>
        <v>1900</v>
      </c>
    </row>
    <row r="889" spans="1:70" x14ac:dyDescent="0.25">
      <c r="A889" s="200">
        <f>Prog_23[[#This Row],[CONTEINER]]</f>
        <v>0</v>
      </c>
      <c r="B889" s="86"/>
      <c r="C8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89" s="44"/>
      <c r="E889" s="66"/>
      <c r="F889" s="66"/>
      <c r="G889" s="66"/>
      <c r="H889" s="44"/>
      <c r="I889" s="44"/>
      <c r="J889" s="66"/>
      <c r="K889" s="66"/>
      <c r="L889" s="66"/>
      <c r="M889" s="66"/>
      <c r="N889" s="66">
        <f>SUM(Prog_23[[#This Row],[TARA]]+Prog_23[[#This Row],[PESO]])</f>
        <v>0</v>
      </c>
      <c r="O889" s="44"/>
      <c r="P889" s="66"/>
      <c r="Q889" s="66"/>
      <c r="R889" s="66"/>
      <c r="S889" s="66"/>
      <c r="T889" s="138" t="str">
        <f>IFERROR(LOOKUP($S889,MOTORISTAS!$D$3:$D$916,MOTORISTAS!E$3:$E$916),"")</f>
        <v/>
      </c>
      <c r="U889" s="138" t="str">
        <f>IFERROR(LOOKUP($S889,MOTORISTAS!$D$3:$D$916,MOTORISTAS!F$3:$F$916),"")</f>
        <v/>
      </c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44"/>
      <c r="AG889" s="254">
        <f>Prog_23[[#This Row],[SAÍDA DO CLIENTE]]-Prog_23[[#This Row],[PROGRAMAÇÃO CLIENTE]]</f>
        <v>0</v>
      </c>
      <c r="AH889" s="44"/>
      <c r="AI889" s="66"/>
      <c r="AJ889" s="66"/>
      <c r="AK889" s="66"/>
      <c r="AL889" s="66"/>
      <c r="AM889" s="66"/>
      <c r="AN889" s="83"/>
      <c r="AO889" s="83"/>
      <c r="AP889" s="83"/>
      <c r="AQ889" s="66"/>
      <c r="AR889" s="66"/>
      <c r="AS889" s="66"/>
      <c r="AT889" s="81"/>
      <c r="AU889" s="81"/>
      <c r="AV889" s="81"/>
      <c r="AW889" s="81"/>
      <c r="AX889" s="83">
        <f>SUM(Prog_23[[#This Row],[ADIANTAMENTO]]+Prog_23[[#This Row],[SALDO]]+Prog_23[[#This Row],[MARGEM]]+Prog_23[[#This Row],[ESTADIA 1]])</f>
        <v>0</v>
      </c>
      <c r="AY8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89" s="81"/>
      <c r="BA889" s="81"/>
      <c r="BB889" s="81">
        <f>Prog_23[[#This Row],[VLR NF]]*0.1%</f>
        <v>0</v>
      </c>
      <c r="BC889" s="81">
        <f>Prog_23[[#This Row],[VLR NF]]*0.05%</f>
        <v>0</v>
      </c>
      <c r="BD889" s="81"/>
      <c r="BE889" s="81"/>
      <c r="BF889" s="81"/>
      <c r="BG889" s="81"/>
      <c r="BH889" s="81"/>
      <c r="BI889" s="81"/>
      <c r="BJ889" s="81"/>
      <c r="BK889" s="81"/>
      <c r="BL889" s="81"/>
      <c r="BM889" s="81"/>
      <c r="BN889" s="66"/>
      <c r="BO889" s="66"/>
      <c r="BP889" s="66"/>
      <c r="BQ889" s="66" t="str">
        <f>PROPER(TEXT(Prog_23[[#This Row],[PROGRAMAÇÃO CLIENTE]],"mmm"))</f>
        <v>Jan</v>
      </c>
      <c r="BR889" s="66">
        <f>YEAR(Prog_23[[#This Row],[PROGRAMAÇÃO CLIENTE]])</f>
        <v>1900</v>
      </c>
    </row>
    <row r="890" spans="1:70" x14ac:dyDescent="0.25">
      <c r="A890" s="201">
        <f>Prog_23[[#This Row],[CONTEINER]]</f>
        <v>0</v>
      </c>
      <c r="B890" s="86"/>
      <c r="C8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90" s="44"/>
      <c r="E890" s="66"/>
      <c r="F890" s="66"/>
      <c r="G890" s="66"/>
      <c r="H890" s="44"/>
      <c r="I890" s="44"/>
      <c r="J890" s="66"/>
      <c r="K890" s="66"/>
      <c r="L890" s="66"/>
      <c r="M890" s="66"/>
      <c r="N890" s="66">
        <f>SUM(Prog_23[[#This Row],[TARA]]+Prog_23[[#This Row],[PESO]])</f>
        <v>0</v>
      </c>
      <c r="O890" s="44"/>
      <c r="P890" s="66"/>
      <c r="Q890" s="66"/>
      <c r="R890" s="66"/>
      <c r="S890" s="66"/>
      <c r="T890" s="138" t="str">
        <f>IFERROR(LOOKUP($S890,MOTORISTAS!$D$3:$D$916,MOTORISTAS!E$3:$E$916),"")</f>
        <v/>
      </c>
      <c r="U890" s="138" t="str">
        <f>IFERROR(LOOKUP($S890,MOTORISTAS!$D$3:$D$916,MOTORISTAS!F$3:$F$916),"")</f>
        <v/>
      </c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44"/>
      <c r="AG890" s="254">
        <f>Prog_23[[#This Row],[SAÍDA DO CLIENTE]]-Prog_23[[#This Row],[PROGRAMAÇÃO CLIENTE]]</f>
        <v>0</v>
      </c>
      <c r="AH890" s="44"/>
      <c r="AI890" s="66"/>
      <c r="AJ890" s="66"/>
      <c r="AK890" s="66"/>
      <c r="AL890" s="66"/>
      <c r="AM890" s="66"/>
      <c r="AN890" s="83"/>
      <c r="AO890" s="83"/>
      <c r="AP890" s="83"/>
      <c r="AQ890" s="66"/>
      <c r="AR890" s="66"/>
      <c r="AS890" s="66"/>
      <c r="AT890" s="81"/>
      <c r="AU890" s="81"/>
      <c r="AV890" s="81"/>
      <c r="AW890" s="81"/>
      <c r="AX890" s="83">
        <f>SUM(Prog_23[[#This Row],[ADIANTAMENTO]]+Prog_23[[#This Row],[SALDO]]+Prog_23[[#This Row],[MARGEM]]+Prog_23[[#This Row],[ESTADIA 1]])</f>
        <v>0</v>
      </c>
      <c r="AY8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90" s="81"/>
      <c r="BA890" s="81"/>
      <c r="BB890" s="81">
        <f>Prog_23[[#This Row],[VLR NF]]*0.1%</f>
        <v>0</v>
      </c>
      <c r="BC890" s="81">
        <f>Prog_23[[#This Row],[VLR NF]]*0.05%</f>
        <v>0</v>
      </c>
      <c r="BD890" s="81"/>
      <c r="BE890" s="81"/>
      <c r="BF890" s="81"/>
      <c r="BG890" s="81"/>
      <c r="BH890" s="81"/>
      <c r="BI890" s="81"/>
      <c r="BJ890" s="81"/>
      <c r="BK890" s="81"/>
      <c r="BL890" s="81"/>
      <c r="BM890" s="81"/>
      <c r="BN890" s="66"/>
      <c r="BO890" s="66"/>
      <c r="BP890" s="66"/>
      <c r="BQ890" s="66" t="str">
        <f>PROPER(TEXT(Prog_23[[#This Row],[PROGRAMAÇÃO CLIENTE]],"mmm"))</f>
        <v>Jan</v>
      </c>
      <c r="BR890" s="66">
        <f>YEAR(Prog_23[[#This Row],[PROGRAMAÇÃO CLIENTE]])</f>
        <v>1900</v>
      </c>
    </row>
    <row r="891" spans="1:70" x14ac:dyDescent="0.25">
      <c r="A891" s="200">
        <f>Prog_23[[#This Row],[CONTEINER]]</f>
        <v>0</v>
      </c>
      <c r="B891" s="86"/>
      <c r="C8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91" s="44"/>
      <c r="E891" s="66"/>
      <c r="F891" s="66"/>
      <c r="G891" s="66"/>
      <c r="H891" s="44"/>
      <c r="I891" s="44"/>
      <c r="J891" s="66"/>
      <c r="K891" s="66"/>
      <c r="L891" s="66"/>
      <c r="M891" s="66"/>
      <c r="N891" s="66">
        <f>SUM(Prog_23[[#This Row],[TARA]]+Prog_23[[#This Row],[PESO]])</f>
        <v>0</v>
      </c>
      <c r="O891" s="44"/>
      <c r="P891" s="66"/>
      <c r="Q891" s="66"/>
      <c r="R891" s="66"/>
      <c r="S891" s="66"/>
      <c r="T891" s="138" t="str">
        <f>IFERROR(LOOKUP($S891,MOTORISTAS!$D$3:$D$916,MOTORISTAS!E$3:$E$916),"")</f>
        <v/>
      </c>
      <c r="U891" s="138" t="str">
        <f>IFERROR(LOOKUP($S891,MOTORISTAS!$D$3:$D$916,MOTORISTAS!F$3:$F$916),"")</f>
        <v/>
      </c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44"/>
      <c r="AG891" s="254">
        <f>Prog_23[[#This Row],[SAÍDA DO CLIENTE]]-Prog_23[[#This Row],[PROGRAMAÇÃO CLIENTE]]</f>
        <v>0</v>
      </c>
      <c r="AH891" s="44"/>
      <c r="AI891" s="66"/>
      <c r="AJ891" s="66"/>
      <c r="AK891" s="66"/>
      <c r="AL891" s="66"/>
      <c r="AM891" s="66"/>
      <c r="AN891" s="83"/>
      <c r="AO891" s="83"/>
      <c r="AP891" s="83"/>
      <c r="AQ891" s="66"/>
      <c r="AR891" s="66"/>
      <c r="AS891" s="66"/>
      <c r="AT891" s="81"/>
      <c r="AU891" s="81"/>
      <c r="AV891" s="81"/>
      <c r="AW891" s="81"/>
      <c r="AX891" s="83">
        <f>SUM(Prog_23[[#This Row],[ADIANTAMENTO]]+Prog_23[[#This Row],[SALDO]]+Prog_23[[#This Row],[MARGEM]]+Prog_23[[#This Row],[ESTADIA 1]])</f>
        <v>0</v>
      </c>
      <c r="AY8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91" s="81"/>
      <c r="BA891" s="81"/>
      <c r="BB891" s="81">
        <f>Prog_23[[#This Row],[VLR NF]]*0.1%</f>
        <v>0</v>
      </c>
      <c r="BC891" s="81">
        <f>Prog_23[[#This Row],[VLR NF]]*0.05%</f>
        <v>0</v>
      </c>
      <c r="BD891" s="81"/>
      <c r="BE891" s="81"/>
      <c r="BF891" s="81"/>
      <c r="BG891" s="81"/>
      <c r="BH891" s="81"/>
      <c r="BI891" s="81"/>
      <c r="BJ891" s="81"/>
      <c r="BK891" s="81"/>
      <c r="BL891" s="81"/>
      <c r="BM891" s="81"/>
      <c r="BN891" s="66"/>
      <c r="BO891" s="66"/>
      <c r="BP891" s="66"/>
      <c r="BQ891" s="66" t="str">
        <f>PROPER(TEXT(Prog_23[[#This Row],[PROGRAMAÇÃO CLIENTE]],"mmm"))</f>
        <v>Jan</v>
      </c>
      <c r="BR891" s="66">
        <f>YEAR(Prog_23[[#This Row],[PROGRAMAÇÃO CLIENTE]])</f>
        <v>1900</v>
      </c>
    </row>
    <row r="892" spans="1:70" x14ac:dyDescent="0.25">
      <c r="A892" s="201">
        <f>Prog_23[[#This Row],[CONTEINER]]</f>
        <v>0</v>
      </c>
      <c r="B892" s="86"/>
      <c r="C8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92" s="44"/>
      <c r="E892" s="66"/>
      <c r="F892" s="66"/>
      <c r="G892" s="66"/>
      <c r="H892" s="44"/>
      <c r="I892" s="44"/>
      <c r="J892" s="66"/>
      <c r="K892" s="66"/>
      <c r="L892" s="66"/>
      <c r="M892" s="66"/>
      <c r="N892" s="66">
        <f>SUM(Prog_23[[#This Row],[TARA]]+Prog_23[[#This Row],[PESO]])</f>
        <v>0</v>
      </c>
      <c r="O892" s="44"/>
      <c r="P892" s="66"/>
      <c r="Q892" s="66"/>
      <c r="R892" s="66"/>
      <c r="S892" s="66"/>
      <c r="T892" s="138" t="str">
        <f>IFERROR(LOOKUP($S892,MOTORISTAS!$D$3:$D$916,MOTORISTAS!E$3:$E$916),"")</f>
        <v/>
      </c>
      <c r="U892" s="138" t="str">
        <f>IFERROR(LOOKUP($S892,MOTORISTAS!$D$3:$D$916,MOTORISTAS!F$3:$F$916),"")</f>
        <v/>
      </c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44"/>
      <c r="AG892" s="254">
        <f>Prog_23[[#This Row],[SAÍDA DO CLIENTE]]-Prog_23[[#This Row],[PROGRAMAÇÃO CLIENTE]]</f>
        <v>0</v>
      </c>
      <c r="AH892" s="44"/>
      <c r="AI892" s="66"/>
      <c r="AJ892" s="66"/>
      <c r="AK892" s="66"/>
      <c r="AL892" s="66"/>
      <c r="AM892" s="66"/>
      <c r="AN892" s="83"/>
      <c r="AO892" s="83"/>
      <c r="AP892" s="83"/>
      <c r="AQ892" s="66"/>
      <c r="AR892" s="66"/>
      <c r="AS892" s="66"/>
      <c r="AT892" s="81"/>
      <c r="AU892" s="81"/>
      <c r="AV892" s="81"/>
      <c r="AW892" s="81"/>
      <c r="AX892" s="83">
        <f>SUM(Prog_23[[#This Row],[ADIANTAMENTO]]+Prog_23[[#This Row],[SALDO]]+Prog_23[[#This Row],[MARGEM]]+Prog_23[[#This Row],[ESTADIA 1]])</f>
        <v>0</v>
      </c>
      <c r="AY8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92" s="81"/>
      <c r="BA892" s="81"/>
      <c r="BB892" s="81">
        <f>Prog_23[[#This Row],[VLR NF]]*0.1%</f>
        <v>0</v>
      </c>
      <c r="BC892" s="81">
        <f>Prog_23[[#This Row],[VLR NF]]*0.05%</f>
        <v>0</v>
      </c>
      <c r="BD892" s="81"/>
      <c r="BE892" s="81"/>
      <c r="BF892" s="81"/>
      <c r="BG892" s="81"/>
      <c r="BH892" s="81"/>
      <c r="BI892" s="81"/>
      <c r="BJ892" s="81"/>
      <c r="BK892" s="81"/>
      <c r="BL892" s="81"/>
      <c r="BM892" s="81"/>
      <c r="BN892" s="66"/>
      <c r="BO892" s="66"/>
      <c r="BP892" s="66"/>
      <c r="BQ892" s="66" t="str">
        <f>PROPER(TEXT(Prog_23[[#This Row],[PROGRAMAÇÃO CLIENTE]],"mmm"))</f>
        <v>Jan</v>
      </c>
      <c r="BR892" s="66">
        <f>YEAR(Prog_23[[#This Row],[PROGRAMAÇÃO CLIENTE]])</f>
        <v>1900</v>
      </c>
    </row>
    <row r="893" spans="1:70" x14ac:dyDescent="0.25">
      <c r="A893" s="200">
        <f>Prog_23[[#This Row],[CONTEINER]]</f>
        <v>0</v>
      </c>
      <c r="B893" s="86"/>
      <c r="C8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93" s="44"/>
      <c r="E893" s="66"/>
      <c r="F893" s="66"/>
      <c r="G893" s="66"/>
      <c r="H893" s="44"/>
      <c r="I893" s="44"/>
      <c r="J893" s="66"/>
      <c r="K893" s="66"/>
      <c r="L893" s="66"/>
      <c r="M893" s="66"/>
      <c r="N893" s="66">
        <f>SUM(Prog_23[[#This Row],[TARA]]+Prog_23[[#This Row],[PESO]])</f>
        <v>0</v>
      </c>
      <c r="O893" s="44"/>
      <c r="P893" s="66"/>
      <c r="Q893" s="66"/>
      <c r="R893" s="66"/>
      <c r="S893" s="66"/>
      <c r="T893" s="138" t="str">
        <f>IFERROR(LOOKUP($S893,MOTORISTAS!$D$3:$D$916,MOTORISTAS!E$3:$E$916),"")</f>
        <v/>
      </c>
      <c r="U893" s="138" t="str">
        <f>IFERROR(LOOKUP($S893,MOTORISTAS!$D$3:$D$916,MOTORISTAS!F$3:$F$916),"")</f>
        <v/>
      </c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44"/>
      <c r="AG893" s="254">
        <f>Prog_23[[#This Row],[SAÍDA DO CLIENTE]]-Prog_23[[#This Row],[PROGRAMAÇÃO CLIENTE]]</f>
        <v>0</v>
      </c>
      <c r="AH893" s="44"/>
      <c r="AI893" s="66"/>
      <c r="AJ893" s="66"/>
      <c r="AK893" s="66"/>
      <c r="AL893" s="66"/>
      <c r="AM893" s="66"/>
      <c r="AN893" s="83"/>
      <c r="AO893" s="83"/>
      <c r="AP893" s="83"/>
      <c r="AQ893" s="66"/>
      <c r="AR893" s="66"/>
      <c r="AS893" s="66"/>
      <c r="AT893" s="81"/>
      <c r="AU893" s="81"/>
      <c r="AV893" s="81"/>
      <c r="AW893" s="81"/>
      <c r="AX893" s="83">
        <f>SUM(Prog_23[[#This Row],[ADIANTAMENTO]]+Prog_23[[#This Row],[SALDO]]+Prog_23[[#This Row],[MARGEM]]+Prog_23[[#This Row],[ESTADIA 1]])</f>
        <v>0</v>
      </c>
      <c r="AY8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93" s="81"/>
      <c r="BA893" s="81"/>
      <c r="BB893" s="81">
        <f>Prog_23[[#This Row],[VLR NF]]*0.1%</f>
        <v>0</v>
      </c>
      <c r="BC893" s="81">
        <f>Prog_23[[#This Row],[VLR NF]]*0.05%</f>
        <v>0</v>
      </c>
      <c r="BD893" s="81"/>
      <c r="BE893" s="81"/>
      <c r="BF893" s="81"/>
      <c r="BG893" s="81"/>
      <c r="BH893" s="81"/>
      <c r="BI893" s="81"/>
      <c r="BJ893" s="81"/>
      <c r="BK893" s="81"/>
      <c r="BL893" s="81"/>
      <c r="BM893" s="81"/>
      <c r="BN893" s="66"/>
      <c r="BO893" s="66"/>
      <c r="BP893" s="66"/>
      <c r="BQ893" s="66" t="str">
        <f>PROPER(TEXT(Prog_23[[#This Row],[PROGRAMAÇÃO CLIENTE]],"mmm"))</f>
        <v>Jan</v>
      </c>
      <c r="BR893" s="66">
        <f>YEAR(Prog_23[[#This Row],[PROGRAMAÇÃO CLIENTE]])</f>
        <v>1900</v>
      </c>
    </row>
    <row r="894" spans="1:70" x14ac:dyDescent="0.25">
      <c r="A894" s="201">
        <f>Prog_23[[#This Row],[CONTEINER]]</f>
        <v>0</v>
      </c>
      <c r="B894" s="86"/>
      <c r="C8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94" s="44"/>
      <c r="E894" s="66"/>
      <c r="F894" s="66"/>
      <c r="G894" s="66"/>
      <c r="H894" s="44"/>
      <c r="I894" s="44"/>
      <c r="J894" s="66"/>
      <c r="K894" s="66"/>
      <c r="L894" s="66"/>
      <c r="M894" s="66"/>
      <c r="N894" s="66">
        <f>SUM(Prog_23[[#This Row],[TARA]]+Prog_23[[#This Row],[PESO]])</f>
        <v>0</v>
      </c>
      <c r="O894" s="44"/>
      <c r="P894" s="66"/>
      <c r="Q894" s="66"/>
      <c r="R894" s="66"/>
      <c r="S894" s="66"/>
      <c r="T894" s="138" t="str">
        <f>IFERROR(LOOKUP($S894,MOTORISTAS!$D$3:$D$916,MOTORISTAS!E$3:$E$916),"")</f>
        <v/>
      </c>
      <c r="U894" s="138" t="str">
        <f>IFERROR(LOOKUP($S894,MOTORISTAS!$D$3:$D$916,MOTORISTAS!F$3:$F$916),"")</f>
        <v/>
      </c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44"/>
      <c r="AG894" s="254">
        <f>Prog_23[[#This Row],[SAÍDA DO CLIENTE]]-Prog_23[[#This Row],[PROGRAMAÇÃO CLIENTE]]</f>
        <v>0</v>
      </c>
      <c r="AH894" s="44"/>
      <c r="AI894" s="66"/>
      <c r="AJ894" s="66"/>
      <c r="AK894" s="66"/>
      <c r="AL894" s="66"/>
      <c r="AM894" s="66"/>
      <c r="AN894" s="83"/>
      <c r="AO894" s="83"/>
      <c r="AP894" s="83"/>
      <c r="AQ894" s="66"/>
      <c r="AR894" s="66"/>
      <c r="AS894" s="66"/>
      <c r="AT894" s="81"/>
      <c r="AU894" s="81"/>
      <c r="AV894" s="81"/>
      <c r="AW894" s="81"/>
      <c r="AX894" s="83">
        <f>SUM(Prog_23[[#This Row],[ADIANTAMENTO]]+Prog_23[[#This Row],[SALDO]]+Prog_23[[#This Row],[MARGEM]]+Prog_23[[#This Row],[ESTADIA 1]])</f>
        <v>0</v>
      </c>
      <c r="AY8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94" s="81"/>
      <c r="BA894" s="81"/>
      <c r="BB894" s="81">
        <f>Prog_23[[#This Row],[VLR NF]]*0.1%</f>
        <v>0</v>
      </c>
      <c r="BC894" s="81">
        <f>Prog_23[[#This Row],[VLR NF]]*0.05%</f>
        <v>0</v>
      </c>
      <c r="BD894" s="81"/>
      <c r="BE894" s="81"/>
      <c r="BF894" s="81"/>
      <c r="BG894" s="81"/>
      <c r="BH894" s="81"/>
      <c r="BI894" s="81"/>
      <c r="BJ894" s="81"/>
      <c r="BK894" s="81"/>
      <c r="BL894" s="81"/>
      <c r="BM894" s="81"/>
      <c r="BN894" s="66"/>
      <c r="BO894" s="66"/>
      <c r="BP894" s="66"/>
      <c r="BQ894" s="66" t="str">
        <f>PROPER(TEXT(Prog_23[[#This Row],[PROGRAMAÇÃO CLIENTE]],"mmm"))</f>
        <v>Jan</v>
      </c>
      <c r="BR894" s="66">
        <f>YEAR(Prog_23[[#This Row],[PROGRAMAÇÃO CLIENTE]])</f>
        <v>1900</v>
      </c>
    </row>
    <row r="895" spans="1:70" x14ac:dyDescent="0.25">
      <c r="A895" s="200">
        <f>Prog_23[[#This Row],[CONTEINER]]</f>
        <v>0</v>
      </c>
      <c r="B895" s="86"/>
      <c r="C8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95" s="44"/>
      <c r="E895" s="66"/>
      <c r="F895" s="66"/>
      <c r="G895" s="66"/>
      <c r="H895" s="44"/>
      <c r="I895" s="44"/>
      <c r="J895" s="66"/>
      <c r="K895" s="66"/>
      <c r="L895" s="66"/>
      <c r="M895" s="66"/>
      <c r="N895" s="66">
        <f>SUM(Prog_23[[#This Row],[TARA]]+Prog_23[[#This Row],[PESO]])</f>
        <v>0</v>
      </c>
      <c r="O895" s="44"/>
      <c r="P895" s="66"/>
      <c r="Q895" s="66"/>
      <c r="R895" s="66"/>
      <c r="S895" s="66"/>
      <c r="T895" s="138" t="str">
        <f>IFERROR(LOOKUP($S895,MOTORISTAS!$D$3:$D$916,MOTORISTAS!E$3:$E$916),"")</f>
        <v/>
      </c>
      <c r="U895" s="138" t="str">
        <f>IFERROR(LOOKUP($S895,MOTORISTAS!$D$3:$D$916,MOTORISTAS!F$3:$F$916),"")</f>
        <v/>
      </c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44"/>
      <c r="AG895" s="254">
        <f>Prog_23[[#This Row],[SAÍDA DO CLIENTE]]-Prog_23[[#This Row],[PROGRAMAÇÃO CLIENTE]]</f>
        <v>0</v>
      </c>
      <c r="AH895" s="44"/>
      <c r="AI895" s="66"/>
      <c r="AJ895" s="66"/>
      <c r="AK895" s="66"/>
      <c r="AL895" s="66"/>
      <c r="AM895" s="66"/>
      <c r="AN895" s="83"/>
      <c r="AO895" s="83"/>
      <c r="AP895" s="83"/>
      <c r="AQ895" s="66"/>
      <c r="AR895" s="66"/>
      <c r="AS895" s="66"/>
      <c r="AT895" s="81"/>
      <c r="AU895" s="81"/>
      <c r="AV895" s="81"/>
      <c r="AW895" s="81"/>
      <c r="AX895" s="83">
        <f>SUM(Prog_23[[#This Row],[ADIANTAMENTO]]+Prog_23[[#This Row],[SALDO]]+Prog_23[[#This Row],[MARGEM]]+Prog_23[[#This Row],[ESTADIA 1]])</f>
        <v>0</v>
      </c>
      <c r="AY8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95" s="81"/>
      <c r="BA895" s="81"/>
      <c r="BB895" s="81">
        <f>Prog_23[[#This Row],[VLR NF]]*0.1%</f>
        <v>0</v>
      </c>
      <c r="BC895" s="81">
        <f>Prog_23[[#This Row],[VLR NF]]*0.05%</f>
        <v>0</v>
      </c>
      <c r="BD895" s="81"/>
      <c r="BE895" s="81"/>
      <c r="BF895" s="81"/>
      <c r="BG895" s="81"/>
      <c r="BH895" s="81"/>
      <c r="BI895" s="81"/>
      <c r="BJ895" s="81"/>
      <c r="BK895" s="81"/>
      <c r="BL895" s="81"/>
      <c r="BM895" s="81"/>
      <c r="BN895" s="66"/>
      <c r="BO895" s="66"/>
      <c r="BP895" s="66"/>
      <c r="BQ895" s="66" t="str">
        <f>PROPER(TEXT(Prog_23[[#This Row],[PROGRAMAÇÃO CLIENTE]],"mmm"))</f>
        <v>Jan</v>
      </c>
      <c r="BR895" s="66">
        <f>YEAR(Prog_23[[#This Row],[PROGRAMAÇÃO CLIENTE]])</f>
        <v>1900</v>
      </c>
    </row>
    <row r="896" spans="1:70" x14ac:dyDescent="0.25">
      <c r="A896" s="201">
        <f>Prog_23[[#This Row],[CONTEINER]]</f>
        <v>0</v>
      </c>
      <c r="B896" s="86"/>
      <c r="C8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96" s="44"/>
      <c r="E896" s="66"/>
      <c r="F896" s="66"/>
      <c r="G896" s="66"/>
      <c r="H896" s="44"/>
      <c r="I896" s="44"/>
      <c r="J896" s="66"/>
      <c r="K896" s="66"/>
      <c r="L896" s="66"/>
      <c r="M896" s="66"/>
      <c r="N896" s="66">
        <f>SUM(Prog_23[[#This Row],[TARA]]+Prog_23[[#This Row],[PESO]])</f>
        <v>0</v>
      </c>
      <c r="O896" s="44"/>
      <c r="P896" s="66"/>
      <c r="Q896" s="66"/>
      <c r="R896" s="66"/>
      <c r="S896" s="66"/>
      <c r="T896" s="138" t="str">
        <f>IFERROR(LOOKUP($S896,MOTORISTAS!$D$3:$D$916,MOTORISTAS!E$3:$E$916),"")</f>
        <v/>
      </c>
      <c r="U896" s="138" t="str">
        <f>IFERROR(LOOKUP($S896,MOTORISTAS!$D$3:$D$916,MOTORISTAS!F$3:$F$916),"")</f>
        <v/>
      </c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44"/>
      <c r="AG896" s="254">
        <f>Prog_23[[#This Row],[SAÍDA DO CLIENTE]]-Prog_23[[#This Row],[PROGRAMAÇÃO CLIENTE]]</f>
        <v>0</v>
      </c>
      <c r="AH896" s="44"/>
      <c r="AI896" s="66"/>
      <c r="AJ896" s="66"/>
      <c r="AK896" s="66"/>
      <c r="AL896" s="66"/>
      <c r="AM896" s="66"/>
      <c r="AN896" s="83"/>
      <c r="AO896" s="83"/>
      <c r="AP896" s="83"/>
      <c r="AQ896" s="66"/>
      <c r="AR896" s="66"/>
      <c r="AS896" s="66"/>
      <c r="AT896" s="81"/>
      <c r="AU896" s="81"/>
      <c r="AV896" s="81"/>
      <c r="AW896" s="81"/>
      <c r="AX896" s="83">
        <f>SUM(Prog_23[[#This Row],[ADIANTAMENTO]]+Prog_23[[#This Row],[SALDO]]+Prog_23[[#This Row],[MARGEM]]+Prog_23[[#This Row],[ESTADIA 1]])</f>
        <v>0</v>
      </c>
      <c r="AY8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96" s="81"/>
      <c r="BA896" s="81"/>
      <c r="BB896" s="81">
        <f>Prog_23[[#This Row],[VLR NF]]*0.1%</f>
        <v>0</v>
      </c>
      <c r="BC896" s="81">
        <f>Prog_23[[#This Row],[VLR NF]]*0.05%</f>
        <v>0</v>
      </c>
      <c r="BD896" s="81"/>
      <c r="BE896" s="81"/>
      <c r="BF896" s="81"/>
      <c r="BG896" s="81"/>
      <c r="BH896" s="81"/>
      <c r="BI896" s="81"/>
      <c r="BJ896" s="81"/>
      <c r="BK896" s="81"/>
      <c r="BL896" s="81"/>
      <c r="BM896" s="81"/>
      <c r="BN896" s="66"/>
      <c r="BO896" s="66"/>
      <c r="BP896" s="66"/>
      <c r="BQ896" s="66" t="str">
        <f>PROPER(TEXT(Prog_23[[#This Row],[PROGRAMAÇÃO CLIENTE]],"mmm"))</f>
        <v>Jan</v>
      </c>
      <c r="BR896" s="66">
        <f>YEAR(Prog_23[[#This Row],[PROGRAMAÇÃO CLIENTE]])</f>
        <v>1900</v>
      </c>
    </row>
    <row r="897" spans="1:70" x14ac:dyDescent="0.25">
      <c r="A897" s="200">
        <f>Prog_23[[#This Row],[CONTEINER]]</f>
        <v>0</v>
      </c>
      <c r="B897" s="86"/>
      <c r="C8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97" s="44"/>
      <c r="E897" s="66"/>
      <c r="F897" s="66"/>
      <c r="G897" s="66"/>
      <c r="H897" s="44"/>
      <c r="I897" s="44"/>
      <c r="J897" s="66"/>
      <c r="K897" s="66"/>
      <c r="L897" s="66"/>
      <c r="M897" s="66"/>
      <c r="N897" s="66">
        <f>SUM(Prog_23[[#This Row],[TARA]]+Prog_23[[#This Row],[PESO]])</f>
        <v>0</v>
      </c>
      <c r="O897" s="44"/>
      <c r="P897" s="66"/>
      <c r="Q897" s="66"/>
      <c r="R897" s="66"/>
      <c r="S897" s="66"/>
      <c r="T897" s="138" t="str">
        <f>IFERROR(LOOKUP($S897,MOTORISTAS!$D$3:$D$916,MOTORISTAS!E$3:$E$916),"")</f>
        <v/>
      </c>
      <c r="U897" s="138" t="str">
        <f>IFERROR(LOOKUP($S897,MOTORISTAS!$D$3:$D$916,MOTORISTAS!F$3:$F$916),"")</f>
        <v/>
      </c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44"/>
      <c r="AG897" s="254">
        <f>Prog_23[[#This Row],[SAÍDA DO CLIENTE]]-Prog_23[[#This Row],[PROGRAMAÇÃO CLIENTE]]</f>
        <v>0</v>
      </c>
      <c r="AH897" s="44"/>
      <c r="AI897" s="66"/>
      <c r="AJ897" s="66"/>
      <c r="AK897" s="66"/>
      <c r="AL897" s="66"/>
      <c r="AM897" s="66"/>
      <c r="AN897" s="83"/>
      <c r="AO897" s="83"/>
      <c r="AP897" s="83"/>
      <c r="AQ897" s="66"/>
      <c r="AR897" s="66"/>
      <c r="AS897" s="66"/>
      <c r="AT897" s="81"/>
      <c r="AU897" s="81"/>
      <c r="AV897" s="81"/>
      <c r="AW897" s="81"/>
      <c r="AX897" s="83">
        <f>SUM(Prog_23[[#This Row],[ADIANTAMENTO]]+Prog_23[[#This Row],[SALDO]]+Prog_23[[#This Row],[MARGEM]]+Prog_23[[#This Row],[ESTADIA 1]])</f>
        <v>0</v>
      </c>
      <c r="AY8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97" s="81"/>
      <c r="BA897" s="81"/>
      <c r="BB897" s="81">
        <f>Prog_23[[#This Row],[VLR NF]]*0.1%</f>
        <v>0</v>
      </c>
      <c r="BC897" s="81">
        <f>Prog_23[[#This Row],[VLR NF]]*0.05%</f>
        <v>0</v>
      </c>
      <c r="BD897" s="81"/>
      <c r="BE897" s="81"/>
      <c r="BF897" s="81"/>
      <c r="BG897" s="81"/>
      <c r="BH897" s="81"/>
      <c r="BI897" s="81"/>
      <c r="BJ897" s="81"/>
      <c r="BK897" s="81"/>
      <c r="BL897" s="81"/>
      <c r="BM897" s="81"/>
      <c r="BN897" s="66"/>
      <c r="BO897" s="66"/>
      <c r="BP897" s="66"/>
      <c r="BQ897" s="66" t="str">
        <f>PROPER(TEXT(Prog_23[[#This Row],[PROGRAMAÇÃO CLIENTE]],"mmm"))</f>
        <v>Jan</v>
      </c>
      <c r="BR897" s="66">
        <f>YEAR(Prog_23[[#This Row],[PROGRAMAÇÃO CLIENTE]])</f>
        <v>1900</v>
      </c>
    </row>
    <row r="898" spans="1:70" x14ac:dyDescent="0.25">
      <c r="A898" s="201">
        <f>Prog_23[[#This Row],[CONTEINER]]</f>
        <v>0</v>
      </c>
      <c r="B898" s="86"/>
      <c r="C8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98" s="44"/>
      <c r="E898" s="66"/>
      <c r="F898" s="66"/>
      <c r="G898" s="66"/>
      <c r="H898" s="44"/>
      <c r="I898" s="44"/>
      <c r="J898" s="66"/>
      <c r="K898" s="66"/>
      <c r="L898" s="66"/>
      <c r="M898" s="66"/>
      <c r="N898" s="66">
        <f>SUM(Prog_23[[#This Row],[TARA]]+Prog_23[[#This Row],[PESO]])</f>
        <v>0</v>
      </c>
      <c r="O898" s="44"/>
      <c r="P898" s="66"/>
      <c r="Q898" s="66"/>
      <c r="R898" s="66"/>
      <c r="S898" s="66"/>
      <c r="T898" s="138" t="str">
        <f>IFERROR(LOOKUP($S898,MOTORISTAS!$D$3:$D$916,MOTORISTAS!E$3:$E$916),"")</f>
        <v/>
      </c>
      <c r="U898" s="138" t="str">
        <f>IFERROR(LOOKUP($S898,MOTORISTAS!$D$3:$D$916,MOTORISTAS!F$3:$F$916),"")</f>
        <v/>
      </c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44"/>
      <c r="AG898" s="254">
        <f>Prog_23[[#This Row],[SAÍDA DO CLIENTE]]-Prog_23[[#This Row],[PROGRAMAÇÃO CLIENTE]]</f>
        <v>0</v>
      </c>
      <c r="AH898" s="44"/>
      <c r="AI898" s="66"/>
      <c r="AJ898" s="66"/>
      <c r="AK898" s="66"/>
      <c r="AL898" s="66"/>
      <c r="AM898" s="66"/>
      <c r="AN898" s="83"/>
      <c r="AO898" s="83"/>
      <c r="AP898" s="83"/>
      <c r="AQ898" s="66"/>
      <c r="AR898" s="66"/>
      <c r="AS898" s="66"/>
      <c r="AT898" s="81"/>
      <c r="AU898" s="81"/>
      <c r="AV898" s="81"/>
      <c r="AW898" s="81"/>
      <c r="AX898" s="83">
        <f>SUM(Prog_23[[#This Row],[ADIANTAMENTO]]+Prog_23[[#This Row],[SALDO]]+Prog_23[[#This Row],[MARGEM]]+Prog_23[[#This Row],[ESTADIA 1]])</f>
        <v>0</v>
      </c>
      <c r="AY8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98" s="81"/>
      <c r="BA898" s="81"/>
      <c r="BB898" s="81">
        <f>Prog_23[[#This Row],[VLR NF]]*0.1%</f>
        <v>0</v>
      </c>
      <c r="BC898" s="81">
        <f>Prog_23[[#This Row],[VLR NF]]*0.05%</f>
        <v>0</v>
      </c>
      <c r="BD898" s="81"/>
      <c r="BE898" s="81"/>
      <c r="BF898" s="81"/>
      <c r="BG898" s="81"/>
      <c r="BH898" s="81"/>
      <c r="BI898" s="81"/>
      <c r="BJ898" s="81"/>
      <c r="BK898" s="81"/>
      <c r="BL898" s="81"/>
      <c r="BM898" s="81"/>
      <c r="BN898" s="66"/>
      <c r="BO898" s="66"/>
      <c r="BP898" s="66"/>
      <c r="BQ898" s="66" t="str">
        <f>PROPER(TEXT(Prog_23[[#This Row],[PROGRAMAÇÃO CLIENTE]],"mmm"))</f>
        <v>Jan</v>
      </c>
      <c r="BR898" s="66">
        <f>YEAR(Prog_23[[#This Row],[PROGRAMAÇÃO CLIENTE]])</f>
        <v>1900</v>
      </c>
    </row>
    <row r="899" spans="1:70" x14ac:dyDescent="0.25">
      <c r="A899" s="200">
        <f>Prog_23[[#This Row],[CONTEINER]]</f>
        <v>0</v>
      </c>
      <c r="B899" s="86"/>
      <c r="C8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899" s="44"/>
      <c r="E899" s="66"/>
      <c r="F899" s="66"/>
      <c r="G899" s="66"/>
      <c r="H899" s="44"/>
      <c r="I899" s="44"/>
      <c r="J899" s="66"/>
      <c r="K899" s="66"/>
      <c r="L899" s="66"/>
      <c r="M899" s="66"/>
      <c r="N899" s="66">
        <f>SUM(Prog_23[[#This Row],[TARA]]+Prog_23[[#This Row],[PESO]])</f>
        <v>0</v>
      </c>
      <c r="O899" s="44"/>
      <c r="P899" s="66"/>
      <c r="Q899" s="66"/>
      <c r="R899" s="66"/>
      <c r="S899" s="66"/>
      <c r="T899" s="138" t="str">
        <f>IFERROR(LOOKUP($S899,MOTORISTAS!$D$3:$D$916,MOTORISTAS!E$3:$E$916),"")</f>
        <v/>
      </c>
      <c r="U899" s="138" t="str">
        <f>IFERROR(LOOKUP($S899,MOTORISTAS!$D$3:$D$916,MOTORISTAS!F$3:$F$916),"")</f>
        <v/>
      </c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44"/>
      <c r="AG899" s="254">
        <f>Prog_23[[#This Row],[SAÍDA DO CLIENTE]]-Prog_23[[#This Row],[PROGRAMAÇÃO CLIENTE]]</f>
        <v>0</v>
      </c>
      <c r="AH899" s="44"/>
      <c r="AI899" s="66"/>
      <c r="AJ899" s="66"/>
      <c r="AK899" s="66"/>
      <c r="AL899" s="66"/>
      <c r="AM899" s="66"/>
      <c r="AN899" s="83"/>
      <c r="AO899" s="83"/>
      <c r="AP899" s="83"/>
      <c r="AQ899" s="66"/>
      <c r="AR899" s="66"/>
      <c r="AS899" s="66"/>
      <c r="AT899" s="81"/>
      <c r="AU899" s="81"/>
      <c r="AV899" s="81"/>
      <c r="AW899" s="81"/>
      <c r="AX899" s="83">
        <f>SUM(Prog_23[[#This Row],[ADIANTAMENTO]]+Prog_23[[#This Row],[SALDO]]+Prog_23[[#This Row],[MARGEM]]+Prog_23[[#This Row],[ESTADIA 1]])</f>
        <v>0</v>
      </c>
      <c r="AY8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899" s="81"/>
      <c r="BA899" s="81"/>
      <c r="BB899" s="81">
        <f>Prog_23[[#This Row],[VLR NF]]*0.1%</f>
        <v>0</v>
      </c>
      <c r="BC899" s="81">
        <f>Prog_23[[#This Row],[VLR NF]]*0.05%</f>
        <v>0</v>
      </c>
      <c r="BD899" s="81"/>
      <c r="BE899" s="81"/>
      <c r="BF899" s="81"/>
      <c r="BG899" s="81"/>
      <c r="BH899" s="81"/>
      <c r="BI899" s="81"/>
      <c r="BJ899" s="81"/>
      <c r="BK899" s="81"/>
      <c r="BL899" s="81"/>
      <c r="BM899" s="81"/>
      <c r="BN899" s="66"/>
      <c r="BO899" s="66"/>
      <c r="BP899" s="66"/>
      <c r="BQ899" s="66" t="str">
        <f>PROPER(TEXT(Prog_23[[#This Row],[PROGRAMAÇÃO CLIENTE]],"mmm"))</f>
        <v>Jan</v>
      </c>
      <c r="BR899" s="66">
        <f>YEAR(Prog_23[[#This Row],[PROGRAMAÇÃO CLIENTE]])</f>
        <v>1900</v>
      </c>
    </row>
    <row r="900" spans="1:70" x14ac:dyDescent="0.25">
      <c r="A900" s="201">
        <f>Prog_23[[#This Row],[CONTEINER]]</f>
        <v>0</v>
      </c>
      <c r="B900" s="86"/>
      <c r="C9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00" s="44"/>
      <c r="E900" s="66"/>
      <c r="F900" s="66"/>
      <c r="G900" s="66"/>
      <c r="H900" s="44"/>
      <c r="I900" s="44"/>
      <c r="J900" s="66"/>
      <c r="K900" s="66"/>
      <c r="L900" s="66"/>
      <c r="M900" s="66"/>
      <c r="N900" s="66">
        <f>SUM(Prog_23[[#This Row],[TARA]]+Prog_23[[#This Row],[PESO]])</f>
        <v>0</v>
      </c>
      <c r="O900" s="44"/>
      <c r="P900" s="66"/>
      <c r="Q900" s="66"/>
      <c r="R900" s="66"/>
      <c r="S900" s="66"/>
      <c r="T900" s="138" t="str">
        <f>IFERROR(LOOKUP($S900,MOTORISTAS!$D$3:$D$916,MOTORISTAS!E$3:$E$916),"")</f>
        <v/>
      </c>
      <c r="U900" s="138" t="str">
        <f>IFERROR(LOOKUP($S900,MOTORISTAS!$D$3:$D$916,MOTORISTAS!F$3:$F$916),"")</f>
        <v/>
      </c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44"/>
      <c r="AG900" s="254">
        <f>Prog_23[[#This Row],[SAÍDA DO CLIENTE]]-Prog_23[[#This Row],[PROGRAMAÇÃO CLIENTE]]</f>
        <v>0</v>
      </c>
      <c r="AH900" s="44"/>
      <c r="AI900" s="66"/>
      <c r="AJ900" s="66"/>
      <c r="AK900" s="66"/>
      <c r="AL900" s="66"/>
      <c r="AM900" s="66"/>
      <c r="AN900" s="83"/>
      <c r="AO900" s="83"/>
      <c r="AP900" s="83"/>
      <c r="AQ900" s="66"/>
      <c r="AR900" s="66"/>
      <c r="AS900" s="66"/>
      <c r="AT900" s="81"/>
      <c r="AU900" s="81"/>
      <c r="AV900" s="81"/>
      <c r="AW900" s="81"/>
      <c r="AX900" s="83">
        <f>SUM(Prog_23[[#This Row],[ADIANTAMENTO]]+Prog_23[[#This Row],[SALDO]]+Prog_23[[#This Row],[MARGEM]]+Prog_23[[#This Row],[ESTADIA 1]])</f>
        <v>0</v>
      </c>
      <c r="AY9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00" s="81"/>
      <c r="BA900" s="81"/>
      <c r="BB900" s="81">
        <f>Prog_23[[#This Row],[VLR NF]]*0.1%</f>
        <v>0</v>
      </c>
      <c r="BC900" s="81">
        <f>Prog_23[[#This Row],[VLR NF]]*0.05%</f>
        <v>0</v>
      </c>
      <c r="BD900" s="81"/>
      <c r="BE900" s="81"/>
      <c r="BF900" s="81"/>
      <c r="BG900" s="81"/>
      <c r="BH900" s="81"/>
      <c r="BI900" s="81"/>
      <c r="BJ900" s="81"/>
      <c r="BK900" s="81"/>
      <c r="BL900" s="81"/>
      <c r="BM900" s="81"/>
      <c r="BN900" s="66"/>
      <c r="BO900" s="66"/>
      <c r="BP900" s="66"/>
      <c r="BQ900" s="66" t="str">
        <f>PROPER(TEXT(Prog_23[[#This Row],[PROGRAMAÇÃO CLIENTE]],"mmm"))</f>
        <v>Jan</v>
      </c>
      <c r="BR900" s="66">
        <f>YEAR(Prog_23[[#This Row],[PROGRAMAÇÃO CLIENTE]])</f>
        <v>1900</v>
      </c>
    </row>
    <row r="901" spans="1:70" x14ac:dyDescent="0.25">
      <c r="A901" s="200">
        <f>Prog_23[[#This Row],[CONTEINER]]</f>
        <v>0</v>
      </c>
      <c r="B901" s="86"/>
      <c r="C9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01" s="44"/>
      <c r="E901" s="66"/>
      <c r="F901" s="66"/>
      <c r="G901" s="66"/>
      <c r="H901" s="44"/>
      <c r="I901" s="44"/>
      <c r="J901" s="66"/>
      <c r="K901" s="66"/>
      <c r="L901" s="66"/>
      <c r="M901" s="66"/>
      <c r="N901" s="66">
        <f>SUM(Prog_23[[#This Row],[TARA]]+Prog_23[[#This Row],[PESO]])</f>
        <v>0</v>
      </c>
      <c r="O901" s="44"/>
      <c r="P901" s="66"/>
      <c r="Q901" s="66"/>
      <c r="R901" s="66"/>
      <c r="S901" s="66"/>
      <c r="T901" s="138" t="str">
        <f>IFERROR(LOOKUP($S901,MOTORISTAS!$D$3:$D$916,MOTORISTAS!E$3:$E$916),"")</f>
        <v/>
      </c>
      <c r="U901" s="138" t="str">
        <f>IFERROR(LOOKUP($S901,MOTORISTAS!$D$3:$D$916,MOTORISTAS!F$3:$F$916),"")</f>
        <v/>
      </c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44"/>
      <c r="AG901" s="254">
        <f>Prog_23[[#This Row],[SAÍDA DO CLIENTE]]-Prog_23[[#This Row],[PROGRAMAÇÃO CLIENTE]]</f>
        <v>0</v>
      </c>
      <c r="AH901" s="44"/>
      <c r="AI901" s="66"/>
      <c r="AJ901" s="66"/>
      <c r="AK901" s="66"/>
      <c r="AL901" s="66"/>
      <c r="AM901" s="66"/>
      <c r="AN901" s="83"/>
      <c r="AO901" s="83"/>
      <c r="AP901" s="83"/>
      <c r="AQ901" s="66"/>
      <c r="AR901" s="66"/>
      <c r="AS901" s="66"/>
      <c r="AT901" s="81"/>
      <c r="AU901" s="81"/>
      <c r="AV901" s="81"/>
      <c r="AW901" s="81"/>
      <c r="AX901" s="83">
        <f>SUM(Prog_23[[#This Row],[ADIANTAMENTO]]+Prog_23[[#This Row],[SALDO]]+Prog_23[[#This Row],[MARGEM]]+Prog_23[[#This Row],[ESTADIA 1]])</f>
        <v>0</v>
      </c>
      <c r="AY9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01" s="81"/>
      <c r="BA901" s="81"/>
      <c r="BB901" s="81">
        <f>Prog_23[[#This Row],[VLR NF]]*0.1%</f>
        <v>0</v>
      </c>
      <c r="BC901" s="81">
        <f>Prog_23[[#This Row],[VLR NF]]*0.05%</f>
        <v>0</v>
      </c>
      <c r="BD901" s="81"/>
      <c r="BE901" s="81"/>
      <c r="BF901" s="81"/>
      <c r="BG901" s="81"/>
      <c r="BH901" s="81"/>
      <c r="BI901" s="81"/>
      <c r="BJ901" s="81"/>
      <c r="BK901" s="81"/>
      <c r="BL901" s="81"/>
      <c r="BM901" s="81"/>
      <c r="BN901" s="66"/>
      <c r="BO901" s="66"/>
      <c r="BP901" s="66"/>
      <c r="BQ901" s="66" t="str">
        <f>PROPER(TEXT(Prog_23[[#This Row],[PROGRAMAÇÃO CLIENTE]],"mmm"))</f>
        <v>Jan</v>
      </c>
      <c r="BR901" s="66">
        <f>YEAR(Prog_23[[#This Row],[PROGRAMAÇÃO CLIENTE]])</f>
        <v>1900</v>
      </c>
    </row>
    <row r="902" spans="1:70" x14ac:dyDescent="0.25">
      <c r="A902" s="201">
        <f>Prog_23[[#This Row],[CONTEINER]]</f>
        <v>0</v>
      </c>
      <c r="B902" s="86"/>
      <c r="C9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02" s="44"/>
      <c r="E902" s="66"/>
      <c r="F902" s="66"/>
      <c r="G902" s="66"/>
      <c r="H902" s="44"/>
      <c r="I902" s="44"/>
      <c r="J902" s="66"/>
      <c r="K902" s="66"/>
      <c r="L902" s="66"/>
      <c r="M902" s="66"/>
      <c r="N902" s="66">
        <f>SUM(Prog_23[[#This Row],[TARA]]+Prog_23[[#This Row],[PESO]])</f>
        <v>0</v>
      </c>
      <c r="O902" s="44"/>
      <c r="P902" s="66"/>
      <c r="Q902" s="66"/>
      <c r="R902" s="66"/>
      <c r="S902" s="66"/>
      <c r="T902" s="138" t="str">
        <f>IFERROR(LOOKUP($S902,MOTORISTAS!$D$3:$D$916,MOTORISTAS!E$3:$E$916),"")</f>
        <v/>
      </c>
      <c r="U902" s="138" t="str">
        <f>IFERROR(LOOKUP($S902,MOTORISTAS!$D$3:$D$916,MOTORISTAS!F$3:$F$916),"")</f>
        <v/>
      </c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44"/>
      <c r="AG902" s="254">
        <f>Prog_23[[#This Row],[SAÍDA DO CLIENTE]]-Prog_23[[#This Row],[PROGRAMAÇÃO CLIENTE]]</f>
        <v>0</v>
      </c>
      <c r="AH902" s="44"/>
      <c r="AI902" s="66"/>
      <c r="AJ902" s="66"/>
      <c r="AK902" s="66"/>
      <c r="AL902" s="66"/>
      <c r="AM902" s="66"/>
      <c r="AN902" s="83"/>
      <c r="AO902" s="83"/>
      <c r="AP902" s="83"/>
      <c r="AQ902" s="66"/>
      <c r="AR902" s="66"/>
      <c r="AS902" s="66"/>
      <c r="AT902" s="81"/>
      <c r="AU902" s="81"/>
      <c r="AV902" s="81"/>
      <c r="AW902" s="81"/>
      <c r="AX902" s="83">
        <f>SUM(Prog_23[[#This Row],[ADIANTAMENTO]]+Prog_23[[#This Row],[SALDO]]+Prog_23[[#This Row],[MARGEM]]+Prog_23[[#This Row],[ESTADIA 1]])</f>
        <v>0</v>
      </c>
      <c r="AY9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02" s="81"/>
      <c r="BA902" s="81"/>
      <c r="BB902" s="81">
        <f>Prog_23[[#This Row],[VLR NF]]*0.1%</f>
        <v>0</v>
      </c>
      <c r="BC902" s="81">
        <f>Prog_23[[#This Row],[VLR NF]]*0.05%</f>
        <v>0</v>
      </c>
      <c r="BD902" s="81"/>
      <c r="BE902" s="81"/>
      <c r="BF902" s="81"/>
      <c r="BG902" s="81"/>
      <c r="BH902" s="81"/>
      <c r="BI902" s="81"/>
      <c r="BJ902" s="81"/>
      <c r="BK902" s="81"/>
      <c r="BL902" s="81"/>
      <c r="BM902" s="81"/>
      <c r="BN902" s="66"/>
      <c r="BO902" s="66"/>
      <c r="BP902" s="66"/>
      <c r="BQ902" s="66" t="str">
        <f>PROPER(TEXT(Prog_23[[#This Row],[PROGRAMAÇÃO CLIENTE]],"mmm"))</f>
        <v>Jan</v>
      </c>
      <c r="BR902" s="66">
        <f>YEAR(Prog_23[[#This Row],[PROGRAMAÇÃO CLIENTE]])</f>
        <v>1900</v>
      </c>
    </row>
    <row r="903" spans="1:70" x14ac:dyDescent="0.25">
      <c r="A903" s="200">
        <f>Prog_23[[#This Row],[CONTEINER]]</f>
        <v>0</v>
      </c>
      <c r="B903" s="86"/>
      <c r="C9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03" s="44"/>
      <c r="E903" s="66"/>
      <c r="F903" s="66"/>
      <c r="G903" s="66"/>
      <c r="H903" s="44"/>
      <c r="I903" s="44"/>
      <c r="J903" s="66"/>
      <c r="K903" s="66"/>
      <c r="L903" s="66"/>
      <c r="M903" s="66"/>
      <c r="N903" s="66">
        <f>SUM(Prog_23[[#This Row],[TARA]]+Prog_23[[#This Row],[PESO]])</f>
        <v>0</v>
      </c>
      <c r="O903" s="44"/>
      <c r="P903" s="66"/>
      <c r="Q903" s="66"/>
      <c r="R903" s="66"/>
      <c r="S903" s="66"/>
      <c r="T903" s="138" t="str">
        <f>IFERROR(LOOKUP($S903,MOTORISTAS!$D$3:$D$916,MOTORISTAS!E$3:$E$916),"")</f>
        <v/>
      </c>
      <c r="U903" s="138" t="str">
        <f>IFERROR(LOOKUP($S903,MOTORISTAS!$D$3:$D$916,MOTORISTAS!F$3:$F$916),"")</f>
        <v/>
      </c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44"/>
      <c r="AG903" s="254">
        <f>Prog_23[[#This Row],[SAÍDA DO CLIENTE]]-Prog_23[[#This Row],[PROGRAMAÇÃO CLIENTE]]</f>
        <v>0</v>
      </c>
      <c r="AH903" s="44"/>
      <c r="AI903" s="66"/>
      <c r="AJ903" s="66"/>
      <c r="AK903" s="66"/>
      <c r="AL903" s="66"/>
      <c r="AM903" s="66"/>
      <c r="AN903" s="83"/>
      <c r="AO903" s="83"/>
      <c r="AP903" s="83"/>
      <c r="AQ903" s="66"/>
      <c r="AR903" s="66"/>
      <c r="AS903" s="66"/>
      <c r="AT903" s="81"/>
      <c r="AU903" s="81"/>
      <c r="AV903" s="81"/>
      <c r="AW903" s="81"/>
      <c r="AX903" s="83">
        <f>SUM(Prog_23[[#This Row],[ADIANTAMENTO]]+Prog_23[[#This Row],[SALDO]]+Prog_23[[#This Row],[MARGEM]]+Prog_23[[#This Row],[ESTADIA 1]])</f>
        <v>0</v>
      </c>
      <c r="AY9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03" s="81"/>
      <c r="BA903" s="81"/>
      <c r="BB903" s="81">
        <f>Prog_23[[#This Row],[VLR NF]]*0.1%</f>
        <v>0</v>
      </c>
      <c r="BC903" s="81">
        <f>Prog_23[[#This Row],[VLR NF]]*0.05%</f>
        <v>0</v>
      </c>
      <c r="BD903" s="81"/>
      <c r="BE903" s="81"/>
      <c r="BF903" s="81"/>
      <c r="BG903" s="81"/>
      <c r="BH903" s="81"/>
      <c r="BI903" s="81"/>
      <c r="BJ903" s="81"/>
      <c r="BK903" s="81"/>
      <c r="BL903" s="81"/>
      <c r="BM903" s="81"/>
      <c r="BN903" s="66"/>
      <c r="BO903" s="66"/>
      <c r="BP903" s="66"/>
      <c r="BQ903" s="66" t="str">
        <f>PROPER(TEXT(Prog_23[[#This Row],[PROGRAMAÇÃO CLIENTE]],"mmm"))</f>
        <v>Jan</v>
      </c>
      <c r="BR903" s="66">
        <f>YEAR(Prog_23[[#This Row],[PROGRAMAÇÃO CLIENTE]])</f>
        <v>1900</v>
      </c>
    </row>
    <row r="904" spans="1:70" x14ac:dyDescent="0.25">
      <c r="A904" s="201">
        <f>Prog_23[[#This Row],[CONTEINER]]</f>
        <v>0</v>
      </c>
      <c r="B904" s="86"/>
      <c r="C9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04" s="44"/>
      <c r="E904" s="66"/>
      <c r="F904" s="66"/>
      <c r="G904" s="66"/>
      <c r="H904" s="44"/>
      <c r="I904" s="44"/>
      <c r="J904" s="66"/>
      <c r="K904" s="66"/>
      <c r="L904" s="66"/>
      <c r="M904" s="66"/>
      <c r="N904" s="66">
        <f>SUM(Prog_23[[#This Row],[TARA]]+Prog_23[[#This Row],[PESO]])</f>
        <v>0</v>
      </c>
      <c r="O904" s="44"/>
      <c r="P904" s="66"/>
      <c r="Q904" s="66"/>
      <c r="R904" s="66"/>
      <c r="S904" s="66"/>
      <c r="T904" s="138" t="str">
        <f>IFERROR(LOOKUP($S904,MOTORISTAS!$D$3:$D$916,MOTORISTAS!E$3:$E$916),"")</f>
        <v/>
      </c>
      <c r="U904" s="138" t="str">
        <f>IFERROR(LOOKUP($S904,MOTORISTAS!$D$3:$D$916,MOTORISTAS!F$3:$F$916),"")</f>
        <v/>
      </c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44"/>
      <c r="AG904" s="254">
        <f>Prog_23[[#This Row],[SAÍDA DO CLIENTE]]-Prog_23[[#This Row],[PROGRAMAÇÃO CLIENTE]]</f>
        <v>0</v>
      </c>
      <c r="AH904" s="44"/>
      <c r="AI904" s="66"/>
      <c r="AJ904" s="66"/>
      <c r="AK904" s="66"/>
      <c r="AL904" s="66"/>
      <c r="AM904" s="66"/>
      <c r="AN904" s="83"/>
      <c r="AO904" s="83"/>
      <c r="AP904" s="83"/>
      <c r="AQ904" s="66"/>
      <c r="AR904" s="66"/>
      <c r="AS904" s="66"/>
      <c r="AT904" s="81"/>
      <c r="AU904" s="81"/>
      <c r="AV904" s="81"/>
      <c r="AW904" s="81"/>
      <c r="AX904" s="83">
        <f>SUM(Prog_23[[#This Row],[ADIANTAMENTO]]+Prog_23[[#This Row],[SALDO]]+Prog_23[[#This Row],[MARGEM]]+Prog_23[[#This Row],[ESTADIA 1]])</f>
        <v>0</v>
      </c>
      <c r="AY9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04" s="81"/>
      <c r="BA904" s="81"/>
      <c r="BB904" s="81">
        <f>Prog_23[[#This Row],[VLR NF]]*0.1%</f>
        <v>0</v>
      </c>
      <c r="BC904" s="81">
        <f>Prog_23[[#This Row],[VLR NF]]*0.05%</f>
        <v>0</v>
      </c>
      <c r="BD904" s="81"/>
      <c r="BE904" s="81"/>
      <c r="BF904" s="81"/>
      <c r="BG904" s="81"/>
      <c r="BH904" s="81"/>
      <c r="BI904" s="81"/>
      <c r="BJ904" s="81"/>
      <c r="BK904" s="81"/>
      <c r="BL904" s="81"/>
      <c r="BM904" s="81"/>
      <c r="BN904" s="66"/>
      <c r="BO904" s="66"/>
      <c r="BP904" s="66"/>
      <c r="BQ904" s="66" t="str">
        <f>PROPER(TEXT(Prog_23[[#This Row],[PROGRAMAÇÃO CLIENTE]],"mmm"))</f>
        <v>Jan</v>
      </c>
      <c r="BR904" s="66">
        <f>YEAR(Prog_23[[#This Row],[PROGRAMAÇÃO CLIENTE]])</f>
        <v>1900</v>
      </c>
    </row>
    <row r="905" spans="1:70" x14ac:dyDescent="0.25">
      <c r="A905" s="200">
        <f>Prog_23[[#This Row],[CONTEINER]]</f>
        <v>0</v>
      </c>
      <c r="B905" s="86"/>
      <c r="C9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05" s="44"/>
      <c r="E905" s="66"/>
      <c r="F905" s="66"/>
      <c r="G905" s="66"/>
      <c r="H905" s="44"/>
      <c r="I905" s="44"/>
      <c r="J905" s="66"/>
      <c r="K905" s="66"/>
      <c r="L905" s="66"/>
      <c r="M905" s="66"/>
      <c r="N905" s="66">
        <f>SUM(Prog_23[[#This Row],[TARA]]+Prog_23[[#This Row],[PESO]])</f>
        <v>0</v>
      </c>
      <c r="O905" s="44"/>
      <c r="P905" s="66"/>
      <c r="Q905" s="66"/>
      <c r="R905" s="66"/>
      <c r="S905" s="66"/>
      <c r="T905" s="138" t="str">
        <f>IFERROR(LOOKUP($S905,MOTORISTAS!$D$3:$D$916,MOTORISTAS!E$3:$E$916),"")</f>
        <v/>
      </c>
      <c r="U905" s="138" t="str">
        <f>IFERROR(LOOKUP($S905,MOTORISTAS!$D$3:$D$916,MOTORISTAS!F$3:$F$916),"")</f>
        <v/>
      </c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44"/>
      <c r="AG905" s="254">
        <f>Prog_23[[#This Row],[SAÍDA DO CLIENTE]]-Prog_23[[#This Row],[PROGRAMAÇÃO CLIENTE]]</f>
        <v>0</v>
      </c>
      <c r="AH905" s="44"/>
      <c r="AI905" s="66"/>
      <c r="AJ905" s="66"/>
      <c r="AK905" s="66"/>
      <c r="AL905" s="66"/>
      <c r="AM905" s="66"/>
      <c r="AN905" s="83"/>
      <c r="AO905" s="83"/>
      <c r="AP905" s="83"/>
      <c r="AQ905" s="66"/>
      <c r="AR905" s="66"/>
      <c r="AS905" s="66"/>
      <c r="AT905" s="81"/>
      <c r="AU905" s="81"/>
      <c r="AV905" s="81"/>
      <c r="AW905" s="81"/>
      <c r="AX905" s="83">
        <f>SUM(Prog_23[[#This Row],[ADIANTAMENTO]]+Prog_23[[#This Row],[SALDO]]+Prog_23[[#This Row],[MARGEM]]+Prog_23[[#This Row],[ESTADIA 1]])</f>
        <v>0</v>
      </c>
      <c r="AY9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05" s="81"/>
      <c r="BA905" s="81"/>
      <c r="BB905" s="81">
        <f>Prog_23[[#This Row],[VLR NF]]*0.1%</f>
        <v>0</v>
      </c>
      <c r="BC905" s="81">
        <f>Prog_23[[#This Row],[VLR NF]]*0.05%</f>
        <v>0</v>
      </c>
      <c r="BD905" s="81"/>
      <c r="BE905" s="81"/>
      <c r="BF905" s="81"/>
      <c r="BG905" s="81"/>
      <c r="BH905" s="81"/>
      <c r="BI905" s="81"/>
      <c r="BJ905" s="81"/>
      <c r="BK905" s="81"/>
      <c r="BL905" s="81"/>
      <c r="BM905" s="81"/>
      <c r="BN905" s="66"/>
      <c r="BO905" s="66"/>
      <c r="BP905" s="66"/>
      <c r="BQ905" s="66" t="str">
        <f>PROPER(TEXT(Prog_23[[#This Row],[PROGRAMAÇÃO CLIENTE]],"mmm"))</f>
        <v>Jan</v>
      </c>
      <c r="BR905" s="66">
        <f>YEAR(Prog_23[[#This Row],[PROGRAMAÇÃO CLIENTE]])</f>
        <v>1900</v>
      </c>
    </row>
    <row r="906" spans="1:70" x14ac:dyDescent="0.25">
      <c r="A906" s="201">
        <f>Prog_23[[#This Row],[CONTEINER]]</f>
        <v>0</v>
      </c>
      <c r="B906" s="86"/>
      <c r="C9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06" s="44"/>
      <c r="E906" s="66"/>
      <c r="F906" s="66"/>
      <c r="G906" s="66"/>
      <c r="H906" s="44"/>
      <c r="I906" s="44"/>
      <c r="J906" s="66"/>
      <c r="K906" s="66"/>
      <c r="L906" s="66"/>
      <c r="M906" s="66"/>
      <c r="N906" s="66">
        <f>SUM(Prog_23[[#This Row],[TARA]]+Prog_23[[#This Row],[PESO]])</f>
        <v>0</v>
      </c>
      <c r="O906" s="44"/>
      <c r="P906" s="66"/>
      <c r="Q906" s="66"/>
      <c r="R906" s="66"/>
      <c r="S906" s="66"/>
      <c r="T906" s="138" t="str">
        <f>IFERROR(LOOKUP($S906,MOTORISTAS!$D$3:$D$916,MOTORISTAS!E$3:$E$916),"")</f>
        <v/>
      </c>
      <c r="U906" s="138" t="str">
        <f>IFERROR(LOOKUP($S906,MOTORISTAS!$D$3:$D$916,MOTORISTAS!F$3:$F$916),"")</f>
        <v/>
      </c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44"/>
      <c r="AG906" s="254">
        <f>Prog_23[[#This Row],[SAÍDA DO CLIENTE]]-Prog_23[[#This Row],[PROGRAMAÇÃO CLIENTE]]</f>
        <v>0</v>
      </c>
      <c r="AH906" s="44"/>
      <c r="AI906" s="66"/>
      <c r="AJ906" s="66"/>
      <c r="AK906" s="66"/>
      <c r="AL906" s="66"/>
      <c r="AM906" s="66"/>
      <c r="AN906" s="83"/>
      <c r="AO906" s="83"/>
      <c r="AP906" s="83"/>
      <c r="AQ906" s="66"/>
      <c r="AR906" s="66"/>
      <c r="AS906" s="66"/>
      <c r="AT906" s="81"/>
      <c r="AU906" s="81"/>
      <c r="AV906" s="81"/>
      <c r="AW906" s="81"/>
      <c r="AX906" s="83">
        <f>SUM(Prog_23[[#This Row],[ADIANTAMENTO]]+Prog_23[[#This Row],[SALDO]]+Prog_23[[#This Row],[MARGEM]]+Prog_23[[#This Row],[ESTADIA 1]])</f>
        <v>0</v>
      </c>
      <c r="AY9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06" s="81"/>
      <c r="BA906" s="81"/>
      <c r="BB906" s="81">
        <f>Prog_23[[#This Row],[VLR NF]]*0.1%</f>
        <v>0</v>
      </c>
      <c r="BC906" s="81">
        <f>Prog_23[[#This Row],[VLR NF]]*0.05%</f>
        <v>0</v>
      </c>
      <c r="BD906" s="81"/>
      <c r="BE906" s="81"/>
      <c r="BF906" s="81"/>
      <c r="BG906" s="81"/>
      <c r="BH906" s="81"/>
      <c r="BI906" s="81"/>
      <c r="BJ906" s="81"/>
      <c r="BK906" s="81"/>
      <c r="BL906" s="81"/>
      <c r="BM906" s="81"/>
      <c r="BN906" s="66"/>
      <c r="BO906" s="66"/>
      <c r="BP906" s="66"/>
      <c r="BQ906" s="66" t="str">
        <f>PROPER(TEXT(Prog_23[[#This Row],[PROGRAMAÇÃO CLIENTE]],"mmm"))</f>
        <v>Jan</v>
      </c>
      <c r="BR906" s="66">
        <f>YEAR(Prog_23[[#This Row],[PROGRAMAÇÃO CLIENTE]])</f>
        <v>1900</v>
      </c>
    </row>
    <row r="907" spans="1:70" x14ac:dyDescent="0.25">
      <c r="A907" s="200">
        <f>Prog_23[[#This Row],[CONTEINER]]</f>
        <v>0</v>
      </c>
      <c r="B907" s="86"/>
      <c r="C9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07" s="44"/>
      <c r="E907" s="66"/>
      <c r="F907" s="66"/>
      <c r="G907" s="66"/>
      <c r="H907" s="44"/>
      <c r="I907" s="44"/>
      <c r="J907" s="66"/>
      <c r="K907" s="66"/>
      <c r="L907" s="66"/>
      <c r="M907" s="66"/>
      <c r="N907" s="66">
        <f>SUM(Prog_23[[#This Row],[TARA]]+Prog_23[[#This Row],[PESO]])</f>
        <v>0</v>
      </c>
      <c r="O907" s="44"/>
      <c r="P907" s="66"/>
      <c r="Q907" s="66"/>
      <c r="R907" s="66"/>
      <c r="S907" s="66"/>
      <c r="T907" s="138" t="str">
        <f>IFERROR(LOOKUP($S907,MOTORISTAS!$D$3:$D$916,MOTORISTAS!E$3:$E$916),"")</f>
        <v/>
      </c>
      <c r="U907" s="138" t="str">
        <f>IFERROR(LOOKUP($S907,MOTORISTAS!$D$3:$D$916,MOTORISTAS!F$3:$F$916),"")</f>
        <v/>
      </c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44"/>
      <c r="AG907" s="254">
        <f>Prog_23[[#This Row],[SAÍDA DO CLIENTE]]-Prog_23[[#This Row],[PROGRAMAÇÃO CLIENTE]]</f>
        <v>0</v>
      </c>
      <c r="AH907" s="44"/>
      <c r="AI907" s="66"/>
      <c r="AJ907" s="66"/>
      <c r="AK907" s="66"/>
      <c r="AL907" s="66"/>
      <c r="AM907" s="66"/>
      <c r="AN907" s="83"/>
      <c r="AO907" s="83"/>
      <c r="AP907" s="83"/>
      <c r="AQ907" s="66"/>
      <c r="AR907" s="66"/>
      <c r="AS907" s="66"/>
      <c r="AT907" s="81"/>
      <c r="AU907" s="81"/>
      <c r="AV907" s="81"/>
      <c r="AW907" s="81"/>
      <c r="AX907" s="83">
        <f>SUM(Prog_23[[#This Row],[ADIANTAMENTO]]+Prog_23[[#This Row],[SALDO]]+Prog_23[[#This Row],[MARGEM]]+Prog_23[[#This Row],[ESTADIA 1]])</f>
        <v>0</v>
      </c>
      <c r="AY9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07" s="81"/>
      <c r="BA907" s="81"/>
      <c r="BB907" s="81">
        <f>Prog_23[[#This Row],[VLR NF]]*0.1%</f>
        <v>0</v>
      </c>
      <c r="BC907" s="81">
        <f>Prog_23[[#This Row],[VLR NF]]*0.05%</f>
        <v>0</v>
      </c>
      <c r="BD907" s="81"/>
      <c r="BE907" s="81"/>
      <c r="BF907" s="81"/>
      <c r="BG907" s="81"/>
      <c r="BH907" s="81"/>
      <c r="BI907" s="81"/>
      <c r="BJ907" s="81"/>
      <c r="BK907" s="81"/>
      <c r="BL907" s="81"/>
      <c r="BM907" s="81"/>
      <c r="BN907" s="66"/>
      <c r="BO907" s="66"/>
      <c r="BP907" s="66"/>
      <c r="BQ907" s="66" t="str">
        <f>PROPER(TEXT(Prog_23[[#This Row],[PROGRAMAÇÃO CLIENTE]],"mmm"))</f>
        <v>Jan</v>
      </c>
      <c r="BR907" s="66">
        <f>YEAR(Prog_23[[#This Row],[PROGRAMAÇÃO CLIENTE]])</f>
        <v>1900</v>
      </c>
    </row>
    <row r="908" spans="1:70" x14ac:dyDescent="0.25">
      <c r="A908" s="201">
        <f>Prog_23[[#This Row],[CONTEINER]]</f>
        <v>0</v>
      </c>
      <c r="B908" s="86"/>
      <c r="C9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08" s="44"/>
      <c r="E908" s="66"/>
      <c r="F908" s="66"/>
      <c r="G908" s="66"/>
      <c r="H908" s="44"/>
      <c r="I908" s="44"/>
      <c r="J908" s="66"/>
      <c r="K908" s="66"/>
      <c r="L908" s="66"/>
      <c r="M908" s="66"/>
      <c r="N908" s="66">
        <f>SUM(Prog_23[[#This Row],[TARA]]+Prog_23[[#This Row],[PESO]])</f>
        <v>0</v>
      </c>
      <c r="O908" s="44"/>
      <c r="P908" s="66"/>
      <c r="Q908" s="66"/>
      <c r="R908" s="66"/>
      <c r="S908" s="66"/>
      <c r="T908" s="138" t="str">
        <f>IFERROR(LOOKUP($S908,MOTORISTAS!$D$3:$D$916,MOTORISTAS!E$3:$E$916),"")</f>
        <v/>
      </c>
      <c r="U908" s="138" t="str">
        <f>IFERROR(LOOKUP($S908,MOTORISTAS!$D$3:$D$916,MOTORISTAS!F$3:$F$916),"")</f>
        <v/>
      </c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44"/>
      <c r="AG908" s="254">
        <f>Prog_23[[#This Row],[SAÍDA DO CLIENTE]]-Prog_23[[#This Row],[PROGRAMAÇÃO CLIENTE]]</f>
        <v>0</v>
      </c>
      <c r="AH908" s="44"/>
      <c r="AI908" s="66"/>
      <c r="AJ908" s="66"/>
      <c r="AK908" s="66"/>
      <c r="AL908" s="66"/>
      <c r="AM908" s="66"/>
      <c r="AN908" s="83"/>
      <c r="AO908" s="83"/>
      <c r="AP908" s="83"/>
      <c r="AQ908" s="66"/>
      <c r="AR908" s="66"/>
      <c r="AS908" s="66"/>
      <c r="AT908" s="81"/>
      <c r="AU908" s="81"/>
      <c r="AV908" s="81"/>
      <c r="AW908" s="81"/>
      <c r="AX908" s="83">
        <f>SUM(Prog_23[[#This Row],[ADIANTAMENTO]]+Prog_23[[#This Row],[SALDO]]+Prog_23[[#This Row],[MARGEM]]+Prog_23[[#This Row],[ESTADIA 1]])</f>
        <v>0</v>
      </c>
      <c r="AY9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08" s="81"/>
      <c r="BA908" s="81"/>
      <c r="BB908" s="81">
        <f>Prog_23[[#This Row],[VLR NF]]*0.1%</f>
        <v>0</v>
      </c>
      <c r="BC908" s="81">
        <f>Prog_23[[#This Row],[VLR NF]]*0.05%</f>
        <v>0</v>
      </c>
      <c r="BD908" s="81"/>
      <c r="BE908" s="81"/>
      <c r="BF908" s="81"/>
      <c r="BG908" s="81"/>
      <c r="BH908" s="81"/>
      <c r="BI908" s="81"/>
      <c r="BJ908" s="81"/>
      <c r="BK908" s="81"/>
      <c r="BL908" s="81"/>
      <c r="BM908" s="81"/>
      <c r="BN908" s="66"/>
      <c r="BO908" s="66"/>
      <c r="BP908" s="66"/>
      <c r="BQ908" s="66" t="str">
        <f>PROPER(TEXT(Prog_23[[#This Row],[PROGRAMAÇÃO CLIENTE]],"mmm"))</f>
        <v>Jan</v>
      </c>
      <c r="BR908" s="66">
        <f>YEAR(Prog_23[[#This Row],[PROGRAMAÇÃO CLIENTE]])</f>
        <v>1900</v>
      </c>
    </row>
    <row r="909" spans="1:70" x14ac:dyDescent="0.25">
      <c r="A909" s="200">
        <f>Prog_23[[#This Row],[CONTEINER]]</f>
        <v>0</v>
      </c>
      <c r="B909" s="86"/>
      <c r="C9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09" s="44"/>
      <c r="E909" s="66"/>
      <c r="F909" s="66"/>
      <c r="G909" s="66"/>
      <c r="H909" s="44"/>
      <c r="I909" s="44"/>
      <c r="J909" s="66"/>
      <c r="K909" s="66"/>
      <c r="L909" s="66"/>
      <c r="M909" s="66"/>
      <c r="N909" s="66">
        <f>SUM(Prog_23[[#This Row],[TARA]]+Prog_23[[#This Row],[PESO]])</f>
        <v>0</v>
      </c>
      <c r="O909" s="44"/>
      <c r="P909" s="66"/>
      <c r="Q909" s="66"/>
      <c r="R909" s="66"/>
      <c r="S909" s="66"/>
      <c r="T909" s="138" t="str">
        <f>IFERROR(LOOKUP($S909,MOTORISTAS!$D$3:$D$916,MOTORISTAS!E$3:$E$916),"")</f>
        <v/>
      </c>
      <c r="U909" s="138" t="str">
        <f>IFERROR(LOOKUP($S909,MOTORISTAS!$D$3:$D$916,MOTORISTAS!F$3:$F$916),"")</f>
        <v/>
      </c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44"/>
      <c r="AG909" s="254">
        <f>Prog_23[[#This Row],[SAÍDA DO CLIENTE]]-Prog_23[[#This Row],[PROGRAMAÇÃO CLIENTE]]</f>
        <v>0</v>
      </c>
      <c r="AH909" s="44"/>
      <c r="AI909" s="66"/>
      <c r="AJ909" s="66"/>
      <c r="AK909" s="66"/>
      <c r="AL909" s="66"/>
      <c r="AM909" s="66"/>
      <c r="AN909" s="83"/>
      <c r="AO909" s="83"/>
      <c r="AP909" s="83"/>
      <c r="AQ909" s="66"/>
      <c r="AR909" s="66"/>
      <c r="AS909" s="66"/>
      <c r="AT909" s="81"/>
      <c r="AU909" s="81"/>
      <c r="AV909" s="81"/>
      <c r="AW909" s="81"/>
      <c r="AX909" s="83">
        <f>SUM(Prog_23[[#This Row],[ADIANTAMENTO]]+Prog_23[[#This Row],[SALDO]]+Prog_23[[#This Row],[MARGEM]]+Prog_23[[#This Row],[ESTADIA 1]])</f>
        <v>0</v>
      </c>
      <c r="AY9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09" s="81"/>
      <c r="BA909" s="81"/>
      <c r="BB909" s="81">
        <f>Prog_23[[#This Row],[VLR NF]]*0.1%</f>
        <v>0</v>
      </c>
      <c r="BC909" s="81">
        <f>Prog_23[[#This Row],[VLR NF]]*0.05%</f>
        <v>0</v>
      </c>
      <c r="BD909" s="81"/>
      <c r="BE909" s="81"/>
      <c r="BF909" s="81"/>
      <c r="BG909" s="81"/>
      <c r="BH909" s="81"/>
      <c r="BI909" s="81"/>
      <c r="BJ909" s="81"/>
      <c r="BK909" s="81"/>
      <c r="BL909" s="81"/>
      <c r="BM909" s="81"/>
      <c r="BN909" s="66"/>
      <c r="BO909" s="66"/>
      <c r="BP909" s="66"/>
      <c r="BQ909" s="66" t="str">
        <f>PROPER(TEXT(Prog_23[[#This Row],[PROGRAMAÇÃO CLIENTE]],"mmm"))</f>
        <v>Jan</v>
      </c>
      <c r="BR909" s="66">
        <f>YEAR(Prog_23[[#This Row],[PROGRAMAÇÃO CLIENTE]])</f>
        <v>1900</v>
      </c>
    </row>
    <row r="910" spans="1:70" x14ac:dyDescent="0.25">
      <c r="A910" s="201">
        <f>Prog_23[[#This Row],[CONTEINER]]</f>
        <v>0</v>
      </c>
      <c r="B910" s="86"/>
      <c r="C9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10" s="44"/>
      <c r="E910" s="66"/>
      <c r="F910" s="66"/>
      <c r="G910" s="66"/>
      <c r="H910" s="44"/>
      <c r="I910" s="44"/>
      <c r="J910" s="66"/>
      <c r="K910" s="66"/>
      <c r="L910" s="66"/>
      <c r="M910" s="66"/>
      <c r="N910" s="66">
        <f>SUM(Prog_23[[#This Row],[TARA]]+Prog_23[[#This Row],[PESO]])</f>
        <v>0</v>
      </c>
      <c r="O910" s="44"/>
      <c r="P910" s="66"/>
      <c r="Q910" s="66"/>
      <c r="R910" s="66"/>
      <c r="S910" s="66"/>
      <c r="T910" s="138" t="str">
        <f>IFERROR(LOOKUP($S910,MOTORISTAS!$D$3:$D$916,MOTORISTAS!E$3:$E$916),"")</f>
        <v/>
      </c>
      <c r="U910" s="138" t="str">
        <f>IFERROR(LOOKUP($S910,MOTORISTAS!$D$3:$D$916,MOTORISTAS!F$3:$F$916),"")</f>
        <v/>
      </c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44"/>
      <c r="AG910" s="254">
        <f>Prog_23[[#This Row],[SAÍDA DO CLIENTE]]-Prog_23[[#This Row],[PROGRAMAÇÃO CLIENTE]]</f>
        <v>0</v>
      </c>
      <c r="AH910" s="44"/>
      <c r="AI910" s="66"/>
      <c r="AJ910" s="66"/>
      <c r="AK910" s="66"/>
      <c r="AL910" s="66"/>
      <c r="AM910" s="66"/>
      <c r="AN910" s="83"/>
      <c r="AO910" s="83"/>
      <c r="AP910" s="83"/>
      <c r="AQ910" s="66"/>
      <c r="AR910" s="66"/>
      <c r="AS910" s="66"/>
      <c r="AT910" s="81"/>
      <c r="AU910" s="81"/>
      <c r="AV910" s="81"/>
      <c r="AW910" s="81"/>
      <c r="AX910" s="83">
        <f>SUM(Prog_23[[#This Row],[ADIANTAMENTO]]+Prog_23[[#This Row],[SALDO]]+Prog_23[[#This Row],[MARGEM]]+Prog_23[[#This Row],[ESTADIA 1]])</f>
        <v>0</v>
      </c>
      <c r="AY9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10" s="81"/>
      <c r="BA910" s="81"/>
      <c r="BB910" s="81">
        <f>Prog_23[[#This Row],[VLR NF]]*0.1%</f>
        <v>0</v>
      </c>
      <c r="BC910" s="81">
        <f>Prog_23[[#This Row],[VLR NF]]*0.05%</f>
        <v>0</v>
      </c>
      <c r="BD910" s="81"/>
      <c r="BE910" s="81"/>
      <c r="BF910" s="81"/>
      <c r="BG910" s="81"/>
      <c r="BH910" s="81"/>
      <c r="BI910" s="81"/>
      <c r="BJ910" s="81"/>
      <c r="BK910" s="81"/>
      <c r="BL910" s="81"/>
      <c r="BM910" s="81"/>
      <c r="BN910" s="66"/>
      <c r="BO910" s="66"/>
      <c r="BP910" s="66"/>
      <c r="BQ910" s="66" t="str">
        <f>PROPER(TEXT(Prog_23[[#This Row],[PROGRAMAÇÃO CLIENTE]],"mmm"))</f>
        <v>Jan</v>
      </c>
      <c r="BR910" s="66">
        <f>YEAR(Prog_23[[#This Row],[PROGRAMAÇÃO CLIENTE]])</f>
        <v>1900</v>
      </c>
    </row>
    <row r="911" spans="1:70" x14ac:dyDescent="0.25">
      <c r="A911" s="200">
        <f>Prog_23[[#This Row],[CONTEINER]]</f>
        <v>0</v>
      </c>
      <c r="B911" s="86"/>
      <c r="C9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11" s="44"/>
      <c r="E911" s="66"/>
      <c r="F911" s="66"/>
      <c r="G911" s="66"/>
      <c r="H911" s="44"/>
      <c r="I911" s="44"/>
      <c r="J911" s="66"/>
      <c r="K911" s="66"/>
      <c r="L911" s="66"/>
      <c r="M911" s="66"/>
      <c r="N911" s="66">
        <f>SUM(Prog_23[[#This Row],[TARA]]+Prog_23[[#This Row],[PESO]])</f>
        <v>0</v>
      </c>
      <c r="O911" s="44"/>
      <c r="P911" s="66"/>
      <c r="Q911" s="66"/>
      <c r="R911" s="66"/>
      <c r="S911" s="66"/>
      <c r="T911" s="138" t="str">
        <f>IFERROR(LOOKUP($S911,MOTORISTAS!$D$3:$D$916,MOTORISTAS!E$3:$E$916),"")</f>
        <v/>
      </c>
      <c r="U911" s="138" t="str">
        <f>IFERROR(LOOKUP($S911,MOTORISTAS!$D$3:$D$916,MOTORISTAS!F$3:$F$916),"")</f>
        <v/>
      </c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44"/>
      <c r="AG911" s="254">
        <f>Prog_23[[#This Row],[SAÍDA DO CLIENTE]]-Prog_23[[#This Row],[PROGRAMAÇÃO CLIENTE]]</f>
        <v>0</v>
      </c>
      <c r="AH911" s="44"/>
      <c r="AI911" s="66"/>
      <c r="AJ911" s="66"/>
      <c r="AK911" s="66"/>
      <c r="AL911" s="66"/>
      <c r="AM911" s="66"/>
      <c r="AN911" s="83"/>
      <c r="AO911" s="83"/>
      <c r="AP911" s="83"/>
      <c r="AQ911" s="66"/>
      <c r="AR911" s="66"/>
      <c r="AS911" s="66"/>
      <c r="AT911" s="81"/>
      <c r="AU911" s="81"/>
      <c r="AV911" s="81"/>
      <c r="AW911" s="81"/>
      <c r="AX911" s="83">
        <f>SUM(Prog_23[[#This Row],[ADIANTAMENTO]]+Prog_23[[#This Row],[SALDO]]+Prog_23[[#This Row],[MARGEM]]+Prog_23[[#This Row],[ESTADIA 1]])</f>
        <v>0</v>
      </c>
      <c r="AY9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11" s="81"/>
      <c r="BA911" s="81"/>
      <c r="BB911" s="81">
        <f>Prog_23[[#This Row],[VLR NF]]*0.1%</f>
        <v>0</v>
      </c>
      <c r="BC911" s="81">
        <f>Prog_23[[#This Row],[VLR NF]]*0.05%</f>
        <v>0</v>
      </c>
      <c r="BD911" s="81"/>
      <c r="BE911" s="81"/>
      <c r="BF911" s="81"/>
      <c r="BG911" s="81"/>
      <c r="BH911" s="81"/>
      <c r="BI911" s="81"/>
      <c r="BJ911" s="81"/>
      <c r="BK911" s="81"/>
      <c r="BL911" s="81"/>
      <c r="BM911" s="81"/>
      <c r="BN911" s="66"/>
      <c r="BO911" s="66"/>
      <c r="BP911" s="66"/>
      <c r="BQ911" s="66" t="str">
        <f>PROPER(TEXT(Prog_23[[#This Row],[PROGRAMAÇÃO CLIENTE]],"mmm"))</f>
        <v>Jan</v>
      </c>
      <c r="BR911" s="66">
        <f>YEAR(Prog_23[[#This Row],[PROGRAMAÇÃO CLIENTE]])</f>
        <v>1900</v>
      </c>
    </row>
    <row r="912" spans="1:70" x14ac:dyDescent="0.25">
      <c r="A912" s="201">
        <f>Prog_23[[#This Row],[CONTEINER]]</f>
        <v>0</v>
      </c>
      <c r="B912" s="86"/>
      <c r="C9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12" s="44"/>
      <c r="E912" s="66"/>
      <c r="F912" s="66"/>
      <c r="G912" s="66"/>
      <c r="H912" s="44"/>
      <c r="I912" s="44"/>
      <c r="J912" s="66"/>
      <c r="K912" s="66"/>
      <c r="L912" s="66"/>
      <c r="M912" s="66"/>
      <c r="N912" s="66">
        <f>SUM(Prog_23[[#This Row],[TARA]]+Prog_23[[#This Row],[PESO]])</f>
        <v>0</v>
      </c>
      <c r="O912" s="44"/>
      <c r="P912" s="66"/>
      <c r="Q912" s="66"/>
      <c r="R912" s="66"/>
      <c r="S912" s="66"/>
      <c r="T912" s="138" t="str">
        <f>IFERROR(LOOKUP($S912,MOTORISTAS!$D$3:$D$916,MOTORISTAS!E$3:$E$916),"")</f>
        <v/>
      </c>
      <c r="U912" s="138" t="str">
        <f>IFERROR(LOOKUP($S912,MOTORISTAS!$D$3:$D$916,MOTORISTAS!F$3:$F$916),"")</f>
        <v/>
      </c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44"/>
      <c r="AG912" s="254">
        <f>Prog_23[[#This Row],[SAÍDA DO CLIENTE]]-Prog_23[[#This Row],[PROGRAMAÇÃO CLIENTE]]</f>
        <v>0</v>
      </c>
      <c r="AH912" s="44"/>
      <c r="AI912" s="66"/>
      <c r="AJ912" s="66"/>
      <c r="AK912" s="66"/>
      <c r="AL912" s="66"/>
      <c r="AM912" s="66"/>
      <c r="AN912" s="83"/>
      <c r="AO912" s="83"/>
      <c r="AP912" s="83"/>
      <c r="AQ912" s="66"/>
      <c r="AR912" s="66"/>
      <c r="AS912" s="66"/>
      <c r="AT912" s="81"/>
      <c r="AU912" s="81"/>
      <c r="AV912" s="81"/>
      <c r="AW912" s="81"/>
      <c r="AX912" s="83">
        <f>SUM(Prog_23[[#This Row],[ADIANTAMENTO]]+Prog_23[[#This Row],[SALDO]]+Prog_23[[#This Row],[MARGEM]]+Prog_23[[#This Row],[ESTADIA 1]])</f>
        <v>0</v>
      </c>
      <c r="AY9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12" s="81"/>
      <c r="BA912" s="81"/>
      <c r="BB912" s="81">
        <f>Prog_23[[#This Row],[VLR NF]]*0.1%</f>
        <v>0</v>
      </c>
      <c r="BC912" s="81">
        <f>Prog_23[[#This Row],[VLR NF]]*0.05%</f>
        <v>0</v>
      </c>
      <c r="BD912" s="81"/>
      <c r="BE912" s="81"/>
      <c r="BF912" s="81"/>
      <c r="BG912" s="81"/>
      <c r="BH912" s="81"/>
      <c r="BI912" s="81"/>
      <c r="BJ912" s="81"/>
      <c r="BK912" s="81"/>
      <c r="BL912" s="81"/>
      <c r="BM912" s="81"/>
      <c r="BN912" s="66"/>
      <c r="BO912" s="66"/>
      <c r="BP912" s="66"/>
      <c r="BQ912" s="66" t="str">
        <f>PROPER(TEXT(Prog_23[[#This Row],[PROGRAMAÇÃO CLIENTE]],"mmm"))</f>
        <v>Jan</v>
      </c>
      <c r="BR912" s="66">
        <f>YEAR(Prog_23[[#This Row],[PROGRAMAÇÃO CLIENTE]])</f>
        <v>1900</v>
      </c>
    </row>
    <row r="913" spans="1:70" x14ac:dyDescent="0.25">
      <c r="A913" s="200">
        <f>Prog_23[[#This Row],[CONTEINER]]</f>
        <v>0</v>
      </c>
      <c r="B913" s="86"/>
      <c r="C9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13" s="44"/>
      <c r="E913" s="66"/>
      <c r="F913" s="66"/>
      <c r="G913" s="66"/>
      <c r="H913" s="44"/>
      <c r="I913" s="44"/>
      <c r="J913" s="66"/>
      <c r="K913" s="66"/>
      <c r="L913" s="66"/>
      <c r="M913" s="66"/>
      <c r="N913" s="66">
        <f>SUM(Prog_23[[#This Row],[TARA]]+Prog_23[[#This Row],[PESO]])</f>
        <v>0</v>
      </c>
      <c r="O913" s="44"/>
      <c r="P913" s="66"/>
      <c r="Q913" s="66"/>
      <c r="R913" s="66"/>
      <c r="S913" s="66"/>
      <c r="T913" s="138" t="str">
        <f>IFERROR(LOOKUP($S913,MOTORISTAS!$D$3:$D$916,MOTORISTAS!E$3:$E$916),"")</f>
        <v/>
      </c>
      <c r="U913" s="138" t="str">
        <f>IFERROR(LOOKUP($S913,MOTORISTAS!$D$3:$D$916,MOTORISTAS!F$3:$F$916),"")</f>
        <v/>
      </c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44"/>
      <c r="AG913" s="254">
        <f>Prog_23[[#This Row],[SAÍDA DO CLIENTE]]-Prog_23[[#This Row],[PROGRAMAÇÃO CLIENTE]]</f>
        <v>0</v>
      </c>
      <c r="AH913" s="44"/>
      <c r="AI913" s="66"/>
      <c r="AJ913" s="66"/>
      <c r="AK913" s="66"/>
      <c r="AL913" s="66"/>
      <c r="AM913" s="66"/>
      <c r="AN913" s="83"/>
      <c r="AO913" s="83"/>
      <c r="AP913" s="83"/>
      <c r="AQ913" s="66"/>
      <c r="AR913" s="66"/>
      <c r="AS913" s="66"/>
      <c r="AT913" s="81"/>
      <c r="AU913" s="81"/>
      <c r="AV913" s="81"/>
      <c r="AW913" s="81"/>
      <c r="AX913" s="83">
        <f>SUM(Prog_23[[#This Row],[ADIANTAMENTO]]+Prog_23[[#This Row],[SALDO]]+Prog_23[[#This Row],[MARGEM]]+Prog_23[[#This Row],[ESTADIA 1]])</f>
        <v>0</v>
      </c>
      <c r="AY9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13" s="81"/>
      <c r="BA913" s="81"/>
      <c r="BB913" s="81">
        <f>Prog_23[[#This Row],[VLR NF]]*0.1%</f>
        <v>0</v>
      </c>
      <c r="BC913" s="81">
        <f>Prog_23[[#This Row],[VLR NF]]*0.05%</f>
        <v>0</v>
      </c>
      <c r="BD913" s="81"/>
      <c r="BE913" s="81"/>
      <c r="BF913" s="81"/>
      <c r="BG913" s="81"/>
      <c r="BH913" s="81"/>
      <c r="BI913" s="81"/>
      <c r="BJ913" s="81"/>
      <c r="BK913" s="81"/>
      <c r="BL913" s="81"/>
      <c r="BM913" s="81"/>
      <c r="BN913" s="66"/>
      <c r="BO913" s="66"/>
      <c r="BP913" s="66"/>
      <c r="BQ913" s="66" t="str">
        <f>PROPER(TEXT(Prog_23[[#This Row],[PROGRAMAÇÃO CLIENTE]],"mmm"))</f>
        <v>Jan</v>
      </c>
      <c r="BR913" s="66">
        <f>YEAR(Prog_23[[#This Row],[PROGRAMAÇÃO CLIENTE]])</f>
        <v>1900</v>
      </c>
    </row>
    <row r="914" spans="1:70" x14ac:dyDescent="0.25">
      <c r="A914" s="201">
        <f>Prog_23[[#This Row],[CONTEINER]]</f>
        <v>0</v>
      </c>
      <c r="B914" s="86"/>
      <c r="C9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14" s="44"/>
      <c r="E914" s="66"/>
      <c r="F914" s="66"/>
      <c r="G914" s="66"/>
      <c r="H914" s="44"/>
      <c r="I914" s="44"/>
      <c r="J914" s="66"/>
      <c r="K914" s="66"/>
      <c r="L914" s="66"/>
      <c r="M914" s="66"/>
      <c r="N914" s="66">
        <f>SUM(Prog_23[[#This Row],[TARA]]+Prog_23[[#This Row],[PESO]])</f>
        <v>0</v>
      </c>
      <c r="O914" s="44"/>
      <c r="P914" s="66"/>
      <c r="Q914" s="66"/>
      <c r="R914" s="66"/>
      <c r="S914" s="66"/>
      <c r="T914" s="138" t="str">
        <f>IFERROR(LOOKUP($S914,MOTORISTAS!$D$3:$D$916,MOTORISTAS!E$3:$E$916),"")</f>
        <v/>
      </c>
      <c r="U914" s="138" t="str">
        <f>IFERROR(LOOKUP($S914,MOTORISTAS!$D$3:$D$916,MOTORISTAS!F$3:$F$916),"")</f>
        <v/>
      </c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44"/>
      <c r="AG914" s="254">
        <f>Prog_23[[#This Row],[SAÍDA DO CLIENTE]]-Prog_23[[#This Row],[PROGRAMAÇÃO CLIENTE]]</f>
        <v>0</v>
      </c>
      <c r="AH914" s="44"/>
      <c r="AI914" s="66"/>
      <c r="AJ914" s="66"/>
      <c r="AK914" s="66"/>
      <c r="AL914" s="66"/>
      <c r="AM914" s="66"/>
      <c r="AN914" s="83"/>
      <c r="AO914" s="83"/>
      <c r="AP914" s="83"/>
      <c r="AQ914" s="66"/>
      <c r="AR914" s="66"/>
      <c r="AS914" s="66"/>
      <c r="AT914" s="81"/>
      <c r="AU914" s="81"/>
      <c r="AV914" s="81"/>
      <c r="AW914" s="81"/>
      <c r="AX914" s="83">
        <f>SUM(Prog_23[[#This Row],[ADIANTAMENTO]]+Prog_23[[#This Row],[SALDO]]+Prog_23[[#This Row],[MARGEM]]+Prog_23[[#This Row],[ESTADIA 1]])</f>
        <v>0</v>
      </c>
      <c r="AY9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14" s="81"/>
      <c r="BA914" s="81"/>
      <c r="BB914" s="81">
        <f>Prog_23[[#This Row],[VLR NF]]*0.1%</f>
        <v>0</v>
      </c>
      <c r="BC914" s="81">
        <f>Prog_23[[#This Row],[VLR NF]]*0.05%</f>
        <v>0</v>
      </c>
      <c r="BD914" s="81"/>
      <c r="BE914" s="81"/>
      <c r="BF914" s="81"/>
      <c r="BG914" s="81"/>
      <c r="BH914" s="81"/>
      <c r="BI914" s="81"/>
      <c r="BJ914" s="81"/>
      <c r="BK914" s="81"/>
      <c r="BL914" s="81"/>
      <c r="BM914" s="81"/>
      <c r="BN914" s="66"/>
      <c r="BO914" s="66"/>
      <c r="BP914" s="66"/>
      <c r="BQ914" s="66" t="str">
        <f>PROPER(TEXT(Prog_23[[#This Row],[PROGRAMAÇÃO CLIENTE]],"mmm"))</f>
        <v>Jan</v>
      </c>
      <c r="BR914" s="66">
        <f>YEAR(Prog_23[[#This Row],[PROGRAMAÇÃO CLIENTE]])</f>
        <v>1900</v>
      </c>
    </row>
    <row r="915" spans="1:70" x14ac:dyDescent="0.25">
      <c r="A915" s="200">
        <f>Prog_23[[#This Row],[CONTEINER]]</f>
        <v>0</v>
      </c>
      <c r="B915" s="86"/>
      <c r="C9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15" s="44"/>
      <c r="E915" s="66"/>
      <c r="F915" s="66"/>
      <c r="G915" s="66"/>
      <c r="H915" s="44"/>
      <c r="I915" s="44"/>
      <c r="J915" s="66"/>
      <c r="K915" s="66"/>
      <c r="L915" s="66"/>
      <c r="M915" s="66"/>
      <c r="N915" s="66">
        <f>SUM(Prog_23[[#This Row],[TARA]]+Prog_23[[#This Row],[PESO]])</f>
        <v>0</v>
      </c>
      <c r="O915" s="44"/>
      <c r="P915" s="66"/>
      <c r="Q915" s="66"/>
      <c r="R915" s="66"/>
      <c r="S915" s="66"/>
      <c r="T915" s="138" t="str">
        <f>IFERROR(LOOKUP($S915,MOTORISTAS!$D$3:$D$916,MOTORISTAS!E$3:$E$916),"")</f>
        <v/>
      </c>
      <c r="U915" s="138" t="str">
        <f>IFERROR(LOOKUP($S915,MOTORISTAS!$D$3:$D$916,MOTORISTAS!F$3:$F$916),"")</f>
        <v/>
      </c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44"/>
      <c r="AG915" s="254">
        <f>Prog_23[[#This Row],[SAÍDA DO CLIENTE]]-Prog_23[[#This Row],[PROGRAMAÇÃO CLIENTE]]</f>
        <v>0</v>
      </c>
      <c r="AH915" s="44"/>
      <c r="AI915" s="66"/>
      <c r="AJ915" s="66"/>
      <c r="AK915" s="66"/>
      <c r="AL915" s="66"/>
      <c r="AM915" s="66"/>
      <c r="AN915" s="83"/>
      <c r="AO915" s="83"/>
      <c r="AP915" s="83"/>
      <c r="AQ915" s="66"/>
      <c r="AR915" s="66"/>
      <c r="AS915" s="66"/>
      <c r="AT915" s="81"/>
      <c r="AU915" s="81"/>
      <c r="AV915" s="81"/>
      <c r="AW915" s="81"/>
      <c r="AX915" s="83">
        <f>SUM(Prog_23[[#This Row],[ADIANTAMENTO]]+Prog_23[[#This Row],[SALDO]]+Prog_23[[#This Row],[MARGEM]]+Prog_23[[#This Row],[ESTADIA 1]])</f>
        <v>0</v>
      </c>
      <c r="AY9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15" s="81"/>
      <c r="BA915" s="81"/>
      <c r="BB915" s="81">
        <f>Prog_23[[#This Row],[VLR NF]]*0.1%</f>
        <v>0</v>
      </c>
      <c r="BC915" s="81">
        <f>Prog_23[[#This Row],[VLR NF]]*0.05%</f>
        <v>0</v>
      </c>
      <c r="BD915" s="81"/>
      <c r="BE915" s="81"/>
      <c r="BF915" s="81"/>
      <c r="BG915" s="81"/>
      <c r="BH915" s="81"/>
      <c r="BI915" s="81"/>
      <c r="BJ915" s="81"/>
      <c r="BK915" s="81"/>
      <c r="BL915" s="81"/>
      <c r="BM915" s="81"/>
      <c r="BN915" s="66"/>
      <c r="BO915" s="66"/>
      <c r="BP915" s="66"/>
      <c r="BQ915" s="66" t="str">
        <f>PROPER(TEXT(Prog_23[[#This Row],[PROGRAMAÇÃO CLIENTE]],"mmm"))</f>
        <v>Jan</v>
      </c>
      <c r="BR915" s="66">
        <f>YEAR(Prog_23[[#This Row],[PROGRAMAÇÃO CLIENTE]])</f>
        <v>1900</v>
      </c>
    </row>
    <row r="916" spans="1:70" x14ac:dyDescent="0.25">
      <c r="A916" s="201">
        <f>Prog_23[[#This Row],[CONTEINER]]</f>
        <v>0</v>
      </c>
      <c r="B916" s="86"/>
      <c r="C9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16" s="44"/>
      <c r="E916" s="66"/>
      <c r="F916" s="66"/>
      <c r="G916" s="66"/>
      <c r="H916" s="44"/>
      <c r="I916" s="44"/>
      <c r="J916" s="66"/>
      <c r="K916" s="66"/>
      <c r="L916" s="66"/>
      <c r="M916" s="66"/>
      <c r="N916" s="66">
        <f>SUM(Prog_23[[#This Row],[TARA]]+Prog_23[[#This Row],[PESO]])</f>
        <v>0</v>
      </c>
      <c r="O916" s="44"/>
      <c r="P916" s="66"/>
      <c r="Q916" s="66"/>
      <c r="R916" s="66"/>
      <c r="S916" s="66"/>
      <c r="T916" s="138" t="str">
        <f>IFERROR(LOOKUP($S916,MOTORISTAS!$D$3:$D$916,MOTORISTAS!E$3:$E$916),"")</f>
        <v/>
      </c>
      <c r="U916" s="138" t="str">
        <f>IFERROR(LOOKUP($S916,MOTORISTAS!$D$3:$D$916,MOTORISTAS!F$3:$F$916),"")</f>
        <v/>
      </c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44"/>
      <c r="AG916" s="254">
        <f>Prog_23[[#This Row],[SAÍDA DO CLIENTE]]-Prog_23[[#This Row],[PROGRAMAÇÃO CLIENTE]]</f>
        <v>0</v>
      </c>
      <c r="AH916" s="44"/>
      <c r="AI916" s="66"/>
      <c r="AJ916" s="66"/>
      <c r="AK916" s="66"/>
      <c r="AL916" s="66"/>
      <c r="AM916" s="66"/>
      <c r="AN916" s="83"/>
      <c r="AO916" s="83"/>
      <c r="AP916" s="83"/>
      <c r="AQ916" s="66"/>
      <c r="AR916" s="66"/>
      <c r="AS916" s="66"/>
      <c r="AT916" s="81"/>
      <c r="AU916" s="81"/>
      <c r="AV916" s="81"/>
      <c r="AW916" s="81"/>
      <c r="AX916" s="83">
        <f>SUM(Prog_23[[#This Row],[ADIANTAMENTO]]+Prog_23[[#This Row],[SALDO]]+Prog_23[[#This Row],[MARGEM]]+Prog_23[[#This Row],[ESTADIA 1]])</f>
        <v>0</v>
      </c>
      <c r="AY9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16" s="81"/>
      <c r="BA916" s="81"/>
      <c r="BB916" s="81">
        <f>Prog_23[[#This Row],[VLR NF]]*0.1%</f>
        <v>0</v>
      </c>
      <c r="BC916" s="81">
        <f>Prog_23[[#This Row],[VLR NF]]*0.05%</f>
        <v>0</v>
      </c>
      <c r="BD916" s="81"/>
      <c r="BE916" s="81"/>
      <c r="BF916" s="81"/>
      <c r="BG916" s="81"/>
      <c r="BH916" s="81"/>
      <c r="BI916" s="81"/>
      <c r="BJ916" s="81"/>
      <c r="BK916" s="81"/>
      <c r="BL916" s="81"/>
      <c r="BM916" s="81"/>
      <c r="BN916" s="66"/>
      <c r="BO916" s="66"/>
      <c r="BP916" s="66"/>
      <c r="BQ916" s="66" t="str">
        <f>PROPER(TEXT(Prog_23[[#This Row],[PROGRAMAÇÃO CLIENTE]],"mmm"))</f>
        <v>Jan</v>
      </c>
      <c r="BR916" s="66">
        <f>YEAR(Prog_23[[#This Row],[PROGRAMAÇÃO CLIENTE]])</f>
        <v>1900</v>
      </c>
    </row>
    <row r="917" spans="1:70" x14ac:dyDescent="0.25">
      <c r="A917" s="200">
        <f>Prog_23[[#This Row],[CONTEINER]]</f>
        <v>0</v>
      </c>
      <c r="B917" s="86"/>
      <c r="C9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17" s="44"/>
      <c r="E917" s="66"/>
      <c r="F917" s="66"/>
      <c r="G917" s="66"/>
      <c r="H917" s="44"/>
      <c r="I917" s="44"/>
      <c r="J917" s="66"/>
      <c r="K917" s="66"/>
      <c r="L917" s="66"/>
      <c r="M917" s="66"/>
      <c r="N917" s="66">
        <f>SUM(Prog_23[[#This Row],[TARA]]+Prog_23[[#This Row],[PESO]])</f>
        <v>0</v>
      </c>
      <c r="O917" s="44"/>
      <c r="P917" s="66"/>
      <c r="Q917" s="66"/>
      <c r="R917" s="66"/>
      <c r="S917" s="66"/>
      <c r="T917" s="138" t="str">
        <f>IFERROR(LOOKUP($S917,MOTORISTAS!$D$3:$D$916,MOTORISTAS!E$3:$E$916),"")</f>
        <v/>
      </c>
      <c r="U917" s="138" t="str">
        <f>IFERROR(LOOKUP($S917,MOTORISTAS!$D$3:$D$916,MOTORISTAS!F$3:$F$916),"")</f>
        <v/>
      </c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44"/>
      <c r="AG917" s="254">
        <f>Prog_23[[#This Row],[SAÍDA DO CLIENTE]]-Prog_23[[#This Row],[PROGRAMAÇÃO CLIENTE]]</f>
        <v>0</v>
      </c>
      <c r="AH917" s="44"/>
      <c r="AI917" s="66"/>
      <c r="AJ917" s="66"/>
      <c r="AK917" s="66"/>
      <c r="AL917" s="66"/>
      <c r="AM917" s="66"/>
      <c r="AN917" s="83"/>
      <c r="AO917" s="83"/>
      <c r="AP917" s="83"/>
      <c r="AQ917" s="66"/>
      <c r="AR917" s="66"/>
      <c r="AS917" s="66"/>
      <c r="AT917" s="81"/>
      <c r="AU917" s="81"/>
      <c r="AV917" s="81"/>
      <c r="AW917" s="81"/>
      <c r="AX917" s="83">
        <f>SUM(Prog_23[[#This Row],[ADIANTAMENTO]]+Prog_23[[#This Row],[SALDO]]+Prog_23[[#This Row],[MARGEM]]+Prog_23[[#This Row],[ESTADIA 1]])</f>
        <v>0</v>
      </c>
      <c r="AY9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17" s="81"/>
      <c r="BA917" s="81"/>
      <c r="BB917" s="81">
        <f>Prog_23[[#This Row],[VLR NF]]*0.1%</f>
        <v>0</v>
      </c>
      <c r="BC917" s="81">
        <f>Prog_23[[#This Row],[VLR NF]]*0.05%</f>
        <v>0</v>
      </c>
      <c r="BD917" s="81"/>
      <c r="BE917" s="81"/>
      <c r="BF917" s="81"/>
      <c r="BG917" s="81"/>
      <c r="BH917" s="81"/>
      <c r="BI917" s="81"/>
      <c r="BJ917" s="81"/>
      <c r="BK917" s="81"/>
      <c r="BL917" s="81"/>
      <c r="BM917" s="81"/>
      <c r="BN917" s="66"/>
      <c r="BO917" s="66"/>
      <c r="BP917" s="66"/>
      <c r="BQ917" s="66" t="str">
        <f>PROPER(TEXT(Prog_23[[#This Row],[PROGRAMAÇÃO CLIENTE]],"mmm"))</f>
        <v>Jan</v>
      </c>
      <c r="BR917" s="66">
        <f>YEAR(Prog_23[[#This Row],[PROGRAMAÇÃO CLIENTE]])</f>
        <v>1900</v>
      </c>
    </row>
    <row r="918" spans="1:70" x14ac:dyDescent="0.25">
      <c r="A918" s="201">
        <f>Prog_23[[#This Row],[CONTEINER]]</f>
        <v>0</v>
      </c>
      <c r="B918" s="86"/>
      <c r="C9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18" s="44"/>
      <c r="E918" s="66"/>
      <c r="F918" s="66"/>
      <c r="G918" s="66"/>
      <c r="H918" s="44"/>
      <c r="I918" s="44"/>
      <c r="J918" s="66"/>
      <c r="K918" s="66"/>
      <c r="L918" s="66"/>
      <c r="M918" s="66"/>
      <c r="N918" s="66">
        <f>SUM(Prog_23[[#This Row],[TARA]]+Prog_23[[#This Row],[PESO]])</f>
        <v>0</v>
      </c>
      <c r="O918" s="44"/>
      <c r="P918" s="66"/>
      <c r="Q918" s="66"/>
      <c r="R918" s="66"/>
      <c r="S918" s="66"/>
      <c r="T918" s="138" t="str">
        <f>IFERROR(LOOKUP($S918,MOTORISTAS!$D$3:$D$916,MOTORISTAS!E$3:$E$916),"")</f>
        <v/>
      </c>
      <c r="U918" s="138" t="str">
        <f>IFERROR(LOOKUP($S918,MOTORISTAS!$D$3:$D$916,MOTORISTAS!F$3:$F$916),"")</f>
        <v/>
      </c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44"/>
      <c r="AG918" s="254">
        <f>Prog_23[[#This Row],[SAÍDA DO CLIENTE]]-Prog_23[[#This Row],[PROGRAMAÇÃO CLIENTE]]</f>
        <v>0</v>
      </c>
      <c r="AH918" s="44"/>
      <c r="AI918" s="66"/>
      <c r="AJ918" s="66"/>
      <c r="AK918" s="66"/>
      <c r="AL918" s="66"/>
      <c r="AM918" s="66"/>
      <c r="AN918" s="83"/>
      <c r="AO918" s="83"/>
      <c r="AP918" s="83"/>
      <c r="AQ918" s="66"/>
      <c r="AR918" s="66"/>
      <c r="AS918" s="66"/>
      <c r="AT918" s="81"/>
      <c r="AU918" s="81"/>
      <c r="AV918" s="81"/>
      <c r="AW918" s="81"/>
      <c r="AX918" s="83">
        <f>SUM(Prog_23[[#This Row],[ADIANTAMENTO]]+Prog_23[[#This Row],[SALDO]]+Prog_23[[#This Row],[MARGEM]]+Prog_23[[#This Row],[ESTADIA 1]])</f>
        <v>0</v>
      </c>
      <c r="AY9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18" s="81"/>
      <c r="BA918" s="81"/>
      <c r="BB918" s="81">
        <f>Prog_23[[#This Row],[VLR NF]]*0.1%</f>
        <v>0</v>
      </c>
      <c r="BC918" s="81">
        <f>Prog_23[[#This Row],[VLR NF]]*0.05%</f>
        <v>0</v>
      </c>
      <c r="BD918" s="81"/>
      <c r="BE918" s="81"/>
      <c r="BF918" s="81"/>
      <c r="BG918" s="81"/>
      <c r="BH918" s="81"/>
      <c r="BI918" s="81"/>
      <c r="BJ918" s="81"/>
      <c r="BK918" s="81"/>
      <c r="BL918" s="81"/>
      <c r="BM918" s="81"/>
      <c r="BN918" s="66"/>
      <c r="BO918" s="66"/>
      <c r="BP918" s="66"/>
      <c r="BQ918" s="66" t="str">
        <f>PROPER(TEXT(Prog_23[[#This Row],[PROGRAMAÇÃO CLIENTE]],"mmm"))</f>
        <v>Jan</v>
      </c>
      <c r="BR918" s="66">
        <f>YEAR(Prog_23[[#This Row],[PROGRAMAÇÃO CLIENTE]])</f>
        <v>1900</v>
      </c>
    </row>
    <row r="919" spans="1:70" x14ac:dyDescent="0.25">
      <c r="A919" s="200">
        <f>Prog_23[[#This Row],[CONTEINER]]</f>
        <v>0</v>
      </c>
      <c r="B919" s="86"/>
      <c r="C9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19" s="44"/>
      <c r="E919" s="66"/>
      <c r="F919" s="66"/>
      <c r="G919" s="66"/>
      <c r="H919" s="44"/>
      <c r="I919" s="44"/>
      <c r="J919" s="66"/>
      <c r="K919" s="66"/>
      <c r="L919" s="66"/>
      <c r="M919" s="66"/>
      <c r="N919" s="66">
        <f>SUM(Prog_23[[#This Row],[TARA]]+Prog_23[[#This Row],[PESO]])</f>
        <v>0</v>
      </c>
      <c r="O919" s="44"/>
      <c r="P919" s="66"/>
      <c r="Q919" s="66"/>
      <c r="R919" s="66"/>
      <c r="S919" s="66"/>
      <c r="T919" s="138" t="str">
        <f>IFERROR(LOOKUP($S919,MOTORISTAS!$D$3:$D$916,MOTORISTAS!E$3:$E$916),"")</f>
        <v/>
      </c>
      <c r="U919" s="138" t="str">
        <f>IFERROR(LOOKUP($S919,MOTORISTAS!$D$3:$D$916,MOTORISTAS!F$3:$F$916),"")</f>
        <v/>
      </c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44"/>
      <c r="AG919" s="254">
        <f>Prog_23[[#This Row],[SAÍDA DO CLIENTE]]-Prog_23[[#This Row],[PROGRAMAÇÃO CLIENTE]]</f>
        <v>0</v>
      </c>
      <c r="AH919" s="44"/>
      <c r="AI919" s="66"/>
      <c r="AJ919" s="66"/>
      <c r="AK919" s="66"/>
      <c r="AL919" s="66"/>
      <c r="AM919" s="66"/>
      <c r="AN919" s="83"/>
      <c r="AO919" s="83"/>
      <c r="AP919" s="83"/>
      <c r="AQ919" s="66"/>
      <c r="AR919" s="66"/>
      <c r="AS919" s="66"/>
      <c r="AT919" s="81"/>
      <c r="AU919" s="81"/>
      <c r="AV919" s="81"/>
      <c r="AW919" s="81"/>
      <c r="AX919" s="83">
        <f>SUM(Prog_23[[#This Row],[ADIANTAMENTO]]+Prog_23[[#This Row],[SALDO]]+Prog_23[[#This Row],[MARGEM]]+Prog_23[[#This Row],[ESTADIA 1]])</f>
        <v>0</v>
      </c>
      <c r="AY9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19" s="81"/>
      <c r="BA919" s="81"/>
      <c r="BB919" s="81">
        <f>Prog_23[[#This Row],[VLR NF]]*0.1%</f>
        <v>0</v>
      </c>
      <c r="BC919" s="81">
        <f>Prog_23[[#This Row],[VLR NF]]*0.05%</f>
        <v>0</v>
      </c>
      <c r="BD919" s="81"/>
      <c r="BE919" s="81"/>
      <c r="BF919" s="81"/>
      <c r="BG919" s="81"/>
      <c r="BH919" s="81"/>
      <c r="BI919" s="81"/>
      <c r="BJ919" s="81"/>
      <c r="BK919" s="81"/>
      <c r="BL919" s="81"/>
      <c r="BM919" s="81"/>
      <c r="BN919" s="66"/>
      <c r="BO919" s="66"/>
      <c r="BP919" s="66"/>
      <c r="BQ919" s="66" t="str">
        <f>PROPER(TEXT(Prog_23[[#This Row],[PROGRAMAÇÃO CLIENTE]],"mmm"))</f>
        <v>Jan</v>
      </c>
      <c r="BR919" s="66">
        <f>YEAR(Prog_23[[#This Row],[PROGRAMAÇÃO CLIENTE]])</f>
        <v>1900</v>
      </c>
    </row>
    <row r="920" spans="1:70" x14ac:dyDescent="0.25">
      <c r="A920" s="201">
        <f>Prog_23[[#This Row],[CONTEINER]]</f>
        <v>0</v>
      </c>
      <c r="B920" s="86"/>
      <c r="C9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20" s="44"/>
      <c r="E920" s="66"/>
      <c r="F920" s="66"/>
      <c r="G920" s="66"/>
      <c r="H920" s="44"/>
      <c r="I920" s="44"/>
      <c r="J920" s="66"/>
      <c r="K920" s="66"/>
      <c r="L920" s="66"/>
      <c r="M920" s="66"/>
      <c r="N920" s="66">
        <f>SUM(Prog_23[[#This Row],[TARA]]+Prog_23[[#This Row],[PESO]])</f>
        <v>0</v>
      </c>
      <c r="O920" s="44"/>
      <c r="P920" s="66"/>
      <c r="Q920" s="66"/>
      <c r="R920" s="66"/>
      <c r="S920" s="66"/>
      <c r="T920" s="138" t="str">
        <f>IFERROR(LOOKUP($S920,MOTORISTAS!$D$3:$D$916,MOTORISTAS!E$3:$E$916),"")</f>
        <v/>
      </c>
      <c r="U920" s="138" t="str">
        <f>IFERROR(LOOKUP($S920,MOTORISTAS!$D$3:$D$916,MOTORISTAS!F$3:$F$916),"")</f>
        <v/>
      </c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44"/>
      <c r="AG920" s="254">
        <f>Prog_23[[#This Row],[SAÍDA DO CLIENTE]]-Prog_23[[#This Row],[PROGRAMAÇÃO CLIENTE]]</f>
        <v>0</v>
      </c>
      <c r="AH920" s="44"/>
      <c r="AI920" s="66"/>
      <c r="AJ920" s="66"/>
      <c r="AK920" s="66"/>
      <c r="AL920" s="66"/>
      <c r="AM920" s="66"/>
      <c r="AN920" s="83"/>
      <c r="AO920" s="83"/>
      <c r="AP920" s="83"/>
      <c r="AQ920" s="66"/>
      <c r="AR920" s="66"/>
      <c r="AS920" s="66"/>
      <c r="AT920" s="81"/>
      <c r="AU920" s="81"/>
      <c r="AV920" s="81"/>
      <c r="AW920" s="81"/>
      <c r="AX920" s="83">
        <f>SUM(Prog_23[[#This Row],[ADIANTAMENTO]]+Prog_23[[#This Row],[SALDO]]+Prog_23[[#This Row],[MARGEM]]+Prog_23[[#This Row],[ESTADIA 1]])</f>
        <v>0</v>
      </c>
      <c r="AY9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20" s="81"/>
      <c r="BA920" s="81"/>
      <c r="BB920" s="81">
        <f>Prog_23[[#This Row],[VLR NF]]*0.1%</f>
        <v>0</v>
      </c>
      <c r="BC920" s="81">
        <f>Prog_23[[#This Row],[VLR NF]]*0.05%</f>
        <v>0</v>
      </c>
      <c r="BD920" s="81"/>
      <c r="BE920" s="81"/>
      <c r="BF920" s="81"/>
      <c r="BG920" s="81"/>
      <c r="BH920" s="81"/>
      <c r="BI920" s="81"/>
      <c r="BJ920" s="81"/>
      <c r="BK920" s="81"/>
      <c r="BL920" s="81"/>
      <c r="BM920" s="81"/>
      <c r="BN920" s="66"/>
      <c r="BO920" s="66"/>
      <c r="BP920" s="66"/>
      <c r="BQ920" s="66" t="str">
        <f>PROPER(TEXT(Prog_23[[#This Row],[PROGRAMAÇÃO CLIENTE]],"mmm"))</f>
        <v>Jan</v>
      </c>
      <c r="BR920" s="66">
        <f>YEAR(Prog_23[[#This Row],[PROGRAMAÇÃO CLIENTE]])</f>
        <v>1900</v>
      </c>
    </row>
    <row r="921" spans="1:70" x14ac:dyDescent="0.25">
      <c r="A921" s="200">
        <f>Prog_23[[#This Row],[CONTEINER]]</f>
        <v>0</v>
      </c>
      <c r="B921" s="86"/>
      <c r="C9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21" s="44"/>
      <c r="E921" s="66"/>
      <c r="F921" s="66"/>
      <c r="G921" s="66"/>
      <c r="H921" s="44"/>
      <c r="I921" s="44"/>
      <c r="J921" s="66"/>
      <c r="K921" s="66"/>
      <c r="L921" s="66"/>
      <c r="M921" s="66"/>
      <c r="N921" s="66">
        <f>SUM(Prog_23[[#This Row],[TARA]]+Prog_23[[#This Row],[PESO]])</f>
        <v>0</v>
      </c>
      <c r="O921" s="44"/>
      <c r="P921" s="66"/>
      <c r="Q921" s="66"/>
      <c r="R921" s="66"/>
      <c r="S921" s="66"/>
      <c r="T921" s="138" t="str">
        <f>IFERROR(LOOKUP($S921,MOTORISTAS!$D$3:$D$916,MOTORISTAS!E$3:$E$916),"")</f>
        <v/>
      </c>
      <c r="U921" s="138" t="str">
        <f>IFERROR(LOOKUP($S921,MOTORISTAS!$D$3:$D$916,MOTORISTAS!F$3:$F$916),"")</f>
        <v/>
      </c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44"/>
      <c r="AG921" s="254">
        <f>Prog_23[[#This Row],[SAÍDA DO CLIENTE]]-Prog_23[[#This Row],[PROGRAMAÇÃO CLIENTE]]</f>
        <v>0</v>
      </c>
      <c r="AH921" s="44"/>
      <c r="AI921" s="66"/>
      <c r="AJ921" s="66"/>
      <c r="AK921" s="66"/>
      <c r="AL921" s="66"/>
      <c r="AM921" s="66"/>
      <c r="AN921" s="83"/>
      <c r="AO921" s="83"/>
      <c r="AP921" s="83"/>
      <c r="AQ921" s="66"/>
      <c r="AR921" s="66"/>
      <c r="AS921" s="66"/>
      <c r="AT921" s="81"/>
      <c r="AU921" s="81"/>
      <c r="AV921" s="81"/>
      <c r="AW921" s="81"/>
      <c r="AX921" s="83">
        <f>SUM(Prog_23[[#This Row],[ADIANTAMENTO]]+Prog_23[[#This Row],[SALDO]]+Prog_23[[#This Row],[MARGEM]]+Prog_23[[#This Row],[ESTADIA 1]])</f>
        <v>0</v>
      </c>
      <c r="AY9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21" s="81"/>
      <c r="BA921" s="81"/>
      <c r="BB921" s="81">
        <f>Prog_23[[#This Row],[VLR NF]]*0.1%</f>
        <v>0</v>
      </c>
      <c r="BC921" s="81">
        <f>Prog_23[[#This Row],[VLR NF]]*0.05%</f>
        <v>0</v>
      </c>
      <c r="BD921" s="81"/>
      <c r="BE921" s="81"/>
      <c r="BF921" s="81"/>
      <c r="BG921" s="81"/>
      <c r="BH921" s="81"/>
      <c r="BI921" s="81"/>
      <c r="BJ921" s="81"/>
      <c r="BK921" s="81"/>
      <c r="BL921" s="81"/>
      <c r="BM921" s="81"/>
      <c r="BN921" s="66"/>
      <c r="BO921" s="66"/>
      <c r="BP921" s="66"/>
      <c r="BQ921" s="66" t="str">
        <f>PROPER(TEXT(Prog_23[[#This Row],[PROGRAMAÇÃO CLIENTE]],"mmm"))</f>
        <v>Jan</v>
      </c>
      <c r="BR921" s="66">
        <f>YEAR(Prog_23[[#This Row],[PROGRAMAÇÃO CLIENTE]])</f>
        <v>1900</v>
      </c>
    </row>
    <row r="922" spans="1:70" x14ac:dyDescent="0.25">
      <c r="A922" s="201">
        <f>Prog_23[[#This Row],[CONTEINER]]</f>
        <v>0</v>
      </c>
      <c r="B922" s="86"/>
      <c r="C9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22" s="44"/>
      <c r="E922" s="66"/>
      <c r="F922" s="66"/>
      <c r="G922" s="66"/>
      <c r="H922" s="44"/>
      <c r="I922" s="44"/>
      <c r="J922" s="66"/>
      <c r="K922" s="66"/>
      <c r="L922" s="66"/>
      <c r="M922" s="66"/>
      <c r="N922" s="66">
        <f>SUM(Prog_23[[#This Row],[TARA]]+Prog_23[[#This Row],[PESO]])</f>
        <v>0</v>
      </c>
      <c r="O922" s="44"/>
      <c r="P922" s="66"/>
      <c r="Q922" s="66"/>
      <c r="R922" s="66"/>
      <c r="S922" s="66"/>
      <c r="T922" s="138" t="str">
        <f>IFERROR(LOOKUP($S922,MOTORISTAS!$D$3:$D$916,MOTORISTAS!E$3:$E$916),"")</f>
        <v/>
      </c>
      <c r="U922" s="138" t="str">
        <f>IFERROR(LOOKUP($S922,MOTORISTAS!$D$3:$D$916,MOTORISTAS!F$3:$F$916),"")</f>
        <v/>
      </c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44"/>
      <c r="AG922" s="254">
        <f>Prog_23[[#This Row],[SAÍDA DO CLIENTE]]-Prog_23[[#This Row],[PROGRAMAÇÃO CLIENTE]]</f>
        <v>0</v>
      </c>
      <c r="AH922" s="44"/>
      <c r="AI922" s="66"/>
      <c r="AJ922" s="66"/>
      <c r="AK922" s="66"/>
      <c r="AL922" s="66"/>
      <c r="AM922" s="66"/>
      <c r="AN922" s="83"/>
      <c r="AO922" s="83"/>
      <c r="AP922" s="83"/>
      <c r="AQ922" s="66"/>
      <c r="AR922" s="66"/>
      <c r="AS922" s="66"/>
      <c r="AT922" s="81"/>
      <c r="AU922" s="81"/>
      <c r="AV922" s="81"/>
      <c r="AW922" s="81"/>
      <c r="AX922" s="83">
        <f>SUM(Prog_23[[#This Row],[ADIANTAMENTO]]+Prog_23[[#This Row],[SALDO]]+Prog_23[[#This Row],[MARGEM]]+Prog_23[[#This Row],[ESTADIA 1]])</f>
        <v>0</v>
      </c>
      <c r="AY9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22" s="81"/>
      <c r="BA922" s="81"/>
      <c r="BB922" s="81">
        <f>Prog_23[[#This Row],[VLR NF]]*0.1%</f>
        <v>0</v>
      </c>
      <c r="BC922" s="81">
        <f>Prog_23[[#This Row],[VLR NF]]*0.05%</f>
        <v>0</v>
      </c>
      <c r="BD922" s="81"/>
      <c r="BE922" s="81"/>
      <c r="BF922" s="81"/>
      <c r="BG922" s="81"/>
      <c r="BH922" s="81"/>
      <c r="BI922" s="81"/>
      <c r="BJ922" s="81"/>
      <c r="BK922" s="81"/>
      <c r="BL922" s="81"/>
      <c r="BM922" s="81"/>
      <c r="BN922" s="66"/>
      <c r="BO922" s="66"/>
      <c r="BP922" s="66"/>
      <c r="BQ922" s="66" t="str">
        <f>PROPER(TEXT(Prog_23[[#This Row],[PROGRAMAÇÃO CLIENTE]],"mmm"))</f>
        <v>Jan</v>
      </c>
      <c r="BR922" s="66">
        <f>YEAR(Prog_23[[#This Row],[PROGRAMAÇÃO CLIENTE]])</f>
        <v>1900</v>
      </c>
    </row>
    <row r="923" spans="1:70" x14ac:dyDescent="0.25">
      <c r="A923" s="200">
        <f>Prog_23[[#This Row],[CONTEINER]]</f>
        <v>0</v>
      </c>
      <c r="B923" s="86"/>
      <c r="C9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23" s="44"/>
      <c r="E923" s="66"/>
      <c r="F923" s="66"/>
      <c r="G923" s="66"/>
      <c r="H923" s="44"/>
      <c r="I923" s="44"/>
      <c r="J923" s="66"/>
      <c r="K923" s="66"/>
      <c r="L923" s="66"/>
      <c r="M923" s="66"/>
      <c r="N923" s="66">
        <f>SUM(Prog_23[[#This Row],[TARA]]+Prog_23[[#This Row],[PESO]])</f>
        <v>0</v>
      </c>
      <c r="O923" s="44"/>
      <c r="P923" s="66"/>
      <c r="Q923" s="66"/>
      <c r="R923" s="66"/>
      <c r="S923" s="66"/>
      <c r="T923" s="138" t="str">
        <f>IFERROR(LOOKUP($S923,MOTORISTAS!$D$3:$D$916,MOTORISTAS!E$3:$E$916),"")</f>
        <v/>
      </c>
      <c r="U923" s="138" t="str">
        <f>IFERROR(LOOKUP($S923,MOTORISTAS!$D$3:$D$916,MOTORISTAS!F$3:$F$916),"")</f>
        <v/>
      </c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44"/>
      <c r="AG923" s="254">
        <f>Prog_23[[#This Row],[SAÍDA DO CLIENTE]]-Prog_23[[#This Row],[PROGRAMAÇÃO CLIENTE]]</f>
        <v>0</v>
      </c>
      <c r="AH923" s="44"/>
      <c r="AI923" s="66"/>
      <c r="AJ923" s="66"/>
      <c r="AK923" s="66"/>
      <c r="AL923" s="66"/>
      <c r="AM923" s="66"/>
      <c r="AN923" s="83"/>
      <c r="AO923" s="83"/>
      <c r="AP923" s="83"/>
      <c r="AQ923" s="66"/>
      <c r="AR923" s="66"/>
      <c r="AS923" s="66"/>
      <c r="AT923" s="81"/>
      <c r="AU923" s="81"/>
      <c r="AV923" s="81"/>
      <c r="AW923" s="81"/>
      <c r="AX923" s="83">
        <f>SUM(Prog_23[[#This Row],[ADIANTAMENTO]]+Prog_23[[#This Row],[SALDO]]+Prog_23[[#This Row],[MARGEM]]+Prog_23[[#This Row],[ESTADIA 1]])</f>
        <v>0</v>
      </c>
      <c r="AY9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23" s="81"/>
      <c r="BA923" s="81"/>
      <c r="BB923" s="81">
        <f>Prog_23[[#This Row],[VLR NF]]*0.1%</f>
        <v>0</v>
      </c>
      <c r="BC923" s="81">
        <f>Prog_23[[#This Row],[VLR NF]]*0.05%</f>
        <v>0</v>
      </c>
      <c r="BD923" s="81"/>
      <c r="BE923" s="81"/>
      <c r="BF923" s="81"/>
      <c r="BG923" s="81"/>
      <c r="BH923" s="81"/>
      <c r="BI923" s="81"/>
      <c r="BJ923" s="81"/>
      <c r="BK923" s="81"/>
      <c r="BL923" s="81"/>
      <c r="BM923" s="81"/>
      <c r="BN923" s="66"/>
      <c r="BO923" s="66"/>
      <c r="BP923" s="66"/>
      <c r="BQ923" s="66" t="str">
        <f>PROPER(TEXT(Prog_23[[#This Row],[PROGRAMAÇÃO CLIENTE]],"mmm"))</f>
        <v>Jan</v>
      </c>
      <c r="BR923" s="66">
        <f>YEAR(Prog_23[[#This Row],[PROGRAMAÇÃO CLIENTE]])</f>
        <v>1900</v>
      </c>
    </row>
    <row r="924" spans="1:70" x14ac:dyDescent="0.25">
      <c r="A924" s="201">
        <f>Prog_23[[#This Row],[CONTEINER]]</f>
        <v>0</v>
      </c>
      <c r="B924" s="86"/>
      <c r="C9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24" s="44"/>
      <c r="E924" s="66"/>
      <c r="F924" s="66"/>
      <c r="G924" s="66"/>
      <c r="H924" s="44"/>
      <c r="I924" s="44"/>
      <c r="J924" s="66"/>
      <c r="K924" s="66"/>
      <c r="L924" s="66"/>
      <c r="M924" s="66"/>
      <c r="N924" s="66">
        <f>SUM(Prog_23[[#This Row],[TARA]]+Prog_23[[#This Row],[PESO]])</f>
        <v>0</v>
      </c>
      <c r="O924" s="44"/>
      <c r="P924" s="66"/>
      <c r="Q924" s="66"/>
      <c r="R924" s="66"/>
      <c r="S924" s="66"/>
      <c r="T924" s="138" t="str">
        <f>IFERROR(LOOKUP($S924,MOTORISTAS!$D$3:$D$916,MOTORISTAS!E$3:$E$916),"")</f>
        <v/>
      </c>
      <c r="U924" s="138" t="str">
        <f>IFERROR(LOOKUP($S924,MOTORISTAS!$D$3:$D$916,MOTORISTAS!F$3:$F$916),"")</f>
        <v/>
      </c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44"/>
      <c r="AG924" s="254">
        <f>Prog_23[[#This Row],[SAÍDA DO CLIENTE]]-Prog_23[[#This Row],[PROGRAMAÇÃO CLIENTE]]</f>
        <v>0</v>
      </c>
      <c r="AH924" s="44"/>
      <c r="AI924" s="66"/>
      <c r="AJ924" s="66"/>
      <c r="AK924" s="66"/>
      <c r="AL924" s="66"/>
      <c r="AM924" s="66"/>
      <c r="AN924" s="83"/>
      <c r="AO924" s="83"/>
      <c r="AP924" s="83"/>
      <c r="AQ924" s="66"/>
      <c r="AR924" s="66"/>
      <c r="AS924" s="66"/>
      <c r="AT924" s="81"/>
      <c r="AU924" s="81"/>
      <c r="AV924" s="81"/>
      <c r="AW924" s="81"/>
      <c r="AX924" s="83">
        <f>SUM(Prog_23[[#This Row],[ADIANTAMENTO]]+Prog_23[[#This Row],[SALDO]]+Prog_23[[#This Row],[MARGEM]]+Prog_23[[#This Row],[ESTADIA 1]])</f>
        <v>0</v>
      </c>
      <c r="AY9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24" s="81"/>
      <c r="BA924" s="81"/>
      <c r="BB924" s="81">
        <f>Prog_23[[#This Row],[VLR NF]]*0.1%</f>
        <v>0</v>
      </c>
      <c r="BC924" s="81">
        <f>Prog_23[[#This Row],[VLR NF]]*0.05%</f>
        <v>0</v>
      </c>
      <c r="BD924" s="81"/>
      <c r="BE924" s="81"/>
      <c r="BF924" s="81"/>
      <c r="BG924" s="81"/>
      <c r="BH924" s="81"/>
      <c r="BI924" s="81"/>
      <c r="BJ924" s="81"/>
      <c r="BK924" s="81"/>
      <c r="BL924" s="81"/>
      <c r="BM924" s="81"/>
      <c r="BN924" s="66"/>
      <c r="BO924" s="66"/>
      <c r="BP924" s="66"/>
      <c r="BQ924" s="66" t="str">
        <f>PROPER(TEXT(Prog_23[[#This Row],[PROGRAMAÇÃO CLIENTE]],"mmm"))</f>
        <v>Jan</v>
      </c>
      <c r="BR924" s="66">
        <f>YEAR(Prog_23[[#This Row],[PROGRAMAÇÃO CLIENTE]])</f>
        <v>1900</v>
      </c>
    </row>
    <row r="925" spans="1:70" x14ac:dyDescent="0.25">
      <c r="A925" s="200">
        <f>Prog_23[[#This Row],[CONTEINER]]</f>
        <v>0</v>
      </c>
      <c r="B925" s="86"/>
      <c r="C9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25" s="44"/>
      <c r="E925" s="66"/>
      <c r="F925" s="66"/>
      <c r="G925" s="66"/>
      <c r="H925" s="44"/>
      <c r="I925" s="44"/>
      <c r="J925" s="66"/>
      <c r="K925" s="66"/>
      <c r="L925" s="66"/>
      <c r="M925" s="66"/>
      <c r="N925" s="66">
        <f>SUM(Prog_23[[#This Row],[TARA]]+Prog_23[[#This Row],[PESO]])</f>
        <v>0</v>
      </c>
      <c r="O925" s="44"/>
      <c r="P925" s="66"/>
      <c r="Q925" s="66"/>
      <c r="R925" s="66"/>
      <c r="S925" s="66"/>
      <c r="T925" s="138" t="str">
        <f>IFERROR(LOOKUP($S925,MOTORISTAS!$D$3:$D$916,MOTORISTAS!E$3:$E$916),"")</f>
        <v/>
      </c>
      <c r="U925" s="138" t="str">
        <f>IFERROR(LOOKUP($S925,MOTORISTAS!$D$3:$D$916,MOTORISTAS!F$3:$F$916),"")</f>
        <v/>
      </c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44"/>
      <c r="AG925" s="254">
        <f>Prog_23[[#This Row],[SAÍDA DO CLIENTE]]-Prog_23[[#This Row],[PROGRAMAÇÃO CLIENTE]]</f>
        <v>0</v>
      </c>
      <c r="AH925" s="44"/>
      <c r="AI925" s="66"/>
      <c r="AJ925" s="66"/>
      <c r="AK925" s="66"/>
      <c r="AL925" s="66"/>
      <c r="AM925" s="66"/>
      <c r="AN925" s="83"/>
      <c r="AO925" s="83"/>
      <c r="AP925" s="83"/>
      <c r="AQ925" s="66"/>
      <c r="AR925" s="66"/>
      <c r="AS925" s="66"/>
      <c r="AT925" s="81"/>
      <c r="AU925" s="81"/>
      <c r="AV925" s="81"/>
      <c r="AW925" s="81"/>
      <c r="AX925" s="83">
        <f>SUM(Prog_23[[#This Row],[ADIANTAMENTO]]+Prog_23[[#This Row],[SALDO]]+Prog_23[[#This Row],[MARGEM]]+Prog_23[[#This Row],[ESTADIA 1]])</f>
        <v>0</v>
      </c>
      <c r="AY9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25" s="81"/>
      <c r="BA925" s="81"/>
      <c r="BB925" s="81">
        <f>Prog_23[[#This Row],[VLR NF]]*0.1%</f>
        <v>0</v>
      </c>
      <c r="BC925" s="81">
        <f>Prog_23[[#This Row],[VLR NF]]*0.05%</f>
        <v>0</v>
      </c>
      <c r="BD925" s="81"/>
      <c r="BE925" s="81"/>
      <c r="BF925" s="81"/>
      <c r="BG925" s="81"/>
      <c r="BH925" s="81"/>
      <c r="BI925" s="81"/>
      <c r="BJ925" s="81"/>
      <c r="BK925" s="81"/>
      <c r="BL925" s="81"/>
      <c r="BM925" s="81"/>
      <c r="BN925" s="66"/>
      <c r="BO925" s="66"/>
      <c r="BP925" s="66"/>
      <c r="BQ925" s="66" t="str">
        <f>PROPER(TEXT(Prog_23[[#This Row],[PROGRAMAÇÃO CLIENTE]],"mmm"))</f>
        <v>Jan</v>
      </c>
      <c r="BR925" s="66">
        <f>YEAR(Prog_23[[#This Row],[PROGRAMAÇÃO CLIENTE]])</f>
        <v>1900</v>
      </c>
    </row>
    <row r="926" spans="1:70" x14ac:dyDescent="0.25">
      <c r="A926" s="201">
        <f>Prog_23[[#This Row],[CONTEINER]]</f>
        <v>0</v>
      </c>
      <c r="B926" s="86"/>
      <c r="C9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26" s="44"/>
      <c r="E926" s="66"/>
      <c r="F926" s="66"/>
      <c r="G926" s="66"/>
      <c r="H926" s="44"/>
      <c r="I926" s="44"/>
      <c r="J926" s="66"/>
      <c r="K926" s="66"/>
      <c r="L926" s="66"/>
      <c r="M926" s="66"/>
      <c r="N926" s="66">
        <f>SUM(Prog_23[[#This Row],[TARA]]+Prog_23[[#This Row],[PESO]])</f>
        <v>0</v>
      </c>
      <c r="O926" s="44"/>
      <c r="P926" s="66"/>
      <c r="Q926" s="66"/>
      <c r="R926" s="66"/>
      <c r="S926" s="66"/>
      <c r="T926" s="138" t="str">
        <f>IFERROR(LOOKUP($S926,MOTORISTAS!$D$3:$D$916,MOTORISTAS!E$3:$E$916),"")</f>
        <v/>
      </c>
      <c r="U926" s="138" t="str">
        <f>IFERROR(LOOKUP($S926,MOTORISTAS!$D$3:$D$916,MOTORISTAS!F$3:$F$916),"")</f>
        <v/>
      </c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44"/>
      <c r="AG926" s="254">
        <f>Prog_23[[#This Row],[SAÍDA DO CLIENTE]]-Prog_23[[#This Row],[PROGRAMAÇÃO CLIENTE]]</f>
        <v>0</v>
      </c>
      <c r="AH926" s="44"/>
      <c r="AI926" s="66"/>
      <c r="AJ926" s="66"/>
      <c r="AK926" s="66"/>
      <c r="AL926" s="66"/>
      <c r="AM926" s="66"/>
      <c r="AN926" s="83"/>
      <c r="AO926" s="83"/>
      <c r="AP926" s="83"/>
      <c r="AQ926" s="66"/>
      <c r="AR926" s="66"/>
      <c r="AS926" s="66"/>
      <c r="AT926" s="81"/>
      <c r="AU926" s="81"/>
      <c r="AV926" s="81"/>
      <c r="AW926" s="81"/>
      <c r="AX926" s="83">
        <f>SUM(Prog_23[[#This Row],[ADIANTAMENTO]]+Prog_23[[#This Row],[SALDO]]+Prog_23[[#This Row],[MARGEM]]+Prog_23[[#This Row],[ESTADIA 1]])</f>
        <v>0</v>
      </c>
      <c r="AY9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26" s="81"/>
      <c r="BA926" s="81"/>
      <c r="BB926" s="81">
        <f>Prog_23[[#This Row],[VLR NF]]*0.1%</f>
        <v>0</v>
      </c>
      <c r="BC926" s="81">
        <f>Prog_23[[#This Row],[VLR NF]]*0.05%</f>
        <v>0</v>
      </c>
      <c r="BD926" s="81"/>
      <c r="BE926" s="81"/>
      <c r="BF926" s="81"/>
      <c r="BG926" s="81"/>
      <c r="BH926" s="81"/>
      <c r="BI926" s="81"/>
      <c r="BJ926" s="81"/>
      <c r="BK926" s="81"/>
      <c r="BL926" s="81"/>
      <c r="BM926" s="81"/>
      <c r="BN926" s="66"/>
      <c r="BO926" s="66"/>
      <c r="BP926" s="66"/>
      <c r="BQ926" s="66" t="str">
        <f>PROPER(TEXT(Prog_23[[#This Row],[PROGRAMAÇÃO CLIENTE]],"mmm"))</f>
        <v>Jan</v>
      </c>
      <c r="BR926" s="66">
        <f>YEAR(Prog_23[[#This Row],[PROGRAMAÇÃO CLIENTE]])</f>
        <v>1900</v>
      </c>
    </row>
    <row r="927" spans="1:70" x14ac:dyDescent="0.25">
      <c r="A927" s="200">
        <f>Prog_23[[#This Row],[CONTEINER]]</f>
        <v>0</v>
      </c>
      <c r="B927" s="86"/>
      <c r="C9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27" s="44"/>
      <c r="E927" s="66"/>
      <c r="F927" s="66"/>
      <c r="G927" s="66"/>
      <c r="H927" s="44"/>
      <c r="I927" s="44"/>
      <c r="J927" s="66"/>
      <c r="K927" s="66"/>
      <c r="L927" s="66"/>
      <c r="M927" s="66"/>
      <c r="N927" s="66">
        <f>SUM(Prog_23[[#This Row],[TARA]]+Prog_23[[#This Row],[PESO]])</f>
        <v>0</v>
      </c>
      <c r="O927" s="44"/>
      <c r="P927" s="66"/>
      <c r="Q927" s="66"/>
      <c r="R927" s="66"/>
      <c r="S927" s="66"/>
      <c r="T927" s="138" t="str">
        <f>IFERROR(LOOKUP($S927,MOTORISTAS!$D$3:$D$916,MOTORISTAS!E$3:$E$916),"")</f>
        <v/>
      </c>
      <c r="U927" s="138" t="str">
        <f>IFERROR(LOOKUP($S927,MOTORISTAS!$D$3:$D$916,MOTORISTAS!F$3:$F$916),"")</f>
        <v/>
      </c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44"/>
      <c r="AG927" s="254">
        <f>Prog_23[[#This Row],[SAÍDA DO CLIENTE]]-Prog_23[[#This Row],[PROGRAMAÇÃO CLIENTE]]</f>
        <v>0</v>
      </c>
      <c r="AH927" s="44"/>
      <c r="AI927" s="66"/>
      <c r="AJ927" s="66"/>
      <c r="AK927" s="66"/>
      <c r="AL927" s="66"/>
      <c r="AM927" s="66"/>
      <c r="AN927" s="83"/>
      <c r="AO927" s="83"/>
      <c r="AP927" s="83"/>
      <c r="AQ927" s="66"/>
      <c r="AR927" s="66"/>
      <c r="AS927" s="66"/>
      <c r="AT927" s="81"/>
      <c r="AU927" s="81"/>
      <c r="AV927" s="81"/>
      <c r="AW927" s="81"/>
      <c r="AX927" s="83">
        <f>SUM(Prog_23[[#This Row],[ADIANTAMENTO]]+Prog_23[[#This Row],[SALDO]]+Prog_23[[#This Row],[MARGEM]]+Prog_23[[#This Row],[ESTADIA 1]])</f>
        <v>0</v>
      </c>
      <c r="AY9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27" s="81"/>
      <c r="BA927" s="81"/>
      <c r="BB927" s="81">
        <f>Prog_23[[#This Row],[VLR NF]]*0.1%</f>
        <v>0</v>
      </c>
      <c r="BC927" s="81">
        <f>Prog_23[[#This Row],[VLR NF]]*0.05%</f>
        <v>0</v>
      </c>
      <c r="BD927" s="81"/>
      <c r="BE927" s="81"/>
      <c r="BF927" s="81"/>
      <c r="BG927" s="81"/>
      <c r="BH927" s="81"/>
      <c r="BI927" s="81"/>
      <c r="BJ927" s="81"/>
      <c r="BK927" s="81"/>
      <c r="BL927" s="81"/>
      <c r="BM927" s="81"/>
      <c r="BN927" s="66"/>
      <c r="BO927" s="66"/>
      <c r="BP927" s="66"/>
      <c r="BQ927" s="66" t="str">
        <f>PROPER(TEXT(Prog_23[[#This Row],[PROGRAMAÇÃO CLIENTE]],"mmm"))</f>
        <v>Jan</v>
      </c>
      <c r="BR927" s="66">
        <f>YEAR(Prog_23[[#This Row],[PROGRAMAÇÃO CLIENTE]])</f>
        <v>1900</v>
      </c>
    </row>
    <row r="928" spans="1:70" x14ac:dyDescent="0.25">
      <c r="A928" s="201">
        <f>Prog_23[[#This Row],[CONTEINER]]</f>
        <v>0</v>
      </c>
      <c r="B928" s="86"/>
      <c r="C9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28" s="44"/>
      <c r="E928" s="66"/>
      <c r="F928" s="66"/>
      <c r="G928" s="66"/>
      <c r="H928" s="44"/>
      <c r="I928" s="44"/>
      <c r="J928" s="66"/>
      <c r="K928" s="66"/>
      <c r="L928" s="66"/>
      <c r="M928" s="66"/>
      <c r="N928" s="66">
        <f>SUM(Prog_23[[#This Row],[TARA]]+Prog_23[[#This Row],[PESO]])</f>
        <v>0</v>
      </c>
      <c r="O928" s="44"/>
      <c r="P928" s="66"/>
      <c r="Q928" s="66"/>
      <c r="R928" s="66"/>
      <c r="S928" s="66"/>
      <c r="T928" s="138" t="str">
        <f>IFERROR(LOOKUP($S928,MOTORISTAS!$D$3:$D$916,MOTORISTAS!E$3:$E$916),"")</f>
        <v/>
      </c>
      <c r="U928" s="138" t="str">
        <f>IFERROR(LOOKUP($S928,MOTORISTAS!$D$3:$D$916,MOTORISTAS!F$3:$F$916),"")</f>
        <v/>
      </c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44"/>
      <c r="AG928" s="254">
        <f>Prog_23[[#This Row],[SAÍDA DO CLIENTE]]-Prog_23[[#This Row],[PROGRAMAÇÃO CLIENTE]]</f>
        <v>0</v>
      </c>
      <c r="AH928" s="44"/>
      <c r="AI928" s="66"/>
      <c r="AJ928" s="66"/>
      <c r="AK928" s="66"/>
      <c r="AL928" s="66"/>
      <c r="AM928" s="66"/>
      <c r="AN928" s="83"/>
      <c r="AO928" s="83"/>
      <c r="AP928" s="83"/>
      <c r="AQ928" s="66"/>
      <c r="AR928" s="66"/>
      <c r="AS928" s="66"/>
      <c r="AT928" s="81"/>
      <c r="AU928" s="81"/>
      <c r="AV928" s="81"/>
      <c r="AW928" s="81"/>
      <c r="AX928" s="83">
        <f>SUM(Prog_23[[#This Row],[ADIANTAMENTO]]+Prog_23[[#This Row],[SALDO]]+Prog_23[[#This Row],[MARGEM]]+Prog_23[[#This Row],[ESTADIA 1]])</f>
        <v>0</v>
      </c>
      <c r="AY9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28" s="81"/>
      <c r="BA928" s="81"/>
      <c r="BB928" s="81">
        <f>Prog_23[[#This Row],[VLR NF]]*0.1%</f>
        <v>0</v>
      </c>
      <c r="BC928" s="81">
        <f>Prog_23[[#This Row],[VLR NF]]*0.05%</f>
        <v>0</v>
      </c>
      <c r="BD928" s="81"/>
      <c r="BE928" s="81"/>
      <c r="BF928" s="81"/>
      <c r="BG928" s="81"/>
      <c r="BH928" s="81"/>
      <c r="BI928" s="81"/>
      <c r="BJ928" s="81"/>
      <c r="BK928" s="81"/>
      <c r="BL928" s="81"/>
      <c r="BM928" s="81"/>
      <c r="BN928" s="66"/>
      <c r="BO928" s="66"/>
      <c r="BP928" s="66"/>
      <c r="BQ928" s="66" t="str">
        <f>PROPER(TEXT(Prog_23[[#This Row],[PROGRAMAÇÃO CLIENTE]],"mmm"))</f>
        <v>Jan</v>
      </c>
      <c r="BR928" s="66">
        <f>YEAR(Prog_23[[#This Row],[PROGRAMAÇÃO CLIENTE]])</f>
        <v>1900</v>
      </c>
    </row>
    <row r="929" spans="1:70" x14ac:dyDescent="0.25">
      <c r="A929" s="200">
        <f>Prog_23[[#This Row],[CONTEINER]]</f>
        <v>0</v>
      </c>
      <c r="B929" s="86"/>
      <c r="C9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29" s="44"/>
      <c r="E929" s="66"/>
      <c r="F929" s="66"/>
      <c r="G929" s="66"/>
      <c r="H929" s="44"/>
      <c r="I929" s="44"/>
      <c r="J929" s="66"/>
      <c r="K929" s="66"/>
      <c r="L929" s="66"/>
      <c r="M929" s="66"/>
      <c r="N929" s="66">
        <f>SUM(Prog_23[[#This Row],[TARA]]+Prog_23[[#This Row],[PESO]])</f>
        <v>0</v>
      </c>
      <c r="O929" s="44"/>
      <c r="P929" s="66"/>
      <c r="Q929" s="66"/>
      <c r="R929" s="66"/>
      <c r="S929" s="66"/>
      <c r="T929" s="138" t="str">
        <f>IFERROR(LOOKUP($S929,MOTORISTAS!$D$3:$D$916,MOTORISTAS!E$3:$E$916),"")</f>
        <v/>
      </c>
      <c r="U929" s="138" t="str">
        <f>IFERROR(LOOKUP($S929,MOTORISTAS!$D$3:$D$916,MOTORISTAS!F$3:$F$916),"")</f>
        <v/>
      </c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44"/>
      <c r="AG929" s="254">
        <f>Prog_23[[#This Row],[SAÍDA DO CLIENTE]]-Prog_23[[#This Row],[PROGRAMAÇÃO CLIENTE]]</f>
        <v>0</v>
      </c>
      <c r="AH929" s="44"/>
      <c r="AI929" s="66"/>
      <c r="AJ929" s="66"/>
      <c r="AK929" s="66"/>
      <c r="AL929" s="66"/>
      <c r="AM929" s="66"/>
      <c r="AN929" s="83"/>
      <c r="AO929" s="83"/>
      <c r="AP929" s="83"/>
      <c r="AQ929" s="66"/>
      <c r="AR929" s="66"/>
      <c r="AS929" s="66"/>
      <c r="AT929" s="81"/>
      <c r="AU929" s="81"/>
      <c r="AV929" s="81"/>
      <c r="AW929" s="81"/>
      <c r="AX929" s="83">
        <f>SUM(Prog_23[[#This Row],[ADIANTAMENTO]]+Prog_23[[#This Row],[SALDO]]+Prog_23[[#This Row],[MARGEM]]+Prog_23[[#This Row],[ESTADIA 1]])</f>
        <v>0</v>
      </c>
      <c r="AY9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29" s="81"/>
      <c r="BA929" s="81"/>
      <c r="BB929" s="81">
        <f>Prog_23[[#This Row],[VLR NF]]*0.1%</f>
        <v>0</v>
      </c>
      <c r="BC929" s="81">
        <f>Prog_23[[#This Row],[VLR NF]]*0.05%</f>
        <v>0</v>
      </c>
      <c r="BD929" s="81"/>
      <c r="BE929" s="81"/>
      <c r="BF929" s="81"/>
      <c r="BG929" s="81"/>
      <c r="BH929" s="81"/>
      <c r="BI929" s="81"/>
      <c r="BJ929" s="81"/>
      <c r="BK929" s="81"/>
      <c r="BL929" s="81"/>
      <c r="BM929" s="81"/>
      <c r="BN929" s="66"/>
      <c r="BO929" s="66"/>
      <c r="BP929" s="66"/>
      <c r="BQ929" s="66" t="str">
        <f>PROPER(TEXT(Prog_23[[#This Row],[PROGRAMAÇÃO CLIENTE]],"mmm"))</f>
        <v>Jan</v>
      </c>
      <c r="BR929" s="66">
        <f>YEAR(Prog_23[[#This Row],[PROGRAMAÇÃO CLIENTE]])</f>
        <v>1900</v>
      </c>
    </row>
    <row r="930" spans="1:70" x14ac:dyDescent="0.25">
      <c r="A930" s="201">
        <f>Prog_23[[#This Row],[CONTEINER]]</f>
        <v>0</v>
      </c>
      <c r="B930" s="86"/>
      <c r="C9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30" s="44"/>
      <c r="E930" s="66"/>
      <c r="F930" s="66"/>
      <c r="G930" s="66"/>
      <c r="H930" s="44"/>
      <c r="I930" s="44"/>
      <c r="J930" s="66"/>
      <c r="K930" s="66"/>
      <c r="L930" s="66"/>
      <c r="M930" s="66"/>
      <c r="N930" s="66">
        <f>SUM(Prog_23[[#This Row],[TARA]]+Prog_23[[#This Row],[PESO]])</f>
        <v>0</v>
      </c>
      <c r="O930" s="44"/>
      <c r="P930" s="66"/>
      <c r="Q930" s="66"/>
      <c r="R930" s="66"/>
      <c r="S930" s="66"/>
      <c r="T930" s="138" t="str">
        <f>IFERROR(LOOKUP($S930,MOTORISTAS!$D$3:$D$916,MOTORISTAS!E$3:$E$916),"")</f>
        <v/>
      </c>
      <c r="U930" s="138" t="str">
        <f>IFERROR(LOOKUP($S930,MOTORISTAS!$D$3:$D$916,MOTORISTAS!F$3:$F$916),"")</f>
        <v/>
      </c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44"/>
      <c r="AG930" s="254">
        <f>Prog_23[[#This Row],[SAÍDA DO CLIENTE]]-Prog_23[[#This Row],[PROGRAMAÇÃO CLIENTE]]</f>
        <v>0</v>
      </c>
      <c r="AH930" s="44"/>
      <c r="AI930" s="66"/>
      <c r="AJ930" s="66"/>
      <c r="AK930" s="66"/>
      <c r="AL930" s="66"/>
      <c r="AM930" s="66"/>
      <c r="AN930" s="83"/>
      <c r="AO930" s="83"/>
      <c r="AP930" s="83"/>
      <c r="AQ930" s="66"/>
      <c r="AR930" s="66"/>
      <c r="AS930" s="66"/>
      <c r="AT930" s="81"/>
      <c r="AU930" s="81"/>
      <c r="AV930" s="81"/>
      <c r="AW930" s="81"/>
      <c r="AX930" s="83">
        <f>SUM(Prog_23[[#This Row],[ADIANTAMENTO]]+Prog_23[[#This Row],[SALDO]]+Prog_23[[#This Row],[MARGEM]]+Prog_23[[#This Row],[ESTADIA 1]])</f>
        <v>0</v>
      </c>
      <c r="AY9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30" s="81"/>
      <c r="BA930" s="81"/>
      <c r="BB930" s="81">
        <f>Prog_23[[#This Row],[VLR NF]]*0.1%</f>
        <v>0</v>
      </c>
      <c r="BC930" s="81">
        <f>Prog_23[[#This Row],[VLR NF]]*0.05%</f>
        <v>0</v>
      </c>
      <c r="BD930" s="81"/>
      <c r="BE930" s="81"/>
      <c r="BF930" s="81"/>
      <c r="BG930" s="81"/>
      <c r="BH930" s="81"/>
      <c r="BI930" s="81"/>
      <c r="BJ930" s="81"/>
      <c r="BK930" s="81"/>
      <c r="BL930" s="81"/>
      <c r="BM930" s="81"/>
      <c r="BN930" s="66"/>
      <c r="BO930" s="66"/>
      <c r="BP930" s="66"/>
      <c r="BQ930" s="66" t="str">
        <f>PROPER(TEXT(Prog_23[[#This Row],[PROGRAMAÇÃO CLIENTE]],"mmm"))</f>
        <v>Jan</v>
      </c>
      <c r="BR930" s="66">
        <f>YEAR(Prog_23[[#This Row],[PROGRAMAÇÃO CLIENTE]])</f>
        <v>1900</v>
      </c>
    </row>
    <row r="931" spans="1:70" x14ac:dyDescent="0.25">
      <c r="A931" s="200">
        <f>Prog_23[[#This Row],[CONTEINER]]</f>
        <v>0</v>
      </c>
      <c r="B931" s="86"/>
      <c r="C9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31" s="44"/>
      <c r="E931" s="66"/>
      <c r="F931" s="66"/>
      <c r="G931" s="66"/>
      <c r="H931" s="44"/>
      <c r="I931" s="44"/>
      <c r="J931" s="66"/>
      <c r="K931" s="66"/>
      <c r="L931" s="66"/>
      <c r="M931" s="66"/>
      <c r="N931" s="66">
        <f>SUM(Prog_23[[#This Row],[TARA]]+Prog_23[[#This Row],[PESO]])</f>
        <v>0</v>
      </c>
      <c r="O931" s="44"/>
      <c r="P931" s="66"/>
      <c r="Q931" s="66"/>
      <c r="R931" s="66"/>
      <c r="S931" s="66"/>
      <c r="T931" s="138" t="str">
        <f>IFERROR(LOOKUP($S931,MOTORISTAS!$D$3:$D$916,MOTORISTAS!E$3:$E$916),"")</f>
        <v/>
      </c>
      <c r="U931" s="138" t="str">
        <f>IFERROR(LOOKUP($S931,MOTORISTAS!$D$3:$D$916,MOTORISTAS!F$3:$F$916),"")</f>
        <v/>
      </c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44"/>
      <c r="AG931" s="254">
        <f>Prog_23[[#This Row],[SAÍDA DO CLIENTE]]-Prog_23[[#This Row],[PROGRAMAÇÃO CLIENTE]]</f>
        <v>0</v>
      </c>
      <c r="AH931" s="44"/>
      <c r="AI931" s="66"/>
      <c r="AJ931" s="66"/>
      <c r="AK931" s="66"/>
      <c r="AL931" s="66"/>
      <c r="AM931" s="66"/>
      <c r="AN931" s="83"/>
      <c r="AO931" s="83"/>
      <c r="AP931" s="83"/>
      <c r="AQ931" s="66"/>
      <c r="AR931" s="66"/>
      <c r="AS931" s="66"/>
      <c r="AT931" s="81"/>
      <c r="AU931" s="81"/>
      <c r="AV931" s="81"/>
      <c r="AW931" s="81"/>
      <c r="AX931" s="83">
        <f>SUM(Prog_23[[#This Row],[ADIANTAMENTO]]+Prog_23[[#This Row],[SALDO]]+Prog_23[[#This Row],[MARGEM]]+Prog_23[[#This Row],[ESTADIA 1]])</f>
        <v>0</v>
      </c>
      <c r="AY9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31" s="81"/>
      <c r="BA931" s="81"/>
      <c r="BB931" s="81">
        <f>Prog_23[[#This Row],[VLR NF]]*0.1%</f>
        <v>0</v>
      </c>
      <c r="BC931" s="81">
        <f>Prog_23[[#This Row],[VLR NF]]*0.05%</f>
        <v>0</v>
      </c>
      <c r="BD931" s="81"/>
      <c r="BE931" s="81"/>
      <c r="BF931" s="81"/>
      <c r="BG931" s="81"/>
      <c r="BH931" s="81"/>
      <c r="BI931" s="81"/>
      <c r="BJ931" s="81"/>
      <c r="BK931" s="81"/>
      <c r="BL931" s="81"/>
      <c r="BM931" s="81"/>
      <c r="BN931" s="66"/>
      <c r="BO931" s="66"/>
      <c r="BP931" s="66"/>
      <c r="BQ931" s="66" t="str">
        <f>PROPER(TEXT(Prog_23[[#This Row],[PROGRAMAÇÃO CLIENTE]],"mmm"))</f>
        <v>Jan</v>
      </c>
      <c r="BR931" s="66">
        <f>YEAR(Prog_23[[#This Row],[PROGRAMAÇÃO CLIENTE]])</f>
        <v>1900</v>
      </c>
    </row>
    <row r="932" spans="1:70" x14ac:dyDescent="0.25">
      <c r="A932" s="201">
        <f>Prog_23[[#This Row],[CONTEINER]]</f>
        <v>0</v>
      </c>
      <c r="B932" s="86"/>
      <c r="C9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32" s="44"/>
      <c r="E932" s="66"/>
      <c r="F932" s="66"/>
      <c r="G932" s="66"/>
      <c r="H932" s="44"/>
      <c r="I932" s="44"/>
      <c r="J932" s="66"/>
      <c r="K932" s="66"/>
      <c r="L932" s="66"/>
      <c r="M932" s="66"/>
      <c r="N932" s="66">
        <f>SUM(Prog_23[[#This Row],[TARA]]+Prog_23[[#This Row],[PESO]])</f>
        <v>0</v>
      </c>
      <c r="O932" s="44"/>
      <c r="P932" s="66"/>
      <c r="Q932" s="66"/>
      <c r="R932" s="66"/>
      <c r="S932" s="66"/>
      <c r="T932" s="138" t="str">
        <f>IFERROR(LOOKUP($S932,MOTORISTAS!$D$3:$D$916,MOTORISTAS!E$3:$E$916),"")</f>
        <v/>
      </c>
      <c r="U932" s="138" t="str">
        <f>IFERROR(LOOKUP($S932,MOTORISTAS!$D$3:$D$916,MOTORISTAS!F$3:$F$916),"")</f>
        <v/>
      </c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44"/>
      <c r="AG932" s="254">
        <f>Prog_23[[#This Row],[SAÍDA DO CLIENTE]]-Prog_23[[#This Row],[PROGRAMAÇÃO CLIENTE]]</f>
        <v>0</v>
      </c>
      <c r="AH932" s="44"/>
      <c r="AI932" s="66"/>
      <c r="AJ932" s="66"/>
      <c r="AK932" s="66"/>
      <c r="AL932" s="66"/>
      <c r="AM932" s="66"/>
      <c r="AN932" s="83"/>
      <c r="AO932" s="83"/>
      <c r="AP932" s="83"/>
      <c r="AQ932" s="66"/>
      <c r="AR932" s="66"/>
      <c r="AS932" s="66"/>
      <c r="AT932" s="81"/>
      <c r="AU932" s="81"/>
      <c r="AV932" s="81"/>
      <c r="AW932" s="81"/>
      <c r="AX932" s="83">
        <f>SUM(Prog_23[[#This Row],[ADIANTAMENTO]]+Prog_23[[#This Row],[SALDO]]+Prog_23[[#This Row],[MARGEM]]+Prog_23[[#This Row],[ESTADIA 1]])</f>
        <v>0</v>
      </c>
      <c r="AY9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32" s="81"/>
      <c r="BA932" s="81"/>
      <c r="BB932" s="81">
        <f>Prog_23[[#This Row],[VLR NF]]*0.1%</f>
        <v>0</v>
      </c>
      <c r="BC932" s="81">
        <f>Prog_23[[#This Row],[VLR NF]]*0.05%</f>
        <v>0</v>
      </c>
      <c r="BD932" s="81"/>
      <c r="BE932" s="81"/>
      <c r="BF932" s="81"/>
      <c r="BG932" s="81"/>
      <c r="BH932" s="81"/>
      <c r="BI932" s="81"/>
      <c r="BJ932" s="81"/>
      <c r="BK932" s="81"/>
      <c r="BL932" s="81"/>
      <c r="BM932" s="81"/>
      <c r="BN932" s="66"/>
      <c r="BO932" s="66"/>
      <c r="BP932" s="66"/>
      <c r="BQ932" s="66" t="str">
        <f>PROPER(TEXT(Prog_23[[#This Row],[PROGRAMAÇÃO CLIENTE]],"mmm"))</f>
        <v>Jan</v>
      </c>
      <c r="BR932" s="66">
        <f>YEAR(Prog_23[[#This Row],[PROGRAMAÇÃO CLIENTE]])</f>
        <v>1900</v>
      </c>
    </row>
    <row r="933" spans="1:70" x14ac:dyDescent="0.25">
      <c r="A933" s="200">
        <f>Prog_23[[#This Row],[CONTEINER]]</f>
        <v>0</v>
      </c>
      <c r="B933" s="86"/>
      <c r="C9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33" s="44"/>
      <c r="E933" s="66"/>
      <c r="F933" s="66"/>
      <c r="G933" s="66"/>
      <c r="H933" s="44"/>
      <c r="I933" s="44"/>
      <c r="J933" s="66"/>
      <c r="K933" s="66"/>
      <c r="L933" s="66"/>
      <c r="M933" s="66"/>
      <c r="N933" s="66">
        <f>SUM(Prog_23[[#This Row],[TARA]]+Prog_23[[#This Row],[PESO]])</f>
        <v>0</v>
      </c>
      <c r="O933" s="44"/>
      <c r="P933" s="66"/>
      <c r="Q933" s="66"/>
      <c r="R933" s="66"/>
      <c r="S933" s="66"/>
      <c r="T933" s="138" t="str">
        <f>IFERROR(LOOKUP($S933,MOTORISTAS!$D$3:$D$916,MOTORISTAS!E$3:$E$916),"")</f>
        <v/>
      </c>
      <c r="U933" s="138" t="str">
        <f>IFERROR(LOOKUP($S933,MOTORISTAS!$D$3:$D$916,MOTORISTAS!F$3:$F$916),"")</f>
        <v/>
      </c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44"/>
      <c r="AG933" s="254">
        <f>Prog_23[[#This Row],[SAÍDA DO CLIENTE]]-Prog_23[[#This Row],[PROGRAMAÇÃO CLIENTE]]</f>
        <v>0</v>
      </c>
      <c r="AH933" s="44"/>
      <c r="AI933" s="66"/>
      <c r="AJ933" s="66"/>
      <c r="AK933" s="66"/>
      <c r="AL933" s="66"/>
      <c r="AM933" s="66"/>
      <c r="AN933" s="83"/>
      <c r="AO933" s="83"/>
      <c r="AP933" s="83"/>
      <c r="AQ933" s="66"/>
      <c r="AR933" s="66"/>
      <c r="AS933" s="66"/>
      <c r="AT933" s="81"/>
      <c r="AU933" s="81"/>
      <c r="AV933" s="81"/>
      <c r="AW933" s="81"/>
      <c r="AX933" s="83">
        <f>SUM(Prog_23[[#This Row],[ADIANTAMENTO]]+Prog_23[[#This Row],[SALDO]]+Prog_23[[#This Row],[MARGEM]]+Prog_23[[#This Row],[ESTADIA 1]])</f>
        <v>0</v>
      </c>
      <c r="AY9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33" s="81"/>
      <c r="BA933" s="81"/>
      <c r="BB933" s="81">
        <f>Prog_23[[#This Row],[VLR NF]]*0.1%</f>
        <v>0</v>
      </c>
      <c r="BC933" s="81">
        <f>Prog_23[[#This Row],[VLR NF]]*0.05%</f>
        <v>0</v>
      </c>
      <c r="BD933" s="81"/>
      <c r="BE933" s="81"/>
      <c r="BF933" s="81"/>
      <c r="BG933" s="81"/>
      <c r="BH933" s="81"/>
      <c r="BI933" s="81"/>
      <c r="BJ933" s="81"/>
      <c r="BK933" s="81"/>
      <c r="BL933" s="81"/>
      <c r="BM933" s="81"/>
      <c r="BN933" s="66"/>
      <c r="BO933" s="66"/>
      <c r="BP933" s="66"/>
      <c r="BQ933" s="66" t="str">
        <f>PROPER(TEXT(Prog_23[[#This Row],[PROGRAMAÇÃO CLIENTE]],"mmm"))</f>
        <v>Jan</v>
      </c>
      <c r="BR933" s="66">
        <f>YEAR(Prog_23[[#This Row],[PROGRAMAÇÃO CLIENTE]])</f>
        <v>1900</v>
      </c>
    </row>
    <row r="934" spans="1:70" x14ac:dyDescent="0.25">
      <c r="A934" s="201">
        <f>Prog_23[[#This Row],[CONTEINER]]</f>
        <v>0</v>
      </c>
      <c r="B934" s="86"/>
      <c r="C9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34" s="44"/>
      <c r="E934" s="66"/>
      <c r="F934" s="66"/>
      <c r="G934" s="66"/>
      <c r="H934" s="44"/>
      <c r="I934" s="44"/>
      <c r="J934" s="66"/>
      <c r="K934" s="66"/>
      <c r="L934" s="66"/>
      <c r="M934" s="66"/>
      <c r="N934" s="66">
        <f>SUM(Prog_23[[#This Row],[TARA]]+Prog_23[[#This Row],[PESO]])</f>
        <v>0</v>
      </c>
      <c r="O934" s="44"/>
      <c r="P934" s="66"/>
      <c r="Q934" s="66"/>
      <c r="R934" s="66"/>
      <c r="S934" s="66"/>
      <c r="T934" s="138" t="str">
        <f>IFERROR(LOOKUP($S934,MOTORISTAS!$D$3:$D$916,MOTORISTAS!E$3:$E$916),"")</f>
        <v/>
      </c>
      <c r="U934" s="138" t="str">
        <f>IFERROR(LOOKUP($S934,MOTORISTAS!$D$3:$D$916,MOTORISTAS!F$3:$F$916),"")</f>
        <v/>
      </c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44"/>
      <c r="AG934" s="254">
        <f>Prog_23[[#This Row],[SAÍDA DO CLIENTE]]-Prog_23[[#This Row],[PROGRAMAÇÃO CLIENTE]]</f>
        <v>0</v>
      </c>
      <c r="AH934" s="44"/>
      <c r="AI934" s="66"/>
      <c r="AJ934" s="66"/>
      <c r="AK934" s="66"/>
      <c r="AL934" s="66"/>
      <c r="AM934" s="66"/>
      <c r="AN934" s="83"/>
      <c r="AO934" s="83"/>
      <c r="AP934" s="83"/>
      <c r="AQ934" s="66"/>
      <c r="AR934" s="66"/>
      <c r="AS934" s="66"/>
      <c r="AT934" s="81"/>
      <c r="AU934" s="81"/>
      <c r="AV934" s="81"/>
      <c r="AW934" s="81"/>
      <c r="AX934" s="83">
        <f>SUM(Prog_23[[#This Row],[ADIANTAMENTO]]+Prog_23[[#This Row],[SALDO]]+Prog_23[[#This Row],[MARGEM]]+Prog_23[[#This Row],[ESTADIA 1]])</f>
        <v>0</v>
      </c>
      <c r="AY9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34" s="81"/>
      <c r="BA934" s="81"/>
      <c r="BB934" s="81">
        <f>Prog_23[[#This Row],[VLR NF]]*0.1%</f>
        <v>0</v>
      </c>
      <c r="BC934" s="81">
        <f>Prog_23[[#This Row],[VLR NF]]*0.05%</f>
        <v>0</v>
      </c>
      <c r="BD934" s="81"/>
      <c r="BE934" s="81"/>
      <c r="BF934" s="81"/>
      <c r="BG934" s="81"/>
      <c r="BH934" s="81"/>
      <c r="BI934" s="81"/>
      <c r="BJ934" s="81"/>
      <c r="BK934" s="81"/>
      <c r="BL934" s="81"/>
      <c r="BM934" s="81"/>
      <c r="BN934" s="66"/>
      <c r="BO934" s="66"/>
      <c r="BP934" s="66"/>
      <c r="BQ934" s="66" t="str">
        <f>PROPER(TEXT(Prog_23[[#This Row],[PROGRAMAÇÃO CLIENTE]],"mmm"))</f>
        <v>Jan</v>
      </c>
      <c r="BR934" s="66">
        <f>YEAR(Prog_23[[#This Row],[PROGRAMAÇÃO CLIENTE]])</f>
        <v>1900</v>
      </c>
    </row>
    <row r="935" spans="1:70" x14ac:dyDescent="0.25">
      <c r="A935" s="200">
        <f>Prog_23[[#This Row],[CONTEINER]]</f>
        <v>0</v>
      </c>
      <c r="B935" s="86"/>
      <c r="C9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35" s="44"/>
      <c r="E935" s="66"/>
      <c r="F935" s="66"/>
      <c r="G935" s="66"/>
      <c r="H935" s="44"/>
      <c r="I935" s="44"/>
      <c r="J935" s="66"/>
      <c r="K935" s="66"/>
      <c r="L935" s="66"/>
      <c r="M935" s="66"/>
      <c r="N935" s="66">
        <f>SUM(Prog_23[[#This Row],[TARA]]+Prog_23[[#This Row],[PESO]])</f>
        <v>0</v>
      </c>
      <c r="O935" s="44"/>
      <c r="P935" s="66"/>
      <c r="Q935" s="66"/>
      <c r="R935" s="66"/>
      <c r="S935" s="66"/>
      <c r="T935" s="138" t="str">
        <f>IFERROR(LOOKUP($S935,MOTORISTAS!$D$3:$D$916,MOTORISTAS!E$3:$E$916),"")</f>
        <v/>
      </c>
      <c r="U935" s="138" t="str">
        <f>IFERROR(LOOKUP($S935,MOTORISTAS!$D$3:$D$916,MOTORISTAS!F$3:$F$916),"")</f>
        <v/>
      </c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44"/>
      <c r="AG935" s="254">
        <f>Prog_23[[#This Row],[SAÍDA DO CLIENTE]]-Prog_23[[#This Row],[PROGRAMAÇÃO CLIENTE]]</f>
        <v>0</v>
      </c>
      <c r="AH935" s="44"/>
      <c r="AI935" s="66"/>
      <c r="AJ935" s="66"/>
      <c r="AK935" s="66"/>
      <c r="AL935" s="66"/>
      <c r="AM935" s="66"/>
      <c r="AN935" s="83"/>
      <c r="AO935" s="83"/>
      <c r="AP935" s="83"/>
      <c r="AQ935" s="66"/>
      <c r="AR935" s="66"/>
      <c r="AS935" s="66"/>
      <c r="AT935" s="81"/>
      <c r="AU935" s="81"/>
      <c r="AV935" s="81"/>
      <c r="AW935" s="81"/>
      <c r="AX935" s="83">
        <f>SUM(Prog_23[[#This Row],[ADIANTAMENTO]]+Prog_23[[#This Row],[SALDO]]+Prog_23[[#This Row],[MARGEM]]+Prog_23[[#This Row],[ESTADIA 1]])</f>
        <v>0</v>
      </c>
      <c r="AY9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35" s="81"/>
      <c r="BA935" s="81"/>
      <c r="BB935" s="81">
        <f>Prog_23[[#This Row],[VLR NF]]*0.1%</f>
        <v>0</v>
      </c>
      <c r="BC935" s="81">
        <f>Prog_23[[#This Row],[VLR NF]]*0.05%</f>
        <v>0</v>
      </c>
      <c r="BD935" s="81"/>
      <c r="BE935" s="81"/>
      <c r="BF935" s="81"/>
      <c r="BG935" s="81"/>
      <c r="BH935" s="81"/>
      <c r="BI935" s="81"/>
      <c r="BJ935" s="81"/>
      <c r="BK935" s="81"/>
      <c r="BL935" s="81"/>
      <c r="BM935" s="81"/>
      <c r="BN935" s="66"/>
      <c r="BO935" s="66"/>
      <c r="BP935" s="66"/>
      <c r="BQ935" s="66" t="str">
        <f>PROPER(TEXT(Prog_23[[#This Row],[PROGRAMAÇÃO CLIENTE]],"mmm"))</f>
        <v>Jan</v>
      </c>
      <c r="BR935" s="66">
        <f>YEAR(Prog_23[[#This Row],[PROGRAMAÇÃO CLIENTE]])</f>
        <v>1900</v>
      </c>
    </row>
    <row r="936" spans="1:70" x14ac:dyDescent="0.25">
      <c r="A936" s="201">
        <f>Prog_23[[#This Row],[CONTEINER]]</f>
        <v>0</v>
      </c>
      <c r="B936" s="86"/>
      <c r="C9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36" s="44"/>
      <c r="E936" s="66"/>
      <c r="F936" s="66"/>
      <c r="G936" s="66"/>
      <c r="H936" s="44"/>
      <c r="I936" s="44"/>
      <c r="J936" s="66"/>
      <c r="K936" s="66"/>
      <c r="L936" s="66"/>
      <c r="M936" s="66"/>
      <c r="N936" s="66">
        <f>SUM(Prog_23[[#This Row],[TARA]]+Prog_23[[#This Row],[PESO]])</f>
        <v>0</v>
      </c>
      <c r="O936" s="44"/>
      <c r="P936" s="66"/>
      <c r="Q936" s="66"/>
      <c r="R936" s="66"/>
      <c r="S936" s="66"/>
      <c r="T936" s="138" t="str">
        <f>IFERROR(LOOKUP($S936,MOTORISTAS!$D$3:$D$916,MOTORISTAS!E$3:$E$916),"")</f>
        <v/>
      </c>
      <c r="U936" s="138" t="str">
        <f>IFERROR(LOOKUP($S936,MOTORISTAS!$D$3:$D$916,MOTORISTAS!F$3:$F$916),"")</f>
        <v/>
      </c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44"/>
      <c r="AG936" s="254">
        <f>Prog_23[[#This Row],[SAÍDA DO CLIENTE]]-Prog_23[[#This Row],[PROGRAMAÇÃO CLIENTE]]</f>
        <v>0</v>
      </c>
      <c r="AH936" s="44"/>
      <c r="AI936" s="66"/>
      <c r="AJ936" s="66"/>
      <c r="AK936" s="66"/>
      <c r="AL936" s="66"/>
      <c r="AM936" s="66"/>
      <c r="AN936" s="83"/>
      <c r="AO936" s="83"/>
      <c r="AP936" s="83"/>
      <c r="AQ936" s="66"/>
      <c r="AR936" s="66"/>
      <c r="AS936" s="66"/>
      <c r="AT936" s="81"/>
      <c r="AU936" s="81"/>
      <c r="AV936" s="81"/>
      <c r="AW936" s="81"/>
      <c r="AX936" s="83">
        <f>SUM(Prog_23[[#This Row],[ADIANTAMENTO]]+Prog_23[[#This Row],[SALDO]]+Prog_23[[#This Row],[MARGEM]]+Prog_23[[#This Row],[ESTADIA 1]])</f>
        <v>0</v>
      </c>
      <c r="AY9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36" s="81"/>
      <c r="BA936" s="81"/>
      <c r="BB936" s="81">
        <f>Prog_23[[#This Row],[VLR NF]]*0.1%</f>
        <v>0</v>
      </c>
      <c r="BC936" s="81">
        <f>Prog_23[[#This Row],[VLR NF]]*0.05%</f>
        <v>0</v>
      </c>
      <c r="BD936" s="81"/>
      <c r="BE936" s="81"/>
      <c r="BF936" s="81"/>
      <c r="BG936" s="81"/>
      <c r="BH936" s="81"/>
      <c r="BI936" s="81"/>
      <c r="BJ936" s="81"/>
      <c r="BK936" s="81"/>
      <c r="BL936" s="81"/>
      <c r="BM936" s="81"/>
      <c r="BN936" s="66"/>
      <c r="BO936" s="66"/>
      <c r="BP936" s="66"/>
      <c r="BQ936" s="66" t="str">
        <f>PROPER(TEXT(Prog_23[[#This Row],[PROGRAMAÇÃO CLIENTE]],"mmm"))</f>
        <v>Jan</v>
      </c>
      <c r="BR936" s="66">
        <f>YEAR(Prog_23[[#This Row],[PROGRAMAÇÃO CLIENTE]])</f>
        <v>1900</v>
      </c>
    </row>
    <row r="937" spans="1:70" x14ac:dyDescent="0.25">
      <c r="A937" s="200">
        <f>Prog_23[[#This Row],[CONTEINER]]</f>
        <v>0</v>
      </c>
      <c r="B937" s="86"/>
      <c r="C9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37" s="44"/>
      <c r="E937" s="66"/>
      <c r="F937" s="66"/>
      <c r="G937" s="66"/>
      <c r="H937" s="44"/>
      <c r="I937" s="44"/>
      <c r="J937" s="66"/>
      <c r="K937" s="66"/>
      <c r="L937" s="66"/>
      <c r="M937" s="66"/>
      <c r="N937" s="66">
        <f>SUM(Prog_23[[#This Row],[TARA]]+Prog_23[[#This Row],[PESO]])</f>
        <v>0</v>
      </c>
      <c r="O937" s="44"/>
      <c r="P937" s="66"/>
      <c r="Q937" s="66"/>
      <c r="R937" s="66"/>
      <c r="S937" s="66"/>
      <c r="T937" s="138" t="str">
        <f>IFERROR(LOOKUP($S937,MOTORISTAS!$D$3:$D$916,MOTORISTAS!E$3:$E$916),"")</f>
        <v/>
      </c>
      <c r="U937" s="138" t="str">
        <f>IFERROR(LOOKUP($S937,MOTORISTAS!$D$3:$D$916,MOTORISTAS!F$3:$F$916),"")</f>
        <v/>
      </c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44"/>
      <c r="AG937" s="254">
        <f>Prog_23[[#This Row],[SAÍDA DO CLIENTE]]-Prog_23[[#This Row],[PROGRAMAÇÃO CLIENTE]]</f>
        <v>0</v>
      </c>
      <c r="AH937" s="44"/>
      <c r="AI937" s="66"/>
      <c r="AJ937" s="66"/>
      <c r="AK937" s="66"/>
      <c r="AL937" s="66"/>
      <c r="AM937" s="66"/>
      <c r="AN937" s="83"/>
      <c r="AO937" s="83"/>
      <c r="AP937" s="83"/>
      <c r="AQ937" s="66"/>
      <c r="AR937" s="66"/>
      <c r="AS937" s="66"/>
      <c r="AT937" s="81"/>
      <c r="AU937" s="81"/>
      <c r="AV937" s="81"/>
      <c r="AW937" s="81"/>
      <c r="AX937" s="83">
        <f>SUM(Prog_23[[#This Row],[ADIANTAMENTO]]+Prog_23[[#This Row],[SALDO]]+Prog_23[[#This Row],[MARGEM]]+Prog_23[[#This Row],[ESTADIA 1]])</f>
        <v>0</v>
      </c>
      <c r="AY9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37" s="81"/>
      <c r="BA937" s="81"/>
      <c r="BB937" s="81">
        <f>Prog_23[[#This Row],[VLR NF]]*0.1%</f>
        <v>0</v>
      </c>
      <c r="BC937" s="81">
        <f>Prog_23[[#This Row],[VLR NF]]*0.05%</f>
        <v>0</v>
      </c>
      <c r="BD937" s="81"/>
      <c r="BE937" s="81"/>
      <c r="BF937" s="81"/>
      <c r="BG937" s="81"/>
      <c r="BH937" s="81"/>
      <c r="BI937" s="81"/>
      <c r="BJ937" s="81"/>
      <c r="BK937" s="81"/>
      <c r="BL937" s="81"/>
      <c r="BM937" s="81"/>
      <c r="BN937" s="66"/>
      <c r="BO937" s="66"/>
      <c r="BP937" s="66"/>
      <c r="BQ937" s="66" t="str">
        <f>PROPER(TEXT(Prog_23[[#This Row],[PROGRAMAÇÃO CLIENTE]],"mmm"))</f>
        <v>Jan</v>
      </c>
      <c r="BR937" s="66">
        <f>YEAR(Prog_23[[#This Row],[PROGRAMAÇÃO CLIENTE]])</f>
        <v>1900</v>
      </c>
    </row>
    <row r="938" spans="1:70" x14ac:dyDescent="0.25">
      <c r="A938" s="201">
        <f>Prog_23[[#This Row],[CONTEINER]]</f>
        <v>0</v>
      </c>
      <c r="B938" s="86"/>
      <c r="C9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38" s="44"/>
      <c r="E938" s="66"/>
      <c r="F938" s="66"/>
      <c r="G938" s="66"/>
      <c r="H938" s="44"/>
      <c r="I938" s="44"/>
      <c r="J938" s="66"/>
      <c r="K938" s="66"/>
      <c r="L938" s="66"/>
      <c r="M938" s="66"/>
      <c r="N938" s="66">
        <f>SUM(Prog_23[[#This Row],[TARA]]+Prog_23[[#This Row],[PESO]])</f>
        <v>0</v>
      </c>
      <c r="O938" s="44"/>
      <c r="P938" s="66"/>
      <c r="Q938" s="66"/>
      <c r="R938" s="66"/>
      <c r="S938" s="66"/>
      <c r="T938" s="138" t="str">
        <f>IFERROR(LOOKUP($S938,MOTORISTAS!$D$3:$D$916,MOTORISTAS!E$3:$E$916),"")</f>
        <v/>
      </c>
      <c r="U938" s="138" t="str">
        <f>IFERROR(LOOKUP($S938,MOTORISTAS!$D$3:$D$916,MOTORISTAS!F$3:$F$916),"")</f>
        <v/>
      </c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44"/>
      <c r="AG938" s="254">
        <f>Prog_23[[#This Row],[SAÍDA DO CLIENTE]]-Prog_23[[#This Row],[PROGRAMAÇÃO CLIENTE]]</f>
        <v>0</v>
      </c>
      <c r="AH938" s="44"/>
      <c r="AI938" s="66"/>
      <c r="AJ938" s="66"/>
      <c r="AK938" s="66"/>
      <c r="AL938" s="66"/>
      <c r="AM938" s="66"/>
      <c r="AN938" s="83"/>
      <c r="AO938" s="83"/>
      <c r="AP938" s="83"/>
      <c r="AQ938" s="66"/>
      <c r="AR938" s="66"/>
      <c r="AS938" s="66"/>
      <c r="AT938" s="81"/>
      <c r="AU938" s="81"/>
      <c r="AV938" s="81"/>
      <c r="AW938" s="81"/>
      <c r="AX938" s="83">
        <f>SUM(Prog_23[[#This Row],[ADIANTAMENTO]]+Prog_23[[#This Row],[SALDO]]+Prog_23[[#This Row],[MARGEM]]+Prog_23[[#This Row],[ESTADIA 1]])</f>
        <v>0</v>
      </c>
      <c r="AY9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38" s="81"/>
      <c r="BA938" s="81"/>
      <c r="BB938" s="81">
        <f>Prog_23[[#This Row],[VLR NF]]*0.1%</f>
        <v>0</v>
      </c>
      <c r="BC938" s="81">
        <f>Prog_23[[#This Row],[VLR NF]]*0.05%</f>
        <v>0</v>
      </c>
      <c r="BD938" s="81"/>
      <c r="BE938" s="81"/>
      <c r="BF938" s="81"/>
      <c r="BG938" s="81"/>
      <c r="BH938" s="81"/>
      <c r="BI938" s="81"/>
      <c r="BJ938" s="81"/>
      <c r="BK938" s="81"/>
      <c r="BL938" s="81"/>
      <c r="BM938" s="81"/>
      <c r="BN938" s="66"/>
      <c r="BO938" s="66"/>
      <c r="BP938" s="66"/>
      <c r="BQ938" s="66" t="str">
        <f>PROPER(TEXT(Prog_23[[#This Row],[PROGRAMAÇÃO CLIENTE]],"mmm"))</f>
        <v>Jan</v>
      </c>
      <c r="BR938" s="66">
        <f>YEAR(Prog_23[[#This Row],[PROGRAMAÇÃO CLIENTE]])</f>
        <v>1900</v>
      </c>
    </row>
    <row r="939" spans="1:70" x14ac:dyDescent="0.25">
      <c r="A939" s="200">
        <f>Prog_23[[#This Row],[CONTEINER]]</f>
        <v>0</v>
      </c>
      <c r="B939" s="86"/>
      <c r="C9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39" s="44"/>
      <c r="E939" s="66"/>
      <c r="F939" s="66"/>
      <c r="G939" s="66"/>
      <c r="H939" s="44"/>
      <c r="I939" s="44"/>
      <c r="J939" s="66"/>
      <c r="K939" s="66"/>
      <c r="L939" s="66"/>
      <c r="M939" s="66"/>
      <c r="N939" s="66">
        <f>SUM(Prog_23[[#This Row],[TARA]]+Prog_23[[#This Row],[PESO]])</f>
        <v>0</v>
      </c>
      <c r="O939" s="44"/>
      <c r="P939" s="66"/>
      <c r="Q939" s="66"/>
      <c r="R939" s="66"/>
      <c r="S939" s="66"/>
      <c r="T939" s="138" t="str">
        <f>IFERROR(LOOKUP($S939,MOTORISTAS!$D$3:$D$916,MOTORISTAS!E$3:$E$916),"")</f>
        <v/>
      </c>
      <c r="U939" s="138" t="str">
        <f>IFERROR(LOOKUP($S939,MOTORISTAS!$D$3:$D$916,MOTORISTAS!F$3:$F$916),"")</f>
        <v/>
      </c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44"/>
      <c r="AG939" s="254">
        <f>Prog_23[[#This Row],[SAÍDA DO CLIENTE]]-Prog_23[[#This Row],[PROGRAMAÇÃO CLIENTE]]</f>
        <v>0</v>
      </c>
      <c r="AH939" s="44"/>
      <c r="AI939" s="66"/>
      <c r="AJ939" s="66"/>
      <c r="AK939" s="66"/>
      <c r="AL939" s="66"/>
      <c r="AM939" s="66"/>
      <c r="AN939" s="83"/>
      <c r="AO939" s="83"/>
      <c r="AP939" s="83"/>
      <c r="AQ939" s="66"/>
      <c r="AR939" s="66"/>
      <c r="AS939" s="66"/>
      <c r="AT939" s="81"/>
      <c r="AU939" s="81"/>
      <c r="AV939" s="81"/>
      <c r="AW939" s="81"/>
      <c r="AX939" s="83">
        <f>SUM(Prog_23[[#This Row],[ADIANTAMENTO]]+Prog_23[[#This Row],[SALDO]]+Prog_23[[#This Row],[MARGEM]]+Prog_23[[#This Row],[ESTADIA 1]])</f>
        <v>0</v>
      </c>
      <c r="AY9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39" s="81"/>
      <c r="BA939" s="81"/>
      <c r="BB939" s="81">
        <f>Prog_23[[#This Row],[VLR NF]]*0.1%</f>
        <v>0</v>
      </c>
      <c r="BC939" s="81">
        <f>Prog_23[[#This Row],[VLR NF]]*0.05%</f>
        <v>0</v>
      </c>
      <c r="BD939" s="81"/>
      <c r="BE939" s="81"/>
      <c r="BF939" s="81"/>
      <c r="BG939" s="81"/>
      <c r="BH939" s="81"/>
      <c r="BI939" s="81"/>
      <c r="BJ939" s="81"/>
      <c r="BK939" s="81"/>
      <c r="BL939" s="81"/>
      <c r="BM939" s="81"/>
      <c r="BN939" s="66"/>
      <c r="BO939" s="66"/>
      <c r="BP939" s="66"/>
      <c r="BQ939" s="66" t="str">
        <f>PROPER(TEXT(Prog_23[[#This Row],[PROGRAMAÇÃO CLIENTE]],"mmm"))</f>
        <v>Jan</v>
      </c>
      <c r="BR939" s="66">
        <f>YEAR(Prog_23[[#This Row],[PROGRAMAÇÃO CLIENTE]])</f>
        <v>1900</v>
      </c>
    </row>
    <row r="940" spans="1:70" x14ac:dyDescent="0.25">
      <c r="A940" s="201">
        <f>Prog_23[[#This Row],[CONTEINER]]</f>
        <v>0</v>
      </c>
      <c r="B940" s="86"/>
      <c r="C9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40" s="44"/>
      <c r="E940" s="66"/>
      <c r="F940" s="66"/>
      <c r="G940" s="66"/>
      <c r="H940" s="44"/>
      <c r="I940" s="44"/>
      <c r="J940" s="66"/>
      <c r="K940" s="66"/>
      <c r="L940" s="66"/>
      <c r="M940" s="66"/>
      <c r="N940" s="66">
        <f>SUM(Prog_23[[#This Row],[TARA]]+Prog_23[[#This Row],[PESO]])</f>
        <v>0</v>
      </c>
      <c r="O940" s="44"/>
      <c r="P940" s="66"/>
      <c r="Q940" s="66"/>
      <c r="R940" s="66"/>
      <c r="S940" s="66"/>
      <c r="T940" s="138" t="str">
        <f>IFERROR(LOOKUP($S940,MOTORISTAS!$D$3:$D$916,MOTORISTAS!E$3:$E$916),"")</f>
        <v/>
      </c>
      <c r="U940" s="138" t="str">
        <f>IFERROR(LOOKUP($S940,MOTORISTAS!$D$3:$D$916,MOTORISTAS!F$3:$F$916),"")</f>
        <v/>
      </c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44"/>
      <c r="AG940" s="254">
        <f>Prog_23[[#This Row],[SAÍDA DO CLIENTE]]-Prog_23[[#This Row],[PROGRAMAÇÃO CLIENTE]]</f>
        <v>0</v>
      </c>
      <c r="AH940" s="44"/>
      <c r="AI940" s="66"/>
      <c r="AJ940" s="66"/>
      <c r="AK940" s="66"/>
      <c r="AL940" s="66"/>
      <c r="AM940" s="66"/>
      <c r="AN940" s="83"/>
      <c r="AO940" s="83"/>
      <c r="AP940" s="83"/>
      <c r="AQ940" s="66"/>
      <c r="AR940" s="66"/>
      <c r="AS940" s="66"/>
      <c r="AT940" s="81"/>
      <c r="AU940" s="81"/>
      <c r="AV940" s="81"/>
      <c r="AW940" s="81"/>
      <c r="AX940" s="83">
        <f>SUM(Prog_23[[#This Row],[ADIANTAMENTO]]+Prog_23[[#This Row],[SALDO]]+Prog_23[[#This Row],[MARGEM]]+Prog_23[[#This Row],[ESTADIA 1]])</f>
        <v>0</v>
      </c>
      <c r="AY9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40" s="81"/>
      <c r="BA940" s="81"/>
      <c r="BB940" s="81">
        <f>Prog_23[[#This Row],[VLR NF]]*0.1%</f>
        <v>0</v>
      </c>
      <c r="BC940" s="81">
        <f>Prog_23[[#This Row],[VLR NF]]*0.05%</f>
        <v>0</v>
      </c>
      <c r="BD940" s="81"/>
      <c r="BE940" s="81"/>
      <c r="BF940" s="81"/>
      <c r="BG940" s="81"/>
      <c r="BH940" s="81"/>
      <c r="BI940" s="81"/>
      <c r="BJ940" s="81"/>
      <c r="BK940" s="81"/>
      <c r="BL940" s="81"/>
      <c r="BM940" s="81"/>
      <c r="BN940" s="66"/>
      <c r="BO940" s="66"/>
      <c r="BP940" s="66"/>
      <c r="BQ940" s="66" t="str">
        <f>PROPER(TEXT(Prog_23[[#This Row],[PROGRAMAÇÃO CLIENTE]],"mmm"))</f>
        <v>Jan</v>
      </c>
      <c r="BR940" s="66">
        <f>YEAR(Prog_23[[#This Row],[PROGRAMAÇÃO CLIENTE]])</f>
        <v>1900</v>
      </c>
    </row>
    <row r="941" spans="1:70" x14ac:dyDescent="0.25">
      <c r="A941" s="200">
        <f>Prog_23[[#This Row],[CONTEINER]]</f>
        <v>0</v>
      </c>
      <c r="B941" s="86"/>
      <c r="C9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41" s="44"/>
      <c r="E941" s="66"/>
      <c r="F941" s="66"/>
      <c r="G941" s="66"/>
      <c r="H941" s="44"/>
      <c r="I941" s="44"/>
      <c r="J941" s="66"/>
      <c r="K941" s="66"/>
      <c r="L941" s="66"/>
      <c r="M941" s="66"/>
      <c r="N941" s="66">
        <f>SUM(Prog_23[[#This Row],[TARA]]+Prog_23[[#This Row],[PESO]])</f>
        <v>0</v>
      </c>
      <c r="O941" s="44"/>
      <c r="P941" s="66"/>
      <c r="Q941" s="66"/>
      <c r="R941" s="66"/>
      <c r="S941" s="66"/>
      <c r="T941" s="138" t="str">
        <f>IFERROR(LOOKUP($S941,MOTORISTAS!$D$3:$D$916,MOTORISTAS!E$3:$E$916),"")</f>
        <v/>
      </c>
      <c r="U941" s="138" t="str">
        <f>IFERROR(LOOKUP($S941,MOTORISTAS!$D$3:$D$916,MOTORISTAS!F$3:$F$916),"")</f>
        <v/>
      </c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44"/>
      <c r="AG941" s="254">
        <f>Prog_23[[#This Row],[SAÍDA DO CLIENTE]]-Prog_23[[#This Row],[PROGRAMAÇÃO CLIENTE]]</f>
        <v>0</v>
      </c>
      <c r="AH941" s="44"/>
      <c r="AI941" s="66"/>
      <c r="AJ941" s="66"/>
      <c r="AK941" s="66"/>
      <c r="AL941" s="66"/>
      <c r="AM941" s="66"/>
      <c r="AN941" s="83"/>
      <c r="AO941" s="83"/>
      <c r="AP941" s="83"/>
      <c r="AQ941" s="66"/>
      <c r="AR941" s="66"/>
      <c r="AS941" s="66"/>
      <c r="AT941" s="81"/>
      <c r="AU941" s="81"/>
      <c r="AV941" s="81"/>
      <c r="AW941" s="81"/>
      <c r="AX941" s="83">
        <f>SUM(Prog_23[[#This Row],[ADIANTAMENTO]]+Prog_23[[#This Row],[SALDO]]+Prog_23[[#This Row],[MARGEM]]+Prog_23[[#This Row],[ESTADIA 1]])</f>
        <v>0</v>
      </c>
      <c r="AY9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41" s="81"/>
      <c r="BA941" s="81"/>
      <c r="BB941" s="81">
        <f>Prog_23[[#This Row],[VLR NF]]*0.1%</f>
        <v>0</v>
      </c>
      <c r="BC941" s="81">
        <f>Prog_23[[#This Row],[VLR NF]]*0.05%</f>
        <v>0</v>
      </c>
      <c r="BD941" s="81"/>
      <c r="BE941" s="81"/>
      <c r="BF941" s="81"/>
      <c r="BG941" s="81"/>
      <c r="BH941" s="81"/>
      <c r="BI941" s="81"/>
      <c r="BJ941" s="81"/>
      <c r="BK941" s="81"/>
      <c r="BL941" s="81"/>
      <c r="BM941" s="81"/>
      <c r="BN941" s="66"/>
      <c r="BO941" s="66"/>
      <c r="BP941" s="66"/>
      <c r="BQ941" s="66" t="str">
        <f>PROPER(TEXT(Prog_23[[#This Row],[PROGRAMAÇÃO CLIENTE]],"mmm"))</f>
        <v>Jan</v>
      </c>
      <c r="BR941" s="66">
        <f>YEAR(Prog_23[[#This Row],[PROGRAMAÇÃO CLIENTE]])</f>
        <v>1900</v>
      </c>
    </row>
    <row r="942" spans="1:70" x14ac:dyDescent="0.25">
      <c r="A942" s="201">
        <f>Prog_23[[#This Row],[CONTEINER]]</f>
        <v>0</v>
      </c>
      <c r="B942" s="86"/>
      <c r="C9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42" s="44"/>
      <c r="E942" s="66"/>
      <c r="F942" s="66"/>
      <c r="G942" s="66"/>
      <c r="H942" s="44"/>
      <c r="I942" s="44"/>
      <c r="J942" s="66"/>
      <c r="K942" s="66"/>
      <c r="L942" s="66"/>
      <c r="M942" s="66"/>
      <c r="N942" s="66">
        <f>SUM(Prog_23[[#This Row],[TARA]]+Prog_23[[#This Row],[PESO]])</f>
        <v>0</v>
      </c>
      <c r="O942" s="44"/>
      <c r="P942" s="66"/>
      <c r="Q942" s="66"/>
      <c r="R942" s="66"/>
      <c r="S942" s="66"/>
      <c r="T942" s="138" t="str">
        <f>IFERROR(LOOKUP($S942,MOTORISTAS!$D$3:$D$916,MOTORISTAS!E$3:$E$916),"")</f>
        <v/>
      </c>
      <c r="U942" s="138" t="str">
        <f>IFERROR(LOOKUP($S942,MOTORISTAS!$D$3:$D$916,MOTORISTAS!F$3:$F$916),"")</f>
        <v/>
      </c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44"/>
      <c r="AG942" s="254">
        <f>Prog_23[[#This Row],[SAÍDA DO CLIENTE]]-Prog_23[[#This Row],[PROGRAMAÇÃO CLIENTE]]</f>
        <v>0</v>
      </c>
      <c r="AH942" s="44"/>
      <c r="AI942" s="66"/>
      <c r="AJ942" s="66"/>
      <c r="AK942" s="66"/>
      <c r="AL942" s="66"/>
      <c r="AM942" s="66"/>
      <c r="AN942" s="83"/>
      <c r="AO942" s="83"/>
      <c r="AP942" s="83"/>
      <c r="AQ942" s="66"/>
      <c r="AR942" s="66"/>
      <c r="AS942" s="66"/>
      <c r="AT942" s="81"/>
      <c r="AU942" s="81"/>
      <c r="AV942" s="81"/>
      <c r="AW942" s="81"/>
      <c r="AX942" s="83">
        <f>SUM(Prog_23[[#This Row],[ADIANTAMENTO]]+Prog_23[[#This Row],[SALDO]]+Prog_23[[#This Row],[MARGEM]]+Prog_23[[#This Row],[ESTADIA 1]])</f>
        <v>0</v>
      </c>
      <c r="AY9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42" s="81"/>
      <c r="BA942" s="81"/>
      <c r="BB942" s="81">
        <f>Prog_23[[#This Row],[VLR NF]]*0.1%</f>
        <v>0</v>
      </c>
      <c r="BC942" s="81">
        <f>Prog_23[[#This Row],[VLR NF]]*0.05%</f>
        <v>0</v>
      </c>
      <c r="BD942" s="81"/>
      <c r="BE942" s="81"/>
      <c r="BF942" s="81"/>
      <c r="BG942" s="81"/>
      <c r="BH942" s="81"/>
      <c r="BI942" s="81"/>
      <c r="BJ942" s="81"/>
      <c r="BK942" s="81"/>
      <c r="BL942" s="81"/>
      <c r="BM942" s="81"/>
      <c r="BN942" s="66"/>
      <c r="BO942" s="66"/>
      <c r="BP942" s="66"/>
      <c r="BQ942" s="66" t="str">
        <f>PROPER(TEXT(Prog_23[[#This Row],[PROGRAMAÇÃO CLIENTE]],"mmm"))</f>
        <v>Jan</v>
      </c>
      <c r="BR942" s="66">
        <f>YEAR(Prog_23[[#This Row],[PROGRAMAÇÃO CLIENTE]])</f>
        <v>1900</v>
      </c>
    </row>
    <row r="943" spans="1:70" x14ac:dyDescent="0.25">
      <c r="A943" s="200">
        <f>Prog_23[[#This Row],[CONTEINER]]</f>
        <v>0</v>
      </c>
      <c r="B943" s="86"/>
      <c r="C9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43" s="44"/>
      <c r="E943" s="66"/>
      <c r="F943" s="66"/>
      <c r="G943" s="66"/>
      <c r="H943" s="44"/>
      <c r="I943" s="44"/>
      <c r="J943" s="66"/>
      <c r="K943" s="66"/>
      <c r="L943" s="66"/>
      <c r="M943" s="66"/>
      <c r="N943" s="66">
        <f>SUM(Prog_23[[#This Row],[TARA]]+Prog_23[[#This Row],[PESO]])</f>
        <v>0</v>
      </c>
      <c r="O943" s="44"/>
      <c r="P943" s="66"/>
      <c r="Q943" s="66"/>
      <c r="R943" s="66"/>
      <c r="S943" s="66"/>
      <c r="T943" s="138" t="str">
        <f>IFERROR(LOOKUP($S943,MOTORISTAS!$D$3:$D$916,MOTORISTAS!E$3:$E$916),"")</f>
        <v/>
      </c>
      <c r="U943" s="138" t="str">
        <f>IFERROR(LOOKUP($S943,MOTORISTAS!$D$3:$D$916,MOTORISTAS!F$3:$F$916),"")</f>
        <v/>
      </c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44"/>
      <c r="AG943" s="254">
        <f>Prog_23[[#This Row],[SAÍDA DO CLIENTE]]-Prog_23[[#This Row],[PROGRAMAÇÃO CLIENTE]]</f>
        <v>0</v>
      </c>
      <c r="AH943" s="44"/>
      <c r="AI943" s="66"/>
      <c r="AJ943" s="66"/>
      <c r="AK943" s="66"/>
      <c r="AL943" s="66"/>
      <c r="AM943" s="66"/>
      <c r="AN943" s="83"/>
      <c r="AO943" s="83"/>
      <c r="AP943" s="83"/>
      <c r="AQ943" s="66"/>
      <c r="AR943" s="66"/>
      <c r="AS943" s="66"/>
      <c r="AT943" s="81"/>
      <c r="AU943" s="81"/>
      <c r="AV943" s="81"/>
      <c r="AW943" s="81"/>
      <c r="AX943" s="83">
        <f>SUM(Prog_23[[#This Row],[ADIANTAMENTO]]+Prog_23[[#This Row],[SALDO]]+Prog_23[[#This Row],[MARGEM]]+Prog_23[[#This Row],[ESTADIA 1]])</f>
        <v>0</v>
      </c>
      <c r="AY9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43" s="81"/>
      <c r="BA943" s="81"/>
      <c r="BB943" s="81">
        <f>Prog_23[[#This Row],[VLR NF]]*0.1%</f>
        <v>0</v>
      </c>
      <c r="BC943" s="81">
        <f>Prog_23[[#This Row],[VLR NF]]*0.05%</f>
        <v>0</v>
      </c>
      <c r="BD943" s="81"/>
      <c r="BE943" s="81"/>
      <c r="BF943" s="81"/>
      <c r="BG943" s="81"/>
      <c r="BH943" s="81"/>
      <c r="BI943" s="81"/>
      <c r="BJ943" s="81"/>
      <c r="BK943" s="81"/>
      <c r="BL943" s="81"/>
      <c r="BM943" s="81"/>
      <c r="BN943" s="66"/>
      <c r="BO943" s="66"/>
      <c r="BP943" s="66"/>
      <c r="BQ943" s="66" t="str">
        <f>PROPER(TEXT(Prog_23[[#This Row],[PROGRAMAÇÃO CLIENTE]],"mmm"))</f>
        <v>Jan</v>
      </c>
      <c r="BR943" s="66">
        <f>YEAR(Prog_23[[#This Row],[PROGRAMAÇÃO CLIENTE]])</f>
        <v>1900</v>
      </c>
    </row>
    <row r="944" spans="1:70" x14ac:dyDescent="0.25">
      <c r="A944" s="201">
        <f>Prog_23[[#This Row],[CONTEINER]]</f>
        <v>0</v>
      </c>
      <c r="B944" s="86"/>
      <c r="C9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44" s="44"/>
      <c r="E944" s="66"/>
      <c r="F944" s="66"/>
      <c r="G944" s="66"/>
      <c r="H944" s="44"/>
      <c r="I944" s="44"/>
      <c r="J944" s="66"/>
      <c r="K944" s="66"/>
      <c r="L944" s="66"/>
      <c r="M944" s="66"/>
      <c r="N944" s="66">
        <f>SUM(Prog_23[[#This Row],[TARA]]+Prog_23[[#This Row],[PESO]])</f>
        <v>0</v>
      </c>
      <c r="O944" s="44"/>
      <c r="P944" s="66"/>
      <c r="Q944" s="66"/>
      <c r="R944" s="66"/>
      <c r="S944" s="66"/>
      <c r="T944" s="138" t="str">
        <f>IFERROR(LOOKUP($S944,MOTORISTAS!$D$3:$D$916,MOTORISTAS!E$3:$E$916),"")</f>
        <v/>
      </c>
      <c r="U944" s="138" t="str">
        <f>IFERROR(LOOKUP($S944,MOTORISTAS!$D$3:$D$916,MOTORISTAS!F$3:$F$916),"")</f>
        <v/>
      </c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44"/>
      <c r="AG944" s="254">
        <f>Prog_23[[#This Row],[SAÍDA DO CLIENTE]]-Prog_23[[#This Row],[PROGRAMAÇÃO CLIENTE]]</f>
        <v>0</v>
      </c>
      <c r="AH944" s="44"/>
      <c r="AI944" s="66"/>
      <c r="AJ944" s="66"/>
      <c r="AK944" s="66"/>
      <c r="AL944" s="66"/>
      <c r="AM944" s="66"/>
      <c r="AN944" s="83"/>
      <c r="AO944" s="83"/>
      <c r="AP944" s="83"/>
      <c r="AQ944" s="66"/>
      <c r="AR944" s="66"/>
      <c r="AS944" s="66"/>
      <c r="AT944" s="81"/>
      <c r="AU944" s="81"/>
      <c r="AV944" s="81"/>
      <c r="AW944" s="81"/>
      <c r="AX944" s="83">
        <f>SUM(Prog_23[[#This Row],[ADIANTAMENTO]]+Prog_23[[#This Row],[SALDO]]+Prog_23[[#This Row],[MARGEM]]+Prog_23[[#This Row],[ESTADIA 1]])</f>
        <v>0</v>
      </c>
      <c r="AY9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44" s="81"/>
      <c r="BA944" s="81"/>
      <c r="BB944" s="81">
        <f>Prog_23[[#This Row],[VLR NF]]*0.1%</f>
        <v>0</v>
      </c>
      <c r="BC944" s="81">
        <f>Prog_23[[#This Row],[VLR NF]]*0.05%</f>
        <v>0</v>
      </c>
      <c r="BD944" s="81"/>
      <c r="BE944" s="81"/>
      <c r="BF944" s="81"/>
      <c r="BG944" s="81"/>
      <c r="BH944" s="81"/>
      <c r="BI944" s="81"/>
      <c r="BJ944" s="81"/>
      <c r="BK944" s="81"/>
      <c r="BL944" s="81"/>
      <c r="BM944" s="81"/>
      <c r="BN944" s="66"/>
      <c r="BO944" s="66"/>
      <c r="BP944" s="66"/>
      <c r="BQ944" s="66" t="str">
        <f>PROPER(TEXT(Prog_23[[#This Row],[PROGRAMAÇÃO CLIENTE]],"mmm"))</f>
        <v>Jan</v>
      </c>
      <c r="BR944" s="66">
        <f>YEAR(Prog_23[[#This Row],[PROGRAMAÇÃO CLIENTE]])</f>
        <v>1900</v>
      </c>
    </row>
    <row r="945" spans="1:70" x14ac:dyDescent="0.25">
      <c r="A945" s="200">
        <f>Prog_23[[#This Row],[CONTEINER]]</f>
        <v>0</v>
      </c>
      <c r="B945" s="86"/>
      <c r="C9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45" s="44"/>
      <c r="E945" s="66"/>
      <c r="F945" s="66"/>
      <c r="G945" s="66"/>
      <c r="H945" s="44"/>
      <c r="I945" s="44"/>
      <c r="J945" s="66"/>
      <c r="K945" s="66"/>
      <c r="L945" s="66"/>
      <c r="M945" s="66"/>
      <c r="N945" s="66">
        <f>SUM(Prog_23[[#This Row],[TARA]]+Prog_23[[#This Row],[PESO]])</f>
        <v>0</v>
      </c>
      <c r="O945" s="44"/>
      <c r="P945" s="66"/>
      <c r="Q945" s="66"/>
      <c r="R945" s="66"/>
      <c r="S945" s="66"/>
      <c r="T945" s="138" t="str">
        <f>IFERROR(LOOKUP($S945,MOTORISTAS!$D$3:$D$916,MOTORISTAS!E$3:$E$916),"")</f>
        <v/>
      </c>
      <c r="U945" s="138" t="str">
        <f>IFERROR(LOOKUP($S945,MOTORISTAS!$D$3:$D$916,MOTORISTAS!F$3:$F$916),"")</f>
        <v/>
      </c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44"/>
      <c r="AG945" s="254">
        <f>Prog_23[[#This Row],[SAÍDA DO CLIENTE]]-Prog_23[[#This Row],[PROGRAMAÇÃO CLIENTE]]</f>
        <v>0</v>
      </c>
      <c r="AH945" s="44"/>
      <c r="AI945" s="66"/>
      <c r="AJ945" s="66"/>
      <c r="AK945" s="66"/>
      <c r="AL945" s="66"/>
      <c r="AM945" s="66"/>
      <c r="AN945" s="83"/>
      <c r="AO945" s="83"/>
      <c r="AP945" s="83"/>
      <c r="AQ945" s="66"/>
      <c r="AR945" s="66"/>
      <c r="AS945" s="66"/>
      <c r="AT945" s="81"/>
      <c r="AU945" s="81"/>
      <c r="AV945" s="81"/>
      <c r="AW945" s="81"/>
      <c r="AX945" s="83">
        <f>SUM(Prog_23[[#This Row],[ADIANTAMENTO]]+Prog_23[[#This Row],[SALDO]]+Prog_23[[#This Row],[MARGEM]]+Prog_23[[#This Row],[ESTADIA 1]])</f>
        <v>0</v>
      </c>
      <c r="AY9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45" s="81"/>
      <c r="BA945" s="81"/>
      <c r="BB945" s="81">
        <f>Prog_23[[#This Row],[VLR NF]]*0.1%</f>
        <v>0</v>
      </c>
      <c r="BC945" s="81">
        <f>Prog_23[[#This Row],[VLR NF]]*0.05%</f>
        <v>0</v>
      </c>
      <c r="BD945" s="81"/>
      <c r="BE945" s="81"/>
      <c r="BF945" s="81"/>
      <c r="BG945" s="81"/>
      <c r="BH945" s="81"/>
      <c r="BI945" s="81"/>
      <c r="BJ945" s="81"/>
      <c r="BK945" s="81"/>
      <c r="BL945" s="81"/>
      <c r="BM945" s="81"/>
      <c r="BN945" s="66"/>
      <c r="BO945" s="66"/>
      <c r="BP945" s="66"/>
      <c r="BQ945" s="66" t="str">
        <f>PROPER(TEXT(Prog_23[[#This Row],[PROGRAMAÇÃO CLIENTE]],"mmm"))</f>
        <v>Jan</v>
      </c>
      <c r="BR945" s="66">
        <f>YEAR(Prog_23[[#This Row],[PROGRAMAÇÃO CLIENTE]])</f>
        <v>1900</v>
      </c>
    </row>
    <row r="946" spans="1:70" x14ac:dyDescent="0.25">
      <c r="A946" s="201">
        <f>Prog_23[[#This Row],[CONTEINER]]</f>
        <v>0</v>
      </c>
      <c r="B946" s="86"/>
      <c r="C9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46" s="44"/>
      <c r="E946" s="66"/>
      <c r="F946" s="66"/>
      <c r="G946" s="66"/>
      <c r="H946" s="44"/>
      <c r="I946" s="44"/>
      <c r="J946" s="66"/>
      <c r="K946" s="66"/>
      <c r="L946" s="66"/>
      <c r="M946" s="66"/>
      <c r="N946" s="66">
        <f>SUM(Prog_23[[#This Row],[TARA]]+Prog_23[[#This Row],[PESO]])</f>
        <v>0</v>
      </c>
      <c r="O946" s="44"/>
      <c r="P946" s="66"/>
      <c r="Q946" s="66"/>
      <c r="R946" s="66"/>
      <c r="S946" s="66"/>
      <c r="T946" s="138" t="str">
        <f>IFERROR(LOOKUP($S946,MOTORISTAS!$D$3:$D$916,MOTORISTAS!E$3:$E$916),"")</f>
        <v/>
      </c>
      <c r="U946" s="138" t="str">
        <f>IFERROR(LOOKUP($S946,MOTORISTAS!$D$3:$D$916,MOTORISTAS!F$3:$F$916),"")</f>
        <v/>
      </c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44"/>
      <c r="AG946" s="254">
        <f>Prog_23[[#This Row],[SAÍDA DO CLIENTE]]-Prog_23[[#This Row],[PROGRAMAÇÃO CLIENTE]]</f>
        <v>0</v>
      </c>
      <c r="AH946" s="44"/>
      <c r="AI946" s="66"/>
      <c r="AJ946" s="66"/>
      <c r="AK946" s="66"/>
      <c r="AL946" s="66"/>
      <c r="AM946" s="66"/>
      <c r="AN946" s="83"/>
      <c r="AO946" s="83"/>
      <c r="AP946" s="83"/>
      <c r="AQ946" s="66"/>
      <c r="AR946" s="66"/>
      <c r="AS946" s="66"/>
      <c r="AT946" s="81"/>
      <c r="AU946" s="81"/>
      <c r="AV946" s="81"/>
      <c r="AW946" s="81"/>
      <c r="AX946" s="83">
        <f>SUM(Prog_23[[#This Row],[ADIANTAMENTO]]+Prog_23[[#This Row],[SALDO]]+Prog_23[[#This Row],[MARGEM]]+Prog_23[[#This Row],[ESTADIA 1]])</f>
        <v>0</v>
      </c>
      <c r="AY9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46" s="81"/>
      <c r="BA946" s="81"/>
      <c r="BB946" s="81">
        <f>Prog_23[[#This Row],[VLR NF]]*0.1%</f>
        <v>0</v>
      </c>
      <c r="BC946" s="81">
        <f>Prog_23[[#This Row],[VLR NF]]*0.05%</f>
        <v>0</v>
      </c>
      <c r="BD946" s="81"/>
      <c r="BE946" s="81"/>
      <c r="BF946" s="81"/>
      <c r="BG946" s="81"/>
      <c r="BH946" s="81"/>
      <c r="BI946" s="81"/>
      <c r="BJ946" s="81"/>
      <c r="BK946" s="81"/>
      <c r="BL946" s="81"/>
      <c r="BM946" s="81"/>
      <c r="BN946" s="66"/>
      <c r="BO946" s="66"/>
      <c r="BP946" s="66"/>
      <c r="BQ946" s="66" t="str">
        <f>PROPER(TEXT(Prog_23[[#This Row],[PROGRAMAÇÃO CLIENTE]],"mmm"))</f>
        <v>Jan</v>
      </c>
      <c r="BR946" s="66">
        <f>YEAR(Prog_23[[#This Row],[PROGRAMAÇÃO CLIENTE]])</f>
        <v>1900</v>
      </c>
    </row>
    <row r="947" spans="1:70" x14ac:dyDescent="0.25">
      <c r="A947" s="200">
        <f>Prog_23[[#This Row],[CONTEINER]]</f>
        <v>0</v>
      </c>
      <c r="B947" s="86"/>
      <c r="C9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47" s="44"/>
      <c r="E947" s="66"/>
      <c r="F947" s="66"/>
      <c r="G947" s="66"/>
      <c r="H947" s="44"/>
      <c r="I947" s="44"/>
      <c r="J947" s="66"/>
      <c r="K947" s="66"/>
      <c r="L947" s="66"/>
      <c r="M947" s="66"/>
      <c r="N947" s="66">
        <f>SUM(Prog_23[[#This Row],[TARA]]+Prog_23[[#This Row],[PESO]])</f>
        <v>0</v>
      </c>
      <c r="O947" s="44"/>
      <c r="P947" s="66"/>
      <c r="Q947" s="66"/>
      <c r="R947" s="66"/>
      <c r="S947" s="66"/>
      <c r="T947" s="138" t="str">
        <f>IFERROR(LOOKUP($S947,MOTORISTAS!$D$3:$D$916,MOTORISTAS!E$3:$E$916),"")</f>
        <v/>
      </c>
      <c r="U947" s="138" t="str">
        <f>IFERROR(LOOKUP($S947,MOTORISTAS!$D$3:$D$916,MOTORISTAS!F$3:$F$916),"")</f>
        <v/>
      </c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44"/>
      <c r="AG947" s="254">
        <f>Prog_23[[#This Row],[SAÍDA DO CLIENTE]]-Prog_23[[#This Row],[PROGRAMAÇÃO CLIENTE]]</f>
        <v>0</v>
      </c>
      <c r="AH947" s="44"/>
      <c r="AI947" s="66"/>
      <c r="AJ947" s="66"/>
      <c r="AK947" s="66"/>
      <c r="AL947" s="66"/>
      <c r="AM947" s="66"/>
      <c r="AN947" s="83"/>
      <c r="AO947" s="83"/>
      <c r="AP947" s="83"/>
      <c r="AQ947" s="66"/>
      <c r="AR947" s="66"/>
      <c r="AS947" s="66"/>
      <c r="AT947" s="81"/>
      <c r="AU947" s="81"/>
      <c r="AV947" s="81"/>
      <c r="AW947" s="81"/>
      <c r="AX947" s="83">
        <f>SUM(Prog_23[[#This Row],[ADIANTAMENTO]]+Prog_23[[#This Row],[SALDO]]+Prog_23[[#This Row],[MARGEM]]+Prog_23[[#This Row],[ESTADIA 1]])</f>
        <v>0</v>
      </c>
      <c r="AY9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47" s="81"/>
      <c r="BA947" s="81"/>
      <c r="BB947" s="81">
        <f>Prog_23[[#This Row],[VLR NF]]*0.1%</f>
        <v>0</v>
      </c>
      <c r="BC947" s="81">
        <f>Prog_23[[#This Row],[VLR NF]]*0.05%</f>
        <v>0</v>
      </c>
      <c r="BD947" s="81"/>
      <c r="BE947" s="81"/>
      <c r="BF947" s="81"/>
      <c r="BG947" s="81"/>
      <c r="BH947" s="81"/>
      <c r="BI947" s="81"/>
      <c r="BJ947" s="81"/>
      <c r="BK947" s="81"/>
      <c r="BL947" s="81"/>
      <c r="BM947" s="81"/>
      <c r="BN947" s="66"/>
      <c r="BO947" s="66"/>
      <c r="BP947" s="66"/>
      <c r="BQ947" s="66" t="str">
        <f>PROPER(TEXT(Prog_23[[#This Row],[PROGRAMAÇÃO CLIENTE]],"mmm"))</f>
        <v>Jan</v>
      </c>
      <c r="BR947" s="66">
        <f>YEAR(Prog_23[[#This Row],[PROGRAMAÇÃO CLIENTE]])</f>
        <v>1900</v>
      </c>
    </row>
    <row r="948" spans="1:70" x14ac:dyDescent="0.25">
      <c r="A948" s="201">
        <f>Prog_23[[#This Row],[CONTEINER]]</f>
        <v>0</v>
      </c>
      <c r="B948" s="86"/>
      <c r="C9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48" s="44"/>
      <c r="E948" s="66"/>
      <c r="F948" s="66"/>
      <c r="G948" s="66"/>
      <c r="H948" s="44"/>
      <c r="I948" s="44"/>
      <c r="J948" s="66"/>
      <c r="K948" s="66"/>
      <c r="L948" s="66"/>
      <c r="M948" s="66"/>
      <c r="N948" s="66">
        <f>SUM(Prog_23[[#This Row],[TARA]]+Prog_23[[#This Row],[PESO]])</f>
        <v>0</v>
      </c>
      <c r="O948" s="44"/>
      <c r="P948" s="66"/>
      <c r="Q948" s="66"/>
      <c r="R948" s="66"/>
      <c r="S948" s="66"/>
      <c r="T948" s="138" t="str">
        <f>IFERROR(LOOKUP($S948,MOTORISTAS!$D$3:$D$916,MOTORISTAS!E$3:$E$916),"")</f>
        <v/>
      </c>
      <c r="U948" s="138" t="str">
        <f>IFERROR(LOOKUP($S948,MOTORISTAS!$D$3:$D$916,MOTORISTAS!F$3:$F$916),"")</f>
        <v/>
      </c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44"/>
      <c r="AG948" s="254">
        <f>Prog_23[[#This Row],[SAÍDA DO CLIENTE]]-Prog_23[[#This Row],[PROGRAMAÇÃO CLIENTE]]</f>
        <v>0</v>
      </c>
      <c r="AH948" s="44"/>
      <c r="AI948" s="66"/>
      <c r="AJ948" s="66"/>
      <c r="AK948" s="66"/>
      <c r="AL948" s="66"/>
      <c r="AM948" s="66"/>
      <c r="AN948" s="83"/>
      <c r="AO948" s="83"/>
      <c r="AP948" s="83"/>
      <c r="AQ948" s="66"/>
      <c r="AR948" s="66"/>
      <c r="AS948" s="66"/>
      <c r="AT948" s="81"/>
      <c r="AU948" s="81"/>
      <c r="AV948" s="81"/>
      <c r="AW948" s="81"/>
      <c r="AX948" s="83">
        <f>SUM(Prog_23[[#This Row],[ADIANTAMENTO]]+Prog_23[[#This Row],[SALDO]]+Prog_23[[#This Row],[MARGEM]]+Prog_23[[#This Row],[ESTADIA 1]])</f>
        <v>0</v>
      </c>
      <c r="AY9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48" s="81"/>
      <c r="BA948" s="81"/>
      <c r="BB948" s="81">
        <f>Prog_23[[#This Row],[VLR NF]]*0.1%</f>
        <v>0</v>
      </c>
      <c r="BC948" s="81">
        <f>Prog_23[[#This Row],[VLR NF]]*0.05%</f>
        <v>0</v>
      </c>
      <c r="BD948" s="81"/>
      <c r="BE948" s="81"/>
      <c r="BF948" s="81"/>
      <c r="BG948" s="81"/>
      <c r="BH948" s="81"/>
      <c r="BI948" s="81"/>
      <c r="BJ948" s="81"/>
      <c r="BK948" s="81"/>
      <c r="BL948" s="81"/>
      <c r="BM948" s="81"/>
      <c r="BN948" s="66"/>
      <c r="BO948" s="66"/>
      <c r="BP948" s="66"/>
      <c r="BQ948" s="66" t="str">
        <f>PROPER(TEXT(Prog_23[[#This Row],[PROGRAMAÇÃO CLIENTE]],"mmm"))</f>
        <v>Jan</v>
      </c>
      <c r="BR948" s="66">
        <f>YEAR(Prog_23[[#This Row],[PROGRAMAÇÃO CLIENTE]])</f>
        <v>1900</v>
      </c>
    </row>
    <row r="949" spans="1:70" x14ac:dyDescent="0.25">
      <c r="A949" s="200">
        <f>Prog_23[[#This Row],[CONTEINER]]</f>
        <v>0</v>
      </c>
      <c r="B949" s="86"/>
      <c r="C9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49" s="44"/>
      <c r="E949" s="66"/>
      <c r="F949" s="66"/>
      <c r="G949" s="66"/>
      <c r="H949" s="44"/>
      <c r="I949" s="44"/>
      <c r="J949" s="66"/>
      <c r="K949" s="66"/>
      <c r="L949" s="66"/>
      <c r="M949" s="66"/>
      <c r="N949" s="66">
        <f>SUM(Prog_23[[#This Row],[TARA]]+Prog_23[[#This Row],[PESO]])</f>
        <v>0</v>
      </c>
      <c r="O949" s="44"/>
      <c r="P949" s="66"/>
      <c r="Q949" s="66"/>
      <c r="R949" s="66"/>
      <c r="S949" s="66"/>
      <c r="T949" s="138" t="str">
        <f>IFERROR(LOOKUP($S949,MOTORISTAS!$D$3:$D$916,MOTORISTAS!E$3:$E$916),"")</f>
        <v/>
      </c>
      <c r="U949" s="138" t="str">
        <f>IFERROR(LOOKUP($S949,MOTORISTAS!$D$3:$D$916,MOTORISTAS!F$3:$F$916),"")</f>
        <v/>
      </c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44"/>
      <c r="AG949" s="254">
        <f>Prog_23[[#This Row],[SAÍDA DO CLIENTE]]-Prog_23[[#This Row],[PROGRAMAÇÃO CLIENTE]]</f>
        <v>0</v>
      </c>
      <c r="AH949" s="44"/>
      <c r="AI949" s="66"/>
      <c r="AJ949" s="66"/>
      <c r="AK949" s="66"/>
      <c r="AL949" s="66"/>
      <c r="AM949" s="66"/>
      <c r="AN949" s="83"/>
      <c r="AO949" s="83"/>
      <c r="AP949" s="83"/>
      <c r="AQ949" s="66"/>
      <c r="AR949" s="66"/>
      <c r="AS949" s="66"/>
      <c r="AT949" s="81"/>
      <c r="AU949" s="81"/>
      <c r="AV949" s="81"/>
      <c r="AW949" s="81"/>
      <c r="AX949" s="83">
        <f>SUM(Prog_23[[#This Row],[ADIANTAMENTO]]+Prog_23[[#This Row],[SALDO]]+Prog_23[[#This Row],[MARGEM]]+Prog_23[[#This Row],[ESTADIA 1]])</f>
        <v>0</v>
      </c>
      <c r="AY9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49" s="81"/>
      <c r="BA949" s="81"/>
      <c r="BB949" s="81">
        <f>Prog_23[[#This Row],[VLR NF]]*0.1%</f>
        <v>0</v>
      </c>
      <c r="BC949" s="81">
        <f>Prog_23[[#This Row],[VLR NF]]*0.05%</f>
        <v>0</v>
      </c>
      <c r="BD949" s="81"/>
      <c r="BE949" s="81"/>
      <c r="BF949" s="81"/>
      <c r="BG949" s="81"/>
      <c r="BH949" s="81"/>
      <c r="BI949" s="81"/>
      <c r="BJ949" s="81"/>
      <c r="BK949" s="81"/>
      <c r="BL949" s="81"/>
      <c r="BM949" s="81"/>
      <c r="BN949" s="66"/>
      <c r="BO949" s="66"/>
      <c r="BP949" s="66"/>
      <c r="BQ949" s="66" t="str">
        <f>PROPER(TEXT(Prog_23[[#This Row],[PROGRAMAÇÃO CLIENTE]],"mmm"))</f>
        <v>Jan</v>
      </c>
      <c r="BR949" s="66">
        <f>YEAR(Prog_23[[#This Row],[PROGRAMAÇÃO CLIENTE]])</f>
        <v>1900</v>
      </c>
    </row>
    <row r="950" spans="1:70" x14ac:dyDescent="0.25">
      <c r="A950" s="201">
        <f>Prog_23[[#This Row],[CONTEINER]]</f>
        <v>0</v>
      </c>
      <c r="B950" s="86"/>
      <c r="C9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50" s="44"/>
      <c r="E950" s="66"/>
      <c r="F950" s="66"/>
      <c r="G950" s="66"/>
      <c r="H950" s="44"/>
      <c r="I950" s="44"/>
      <c r="J950" s="66"/>
      <c r="K950" s="66"/>
      <c r="L950" s="66"/>
      <c r="M950" s="66"/>
      <c r="N950" s="66">
        <f>SUM(Prog_23[[#This Row],[TARA]]+Prog_23[[#This Row],[PESO]])</f>
        <v>0</v>
      </c>
      <c r="O950" s="44"/>
      <c r="P950" s="66"/>
      <c r="Q950" s="66"/>
      <c r="R950" s="66"/>
      <c r="S950" s="66"/>
      <c r="T950" s="138" t="str">
        <f>IFERROR(LOOKUP($S950,MOTORISTAS!$D$3:$D$916,MOTORISTAS!E$3:$E$916),"")</f>
        <v/>
      </c>
      <c r="U950" s="138" t="str">
        <f>IFERROR(LOOKUP($S950,MOTORISTAS!$D$3:$D$916,MOTORISTAS!F$3:$F$916),"")</f>
        <v/>
      </c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44"/>
      <c r="AG950" s="254">
        <f>Prog_23[[#This Row],[SAÍDA DO CLIENTE]]-Prog_23[[#This Row],[PROGRAMAÇÃO CLIENTE]]</f>
        <v>0</v>
      </c>
      <c r="AH950" s="44"/>
      <c r="AI950" s="66"/>
      <c r="AJ950" s="66"/>
      <c r="AK950" s="66"/>
      <c r="AL950" s="66"/>
      <c r="AM950" s="66"/>
      <c r="AN950" s="83"/>
      <c r="AO950" s="83"/>
      <c r="AP950" s="83"/>
      <c r="AQ950" s="66"/>
      <c r="AR950" s="66"/>
      <c r="AS950" s="66"/>
      <c r="AT950" s="81"/>
      <c r="AU950" s="81"/>
      <c r="AV950" s="81"/>
      <c r="AW950" s="81"/>
      <c r="AX950" s="83">
        <f>SUM(Prog_23[[#This Row],[ADIANTAMENTO]]+Prog_23[[#This Row],[SALDO]]+Prog_23[[#This Row],[MARGEM]]+Prog_23[[#This Row],[ESTADIA 1]])</f>
        <v>0</v>
      </c>
      <c r="AY9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50" s="81"/>
      <c r="BA950" s="81"/>
      <c r="BB950" s="81">
        <f>Prog_23[[#This Row],[VLR NF]]*0.1%</f>
        <v>0</v>
      </c>
      <c r="BC950" s="81">
        <f>Prog_23[[#This Row],[VLR NF]]*0.05%</f>
        <v>0</v>
      </c>
      <c r="BD950" s="81"/>
      <c r="BE950" s="81"/>
      <c r="BF950" s="81"/>
      <c r="BG950" s="81"/>
      <c r="BH950" s="81"/>
      <c r="BI950" s="81"/>
      <c r="BJ950" s="81"/>
      <c r="BK950" s="81"/>
      <c r="BL950" s="81"/>
      <c r="BM950" s="81"/>
      <c r="BN950" s="66"/>
      <c r="BO950" s="66"/>
      <c r="BP950" s="66"/>
      <c r="BQ950" s="66" t="str">
        <f>PROPER(TEXT(Prog_23[[#This Row],[PROGRAMAÇÃO CLIENTE]],"mmm"))</f>
        <v>Jan</v>
      </c>
      <c r="BR950" s="66">
        <f>YEAR(Prog_23[[#This Row],[PROGRAMAÇÃO CLIENTE]])</f>
        <v>1900</v>
      </c>
    </row>
    <row r="951" spans="1:70" x14ac:dyDescent="0.25">
      <c r="A951" s="200">
        <f>Prog_23[[#This Row],[CONTEINER]]</f>
        <v>0</v>
      </c>
      <c r="B951" s="86"/>
      <c r="C9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51" s="44"/>
      <c r="E951" s="66"/>
      <c r="F951" s="66"/>
      <c r="G951" s="66"/>
      <c r="H951" s="44"/>
      <c r="I951" s="44"/>
      <c r="J951" s="66"/>
      <c r="K951" s="66"/>
      <c r="L951" s="66"/>
      <c r="M951" s="66"/>
      <c r="N951" s="66">
        <f>SUM(Prog_23[[#This Row],[TARA]]+Prog_23[[#This Row],[PESO]])</f>
        <v>0</v>
      </c>
      <c r="O951" s="44"/>
      <c r="P951" s="66"/>
      <c r="Q951" s="66"/>
      <c r="R951" s="66"/>
      <c r="S951" s="66"/>
      <c r="T951" s="138" t="str">
        <f>IFERROR(LOOKUP($S951,MOTORISTAS!$D$3:$D$916,MOTORISTAS!E$3:$E$916),"")</f>
        <v/>
      </c>
      <c r="U951" s="138" t="str">
        <f>IFERROR(LOOKUP($S951,MOTORISTAS!$D$3:$D$916,MOTORISTAS!F$3:$F$916),"")</f>
        <v/>
      </c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44"/>
      <c r="AG951" s="254">
        <f>Prog_23[[#This Row],[SAÍDA DO CLIENTE]]-Prog_23[[#This Row],[PROGRAMAÇÃO CLIENTE]]</f>
        <v>0</v>
      </c>
      <c r="AH951" s="44"/>
      <c r="AI951" s="66"/>
      <c r="AJ951" s="66"/>
      <c r="AK951" s="66"/>
      <c r="AL951" s="66"/>
      <c r="AM951" s="66"/>
      <c r="AN951" s="83"/>
      <c r="AO951" s="83"/>
      <c r="AP951" s="83"/>
      <c r="AQ951" s="66"/>
      <c r="AR951" s="66"/>
      <c r="AS951" s="66"/>
      <c r="AT951" s="81"/>
      <c r="AU951" s="81"/>
      <c r="AV951" s="81"/>
      <c r="AW951" s="81"/>
      <c r="AX951" s="83">
        <f>SUM(Prog_23[[#This Row],[ADIANTAMENTO]]+Prog_23[[#This Row],[SALDO]]+Prog_23[[#This Row],[MARGEM]]+Prog_23[[#This Row],[ESTADIA 1]])</f>
        <v>0</v>
      </c>
      <c r="AY9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51" s="81"/>
      <c r="BA951" s="81"/>
      <c r="BB951" s="81">
        <f>Prog_23[[#This Row],[VLR NF]]*0.1%</f>
        <v>0</v>
      </c>
      <c r="BC951" s="81">
        <f>Prog_23[[#This Row],[VLR NF]]*0.05%</f>
        <v>0</v>
      </c>
      <c r="BD951" s="81"/>
      <c r="BE951" s="81"/>
      <c r="BF951" s="81"/>
      <c r="BG951" s="81"/>
      <c r="BH951" s="81"/>
      <c r="BI951" s="81"/>
      <c r="BJ951" s="81"/>
      <c r="BK951" s="81"/>
      <c r="BL951" s="81"/>
      <c r="BM951" s="81"/>
      <c r="BN951" s="66"/>
      <c r="BO951" s="66"/>
      <c r="BP951" s="66"/>
      <c r="BQ951" s="66" t="str">
        <f>PROPER(TEXT(Prog_23[[#This Row],[PROGRAMAÇÃO CLIENTE]],"mmm"))</f>
        <v>Jan</v>
      </c>
      <c r="BR951" s="66">
        <f>YEAR(Prog_23[[#This Row],[PROGRAMAÇÃO CLIENTE]])</f>
        <v>1900</v>
      </c>
    </row>
    <row r="952" spans="1:70" x14ac:dyDescent="0.25">
      <c r="A952" s="201">
        <f>Prog_23[[#This Row],[CONTEINER]]</f>
        <v>0</v>
      </c>
      <c r="B952" s="86"/>
      <c r="C9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52" s="44"/>
      <c r="E952" s="66"/>
      <c r="F952" s="66"/>
      <c r="G952" s="66"/>
      <c r="H952" s="44"/>
      <c r="I952" s="44"/>
      <c r="J952" s="66"/>
      <c r="K952" s="66"/>
      <c r="L952" s="66"/>
      <c r="M952" s="66"/>
      <c r="N952" s="66">
        <f>SUM(Prog_23[[#This Row],[TARA]]+Prog_23[[#This Row],[PESO]])</f>
        <v>0</v>
      </c>
      <c r="O952" s="44"/>
      <c r="P952" s="66"/>
      <c r="Q952" s="66"/>
      <c r="R952" s="66"/>
      <c r="S952" s="66"/>
      <c r="T952" s="138" t="str">
        <f>IFERROR(LOOKUP($S952,MOTORISTAS!$D$3:$D$916,MOTORISTAS!E$3:$E$916),"")</f>
        <v/>
      </c>
      <c r="U952" s="138" t="str">
        <f>IFERROR(LOOKUP($S952,MOTORISTAS!$D$3:$D$916,MOTORISTAS!F$3:$F$916),"")</f>
        <v/>
      </c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44"/>
      <c r="AG952" s="254">
        <f>Prog_23[[#This Row],[SAÍDA DO CLIENTE]]-Prog_23[[#This Row],[PROGRAMAÇÃO CLIENTE]]</f>
        <v>0</v>
      </c>
      <c r="AH952" s="44"/>
      <c r="AI952" s="66"/>
      <c r="AJ952" s="66"/>
      <c r="AK952" s="66"/>
      <c r="AL952" s="66"/>
      <c r="AM952" s="66"/>
      <c r="AN952" s="83"/>
      <c r="AO952" s="83"/>
      <c r="AP952" s="83"/>
      <c r="AQ952" s="66"/>
      <c r="AR952" s="66"/>
      <c r="AS952" s="66"/>
      <c r="AT952" s="81"/>
      <c r="AU952" s="81"/>
      <c r="AV952" s="81"/>
      <c r="AW952" s="81"/>
      <c r="AX952" s="83">
        <f>SUM(Prog_23[[#This Row],[ADIANTAMENTO]]+Prog_23[[#This Row],[SALDO]]+Prog_23[[#This Row],[MARGEM]]+Prog_23[[#This Row],[ESTADIA 1]])</f>
        <v>0</v>
      </c>
      <c r="AY9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52" s="81"/>
      <c r="BA952" s="81"/>
      <c r="BB952" s="81">
        <f>Prog_23[[#This Row],[VLR NF]]*0.1%</f>
        <v>0</v>
      </c>
      <c r="BC952" s="81">
        <f>Prog_23[[#This Row],[VLR NF]]*0.05%</f>
        <v>0</v>
      </c>
      <c r="BD952" s="81"/>
      <c r="BE952" s="81"/>
      <c r="BF952" s="81"/>
      <c r="BG952" s="81"/>
      <c r="BH952" s="81"/>
      <c r="BI952" s="81"/>
      <c r="BJ952" s="81"/>
      <c r="BK952" s="81"/>
      <c r="BL952" s="81"/>
      <c r="BM952" s="81"/>
      <c r="BN952" s="66"/>
      <c r="BO952" s="66"/>
      <c r="BP952" s="66"/>
      <c r="BQ952" s="66" t="str">
        <f>PROPER(TEXT(Prog_23[[#This Row],[PROGRAMAÇÃO CLIENTE]],"mmm"))</f>
        <v>Jan</v>
      </c>
      <c r="BR952" s="66">
        <f>YEAR(Prog_23[[#This Row],[PROGRAMAÇÃO CLIENTE]])</f>
        <v>1900</v>
      </c>
    </row>
    <row r="953" spans="1:70" x14ac:dyDescent="0.25">
      <c r="A953" s="200">
        <f>Prog_23[[#This Row],[CONTEINER]]</f>
        <v>0</v>
      </c>
      <c r="B953" s="86"/>
      <c r="C9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53" s="44"/>
      <c r="E953" s="66"/>
      <c r="F953" s="66"/>
      <c r="G953" s="66"/>
      <c r="H953" s="44"/>
      <c r="I953" s="44"/>
      <c r="J953" s="66"/>
      <c r="K953" s="66"/>
      <c r="L953" s="66"/>
      <c r="M953" s="66"/>
      <c r="N953" s="66">
        <f>SUM(Prog_23[[#This Row],[TARA]]+Prog_23[[#This Row],[PESO]])</f>
        <v>0</v>
      </c>
      <c r="O953" s="44"/>
      <c r="P953" s="66"/>
      <c r="Q953" s="66"/>
      <c r="R953" s="66"/>
      <c r="S953" s="66"/>
      <c r="T953" s="138" t="str">
        <f>IFERROR(LOOKUP($S953,MOTORISTAS!$D$3:$D$916,MOTORISTAS!E$3:$E$916),"")</f>
        <v/>
      </c>
      <c r="U953" s="138" t="str">
        <f>IFERROR(LOOKUP($S953,MOTORISTAS!$D$3:$D$916,MOTORISTAS!F$3:$F$916),"")</f>
        <v/>
      </c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44"/>
      <c r="AG953" s="254">
        <f>Prog_23[[#This Row],[SAÍDA DO CLIENTE]]-Prog_23[[#This Row],[PROGRAMAÇÃO CLIENTE]]</f>
        <v>0</v>
      </c>
      <c r="AH953" s="44"/>
      <c r="AI953" s="66"/>
      <c r="AJ953" s="66"/>
      <c r="AK953" s="66"/>
      <c r="AL953" s="66"/>
      <c r="AM953" s="66"/>
      <c r="AN953" s="83"/>
      <c r="AO953" s="83"/>
      <c r="AP953" s="83"/>
      <c r="AQ953" s="66"/>
      <c r="AR953" s="66"/>
      <c r="AS953" s="66"/>
      <c r="AT953" s="81"/>
      <c r="AU953" s="81"/>
      <c r="AV953" s="81"/>
      <c r="AW953" s="81"/>
      <c r="AX953" s="83">
        <f>SUM(Prog_23[[#This Row],[ADIANTAMENTO]]+Prog_23[[#This Row],[SALDO]]+Prog_23[[#This Row],[MARGEM]]+Prog_23[[#This Row],[ESTADIA 1]])</f>
        <v>0</v>
      </c>
      <c r="AY9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53" s="81"/>
      <c r="BA953" s="81"/>
      <c r="BB953" s="81">
        <f>Prog_23[[#This Row],[VLR NF]]*0.1%</f>
        <v>0</v>
      </c>
      <c r="BC953" s="81">
        <f>Prog_23[[#This Row],[VLR NF]]*0.05%</f>
        <v>0</v>
      </c>
      <c r="BD953" s="81"/>
      <c r="BE953" s="81"/>
      <c r="BF953" s="81"/>
      <c r="BG953" s="81"/>
      <c r="BH953" s="81"/>
      <c r="BI953" s="81"/>
      <c r="BJ953" s="81"/>
      <c r="BK953" s="81"/>
      <c r="BL953" s="81"/>
      <c r="BM953" s="81"/>
      <c r="BN953" s="66"/>
      <c r="BO953" s="66"/>
      <c r="BP953" s="66"/>
      <c r="BQ953" s="66" t="str">
        <f>PROPER(TEXT(Prog_23[[#This Row],[PROGRAMAÇÃO CLIENTE]],"mmm"))</f>
        <v>Jan</v>
      </c>
      <c r="BR953" s="66">
        <f>YEAR(Prog_23[[#This Row],[PROGRAMAÇÃO CLIENTE]])</f>
        <v>1900</v>
      </c>
    </row>
    <row r="954" spans="1:70" x14ac:dyDescent="0.25">
      <c r="A954" s="201">
        <f>Prog_23[[#This Row],[CONTEINER]]</f>
        <v>0</v>
      </c>
      <c r="B954" s="86"/>
      <c r="C9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54" s="44"/>
      <c r="E954" s="66"/>
      <c r="F954" s="66"/>
      <c r="G954" s="66"/>
      <c r="H954" s="44"/>
      <c r="I954" s="44"/>
      <c r="J954" s="66"/>
      <c r="K954" s="66"/>
      <c r="L954" s="66"/>
      <c r="M954" s="66"/>
      <c r="N954" s="66">
        <f>SUM(Prog_23[[#This Row],[TARA]]+Prog_23[[#This Row],[PESO]])</f>
        <v>0</v>
      </c>
      <c r="O954" s="44"/>
      <c r="P954" s="66"/>
      <c r="Q954" s="66"/>
      <c r="R954" s="66"/>
      <c r="S954" s="66"/>
      <c r="T954" s="138" t="str">
        <f>IFERROR(LOOKUP($S954,MOTORISTAS!$D$3:$D$916,MOTORISTAS!E$3:$E$916),"")</f>
        <v/>
      </c>
      <c r="U954" s="138" t="str">
        <f>IFERROR(LOOKUP($S954,MOTORISTAS!$D$3:$D$916,MOTORISTAS!F$3:$F$916),"")</f>
        <v/>
      </c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44"/>
      <c r="AG954" s="254">
        <f>Prog_23[[#This Row],[SAÍDA DO CLIENTE]]-Prog_23[[#This Row],[PROGRAMAÇÃO CLIENTE]]</f>
        <v>0</v>
      </c>
      <c r="AH954" s="44"/>
      <c r="AI954" s="66"/>
      <c r="AJ954" s="66"/>
      <c r="AK954" s="66"/>
      <c r="AL954" s="66"/>
      <c r="AM954" s="66"/>
      <c r="AN954" s="83"/>
      <c r="AO954" s="83"/>
      <c r="AP954" s="83"/>
      <c r="AQ954" s="66"/>
      <c r="AR954" s="66"/>
      <c r="AS954" s="66"/>
      <c r="AT954" s="81"/>
      <c r="AU954" s="81"/>
      <c r="AV954" s="81"/>
      <c r="AW954" s="81"/>
      <c r="AX954" s="83">
        <f>SUM(Prog_23[[#This Row],[ADIANTAMENTO]]+Prog_23[[#This Row],[SALDO]]+Prog_23[[#This Row],[MARGEM]]+Prog_23[[#This Row],[ESTADIA 1]])</f>
        <v>0</v>
      </c>
      <c r="AY9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54" s="81"/>
      <c r="BA954" s="81"/>
      <c r="BB954" s="81">
        <f>Prog_23[[#This Row],[VLR NF]]*0.1%</f>
        <v>0</v>
      </c>
      <c r="BC954" s="81">
        <f>Prog_23[[#This Row],[VLR NF]]*0.05%</f>
        <v>0</v>
      </c>
      <c r="BD954" s="81"/>
      <c r="BE954" s="81"/>
      <c r="BF954" s="81"/>
      <c r="BG954" s="81"/>
      <c r="BH954" s="81"/>
      <c r="BI954" s="81"/>
      <c r="BJ954" s="81"/>
      <c r="BK954" s="81"/>
      <c r="BL954" s="81"/>
      <c r="BM954" s="81"/>
      <c r="BN954" s="66"/>
      <c r="BO954" s="66"/>
      <c r="BP954" s="66"/>
      <c r="BQ954" s="66" t="str">
        <f>PROPER(TEXT(Prog_23[[#This Row],[PROGRAMAÇÃO CLIENTE]],"mmm"))</f>
        <v>Jan</v>
      </c>
      <c r="BR954" s="66">
        <f>YEAR(Prog_23[[#This Row],[PROGRAMAÇÃO CLIENTE]])</f>
        <v>1900</v>
      </c>
    </row>
    <row r="955" spans="1:70" x14ac:dyDescent="0.25">
      <c r="A955" s="200">
        <f>Prog_23[[#This Row],[CONTEINER]]</f>
        <v>0</v>
      </c>
      <c r="B955" s="86"/>
      <c r="C9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55" s="44"/>
      <c r="E955" s="66"/>
      <c r="F955" s="66"/>
      <c r="G955" s="66"/>
      <c r="H955" s="44"/>
      <c r="I955" s="44"/>
      <c r="J955" s="66"/>
      <c r="K955" s="66"/>
      <c r="L955" s="66"/>
      <c r="M955" s="66"/>
      <c r="N955" s="66">
        <f>SUM(Prog_23[[#This Row],[TARA]]+Prog_23[[#This Row],[PESO]])</f>
        <v>0</v>
      </c>
      <c r="O955" s="44"/>
      <c r="P955" s="66"/>
      <c r="Q955" s="66"/>
      <c r="R955" s="66"/>
      <c r="S955" s="66"/>
      <c r="T955" s="138" t="str">
        <f>IFERROR(LOOKUP($S955,MOTORISTAS!$D$3:$D$916,MOTORISTAS!E$3:$E$916),"")</f>
        <v/>
      </c>
      <c r="U955" s="138" t="str">
        <f>IFERROR(LOOKUP($S955,MOTORISTAS!$D$3:$D$916,MOTORISTAS!F$3:$F$916),"")</f>
        <v/>
      </c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44"/>
      <c r="AG955" s="254">
        <f>Prog_23[[#This Row],[SAÍDA DO CLIENTE]]-Prog_23[[#This Row],[PROGRAMAÇÃO CLIENTE]]</f>
        <v>0</v>
      </c>
      <c r="AH955" s="44"/>
      <c r="AI955" s="66"/>
      <c r="AJ955" s="66"/>
      <c r="AK955" s="66"/>
      <c r="AL955" s="66"/>
      <c r="AM955" s="66"/>
      <c r="AN955" s="83"/>
      <c r="AO955" s="83"/>
      <c r="AP955" s="83"/>
      <c r="AQ955" s="66"/>
      <c r="AR955" s="66"/>
      <c r="AS955" s="66"/>
      <c r="AT955" s="81"/>
      <c r="AU955" s="81"/>
      <c r="AV955" s="81"/>
      <c r="AW955" s="81"/>
      <c r="AX955" s="83">
        <f>SUM(Prog_23[[#This Row],[ADIANTAMENTO]]+Prog_23[[#This Row],[SALDO]]+Prog_23[[#This Row],[MARGEM]]+Prog_23[[#This Row],[ESTADIA 1]])</f>
        <v>0</v>
      </c>
      <c r="AY9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55" s="81"/>
      <c r="BA955" s="81"/>
      <c r="BB955" s="81">
        <f>Prog_23[[#This Row],[VLR NF]]*0.1%</f>
        <v>0</v>
      </c>
      <c r="BC955" s="81">
        <f>Prog_23[[#This Row],[VLR NF]]*0.05%</f>
        <v>0</v>
      </c>
      <c r="BD955" s="81"/>
      <c r="BE955" s="81"/>
      <c r="BF955" s="81"/>
      <c r="BG955" s="81"/>
      <c r="BH955" s="81"/>
      <c r="BI955" s="81"/>
      <c r="BJ955" s="81"/>
      <c r="BK955" s="81"/>
      <c r="BL955" s="81"/>
      <c r="BM955" s="81"/>
      <c r="BN955" s="66"/>
      <c r="BO955" s="66"/>
      <c r="BP955" s="66"/>
      <c r="BQ955" s="66" t="str">
        <f>PROPER(TEXT(Prog_23[[#This Row],[PROGRAMAÇÃO CLIENTE]],"mmm"))</f>
        <v>Jan</v>
      </c>
      <c r="BR955" s="66">
        <f>YEAR(Prog_23[[#This Row],[PROGRAMAÇÃO CLIENTE]])</f>
        <v>1900</v>
      </c>
    </row>
    <row r="956" spans="1:70" x14ac:dyDescent="0.25">
      <c r="A956" s="201">
        <f>Prog_23[[#This Row],[CONTEINER]]</f>
        <v>0</v>
      </c>
      <c r="B956" s="86"/>
      <c r="C9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56" s="44"/>
      <c r="E956" s="66"/>
      <c r="F956" s="66"/>
      <c r="G956" s="66"/>
      <c r="H956" s="44"/>
      <c r="I956" s="44"/>
      <c r="J956" s="66"/>
      <c r="K956" s="66"/>
      <c r="L956" s="66"/>
      <c r="M956" s="66"/>
      <c r="N956" s="66">
        <f>SUM(Prog_23[[#This Row],[TARA]]+Prog_23[[#This Row],[PESO]])</f>
        <v>0</v>
      </c>
      <c r="O956" s="44"/>
      <c r="P956" s="66"/>
      <c r="Q956" s="66"/>
      <c r="R956" s="66"/>
      <c r="S956" s="66"/>
      <c r="T956" s="138" t="str">
        <f>IFERROR(LOOKUP($S956,MOTORISTAS!$D$3:$D$916,MOTORISTAS!E$3:$E$916),"")</f>
        <v/>
      </c>
      <c r="U956" s="138" t="str">
        <f>IFERROR(LOOKUP($S956,MOTORISTAS!$D$3:$D$916,MOTORISTAS!F$3:$F$916),"")</f>
        <v/>
      </c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44"/>
      <c r="AG956" s="254">
        <f>Prog_23[[#This Row],[SAÍDA DO CLIENTE]]-Prog_23[[#This Row],[PROGRAMAÇÃO CLIENTE]]</f>
        <v>0</v>
      </c>
      <c r="AH956" s="44"/>
      <c r="AI956" s="66"/>
      <c r="AJ956" s="66"/>
      <c r="AK956" s="66"/>
      <c r="AL956" s="66"/>
      <c r="AM956" s="66"/>
      <c r="AN956" s="83"/>
      <c r="AO956" s="83"/>
      <c r="AP956" s="83"/>
      <c r="AQ956" s="66"/>
      <c r="AR956" s="66"/>
      <c r="AS956" s="66"/>
      <c r="AT956" s="81"/>
      <c r="AU956" s="81"/>
      <c r="AV956" s="81"/>
      <c r="AW956" s="81"/>
      <c r="AX956" s="83">
        <f>SUM(Prog_23[[#This Row],[ADIANTAMENTO]]+Prog_23[[#This Row],[SALDO]]+Prog_23[[#This Row],[MARGEM]]+Prog_23[[#This Row],[ESTADIA 1]])</f>
        <v>0</v>
      </c>
      <c r="AY9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56" s="81"/>
      <c r="BA956" s="81"/>
      <c r="BB956" s="81">
        <f>Prog_23[[#This Row],[VLR NF]]*0.1%</f>
        <v>0</v>
      </c>
      <c r="BC956" s="81">
        <f>Prog_23[[#This Row],[VLR NF]]*0.05%</f>
        <v>0</v>
      </c>
      <c r="BD956" s="81"/>
      <c r="BE956" s="81"/>
      <c r="BF956" s="81"/>
      <c r="BG956" s="81"/>
      <c r="BH956" s="81"/>
      <c r="BI956" s="81"/>
      <c r="BJ956" s="81"/>
      <c r="BK956" s="81"/>
      <c r="BL956" s="81"/>
      <c r="BM956" s="81"/>
      <c r="BN956" s="66"/>
      <c r="BO956" s="66"/>
      <c r="BP956" s="66"/>
      <c r="BQ956" s="66" t="str">
        <f>PROPER(TEXT(Prog_23[[#This Row],[PROGRAMAÇÃO CLIENTE]],"mmm"))</f>
        <v>Jan</v>
      </c>
      <c r="BR956" s="66">
        <f>YEAR(Prog_23[[#This Row],[PROGRAMAÇÃO CLIENTE]])</f>
        <v>1900</v>
      </c>
    </row>
    <row r="957" spans="1:70" x14ac:dyDescent="0.25">
      <c r="A957" s="200">
        <f>Prog_23[[#This Row],[CONTEINER]]</f>
        <v>0</v>
      </c>
      <c r="B957" s="86"/>
      <c r="C9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57" s="44"/>
      <c r="E957" s="66"/>
      <c r="F957" s="66"/>
      <c r="G957" s="66"/>
      <c r="H957" s="44"/>
      <c r="I957" s="44"/>
      <c r="J957" s="66"/>
      <c r="K957" s="66"/>
      <c r="L957" s="66"/>
      <c r="M957" s="66"/>
      <c r="N957" s="66">
        <f>SUM(Prog_23[[#This Row],[TARA]]+Prog_23[[#This Row],[PESO]])</f>
        <v>0</v>
      </c>
      <c r="O957" s="44"/>
      <c r="P957" s="66"/>
      <c r="Q957" s="66"/>
      <c r="R957" s="66"/>
      <c r="S957" s="66"/>
      <c r="T957" s="138" t="str">
        <f>IFERROR(LOOKUP($S957,MOTORISTAS!$D$3:$D$916,MOTORISTAS!E$3:$E$916),"")</f>
        <v/>
      </c>
      <c r="U957" s="138" t="str">
        <f>IFERROR(LOOKUP($S957,MOTORISTAS!$D$3:$D$916,MOTORISTAS!F$3:$F$916),"")</f>
        <v/>
      </c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44"/>
      <c r="AG957" s="254">
        <f>Prog_23[[#This Row],[SAÍDA DO CLIENTE]]-Prog_23[[#This Row],[PROGRAMAÇÃO CLIENTE]]</f>
        <v>0</v>
      </c>
      <c r="AH957" s="44"/>
      <c r="AI957" s="66"/>
      <c r="AJ957" s="66"/>
      <c r="AK957" s="66"/>
      <c r="AL957" s="66"/>
      <c r="AM957" s="66"/>
      <c r="AN957" s="83"/>
      <c r="AO957" s="83"/>
      <c r="AP957" s="83"/>
      <c r="AQ957" s="66"/>
      <c r="AR957" s="66"/>
      <c r="AS957" s="66"/>
      <c r="AT957" s="81"/>
      <c r="AU957" s="81"/>
      <c r="AV957" s="81"/>
      <c r="AW957" s="81"/>
      <c r="AX957" s="83">
        <f>SUM(Prog_23[[#This Row],[ADIANTAMENTO]]+Prog_23[[#This Row],[SALDO]]+Prog_23[[#This Row],[MARGEM]]+Prog_23[[#This Row],[ESTADIA 1]])</f>
        <v>0</v>
      </c>
      <c r="AY9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57" s="81"/>
      <c r="BA957" s="81"/>
      <c r="BB957" s="81">
        <f>Prog_23[[#This Row],[VLR NF]]*0.1%</f>
        <v>0</v>
      </c>
      <c r="BC957" s="81">
        <f>Prog_23[[#This Row],[VLR NF]]*0.05%</f>
        <v>0</v>
      </c>
      <c r="BD957" s="81"/>
      <c r="BE957" s="81"/>
      <c r="BF957" s="81"/>
      <c r="BG957" s="81"/>
      <c r="BH957" s="81"/>
      <c r="BI957" s="81"/>
      <c r="BJ957" s="81"/>
      <c r="BK957" s="81"/>
      <c r="BL957" s="81"/>
      <c r="BM957" s="81"/>
      <c r="BN957" s="66"/>
      <c r="BO957" s="66"/>
      <c r="BP957" s="66"/>
      <c r="BQ957" s="66" t="str">
        <f>PROPER(TEXT(Prog_23[[#This Row],[PROGRAMAÇÃO CLIENTE]],"mmm"))</f>
        <v>Jan</v>
      </c>
      <c r="BR957" s="66">
        <f>YEAR(Prog_23[[#This Row],[PROGRAMAÇÃO CLIENTE]])</f>
        <v>1900</v>
      </c>
    </row>
    <row r="958" spans="1:70" x14ac:dyDescent="0.25">
      <c r="A958" s="201">
        <f>Prog_23[[#This Row],[CONTEINER]]</f>
        <v>0</v>
      </c>
      <c r="B958" s="86"/>
      <c r="C9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58" s="44"/>
      <c r="E958" s="66"/>
      <c r="F958" s="66"/>
      <c r="G958" s="66"/>
      <c r="H958" s="44"/>
      <c r="I958" s="44"/>
      <c r="J958" s="66"/>
      <c r="K958" s="66"/>
      <c r="L958" s="66"/>
      <c r="M958" s="66"/>
      <c r="N958" s="66">
        <f>SUM(Prog_23[[#This Row],[TARA]]+Prog_23[[#This Row],[PESO]])</f>
        <v>0</v>
      </c>
      <c r="O958" s="44"/>
      <c r="P958" s="66"/>
      <c r="Q958" s="66"/>
      <c r="R958" s="66"/>
      <c r="S958" s="66"/>
      <c r="T958" s="138" t="str">
        <f>IFERROR(LOOKUP($S958,MOTORISTAS!$D$3:$D$916,MOTORISTAS!E$3:$E$916),"")</f>
        <v/>
      </c>
      <c r="U958" s="138" t="str">
        <f>IFERROR(LOOKUP($S958,MOTORISTAS!$D$3:$D$916,MOTORISTAS!F$3:$F$916),"")</f>
        <v/>
      </c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44"/>
      <c r="AG958" s="254">
        <f>Prog_23[[#This Row],[SAÍDA DO CLIENTE]]-Prog_23[[#This Row],[PROGRAMAÇÃO CLIENTE]]</f>
        <v>0</v>
      </c>
      <c r="AH958" s="44"/>
      <c r="AI958" s="66"/>
      <c r="AJ958" s="66"/>
      <c r="AK958" s="66"/>
      <c r="AL958" s="66"/>
      <c r="AM958" s="66"/>
      <c r="AN958" s="83"/>
      <c r="AO958" s="83"/>
      <c r="AP958" s="83"/>
      <c r="AQ958" s="66"/>
      <c r="AR958" s="66"/>
      <c r="AS958" s="66"/>
      <c r="AT958" s="81"/>
      <c r="AU958" s="81"/>
      <c r="AV958" s="81"/>
      <c r="AW958" s="81"/>
      <c r="AX958" s="83">
        <f>SUM(Prog_23[[#This Row],[ADIANTAMENTO]]+Prog_23[[#This Row],[SALDO]]+Prog_23[[#This Row],[MARGEM]]+Prog_23[[#This Row],[ESTADIA 1]])</f>
        <v>0</v>
      </c>
      <c r="AY9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58" s="81"/>
      <c r="BA958" s="81"/>
      <c r="BB958" s="81">
        <f>Prog_23[[#This Row],[VLR NF]]*0.1%</f>
        <v>0</v>
      </c>
      <c r="BC958" s="81">
        <f>Prog_23[[#This Row],[VLR NF]]*0.05%</f>
        <v>0</v>
      </c>
      <c r="BD958" s="81"/>
      <c r="BE958" s="81"/>
      <c r="BF958" s="81"/>
      <c r="BG958" s="81"/>
      <c r="BH958" s="81"/>
      <c r="BI958" s="81"/>
      <c r="BJ958" s="81"/>
      <c r="BK958" s="81"/>
      <c r="BL958" s="81"/>
      <c r="BM958" s="81"/>
      <c r="BN958" s="66"/>
      <c r="BO958" s="66"/>
      <c r="BP958" s="66"/>
      <c r="BQ958" s="66" t="str">
        <f>PROPER(TEXT(Prog_23[[#This Row],[PROGRAMAÇÃO CLIENTE]],"mmm"))</f>
        <v>Jan</v>
      </c>
      <c r="BR958" s="66">
        <f>YEAR(Prog_23[[#This Row],[PROGRAMAÇÃO CLIENTE]])</f>
        <v>1900</v>
      </c>
    </row>
    <row r="959" spans="1:70" x14ac:dyDescent="0.25">
      <c r="A959" s="200">
        <f>Prog_23[[#This Row],[CONTEINER]]</f>
        <v>0</v>
      </c>
      <c r="B959" s="86"/>
      <c r="C9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59" s="44"/>
      <c r="E959" s="66"/>
      <c r="F959" s="66"/>
      <c r="G959" s="66"/>
      <c r="H959" s="44"/>
      <c r="I959" s="44"/>
      <c r="J959" s="66"/>
      <c r="K959" s="66"/>
      <c r="L959" s="66"/>
      <c r="M959" s="66"/>
      <c r="N959" s="66">
        <f>SUM(Prog_23[[#This Row],[TARA]]+Prog_23[[#This Row],[PESO]])</f>
        <v>0</v>
      </c>
      <c r="O959" s="44"/>
      <c r="P959" s="66"/>
      <c r="Q959" s="66"/>
      <c r="R959" s="66"/>
      <c r="S959" s="66"/>
      <c r="T959" s="138" t="str">
        <f>IFERROR(LOOKUP($S959,MOTORISTAS!$D$3:$D$916,MOTORISTAS!E$3:$E$916),"")</f>
        <v/>
      </c>
      <c r="U959" s="138" t="str">
        <f>IFERROR(LOOKUP($S959,MOTORISTAS!$D$3:$D$916,MOTORISTAS!F$3:$F$916),"")</f>
        <v/>
      </c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44"/>
      <c r="AG959" s="254">
        <f>Prog_23[[#This Row],[SAÍDA DO CLIENTE]]-Prog_23[[#This Row],[PROGRAMAÇÃO CLIENTE]]</f>
        <v>0</v>
      </c>
      <c r="AH959" s="44"/>
      <c r="AI959" s="66"/>
      <c r="AJ959" s="66"/>
      <c r="AK959" s="66"/>
      <c r="AL959" s="66"/>
      <c r="AM959" s="66"/>
      <c r="AN959" s="83"/>
      <c r="AO959" s="83"/>
      <c r="AP959" s="83"/>
      <c r="AQ959" s="66"/>
      <c r="AR959" s="66"/>
      <c r="AS959" s="66"/>
      <c r="AT959" s="81"/>
      <c r="AU959" s="81"/>
      <c r="AV959" s="81"/>
      <c r="AW959" s="81"/>
      <c r="AX959" s="83">
        <f>SUM(Prog_23[[#This Row],[ADIANTAMENTO]]+Prog_23[[#This Row],[SALDO]]+Prog_23[[#This Row],[MARGEM]]+Prog_23[[#This Row],[ESTADIA 1]])</f>
        <v>0</v>
      </c>
      <c r="AY9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59" s="81"/>
      <c r="BA959" s="81"/>
      <c r="BB959" s="81">
        <f>Prog_23[[#This Row],[VLR NF]]*0.1%</f>
        <v>0</v>
      </c>
      <c r="BC959" s="81">
        <f>Prog_23[[#This Row],[VLR NF]]*0.05%</f>
        <v>0</v>
      </c>
      <c r="BD959" s="81"/>
      <c r="BE959" s="81"/>
      <c r="BF959" s="81"/>
      <c r="BG959" s="81"/>
      <c r="BH959" s="81"/>
      <c r="BI959" s="81"/>
      <c r="BJ959" s="81"/>
      <c r="BK959" s="81"/>
      <c r="BL959" s="81"/>
      <c r="BM959" s="81"/>
      <c r="BN959" s="66"/>
      <c r="BO959" s="66"/>
      <c r="BP959" s="66"/>
      <c r="BQ959" s="66" t="str">
        <f>PROPER(TEXT(Prog_23[[#This Row],[PROGRAMAÇÃO CLIENTE]],"mmm"))</f>
        <v>Jan</v>
      </c>
      <c r="BR959" s="66">
        <f>YEAR(Prog_23[[#This Row],[PROGRAMAÇÃO CLIENTE]])</f>
        <v>1900</v>
      </c>
    </row>
    <row r="960" spans="1:70" x14ac:dyDescent="0.25">
      <c r="A960" s="201">
        <f>Prog_23[[#This Row],[CONTEINER]]</f>
        <v>0</v>
      </c>
      <c r="B960" s="86"/>
      <c r="C9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60" s="44"/>
      <c r="E960" s="66"/>
      <c r="F960" s="66"/>
      <c r="G960" s="66"/>
      <c r="H960" s="44"/>
      <c r="I960" s="44"/>
      <c r="J960" s="66"/>
      <c r="K960" s="66"/>
      <c r="L960" s="66"/>
      <c r="M960" s="66"/>
      <c r="N960" s="66">
        <f>SUM(Prog_23[[#This Row],[TARA]]+Prog_23[[#This Row],[PESO]])</f>
        <v>0</v>
      </c>
      <c r="O960" s="44"/>
      <c r="P960" s="66"/>
      <c r="Q960" s="66"/>
      <c r="R960" s="66"/>
      <c r="S960" s="66"/>
      <c r="T960" s="138" t="str">
        <f>IFERROR(LOOKUP($S960,MOTORISTAS!$D$3:$D$916,MOTORISTAS!E$3:$E$916),"")</f>
        <v/>
      </c>
      <c r="U960" s="138" t="str">
        <f>IFERROR(LOOKUP($S960,MOTORISTAS!$D$3:$D$916,MOTORISTAS!F$3:$F$916),"")</f>
        <v/>
      </c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44"/>
      <c r="AG960" s="254">
        <f>Prog_23[[#This Row],[SAÍDA DO CLIENTE]]-Prog_23[[#This Row],[PROGRAMAÇÃO CLIENTE]]</f>
        <v>0</v>
      </c>
      <c r="AH960" s="44"/>
      <c r="AI960" s="66"/>
      <c r="AJ960" s="66"/>
      <c r="AK960" s="66"/>
      <c r="AL960" s="66"/>
      <c r="AM960" s="66"/>
      <c r="AN960" s="83"/>
      <c r="AO960" s="83"/>
      <c r="AP960" s="83"/>
      <c r="AQ960" s="66"/>
      <c r="AR960" s="66"/>
      <c r="AS960" s="66"/>
      <c r="AT960" s="81"/>
      <c r="AU960" s="81"/>
      <c r="AV960" s="81"/>
      <c r="AW960" s="81"/>
      <c r="AX960" s="83">
        <f>SUM(Prog_23[[#This Row],[ADIANTAMENTO]]+Prog_23[[#This Row],[SALDO]]+Prog_23[[#This Row],[MARGEM]]+Prog_23[[#This Row],[ESTADIA 1]])</f>
        <v>0</v>
      </c>
      <c r="AY9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60" s="81"/>
      <c r="BA960" s="81"/>
      <c r="BB960" s="81">
        <f>Prog_23[[#This Row],[VLR NF]]*0.1%</f>
        <v>0</v>
      </c>
      <c r="BC960" s="81">
        <f>Prog_23[[#This Row],[VLR NF]]*0.05%</f>
        <v>0</v>
      </c>
      <c r="BD960" s="81"/>
      <c r="BE960" s="81"/>
      <c r="BF960" s="81"/>
      <c r="BG960" s="81"/>
      <c r="BH960" s="81"/>
      <c r="BI960" s="81"/>
      <c r="BJ960" s="81"/>
      <c r="BK960" s="81"/>
      <c r="BL960" s="81"/>
      <c r="BM960" s="81"/>
      <c r="BN960" s="66"/>
      <c r="BO960" s="66"/>
      <c r="BP960" s="66"/>
      <c r="BQ960" s="66" t="str">
        <f>PROPER(TEXT(Prog_23[[#This Row],[PROGRAMAÇÃO CLIENTE]],"mmm"))</f>
        <v>Jan</v>
      </c>
      <c r="BR960" s="66">
        <f>YEAR(Prog_23[[#This Row],[PROGRAMAÇÃO CLIENTE]])</f>
        <v>1900</v>
      </c>
    </row>
    <row r="961" spans="1:70" x14ac:dyDescent="0.25">
      <c r="A961" s="200">
        <f>Prog_23[[#This Row],[CONTEINER]]</f>
        <v>0</v>
      </c>
      <c r="B961" s="86"/>
      <c r="C9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61" s="44"/>
      <c r="E961" s="66"/>
      <c r="F961" s="66"/>
      <c r="G961" s="66"/>
      <c r="H961" s="44"/>
      <c r="I961" s="44"/>
      <c r="J961" s="66"/>
      <c r="K961" s="66"/>
      <c r="L961" s="66"/>
      <c r="M961" s="66"/>
      <c r="N961" s="66">
        <f>SUM(Prog_23[[#This Row],[TARA]]+Prog_23[[#This Row],[PESO]])</f>
        <v>0</v>
      </c>
      <c r="O961" s="44"/>
      <c r="P961" s="66"/>
      <c r="Q961" s="66"/>
      <c r="R961" s="66"/>
      <c r="S961" s="66"/>
      <c r="T961" s="138" t="str">
        <f>IFERROR(LOOKUP($S961,MOTORISTAS!$D$3:$D$916,MOTORISTAS!E$3:$E$916),"")</f>
        <v/>
      </c>
      <c r="U961" s="138" t="str">
        <f>IFERROR(LOOKUP($S961,MOTORISTAS!$D$3:$D$916,MOTORISTAS!F$3:$F$916),"")</f>
        <v/>
      </c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44"/>
      <c r="AG961" s="254">
        <f>Prog_23[[#This Row],[SAÍDA DO CLIENTE]]-Prog_23[[#This Row],[PROGRAMAÇÃO CLIENTE]]</f>
        <v>0</v>
      </c>
      <c r="AH961" s="44"/>
      <c r="AI961" s="66"/>
      <c r="AJ961" s="66"/>
      <c r="AK961" s="66"/>
      <c r="AL961" s="66"/>
      <c r="AM961" s="66"/>
      <c r="AN961" s="83"/>
      <c r="AO961" s="83"/>
      <c r="AP961" s="83"/>
      <c r="AQ961" s="66"/>
      <c r="AR961" s="66"/>
      <c r="AS961" s="66"/>
      <c r="AT961" s="81"/>
      <c r="AU961" s="81"/>
      <c r="AV961" s="81"/>
      <c r="AW961" s="81"/>
      <c r="AX961" s="83">
        <f>SUM(Prog_23[[#This Row],[ADIANTAMENTO]]+Prog_23[[#This Row],[SALDO]]+Prog_23[[#This Row],[MARGEM]]+Prog_23[[#This Row],[ESTADIA 1]])</f>
        <v>0</v>
      </c>
      <c r="AY9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61" s="81"/>
      <c r="BA961" s="81"/>
      <c r="BB961" s="81">
        <f>Prog_23[[#This Row],[VLR NF]]*0.1%</f>
        <v>0</v>
      </c>
      <c r="BC961" s="81">
        <f>Prog_23[[#This Row],[VLR NF]]*0.05%</f>
        <v>0</v>
      </c>
      <c r="BD961" s="81"/>
      <c r="BE961" s="81"/>
      <c r="BF961" s="81"/>
      <c r="BG961" s="81"/>
      <c r="BH961" s="81"/>
      <c r="BI961" s="81"/>
      <c r="BJ961" s="81"/>
      <c r="BK961" s="81"/>
      <c r="BL961" s="81"/>
      <c r="BM961" s="81"/>
      <c r="BN961" s="66"/>
      <c r="BO961" s="66"/>
      <c r="BP961" s="66"/>
      <c r="BQ961" s="66" t="str">
        <f>PROPER(TEXT(Prog_23[[#This Row],[PROGRAMAÇÃO CLIENTE]],"mmm"))</f>
        <v>Jan</v>
      </c>
      <c r="BR961" s="66">
        <f>YEAR(Prog_23[[#This Row],[PROGRAMAÇÃO CLIENTE]])</f>
        <v>1900</v>
      </c>
    </row>
    <row r="962" spans="1:70" x14ac:dyDescent="0.25">
      <c r="A962" s="201">
        <f>Prog_23[[#This Row],[CONTEINER]]</f>
        <v>0</v>
      </c>
      <c r="B962" s="86"/>
      <c r="C9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62" s="44"/>
      <c r="E962" s="66"/>
      <c r="F962" s="66"/>
      <c r="G962" s="66"/>
      <c r="H962" s="44"/>
      <c r="I962" s="44"/>
      <c r="J962" s="66"/>
      <c r="K962" s="66"/>
      <c r="L962" s="66"/>
      <c r="M962" s="66"/>
      <c r="N962" s="66">
        <f>SUM(Prog_23[[#This Row],[TARA]]+Prog_23[[#This Row],[PESO]])</f>
        <v>0</v>
      </c>
      <c r="O962" s="44"/>
      <c r="P962" s="66"/>
      <c r="Q962" s="66"/>
      <c r="R962" s="66"/>
      <c r="S962" s="66"/>
      <c r="T962" s="138" t="str">
        <f>IFERROR(LOOKUP($S962,MOTORISTAS!$D$3:$D$916,MOTORISTAS!E$3:$E$916),"")</f>
        <v/>
      </c>
      <c r="U962" s="138" t="str">
        <f>IFERROR(LOOKUP($S962,MOTORISTAS!$D$3:$D$916,MOTORISTAS!F$3:$F$916),"")</f>
        <v/>
      </c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44"/>
      <c r="AG962" s="254">
        <f>Prog_23[[#This Row],[SAÍDA DO CLIENTE]]-Prog_23[[#This Row],[PROGRAMAÇÃO CLIENTE]]</f>
        <v>0</v>
      </c>
      <c r="AH962" s="44"/>
      <c r="AI962" s="66"/>
      <c r="AJ962" s="66"/>
      <c r="AK962" s="66"/>
      <c r="AL962" s="66"/>
      <c r="AM962" s="66"/>
      <c r="AN962" s="83"/>
      <c r="AO962" s="83"/>
      <c r="AP962" s="83"/>
      <c r="AQ962" s="66"/>
      <c r="AR962" s="66"/>
      <c r="AS962" s="66"/>
      <c r="AT962" s="81"/>
      <c r="AU962" s="81"/>
      <c r="AV962" s="81"/>
      <c r="AW962" s="81"/>
      <c r="AX962" s="83">
        <f>SUM(Prog_23[[#This Row],[ADIANTAMENTO]]+Prog_23[[#This Row],[SALDO]]+Prog_23[[#This Row],[MARGEM]]+Prog_23[[#This Row],[ESTADIA 1]])</f>
        <v>0</v>
      </c>
      <c r="AY9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62" s="81"/>
      <c r="BA962" s="81"/>
      <c r="BB962" s="81">
        <f>Prog_23[[#This Row],[VLR NF]]*0.1%</f>
        <v>0</v>
      </c>
      <c r="BC962" s="81">
        <f>Prog_23[[#This Row],[VLR NF]]*0.05%</f>
        <v>0</v>
      </c>
      <c r="BD962" s="81"/>
      <c r="BE962" s="81"/>
      <c r="BF962" s="81"/>
      <c r="BG962" s="81"/>
      <c r="BH962" s="81"/>
      <c r="BI962" s="81"/>
      <c r="BJ962" s="81"/>
      <c r="BK962" s="81"/>
      <c r="BL962" s="81"/>
      <c r="BM962" s="81"/>
      <c r="BN962" s="66"/>
      <c r="BO962" s="66"/>
      <c r="BP962" s="66"/>
      <c r="BQ962" s="66" t="str">
        <f>PROPER(TEXT(Prog_23[[#This Row],[PROGRAMAÇÃO CLIENTE]],"mmm"))</f>
        <v>Jan</v>
      </c>
      <c r="BR962" s="66">
        <f>YEAR(Prog_23[[#This Row],[PROGRAMAÇÃO CLIENTE]])</f>
        <v>1900</v>
      </c>
    </row>
    <row r="963" spans="1:70" x14ac:dyDescent="0.25">
      <c r="A963" s="200">
        <f>Prog_23[[#This Row],[CONTEINER]]</f>
        <v>0</v>
      </c>
      <c r="B963" s="86"/>
      <c r="C9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63" s="44"/>
      <c r="E963" s="66"/>
      <c r="F963" s="66"/>
      <c r="G963" s="66"/>
      <c r="H963" s="44"/>
      <c r="I963" s="44"/>
      <c r="J963" s="66"/>
      <c r="K963" s="66"/>
      <c r="L963" s="66"/>
      <c r="M963" s="66"/>
      <c r="N963" s="66">
        <f>SUM(Prog_23[[#This Row],[TARA]]+Prog_23[[#This Row],[PESO]])</f>
        <v>0</v>
      </c>
      <c r="O963" s="44"/>
      <c r="P963" s="66"/>
      <c r="Q963" s="66"/>
      <c r="R963" s="66"/>
      <c r="S963" s="66"/>
      <c r="T963" s="138" t="str">
        <f>IFERROR(LOOKUP($S963,MOTORISTAS!$D$3:$D$916,MOTORISTAS!E$3:$E$916),"")</f>
        <v/>
      </c>
      <c r="U963" s="138" t="str">
        <f>IFERROR(LOOKUP($S963,MOTORISTAS!$D$3:$D$916,MOTORISTAS!F$3:$F$916),"")</f>
        <v/>
      </c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44"/>
      <c r="AG963" s="254">
        <f>Prog_23[[#This Row],[SAÍDA DO CLIENTE]]-Prog_23[[#This Row],[PROGRAMAÇÃO CLIENTE]]</f>
        <v>0</v>
      </c>
      <c r="AH963" s="44"/>
      <c r="AI963" s="66"/>
      <c r="AJ963" s="66"/>
      <c r="AK963" s="66"/>
      <c r="AL963" s="66"/>
      <c r="AM963" s="66"/>
      <c r="AN963" s="83"/>
      <c r="AO963" s="83"/>
      <c r="AP963" s="83"/>
      <c r="AQ963" s="66"/>
      <c r="AR963" s="66"/>
      <c r="AS963" s="66"/>
      <c r="AT963" s="81"/>
      <c r="AU963" s="81"/>
      <c r="AV963" s="81"/>
      <c r="AW963" s="81"/>
      <c r="AX963" s="83">
        <f>SUM(Prog_23[[#This Row],[ADIANTAMENTO]]+Prog_23[[#This Row],[SALDO]]+Prog_23[[#This Row],[MARGEM]]+Prog_23[[#This Row],[ESTADIA 1]])</f>
        <v>0</v>
      </c>
      <c r="AY9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63" s="81"/>
      <c r="BA963" s="81"/>
      <c r="BB963" s="81">
        <f>Prog_23[[#This Row],[VLR NF]]*0.1%</f>
        <v>0</v>
      </c>
      <c r="BC963" s="81">
        <f>Prog_23[[#This Row],[VLR NF]]*0.05%</f>
        <v>0</v>
      </c>
      <c r="BD963" s="81"/>
      <c r="BE963" s="81"/>
      <c r="BF963" s="81"/>
      <c r="BG963" s="81"/>
      <c r="BH963" s="81"/>
      <c r="BI963" s="81"/>
      <c r="BJ963" s="81"/>
      <c r="BK963" s="81"/>
      <c r="BL963" s="81"/>
      <c r="BM963" s="81"/>
      <c r="BN963" s="66"/>
      <c r="BO963" s="66"/>
      <c r="BP963" s="66"/>
      <c r="BQ963" s="66" t="str">
        <f>PROPER(TEXT(Prog_23[[#This Row],[PROGRAMAÇÃO CLIENTE]],"mmm"))</f>
        <v>Jan</v>
      </c>
      <c r="BR963" s="66">
        <f>YEAR(Prog_23[[#This Row],[PROGRAMAÇÃO CLIENTE]])</f>
        <v>1900</v>
      </c>
    </row>
    <row r="964" spans="1:70" x14ac:dyDescent="0.25">
      <c r="A964" s="201">
        <f>Prog_23[[#This Row],[CONTEINER]]</f>
        <v>0</v>
      </c>
      <c r="B964" s="86"/>
      <c r="C9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64" s="44"/>
      <c r="E964" s="66"/>
      <c r="F964" s="66"/>
      <c r="G964" s="66"/>
      <c r="H964" s="44"/>
      <c r="I964" s="44"/>
      <c r="J964" s="66"/>
      <c r="K964" s="66"/>
      <c r="L964" s="66"/>
      <c r="M964" s="66"/>
      <c r="N964" s="66">
        <f>SUM(Prog_23[[#This Row],[TARA]]+Prog_23[[#This Row],[PESO]])</f>
        <v>0</v>
      </c>
      <c r="O964" s="44"/>
      <c r="P964" s="66"/>
      <c r="Q964" s="66"/>
      <c r="R964" s="66"/>
      <c r="S964" s="66"/>
      <c r="T964" s="138" t="str">
        <f>IFERROR(LOOKUP($S964,MOTORISTAS!$D$3:$D$916,MOTORISTAS!E$3:$E$916),"")</f>
        <v/>
      </c>
      <c r="U964" s="138" t="str">
        <f>IFERROR(LOOKUP($S964,MOTORISTAS!$D$3:$D$916,MOTORISTAS!F$3:$F$916),"")</f>
        <v/>
      </c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44"/>
      <c r="AG964" s="254">
        <f>Prog_23[[#This Row],[SAÍDA DO CLIENTE]]-Prog_23[[#This Row],[PROGRAMAÇÃO CLIENTE]]</f>
        <v>0</v>
      </c>
      <c r="AH964" s="44"/>
      <c r="AI964" s="66"/>
      <c r="AJ964" s="66"/>
      <c r="AK964" s="66"/>
      <c r="AL964" s="66"/>
      <c r="AM964" s="66"/>
      <c r="AN964" s="83"/>
      <c r="AO964" s="83"/>
      <c r="AP964" s="83"/>
      <c r="AQ964" s="66"/>
      <c r="AR964" s="66"/>
      <c r="AS964" s="66"/>
      <c r="AT964" s="81"/>
      <c r="AU964" s="81"/>
      <c r="AV964" s="81"/>
      <c r="AW964" s="81"/>
      <c r="AX964" s="83">
        <f>SUM(Prog_23[[#This Row],[ADIANTAMENTO]]+Prog_23[[#This Row],[SALDO]]+Prog_23[[#This Row],[MARGEM]]+Prog_23[[#This Row],[ESTADIA 1]])</f>
        <v>0</v>
      </c>
      <c r="AY9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64" s="81"/>
      <c r="BA964" s="81"/>
      <c r="BB964" s="81">
        <f>Prog_23[[#This Row],[VLR NF]]*0.1%</f>
        <v>0</v>
      </c>
      <c r="BC964" s="81">
        <f>Prog_23[[#This Row],[VLR NF]]*0.05%</f>
        <v>0</v>
      </c>
      <c r="BD964" s="81"/>
      <c r="BE964" s="81"/>
      <c r="BF964" s="81"/>
      <c r="BG964" s="81"/>
      <c r="BH964" s="81"/>
      <c r="BI964" s="81"/>
      <c r="BJ964" s="81"/>
      <c r="BK964" s="81"/>
      <c r="BL964" s="81"/>
      <c r="BM964" s="81"/>
      <c r="BN964" s="66"/>
      <c r="BO964" s="66"/>
      <c r="BP964" s="66"/>
      <c r="BQ964" s="66" t="str">
        <f>PROPER(TEXT(Prog_23[[#This Row],[PROGRAMAÇÃO CLIENTE]],"mmm"))</f>
        <v>Jan</v>
      </c>
      <c r="BR964" s="66">
        <f>YEAR(Prog_23[[#This Row],[PROGRAMAÇÃO CLIENTE]])</f>
        <v>1900</v>
      </c>
    </row>
    <row r="965" spans="1:70" x14ac:dyDescent="0.25">
      <c r="A965" s="200">
        <f>Prog_23[[#This Row],[CONTEINER]]</f>
        <v>0</v>
      </c>
      <c r="B965" s="86"/>
      <c r="C9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65" s="44"/>
      <c r="E965" s="66"/>
      <c r="F965" s="66"/>
      <c r="G965" s="66"/>
      <c r="H965" s="44"/>
      <c r="I965" s="44"/>
      <c r="J965" s="66"/>
      <c r="K965" s="66"/>
      <c r="L965" s="66"/>
      <c r="M965" s="66"/>
      <c r="N965" s="66">
        <f>SUM(Prog_23[[#This Row],[TARA]]+Prog_23[[#This Row],[PESO]])</f>
        <v>0</v>
      </c>
      <c r="O965" s="44"/>
      <c r="P965" s="66"/>
      <c r="Q965" s="66"/>
      <c r="R965" s="66"/>
      <c r="S965" s="66"/>
      <c r="T965" s="138" t="str">
        <f>IFERROR(LOOKUP($S965,MOTORISTAS!$D$3:$D$916,MOTORISTAS!E$3:$E$916),"")</f>
        <v/>
      </c>
      <c r="U965" s="138" t="str">
        <f>IFERROR(LOOKUP($S965,MOTORISTAS!$D$3:$D$916,MOTORISTAS!F$3:$F$916),"")</f>
        <v/>
      </c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44"/>
      <c r="AG965" s="254">
        <f>Prog_23[[#This Row],[SAÍDA DO CLIENTE]]-Prog_23[[#This Row],[PROGRAMAÇÃO CLIENTE]]</f>
        <v>0</v>
      </c>
      <c r="AH965" s="44"/>
      <c r="AI965" s="66"/>
      <c r="AJ965" s="66"/>
      <c r="AK965" s="66"/>
      <c r="AL965" s="66"/>
      <c r="AM965" s="66"/>
      <c r="AN965" s="83"/>
      <c r="AO965" s="83"/>
      <c r="AP965" s="83"/>
      <c r="AQ965" s="66"/>
      <c r="AR965" s="66"/>
      <c r="AS965" s="66"/>
      <c r="AT965" s="81"/>
      <c r="AU965" s="81"/>
      <c r="AV965" s="81"/>
      <c r="AW965" s="81"/>
      <c r="AX965" s="83">
        <f>SUM(Prog_23[[#This Row],[ADIANTAMENTO]]+Prog_23[[#This Row],[SALDO]]+Prog_23[[#This Row],[MARGEM]]+Prog_23[[#This Row],[ESTADIA 1]])</f>
        <v>0</v>
      </c>
      <c r="AY9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65" s="81"/>
      <c r="BA965" s="81"/>
      <c r="BB965" s="81">
        <f>Prog_23[[#This Row],[VLR NF]]*0.1%</f>
        <v>0</v>
      </c>
      <c r="BC965" s="81">
        <f>Prog_23[[#This Row],[VLR NF]]*0.05%</f>
        <v>0</v>
      </c>
      <c r="BD965" s="81"/>
      <c r="BE965" s="81"/>
      <c r="BF965" s="81"/>
      <c r="BG965" s="81"/>
      <c r="BH965" s="81"/>
      <c r="BI965" s="81"/>
      <c r="BJ965" s="81"/>
      <c r="BK965" s="81"/>
      <c r="BL965" s="81"/>
      <c r="BM965" s="81"/>
      <c r="BN965" s="66"/>
      <c r="BO965" s="66"/>
      <c r="BP965" s="66"/>
      <c r="BQ965" s="66" t="str">
        <f>PROPER(TEXT(Prog_23[[#This Row],[PROGRAMAÇÃO CLIENTE]],"mmm"))</f>
        <v>Jan</v>
      </c>
      <c r="BR965" s="66">
        <f>YEAR(Prog_23[[#This Row],[PROGRAMAÇÃO CLIENTE]])</f>
        <v>1900</v>
      </c>
    </row>
    <row r="966" spans="1:70" x14ac:dyDescent="0.25">
      <c r="A966" s="201">
        <f>Prog_23[[#This Row],[CONTEINER]]</f>
        <v>0</v>
      </c>
      <c r="B966" s="86"/>
      <c r="C9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66" s="44"/>
      <c r="E966" s="66"/>
      <c r="F966" s="66"/>
      <c r="G966" s="66"/>
      <c r="H966" s="44"/>
      <c r="I966" s="44"/>
      <c r="J966" s="66"/>
      <c r="K966" s="66"/>
      <c r="L966" s="66"/>
      <c r="M966" s="66"/>
      <c r="N966" s="66">
        <f>SUM(Prog_23[[#This Row],[TARA]]+Prog_23[[#This Row],[PESO]])</f>
        <v>0</v>
      </c>
      <c r="O966" s="44"/>
      <c r="P966" s="66"/>
      <c r="Q966" s="66"/>
      <c r="R966" s="66"/>
      <c r="S966" s="66"/>
      <c r="T966" s="138" t="str">
        <f>IFERROR(LOOKUP($S966,MOTORISTAS!$D$3:$D$916,MOTORISTAS!E$3:$E$916),"")</f>
        <v/>
      </c>
      <c r="U966" s="138" t="str">
        <f>IFERROR(LOOKUP($S966,MOTORISTAS!$D$3:$D$916,MOTORISTAS!F$3:$F$916),"")</f>
        <v/>
      </c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44"/>
      <c r="AG966" s="254">
        <f>Prog_23[[#This Row],[SAÍDA DO CLIENTE]]-Prog_23[[#This Row],[PROGRAMAÇÃO CLIENTE]]</f>
        <v>0</v>
      </c>
      <c r="AH966" s="44"/>
      <c r="AI966" s="66"/>
      <c r="AJ966" s="66"/>
      <c r="AK966" s="66"/>
      <c r="AL966" s="66"/>
      <c r="AM966" s="66"/>
      <c r="AN966" s="83"/>
      <c r="AO966" s="83"/>
      <c r="AP966" s="83"/>
      <c r="AQ966" s="66"/>
      <c r="AR966" s="66"/>
      <c r="AS966" s="66"/>
      <c r="AT966" s="81"/>
      <c r="AU966" s="81"/>
      <c r="AV966" s="81"/>
      <c r="AW966" s="81"/>
      <c r="AX966" s="83">
        <f>SUM(Prog_23[[#This Row],[ADIANTAMENTO]]+Prog_23[[#This Row],[SALDO]]+Prog_23[[#This Row],[MARGEM]]+Prog_23[[#This Row],[ESTADIA 1]])</f>
        <v>0</v>
      </c>
      <c r="AY9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66" s="81"/>
      <c r="BA966" s="81"/>
      <c r="BB966" s="81">
        <f>Prog_23[[#This Row],[VLR NF]]*0.1%</f>
        <v>0</v>
      </c>
      <c r="BC966" s="81">
        <f>Prog_23[[#This Row],[VLR NF]]*0.05%</f>
        <v>0</v>
      </c>
      <c r="BD966" s="81"/>
      <c r="BE966" s="81"/>
      <c r="BF966" s="81"/>
      <c r="BG966" s="81"/>
      <c r="BH966" s="81"/>
      <c r="BI966" s="81"/>
      <c r="BJ966" s="81"/>
      <c r="BK966" s="81"/>
      <c r="BL966" s="81"/>
      <c r="BM966" s="81"/>
      <c r="BN966" s="66"/>
      <c r="BO966" s="66"/>
      <c r="BP966" s="66"/>
      <c r="BQ966" s="66" t="str">
        <f>PROPER(TEXT(Prog_23[[#This Row],[PROGRAMAÇÃO CLIENTE]],"mmm"))</f>
        <v>Jan</v>
      </c>
      <c r="BR966" s="66">
        <f>YEAR(Prog_23[[#This Row],[PROGRAMAÇÃO CLIENTE]])</f>
        <v>1900</v>
      </c>
    </row>
    <row r="967" spans="1:70" x14ac:dyDescent="0.25">
      <c r="A967" s="200">
        <f>Prog_23[[#This Row],[CONTEINER]]</f>
        <v>0</v>
      </c>
      <c r="B967" s="86"/>
      <c r="C9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67" s="44"/>
      <c r="E967" s="66"/>
      <c r="F967" s="66"/>
      <c r="G967" s="66"/>
      <c r="H967" s="44"/>
      <c r="I967" s="44"/>
      <c r="J967" s="66"/>
      <c r="K967" s="66"/>
      <c r="L967" s="66"/>
      <c r="M967" s="66"/>
      <c r="N967" s="66">
        <f>SUM(Prog_23[[#This Row],[TARA]]+Prog_23[[#This Row],[PESO]])</f>
        <v>0</v>
      </c>
      <c r="O967" s="44"/>
      <c r="P967" s="66"/>
      <c r="Q967" s="66"/>
      <c r="R967" s="66"/>
      <c r="S967" s="66"/>
      <c r="T967" s="138" t="str">
        <f>IFERROR(LOOKUP($S967,MOTORISTAS!$D$3:$D$916,MOTORISTAS!E$3:$E$916),"")</f>
        <v/>
      </c>
      <c r="U967" s="138" t="str">
        <f>IFERROR(LOOKUP($S967,MOTORISTAS!$D$3:$D$916,MOTORISTAS!F$3:$F$916),"")</f>
        <v/>
      </c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44"/>
      <c r="AG967" s="254">
        <f>Prog_23[[#This Row],[SAÍDA DO CLIENTE]]-Prog_23[[#This Row],[PROGRAMAÇÃO CLIENTE]]</f>
        <v>0</v>
      </c>
      <c r="AH967" s="44"/>
      <c r="AI967" s="66"/>
      <c r="AJ967" s="66"/>
      <c r="AK967" s="66"/>
      <c r="AL967" s="66"/>
      <c r="AM967" s="66"/>
      <c r="AN967" s="83"/>
      <c r="AO967" s="83"/>
      <c r="AP967" s="83"/>
      <c r="AQ967" s="66"/>
      <c r="AR967" s="66"/>
      <c r="AS967" s="66"/>
      <c r="AT967" s="81"/>
      <c r="AU967" s="81"/>
      <c r="AV967" s="81"/>
      <c r="AW967" s="81"/>
      <c r="AX967" s="83">
        <f>SUM(Prog_23[[#This Row],[ADIANTAMENTO]]+Prog_23[[#This Row],[SALDO]]+Prog_23[[#This Row],[MARGEM]]+Prog_23[[#This Row],[ESTADIA 1]])</f>
        <v>0</v>
      </c>
      <c r="AY9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67" s="81"/>
      <c r="BA967" s="81"/>
      <c r="BB967" s="81">
        <f>Prog_23[[#This Row],[VLR NF]]*0.1%</f>
        <v>0</v>
      </c>
      <c r="BC967" s="81">
        <f>Prog_23[[#This Row],[VLR NF]]*0.05%</f>
        <v>0</v>
      </c>
      <c r="BD967" s="81"/>
      <c r="BE967" s="81"/>
      <c r="BF967" s="81"/>
      <c r="BG967" s="81"/>
      <c r="BH967" s="81"/>
      <c r="BI967" s="81"/>
      <c r="BJ967" s="81"/>
      <c r="BK967" s="81"/>
      <c r="BL967" s="81"/>
      <c r="BM967" s="81"/>
      <c r="BN967" s="66"/>
      <c r="BO967" s="66"/>
      <c r="BP967" s="66"/>
      <c r="BQ967" s="66" t="str">
        <f>PROPER(TEXT(Prog_23[[#This Row],[PROGRAMAÇÃO CLIENTE]],"mmm"))</f>
        <v>Jan</v>
      </c>
      <c r="BR967" s="66">
        <f>YEAR(Prog_23[[#This Row],[PROGRAMAÇÃO CLIENTE]])</f>
        <v>1900</v>
      </c>
    </row>
    <row r="968" spans="1:70" x14ac:dyDescent="0.25">
      <c r="A968" s="201">
        <f>Prog_23[[#This Row],[CONTEINER]]</f>
        <v>0</v>
      </c>
      <c r="B968" s="86"/>
      <c r="C9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68" s="44"/>
      <c r="E968" s="66"/>
      <c r="F968" s="66"/>
      <c r="G968" s="66"/>
      <c r="H968" s="44"/>
      <c r="I968" s="44"/>
      <c r="J968" s="66"/>
      <c r="K968" s="66"/>
      <c r="L968" s="66"/>
      <c r="M968" s="66"/>
      <c r="N968" s="66">
        <f>SUM(Prog_23[[#This Row],[TARA]]+Prog_23[[#This Row],[PESO]])</f>
        <v>0</v>
      </c>
      <c r="O968" s="44"/>
      <c r="P968" s="66"/>
      <c r="Q968" s="66"/>
      <c r="R968" s="66"/>
      <c r="S968" s="66"/>
      <c r="T968" s="138" t="str">
        <f>IFERROR(LOOKUP($S968,MOTORISTAS!$D$3:$D$916,MOTORISTAS!E$3:$E$916),"")</f>
        <v/>
      </c>
      <c r="U968" s="138" t="str">
        <f>IFERROR(LOOKUP($S968,MOTORISTAS!$D$3:$D$916,MOTORISTAS!F$3:$F$916),"")</f>
        <v/>
      </c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44"/>
      <c r="AG968" s="254">
        <f>Prog_23[[#This Row],[SAÍDA DO CLIENTE]]-Prog_23[[#This Row],[PROGRAMAÇÃO CLIENTE]]</f>
        <v>0</v>
      </c>
      <c r="AH968" s="44"/>
      <c r="AI968" s="66"/>
      <c r="AJ968" s="66"/>
      <c r="AK968" s="66"/>
      <c r="AL968" s="66"/>
      <c r="AM968" s="66"/>
      <c r="AN968" s="83"/>
      <c r="AO968" s="83"/>
      <c r="AP968" s="83"/>
      <c r="AQ968" s="66"/>
      <c r="AR968" s="66"/>
      <c r="AS968" s="66"/>
      <c r="AT968" s="81"/>
      <c r="AU968" s="81"/>
      <c r="AV968" s="81"/>
      <c r="AW968" s="81"/>
      <c r="AX968" s="83">
        <f>SUM(Prog_23[[#This Row],[ADIANTAMENTO]]+Prog_23[[#This Row],[SALDO]]+Prog_23[[#This Row],[MARGEM]]+Prog_23[[#This Row],[ESTADIA 1]])</f>
        <v>0</v>
      </c>
      <c r="AY9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68" s="81"/>
      <c r="BA968" s="81"/>
      <c r="BB968" s="81">
        <f>Prog_23[[#This Row],[VLR NF]]*0.1%</f>
        <v>0</v>
      </c>
      <c r="BC968" s="81">
        <f>Prog_23[[#This Row],[VLR NF]]*0.05%</f>
        <v>0</v>
      </c>
      <c r="BD968" s="81"/>
      <c r="BE968" s="81"/>
      <c r="BF968" s="81"/>
      <c r="BG968" s="81"/>
      <c r="BH968" s="81"/>
      <c r="BI968" s="81"/>
      <c r="BJ968" s="81"/>
      <c r="BK968" s="81"/>
      <c r="BL968" s="81"/>
      <c r="BM968" s="81"/>
      <c r="BN968" s="66"/>
      <c r="BO968" s="66"/>
      <c r="BP968" s="66"/>
      <c r="BQ968" s="66" t="str">
        <f>PROPER(TEXT(Prog_23[[#This Row],[PROGRAMAÇÃO CLIENTE]],"mmm"))</f>
        <v>Jan</v>
      </c>
      <c r="BR968" s="66">
        <f>YEAR(Prog_23[[#This Row],[PROGRAMAÇÃO CLIENTE]])</f>
        <v>1900</v>
      </c>
    </row>
    <row r="969" spans="1:70" x14ac:dyDescent="0.25">
      <c r="A969" s="200">
        <f>Prog_23[[#This Row],[CONTEINER]]</f>
        <v>0</v>
      </c>
      <c r="B969" s="86"/>
      <c r="C9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69" s="44"/>
      <c r="E969" s="66"/>
      <c r="F969" s="66"/>
      <c r="G969" s="66"/>
      <c r="H969" s="44"/>
      <c r="I969" s="44"/>
      <c r="J969" s="66"/>
      <c r="K969" s="66"/>
      <c r="L969" s="66"/>
      <c r="M969" s="66"/>
      <c r="N969" s="66">
        <f>SUM(Prog_23[[#This Row],[TARA]]+Prog_23[[#This Row],[PESO]])</f>
        <v>0</v>
      </c>
      <c r="O969" s="44"/>
      <c r="P969" s="66"/>
      <c r="Q969" s="66"/>
      <c r="R969" s="66"/>
      <c r="S969" s="66"/>
      <c r="T969" s="138" t="str">
        <f>IFERROR(LOOKUP($S969,MOTORISTAS!$D$3:$D$916,MOTORISTAS!E$3:$E$916),"")</f>
        <v/>
      </c>
      <c r="U969" s="138" t="str">
        <f>IFERROR(LOOKUP($S969,MOTORISTAS!$D$3:$D$916,MOTORISTAS!F$3:$F$916),"")</f>
        <v/>
      </c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44"/>
      <c r="AG969" s="254">
        <f>Prog_23[[#This Row],[SAÍDA DO CLIENTE]]-Prog_23[[#This Row],[PROGRAMAÇÃO CLIENTE]]</f>
        <v>0</v>
      </c>
      <c r="AH969" s="44"/>
      <c r="AI969" s="66"/>
      <c r="AJ969" s="66"/>
      <c r="AK969" s="66"/>
      <c r="AL969" s="66"/>
      <c r="AM969" s="66"/>
      <c r="AN969" s="83"/>
      <c r="AO969" s="83"/>
      <c r="AP969" s="83"/>
      <c r="AQ969" s="66"/>
      <c r="AR969" s="66"/>
      <c r="AS969" s="66"/>
      <c r="AT969" s="81"/>
      <c r="AU969" s="81"/>
      <c r="AV969" s="81"/>
      <c r="AW969" s="81"/>
      <c r="AX969" s="83">
        <f>SUM(Prog_23[[#This Row],[ADIANTAMENTO]]+Prog_23[[#This Row],[SALDO]]+Prog_23[[#This Row],[MARGEM]]+Prog_23[[#This Row],[ESTADIA 1]])</f>
        <v>0</v>
      </c>
      <c r="AY9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69" s="81"/>
      <c r="BA969" s="81"/>
      <c r="BB969" s="81">
        <f>Prog_23[[#This Row],[VLR NF]]*0.1%</f>
        <v>0</v>
      </c>
      <c r="BC969" s="81">
        <f>Prog_23[[#This Row],[VLR NF]]*0.05%</f>
        <v>0</v>
      </c>
      <c r="BD969" s="81"/>
      <c r="BE969" s="81"/>
      <c r="BF969" s="81"/>
      <c r="BG969" s="81"/>
      <c r="BH969" s="81"/>
      <c r="BI969" s="81"/>
      <c r="BJ969" s="81"/>
      <c r="BK969" s="81"/>
      <c r="BL969" s="81"/>
      <c r="BM969" s="81"/>
      <c r="BN969" s="66"/>
      <c r="BO969" s="66"/>
      <c r="BP969" s="66"/>
      <c r="BQ969" s="66" t="str">
        <f>PROPER(TEXT(Prog_23[[#This Row],[PROGRAMAÇÃO CLIENTE]],"mmm"))</f>
        <v>Jan</v>
      </c>
      <c r="BR969" s="66">
        <f>YEAR(Prog_23[[#This Row],[PROGRAMAÇÃO CLIENTE]])</f>
        <v>1900</v>
      </c>
    </row>
    <row r="970" spans="1:70" x14ac:dyDescent="0.25">
      <c r="A970" s="201">
        <f>Prog_23[[#This Row],[CONTEINER]]</f>
        <v>0</v>
      </c>
      <c r="B970" s="86"/>
      <c r="C9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70" s="44"/>
      <c r="E970" s="66"/>
      <c r="F970" s="66"/>
      <c r="G970" s="66"/>
      <c r="H970" s="44"/>
      <c r="I970" s="44"/>
      <c r="J970" s="66"/>
      <c r="K970" s="66"/>
      <c r="L970" s="66"/>
      <c r="M970" s="66"/>
      <c r="N970" s="66">
        <f>SUM(Prog_23[[#This Row],[TARA]]+Prog_23[[#This Row],[PESO]])</f>
        <v>0</v>
      </c>
      <c r="O970" s="44"/>
      <c r="P970" s="66"/>
      <c r="Q970" s="66"/>
      <c r="R970" s="66"/>
      <c r="S970" s="66"/>
      <c r="T970" s="138" t="str">
        <f>IFERROR(LOOKUP($S970,MOTORISTAS!$D$3:$D$916,MOTORISTAS!E$3:$E$916),"")</f>
        <v/>
      </c>
      <c r="U970" s="138" t="str">
        <f>IFERROR(LOOKUP($S970,MOTORISTAS!$D$3:$D$916,MOTORISTAS!F$3:$F$916),"")</f>
        <v/>
      </c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44"/>
      <c r="AG970" s="254">
        <f>Prog_23[[#This Row],[SAÍDA DO CLIENTE]]-Prog_23[[#This Row],[PROGRAMAÇÃO CLIENTE]]</f>
        <v>0</v>
      </c>
      <c r="AH970" s="44"/>
      <c r="AI970" s="66"/>
      <c r="AJ970" s="66"/>
      <c r="AK970" s="66"/>
      <c r="AL970" s="66"/>
      <c r="AM970" s="66"/>
      <c r="AN970" s="83"/>
      <c r="AO970" s="83"/>
      <c r="AP970" s="83"/>
      <c r="AQ970" s="66"/>
      <c r="AR970" s="66"/>
      <c r="AS970" s="66"/>
      <c r="AT970" s="81"/>
      <c r="AU970" s="81"/>
      <c r="AV970" s="81"/>
      <c r="AW970" s="81"/>
      <c r="AX970" s="83">
        <f>SUM(Prog_23[[#This Row],[ADIANTAMENTO]]+Prog_23[[#This Row],[SALDO]]+Prog_23[[#This Row],[MARGEM]]+Prog_23[[#This Row],[ESTADIA 1]])</f>
        <v>0</v>
      </c>
      <c r="AY9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70" s="81"/>
      <c r="BA970" s="81"/>
      <c r="BB970" s="81">
        <f>Prog_23[[#This Row],[VLR NF]]*0.1%</f>
        <v>0</v>
      </c>
      <c r="BC970" s="81">
        <f>Prog_23[[#This Row],[VLR NF]]*0.05%</f>
        <v>0</v>
      </c>
      <c r="BD970" s="81"/>
      <c r="BE970" s="81"/>
      <c r="BF970" s="81"/>
      <c r="BG970" s="81"/>
      <c r="BH970" s="81"/>
      <c r="BI970" s="81"/>
      <c r="BJ970" s="81"/>
      <c r="BK970" s="81"/>
      <c r="BL970" s="81"/>
      <c r="BM970" s="81"/>
      <c r="BN970" s="66"/>
      <c r="BO970" s="66"/>
      <c r="BP970" s="66"/>
      <c r="BQ970" s="66" t="str">
        <f>PROPER(TEXT(Prog_23[[#This Row],[PROGRAMAÇÃO CLIENTE]],"mmm"))</f>
        <v>Jan</v>
      </c>
      <c r="BR970" s="66">
        <f>YEAR(Prog_23[[#This Row],[PROGRAMAÇÃO CLIENTE]])</f>
        <v>1900</v>
      </c>
    </row>
    <row r="971" spans="1:70" x14ac:dyDescent="0.25">
      <c r="A971" s="200">
        <f>Prog_23[[#This Row],[CONTEINER]]</f>
        <v>0</v>
      </c>
      <c r="B971" s="86"/>
      <c r="C9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71" s="44"/>
      <c r="E971" s="66"/>
      <c r="F971" s="66"/>
      <c r="G971" s="66"/>
      <c r="H971" s="44"/>
      <c r="I971" s="44"/>
      <c r="J971" s="66"/>
      <c r="K971" s="66"/>
      <c r="L971" s="66"/>
      <c r="M971" s="66"/>
      <c r="N971" s="66">
        <f>SUM(Prog_23[[#This Row],[TARA]]+Prog_23[[#This Row],[PESO]])</f>
        <v>0</v>
      </c>
      <c r="O971" s="44"/>
      <c r="P971" s="66"/>
      <c r="Q971" s="66"/>
      <c r="R971" s="66"/>
      <c r="S971" s="66"/>
      <c r="T971" s="138" t="str">
        <f>IFERROR(LOOKUP($S971,MOTORISTAS!$D$3:$D$916,MOTORISTAS!E$3:$E$916),"")</f>
        <v/>
      </c>
      <c r="U971" s="138" t="str">
        <f>IFERROR(LOOKUP($S971,MOTORISTAS!$D$3:$D$916,MOTORISTAS!F$3:$F$916),"")</f>
        <v/>
      </c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44"/>
      <c r="AG971" s="254">
        <f>Prog_23[[#This Row],[SAÍDA DO CLIENTE]]-Prog_23[[#This Row],[PROGRAMAÇÃO CLIENTE]]</f>
        <v>0</v>
      </c>
      <c r="AH971" s="44"/>
      <c r="AI971" s="66"/>
      <c r="AJ971" s="66"/>
      <c r="AK971" s="66"/>
      <c r="AL971" s="66"/>
      <c r="AM971" s="66"/>
      <c r="AN971" s="83"/>
      <c r="AO971" s="83"/>
      <c r="AP971" s="83"/>
      <c r="AQ971" s="66"/>
      <c r="AR971" s="66"/>
      <c r="AS971" s="66"/>
      <c r="AT971" s="81"/>
      <c r="AU971" s="81"/>
      <c r="AV971" s="81"/>
      <c r="AW971" s="81"/>
      <c r="AX971" s="83">
        <f>SUM(Prog_23[[#This Row],[ADIANTAMENTO]]+Prog_23[[#This Row],[SALDO]]+Prog_23[[#This Row],[MARGEM]]+Prog_23[[#This Row],[ESTADIA 1]])</f>
        <v>0</v>
      </c>
      <c r="AY9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71" s="81"/>
      <c r="BA971" s="81"/>
      <c r="BB971" s="81">
        <f>Prog_23[[#This Row],[VLR NF]]*0.1%</f>
        <v>0</v>
      </c>
      <c r="BC971" s="81">
        <f>Prog_23[[#This Row],[VLR NF]]*0.05%</f>
        <v>0</v>
      </c>
      <c r="BD971" s="81"/>
      <c r="BE971" s="81"/>
      <c r="BF971" s="81"/>
      <c r="BG971" s="81"/>
      <c r="BH971" s="81"/>
      <c r="BI971" s="81"/>
      <c r="BJ971" s="81"/>
      <c r="BK971" s="81"/>
      <c r="BL971" s="81"/>
      <c r="BM971" s="81"/>
      <c r="BN971" s="66"/>
      <c r="BO971" s="66"/>
      <c r="BP971" s="66"/>
      <c r="BQ971" s="66" t="str">
        <f>PROPER(TEXT(Prog_23[[#This Row],[PROGRAMAÇÃO CLIENTE]],"mmm"))</f>
        <v>Jan</v>
      </c>
      <c r="BR971" s="66">
        <f>YEAR(Prog_23[[#This Row],[PROGRAMAÇÃO CLIENTE]])</f>
        <v>1900</v>
      </c>
    </row>
    <row r="972" spans="1:70" x14ac:dyDescent="0.25">
      <c r="A972" s="201">
        <f>Prog_23[[#This Row],[CONTEINER]]</f>
        <v>0</v>
      </c>
      <c r="B972" s="86"/>
      <c r="C9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72" s="44"/>
      <c r="E972" s="66"/>
      <c r="F972" s="66"/>
      <c r="G972" s="66"/>
      <c r="H972" s="44"/>
      <c r="I972" s="44"/>
      <c r="J972" s="66"/>
      <c r="K972" s="66"/>
      <c r="L972" s="66"/>
      <c r="M972" s="66"/>
      <c r="N972" s="66">
        <f>SUM(Prog_23[[#This Row],[TARA]]+Prog_23[[#This Row],[PESO]])</f>
        <v>0</v>
      </c>
      <c r="O972" s="44"/>
      <c r="P972" s="66"/>
      <c r="Q972" s="66"/>
      <c r="R972" s="66"/>
      <c r="S972" s="66"/>
      <c r="T972" s="138" t="str">
        <f>IFERROR(LOOKUP($S972,MOTORISTAS!$D$3:$D$916,MOTORISTAS!E$3:$E$916),"")</f>
        <v/>
      </c>
      <c r="U972" s="138" t="str">
        <f>IFERROR(LOOKUP($S972,MOTORISTAS!$D$3:$D$916,MOTORISTAS!F$3:$F$916),"")</f>
        <v/>
      </c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44"/>
      <c r="AG972" s="254">
        <f>Prog_23[[#This Row],[SAÍDA DO CLIENTE]]-Prog_23[[#This Row],[PROGRAMAÇÃO CLIENTE]]</f>
        <v>0</v>
      </c>
      <c r="AH972" s="44"/>
      <c r="AI972" s="66"/>
      <c r="AJ972" s="66"/>
      <c r="AK972" s="66"/>
      <c r="AL972" s="66"/>
      <c r="AM972" s="66"/>
      <c r="AN972" s="83"/>
      <c r="AO972" s="83"/>
      <c r="AP972" s="83"/>
      <c r="AQ972" s="66"/>
      <c r="AR972" s="66"/>
      <c r="AS972" s="66"/>
      <c r="AT972" s="81"/>
      <c r="AU972" s="81"/>
      <c r="AV972" s="81"/>
      <c r="AW972" s="81"/>
      <c r="AX972" s="83">
        <f>SUM(Prog_23[[#This Row],[ADIANTAMENTO]]+Prog_23[[#This Row],[SALDO]]+Prog_23[[#This Row],[MARGEM]]+Prog_23[[#This Row],[ESTADIA 1]])</f>
        <v>0</v>
      </c>
      <c r="AY9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72" s="81"/>
      <c r="BA972" s="81"/>
      <c r="BB972" s="81">
        <f>Prog_23[[#This Row],[VLR NF]]*0.1%</f>
        <v>0</v>
      </c>
      <c r="BC972" s="81">
        <f>Prog_23[[#This Row],[VLR NF]]*0.05%</f>
        <v>0</v>
      </c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66"/>
      <c r="BO972" s="66"/>
      <c r="BP972" s="66"/>
      <c r="BQ972" s="66" t="str">
        <f>PROPER(TEXT(Prog_23[[#This Row],[PROGRAMAÇÃO CLIENTE]],"mmm"))</f>
        <v>Jan</v>
      </c>
      <c r="BR972" s="66">
        <f>YEAR(Prog_23[[#This Row],[PROGRAMAÇÃO CLIENTE]])</f>
        <v>1900</v>
      </c>
    </row>
    <row r="973" spans="1:70" x14ac:dyDescent="0.25">
      <c r="A973" s="200">
        <f>Prog_23[[#This Row],[CONTEINER]]</f>
        <v>0</v>
      </c>
      <c r="B973" s="86"/>
      <c r="C9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73" s="44"/>
      <c r="E973" s="66"/>
      <c r="F973" s="66"/>
      <c r="G973" s="66"/>
      <c r="H973" s="44"/>
      <c r="I973" s="44"/>
      <c r="J973" s="66"/>
      <c r="K973" s="66"/>
      <c r="L973" s="66"/>
      <c r="M973" s="66"/>
      <c r="N973" s="66">
        <f>SUM(Prog_23[[#This Row],[TARA]]+Prog_23[[#This Row],[PESO]])</f>
        <v>0</v>
      </c>
      <c r="O973" s="44"/>
      <c r="P973" s="66"/>
      <c r="Q973" s="66"/>
      <c r="R973" s="66"/>
      <c r="S973" s="66"/>
      <c r="T973" s="138" t="str">
        <f>IFERROR(LOOKUP($S973,MOTORISTAS!$D$3:$D$916,MOTORISTAS!E$3:$E$916),"")</f>
        <v/>
      </c>
      <c r="U973" s="138" t="str">
        <f>IFERROR(LOOKUP($S973,MOTORISTAS!$D$3:$D$916,MOTORISTAS!F$3:$F$916),"")</f>
        <v/>
      </c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44"/>
      <c r="AG973" s="254">
        <f>Prog_23[[#This Row],[SAÍDA DO CLIENTE]]-Prog_23[[#This Row],[PROGRAMAÇÃO CLIENTE]]</f>
        <v>0</v>
      </c>
      <c r="AH973" s="44"/>
      <c r="AI973" s="66"/>
      <c r="AJ973" s="66"/>
      <c r="AK973" s="66"/>
      <c r="AL973" s="66"/>
      <c r="AM973" s="66"/>
      <c r="AN973" s="83"/>
      <c r="AO973" s="83"/>
      <c r="AP973" s="83"/>
      <c r="AQ973" s="66"/>
      <c r="AR973" s="66"/>
      <c r="AS973" s="66"/>
      <c r="AT973" s="81"/>
      <c r="AU973" s="81"/>
      <c r="AV973" s="81"/>
      <c r="AW973" s="81"/>
      <c r="AX973" s="83">
        <f>SUM(Prog_23[[#This Row],[ADIANTAMENTO]]+Prog_23[[#This Row],[SALDO]]+Prog_23[[#This Row],[MARGEM]]+Prog_23[[#This Row],[ESTADIA 1]])</f>
        <v>0</v>
      </c>
      <c r="AY9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73" s="81"/>
      <c r="BA973" s="81"/>
      <c r="BB973" s="81">
        <f>Prog_23[[#This Row],[VLR NF]]*0.1%</f>
        <v>0</v>
      </c>
      <c r="BC973" s="81">
        <f>Prog_23[[#This Row],[VLR NF]]*0.05%</f>
        <v>0</v>
      </c>
      <c r="BD973" s="81"/>
      <c r="BE973" s="81"/>
      <c r="BF973" s="81"/>
      <c r="BG973" s="81"/>
      <c r="BH973" s="81"/>
      <c r="BI973" s="81"/>
      <c r="BJ973" s="81"/>
      <c r="BK973" s="81"/>
      <c r="BL973" s="81"/>
      <c r="BM973" s="81"/>
      <c r="BN973" s="66"/>
      <c r="BO973" s="66"/>
      <c r="BP973" s="66"/>
      <c r="BQ973" s="66" t="str">
        <f>PROPER(TEXT(Prog_23[[#This Row],[PROGRAMAÇÃO CLIENTE]],"mmm"))</f>
        <v>Jan</v>
      </c>
      <c r="BR973" s="66">
        <f>YEAR(Prog_23[[#This Row],[PROGRAMAÇÃO CLIENTE]])</f>
        <v>1900</v>
      </c>
    </row>
    <row r="974" spans="1:70" x14ac:dyDescent="0.25">
      <c r="A974" s="201">
        <f>Prog_23[[#This Row],[CONTEINER]]</f>
        <v>0</v>
      </c>
      <c r="B974" s="86"/>
      <c r="C9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74" s="44"/>
      <c r="E974" s="66"/>
      <c r="F974" s="66"/>
      <c r="G974" s="66"/>
      <c r="H974" s="44"/>
      <c r="I974" s="44"/>
      <c r="J974" s="66"/>
      <c r="K974" s="66"/>
      <c r="L974" s="66"/>
      <c r="M974" s="66"/>
      <c r="N974" s="66">
        <f>SUM(Prog_23[[#This Row],[TARA]]+Prog_23[[#This Row],[PESO]])</f>
        <v>0</v>
      </c>
      <c r="O974" s="44"/>
      <c r="P974" s="66"/>
      <c r="Q974" s="66"/>
      <c r="R974" s="66"/>
      <c r="S974" s="66"/>
      <c r="T974" s="138" t="str">
        <f>IFERROR(LOOKUP($S974,MOTORISTAS!$D$3:$D$916,MOTORISTAS!E$3:$E$916),"")</f>
        <v/>
      </c>
      <c r="U974" s="138" t="str">
        <f>IFERROR(LOOKUP($S974,MOTORISTAS!$D$3:$D$916,MOTORISTAS!F$3:$F$916),"")</f>
        <v/>
      </c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44"/>
      <c r="AG974" s="254">
        <f>Prog_23[[#This Row],[SAÍDA DO CLIENTE]]-Prog_23[[#This Row],[PROGRAMAÇÃO CLIENTE]]</f>
        <v>0</v>
      </c>
      <c r="AH974" s="44"/>
      <c r="AI974" s="66"/>
      <c r="AJ974" s="66"/>
      <c r="AK974" s="66"/>
      <c r="AL974" s="66"/>
      <c r="AM974" s="66"/>
      <c r="AN974" s="83"/>
      <c r="AO974" s="83"/>
      <c r="AP974" s="83"/>
      <c r="AQ974" s="66"/>
      <c r="AR974" s="66"/>
      <c r="AS974" s="66"/>
      <c r="AT974" s="81"/>
      <c r="AU974" s="81"/>
      <c r="AV974" s="81"/>
      <c r="AW974" s="81"/>
      <c r="AX974" s="83">
        <f>SUM(Prog_23[[#This Row],[ADIANTAMENTO]]+Prog_23[[#This Row],[SALDO]]+Prog_23[[#This Row],[MARGEM]]+Prog_23[[#This Row],[ESTADIA 1]])</f>
        <v>0</v>
      </c>
      <c r="AY9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74" s="81"/>
      <c r="BA974" s="81"/>
      <c r="BB974" s="81">
        <f>Prog_23[[#This Row],[VLR NF]]*0.1%</f>
        <v>0</v>
      </c>
      <c r="BC974" s="81">
        <f>Prog_23[[#This Row],[VLR NF]]*0.05%</f>
        <v>0</v>
      </c>
      <c r="BD974" s="81"/>
      <c r="BE974" s="81"/>
      <c r="BF974" s="81"/>
      <c r="BG974" s="81"/>
      <c r="BH974" s="81"/>
      <c r="BI974" s="81"/>
      <c r="BJ974" s="81"/>
      <c r="BK974" s="81"/>
      <c r="BL974" s="81"/>
      <c r="BM974" s="81"/>
      <c r="BN974" s="66"/>
      <c r="BO974" s="66"/>
      <c r="BP974" s="66"/>
      <c r="BQ974" s="66" t="str">
        <f>PROPER(TEXT(Prog_23[[#This Row],[PROGRAMAÇÃO CLIENTE]],"mmm"))</f>
        <v>Jan</v>
      </c>
      <c r="BR974" s="66">
        <f>YEAR(Prog_23[[#This Row],[PROGRAMAÇÃO CLIENTE]])</f>
        <v>1900</v>
      </c>
    </row>
    <row r="975" spans="1:70" x14ac:dyDescent="0.25">
      <c r="A975" s="200">
        <f>Prog_23[[#This Row],[CONTEINER]]</f>
        <v>0</v>
      </c>
      <c r="B975" s="86"/>
      <c r="C9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75" s="44"/>
      <c r="E975" s="66"/>
      <c r="F975" s="66"/>
      <c r="G975" s="66"/>
      <c r="H975" s="44"/>
      <c r="I975" s="44"/>
      <c r="J975" s="66"/>
      <c r="K975" s="66"/>
      <c r="L975" s="66"/>
      <c r="M975" s="66"/>
      <c r="N975" s="66">
        <f>SUM(Prog_23[[#This Row],[TARA]]+Prog_23[[#This Row],[PESO]])</f>
        <v>0</v>
      </c>
      <c r="O975" s="44"/>
      <c r="P975" s="66"/>
      <c r="Q975" s="66"/>
      <c r="R975" s="66"/>
      <c r="S975" s="66"/>
      <c r="T975" s="138" t="str">
        <f>IFERROR(LOOKUP($S975,MOTORISTAS!$D$3:$D$916,MOTORISTAS!E$3:$E$916),"")</f>
        <v/>
      </c>
      <c r="U975" s="138" t="str">
        <f>IFERROR(LOOKUP($S975,MOTORISTAS!$D$3:$D$916,MOTORISTAS!F$3:$F$916),"")</f>
        <v/>
      </c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44"/>
      <c r="AG975" s="254">
        <f>Prog_23[[#This Row],[SAÍDA DO CLIENTE]]-Prog_23[[#This Row],[PROGRAMAÇÃO CLIENTE]]</f>
        <v>0</v>
      </c>
      <c r="AH975" s="44"/>
      <c r="AI975" s="66"/>
      <c r="AJ975" s="66"/>
      <c r="AK975" s="66"/>
      <c r="AL975" s="66"/>
      <c r="AM975" s="66"/>
      <c r="AN975" s="83"/>
      <c r="AO975" s="83"/>
      <c r="AP975" s="83"/>
      <c r="AQ975" s="66"/>
      <c r="AR975" s="66"/>
      <c r="AS975" s="66"/>
      <c r="AT975" s="81"/>
      <c r="AU975" s="81"/>
      <c r="AV975" s="81"/>
      <c r="AW975" s="81"/>
      <c r="AX975" s="83">
        <f>SUM(Prog_23[[#This Row],[ADIANTAMENTO]]+Prog_23[[#This Row],[SALDO]]+Prog_23[[#This Row],[MARGEM]]+Prog_23[[#This Row],[ESTADIA 1]])</f>
        <v>0</v>
      </c>
      <c r="AY9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75" s="81"/>
      <c r="BA975" s="81"/>
      <c r="BB975" s="81">
        <f>Prog_23[[#This Row],[VLR NF]]*0.1%</f>
        <v>0</v>
      </c>
      <c r="BC975" s="81">
        <f>Prog_23[[#This Row],[VLR NF]]*0.05%</f>
        <v>0</v>
      </c>
      <c r="BD975" s="81"/>
      <c r="BE975" s="81"/>
      <c r="BF975" s="81"/>
      <c r="BG975" s="81"/>
      <c r="BH975" s="81"/>
      <c r="BI975" s="81"/>
      <c r="BJ975" s="81"/>
      <c r="BK975" s="81"/>
      <c r="BL975" s="81"/>
      <c r="BM975" s="81"/>
      <c r="BN975" s="66"/>
      <c r="BO975" s="66"/>
      <c r="BP975" s="66"/>
      <c r="BQ975" s="66" t="str">
        <f>PROPER(TEXT(Prog_23[[#This Row],[PROGRAMAÇÃO CLIENTE]],"mmm"))</f>
        <v>Jan</v>
      </c>
      <c r="BR975" s="66">
        <f>YEAR(Prog_23[[#This Row],[PROGRAMAÇÃO CLIENTE]])</f>
        <v>1900</v>
      </c>
    </row>
    <row r="976" spans="1:70" x14ac:dyDescent="0.25">
      <c r="A976" s="201">
        <f>Prog_23[[#This Row],[CONTEINER]]</f>
        <v>0</v>
      </c>
      <c r="B976" s="86"/>
      <c r="C9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76" s="44"/>
      <c r="E976" s="66"/>
      <c r="F976" s="66"/>
      <c r="G976" s="66"/>
      <c r="H976" s="44"/>
      <c r="I976" s="44"/>
      <c r="J976" s="66"/>
      <c r="K976" s="66"/>
      <c r="L976" s="66"/>
      <c r="M976" s="66"/>
      <c r="N976" s="66">
        <f>SUM(Prog_23[[#This Row],[TARA]]+Prog_23[[#This Row],[PESO]])</f>
        <v>0</v>
      </c>
      <c r="O976" s="44"/>
      <c r="P976" s="66"/>
      <c r="Q976" s="66"/>
      <c r="R976" s="66"/>
      <c r="S976" s="66"/>
      <c r="T976" s="138" t="str">
        <f>IFERROR(LOOKUP($S976,MOTORISTAS!$D$3:$D$916,MOTORISTAS!E$3:$E$916),"")</f>
        <v/>
      </c>
      <c r="U976" s="138" t="str">
        <f>IFERROR(LOOKUP($S976,MOTORISTAS!$D$3:$D$916,MOTORISTAS!F$3:$F$916),"")</f>
        <v/>
      </c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44"/>
      <c r="AG976" s="254">
        <f>Prog_23[[#This Row],[SAÍDA DO CLIENTE]]-Prog_23[[#This Row],[PROGRAMAÇÃO CLIENTE]]</f>
        <v>0</v>
      </c>
      <c r="AH976" s="44"/>
      <c r="AI976" s="66"/>
      <c r="AJ976" s="66"/>
      <c r="AK976" s="66"/>
      <c r="AL976" s="66"/>
      <c r="AM976" s="66"/>
      <c r="AN976" s="83"/>
      <c r="AO976" s="83"/>
      <c r="AP976" s="83"/>
      <c r="AQ976" s="66"/>
      <c r="AR976" s="66"/>
      <c r="AS976" s="66"/>
      <c r="AT976" s="81"/>
      <c r="AU976" s="81"/>
      <c r="AV976" s="81"/>
      <c r="AW976" s="81"/>
      <c r="AX976" s="83">
        <f>SUM(Prog_23[[#This Row],[ADIANTAMENTO]]+Prog_23[[#This Row],[SALDO]]+Prog_23[[#This Row],[MARGEM]]+Prog_23[[#This Row],[ESTADIA 1]])</f>
        <v>0</v>
      </c>
      <c r="AY9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76" s="81"/>
      <c r="BA976" s="81"/>
      <c r="BB976" s="81">
        <f>Prog_23[[#This Row],[VLR NF]]*0.1%</f>
        <v>0</v>
      </c>
      <c r="BC976" s="81">
        <f>Prog_23[[#This Row],[VLR NF]]*0.05%</f>
        <v>0</v>
      </c>
      <c r="BD976" s="81"/>
      <c r="BE976" s="81"/>
      <c r="BF976" s="81"/>
      <c r="BG976" s="81"/>
      <c r="BH976" s="81"/>
      <c r="BI976" s="81"/>
      <c r="BJ976" s="81"/>
      <c r="BK976" s="81"/>
      <c r="BL976" s="81"/>
      <c r="BM976" s="81"/>
      <c r="BN976" s="66"/>
      <c r="BO976" s="66"/>
      <c r="BP976" s="66"/>
      <c r="BQ976" s="66" t="str">
        <f>PROPER(TEXT(Prog_23[[#This Row],[PROGRAMAÇÃO CLIENTE]],"mmm"))</f>
        <v>Jan</v>
      </c>
      <c r="BR976" s="66">
        <f>YEAR(Prog_23[[#This Row],[PROGRAMAÇÃO CLIENTE]])</f>
        <v>1900</v>
      </c>
    </row>
    <row r="977" spans="1:70" x14ac:dyDescent="0.25">
      <c r="A977" s="200">
        <f>Prog_23[[#This Row],[CONTEINER]]</f>
        <v>0</v>
      </c>
      <c r="B977" s="86"/>
      <c r="C9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77" s="44"/>
      <c r="E977" s="66"/>
      <c r="F977" s="66"/>
      <c r="G977" s="66"/>
      <c r="H977" s="44"/>
      <c r="I977" s="44"/>
      <c r="J977" s="66"/>
      <c r="K977" s="66"/>
      <c r="L977" s="66"/>
      <c r="M977" s="66"/>
      <c r="N977" s="66">
        <f>SUM(Prog_23[[#This Row],[TARA]]+Prog_23[[#This Row],[PESO]])</f>
        <v>0</v>
      </c>
      <c r="O977" s="44"/>
      <c r="P977" s="66"/>
      <c r="Q977" s="66"/>
      <c r="R977" s="66"/>
      <c r="S977" s="66"/>
      <c r="T977" s="138" t="str">
        <f>IFERROR(LOOKUP($S977,MOTORISTAS!$D$3:$D$916,MOTORISTAS!E$3:$E$916),"")</f>
        <v/>
      </c>
      <c r="U977" s="138" t="str">
        <f>IFERROR(LOOKUP($S977,MOTORISTAS!$D$3:$D$916,MOTORISTAS!F$3:$F$916),"")</f>
        <v/>
      </c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44"/>
      <c r="AG977" s="254">
        <f>Prog_23[[#This Row],[SAÍDA DO CLIENTE]]-Prog_23[[#This Row],[PROGRAMAÇÃO CLIENTE]]</f>
        <v>0</v>
      </c>
      <c r="AH977" s="44"/>
      <c r="AI977" s="66"/>
      <c r="AJ977" s="66"/>
      <c r="AK977" s="66"/>
      <c r="AL977" s="66"/>
      <c r="AM977" s="66"/>
      <c r="AN977" s="83"/>
      <c r="AO977" s="83"/>
      <c r="AP977" s="83"/>
      <c r="AQ977" s="66"/>
      <c r="AR977" s="66"/>
      <c r="AS977" s="66"/>
      <c r="AT977" s="81"/>
      <c r="AU977" s="81"/>
      <c r="AV977" s="81"/>
      <c r="AW977" s="81"/>
      <c r="AX977" s="83">
        <f>SUM(Prog_23[[#This Row],[ADIANTAMENTO]]+Prog_23[[#This Row],[SALDO]]+Prog_23[[#This Row],[MARGEM]]+Prog_23[[#This Row],[ESTADIA 1]])</f>
        <v>0</v>
      </c>
      <c r="AY9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77" s="81"/>
      <c r="BA977" s="81"/>
      <c r="BB977" s="81">
        <f>Prog_23[[#This Row],[VLR NF]]*0.1%</f>
        <v>0</v>
      </c>
      <c r="BC977" s="81">
        <f>Prog_23[[#This Row],[VLR NF]]*0.05%</f>
        <v>0</v>
      </c>
      <c r="BD977" s="81"/>
      <c r="BE977" s="81"/>
      <c r="BF977" s="81"/>
      <c r="BG977" s="81"/>
      <c r="BH977" s="81"/>
      <c r="BI977" s="81"/>
      <c r="BJ977" s="81"/>
      <c r="BK977" s="81"/>
      <c r="BL977" s="81"/>
      <c r="BM977" s="81"/>
      <c r="BN977" s="66"/>
      <c r="BO977" s="66"/>
      <c r="BP977" s="66"/>
      <c r="BQ977" s="66" t="str">
        <f>PROPER(TEXT(Prog_23[[#This Row],[PROGRAMAÇÃO CLIENTE]],"mmm"))</f>
        <v>Jan</v>
      </c>
      <c r="BR977" s="66">
        <f>YEAR(Prog_23[[#This Row],[PROGRAMAÇÃO CLIENTE]])</f>
        <v>1900</v>
      </c>
    </row>
    <row r="978" spans="1:70" x14ac:dyDescent="0.25">
      <c r="A978" s="201">
        <f>Prog_23[[#This Row],[CONTEINER]]</f>
        <v>0</v>
      </c>
      <c r="B978" s="86"/>
      <c r="C9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78" s="44"/>
      <c r="E978" s="66"/>
      <c r="F978" s="66"/>
      <c r="G978" s="66"/>
      <c r="H978" s="44"/>
      <c r="I978" s="44"/>
      <c r="J978" s="66"/>
      <c r="K978" s="66"/>
      <c r="L978" s="66"/>
      <c r="M978" s="66"/>
      <c r="N978" s="66">
        <f>SUM(Prog_23[[#This Row],[TARA]]+Prog_23[[#This Row],[PESO]])</f>
        <v>0</v>
      </c>
      <c r="O978" s="44"/>
      <c r="P978" s="66"/>
      <c r="Q978" s="66"/>
      <c r="R978" s="66"/>
      <c r="S978" s="66"/>
      <c r="T978" s="138" t="str">
        <f>IFERROR(LOOKUP($S978,MOTORISTAS!$D$3:$D$916,MOTORISTAS!E$3:$E$916),"")</f>
        <v/>
      </c>
      <c r="U978" s="138" t="str">
        <f>IFERROR(LOOKUP($S978,MOTORISTAS!$D$3:$D$916,MOTORISTAS!F$3:$F$916),"")</f>
        <v/>
      </c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44"/>
      <c r="AG978" s="254">
        <f>Prog_23[[#This Row],[SAÍDA DO CLIENTE]]-Prog_23[[#This Row],[PROGRAMAÇÃO CLIENTE]]</f>
        <v>0</v>
      </c>
      <c r="AH978" s="44"/>
      <c r="AI978" s="66"/>
      <c r="AJ978" s="66"/>
      <c r="AK978" s="66"/>
      <c r="AL978" s="66"/>
      <c r="AM978" s="66"/>
      <c r="AN978" s="83"/>
      <c r="AO978" s="83"/>
      <c r="AP978" s="83"/>
      <c r="AQ978" s="66"/>
      <c r="AR978" s="66"/>
      <c r="AS978" s="66"/>
      <c r="AT978" s="81"/>
      <c r="AU978" s="81"/>
      <c r="AV978" s="81"/>
      <c r="AW978" s="81"/>
      <c r="AX978" s="83">
        <f>SUM(Prog_23[[#This Row],[ADIANTAMENTO]]+Prog_23[[#This Row],[SALDO]]+Prog_23[[#This Row],[MARGEM]]+Prog_23[[#This Row],[ESTADIA 1]])</f>
        <v>0</v>
      </c>
      <c r="AY9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78" s="81"/>
      <c r="BA978" s="81"/>
      <c r="BB978" s="81">
        <f>Prog_23[[#This Row],[VLR NF]]*0.1%</f>
        <v>0</v>
      </c>
      <c r="BC978" s="81">
        <f>Prog_23[[#This Row],[VLR NF]]*0.05%</f>
        <v>0</v>
      </c>
      <c r="BD978" s="81"/>
      <c r="BE978" s="81"/>
      <c r="BF978" s="81"/>
      <c r="BG978" s="81"/>
      <c r="BH978" s="81"/>
      <c r="BI978" s="81"/>
      <c r="BJ978" s="81"/>
      <c r="BK978" s="81"/>
      <c r="BL978" s="81"/>
      <c r="BM978" s="81"/>
      <c r="BN978" s="66"/>
      <c r="BO978" s="66"/>
      <c r="BP978" s="66"/>
      <c r="BQ978" s="66" t="str">
        <f>PROPER(TEXT(Prog_23[[#This Row],[PROGRAMAÇÃO CLIENTE]],"mmm"))</f>
        <v>Jan</v>
      </c>
      <c r="BR978" s="66">
        <f>YEAR(Prog_23[[#This Row],[PROGRAMAÇÃO CLIENTE]])</f>
        <v>1900</v>
      </c>
    </row>
    <row r="979" spans="1:70" x14ac:dyDescent="0.25">
      <c r="A979" s="200">
        <f>Prog_23[[#This Row],[CONTEINER]]</f>
        <v>0</v>
      </c>
      <c r="B979" s="86"/>
      <c r="C9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79" s="44"/>
      <c r="E979" s="66"/>
      <c r="F979" s="66"/>
      <c r="G979" s="66"/>
      <c r="H979" s="44"/>
      <c r="I979" s="44"/>
      <c r="J979" s="66"/>
      <c r="K979" s="66"/>
      <c r="L979" s="66"/>
      <c r="M979" s="66"/>
      <c r="N979" s="66">
        <f>SUM(Prog_23[[#This Row],[TARA]]+Prog_23[[#This Row],[PESO]])</f>
        <v>0</v>
      </c>
      <c r="O979" s="44"/>
      <c r="P979" s="66"/>
      <c r="Q979" s="66"/>
      <c r="R979" s="66"/>
      <c r="S979" s="66"/>
      <c r="T979" s="138" t="str">
        <f>IFERROR(LOOKUP($S979,MOTORISTAS!$D$3:$D$916,MOTORISTAS!E$3:$E$916),"")</f>
        <v/>
      </c>
      <c r="U979" s="138" t="str">
        <f>IFERROR(LOOKUP($S979,MOTORISTAS!$D$3:$D$916,MOTORISTAS!F$3:$F$916),"")</f>
        <v/>
      </c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44"/>
      <c r="AG979" s="254">
        <f>Prog_23[[#This Row],[SAÍDA DO CLIENTE]]-Prog_23[[#This Row],[PROGRAMAÇÃO CLIENTE]]</f>
        <v>0</v>
      </c>
      <c r="AH979" s="44"/>
      <c r="AI979" s="66"/>
      <c r="AJ979" s="66"/>
      <c r="AK979" s="66"/>
      <c r="AL979" s="66"/>
      <c r="AM979" s="66"/>
      <c r="AN979" s="83"/>
      <c r="AO979" s="83"/>
      <c r="AP979" s="83"/>
      <c r="AQ979" s="66"/>
      <c r="AR979" s="66"/>
      <c r="AS979" s="66"/>
      <c r="AT979" s="81"/>
      <c r="AU979" s="81"/>
      <c r="AV979" s="81"/>
      <c r="AW979" s="81"/>
      <c r="AX979" s="83">
        <f>SUM(Prog_23[[#This Row],[ADIANTAMENTO]]+Prog_23[[#This Row],[SALDO]]+Prog_23[[#This Row],[MARGEM]]+Prog_23[[#This Row],[ESTADIA 1]])</f>
        <v>0</v>
      </c>
      <c r="AY9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79" s="81"/>
      <c r="BA979" s="81"/>
      <c r="BB979" s="81">
        <f>Prog_23[[#This Row],[VLR NF]]*0.1%</f>
        <v>0</v>
      </c>
      <c r="BC979" s="81">
        <f>Prog_23[[#This Row],[VLR NF]]*0.05%</f>
        <v>0</v>
      </c>
      <c r="BD979" s="81"/>
      <c r="BE979" s="81"/>
      <c r="BF979" s="81"/>
      <c r="BG979" s="81"/>
      <c r="BH979" s="81"/>
      <c r="BI979" s="81"/>
      <c r="BJ979" s="81"/>
      <c r="BK979" s="81"/>
      <c r="BL979" s="81"/>
      <c r="BM979" s="81"/>
      <c r="BN979" s="66"/>
      <c r="BO979" s="66"/>
      <c r="BP979" s="66"/>
      <c r="BQ979" s="66" t="str">
        <f>PROPER(TEXT(Prog_23[[#This Row],[PROGRAMAÇÃO CLIENTE]],"mmm"))</f>
        <v>Jan</v>
      </c>
      <c r="BR979" s="66">
        <f>YEAR(Prog_23[[#This Row],[PROGRAMAÇÃO CLIENTE]])</f>
        <v>1900</v>
      </c>
    </row>
    <row r="980" spans="1:70" x14ac:dyDescent="0.25">
      <c r="A980" s="201">
        <f>Prog_23[[#This Row],[CONTEINER]]</f>
        <v>0</v>
      </c>
      <c r="B980" s="86"/>
      <c r="C9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80" s="44"/>
      <c r="E980" s="66"/>
      <c r="F980" s="66"/>
      <c r="G980" s="66"/>
      <c r="H980" s="44"/>
      <c r="I980" s="44"/>
      <c r="J980" s="66"/>
      <c r="K980" s="66"/>
      <c r="L980" s="66"/>
      <c r="M980" s="66"/>
      <c r="N980" s="66">
        <f>SUM(Prog_23[[#This Row],[TARA]]+Prog_23[[#This Row],[PESO]])</f>
        <v>0</v>
      </c>
      <c r="O980" s="44"/>
      <c r="P980" s="66"/>
      <c r="Q980" s="66"/>
      <c r="R980" s="66"/>
      <c r="S980" s="66"/>
      <c r="T980" s="138" t="str">
        <f>IFERROR(LOOKUP($S980,MOTORISTAS!$D$3:$D$916,MOTORISTAS!E$3:$E$916),"")</f>
        <v/>
      </c>
      <c r="U980" s="138" t="str">
        <f>IFERROR(LOOKUP($S980,MOTORISTAS!$D$3:$D$916,MOTORISTAS!F$3:$F$916),"")</f>
        <v/>
      </c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44"/>
      <c r="AG980" s="254">
        <f>Prog_23[[#This Row],[SAÍDA DO CLIENTE]]-Prog_23[[#This Row],[PROGRAMAÇÃO CLIENTE]]</f>
        <v>0</v>
      </c>
      <c r="AH980" s="44"/>
      <c r="AI980" s="66"/>
      <c r="AJ980" s="66"/>
      <c r="AK980" s="66"/>
      <c r="AL980" s="66"/>
      <c r="AM980" s="66"/>
      <c r="AN980" s="83"/>
      <c r="AO980" s="83"/>
      <c r="AP980" s="83"/>
      <c r="AQ980" s="66"/>
      <c r="AR980" s="66"/>
      <c r="AS980" s="66"/>
      <c r="AT980" s="81"/>
      <c r="AU980" s="81"/>
      <c r="AV980" s="81"/>
      <c r="AW980" s="81"/>
      <c r="AX980" s="83">
        <f>SUM(Prog_23[[#This Row],[ADIANTAMENTO]]+Prog_23[[#This Row],[SALDO]]+Prog_23[[#This Row],[MARGEM]]+Prog_23[[#This Row],[ESTADIA 1]])</f>
        <v>0</v>
      </c>
      <c r="AY9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80" s="81"/>
      <c r="BA980" s="81"/>
      <c r="BB980" s="81">
        <f>Prog_23[[#This Row],[VLR NF]]*0.1%</f>
        <v>0</v>
      </c>
      <c r="BC980" s="81">
        <f>Prog_23[[#This Row],[VLR NF]]*0.05%</f>
        <v>0</v>
      </c>
      <c r="BD980" s="81"/>
      <c r="BE980" s="81"/>
      <c r="BF980" s="81"/>
      <c r="BG980" s="81"/>
      <c r="BH980" s="81"/>
      <c r="BI980" s="81"/>
      <c r="BJ980" s="81"/>
      <c r="BK980" s="81"/>
      <c r="BL980" s="81"/>
      <c r="BM980" s="81"/>
      <c r="BN980" s="66"/>
      <c r="BO980" s="66"/>
      <c r="BP980" s="66"/>
      <c r="BQ980" s="66" t="str">
        <f>PROPER(TEXT(Prog_23[[#This Row],[PROGRAMAÇÃO CLIENTE]],"mmm"))</f>
        <v>Jan</v>
      </c>
      <c r="BR980" s="66">
        <f>YEAR(Prog_23[[#This Row],[PROGRAMAÇÃO CLIENTE]])</f>
        <v>1900</v>
      </c>
    </row>
    <row r="981" spans="1:70" x14ac:dyDescent="0.25">
      <c r="A981" s="200">
        <f>Prog_23[[#This Row],[CONTEINER]]</f>
        <v>0</v>
      </c>
      <c r="B981" s="86"/>
      <c r="C9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81" s="44"/>
      <c r="E981" s="66"/>
      <c r="F981" s="66"/>
      <c r="G981" s="66"/>
      <c r="H981" s="44"/>
      <c r="I981" s="44"/>
      <c r="J981" s="66"/>
      <c r="K981" s="66"/>
      <c r="L981" s="66"/>
      <c r="M981" s="66"/>
      <c r="N981" s="66">
        <f>SUM(Prog_23[[#This Row],[TARA]]+Prog_23[[#This Row],[PESO]])</f>
        <v>0</v>
      </c>
      <c r="O981" s="44"/>
      <c r="P981" s="66"/>
      <c r="Q981" s="66"/>
      <c r="R981" s="66"/>
      <c r="S981" s="66"/>
      <c r="T981" s="138" t="str">
        <f>IFERROR(LOOKUP($S981,MOTORISTAS!$D$3:$D$916,MOTORISTAS!E$3:$E$916),"")</f>
        <v/>
      </c>
      <c r="U981" s="138" t="str">
        <f>IFERROR(LOOKUP($S981,MOTORISTAS!$D$3:$D$916,MOTORISTAS!F$3:$F$916),"")</f>
        <v/>
      </c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44"/>
      <c r="AG981" s="254">
        <f>Prog_23[[#This Row],[SAÍDA DO CLIENTE]]-Prog_23[[#This Row],[PROGRAMAÇÃO CLIENTE]]</f>
        <v>0</v>
      </c>
      <c r="AH981" s="44"/>
      <c r="AI981" s="66"/>
      <c r="AJ981" s="66"/>
      <c r="AK981" s="66"/>
      <c r="AL981" s="66"/>
      <c r="AM981" s="66"/>
      <c r="AN981" s="83"/>
      <c r="AO981" s="83"/>
      <c r="AP981" s="83"/>
      <c r="AQ981" s="66"/>
      <c r="AR981" s="66"/>
      <c r="AS981" s="66"/>
      <c r="AT981" s="81"/>
      <c r="AU981" s="81"/>
      <c r="AV981" s="81"/>
      <c r="AW981" s="81"/>
      <c r="AX981" s="83">
        <f>SUM(Prog_23[[#This Row],[ADIANTAMENTO]]+Prog_23[[#This Row],[SALDO]]+Prog_23[[#This Row],[MARGEM]]+Prog_23[[#This Row],[ESTADIA 1]])</f>
        <v>0</v>
      </c>
      <c r="AY9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81" s="81"/>
      <c r="BA981" s="81"/>
      <c r="BB981" s="81">
        <f>Prog_23[[#This Row],[VLR NF]]*0.1%</f>
        <v>0</v>
      </c>
      <c r="BC981" s="81">
        <f>Prog_23[[#This Row],[VLR NF]]*0.05%</f>
        <v>0</v>
      </c>
      <c r="BD981" s="81"/>
      <c r="BE981" s="81"/>
      <c r="BF981" s="81"/>
      <c r="BG981" s="81"/>
      <c r="BH981" s="81"/>
      <c r="BI981" s="81"/>
      <c r="BJ981" s="81"/>
      <c r="BK981" s="81"/>
      <c r="BL981" s="81"/>
      <c r="BM981" s="81"/>
      <c r="BN981" s="66"/>
      <c r="BO981" s="66"/>
      <c r="BP981" s="66"/>
      <c r="BQ981" s="66" t="str">
        <f>PROPER(TEXT(Prog_23[[#This Row],[PROGRAMAÇÃO CLIENTE]],"mmm"))</f>
        <v>Jan</v>
      </c>
      <c r="BR981" s="66">
        <f>YEAR(Prog_23[[#This Row],[PROGRAMAÇÃO CLIENTE]])</f>
        <v>1900</v>
      </c>
    </row>
    <row r="982" spans="1:70" x14ac:dyDescent="0.25">
      <c r="A982" s="201">
        <f>Prog_23[[#This Row],[CONTEINER]]</f>
        <v>0</v>
      </c>
      <c r="B982" s="86"/>
      <c r="C9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82" s="44"/>
      <c r="E982" s="66"/>
      <c r="F982" s="66"/>
      <c r="G982" s="66"/>
      <c r="H982" s="44"/>
      <c r="I982" s="44"/>
      <c r="J982" s="66"/>
      <c r="K982" s="66"/>
      <c r="L982" s="66"/>
      <c r="M982" s="66"/>
      <c r="N982" s="66">
        <f>SUM(Prog_23[[#This Row],[TARA]]+Prog_23[[#This Row],[PESO]])</f>
        <v>0</v>
      </c>
      <c r="O982" s="44"/>
      <c r="P982" s="66"/>
      <c r="Q982" s="66"/>
      <c r="R982" s="66"/>
      <c r="S982" s="66"/>
      <c r="T982" s="138" t="str">
        <f>IFERROR(LOOKUP($S982,MOTORISTAS!$D$3:$D$916,MOTORISTAS!E$3:$E$916),"")</f>
        <v/>
      </c>
      <c r="U982" s="138" t="str">
        <f>IFERROR(LOOKUP($S982,MOTORISTAS!$D$3:$D$916,MOTORISTAS!F$3:$F$916),"")</f>
        <v/>
      </c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44"/>
      <c r="AG982" s="254">
        <f>Prog_23[[#This Row],[SAÍDA DO CLIENTE]]-Prog_23[[#This Row],[PROGRAMAÇÃO CLIENTE]]</f>
        <v>0</v>
      </c>
      <c r="AH982" s="44"/>
      <c r="AI982" s="66"/>
      <c r="AJ982" s="66"/>
      <c r="AK982" s="66"/>
      <c r="AL982" s="66"/>
      <c r="AM982" s="66"/>
      <c r="AN982" s="83"/>
      <c r="AO982" s="83"/>
      <c r="AP982" s="83"/>
      <c r="AQ982" s="66"/>
      <c r="AR982" s="66"/>
      <c r="AS982" s="66"/>
      <c r="AT982" s="81"/>
      <c r="AU982" s="81"/>
      <c r="AV982" s="81"/>
      <c r="AW982" s="81"/>
      <c r="AX982" s="83">
        <f>SUM(Prog_23[[#This Row],[ADIANTAMENTO]]+Prog_23[[#This Row],[SALDO]]+Prog_23[[#This Row],[MARGEM]]+Prog_23[[#This Row],[ESTADIA 1]])</f>
        <v>0</v>
      </c>
      <c r="AY9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82" s="81"/>
      <c r="BA982" s="81"/>
      <c r="BB982" s="81">
        <f>Prog_23[[#This Row],[VLR NF]]*0.1%</f>
        <v>0</v>
      </c>
      <c r="BC982" s="81">
        <f>Prog_23[[#This Row],[VLR NF]]*0.05%</f>
        <v>0</v>
      </c>
      <c r="BD982" s="81"/>
      <c r="BE982" s="81"/>
      <c r="BF982" s="81"/>
      <c r="BG982" s="81"/>
      <c r="BH982" s="81"/>
      <c r="BI982" s="81"/>
      <c r="BJ982" s="81"/>
      <c r="BK982" s="81"/>
      <c r="BL982" s="81"/>
      <c r="BM982" s="81"/>
      <c r="BN982" s="66"/>
      <c r="BO982" s="66"/>
      <c r="BP982" s="66"/>
      <c r="BQ982" s="66" t="str">
        <f>PROPER(TEXT(Prog_23[[#This Row],[PROGRAMAÇÃO CLIENTE]],"mmm"))</f>
        <v>Jan</v>
      </c>
      <c r="BR982" s="66">
        <f>YEAR(Prog_23[[#This Row],[PROGRAMAÇÃO CLIENTE]])</f>
        <v>1900</v>
      </c>
    </row>
    <row r="983" spans="1:70" x14ac:dyDescent="0.25">
      <c r="A983" s="200">
        <f>Prog_23[[#This Row],[CONTEINER]]</f>
        <v>0</v>
      </c>
      <c r="B983" s="86"/>
      <c r="C9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83" s="44"/>
      <c r="E983" s="66"/>
      <c r="F983" s="66"/>
      <c r="G983" s="66"/>
      <c r="H983" s="44"/>
      <c r="I983" s="44"/>
      <c r="J983" s="66"/>
      <c r="K983" s="66"/>
      <c r="L983" s="66"/>
      <c r="M983" s="66"/>
      <c r="N983" s="66">
        <f>SUM(Prog_23[[#This Row],[TARA]]+Prog_23[[#This Row],[PESO]])</f>
        <v>0</v>
      </c>
      <c r="O983" s="44"/>
      <c r="P983" s="66"/>
      <c r="Q983" s="66"/>
      <c r="R983" s="66"/>
      <c r="S983" s="66"/>
      <c r="T983" s="138" t="str">
        <f>IFERROR(LOOKUP($S983,MOTORISTAS!$D$3:$D$916,MOTORISTAS!E$3:$E$916),"")</f>
        <v/>
      </c>
      <c r="U983" s="138" t="str">
        <f>IFERROR(LOOKUP($S983,MOTORISTAS!$D$3:$D$916,MOTORISTAS!F$3:$F$916),"")</f>
        <v/>
      </c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44"/>
      <c r="AG983" s="254">
        <f>Prog_23[[#This Row],[SAÍDA DO CLIENTE]]-Prog_23[[#This Row],[PROGRAMAÇÃO CLIENTE]]</f>
        <v>0</v>
      </c>
      <c r="AH983" s="44"/>
      <c r="AI983" s="66"/>
      <c r="AJ983" s="66"/>
      <c r="AK983" s="66"/>
      <c r="AL983" s="66"/>
      <c r="AM983" s="66"/>
      <c r="AN983" s="83"/>
      <c r="AO983" s="83"/>
      <c r="AP983" s="83"/>
      <c r="AQ983" s="66"/>
      <c r="AR983" s="66"/>
      <c r="AS983" s="66"/>
      <c r="AT983" s="81"/>
      <c r="AU983" s="81"/>
      <c r="AV983" s="81"/>
      <c r="AW983" s="81"/>
      <c r="AX983" s="83">
        <f>SUM(Prog_23[[#This Row],[ADIANTAMENTO]]+Prog_23[[#This Row],[SALDO]]+Prog_23[[#This Row],[MARGEM]]+Prog_23[[#This Row],[ESTADIA 1]])</f>
        <v>0</v>
      </c>
      <c r="AY9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83" s="81"/>
      <c r="BA983" s="81"/>
      <c r="BB983" s="81">
        <f>Prog_23[[#This Row],[VLR NF]]*0.1%</f>
        <v>0</v>
      </c>
      <c r="BC983" s="81">
        <f>Prog_23[[#This Row],[VLR NF]]*0.05%</f>
        <v>0</v>
      </c>
      <c r="BD983" s="81"/>
      <c r="BE983" s="81"/>
      <c r="BF983" s="81"/>
      <c r="BG983" s="81"/>
      <c r="BH983" s="81"/>
      <c r="BI983" s="81"/>
      <c r="BJ983" s="81"/>
      <c r="BK983" s="81"/>
      <c r="BL983" s="81"/>
      <c r="BM983" s="81"/>
      <c r="BN983" s="66"/>
      <c r="BO983" s="66"/>
      <c r="BP983" s="66"/>
      <c r="BQ983" s="66" t="str">
        <f>PROPER(TEXT(Prog_23[[#This Row],[PROGRAMAÇÃO CLIENTE]],"mmm"))</f>
        <v>Jan</v>
      </c>
      <c r="BR983" s="66">
        <f>YEAR(Prog_23[[#This Row],[PROGRAMAÇÃO CLIENTE]])</f>
        <v>1900</v>
      </c>
    </row>
    <row r="984" spans="1:70" x14ac:dyDescent="0.25">
      <c r="A984" s="201">
        <f>Prog_23[[#This Row],[CONTEINER]]</f>
        <v>0</v>
      </c>
      <c r="B984" s="86"/>
      <c r="C9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84" s="44"/>
      <c r="E984" s="66"/>
      <c r="F984" s="66"/>
      <c r="G984" s="66"/>
      <c r="H984" s="44"/>
      <c r="I984" s="44"/>
      <c r="J984" s="66"/>
      <c r="K984" s="66"/>
      <c r="L984" s="66"/>
      <c r="M984" s="66"/>
      <c r="N984" s="66">
        <f>SUM(Prog_23[[#This Row],[TARA]]+Prog_23[[#This Row],[PESO]])</f>
        <v>0</v>
      </c>
      <c r="O984" s="44"/>
      <c r="P984" s="66"/>
      <c r="Q984" s="66"/>
      <c r="R984" s="66"/>
      <c r="S984" s="66"/>
      <c r="T984" s="138" t="str">
        <f>IFERROR(LOOKUP($S984,MOTORISTAS!$D$3:$D$916,MOTORISTAS!E$3:$E$916),"")</f>
        <v/>
      </c>
      <c r="U984" s="138" t="str">
        <f>IFERROR(LOOKUP($S984,MOTORISTAS!$D$3:$D$916,MOTORISTAS!F$3:$F$916),"")</f>
        <v/>
      </c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44"/>
      <c r="AG984" s="254">
        <f>Prog_23[[#This Row],[SAÍDA DO CLIENTE]]-Prog_23[[#This Row],[PROGRAMAÇÃO CLIENTE]]</f>
        <v>0</v>
      </c>
      <c r="AH984" s="44"/>
      <c r="AI984" s="66"/>
      <c r="AJ984" s="66"/>
      <c r="AK984" s="66"/>
      <c r="AL984" s="66"/>
      <c r="AM984" s="66"/>
      <c r="AN984" s="83"/>
      <c r="AO984" s="83"/>
      <c r="AP984" s="83"/>
      <c r="AQ984" s="66"/>
      <c r="AR984" s="66"/>
      <c r="AS984" s="66"/>
      <c r="AT984" s="81"/>
      <c r="AU984" s="81"/>
      <c r="AV984" s="81"/>
      <c r="AW984" s="81"/>
      <c r="AX984" s="83">
        <f>SUM(Prog_23[[#This Row],[ADIANTAMENTO]]+Prog_23[[#This Row],[SALDO]]+Prog_23[[#This Row],[MARGEM]]+Prog_23[[#This Row],[ESTADIA 1]])</f>
        <v>0</v>
      </c>
      <c r="AY9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84" s="81"/>
      <c r="BA984" s="81"/>
      <c r="BB984" s="81">
        <f>Prog_23[[#This Row],[VLR NF]]*0.1%</f>
        <v>0</v>
      </c>
      <c r="BC984" s="81">
        <f>Prog_23[[#This Row],[VLR NF]]*0.05%</f>
        <v>0</v>
      </c>
      <c r="BD984" s="81"/>
      <c r="BE984" s="81"/>
      <c r="BF984" s="81"/>
      <c r="BG984" s="81"/>
      <c r="BH984" s="81"/>
      <c r="BI984" s="81"/>
      <c r="BJ984" s="81"/>
      <c r="BK984" s="81"/>
      <c r="BL984" s="81"/>
      <c r="BM984" s="81"/>
      <c r="BN984" s="66"/>
      <c r="BO984" s="66"/>
      <c r="BP984" s="66"/>
      <c r="BQ984" s="66" t="str">
        <f>PROPER(TEXT(Prog_23[[#This Row],[PROGRAMAÇÃO CLIENTE]],"mmm"))</f>
        <v>Jan</v>
      </c>
      <c r="BR984" s="66">
        <f>YEAR(Prog_23[[#This Row],[PROGRAMAÇÃO CLIENTE]])</f>
        <v>1900</v>
      </c>
    </row>
    <row r="985" spans="1:70" x14ac:dyDescent="0.25">
      <c r="A985" s="200">
        <f>Prog_23[[#This Row],[CONTEINER]]</f>
        <v>0</v>
      </c>
      <c r="B985" s="86"/>
      <c r="C9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85" s="44"/>
      <c r="E985" s="66"/>
      <c r="F985" s="66"/>
      <c r="G985" s="66"/>
      <c r="H985" s="44"/>
      <c r="I985" s="44"/>
      <c r="J985" s="66"/>
      <c r="K985" s="66"/>
      <c r="L985" s="66"/>
      <c r="M985" s="66"/>
      <c r="N985" s="66">
        <f>SUM(Prog_23[[#This Row],[TARA]]+Prog_23[[#This Row],[PESO]])</f>
        <v>0</v>
      </c>
      <c r="O985" s="44"/>
      <c r="P985" s="66"/>
      <c r="Q985" s="66"/>
      <c r="R985" s="66"/>
      <c r="S985" s="66"/>
      <c r="T985" s="138" t="str">
        <f>IFERROR(LOOKUP($S985,MOTORISTAS!$D$3:$D$916,MOTORISTAS!E$3:$E$916),"")</f>
        <v/>
      </c>
      <c r="U985" s="138" t="str">
        <f>IFERROR(LOOKUP($S985,MOTORISTAS!$D$3:$D$916,MOTORISTAS!F$3:$F$916),"")</f>
        <v/>
      </c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44"/>
      <c r="AG985" s="254">
        <f>Prog_23[[#This Row],[SAÍDA DO CLIENTE]]-Prog_23[[#This Row],[PROGRAMAÇÃO CLIENTE]]</f>
        <v>0</v>
      </c>
      <c r="AH985" s="44"/>
      <c r="AI985" s="66"/>
      <c r="AJ985" s="66"/>
      <c r="AK985" s="66"/>
      <c r="AL985" s="66"/>
      <c r="AM985" s="66"/>
      <c r="AN985" s="83"/>
      <c r="AO985" s="83"/>
      <c r="AP985" s="83"/>
      <c r="AQ985" s="66"/>
      <c r="AR985" s="66"/>
      <c r="AS985" s="66"/>
      <c r="AT985" s="81"/>
      <c r="AU985" s="81"/>
      <c r="AV985" s="81"/>
      <c r="AW985" s="81"/>
      <c r="AX985" s="83">
        <f>SUM(Prog_23[[#This Row],[ADIANTAMENTO]]+Prog_23[[#This Row],[SALDO]]+Prog_23[[#This Row],[MARGEM]]+Prog_23[[#This Row],[ESTADIA 1]])</f>
        <v>0</v>
      </c>
      <c r="AY9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85" s="81"/>
      <c r="BA985" s="81"/>
      <c r="BB985" s="81">
        <f>Prog_23[[#This Row],[VLR NF]]*0.1%</f>
        <v>0</v>
      </c>
      <c r="BC985" s="81">
        <f>Prog_23[[#This Row],[VLR NF]]*0.05%</f>
        <v>0</v>
      </c>
      <c r="BD985" s="81"/>
      <c r="BE985" s="81"/>
      <c r="BF985" s="81"/>
      <c r="BG985" s="81"/>
      <c r="BH985" s="81"/>
      <c r="BI985" s="81"/>
      <c r="BJ985" s="81"/>
      <c r="BK985" s="81"/>
      <c r="BL985" s="81"/>
      <c r="BM985" s="81"/>
      <c r="BN985" s="66"/>
      <c r="BO985" s="66"/>
      <c r="BP985" s="66"/>
      <c r="BQ985" s="66" t="str">
        <f>PROPER(TEXT(Prog_23[[#This Row],[PROGRAMAÇÃO CLIENTE]],"mmm"))</f>
        <v>Jan</v>
      </c>
      <c r="BR985" s="66">
        <f>YEAR(Prog_23[[#This Row],[PROGRAMAÇÃO CLIENTE]])</f>
        <v>1900</v>
      </c>
    </row>
    <row r="986" spans="1:70" x14ac:dyDescent="0.25">
      <c r="A986" s="201">
        <f>Prog_23[[#This Row],[CONTEINER]]</f>
        <v>0</v>
      </c>
      <c r="B986" s="86"/>
      <c r="C9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86" s="44"/>
      <c r="E986" s="66"/>
      <c r="F986" s="66"/>
      <c r="G986" s="66"/>
      <c r="H986" s="44"/>
      <c r="I986" s="44"/>
      <c r="J986" s="66"/>
      <c r="K986" s="66"/>
      <c r="L986" s="66"/>
      <c r="M986" s="66"/>
      <c r="N986" s="66">
        <f>SUM(Prog_23[[#This Row],[TARA]]+Prog_23[[#This Row],[PESO]])</f>
        <v>0</v>
      </c>
      <c r="O986" s="44"/>
      <c r="P986" s="66"/>
      <c r="Q986" s="66"/>
      <c r="R986" s="66"/>
      <c r="S986" s="66"/>
      <c r="T986" s="138" t="str">
        <f>IFERROR(LOOKUP($S986,MOTORISTAS!$D$3:$D$916,MOTORISTAS!E$3:$E$916),"")</f>
        <v/>
      </c>
      <c r="U986" s="138" t="str">
        <f>IFERROR(LOOKUP($S986,MOTORISTAS!$D$3:$D$916,MOTORISTAS!F$3:$F$916),"")</f>
        <v/>
      </c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44"/>
      <c r="AG986" s="254">
        <f>Prog_23[[#This Row],[SAÍDA DO CLIENTE]]-Prog_23[[#This Row],[PROGRAMAÇÃO CLIENTE]]</f>
        <v>0</v>
      </c>
      <c r="AH986" s="44"/>
      <c r="AI986" s="66"/>
      <c r="AJ986" s="66"/>
      <c r="AK986" s="66"/>
      <c r="AL986" s="66"/>
      <c r="AM986" s="66"/>
      <c r="AN986" s="83"/>
      <c r="AO986" s="83"/>
      <c r="AP986" s="83"/>
      <c r="AQ986" s="66"/>
      <c r="AR986" s="66"/>
      <c r="AS986" s="66"/>
      <c r="AT986" s="81"/>
      <c r="AU986" s="81"/>
      <c r="AV986" s="81"/>
      <c r="AW986" s="81"/>
      <c r="AX986" s="83">
        <f>SUM(Prog_23[[#This Row],[ADIANTAMENTO]]+Prog_23[[#This Row],[SALDO]]+Prog_23[[#This Row],[MARGEM]]+Prog_23[[#This Row],[ESTADIA 1]])</f>
        <v>0</v>
      </c>
      <c r="AY9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86" s="81"/>
      <c r="BA986" s="81"/>
      <c r="BB986" s="81">
        <f>Prog_23[[#This Row],[VLR NF]]*0.1%</f>
        <v>0</v>
      </c>
      <c r="BC986" s="81">
        <f>Prog_23[[#This Row],[VLR NF]]*0.05%</f>
        <v>0</v>
      </c>
      <c r="BD986" s="81"/>
      <c r="BE986" s="81"/>
      <c r="BF986" s="81"/>
      <c r="BG986" s="81"/>
      <c r="BH986" s="81"/>
      <c r="BI986" s="81"/>
      <c r="BJ986" s="81"/>
      <c r="BK986" s="81"/>
      <c r="BL986" s="81"/>
      <c r="BM986" s="81"/>
      <c r="BN986" s="66"/>
      <c r="BO986" s="66"/>
      <c r="BP986" s="66"/>
      <c r="BQ986" s="66" t="str">
        <f>PROPER(TEXT(Prog_23[[#This Row],[PROGRAMAÇÃO CLIENTE]],"mmm"))</f>
        <v>Jan</v>
      </c>
      <c r="BR986" s="66">
        <f>YEAR(Prog_23[[#This Row],[PROGRAMAÇÃO CLIENTE]])</f>
        <v>1900</v>
      </c>
    </row>
    <row r="987" spans="1:70" x14ac:dyDescent="0.25">
      <c r="A987" s="200">
        <f>Prog_23[[#This Row],[CONTEINER]]</f>
        <v>0</v>
      </c>
      <c r="B987" s="86"/>
      <c r="C9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87" s="44"/>
      <c r="E987" s="66"/>
      <c r="F987" s="66"/>
      <c r="G987" s="66"/>
      <c r="H987" s="44"/>
      <c r="I987" s="44"/>
      <c r="J987" s="66"/>
      <c r="K987" s="66"/>
      <c r="L987" s="66"/>
      <c r="M987" s="66"/>
      <c r="N987" s="66">
        <f>SUM(Prog_23[[#This Row],[TARA]]+Prog_23[[#This Row],[PESO]])</f>
        <v>0</v>
      </c>
      <c r="O987" s="44"/>
      <c r="P987" s="66"/>
      <c r="Q987" s="66"/>
      <c r="R987" s="66"/>
      <c r="S987" s="66"/>
      <c r="T987" s="138" t="str">
        <f>IFERROR(LOOKUP($S987,MOTORISTAS!$D$3:$D$916,MOTORISTAS!E$3:$E$916),"")</f>
        <v/>
      </c>
      <c r="U987" s="138" t="str">
        <f>IFERROR(LOOKUP($S987,MOTORISTAS!$D$3:$D$916,MOTORISTAS!F$3:$F$916),"")</f>
        <v/>
      </c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44"/>
      <c r="AG987" s="254">
        <f>Prog_23[[#This Row],[SAÍDA DO CLIENTE]]-Prog_23[[#This Row],[PROGRAMAÇÃO CLIENTE]]</f>
        <v>0</v>
      </c>
      <c r="AH987" s="44"/>
      <c r="AI987" s="66"/>
      <c r="AJ987" s="66"/>
      <c r="AK987" s="66"/>
      <c r="AL987" s="66"/>
      <c r="AM987" s="66"/>
      <c r="AN987" s="83"/>
      <c r="AO987" s="83"/>
      <c r="AP987" s="83"/>
      <c r="AQ987" s="66"/>
      <c r="AR987" s="66"/>
      <c r="AS987" s="66"/>
      <c r="AT987" s="81"/>
      <c r="AU987" s="81"/>
      <c r="AV987" s="81"/>
      <c r="AW987" s="81"/>
      <c r="AX987" s="83">
        <f>SUM(Prog_23[[#This Row],[ADIANTAMENTO]]+Prog_23[[#This Row],[SALDO]]+Prog_23[[#This Row],[MARGEM]]+Prog_23[[#This Row],[ESTADIA 1]])</f>
        <v>0</v>
      </c>
      <c r="AY9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87" s="81"/>
      <c r="BA987" s="81"/>
      <c r="BB987" s="81">
        <f>Prog_23[[#This Row],[VLR NF]]*0.1%</f>
        <v>0</v>
      </c>
      <c r="BC987" s="81">
        <f>Prog_23[[#This Row],[VLR NF]]*0.05%</f>
        <v>0</v>
      </c>
      <c r="BD987" s="81"/>
      <c r="BE987" s="81"/>
      <c r="BF987" s="81"/>
      <c r="BG987" s="81"/>
      <c r="BH987" s="81"/>
      <c r="BI987" s="81"/>
      <c r="BJ987" s="81"/>
      <c r="BK987" s="81"/>
      <c r="BL987" s="81"/>
      <c r="BM987" s="81"/>
      <c r="BN987" s="66"/>
      <c r="BO987" s="66"/>
      <c r="BP987" s="66"/>
      <c r="BQ987" s="66" t="str">
        <f>PROPER(TEXT(Prog_23[[#This Row],[PROGRAMAÇÃO CLIENTE]],"mmm"))</f>
        <v>Jan</v>
      </c>
      <c r="BR987" s="66">
        <f>YEAR(Prog_23[[#This Row],[PROGRAMAÇÃO CLIENTE]])</f>
        <v>1900</v>
      </c>
    </row>
    <row r="988" spans="1:70" x14ac:dyDescent="0.25">
      <c r="A988" s="201">
        <f>Prog_23[[#This Row],[CONTEINER]]</f>
        <v>0</v>
      </c>
      <c r="B988" s="86"/>
      <c r="C9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88" s="44"/>
      <c r="E988" s="66"/>
      <c r="F988" s="66"/>
      <c r="G988" s="66"/>
      <c r="H988" s="44"/>
      <c r="I988" s="44"/>
      <c r="J988" s="66"/>
      <c r="K988" s="66"/>
      <c r="L988" s="66"/>
      <c r="M988" s="66"/>
      <c r="N988" s="66">
        <f>SUM(Prog_23[[#This Row],[TARA]]+Prog_23[[#This Row],[PESO]])</f>
        <v>0</v>
      </c>
      <c r="O988" s="44"/>
      <c r="P988" s="66"/>
      <c r="Q988" s="66"/>
      <c r="R988" s="66"/>
      <c r="S988" s="66"/>
      <c r="T988" s="138" t="str">
        <f>IFERROR(LOOKUP($S988,MOTORISTAS!$D$3:$D$916,MOTORISTAS!E$3:$E$916),"")</f>
        <v/>
      </c>
      <c r="U988" s="138" t="str">
        <f>IFERROR(LOOKUP($S988,MOTORISTAS!$D$3:$D$916,MOTORISTAS!F$3:$F$916),"")</f>
        <v/>
      </c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44"/>
      <c r="AG988" s="254">
        <f>Prog_23[[#This Row],[SAÍDA DO CLIENTE]]-Prog_23[[#This Row],[PROGRAMAÇÃO CLIENTE]]</f>
        <v>0</v>
      </c>
      <c r="AH988" s="44"/>
      <c r="AI988" s="66"/>
      <c r="AJ988" s="66"/>
      <c r="AK988" s="66"/>
      <c r="AL988" s="66"/>
      <c r="AM988" s="66"/>
      <c r="AN988" s="83"/>
      <c r="AO988" s="83"/>
      <c r="AP988" s="83"/>
      <c r="AQ988" s="66"/>
      <c r="AR988" s="66"/>
      <c r="AS988" s="66"/>
      <c r="AT988" s="81"/>
      <c r="AU988" s="81"/>
      <c r="AV988" s="81"/>
      <c r="AW988" s="81"/>
      <c r="AX988" s="83">
        <f>SUM(Prog_23[[#This Row],[ADIANTAMENTO]]+Prog_23[[#This Row],[SALDO]]+Prog_23[[#This Row],[MARGEM]]+Prog_23[[#This Row],[ESTADIA 1]])</f>
        <v>0</v>
      </c>
      <c r="AY9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88" s="81"/>
      <c r="BA988" s="81"/>
      <c r="BB988" s="81">
        <f>Prog_23[[#This Row],[VLR NF]]*0.1%</f>
        <v>0</v>
      </c>
      <c r="BC988" s="81">
        <f>Prog_23[[#This Row],[VLR NF]]*0.05%</f>
        <v>0</v>
      </c>
      <c r="BD988" s="81"/>
      <c r="BE988" s="81"/>
      <c r="BF988" s="81"/>
      <c r="BG988" s="81"/>
      <c r="BH988" s="81"/>
      <c r="BI988" s="81"/>
      <c r="BJ988" s="81"/>
      <c r="BK988" s="81"/>
      <c r="BL988" s="81"/>
      <c r="BM988" s="81"/>
      <c r="BN988" s="66"/>
      <c r="BO988" s="66"/>
      <c r="BP988" s="66"/>
      <c r="BQ988" s="66" t="str">
        <f>PROPER(TEXT(Prog_23[[#This Row],[PROGRAMAÇÃO CLIENTE]],"mmm"))</f>
        <v>Jan</v>
      </c>
      <c r="BR988" s="66">
        <f>YEAR(Prog_23[[#This Row],[PROGRAMAÇÃO CLIENTE]])</f>
        <v>1900</v>
      </c>
    </row>
    <row r="989" spans="1:70" x14ac:dyDescent="0.25">
      <c r="A989" s="200">
        <f>Prog_23[[#This Row],[CONTEINER]]</f>
        <v>0</v>
      </c>
      <c r="B989" s="86"/>
      <c r="C9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89" s="44"/>
      <c r="E989" s="66"/>
      <c r="F989" s="66"/>
      <c r="G989" s="66"/>
      <c r="H989" s="44"/>
      <c r="I989" s="44"/>
      <c r="J989" s="66"/>
      <c r="K989" s="66"/>
      <c r="L989" s="66"/>
      <c r="M989" s="66"/>
      <c r="N989" s="66">
        <f>SUM(Prog_23[[#This Row],[TARA]]+Prog_23[[#This Row],[PESO]])</f>
        <v>0</v>
      </c>
      <c r="O989" s="44"/>
      <c r="P989" s="66"/>
      <c r="Q989" s="66"/>
      <c r="R989" s="66"/>
      <c r="S989" s="66"/>
      <c r="T989" s="138" t="str">
        <f>IFERROR(LOOKUP($S989,MOTORISTAS!$D$3:$D$916,MOTORISTAS!E$3:$E$916),"")</f>
        <v/>
      </c>
      <c r="U989" s="138" t="str">
        <f>IFERROR(LOOKUP($S989,MOTORISTAS!$D$3:$D$916,MOTORISTAS!F$3:$F$916),"")</f>
        <v/>
      </c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44"/>
      <c r="AG989" s="254">
        <f>Prog_23[[#This Row],[SAÍDA DO CLIENTE]]-Prog_23[[#This Row],[PROGRAMAÇÃO CLIENTE]]</f>
        <v>0</v>
      </c>
      <c r="AH989" s="44"/>
      <c r="AI989" s="66"/>
      <c r="AJ989" s="66"/>
      <c r="AK989" s="66"/>
      <c r="AL989" s="66"/>
      <c r="AM989" s="66"/>
      <c r="AN989" s="83"/>
      <c r="AO989" s="83"/>
      <c r="AP989" s="83"/>
      <c r="AQ989" s="66"/>
      <c r="AR989" s="66"/>
      <c r="AS989" s="66"/>
      <c r="AT989" s="81"/>
      <c r="AU989" s="81"/>
      <c r="AV989" s="81"/>
      <c r="AW989" s="81"/>
      <c r="AX989" s="83">
        <f>SUM(Prog_23[[#This Row],[ADIANTAMENTO]]+Prog_23[[#This Row],[SALDO]]+Prog_23[[#This Row],[MARGEM]]+Prog_23[[#This Row],[ESTADIA 1]])</f>
        <v>0</v>
      </c>
      <c r="AY9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89" s="81"/>
      <c r="BA989" s="81"/>
      <c r="BB989" s="81">
        <f>Prog_23[[#This Row],[VLR NF]]*0.1%</f>
        <v>0</v>
      </c>
      <c r="BC989" s="81">
        <f>Prog_23[[#This Row],[VLR NF]]*0.05%</f>
        <v>0</v>
      </c>
      <c r="BD989" s="81"/>
      <c r="BE989" s="81"/>
      <c r="BF989" s="81"/>
      <c r="BG989" s="81"/>
      <c r="BH989" s="81"/>
      <c r="BI989" s="81"/>
      <c r="BJ989" s="81"/>
      <c r="BK989" s="81"/>
      <c r="BL989" s="81"/>
      <c r="BM989" s="81"/>
      <c r="BN989" s="66"/>
      <c r="BO989" s="66"/>
      <c r="BP989" s="66"/>
      <c r="BQ989" s="66" t="str">
        <f>PROPER(TEXT(Prog_23[[#This Row],[PROGRAMAÇÃO CLIENTE]],"mmm"))</f>
        <v>Jan</v>
      </c>
      <c r="BR989" s="66">
        <f>YEAR(Prog_23[[#This Row],[PROGRAMAÇÃO CLIENTE]])</f>
        <v>1900</v>
      </c>
    </row>
    <row r="990" spans="1:70" x14ac:dyDescent="0.25">
      <c r="A990" s="201">
        <f>Prog_23[[#This Row],[CONTEINER]]</f>
        <v>0</v>
      </c>
      <c r="B990" s="86"/>
      <c r="C9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90" s="44"/>
      <c r="E990" s="66"/>
      <c r="F990" s="66"/>
      <c r="G990" s="66"/>
      <c r="H990" s="44"/>
      <c r="I990" s="44"/>
      <c r="J990" s="66"/>
      <c r="K990" s="66"/>
      <c r="L990" s="66"/>
      <c r="M990" s="66"/>
      <c r="N990" s="66">
        <f>SUM(Prog_23[[#This Row],[TARA]]+Prog_23[[#This Row],[PESO]])</f>
        <v>0</v>
      </c>
      <c r="O990" s="44"/>
      <c r="P990" s="66"/>
      <c r="Q990" s="66"/>
      <c r="R990" s="66"/>
      <c r="S990" s="66"/>
      <c r="T990" s="138" t="str">
        <f>IFERROR(LOOKUP($S990,MOTORISTAS!$D$3:$D$916,MOTORISTAS!E$3:$E$916),"")</f>
        <v/>
      </c>
      <c r="U990" s="138" t="str">
        <f>IFERROR(LOOKUP($S990,MOTORISTAS!$D$3:$D$916,MOTORISTAS!F$3:$F$916),"")</f>
        <v/>
      </c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44"/>
      <c r="AG990" s="254">
        <f>Prog_23[[#This Row],[SAÍDA DO CLIENTE]]-Prog_23[[#This Row],[PROGRAMAÇÃO CLIENTE]]</f>
        <v>0</v>
      </c>
      <c r="AH990" s="44"/>
      <c r="AI990" s="66"/>
      <c r="AJ990" s="66"/>
      <c r="AK990" s="66"/>
      <c r="AL990" s="66"/>
      <c r="AM990" s="66"/>
      <c r="AN990" s="83"/>
      <c r="AO990" s="83"/>
      <c r="AP990" s="83"/>
      <c r="AQ990" s="66"/>
      <c r="AR990" s="66"/>
      <c r="AS990" s="66"/>
      <c r="AT990" s="81"/>
      <c r="AU990" s="81"/>
      <c r="AV990" s="81"/>
      <c r="AW990" s="81"/>
      <c r="AX990" s="83">
        <f>SUM(Prog_23[[#This Row],[ADIANTAMENTO]]+Prog_23[[#This Row],[SALDO]]+Prog_23[[#This Row],[MARGEM]]+Prog_23[[#This Row],[ESTADIA 1]])</f>
        <v>0</v>
      </c>
      <c r="AY9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90" s="81"/>
      <c r="BA990" s="81"/>
      <c r="BB990" s="81">
        <f>Prog_23[[#This Row],[VLR NF]]*0.1%</f>
        <v>0</v>
      </c>
      <c r="BC990" s="81">
        <f>Prog_23[[#This Row],[VLR NF]]*0.05%</f>
        <v>0</v>
      </c>
      <c r="BD990" s="81"/>
      <c r="BE990" s="81"/>
      <c r="BF990" s="81"/>
      <c r="BG990" s="81"/>
      <c r="BH990" s="81"/>
      <c r="BI990" s="81"/>
      <c r="BJ990" s="81"/>
      <c r="BK990" s="81"/>
      <c r="BL990" s="81"/>
      <c r="BM990" s="81"/>
      <c r="BN990" s="66"/>
      <c r="BO990" s="66"/>
      <c r="BP990" s="66"/>
      <c r="BQ990" s="66" t="str">
        <f>PROPER(TEXT(Prog_23[[#This Row],[PROGRAMAÇÃO CLIENTE]],"mmm"))</f>
        <v>Jan</v>
      </c>
      <c r="BR990" s="66">
        <f>YEAR(Prog_23[[#This Row],[PROGRAMAÇÃO CLIENTE]])</f>
        <v>1900</v>
      </c>
    </row>
    <row r="991" spans="1:70" x14ac:dyDescent="0.25">
      <c r="A991" s="200">
        <f>Prog_23[[#This Row],[CONTEINER]]</f>
        <v>0</v>
      </c>
      <c r="B991" s="86"/>
      <c r="C9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91" s="44"/>
      <c r="E991" s="66"/>
      <c r="F991" s="66"/>
      <c r="G991" s="66"/>
      <c r="H991" s="44"/>
      <c r="I991" s="44"/>
      <c r="J991" s="66"/>
      <c r="K991" s="66"/>
      <c r="L991" s="66"/>
      <c r="M991" s="66"/>
      <c r="N991" s="66">
        <f>SUM(Prog_23[[#This Row],[TARA]]+Prog_23[[#This Row],[PESO]])</f>
        <v>0</v>
      </c>
      <c r="O991" s="44"/>
      <c r="P991" s="66"/>
      <c r="Q991" s="66"/>
      <c r="R991" s="66"/>
      <c r="S991" s="66"/>
      <c r="T991" s="138" t="str">
        <f>IFERROR(LOOKUP($S991,MOTORISTAS!$D$3:$D$916,MOTORISTAS!E$3:$E$916),"")</f>
        <v/>
      </c>
      <c r="U991" s="138" t="str">
        <f>IFERROR(LOOKUP($S991,MOTORISTAS!$D$3:$D$916,MOTORISTAS!F$3:$F$916),"")</f>
        <v/>
      </c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44"/>
      <c r="AG991" s="254">
        <f>Prog_23[[#This Row],[SAÍDA DO CLIENTE]]-Prog_23[[#This Row],[PROGRAMAÇÃO CLIENTE]]</f>
        <v>0</v>
      </c>
      <c r="AH991" s="44"/>
      <c r="AI991" s="66"/>
      <c r="AJ991" s="66"/>
      <c r="AK991" s="66"/>
      <c r="AL991" s="66"/>
      <c r="AM991" s="66"/>
      <c r="AN991" s="83"/>
      <c r="AO991" s="83"/>
      <c r="AP991" s="83"/>
      <c r="AQ991" s="66"/>
      <c r="AR991" s="66"/>
      <c r="AS991" s="66"/>
      <c r="AT991" s="81"/>
      <c r="AU991" s="81"/>
      <c r="AV991" s="81"/>
      <c r="AW991" s="81"/>
      <c r="AX991" s="83">
        <f>SUM(Prog_23[[#This Row],[ADIANTAMENTO]]+Prog_23[[#This Row],[SALDO]]+Prog_23[[#This Row],[MARGEM]]+Prog_23[[#This Row],[ESTADIA 1]])</f>
        <v>0</v>
      </c>
      <c r="AY9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91" s="81"/>
      <c r="BA991" s="81"/>
      <c r="BB991" s="81">
        <f>Prog_23[[#This Row],[VLR NF]]*0.1%</f>
        <v>0</v>
      </c>
      <c r="BC991" s="81">
        <f>Prog_23[[#This Row],[VLR NF]]*0.05%</f>
        <v>0</v>
      </c>
      <c r="BD991" s="81"/>
      <c r="BE991" s="81"/>
      <c r="BF991" s="81"/>
      <c r="BG991" s="81"/>
      <c r="BH991" s="81"/>
      <c r="BI991" s="81"/>
      <c r="BJ991" s="81"/>
      <c r="BK991" s="81"/>
      <c r="BL991" s="81"/>
      <c r="BM991" s="81"/>
      <c r="BN991" s="66"/>
      <c r="BO991" s="66"/>
      <c r="BP991" s="66"/>
      <c r="BQ991" s="66" t="str">
        <f>PROPER(TEXT(Prog_23[[#This Row],[PROGRAMAÇÃO CLIENTE]],"mmm"))</f>
        <v>Jan</v>
      </c>
      <c r="BR991" s="66">
        <f>YEAR(Prog_23[[#This Row],[PROGRAMAÇÃO CLIENTE]])</f>
        <v>1900</v>
      </c>
    </row>
    <row r="992" spans="1:70" x14ac:dyDescent="0.25">
      <c r="A992" s="201">
        <f>Prog_23[[#This Row],[CONTEINER]]</f>
        <v>0</v>
      </c>
      <c r="B992" s="86"/>
      <c r="C9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92" s="44"/>
      <c r="E992" s="66"/>
      <c r="F992" s="66"/>
      <c r="G992" s="66"/>
      <c r="H992" s="44"/>
      <c r="I992" s="44"/>
      <c r="J992" s="66"/>
      <c r="K992" s="66"/>
      <c r="L992" s="66"/>
      <c r="M992" s="66"/>
      <c r="N992" s="66">
        <f>SUM(Prog_23[[#This Row],[TARA]]+Prog_23[[#This Row],[PESO]])</f>
        <v>0</v>
      </c>
      <c r="O992" s="44"/>
      <c r="P992" s="66"/>
      <c r="Q992" s="66"/>
      <c r="R992" s="66"/>
      <c r="S992" s="66"/>
      <c r="T992" s="138" t="str">
        <f>IFERROR(LOOKUP($S992,MOTORISTAS!$D$3:$D$916,MOTORISTAS!E$3:$E$916),"")</f>
        <v/>
      </c>
      <c r="U992" s="138" t="str">
        <f>IFERROR(LOOKUP($S992,MOTORISTAS!$D$3:$D$916,MOTORISTAS!F$3:$F$916),"")</f>
        <v/>
      </c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44"/>
      <c r="AG992" s="254">
        <f>Prog_23[[#This Row],[SAÍDA DO CLIENTE]]-Prog_23[[#This Row],[PROGRAMAÇÃO CLIENTE]]</f>
        <v>0</v>
      </c>
      <c r="AH992" s="44"/>
      <c r="AI992" s="66"/>
      <c r="AJ992" s="66"/>
      <c r="AK992" s="66"/>
      <c r="AL992" s="66"/>
      <c r="AM992" s="66"/>
      <c r="AN992" s="83"/>
      <c r="AO992" s="83"/>
      <c r="AP992" s="83"/>
      <c r="AQ992" s="66"/>
      <c r="AR992" s="66"/>
      <c r="AS992" s="66"/>
      <c r="AT992" s="81"/>
      <c r="AU992" s="81"/>
      <c r="AV992" s="81"/>
      <c r="AW992" s="81"/>
      <c r="AX992" s="83">
        <f>SUM(Prog_23[[#This Row],[ADIANTAMENTO]]+Prog_23[[#This Row],[SALDO]]+Prog_23[[#This Row],[MARGEM]]+Prog_23[[#This Row],[ESTADIA 1]])</f>
        <v>0</v>
      </c>
      <c r="AY9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92" s="81"/>
      <c r="BA992" s="81"/>
      <c r="BB992" s="81">
        <f>Prog_23[[#This Row],[VLR NF]]*0.1%</f>
        <v>0</v>
      </c>
      <c r="BC992" s="81">
        <f>Prog_23[[#This Row],[VLR NF]]*0.05%</f>
        <v>0</v>
      </c>
      <c r="BD992" s="81"/>
      <c r="BE992" s="81"/>
      <c r="BF992" s="81"/>
      <c r="BG992" s="81"/>
      <c r="BH992" s="81"/>
      <c r="BI992" s="81"/>
      <c r="BJ992" s="81"/>
      <c r="BK992" s="81"/>
      <c r="BL992" s="81"/>
      <c r="BM992" s="81"/>
      <c r="BN992" s="66"/>
      <c r="BO992" s="66"/>
      <c r="BP992" s="66"/>
      <c r="BQ992" s="66" t="str">
        <f>PROPER(TEXT(Prog_23[[#This Row],[PROGRAMAÇÃO CLIENTE]],"mmm"))</f>
        <v>Jan</v>
      </c>
      <c r="BR992" s="66">
        <f>YEAR(Prog_23[[#This Row],[PROGRAMAÇÃO CLIENTE]])</f>
        <v>1900</v>
      </c>
    </row>
    <row r="993" spans="1:70" x14ac:dyDescent="0.25">
      <c r="A993" s="200">
        <f>Prog_23[[#This Row],[CONTEINER]]</f>
        <v>0</v>
      </c>
      <c r="B993" s="86"/>
      <c r="C9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93" s="44"/>
      <c r="E993" s="66"/>
      <c r="F993" s="66"/>
      <c r="G993" s="66"/>
      <c r="H993" s="44"/>
      <c r="I993" s="44"/>
      <c r="J993" s="66"/>
      <c r="K993" s="66"/>
      <c r="L993" s="66"/>
      <c r="M993" s="66"/>
      <c r="N993" s="66">
        <f>SUM(Prog_23[[#This Row],[TARA]]+Prog_23[[#This Row],[PESO]])</f>
        <v>0</v>
      </c>
      <c r="O993" s="44"/>
      <c r="P993" s="66"/>
      <c r="Q993" s="66"/>
      <c r="R993" s="66"/>
      <c r="S993" s="66"/>
      <c r="T993" s="138" t="str">
        <f>IFERROR(LOOKUP($S993,MOTORISTAS!$D$3:$D$916,MOTORISTAS!E$3:$E$916),"")</f>
        <v/>
      </c>
      <c r="U993" s="138" t="str">
        <f>IFERROR(LOOKUP($S993,MOTORISTAS!$D$3:$D$916,MOTORISTAS!F$3:$F$916),"")</f>
        <v/>
      </c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44"/>
      <c r="AG993" s="254">
        <f>Prog_23[[#This Row],[SAÍDA DO CLIENTE]]-Prog_23[[#This Row],[PROGRAMAÇÃO CLIENTE]]</f>
        <v>0</v>
      </c>
      <c r="AH993" s="44"/>
      <c r="AI993" s="66"/>
      <c r="AJ993" s="66"/>
      <c r="AK993" s="66"/>
      <c r="AL993" s="66"/>
      <c r="AM993" s="66"/>
      <c r="AN993" s="83"/>
      <c r="AO993" s="83"/>
      <c r="AP993" s="83"/>
      <c r="AQ993" s="66"/>
      <c r="AR993" s="66"/>
      <c r="AS993" s="66"/>
      <c r="AT993" s="81"/>
      <c r="AU993" s="81"/>
      <c r="AV993" s="81"/>
      <c r="AW993" s="81"/>
      <c r="AX993" s="83">
        <f>SUM(Prog_23[[#This Row],[ADIANTAMENTO]]+Prog_23[[#This Row],[SALDO]]+Prog_23[[#This Row],[MARGEM]]+Prog_23[[#This Row],[ESTADIA 1]])</f>
        <v>0</v>
      </c>
      <c r="AY9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93" s="81"/>
      <c r="BA993" s="81"/>
      <c r="BB993" s="81">
        <f>Prog_23[[#This Row],[VLR NF]]*0.1%</f>
        <v>0</v>
      </c>
      <c r="BC993" s="81">
        <f>Prog_23[[#This Row],[VLR NF]]*0.05%</f>
        <v>0</v>
      </c>
      <c r="BD993" s="81"/>
      <c r="BE993" s="81"/>
      <c r="BF993" s="81"/>
      <c r="BG993" s="81"/>
      <c r="BH993" s="81"/>
      <c r="BI993" s="81"/>
      <c r="BJ993" s="81"/>
      <c r="BK993" s="81"/>
      <c r="BL993" s="81"/>
      <c r="BM993" s="81"/>
      <c r="BN993" s="66"/>
      <c r="BO993" s="66"/>
      <c r="BP993" s="66"/>
      <c r="BQ993" s="66" t="str">
        <f>PROPER(TEXT(Prog_23[[#This Row],[PROGRAMAÇÃO CLIENTE]],"mmm"))</f>
        <v>Jan</v>
      </c>
      <c r="BR993" s="66">
        <f>YEAR(Prog_23[[#This Row],[PROGRAMAÇÃO CLIENTE]])</f>
        <v>1900</v>
      </c>
    </row>
    <row r="994" spans="1:70" x14ac:dyDescent="0.25">
      <c r="A994" s="201">
        <f>Prog_23[[#This Row],[CONTEINER]]</f>
        <v>0</v>
      </c>
      <c r="B994" s="86"/>
      <c r="C9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94" s="44"/>
      <c r="E994" s="66"/>
      <c r="F994" s="66"/>
      <c r="G994" s="66"/>
      <c r="H994" s="44"/>
      <c r="I994" s="44"/>
      <c r="J994" s="66"/>
      <c r="K994" s="66"/>
      <c r="L994" s="66"/>
      <c r="M994" s="66"/>
      <c r="N994" s="66">
        <f>SUM(Prog_23[[#This Row],[TARA]]+Prog_23[[#This Row],[PESO]])</f>
        <v>0</v>
      </c>
      <c r="O994" s="44"/>
      <c r="P994" s="66"/>
      <c r="Q994" s="66"/>
      <c r="R994" s="66"/>
      <c r="S994" s="66"/>
      <c r="T994" s="138" t="str">
        <f>IFERROR(LOOKUP($S994,MOTORISTAS!$D$3:$D$916,MOTORISTAS!E$3:$E$916),"")</f>
        <v/>
      </c>
      <c r="U994" s="138" t="str">
        <f>IFERROR(LOOKUP($S994,MOTORISTAS!$D$3:$D$916,MOTORISTAS!F$3:$F$916),"")</f>
        <v/>
      </c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44"/>
      <c r="AG994" s="254">
        <f>Prog_23[[#This Row],[SAÍDA DO CLIENTE]]-Prog_23[[#This Row],[PROGRAMAÇÃO CLIENTE]]</f>
        <v>0</v>
      </c>
      <c r="AH994" s="44"/>
      <c r="AI994" s="66"/>
      <c r="AJ994" s="66"/>
      <c r="AK994" s="66"/>
      <c r="AL994" s="66"/>
      <c r="AM994" s="66"/>
      <c r="AN994" s="83"/>
      <c r="AO994" s="83"/>
      <c r="AP994" s="83"/>
      <c r="AQ994" s="66"/>
      <c r="AR994" s="66"/>
      <c r="AS994" s="66"/>
      <c r="AT994" s="81"/>
      <c r="AU994" s="81"/>
      <c r="AV994" s="81"/>
      <c r="AW994" s="81"/>
      <c r="AX994" s="83">
        <f>SUM(Prog_23[[#This Row],[ADIANTAMENTO]]+Prog_23[[#This Row],[SALDO]]+Prog_23[[#This Row],[MARGEM]]+Prog_23[[#This Row],[ESTADIA 1]])</f>
        <v>0</v>
      </c>
      <c r="AY9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94" s="81"/>
      <c r="BA994" s="81"/>
      <c r="BB994" s="81">
        <f>Prog_23[[#This Row],[VLR NF]]*0.1%</f>
        <v>0</v>
      </c>
      <c r="BC994" s="81">
        <f>Prog_23[[#This Row],[VLR NF]]*0.05%</f>
        <v>0</v>
      </c>
      <c r="BD994" s="81"/>
      <c r="BE994" s="81"/>
      <c r="BF994" s="81"/>
      <c r="BG994" s="81"/>
      <c r="BH994" s="81"/>
      <c r="BI994" s="81"/>
      <c r="BJ994" s="81"/>
      <c r="BK994" s="81"/>
      <c r="BL994" s="81"/>
      <c r="BM994" s="81"/>
      <c r="BN994" s="66"/>
      <c r="BO994" s="66"/>
      <c r="BP994" s="66"/>
      <c r="BQ994" s="66" t="str">
        <f>PROPER(TEXT(Prog_23[[#This Row],[PROGRAMAÇÃO CLIENTE]],"mmm"))</f>
        <v>Jan</v>
      </c>
      <c r="BR994" s="66">
        <f>YEAR(Prog_23[[#This Row],[PROGRAMAÇÃO CLIENTE]])</f>
        <v>1900</v>
      </c>
    </row>
    <row r="995" spans="1:70" x14ac:dyDescent="0.25">
      <c r="A995" s="200">
        <f>Prog_23[[#This Row],[CONTEINER]]</f>
        <v>0</v>
      </c>
      <c r="B995" s="86"/>
      <c r="C9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95" s="44"/>
      <c r="E995" s="66"/>
      <c r="F995" s="66"/>
      <c r="G995" s="66"/>
      <c r="H995" s="44"/>
      <c r="I995" s="44"/>
      <c r="J995" s="66"/>
      <c r="K995" s="66"/>
      <c r="L995" s="66"/>
      <c r="M995" s="66"/>
      <c r="N995" s="66">
        <f>SUM(Prog_23[[#This Row],[TARA]]+Prog_23[[#This Row],[PESO]])</f>
        <v>0</v>
      </c>
      <c r="O995" s="44"/>
      <c r="P995" s="66"/>
      <c r="Q995" s="66"/>
      <c r="R995" s="66"/>
      <c r="S995" s="66"/>
      <c r="T995" s="138" t="str">
        <f>IFERROR(LOOKUP($S995,MOTORISTAS!$D$3:$D$916,MOTORISTAS!E$3:$E$916),"")</f>
        <v/>
      </c>
      <c r="U995" s="138" t="str">
        <f>IFERROR(LOOKUP($S995,MOTORISTAS!$D$3:$D$916,MOTORISTAS!F$3:$F$916),"")</f>
        <v/>
      </c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44"/>
      <c r="AG995" s="254">
        <f>Prog_23[[#This Row],[SAÍDA DO CLIENTE]]-Prog_23[[#This Row],[PROGRAMAÇÃO CLIENTE]]</f>
        <v>0</v>
      </c>
      <c r="AH995" s="44"/>
      <c r="AI995" s="66"/>
      <c r="AJ995" s="66"/>
      <c r="AK995" s="66"/>
      <c r="AL995" s="66"/>
      <c r="AM995" s="66"/>
      <c r="AN995" s="83"/>
      <c r="AO995" s="83"/>
      <c r="AP995" s="83"/>
      <c r="AQ995" s="66"/>
      <c r="AR995" s="66"/>
      <c r="AS995" s="66"/>
      <c r="AT995" s="81"/>
      <c r="AU995" s="81"/>
      <c r="AV995" s="81"/>
      <c r="AW995" s="81"/>
      <c r="AX995" s="83">
        <f>SUM(Prog_23[[#This Row],[ADIANTAMENTO]]+Prog_23[[#This Row],[SALDO]]+Prog_23[[#This Row],[MARGEM]]+Prog_23[[#This Row],[ESTADIA 1]])</f>
        <v>0</v>
      </c>
      <c r="AY9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95" s="81"/>
      <c r="BA995" s="81"/>
      <c r="BB995" s="81">
        <f>Prog_23[[#This Row],[VLR NF]]*0.1%</f>
        <v>0</v>
      </c>
      <c r="BC995" s="81">
        <f>Prog_23[[#This Row],[VLR NF]]*0.05%</f>
        <v>0</v>
      </c>
      <c r="BD995" s="81"/>
      <c r="BE995" s="81"/>
      <c r="BF995" s="81"/>
      <c r="BG995" s="81"/>
      <c r="BH995" s="81"/>
      <c r="BI995" s="81"/>
      <c r="BJ995" s="81"/>
      <c r="BK995" s="81"/>
      <c r="BL995" s="81"/>
      <c r="BM995" s="81"/>
      <c r="BN995" s="66"/>
      <c r="BO995" s="66"/>
      <c r="BP995" s="66"/>
      <c r="BQ995" s="66" t="str">
        <f>PROPER(TEXT(Prog_23[[#This Row],[PROGRAMAÇÃO CLIENTE]],"mmm"))</f>
        <v>Jan</v>
      </c>
      <c r="BR995" s="66">
        <f>YEAR(Prog_23[[#This Row],[PROGRAMAÇÃO CLIENTE]])</f>
        <v>1900</v>
      </c>
    </row>
    <row r="996" spans="1:70" x14ac:dyDescent="0.25">
      <c r="A996" s="201">
        <f>Prog_23[[#This Row],[CONTEINER]]</f>
        <v>0</v>
      </c>
      <c r="B996" s="86"/>
      <c r="C9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96" s="44"/>
      <c r="E996" s="66"/>
      <c r="F996" s="66"/>
      <c r="G996" s="66"/>
      <c r="H996" s="44"/>
      <c r="I996" s="44"/>
      <c r="J996" s="66"/>
      <c r="K996" s="66"/>
      <c r="L996" s="66"/>
      <c r="M996" s="66"/>
      <c r="N996" s="66">
        <f>SUM(Prog_23[[#This Row],[TARA]]+Prog_23[[#This Row],[PESO]])</f>
        <v>0</v>
      </c>
      <c r="O996" s="44"/>
      <c r="P996" s="66"/>
      <c r="Q996" s="66"/>
      <c r="R996" s="66"/>
      <c r="S996" s="66"/>
      <c r="T996" s="138" t="str">
        <f>IFERROR(LOOKUP($S996,MOTORISTAS!$D$3:$D$916,MOTORISTAS!E$3:$E$916),"")</f>
        <v/>
      </c>
      <c r="U996" s="138" t="str">
        <f>IFERROR(LOOKUP($S996,MOTORISTAS!$D$3:$D$916,MOTORISTAS!F$3:$F$916),"")</f>
        <v/>
      </c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44"/>
      <c r="AG996" s="254">
        <f>Prog_23[[#This Row],[SAÍDA DO CLIENTE]]-Prog_23[[#This Row],[PROGRAMAÇÃO CLIENTE]]</f>
        <v>0</v>
      </c>
      <c r="AH996" s="44"/>
      <c r="AI996" s="66"/>
      <c r="AJ996" s="66"/>
      <c r="AK996" s="66"/>
      <c r="AL996" s="66"/>
      <c r="AM996" s="66"/>
      <c r="AN996" s="83"/>
      <c r="AO996" s="83"/>
      <c r="AP996" s="83"/>
      <c r="AQ996" s="66"/>
      <c r="AR996" s="66"/>
      <c r="AS996" s="66"/>
      <c r="AT996" s="81"/>
      <c r="AU996" s="81"/>
      <c r="AV996" s="81"/>
      <c r="AW996" s="81"/>
      <c r="AX996" s="83">
        <f>SUM(Prog_23[[#This Row],[ADIANTAMENTO]]+Prog_23[[#This Row],[SALDO]]+Prog_23[[#This Row],[MARGEM]]+Prog_23[[#This Row],[ESTADIA 1]])</f>
        <v>0</v>
      </c>
      <c r="AY9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96" s="81"/>
      <c r="BA996" s="81"/>
      <c r="BB996" s="81">
        <f>Prog_23[[#This Row],[VLR NF]]*0.1%</f>
        <v>0</v>
      </c>
      <c r="BC996" s="81">
        <f>Prog_23[[#This Row],[VLR NF]]*0.05%</f>
        <v>0</v>
      </c>
      <c r="BD996" s="81"/>
      <c r="BE996" s="81"/>
      <c r="BF996" s="81"/>
      <c r="BG996" s="81"/>
      <c r="BH996" s="81"/>
      <c r="BI996" s="81"/>
      <c r="BJ996" s="81"/>
      <c r="BK996" s="81"/>
      <c r="BL996" s="81"/>
      <c r="BM996" s="81"/>
      <c r="BN996" s="66"/>
      <c r="BO996" s="66"/>
      <c r="BP996" s="66"/>
      <c r="BQ996" s="66" t="str">
        <f>PROPER(TEXT(Prog_23[[#This Row],[PROGRAMAÇÃO CLIENTE]],"mmm"))</f>
        <v>Jan</v>
      </c>
      <c r="BR996" s="66">
        <f>YEAR(Prog_23[[#This Row],[PROGRAMAÇÃO CLIENTE]])</f>
        <v>1900</v>
      </c>
    </row>
    <row r="997" spans="1:70" x14ac:dyDescent="0.25">
      <c r="A997" s="200">
        <f>Prog_23[[#This Row],[CONTEINER]]</f>
        <v>0</v>
      </c>
      <c r="B997" s="86"/>
      <c r="C9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97" s="44"/>
      <c r="E997" s="66"/>
      <c r="F997" s="66"/>
      <c r="G997" s="66"/>
      <c r="H997" s="44"/>
      <c r="I997" s="44"/>
      <c r="J997" s="66"/>
      <c r="K997" s="66"/>
      <c r="L997" s="66"/>
      <c r="M997" s="66"/>
      <c r="N997" s="66">
        <f>SUM(Prog_23[[#This Row],[TARA]]+Prog_23[[#This Row],[PESO]])</f>
        <v>0</v>
      </c>
      <c r="O997" s="44"/>
      <c r="P997" s="66"/>
      <c r="Q997" s="66"/>
      <c r="R997" s="66"/>
      <c r="S997" s="66"/>
      <c r="T997" s="138" t="str">
        <f>IFERROR(LOOKUP($S997,MOTORISTAS!$D$3:$D$916,MOTORISTAS!E$3:$E$916),"")</f>
        <v/>
      </c>
      <c r="U997" s="138" t="str">
        <f>IFERROR(LOOKUP($S997,MOTORISTAS!$D$3:$D$916,MOTORISTAS!F$3:$F$916),"")</f>
        <v/>
      </c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44"/>
      <c r="AG997" s="254">
        <f>Prog_23[[#This Row],[SAÍDA DO CLIENTE]]-Prog_23[[#This Row],[PROGRAMAÇÃO CLIENTE]]</f>
        <v>0</v>
      </c>
      <c r="AH997" s="44"/>
      <c r="AI997" s="66"/>
      <c r="AJ997" s="66"/>
      <c r="AK997" s="66"/>
      <c r="AL997" s="66"/>
      <c r="AM997" s="66"/>
      <c r="AN997" s="83"/>
      <c r="AO997" s="83"/>
      <c r="AP997" s="83"/>
      <c r="AQ997" s="66"/>
      <c r="AR997" s="66"/>
      <c r="AS997" s="66"/>
      <c r="AT997" s="81"/>
      <c r="AU997" s="81"/>
      <c r="AV997" s="81"/>
      <c r="AW997" s="81"/>
      <c r="AX997" s="83">
        <f>SUM(Prog_23[[#This Row],[ADIANTAMENTO]]+Prog_23[[#This Row],[SALDO]]+Prog_23[[#This Row],[MARGEM]]+Prog_23[[#This Row],[ESTADIA 1]])</f>
        <v>0</v>
      </c>
      <c r="AY9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97" s="81"/>
      <c r="BA997" s="81"/>
      <c r="BB997" s="81">
        <f>Prog_23[[#This Row],[VLR NF]]*0.1%</f>
        <v>0</v>
      </c>
      <c r="BC997" s="81">
        <f>Prog_23[[#This Row],[VLR NF]]*0.05%</f>
        <v>0</v>
      </c>
      <c r="BD997" s="81"/>
      <c r="BE997" s="81"/>
      <c r="BF997" s="81"/>
      <c r="BG997" s="81"/>
      <c r="BH997" s="81"/>
      <c r="BI997" s="81"/>
      <c r="BJ997" s="81"/>
      <c r="BK997" s="81"/>
      <c r="BL997" s="81"/>
      <c r="BM997" s="81"/>
      <c r="BN997" s="66"/>
      <c r="BO997" s="66"/>
      <c r="BP997" s="66"/>
      <c r="BQ997" s="66" t="str">
        <f>PROPER(TEXT(Prog_23[[#This Row],[PROGRAMAÇÃO CLIENTE]],"mmm"))</f>
        <v>Jan</v>
      </c>
      <c r="BR997" s="66">
        <f>YEAR(Prog_23[[#This Row],[PROGRAMAÇÃO CLIENTE]])</f>
        <v>1900</v>
      </c>
    </row>
    <row r="998" spans="1:70" x14ac:dyDescent="0.25">
      <c r="A998" s="201">
        <f>Prog_23[[#This Row],[CONTEINER]]</f>
        <v>0</v>
      </c>
      <c r="B998" s="86"/>
      <c r="C9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98" s="44"/>
      <c r="E998" s="66"/>
      <c r="F998" s="66"/>
      <c r="G998" s="66"/>
      <c r="H998" s="44"/>
      <c r="I998" s="44"/>
      <c r="J998" s="66"/>
      <c r="K998" s="66"/>
      <c r="L998" s="66"/>
      <c r="M998" s="66"/>
      <c r="N998" s="66">
        <f>SUM(Prog_23[[#This Row],[TARA]]+Prog_23[[#This Row],[PESO]])</f>
        <v>0</v>
      </c>
      <c r="O998" s="44"/>
      <c r="P998" s="66"/>
      <c r="Q998" s="66"/>
      <c r="R998" s="66"/>
      <c r="S998" s="66"/>
      <c r="T998" s="138" t="str">
        <f>IFERROR(LOOKUP($S998,MOTORISTAS!$D$3:$D$916,MOTORISTAS!E$3:$E$916),"")</f>
        <v/>
      </c>
      <c r="U998" s="138" t="str">
        <f>IFERROR(LOOKUP($S998,MOTORISTAS!$D$3:$D$916,MOTORISTAS!F$3:$F$916),"")</f>
        <v/>
      </c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44"/>
      <c r="AG998" s="254">
        <f>Prog_23[[#This Row],[SAÍDA DO CLIENTE]]-Prog_23[[#This Row],[PROGRAMAÇÃO CLIENTE]]</f>
        <v>0</v>
      </c>
      <c r="AH998" s="44"/>
      <c r="AI998" s="66"/>
      <c r="AJ998" s="66"/>
      <c r="AK998" s="66"/>
      <c r="AL998" s="66"/>
      <c r="AM998" s="66"/>
      <c r="AN998" s="83"/>
      <c r="AO998" s="83"/>
      <c r="AP998" s="83"/>
      <c r="AQ998" s="66"/>
      <c r="AR998" s="66"/>
      <c r="AS998" s="66"/>
      <c r="AT998" s="81"/>
      <c r="AU998" s="81"/>
      <c r="AV998" s="81"/>
      <c r="AW998" s="81"/>
      <c r="AX998" s="83">
        <f>SUM(Prog_23[[#This Row],[ADIANTAMENTO]]+Prog_23[[#This Row],[SALDO]]+Prog_23[[#This Row],[MARGEM]]+Prog_23[[#This Row],[ESTADIA 1]])</f>
        <v>0</v>
      </c>
      <c r="AY9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98" s="81"/>
      <c r="BA998" s="81"/>
      <c r="BB998" s="81">
        <f>Prog_23[[#This Row],[VLR NF]]*0.1%</f>
        <v>0</v>
      </c>
      <c r="BC998" s="81">
        <f>Prog_23[[#This Row],[VLR NF]]*0.05%</f>
        <v>0</v>
      </c>
      <c r="BD998" s="81"/>
      <c r="BE998" s="81"/>
      <c r="BF998" s="81"/>
      <c r="BG998" s="81"/>
      <c r="BH998" s="81"/>
      <c r="BI998" s="81"/>
      <c r="BJ998" s="81"/>
      <c r="BK998" s="81"/>
      <c r="BL998" s="81"/>
      <c r="BM998" s="81"/>
      <c r="BN998" s="66"/>
      <c r="BO998" s="66"/>
      <c r="BP998" s="66"/>
      <c r="BQ998" s="66" t="str">
        <f>PROPER(TEXT(Prog_23[[#This Row],[PROGRAMAÇÃO CLIENTE]],"mmm"))</f>
        <v>Jan</v>
      </c>
      <c r="BR998" s="66">
        <f>YEAR(Prog_23[[#This Row],[PROGRAMAÇÃO CLIENTE]])</f>
        <v>1900</v>
      </c>
    </row>
    <row r="999" spans="1:70" x14ac:dyDescent="0.25">
      <c r="A999" s="200">
        <f>Prog_23[[#This Row],[CONTEINER]]</f>
        <v>0</v>
      </c>
      <c r="B999" s="86"/>
      <c r="C9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999" s="44"/>
      <c r="E999" s="66"/>
      <c r="F999" s="66"/>
      <c r="G999" s="66"/>
      <c r="H999" s="44"/>
      <c r="I999" s="44"/>
      <c r="J999" s="66"/>
      <c r="K999" s="66"/>
      <c r="L999" s="66"/>
      <c r="M999" s="66"/>
      <c r="N999" s="66">
        <f>SUM(Prog_23[[#This Row],[TARA]]+Prog_23[[#This Row],[PESO]])</f>
        <v>0</v>
      </c>
      <c r="O999" s="44"/>
      <c r="P999" s="66"/>
      <c r="Q999" s="66"/>
      <c r="R999" s="66"/>
      <c r="S999" s="66"/>
      <c r="T999" s="138" t="str">
        <f>IFERROR(LOOKUP($S999,MOTORISTAS!$D$3:$D$916,MOTORISTAS!E$3:$E$916),"")</f>
        <v/>
      </c>
      <c r="U999" s="138" t="str">
        <f>IFERROR(LOOKUP($S999,MOTORISTAS!$D$3:$D$916,MOTORISTAS!F$3:$F$916),"")</f>
        <v/>
      </c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44"/>
      <c r="AG999" s="254">
        <f>Prog_23[[#This Row],[SAÍDA DO CLIENTE]]-Prog_23[[#This Row],[PROGRAMAÇÃO CLIENTE]]</f>
        <v>0</v>
      </c>
      <c r="AH999" s="44"/>
      <c r="AI999" s="66"/>
      <c r="AJ999" s="66"/>
      <c r="AK999" s="66"/>
      <c r="AL999" s="66"/>
      <c r="AM999" s="66"/>
      <c r="AN999" s="83"/>
      <c r="AO999" s="83"/>
      <c r="AP999" s="83"/>
      <c r="AQ999" s="66"/>
      <c r="AR999" s="66"/>
      <c r="AS999" s="66"/>
      <c r="AT999" s="81"/>
      <c r="AU999" s="81"/>
      <c r="AV999" s="81"/>
      <c r="AW999" s="81"/>
      <c r="AX999" s="83">
        <f>SUM(Prog_23[[#This Row],[ADIANTAMENTO]]+Prog_23[[#This Row],[SALDO]]+Prog_23[[#This Row],[MARGEM]]+Prog_23[[#This Row],[ESTADIA 1]])</f>
        <v>0</v>
      </c>
      <c r="AY9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999" s="81"/>
      <c r="BA999" s="81"/>
      <c r="BB999" s="81">
        <f>Prog_23[[#This Row],[VLR NF]]*0.1%</f>
        <v>0</v>
      </c>
      <c r="BC999" s="81">
        <f>Prog_23[[#This Row],[VLR NF]]*0.05%</f>
        <v>0</v>
      </c>
      <c r="BD999" s="81"/>
      <c r="BE999" s="81"/>
      <c r="BF999" s="81"/>
      <c r="BG999" s="81"/>
      <c r="BH999" s="81"/>
      <c r="BI999" s="81"/>
      <c r="BJ999" s="81"/>
      <c r="BK999" s="81"/>
      <c r="BL999" s="81"/>
      <c r="BM999" s="81"/>
      <c r="BN999" s="66"/>
      <c r="BO999" s="66"/>
      <c r="BP999" s="66"/>
      <c r="BQ999" s="66" t="str">
        <f>PROPER(TEXT(Prog_23[[#This Row],[PROGRAMAÇÃO CLIENTE]],"mmm"))</f>
        <v>Jan</v>
      </c>
      <c r="BR999" s="66">
        <f>YEAR(Prog_23[[#This Row],[PROGRAMAÇÃO CLIENTE]])</f>
        <v>1900</v>
      </c>
    </row>
    <row r="1000" spans="1:70" x14ac:dyDescent="0.25">
      <c r="A1000" s="201">
        <f>Prog_23[[#This Row],[CONTEINER]]</f>
        <v>0</v>
      </c>
      <c r="B1000" s="86"/>
      <c r="C10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00" s="44"/>
      <c r="E1000" s="66"/>
      <c r="F1000" s="66"/>
      <c r="G1000" s="66"/>
      <c r="H1000" s="44"/>
      <c r="I1000" s="44"/>
      <c r="J1000" s="66"/>
      <c r="K1000" s="66"/>
      <c r="L1000" s="66"/>
      <c r="M1000" s="66"/>
      <c r="N1000" s="66">
        <f>SUM(Prog_23[[#This Row],[TARA]]+Prog_23[[#This Row],[PESO]])</f>
        <v>0</v>
      </c>
      <c r="O1000" s="44"/>
      <c r="P1000" s="66"/>
      <c r="Q1000" s="66"/>
      <c r="R1000" s="66"/>
      <c r="S1000" s="66"/>
      <c r="T1000" s="138" t="str">
        <f>IFERROR(LOOKUP($S1000,MOTORISTAS!$D$3:$D$916,MOTORISTAS!E$3:$E$916),"")</f>
        <v/>
      </c>
      <c r="U1000" s="138" t="str">
        <f>IFERROR(LOOKUP($S1000,MOTORISTAS!$D$3:$D$916,MOTORISTAS!F$3:$F$916),"")</f>
        <v/>
      </c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44"/>
      <c r="AG1000" s="254">
        <f>Prog_23[[#This Row],[SAÍDA DO CLIENTE]]-Prog_23[[#This Row],[PROGRAMAÇÃO CLIENTE]]</f>
        <v>0</v>
      </c>
      <c r="AH1000" s="44"/>
      <c r="AI1000" s="66"/>
      <c r="AJ1000" s="66"/>
      <c r="AK1000" s="66"/>
      <c r="AL1000" s="66"/>
      <c r="AM1000" s="66"/>
      <c r="AN1000" s="83"/>
      <c r="AO1000" s="83"/>
      <c r="AP1000" s="83"/>
      <c r="AQ1000" s="66"/>
      <c r="AR1000" s="66"/>
      <c r="AS1000" s="66"/>
      <c r="AT1000" s="81"/>
      <c r="AU1000" s="81"/>
      <c r="AV1000" s="81"/>
      <c r="AW1000" s="81"/>
      <c r="AX1000" s="83">
        <f>SUM(Prog_23[[#This Row],[ADIANTAMENTO]]+Prog_23[[#This Row],[SALDO]]+Prog_23[[#This Row],[MARGEM]]+Prog_23[[#This Row],[ESTADIA 1]])</f>
        <v>0</v>
      </c>
      <c r="AY10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00" s="81"/>
      <c r="BA1000" s="81"/>
      <c r="BB1000" s="81">
        <f>Prog_23[[#This Row],[VLR NF]]*0.1%</f>
        <v>0</v>
      </c>
      <c r="BC1000" s="81">
        <f>Prog_23[[#This Row],[VLR NF]]*0.05%</f>
        <v>0</v>
      </c>
      <c r="BD1000" s="81"/>
      <c r="BE1000" s="81"/>
      <c r="BF1000" s="81"/>
      <c r="BG1000" s="81"/>
      <c r="BH1000" s="81"/>
      <c r="BI1000" s="81"/>
      <c r="BJ1000" s="81"/>
      <c r="BK1000" s="81"/>
      <c r="BL1000" s="81"/>
      <c r="BM1000" s="81"/>
      <c r="BN1000" s="66"/>
      <c r="BO1000" s="66"/>
      <c r="BP1000" s="66"/>
      <c r="BQ1000" s="66" t="str">
        <f>PROPER(TEXT(Prog_23[[#This Row],[PROGRAMAÇÃO CLIENTE]],"mmm"))</f>
        <v>Jan</v>
      </c>
      <c r="BR1000" s="66">
        <f>YEAR(Prog_23[[#This Row],[PROGRAMAÇÃO CLIENTE]])</f>
        <v>1900</v>
      </c>
    </row>
    <row r="1001" spans="1:70" x14ac:dyDescent="0.25">
      <c r="A1001" s="200">
        <f>Prog_23[[#This Row],[CONTEINER]]</f>
        <v>0</v>
      </c>
      <c r="B1001" s="86"/>
      <c r="C10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01" s="44"/>
      <c r="E1001" s="66"/>
      <c r="F1001" s="66"/>
      <c r="G1001" s="66"/>
      <c r="H1001" s="44"/>
      <c r="I1001" s="44"/>
      <c r="J1001" s="66"/>
      <c r="K1001" s="66"/>
      <c r="L1001" s="66"/>
      <c r="M1001" s="66"/>
      <c r="N1001" s="66">
        <f>SUM(Prog_23[[#This Row],[TARA]]+Prog_23[[#This Row],[PESO]])</f>
        <v>0</v>
      </c>
      <c r="O1001" s="44"/>
      <c r="P1001" s="66"/>
      <c r="Q1001" s="66"/>
      <c r="R1001" s="66"/>
      <c r="S1001" s="66"/>
      <c r="T1001" s="138" t="str">
        <f>IFERROR(LOOKUP($S1001,MOTORISTAS!$D$3:$D$916,MOTORISTAS!E$3:$E$916),"")</f>
        <v/>
      </c>
      <c r="U1001" s="138" t="str">
        <f>IFERROR(LOOKUP($S1001,MOTORISTAS!$D$3:$D$916,MOTORISTAS!F$3:$F$916),"")</f>
        <v/>
      </c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44"/>
      <c r="AG1001" s="254">
        <f>Prog_23[[#This Row],[SAÍDA DO CLIENTE]]-Prog_23[[#This Row],[PROGRAMAÇÃO CLIENTE]]</f>
        <v>0</v>
      </c>
      <c r="AH1001" s="44"/>
      <c r="AI1001" s="66"/>
      <c r="AJ1001" s="66"/>
      <c r="AK1001" s="66"/>
      <c r="AL1001" s="66"/>
      <c r="AM1001" s="66"/>
      <c r="AN1001" s="83"/>
      <c r="AO1001" s="83"/>
      <c r="AP1001" s="83"/>
      <c r="AQ1001" s="66"/>
      <c r="AR1001" s="66"/>
      <c r="AS1001" s="66"/>
      <c r="AT1001" s="81"/>
      <c r="AU1001" s="81"/>
      <c r="AV1001" s="81"/>
      <c r="AW1001" s="81"/>
      <c r="AX1001" s="83">
        <f>SUM(Prog_23[[#This Row],[ADIANTAMENTO]]+Prog_23[[#This Row],[SALDO]]+Prog_23[[#This Row],[MARGEM]]+Prog_23[[#This Row],[ESTADIA 1]])</f>
        <v>0</v>
      </c>
      <c r="AY10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01" s="81"/>
      <c r="BA1001" s="81"/>
      <c r="BB1001" s="81">
        <f>Prog_23[[#This Row],[VLR NF]]*0.1%</f>
        <v>0</v>
      </c>
      <c r="BC1001" s="81">
        <f>Prog_23[[#This Row],[VLR NF]]*0.05%</f>
        <v>0</v>
      </c>
      <c r="BD1001" s="81"/>
      <c r="BE1001" s="81"/>
      <c r="BF1001" s="81"/>
      <c r="BG1001" s="81"/>
      <c r="BH1001" s="81"/>
      <c r="BI1001" s="81"/>
      <c r="BJ1001" s="81"/>
      <c r="BK1001" s="81"/>
      <c r="BL1001" s="81"/>
      <c r="BM1001" s="81"/>
      <c r="BN1001" s="66"/>
      <c r="BO1001" s="66"/>
      <c r="BP1001" s="66"/>
      <c r="BQ1001" s="66" t="str">
        <f>PROPER(TEXT(Prog_23[[#This Row],[PROGRAMAÇÃO CLIENTE]],"mmm"))</f>
        <v>Jan</v>
      </c>
      <c r="BR1001" s="66">
        <f>YEAR(Prog_23[[#This Row],[PROGRAMAÇÃO CLIENTE]])</f>
        <v>1900</v>
      </c>
    </row>
    <row r="1002" spans="1:70" x14ac:dyDescent="0.25">
      <c r="A1002" s="201">
        <f>Prog_23[[#This Row],[CONTEINER]]</f>
        <v>0</v>
      </c>
      <c r="B1002" s="86"/>
      <c r="C10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02" s="44"/>
      <c r="E1002" s="66"/>
      <c r="F1002" s="66"/>
      <c r="G1002" s="66"/>
      <c r="H1002" s="44"/>
      <c r="I1002" s="44"/>
      <c r="J1002" s="66"/>
      <c r="K1002" s="66"/>
      <c r="L1002" s="66"/>
      <c r="M1002" s="66"/>
      <c r="N1002" s="66">
        <f>SUM(Prog_23[[#This Row],[TARA]]+Prog_23[[#This Row],[PESO]])</f>
        <v>0</v>
      </c>
      <c r="O1002" s="44"/>
      <c r="P1002" s="66"/>
      <c r="Q1002" s="66"/>
      <c r="R1002" s="66"/>
      <c r="S1002" s="66"/>
      <c r="T1002" s="138" t="str">
        <f>IFERROR(LOOKUP($S1002,MOTORISTAS!$D$3:$D$916,MOTORISTAS!E$3:$E$916),"")</f>
        <v/>
      </c>
      <c r="U1002" s="138" t="str">
        <f>IFERROR(LOOKUP($S1002,MOTORISTAS!$D$3:$D$916,MOTORISTAS!F$3:$F$916),"")</f>
        <v/>
      </c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44"/>
      <c r="AG1002" s="254">
        <f>Prog_23[[#This Row],[SAÍDA DO CLIENTE]]-Prog_23[[#This Row],[PROGRAMAÇÃO CLIENTE]]</f>
        <v>0</v>
      </c>
      <c r="AH1002" s="44"/>
      <c r="AI1002" s="66"/>
      <c r="AJ1002" s="66"/>
      <c r="AK1002" s="66"/>
      <c r="AL1002" s="66"/>
      <c r="AM1002" s="66"/>
      <c r="AN1002" s="83"/>
      <c r="AO1002" s="83"/>
      <c r="AP1002" s="83"/>
      <c r="AQ1002" s="66"/>
      <c r="AR1002" s="66"/>
      <c r="AS1002" s="66"/>
      <c r="AT1002" s="81"/>
      <c r="AU1002" s="81"/>
      <c r="AV1002" s="81"/>
      <c r="AW1002" s="81"/>
      <c r="AX1002" s="83">
        <f>SUM(Prog_23[[#This Row],[ADIANTAMENTO]]+Prog_23[[#This Row],[SALDO]]+Prog_23[[#This Row],[MARGEM]]+Prog_23[[#This Row],[ESTADIA 1]])</f>
        <v>0</v>
      </c>
      <c r="AY10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02" s="81"/>
      <c r="BA1002" s="81"/>
      <c r="BB1002" s="81">
        <f>Prog_23[[#This Row],[VLR NF]]*0.1%</f>
        <v>0</v>
      </c>
      <c r="BC1002" s="81">
        <f>Prog_23[[#This Row],[VLR NF]]*0.05%</f>
        <v>0</v>
      </c>
      <c r="BD1002" s="81"/>
      <c r="BE1002" s="81"/>
      <c r="BF1002" s="81"/>
      <c r="BG1002" s="81"/>
      <c r="BH1002" s="81"/>
      <c r="BI1002" s="81"/>
      <c r="BJ1002" s="81"/>
      <c r="BK1002" s="81"/>
      <c r="BL1002" s="81"/>
      <c r="BM1002" s="81"/>
      <c r="BN1002" s="66"/>
      <c r="BO1002" s="66"/>
      <c r="BP1002" s="66"/>
      <c r="BQ1002" s="66" t="str">
        <f>PROPER(TEXT(Prog_23[[#This Row],[PROGRAMAÇÃO CLIENTE]],"mmm"))</f>
        <v>Jan</v>
      </c>
      <c r="BR1002" s="66">
        <f>YEAR(Prog_23[[#This Row],[PROGRAMAÇÃO CLIENTE]])</f>
        <v>1900</v>
      </c>
    </row>
    <row r="1003" spans="1:70" x14ac:dyDescent="0.25">
      <c r="A1003" s="200">
        <f>Prog_23[[#This Row],[CONTEINER]]</f>
        <v>0</v>
      </c>
      <c r="B1003" s="86"/>
      <c r="C10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03" s="44"/>
      <c r="E1003" s="66"/>
      <c r="F1003" s="66"/>
      <c r="G1003" s="66"/>
      <c r="H1003" s="44"/>
      <c r="I1003" s="44"/>
      <c r="J1003" s="66"/>
      <c r="K1003" s="66"/>
      <c r="L1003" s="66"/>
      <c r="M1003" s="66"/>
      <c r="N1003" s="66">
        <f>SUM(Prog_23[[#This Row],[TARA]]+Prog_23[[#This Row],[PESO]])</f>
        <v>0</v>
      </c>
      <c r="O1003" s="44"/>
      <c r="P1003" s="66"/>
      <c r="Q1003" s="66"/>
      <c r="R1003" s="66"/>
      <c r="S1003" s="66"/>
      <c r="T1003" s="138" t="str">
        <f>IFERROR(LOOKUP($S1003,MOTORISTAS!$D$3:$D$916,MOTORISTAS!E$3:$E$916),"")</f>
        <v/>
      </c>
      <c r="U1003" s="138" t="str">
        <f>IFERROR(LOOKUP($S1003,MOTORISTAS!$D$3:$D$916,MOTORISTAS!F$3:$F$916),"")</f>
        <v/>
      </c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44"/>
      <c r="AG1003" s="254">
        <f>Prog_23[[#This Row],[SAÍDA DO CLIENTE]]-Prog_23[[#This Row],[PROGRAMAÇÃO CLIENTE]]</f>
        <v>0</v>
      </c>
      <c r="AH1003" s="44"/>
      <c r="AI1003" s="66"/>
      <c r="AJ1003" s="66"/>
      <c r="AK1003" s="66"/>
      <c r="AL1003" s="66"/>
      <c r="AM1003" s="66"/>
      <c r="AN1003" s="83"/>
      <c r="AO1003" s="83"/>
      <c r="AP1003" s="83"/>
      <c r="AQ1003" s="66"/>
      <c r="AR1003" s="66"/>
      <c r="AS1003" s="66"/>
      <c r="AT1003" s="81"/>
      <c r="AU1003" s="81"/>
      <c r="AV1003" s="81"/>
      <c r="AW1003" s="81"/>
      <c r="AX1003" s="83">
        <f>SUM(Prog_23[[#This Row],[ADIANTAMENTO]]+Prog_23[[#This Row],[SALDO]]+Prog_23[[#This Row],[MARGEM]]+Prog_23[[#This Row],[ESTADIA 1]])</f>
        <v>0</v>
      </c>
      <c r="AY10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03" s="81"/>
      <c r="BA1003" s="81"/>
      <c r="BB1003" s="81">
        <f>Prog_23[[#This Row],[VLR NF]]*0.1%</f>
        <v>0</v>
      </c>
      <c r="BC1003" s="81">
        <f>Prog_23[[#This Row],[VLR NF]]*0.05%</f>
        <v>0</v>
      </c>
      <c r="BD1003" s="81"/>
      <c r="BE1003" s="81"/>
      <c r="BF1003" s="81"/>
      <c r="BG1003" s="81"/>
      <c r="BH1003" s="81"/>
      <c r="BI1003" s="81"/>
      <c r="BJ1003" s="81"/>
      <c r="BK1003" s="81"/>
      <c r="BL1003" s="81"/>
      <c r="BM1003" s="81"/>
      <c r="BN1003" s="66"/>
      <c r="BO1003" s="66"/>
      <c r="BP1003" s="66"/>
      <c r="BQ1003" s="66" t="str">
        <f>PROPER(TEXT(Prog_23[[#This Row],[PROGRAMAÇÃO CLIENTE]],"mmm"))</f>
        <v>Jan</v>
      </c>
      <c r="BR1003" s="66">
        <f>YEAR(Prog_23[[#This Row],[PROGRAMAÇÃO CLIENTE]])</f>
        <v>1900</v>
      </c>
    </row>
    <row r="1004" spans="1:70" x14ac:dyDescent="0.25">
      <c r="A1004" s="201">
        <f>Prog_23[[#This Row],[CONTEINER]]</f>
        <v>0</v>
      </c>
      <c r="B1004" s="86"/>
      <c r="C10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04" s="44"/>
      <c r="E1004" s="66"/>
      <c r="F1004" s="66"/>
      <c r="G1004" s="66"/>
      <c r="H1004" s="44"/>
      <c r="I1004" s="44"/>
      <c r="J1004" s="66"/>
      <c r="K1004" s="66"/>
      <c r="L1004" s="66"/>
      <c r="M1004" s="66"/>
      <c r="N1004" s="66">
        <f>SUM(Prog_23[[#This Row],[TARA]]+Prog_23[[#This Row],[PESO]])</f>
        <v>0</v>
      </c>
      <c r="O1004" s="44"/>
      <c r="P1004" s="66"/>
      <c r="Q1004" s="66"/>
      <c r="R1004" s="66"/>
      <c r="S1004" s="66"/>
      <c r="T1004" s="138" t="str">
        <f>IFERROR(LOOKUP($S1004,MOTORISTAS!$D$3:$D$916,MOTORISTAS!E$3:$E$916),"")</f>
        <v/>
      </c>
      <c r="U1004" s="138" t="str">
        <f>IFERROR(LOOKUP($S1004,MOTORISTAS!$D$3:$D$916,MOTORISTAS!F$3:$F$916),"")</f>
        <v/>
      </c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44"/>
      <c r="AG1004" s="254">
        <f>Prog_23[[#This Row],[SAÍDA DO CLIENTE]]-Prog_23[[#This Row],[PROGRAMAÇÃO CLIENTE]]</f>
        <v>0</v>
      </c>
      <c r="AH1004" s="44"/>
      <c r="AI1004" s="66"/>
      <c r="AJ1004" s="66"/>
      <c r="AK1004" s="66"/>
      <c r="AL1004" s="66"/>
      <c r="AM1004" s="66"/>
      <c r="AN1004" s="83"/>
      <c r="AO1004" s="83"/>
      <c r="AP1004" s="83"/>
      <c r="AQ1004" s="66"/>
      <c r="AR1004" s="66"/>
      <c r="AS1004" s="66"/>
      <c r="AT1004" s="81"/>
      <c r="AU1004" s="81"/>
      <c r="AV1004" s="81"/>
      <c r="AW1004" s="81"/>
      <c r="AX1004" s="83">
        <f>SUM(Prog_23[[#This Row],[ADIANTAMENTO]]+Prog_23[[#This Row],[SALDO]]+Prog_23[[#This Row],[MARGEM]]+Prog_23[[#This Row],[ESTADIA 1]])</f>
        <v>0</v>
      </c>
      <c r="AY10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04" s="81"/>
      <c r="BA1004" s="81"/>
      <c r="BB1004" s="81">
        <f>Prog_23[[#This Row],[VLR NF]]*0.1%</f>
        <v>0</v>
      </c>
      <c r="BC1004" s="81">
        <f>Prog_23[[#This Row],[VLR NF]]*0.05%</f>
        <v>0</v>
      </c>
      <c r="BD1004" s="81"/>
      <c r="BE1004" s="81"/>
      <c r="BF1004" s="81"/>
      <c r="BG1004" s="81"/>
      <c r="BH1004" s="81"/>
      <c r="BI1004" s="81"/>
      <c r="BJ1004" s="81"/>
      <c r="BK1004" s="81"/>
      <c r="BL1004" s="81"/>
      <c r="BM1004" s="81"/>
      <c r="BN1004" s="66"/>
      <c r="BO1004" s="66"/>
      <c r="BP1004" s="66"/>
      <c r="BQ1004" s="66" t="str">
        <f>PROPER(TEXT(Prog_23[[#This Row],[PROGRAMAÇÃO CLIENTE]],"mmm"))</f>
        <v>Jan</v>
      </c>
      <c r="BR1004" s="66">
        <f>YEAR(Prog_23[[#This Row],[PROGRAMAÇÃO CLIENTE]])</f>
        <v>1900</v>
      </c>
    </row>
    <row r="1005" spans="1:70" x14ac:dyDescent="0.25">
      <c r="A1005" s="200">
        <f>Prog_23[[#This Row],[CONTEINER]]</f>
        <v>0</v>
      </c>
      <c r="B1005" s="86"/>
      <c r="C10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05" s="44"/>
      <c r="E1005" s="66"/>
      <c r="F1005" s="66"/>
      <c r="G1005" s="66"/>
      <c r="H1005" s="44"/>
      <c r="I1005" s="44"/>
      <c r="J1005" s="66"/>
      <c r="K1005" s="66"/>
      <c r="L1005" s="66"/>
      <c r="M1005" s="66"/>
      <c r="N1005" s="66">
        <f>SUM(Prog_23[[#This Row],[TARA]]+Prog_23[[#This Row],[PESO]])</f>
        <v>0</v>
      </c>
      <c r="O1005" s="44"/>
      <c r="P1005" s="66"/>
      <c r="Q1005" s="66"/>
      <c r="R1005" s="66"/>
      <c r="S1005" s="66"/>
      <c r="T1005" s="138" t="str">
        <f>IFERROR(LOOKUP($S1005,MOTORISTAS!$D$3:$D$916,MOTORISTAS!E$3:$E$916),"")</f>
        <v/>
      </c>
      <c r="U1005" s="138" t="str">
        <f>IFERROR(LOOKUP($S1005,MOTORISTAS!$D$3:$D$916,MOTORISTAS!F$3:$F$916),"")</f>
        <v/>
      </c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44"/>
      <c r="AG1005" s="254">
        <f>Prog_23[[#This Row],[SAÍDA DO CLIENTE]]-Prog_23[[#This Row],[PROGRAMAÇÃO CLIENTE]]</f>
        <v>0</v>
      </c>
      <c r="AH1005" s="44"/>
      <c r="AI1005" s="66"/>
      <c r="AJ1005" s="66"/>
      <c r="AK1005" s="66"/>
      <c r="AL1005" s="66"/>
      <c r="AM1005" s="66"/>
      <c r="AN1005" s="83"/>
      <c r="AO1005" s="83"/>
      <c r="AP1005" s="83"/>
      <c r="AQ1005" s="66"/>
      <c r="AR1005" s="66"/>
      <c r="AS1005" s="66"/>
      <c r="AT1005" s="81"/>
      <c r="AU1005" s="81"/>
      <c r="AV1005" s="81"/>
      <c r="AW1005" s="81"/>
      <c r="AX1005" s="83">
        <f>SUM(Prog_23[[#This Row],[ADIANTAMENTO]]+Prog_23[[#This Row],[SALDO]]+Prog_23[[#This Row],[MARGEM]]+Prog_23[[#This Row],[ESTADIA 1]])</f>
        <v>0</v>
      </c>
      <c r="AY10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05" s="81"/>
      <c r="BA1005" s="81"/>
      <c r="BB1005" s="81">
        <f>Prog_23[[#This Row],[VLR NF]]*0.1%</f>
        <v>0</v>
      </c>
      <c r="BC1005" s="81">
        <f>Prog_23[[#This Row],[VLR NF]]*0.05%</f>
        <v>0</v>
      </c>
      <c r="BD1005" s="81"/>
      <c r="BE1005" s="81"/>
      <c r="BF1005" s="81"/>
      <c r="BG1005" s="81"/>
      <c r="BH1005" s="81"/>
      <c r="BI1005" s="81"/>
      <c r="BJ1005" s="81"/>
      <c r="BK1005" s="81"/>
      <c r="BL1005" s="81"/>
      <c r="BM1005" s="81"/>
      <c r="BN1005" s="66"/>
      <c r="BO1005" s="66"/>
      <c r="BP1005" s="66"/>
      <c r="BQ1005" s="66" t="str">
        <f>PROPER(TEXT(Prog_23[[#This Row],[PROGRAMAÇÃO CLIENTE]],"mmm"))</f>
        <v>Jan</v>
      </c>
      <c r="BR1005" s="66">
        <f>YEAR(Prog_23[[#This Row],[PROGRAMAÇÃO CLIENTE]])</f>
        <v>1900</v>
      </c>
    </row>
    <row r="1006" spans="1:70" x14ac:dyDescent="0.25">
      <c r="A1006" s="201">
        <f>Prog_23[[#This Row],[CONTEINER]]</f>
        <v>0</v>
      </c>
      <c r="B1006" s="86"/>
      <c r="C10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06" s="44"/>
      <c r="E1006" s="66"/>
      <c r="F1006" s="66"/>
      <c r="G1006" s="66"/>
      <c r="H1006" s="44"/>
      <c r="I1006" s="44"/>
      <c r="J1006" s="66"/>
      <c r="K1006" s="66"/>
      <c r="L1006" s="66"/>
      <c r="M1006" s="66"/>
      <c r="N1006" s="66">
        <f>SUM(Prog_23[[#This Row],[TARA]]+Prog_23[[#This Row],[PESO]])</f>
        <v>0</v>
      </c>
      <c r="O1006" s="44"/>
      <c r="P1006" s="66"/>
      <c r="Q1006" s="66"/>
      <c r="R1006" s="66"/>
      <c r="S1006" s="66"/>
      <c r="T1006" s="138" t="str">
        <f>IFERROR(LOOKUP($S1006,MOTORISTAS!$D$3:$D$916,MOTORISTAS!E$3:$E$916),"")</f>
        <v/>
      </c>
      <c r="U1006" s="138" t="str">
        <f>IFERROR(LOOKUP($S1006,MOTORISTAS!$D$3:$D$916,MOTORISTAS!F$3:$F$916),"")</f>
        <v/>
      </c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44"/>
      <c r="AG1006" s="254">
        <f>Prog_23[[#This Row],[SAÍDA DO CLIENTE]]-Prog_23[[#This Row],[PROGRAMAÇÃO CLIENTE]]</f>
        <v>0</v>
      </c>
      <c r="AH1006" s="44"/>
      <c r="AI1006" s="66"/>
      <c r="AJ1006" s="66"/>
      <c r="AK1006" s="66"/>
      <c r="AL1006" s="66"/>
      <c r="AM1006" s="66"/>
      <c r="AN1006" s="83"/>
      <c r="AO1006" s="83"/>
      <c r="AP1006" s="83"/>
      <c r="AQ1006" s="66"/>
      <c r="AR1006" s="66"/>
      <c r="AS1006" s="66"/>
      <c r="AT1006" s="81"/>
      <c r="AU1006" s="81"/>
      <c r="AV1006" s="81"/>
      <c r="AW1006" s="81"/>
      <c r="AX1006" s="83">
        <f>SUM(Prog_23[[#This Row],[ADIANTAMENTO]]+Prog_23[[#This Row],[SALDO]]+Prog_23[[#This Row],[MARGEM]]+Prog_23[[#This Row],[ESTADIA 1]])</f>
        <v>0</v>
      </c>
      <c r="AY10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06" s="81"/>
      <c r="BA1006" s="81"/>
      <c r="BB1006" s="81">
        <f>Prog_23[[#This Row],[VLR NF]]*0.1%</f>
        <v>0</v>
      </c>
      <c r="BC1006" s="81">
        <f>Prog_23[[#This Row],[VLR NF]]*0.05%</f>
        <v>0</v>
      </c>
      <c r="BD1006" s="81"/>
      <c r="BE1006" s="81"/>
      <c r="BF1006" s="81"/>
      <c r="BG1006" s="81"/>
      <c r="BH1006" s="81"/>
      <c r="BI1006" s="81"/>
      <c r="BJ1006" s="81"/>
      <c r="BK1006" s="81"/>
      <c r="BL1006" s="81"/>
      <c r="BM1006" s="81"/>
      <c r="BN1006" s="66"/>
      <c r="BO1006" s="66"/>
      <c r="BP1006" s="66"/>
      <c r="BQ1006" s="66" t="str">
        <f>PROPER(TEXT(Prog_23[[#This Row],[PROGRAMAÇÃO CLIENTE]],"mmm"))</f>
        <v>Jan</v>
      </c>
      <c r="BR1006" s="66">
        <f>YEAR(Prog_23[[#This Row],[PROGRAMAÇÃO CLIENTE]])</f>
        <v>1900</v>
      </c>
    </row>
    <row r="1007" spans="1:70" x14ac:dyDescent="0.25">
      <c r="A1007" s="200">
        <f>Prog_23[[#This Row],[CONTEINER]]</f>
        <v>0</v>
      </c>
      <c r="B1007" s="86"/>
      <c r="C10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07" s="44"/>
      <c r="E1007" s="66"/>
      <c r="F1007" s="66"/>
      <c r="G1007" s="66"/>
      <c r="H1007" s="44"/>
      <c r="I1007" s="44"/>
      <c r="J1007" s="66"/>
      <c r="K1007" s="66"/>
      <c r="L1007" s="66"/>
      <c r="M1007" s="66"/>
      <c r="N1007" s="66">
        <f>SUM(Prog_23[[#This Row],[TARA]]+Prog_23[[#This Row],[PESO]])</f>
        <v>0</v>
      </c>
      <c r="O1007" s="44"/>
      <c r="P1007" s="66"/>
      <c r="Q1007" s="66"/>
      <c r="R1007" s="66"/>
      <c r="S1007" s="66"/>
      <c r="T1007" s="138" t="str">
        <f>IFERROR(LOOKUP($S1007,MOTORISTAS!$D$3:$D$916,MOTORISTAS!E$3:$E$916),"")</f>
        <v/>
      </c>
      <c r="U1007" s="138" t="str">
        <f>IFERROR(LOOKUP($S1007,MOTORISTAS!$D$3:$D$916,MOTORISTAS!F$3:$F$916),"")</f>
        <v/>
      </c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44"/>
      <c r="AG1007" s="254">
        <f>Prog_23[[#This Row],[SAÍDA DO CLIENTE]]-Prog_23[[#This Row],[PROGRAMAÇÃO CLIENTE]]</f>
        <v>0</v>
      </c>
      <c r="AH1007" s="44"/>
      <c r="AI1007" s="66"/>
      <c r="AJ1007" s="66"/>
      <c r="AK1007" s="66"/>
      <c r="AL1007" s="66"/>
      <c r="AM1007" s="66"/>
      <c r="AN1007" s="83"/>
      <c r="AO1007" s="83"/>
      <c r="AP1007" s="83"/>
      <c r="AQ1007" s="66"/>
      <c r="AR1007" s="66"/>
      <c r="AS1007" s="66"/>
      <c r="AT1007" s="81"/>
      <c r="AU1007" s="81"/>
      <c r="AV1007" s="81"/>
      <c r="AW1007" s="81"/>
      <c r="AX1007" s="83">
        <f>SUM(Prog_23[[#This Row],[ADIANTAMENTO]]+Prog_23[[#This Row],[SALDO]]+Prog_23[[#This Row],[MARGEM]]+Prog_23[[#This Row],[ESTADIA 1]])</f>
        <v>0</v>
      </c>
      <c r="AY10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07" s="81"/>
      <c r="BA1007" s="81"/>
      <c r="BB1007" s="81">
        <f>Prog_23[[#This Row],[VLR NF]]*0.1%</f>
        <v>0</v>
      </c>
      <c r="BC1007" s="81">
        <f>Prog_23[[#This Row],[VLR NF]]*0.05%</f>
        <v>0</v>
      </c>
      <c r="BD1007" s="81"/>
      <c r="BE1007" s="81"/>
      <c r="BF1007" s="81"/>
      <c r="BG1007" s="81"/>
      <c r="BH1007" s="81"/>
      <c r="BI1007" s="81"/>
      <c r="BJ1007" s="81"/>
      <c r="BK1007" s="81"/>
      <c r="BL1007" s="81"/>
      <c r="BM1007" s="81"/>
      <c r="BN1007" s="66"/>
      <c r="BO1007" s="66"/>
      <c r="BP1007" s="66"/>
      <c r="BQ1007" s="66" t="str">
        <f>PROPER(TEXT(Prog_23[[#This Row],[PROGRAMAÇÃO CLIENTE]],"mmm"))</f>
        <v>Jan</v>
      </c>
      <c r="BR1007" s="66">
        <f>YEAR(Prog_23[[#This Row],[PROGRAMAÇÃO CLIENTE]])</f>
        <v>1900</v>
      </c>
    </row>
    <row r="1008" spans="1:70" x14ac:dyDescent="0.25">
      <c r="A1008" s="201">
        <f>Prog_23[[#This Row],[CONTEINER]]</f>
        <v>0</v>
      </c>
      <c r="B1008" s="86"/>
      <c r="C10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08" s="44"/>
      <c r="E1008" s="66"/>
      <c r="F1008" s="66"/>
      <c r="G1008" s="66"/>
      <c r="H1008" s="44"/>
      <c r="I1008" s="44"/>
      <c r="J1008" s="66"/>
      <c r="K1008" s="66"/>
      <c r="L1008" s="66"/>
      <c r="M1008" s="66"/>
      <c r="N1008" s="66">
        <f>SUM(Prog_23[[#This Row],[TARA]]+Prog_23[[#This Row],[PESO]])</f>
        <v>0</v>
      </c>
      <c r="O1008" s="44"/>
      <c r="P1008" s="66"/>
      <c r="Q1008" s="66"/>
      <c r="R1008" s="66"/>
      <c r="S1008" s="66"/>
      <c r="T1008" s="138" t="str">
        <f>IFERROR(LOOKUP($S1008,MOTORISTAS!$D$3:$D$916,MOTORISTAS!E$3:$E$916),"")</f>
        <v/>
      </c>
      <c r="U1008" s="138" t="str">
        <f>IFERROR(LOOKUP($S1008,MOTORISTAS!$D$3:$D$916,MOTORISTAS!F$3:$F$916),"")</f>
        <v/>
      </c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44"/>
      <c r="AG1008" s="254">
        <f>Prog_23[[#This Row],[SAÍDA DO CLIENTE]]-Prog_23[[#This Row],[PROGRAMAÇÃO CLIENTE]]</f>
        <v>0</v>
      </c>
      <c r="AH1008" s="44"/>
      <c r="AI1008" s="66"/>
      <c r="AJ1008" s="66"/>
      <c r="AK1008" s="66"/>
      <c r="AL1008" s="66"/>
      <c r="AM1008" s="66"/>
      <c r="AN1008" s="83"/>
      <c r="AO1008" s="83"/>
      <c r="AP1008" s="83"/>
      <c r="AQ1008" s="66"/>
      <c r="AR1008" s="66"/>
      <c r="AS1008" s="66"/>
      <c r="AT1008" s="81"/>
      <c r="AU1008" s="81"/>
      <c r="AV1008" s="81"/>
      <c r="AW1008" s="81"/>
      <c r="AX1008" s="83">
        <f>SUM(Prog_23[[#This Row],[ADIANTAMENTO]]+Prog_23[[#This Row],[SALDO]]+Prog_23[[#This Row],[MARGEM]]+Prog_23[[#This Row],[ESTADIA 1]])</f>
        <v>0</v>
      </c>
      <c r="AY10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08" s="81"/>
      <c r="BA1008" s="81"/>
      <c r="BB1008" s="81">
        <f>Prog_23[[#This Row],[VLR NF]]*0.1%</f>
        <v>0</v>
      </c>
      <c r="BC1008" s="81">
        <f>Prog_23[[#This Row],[VLR NF]]*0.05%</f>
        <v>0</v>
      </c>
      <c r="BD1008" s="81"/>
      <c r="BE1008" s="81"/>
      <c r="BF1008" s="81"/>
      <c r="BG1008" s="81"/>
      <c r="BH1008" s="81"/>
      <c r="BI1008" s="81"/>
      <c r="BJ1008" s="81"/>
      <c r="BK1008" s="81"/>
      <c r="BL1008" s="81"/>
      <c r="BM1008" s="81"/>
      <c r="BN1008" s="66"/>
      <c r="BO1008" s="66"/>
      <c r="BP1008" s="66"/>
      <c r="BQ1008" s="66" t="str">
        <f>PROPER(TEXT(Prog_23[[#This Row],[PROGRAMAÇÃO CLIENTE]],"mmm"))</f>
        <v>Jan</v>
      </c>
      <c r="BR1008" s="66">
        <f>YEAR(Prog_23[[#This Row],[PROGRAMAÇÃO CLIENTE]])</f>
        <v>1900</v>
      </c>
    </row>
    <row r="1009" spans="1:70" x14ac:dyDescent="0.25">
      <c r="A1009" s="200">
        <f>Prog_23[[#This Row],[CONTEINER]]</f>
        <v>0</v>
      </c>
      <c r="B1009" s="86"/>
      <c r="C10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09" s="44"/>
      <c r="E1009" s="66"/>
      <c r="F1009" s="66"/>
      <c r="G1009" s="66"/>
      <c r="H1009" s="44"/>
      <c r="I1009" s="44"/>
      <c r="J1009" s="66"/>
      <c r="K1009" s="66"/>
      <c r="L1009" s="66"/>
      <c r="M1009" s="66"/>
      <c r="N1009" s="66">
        <f>SUM(Prog_23[[#This Row],[TARA]]+Prog_23[[#This Row],[PESO]])</f>
        <v>0</v>
      </c>
      <c r="O1009" s="44"/>
      <c r="P1009" s="66"/>
      <c r="Q1009" s="66"/>
      <c r="R1009" s="66"/>
      <c r="S1009" s="66"/>
      <c r="T1009" s="138" t="str">
        <f>IFERROR(LOOKUP($S1009,MOTORISTAS!$D$3:$D$916,MOTORISTAS!E$3:$E$916),"")</f>
        <v/>
      </c>
      <c r="U1009" s="138" t="str">
        <f>IFERROR(LOOKUP($S1009,MOTORISTAS!$D$3:$D$916,MOTORISTAS!F$3:$F$916),"")</f>
        <v/>
      </c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44"/>
      <c r="AG1009" s="254">
        <f>Prog_23[[#This Row],[SAÍDA DO CLIENTE]]-Prog_23[[#This Row],[PROGRAMAÇÃO CLIENTE]]</f>
        <v>0</v>
      </c>
      <c r="AH1009" s="44"/>
      <c r="AI1009" s="66"/>
      <c r="AJ1009" s="66"/>
      <c r="AK1009" s="66"/>
      <c r="AL1009" s="66"/>
      <c r="AM1009" s="66"/>
      <c r="AN1009" s="83"/>
      <c r="AO1009" s="83"/>
      <c r="AP1009" s="83"/>
      <c r="AQ1009" s="66"/>
      <c r="AR1009" s="66"/>
      <c r="AS1009" s="66"/>
      <c r="AT1009" s="81"/>
      <c r="AU1009" s="81"/>
      <c r="AV1009" s="81"/>
      <c r="AW1009" s="81"/>
      <c r="AX1009" s="83">
        <f>SUM(Prog_23[[#This Row],[ADIANTAMENTO]]+Prog_23[[#This Row],[SALDO]]+Prog_23[[#This Row],[MARGEM]]+Prog_23[[#This Row],[ESTADIA 1]])</f>
        <v>0</v>
      </c>
      <c r="AY10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09" s="81"/>
      <c r="BA1009" s="81"/>
      <c r="BB1009" s="81">
        <f>Prog_23[[#This Row],[VLR NF]]*0.1%</f>
        <v>0</v>
      </c>
      <c r="BC1009" s="81">
        <f>Prog_23[[#This Row],[VLR NF]]*0.05%</f>
        <v>0</v>
      </c>
      <c r="BD1009" s="81"/>
      <c r="BE1009" s="81"/>
      <c r="BF1009" s="81"/>
      <c r="BG1009" s="81"/>
      <c r="BH1009" s="81"/>
      <c r="BI1009" s="81"/>
      <c r="BJ1009" s="81"/>
      <c r="BK1009" s="81"/>
      <c r="BL1009" s="81"/>
      <c r="BM1009" s="81"/>
      <c r="BN1009" s="66"/>
      <c r="BO1009" s="66"/>
      <c r="BP1009" s="66"/>
      <c r="BQ1009" s="66" t="str">
        <f>PROPER(TEXT(Prog_23[[#This Row],[PROGRAMAÇÃO CLIENTE]],"mmm"))</f>
        <v>Jan</v>
      </c>
      <c r="BR1009" s="66">
        <f>YEAR(Prog_23[[#This Row],[PROGRAMAÇÃO CLIENTE]])</f>
        <v>1900</v>
      </c>
    </row>
    <row r="1010" spans="1:70" x14ac:dyDescent="0.25">
      <c r="A1010" s="201">
        <f>Prog_23[[#This Row],[CONTEINER]]</f>
        <v>0</v>
      </c>
      <c r="B1010" s="86"/>
      <c r="C10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10" s="44"/>
      <c r="E1010" s="66"/>
      <c r="F1010" s="66"/>
      <c r="G1010" s="66"/>
      <c r="H1010" s="44"/>
      <c r="I1010" s="44"/>
      <c r="J1010" s="66"/>
      <c r="K1010" s="66"/>
      <c r="L1010" s="66"/>
      <c r="M1010" s="66"/>
      <c r="N1010" s="66">
        <f>SUM(Prog_23[[#This Row],[TARA]]+Prog_23[[#This Row],[PESO]])</f>
        <v>0</v>
      </c>
      <c r="O1010" s="44"/>
      <c r="P1010" s="66"/>
      <c r="Q1010" s="66"/>
      <c r="R1010" s="66"/>
      <c r="S1010" s="66"/>
      <c r="T1010" s="138" t="str">
        <f>IFERROR(LOOKUP($S1010,MOTORISTAS!$D$3:$D$916,MOTORISTAS!E$3:$E$916),"")</f>
        <v/>
      </c>
      <c r="U1010" s="138" t="str">
        <f>IFERROR(LOOKUP($S1010,MOTORISTAS!$D$3:$D$916,MOTORISTAS!F$3:$F$916),"")</f>
        <v/>
      </c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44"/>
      <c r="AG1010" s="254">
        <f>Prog_23[[#This Row],[SAÍDA DO CLIENTE]]-Prog_23[[#This Row],[PROGRAMAÇÃO CLIENTE]]</f>
        <v>0</v>
      </c>
      <c r="AH1010" s="44"/>
      <c r="AI1010" s="66"/>
      <c r="AJ1010" s="66"/>
      <c r="AK1010" s="66"/>
      <c r="AL1010" s="66"/>
      <c r="AM1010" s="66"/>
      <c r="AN1010" s="83"/>
      <c r="AO1010" s="83"/>
      <c r="AP1010" s="83"/>
      <c r="AQ1010" s="66"/>
      <c r="AR1010" s="66"/>
      <c r="AS1010" s="66"/>
      <c r="AT1010" s="81"/>
      <c r="AU1010" s="81"/>
      <c r="AV1010" s="81"/>
      <c r="AW1010" s="81"/>
      <c r="AX1010" s="83">
        <f>SUM(Prog_23[[#This Row],[ADIANTAMENTO]]+Prog_23[[#This Row],[SALDO]]+Prog_23[[#This Row],[MARGEM]]+Prog_23[[#This Row],[ESTADIA 1]])</f>
        <v>0</v>
      </c>
      <c r="AY10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10" s="81"/>
      <c r="BA1010" s="81"/>
      <c r="BB1010" s="81">
        <f>Prog_23[[#This Row],[VLR NF]]*0.1%</f>
        <v>0</v>
      </c>
      <c r="BC1010" s="81">
        <f>Prog_23[[#This Row],[VLR NF]]*0.05%</f>
        <v>0</v>
      </c>
      <c r="BD1010" s="81"/>
      <c r="BE1010" s="81"/>
      <c r="BF1010" s="81"/>
      <c r="BG1010" s="81"/>
      <c r="BH1010" s="81"/>
      <c r="BI1010" s="81"/>
      <c r="BJ1010" s="81"/>
      <c r="BK1010" s="81"/>
      <c r="BL1010" s="81"/>
      <c r="BM1010" s="81"/>
      <c r="BN1010" s="66"/>
      <c r="BO1010" s="66"/>
      <c r="BP1010" s="66"/>
      <c r="BQ1010" s="66" t="str">
        <f>PROPER(TEXT(Prog_23[[#This Row],[PROGRAMAÇÃO CLIENTE]],"mmm"))</f>
        <v>Jan</v>
      </c>
      <c r="BR1010" s="66">
        <f>YEAR(Prog_23[[#This Row],[PROGRAMAÇÃO CLIENTE]])</f>
        <v>1900</v>
      </c>
    </row>
    <row r="1011" spans="1:70" x14ac:dyDescent="0.25">
      <c r="A1011" s="200">
        <f>Prog_23[[#This Row],[CONTEINER]]</f>
        <v>0</v>
      </c>
      <c r="B1011" s="86"/>
      <c r="C10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11" s="44"/>
      <c r="E1011" s="66"/>
      <c r="F1011" s="66"/>
      <c r="G1011" s="66"/>
      <c r="H1011" s="44"/>
      <c r="I1011" s="44"/>
      <c r="J1011" s="66"/>
      <c r="K1011" s="66"/>
      <c r="L1011" s="66"/>
      <c r="M1011" s="66"/>
      <c r="N1011" s="66">
        <f>SUM(Prog_23[[#This Row],[TARA]]+Prog_23[[#This Row],[PESO]])</f>
        <v>0</v>
      </c>
      <c r="O1011" s="44"/>
      <c r="P1011" s="66"/>
      <c r="Q1011" s="66"/>
      <c r="R1011" s="66"/>
      <c r="S1011" s="66"/>
      <c r="T1011" s="138" t="str">
        <f>IFERROR(LOOKUP($S1011,MOTORISTAS!$D$3:$D$916,MOTORISTAS!E$3:$E$916),"")</f>
        <v/>
      </c>
      <c r="U1011" s="138" t="str">
        <f>IFERROR(LOOKUP($S1011,MOTORISTAS!$D$3:$D$916,MOTORISTAS!F$3:$F$916),"")</f>
        <v/>
      </c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44"/>
      <c r="AG1011" s="254">
        <f>Prog_23[[#This Row],[SAÍDA DO CLIENTE]]-Prog_23[[#This Row],[PROGRAMAÇÃO CLIENTE]]</f>
        <v>0</v>
      </c>
      <c r="AH1011" s="44"/>
      <c r="AI1011" s="66"/>
      <c r="AJ1011" s="66"/>
      <c r="AK1011" s="66"/>
      <c r="AL1011" s="66"/>
      <c r="AM1011" s="66"/>
      <c r="AN1011" s="83"/>
      <c r="AO1011" s="83"/>
      <c r="AP1011" s="83"/>
      <c r="AQ1011" s="66"/>
      <c r="AR1011" s="66"/>
      <c r="AS1011" s="66"/>
      <c r="AT1011" s="81"/>
      <c r="AU1011" s="81"/>
      <c r="AV1011" s="81"/>
      <c r="AW1011" s="81"/>
      <c r="AX1011" s="83">
        <f>SUM(Prog_23[[#This Row],[ADIANTAMENTO]]+Prog_23[[#This Row],[SALDO]]+Prog_23[[#This Row],[MARGEM]]+Prog_23[[#This Row],[ESTADIA 1]])</f>
        <v>0</v>
      </c>
      <c r="AY10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11" s="81"/>
      <c r="BA1011" s="81"/>
      <c r="BB1011" s="81">
        <f>Prog_23[[#This Row],[VLR NF]]*0.1%</f>
        <v>0</v>
      </c>
      <c r="BC1011" s="81">
        <f>Prog_23[[#This Row],[VLR NF]]*0.05%</f>
        <v>0</v>
      </c>
      <c r="BD1011" s="81"/>
      <c r="BE1011" s="81"/>
      <c r="BF1011" s="81"/>
      <c r="BG1011" s="81"/>
      <c r="BH1011" s="81"/>
      <c r="BI1011" s="81"/>
      <c r="BJ1011" s="81"/>
      <c r="BK1011" s="81"/>
      <c r="BL1011" s="81"/>
      <c r="BM1011" s="81"/>
      <c r="BN1011" s="66"/>
      <c r="BO1011" s="66"/>
      <c r="BP1011" s="66"/>
      <c r="BQ1011" s="66" t="str">
        <f>PROPER(TEXT(Prog_23[[#This Row],[PROGRAMAÇÃO CLIENTE]],"mmm"))</f>
        <v>Jan</v>
      </c>
      <c r="BR1011" s="66">
        <f>YEAR(Prog_23[[#This Row],[PROGRAMAÇÃO CLIENTE]])</f>
        <v>1900</v>
      </c>
    </row>
    <row r="1012" spans="1:70" x14ac:dyDescent="0.25">
      <c r="A1012" s="201">
        <f>Prog_23[[#This Row],[CONTEINER]]</f>
        <v>0</v>
      </c>
      <c r="B1012" s="86"/>
      <c r="C10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12" s="44"/>
      <c r="E1012" s="66"/>
      <c r="F1012" s="66"/>
      <c r="G1012" s="66"/>
      <c r="H1012" s="44"/>
      <c r="I1012" s="44"/>
      <c r="J1012" s="66"/>
      <c r="K1012" s="66"/>
      <c r="L1012" s="66"/>
      <c r="M1012" s="66"/>
      <c r="N1012" s="66">
        <f>SUM(Prog_23[[#This Row],[TARA]]+Prog_23[[#This Row],[PESO]])</f>
        <v>0</v>
      </c>
      <c r="O1012" s="44"/>
      <c r="P1012" s="66"/>
      <c r="Q1012" s="66"/>
      <c r="R1012" s="66"/>
      <c r="S1012" s="66"/>
      <c r="T1012" s="138" t="str">
        <f>IFERROR(LOOKUP($S1012,MOTORISTAS!$D$3:$D$916,MOTORISTAS!E$3:$E$916),"")</f>
        <v/>
      </c>
      <c r="U1012" s="138" t="str">
        <f>IFERROR(LOOKUP($S1012,MOTORISTAS!$D$3:$D$916,MOTORISTAS!F$3:$F$916),"")</f>
        <v/>
      </c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44"/>
      <c r="AG1012" s="254">
        <f>Prog_23[[#This Row],[SAÍDA DO CLIENTE]]-Prog_23[[#This Row],[PROGRAMAÇÃO CLIENTE]]</f>
        <v>0</v>
      </c>
      <c r="AH1012" s="44"/>
      <c r="AI1012" s="66"/>
      <c r="AJ1012" s="66"/>
      <c r="AK1012" s="66"/>
      <c r="AL1012" s="66"/>
      <c r="AM1012" s="66"/>
      <c r="AN1012" s="83"/>
      <c r="AO1012" s="83"/>
      <c r="AP1012" s="83"/>
      <c r="AQ1012" s="66"/>
      <c r="AR1012" s="66"/>
      <c r="AS1012" s="66"/>
      <c r="AT1012" s="81"/>
      <c r="AU1012" s="81"/>
      <c r="AV1012" s="81"/>
      <c r="AW1012" s="81"/>
      <c r="AX1012" s="83">
        <f>SUM(Prog_23[[#This Row],[ADIANTAMENTO]]+Prog_23[[#This Row],[SALDO]]+Prog_23[[#This Row],[MARGEM]]+Prog_23[[#This Row],[ESTADIA 1]])</f>
        <v>0</v>
      </c>
      <c r="AY10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12" s="81"/>
      <c r="BA1012" s="81"/>
      <c r="BB1012" s="81">
        <f>Prog_23[[#This Row],[VLR NF]]*0.1%</f>
        <v>0</v>
      </c>
      <c r="BC1012" s="81">
        <f>Prog_23[[#This Row],[VLR NF]]*0.05%</f>
        <v>0</v>
      </c>
      <c r="BD1012" s="81"/>
      <c r="BE1012" s="81"/>
      <c r="BF1012" s="81"/>
      <c r="BG1012" s="81"/>
      <c r="BH1012" s="81"/>
      <c r="BI1012" s="81"/>
      <c r="BJ1012" s="81"/>
      <c r="BK1012" s="81"/>
      <c r="BL1012" s="81"/>
      <c r="BM1012" s="81"/>
      <c r="BN1012" s="66"/>
      <c r="BO1012" s="66"/>
      <c r="BP1012" s="66"/>
      <c r="BQ1012" s="66" t="str">
        <f>PROPER(TEXT(Prog_23[[#This Row],[PROGRAMAÇÃO CLIENTE]],"mmm"))</f>
        <v>Jan</v>
      </c>
      <c r="BR1012" s="66">
        <f>YEAR(Prog_23[[#This Row],[PROGRAMAÇÃO CLIENTE]])</f>
        <v>1900</v>
      </c>
    </row>
    <row r="1013" spans="1:70" x14ac:dyDescent="0.25">
      <c r="A1013" s="200">
        <f>Prog_23[[#This Row],[CONTEINER]]</f>
        <v>0</v>
      </c>
      <c r="B1013" s="86"/>
      <c r="C10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13" s="44"/>
      <c r="E1013" s="66"/>
      <c r="F1013" s="66"/>
      <c r="G1013" s="66"/>
      <c r="H1013" s="44"/>
      <c r="I1013" s="44"/>
      <c r="J1013" s="66"/>
      <c r="K1013" s="66"/>
      <c r="L1013" s="66"/>
      <c r="M1013" s="66"/>
      <c r="N1013" s="66">
        <f>SUM(Prog_23[[#This Row],[TARA]]+Prog_23[[#This Row],[PESO]])</f>
        <v>0</v>
      </c>
      <c r="O1013" s="44"/>
      <c r="P1013" s="66"/>
      <c r="Q1013" s="66"/>
      <c r="R1013" s="66"/>
      <c r="S1013" s="66"/>
      <c r="T1013" s="138" t="str">
        <f>IFERROR(LOOKUP($S1013,MOTORISTAS!$D$3:$D$916,MOTORISTAS!E$3:$E$916),"")</f>
        <v/>
      </c>
      <c r="U1013" s="138" t="str">
        <f>IFERROR(LOOKUP($S1013,MOTORISTAS!$D$3:$D$916,MOTORISTAS!F$3:$F$916),"")</f>
        <v/>
      </c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44"/>
      <c r="AG1013" s="254">
        <f>Prog_23[[#This Row],[SAÍDA DO CLIENTE]]-Prog_23[[#This Row],[PROGRAMAÇÃO CLIENTE]]</f>
        <v>0</v>
      </c>
      <c r="AH1013" s="44"/>
      <c r="AI1013" s="66"/>
      <c r="AJ1013" s="66"/>
      <c r="AK1013" s="66"/>
      <c r="AL1013" s="66"/>
      <c r="AM1013" s="66"/>
      <c r="AN1013" s="83"/>
      <c r="AO1013" s="83"/>
      <c r="AP1013" s="83"/>
      <c r="AQ1013" s="66"/>
      <c r="AR1013" s="66"/>
      <c r="AS1013" s="66"/>
      <c r="AT1013" s="81"/>
      <c r="AU1013" s="81"/>
      <c r="AV1013" s="81"/>
      <c r="AW1013" s="81"/>
      <c r="AX1013" s="83">
        <f>SUM(Prog_23[[#This Row],[ADIANTAMENTO]]+Prog_23[[#This Row],[SALDO]]+Prog_23[[#This Row],[MARGEM]]+Prog_23[[#This Row],[ESTADIA 1]])</f>
        <v>0</v>
      </c>
      <c r="AY10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13" s="81"/>
      <c r="BA1013" s="81"/>
      <c r="BB1013" s="81">
        <f>Prog_23[[#This Row],[VLR NF]]*0.1%</f>
        <v>0</v>
      </c>
      <c r="BC1013" s="81">
        <f>Prog_23[[#This Row],[VLR NF]]*0.05%</f>
        <v>0</v>
      </c>
      <c r="BD1013" s="81"/>
      <c r="BE1013" s="81"/>
      <c r="BF1013" s="81"/>
      <c r="BG1013" s="81"/>
      <c r="BH1013" s="81"/>
      <c r="BI1013" s="81"/>
      <c r="BJ1013" s="81"/>
      <c r="BK1013" s="81"/>
      <c r="BL1013" s="81"/>
      <c r="BM1013" s="81"/>
      <c r="BN1013" s="66"/>
      <c r="BO1013" s="66"/>
      <c r="BP1013" s="66"/>
      <c r="BQ1013" s="66" t="str">
        <f>PROPER(TEXT(Prog_23[[#This Row],[PROGRAMAÇÃO CLIENTE]],"mmm"))</f>
        <v>Jan</v>
      </c>
      <c r="BR1013" s="66">
        <f>YEAR(Prog_23[[#This Row],[PROGRAMAÇÃO CLIENTE]])</f>
        <v>1900</v>
      </c>
    </row>
    <row r="1014" spans="1:70" x14ac:dyDescent="0.25">
      <c r="A1014" s="201">
        <f>Prog_23[[#This Row],[CONTEINER]]</f>
        <v>0</v>
      </c>
      <c r="B1014" s="86"/>
      <c r="C10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14" s="44"/>
      <c r="E1014" s="66"/>
      <c r="F1014" s="66"/>
      <c r="G1014" s="66"/>
      <c r="H1014" s="44"/>
      <c r="I1014" s="44"/>
      <c r="J1014" s="66"/>
      <c r="K1014" s="66"/>
      <c r="L1014" s="66"/>
      <c r="M1014" s="66"/>
      <c r="N1014" s="66">
        <f>SUM(Prog_23[[#This Row],[TARA]]+Prog_23[[#This Row],[PESO]])</f>
        <v>0</v>
      </c>
      <c r="O1014" s="44"/>
      <c r="P1014" s="66"/>
      <c r="Q1014" s="66"/>
      <c r="R1014" s="66"/>
      <c r="S1014" s="66"/>
      <c r="T1014" s="138" t="str">
        <f>IFERROR(LOOKUP($S1014,MOTORISTAS!$D$3:$D$916,MOTORISTAS!E$3:$E$916),"")</f>
        <v/>
      </c>
      <c r="U1014" s="138" t="str">
        <f>IFERROR(LOOKUP($S1014,MOTORISTAS!$D$3:$D$916,MOTORISTAS!F$3:$F$916),"")</f>
        <v/>
      </c>
      <c r="V1014" s="66"/>
      <c r="W1014" s="66"/>
      <c r="X1014" s="66"/>
      <c r="Y1014" s="66"/>
      <c r="Z1014" s="66"/>
      <c r="AA1014" s="66"/>
      <c r="AB1014" s="66"/>
      <c r="AC1014" s="66"/>
      <c r="AD1014" s="66"/>
      <c r="AE1014" s="66"/>
      <c r="AF1014" s="44"/>
      <c r="AG1014" s="254">
        <f>Prog_23[[#This Row],[SAÍDA DO CLIENTE]]-Prog_23[[#This Row],[PROGRAMAÇÃO CLIENTE]]</f>
        <v>0</v>
      </c>
      <c r="AH1014" s="44"/>
      <c r="AI1014" s="66"/>
      <c r="AJ1014" s="66"/>
      <c r="AK1014" s="66"/>
      <c r="AL1014" s="66"/>
      <c r="AM1014" s="66"/>
      <c r="AN1014" s="83"/>
      <c r="AO1014" s="83"/>
      <c r="AP1014" s="83"/>
      <c r="AQ1014" s="66"/>
      <c r="AR1014" s="66"/>
      <c r="AS1014" s="66"/>
      <c r="AT1014" s="81"/>
      <c r="AU1014" s="81"/>
      <c r="AV1014" s="81"/>
      <c r="AW1014" s="81"/>
      <c r="AX1014" s="83">
        <f>SUM(Prog_23[[#This Row],[ADIANTAMENTO]]+Prog_23[[#This Row],[SALDO]]+Prog_23[[#This Row],[MARGEM]]+Prog_23[[#This Row],[ESTADIA 1]])</f>
        <v>0</v>
      </c>
      <c r="AY10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14" s="81"/>
      <c r="BA1014" s="81"/>
      <c r="BB1014" s="81">
        <f>Prog_23[[#This Row],[VLR NF]]*0.1%</f>
        <v>0</v>
      </c>
      <c r="BC1014" s="81">
        <f>Prog_23[[#This Row],[VLR NF]]*0.05%</f>
        <v>0</v>
      </c>
      <c r="BD1014" s="81"/>
      <c r="BE1014" s="81"/>
      <c r="BF1014" s="81"/>
      <c r="BG1014" s="81"/>
      <c r="BH1014" s="81"/>
      <c r="BI1014" s="81"/>
      <c r="BJ1014" s="81"/>
      <c r="BK1014" s="81"/>
      <c r="BL1014" s="81"/>
      <c r="BM1014" s="81"/>
      <c r="BN1014" s="66"/>
      <c r="BO1014" s="66"/>
      <c r="BP1014" s="66"/>
      <c r="BQ1014" s="66" t="str">
        <f>PROPER(TEXT(Prog_23[[#This Row],[PROGRAMAÇÃO CLIENTE]],"mmm"))</f>
        <v>Jan</v>
      </c>
      <c r="BR1014" s="66">
        <f>YEAR(Prog_23[[#This Row],[PROGRAMAÇÃO CLIENTE]])</f>
        <v>1900</v>
      </c>
    </row>
    <row r="1015" spans="1:70" x14ac:dyDescent="0.25">
      <c r="A1015" s="200">
        <f>Prog_23[[#This Row],[CONTEINER]]</f>
        <v>0</v>
      </c>
      <c r="B1015" s="86"/>
      <c r="C10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15" s="44"/>
      <c r="E1015" s="66"/>
      <c r="F1015" s="66"/>
      <c r="G1015" s="66"/>
      <c r="H1015" s="44"/>
      <c r="I1015" s="44"/>
      <c r="J1015" s="66"/>
      <c r="K1015" s="66"/>
      <c r="L1015" s="66"/>
      <c r="M1015" s="66"/>
      <c r="N1015" s="66">
        <f>SUM(Prog_23[[#This Row],[TARA]]+Prog_23[[#This Row],[PESO]])</f>
        <v>0</v>
      </c>
      <c r="O1015" s="44"/>
      <c r="P1015" s="66"/>
      <c r="Q1015" s="66"/>
      <c r="R1015" s="66"/>
      <c r="S1015" s="66"/>
      <c r="T1015" s="138" t="str">
        <f>IFERROR(LOOKUP($S1015,MOTORISTAS!$D$3:$D$916,MOTORISTAS!E$3:$E$916),"")</f>
        <v/>
      </c>
      <c r="U1015" s="138" t="str">
        <f>IFERROR(LOOKUP($S1015,MOTORISTAS!$D$3:$D$916,MOTORISTAS!F$3:$F$916),"")</f>
        <v/>
      </c>
      <c r="V1015" s="66"/>
      <c r="W1015" s="66"/>
      <c r="X1015" s="66"/>
      <c r="Y1015" s="66"/>
      <c r="Z1015" s="66"/>
      <c r="AA1015" s="66"/>
      <c r="AB1015" s="66"/>
      <c r="AC1015" s="66"/>
      <c r="AD1015" s="66"/>
      <c r="AE1015" s="66"/>
      <c r="AF1015" s="44"/>
      <c r="AG1015" s="254">
        <f>Prog_23[[#This Row],[SAÍDA DO CLIENTE]]-Prog_23[[#This Row],[PROGRAMAÇÃO CLIENTE]]</f>
        <v>0</v>
      </c>
      <c r="AH1015" s="44"/>
      <c r="AI1015" s="66"/>
      <c r="AJ1015" s="66"/>
      <c r="AK1015" s="66"/>
      <c r="AL1015" s="66"/>
      <c r="AM1015" s="66"/>
      <c r="AN1015" s="83"/>
      <c r="AO1015" s="83"/>
      <c r="AP1015" s="83"/>
      <c r="AQ1015" s="66"/>
      <c r="AR1015" s="66"/>
      <c r="AS1015" s="66"/>
      <c r="AT1015" s="81"/>
      <c r="AU1015" s="81"/>
      <c r="AV1015" s="81"/>
      <c r="AW1015" s="81"/>
      <c r="AX1015" s="83">
        <f>SUM(Prog_23[[#This Row],[ADIANTAMENTO]]+Prog_23[[#This Row],[SALDO]]+Prog_23[[#This Row],[MARGEM]]+Prog_23[[#This Row],[ESTADIA 1]])</f>
        <v>0</v>
      </c>
      <c r="AY10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15" s="81"/>
      <c r="BA1015" s="81"/>
      <c r="BB1015" s="81">
        <f>Prog_23[[#This Row],[VLR NF]]*0.1%</f>
        <v>0</v>
      </c>
      <c r="BC1015" s="81">
        <f>Prog_23[[#This Row],[VLR NF]]*0.05%</f>
        <v>0</v>
      </c>
      <c r="BD1015" s="81"/>
      <c r="BE1015" s="81"/>
      <c r="BF1015" s="81"/>
      <c r="BG1015" s="81"/>
      <c r="BH1015" s="81"/>
      <c r="BI1015" s="81"/>
      <c r="BJ1015" s="81"/>
      <c r="BK1015" s="81"/>
      <c r="BL1015" s="81"/>
      <c r="BM1015" s="81"/>
      <c r="BN1015" s="66"/>
      <c r="BO1015" s="66"/>
      <c r="BP1015" s="66"/>
      <c r="BQ1015" s="66" t="str">
        <f>PROPER(TEXT(Prog_23[[#This Row],[PROGRAMAÇÃO CLIENTE]],"mmm"))</f>
        <v>Jan</v>
      </c>
      <c r="BR1015" s="66">
        <f>YEAR(Prog_23[[#This Row],[PROGRAMAÇÃO CLIENTE]])</f>
        <v>1900</v>
      </c>
    </row>
    <row r="1016" spans="1:70" x14ac:dyDescent="0.25">
      <c r="A1016" s="201">
        <f>Prog_23[[#This Row],[CONTEINER]]</f>
        <v>0</v>
      </c>
      <c r="B1016" s="86"/>
      <c r="C10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16" s="44"/>
      <c r="E1016" s="66"/>
      <c r="F1016" s="66"/>
      <c r="G1016" s="66"/>
      <c r="H1016" s="44"/>
      <c r="I1016" s="44"/>
      <c r="J1016" s="66"/>
      <c r="K1016" s="66"/>
      <c r="L1016" s="66"/>
      <c r="M1016" s="66"/>
      <c r="N1016" s="66">
        <f>SUM(Prog_23[[#This Row],[TARA]]+Prog_23[[#This Row],[PESO]])</f>
        <v>0</v>
      </c>
      <c r="O1016" s="44"/>
      <c r="P1016" s="66"/>
      <c r="Q1016" s="66"/>
      <c r="R1016" s="66"/>
      <c r="S1016" s="66"/>
      <c r="T1016" s="138" t="str">
        <f>IFERROR(LOOKUP($S1016,MOTORISTAS!$D$3:$D$916,MOTORISTAS!E$3:$E$916),"")</f>
        <v/>
      </c>
      <c r="U1016" s="138" t="str">
        <f>IFERROR(LOOKUP($S1016,MOTORISTAS!$D$3:$D$916,MOTORISTAS!F$3:$F$916),"")</f>
        <v/>
      </c>
      <c r="V1016" s="66"/>
      <c r="W1016" s="66"/>
      <c r="X1016" s="66"/>
      <c r="Y1016" s="66"/>
      <c r="Z1016" s="66"/>
      <c r="AA1016" s="66"/>
      <c r="AB1016" s="66"/>
      <c r="AC1016" s="66"/>
      <c r="AD1016" s="66"/>
      <c r="AE1016" s="66"/>
      <c r="AF1016" s="44"/>
      <c r="AG1016" s="254">
        <f>Prog_23[[#This Row],[SAÍDA DO CLIENTE]]-Prog_23[[#This Row],[PROGRAMAÇÃO CLIENTE]]</f>
        <v>0</v>
      </c>
      <c r="AH1016" s="44"/>
      <c r="AI1016" s="66"/>
      <c r="AJ1016" s="66"/>
      <c r="AK1016" s="66"/>
      <c r="AL1016" s="66"/>
      <c r="AM1016" s="66"/>
      <c r="AN1016" s="83"/>
      <c r="AO1016" s="83"/>
      <c r="AP1016" s="83"/>
      <c r="AQ1016" s="66"/>
      <c r="AR1016" s="66"/>
      <c r="AS1016" s="66"/>
      <c r="AT1016" s="81"/>
      <c r="AU1016" s="81"/>
      <c r="AV1016" s="81"/>
      <c r="AW1016" s="81"/>
      <c r="AX1016" s="83">
        <f>SUM(Prog_23[[#This Row],[ADIANTAMENTO]]+Prog_23[[#This Row],[SALDO]]+Prog_23[[#This Row],[MARGEM]]+Prog_23[[#This Row],[ESTADIA 1]])</f>
        <v>0</v>
      </c>
      <c r="AY10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16" s="81"/>
      <c r="BA1016" s="81"/>
      <c r="BB1016" s="81">
        <f>Prog_23[[#This Row],[VLR NF]]*0.1%</f>
        <v>0</v>
      </c>
      <c r="BC1016" s="81">
        <f>Prog_23[[#This Row],[VLR NF]]*0.05%</f>
        <v>0</v>
      </c>
      <c r="BD1016" s="81"/>
      <c r="BE1016" s="81"/>
      <c r="BF1016" s="81"/>
      <c r="BG1016" s="81"/>
      <c r="BH1016" s="81"/>
      <c r="BI1016" s="81"/>
      <c r="BJ1016" s="81"/>
      <c r="BK1016" s="81"/>
      <c r="BL1016" s="81"/>
      <c r="BM1016" s="81"/>
      <c r="BN1016" s="66"/>
      <c r="BO1016" s="66"/>
      <c r="BP1016" s="66"/>
      <c r="BQ1016" s="66" t="str">
        <f>PROPER(TEXT(Prog_23[[#This Row],[PROGRAMAÇÃO CLIENTE]],"mmm"))</f>
        <v>Jan</v>
      </c>
      <c r="BR1016" s="66">
        <f>YEAR(Prog_23[[#This Row],[PROGRAMAÇÃO CLIENTE]])</f>
        <v>1900</v>
      </c>
    </row>
    <row r="1017" spans="1:70" x14ac:dyDescent="0.25">
      <c r="A1017" s="200">
        <f>Prog_23[[#This Row],[CONTEINER]]</f>
        <v>0</v>
      </c>
      <c r="B1017" s="86"/>
      <c r="C10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17" s="44"/>
      <c r="E1017" s="66"/>
      <c r="F1017" s="66"/>
      <c r="G1017" s="66"/>
      <c r="H1017" s="44"/>
      <c r="I1017" s="44"/>
      <c r="J1017" s="66"/>
      <c r="K1017" s="66"/>
      <c r="L1017" s="66"/>
      <c r="M1017" s="66"/>
      <c r="N1017" s="66">
        <f>SUM(Prog_23[[#This Row],[TARA]]+Prog_23[[#This Row],[PESO]])</f>
        <v>0</v>
      </c>
      <c r="O1017" s="44"/>
      <c r="P1017" s="66"/>
      <c r="Q1017" s="66"/>
      <c r="R1017" s="66"/>
      <c r="S1017" s="66"/>
      <c r="T1017" s="138" t="str">
        <f>IFERROR(LOOKUP($S1017,MOTORISTAS!$D$3:$D$916,MOTORISTAS!E$3:$E$916),"")</f>
        <v/>
      </c>
      <c r="U1017" s="138" t="str">
        <f>IFERROR(LOOKUP($S1017,MOTORISTAS!$D$3:$D$916,MOTORISTAS!F$3:$F$916),"")</f>
        <v/>
      </c>
      <c r="V1017" s="66"/>
      <c r="W1017" s="66"/>
      <c r="X1017" s="66"/>
      <c r="Y1017" s="66"/>
      <c r="Z1017" s="66"/>
      <c r="AA1017" s="66"/>
      <c r="AB1017" s="66"/>
      <c r="AC1017" s="66"/>
      <c r="AD1017" s="66"/>
      <c r="AE1017" s="66"/>
      <c r="AF1017" s="44"/>
      <c r="AG1017" s="254">
        <f>Prog_23[[#This Row],[SAÍDA DO CLIENTE]]-Prog_23[[#This Row],[PROGRAMAÇÃO CLIENTE]]</f>
        <v>0</v>
      </c>
      <c r="AH1017" s="44"/>
      <c r="AI1017" s="66"/>
      <c r="AJ1017" s="66"/>
      <c r="AK1017" s="66"/>
      <c r="AL1017" s="66"/>
      <c r="AM1017" s="66"/>
      <c r="AN1017" s="83"/>
      <c r="AO1017" s="83"/>
      <c r="AP1017" s="83"/>
      <c r="AQ1017" s="66"/>
      <c r="AR1017" s="66"/>
      <c r="AS1017" s="66"/>
      <c r="AT1017" s="81"/>
      <c r="AU1017" s="81"/>
      <c r="AV1017" s="81"/>
      <c r="AW1017" s="81"/>
      <c r="AX1017" s="83">
        <f>SUM(Prog_23[[#This Row],[ADIANTAMENTO]]+Prog_23[[#This Row],[SALDO]]+Prog_23[[#This Row],[MARGEM]]+Prog_23[[#This Row],[ESTADIA 1]])</f>
        <v>0</v>
      </c>
      <c r="AY10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17" s="81"/>
      <c r="BA1017" s="81"/>
      <c r="BB1017" s="81">
        <f>Prog_23[[#This Row],[VLR NF]]*0.1%</f>
        <v>0</v>
      </c>
      <c r="BC1017" s="81">
        <f>Prog_23[[#This Row],[VLR NF]]*0.05%</f>
        <v>0</v>
      </c>
      <c r="BD1017" s="81"/>
      <c r="BE1017" s="81"/>
      <c r="BF1017" s="81"/>
      <c r="BG1017" s="81"/>
      <c r="BH1017" s="81"/>
      <c r="BI1017" s="81"/>
      <c r="BJ1017" s="81"/>
      <c r="BK1017" s="81"/>
      <c r="BL1017" s="81"/>
      <c r="BM1017" s="81"/>
      <c r="BN1017" s="66"/>
      <c r="BO1017" s="66"/>
      <c r="BP1017" s="66"/>
      <c r="BQ1017" s="66" t="str">
        <f>PROPER(TEXT(Prog_23[[#This Row],[PROGRAMAÇÃO CLIENTE]],"mmm"))</f>
        <v>Jan</v>
      </c>
      <c r="BR1017" s="66">
        <f>YEAR(Prog_23[[#This Row],[PROGRAMAÇÃO CLIENTE]])</f>
        <v>1900</v>
      </c>
    </row>
    <row r="1018" spans="1:70" x14ac:dyDescent="0.25">
      <c r="A1018" s="201">
        <f>Prog_23[[#This Row],[CONTEINER]]</f>
        <v>0</v>
      </c>
      <c r="B1018" s="86"/>
      <c r="C10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18" s="44"/>
      <c r="E1018" s="66"/>
      <c r="F1018" s="66"/>
      <c r="G1018" s="66"/>
      <c r="H1018" s="44"/>
      <c r="I1018" s="44"/>
      <c r="J1018" s="66"/>
      <c r="K1018" s="66"/>
      <c r="L1018" s="66"/>
      <c r="M1018" s="66"/>
      <c r="N1018" s="66">
        <f>SUM(Prog_23[[#This Row],[TARA]]+Prog_23[[#This Row],[PESO]])</f>
        <v>0</v>
      </c>
      <c r="O1018" s="44"/>
      <c r="P1018" s="66"/>
      <c r="Q1018" s="66"/>
      <c r="R1018" s="66"/>
      <c r="S1018" s="66"/>
      <c r="T1018" s="138" t="str">
        <f>IFERROR(LOOKUP($S1018,MOTORISTAS!$D$3:$D$916,MOTORISTAS!E$3:$E$916),"")</f>
        <v/>
      </c>
      <c r="U1018" s="138" t="str">
        <f>IFERROR(LOOKUP($S1018,MOTORISTAS!$D$3:$D$916,MOTORISTAS!F$3:$F$916),"")</f>
        <v/>
      </c>
      <c r="V1018" s="66"/>
      <c r="W1018" s="66"/>
      <c r="X1018" s="66"/>
      <c r="Y1018" s="66"/>
      <c r="Z1018" s="66"/>
      <c r="AA1018" s="66"/>
      <c r="AB1018" s="66"/>
      <c r="AC1018" s="66"/>
      <c r="AD1018" s="66"/>
      <c r="AE1018" s="66"/>
      <c r="AF1018" s="44"/>
      <c r="AG1018" s="254">
        <f>Prog_23[[#This Row],[SAÍDA DO CLIENTE]]-Prog_23[[#This Row],[PROGRAMAÇÃO CLIENTE]]</f>
        <v>0</v>
      </c>
      <c r="AH1018" s="44"/>
      <c r="AI1018" s="66"/>
      <c r="AJ1018" s="66"/>
      <c r="AK1018" s="66"/>
      <c r="AL1018" s="66"/>
      <c r="AM1018" s="66"/>
      <c r="AN1018" s="83"/>
      <c r="AO1018" s="83"/>
      <c r="AP1018" s="83"/>
      <c r="AQ1018" s="66"/>
      <c r="AR1018" s="66"/>
      <c r="AS1018" s="66"/>
      <c r="AT1018" s="81"/>
      <c r="AU1018" s="81"/>
      <c r="AV1018" s="81"/>
      <c r="AW1018" s="81"/>
      <c r="AX1018" s="83">
        <f>SUM(Prog_23[[#This Row],[ADIANTAMENTO]]+Prog_23[[#This Row],[SALDO]]+Prog_23[[#This Row],[MARGEM]]+Prog_23[[#This Row],[ESTADIA 1]])</f>
        <v>0</v>
      </c>
      <c r="AY10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18" s="81"/>
      <c r="BA1018" s="81"/>
      <c r="BB1018" s="81">
        <f>Prog_23[[#This Row],[VLR NF]]*0.1%</f>
        <v>0</v>
      </c>
      <c r="BC1018" s="81">
        <f>Prog_23[[#This Row],[VLR NF]]*0.05%</f>
        <v>0</v>
      </c>
      <c r="BD1018" s="81"/>
      <c r="BE1018" s="81"/>
      <c r="BF1018" s="81"/>
      <c r="BG1018" s="81"/>
      <c r="BH1018" s="81"/>
      <c r="BI1018" s="81"/>
      <c r="BJ1018" s="81"/>
      <c r="BK1018" s="81"/>
      <c r="BL1018" s="81"/>
      <c r="BM1018" s="81"/>
      <c r="BN1018" s="66"/>
      <c r="BO1018" s="66"/>
      <c r="BP1018" s="66"/>
      <c r="BQ1018" s="66" t="str">
        <f>PROPER(TEXT(Prog_23[[#This Row],[PROGRAMAÇÃO CLIENTE]],"mmm"))</f>
        <v>Jan</v>
      </c>
      <c r="BR1018" s="66">
        <f>YEAR(Prog_23[[#This Row],[PROGRAMAÇÃO CLIENTE]])</f>
        <v>1900</v>
      </c>
    </row>
    <row r="1019" spans="1:70" x14ac:dyDescent="0.25">
      <c r="A1019" s="200">
        <f>Prog_23[[#This Row],[CONTEINER]]</f>
        <v>0</v>
      </c>
      <c r="B1019" s="86"/>
      <c r="C10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19" s="44"/>
      <c r="E1019" s="66"/>
      <c r="F1019" s="66"/>
      <c r="G1019" s="66"/>
      <c r="H1019" s="44"/>
      <c r="I1019" s="44"/>
      <c r="J1019" s="66"/>
      <c r="K1019" s="66"/>
      <c r="L1019" s="66"/>
      <c r="M1019" s="66"/>
      <c r="N1019" s="66">
        <f>SUM(Prog_23[[#This Row],[TARA]]+Prog_23[[#This Row],[PESO]])</f>
        <v>0</v>
      </c>
      <c r="O1019" s="44"/>
      <c r="P1019" s="66"/>
      <c r="Q1019" s="66"/>
      <c r="R1019" s="66"/>
      <c r="S1019" s="66"/>
      <c r="T1019" s="138" t="str">
        <f>IFERROR(LOOKUP($S1019,MOTORISTAS!$D$3:$D$916,MOTORISTAS!E$3:$E$916),"")</f>
        <v/>
      </c>
      <c r="U1019" s="138" t="str">
        <f>IFERROR(LOOKUP($S1019,MOTORISTAS!$D$3:$D$916,MOTORISTAS!F$3:$F$916),"")</f>
        <v/>
      </c>
      <c r="V1019" s="66"/>
      <c r="W1019" s="66"/>
      <c r="X1019" s="66"/>
      <c r="Y1019" s="66"/>
      <c r="Z1019" s="66"/>
      <c r="AA1019" s="66"/>
      <c r="AB1019" s="66"/>
      <c r="AC1019" s="66"/>
      <c r="AD1019" s="66"/>
      <c r="AE1019" s="66"/>
      <c r="AF1019" s="44"/>
      <c r="AG1019" s="254">
        <f>Prog_23[[#This Row],[SAÍDA DO CLIENTE]]-Prog_23[[#This Row],[PROGRAMAÇÃO CLIENTE]]</f>
        <v>0</v>
      </c>
      <c r="AH1019" s="44"/>
      <c r="AI1019" s="66"/>
      <c r="AJ1019" s="66"/>
      <c r="AK1019" s="66"/>
      <c r="AL1019" s="66"/>
      <c r="AM1019" s="66"/>
      <c r="AN1019" s="83"/>
      <c r="AO1019" s="83"/>
      <c r="AP1019" s="83"/>
      <c r="AQ1019" s="66"/>
      <c r="AR1019" s="66"/>
      <c r="AS1019" s="66"/>
      <c r="AT1019" s="81"/>
      <c r="AU1019" s="81"/>
      <c r="AV1019" s="81"/>
      <c r="AW1019" s="81"/>
      <c r="AX1019" s="83">
        <f>SUM(Prog_23[[#This Row],[ADIANTAMENTO]]+Prog_23[[#This Row],[SALDO]]+Prog_23[[#This Row],[MARGEM]]+Prog_23[[#This Row],[ESTADIA 1]])</f>
        <v>0</v>
      </c>
      <c r="AY10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19" s="81"/>
      <c r="BA1019" s="81"/>
      <c r="BB1019" s="81">
        <f>Prog_23[[#This Row],[VLR NF]]*0.1%</f>
        <v>0</v>
      </c>
      <c r="BC1019" s="81">
        <f>Prog_23[[#This Row],[VLR NF]]*0.05%</f>
        <v>0</v>
      </c>
      <c r="BD1019" s="81"/>
      <c r="BE1019" s="81"/>
      <c r="BF1019" s="81"/>
      <c r="BG1019" s="81"/>
      <c r="BH1019" s="81"/>
      <c r="BI1019" s="81"/>
      <c r="BJ1019" s="81"/>
      <c r="BK1019" s="81"/>
      <c r="BL1019" s="81"/>
      <c r="BM1019" s="81"/>
      <c r="BN1019" s="66"/>
      <c r="BO1019" s="66"/>
      <c r="BP1019" s="66"/>
      <c r="BQ1019" s="66" t="str">
        <f>PROPER(TEXT(Prog_23[[#This Row],[PROGRAMAÇÃO CLIENTE]],"mmm"))</f>
        <v>Jan</v>
      </c>
      <c r="BR1019" s="66">
        <f>YEAR(Prog_23[[#This Row],[PROGRAMAÇÃO CLIENTE]])</f>
        <v>1900</v>
      </c>
    </row>
    <row r="1020" spans="1:70" x14ac:dyDescent="0.25">
      <c r="A1020" s="201">
        <f>Prog_23[[#This Row],[CONTEINER]]</f>
        <v>0</v>
      </c>
      <c r="B1020" s="86"/>
      <c r="C10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20" s="44"/>
      <c r="E1020" s="66"/>
      <c r="F1020" s="66"/>
      <c r="G1020" s="66"/>
      <c r="H1020" s="44"/>
      <c r="I1020" s="44"/>
      <c r="J1020" s="66"/>
      <c r="K1020" s="66"/>
      <c r="L1020" s="66"/>
      <c r="M1020" s="66"/>
      <c r="N1020" s="66">
        <f>SUM(Prog_23[[#This Row],[TARA]]+Prog_23[[#This Row],[PESO]])</f>
        <v>0</v>
      </c>
      <c r="O1020" s="44"/>
      <c r="P1020" s="66"/>
      <c r="Q1020" s="66"/>
      <c r="R1020" s="66"/>
      <c r="S1020" s="66"/>
      <c r="T1020" s="138" t="str">
        <f>IFERROR(LOOKUP($S1020,MOTORISTAS!$D$3:$D$916,MOTORISTAS!E$3:$E$916),"")</f>
        <v/>
      </c>
      <c r="U1020" s="138" t="str">
        <f>IFERROR(LOOKUP($S1020,MOTORISTAS!$D$3:$D$916,MOTORISTAS!F$3:$F$916),"")</f>
        <v/>
      </c>
      <c r="V1020" s="66"/>
      <c r="W1020" s="66"/>
      <c r="X1020" s="66"/>
      <c r="Y1020" s="66"/>
      <c r="Z1020" s="66"/>
      <c r="AA1020" s="66"/>
      <c r="AB1020" s="66"/>
      <c r="AC1020" s="66"/>
      <c r="AD1020" s="66"/>
      <c r="AE1020" s="66"/>
      <c r="AF1020" s="44"/>
      <c r="AG1020" s="254">
        <f>Prog_23[[#This Row],[SAÍDA DO CLIENTE]]-Prog_23[[#This Row],[PROGRAMAÇÃO CLIENTE]]</f>
        <v>0</v>
      </c>
      <c r="AH1020" s="44"/>
      <c r="AI1020" s="66"/>
      <c r="AJ1020" s="66"/>
      <c r="AK1020" s="66"/>
      <c r="AL1020" s="66"/>
      <c r="AM1020" s="66"/>
      <c r="AN1020" s="83"/>
      <c r="AO1020" s="83"/>
      <c r="AP1020" s="83"/>
      <c r="AQ1020" s="66"/>
      <c r="AR1020" s="66"/>
      <c r="AS1020" s="66"/>
      <c r="AT1020" s="81"/>
      <c r="AU1020" s="81"/>
      <c r="AV1020" s="81"/>
      <c r="AW1020" s="81"/>
      <c r="AX1020" s="83">
        <f>SUM(Prog_23[[#This Row],[ADIANTAMENTO]]+Prog_23[[#This Row],[SALDO]]+Prog_23[[#This Row],[MARGEM]]+Prog_23[[#This Row],[ESTADIA 1]])</f>
        <v>0</v>
      </c>
      <c r="AY10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20" s="81"/>
      <c r="BA1020" s="81"/>
      <c r="BB1020" s="81">
        <f>Prog_23[[#This Row],[VLR NF]]*0.1%</f>
        <v>0</v>
      </c>
      <c r="BC1020" s="81">
        <f>Prog_23[[#This Row],[VLR NF]]*0.05%</f>
        <v>0</v>
      </c>
      <c r="BD1020" s="81"/>
      <c r="BE1020" s="81"/>
      <c r="BF1020" s="81"/>
      <c r="BG1020" s="81"/>
      <c r="BH1020" s="81"/>
      <c r="BI1020" s="81"/>
      <c r="BJ1020" s="81"/>
      <c r="BK1020" s="81"/>
      <c r="BL1020" s="81"/>
      <c r="BM1020" s="81"/>
      <c r="BN1020" s="66"/>
      <c r="BO1020" s="66"/>
      <c r="BP1020" s="66"/>
      <c r="BQ1020" s="66" t="str">
        <f>PROPER(TEXT(Prog_23[[#This Row],[PROGRAMAÇÃO CLIENTE]],"mmm"))</f>
        <v>Jan</v>
      </c>
      <c r="BR1020" s="66">
        <f>YEAR(Prog_23[[#This Row],[PROGRAMAÇÃO CLIENTE]])</f>
        <v>1900</v>
      </c>
    </row>
    <row r="1021" spans="1:70" x14ac:dyDescent="0.25">
      <c r="A1021" s="200">
        <f>Prog_23[[#This Row],[CONTEINER]]</f>
        <v>0</v>
      </c>
      <c r="B1021" s="86"/>
      <c r="C10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21" s="44"/>
      <c r="E1021" s="66"/>
      <c r="F1021" s="66"/>
      <c r="G1021" s="66"/>
      <c r="H1021" s="44"/>
      <c r="I1021" s="44"/>
      <c r="J1021" s="66"/>
      <c r="K1021" s="66"/>
      <c r="L1021" s="66"/>
      <c r="M1021" s="66"/>
      <c r="N1021" s="66">
        <f>SUM(Prog_23[[#This Row],[TARA]]+Prog_23[[#This Row],[PESO]])</f>
        <v>0</v>
      </c>
      <c r="O1021" s="44"/>
      <c r="P1021" s="66"/>
      <c r="Q1021" s="66"/>
      <c r="R1021" s="66"/>
      <c r="S1021" s="66"/>
      <c r="T1021" s="138" t="str">
        <f>IFERROR(LOOKUP($S1021,MOTORISTAS!$D$3:$D$916,MOTORISTAS!E$3:$E$916),"")</f>
        <v/>
      </c>
      <c r="U1021" s="138" t="str">
        <f>IFERROR(LOOKUP($S1021,MOTORISTAS!$D$3:$D$916,MOTORISTAS!F$3:$F$916),"")</f>
        <v/>
      </c>
      <c r="V1021" s="66"/>
      <c r="W1021" s="66"/>
      <c r="X1021" s="66"/>
      <c r="Y1021" s="66"/>
      <c r="Z1021" s="66"/>
      <c r="AA1021" s="66"/>
      <c r="AB1021" s="66"/>
      <c r="AC1021" s="66"/>
      <c r="AD1021" s="66"/>
      <c r="AE1021" s="66"/>
      <c r="AF1021" s="44"/>
      <c r="AG1021" s="254">
        <f>Prog_23[[#This Row],[SAÍDA DO CLIENTE]]-Prog_23[[#This Row],[PROGRAMAÇÃO CLIENTE]]</f>
        <v>0</v>
      </c>
      <c r="AH1021" s="44"/>
      <c r="AI1021" s="66"/>
      <c r="AJ1021" s="66"/>
      <c r="AK1021" s="66"/>
      <c r="AL1021" s="66"/>
      <c r="AM1021" s="66"/>
      <c r="AN1021" s="83"/>
      <c r="AO1021" s="83"/>
      <c r="AP1021" s="83"/>
      <c r="AQ1021" s="66"/>
      <c r="AR1021" s="66"/>
      <c r="AS1021" s="66"/>
      <c r="AT1021" s="81"/>
      <c r="AU1021" s="81"/>
      <c r="AV1021" s="81"/>
      <c r="AW1021" s="81"/>
      <c r="AX1021" s="83">
        <f>SUM(Prog_23[[#This Row],[ADIANTAMENTO]]+Prog_23[[#This Row],[SALDO]]+Prog_23[[#This Row],[MARGEM]]+Prog_23[[#This Row],[ESTADIA 1]])</f>
        <v>0</v>
      </c>
      <c r="AY10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21" s="81"/>
      <c r="BA1021" s="81"/>
      <c r="BB1021" s="81">
        <f>Prog_23[[#This Row],[VLR NF]]*0.1%</f>
        <v>0</v>
      </c>
      <c r="BC1021" s="81">
        <f>Prog_23[[#This Row],[VLR NF]]*0.05%</f>
        <v>0</v>
      </c>
      <c r="BD1021" s="81"/>
      <c r="BE1021" s="81"/>
      <c r="BF1021" s="81"/>
      <c r="BG1021" s="81"/>
      <c r="BH1021" s="81"/>
      <c r="BI1021" s="81"/>
      <c r="BJ1021" s="81"/>
      <c r="BK1021" s="81"/>
      <c r="BL1021" s="81"/>
      <c r="BM1021" s="81"/>
      <c r="BN1021" s="66"/>
      <c r="BO1021" s="66"/>
      <c r="BP1021" s="66"/>
      <c r="BQ1021" s="66" t="str">
        <f>PROPER(TEXT(Prog_23[[#This Row],[PROGRAMAÇÃO CLIENTE]],"mmm"))</f>
        <v>Jan</v>
      </c>
      <c r="BR1021" s="66">
        <f>YEAR(Prog_23[[#This Row],[PROGRAMAÇÃO CLIENTE]])</f>
        <v>1900</v>
      </c>
    </row>
    <row r="1022" spans="1:70" x14ac:dyDescent="0.25">
      <c r="A1022" s="201">
        <f>Prog_23[[#This Row],[CONTEINER]]</f>
        <v>0</v>
      </c>
      <c r="B1022" s="86"/>
      <c r="C10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22" s="44"/>
      <c r="E1022" s="66"/>
      <c r="F1022" s="66"/>
      <c r="G1022" s="66"/>
      <c r="H1022" s="44"/>
      <c r="I1022" s="44"/>
      <c r="J1022" s="66"/>
      <c r="K1022" s="66"/>
      <c r="L1022" s="66"/>
      <c r="M1022" s="66"/>
      <c r="N1022" s="66">
        <f>SUM(Prog_23[[#This Row],[TARA]]+Prog_23[[#This Row],[PESO]])</f>
        <v>0</v>
      </c>
      <c r="O1022" s="44"/>
      <c r="P1022" s="66"/>
      <c r="Q1022" s="66"/>
      <c r="R1022" s="66"/>
      <c r="S1022" s="66"/>
      <c r="T1022" s="138" t="str">
        <f>IFERROR(LOOKUP($S1022,MOTORISTAS!$D$3:$D$916,MOTORISTAS!E$3:$E$916),"")</f>
        <v/>
      </c>
      <c r="U1022" s="138" t="str">
        <f>IFERROR(LOOKUP($S1022,MOTORISTAS!$D$3:$D$916,MOTORISTAS!F$3:$F$916),"")</f>
        <v/>
      </c>
      <c r="V1022" s="66"/>
      <c r="W1022" s="66"/>
      <c r="X1022" s="66"/>
      <c r="Y1022" s="66"/>
      <c r="Z1022" s="66"/>
      <c r="AA1022" s="66"/>
      <c r="AB1022" s="66"/>
      <c r="AC1022" s="66"/>
      <c r="AD1022" s="66"/>
      <c r="AE1022" s="66"/>
      <c r="AF1022" s="44"/>
      <c r="AG1022" s="254">
        <f>Prog_23[[#This Row],[SAÍDA DO CLIENTE]]-Prog_23[[#This Row],[PROGRAMAÇÃO CLIENTE]]</f>
        <v>0</v>
      </c>
      <c r="AH1022" s="44"/>
      <c r="AI1022" s="66"/>
      <c r="AJ1022" s="66"/>
      <c r="AK1022" s="66"/>
      <c r="AL1022" s="66"/>
      <c r="AM1022" s="66"/>
      <c r="AN1022" s="83"/>
      <c r="AO1022" s="83"/>
      <c r="AP1022" s="83"/>
      <c r="AQ1022" s="66"/>
      <c r="AR1022" s="66"/>
      <c r="AS1022" s="66"/>
      <c r="AT1022" s="81"/>
      <c r="AU1022" s="81"/>
      <c r="AV1022" s="81"/>
      <c r="AW1022" s="81"/>
      <c r="AX1022" s="83">
        <f>SUM(Prog_23[[#This Row],[ADIANTAMENTO]]+Prog_23[[#This Row],[SALDO]]+Prog_23[[#This Row],[MARGEM]]+Prog_23[[#This Row],[ESTADIA 1]])</f>
        <v>0</v>
      </c>
      <c r="AY10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22" s="81"/>
      <c r="BA1022" s="81"/>
      <c r="BB1022" s="81">
        <f>Prog_23[[#This Row],[VLR NF]]*0.1%</f>
        <v>0</v>
      </c>
      <c r="BC1022" s="81">
        <f>Prog_23[[#This Row],[VLR NF]]*0.05%</f>
        <v>0</v>
      </c>
      <c r="BD1022" s="81"/>
      <c r="BE1022" s="81"/>
      <c r="BF1022" s="81"/>
      <c r="BG1022" s="81"/>
      <c r="BH1022" s="81"/>
      <c r="BI1022" s="81"/>
      <c r="BJ1022" s="81"/>
      <c r="BK1022" s="81"/>
      <c r="BL1022" s="81"/>
      <c r="BM1022" s="81"/>
      <c r="BN1022" s="66"/>
      <c r="BO1022" s="66"/>
      <c r="BP1022" s="66"/>
      <c r="BQ1022" s="66" t="str">
        <f>PROPER(TEXT(Prog_23[[#This Row],[PROGRAMAÇÃO CLIENTE]],"mmm"))</f>
        <v>Jan</v>
      </c>
      <c r="BR1022" s="66">
        <f>YEAR(Prog_23[[#This Row],[PROGRAMAÇÃO CLIENTE]])</f>
        <v>1900</v>
      </c>
    </row>
    <row r="1023" spans="1:70" x14ac:dyDescent="0.25">
      <c r="A1023" s="200">
        <f>Prog_23[[#This Row],[CONTEINER]]</f>
        <v>0</v>
      </c>
      <c r="B1023" s="86"/>
      <c r="C10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23" s="44"/>
      <c r="E1023" s="66"/>
      <c r="F1023" s="66"/>
      <c r="G1023" s="66"/>
      <c r="H1023" s="44"/>
      <c r="I1023" s="44"/>
      <c r="J1023" s="66"/>
      <c r="K1023" s="66"/>
      <c r="L1023" s="66"/>
      <c r="M1023" s="66"/>
      <c r="N1023" s="66">
        <f>SUM(Prog_23[[#This Row],[TARA]]+Prog_23[[#This Row],[PESO]])</f>
        <v>0</v>
      </c>
      <c r="O1023" s="44"/>
      <c r="P1023" s="66"/>
      <c r="Q1023" s="66"/>
      <c r="R1023" s="66"/>
      <c r="S1023" s="66"/>
      <c r="T1023" s="138" t="str">
        <f>IFERROR(LOOKUP($S1023,MOTORISTAS!$D$3:$D$916,MOTORISTAS!E$3:$E$916),"")</f>
        <v/>
      </c>
      <c r="U1023" s="138" t="str">
        <f>IFERROR(LOOKUP($S1023,MOTORISTAS!$D$3:$D$916,MOTORISTAS!F$3:$F$916),"")</f>
        <v/>
      </c>
      <c r="V1023" s="66"/>
      <c r="W1023" s="66"/>
      <c r="X1023" s="66"/>
      <c r="Y1023" s="66"/>
      <c r="Z1023" s="66"/>
      <c r="AA1023" s="66"/>
      <c r="AB1023" s="66"/>
      <c r="AC1023" s="66"/>
      <c r="AD1023" s="66"/>
      <c r="AE1023" s="66"/>
      <c r="AF1023" s="44"/>
      <c r="AG1023" s="254">
        <f>Prog_23[[#This Row],[SAÍDA DO CLIENTE]]-Prog_23[[#This Row],[PROGRAMAÇÃO CLIENTE]]</f>
        <v>0</v>
      </c>
      <c r="AH1023" s="44"/>
      <c r="AI1023" s="66"/>
      <c r="AJ1023" s="66"/>
      <c r="AK1023" s="66"/>
      <c r="AL1023" s="66"/>
      <c r="AM1023" s="66"/>
      <c r="AN1023" s="83"/>
      <c r="AO1023" s="83"/>
      <c r="AP1023" s="83"/>
      <c r="AQ1023" s="66"/>
      <c r="AR1023" s="66"/>
      <c r="AS1023" s="66"/>
      <c r="AT1023" s="81"/>
      <c r="AU1023" s="81"/>
      <c r="AV1023" s="81"/>
      <c r="AW1023" s="81"/>
      <c r="AX1023" s="83">
        <f>SUM(Prog_23[[#This Row],[ADIANTAMENTO]]+Prog_23[[#This Row],[SALDO]]+Prog_23[[#This Row],[MARGEM]]+Prog_23[[#This Row],[ESTADIA 1]])</f>
        <v>0</v>
      </c>
      <c r="AY10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23" s="81"/>
      <c r="BA1023" s="81"/>
      <c r="BB1023" s="81">
        <f>Prog_23[[#This Row],[VLR NF]]*0.1%</f>
        <v>0</v>
      </c>
      <c r="BC1023" s="81">
        <f>Prog_23[[#This Row],[VLR NF]]*0.05%</f>
        <v>0</v>
      </c>
      <c r="BD1023" s="81"/>
      <c r="BE1023" s="81"/>
      <c r="BF1023" s="81"/>
      <c r="BG1023" s="81"/>
      <c r="BH1023" s="81"/>
      <c r="BI1023" s="81"/>
      <c r="BJ1023" s="81"/>
      <c r="BK1023" s="81"/>
      <c r="BL1023" s="81"/>
      <c r="BM1023" s="81"/>
      <c r="BN1023" s="66"/>
      <c r="BO1023" s="66"/>
      <c r="BP1023" s="66"/>
      <c r="BQ1023" s="66" t="str">
        <f>PROPER(TEXT(Prog_23[[#This Row],[PROGRAMAÇÃO CLIENTE]],"mmm"))</f>
        <v>Jan</v>
      </c>
      <c r="BR1023" s="66">
        <f>YEAR(Prog_23[[#This Row],[PROGRAMAÇÃO CLIENTE]])</f>
        <v>1900</v>
      </c>
    </row>
    <row r="1024" spans="1:70" x14ac:dyDescent="0.25">
      <c r="A1024" s="201">
        <f>Prog_23[[#This Row],[CONTEINER]]</f>
        <v>0</v>
      </c>
      <c r="B1024" s="86"/>
      <c r="C10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24" s="44"/>
      <c r="E1024" s="66"/>
      <c r="F1024" s="66"/>
      <c r="G1024" s="66"/>
      <c r="H1024" s="44"/>
      <c r="I1024" s="44"/>
      <c r="J1024" s="66"/>
      <c r="K1024" s="66"/>
      <c r="L1024" s="66"/>
      <c r="M1024" s="66"/>
      <c r="N1024" s="66">
        <f>SUM(Prog_23[[#This Row],[TARA]]+Prog_23[[#This Row],[PESO]])</f>
        <v>0</v>
      </c>
      <c r="O1024" s="44"/>
      <c r="P1024" s="66"/>
      <c r="Q1024" s="66"/>
      <c r="R1024" s="66"/>
      <c r="S1024" s="66"/>
      <c r="T1024" s="138" t="str">
        <f>IFERROR(LOOKUP($S1024,MOTORISTAS!$D$3:$D$916,MOTORISTAS!E$3:$E$916),"")</f>
        <v/>
      </c>
      <c r="U1024" s="138" t="str">
        <f>IFERROR(LOOKUP($S1024,MOTORISTAS!$D$3:$D$916,MOTORISTAS!F$3:$F$916),"")</f>
        <v/>
      </c>
      <c r="V1024" s="66"/>
      <c r="W1024" s="66"/>
      <c r="X1024" s="66"/>
      <c r="Y1024" s="66"/>
      <c r="Z1024" s="66"/>
      <c r="AA1024" s="66"/>
      <c r="AB1024" s="66"/>
      <c r="AC1024" s="66"/>
      <c r="AD1024" s="66"/>
      <c r="AE1024" s="66"/>
      <c r="AF1024" s="44"/>
      <c r="AG1024" s="254">
        <f>Prog_23[[#This Row],[SAÍDA DO CLIENTE]]-Prog_23[[#This Row],[PROGRAMAÇÃO CLIENTE]]</f>
        <v>0</v>
      </c>
      <c r="AH1024" s="44"/>
      <c r="AI1024" s="66"/>
      <c r="AJ1024" s="66"/>
      <c r="AK1024" s="66"/>
      <c r="AL1024" s="66"/>
      <c r="AM1024" s="66"/>
      <c r="AN1024" s="83"/>
      <c r="AO1024" s="83"/>
      <c r="AP1024" s="83"/>
      <c r="AQ1024" s="66"/>
      <c r="AR1024" s="66"/>
      <c r="AS1024" s="66"/>
      <c r="AT1024" s="81"/>
      <c r="AU1024" s="81"/>
      <c r="AV1024" s="81"/>
      <c r="AW1024" s="81"/>
      <c r="AX1024" s="83">
        <f>SUM(Prog_23[[#This Row],[ADIANTAMENTO]]+Prog_23[[#This Row],[SALDO]]+Prog_23[[#This Row],[MARGEM]]+Prog_23[[#This Row],[ESTADIA 1]])</f>
        <v>0</v>
      </c>
      <c r="AY10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24" s="81"/>
      <c r="BA1024" s="81"/>
      <c r="BB1024" s="81">
        <f>Prog_23[[#This Row],[VLR NF]]*0.1%</f>
        <v>0</v>
      </c>
      <c r="BC1024" s="81">
        <f>Prog_23[[#This Row],[VLR NF]]*0.05%</f>
        <v>0</v>
      </c>
      <c r="BD1024" s="81"/>
      <c r="BE1024" s="81"/>
      <c r="BF1024" s="81"/>
      <c r="BG1024" s="81"/>
      <c r="BH1024" s="81"/>
      <c r="BI1024" s="81"/>
      <c r="BJ1024" s="81"/>
      <c r="BK1024" s="81"/>
      <c r="BL1024" s="81"/>
      <c r="BM1024" s="81"/>
      <c r="BN1024" s="66"/>
      <c r="BO1024" s="66"/>
      <c r="BP1024" s="66"/>
      <c r="BQ1024" s="66" t="str">
        <f>PROPER(TEXT(Prog_23[[#This Row],[PROGRAMAÇÃO CLIENTE]],"mmm"))</f>
        <v>Jan</v>
      </c>
      <c r="BR1024" s="66">
        <f>YEAR(Prog_23[[#This Row],[PROGRAMAÇÃO CLIENTE]])</f>
        <v>1900</v>
      </c>
    </row>
    <row r="1025" spans="1:70" x14ac:dyDescent="0.25">
      <c r="A1025" s="200">
        <f>Prog_23[[#This Row],[CONTEINER]]</f>
        <v>0</v>
      </c>
      <c r="B1025" s="86"/>
      <c r="C10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25" s="44"/>
      <c r="E1025" s="66"/>
      <c r="F1025" s="66"/>
      <c r="G1025" s="66"/>
      <c r="H1025" s="44"/>
      <c r="I1025" s="44"/>
      <c r="J1025" s="66"/>
      <c r="K1025" s="66"/>
      <c r="L1025" s="66"/>
      <c r="M1025" s="66"/>
      <c r="N1025" s="66">
        <f>SUM(Prog_23[[#This Row],[TARA]]+Prog_23[[#This Row],[PESO]])</f>
        <v>0</v>
      </c>
      <c r="O1025" s="44"/>
      <c r="P1025" s="66"/>
      <c r="Q1025" s="66"/>
      <c r="R1025" s="66"/>
      <c r="S1025" s="66"/>
      <c r="T1025" s="138" t="str">
        <f>IFERROR(LOOKUP($S1025,MOTORISTAS!$D$3:$D$916,MOTORISTAS!E$3:$E$916),"")</f>
        <v/>
      </c>
      <c r="U1025" s="138" t="str">
        <f>IFERROR(LOOKUP($S1025,MOTORISTAS!$D$3:$D$916,MOTORISTAS!F$3:$F$916),"")</f>
        <v/>
      </c>
      <c r="V1025" s="66"/>
      <c r="W1025" s="66"/>
      <c r="X1025" s="66"/>
      <c r="Y1025" s="66"/>
      <c r="Z1025" s="66"/>
      <c r="AA1025" s="66"/>
      <c r="AB1025" s="66"/>
      <c r="AC1025" s="66"/>
      <c r="AD1025" s="66"/>
      <c r="AE1025" s="66"/>
      <c r="AF1025" s="44"/>
      <c r="AG1025" s="254">
        <f>Prog_23[[#This Row],[SAÍDA DO CLIENTE]]-Prog_23[[#This Row],[PROGRAMAÇÃO CLIENTE]]</f>
        <v>0</v>
      </c>
      <c r="AH1025" s="44"/>
      <c r="AI1025" s="66"/>
      <c r="AJ1025" s="66"/>
      <c r="AK1025" s="66"/>
      <c r="AL1025" s="66"/>
      <c r="AM1025" s="66"/>
      <c r="AN1025" s="83"/>
      <c r="AO1025" s="83"/>
      <c r="AP1025" s="83"/>
      <c r="AQ1025" s="66"/>
      <c r="AR1025" s="66"/>
      <c r="AS1025" s="66"/>
      <c r="AT1025" s="81"/>
      <c r="AU1025" s="81"/>
      <c r="AV1025" s="81"/>
      <c r="AW1025" s="81"/>
      <c r="AX1025" s="83">
        <f>SUM(Prog_23[[#This Row],[ADIANTAMENTO]]+Prog_23[[#This Row],[SALDO]]+Prog_23[[#This Row],[MARGEM]]+Prog_23[[#This Row],[ESTADIA 1]])</f>
        <v>0</v>
      </c>
      <c r="AY10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25" s="81"/>
      <c r="BA1025" s="81"/>
      <c r="BB1025" s="81">
        <f>Prog_23[[#This Row],[VLR NF]]*0.1%</f>
        <v>0</v>
      </c>
      <c r="BC1025" s="81">
        <f>Prog_23[[#This Row],[VLR NF]]*0.05%</f>
        <v>0</v>
      </c>
      <c r="BD1025" s="81"/>
      <c r="BE1025" s="81"/>
      <c r="BF1025" s="81"/>
      <c r="BG1025" s="81"/>
      <c r="BH1025" s="81"/>
      <c r="BI1025" s="81"/>
      <c r="BJ1025" s="81"/>
      <c r="BK1025" s="81"/>
      <c r="BL1025" s="81"/>
      <c r="BM1025" s="81"/>
      <c r="BN1025" s="66"/>
      <c r="BO1025" s="66"/>
      <c r="BP1025" s="66"/>
      <c r="BQ1025" s="66" t="str">
        <f>PROPER(TEXT(Prog_23[[#This Row],[PROGRAMAÇÃO CLIENTE]],"mmm"))</f>
        <v>Jan</v>
      </c>
      <c r="BR1025" s="66">
        <f>YEAR(Prog_23[[#This Row],[PROGRAMAÇÃO CLIENTE]])</f>
        <v>1900</v>
      </c>
    </row>
    <row r="1026" spans="1:70" x14ac:dyDescent="0.25">
      <c r="A1026" s="201">
        <f>Prog_23[[#This Row],[CONTEINER]]</f>
        <v>0</v>
      </c>
      <c r="B1026" s="86"/>
      <c r="C10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26" s="44"/>
      <c r="E1026" s="66"/>
      <c r="F1026" s="66"/>
      <c r="G1026" s="66"/>
      <c r="H1026" s="44"/>
      <c r="I1026" s="44"/>
      <c r="J1026" s="66"/>
      <c r="K1026" s="66"/>
      <c r="L1026" s="66"/>
      <c r="M1026" s="66"/>
      <c r="N1026" s="66">
        <f>SUM(Prog_23[[#This Row],[TARA]]+Prog_23[[#This Row],[PESO]])</f>
        <v>0</v>
      </c>
      <c r="O1026" s="44"/>
      <c r="P1026" s="66"/>
      <c r="Q1026" s="66"/>
      <c r="R1026" s="66"/>
      <c r="S1026" s="66"/>
      <c r="T1026" s="138" t="str">
        <f>IFERROR(LOOKUP($S1026,MOTORISTAS!$D$3:$D$916,MOTORISTAS!E$3:$E$916),"")</f>
        <v/>
      </c>
      <c r="U1026" s="138" t="str">
        <f>IFERROR(LOOKUP($S1026,MOTORISTAS!$D$3:$D$916,MOTORISTAS!F$3:$F$916),"")</f>
        <v/>
      </c>
      <c r="V1026" s="66"/>
      <c r="W1026" s="66"/>
      <c r="X1026" s="66"/>
      <c r="Y1026" s="66"/>
      <c r="Z1026" s="66"/>
      <c r="AA1026" s="66"/>
      <c r="AB1026" s="66"/>
      <c r="AC1026" s="66"/>
      <c r="AD1026" s="66"/>
      <c r="AE1026" s="66"/>
      <c r="AF1026" s="44"/>
      <c r="AG1026" s="254">
        <f>Prog_23[[#This Row],[SAÍDA DO CLIENTE]]-Prog_23[[#This Row],[PROGRAMAÇÃO CLIENTE]]</f>
        <v>0</v>
      </c>
      <c r="AH1026" s="44"/>
      <c r="AI1026" s="66"/>
      <c r="AJ1026" s="66"/>
      <c r="AK1026" s="66"/>
      <c r="AL1026" s="66"/>
      <c r="AM1026" s="66"/>
      <c r="AN1026" s="83"/>
      <c r="AO1026" s="83"/>
      <c r="AP1026" s="83"/>
      <c r="AQ1026" s="66"/>
      <c r="AR1026" s="66"/>
      <c r="AS1026" s="66"/>
      <c r="AT1026" s="81"/>
      <c r="AU1026" s="81"/>
      <c r="AV1026" s="81"/>
      <c r="AW1026" s="81"/>
      <c r="AX1026" s="83">
        <f>SUM(Prog_23[[#This Row],[ADIANTAMENTO]]+Prog_23[[#This Row],[SALDO]]+Prog_23[[#This Row],[MARGEM]]+Prog_23[[#This Row],[ESTADIA 1]])</f>
        <v>0</v>
      </c>
      <c r="AY10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26" s="81"/>
      <c r="BA1026" s="81"/>
      <c r="BB1026" s="81">
        <f>Prog_23[[#This Row],[VLR NF]]*0.1%</f>
        <v>0</v>
      </c>
      <c r="BC1026" s="81">
        <f>Prog_23[[#This Row],[VLR NF]]*0.05%</f>
        <v>0</v>
      </c>
      <c r="BD1026" s="81"/>
      <c r="BE1026" s="81"/>
      <c r="BF1026" s="81"/>
      <c r="BG1026" s="81"/>
      <c r="BH1026" s="81"/>
      <c r="BI1026" s="81"/>
      <c r="BJ1026" s="81"/>
      <c r="BK1026" s="81"/>
      <c r="BL1026" s="81"/>
      <c r="BM1026" s="81"/>
      <c r="BN1026" s="66"/>
      <c r="BO1026" s="66"/>
      <c r="BP1026" s="66"/>
      <c r="BQ1026" s="66" t="str">
        <f>PROPER(TEXT(Prog_23[[#This Row],[PROGRAMAÇÃO CLIENTE]],"mmm"))</f>
        <v>Jan</v>
      </c>
      <c r="BR1026" s="66">
        <f>YEAR(Prog_23[[#This Row],[PROGRAMAÇÃO CLIENTE]])</f>
        <v>1900</v>
      </c>
    </row>
    <row r="1027" spans="1:70" x14ac:dyDescent="0.25">
      <c r="A1027" s="200">
        <f>Prog_23[[#This Row],[CONTEINER]]</f>
        <v>0</v>
      </c>
      <c r="B1027" s="86"/>
      <c r="C10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27" s="44"/>
      <c r="E1027" s="66"/>
      <c r="F1027" s="66"/>
      <c r="G1027" s="66"/>
      <c r="H1027" s="44"/>
      <c r="I1027" s="44"/>
      <c r="J1027" s="66"/>
      <c r="K1027" s="66"/>
      <c r="L1027" s="66"/>
      <c r="M1027" s="66"/>
      <c r="N1027" s="66">
        <f>SUM(Prog_23[[#This Row],[TARA]]+Prog_23[[#This Row],[PESO]])</f>
        <v>0</v>
      </c>
      <c r="O1027" s="44"/>
      <c r="P1027" s="66"/>
      <c r="Q1027" s="66"/>
      <c r="R1027" s="66"/>
      <c r="S1027" s="66"/>
      <c r="T1027" s="138" t="str">
        <f>IFERROR(LOOKUP($S1027,MOTORISTAS!$D$3:$D$916,MOTORISTAS!E$3:$E$916),"")</f>
        <v/>
      </c>
      <c r="U1027" s="138" t="str">
        <f>IFERROR(LOOKUP($S1027,MOTORISTAS!$D$3:$D$916,MOTORISTAS!F$3:$F$916),"")</f>
        <v/>
      </c>
      <c r="V1027" s="66"/>
      <c r="W1027" s="66"/>
      <c r="X1027" s="66"/>
      <c r="Y1027" s="66"/>
      <c r="Z1027" s="66"/>
      <c r="AA1027" s="66"/>
      <c r="AB1027" s="66"/>
      <c r="AC1027" s="66"/>
      <c r="AD1027" s="66"/>
      <c r="AE1027" s="66"/>
      <c r="AF1027" s="44"/>
      <c r="AG1027" s="254">
        <f>Prog_23[[#This Row],[SAÍDA DO CLIENTE]]-Prog_23[[#This Row],[PROGRAMAÇÃO CLIENTE]]</f>
        <v>0</v>
      </c>
      <c r="AH1027" s="44"/>
      <c r="AI1027" s="66"/>
      <c r="AJ1027" s="66"/>
      <c r="AK1027" s="66"/>
      <c r="AL1027" s="66"/>
      <c r="AM1027" s="66"/>
      <c r="AN1027" s="83"/>
      <c r="AO1027" s="83"/>
      <c r="AP1027" s="83"/>
      <c r="AQ1027" s="66"/>
      <c r="AR1027" s="66"/>
      <c r="AS1027" s="66"/>
      <c r="AT1027" s="81"/>
      <c r="AU1027" s="81"/>
      <c r="AV1027" s="81"/>
      <c r="AW1027" s="81"/>
      <c r="AX1027" s="83">
        <f>SUM(Prog_23[[#This Row],[ADIANTAMENTO]]+Prog_23[[#This Row],[SALDO]]+Prog_23[[#This Row],[MARGEM]]+Prog_23[[#This Row],[ESTADIA 1]])</f>
        <v>0</v>
      </c>
      <c r="AY10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27" s="81"/>
      <c r="BA1027" s="81"/>
      <c r="BB1027" s="81">
        <f>Prog_23[[#This Row],[VLR NF]]*0.1%</f>
        <v>0</v>
      </c>
      <c r="BC1027" s="81">
        <f>Prog_23[[#This Row],[VLR NF]]*0.05%</f>
        <v>0</v>
      </c>
      <c r="BD1027" s="81"/>
      <c r="BE1027" s="81"/>
      <c r="BF1027" s="81"/>
      <c r="BG1027" s="81"/>
      <c r="BH1027" s="81"/>
      <c r="BI1027" s="81"/>
      <c r="BJ1027" s="81"/>
      <c r="BK1027" s="81"/>
      <c r="BL1027" s="81"/>
      <c r="BM1027" s="81"/>
      <c r="BN1027" s="66"/>
      <c r="BO1027" s="66"/>
      <c r="BP1027" s="66"/>
      <c r="BQ1027" s="66" t="str">
        <f>PROPER(TEXT(Prog_23[[#This Row],[PROGRAMAÇÃO CLIENTE]],"mmm"))</f>
        <v>Jan</v>
      </c>
      <c r="BR1027" s="66">
        <f>YEAR(Prog_23[[#This Row],[PROGRAMAÇÃO CLIENTE]])</f>
        <v>1900</v>
      </c>
    </row>
    <row r="1028" spans="1:70" x14ac:dyDescent="0.25">
      <c r="A1028" s="201">
        <f>Prog_23[[#This Row],[CONTEINER]]</f>
        <v>0</v>
      </c>
      <c r="B1028" s="86"/>
      <c r="C10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28" s="44"/>
      <c r="E1028" s="66"/>
      <c r="F1028" s="66"/>
      <c r="G1028" s="66"/>
      <c r="H1028" s="44"/>
      <c r="I1028" s="44"/>
      <c r="J1028" s="66"/>
      <c r="K1028" s="66"/>
      <c r="L1028" s="66"/>
      <c r="M1028" s="66"/>
      <c r="N1028" s="66">
        <f>SUM(Prog_23[[#This Row],[TARA]]+Prog_23[[#This Row],[PESO]])</f>
        <v>0</v>
      </c>
      <c r="O1028" s="44"/>
      <c r="P1028" s="66"/>
      <c r="Q1028" s="66"/>
      <c r="R1028" s="66"/>
      <c r="S1028" s="66"/>
      <c r="T1028" s="138" t="str">
        <f>IFERROR(LOOKUP($S1028,MOTORISTAS!$D$3:$D$916,MOTORISTAS!E$3:$E$916),"")</f>
        <v/>
      </c>
      <c r="U1028" s="138" t="str">
        <f>IFERROR(LOOKUP($S1028,MOTORISTAS!$D$3:$D$916,MOTORISTAS!F$3:$F$916),"")</f>
        <v/>
      </c>
      <c r="V1028" s="66"/>
      <c r="W1028" s="66"/>
      <c r="X1028" s="66"/>
      <c r="Y1028" s="66"/>
      <c r="Z1028" s="66"/>
      <c r="AA1028" s="66"/>
      <c r="AB1028" s="66"/>
      <c r="AC1028" s="66"/>
      <c r="AD1028" s="66"/>
      <c r="AE1028" s="66"/>
      <c r="AF1028" s="44"/>
      <c r="AG1028" s="254">
        <f>Prog_23[[#This Row],[SAÍDA DO CLIENTE]]-Prog_23[[#This Row],[PROGRAMAÇÃO CLIENTE]]</f>
        <v>0</v>
      </c>
      <c r="AH1028" s="44"/>
      <c r="AI1028" s="66"/>
      <c r="AJ1028" s="66"/>
      <c r="AK1028" s="66"/>
      <c r="AL1028" s="66"/>
      <c r="AM1028" s="66"/>
      <c r="AN1028" s="83"/>
      <c r="AO1028" s="83"/>
      <c r="AP1028" s="83"/>
      <c r="AQ1028" s="66"/>
      <c r="AR1028" s="66"/>
      <c r="AS1028" s="66"/>
      <c r="AT1028" s="81"/>
      <c r="AU1028" s="81"/>
      <c r="AV1028" s="81"/>
      <c r="AW1028" s="81"/>
      <c r="AX1028" s="83">
        <f>SUM(Prog_23[[#This Row],[ADIANTAMENTO]]+Prog_23[[#This Row],[SALDO]]+Prog_23[[#This Row],[MARGEM]]+Prog_23[[#This Row],[ESTADIA 1]])</f>
        <v>0</v>
      </c>
      <c r="AY10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28" s="81"/>
      <c r="BA1028" s="81"/>
      <c r="BB1028" s="81">
        <f>Prog_23[[#This Row],[VLR NF]]*0.1%</f>
        <v>0</v>
      </c>
      <c r="BC1028" s="81">
        <f>Prog_23[[#This Row],[VLR NF]]*0.05%</f>
        <v>0</v>
      </c>
      <c r="BD1028" s="81"/>
      <c r="BE1028" s="81"/>
      <c r="BF1028" s="81"/>
      <c r="BG1028" s="81"/>
      <c r="BH1028" s="81"/>
      <c r="BI1028" s="81"/>
      <c r="BJ1028" s="81"/>
      <c r="BK1028" s="81"/>
      <c r="BL1028" s="81"/>
      <c r="BM1028" s="81"/>
      <c r="BN1028" s="66"/>
      <c r="BO1028" s="66"/>
      <c r="BP1028" s="66"/>
      <c r="BQ1028" s="66" t="str">
        <f>PROPER(TEXT(Prog_23[[#This Row],[PROGRAMAÇÃO CLIENTE]],"mmm"))</f>
        <v>Jan</v>
      </c>
      <c r="BR1028" s="66">
        <f>YEAR(Prog_23[[#This Row],[PROGRAMAÇÃO CLIENTE]])</f>
        <v>1900</v>
      </c>
    </row>
    <row r="1029" spans="1:70" x14ac:dyDescent="0.25">
      <c r="A1029" s="200">
        <f>Prog_23[[#This Row],[CONTEINER]]</f>
        <v>0</v>
      </c>
      <c r="B1029" s="86"/>
      <c r="C10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29" s="44"/>
      <c r="E1029" s="66"/>
      <c r="F1029" s="66"/>
      <c r="G1029" s="66"/>
      <c r="H1029" s="44"/>
      <c r="I1029" s="44"/>
      <c r="J1029" s="66"/>
      <c r="K1029" s="66"/>
      <c r="L1029" s="66"/>
      <c r="M1029" s="66"/>
      <c r="N1029" s="66">
        <f>SUM(Prog_23[[#This Row],[TARA]]+Prog_23[[#This Row],[PESO]])</f>
        <v>0</v>
      </c>
      <c r="O1029" s="44"/>
      <c r="P1029" s="66"/>
      <c r="Q1029" s="66"/>
      <c r="R1029" s="66"/>
      <c r="S1029" s="66"/>
      <c r="T1029" s="138" t="str">
        <f>IFERROR(LOOKUP($S1029,MOTORISTAS!$D$3:$D$916,MOTORISTAS!E$3:$E$916),"")</f>
        <v/>
      </c>
      <c r="U1029" s="138" t="str">
        <f>IFERROR(LOOKUP($S1029,MOTORISTAS!$D$3:$D$916,MOTORISTAS!F$3:$F$916),"")</f>
        <v/>
      </c>
      <c r="V1029" s="66"/>
      <c r="W1029" s="66"/>
      <c r="X1029" s="66"/>
      <c r="Y1029" s="66"/>
      <c r="Z1029" s="66"/>
      <c r="AA1029" s="66"/>
      <c r="AB1029" s="66"/>
      <c r="AC1029" s="66"/>
      <c r="AD1029" s="66"/>
      <c r="AE1029" s="66"/>
      <c r="AF1029" s="44"/>
      <c r="AG1029" s="254">
        <f>Prog_23[[#This Row],[SAÍDA DO CLIENTE]]-Prog_23[[#This Row],[PROGRAMAÇÃO CLIENTE]]</f>
        <v>0</v>
      </c>
      <c r="AH1029" s="44"/>
      <c r="AI1029" s="66"/>
      <c r="AJ1029" s="66"/>
      <c r="AK1029" s="66"/>
      <c r="AL1029" s="66"/>
      <c r="AM1029" s="66"/>
      <c r="AN1029" s="83"/>
      <c r="AO1029" s="83"/>
      <c r="AP1029" s="83"/>
      <c r="AQ1029" s="66"/>
      <c r="AR1029" s="66"/>
      <c r="AS1029" s="66"/>
      <c r="AT1029" s="81"/>
      <c r="AU1029" s="81"/>
      <c r="AV1029" s="81"/>
      <c r="AW1029" s="81"/>
      <c r="AX1029" s="83">
        <f>SUM(Prog_23[[#This Row],[ADIANTAMENTO]]+Prog_23[[#This Row],[SALDO]]+Prog_23[[#This Row],[MARGEM]]+Prog_23[[#This Row],[ESTADIA 1]])</f>
        <v>0</v>
      </c>
      <c r="AY10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29" s="81"/>
      <c r="BA1029" s="81"/>
      <c r="BB1029" s="81">
        <f>Prog_23[[#This Row],[VLR NF]]*0.1%</f>
        <v>0</v>
      </c>
      <c r="BC1029" s="81">
        <f>Prog_23[[#This Row],[VLR NF]]*0.05%</f>
        <v>0</v>
      </c>
      <c r="BD1029" s="81"/>
      <c r="BE1029" s="81"/>
      <c r="BF1029" s="81"/>
      <c r="BG1029" s="81"/>
      <c r="BH1029" s="81"/>
      <c r="BI1029" s="81"/>
      <c r="BJ1029" s="81"/>
      <c r="BK1029" s="81"/>
      <c r="BL1029" s="81"/>
      <c r="BM1029" s="81"/>
      <c r="BN1029" s="66"/>
      <c r="BO1029" s="66"/>
      <c r="BP1029" s="66"/>
      <c r="BQ1029" s="66" t="str">
        <f>PROPER(TEXT(Prog_23[[#This Row],[PROGRAMAÇÃO CLIENTE]],"mmm"))</f>
        <v>Jan</v>
      </c>
      <c r="BR1029" s="66">
        <f>YEAR(Prog_23[[#This Row],[PROGRAMAÇÃO CLIENTE]])</f>
        <v>1900</v>
      </c>
    </row>
    <row r="1030" spans="1:70" x14ac:dyDescent="0.25">
      <c r="A1030" s="201">
        <f>Prog_23[[#This Row],[CONTEINER]]</f>
        <v>0</v>
      </c>
      <c r="B1030" s="86"/>
      <c r="C10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30" s="44"/>
      <c r="E1030" s="66"/>
      <c r="F1030" s="66"/>
      <c r="G1030" s="66"/>
      <c r="H1030" s="44"/>
      <c r="I1030" s="44"/>
      <c r="J1030" s="66"/>
      <c r="K1030" s="66"/>
      <c r="L1030" s="66"/>
      <c r="M1030" s="66"/>
      <c r="N1030" s="66">
        <f>SUM(Prog_23[[#This Row],[TARA]]+Prog_23[[#This Row],[PESO]])</f>
        <v>0</v>
      </c>
      <c r="O1030" s="44"/>
      <c r="P1030" s="66"/>
      <c r="Q1030" s="66"/>
      <c r="R1030" s="66"/>
      <c r="S1030" s="66"/>
      <c r="T1030" s="138" t="str">
        <f>IFERROR(LOOKUP($S1030,MOTORISTAS!$D$3:$D$916,MOTORISTAS!E$3:$E$916),"")</f>
        <v/>
      </c>
      <c r="U1030" s="138" t="str">
        <f>IFERROR(LOOKUP($S1030,MOTORISTAS!$D$3:$D$916,MOTORISTAS!F$3:$F$916),"")</f>
        <v/>
      </c>
      <c r="V1030" s="66"/>
      <c r="W1030" s="66"/>
      <c r="X1030" s="66"/>
      <c r="Y1030" s="66"/>
      <c r="Z1030" s="66"/>
      <c r="AA1030" s="66"/>
      <c r="AB1030" s="66"/>
      <c r="AC1030" s="66"/>
      <c r="AD1030" s="66"/>
      <c r="AE1030" s="66"/>
      <c r="AF1030" s="44"/>
      <c r="AG1030" s="254">
        <f>Prog_23[[#This Row],[SAÍDA DO CLIENTE]]-Prog_23[[#This Row],[PROGRAMAÇÃO CLIENTE]]</f>
        <v>0</v>
      </c>
      <c r="AH1030" s="44"/>
      <c r="AI1030" s="66"/>
      <c r="AJ1030" s="66"/>
      <c r="AK1030" s="66"/>
      <c r="AL1030" s="66"/>
      <c r="AM1030" s="66"/>
      <c r="AN1030" s="83"/>
      <c r="AO1030" s="83"/>
      <c r="AP1030" s="83"/>
      <c r="AQ1030" s="66"/>
      <c r="AR1030" s="66"/>
      <c r="AS1030" s="66"/>
      <c r="AT1030" s="81"/>
      <c r="AU1030" s="81"/>
      <c r="AV1030" s="81"/>
      <c r="AW1030" s="81"/>
      <c r="AX1030" s="83">
        <f>SUM(Prog_23[[#This Row],[ADIANTAMENTO]]+Prog_23[[#This Row],[SALDO]]+Prog_23[[#This Row],[MARGEM]]+Prog_23[[#This Row],[ESTADIA 1]])</f>
        <v>0</v>
      </c>
      <c r="AY10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30" s="81"/>
      <c r="BA1030" s="81"/>
      <c r="BB1030" s="81">
        <f>Prog_23[[#This Row],[VLR NF]]*0.1%</f>
        <v>0</v>
      </c>
      <c r="BC1030" s="81">
        <f>Prog_23[[#This Row],[VLR NF]]*0.05%</f>
        <v>0</v>
      </c>
      <c r="BD1030" s="81"/>
      <c r="BE1030" s="81"/>
      <c r="BF1030" s="81"/>
      <c r="BG1030" s="81"/>
      <c r="BH1030" s="81"/>
      <c r="BI1030" s="81"/>
      <c r="BJ1030" s="81"/>
      <c r="BK1030" s="81"/>
      <c r="BL1030" s="81"/>
      <c r="BM1030" s="81"/>
      <c r="BN1030" s="66"/>
      <c r="BO1030" s="66"/>
      <c r="BP1030" s="66"/>
      <c r="BQ1030" s="66" t="str">
        <f>PROPER(TEXT(Prog_23[[#This Row],[PROGRAMAÇÃO CLIENTE]],"mmm"))</f>
        <v>Jan</v>
      </c>
      <c r="BR1030" s="66">
        <f>YEAR(Prog_23[[#This Row],[PROGRAMAÇÃO CLIENTE]])</f>
        <v>1900</v>
      </c>
    </row>
    <row r="1031" spans="1:70" x14ac:dyDescent="0.25">
      <c r="A1031" s="200">
        <f>Prog_23[[#This Row],[CONTEINER]]</f>
        <v>0</v>
      </c>
      <c r="B1031" s="86"/>
      <c r="C10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31" s="44"/>
      <c r="E1031" s="66"/>
      <c r="F1031" s="66"/>
      <c r="G1031" s="66"/>
      <c r="H1031" s="44"/>
      <c r="I1031" s="44"/>
      <c r="J1031" s="66"/>
      <c r="K1031" s="66"/>
      <c r="L1031" s="66"/>
      <c r="M1031" s="66"/>
      <c r="N1031" s="66">
        <f>SUM(Prog_23[[#This Row],[TARA]]+Prog_23[[#This Row],[PESO]])</f>
        <v>0</v>
      </c>
      <c r="O1031" s="44"/>
      <c r="P1031" s="66"/>
      <c r="Q1031" s="66"/>
      <c r="R1031" s="66"/>
      <c r="S1031" s="66"/>
      <c r="T1031" s="138" t="str">
        <f>IFERROR(LOOKUP($S1031,MOTORISTAS!$D$3:$D$916,MOTORISTAS!E$3:$E$916),"")</f>
        <v/>
      </c>
      <c r="U1031" s="138" t="str">
        <f>IFERROR(LOOKUP($S1031,MOTORISTAS!$D$3:$D$916,MOTORISTAS!F$3:$F$916),"")</f>
        <v/>
      </c>
      <c r="V1031" s="66"/>
      <c r="W1031" s="66"/>
      <c r="X1031" s="66"/>
      <c r="Y1031" s="66"/>
      <c r="Z1031" s="66"/>
      <c r="AA1031" s="66"/>
      <c r="AB1031" s="66"/>
      <c r="AC1031" s="66"/>
      <c r="AD1031" s="66"/>
      <c r="AE1031" s="66"/>
      <c r="AF1031" s="44"/>
      <c r="AG1031" s="254">
        <f>Prog_23[[#This Row],[SAÍDA DO CLIENTE]]-Prog_23[[#This Row],[PROGRAMAÇÃO CLIENTE]]</f>
        <v>0</v>
      </c>
      <c r="AH1031" s="44"/>
      <c r="AI1031" s="66"/>
      <c r="AJ1031" s="66"/>
      <c r="AK1031" s="66"/>
      <c r="AL1031" s="66"/>
      <c r="AM1031" s="66"/>
      <c r="AN1031" s="83"/>
      <c r="AO1031" s="83"/>
      <c r="AP1031" s="83"/>
      <c r="AQ1031" s="66"/>
      <c r="AR1031" s="66"/>
      <c r="AS1031" s="66"/>
      <c r="AT1031" s="81"/>
      <c r="AU1031" s="81"/>
      <c r="AV1031" s="81"/>
      <c r="AW1031" s="81"/>
      <c r="AX1031" s="83">
        <f>SUM(Prog_23[[#This Row],[ADIANTAMENTO]]+Prog_23[[#This Row],[SALDO]]+Prog_23[[#This Row],[MARGEM]]+Prog_23[[#This Row],[ESTADIA 1]])</f>
        <v>0</v>
      </c>
      <c r="AY10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31" s="81"/>
      <c r="BA1031" s="81"/>
      <c r="BB1031" s="81">
        <f>Prog_23[[#This Row],[VLR NF]]*0.1%</f>
        <v>0</v>
      </c>
      <c r="BC1031" s="81">
        <f>Prog_23[[#This Row],[VLR NF]]*0.05%</f>
        <v>0</v>
      </c>
      <c r="BD1031" s="81"/>
      <c r="BE1031" s="81"/>
      <c r="BF1031" s="81"/>
      <c r="BG1031" s="81"/>
      <c r="BH1031" s="81"/>
      <c r="BI1031" s="81"/>
      <c r="BJ1031" s="81"/>
      <c r="BK1031" s="81"/>
      <c r="BL1031" s="81"/>
      <c r="BM1031" s="81"/>
      <c r="BN1031" s="66"/>
      <c r="BO1031" s="66"/>
      <c r="BP1031" s="66"/>
      <c r="BQ1031" s="66" t="str">
        <f>PROPER(TEXT(Prog_23[[#This Row],[PROGRAMAÇÃO CLIENTE]],"mmm"))</f>
        <v>Jan</v>
      </c>
      <c r="BR1031" s="66">
        <f>YEAR(Prog_23[[#This Row],[PROGRAMAÇÃO CLIENTE]])</f>
        <v>1900</v>
      </c>
    </row>
    <row r="1032" spans="1:70" x14ac:dyDescent="0.25">
      <c r="A1032" s="201">
        <f>Prog_23[[#This Row],[CONTEINER]]</f>
        <v>0</v>
      </c>
      <c r="B1032" s="86"/>
      <c r="C10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32" s="44"/>
      <c r="E1032" s="66"/>
      <c r="F1032" s="66"/>
      <c r="G1032" s="66"/>
      <c r="H1032" s="44"/>
      <c r="I1032" s="44"/>
      <c r="J1032" s="66"/>
      <c r="K1032" s="66"/>
      <c r="L1032" s="66"/>
      <c r="M1032" s="66"/>
      <c r="N1032" s="66">
        <f>SUM(Prog_23[[#This Row],[TARA]]+Prog_23[[#This Row],[PESO]])</f>
        <v>0</v>
      </c>
      <c r="O1032" s="44"/>
      <c r="P1032" s="66"/>
      <c r="Q1032" s="66"/>
      <c r="R1032" s="66"/>
      <c r="S1032" s="66"/>
      <c r="T1032" s="138" t="str">
        <f>IFERROR(LOOKUP($S1032,MOTORISTAS!$D$3:$D$916,MOTORISTAS!E$3:$E$916),"")</f>
        <v/>
      </c>
      <c r="U1032" s="138" t="str">
        <f>IFERROR(LOOKUP($S1032,MOTORISTAS!$D$3:$D$916,MOTORISTAS!F$3:$F$916),"")</f>
        <v/>
      </c>
      <c r="V1032" s="66"/>
      <c r="W1032" s="66"/>
      <c r="X1032" s="66"/>
      <c r="Y1032" s="66"/>
      <c r="Z1032" s="66"/>
      <c r="AA1032" s="66"/>
      <c r="AB1032" s="66"/>
      <c r="AC1032" s="66"/>
      <c r="AD1032" s="66"/>
      <c r="AE1032" s="66"/>
      <c r="AF1032" s="44"/>
      <c r="AG1032" s="254">
        <f>Prog_23[[#This Row],[SAÍDA DO CLIENTE]]-Prog_23[[#This Row],[PROGRAMAÇÃO CLIENTE]]</f>
        <v>0</v>
      </c>
      <c r="AH1032" s="44"/>
      <c r="AI1032" s="66"/>
      <c r="AJ1032" s="66"/>
      <c r="AK1032" s="66"/>
      <c r="AL1032" s="66"/>
      <c r="AM1032" s="66"/>
      <c r="AN1032" s="83"/>
      <c r="AO1032" s="83"/>
      <c r="AP1032" s="83"/>
      <c r="AQ1032" s="66"/>
      <c r="AR1032" s="66"/>
      <c r="AS1032" s="66"/>
      <c r="AT1032" s="81"/>
      <c r="AU1032" s="81"/>
      <c r="AV1032" s="81"/>
      <c r="AW1032" s="81"/>
      <c r="AX1032" s="83">
        <f>SUM(Prog_23[[#This Row],[ADIANTAMENTO]]+Prog_23[[#This Row],[SALDO]]+Prog_23[[#This Row],[MARGEM]]+Prog_23[[#This Row],[ESTADIA 1]])</f>
        <v>0</v>
      </c>
      <c r="AY10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32" s="81"/>
      <c r="BA1032" s="81"/>
      <c r="BB1032" s="81">
        <f>Prog_23[[#This Row],[VLR NF]]*0.1%</f>
        <v>0</v>
      </c>
      <c r="BC1032" s="81">
        <f>Prog_23[[#This Row],[VLR NF]]*0.05%</f>
        <v>0</v>
      </c>
      <c r="BD1032" s="81"/>
      <c r="BE1032" s="81"/>
      <c r="BF1032" s="81"/>
      <c r="BG1032" s="81"/>
      <c r="BH1032" s="81"/>
      <c r="BI1032" s="81"/>
      <c r="BJ1032" s="81"/>
      <c r="BK1032" s="81"/>
      <c r="BL1032" s="81"/>
      <c r="BM1032" s="81"/>
      <c r="BN1032" s="66"/>
      <c r="BO1032" s="66"/>
      <c r="BP1032" s="66"/>
      <c r="BQ1032" s="66" t="str">
        <f>PROPER(TEXT(Prog_23[[#This Row],[PROGRAMAÇÃO CLIENTE]],"mmm"))</f>
        <v>Jan</v>
      </c>
      <c r="BR1032" s="66">
        <f>YEAR(Prog_23[[#This Row],[PROGRAMAÇÃO CLIENTE]])</f>
        <v>1900</v>
      </c>
    </row>
    <row r="1033" spans="1:70" x14ac:dyDescent="0.25">
      <c r="A1033" s="200">
        <f>Prog_23[[#This Row],[CONTEINER]]</f>
        <v>0</v>
      </c>
      <c r="B1033" s="86"/>
      <c r="C10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33" s="44"/>
      <c r="E1033" s="66"/>
      <c r="F1033" s="66"/>
      <c r="G1033" s="66"/>
      <c r="H1033" s="44"/>
      <c r="I1033" s="44"/>
      <c r="J1033" s="66"/>
      <c r="K1033" s="66"/>
      <c r="L1033" s="66"/>
      <c r="M1033" s="66"/>
      <c r="N1033" s="66">
        <f>SUM(Prog_23[[#This Row],[TARA]]+Prog_23[[#This Row],[PESO]])</f>
        <v>0</v>
      </c>
      <c r="O1033" s="44"/>
      <c r="P1033" s="66"/>
      <c r="Q1033" s="66"/>
      <c r="R1033" s="66"/>
      <c r="S1033" s="66"/>
      <c r="T1033" s="138" t="str">
        <f>IFERROR(LOOKUP($S1033,MOTORISTAS!$D$3:$D$916,MOTORISTAS!E$3:$E$916),"")</f>
        <v/>
      </c>
      <c r="U1033" s="138" t="str">
        <f>IFERROR(LOOKUP($S1033,MOTORISTAS!$D$3:$D$916,MOTORISTAS!F$3:$F$916),"")</f>
        <v/>
      </c>
      <c r="V1033" s="66"/>
      <c r="W1033" s="66"/>
      <c r="X1033" s="66"/>
      <c r="Y1033" s="66"/>
      <c r="Z1033" s="66"/>
      <c r="AA1033" s="66"/>
      <c r="AB1033" s="66"/>
      <c r="AC1033" s="66"/>
      <c r="AD1033" s="66"/>
      <c r="AE1033" s="66"/>
      <c r="AF1033" s="44"/>
      <c r="AG1033" s="254">
        <f>Prog_23[[#This Row],[SAÍDA DO CLIENTE]]-Prog_23[[#This Row],[PROGRAMAÇÃO CLIENTE]]</f>
        <v>0</v>
      </c>
      <c r="AH1033" s="44"/>
      <c r="AI1033" s="66"/>
      <c r="AJ1033" s="66"/>
      <c r="AK1033" s="66"/>
      <c r="AL1033" s="66"/>
      <c r="AM1033" s="66"/>
      <c r="AN1033" s="83"/>
      <c r="AO1033" s="83"/>
      <c r="AP1033" s="83"/>
      <c r="AQ1033" s="66"/>
      <c r="AR1033" s="66"/>
      <c r="AS1033" s="66"/>
      <c r="AT1033" s="81"/>
      <c r="AU1033" s="81"/>
      <c r="AV1033" s="81"/>
      <c r="AW1033" s="81"/>
      <c r="AX1033" s="83">
        <f>SUM(Prog_23[[#This Row],[ADIANTAMENTO]]+Prog_23[[#This Row],[SALDO]]+Prog_23[[#This Row],[MARGEM]]+Prog_23[[#This Row],[ESTADIA 1]])</f>
        <v>0</v>
      </c>
      <c r="AY10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33" s="81"/>
      <c r="BA1033" s="81"/>
      <c r="BB1033" s="81">
        <f>Prog_23[[#This Row],[VLR NF]]*0.1%</f>
        <v>0</v>
      </c>
      <c r="BC1033" s="81">
        <f>Prog_23[[#This Row],[VLR NF]]*0.05%</f>
        <v>0</v>
      </c>
      <c r="BD1033" s="81"/>
      <c r="BE1033" s="81"/>
      <c r="BF1033" s="81"/>
      <c r="BG1033" s="81"/>
      <c r="BH1033" s="81"/>
      <c r="BI1033" s="81"/>
      <c r="BJ1033" s="81"/>
      <c r="BK1033" s="81"/>
      <c r="BL1033" s="81"/>
      <c r="BM1033" s="81"/>
      <c r="BN1033" s="66"/>
      <c r="BO1033" s="66"/>
      <c r="BP1033" s="66"/>
      <c r="BQ1033" s="66" t="str">
        <f>PROPER(TEXT(Prog_23[[#This Row],[PROGRAMAÇÃO CLIENTE]],"mmm"))</f>
        <v>Jan</v>
      </c>
      <c r="BR1033" s="66">
        <f>YEAR(Prog_23[[#This Row],[PROGRAMAÇÃO CLIENTE]])</f>
        <v>1900</v>
      </c>
    </row>
    <row r="1034" spans="1:70" x14ac:dyDescent="0.25">
      <c r="A1034" s="201">
        <f>Prog_23[[#This Row],[CONTEINER]]</f>
        <v>0</v>
      </c>
      <c r="B1034" s="86"/>
      <c r="C10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34" s="44"/>
      <c r="E1034" s="66"/>
      <c r="F1034" s="66"/>
      <c r="G1034" s="66"/>
      <c r="H1034" s="44"/>
      <c r="I1034" s="44"/>
      <c r="J1034" s="66"/>
      <c r="K1034" s="66"/>
      <c r="L1034" s="66"/>
      <c r="M1034" s="66"/>
      <c r="N1034" s="66">
        <f>SUM(Prog_23[[#This Row],[TARA]]+Prog_23[[#This Row],[PESO]])</f>
        <v>0</v>
      </c>
      <c r="O1034" s="44"/>
      <c r="P1034" s="66"/>
      <c r="Q1034" s="66"/>
      <c r="R1034" s="66"/>
      <c r="S1034" s="66"/>
      <c r="T1034" s="138" t="str">
        <f>IFERROR(LOOKUP($S1034,MOTORISTAS!$D$3:$D$916,MOTORISTAS!E$3:$E$916),"")</f>
        <v/>
      </c>
      <c r="U1034" s="138" t="str">
        <f>IFERROR(LOOKUP($S1034,MOTORISTAS!$D$3:$D$916,MOTORISTAS!F$3:$F$916),"")</f>
        <v/>
      </c>
      <c r="V1034" s="66"/>
      <c r="W1034" s="66"/>
      <c r="X1034" s="66"/>
      <c r="Y1034" s="66"/>
      <c r="Z1034" s="66"/>
      <c r="AA1034" s="66"/>
      <c r="AB1034" s="66"/>
      <c r="AC1034" s="66"/>
      <c r="AD1034" s="66"/>
      <c r="AE1034" s="66"/>
      <c r="AF1034" s="44"/>
      <c r="AG1034" s="254">
        <f>Prog_23[[#This Row],[SAÍDA DO CLIENTE]]-Prog_23[[#This Row],[PROGRAMAÇÃO CLIENTE]]</f>
        <v>0</v>
      </c>
      <c r="AH1034" s="44"/>
      <c r="AI1034" s="66"/>
      <c r="AJ1034" s="66"/>
      <c r="AK1034" s="66"/>
      <c r="AL1034" s="66"/>
      <c r="AM1034" s="66"/>
      <c r="AN1034" s="83"/>
      <c r="AO1034" s="83"/>
      <c r="AP1034" s="83"/>
      <c r="AQ1034" s="66"/>
      <c r="AR1034" s="66"/>
      <c r="AS1034" s="66"/>
      <c r="AT1034" s="81"/>
      <c r="AU1034" s="81"/>
      <c r="AV1034" s="81"/>
      <c r="AW1034" s="81"/>
      <c r="AX1034" s="83">
        <f>SUM(Prog_23[[#This Row],[ADIANTAMENTO]]+Prog_23[[#This Row],[SALDO]]+Prog_23[[#This Row],[MARGEM]]+Prog_23[[#This Row],[ESTADIA 1]])</f>
        <v>0</v>
      </c>
      <c r="AY10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34" s="81"/>
      <c r="BA1034" s="81"/>
      <c r="BB1034" s="81">
        <f>Prog_23[[#This Row],[VLR NF]]*0.1%</f>
        <v>0</v>
      </c>
      <c r="BC1034" s="81">
        <f>Prog_23[[#This Row],[VLR NF]]*0.05%</f>
        <v>0</v>
      </c>
      <c r="BD1034" s="81"/>
      <c r="BE1034" s="81"/>
      <c r="BF1034" s="81"/>
      <c r="BG1034" s="81"/>
      <c r="BH1034" s="81"/>
      <c r="BI1034" s="81"/>
      <c r="BJ1034" s="81"/>
      <c r="BK1034" s="81"/>
      <c r="BL1034" s="81"/>
      <c r="BM1034" s="81"/>
      <c r="BN1034" s="66"/>
      <c r="BO1034" s="66"/>
      <c r="BP1034" s="66"/>
      <c r="BQ1034" s="66" t="str">
        <f>PROPER(TEXT(Prog_23[[#This Row],[PROGRAMAÇÃO CLIENTE]],"mmm"))</f>
        <v>Jan</v>
      </c>
      <c r="BR1034" s="66">
        <f>YEAR(Prog_23[[#This Row],[PROGRAMAÇÃO CLIENTE]])</f>
        <v>1900</v>
      </c>
    </row>
    <row r="1035" spans="1:70" x14ac:dyDescent="0.25">
      <c r="A1035" s="200">
        <f>Prog_23[[#This Row],[CONTEINER]]</f>
        <v>0</v>
      </c>
      <c r="B1035" s="86"/>
      <c r="C10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35" s="44"/>
      <c r="E1035" s="66"/>
      <c r="F1035" s="66"/>
      <c r="G1035" s="66"/>
      <c r="H1035" s="44"/>
      <c r="I1035" s="44"/>
      <c r="J1035" s="66"/>
      <c r="K1035" s="66"/>
      <c r="L1035" s="66"/>
      <c r="M1035" s="66"/>
      <c r="N1035" s="66">
        <f>SUM(Prog_23[[#This Row],[TARA]]+Prog_23[[#This Row],[PESO]])</f>
        <v>0</v>
      </c>
      <c r="O1035" s="44"/>
      <c r="P1035" s="66"/>
      <c r="Q1035" s="66"/>
      <c r="R1035" s="66"/>
      <c r="S1035" s="66"/>
      <c r="T1035" s="138" t="str">
        <f>IFERROR(LOOKUP($S1035,MOTORISTAS!$D$3:$D$916,MOTORISTAS!E$3:$E$916),"")</f>
        <v/>
      </c>
      <c r="U1035" s="138" t="str">
        <f>IFERROR(LOOKUP($S1035,MOTORISTAS!$D$3:$D$916,MOTORISTAS!F$3:$F$916),"")</f>
        <v/>
      </c>
      <c r="V1035" s="66"/>
      <c r="W1035" s="66"/>
      <c r="X1035" s="66"/>
      <c r="Y1035" s="66"/>
      <c r="Z1035" s="66"/>
      <c r="AA1035" s="66"/>
      <c r="AB1035" s="66"/>
      <c r="AC1035" s="66"/>
      <c r="AD1035" s="66"/>
      <c r="AE1035" s="66"/>
      <c r="AF1035" s="44"/>
      <c r="AG1035" s="254">
        <f>Prog_23[[#This Row],[SAÍDA DO CLIENTE]]-Prog_23[[#This Row],[PROGRAMAÇÃO CLIENTE]]</f>
        <v>0</v>
      </c>
      <c r="AH1035" s="44"/>
      <c r="AI1035" s="66"/>
      <c r="AJ1035" s="66"/>
      <c r="AK1035" s="66"/>
      <c r="AL1035" s="66"/>
      <c r="AM1035" s="66"/>
      <c r="AN1035" s="83"/>
      <c r="AO1035" s="83"/>
      <c r="AP1035" s="83"/>
      <c r="AQ1035" s="66"/>
      <c r="AR1035" s="66"/>
      <c r="AS1035" s="66"/>
      <c r="AT1035" s="81"/>
      <c r="AU1035" s="81"/>
      <c r="AV1035" s="81"/>
      <c r="AW1035" s="81"/>
      <c r="AX1035" s="83">
        <f>SUM(Prog_23[[#This Row],[ADIANTAMENTO]]+Prog_23[[#This Row],[SALDO]]+Prog_23[[#This Row],[MARGEM]]+Prog_23[[#This Row],[ESTADIA 1]])</f>
        <v>0</v>
      </c>
      <c r="AY10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35" s="81"/>
      <c r="BA1035" s="81"/>
      <c r="BB1035" s="81">
        <f>Prog_23[[#This Row],[VLR NF]]*0.1%</f>
        <v>0</v>
      </c>
      <c r="BC1035" s="81">
        <f>Prog_23[[#This Row],[VLR NF]]*0.05%</f>
        <v>0</v>
      </c>
      <c r="BD1035" s="81"/>
      <c r="BE1035" s="81"/>
      <c r="BF1035" s="81"/>
      <c r="BG1035" s="81"/>
      <c r="BH1035" s="81"/>
      <c r="BI1035" s="81"/>
      <c r="BJ1035" s="81"/>
      <c r="BK1035" s="81"/>
      <c r="BL1035" s="81"/>
      <c r="BM1035" s="81"/>
      <c r="BN1035" s="66"/>
      <c r="BO1035" s="66"/>
      <c r="BP1035" s="66"/>
      <c r="BQ1035" s="66" t="str">
        <f>PROPER(TEXT(Prog_23[[#This Row],[PROGRAMAÇÃO CLIENTE]],"mmm"))</f>
        <v>Jan</v>
      </c>
      <c r="BR1035" s="66">
        <f>YEAR(Prog_23[[#This Row],[PROGRAMAÇÃO CLIENTE]])</f>
        <v>1900</v>
      </c>
    </row>
    <row r="1036" spans="1:70" x14ac:dyDescent="0.25">
      <c r="A1036" s="201">
        <f>Prog_23[[#This Row],[CONTEINER]]</f>
        <v>0</v>
      </c>
      <c r="B1036" s="86"/>
      <c r="C10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36" s="44"/>
      <c r="E1036" s="66"/>
      <c r="F1036" s="66"/>
      <c r="G1036" s="66"/>
      <c r="H1036" s="44"/>
      <c r="I1036" s="44"/>
      <c r="J1036" s="66"/>
      <c r="K1036" s="66"/>
      <c r="L1036" s="66"/>
      <c r="M1036" s="66"/>
      <c r="N1036" s="66">
        <f>SUM(Prog_23[[#This Row],[TARA]]+Prog_23[[#This Row],[PESO]])</f>
        <v>0</v>
      </c>
      <c r="O1036" s="44"/>
      <c r="P1036" s="66"/>
      <c r="Q1036" s="66"/>
      <c r="R1036" s="66"/>
      <c r="S1036" s="66"/>
      <c r="T1036" s="138" t="str">
        <f>IFERROR(LOOKUP($S1036,MOTORISTAS!$D$3:$D$916,MOTORISTAS!E$3:$E$916),"")</f>
        <v/>
      </c>
      <c r="U1036" s="138" t="str">
        <f>IFERROR(LOOKUP($S1036,MOTORISTAS!$D$3:$D$916,MOTORISTAS!F$3:$F$916),"")</f>
        <v/>
      </c>
      <c r="V1036" s="66"/>
      <c r="W1036" s="66"/>
      <c r="X1036" s="66"/>
      <c r="Y1036" s="66"/>
      <c r="Z1036" s="66"/>
      <c r="AA1036" s="66"/>
      <c r="AB1036" s="66"/>
      <c r="AC1036" s="66"/>
      <c r="AD1036" s="66"/>
      <c r="AE1036" s="66"/>
      <c r="AF1036" s="44"/>
      <c r="AG1036" s="254">
        <f>Prog_23[[#This Row],[SAÍDA DO CLIENTE]]-Prog_23[[#This Row],[PROGRAMAÇÃO CLIENTE]]</f>
        <v>0</v>
      </c>
      <c r="AH1036" s="44"/>
      <c r="AI1036" s="66"/>
      <c r="AJ1036" s="66"/>
      <c r="AK1036" s="66"/>
      <c r="AL1036" s="66"/>
      <c r="AM1036" s="66"/>
      <c r="AN1036" s="83"/>
      <c r="AO1036" s="83"/>
      <c r="AP1036" s="83"/>
      <c r="AQ1036" s="66"/>
      <c r="AR1036" s="66"/>
      <c r="AS1036" s="66"/>
      <c r="AT1036" s="81"/>
      <c r="AU1036" s="81"/>
      <c r="AV1036" s="81"/>
      <c r="AW1036" s="81"/>
      <c r="AX1036" s="83">
        <f>SUM(Prog_23[[#This Row],[ADIANTAMENTO]]+Prog_23[[#This Row],[SALDO]]+Prog_23[[#This Row],[MARGEM]]+Prog_23[[#This Row],[ESTADIA 1]])</f>
        <v>0</v>
      </c>
      <c r="AY10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36" s="81"/>
      <c r="BA1036" s="81"/>
      <c r="BB1036" s="81">
        <f>Prog_23[[#This Row],[VLR NF]]*0.1%</f>
        <v>0</v>
      </c>
      <c r="BC1036" s="81">
        <f>Prog_23[[#This Row],[VLR NF]]*0.05%</f>
        <v>0</v>
      </c>
      <c r="BD1036" s="81"/>
      <c r="BE1036" s="81"/>
      <c r="BF1036" s="81"/>
      <c r="BG1036" s="81"/>
      <c r="BH1036" s="81"/>
      <c r="BI1036" s="81"/>
      <c r="BJ1036" s="81"/>
      <c r="BK1036" s="81"/>
      <c r="BL1036" s="81"/>
      <c r="BM1036" s="81"/>
      <c r="BN1036" s="66"/>
      <c r="BO1036" s="66"/>
      <c r="BP1036" s="66"/>
      <c r="BQ1036" s="66" t="str">
        <f>PROPER(TEXT(Prog_23[[#This Row],[PROGRAMAÇÃO CLIENTE]],"mmm"))</f>
        <v>Jan</v>
      </c>
      <c r="BR1036" s="66">
        <f>YEAR(Prog_23[[#This Row],[PROGRAMAÇÃO CLIENTE]])</f>
        <v>1900</v>
      </c>
    </row>
    <row r="1037" spans="1:70" x14ac:dyDescent="0.25">
      <c r="A1037" s="200">
        <f>Prog_23[[#This Row],[CONTEINER]]</f>
        <v>0</v>
      </c>
      <c r="B1037" s="86"/>
      <c r="C10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37" s="44"/>
      <c r="E1037" s="66"/>
      <c r="F1037" s="66"/>
      <c r="G1037" s="66"/>
      <c r="H1037" s="44"/>
      <c r="I1037" s="44"/>
      <c r="J1037" s="66"/>
      <c r="K1037" s="66"/>
      <c r="L1037" s="66"/>
      <c r="M1037" s="66"/>
      <c r="N1037" s="66">
        <f>SUM(Prog_23[[#This Row],[TARA]]+Prog_23[[#This Row],[PESO]])</f>
        <v>0</v>
      </c>
      <c r="O1037" s="44"/>
      <c r="P1037" s="66"/>
      <c r="Q1037" s="66"/>
      <c r="R1037" s="66"/>
      <c r="S1037" s="66"/>
      <c r="T1037" s="138" t="str">
        <f>IFERROR(LOOKUP($S1037,MOTORISTAS!$D$3:$D$916,MOTORISTAS!E$3:$E$916),"")</f>
        <v/>
      </c>
      <c r="U1037" s="138" t="str">
        <f>IFERROR(LOOKUP($S1037,MOTORISTAS!$D$3:$D$916,MOTORISTAS!F$3:$F$916),"")</f>
        <v/>
      </c>
      <c r="V1037" s="66"/>
      <c r="W1037" s="66"/>
      <c r="X1037" s="66"/>
      <c r="Y1037" s="66"/>
      <c r="Z1037" s="66"/>
      <c r="AA1037" s="66"/>
      <c r="AB1037" s="66"/>
      <c r="AC1037" s="66"/>
      <c r="AD1037" s="66"/>
      <c r="AE1037" s="66"/>
      <c r="AF1037" s="44"/>
      <c r="AG1037" s="254">
        <f>Prog_23[[#This Row],[SAÍDA DO CLIENTE]]-Prog_23[[#This Row],[PROGRAMAÇÃO CLIENTE]]</f>
        <v>0</v>
      </c>
      <c r="AH1037" s="44"/>
      <c r="AI1037" s="66"/>
      <c r="AJ1037" s="66"/>
      <c r="AK1037" s="66"/>
      <c r="AL1037" s="66"/>
      <c r="AM1037" s="66"/>
      <c r="AN1037" s="83"/>
      <c r="AO1037" s="83"/>
      <c r="AP1037" s="83"/>
      <c r="AQ1037" s="66"/>
      <c r="AR1037" s="66"/>
      <c r="AS1037" s="66"/>
      <c r="AT1037" s="81"/>
      <c r="AU1037" s="81"/>
      <c r="AV1037" s="81"/>
      <c r="AW1037" s="81"/>
      <c r="AX1037" s="83">
        <f>SUM(Prog_23[[#This Row],[ADIANTAMENTO]]+Prog_23[[#This Row],[SALDO]]+Prog_23[[#This Row],[MARGEM]]+Prog_23[[#This Row],[ESTADIA 1]])</f>
        <v>0</v>
      </c>
      <c r="AY10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37" s="81"/>
      <c r="BA1037" s="81"/>
      <c r="BB1037" s="81">
        <f>Prog_23[[#This Row],[VLR NF]]*0.1%</f>
        <v>0</v>
      </c>
      <c r="BC1037" s="81">
        <f>Prog_23[[#This Row],[VLR NF]]*0.05%</f>
        <v>0</v>
      </c>
      <c r="BD1037" s="81"/>
      <c r="BE1037" s="81"/>
      <c r="BF1037" s="81"/>
      <c r="BG1037" s="81"/>
      <c r="BH1037" s="81"/>
      <c r="BI1037" s="81"/>
      <c r="BJ1037" s="81"/>
      <c r="BK1037" s="81"/>
      <c r="BL1037" s="81"/>
      <c r="BM1037" s="81"/>
      <c r="BN1037" s="66"/>
      <c r="BO1037" s="66"/>
      <c r="BP1037" s="66"/>
      <c r="BQ1037" s="66" t="str">
        <f>PROPER(TEXT(Prog_23[[#This Row],[PROGRAMAÇÃO CLIENTE]],"mmm"))</f>
        <v>Jan</v>
      </c>
      <c r="BR1037" s="66">
        <f>YEAR(Prog_23[[#This Row],[PROGRAMAÇÃO CLIENTE]])</f>
        <v>1900</v>
      </c>
    </row>
    <row r="1038" spans="1:70" x14ac:dyDescent="0.25">
      <c r="A1038" s="201">
        <f>Prog_23[[#This Row],[CONTEINER]]</f>
        <v>0</v>
      </c>
      <c r="B1038" s="86"/>
      <c r="C10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38" s="44"/>
      <c r="E1038" s="66"/>
      <c r="F1038" s="66"/>
      <c r="G1038" s="66"/>
      <c r="H1038" s="44"/>
      <c r="I1038" s="44"/>
      <c r="J1038" s="66"/>
      <c r="K1038" s="66"/>
      <c r="L1038" s="66"/>
      <c r="M1038" s="66"/>
      <c r="N1038" s="66">
        <f>SUM(Prog_23[[#This Row],[TARA]]+Prog_23[[#This Row],[PESO]])</f>
        <v>0</v>
      </c>
      <c r="O1038" s="44"/>
      <c r="P1038" s="66"/>
      <c r="Q1038" s="66"/>
      <c r="R1038" s="66"/>
      <c r="S1038" s="66"/>
      <c r="T1038" s="138" t="str">
        <f>IFERROR(LOOKUP($S1038,MOTORISTAS!$D$3:$D$916,MOTORISTAS!E$3:$E$916),"")</f>
        <v/>
      </c>
      <c r="U1038" s="138" t="str">
        <f>IFERROR(LOOKUP($S1038,MOTORISTAS!$D$3:$D$916,MOTORISTAS!F$3:$F$916),"")</f>
        <v/>
      </c>
      <c r="V1038" s="66"/>
      <c r="W1038" s="66"/>
      <c r="X1038" s="66"/>
      <c r="Y1038" s="66"/>
      <c r="Z1038" s="66"/>
      <c r="AA1038" s="66"/>
      <c r="AB1038" s="66"/>
      <c r="AC1038" s="66"/>
      <c r="AD1038" s="66"/>
      <c r="AE1038" s="66"/>
      <c r="AF1038" s="44"/>
      <c r="AG1038" s="254">
        <f>Prog_23[[#This Row],[SAÍDA DO CLIENTE]]-Prog_23[[#This Row],[PROGRAMAÇÃO CLIENTE]]</f>
        <v>0</v>
      </c>
      <c r="AH1038" s="44"/>
      <c r="AI1038" s="66"/>
      <c r="AJ1038" s="66"/>
      <c r="AK1038" s="66"/>
      <c r="AL1038" s="66"/>
      <c r="AM1038" s="66"/>
      <c r="AN1038" s="83"/>
      <c r="AO1038" s="83"/>
      <c r="AP1038" s="83"/>
      <c r="AQ1038" s="66"/>
      <c r="AR1038" s="66"/>
      <c r="AS1038" s="66"/>
      <c r="AT1038" s="81"/>
      <c r="AU1038" s="81"/>
      <c r="AV1038" s="81"/>
      <c r="AW1038" s="81"/>
      <c r="AX1038" s="83">
        <f>SUM(Prog_23[[#This Row],[ADIANTAMENTO]]+Prog_23[[#This Row],[SALDO]]+Prog_23[[#This Row],[MARGEM]]+Prog_23[[#This Row],[ESTADIA 1]])</f>
        <v>0</v>
      </c>
      <c r="AY10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38" s="81"/>
      <c r="BA1038" s="81"/>
      <c r="BB1038" s="81">
        <f>Prog_23[[#This Row],[VLR NF]]*0.1%</f>
        <v>0</v>
      </c>
      <c r="BC1038" s="81">
        <f>Prog_23[[#This Row],[VLR NF]]*0.05%</f>
        <v>0</v>
      </c>
      <c r="BD1038" s="81"/>
      <c r="BE1038" s="81"/>
      <c r="BF1038" s="81"/>
      <c r="BG1038" s="81"/>
      <c r="BH1038" s="81"/>
      <c r="BI1038" s="81"/>
      <c r="BJ1038" s="81"/>
      <c r="BK1038" s="81"/>
      <c r="BL1038" s="81"/>
      <c r="BM1038" s="81"/>
      <c r="BN1038" s="66"/>
      <c r="BO1038" s="66"/>
      <c r="BP1038" s="66"/>
      <c r="BQ1038" s="66" t="str">
        <f>PROPER(TEXT(Prog_23[[#This Row],[PROGRAMAÇÃO CLIENTE]],"mmm"))</f>
        <v>Jan</v>
      </c>
      <c r="BR1038" s="66">
        <f>YEAR(Prog_23[[#This Row],[PROGRAMAÇÃO CLIENTE]])</f>
        <v>1900</v>
      </c>
    </row>
    <row r="1039" spans="1:70" x14ac:dyDescent="0.25">
      <c r="A1039" s="200">
        <f>Prog_23[[#This Row],[CONTEINER]]</f>
        <v>0</v>
      </c>
      <c r="B1039" s="86"/>
      <c r="C10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39" s="44"/>
      <c r="E1039" s="66"/>
      <c r="F1039" s="66"/>
      <c r="G1039" s="66"/>
      <c r="H1039" s="44"/>
      <c r="I1039" s="44"/>
      <c r="J1039" s="66"/>
      <c r="K1039" s="66"/>
      <c r="L1039" s="66"/>
      <c r="M1039" s="66"/>
      <c r="N1039" s="66">
        <f>SUM(Prog_23[[#This Row],[TARA]]+Prog_23[[#This Row],[PESO]])</f>
        <v>0</v>
      </c>
      <c r="O1039" s="44"/>
      <c r="P1039" s="66"/>
      <c r="Q1039" s="66"/>
      <c r="R1039" s="66"/>
      <c r="S1039" s="66"/>
      <c r="T1039" s="138" t="str">
        <f>IFERROR(LOOKUP($S1039,MOTORISTAS!$D$3:$D$916,MOTORISTAS!E$3:$E$916),"")</f>
        <v/>
      </c>
      <c r="U1039" s="138" t="str">
        <f>IFERROR(LOOKUP($S1039,MOTORISTAS!$D$3:$D$916,MOTORISTAS!F$3:$F$916),"")</f>
        <v/>
      </c>
      <c r="V1039" s="66"/>
      <c r="W1039" s="66"/>
      <c r="X1039" s="66"/>
      <c r="Y1039" s="66"/>
      <c r="Z1039" s="66"/>
      <c r="AA1039" s="66"/>
      <c r="AB1039" s="66"/>
      <c r="AC1039" s="66"/>
      <c r="AD1039" s="66"/>
      <c r="AE1039" s="66"/>
      <c r="AF1039" s="44"/>
      <c r="AG1039" s="254">
        <f>Prog_23[[#This Row],[SAÍDA DO CLIENTE]]-Prog_23[[#This Row],[PROGRAMAÇÃO CLIENTE]]</f>
        <v>0</v>
      </c>
      <c r="AH1039" s="44"/>
      <c r="AI1039" s="66"/>
      <c r="AJ1039" s="66"/>
      <c r="AK1039" s="66"/>
      <c r="AL1039" s="66"/>
      <c r="AM1039" s="66"/>
      <c r="AN1039" s="83"/>
      <c r="AO1039" s="83"/>
      <c r="AP1039" s="83"/>
      <c r="AQ1039" s="66"/>
      <c r="AR1039" s="66"/>
      <c r="AS1039" s="66"/>
      <c r="AT1039" s="81"/>
      <c r="AU1039" s="81"/>
      <c r="AV1039" s="81"/>
      <c r="AW1039" s="81"/>
      <c r="AX1039" s="83">
        <f>SUM(Prog_23[[#This Row],[ADIANTAMENTO]]+Prog_23[[#This Row],[SALDO]]+Prog_23[[#This Row],[MARGEM]]+Prog_23[[#This Row],[ESTADIA 1]])</f>
        <v>0</v>
      </c>
      <c r="AY10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39" s="81"/>
      <c r="BA1039" s="81"/>
      <c r="BB1039" s="81">
        <f>Prog_23[[#This Row],[VLR NF]]*0.1%</f>
        <v>0</v>
      </c>
      <c r="BC1039" s="81">
        <f>Prog_23[[#This Row],[VLR NF]]*0.05%</f>
        <v>0</v>
      </c>
      <c r="BD1039" s="81"/>
      <c r="BE1039" s="81"/>
      <c r="BF1039" s="81"/>
      <c r="BG1039" s="81"/>
      <c r="BH1039" s="81"/>
      <c r="BI1039" s="81"/>
      <c r="BJ1039" s="81"/>
      <c r="BK1039" s="81"/>
      <c r="BL1039" s="81"/>
      <c r="BM1039" s="81"/>
      <c r="BN1039" s="66"/>
      <c r="BO1039" s="66"/>
      <c r="BP1039" s="66"/>
      <c r="BQ1039" s="66" t="str">
        <f>PROPER(TEXT(Prog_23[[#This Row],[PROGRAMAÇÃO CLIENTE]],"mmm"))</f>
        <v>Jan</v>
      </c>
      <c r="BR1039" s="66">
        <f>YEAR(Prog_23[[#This Row],[PROGRAMAÇÃO CLIENTE]])</f>
        <v>1900</v>
      </c>
    </row>
    <row r="1040" spans="1:70" x14ac:dyDescent="0.25">
      <c r="A1040" s="201">
        <f>Prog_23[[#This Row],[CONTEINER]]</f>
        <v>0</v>
      </c>
      <c r="B1040" s="86"/>
      <c r="C10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40" s="44"/>
      <c r="E1040" s="66"/>
      <c r="F1040" s="66"/>
      <c r="G1040" s="66"/>
      <c r="H1040" s="44"/>
      <c r="I1040" s="44"/>
      <c r="J1040" s="66"/>
      <c r="K1040" s="66"/>
      <c r="L1040" s="66"/>
      <c r="M1040" s="66"/>
      <c r="N1040" s="66">
        <f>SUM(Prog_23[[#This Row],[TARA]]+Prog_23[[#This Row],[PESO]])</f>
        <v>0</v>
      </c>
      <c r="O1040" s="44"/>
      <c r="P1040" s="66"/>
      <c r="Q1040" s="66"/>
      <c r="R1040" s="66"/>
      <c r="S1040" s="66"/>
      <c r="T1040" s="138" t="str">
        <f>IFERROR(LOOKUP($S1040,MOTORISTAS!$D$3:$D$916,MOTORISTAS!E$3:$E$916),"")</f>
        <v/>
      </c>
      <c r="U1040" s="138" t="str">
        <f>IFERROR(LOOKUP($S1040,MOTORISTAS!$D$3:$D$916,MOTORISTAS!F$3:$F$916),"")</f>
        <v/>
      </c>
      <c r="V1040" s="66"/>
      <c r="W1040" s="66"/>
      <c r="X1040" s="66"/>
      <c r="Y1040" s="66"/>
      <c r="Z1040" s="66"/>
      <c r="AA1040" s="66"/>
      <c r="AB1040" s="66"/>
      <c r="AC1040" s="66"/>
      <c r="AD1040" s="66"/>
      <c r="AE1040" s="66"/>
      <c r="AF1040" s="44"/>
      <c r="AG1040" s="254">
        <f>Prog_23[[#This Row],[SAÍDA DO CLIENTE]]-Prog_23[[#This Row],[PROGRAMAÇÃO CLIENTE]]</f>
        <v>0</v>
      </c>
      <c r="AH1040" s="44"/>
      <c r="AI1040" s="66"/>
      <c r="AJ1040" s="66"/>
      <c r="AK1040" s="66"/>
      <c r="AL1040" s="66"/>
      <c r="AM1040" s="66"/>
      <c r="AN1040" s="83"/>
      <c r="AO1040" s="83"/>
      <c r="AP1040" s="83"/>
      <c r="AQ1040" s="66"/>
      <c r="AR1040" s="66"/>
      <c r="AS1040" s="66"/>
      <c r="AT1040" s="81"/>
      <c r="AU1040" s="81"/>
      <c r="AV1040" s="81"/>
      <c r="AW1040" s="81"/>
      <c r="AX1040" s="83">
        <f>SUM(Prog_23[[#This Row],[ADIANTAMENTO]]+Prog_23[[#This Row],[SALDO]]+Prog_23[[#This Row],[MARGEM]]+Prog_23[[#This Row],[ESTADIA 1]])</f>
        <v>0</v>
      </c>
      <c r="AY10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40" s="81"/>
      <c r="BA1040" s="81"/>
      <c r="BB1040" s="81">
        <f>Prog_23[[#This Row],[VLR NF]]*0.1%</f>
        <v>0</v>
      </c>
      <c r="BC1040" s="81">
        <f>Prog_23[[#This Row],[VLR NF]]*0.05%</f>
        <v>0</v>
      </c>
      <c r="BD1040" s="81"/>
      <c r="BE1040" s="81"/>
      <c r="BF1040" s="81"/>
      <c r="BG1040" s="81"/>
      <c r="BH1040" s="81"/>
      <c r="BI1040" s="81"/>
      <c r="BJ1040" s="81"/>
      <c r="BK1040" s="81"/>
      <c r="BL1040" s="81"/>
      <c r="BM1040" s="81"/>
      <c r="BN1040" s="66"/>
      <c r="BO1040" s="66"/>
      <c r="BP1040" s="66"/>
      <c r="BQ1040" s="66" t="str">
        <f>PROPER(TEXT(Prog_23[[#This Row],[PROGRAMAÇÃO CLIENTE]],"mmm"))</f>
        <v>Jan</v>
      </c>
      <c r="BR1040" s="66">
        <f>YEAR(Prog_23[[#This Row],[PROGRAMAÇÃO CLIENTE]])</f>
        <v>1900</v>
      </c>
    </row>
    <row r="1041" spans="1:70" x14ac:dyDescent="0.25">
      <c r="A1041" s="200">
        <f>Prog_23[[#This Row],[CONTEINER]]</f>
        <v>0</v>
      </c>
      <c r="B1041" s="86"/>
      <c r="C10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41" s="44"/>
      <c r="E1041" s="66"/>
      <c r="F1041" s="66"/>
      <c r="G1041" s="66"/>
      <c r="H1041" s="44"/>
      <c r="I1041" s="44"/>
      <c r="J1041" s="66"/>
      <c r="K1041" s="66"/>
      <c r="L1041" s="66"/>
      <c r="M1041" s="66"/>
      <c r="N1041" s="66">
        <f>SUM(Prog_23[[#This Row],[TARA]]+Prog_23[[#This Row],[PESO]])</f>
        <v>0</v>
      </c>
      <c r="O1041" s="44"/>
      <c r="P1041" s="66"/>
      <c r="Q1041" s="66"/>
      <c r="R1041" s="66"/>
      <c r="S1041" s="66"/>
      <c r="T1041" s="138" t="str">
        <f>IFERROR(LOOKUP($S1041,MOTORISTAS!$D$3:$D$916,MOTORISTAS!E$3:$E$916),"")</f>
        <v/>
      </c>
      <c r="U1041" s="138" t="str">
        <f>IFERROR(LOOKUP($S1041,MOTORISTAS!$D$3:$D$916,MOTORISTAS!F$3:$F$916),"")</f>
        <v/>
      </c>
      <c r="V1041" s="66"/>
      <c r="W1041" s="66"/>
      <c r="X1041" s="66"/>
      <c r="Y1041" s="66"/>
      <c r="Z1041" s="66"/>
      <c r="AA1041" s="66"/>
      <c r="AB1041" s="66"/>
      <c r="AC1041" s="66"/>
      <c r="AD1041" s="66"/>
      <c r="AE1041" s="66"/>
      <c r="AF1041" s="44"/>
      <c r="AG1041" s="254">
        <f>Prog_23[[#This Row],[SAÍDA DO CLIENTE]]-Prog_23[[#This Row],[PROGRAMAÇÃO CLIENTE]]</f>
        <v>0</v>
      </c>
      <c r="AH1041" s="44"/>
      <c r="AI1041" s="66"/>
      <c r="AJ1041" s="66"/>
      <c r="AK1041" s="66"/>
      <c r="AL1041" s="66"/>
      <c r="AM1041" s="66"/>
      <c r="AN1041" s="83"/>
      <c r="AO1041" s="83"/>
      <c r="AP1041" s="83"/>
      <c r="AQ1041" s="66"/>
      <c r="AR1041" s="66"/>
      <c r="AS1041" s="66"/>
      <c r="AT1041" s="81"/>
      <c r="AU1041" s="81"/>
      <c r="AV1041" s="81"/>
      <c r="AW1041" s="81"/>
      <c r="AX1041" s="83">
        <f>SUM(Prog_23[[#This Row],[ADIANTAMENTO]]+Prog_23[[#This Row],[SALDO]]+Prog_23[[#This Row],[MARGEM]]+Prog_23[[#This Row],[ESTADIA 1]])</f>
        <v>0</v>
      </c>
      <c r="AY10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41" s="81"/>
      <c r="BA1041" s="81"/>
      <c r="BB1041" s="81">
        <f>Prog_23[[#This Row],[VLR NF]]*0.1%</f>
        <v>0</v>
      </c>
      <c r="BC1041" s="81">
        <f>Prog_23[[#This Row],[VLR NF]]*0.05%</f>
        <v>0</v>
      </c>
      <c r="BD1041" s="81"/>
      <c r="BE1041" s="81"/>
      <c r="BF1041" s="81"/>
      <c r="BG1041" s="81"/>
      <c r="BH1041" s="81"/>
      <c r="BI1041" s="81"/>
      <c r="BJ1041" s="81"/>
      <c r="BK1041" s="81"/>
      <c r="BL1041" s="81"/>
      <c r="BM1041" s="81"/>
      <c r="BN1041" s="66"/>
      <c r="BO1041" s="66"/>
      <c r="BP1041" s="66"/>
      <c r="BQ1041" s="66" t="str">
        <f>PROPER(TEXT(Prog_23[[#This Row],[PROGRAMAÇÃO CLIENTE]],"mmm"))</f>
        <v>Jan</v>
      </c>
      <c r="BR1041" s="66">
        <f>YEAR(Prog_23[[#This Row],[PROGRAMAÇÃO CLIENTE]])</f>
        <v>1900</v>
      </c>
    </row>
    <row r="1042" spans="1:70" x14ac:dyDescent="0.25">
      <c r="A1042" s="201">
        <f>Prog_23[[#This Row],[CONTEINER]]</f>
        <v>0</v>
      </c>
      <c r="B1042" s="86"/>
      <c r="C10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42" s="44"/>
      <c r="E1042" s="66"/>
      <c r="F1042" s="66"/>
      <c r="G1042" s="66"/>
      <c r="H1042" s="44"/>
      <c r="I1042" s="44"/>
      <c r="J1042" s="66"/>
      <c r="K1042" s="66"/>
      <c r="L1042" s="66"/>
      <c r="M1042" s="66"/>
      <c r="N1042" s="66">
        <f>SUM(Prog_23[[#This Row],[TARA]]+Prog_23[[#This Row],[PESO]])</f>
        <v>0</v>
      </c>
      <c r="O1042" s="44"/>
      <c r="P1042" s="66"/>
      <c r="Q1042" s="66"/>
      <c r="R1042" s="66"/>
      <c r="S1042" s="66"/>
      <c r="T1042" s="138" t="str">
        <f>IFERROR(LOOKUP($S1042,MOTORISTAS!$D$3:$D$916,MOTORISTAS!E$3:$E$916),"")</f>
        <v/>
      </c>
      <c r="U1042" s="138" t="str">
        <f>IFERROR(LOOKUP($S1042,MOTORISTAS!$D$3:$D$916,MOTORISTAS!F$3:$F$916),"")</f>
        <v/>
      </c>
      <c r="V1042" s="66"/>
      <c r="W1042" s="66"/>
      <c r="X1042" s="66"/>
      <c r="Y1042" s="66"/>
      <c r="Z1042" s="66"/>
      <c r="AA1042" s="66"/>
      <c r="AB1042" s="66"/>
      <c r="AC1042" s="66"/>
      <c r="AD1042" s="66"/>
      <c r="AE1042" s="66"/>
      <c r="AF1042" s="44"/>
      <c r="AG1042" s="254">
        <f>Prog_23[[#This Row],[SAÍDA DO CLIENTE]]-Prog_23[[#This Row],[PROGRAMAÇÃO CLIENTE]]</f>
        <v>0</v>
      </c>
      <c r="AH1042" s="44"/>
      <c r="AI1042" s="66"/>
      <c r="AJ1042" s="66"/>
      <c r="AK1042" s="66"/>
      <c r="AL1042" s="66"/>
      <c r="AM1042" s="66"/>
      <c r="AN1042" s="83"/>
      <c r="AO1042" s="83"/>
      <c r="AP1042" s="83"/>
      <c r="AQ1042" s="66"/>
      <c r="AR1042" s="66"/>
      <c r="AS1042" s="66"/>
      <c r="AT1042" s="81"/>
      <c r="AU1042" s="81"/>
      <c r="AV1042" s="81"/>
      <c r="AW1042" s="81"/>
      <c r="AX1042" s="83">
        <f>SUM(Prog_23[[#This Row],[ADIANTAMENTO]]+Prog_23[[#This Row],[SALDO]]+Prog_23[[#This Row],[MARGEM]]+Prog_23[[#This Row],[ESTADIA 1]])</f>
        <v>0</v>
      </c>
      <c r="AY10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42" s="81"/>
      <c r="BA1042" s="81"/>
      <c r="BB1042" s="81">
        <f>Prog_23[[#This Row],[VLR NF]]*0.1%</f>
        <v>0</v>
      </c>
      <c r="BC1042" s="81">
        <f>Prog_23[[#This Row],[VLR NF]]*0.05%</f>
        <v>0</v>
      </c>
      <c r="BD1042" s="81"/>
      <c r="BE1042" s="81"/>
      <c r="BF1042" s="81"/>
      <c r="BG1042" s="81"/>
      <c r="BH1042" s="81"/>
      <c r="BI1042" s="81"/>
      <c r="BJ1042" s="81"/>
      <c r="BK1042" s="81"/>
      <c r="BL1042" s="81"/>
      <c r="BM1042" s="81"/>
      <c r="BN1042" s="66"/>
      <c r="BO1042" s="66"/>
      <c r="BP1042" s="66"/>
      <c r="BQ1042" s="66" t="str">
        <f>PROPER(TEXT(Prog_23[[#This Row],[PROGRAMAÇÃO CLIENTE]],"mmm"))</f>
        <v>Jan</v>
      </c>
      <c r="BR1042" s="66">
        <f>YEAR(Prog_23[[#This Row],[PROGRAMAÇÃO CLIENTE]])</f>
        <v>1900</v>
      </c>
    </row>
    <row r="1043" spans="1:70" x14ac:dyDescent="0.25">
      <c r="A1043" s="200">
        <f>Prog_23[[#This Row],[CONTEINER]]</f>
        <v>0</v>
      </c>
      <c r="B1043" s="86"/>
      <c r="C10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43" s="44"/>
      <c r="E1043" s="66"/>
      <c r="F1043" s="66"/>
      <c r="G1043" s="66"/>
      <c r="H1043" s="44"/>
      <c r="I1043" s="44"/>
      <c r="J1043" s="66"/>
      <c r="K1043" s="66"/>
      <c r="L1043" s="66"/>
      <c r="M1043" s="66"/>
      <c r="N1043" s="66">
        <f>SUM(Prog_23[[#This Row],[TARA]]+Prog_23[[#This Row],[PESO]])</f>
        <v>0</v>
      </c>
      <c r="O1043" s="44"/>
      <c r="P1043" s="66"/>
      <c r="Q1043" s="66"/>
      <c r="R1043" s="66"/>
      <c r="S1043" s="66"/>
      <c r="T1043" s="138" t="str">
        <f>IFERROR(LOOKUP($S1043,MOTORISTAS!$D$3:$D$916,MOTORISTAS!E$3:$E$916),"")</f>
        <v/>
      </c>
      <c r="U1043" s="138" t="str">
        <f>IFERROR(LOOKUP($S1043,MOTORISTAS!$D$3:$D$916,MOTORISTAS!F$3:$F$916),"")</f>
        <v/>
      </c>
      <c r="V1043" s="66"/>
      <c r="W1043" s="66"/>
      <c r="X1043" s="66"/>
      <c r="Y1043" s="66"/>
      <c r="Z1043" s="66"/>
      <c r="AA1043" s="66"/>
      <c r="AB1043" s="66"/>
      <c r="AC1043" s="66"/>
      <c r="AD1043" s="66"/>
      <c r="AE1043" s="66"/>
      <c r="AF1043" s="44"/>
      <c r="AG1043" s="254">
        <f>Prog_23[[#This Row],[SAÍDA DO CLIENTE]]-Prog_23[[#This Row],[PROGRAMAÇÃO CLIENTE]]</f>
        <v>0</v>
      </c>
      <c r="AH1043" s="44"/>
      <c r="AI1043" s="66"/>
      <c r="AJ1043" s="66"/>
      <c r="AK1043" s="66"/>
      <c r="AL1043" s="66"/>
      <c r="AM1043" s="66"/>
      <c r="AN1043" s="83"/>
      <c r="AO1043" s="83"/>
      <c r="AP1043" s="83"/>
      <c r="AQ1043" s="66"/>
      <c r="AR1043" s="66"/>
      <c r="AS1043" s="66"/>
      <c r="AT1043" s="81"/>
      <c r="AU1043" s="81"/>
      <c r="AV1043" s="81"/>
      <c r="AW1043" s="81"/>
      <c r="AX1043" s="83">
        <f>SUM(Prog_23[[#This Row],[ADIANTAMENTO]]+Prog_23[[#This Row],[SALDO]]+Prog_23[[#This Row],[MARGEM]]+Prog_23[[#This Row],[ESTADIA 1]])</f>
        <v>0</v>
      </c>
      <c r="AY10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43" s="81"/>
      <c r="BA1043" s="81"/>
      <c r="BB1043" s="81">
        <f>Prog_23[[#This Row],[VLR NF]]*0.1%</f>
        <v>0</v>
      </c>
      <c r="BC1043" s="81">
        <f>Prog_23[[#This Row],[VLR NF]]*0.05%</f>
        <v>0</v>
      </c>
      <c r="BD1043" s="81"/>
      <c r="BE1043" s="81"/>
      <c r="BF1043" s="81"/>
      <c r="BG1043" s="81"/>
      <c r="BH1043" s="81"/>
      <c r="BI1043" s="81"/>
      <c r="BJ1043" s="81"/>
      <c r="BK1043" s="81"/>
      <c r="BL1043" s="81"/>
      <c r="BM1043" s="81"/>
      <c r="BN1043" s="66"/>
      <c r="BO1043" s="66"/>
      <c r="BP1043" s="66"/>
      <c r="BQ1043" s="66" t="str">
        <f>PROPER(TEXT(Prog_23[[#This Row],[PROGRAMAÇÃO CLIENTE]],"mmm"))</f>
        <v>Jan</v>
      </c>
      <c r="BR1043" s="66">
        <f>YEAR(Prog_23[[#This Row],[PROGRAMAÇÃO CLIENTE]])</f>
        <v>1900</v>
      </c>
    </row>
    <row r="1044" spans="1:70" x14ac:dyDescent="0.25">
      <c r="A1044" s="201">
        <f>Prog_23[[#This Row],[CONTEINER]]</f>
        <v>0</v>
      </c>
      <c r="B1044" s="86"/>
      <c r="C10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44" s="44"/>
      <c r="E1044" s="66"/>
      <c r="F1044" s="66"/>
      <c r="G1044" s="66"/>
      <c r="H1044" s="44"/>
      <c r="I1044" s="44"/>
      <c r="J1044" s="66"/>
      <c r="K1044" s="66"/>
      <c r="L1044" s="66"/>
      <c r="M1044" s="66"/>
      <c r="N1044" s="66">
        <f>SUM(Prog_23[[#This Row],[TARA]]+Prog_23[[#This Row],[PESO]])</f>
        <v>0</v>
      </c>
      <c r="O1044" s="44"/>
      <c r="P1044" s="66"/>
      <c r="Q1044" s="66"/>
      <c r="R1044" s="66"/>
      <c r="S1044" s="66"/>
      <c r="T1044" s="138" t="str">
        <f>IFERROR(LOOKUP($S1044,MOTORISTAS!$D$3:$D$916,MOTORISTAS!E$3:$E$916),"")</f>
        <v/>
      </c>
      <c r="U1044" s="138" t="str">
        <f>IFERROR(LOOKUP($S1044,MOTORISTAS!$D$3:$D$916,MOTORISTAS!F$3:$F$916),"")</f>
        <v/>
      </c>
      <c r="V1044" s="66"/>
      <c r="W1044" s="66"/>
      <c r="X1044" s="66"/>
      <c r="Y1044" s="66"/>
      <c r="Z1044" s="66"/>
      <c r="AA1044" s="66"/>
      <c r="AB1044" s="66"/>
      <c r="AC1044" s="66"/>
      <c r="AD1044" s="66"/>
      <c r="AE1044" s="66"/>
      <c r="AF1044" s="44"/>
      <c r="AG1044" s="254">
        <f>Prog_23[[#This Row],[SAÍDA DO CLIENTE]]-Prog_23[[#This Row],[PROGRAMAÇÃO CLIENTE]]</f>
        <v>0</v>
      </c>
      <c r="AH1044" s="44"/>
      <c r="AI1044" s="66"/>
      <c r="AJ1044" s="66"/>
      <c r="AK1044" s="66"/>
      <c r="AL1044" s="66"/>
      <c r="AM1044" s="66"/>
      <c r="AN1044" s="83"/>
      <c r="AO1044" s="83"/>
      <c r="AP1044" s="83"/>
      <c r="AQ1044" s="66"/>
      <c r="AR1044" s="66"/>
      <c r="AS1044" s="66"/>
      <c r="AT1044" s="81"/>
      <c r="AU1044" s="81"/>
      <c r="AV1044" s="81"/>
      <c r="AW1044" s="81"/>
      <c r="AX1044" s="83">
        <f>SUM(Prog_23[[#This Row],[ADIANTAMENTO]]+Prog_23[[#This Row],[SALDO]]+Prog_23[[#This Row],[MARGEM]]+Prog_23[[#This Row],[ESTADIA 1]])</f>
        <v>0</v>
      </c>
      <c r="AY10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44" s="81"/>
      <c r="BA1044" s="81"/>
      <c r="BB1044" s="81">
        <f>Prog_23[[#This Row],[VLR NF]]*0.1%</f>
        <v>0</v>
      </c>
      <c r="BC1044" s="81">
        <f>Prog_23[[#This Row],[VLR NF]]*0.05%</f>
        <v>0</v>
      </c>
      <c r="BD1044" s="81"/>
      <c r="BE1044" s="81"/>
      <c r="BF1044" s="81"/>
      <c r="BG1044" s="81"/>
      <c r="BH1044" s="81"/>
      <c r="BI1044" s="81"/>
      <c r="BJ1044" s="81"/>
      <c r="BK1044" s="81"/>
      <c r="BL1044" s="81"/>
      <c r="BM1044" s="81"/>
      <c r="BN1044" s="66"/>
      <c r="BO1044" s="66"/>
      <c r="BP1044" s="66"/>
      <c r="BQ1044" s="66" t="str">
        <f>PROPER(TEXT(Prog_23[[#This Row],[PROGRAMAÇÃO CLIENTE]],"mmm"))</f>
        <v>Jan</v>
      </c>
      <c r="BR1044" s="66">
        <f>YEAR(Prog_23[[#This Row],[PROGRAMAÇÃO CLIENTE]])</f>
        <v>1900</v>
      </c>
    </row>
    <row r="1045" spans="1:70" x14ac:dyDescent="0.25">
      <c r="A1045" s="200">
        <f>Prog_23[[#This Row],[CONTEINER]]</f>
        <v>0</v>
      </c>
      <c r="B1045" s="86"/>
      <c r="C10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45" s="44"/>
      <c r="E1045" s="66"/>
      <c r="F1045" s="66"/>
      <c r="G1045" s="66"/>
      <c r="H1045" s="44"/>
      <c r="I1045" s="44"/>
      <c r="J1045" s="66"/>
      <c r="K1045" s="66"/>
      <c r="L1045" s="66"/>
      <c r="M1045" s="66"/>
      <c r="N1045" s="66">
        <f>SUM(Prog_23[[#This Row],[TARA]]+Prog_23[[#This Row],[PESO]])</f>
        <v>0</v>
      </c>
      <c r="O1045" s="44"/>
      <c r="P1045" s="66"/>
      <c r="Q1045" s="66"/>
      <c r="R1045" s="66"/>
      <c r="S1045" s="66"/>
      <c r="T1045" s="138" t="str">
        <f>IFERROR(LOOKUP($S1045,MOTORISTAS!$D$3:$D$916,MOTORISTAS!E$3:$E$916),"")</f>
        <v/>
      </c>
      <c r="U1045" s="138" t="str">
        <f>IFERROR(LOOKUP($S1045,MOTORISTAS!$D$3:$D$916,MOTORISTAS!F$3:$F$916),"")</f>
        <v/>
      </c>
      <c r="V1045" s="66"/>
      <c r="W1045" s="66"/>
      <c r="X1045" s="66"/>
      <c r="Y1045" s="66"/>
      <c r="Z1045" s="66"/>
      <c r="AA1045" s="66"/>
      <c r="AB1045" s="66"/>
      <c r="AC1045" s="66"/>
      <c r="AD1045" s="66"/>
      <c r="AE1045" s="66"/>
      <c r="AF1045" s="44"/>
      <c r="AG1045" s="254">
        <f>Prog_23[[#This Row],[SAÍDA DO CLIENTE]]-Prog_23[[#This Row],[PROGRAMAÇÃO CLIENTE]]</f>
        <v>0</v>
      </c>
      <c r="AH1045" s="44"/>
      <c r="AI1045" s="66"/>
      <c r="AJ1045" s="66"/>
      <c r="AK1045" s="66"/>
      <c r="AL1045" s="66"/>
      <c r="AM1045" s="66"/>
      <c r="AN1045" s="83"/>
      <c r="AO1045" s="83"/>
      <c r="AP1045" s="83"/>
      <c r="AQ1045" s="66"/>
      <c r="AR1045" s="66"/>
      <c r="AS1045" s="66"/>
      <c r="AT1045" s="81"/>
      <c r="AU1045" s="81"/>
      <c r="AV1045" s="81"/>
      <c r="AW1045" s="81"/>
      <c r="AX1045" s="83">
        <f>SUM(Prog_23[[#This Row],[ADIANTAMENTO]]+Prog_23[[#This Row],[SALDO]]+Prog_23[[#This Row],[MARGEM]]+Prog_23[[#This Row],[ESTADIA 1]])</f>
        <v>0</v>
      </c>
      <c r="AY10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45" s="81"/>
      <c r="BA1045" s="81"/>
      <c r="BB1045" s="81">
        <f>Prog_23[[#This Row],[VLR NF]]*0.1%</f>
        <v>0</v>
      </c>
      <c r="BC1045" s="81">
        <f>Prog_23[[#This Row],[VLR NF]]*0.05%</f>
        <v>0</v>
      </c>
      <c r="BD1045" s="81"/>
      <c r="BE1045" s="81"/>
      <c r="BF1045" s="81"/>
      <c r="BG1045" s="81"/>
      <c r="BH1045" s="81"/>
      <c r="BI1045" s="81"/>
      <c r="BJ1045" s="81"/>
      <c r="BK1045" s="81"/>
      <c r="BL1045" s="81"/>
      <c r="BM1045" s="81"/>
      <c r="BN1045" s="66"/>
      <c r="BO1045" s="66"/>
      <c r="BP1045" s="66"/>
      <c r="BQ1045" s="66" t="str">
        <f>PROPER(TEXT(Prog_23[[#This Row],[PROGRAMAÇÃO CLIENTE]],"mmm"))</f>
        <v>Jan</v>
      </c>
      <c r="BR1045" s="66">
        <f>YEAR(Prog_23[[#This Row],[PROGRAMAÇÃO CLIENTE]])</f>
        <v>1900</v>
      </c>
    </row>
    <row r="1046" spans="1:70" x14ac:dyDescent="0.25">
      <c r="A1046" s="201">
        <f>Prog_23[[#This Row],[CONTEINER]]</f>
        <v>0</v>
      </c>
      <c r="B1046" s="86"/>
      <c r="C10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46" s="44"/>
      <c r="E1046" s="66"/>
      <c r="F1046" s="66"/>
      <c r="G1046" s="66"/>
      <c r="H1046" s="44"/>
      <c r="I1046" s="44"/>
      <c r="J1046" s="66"/>
      <c r="K1046" s="66"/>
      <c r="L1046" s="66"/>
      <c r="M1046" s="66"/>
      <c r="N1046" s="66">
        <f>SUM(Prog_23[[#This Row],[TARA]]+Prog_23[[#This Row],[PESO]])</f>
        <v>0</v>
      </c>
      <c r="O1046" s="44"/>
      <c r="P1046" s="66"/>
      <c r="Q1046" s="66"/>
      <c r="R1046" s="66"/>
      <c r="S1046" s="66"/>
      <c r="T1046" s="138" t="str">
        <f>IFERROR(LOOKUP($S1046,MOTORISTAS!$D$3:$D$916,MOTORISTAS!E$3:$E$916),"")</f>
        <v/>
      </c>
      <c r="U1046" s="138" t="str">
        <f>IFERROR(LOOKUP($S1046,MOTORISTAS!$D$3:$D$916,MOTORISTAS!F$3:$F$916),"")</f>
        <v/>
      </c>
      <c r="V1046" s="66"/>
      <c r="W1046" s="66"/>
      <c r="X1046" s="66"/>
      <c r="Y1046" s="66"/>
      <c r="Z1046" s="66"/>
      <c r="AA1046" s="66"/>
      <c r="AB1046" s="66"/>
      <c r="AC1046" s="66"/>
      <c r="AD1046" s="66"/>
      <c r="AE1046" s="66"/>
      <c r="AF1046" s="44"/>
      <c r="AG1046" s="254">
        <f>Prog_23[[#This Row],[SAÍDA DO CLIENTE]]-Prog_23[[#This Row],[PROGRAMAÇÃO CLIENTE]]</f>
        <v>0</v>
      </c>
      <c r="AH1046" s="44"/>
      <c r="AI1046" s="66"/>
      <c r="AJ1046" s="66"/>
      <c r="AK1046" s="66"/>
      <c r="AL1046" s="66"/>
      <c r="AM1046" s="66"/>
      <c r="AN1046" s="83"/>
      <c r="AO1046" s="83"/>
      <c r="AP1046" s="83"/>
      <c r="AQ1046" s="66"/>
      <c r="AR1046" s="66"/>
      <c r="AS1046" s="66"/>
      <c r="AT1046" s="81"/>
      <c r="AU1046" s="81"/>
      <c r="AV1046" s="81"/>
      <c r="AW1046" s="81"/>
      <c r="AX1046" s="83">
        <f>SUM(Prog_23[[#This Row],[ADIANTAMENTO]]+Prog_23[[#This Row],[SALDO]]+Prog_23[[#This Row],[MARGEM]]+Prog_23[[#This Row],[ESTADIA 1]])</f>
        <v>0</v>
      </c>
      <c r="AY10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46" s="81"/>
      <c r="BA1046" s="81"/>
      <c r="BB1046" s="81">
        <f>Prog_23[[#This Row],[VLR NF]]*0.1%</f>
        <v>0</v>
      </c>
      <c r="BC1046" s="81">
        <f>Prog_23[[#This Row],[VLR NF]]*0.05%</f>
        <v>0</v>
      </c>
      <c r="BD1046" s="81"/>
      <c r="BE1046" s="81"/>
      <c r="BF1046" s="81"/>
      <c r="BG1046" s="81"/>
      <c r="BH1046" s="81"/>
      <c r="BI1046" s="81"/>
      <c r="BJ1046" s="81"/>
      <c r="BK1046" s="81"/>
      <c r="BL1046" s="81"/>
      <c r="BM1046" s="81"/>
      <c r="BN1046" s="66"/>
      <c r="BO1046" s="66"/>
      <c r="BP1046" s="66"/>
      <c r="BQ1046" s="66" t="str">
        <f>PROPER(TEXT(Prog_23[[#This Row],[PROGRAMAÇÃO CLIENTE]],"mmm"))</f>
        <v>Jan</v>
      </c>
      <c r="BR1046" s="66">
        <f>YEAR(Prog_23[[#This Row],[PROGRAMAÇÃO CLIENTE]])</f>
        <v>1900</v>
      </c>
    </row>
    <row r="1047" spans="1:70" x14ac:dyDescent="0.25">
      <c r="A1047" s="200">
        <f>Prog_23[[#This Row],[CONTEINER]]</f>
        <v>0</v>
      </c>
      <c r="B1047" s="86"/>
      <c r="C10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47" s="44"/>
      <c r="E1047" s="66"/>
      <c r="F1047" s="66"/>
      <c r="G1047" s="66"/>
      <c r="H1047" s="44"/>
      <c r="I1047" s="44"/>
      <c r="J1047" s="66"/>
      <c r="K1047" s="66"/>
      <c r="L1047" s="66"/>
      <c r="M1047" s="66"/>
      <c r="N1047" s="66">
        <f>SUM(Prog_23[[#This Row],[TARA]]+Prog_23[[#This Row],[PESO]])</f>
        <v>0</v>
      </c>
      <c r="O1047" s="44"/>
      <c r="P1047" s="66"/>
      <c r="Q1047" s="66"/>
      <c r="R1047" s="66"/>
      <c r="S1047" s="66"/>
      <c r="T1047" s="138" t="str">
        <f>IFERROR(LOOKUP($S1047,MOTORISTAS!$D$3:$D$916,MOTORISTAS!E$3:$E$916),"")</f>
        <v/>
      </c>
      <c r="U1047" s="138" t="str">
        <f>IFERROR(LOOKUP($S1047,MOTORISTAS!$D$3:$D$916,MOTORISTAS!F$3:$F$916),"")</f>
        <v/>
      </c>
      <c r="V1047" s="66"/>
      <c r="W1047" s="66"/>
      <c r="X1047" s="66"/>
      <c r="Y1047" s="66"/>
      <c r="Z1047" s="66"/>
      <c r="AA1047" s="66"/>
      <c r="AB1047" s="66"/>
      <c r="AC1047" s="66"/>
      <c r="AD1047" s="66"/>
      <c r="AE1047" s="66"/>
      <c r="AF1047" s="44"/>
      <c r="AG1047" s="254">
        <f>Prog_23[[#This Row],[SAÍDA DO CLIENTE]]-Prog_23[[#This Row],[PROGRAMAÇÃO CLIENTE]]</f>
        <v>0</v>
      </c>
      <c r="AH1047" s="44"/>
      <c r="AI1047" s="66"/>
      <c r="AJ1047" s="66"/>
      <c r="AK1047" s="66"/>
      <c r="AL1047" s="66"/>
      <c r="AM1047" s="66"/>
      <c r="AN1047" s="83"/>
      <c r="AO1047" s="83"/>
      <c r="AP1047" s="83"/>
      <c r="AQ1047" s="66"/>
      <c r="AR1047" s="66"/>
      <c r="AS1047" s="66"/>
      <c r="AT1047" s="81"/>
      <c r="AU1047" s="81"/>
      <c r="AV1047" s="81"/>
      <c r="AW1047" s="81"/>
      <c r="AX1047" s="83">
        <f>SUM(Prog_23[[#This Row],[ADIANTAMENTO]]+Prog_23[[#This Row],[SALDO]]+Prog_23[[#This Row],[MARGEM]]+Prog_23[[#This Row],[ESTADIA 1]])</f>
        <v>0</v>
      </c>
      <c r="AY10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47" s="81"/>
      <c r="BA1047" s="81"/>
      <c r="BB1047" s="81">
        <f>Prog_23[[#This Row],[VLR NF]]*0.1%</f>
        <v>0</v>
      </c>
      <c r="BC1047" s="81">
        <f>Prog_23[[#This Row],[VLR NF]]*0.05%</f>
        <v>0</v>
      </c>
      <c r="BD1047" s="81"/>
      <c r="BE1047" s="81"/>
      <c r="BF1047" s="81"/>
      <c r="BG1047" s="81"/>
      <c r="BH1047" s="81"/>
      <c r="BI1047" s="81"/>
      <c r="BJ1047" s="81"/>
      <c r="BK1047" s="81"/>
      <c r="BL1047" s="81"/>
      <c r="BM1047" s="81"/>
      <c r="BN1047" s="66"/>
      <c r="BO1047" s="66"/>
      <c r="BP1047" s="66"/>
      <c r="BQ1047" s="66" t="str">
        <f>PROPER(TEXT(Prog_23[[#This Row],[PROGRAMAÇÃO CLIENTE]],"mmm"))</f>
        <v>Jan</v>
      </c>
      <c r="BR1047" s="66">
        <f>YEAR(Prog_23[[#This Row],[PROGRAMAÇÃO CLIENTE]])</f>
        <v>1900</v>
      </c>
    </row>
    <row r="1048" spans="1:70" x14ac:dyDescent="0.25">
      <c r="A1048" s="201">
        <f>Prog_23[[#This Row],[CONTEINER]]</f>
        <v>0</v>
      </c>
      <c r="B1048" s="86"/>
      <c r="C10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48" s="44"/>
      <c r="E1048" s="66"/>
      <c r="F1048" s="66"/>
      <c r="G1048" s="66"/>
      <c r="H1048" s="44"/>
      <c r="I1048" s="44"/>
      <c r="J1048" s="66"/>
      <c r="K1048" s="66"/>
      <c r="L1048" s="66"/>
      <c r="M1048" s="66"/>
      <c r="N1048" s="66">
        <f>SUM(Prog_23[[#This Row],[TARA]]+Prog_23[[#This Row],[PESO]])</f>
        <v>0</v>
      </c>
      <c r="O1048" s="44"/>
      <c r="P1048" s="66"/>
      <c r="Q1048" s="66"/>
      <c r="R1048" s="66"/>
      <c r="S1048" s="66"/>
      <c r="T1048" s="138" t="str">
        <f>IFERROR(LOOKUP($S1048,MOTORISTAS!$D$3:$D$916,MOTORISTAS!E$3:$E$916),"")</f>
        <v/>
      </c>
      <c r="U1048" s="138" t="str">
        <f>IFERROR(LOOKUP($S1048,MOTORISTAS!$D$3:$D$916,MOTORISTAS!F$3:$F$916),"")</f>
        <v/>
      </c>
      <c r="V1048" s="66"/>
      <c r="W1048" s="66"/>
      <c r="X1048" s="66"/>
      <c r="Y1048" s="66"/>
      <c r="Z1048" s="66"/>
      <c r="AA1048" s="66"/>
      <c r="AB1048" s="66"/>
      <c r="AC1048" s="66"/>
      <c r="AD1048" s="66"/>
      <c r="AE1048" s="66"/>
      <c r="AF1048" s="44"/>
      <c r="AG1048" s="254">
        <f>Prog_23[[#This Row],[SAÍDA DO CLIENTE]]-Prog_23[[#This Row],[PROGRAMAÇÃO CLIENTE]]</f>
        <v>0</v>
      </c>
      <c r="AH1048" s="44"/>
      <c r="AI1048" s="66"/>
      <c r="AJ1048" s="66"/>
      <c r="AK1048" s="66"/>
      <c r="AL1048" s="66"/>
      <c r="AM1048" s="66"/>
      <c r="AN1048" s="83"/>
      <c r="AO1048" s="83"/>
      <c r="AP1048" s="83"/>
      <c r="AQ1048" s="66"/>
      <c r="AR1048" s="66"/>
      <c r="AS1048" s="66"/>
      <c r="AT1048" s="81"/>
      <c r="AU1048" s="81"/>
      <c r="AV1048" s="81"/>
      <c r="AW1048" s="81"/>
      <c r="AX1048" s="83">
        <f>SUM(Prog_23[[#This Row],[ADIANTAMENTO]]+Prog_23[[#This Row],[SALDO]]+Prog_23[[#This Row],[MARGEM]]+Prog_23[[#This Row],[ESTADIA 1]])</f>
        <v>0</v>
      </c>
      <c r="AY10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48" s="81"/>
      <c r="BA1048" s="81"/>
      <c r="BB1048" s="81">
        <f>Prog_23[[#This Row],[VLR NF]]*0.1%</f>
        <v>0</v>
      </c>
      <c r="BC1048" s="81">
        <f>Prog_23[[#This Row],[VLR NF]]*0.05%</f>
        <v>0</v>
      </c>
      <c r="BD1048" s="81"/>
      <c r="BE1048" s="81"/>
      <c r="BF1048" s="81"/>
      <c r="BG1048" s="81"/>
      <c r="BH1048" s="81"/>
      <c r="BI1048" s="81"/>
      <c r="BJ1048" s="81"/>
      <c r="BK1048" s="81"/>
      <c r="BL1048" s="81"/>
      <c r="BM1048" s="81"/>
      <c r="BN1048" s="66"/>
      <c r="BO1048" s="66"/>
      <c r="BP1048" s="66"/>
      <c r="BQ1048" s="66" t="str">
        <f>PROPER(TEXT(Prog_23[[#This Row],[PROGRAMAÇÃO CLIENTE]],"mmm"))</f>
        <v>Jan</v>
      </c>
      <c r="BR1048" s="66">
        <f>YEAR(Prog_23[[#This Row],[PROGRAMAÇÃO CLIENTE]])</f>
        <v>1900</v>
      </c>
    </row>
    <row r="1049" spans="1:70" x14ac:dyDescent="0.25">
      <c r="A1049" s="200">
        <f>Prog_23[[#This Row],[CONTEINER]]</f>
        <v>0</v>
      </c>
      <c r="B1049" s="86"/>
      <c r="C10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49" s="44"/>
      <c r="E1049" s="66"/>
      <c r="F1049" s="66"/>
      <c r="G1049" s="66"/>
      <c r="H1049" s="44"/>
      <c r="I1049" s="44"/>
      <c r="J1049" s="66"/>
      <c r="K1049" s="66"/>
      <c r="L1049" s="66"/>
      <c r="M1049" s="66"/>
      <c r="N1049" s="66">
        <f>SUM(Prog_23[[#This Row],[TARA]]+Prog_23[[#This Row],[PESO]])</f>
        <v>0</v>
      </c>
      <c r="O1049" s="44"/>
      <c r="P1049" s="66"/>
      <c r="Q1049" s="66"/>
      <c r="R1049" s="66"/>
      <c r="S1049" s="66"/>
      <c r="T1049" s="138" t="str">
        <f>IFERROR(LOOKUP($S1049,MOTORISTAS!$D$3:$D$916,MOTORISTAS!E$3:$E$916),"")</f>
        <v/>
      </c>
      <c r="U1049" s="138" t="str">
        <f>IFERROR(LOOKUP($S1049,MOTORISTAS!$D$3:$D$916,MOTORISTAS!F$3:$F$916),"")</f>
        <v/>
      </c>
      <c r="V1049" s="66"/>
      <c r="W1049" s="66"/>
      <c r="X1049" s="66"/>
      <c r="Y1049" s="66"/>
      <c r="Z1049" s="66"/>
      <c r="AA1049" s="66"/>
      <c r="AB1049" s="66"/>
      <c r="AC1049" s="66"/>
      <c r="AD1049" s="66"/>
      <c r="AE1049" s="66"/>
      <c r="AF1049" s="44"/>
      <c r="AG1049" s="254">
        <f>Prog_23[[#This Row],[SAÍDA DO CLIENTE]]-Prog_23[[#This Row],[PROGRAMAÇÃO CLIENTE]]</f>
        <v>0</v>
      </c>
      <c r="AH1049" s="44"/>
      <c r="AI1049" s="66"/>
      <c r="AJ1049" s="66"/>
      <c r="AK1049" s="66"/>
      <c r="AL1049" s="66"/>
      <c r="AM1049" s="66"/>
      <c r="AN1049" s="83"/>
      <c r="AO1049" s="83"/>
      <c r="AP1049" s="83"/>
      <c r="AQ1049" s="66"/>
      <c r="AR1049" s="66"/>
      <c r="AS1049" s="66"/>
      <c r="AT1049" s="81"/>
      <c r="AU1049" s="81"/>
      <c r="AV1049" s="81"/>
      <c r="AW1049" s="81"/>
      <c r="AX1049" s="83">
        <f>SUM(Prog_23[[#This Row],[ADIANTAMENTO]]+Prog_23[[#This Row],[SALDO]]+Prog_23[[#This Row],[MARGEM]]+Prog_23[[#This Row],[ESTADIA 1]])</f>
        <v>0</v>
      </c>
      <c r="AY10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49" s="81"/>
      <c r="BA1049" s="81"/>
      <c r="BB1049" s="81">
        <f>Prog_23[[#This Row],[VLR NF]]*0.1%</f>
        <v>0</v>
      </c>
      <c r="BC1049" s="81">
        <f>Prog_23[[#This Row],[VLR NF]]*0.05%</f>
        <v>0</v>
      </c>
      <c r="BD1049" s="81"/>
      <c r="BE1049" s="81"/>
      <c r="BF1049" s="81"/>
      <c r="BG1049" s="81"/>
      <c r="BH1049" s="81"/>
      <c r="BI1049" s="81"/>
      <c r="BJ1049" s="81"/>
      <c r="BK1049" s="81"/>
      <c r="BL1049" s="81"/>
      <c r="BM1049" s="81"/>
      <c r="BN1049" s="66"/>
      <c r="BO1049" s="66"/>
      <c r="BP1049" s="66"/>
      <c r="BQ1049" s="66" t="str">
        <f>PROPER(TEXT(Prog_23[[#This Row],[PROGRAMAÇÃO CLIENTE]],"mmm"))</f>
        <v>Jan</v>
      </c>
      <c r="BR1049" s="66">
        <f>YEAR(Prog_23[[#This Row],[PROGRAMAÇÃO CLIENTE]])</f>
        <v>1900</v>
      </c>
    </row>
    <row r="1050" spans="1:70" x14ac:dyDescent="0.25">
      <c r="A1050" s="201">
        <f>Prog_23[[#This Row],[CONTEINER]]</f>
        <v>0</v>
      </c>
      <c r="B1050" s="86"/>
      <c r="C10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50" s="44"/>
      <c r="E1050" s="66"/>
      <c r="F1050" s="66"/>
      <c r="G1050" s="66"/>
      <c r="H1050" s="44"/>
      <c r="I1050" s="44"/>
      <c r="J1050" s="66"/>
      <c r="K1050" s="66"/>
      <c r="L1050" s="66"/>
      <c r="M1050" s="66"/>
      <c r="N1050" s="66">
        <f>SUM(Prog_23[[#This Row],[TARA]]+Prog_23[[#This Row],[PESO]])</f>
        <v>0</v>
      </c>
      <c r="O1050" s="44"/>
      <c r="P1050" s="66"/>
      <c r="Q1050" s="66"/>
      <c r="R1050" s="66"/>
      <c r="S1050" s="66"/>
      <c r="T1050" s="138" t="str">
        <f>IFERROR(LOOKUP($S1050,MOTORISTAS!$D$3:$D$916,MOTORISTAS!E$3:$E$916),"")</f>
        <v/>
      </c>
      <c r="U1050" s="138" t="str">
        <f>IFERROR(LOOKUP($S1050,MOTORISTAS!$D$3:$D$916,MOTORISTAS!F$3:$F$916),"")</f>
        <v/>
      </c>
      <c r="V1050" s="66"/>
      <c r="W1050" s="66"/>
      <c r="X1050" s="66"/>
      <c r="Y1050" s="66"/>
      <c r="Z1050" s="66"/>
      <c r="AA1050" s="66"/>
      <c r="AB1050" s="66"/>
      <c r="AC1050" s="66"/>
      <c r="AD1050" s="66"/>
      <c r="AE1050" s="66"/>
      <c r="AF1050" s="44"/>
      <c r="AG1050" s="254">
        <f>Prog_23[[#This Row],[SAÍDA DO CLIENTE]]-Prog_23[[#This Row],[PROGRAMAÇÃO CLIENTE]]</f>
        <v>0</v>
      </c>
      <c r="AH1050" s="44"/>
      <c r="AI1050" s="66"/>
      <c r="AJ1050" s="66"/>
      <c r="AK1050" s="66"/>
      <c r="AL1050" s="66"/>
      <c r="AM1050" s="66"/>
      <c r="AN1050" s="83"/>
      <c r="AO1050" s="83"/>
      <c r="AP1050" s="83"/>
      <c r="AQ1050" s="66"/>
      <c r="AR1050" s="66"/>
      <c r="AS1050" s="66"/>
      <c r="AT1050" s="81"/>
      <c r="AU1050" s="81"/>
      <c r="AV1050" s="81"/>
      <c r="AW1050" s="81"/>
      <c r="AX1050" s="83">
        <f>SUM(Prog_23[[#This Row],[ADIANTAMENTO]]+Prog_23[[#This Row],[SALDO]]+Prog_23[[#This Row],[MARGEM]]+Prog_23[[#This Row],[ESTADIA 1]])</f>
        <v>0</v>
      </c>
      <c r="AY10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50" s="81"/>
      <c r="BA1050" s="81"/>
      <c r="BB1050" s="81">
        <f>Prog_23[[#This Row],[VLR NF]]*0.1%</f>
        <v>0</v>
      </c>
      <c r="BC1050" s="81">
        <f>Prog_23[[#This Row],[VLR NF]]*0.05%</f>
        <v>0</v>
      </c>
      <c r="BD1050" s="81"/>
      <c r="BE1050" s="81"/>
      <c r="BF1050" s="81"/>
      <c r="BG1050" s="81"/>
      <c r="BH1050" s="81"/>
      <c r="BI1050" s="81"/>
      <c r="BJ1050" s="81"/>
      <c r="BK1050" s="81"/>
      <c r="BL1050" s="81"/>
      <c r="BM1050" s="81"/>
      <c r="BN1050" s="66"/>
      <c r="BO1050" s="66"/>
      <c r="BP1050" s="66"/>
      <c r="BQ1050" s="66" t="str">
        <f>PROPER(TEXT(Prog_23[[#This Row],[PROGRAMAÇÃO CLIENTE]],"mmm"))</f>
        <v>Jan</v>
      </c>
      <c r="BR1050" s="66">
        <f>YEAR(Prog_23[[#This Row],[PROGRAMAÇÃO CLIENTE]])</f>
        <v>1900</v>
      </c>
    </row>
    <row r="1051" spans="1:70" x14ac:dyDescent="0.25">
      <c r="A1051" s="200">
        <f>Prog_23[[#This Row],[CONTEINER]]</f>
        <v>0</v>
      </c>
      <c r="B1051" s="86"/>
      <c r="C10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51" s="44"/>
      <c r="E1051" s="66"/>
      <c r="F1051" s="66"/>
      <c r="G1051" s="66"/>
      <c r="H1051" s="44"/>
      <c r="I1051" s="44"/>
      <c r="J1051" s="66"/>
      <c r="K1051" s="66"/>
      <c r="L1051" s="66"/>
      <c r="M1051" s="66"/>
      <c r="N1051" s="66">
        <f>SUM(Prog_23[[#This Row],[TARA]]+Prog_23[[#This Row],[PESO]])</f>
        <v>0</v>
      </c>
      <c r="O1051" s="44"/>
      <c r="P1051" s="66"/>
      <c r="Q1051" s="66"/>
      <c r="R1051" s="66"/>
      <c r="S1051" s="66"/>
      <c r="T1051" s="138" t="str">
        <f>IFERROR(LOOKUP($S1051,MOTORISTAS!$D$3:$D$916,MOTORISTAS!E$3:$E$916),"")</f>
        <v/>
      </c>
      <c r="U1051" s="138" t="str">
        <f>IFERROR(LOOKUP($S1051,MOTORISTAS!$D$3:$D$916,MOTORISTAS!F$3:$F$916),"")</f>
        <v/>
      </c>
      <c r="V1051" s="66"/>
      <c r="W1051" s="66"/>
      <c r="X1051" s="66"/>
      <c r="Y1051" s="66"/>
      <c r="Z1051" s="66"/>
      <c r="AA1051" s="66"/>
      <c r="AB1051" s="66"/>
      <c r="AC1051" s="66"/>
      <c r="AD1051" s="66"/>
      <c r="AE1051" s="66"/>
      <c r="AF1051" s="44"/>
      <c r="AG1051" s="254">
        <f>Prog_23[[#This Row],[SAÍDA DO CLIENTE]]-Prog_23[[#This Row],[PROGRAMAÇÃO CLIENTE]]</f>
        <v>0</v>
      </c>
      <c r="AH1051" s="44"/>
      <c r="AI1051" s="66"/>
      <c r="AJ1051" s="66"/>
      <c r="AK1051" s="66"/>
      <c r="AL1051" s="66"/>
      <c r="AM1051" s="66"/>
      <c r="AN1051" s="83"/>
      <c r="AO1051" s="83"/>
      <c r="AP1051" s="83"/>
      <c r="AQ1051" s="66"/>
      <c r="AR1051" s="66"/>
      <c r="AS1051" s="66"/>
      <c r="AT1051" s="81"/>
      <c r="AU1051" s="81"/>
      <c r="AV1051" s="81"/>
      <c r="AW1051" s="81"/>
      <c r="AX1051" s="83">
        <f>SUM(Prog_23[[#This Row],[ADIANTAMENTO]]+Prog_23[[#This Row],[SALDO]]+Prog_23[[#This Row],[MARGEM]]+Prog_23[[#This Row],[ESTADIA 1]])</f>
        <v>0</v>
      </c>
      <c r="AY10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51" s="81"/>
      <c r="BA1051" s="81"/>
      <c r="BB1051" s="81">
        <f>Prog_23[[#This Row],[VLR NF]]*0.1%</f>
        <v>0</v>
      </c>
      <c r="BC1051" s="81">
        <f>Prog_23[[#This Row],[VLR NF]]*0.05%</f>
        <v>0</v>
      </c>
      <c r="BD1051" s="81"/>
      <c r="BE1051" s="81"/>
      <c r="BF1051" s="81"/>
      <c r="BG1051" s="81"/>
      <c r="BH1051" s="81"/>
      <c r="BI1051" s="81"/>
      <c r="BJ1051" s="81"/>
      <c r="BK1051" s="81"/>
      <c r="BL1051" s="81"/>
      <c r="BM1051" s="81"/>
      <c r="BN1051" s="66"/>
      <c r="BO1051" s="66"/>
      <c r="BP1051" s="66"/>
      <c r="BQ1051" s="66" t="str">
        <f>PROPER(TEXT(Prog_23[[#This Row],[PROGRAMAÇÃO CLIENTE]],"mmm"))</f>
        <v>Jan</v>
      </c>
      <c r="BR1051" s="66">
        <f>YEAR(Prog_23[[#This Row],[PROGRAMAÇÃO CLIENTE]])</f>
        <v>1900</v>
      </c>
    </row>
    <row r="1052" spans="1:70" x14ac:dyDescent="0.25">
      <c r="A1052" s="201">
        <f>Prog_23[[#This Row],[CONTEINER]]</f>
        <v>0</v>
      </c>
      <c r="B1052" s="86"/>
      <c r="C10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52" s="44"/>
      <c r="E1052" s="66"/>
      <c r="F1052" s="66"/>
      <c r="G1052" s="66"/>
      <c r="H1052" s="44"/>
      <c r="I1052" s="44"/>
      <c r="J1052" s="66"/>
      <c r="K1052" s="66"/>
      <c r="L1052" s="66"/>
      <c r="M1052" s="66"/>
      <c r="N1052" s="66">
        <f>SUM(Prog_23[[#This Row],[TARA]]+Prog_23[[#This Row],[PESO]])</f>
        <v>0</v>
      </c>
      <c r="O1052" s="44"/>
      <c r="P1052" s="66"/>
      <c r="Q1052" s="66"/>
      <c r="R1052" s="66"/>
      <c r="S1052" s="66"/>
      <c r="T1052" s="138" t="str">
        <f>IFERROR(LOOKUP($S1052,MOTORISTAS!$D$3:$D$916,MOTORISTAS!E$3:$E$916),"")</f>
        <v/>
      </c>
      <c r="U1052" s="138" t="str">
        <f>IFERROR(LOOKUP($S1052,MOTORISTAS!$D$3:$D$916,MOTORISTAS!F$3:$F$916),"")</f>
        <v/>
      </c>
      <c r="V1052" s="66"/>
      <c r="W1052" s="66"/>
      <c r="X1052" s="66"/>
      <c r="Y1052" s="66"/>
      <c r="Z1052" s="66"/>
      <c r="AA1052" s="66"/>
      <c r="AB1052" s="66"/>
      <c r="AC1052" s="66"/>
      <c r="AD1052" s="66"/>
      <c r="AE1052" s="66"/>
      <c r="AF1052" s="44"/>
      <c r="AG1052" s="254">
        <f>Prog_23[[#This Row],[SAÍDA DO CLIENTE]]-Prog_23[[#This Row],[PROGRAMAÇÃO CLIENTE]]</f>
        <v>0</v>
      </c>
      <c r="AH1052" s="44"/>
      <c r="AI1052" s="66"/>
      <c r="AJ1052" s="66"/>
      <c r="AK1052" s="66"/>
      <c r="AL1052" s="66"/>
      <c r="AM1052" s="66"/>
      <c r="AN1052" s="83"/>
      <c r="AO1052" s="83"/>
      <c r="AP1052" s="83"/>
      <c r="AQ1052" s="66"/>
      <c r="AR1052" s="66"/>
      <c r="AS1052" s="66"/>
      <c r="AT1052" s="81"/>
      <c r="AU1052" s="81"/>
      <c r="AV1052" s="81"/>
      <c r="AW1052" s="81"/>
      <c r="AX1052" s="83">
        <f>SUM(Prog_23[[#This Row],[ADIANTAMENTO]]+Prog_23[[#This Row],[SALDO]]+Prog_23[[#This Row],[MARGEM]]+Prog_23[[#This Row],[ESTADIA 1]])</f>
        <v>0</v>
      </c>
      <c r="AY10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52" s="81"/>
      <c r="BA1052" s="81"/>
      <c r="BB1052" s="81">
        <f>Prog_23[[#This Row],[VLR NF]]*0.1%</f>
        <v>0</v>
      </c>
      <c r="BC1052" s="81">
        <f>Prog_23[[#This Row],[VLR NF]]*0.05%</f>
        <v>0</v>
      </c>
      <c r="BD1052" s="81"/>
      <c r="BE1052" s="81"/>
      <c r="BF1052" s="81"/>
      <c r="BG1052" s="81"/>
      <c r="BH1052" s="81"/>
      <c r="BI1052" s="81"/>
      <c r="BJ1052" s="81"/>
      <c r="BK1052" s="81"/>
      <c r="BL1052" s="81"/>
      <c r="BM1052" s="81"/>
      <c r="BN1052" s="66"/>
      <c r="BO1052" s="66"/>
      <c r="BP1052" s="66"/>
      <c r="BQ1052" s="66" t="str">
        <f>PROPER(TEXT(Prog_23[[#This Row],[PROGRAMAÇÃO CLIENTE]],"mmm"))</f>
        <v>Jan</v>
      </c>
      <c r="BR1052" s="66">
        <f>YEAR(Prog_23[[#This Row],[PROGRAMAÇÃO CLIENTE]])</f>
        <v>1900</v>
      </c>
    </row>
    <row r="1053" spans="1:70" x14ac:dyDescent="0.25">
      <c r="A1053" s="200">
        <f>Prog_23[[#This Row],[CONTEINER]]</f>
        <v>0</v>
      </c>
      <c r="B1053" s="86"/>
      <c r="C10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53" s="44"/>
      <c r="E1053" s="66"/>
      <c r="F1053" s="66"/>
      <c r="G1053" s="66"/>
      <c r="H1053" s="44"/>
      <c r="I1053" s="44"/>
      <c r="J1053" s="66"/>
      <c r="K1053" s="66"/>
      <c r="L1053" s="66"/>
      <c r="M1053" s="66"/>
      <c r="N1053" s="66">
        <f>SUM(Prog_23[[#This Row],[TARA]]+Prog_23[[#This Row],[PESO]])</f>
        <v>0</v>
      </c>
      <c r="O1053" s="44"/>
      <c r="P1053" s="66"/>
      <c r="Q1053" s="66"/>
      <c r="R1053" s="66"/>
      <c r="S1053" s="66"/>
      <c r="T1053" s="138" t="str">
        <f>IFERROR(LOOKUP($S1053,MOTORISTAS!$D$3:$D$916,MOTORISTAS!E$3:$E$916),"")</f>
        <v/>
      </c>
      <c r="U1053" s="138" t="str">
        <f>IFERROR(LOOKUP($S1053,MOTORISTAS!$D$3:$D$916,MOTORISTAS!F$3:$F$916),"")</f>
        <v/>
      </c>
      <c r="V1053" s="66"/>
      <c r="W1053" s="66"/>
      <c r="X1053" s="66"/>
      <c r="Y1053" s="66"/>
      <c r="Z1053" s="66"/>
      <c r="AA1053" s="66"/>
      <c r="AB1053" s="66"/>
      <c r="AC1053" s="66"/>
      <c r="AD1053" s="66"/>
      <c r="AE1053" s="66"/>
      <c r="AF1053" s="44"/>
      <c r="AG1053" s="254">
        <f>Prog_23[[#This Row],[SAÍDA DO CLIENTE]]-Prog_23[[#This Row],[PROGRAMAÇÃO CLIENTE]]</f>
        <v>0</v>
      </c>
      <c r="AH1053" s="44"/>
      <c r="AI1053" s="66"/>
      <c r="AJ1053" s="66"/>
      <c r="AK1053" s="66"/>
      <c r="AL1053" s="66"/>
      <c r="AM1053" s="66"/>
      <c r="AN1053" s="83"/>
      <c r="AO1053" s="83"/>
      <c r="AP1053" s="83"/>
      <c r="AQ1053" s="66"/>
      <c r="AR1053" s="66"/>
      <c r="AS1053" s="66"/>
      <c r="AT1053" s="81"/>
      <c r="AU1053" s="81"/>
      <c r="AV1053" s="81"/>
      <c r="AW1053" s="81"/>
      <c r="AX1053" s="83">
        <f>SUM(Prog_23[[#This Row],[ADIANTAMENTO]]+Prog_23[[#This Row],[SALDO]]+Prog_23[[#This Row],[MARGEM]]+Prog_23[[#This Row],[ESTADIA 1]])</f>
        <v>0</v>
      </c>
      <c r="AY10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53" s="81"/>
      <c r="BA1053" s="81"/>
      <c r="BB1053" s="81">
        <f>Prog_23[[#This Row],[VLR NF]]*0.1%</f>
        <v>0</v>
      </c>
      <c r="BC1053" s="81">
        <f>Prog_23[[#This Row],[VLR NF]]*0.05%</f>
        <v>0</v>
      </c>
      <c r="BD1053" s="81"/>
      <c r="BE1053" s="81"/>
      <c r="BF1053" s="81"/>
      <c r="BG1053" s="81"/>
      <c r="BH1053" s="81"/>
      <c r="BI1053" s="81"/>
      <c r="BJ1053" s="81"/>
      <c r="BK1053" s="81"/>
      <c r="BL1053" s="81"/>
      <c r="BM1053" s="81"/>
      <c r="BN1053" s="66"/>
      <c r="BO1053" s="66"/>
      <c r="BP1053" s="66"/>
      <c r="BQ1053" s="66" t="str">
        <f>PROPER(TEXT(Prog_23[[#This Row],[PROGRAMAÇÃO CLIENTE]],"mmm"))</f>
        <v>Jan</v>
      </c>
      <c r="BR1053" s="66">
        <f>YEAR(Prog_23[[#This Row],[PROGRAMAÇÃO CLIENTE]])</f>
        <v>1900</v>
      </c>
    </row>
    <row r="1054" spans="1:70" x14ac:dyDescent="0.25">
      <c r="A1054" s="201">
        <f>Prog_23[[#This Row],[CONTEINER]]</f>
        <v>0</v>
      </c>
      <c r="B1054" s="86"/>
      <c r="C10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54" s="44"/>
      <c r="E1054" s="66"/>
      <c r="F1054" s="66"/>
      <c r="G1054" s="66"/>
      <c r="H1054" s="44"/>
      <c r="I1054" s="44"/>
      <c r="J1054" s="66"/>
      <c r="K1054" s="66"/>
      <c r="L1054" s="66"/>
      <c r="M1054" s="66"/>
      <c r="N1054" s="66">
        <f>SUM(Prog_23[[#This Row],[TARA]]+Prog_23[[#This Row],[PESO]])</f>
        <v>0</v>
      </c>
      <c r="O1054" s="44"/>
      <c r="P1054" s="66"/>
      <c r="Q1054" s="66"/>
      <c r="R1054" s="66"/>
      <c r="S1054" s="66"/>
      <c r="T1054" s="138" t="str">
        <f>IFERROR(LOOKUP($S1054,MOTORISTAS!$D$3:$D$916,MOTORISTAS!E$3:$E$916),"")</f>
        <v/>
      </c>
      <c r="U1054" s="138" t="str">
        <f>IFERROR(LOOKUP($S1054,MOTORISTAS!$D$3:$D$916,MOTORISTAS!F$3:$F$916),"")</f>
        <v/>
      </c>
      <c r="V1054" s="66"/>
      <c r="W1054" s="66"/>
      <c r="X1054" s="66"/>
      <c r="Y1054" s="66"/>
      <c r="Z1054" s="66"/>
      <c r="AA1054" s="66"/>
      <c r="AB1054" s="66"/>
      <c r="AC1054" s="66"/>
      <c r="AD1054" s="66"/>
      <c r="AE1054" s="66"/>
      <c r="AF1054" s="44"/>
      <c r="AG1054" s="254">
        <f>Prog_23[[#This Row],[SAÍDA DO CLIENTE]]-Prog_23[[#This Row],[PROGRAMAÇÃO CLIENTE]]</f>
        <v>0</v>
      </c>
      <c r="AH1054" s="44"/>
      <c r="AI1054" s="66"/>
      <c r="AJ1054" s="66"/>
      <c r="AK1054" s="66"/>
      <c r="AL1054" s="66"/>
      <c r="AM1054" s="66"/>
      <c r="AN1054" s="83"/>
      <c r="AO1054" s="83"/>
      <c r="AP1054" s="83"/>
      <c r="AQ1054" s="66"/>
      <c r="AR1054" s="66"/>
      <c r="AS1054" s="66"/>
      <c r="AT1054" s="81"/>
      <c r="AU1054" s="81"/>
      <c r="AV1054" s="81"/>
      <c r="AW1054" s="81"/>
      <c r="AX1054" s="83">
        <f>SUM(Prog_23[[#This Row],[ADIANTAMENTO]]+Prog_23[[#This Row],[SALDO]]+Prog_23[[#This Row],[MARGEM]]+Prog_23[[#This Row],[ESTADIA 1]])</f>
        <v>0</v>
      </c>
      <c r="AY10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54" s="81"/>
      <c r="BA1054" s="81"/>
      <c r="BB1054" s="81">
        <f>Prog_23[[#This Row],[VLR NF]]*0.1%</f>
        <v>0</v>
      </c>
      <c r="BC1054" s="81">
        <f>Prog_23[[#This Row],[VLR NF]]*0.05%</f>
        <v>0</v>
      </c>
      <c r="BD1054" s="81"/>
      <c r="BE1054" s="81"/>
      <c r="BF1054" s="81"/>
      <c r="BG1054" s="81"/>
      <c r="BH1054" s="81"/>
      <c r="BI1054" s="81"/>
      <c r="BJ1054" s="81"/>
      <c r="BK1054" s="81"/>
      <c r="BL1054" s="81"/>
      <c r="BM1054" s="81"/>
      <c r="BN1054" s="66"/>
      <c r="BO1054" s="66"/>
      <c r="BP1054" s="66"/>
      <c r="BQ1054" s="66" t="str">
        <f>PROPER(TEXT(Prog_23[[#This Row],[PROGRAMAÇÃO CLIENTE]],"mmm"))</f>
        <v>Jan</v>
      </c>
      <c r="BR1054" s="66">
        <f>YEAR(Prog_23[[#This Row],[PROGRAMAÇÃO CLIENTE]])</f>
        <v>1900</v>
      </c>
    </row>
    <row r="1055" spans="1:70" x14ac:dyDescent="0.25">
      <c r="A1055" s="200">
        <f>Prog_23[[#This Row],[CONTEINER]]</f>
        <v>0</v>
      </c>
      <c r="B1055" s="86"/>
      <c r="C10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55" s="44"/>
      <c r="E1055" s="66"/>
      <c r="F1055" s="66"/>
      <c r="G1055" s="66"/>
      <c r="H1055" s="44"/>
      <c r="I1055" s="44"/>
      <c r="J1055" s="66"/>
      <c r="K1055" s="66"/>
      <c r="L1055" s="66"/>
      <c r="M1055" s="66"/>
      <c r="N1055" s="66">
        <f>SUM(Prog_23[[#This Row],[TARA]]+Prog_23[[#This Row],[PESO]])</f>
        <v>0</v>
      </c>
      <c r="O1055" s="44"/>
      <c r="P1055" s="66"/>
      <c r="Q1055" s="66"/>
      <c r="R1055" s="66"/>
      <c r="S1055" s="66"/>
      <c r="T1055" s="138" t="str">
        <f>IFERROR(LOOKUP($S1055,MOTORISTAS!$D$3:$D$916,MOTORISTAS!E$3:$E$916),"")</f>
        <v/>
      </c>
      <c r="U1055" s="138" t="str">
        <f>IFERROR(LOOKUP($S1055,MOTORISTAS!$D$3:$D$916,MOTORISTAS!F$3:$F$916),"")</f>
        <v/>
      </c>
      <c r="V1055" s="66"/>
      <c r="W1055" s="66"/>
      <c r="X1055" s="66"/>
      <c r="Y1055" s="66"/>
      <c r="Z1055" s="66"/>
      <c r="AA1055" s="66"/>
      <c r="AB1055" s="66"/>
      <c r="AC1055" s="66"/>
      <c r="AD1055" s="66"/>
      <c r="AE1055" s="66"/>
      <c r="AF1055" s="44"/>
      <c r="AG1055" s="254">
        <f>Prog_23[[#This Row],[SAÍDA DO CLIENTE]]-Prog_23[[#This Row],[PROGRAMAÇÃO CLIENTE]]</f>
        <v>0</v>
      </c>
      <c r="AH1055" s="44"/>
      <c r="AI1055" s="66"/>
      <c r="AJ1055" s="66"/>
      <c r="AK1055" s="66"/>
      <c r="AL1055" s="66"/>
      <c r="AM1055" s="66"/>
      <c r="AN1055" s="83"/>
      <c r="AO1055" s="83"/>
      <c r="AP1055" s="83"/>
      <c r="AQ1055" s="66"/>
      <c r="AR1055" s="66"/>
      <c r="AS1055" s="66"/>
      <c r="AT1055" s="81"/>
      <c r="AU1055" s="81"/>
      <c r="AV1055" s="81"/>
      <c r="AW1055" s="81"/>
      <c r="AX1055" s="83">
        <f>SUM(Prog_23[[#This Row],[ADIANTAMENTO]]+Prog_23[[#This Row],[SALDO]]+Prog_23[[#This Row],[MARGEM]]+Prog_23[[#This Row],[ESTADIA 1]])</f>
        <v>0</v>
      </c>
      <c r="AY10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55" s="81"/>
      <c r="BA1055" s="81"/>
      <c r="BB1055" s="81">
        <f>Prog_23[[#This Row],[VLR NF]]*0.1%</f>
        <v>0</v>
      </c>
      <c r="BC1055" s="81">
        <f>Prog_23[[#This Row],[VLR NF]]*0.05%</f>
        <v>0</v>
      </c>
      <c r="BD1055" s="81"/>
      <c r="BE1055" s="81"/>
      <c r="BF1055" s="81"/>
      <c r="BG1055" s="81"/>
      <c r="BH1055" s="81"/>
      <c r="BI1055" s="81"/>
      <c r="BJ1055" s="81"/>
      <c r="BK1055" s="81"/>
      <c r="BL1055" s="81"/>
      <c r="BM1055" s="81"/>
      <c r="BN1055" s="66"/>
      <c r="BO1055" s="66"/>
      <c r="BP1055" s="66"/>
      <c r="BQ1055" s="66" t="str">
        <f>PROPER(TEXT(Prog_23[[#This Row],[PROGRAMAÇÃO CLIENTE]],"mmm"))</f>
        <v>Jan</v>
      </c>
      <c r="BR1055" s="66">
        <f>YEAR(Prog_23[[#This Row],[PROGRAMAÇÃO CLIENTE]])</f>
        <v>1900</v>
      </c>
    </row>
    <row r="1056" spans="1:70" x14ac:dyDescent="0.25">
      <c r="A1056" s="201">
        <f>Prog_23[[#This Row],[CONTEINER]]</f>
        <v>0</v>
      </c>
      <c r="B1056" s="86"/>
      <c r="C10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56" s="44"/>
      <c r="E1056" s="66"/>
      <c r="F1056" s="66"/>
      <c r="G1056" s="66"/>
      <c r="H1056" s="44"/>
      <c r="I1056" s="44"/>
      <c r="J1056" s="66"/>
      <c r="K1056" s="66"/>
      <c r="L1056" s="66"/>
      <c r="M1056" s="66"/>
      <c r="N1056" s="66">
        <f>SUM(Prog_23[[#This Row],[TARA]]+Prog_23[[#This Row],[PESO]])</f>
        <v>0</v>
      </c>
      <c r="O1056" s="44"/>
      <c r="P1056" s="66"/>
      <c r="Q1056" s="66"/>
      <c r="R1056" s="66"/>
      <c r="S1056" s="66"/>
      <c r="T1056" s="138" t="str">
        <f>IFERROR(LOOKUP($S1056,MOTORISTAS!$D$3:$D$916,MOTORISTAS!E$3:$E$916),"")</f>
        <v/>
      </c>
      <c r="U1056" s="138" t="str">
        <f>IFERROR(LOOKUP($S1056,MOTORISTAS!$D$3:$D$916,MOTORISTAS!F$3:$F$916),"")</f>
        <v/>
      </c>
      <c r="V1056" s="66"/>
      <c r="W1056" s="66"/>
      <c r="X1056" s="66"/>
      <c r="Y1056" s="66"/>
      <c r="Z1056" s="66"/>
      <c r="AA1056" s="66"/>
      <c r="AB1056" s="66"/>
      <c r="AC1056" s="66"/>
      <c r="AD1056" s="66"/>
      <c r="AE1056" s="66"/>
      <c r="AF1056" s="44"/>
      <c r="AG1056" s="254">
        <f>Prog_23[[#This Row],[SAÍDA DO CLIENTE]]-Prog_23[[#This Row],[PROGRAMAÇÃO CLIENTE]]</f>
        <v>0</v>
      </c>
      <c r="AH1056" s="44"/>
      <c r="AI1056" s="66"/>
      <c r="AJ1056" s="66"/>
      <c r="AK1056" s="66"/>
      <c r="AL1056" s="66"/>
      <c r="AM1056" s="66"/>
      <c r="AN1056" s="83"/>
      <c r="AO1056" s="83"/>
      <c r="AP1056" s="83"/>
      <c r="AQ1056" s="66"/>
      <c r="AR1056" s="66"/>
      <c r="AS1056" s="66"/>
      <c r="AT1056" s="81"/>
      <c r="AU1056" s="81"/>
      <c r="AV1056" s="81"/>
      <c r="AW1056" s="81"/>
      <c r="AX1056" s="83">
        <f>SUM(Prog_23[[#This Row],[ADIANTAMENTO]]+Prog_23[[#This Row],[SALDO]]+Prog_23[[#This Row],[MARGEM]]+Prog_23[[#This Row],[ESTADIA 1]])</f>
        <v>0</v>
      </c>
      <c r="AY10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56" s="81"/>
      <c r="BA1056" s="81"/>
      <c r="BB1056" s="81">
        <f>Prog_23[[#This Row],[VLR NF]]*0.1%</f>
        <v>0</v>
      </c>
      <c r="BC1056" s="81">
        <f>Prog_23[[#This Row],[VLR NF]]*0.05%</f>
        <v>0</v>
      </c>
      <c r="BD1056" s="81"/>
      <c r="BE1056" s="81"/>
      <c r="BF1056" s="81"/>
      <c r="BG1056" s="81"/>
      <c r="BH1056" s="81"/>
      <c r="BI1056" s="81"/>
      <c r="BJ1056" s="81"/>
      <c r="BK1056" s="81"/>
      <c r="BL1056" s="81"/>
      <c r="BM1056" s="81"/>
      <c r="BN1056" s="66"/>
      <c r="BO1056" s="66"/>
      <c r="BP1056" s="66"/>
      <c r="BQ1056" s="66" t="str">
        <f>PROPER(TEXT(Prog_23[[#This Row],[PROGRAMAÇÃO CLIENTE]],"mmm"))</f>
        <v>Jan</v>
      </c>
      <c r="BR1056" s="66">
        <f>YEAR(Prog_23[[#This Row],[PROGRAMAÇÃO CLIENTE]])</f>
        <v>1900</v>
      </c>
    </row>
    <row r="1057" spans="1:70" x14ac:dyDescent="0.25">
      <c r="A1057" s="200">
        <f>Prog_23[[#This Row],[CONTEINER]]</f>
        <v>0</v>
      </c>
      <c r="B1057" s="86"/>
      <c r="C10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57" s="44"/>
      <c r="E1057" s="66"/>
      <c r="F1057" s="66"/>
      <c r="G1057" s="66"/>
      <c r="H1057" s="44"/>
      <c r="I1057" s="44"/>
      <c r="J1057" s="66"/>
      <c r="K1057" s="66"/>
      <c r="L1057" s="66"/>
      <c r="M1057" s="66"/>
      <c r="N1057" s="66">
        <f>SUM(Prog_23[[#This Row],[TARA]]+Prog_23[[#This Row],[PESO]])</f>
        <v>0</v>
      </c>
      <c r="O1057" s="44"/>
      <c r="P1057" s="66"/>
      <c r="Q1057" s="66"/>
      <c r="R1057" s="66"/>
      <c r="S1057" s="66"/>
      <c r="T1057" s="138" t="str">
        <f>IFERROR(LOOKUP($S1057,MOTORISTAS!$D$3:$D$916,MOTORISTAS!E$3:$E$916),"")</f>
        <v/>
      </c>
      <c r="U1057" s="138" t="str">
        <f>IFERROR(LOOKUP($S1057,MOTORISTAS!$D$3:$D$916,MOTORISTAS!F$3:$F$916),"")</f>
        <v/>
      </c>
      <c r="V1057" s="66"/>
      <c r="W1057" s="66"/>
      <c r="X1057" s="66"/>
      <c r="Y1057" s="66"/>
      <c r="Z1057" s="66"/>
      <c r="AA1057" s="66"/>
      <c r="AB1057" s="66"/>
      <c r="AC1057" s="66"/>
      <c r="AD1057" s="66"/>
      <c r="AE1057" s="66"/>
      <c r="AF1057" s="44"/>
      <c r="AG1057" s="254">
        <f>Prog_23[[#This Row],[SAÍDA DO CLIENTE]]-Prog_23[[#This Row],[PROGRAMAÇÃO CLIENTE]]</f>
        <v>0</v>
      </c>
      <c r="AH1057" s="44"/>
      <c r="AI1057" s="66"/>
      <c r="AJ1057" s="66"/>
      <c r="AK1057" s="66"/>
      <c r="AL1057" s="66"/>
      <c r="AM1057" s="66"/>
      <c r="AN1057" s="83"/>
      <c r="AO1057" s="83"/>
      <c r="AP1057" s="83"/>
      <c r="AQ1057" s="66"/>
      <c r="AR1057" s="66"/>
      <c r="AS1057" s="66"/>
      <c r="AT1057" s="81"/>
      <c r="AU1057" s="81"/>
      <c r="AV1057" s="81"/>
      <c r="AW1057" s="81"/>
      <c r="AX1057" s="83">
        <f>SUM(Prog_23[[#This Row],[ADIANTAMENTO]]+Prog_23[[#This Row],[SALDO]]+Prog_23[[#This Row],[MARGEM]]+Prog_23[[#This Row],[ESTADIA 1]])</f>
        <v>0</v>
      </c>
      <c r="AY10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57" s="81"/>
      <c r="BA1057" s="81"/>
      <c r="BB1057" s="81">
        <f>Prog_23[[#This Row],[VLR NF]]*0.1%</f>
        <v>0</v>
      </c>
      <c r="BC1057" s="81">
        <f>Prog_23[[#This Row],[VLR NF]]*0.05%</f>
        <v>0</v>
      </c>
      <c r="BD1057" s="81"/>
      <c r="BE1057" s="81"/>
      <c r="BF1057" s="81"/>
      <c r="BG1057" s="81"/>
      <c r="BH1057" s="81"/>
      <c r="BI1057" s="81"/>
      <c r="BJ1057" s="81"/>
      <c r="BK1057" s="81"/>
      <c r="BL1057" s="81"/>
      <c r="BM1057" s="81"/>
      <c r="BN1057" s="66"/>
      <c r="BO1057" s="66"/>
      <c r="BP1057" s="66"/>
      <c r="BQ1057" s="66" t="str">
        <f>PROPER(TEXT(Prog_23[[#This Row],[PROGRAMAÇÃO CLIENTE]],"mmm"))</f>
        <v>Jan</v>
      </c>
      <c r="BR1057" s="66">
        <f>YEAR(Prog_23[[#This Row],[PROGRAMAÇÃO CLIENTE]])</f>
        <v>1900</v>
      </c>
    </row>
    <row r="1058" spans="1:70" x14ac:dyDescent="0.25">
      <c r="A1058" s="201">
        <f>Prog_23[[#This Row],[CONTEINER]]</f>
        <v>0</v>
      </c>
      <c r="B1058" s="86"/>
      <c r="C10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58" s="44"/>
      <c r="E1058" s="66"/>
      <c r="F1058" s="66"/>
      <c r="G1058" s="66"/>
      <c r="H1058" s="44"/>
      <c r="I1058" s="44"/>
      <c r="J1058" s="66"/>
      <c r="K1058" s="66"/>
      <c r="L1058" s="66"/>
      <c r="M1058" s="66"/>
      <c r="N1058" s="66">
        <f>SUM(Prog_23[[#This Row],[TARA]]+Prog_23[[#This Row],[PESO]])</f>
        <v>0</v>
      </c>
      <c r="O1058" s="44"/>
      <c r="P1058" s="66"/>
      <c r="Q1058" s="66"/>
      <c r="R1058" s="66"/>
      <c r="S1058" s="66"/>
      <c r="T1058" s="138" t="str">
        <f>IFERROR(LOOKUP($S1058,MOTORISTAS!$D$3:$D$916,MOTORISTAS!E$3:$E$916),"")</f>
        <v/>
      </c>
      <c r="U1058" s="138" t="str">
        <f>IFERROR(LOOKUP($S1058,MOTORISTAS!$D$3:$D$916,MOTORISTAS!F$3:$F$916),"")</f>
        <v/>
      </c>
      <c r="V1058" s="66"/>
      <c r="W1058" s="66"/>
      <c r="X1058" s="66"/>
      <c r="Y1058" s="66"/>
      <c r="Z1058" s="66"/>
      <c r="AA1058" s="66"/>
      <c r="AB1058" s="66"/>
      <c r="AC1058" s="66"/>
      <c r="AD1058" s="66"/>
      <c r="AE1058" s="66"/>
      <c r="AF1058" s="44"/>
      <c r="AG1058" s="254">
        <f>Prog_23[[#This Row],[SAÍDA DO CLIENTE]]-Prog_23[[#This Row],[PROGRAMAÇÃO CLIENTE]]</f>
        <v>0</v>
      </c>
      <c r="AH1058" s="44"/>
      <c r="AI1058" s="66"/>
      <c r="AJ1058" s="66"/>
      <c r="AK1058" s="66"/>
      <c r="AL1058" s="66"/>
      <c r="AM1058" s="66"/>
      <c r="AN1058" s="83"/>
      <c r="AO1058" s="83"/>
      <c r="AP1058" s="83"/>
      <c r="AQ1058" s="66"/>
      <c r="AR1058" s="66"/>
      <c r="AS1058" s="66"/>
      <c r="AT1058" s="81"/>
      <c r="AU1058" s="81"/>
      <c r="AV1058" s="81"/>
      <c r="AW1058" s="81"/>
      <c r="AX1058" s="83">
        <f>SUM(Prog_23[[#This Row],[ADIANTAMENTO]]+Prog_23[[#This Row],[SALDO]]+Prog_23[[#This Row],[MARGEM]]+Prog_23[[#This Row],[ESTADIA 1]])</f>
        <v>0</v>
      </c>
      <c r="AY10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58" s="81"/>
      <c r="BA1058" s="81"/>
      <c r="BB1058" s="81">
        <f>Prog_23[[#This Row],[VLR NF]]*0.1%</f>
        <v>0</v>
      </c>
      <c r="BC1058" s="81">
        <f>Prog_23[[#This Row],[VLR NF]]*0.05%</f>
        <v>0</v>
      </c>
      <c r="BD1058" s="81"/>
      <c r="BE1058" s="81"/>
      <c r="BF1058" s="81"/>
      <c r="BG1058" s="81"/>
      <c r="BH1058" s="81"/>
      <c r="BI1058" s="81"/>
      <c r="BJ1058" s="81"/>
      <c r="BK1058" s="81"/>
      <c r="BL1058" s="81"/>
      <c r="BM1058" s="81"/>
      <c r="BN1058" s="66"/>
      <c r="BO1058" s="66"/>
      <c r="BP1058" s="66"/>
      <c r="BQ1058" s="66" t="str">
        <f>PROPER(TEXT(Prog_23[[#This Row],[PROGRAMAÇÃO CLIENTE]],"mmm"))</f>
        <v>Jan</v>
      </c>
      <c r="BR1058" s="66">
        <f>YEAR(Prog_23[[#This Row],[PROGRAMAÇÃO CLIENTE]])</f>
        <v>1900</v>
      </c>
    </row>
    <row r="1059" spans="1:70" x14ac:dyDescent="0.25">
      <c r="A1059" s="200">
        <f>Prog_23[[#This Row],[CONTEINER]]</f>
        <v>0</v>
      </c>
      <c r="B1059" s="86"/>
      <c r="C10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59" s="44"/>
      <c r="E1059" s="66"/>
      <c r="F1059" s="66"/>
      <c r="G1059" s="66"/>
      <c r="H1059" s="44"/>
      <c r="I1059" s="44"/>
      <c r="J1059" s="66"/>
      <c r="K1059" s="66"/>
      <c r="L1059" s="66"/>
      <c r="M1059" s="66"/>
      <c r="N1059" s="66">
        <f>SUM(Prog_23[[#This Row],[TARA]]+Prog_23[[#This Row],[PESO]])</f>
        <v>0</v>
      </c>
      <c r="O1059" s="44"/>
      <c r="P1059" s="66"/>
      <c r="Q1059" s="66"/>
      <c r="R1059" s="66"/>
      <c r="S1059" s="66"/>
      <c r="T1059" s="138" t="str">
        <f>IFERROR(LOOKUP($S1059,MOTORISTAS!$D$3:$D$916,MOTORISTAS!E$3:$E$916),"")</f>
        <v/>
      </c>
      <c r="U1059" s="138" t="str">
        <f>IFERROR(LOOKUP($S1059,MOTORISTAS!$D$3:$D$916,MOTORISTAS!F$3:$F$916),"")</f>
        <v/>
      </c>
      <c r="V1059" s="66"/>
      <c r="W1059" s="66"/>
      <c r="X1059" s="66"/>
      <c r="Y1059" s="66"/>
      <c r="Z1059" s="66"/>
      <c r="AA1059" s="66"/>
      <c r="AB1059" s="66"/>
      <c r="AC1059" s="66"/>
      <c r="AD1059" s="66"/>
      <c r="AE1059" s="66"/>
      <c r="AF1059" s="44"/>
      <c r="AG1059" s="254">
        <f>Prog_23[[#This Row],[SAÍDA DO CLIENTE]]-Prog_23[[#This Row],[PROGRAMAÇÃO CLIENTE]]</f>
        <v>0</v>
      </c>
      <c r="AH1059" s="44"/>
      <c r="AI1059" s="66"/>
      <c r="AJ1059" s="66"/>
      <c r="AK1059" s="66"/>
      <c r="AL1059" s="66"/>
      <c r="AM1059" s="66"/>
      <c r="AN1059" s="83"/>
      <c r="AO1059" s="83"/>
      <c r="AP1059" s="83"/>
      <c r="AQ1059" s="66"/>
      <c r="AR1059" s="66"/>
      <c r="AS1059" s="66"/>
      <c r="AT1059" s="81"/>
      <c r="AU1059" s="81"/>
      <c r="AV1059" s="81"/>
      <c r="AW1059" s="81"/>
      <c r="AX1059" s="83">
        <f>SUM(Prog_23[[#This Row],[ADIANTAMENTO]]+Prog_23[[#This Row],[SALDO]]+Prog_23[[#This Row],[MARGEM]]+Prog_23[[#This Row],[ESTADIA 1]])</f>
        <v>0</v>
      </c>
      <c r="AY10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59" s="81"/>
      <c r="BA1059" s="81"/>
      <c r="BB1059" s="81">
        <f>Prog_23[[#This Row],[VLR NF]]*0.1%</f>
        <v>0</v>
      </c>
      <c r="BC1059" s="81">
        <f>Prog_23[[#This Row],[VLR NF]]*0.05%</f>
        <v>0</v>
      </c>
      <c r="BD1059" s="81"/>
      <c r="BE1059" s="81"/>
      <c r="BF1059" s="81"/>
      <c r="BG1059" s="81"/>
      <c r="BH1059" s="81"/>
      <c r="BI1059" s="81"/>
      <c r="BJ1059" s="81"/>
      <c r="BK1059" s="81"/>
      <c r="BL1059" s="81"/>
      <c r="BM1059" s="81"/>
      <c r="BN1059" s="66"/>
      <c r="BO1059" s="66"/>
      <c r="BP1059" s="66"/>
      <c r="BQ1059" s="66" t="str">
        <f>PROPER(TEXT(Prog_23[[#This Row],[PROGRAMAÇÃO CLIENTE]],"mmm"))</f>
        <v>Jan</v>
      </c>
      <c r="BR1059" s="66">
        <f>YEAR(Prog_23[[#This Row],[PROGRAMAÇÃO CLIENTE]])</f>
        <v>1900</v>
      </c>
    </row>
    <row r="1060" spans="1:70" x14ac:dyDescent="0.25">
      <c r="A1060" s="201">
        <f>Prog_23[[#This Row],[CONTEINER]]</f>
        <v>0</v>
      </c>
      <c r="B1060" s="86"/>
      <c r="C10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60" s="44"/>
      <c r="E1060" s="66"/>
      <c r="F1060" s="66"/>
      <c r="G1060" s="66"/>
      <c r="H1060" s="44"/>
      <c r="I1060" s="44"/>
      <c r="J1060" s="66"/>
      <c r="K1060" s="66"/>
      <c r="L1060" s="66"/>
      <c r="M1060" s="66"/>
      <c r="N1060" s="66">
        <f>SUM(Prog_23[[#This Row],[TARA]]+Prog_23[[#This Row],[PESO]])</f>
        <v>0</v>
      </c>
      <c r="O1060" s="44"/>
      <c r="P1060" s="66"/>
      <c r="Q1060" s="66"/>
      <c r="R1060" s="66"/>
      <c r="S1060" s="66"/>
      <c r="T1060" s="138" t="str">
        <f>IFERROR(LOOKUP($S1060,MOTORISTAS!$D$3:$D$916,MOTORISTAS!E$3:$E$916),"")</f>
        <v/>
      </c>
      <c r="U1060" s="138" t="str">
        <f>IFERROR(LOOKUP($S1060,MOTORISTAS!$D$3:$D$916,MOTORISTAS!F$3:$F$916),"")</f>
        <v/>
      </c>
      <c r="V1060" s="66"/>
      <c r="W1060" s="66"/>
      <c r="X1060" s="66"/>
      <c r="Y1060" s="66"/>
      <c r="Z1060" s="66"/>
      <c r="AA1060" s="66"/>
      <c r="AB1060" s="66"/>
      <c r="AC1060" s="66"/>
      <c r="AD1060" s="66"/>
      <c r="AE1060" s="66"/>
      <c r="AF1060" s="44"/>
      <c r="AG1060" s="254">
        <f>Prog_23[[#This Row],[SAÍDA DO CLIENTE]]-Prog_23[[#This Row],[PROGRAMAÇÃO CLIENTE]]</f>
        <v>0</v>
      </c>
      <c r="AH1060" s="44"/>
      <c r="AI1060" s="66"/>
      <c r="AJ1060" s="66"/>
      <c r="AK1060" s="66"/>
      <c r="AL1060" s="66"/>
      <c r="AM1060" s="66"/>
      <c r="AN1060" s="83"/>
      <c r="AO1060" s="83"/>
      <c r="AP1060" s="83"/>
      <c r="AQ1060" s="66"/>
      <c r="AR1060" s="66"/>
      <c r="AS1060" s="66"/>
      <c r="AT1060" s="81"/>
      <c r="AU1060" s="81"/>
      <c r="AV1060" s="81"/>
      <c r="AW1060" s="81"/>
      <c r="AX1060" s="83">
        <f>SUM(Prog_23[[#This Row],[ADIANTAMENTO]]+Prog_23[[#This Row],[SALDO]]+Prog_23[[#This Row],[MARGEM]]+Prog_23[[#This Row],[ESTADIA 1]])</f>
        <v>0</v>
      </c>
      <c r="AY10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60" s="81"/>
      <c r="BA1060" s="81"/>
      <c r="BB1060" s="81">
        <f>Prog_23[[#This Row],[VLR NF]]*0.1%</f>
        <v>0</v>
      </c>
      <c r="BC1060" s="81">
        <f>Prog_23[[#This Row],[VLR NF]]*0.05%</f>
        <v>0</v>
      </c>
      <c r="BD1060" s="81"/>
      <c r="BE1060" s="81"/>
      <c r="BF1060" s="81"/>
      <c r="BG1060" s="81"/>
      <c r="BH1060" s="81"/>
      <c r="BI1060" s="81"/>
      <c r="BJ1060" s="81"/>
      <c r="BK1060" s="81"/>
      <c r="BL1060" s="81"/>
      <c r="BM1060" s="81"/>
      <c r="BN1060" s="66"/>
      <c r="BO1060" s="66"/>
      <c r="BP1060" s="66"/>
      <c r="BQ1060" s="66" t="str">
        <f>PROPER(TEXT(Prog_23[[#This Row],[PROGRAMAÇÃO CLIENTE]],"mmm"))</f>
        <v>Jan</v>
      </c>
      <c r="BR1060" s="66">
        <f>YEAR(Prog_23[[#This Row],[PROGRAMAÇÃO CLIENTE]])</f>
        <v>1900</v>
      </c>
    </row>
    <row r="1061" spans="1:70" x14ac:dyDescent="0.25">
      <c r="A1061" s="200">
        <f>Prog_23[[#This Row],[CONTEINER]]</f>
        <v>0</v>
      </c>
      <c r="B1061" s="86"/>
      <c r="C10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61" s="44"/>
      <c r="E1061" s="66"/>
      <c r="F1061" s="66"/>
      <c r="G1061" s="66"/>
      <c r="H1061" s="44"/>
      <c r="I1061" s="44"/>
      <c r="J1061" s="66"/>
      <c r="K1061" s="66"/>
      <c r="L1061" s="66"/>
      <c r="M1061" s="66"/>
      <c r="N1061" s="66">
        <f>SUM(Prog_23[[#This Row],[TARA]]+Prog_23[[#This Row],[PESO]])</f>
        <v>0</v>
      </c>
      <c r="O1061" s="44"/>
      <c r="P1061" s="66"/>
      <c r="Q1061" s="66"/>
      <c r="R1061" s="66"/>
      <c r="S1061" s="66"/>
      <c r="T1061" s="138" t="str">
        <f>IFERROR(LOOKUP($S1061,MOTORISTAS!$D$3:$D$916,MOTORISTAS!E$3:$E$916),"")</f>
        <v/>
      </c>
      <c r="U1061" s="138" t="str">
        <f>IFERROR(LOOKUP($S1061,MOTORISTAS!$D$3:$D$916,MOTORISTAS!F$3:$F$916),"")</f>
        <v/>
      </c>
      <c r="V1061" s="66"/>
      <c r="W1061" s="66"/>
      <c r="X1061" s="66"/>
      <c r="Y1061" s="66"/>
      <c r="Z1061" s="66"/>
      <c r="AA1061" s="66"/>
      <c r="AB1061" s="66"/>
      <c r="AC1061" s="66"/>
      <c r="AD1061" s="66"/>
      <c r="AE1061" s="66"/>
      <c r="AF1061" s="44"/>
      <c r="AG1061" s="254">
        <f>Prog_23[[#This Row],[SAÍDA DO CLIENTE]]-Prog_23[[#This Row],[PROGRAMAÇÃO CLIENTE]]</f>
        <v>0</v>
      </c>
      <c r="AH1061" s="44"/>
      <c r="AI1061" s="66"/>
      <c r="AJ1061" s="66"/>
      <c r="AK1061" s="66"/>
      <c r="AL1061" s="66"/>
      <c r="AM1061" s="66"/>
      <c r="AN1061" s="83"/>
      <c r="AO1061" s="83"/>
      <c r="AP1061" s="83"/>
      <c r="AQ1061" s="66"/>
      <c r="AR1061" s="66"/>
      <c r="AS1061" s="66"/>
      <c r="AT1061" s="81"/>
      <c r="AU1061" s="81"/>
      <c r="AV1061" s="81"/>
      <c r="AW1061" s="81"/>
      <c r="AX1061" s="83">
        <f>SUM(Prog_23[[#This Row],[ADIANTAMENTO]]+Prog_23[[#This Row],[SALDO]]+Prog_23[[#This Row],[MARGEM]]+Prog_23[[#This Row],[ESTADIA 1]])</f>
        <v>0</v>
      </c>
      <c r="AY10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61" s="81"/>
      <c r="BA1061" s="81"/>
      <c r="BB1061" s="81">
        <f>Prog_23[[#This Row],[VLR NF]]*0.1%</f>
        <v>0</v>
      </c>
      <c r="BC1061" s="81">
        <f>Prog_23[[#This Row],[VLR NF]]*0.05%</f>
        <v>0</v>
      </c>
      <c r="BD1061" s="81"/>
      <c r="BE1061" s="81"/>
      <c r="BF1061" s="81"/>
      <c r="BG1061" s="81"/>
      <c r="BH1061" s="81"/>
      <c r="BI1061" s="81"/>
      <c r="BJ1061" s="81"/>
      <c r="BK1061" s="81"/>
      <c r="BL1061" s="81"/>
      <c r="BM1061" s="81"/>
      <c r="BN1061" s="66"/>
      <c r="BO1061" s="66"/>
      <c r="BP1061" s="66"/>
      <c r="BQ1061" s="66" t="str">
        <f>PROPER(TEXT(Prog_23[[#This Row],[PROGRAMAÇÃO CLIENTE]],"mmm"))</f>
        <v>Jan</v>
      </c>
      <c r="BR1061" s="66">
        <f>YEAR(Prog_23[[#This Row],[PROGRAMAÇÃO CLIENTE]])</f>
        <v>1900</v>
      </c>
    </row>
    <row r="1062" spans="1:70" x14ac:dyDescent="0.25">
      <c r="A1062" s="201">
        <f>Prog_23[[#This Row],[CONTEINER]]</f>
        <v>0</v>
      </c>
      <c r="B1062" s="86"/>
      <c r="C10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62" s="44"/>
      <c r="E1062" s="66"/>
      <c r="F1062" s="66"/>
      <c r="G1062" s="66"/>
      <c r="H1062" s="44"/>
      <c r="I1062" s="44"/>
      <c r="J1062" s="66"/>
      <c r="K1062" s="66"/>
      <c r="L1062" s="66"/>
      <c r="M1062" s="66"/>
      <c r="N1062" s="66">
        <f>SUM(Prog_23[[#This Row],[TARA]]+Prog_23[[#This Row],[PESO]])</f>
        <v>0</v>
      </c>
      <c r="O1062" s="44"/>
      <c r="P1062" s="66"/>
      <c r="Q1062" s="66"/>
      <c r="R1062" s="66"/>
      <c r="S1062" s="66"/>
      <c r="T1062" s="138" t="str">
        <f>IFERROR(LOOKUP($S1062,MOTORISTAS!$D$3:$D$916,MOTORISTAS!E$3:$E$916),"")</f>
        <v/>
      </c>
      <c r="U1062" s="138" t="str">
        <f>IFERROR(LOOKUP($S1062,MOTORISTAS!$D$3:$D$916,MOTORISTAS!F$3:$F$916),"")</f>
        <v/>
      </c>
      <c r="V1062" s="66"/>
      <c r="W1062" s="66"/>
      <c r="X1062" s="66"/>
      <c r="Y1062" s="66"/>
      <c r="Z1062" s="66"/>
      <c r="AA1062" s="66"/>
      <c r="AB1062" s="66"/>
      <c r="AC1062" s="66"/>
      <c r="AD1062" s="66"/>
      <c r="AE1062" s="66"/>
      <c r="AF1062" s="44"/>
      <c r="AG1062" s="254">
        <f>Prog_23[[#This Row],[SAÍDA DO CLIENTE]]-Prog_23[[#This Row],[PROGRAMAÇÃO CLIENTE]]</f>
        <v>0</v>
      </c>
      <c r="AH1062" s="44"/>
      <c r="AI1062" s="66"/>
      <c r="AJ1062" s="66"/>
      <c r="AK1062" s="66"/>
      <c r="AL1062" s="66"/>
      <c r="AM1062" s="66"/>
      <c r="AN1062" s="83"/>
      <c r="AO1062" s="83"/>
      <c r="AP1062" s="83"/>
      <c r="AQ1062" s="66"/>
      <c r="AR1062" s="66"/>
      <c r="AS1062" s="66"/>
      <c r="AT1062" s="81"/>
      <c r="AU1062" s="81"/>
      <c r="AV1062" s="81"/>
      <c r="AW1062" s="81"/>
      <c r="AX1062" s="83">
        <f>SUM(Prog_23[[#This Row],[ADIANTAMENTO]]+Prog_23[[#This Row],[SALDO]]+Prog_23[[#This Row],[MARGEM]]+Prog_23[[#This Row],[ESTADIA 1]])</f>
        <v>0</v>
      </c>
      <c r="AY10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62" s="81"/>
      <c r="BA1062" s="81"/>
      <c r="BB1062" s="81">
        <f>Prog_23[[#This Row],[VLR NF]]*0.1%</f>
        <v>0</v>
      </c>
      <c r="BC1062" s="81">
        <f>Prog_23[[#This Row],[VLR NF]]*0.05%</f>
        <v>0</v>
      </c>
      <c r="BD1062" s="81"/>
      <c r="BE1062" s="81"/>
      <c r="BF1062" s="81"/>
      <c r="BG1062" s="81"/>
      <c r="BH1062" s="81"/>
      <c r="BI1062" s="81"/>
      <c r="BJ1062" s="81"/>
      <c r="BK1062" s="81"/>
      <c r="BL1062" s="81"/>
      <c r="BM1062" s="81"/>
      <c r="BN1062" s="66"/>
      <c r="BO1062" s="66"/>
      <c r="BP1062" s="66"/>
      <c r="BQ1062" s="66" t="str">
        <f>PROPER(TEXT(Prog_23[[#This Row],[PROGRAMAÇÃO CLIENTE]],"mmm"))</f>
        <v>Jan</v>
      </c>
      <c r="BR1062" s="66">
        <f>YEAR(Prog_23[[#This Row],[PROGRAMAÇÃO CLIENTE]])</f>
        <v>1900</v>
      </c>
    </row>
    <row r="1063" spans="1:70" x14ac:dyDescent="0.25">
      <c r="A1063" s="200">
        <f>Prog_23[[#This Row],[CONTEINER]]</f>
        <v>0</v>
      </c>
      <c r="B1063" s="86"/>
      <c r="C10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63" s="44"/>
      <c r="E1063" s="66"/>
      <c r="F1063" s="66"/>
      <c r="G1063" s="66"/>
      <c r="H1063" s="44"/>
      <c r="I1063" s="44"/>
      <c r="J1063" s="66"/>
      <c r="K1063" s="66"/>
      <c r="L1063" s="66"/>
      <c r="M1063" s="66"/>
      <c r="N1063" s="66">
        <f>SUM(Prog_23[[#This Row],[TARA]]+Prog_23[[#This Row],[PESO]])</f>
        <v>0</v>
      </c>
      <c r="O1063" s="44"/>
      <c r="P1063" s="66"/>
      <c r="Q1063" s="66"/>
      <c r="R1063" s="66"/>
      <c r="S1063" s="66"/>
      <c r="T1063" s="138" t="str">
        <f>IFERROR(LOOKUP($S1063,MOTORISTAS!$D$3:$D$916,MOTORISTAS!E$3:$E$916),"")</f>
        <v/>
      </c>
      <c r="U1063" s="138" t="str">
        <f>IFERROR(LOOKUP($S1063,MOTORISTAS!$D$3:$D$916,MOTORISTAS!F$3:$F$916),"")</f>
        <v/>
      </c>
      <c r="V1063" s="66"/>
      <c r="W1063" s="66"/>
      <c r="X1063" s="66"/>
      <c r="Y1063" s="66"/>
      <c r="Z1063" s="66"/>
      <c r="AA1063" s="66"/>
      <c r="AB1063" s="66"/>
      <c r="AC1063" s="66"/>
      <c r="AD1063" s="66"/>
      <c r="AE1063" s="66"/>
      <c r="AF1063" s="44"/>
      <c r="AG1063" s="254">
        <f>Prog_23[[#This Row],[SAÍDA DO CLIENTE]]-Prog_23[[#This Row],[PROGRAMAÇÃO CLIENTE]]</f>
        <v>0</v>
      </c>
      <c r="AH1063" s="44"/>
      <c r="AI1063" s="66"/>
      <c r="AJ1063" s="66"/>
      <c r="AK1063" s="66"/>
      <c r="AL1063" s="66"/>
      <c r="AM1063" s="66"/>
      <c r="AN1063" s="83"/>
      <c r="AO1063" s="83"/>
      <c r="AP1063" s="83"/>
      <c r="AQ1063" s="66"/>
      <c r="AR1063" s="66"/>
      <c r="AS1063" s="66"/>
      <c r="AT1063" s="81"/>
      <c r="AU1063" s="81"/>
      <c r="AV1063" s="81"/>
      <c r="AW1063" s="81"/>
      <c r="AX1063" s="83">
        <f>SUM(Prog_23[[#This Row],[ADIANTAMENTO]]+Prog_23[[#This Row],[SALDO]]+Prog_23[[#This Row],[MARGEM]]+Prog_23[[#This Row],[ESTADIA 1]])</f>
        <v>0</v>
      </c>
      <c r="AY10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63" s="81"/>
      <c r="BA1063" s="81"/>
      <c r="BB1063" s="81">
        <f>Prog_23[[#This Row],[VLR NF]]*0.1%</f>
        <v>0</v>
      </c>
      <c r="BC1063" s="81">
        <f>Prog_23[[#This Row],[VLR NF]]*0.05%</f>
        <v>0</v>
      </c>
      <c r="BD1063" s="81"/>
      <c r="BE1063" s="81"/>
      <c r="BF1063" s="81"/>
      <c r="BG1063" s="81"/>
      <c r="BH1063" s="81"/>
      <c r="BI1063" s="81"/>
      <c r="BJ1063" s="81"/>
      <c r="BK1063" s="81"/>
      <c r="BL1063" s="81"/>
      <c r="BM1063" s="81"/>
      <c r="BN1063" s="66"/>
      <c r="BO1063" s="66"/>
      <c r="BP1063" s="66"/>
      <c r="BQ1063" s="66" t="str">
        <f>PROPER(TEXT(Prog_23[[#This Row],[PROGRAMAÇÃO CLIENTE]],"mmm"))</f>
        <v>Jan</v>
      </c>
      <c r="BR1063" s="66">
        <f>YEAR(Prog_23[[#This Row],[PROGRAMAÇÃO CLIENTE]])</f>
        <v>1900</v>
      </c>
    </row>
    <row r="1064" spans="1:70" x14ac:dyDescent="0.25">
      <c r="A1064" s="201">
        <f>Prog_23[[#This Row],[CONTEINER]]</f>
        <v>0</v>
      </c>
      <c r="B1064" s="86"/>
      <c r="C10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64" s="44"/>
      <c r="E1064" s="66"/>
      <c r="F1064" s="66"/>
      <c r="G1064" s="66"/>
      <c r="H1064" s="44"/>
      <c r="I1064" s="44"/>
      <c r="J1064" s="66"/>
      <c r="K1064" s="66"/>
      <c r="L1064" s="66"/>
      <c r="M1064" s="66"/>
      <c r="N1064" s="66">
        <f>SUM(Prog_23[[#This Row],[TARA]]+Prog_23[[#This Row],[PESO]])</f>
        <v>0</v>
      </c>
      <c r="O1064" s="44"/>
      <c r="P1064" s="66"/>
      <c r="Q1064" s="66"/>
      <c r="R1064" s="66"/>
      <c r="S1064" s="66"/>
      <c r="T1064" s="138" t="str">
        <f>IFERROR(LOOKUP($S1064,MOTORISTAS!$D$3:$D$916,MOTORISTAS!E$3:$E$916),"")</f>
        <v/>
      </c>
      <c r="U1064" s="138" t="str">
        <f>IFERROR(LOOKUP($S1064,MOTORISTAS!$D$3:$D$916,MOTORISTAS!F$3:$F$916),"")</f>
        <v/>
      </c>
      <c r="V1064" s="66"/>
      <c r="W1064" s="66"/>
      <c r="X1064" s="66"/>
      <c r="Y1064" s="66"/>
      <c r="Z1064" s="66"/>
      <c r="AA1064" s="66"/>
      <c r="AB1064" s="66"/>
      <c r="AC1064" s="66"/>
      <c r="AD1064" s="66"/>
      <c r="AE1064" s="66"/>
      <c r="AF1064" s="44"/>
      <c r="AG1064" s="254">
        <f>Prog_23[[#This Row],[SAÍDA DO CLIENTE]]-Prog_23[[#This Row],[PROGRAMAÇÃO CLIENTE]]</f>
        <v>0</v>
      </c>
      <c r="AH1064" s="44"/>
      <c r="AI1064" s="66"/>
      <c r="AJ1064" s="66"/>
      <c r="AK1064" s="66"/>
      <c r="AL1064" s="66"/>
      <c r="AM1064" s="66"/>
      <c r="AN1064" s="83"/>
      <c r="AO1064" s="83"/>
      <c r="AP1064" s="83"/>
      <c r="AQ1064" s="66"/>
      <c r="AR1064" s="66"/>
      <c r="AS1064" s="66"/>
      <c r="AT1064" s="81"/>
      <c r="AU1064" s="81"/>
      <c r="AV1064" s="81"/>
      <c r="AW1064" s="81"/>
      <c r="AX1064" s="83">
        <f>SUM(Prog_23[[#This Row],[ADIANTAMENTO]]+Prog_23[[#This Row],[SALDO]]+Prog_23[[#This Row],[MARGEM]]+Prog_23[[#This Row],[ESTADIA 1]])</f>
        <v>0</v>
      </c>
      <c r="AY10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64" s="81"/>
      <c r="BA1064" s="81"/>
      <c r="BB1064" s="81">
        <f>Prog_23[[#This Row],[VLR NF]]*0.1%</f>
        <v>0</v>
      </c>
      <c r="BC1064" s="81">
        <f>Prog_23[[#This Row],[VLR NF]]*0.05%</f>
        <v>0</v>
      </c>
      <c r="BD1064" s="81"/>
      <c r="BE1064" s="81"/>
      <c r="BF1064" s="81"/>
      <c r="BG1064" s="81"/>
      <c r="BH1064" s="81"/>
      <c r="BI1064" s="81"/>
      <c r="BJ1064" s="81"/>
      <c r="BK1064" s="81"/>
      <c r="BL1064" s="81"/>
      <c r="BM1064" s="81"/>
      <c r="BN1064" s="66"/>
      <c r="BO1064" s="66"/>
      <c r="BP1064" s="66"/>
      <c r="BQ1064" s="66" t="str">
        <f>PROPER(TEXT(Prog_23[[#This Row],[PROGRAMAÇÃO CLIENTE]],"mmm"))</f>
        <v>Jan</v>
      </c>
      <c r="BR1064" s="66">
        <f>YEAR(Prog_23[[#This Row],[PROGRAMAÇÃO CLIENTE]])</f>
        <v>1900</v>
      </c>
    </row>
    <row r="1065" spans="1:70" x14ac:dyDescent="0.25">
      <c r="A1065" s="200">
        <f>Prog_23[[#This Row],[CONTEINER]]</f>
        <v>0</v>
      </c>
      <c r="B1065" s="86"/>
      <c r="C10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65" s="44"/>
      <c r="E1065" s="66"/>
      <c r="F1065" s="66"/>
      <c r="G1065" s="66"/>
      <c r="H1065" s="44"/>
      <c r="I1065" s="44"/>
      <c r="J1065" s="66"/>
      <c r="K1065" s="66"/>
      <c r="L1065" s="66"/>
      <c r="M1065" s="66"/>
      <c r="N1065" s="66">
        <f>SUM(Prog_23[[#This Row],[TARA]]+Prog_23[[#This Row],[PESO]])</f>
        <v>0</v>
      </c>
      <c r="O1065" s="44"/>
      <c r="P1065" s="66"/>
      <c r="Q1065" s="66"/>
      <c r="R1065" s="66"/>
      <c r="S1065" s="66"/>
      <c r="T1065" s="138" t="str">
        <f>IFERROR(LOOKUP($S1065,MOTORISTAS!$D$3:$D$916,MOTORISTAS!E$3:$E$916),"")</f>
        <v/>
      </c>
      <c r="U1065" s="138" t="str">
        <f>IFERROR(LOOKUP($S1065,MOTORISTAS!$D$3:$D$916,MOTORISTAS!F$3:$F$916),"")</f>
        <v/>
      </c>
      <c r="V1065" s="66"/>
      <c r="W1065" s="66"/>
      <c r="X1065" s="66"/>
      <c r="Y1065" s="66"/>
      <c r="Z1065" s="66"/>
      <c r="AA1065" s="66"/>
      <c r="AB1065" s="66"/>
      <c r="AC1065" s="66"/>
      <c r="AD1065" s="66"/>
      <c r="AE1065" s="66"/>
      <c r="AF1065" s="44"/>
      <c r="AG1065" s="254">
        <f>Prog_23[[#This Row],[SAÍDA DO CLIENTE]]-Prog_23[[#This Row],[PROGRAMAÇÃO CLIENTE]]</f>
        <v>0</v>
      </c>
      <c r="AH1065" s="44"/>
      <c r="AI1065" s="66"/>
      <c r="AJ1065" s="66"/>
      <c r="AK1065" s="66"/>
      <c r="AL1065" s="66"/>
      <c r="AM1065" s="66"/>
      <c r="AN1065" s="83"/>
      <c r="AO1065" s="83"/>
      <c r="AP1065" s="83"/>
      <c r="AQ1065" s="66"/>
      <c r="AR1065" s="66"/>
      <c r="AS1065" s="66"/>
      <c r="AT1065" s="81"/>
      <c r="AU1065" s="81"/>
      <c r="AV1065" s="81"/>
      <c r="AW1065" s="81"/>
      <c r="AX1065" s="83">
        <f>SUM(Prog_23[[#This Row],[ADIANTAMENTO]]+Prog_23[[#This Row],[SALDO]]+Prog_23[[#This Row],[MARGEM]]+Prog_23[[#This Row],[ESTADIA 1]])</f>
        <v>0</v>
      </c>
      <c r="AY10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65" s="81"/>
      <c r="BA1065" s="81"/>
      <c r="BB1065" s="81">
        <f>Prog_23[[#This Row],[VLR NF]]*0.1%</f>
        <v>0</v>
      </c>
      <c r="BC1065" s="81">
        <f>Prog_23[[#This Row],[VLR NF]]*0.05%</f>
        <v>0</v>
      </c>
      <c r="BD1065" s="81"/>
      <c r="BE1065" s="81"/>
      <c r="BF1065" s="81"/>
      <c r="BG1065" s="81"/>
      <c r="BH1065" s="81"/>
      <c r="BI1065" s="81"/>
      <c r="BJ1065" s="81"/>
      <c r="BK1065" s="81"/>
      <c r="BL1065" s="81"/>
      <c r="BM1065" s="81"/>
      <c r="BN1065" s="66"/>
      <c r="BO1065" s="66"/>
      <c r="BP1065" s="66"/>
      <c r="BQ1065" s="66" t="str">
        <f>PROPER(TEXT(Prog_23[[#This Row],[PROGRAMAÇÃO CLIENTE]],"mmm"))</f>
        <v>Jan</v>
      </c>
      <c r="BR1065" s="66">
        <f>YEAR(Prog_23[[#This Row],[PROGRAMAÇÃO CLIENTE]])</f>
        <v>1900</v>
      </c>
    </row>
    <row r="1066" spans="1:70" x14ac:dyDescent="0.25">
      <c r="A1066" s="201">
        <f>Prog_23[[#This Row],[CONTEINER]]</f>
        <v>0</v>
      </c>
      <c r="B1066" s="86"/>
      <c r="C10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66" s="44"/>
      <c r="E1066" s="66"/>
      <c r="F1066" s="66"/>
      <c r="G1066" s="66"/>
      <c r="H1066" s="44"/>
      <c r="I1066" s="44"/>
      <c r="J1066" s="66"/>
      <c r="K1066" s="66"/>
      <c r="L1066" s="66"/>
      <c r="M1066" s="66"/>
      <c r="N1066" s="66">
        <f>SUM(Prog_23[[#This Row],[TARA]]+Prog_23[[#This Row],[PESO]])</f>
        <v>0</v>
      </c>
      <c r="O1066" s="44"/>
      <c r="P1066" s="66"/>
      <c r="Q1066" s="66"/>
      <c r="R1066" s="66"/>
      <c r="S1066" s="66"/>
      <c r="T1066" s="138" t="str">
        <f>IFERROR(LOOKUP($S1066,MOTORISTAS!$D$3:$D$916,MOTORISTAS!E$3:$E$916),"")</f>
        <v/>
      </c>
      <c r="U1066" s="138" t="str">
        <f>IFERROR(LOOKUP($S1066,MOTORISTAS!$D$3:$D$916,MOTORISTAS!F$3:$F$916),"")</f>
        <v/>
      </c>
      <c r="V1066" s="66"/>
      <c r="W1066" s="66"/>
      <c r="X1066" s="66"/>
      <c r="Y1066" s="66"/>
      <c r="Z1066" s="66"/>
      <c r="AA1066" s="66"/>
      <c r="AB1066" s="66"/>
      <c r="AC1066" s="66"/>
      <c r="AD1066" s="66"/>
      <c r="AE1066" s="66"/>
      <c r="AF1066" s="44"/>
      <c r="AG1066" s="254">
        <f>Prog_23[[#This Row],[SAÍDA DO CLIENTE]]-Prog_23[[#This Row],[PROGRAMAÇÃO CLIENTE]]</f>
        <v>0</v>
      </c>
      <c r="AH1066" s="44"/>
      <c r="AI1066" s="66"/>
      <c r="AJ1066" s="66"/>
      <c r="AK1066" s="66"/>
      <c r="AL1066" s="66"/>
      <c r="AM1066" s="66"/>
      <c r="AN1066" s="83"/>
      <c r="AO1066" s="83"/>
      <c r="AP1066" s="83"/>
      <c r="AQ1066" s="66"/>
      <c r="AR1066" s="66"/>
      <c r="AS1066" s="66"/>
      <c r="AT1066" s="81"/>
      <c r="AU1066" s="81"/>
      <c r="AV1066" s="81"/>
      <c r="AW1066" s="81"/>
      <c r="AX1066" s="83">
        <f>SUM(Prog_23[[#This Row],[ADIANTAMENTO]]+Prog_23[[#This Row],[SALDO]]+Prog_23[[#This Row],[MARGEM]]+Prog_23[[#This Row],[ESTADIA 1]])</f>
        <v>0</v>
      </c>
      <c r="AY10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66" s="81"/>
      <c r="BA1066" s="81"/>
      <c r="BB1066" s="81">
        <f>Prog_23[[#This Row],[VLR NF]]*0.1%</f>
        <v>0</v>
      </c>
      <c r="BC1066" s="81">
        <f>Prog_23[[#This Row],[VLR NF]]*0.05%</f>
        <v>0</v>
      </c>
      <c r="BD1066" s="81"/>
      <c r="BE1066" s="81"/>
      <c r="BF1066" s="81"/>
      <c r="BG1066" s="81"/>
      <c r="BH1066" s="81"/>
      <c r="BI1066" s="81"/>
      <c r="BJ1066" s="81"/>
      <c r="BK1066" s="81"/>
      <c r="BL1066" s="81"/>
      <c r="BM1066" s="81"/>
      <c r="BN1066" s="66"/>
      <c r="BO1066" s="66"/>
      <c r="BP1066" s="66"/>
      <c r="BQ1066" s="66" t="str">
        <f>PROPER(TEXT(Prog_23[[#This Row],[PROGRAMAÇÃO CLIENTE]],"mmm"))</f>
        <v>Jan</v>
      </c>
      <c r="BR1066" s="66">
        <f>YEAR(Prog_23[[#This Row],[PROGRAMAÇÃO CLIENTE]])</f>
        <v>1900</v>
      </c>
    </row>
    <row r="1067" spans="1:70" x14ac:dyDescent="0.25">
      <c r="A1067" s="200">
        <f>Prog_23[[#This Row],[CONTEINER]]</f>
        <v>0</v>
      </c>
      <c r="B1067" s="86"/>
      <c r="C10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67" s="44"/>
      <c r="E1067" s="66"/>
      <c r="F1067" s="66"/>
      <c r="G1067" s="66"/>
      <c r="H1067" s="44"/>
      <c r="I1067" s="44"/>
      <c r="J1067" s="66"/>
      <c r="K1067" s="66"/>
      <c r="L1067" s="66"/>
      <c r="M1067" s="66"/>
      <c r="N1067" s="66">
        <f>SUM(Prog_23[[#This Row],[TARA]]+Prog_23[[#This Row],[PESO]])</f>
        <v>0</v>
      </c>
      <c r="O1067" s="44"/>
      <c r="P1067" s="66"/>
      <c r="Q1067" s="66"/>
      <c r="R1067" s="66"/>
      <c r="S1067" s="66"/>
      <c r="T1067" s="138" t="str">
        <f>IFERROR(LOOKUP($S1067,MOTORISTAS!$D$3:$D$916,MOTORISTAS!E$3:$E$916),"")</f>
        <v/>
      </c>
      <c r="U1067" s="138" t="str">
        <f>IFERROR(LOOKUP($S1067,MOTORISTAS!$D$3:$D$916,MOTORISTAS!F$3:$F$916),"")</f>
        <v/>
      </c>
      <c r="V1067" s="66"/>
      <c r="W1067" s="66"/>
      <c r="X1067" s="66"/>
      <c r="Y1067" s="66"/>
      <c r="Z1067" s="66"/>
      <c r="AA1067" s="66"/>
      <c r="AB1067" s="66"/>
      <c r="AC1067" s="66"/>
      <c r="AD1067" s="66"/>
      <c r="AE1067" s="66"/>
      <c r="AF1067" s="44"/>
      <c r="AG1067" s="254">
        <f>Prog_23[[#This Row],[SAÍDA DO CLIENTE]]-Prog_23[[#This Row],[PROGRAMAÇÃO CLIENTE]]</f>
        <v>0</v>
      </c>
      <c r="AH1067" s="44"/>
      <c r="AI1067" s="66"/>
      <c r="AJ1067" s="66"/>
      <c r="AK1067" s="66"/>
      <c r="AL1067" s="66"/>
      <c r="AM1067" s="66"/>
      <c r="AN1067" s="83"/>
      <c r="AO1067" s="83"/>
      <c r="AP1067" s="83"/>
      <c r="AQ1067" s="66"/>
      <c r="AR1067" s="66"/>
      <c r="AS1067" s="66"/>
      <c r="AT1067" s="81"/>
      <c r="AU1067" s="81"/>
      <c r="AV1067" s="81"/>
      <c r="AW1067" s="81"/>
      <c r="AX1067" s="83">
        <f>SUM(Prog_23[[#This Row],[ADIANTAMENTO]]+Prog_23[[#This Row],[SALDO]]+Prog_23[[#This Row],[MARGEM]]+Prog_23[[#This Row],[ESTADIA 1]])</f>
        <v>0</v>
      </c>
      <c r="AY10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67" s="81"/>
      <c r="BA1067" s="81"/>
      <c r="BB1067" s="81">
        <f>Prog_23[[#This Row],[VLR NF]]*0.1%</f>
        <v>0</v>
      </c>
      <c r="BC1067" s="81">
        <f>Prog_23[[#This Row],[VLR NF]]*0.05%</f>
        <v>0</v>
      </c>
      <c r="BD1067" s="81"/>
      <c r="BE1067" s="81"/>
      <c r="BF1067" s="81"/>
      <c r="BG1067" s="81"/>
      <c r="BH1067" s="81"/>
      <c r="BI1067" s="81"/>
      <c r="BJ1067" s="81"/>
      <c r="BK1067" s="81"/>
      <c r="BL1067" s="81"/>
      <c r="BM1067" s="81"/>
      <c r="BN1067" s="66"/>
      <c r="BO1067" s="66"/>
      <c r="BP1067" s="66"/>
      <c r="BQ1067" s="66" t="str">
        <f>PROPER(TEXT(Prog_23[[#This Row],[PROGRAMAÇÃO CLIENTE]],"mmm"))</f>
        <v>Jan</v>
      </c>
      <c r="BR1067" s="66">
        <f>YEAR(Prog_23[[#This Row],[PROGRAMAÇÃO CLIENTE]])</f>
        <v>1900</v>
      </c>
    </row>
    <row r="1068" spans="1:70" x14ac:dyDescent="0.25">
      <c r="A1068" s="201">
        <f>Prog_23[[#This Row],[CONTEINER]]</f>
        <v>0</v>
      </c>
      <c r="B1068" s="86"/>
      <c r="C10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68" s="44"/>
      <c r="E1068" s="66"/>
      <c r="F1068" s="66"/>
      <c r="G1068" s="66"/>
      <c r="H1068" s="44"/>
      <c r="I1068" s="44"/>
      <c r="J1068" s="66"/>
      <c r="K1068" s="66"/>
      <c r="L1068" s="66"/>
      <c r="M1068" s="66"/>
      <c r="N1068" s="66">
        <f>SUM(Prog_23[[#This Row],[TARA]]+Prog_23[[#This Row],[PESO]])</f>
        <v>0</v>
      </c>
      <c r="O1068" s="44"/>
      <c r="P1068" s="66"/>
      <c r="Q1068" s="66"/>
      <c r="R1068" s="66"/>
      <c r="S1068" s="66"/>
      <c r="T1068" s="138" t="str">
        <f>IFERROR(LOOKUP($S1068,MOTORISTAS!$D$3:$D$916,MOTORISTAS!E$3:$E$916),"")</f>
        <v/>
      </c>
      <c r="U1068" s="138" t="str">
        <f>IFERROR(LOOKUP($S1068,MOTORISTAS!$D$3:$D$916,MOTORISTAS!F$3:$F$916),"")</f>
        <v/>
      </c>
      <c r="V1068" s="66"/>
      <c r="W1068" s="66"/>
      <c r="X1068" s="66"/>
      <c r="Y1068" s="66"/>
      <c r="Z1068" s="66"/>
      <c r="AA1068" s="66"/>
      <c r="AB1068" s="66"/>
      <c r="AC1068" s="66"/>
      <c r="AD1068" s="66"/>
      <c r="AE1068" s="66"/>
      <c r="AF1068" s="44"/>
      <c r="AG1068" s="254">
        <f>Prog_23[[#This Row],[SAÍDA DO CLIENTE]]-Prog_23[[#This Row],[PROGRAMAÇÃO CLIENTE]]</f>
        <v>0</v>
      </c>
      <c r="AH1068" s="44"/>
      <c r="AI1068" s="66"/>
      <c r="AJ1068" s="66"/>
      <c r="AK1068" s="66"/>
      <c r="AL1068" s="66"/>
      <c r="AM1068" s="66"/>
      <c r="AN1068" s="83"/>
      <c r="AO1068" s="83"/>
      <c r="AP1068" s="83"/>
      <c r="AQ1068" s="66"/>
      <c r="AR1068" s="66"/>
      <c r="AS1068" s="66"/>
      <c r="AT1068" s="81"/>
      <c r="AU1068" s="81"/>
      <c r="AV1068" s="81"/>
      <c r="AW1068" s="81"/>
      <c r="AX1068" s="83">
        <f>SUM(Prog_23[[#This Row],[ADIANTAMENTO]]+Prog_23[[#This Row],[SALDO]]+Prog_23[[#This Row],[MARGEM]]+Prog_23[[#This Row],[ESTADIA 1]])</f>
        <v>0</v>
      </c>
      <c r="AY10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68" s="81"/>
      <c r="BA1068" s="81"/>
      <c r="BB1068" s="81">
        <f>Prog_23[[#This Row],[VLR NF]]*0.1%</f>
        <v>0</v>
      </c>
      <c r="BC1068" s="81">
        <f>Prog_23[[#This Row],[VLR NF]]*0.05%</f>
        <v>0</v>
      </c>
      <c r="BD1068" s="81"/>
      <c r="BE1068" s="81"/>
      <c r="BF1068" s="81"/>
      <c r="BG1068" s="81"/>
      <c r="BH1068" s="81"/>
      <c r="BI1068" s="81"/>
      <c r="BJ1068" s="81"/>
      <c r="BK1068" s="81"/>
      <c r="BL1068" s="81"/>
      <c r="BM1068" s="81"/>
      <c r="BN1068" s="66"/>
      <c r="BO1068" s="66"/>
      <c r="BP1068" s="66"/>
      <c r="BQ1068" s="66" t="str">
        <f>PROPER(TEXT(Prog_23[[#This Row],[PROGRAMAÇÃO CLIENTE]],"mmm"))</f>
        <v>Jan</v>
      </c>
      <c r="BR1068" s="66">
        <f>YEAR(Prog_23[[#This Row],[PROGRAMAÇÃO CLIENTE]])</f>
        <v>1900</v>
      </c>
    </row>
    <row r="1069" spans="1:70" x14ac:dyDescent="0.25">
      <c r="A1069" s="200">
        <f>Prog_23[[#This Row],[CONTEINER]]</f>
        <v>0</v>
      </c>
      <c r="B1069" s="86"/>
      <c r="C10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69" s="44"/>
      <c r="E1069" s="66"/>
      <c r="F1069" s="66"/>
      <c r="G1069" s="66"/>
      <c r="H1069" s="44"/>
      <c r="I1069" s="44"/>
      <c r="J1069" s="66"/>
      <c r="K1069" s="66"/>
      <c r="L1069" s="66"/>
      <c r="M1069" s="66"/>
      <c r="N1069" s="66">
        <f>SUM(Prog_23[[#This Row],[TARA]]+Prog_23[[#This Row],[PESO]])</f>
        <v>0</v>
      </c>
      <c r="O1069" s="44"/>
      <c r="P1069" s="66"/>
      <c r="Q1069" s="66"/>
      <c r="R1069" s="66"/>
      <c r="S1069" s="66"/>
      <c r="T1069" s="138" t="str">
        <f>IFERROR(LOOKUP($S1069,MOTORISTAS!$D$3:$D$916,MOTORISTAS!E$3:$E$916),"")</f>
        <v/>
      </c>
      <c r="U1069" s="138" t="str">
        <f>IFERROR(LOOKUP($S1069,MOTORISTAS!$D$3:$D$916,MOTORISTAS!F$3:$F$916),"")</f>
        <v/>
      </c>
      <c r="V1069" s="66"/>
      <c r="W1069" s="66"/>
      <c r="X1069" s="66"/>
      <c r="Y1069" s="66"/>
      <c r="Z1069" s="66"/>
      <c r="AA1069" s="66"/>
      <c r="AB1069" s="66"/>
      <c r="AC1069" s="66"/>
      <c r="AD1069" s="66"/>
      <c r="AE1069" s="66"/>
      <c r="AF1069" s="44"/>
      <c r="AG1069" s="254">
        <f>Prog_23[[#This Row],[SAÍDA DO CLIENTE]]-Prog_23[[#This Row],[PROGRAMAÇÃO CLIENTE]]</f>
        <v>0</v>
      </c>
      <c r="AH1069" s="44"/>
      <c r="AI1069" s="66"/>
      <c r="AJ1069" s="66"/>
      <c r="AK1069" s="66"/>
      <c r="AL1069" s="66"/>
      <c r="AM1069" s="66"/>
      <c r="AN1069" s="83"/>
      <c r="AO1069" s="83"/>
      <c r="AP1069" s="83"/>
      <c r="AQ1069" s="66"/>
      <c r="AR1069" s="66"/>
      <c r="AS1069" s="66"/>
      <c r="AT1069" s="81"/>
      <c r="AU1069" s="81"/>
      <c r="AV1069" s="81"/>
      <c r="AW1069" s="81"/>
      <c r="AX1069" s="83">
        <f>SUM(Prog_23[[#This Row],[ADIANTAMENTO]]+Prog_23[[#This Row],[SALDO]]+Prog_23[[#This Row],[MARGEM]]+Prog_23[[#This Row],[ESTADIA 1]])</f>
        <v>0</v>
      </c>
      <c r="AY10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69" s="81"/>
      <c r="BA1069" s="81"/>
      <c r="BB1069" s="81">
        <f>Prog_23[[#This Row],[VLR NF]]*0.1%</f>
        <v>0</v>
      </c>
      <c r="BC1069" s="81">
        <f>Prog_23[[#This Row],[VLR NF]]*0.05%</f>
        <v>0</v>
      </c>
      <c r="BD1069" s="81"/>
      <c r="BE1069" s="81"/>
      <c r="BF1069" s="81"/>
      <c r="BG1069" s="81"/>
      <c r="BH1069" s="81"/>
      <c r="BI1069" s="81"/>
      <c r="BJ1069" s="81"/>
      <c r="BK1069" s="81"/>
      <c r="BL1069" s="81"/>
      <c r="BM1069" s="81"/>
      <c r="BN1069" s="66"/>
      <c r="BO1069" s="66"/>
      <c r="BP1069" s="66"/>
      <c r="BQ1069" s="66" t="str">
        <f>PROPER(TEXT(Prog_23[[#This Row],[PROGRAMAÇÃO CLIENTE]],"mmm"))</f>
        <v>Jan</v>
      </c>
      <c r="BR1069" s="66">
        <f>YEAR(Prog_23[[#This Row],[PROGRAMAÇÃO CLIENTE]])</f>
        <v>1900</v>
      </c>
    </row>
    <row r="1070" spans="1:70" x14ac:dyDescent="0.25">
      <c r="A1070" s="201">
        <f>Prog_23[[#This Row],[CONTEINER]]</f>
        <v>0</v>
      </c>
      <c r="B1070" s="86"/>
      <c r="C10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70" s="44"/>
      <c r="E1070" s="66"/>
      <c r="F1070" s="66"/>
      <c r="G1070" s="66"/>
      <c r="H1070" s="44"/>
      <c r="I1070" s="44"/>
      <c r="J1070" s="66"/>
      <c r="K1070" s="66"/>
      <c r="L1070" s="66"/>
      <c r="M1070" s="66"/>
      <c r="N1070" s="66">
        <f>SUM(Prog_23[[#This Row],[TARA]]+Prog_23[[#This Row],[PESO]])</f>
        <v>0</v>
      </c>
      <c r="O1070" s="44"/>
      <c r="P1070" s="66"/>
      <c r="Q1070" s="66"/>
      <c r="R1070" s="66"/>
      <c r="S1070" s="66"/>
      <c r="T1070" s="138" t="str">
        <f>IFERROR(LOOKUP($S1070,MOTORISTAS!$D$3:$D$916,MOTORISTAS!E$3:$E$916),"")</f>
        <v/>
      </c>
      <c r="U1070" s="138" t="str">
        <f>IFERROR(LOOKUP($S1070,MOTORISTAS!$D$3:$D$916,MOTORISTAS!F$3:$F$916),"")</f>
        <v/>
      </c>
      <c r="V1070" s="66"/>
      <c r="W1070" s="66"/>
      <c r="X1070" s="66"/>
      <c r="Y1070" s="66"/>
      <c r="Z1070" s="66"/>
      <c r="AA1070" s="66"/>
      <c r="AB1070" s="66"/>
      <c r="AC1070" s="66"/>
      <c r="AD1070" s="66"/>
      <c r="AE1070" s="66"/>
      <c r="AF1070" s="44"/>
      <c r="AG1070" s="254">
        <f>Prog_23[[#This Row],[SAÍDA DO CLIENTE]]-Prog_23[[#This Row],[PROGRAMAÇÃO CLIENTE]]</f>
        <v>0</v>
      </c>
      <c r="AH1070" s="44"/>
      <c r="AI1070" s="66"/>
      <c r="AJ1070" s="66"/>
      <c r="AK1070" s="66"/>
      <c r="AL1070" s="66"/>
      <c r="AM1070" s="66"/>
      <c r="AN1070" s="83"/>
      <c r="AO1070" s="83"/>
      <c r="AP1070" s="83"/>
      <c r="AQ1070" s="66"/>
      <c r="AR1070" s="66"/>
      <c r="AS1070" s="66"/>
      <c r="AT1070" s="81"/>
      <c r="AU1070" s="81"/>
      <c r="AV1070" s="81"/>
      <c r="AW1070" s="81"/>
      <c r="AX1070" s="83">
        <f>SUM(Prog_23[[#This Row],[ADIANTAMENTO]]+Prog_23[[#This Row],[SALDO]]+Prog_23[[#This Row],[MARGEM]]+Prog_23[[#This Row],[ESTADIA 1]])</f>
        <v>0</v>
      </c>
      <c r="AY10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70" s="81"/>
      <c r="BA1070" s="81"/>
      <c r="BB1070" s="81">
        <f>Prog_23[[#This Row],[VLR NF]]*0.1%</f>
        <v>0</v>
      </c>
      <c r="BC1070" s="81">
        <f>Prog_23[[#This Row],[VLR NF]]*0.05%</f>
        <v>0</v>
      </c>
      <c r="BD1070" s="81"/>
      <c r="BE1070" s="81"/>
      <c r="BF1070" s="81"/>
      <c r="BG1070" s="81"/>
      <c r="BH1070" s="81"/>
      <c r="BI1070" s="81"/>
      <c r="BJ1070" s="81"/>
      <c r="BK1070" s="81"/>
      <c r="BL1070" s="81"/>
      <c r="BM1070" s="81"/>
      <c r="BN1070" s="66"/>
      <c r="BO1070" s="66"/>
      <c r="BP1070" s="66"/>
      <c r="BQ1070" s="66" t="str">
        <f>PROPER(TEXT(Prog_23[[#This Row],[PROGRAMAÇÃO CLIENTE]],"mmm"))</f>
        <v>Jan</v>
      </c>
      <c r="BR1070" s="66">
        <f>YEAR(Prog_23[[#This Row],[PROGRAMAÇÃO CLIENTE]])</f>
        <v>1900</v>
      </c>
    </row>
    <row r="1071" spans="1:70" x14ac:dyDescent="0.25">
      <c r="A1071" s="200">
        <f>Prog_23[[#This Row],[CONTEINER]]</f>
        <v>0</v>
      </c>
      <c r="B1071" s="86"/>
      <c r="C10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71" s="44"/>
      <c r="E1071" s="66"/>
      <c r="F1071" s="66"/>
      <c r="G1071" s="66"/>
      <c r="H1071" s="44"/>
      <c r="I1071" s="44"/>
      <c r="J1071" s="66"/>
      <c r="K1071" s="66"/>
      <c r="L1071" s="66"/>
      <c r="M1071" s="66"/>
      <c r="N1071" s="66">
        <f>SUM(Prog_23[[#This Row],[TARA]]+Prog_23[[#This Row],[PESO]])</f>
        <v>0</v>
      </c>
      <c r="O1071" s="44"/>
      <c r="P1071" s="66"/>
      <c r="Q1071" s="66"/>
      <c r="R1071" s="66"/>
      <c r="S1071" s="66"/>
      <c r="T1071" s="138" t="str">
        <f>IFERROR(LOOKUP($S1071,MOTORISTAS!$D$3:$D$916,MOTORISTAS!E$3:$E$916),"")</f>
        <v/>
      </c>
      <c r="U1071" s="138" t="str">
        <f>IFERROR(LOOKUP($S1071,MOTORISTAS!$D$3:$D$916,MOTORISTAS!F$3:$F$916),"")</f>
        <v/>
      </c>
      <c r="V1071" s="66"/>
      <c r="W1071" s="66"/>
      <c r="X1071" s="66"/>
      <c r="Y1071" s="66"/>
      <c r="Z1071" s="66"/>
      <c r="AA1071" s="66"/>
      <c r="AB1071" s="66"/>
      <c r="AC1071" s="66"/>
      <c r="AD1071" s="66"/>
      <c r="AE1071" s="66"/>
      <c r="AF1071" s="44"/>
      <c r="AG1071" s="254">
        <f>Prog_23[[#This Row],[SAÍDA DO CLIENTE]]-Prog_23[[#This Row],[PROGRAMAÇÃO CLIENTE]]</f>
        <v>0</v>
      </c>
      <c r="AH1071" s="44"/>
      <c r="AI1071" s="66"/>
      <c r="AJ1071" s="66"/>
      <c r="AK1071" s="66"/>
      <c r="AL1071" s="66"/>
      <c r="AM1071" s="66"/>
      <c r="AN1071" s="83"/>
      <c r="AO1071" s="83"/>
      <c r="AP1071" s="83"/>
      <c r="AQ1071" s="66"/>
      <c r="AR1071" s="66"/>
      <c r="AS1071" s="66"/>
      <c r="AT1071" s="81"/>
      <c r="AU1071" s="81"/>
      <c r="AV1071" s="81"/>
      <c r="AW1071" s="81"/>
      <c r="AX1071" s="83">
        <f>SUM(Prog_23[[#This Row],[ADIANTAMENTO]]+Prog_23[[#This Row],[SALDO]]+Prog_23[[#This Row],[MARGEM]]+Prog_23[[#This Row],[ESTADIA 1]])</f>
        <v>0</v>
      </c>
      <c r="AY10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71" s="81"/>
      <c r="BA1071" s="81"/>
      <c r="BB1071" s="81">
        <f>Prog_23[[#This Row],[VLR NF]]*0.1%</f>
        <v>0</v>
      </c>
      <c r="BC1071" s="81">
        <f>Prog_23[[#This Row],[VLR NF]]*0.05%</f>
        <v>0</v>
      </c>
      <c r="BD1071" s="81"/>
      <c r="BE1071" s="81"/>
      <c r="BF1071" s="81"/>
      <c r="BG1071" s="81"/>
      <c r="BH1071" s="81"/>
      <c r="BI1071" s="81"/>
      <c r="BJ1071" s="81"/>
      <c r="BK1071" s="81"/>
      <c r="BL1071" s="81"/>
      <c r="BM1071" s="81"/>
      <c r="BN1071" s="66"/>
      <c r="BO1071" s="66"/>
      <c r="BP1071" s="66"/>
      <c r="BQ1071" s="66" t="str">
        <f>PROPER(TEXT(Prog_23[[#This Row],[PROGRAMAÇÃO CLIENTE]],"mmm"))</f>
        <v>Jan</v>
      </c>
      <c r="BR1071" s="66">
        <f>YEAR(Prog_23[[#This Row],[PROGRAMAÇÃO CLIENTE]])</f>
        <v>1900</v>
      </c>
    </row>
    <row r="1072" spans="1:70" x14ac:dyDescent="0.25">
      <c r="A1072" s="201">
        <f>Prog_23[[#This Row],[CONTEINER]]</f>
        <v>0</v>
      </c>
      <c r="B1072" s="86"/>
      <c r="C10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72" s="44"/>
      <c r="E1072" s="66"/>
      <c r="F1072" s="66"/>
      <c r="G1072" s="66"/>
      <c r="H1072" s="44"/>
      <c r="I1072" s="44"/>
      <c r="J1072" s="66"/>
      <c r="K1072" s="66"/>
      <c r="L1072" s="66"/>
      <c r="M1072" s="66"/>
      <c r="N1072" s="66">
        <f>SUM(Prog_23[[#This Row],[TARA]]+Prog_23[[#This Row],[PESO]])</f>
        <v>0</v>
      </c>
      <c r="O1072" s="44"/>
      <c r="P1072" s="66"/>
      <c r="Q1072" s="66"/>
      <c r="R1072" s="66"/>
      <c r="S1072" s="66"/>
      <c r="T1072" s="138" t="str">
        <f>IFERROR(LOOKUP($S1072,MOTORISTAS!$D$3:$D$916,MOTORISTAS!E$3:$E$916),"")</f>
        <v/>
      </c>
      <c r="U1072" s="138" t="str">
        <f>IFERROR(LOOKUP($S1072,MOTORISTAS!$D$3:$D$916,MOTORISTAS!F$3:$F$916),"")</f>
        <v/>
      </c>
      <c r="V1072" s="66"/>
      <c r="W1072" s="66"/>
      <c r="X1072" s="66"/>
      <c r="Y1072" s="66"/>
      <c r="Z1072" s="66"/>
      <c r="AA1072" s="66"/>
      <c r="AB1072" s="66"/>
      <c r="AC1072" s="66"/>
      <c r="AD1072" s="66"/>
      <c r="AE1072" s="66"/>
      <c r="AF1072" s="44"/>
      <c r="AG1072" s="254">
        <f>Prog_23[[#This Row],[SAÍDA DO CLIENTE]]-Prog_23[[#This Row],[PROGRAMAÇÃO CLIENTE]]</f>
        <v>0</v>
      </c>
      <c r="AH1072" s="44"/>
      <c r="AI1072" s="66"/>
      <c r="AJ1072" s="66"/>
      <c r="AK1072" s="66"/>
      <c r="AL1072" s="66"/>
      <c r="AM1072" s="66"/>
      <c r="AN1072" s="83"/>
      <c r="AO1072" s="83"/>
      <c r="AP1072" s="83"/>
      <c r="AQ1072" s="66"/>
      <c r="AR1072" s="66"/>
      <c r="AS1072" s="66"/>
      <c r="AT1072" s="81"/>
      <c r="AU1072" s="81"/>
      <c r="AV1072" s="81"/>
      <c r="AW1072" s="81"/>
      <c r="AX1072" s="83">
        <f>SUM(Prog_23[[#This Row],[ADIANTAMENTO]]+Prog_23[[#This Row],[SALDO]]+Prog_23[[#This Row],[MARGEM]]+Prog_23[[#This Row],[ESTADIA 1]])</f>
        <v>0</v>
      </c>
      <c r="AY10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72" s="81"/>
      <c r="BA1072" s="81"/>
      <c r="BB1072" s="81">
        <f>Prog_23[[#This Row],[VLR NF]]*0.1%</f>
        <v>0</v>
      </c>
      <c r="BC1072" s="81">
        <f>Prog_23[[#This Row],[VLR NF]]*0.05%</f>
        <v>0</v>
      </c>
      <c r="BD1072" s="81"/>
      <c r="BE1072" s="81"/>
      <c r="BF1072" s="81"/>
      <c r="BG1072" s="81"/>
      <c r="BH1072" s="81"/>
      <c r="BI1072" s="81"/>
      <c r="BJ1072" s="81"/>
      <c r="BK1072" s="81"/>
      <c r="BL1072" s="81"/>
      <c r="BM1072" s="81"/>
      <c r="BN1072" s="66"/>
      <c r="BO1072" s="66"/>
      <c r="BP1072" s="66"/>
      <c r="BQ1072" s="66" t="str">
        <f>PROPER(TEXT(Prog_23[[#This Row],[PROGRAMAÇÃO CLIENTE]],"mmm"))</f>
        <v>Jan</v>
      </c>
      <c r="BR1072" s="66">
        <f>YEAR(Prog_23[[#This Row],[PROGRAMAÇÃO CLIENTE]])</f>
        <v>1900</v>
      </c>
    </row>
    <row r="1073" spans="1:70" x14ac:dyDescent="0.25">
      <c r="A1073" s="200">
        <f>Prog_23[[#This Row],[CONTEINER]]</f>
        <v>0</v>
      </c>
      <c r="B1073" s="86"/>
      <c r="C10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73" s="44"/>
      <c r="E1073" s="66"/>
      <c r="F1073" s="66"/>
      <c r="G1073" s="66"/>
      <c r="H1073" s="44"/>
      <c r="I1073" s="44"/>
      <c r="J1073" s="66"/>
      <c r="K1073" s="66"/>
      <c r="L1073" s="66"/>
      <c r="M1073" s="66"/>
      <c r="N1073" s="66">
        <f>SUM(Prog_23[[#This Row],[TARA]]+Prog_23[[#This Row],[PESO]])</f>
        <v>0</v>
      </c>
      <c r="O1073" s="44"/>
      <c r="P1073" s="66"/>
      <c r="Q1073" s="66"/>
      <c r="R1073" s="66"/>
      <c r="S1073" s="66"/>
      <c r="T1073" s="138" t="str">
        <f>IFERROR(LOOKUP($S1073,MOTORISTAS!$D$3:$D$916,MOTORISTAS!E$3:$E$916),"")</f>
        <v/>
      </c>
      <c r="U1073" s="138" t="str">
        <f>IFERROR(LOOKUP($S1073,MOTORISTAS!$D$3:$D$916,MOTORISTAS!F$3:$F$916),"")</f>
        <v/>
      </c>
      <c r="V1073" s="66"/>
      <c r="W1073" s="66"/>
      <c r="X1073" s="66"/>
      <c r="Y1073" s="66"/>
      <c r="Z1073" s="66"/>
      <c r="AA1073" s="66"/>
      <c r="AB1073" s="66"/>
      <c r="AC1073" s="66"/>
      <c r="AD1073" s="66"/>
      <c r="AE1073" s="66"/>
      <c r="AF1073" s="44"/>
      <c r="AG1073" s="254">
        <f>Prog_23[[#This Row],[SAÍDA DO CLIENTE]]-Prog_23[[#This Row],[PROGRAMAÇÃO CLIENTE]]</f>
        <v>0</v>
      </c>
      <c r="AH1073" s="44"/>
      <c r="AI1073" s="66"/>
      <c r="AJ1073" s="66"/>
      <c r="AK1073" s="66"/>
      <c r="AL1073" s="66"/>
      <c r="AM1073" s="66"/>
      <c r="AN1073" s="83"/>
      <c r="AO1073" s="83"/>
      <c r="AP1073" s="83"/>
      <c r="AQ1073" s="66"/>
      <c r="AR1073" s="66"/>
      <c r="AS1073" s="66"/>
      <c r="AT1073" s="81"/>
      <c r="AU1073" s="81"/>
      <c r="AV1073" s="81"/>
      <c r="AW1073" s="81"/>
      <c r="AX1073" s="83">
        <f>SUM(Prog_23[[#This Row],[ADIANTAMENTO]]+Prog_23[[#This Row],[SALDO]]+Prog_23[[#This Row],[MARGEM]]+Prog_23[[#This Row],[ESTADIA 1]])</f>
        <v>0</v>
      </c>
      <c r="AY10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73" s="81"/>
      <c r="BA1073" s="81"/>
      <c r="BB1073" s="81">
        <f>Prog_23[[#This Row],[VLR NF]]*0.1%</f>
        <v>0</v>
      </c>
      <c r="BC1073" s="81">
        <f>Prog_23[[#This Row],[VLR NF]]*0.05%</f>
        <v>0</v>
      </c>
      <c r="BD1073" s="81"/>
      <c r="BE1073" s="81"/>
      <c r="BF1073" s="81"/>
      <c r="BG1073" s="81"/>
      <c r="BH1073" s="81"/>
      <c r="BI1073" s="81"/>
      <c r="BJ1073" s="81"/>
      <c r="BK1073" s="81"/>
      <c r="BL1073" s="81"/>
      <c r="BM1073" s="81"/>
      <c r="BN1073" s="66"/>
      <c r="BO1073" s="66"/>
      <c r="BP1073" s="66"/>
      <c r="BQ1073" s="66" t="str">
        <f>PROPER(TEXT(Prog_23[[#This Row],[PROGRAMAÇÃO CLIENTE]],"mmm"))</f>
        <v>Jan</v>
      </c>
      <c r="BR1073" s="66">
        <f>YEAR(Prog_23[[#This Row],[PROGRAMAÇÃO CLIENTE]])</f>
        <v>1900</v>
      </c>
    </row>
    <row r="1074" spans="1:70" x14ac:dyDescent="0.25">
      <c r="A1074" s="201">
        <f>Prog_23[[#This Row],[CONTEINER]]</f>
        <v>0</v>
      </c>
      <c r="B1074" s="86"/>
      <c r="C10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74" s="44"/>
      <c r="E1074" s="66"/>
      <c r="F1074" s="66"/>
      <c r="G1074" s="66"/>
      <c r="H1074" s="44"/>
      <c r="I1074" s="44"/>
      <c r="J1074" s="66"/>
      <c r="K1074" s="66"/>
      <c r="L1074" s="66"/>
      <c r="M1074" s="66"/>
      <c r="N1074" s="66">
        <f>SUM(Prog_23[[#This Row],[TARA]]+Prog_23[[#This Row],[PESO]])</f>
        <v>0</v>
      </c>
      <c r="O1074" s="44"/>
      <c r="P1074" s="66"/>
      <c r="Q1074" s="66"/>
      <c r="R1074" s="66"/>
      <c r="S1074" s="66"/>
      <c r="T1074" s="138" t="str">
        <f>IFERROR(LOOKUP($S1074,MOTORISTAS!$D$3:$D$916,MOTORISTAS!E$3:$E$916),"")</f>
        <v/>
      </c>
      <c r="U1074" s="138" t="str">
        <f>IFERROR(LOOKUP($S1074,MOTORISTAS!$D$3:$D$916,MOTORISTAS!F$3:$F$916),"")</f>
        <v/>
      </c>
      <c r="V1074" s="66"/>
      <c r="W1074" s="66"/>
      <c r="X1074" s="66"/>
      <c r="Y1074" s="66"/>
      <c r="Z1074" s="66"/>
      <c r="AA1074" s="66"/>
      <c r="AB1074" s="66"/>
      <c r="AC1074" s="66"/>
      <c r="AD1074" s="66"/>
      <c r="AE1074" s="66"/>
      <c r="AF1074" s="44"/>
      <c r="AG1074" s="254">
        <f>Prog_23[[#This Row],[SAÍDA DO CLIENTE]]-Prog_23[[#This Row],[PROGRAMAÇÃO CLIENTE]]</f>
        <v>0</v>
      </c>
      <c r="AH1074" s="44"/>
      <c r="AI1074" s="66"/>
      <c r="AJ1074" s="66"/>
      <c r="AK1074" s="66"/>
      <c r="AL1074" s="66"/>
      <c r="AM1074" s="66"/>
      <c r="AN1074" s="83"/>
      <c r="AO1074" s="83"/>
      <c r="AP1074" s="83"/>
      <c r="AQ1074" s="66"/>
      <c r="AR1074" s="66"/>
      <c r="AS1074" s="66"/>
      <c r="AT1074" s="81"/>
      <c r="AU1074" s="81"/>
      <c r="AV1074" s="81"/>
      <c r="AW1074" s="81"/>
      <c r="AX1074" s="83">
        <f>SUM(Prog_23[[#This Row],[ADIANTAMENTO]]+Prog_23[[#This Row],[SALDO]]+Prog_23[[#This Row],[MARGEM]]+Prog_23[[#This Row],[ESTADIA 1]])</f>
        <v>0</v>
      </c>
      <c r="AY10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74" s="81"/>
      <c r="BA1074" s="81"/>
      <c r="BB1074" s="81">
        <f>Prog_23[[#This Row],[VLR NF]]*0.1%</f>
        <v>0</v>
      </c>
      <c r="BC1074" s="81">
        <f>Prog_23[[#This Row],[VLR NF]]*0.05%</f>
        <v>0</v>
      </c>
      <c r="BD1074" s="81"/>
      <c r="BE1074" s="81"/>
      <c r="BF1074" s="81"/>
      <c r="BG1074" s="81"/>
      <c r="BH1074" s="81"/>
      <c r="BI1074" s="81"/>
      <c r="BJ1074" s="81"/>
      <c r="BK1074" s="81"/>
      <c r="BL1074" s="81"/>
      <c r="BM1074" s="81"/>
      <c r="BN1074" s="66"/>
      <c r="BO1074" s="66"/>
      <c r="BP1074" s="66"/>
      <c r="BQ1074" s="66" t="str">
        <f>PROPER(TEXT(Prog_23[[#This Row],[PROGRAMAÇÃO CLIENTE]],"mmm"))</f>
        <v>Jan</v>
      </c>
      <c r="BR1074" s="66">
        <f>YEAR(Prog_23[[#This Row],[PROGRAMAÇÃO CLIENTE]])</f>
        <v>1900</v>
      </c>
    </row>
    <row r="1075" spans="1:70" x14ac:dyDescent="0.25">
      <c r="A1075" s="200">
        <f>Prog_23[[#This Row],[CONTEINER]]</f>
        <v>0</v>
      </c>
      <c r="B1075" s="86"/>
      <c r="C10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75" s="44"/>
      <c r="E1075" s="66"/>
      <c r="F1075" s="66"/>
      <c r="G1075" s="66"/>
      <c r="H1075" s="44"/>
      <c r="I1075" s="44"/>
      <c r="J1075" s="66"/>
      <c r="K1075" s="66"/>
      <c r="L1075" s="66"/>
      <c r="M1075" s="66"/>
      <c r="N1075" s="66">
        <f>SUM(Prog_23[[#This Row],[TARA]]+Prog_23[[#This Row],[PESO]])</f>
        <v>0</v>
      </c>
      <c r="O1075" s="44"/>
      <c r="P1075" s="66"/>
      <c r="Q1075" s="66"/>
      <c r="R1075" s="66"/>
      <c r="S1075" s="66"/>
      <c r="T1075" s="138" t="str">
        <f>IFERROR(LOOKUP($S1075,MOTORISTAS!$D$3:$D$916,MOTORISTAS!E$3:$E$916),"")</f>
        <v/>
      </c>
      <c r="U1075" s="138" t="str">
        <f>IFERROR(LOOKUP($S1075,MOTORISTAS!$D$3:$D$916,MOTORISTAS!F$3:$F$916),"")</f>
        <v/>
      </c>
      <c r="V1075" s="66"/>
      <c r="W1075" s="66"/>
      <c r="X1075" s="66"/>
      <c r="Y1075" s="66"/>
      <c r="Z1075" s="66"/>
      <c r="AA1075" s="66"/>
      <c r="AB1075" s="66"/>
      <c r="AC1075" s="66"/>
      <c r="AD1075" s="66"/>
      <c r="AE1075" s="66"/>
      <c r="AF1075" s="44"/>
      <c r="AG1075" s="254">
        <f>Prog_23[[#This Row],[SAÍDA DO CLIENTE]]-Prog_23[[#This Row],[PROGRAMAÇÃO CLIENTE]]</f>
        <v>0</v>
      </c>
      <c r="AH1075" s="44"/>
      <c r="AI1075" s="66"/>
      <c r="AJ1075" s="66"/>
      <c r="AK1075" s="66"/>
      <c r="AL1075" s="66"/>
      <c r="AM1075" s="66"/>
      <c r="AN1075" s="83"/>
      <c r="AO1075" s="83"/>
      <c r="AP1075" s="83"/>
      <c r="AQ1075" s="66"/>
      <c r="AR1075" s="66"/>
      <c r="AS1075" s="66"/>
      <c r="AT1075" s="81"/>
      <c r="AU1075" s="81"/>
      <c r="AV1075" s="81"/>
      <c r="AW1075" s="81"/>
      <c r="AX1075" s="83">
        <f>SUM(Prog_23[[#This Row],[ADIANTAMENTO]]+Prog_23[[#This Row],[SALDO]]+Prog_23[[#This Row],[MARGEM]]+Prog_23[[#This Row],[ESTADIA 1]])</f>
        <v>0</v>
      </c>
      <c r="AY10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75" s="81"/>
      <c r="BA1075" s="81"/>
      <c r="BB1075" s="81">
        <f>Prog_23[[#This Row],[VLR NF]]*0.1%</f>
        <v>0</v>
      </c>
      <c r="BC1075" s="81">
        <f>Prog_23[[#This Row],[VLR NF]]*0.05%</f>
        <v>0</v>
      </c>
      <c r="BD1075" s="81"/>
      <c r="BE1075" s="81"/>
      <c r="BF1075" s="81"/>
      <c r="BG1075" s="81"/>
      <c r="BH1075" s="81"/>
      <c r="BI1075" s="81"/>
      <c r="BJ1075" s="81"/>
      <c r="BK1075" s="81"/>
      <c r="BL1075" s="81"/>
      <c r="BM1075" s="81"/>
      <c r="BN1075" s="66"/>
      <c r="BO1075" s="66"/>
      <c r="BP1075" s="66"/>
      <c r="BQ1075" s="66" t="str">
        <f>PROPER(TEXT(Prog_23[[#This Row],[PROGRAMAÇÃO CLIENTE]],"mmm"))</f>
        <v>Jan</v>
      </c>
      <c r="BR1075" s="66">
        <f>YEAR(Prog_23[[#This Row],[PROGRAMAÇÃO CLIENTE]])</f>
        <v>1900</v>
      </c>
    </row>
    <row r="1076" spans="1:70" x14ac:dyDescent="0.25">
      <c r="A1076" s="201">
        <f>Prog_23[[#This Row],[CONTEINER]]</f>
        <v>0</v>
      </c>
      <c r="B1076" s="86"/>
      <c r="C10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76" s="44"/>
      <c r="E1076" s="66"/>
      <c r="F1076" s="66"/>
      <c r="G1076" s="66"/>
      <c r="H1076" s="44"/>
      <c r="I1076" s="44"/>
      <c r="J1076" s="66"/>
      <c r="K1076" s="66"/>
      <c r="L1076" s="66"/>
      <c r="M1076" s="66"/>
      <c r="N1076" s="66">
        <f>SUM(Prog_23[[#This Row],[TARA]]+Prog_23[[#This Row],[PESO]])</f>
        <v>0</v>
      </c>
      <c r="O1076" s="44"/>
      <c r="P1076" s="66"/>
      <c r="Q1076" s="66"/>
      <c r="R1076" s="66"/>
      <c r="S1076" s="66"/>
      <c r="T1076" s="138" t="str">
        <f>IFERROR(LOOKUP($S1076,MOTORISTAS!$D$3:$D$916,MOTORISTAS!E$3:$E$916),"")</f>
        <v/>
      </c>
      <c r="U1076" s="138" t="str">
        <f>IFERROR(LOOKUP($S1076,MOTORISTAS!$D$3:$D$916,MOTORISTAS!F$3:$F$916),"")</f>
        <v/>
      </c>
      <c r="V1076" s="66"/>
      <c r="W1076" s="66"/>
      <c r="X1076" s="66"/>
      <c r="Y1076" s="66"/>
      <c r="Z1076" s="66"/>
      <c r="AA1076" s="66"/>
      <c r="AB1076" s="66"/>
      <c r="AC1076" s="66"/>
      <c r="AD1076" s="66"/>
      <c r="AE1076" s="66"/>
      <c r="AF1076" s="44"/>
      <c r="AG1076" s="254">
        <f>Prog_23[[#This Row],[SAÍDA DO CLIENTE]]-Prog_23[[#This Row],[PROGRAMAÇÃO CLIENTE]]</f>
        <v>0</v>
      </c>
      <c r="AH1076" s="44"/>
      <c r="AI1076" s="66"/>
      <c r="AJ1076" s="66"/>
      <c r="AK1076" s="66"/>
      <c r="AL1076" s="66"/>
      <c r="AM1076" s="66"/>
      <c r="AN1076" s="83"/>
      <c r="AO1076" s="83"/>
      <c r="AP1076" s="83"/>
      <c r="AQ1076" s="66"/>
      <c r="AR1076" s="66"/>
      <c r="AS1076" s="66"/>
      <c r="AT1076" s="81"/>
      <c r="AU1076" s="81"/>
      <c r="AV1076" s="81"/>
      <c r="AW1076" s="81"/>
      <c r="AX1076" s="83">
        <f>SUM(Prog_23[[#This Row],[ADIANTAMENTO]]+Prog_23[[#This Row],[SALDO]]+Prog_23[[#This Row],[MARGEM]]+Prog_23[[#This Row],[ESTADIA 1]])</f>
        <v>0</v>
      </c>
      <c r="AY10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76" s="81"/>
      <c r="BA1076" s="81"/>
      <c r="BB1076" s="81">
        <f>Prog_23[[#This Row],[VLR NF]]*0.1%</f>
        <v>0</v>
      </c>
      <c r="BC1076" s="81">
        <f>Prog_23[[#This Row],[VLR NF]]*0.05%</f>
        <v>0</v>
      </c>
      <c r="BD1076" s="81"/>
      <c r="BE1076" s="81"/>
      <c r="BF1076" s="81"/>
      <c r="BG1076" s="81"/>
      <c r="BH1076" s="81"/>
      <c r="BI1076" s="81"/>
      <c r="BJ1076" s="81"/>
      <c r="BK1076" s="81"/>
      <c r="BL1076" s="81"/>
      <c r="BM1076" s="81"/>
      <c r="BN1076" s="66"/>
      <c r="BO1076" s="66"/>
      <c r="BP1076" s="66"/>
      <c r="BQ1076" s="66" t="str">
        <f>PROPER(TEXT(Prog_23[[#This Row],[PROGRAMAÇÃO CLIENTE]],"mmm"))</f>
        <v>Jan</v>
      </c>
      <c r="BR1076" s="66">
        <f>YEAR(Prog_23[[#This Row],[PROGRAMAÇÃO CLIENTE]])</f>
        <v>1900</v>
      </c>
    </row>
    <row r="1077" spans="1:70" x14ac:dyDescent="0.25">
      <c r="A1077" s="200">
        <f>Prog_23[[#This Row],[CONTEINER]]</f>
        <v>0</v>
      </c>
      <c r="B1077" s="86"/>
      <c r="C10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77" s="44"/>
      <c r="E1077" s="66"/>
      <c r="F1077" s="66"/>
      <c r="G1077" s="66"/>
      <c r="H1077" s="44"/>
      <c r="I1077" s="44"/>
      <c r="J1077" s="66"/>
      <c r="K1077" s="66"/>
      <c r="L1077" s="66"/>
      <c r="M1077" s="66"/>
      <c r="N1077" s="66">
        <f>SUM(Prog_23[[#This Row],[TARA]]+Prog_23[[#This Row],[PESO]])</f>
        <v>0</v>
      </c>
      <c r="O1077" s="44"/>
      <c r="P1077" s="66"/>
      <c r="Q1077" s="66"/>
      <c r="R1077" s="66"/>
      <c r="S1077" s="66"/>
      <c r="T1077" s="138" t="str">
        <f>IFERROR(LOOKUP($S1077,MOTORISTAS!$D$3:$D$916,MOTORISTAS!E$3:$E$916),"")</f>
        <v/>
      </c>
      <c r="U1077" s="138" t="str">
        <f>IFERROR(LOOKUP($S1077,MOTORISTAS!$D$3:$D$916,MOTORISTAS!F$3:$F$916),"")</f>
        <v/>
      </c>
      <c r="V1077" s="66"/>
      <c r="W1077" s="66"/>
      <c r="X1077" s="66"/>
      <c r="Y1077" s="66"/>
      <c r="Z1077" s="66"/>
      <c r="AA1077" s="66"/>
      <c r="AB1077" s="66"/>
      <c r="AC1077" s="66"/>
      <c r="AD1077" s="66"/>
      <c r="AE1077" s="66"/>
      <c r="AF1077" s="44"/>
      <c r="AG1077" s="254">
        <f>Prog_23[[#This Row],[SAÍDA DO CLIENTE]]-Prog_23[[#This Row],[PROGRAMAÇÃO CLIENTE]]</f>
        <v>0</v>
      </c>
      <c r="AH1077" s="44"/>
      <c r="AI1077" s="66"/>
      <c r="AJ1077" s="66"/>
      <c r="AK1077" s="66"/>
      <c r="AL1077" s="66"/>
      <c r="AM1077" s="66"/>
      <c r="AN1077" s="83"/>
      <c r="AO1077" s="83"/>
      <c r="AP1077" s="83"/>
      <c r="AQ1077" s="66"/>
      <c r="AR1077" s="66"/>
      <c r="AS1077" s="66"/>
      <c r="AT1077" s="81"/>
      <c r="AU1077" s="81"/>
      <c r="AV1077" s="81"/>
      <c r="AW1077" s="81"/>
      <c r="AX1077" s="83">
        <f>SUM(Prog_23[[#This Row],[ADIANTAMENTO]]+Prog_23[[#This Row],[SALDO]]+Prog_23[[#This Row],[MARGEM]]+Prog_23[[#This Row],[ESTADIA 1]])</f>
        <v>0</v>
      </c>
      <c r="AY10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77" s="81"/>
      <c r="BA1077" s="81"/>
      <c r="BB1077" s="81">
        <f>Prog_23[[#This Row],[VLR NF]]*0.1%</f>
        <v>0</v>
      </c>
      <c r="BC1077" s="81">
        <f>Prog_23[[#This Row],[VLR NF]]*0.05%</f>
        <v>0</v>
      </c>
      <c r="BD1077" s="81"/>
      <c r="BE1077" s="81"/>
      <c r="BF1077" s="81"/>
      <c r="BG1077" s="81"/>
      <c r="BH1077" s="81"/>
      <c r="BI1077" s="81"/>
      <c r="BJ1077" s="81"/>
      <c r="BK1077" s="81"/>
      <c r="BL1077" s="81"/>
      <c r="BM1077" s="81"/>
      <c r="BN1077" s="66"/>
      <c r="BO1077" s="66"/>
      <c r="BP1077" s="66"/>
      <c r="BQ1077" s="66" t="str">
        <f>PROPER(TEXT(Prog_23[[#This Row],[PROGRAMAÇÃO CLIENTE]],"mmm"))</f>
        <v>Jan</v>
      </c>
      <c r="BR1077" s="66">
        <f>YEAR(Prog_23[[#This Row],[PROGRAMAÇÃO CLIENTE]])</f>
        <v>1900</v>
      </c>
    </row>
    <row r="1078" spans="1:70" x14ac:dyDescent="0.25">
      <c r="A1078" s="201">
        <f>Prog_23[[#This Row],[CONTEINER]]</f>
        <v>0</v>
      </c>
      <c r="B1078" s="86"/>
      <c r="C10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78" s="44"/>
      <c r="E1078" s="66"/>
      <c r="F1078" s="66"/>
      <c r="G1078" s="66"/>
      <c r="H1078" s="44"/>
      <c r="I1078" s="44"/>
      <c r="J1078" s="66"/>
      <c r="K1078" s="66"/>
      <c r="L1078" s="66"/>
      <c r="M1078" s="66"/>
      <c r="N1078" s="66">
        <f>SUM(Prog_23[[#This Row],[TARA]]+Prog_23[[#This Row],[PESO]])</f>
        <v>0</v>
      </c>
      <c r="O1078" s="44"/>
      <c r="P1078" s="66"/>
      <c r="Q1078" s="66"/>
      <c r="R1078" s="66"/>
      <c r="S1078" s="66"/>
      <c r="T1078" s="138" t="str">
        <f>IFERROR(LOOKUP($S1078,MOTORISTAS!$D$3:$D$916,MOTORISTAS!E$3:$E$916),"")</f>
        <v/>
      </c>
      <c r="U1078" s="138" t="str">
        <f>IFERROR(LOOKUP($S1078,MOTORISTAS!$D$3:$D$916,MOTORISTAS!F$3:$F$916),"")</f>
        <v/>
      </c>
      <c r="V1078" s="66"/>
      <c r="W1078" s="66"/>
      <c r="X1078" s="66"/>
      <c r="Y1078" s="66"/>
      <c r="Z1078" s="66"/>
      <c r="AA1078" s="66"/>
      <c r="AB1078" s="66"/>
      <c r="AC1078" s="66"/>
      <c r="AD1078" s="66"/>
      <c r="AE1078" s="66"/>
      <c r="AF1078" s="44"/>
      <c r="AG1078" s="254">
        <f>Prog_23[[#This Row],[SAÍDA DO CLIENTE]]-Prog_23[[#This Row],[PROGRAMAÇÃO CLIENTE]]</f>
        <v>0</v>
      </c>
      <c r="AH1078" s="44"/>
      <c r="AI1078" s="66"/>
      <c r="AJ1078" s="66"/>
      <c r="AK1078" s="66"/>
      <c r="AL1078" s="66"/>
      <c r="AM1078" s="66"/>
      <c r="AN1078" s="83"/>
      <c r="AO1078" s="83"/>
      <c r="AP1078" s="83"/>
      <c r="AQ1078" s="66"/>
      <c r="AR1078" s="66"/>
      <c r="AS1078" s="66"/>
      <c r="AT1078" s="81"/>
      <c r="AU1078" s="81"/>
      <c r="AV1078" s="81"/>
      <c r="AW1078" s="81"/>
      <c r="AX1078" s="83">
        <f>SUM(Prog_23[[#This Row],[ADIANTAMENTO]]+Prog_23[[#This Row],[SALDO]]+Prog_23[[#This Row],[MARGEM]]+Prog_23[[#This Row],[ESTADIA 1]])</f>
        <v>0</v>
      </c>
      <c r="AY10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78" s="81"/>
      <c r="BA1078" s="81"/>
      <c r="BB1078" s="81">
        <f>Prog_23[[#This Row],[VLR NF]]*0.1%</f>
        <v>0</v>
      </c>
      <c r="BC1078" s="81">
        <f>Prog_23[[#This Row],[VLR NF]]*0.05%</f>
        <v>0</v>
      </c>
      <c r="BD1078" s="81"/>
      <c r="BE1078" s="81"/>
      <c r="BF1078" s="81"/>
      <c r="BG1078" s="81"/>
      <c r="BH1078" s="81"/>
      <c r="BI1078" s="81"/>
      <c r="BJ1078" s="81"/>
      <c r="BK1078" s="81"/>
      <c r="BL1078" s="81"/>
      <c r="BM1078" s="81"/>
      <c r="BN1078" s="66"/>
      <c r="BO1078" s="66"/>
      <c r="BP1078" s="66"/>
      <c r="BQ1078" s="66" t="str">
        <f>PROPER(TEXT(Prog_23[[#This Row],[PROGRAMAÇÃO CLIENTE]],"mmm"))</f>
        <v>Jan</v>
      </c>
      <c r="BR1078" s="66">
        <f>YEAR(Prog_23[[#This Row],[PROGRAMAÇÃO CLIENTE]])</f>
        <v>1900</v>
      </c>
    </row>
    <row r="1079" spans="1:70" x14ac:dyDescent="0.25">
      <c r="A1079" s="200">
        <f>Prog_23[[#This Row],[CONTEINER]]</f>
        <v>0</v>
      </c>
      <c r="B1079" s="86"/>
      <c r="C10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79" s="44"/>
      <c r="E1079" s="66"/>
      <c r="F1079" s="66"/>
      <c r="G1079" s="66"/>
      <c r="H1079" s="44"/>
      <c r="I1079" s="44"/>
      <c r="J1079" s="66"/>
      <c r="K1079" s="66"/>
      <c r="L1079" s="66"/>
      <c r="M1079" s="66"/>
      <c r="N1079" s="66">
        <f>SUM(Prog_23[[#This Row],[TARA]]+Prog_23[[#This Row],[PESO]])</f>
        <v>0</v>
      </c>
      <c r="O1079" s="44"/>
      <c r="P1079" s="66"/>
      <c r="Q1079" s="66"/>
      <c r="R1079" s="66"/>
      <c r="S1079" s="66"/>
      <c r="T1079" s="138" t="str">
        <f>IFERROR(LOOKUP($S1079,MOTORISTAS!$D$3:$D$916,MOTORISTAS!E$3:$E$916),"")</f>
        <v/>
      </c>
      <c r="U1079" s="138" t="str">
        <f>IFERROR(LOOKUP($S1079,MOTORISTAS!$D$3:$D$916,MOTORISTAS!F$3:$F$916),"")</f>
        <v/>
      </c>
      <c r="V1079" s="66"/>
      <c r="W1079" s="66"/>
      <c r="X1079" s="66"/>
      <c r="Y1079" s="66"/>
      <c r="Z1079" s="66"/>
      <c r="AA1079" s="66"/>
      <c r="AB1079" s="66"/>
      <c r="AC1079" s="66"/>
      <c r="AD1079" s="66"/>
      <c r="AE1079" s="66"/>
      <c r="AF1079" s="44"/>
      <c r="AG1079" s="254">
        <f>Prog_23[[#This Row],[SAÍDA DO CLIENTE]]-Prog_23[[#This Row],[PROGRAMAÇÃO CLIENTE]]</f>
        <v>0</v>
      </c>
      <c r="AH1079" s="44"/>
      <c r="AI1079" s="66"/>
      <c r="AJ1079" s="66"/>
      <c r="AK1079" s="66"/>
      <c r="AL1079" s="66"/>
      <c r="AM1079" s="66"/>
      <c r="AN1079" s="83"/>
      <c r="AO1079" s="83"/>
      <c r="AP1079" s="83"/>
      <c r="AQ1079" s="66"/>
      <c r="AR1079" s="66"/>
      <c r="AS1079" s="66"/>
      <c r="AT1079" s="81"/>
      <c r="AU1079" s="81"/>
      <c r="AV1079" s="81"/>
      <c r="AW1079" s="81"/>
      <c r="AX1079" s="83">
        <f>SUM(Prog_23[[#This Row],[ADIANTAMENTO]]+Prog_23[[#This Row],[SALDO]]+Prog_23[[#This Row],[MARGEM]]+Prog_23[[#This Row],[ESTADIA 1]])</f>
        <v>0</v>
      </c>
      <c r="AY10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79" s="81"/>
      <c r="BA1079" s="81"/>
      <c r="BB1079" s="81">
        <f>Prog_23[[#This Row],[VLR NF]]*0.1%</f>
        <v>0</v>
      </c>
      <c r="BC1079" s="81">
        <f>Prog_23[[#This Row],[VLR NF]]*0.05%</f>
        <v>0</v>
      </c>
      <c r="BD1079" s="81"/>
      <c r="BE1079" s="81"/>
      <c r="BF1079" s="81"/>
      <c r="BG1079" s="81"/>
      <c r="BH1079" s="81"/>
      <c r="BI1079" s="81"/>
      <c r="BJ1079" s="81"/>
      <c r="BK1079" s="81"/>
      <c r="BL1079" s="81"/>
      <c r="BM1079" s="81"/>
      <c r="BN1079" s="66"/>
      <c r="BO1079" s="66"/>
      <c r="BP1079" s="66"/>
      <c r="BQ1079" s="66" t="str">
        <f>PROPER(TEXT(Prog_23[[#This Row],[PROGRAMAÇÃO CLIENTE]],"mmm"))</f>
        <v>Jan</v>
      </c>
      <c r="BR1079" s="66">
        <f>YEAR(Prog_23[[#This Row],[PROGRAMAÇÃO CLIENTE]])</f>
        <v>1900</v>
      </c>
    </row>
    <row r="1080" spans="1:70" x14ac:dyDescent="0.25">
      <c r="A1080" s="201">
        <f>Prog_23[[#This Row],[CONTEINER]]</f>
        <v>0</v>
      </c>
      <c r="B1080" s="86"/>
      <c r="C10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80" s="44"/>
      <c r="E1080" s="66"/>
      <c r="F1080" s="66"/>
      <c r="G1080" s="66"/>
      <c r="H1080" s="44"/>
      <c r="I1080" s="44"/>
      <c r="J1080" s="66"/>
      <c r="K1080" s="66"/>
      <c r="L1080" s="66"/>
      <c r="M1080" s="66"/>
      <c r="N1080" s="66">
        <f>SUM(Prog_23[[#This Row],[TARA]]+Prog_23[[#This Row],[PESO]])</f>
        <v>0</v>
      </c>
      <c r="O1080" s="44"/>
      <c r="P1080" s="66"/>
      <c r="Q1080" s="66"/>
      <c r="R1080" s="66"/>
      <c r="S1080" s="66"/>
      <c r="T1080" s="138" t="str">
        <f>IFERROR(LOOKUP($S1080,MOTORISTAS!$D$3:$D$916,MOTORISTAS!E$3:$E$916),"")</f>
        <v/>
      </c>
      <c r="U1080" s="138" t="str">
        <f>IFERROR(LOOKUP($S1080,MOTORISTAS!$D$3:$D$916,MOTORISTAS!F$3:$F$916),"")</f>
        <v/>
      </c>
      <c r="V1080" s="66"/>
      <c r="W1080" s="66"/>
      <c r="X1080" s="66"/>
      <c r="Y1080" s="66"/>
      <c r="Z1080" s="66"/>
      <c r="AA1080" s="66"/>
      <c r="AB1080" s="66"/>
      <c r="AC1080" s="66"/>
      <c r="AD1080" s="66"/>
      <c r="AE1080" s="66"/>
      <c r="AF1080" s="44"/>
      <c r="AG1080" s="254">
        <f>Prog_23[[#This Row],[SAÍDA DO CLIENTE]]-Prog_23[[#This Row],[PROGRAMAÇÃO CLIENTE]]</f>
        <v>0</v>
      </c>
      <c r="AH1080" s="44"/>
      <c r="AI1080" s="66"/>
      <c r="AJ1080" s="66"/>
      <c r="AK1080" s="66"/>
      <c r="AL1080" s="66"/>
      <c r="AM1080" s="66"/>
      <c r="AN1080" s="83"/>
      <c r="AO1080" s="83"/>
      <c r="AP1080" s="83"/>
      <c r="AQ1080" s="66"/>
      <c r="AR1080" s="66"/>
      <c r="AS1080" s="66"/>
      <c r="AT1080" s="81"/>
      <c r="AU1080" s="81"/>
      <c r="AV1080" s="81"/>
      <c r="AW1080" s="81"/>
      <c r="AX1080" s="83">
        <f>SUM(Prog_23[[#This Row],[ADIANTAMENTO]]+Prog_23[[#This Row],[SALDO]]+Prog_23[[#This Row],[MARGEM]]+Prog_23[[#This Row],[ESTADIA 1]])</f>
        <v>0</v>
      </c>
      <c r="AY10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80" s="81"/>
      <c r="BA1080" s="81"/>
      <c r="BB1080" s="81">
        <f>Prog_23[[#This Row],[VLR NF]]*0.1%</f>
        <v>0</v>
      </c>
      <c r="BC1080" s="81">
        <f>Prog_23[[#This Row],[VLR NF]]*0.05%</f>
        <v>0</v>
      </c>
      <c r="BD1080" s="81"/>
      <c r="BE1080" s="81"/>
      <c r="BF1080" s="81"/>
      <c r="BG1080" s="81"/>
      <c r="BH1080" s="81"/>
      <c r="BI1080" s="81"/>
      <c r="BJ1080" s="81"/>
      <c r="BK1080" s="81"/>
      <c r="BL1080" s="81"/>
      <c r="BM1080" s="81"/>
      <c r="BN1080" s="66"/>
      <c r="BO1080" s="66"/>
      <c r="BP1080" s="66"/>
      <c r="BQ1080" s="66" t="str">
        <f>PROPER(TEXT(Prog_23[[#This Row],[PROGRAMAÇÃO CLIENTE]],"mmm"))</f>
        <v>Jan</v>
      </c>
      <c r="BR1080" s="66">
        <f>YEAR(Prog_23[[#This Row],[PROGRAMAÇÃO CLIENTE]])</f>
        <v>1900</v>
      </c>
    </row>
    <row r="1081" spans="1:70" x14ac:dyDescent="0.25">
      <c r="A1081" s="200">
        <f>Prog_23[[#This Row],[CONTEINER]]</f>
        <v>0</v>
      </c>
      <c r="B1081" s="86"/>
      <c r="C10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81" s="44"/>
      <c r="E1081" s="66"/>
      <c r="F1081" s="66"/>
      <c r="G1081" s="66"/>
      <c r="H1081" s="44"/>
      <c r="I1081" s="44"/>
      <c r="J1081" s="66"/>
      <c r="K1081" s="66"/>
      <c r="L1081" s="66"/>
      <c r="M1081" s="66"/>
      <c r="N1081" s="66">
        <f>SUM(Prog_23[[#This Row],[TARA]]+Prog_23[[#This Row],[PESO]])</f>
        <v>0</v>
      </c>
      <c r="O1081" s="44"/>
      <c r="P1081" s="66"/>
      <c r="Q1081" s="66"/>
      <c r="R1081" s="66"/>
      <c r="S1081" s="66"/>
      <c r="T1081" s="138" t="str">
        <f>IFERROR(LOOKUP($S1081,MOTORISTAS!$D$3:$D$916,MOTORISTAS!E$3:$E$916),"")</f>
        <v/>
      </c>
      <c r="U1081" s="138" t="str">
        <f>IFERROR(LOOKUP($S1081,MOTORISTAS!$D$3:$D$916,MOTORISTAS!F$3:$F$916),"")</f>
        <v/>
      </c>
      <c r="V1081" s="66"/>
      <c r="W1081" s="66"/>
      <c r="X1081" s="66"/>
      <c r="Y1081" s="66"/>
      <c r="Z1081" s="66"/>
      <c r="AA1081" s="66"/>
      <c r="AB1081" s="66"/>
      <c r="AC1081" s="66"/>
      <c r="AD1081" s="66"/>
      <c r="AE1081" s="66"/>
      <c r="AF1081" s="44"/>
      <c r="AG1081" s="254">
        <f>Prog_23[[#This Row],[SAÍDA DO CLIENTE]]-Prog_23[[#This Row],[PROGRAMAÇÃO CLIENTE]]</f>
        <v>0</v>
      </c>
      <c r="AH1081" s="44"/>
      <c r="AI1081" s="66"/>
      <c r="AJ1081" s="66"/>
      <c r="AK1081" s="66"/>
      <c r="AL1081" s="66"/>
      <c r="AM1081" s="66"/>
      <c r="AN1081" s="83"/>
      <c r="AO1081" s="83"/>
      <c r="AP1081" s="83"/>
      <c r="AQ1081" s="66"/>
      <c r="AR1081" s="66"/>
      <c r="AS1081" s="66"/>
      <c r="AT1081" s="81"/>
      <c r="AU1081" s="81"/>
      <c r="AV1081" s="81"/>
      <c r="AW1081" s="81"/>
      <c r="AX1081" s="83">
        <f>SUM(Prog_23[[#This Row],[ADIANTAMENTO]]+Prog_23[[#This Row],[SALDO]]+Prog_23[[#This Row],[MARGEM]]+Prog_23[[#This Row],[ESTADIA 1]])</f>
        <v>0</v>
      </c>
      <c r="AY10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81" s="81"/>
      <c r="BA1081" s="81"/>
      <c r="BB1081" s="81">
        <f>Prog_23[[#This Row],[VLR NF]]*0.1%</f>
        <v>0</v>
      </c>
      <c r="BC1081" s="81">
        <f>Prog_23[[#This Row],[VLR NF]]*0.05%</f>
        <v>0</v>
      </c>
      <c r="BD1081" s="81"/>
      <c r="BE1081" s="81"/>
      <c r="BF1081" s="81"/>
      <c r="BG1081" s="81"/>
      <c r="BH1081" s="81"/>
      <c r="BI1081" s="81"/>
      <c r="BJ1081" s="81"/>
      <c r="BK1081" s="81"/>
      <c r="BL1081" s="81"/>
      <c r="BM1081" s="81"/>
      <c r="BN1081" s="66"/>
      <c r="BO1081" s="66"/>
      <c r="BP1081" s="66"/>
      <c r="BQ1081" s="66" t="str">
        <f>PROPER(TEXT(Prog_23[[#This Row],[PROGRAMAÇÃO CLIENTE]],"mmm"))</f>
        <v>Jan</v>
      </c>
      <c r="BR1081" s="66">
        <f>YEAR(Prog_23[[#This Row],[PROGRAMAÇÃO CLIENTE]])</f>
        <v>1900</v>
      </c>
    </row>
    <row r="1082" spans="1:70" x14ac:dyDescent="0.25">
      <c r="A1082" s="201">
        <f>Prog_23[[#This Row],[CONTEINER]]</f>
        <v>0</v>
      </c>
      <c r="B1082" s="86"/>
      <c r="C10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82" s="44"/>
      <c r="E1082" s="66"/>
      <c r="F1082" s="66"/>
      <c r="G1082" s="66"/>
      <c r="H1082" s="44"/>
      <c r="I1082" s="44"/>
      <c r="J1082" s="66"/>
      <c r="K1082" s="66"/>
      <c r="L1082" s="66"/>
      <c r="M1082" s="66"/>
      <c r="N1082" s="66">
        <f>SUM(Prog_23[[#This Row],[TARA]]+Prog_23[[#This Row],[PESO]])</f>
        <v>0</v>
      </c>
      <c r="O1082" s="44"/>
      <c r="P1082" s="66"/>
      <c r="Q1082" s="66"/>
      <c r="R1082" s="66"/>
      <c r="S1082" s="66"/>
      <c r="T1082" s="138" t="str">
        <f>IFERROR(LOOKUP($S1082,MOTORISTAS!$D$3:$D$916,MOTORISTAS!E$3:$E$916),"")</f>
        <v/>
      </c>
      <c r="U1082" s="138" t="str">
        <f>IFERROR(LOOKUP($S1082,MOTORISTAS!$D$3:$D$916,MOTORISTAS!F$3:$F$916),"")</f>
        <v/>
      </c>
      <c r="V1082" s="66"/>
      <c r="W1082" s="66"/>
      <c r="X1082" s="66"/>
      <c r="Y1082" s="66"/>
      <c r="Z1082" s="66"/>
      <c r="AA1082" s="66"/>
      <c r="AB1082" s="66"/>
      <c r="AC1082" s="66"/>
      <c r="AD1082" s="66"/>
      <c r="AE1082" s="66"/>
      <c r="AF1082" s="44"/>
      <c r="AG1082" s="254">
        <f>Prog_23[[#This Row],[SAÍDA DO CLIENTE]]-Prog_23[[#This Row],[PROGRAMAÇÃO CLIENTE]]</f>
        <v>0</v>
      </c>
      <c r="AH1082" s="44"/>
      <c r="AI1082" s="66"/>
      <c r="AJ1082" s="66"/>
      <c r="AK1082" s="66"/>
      <c r="AL1082" s="66"/>
      <c r="AM1082" s="66"/>
      <c r="AN1082" s="83"/>
      <c r="AO1082" s="83"/>
      <c r="AP1082" s="83"/>
      <c r="AQ1082" s="66"/>
      <c r="AR1082" s="66"/>
      <c r="AS1082" s="66"/>
      <c r="AT1082" s="81"/>
      <c r="AU1082" s="81"/>
      <c r="AV1082" s="81"/>
      <c r="AW1082" s="81"/>
      <c r="AX1082" s="83">
        <f>SUM(Prog_23[[#This Row],[ADIANTAMENTO]]+Prog_23[[#This Row],[SALDO]]+Prog_23[[#This Row],[MARGEM]]+Prog_23[[#This Row],[ESTADIA 1]])</f>
        <v>0</v>
      </c>
      <c r="AY10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82" s="81"/>
      <c r="BA1082" s="81"/>
      <c r="BB1082" s="81">
        <f>Prog_23[[#This Row],[VLR NF]]*0.1%</f>
        <v>0</v>
      </c>
      <c r="BC1082" s="81">
        <f>Prog_23[[#This Row],[VLR NF]]*0.05%</f>
        <v>0</v>
      </c>
      <c r="BD1082" s="81"/>
      <c r="BE1082" s="81"/>
      <c r="BF1082" s="81"/>
      <c r="BG1082" s="81"/>
      <c r="BH1082" s="81"/>
      <c r="BI1082" s="81"/>
      <c r="BJ1082" s="81"/>
      <c r="BK1082" s="81"/>
      <c r="BL1082" s="81"/>
      <c r="BM1082" s="81"/>
      <c r="BN1082" s="66"/>
      <c r="BO1082" s="66"/>
      <c r="BP1082" s="66"/>
      <c r="BQ1082" s="66" t="str">
        <f>PROPER(TEXT(Prog_23[[#This Row],[PROGRAMAÇÃO CLIENTE]],"mmm"))</f>
        <v>Jan</v>
      </c>
      <c r="BR1082" s="66">
        <f>YEAR(Prog_23[[#This Row],[PROGRAMAÇÃO CLIENTE]])</f>
        <v>1900</v>
      </c>
    </row>
    <row r="1083" spans="1:70" x14ac:dyDescent="0.25">
      <c r="A1083" s="200">
        <f>Prog_23[[#This Row],[CONTEINER]]</f>
        <v>0</v>
      </c>
      <c r="B1083" s="86"/>
      <c r="C10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83" s="44"/>
      <c r="E1083" s="66"/>
      <c r="F1083" s="66"/>
      <c r="G1083" s="66"/>
      <c r="H1083" s="44"/>
      <c r="I1083" s="44"/>
      <c r="J1083" s="66"/>
      <c r="K1083" s="66"/>
      <c r="L1083" s="66"/>
      <c r="M1083" s="66"/>
      <c r="N1083" s="66">
        <f>SUM(Prog_23[[#This Row],[TARA]]+Prog_23[[#This Row],[PESO]])</f>
        <v>0</v>
      </c>
      <c r="O1083" s="44"/>
      <c r="P1083" s="66"/>
      <c r="Q1083" s="66"/>
      <c r="R1083" s="66"/>
      <c r="S1083" s="66"/>
      <c r="T1083" s="138" t="str">
        <f>IFERROR(LOOKUP($S1083,MOTORISTAS!$D$3:$D$916,MOTORISTAS!E$3:$E$916),"")</f>
        <v/>
      </c>
      <c r="U1083" s="138" t="str">
        <f>IFERROR(LOOKUP($S1083,MOTORISTAS!$D$3:$D$916,MOTORISTAS!F$3:$F$916),"")</f>
        <v/>
      </c>
      <c r="V1083" s="66"/>
      <c r="W1083" s="66"/>
      <c r="X1083" s="66"/>
      <c r="Y1083" s="66"/>
      <c r="Z1083" s="66"/>
      <c r="AA1083" s="66"/>
      <c r="AB1083" s="66"/>
      <c r="AC1083" s="66"/>
      <c r="AD1083" s="66"/>
      <c r="AE1083" s="66"/>
      <c r="AF1083" s="44"/>
      <c r="AG1083" s="254">
        <f>Prog_23[[#This Row],[SAÍDA DO CLIENTE]]-Prog_23[[#This Row],[PROGRAMAÇÃO CLIENTE]]</f>
        <v>0</v>
      </c>
      <c r="AH1083" s="44"/>
      <c r="AI1083" s="66"/>
      <c r="AJ1083" s="66"/>
      <c r="AK1083" s="66"/>
      <c r="AL1083" s="66"/>
      <c r="AM1083" s="66"/>
      <c r="AN1083" s="83"/>
      <c r="AO1083" s="83"/>
      <c r="AP1083" s="83"/>
      <c r="AQ1083" s="66"/>
      <c r="AR1083" s="66"/>
      <c r="AS1083" s="66"/>
      <c r="AT1083" s="81"/>
      <c r="AU1083" s="81"/>
      <c r="AV1083" s="81"/>
      <c r="AW1083" s="81"/>
      <c r="AX1083" s="83">
        <f>SUM(Prog_23[[#This Row],[ADIANTAMENTO]]+Prog_23[[#This Row],[SALDO]]+Prog_23[[#This Row],[MARGEM]]+Prog_23[[#This Row],[ESTADIA 1]])</f>
        <v>0</v>
      </c>
      <c r="AY10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83" s="81"/>
      <c r="BA1083" s="81"/>
      <c r="BB1083" s="81">
        <f>Prog_23[[#This Row],[VLR NF]]*0.1%</f>
        <v>0</v>
      </c>
      <c r="BC1083" s="81">
        <f>Prog_23[[#This Row],[VLR NF]]*0.05%</f>
        <v>0</v>
      </c>
      <c r="BD1083" s="81"/>
      <c r="BE1083" s="81"/>
      <c r="BF1083" s="81"/>
      <c r="BG1083" s="81"/>
      <c r="BH1083" s="81"/>
      <c r="BI1083" s="81"/>
      <c r="BJ1083" s="81"/>
      <c r="BK1083" s="81"/>
      <c r="BL1083" s="81"/>
      <c r="BM1083" s="81"/>
      <c r="BN1083" s="66"/>
      <c r="BO1083" s="66"/>
      <c r="BP1083" s="66"/>
      <c r="BQ1083" s="66" t="str">
        <f>PROPER(TEXT(Prog_23[[#This Row],[PROGRAMAÇÃO CLIENTE]],"mmm"))</f>
        <v>Jan</v>
      </c>
      <c r="BR1083" s="66">
        <f>YEAR(Prog_23[[#This Row],[PROGRAMAÇÃO CLIENTE]])</f>
        <v>1900</v>
      </c>
    </row>
    <row r="1084" spans="1:70" x14ac:dyDescent="0.25">
      <c r="A1084" s="201">
        <f>Prog_23[[#This Row],[CONTEINER]]</f>
        <v>0</v>
      </c>
      <c r="B1084" s="86"/>
      <c r="C10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84" s="44"/>
      <c r="E1084" s="66"/>
      <c r="F1084" s="66"/>
      <c r="G1084" s="66"/>
      <c r="H1084" s="44"/>
      <c r="I1084" s="44"/>
      <c r="J1084" s="66"/>
      <c r="K1084" s="66"/>
      <c r="L1084" s="66"/>
      <c r="M1084" s="66"/>
      <c r="N1084" s="66">
        <f>SUM(Prog_23[[#This Row],[TARA]]+Prog_23[[#This Row],[PESO]])</f>
        <v>0</v>
      </c>
      <c r="O1084" s="44"/>
      <c r="P1084" s="66"/>
      <c r="Q1084" s="66"/>
      <c r="R1084" s="66"/>
      <c r="S1084" s="66"/>
      <c r="T1084" s="138" t="str">
        <f>IFERROR(LOOKUP($S1084,MOTORISTAS!$D$3:$D$916,MOTORISTAS!E$3:$E$916),"")</f>
        <v/>
      </c>
      <c r="U1084" s="138" t="str">
        <f>IFERROR(LOOKUP($S1084,MOTORISTAS!$D$3:$D$916,MOTORISTAS!F$3:$F$916),"")</f>
        <v/>
      </c>
      <c r="V1084" s="66"/>
      <c r="W1084" s="66"/>
      <c r="X1084" s="66"/>
      <c r="Y1084" s="66"/>
      <c r="Z1084" s="66"/>
      <c r="AA1084" s="66"/>
      <c r="AB1084" s="66"/>
      <c r="AC1084" s="66"/>
      <c r="AD1084" s="66"/>
      <c r="AE1084" s="66"/>
      <c r="AF1084" s="44"/>
      <c r="AG1084" s="254">
        <f>Prog_23[[#This Row],[SAÍDA DO CLIENTE]]-Prog_23[[#This Row],[PROGRAMAÇÃO CLIENTE]]</f>
        <v>0</v>
      </c>
      <c r="AH1084" s="44"/>
      <c r="AI1084" s="66"/>
      <c r="AJ1084" s="66"/>
      <c r="AK1084" s="66"/>
      <c r="AL1084" s="66"/>
      <c r="AM1084" s="66"/>
      <c r="AN1084" s="83"/>
      <c r="AO1084" s="83"/>
      <c r="AP1084" s="83"/>
      <c r="AQ1084" s="66"/>
      <c r="AR1084" s="66"/>
      <c r="AS1084" s="66"/>
      <c r="AT1084" s="81"/>
      <c r="AU1084" s="81"/>
      <c r="AV1084" s="81"/>
      <c r="AW1084" s="81"/>
      <c r="AX1084" s="83">
        <f>SUM(Prog_23[[#This Row],[ADIANTAMENTO]]+Prog_23[[#This Row],[SALDO]]+Prog_23[[#This Row],[MARGEM]]+Prog_23[[#This Row],[ESTADIA 1]])</f>
        <v>0</v>
      </c>
      <c r="AY10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84" s="81"/>
      <c r="BA1084" s="81"/>
      <c r="BB1084" s="81">
        <f>Prog_23[[#This Row],[VLR NF]]*0.1%</f>
        <v>0</v>
      </c>
      <c r="BC1084" s="81">
        <f>Prog_23[[#This Row],[VLR NF]]*0.05%</f>
        <v>0</v>
      </c>
      <c r="BD1084" s="81"/>
      <c r="BE1084" s="81"/>
      <c r="BF1084" s="81"/>
      <c r="BG1084" s="81"/>
      <c r="BH1084" s="81"/>
      <c r="BI1084" s="81"/>
      <c r="BJ1084" s="81"/>
      <c r="BK1084" s="81"/>
      <c r="BL1084" s="81"/>
      <c r="BM1084" s="81"/>
      <c r="BN1084" s="66"/>
      <c r="BO1084" s="66"/>
      <c r="BP1084" s="66"/>
      <c r="BQ1084" s="66" t="str">
        <f>PROPER(TEXT(Prog_23[[#This Row],[PROGRAMAÇÃO CLIENTE]],"mmm"))</f>
        <v>Jan</v>
      </c>
      <c r="BR1084" s="66">
        <f>YEAR(Prog_23[[#This Row],[PROGRAMAÇÃO CLIENTE]])</f>
        <v>1900</v>
      </c>
    </row>
    <row r="1085" spans="1:70" x14ac:dyDescent="0.25">
      <c r="A1085" s="200">
        <f>Prog_23[[#This Row],[CONTEINER]]</f>
        <v>0</v>
      </c>
      <c r="B1085" s="86"/>
      <c r="C10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85" s="44"/>
      <c r="E1085" s="66"/>
      <c r="F1085" s="66"/>
      <c r="G1085" s="66"/>
      <c r="H1085" s="44"/>
      <c r="I1085" s="44"/>
      <c r="J1085" s="66"/>
      <c r="K1085" s="66"/>
      <c r="L1085" s="66"/>
      <c r="M1085" s="66"/>
      <c r="N1085" s="66">
        <f>SUM(Prog_23[[#This Row],[TARA]]+Prog_23[[#This Row],[PESO]])</f>
        <v>0</v>
      </c>
      <c r="O1085" s="44"/>
      <c r="P1085" s="66"/>
      <c r="Q1085" s="66"/>
      <c r="R1085" s="66"/>
      <c r="S1085" s="66"/>
      <c r="T1085" s="138" t="str">
        <f>IFERROR(LOOKUP($S1085,MOTORISTAS!$D$3:$D$916,MOTORISTAS!E$3:$E$916),"")</f>
        <v/>
      </c>
      <c r="U1085" s="138" t="str">
        <f>IFERROR(LOOKUP($S1085,MOTORISTAS!$D$3:$D$916,MOTORISTAS!F$3:$F$916),"")</f>
        <v/>
      </c>
      <c r="V1085" s="66"/>
      <c r="W1085" s="66"/>
      <c r="X1085" s="66"/>
      <c r="Y1085" s="66"/>
      <c r="Z1085" s="66"/>
      <c r="AA1085" s="66"/>
      <c r="AB1085" s="66"/>
      <c r="AC1085" s="66"/>
      <c r="AD1085" s="66"/>
      <c r="AE1085" s="66"/>
      <c r="AF1085" s="44"/>
      <c r="AG1085" s="254">
        <f>Prog_23[[#This Row],[SAÍDA DO CLIENTE]]-Prog_23[[#This Row],[PROGRAMAÇÃO CLIENTE]]</f>
        <v>0</v>
      </c>
      <c r="AH1085" s="44"/>
      <c r="AI1085" s="66"/>
      <c r="AJ1085" s="66"/>
      <c r="AK1085" s="66"/>
      <c r="AL1085" s="66"/>
      <c r="AM1085" s="66"/>
      <c r="AN1085" s="83"/>
      <c r="AO1085" s="83"/>
      <c r="AP1085" s="83"/>
      <c r="AQ1085" s="66"/>
      <c r="AR1085" s="66"/>
      <c r="AS1085" s="66"/>
      <c r="AT1085" s="81"/>
      <c r="AU1085" s="81"/>
      <c r="AV1085" s="81"/>
      <c r="AW1085" s="81"/>
      <c r="AX1085" s="83">
        <f>SUM(Prog_23[[#This Row],[ADIANTAMENTO]]+Prog_23[[#This Row],[SALDO]]+Prog_23[[#This Row],[MARGEM]]+Prog_23[[#This Row],[ESTADIA 1]])</f>
        <v>0</v>
      </c>
      <c r="AY10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85" s="81"/>
      <c r="BA1085" s="81"/>
      <c r="BB1085" s="81">
        <f>Prog_23[[#This Row],[VLR NF]]*0.1%</f>
        <v>0</v>
      </c>
      <c r="BC1085" s="81">
        <f>Prog_23[[#This Row],[VLR NF]]*0.05%</f>
        <v>0</v>
      </c>
      <c r="BD1085" s="81"/>
      <c r="BE1085" s="81"/>
      <c r="BF1085" s="81"/>
      <c r="BG1085" s="81"/>
      <c r="BH1085" s="81"/>
      <c r="BI1085" s="81"/>
      <c r="BJ1085" s="81"/>
      <c r="BK1085" s="81"/>
      <c r="BL1085" s="81"/>
      <c r="BM1085" s="81"/>
      <c r="BN1085" s="66"/>
      <c r="BO1085" s="66"/>
      <c r="BP1085" s="66"/>
      <c r="BQ1085" s="66" t="str">
        <f>PROPER(TEXT(Prog_23[[#This Row],[PROGRAMAÇÃO CLIENTE]],"mmm"))</f>
        <v>Jan</v>
      </c>
      <c r="BR1085" s="66">
        <f>YEAR(Prog_23[[#This Row],[PROGRAMAÇÃO CLIENTE]])</f>
        <v>1900</v>
      </c>
    </row>
    <row r="1086" spans="1:70" x14ac:dyDescent="0.25">
      <c r="A1086" s="201">
        <f>Prog_23[[#This Row],[CONTEINER]]</f>
        <v>0</v>
      </c>
      <c r="B1086" s="86"/>
      <c r="C10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86" s="44"/>
      <c r="E1086" s="66"/>
      <c r="F1086" s="66"/>
      <c r="G1086" s="66"/>
      <c r="H1086" s="44"/>
      <c r="I1086" s="44"/>
      <c r="J1086" s="66"/>
      <c r="K1086" s="66"/>
      <c r="L1086" s="66"/>
      <c r="M1086" s="66"/>
      <c r="N1086" s="66">
        <f>SUM(Prog_23[[#This Row],[TARA]]+Prog_23[[#This Row],[PESO]])</f>
        <v>0</v>
      </c>
      <c r="O1086" s="44"/>
      <c r="P1086" s="66"/>
      <c r="Q1086" s="66"/>
      <c r="R1086" s="66"/>
      <c r="S1086" s="66"/>
      <c r="T1086" s="138" t="str">
        <f>IFERROR(LOOKUP($S1086,MOTORISTAS!$D$3:$D$916,MOTORISTAS!E$3:$E$916),"")</f>
        <v/>
      </c>
      <c r="U1086" s="138" t="str">
        <f>IFERROR(LOOKUP($S1086,MOTORISTAS!$D$3:$D$916,MOTORISTAS!F$3:$F$916),"")</f>
        <v/>
      </c>
      <c r="V1086" s="66"/>
      <c r="W1086" s="66"/>
      <c r="X1086" s="66"/>
      <c r="Y1086" s="66"/>
      <c r="Z1086" s="66"/>
      <c r="AA1086" s="66"/>
      <c r="AB1086" s="66"/>
      <c r="AC1086" s="66"/>
      <c r="AD1086" s="66"/>
      <c r="AE1086" s="66"/>
      <c r="AF1086" s="44"/>
      <c r="AG1086" s="254">
        <f>Prog_23[[#This Row],[SAÍDA DO CLIENTE]]-Prog_23[[#This Row],[PROGRAMAÇÃO CLIENTE]]</f>
        <v>0</v>
      </c>
      <c r="AH1086" s="44"/>
      <c r="AI1086" s="66"/>
      <c r="AJ1086" s="66"/>
      <c r="AK1086" s="66"/>
      <c r="AL1086" s="66"/>
      <c r="AM1086" s="66"/>
      <c r="AN1086" s="83"/>
      <c r="AO1086" s="83"/>
      <c r="AP1086" s="83"/>
      <c r="AQ1086" s="66"/>
      <c r="AR1086" s="66"/>
      <c r="AS1086" s="66"/>
      <c r="AT1086" s="81"/>
      <c r="AU1086" s="81"/>
      <c r="AV1086" s="81"/>
      <c r="AW1086" s="81"/>
      <c r="AX1086" s="83">
        <f>SUM(Prog_23[[#This Row],[ADIANTAMENTO]]+Prog_23[[#This Row],[SALDO]]+Prog_23[[#This Row],[MARGEM]]+Prog_23[[#This Row],[ESTADIA 1]])</f>
        <v>0</v>
      </c>
      <c r="AY10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86" s="81"/>
      <c r="BA1086" s="81"/>
      <c r="BB1086" s="81">
        <f>Prog_23[[#This Row],[VLR NF]]*0.1%</f>
        <v>0</v>
      </c>
      <c r="BC1086" s="81">
        <f>Prog_23[[#This Row],[VLR NF]]*0.05%</f>
        <v>0</v>
      </c>
      <c r="BD1086" s="81"/>
      <c r="BE1086" s="81"/>
      <c r="BF1086" s="81"/>
      <c r="BG1086" s="81"/>
      <c r="BH1086" s="81"/>
      <c r="BI1086" s="81"/>
      <c r="BJ1086" s="81"/>
      <c r="BK1086" s="81"/>
      <c r="BL1086" s="81"/>
      <c r="BM1086" s="81"/>
      <c r="BN1086" s="66"/>
      <c r="BO1086" s="66"/>
      <c r="BP1086" s="66"/>
      <c r="BQ1086" s="66" t="str">
        <f>PROPER(TEXT(Prog_23[[#This Row],[PROGRAMAÇÃO CLIENTE]],"mmm"))</f>
        <v>Jan</v>
      </c>
      <c r="BR1086" s="66">
        <f>YEAR(Prog_23[[#This Row],[PROGRAMAÇÃO CLIENTE]])</f>
        <v>1900</v>
      </c>
    </row>
    <row r="1087" spans="1:70" x14ac:dyDescent="0.25">
      <c r="A1087" s="200">
        <f>Prog_23[[#This Row],[CONTEINER]]</f>
        <v>0</v>
      </c>
      <c r="B1087" s="86"/>
      <c r="C10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87" s="44"/>
      <c r="E1087" s="66"/>
      <c r="F1087" s="66"/>
      <c r="G1087" s="66"/>
      <c r="H1087" s="44"/>
      <c r="I1087" s="44"/>
      <c r="J1087" s="66"/>
      <c r="K1087" s="66"/>
      <c r="L1087" s="66"/>
      <c r="M1087" s="66"/>
      <c r="N1087" s="66">
        <f>SUM(Prog_23[[#This Row],[TARA]]+Prog_23[[#This Row],[PESO]])</f>
        <v>0</v>
      </c>
      <c r="O1087" s="44"/>
      <c r="P1087" s="66"/>
      <c r="Q1087" s="66"/>
      <c r="R1087" s="66"/>
      <c r="S1087" s="66"/>
      <c r="T1087" s="138" t="str">
        <f>IFERROR(LOOKUP($S1087,MOTORISTAS!$D$3:$D$916,MOTORISTAS!E$3:$E$916),"")</f>
        <v/>
      </c>
      <c r="U1087" s="138" t="str">
        <f>IFERROR(LOOKUP($S1087,MOTORISTAS!$D$3:$D$916,MOTORISTAS!F$3:$F$916),"")</f>
        <v/>
      </c>
      <c r="V1087" s="66"/>
      <c r="W1087" s="66"/>
      <c r="X1087" s="66"/>
      <c r="Y1087" s="66"/>
      <c r="Z1087" s="66"/>
      <c r="AA1087" s="66"/>
      <c r="AB1087" s="66"/>
      <c r="AC1087" s="66"/>
      <c r="AD1087" s="66"/>
      <c r="AE1087" s="66"/>
      <c r="AF1087" s="44"/>
      <c r="AG1087" s="254">
        <f>Prog_23[[#This Row],[SAÍDA DO CLIENTE]]-Prog_23[[#This Row],[PROGRAMAÇÃO CLIENTE]]</f>
        <v>0</v>
      </c>
      <c r="AH1087" s="44"/>
      <c r="AI1087" s="66"/>
      <c r="AJ1087" s="66"/>
      <c r="AK1087" s="66"/>
      <c r="AL1087" s="66"/>
      <c r="AM1087" s="66"/>
      <c r="AN1087" s="83"/>
      <c r="AO1087" s="83"/>
      <c r="AP1087" s="83"/>
      <c r="AQ1087" s="66"/>
      <c r="AR1087" s="66"/>
      <c r="AS1087" s="66"/>
      <c r="AT1087" s="81"/>
      <c r="AU1087" s="81"/>
      <c r="AV1087" s="81"/>
      <c r="AW1087" s="81"/>
      <c r="AX1087" s="83">
        <f>SUM(Prog_23[[#This Row],[ADIANTAMENTO]]+Prog_23[[#This Row],[SALDO]]+Prog_23[[#This Row],[MARGEM]]+Prog_23[[#This Row],[ESTADIA 1]])</f>
        <v>0</v>
      </c>
      <c r="AY10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87" s="81"/>
      <c r="BA1087" s="81"/>
      <c r="BB1087" s="81">
        <f>Prog_23[[#This Row],[VLR NF]]*0.1%</f>
        <v>0</v>
      </c>
      <c r="BC1087" s="81">
        <f>Prog_23[[#This Row],[VLR NF]]*0.05%</f>
        <v>0</v>
      </c>
      <c r="BD1087" s="81"/>
      <c r="BE1087" s="81"/>
      <c r="BF1087" s="81"/>
      <c r="BG1087" s="81"/>
      <c r="BH1087" s="81"/>
      <c r="BI1087" s="81"/>
      <c r="BJ1087" s="81"/>
      <c r="BK1087" s="81"/>
      <c r="BL1087" s="81"/>
      <c r="BM1087" s="81"/>
      <c r="BN1087" s="66"/>
      <c r="BO1087" s="66"/>
      <c r="BP1087" s="66"/>
      <c r="BQ1087" s="66" t="str">
        <f>PROPER(TEXT(Prog_23[[#This Row],[PROGRAMAÇÃO CLIENTE]],"mmm"))</f>
        <v>Jan</v>
      </c>
      <c r="BR1087" s="66">
        <f>YEAR(Prog_23[[#This Row],[PROGRAMAÇÃO CLIENTE]])</f>
        <v>1900</v>
      </c>
    </row>
    <row r="1088" spans="1:70" x14ac:dyDescent="0.25">
      <c r="A1088" s="201">
        <f>Prog_23[[#This Row],[CONTEINER]]</f>
        <v>0</v>
      </c>
      <c r="B1088" s="86"/>
      <c r="C10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88" s="44"/>
      <c r="E1088" s="66"/>
      <c r="F1088" s="66"/>
      <c r="G1088" s="66"/>
      <c r="H1088" s="44"/>
      <c r="I1088" s="44"/>
      <c r="J1088" s="66"/>
      <c r="K1088" s="66"/>
      <c r="L1088" s="66"/>
      <c r="M1088" s="66"/>
      <c r="N1088" s="66">
        <f>SUM(Prog_23[[#This Row],[TARA]]+Prog_23[[#This Row],[PESO]])</f>
        <v>0</v>
      </c>
      <c r="O1088" s="44"/>
      <c r="P1088" s="66"/>
      <c r="Q1088" s="66"/>
      <c r="R1088" s="66"/>
      <c r="S1088" s="66"/>
      <c r="T1088" s="138" t="str">
        <f>IFERROR(LOOKUP($S1088,MOTORISTAS!$D$3:$D$916,MOTORISTAS!E$3:$E$916),"")</f>
        <v/>
      </c>
      <c r="U1088" s="138" t="str">
        <f>IFERROR(LOOKUP($S1088,MOTORISTAS!$D$3:$D$916,MOTORISTAS!F$3:$F$916),"")</f>
        <v/>
      </c>
      <c r="V1088" s="66"/>
      <c r="W1088" s="66"/>
      <c r="X1088" s="66"/>
      <c r="Y1088" s="66"/>
      <c r="Z1088" s="66"/>
      <c r="AA1088" s="66"/>
      <c r="AB1088" s="66"/>
      <c r="AC1088" s="66"/>
      <c r="AD1088" s="66"/>
      <c r="AE1088" s="66"/>
      <c r="AF1088" s="44"/>
      <c r="AG1088" s="254">
        <f>Prog_23[[#This Row],[SAÍDA DO CLIENTE]]-Prog_23[[#This Row],[PROGRAMAÇÃO CLIENTE]]</f>
        <v>0</v>
      </c>
      <c r="AH1088" s="44"/>
      <c r="AI1088" s="66"/>
      <c r="AJ1088" s="66"/>
      <c r="AK1088" s="66"/>
      <c r="AL1088" s="66"/>
      <c r="AM1088" s="66"/>
      <c r="AN1088" s="83"/>
      <c r="AO1088" s="83"/>
      <c r="AP1088" s="83"/>
      <c r="AQ1088" s="66"/>
      <c r="AR1088" s="66"/>
      <c r="AS1088" s="66"/>
      <c r="AT1088" s="81"/>
      <c r="AU1088" s="81"/>
      <c r="AV1088" s="81"/>
      <c r="AW1088" s="81"/>
      <c r="AX1088" s="83">
        <f>SUM(Prog_23[[#This Row],[ADIANTAMENTO]]+Prog_23[[#This Row],[SALDO]]+Prog_23[[#This Row],[MARGEM]]+Prog_23[[#This Row],[ESTADIA 1]])</f>
        <v>0</v>
      </c>
      <c r="AY10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88" s="81"/>
      <c r="BA1088" s="81"/>
      <c r="BB1088" s="81">
        <f>Prog_23[[#This Row],[VLR NF]]*0.1%</f>
        <v>0</v>
      </c>
      <c r="BC1088" s="81">
        <f>Prog_23[[#This Row],[VLR NF]]*0.05%</f>
        <v>0</v>
      </c>
      <c r="BD1088" s="81"/>
      <c r="BE1088" s="81"/>
      <c r="BF1088" s="81"/>
      <c r="BG1088" s="81"/>
      <c r="BH1088" s="81"/>
      <c r="BI1088" s="81"/>
      <c r="BJ1088" s="81"/>
      <c r="BK1088" s="81"/>
      <c r="BL1088" s="81"/>
      <c r="BM1088" s="81"/>
      <c r="BN1088" s="66"/>
      <c r="BO1088" s="66"/>
      <c r="BP1088" s="66"/>
      <c r="BQ1088" s="66" t="str">
        <f>PROPER(TEXT(Prog_23[[#This Row],[PROGRAMAÇÃO CLIENTE]],"mmm"))</f>
        <v>Jan</v>
      </c>
      <c r="BR1088" s="66">
        <f>YEAR(Prog_23[[#This Row],[PROGRAMAÇÃO CLIENTE]])</f>
        <v>1900</v>
      </c>
    </row>
    <row r="1089" spans="1:70" x14ac:dyDescent="0.25">
      <c r="A1089" s="200">
        <f>Prog_23[[#This Row],[CONTEINER]]</f>
        <v>0</v>
      </c>
      <c r="B1089" s="86"/>
      <c r="C10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89" s="44"/>
      <c r="E1089" s="66"/>
      <c r="F1089" s="66"/>
      <c r="G1089" s="66"/>
      <c r="H1089" s="44"/>
      <c r="I1089" s="44"/>
      <c r="J1089" s="66"/>
      <c r="K1089" s="66"/>
      <c r="L1089" s="66"/>
      <c r="M1089" s="66"/>
      <c r="N1089" s="66">
        <f>SUM(Prog_23[[#This Row],[TARA]]+Prog_23[[#This Row],[PESO]])</f>
        <v>0</v>
      </c>
      <c r="O1089" s="44"/>
      <c r="P1089" s="66"/>
      <c r="Q1089" s="66"/>
      <c r="R1089" s="66"/>
      <c r="S1089" s="66"/>
      <c r="T1089" s="138" t="str">
        <f>IFERROR(LOOKUP($S1089,MOTORISTAS!$D$3:$D$916,MOTORISTAS!E$3:$E$916),"")</f>
        <v/>
      </c>
      <c r="U1089" s="138" t="str">
        <f>IFERROR(LOOKUP($S1089,MOTORISTAS!$D$3:$D$916,MOTORISTAS!F$3:$F$916),"")</f>
        <v/>
      </c>
      <c r="V1089" s="66"/>
      <c r="W1089" s="66"/>
      <c r="X1089" s="66"/>
      <c r="Y1089" s="66"/>
      <c r="Z1089" s="66"/>
      <c r="AA1089" s="66"/>
      <c r="AB1089" s="66"/>
      <c r="AC1089" s="66"/>
      <c r="AD1089" s="66"/>
      <c r="AE1089" s="66"/>
      <c r="AF1089" s="44"/>
      <c r="AG1089" s="254">
        <f>Prog_23[[#This Row],[SAÍDA DO CLIENTE]]-Prog_23[[#This Row],[PROGRAMAÇÃO CLIENTE]]</f>
        <v>0</v>
      </c>
      <c r="AH1089" s="44"/>
      <c r="AI1089" s="66"/>
      <c r="AJ1089" s="66"/>
      <c r="AK1089" s="66"/>
      <c r="AL1089" s="66"/>
      <c r="AM1089" s="66"/>
      <c r="AN1089" s="83"/>
      <c r="AO1089" s="83"/>
      <c r="AP1089" s="83"/>
      <c r="AQ1089" s="66"/>
      <c r="AR1089" s="66"/>
      <c r="AS1089" s="66"/>
      <c r="AT1089" s="81"/>
      <c r="AU1089" s="81"/>
      <c r="AV1089" s="81"/>
      <c r="AW1089" s="81"/>
      <c r="AX1089" s="83">
        <f>SUM(Prog_23[[#This Row],[ADIANTAMENTO]]+Prog_23[[#This Row],[SALDO]]+Prog_23[[#This Row],[MARGEM]]+Prog_23[[#This Row],[ESTADIA 1]])</f>
        <v>0</v>
      </c>
      <c r="AY10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89" s="81"/>
      <c r="BA1089" s="81"/>
      <c r="BB1089" s="81">
        <f>Prog_23[[#This Row],[VLR NF]]*0.1%</f>
        <v>0</v>
      </c>
      <c r="BC1089" s="81">
        <f>Prog_23[[#This Row],[VLR NF]]*0.05%</f>
        <v>0</v>
      </c>
      <c r="BD1089" s="81"/>
      <c r="BE1089" s="81"/>
      <c r="BF1089" s="81"/>
      <c r="BG1089" s="81"/>
      <c r="BH1089" s="81"/>
      <c r="BI1089" s="81"/>
      <c r="BJ1089" s="81"/>
      <c r="BK1089" s="81"/>
      <c r="BL1089" s="81"/>
      <c r="BM1089" s="81"/>
      <c r="BN1089" s="66"/>
      <c r="BO1089" s="66"/>
      <c r="BP1089" s="66"/>
      <c r="BQ1089" s="66" t="str">
        <f>PROPER(TEXT(Prog_23[[#This Row],[PROGRAMAÇÃO CLIENTE]],"mmm"))</f>
        <v>Jan</v>
      </c>
      <c r="BR1089" s="66">
        <f>YEAR(Prog_23[[#This Row],[PROGRAMAÇÃO CLIENTE]])</f>
        <v>1900</v>
      </c>
    </row>
    <row r="1090" spans="1:70" x14ac:dyDescent="0.25">
      <c r="A1090" s="201">
        <f>Prog_23[[#This Row],[CONTEINER]]</f>
        <v>0</v>
      </c>
      <c r="B1090" s="86"/>
      <c r="C10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90" s="44"/>
      <c r="E1090" s="66"/>
      <c r="F1090" s="66"/>
      <c r="G1090" s="66"/>
      <c r="H1090" s="44"/>
      <c r="I1090" s="44"/>
      <c r="J1090" s="66"/>
      <c r="K1090" s="66"/>
      <c r="L1090" s="66"/>
      <c r="M1090" s="66"/>
      <c r="N1090" s="66">
        <f>SUM(Prog_23[[#This Row],[TARA]]+Prog_23[[#This Row],[PESO]])</f>
        <v>0</v>
      </c>
      <c r="O1090" s="44"/>
      <c r="P1090" s="66"/>
      <c r="Q1090" s="66"/>
      <c r="R1090" s="66"/>
      <c r="S1090" s="66"/>
      <c r="T1090" s="138" t="str">
        <f>IFERROR(LOOKUP($S1090,MOTORISTAS!$D$3:$D$916,MOTORISTAS!E$3:$E$916),"")</f>
        <v/>
      </c>
      <c r="U1090" s="138" t="str">
        <f>IFERROR(LOOKUP($S1090,MOTORISTAS!$D$3:$D$916,MOTORISTAS!F$3:$F$916),"")</f>
        <v/>
      </c>
      <c r="V1090" s="66"/>
      <c r="W1090" s="66"/>
      <c r="X1090" s="66"/>
      <c r="Y1090" s="66"/>
      <c r="Z1090" s="66"/>
      <c r="AA1090" s="66"/>
      <c r="AB1090" s="66"/>
      <c r="AC1090" s="66"/>
      <c r="AD1090" s="66"/>
      <c r="AE1090" s="66"/>
      <c r="AF1090" s="44"/>
      <c r="AG1090" s="254">
        <f>Prog_23[[#This Row],[SAÍDA DO CLIENTE]]-Prog_23[[#This Row],[PROGRAMAÇÃO CLIENTE]]</f>
        <v>0</v>
      </c>
      <c r="AH1090" s="44"/>
      <c r="AI1090" s="66"/>
      <c r="AJ1090" s="66"/>
      <c r="AK1090" s="66"/>
      <c r="AL1090" s="66"/>
      <c r="AM1090" s="66"/>
      <c r="AN1090" s="83"/>
      <c r="AO1090" s="83"/>
      <c r="AP1090" s="83"/>
      <c r="AQ1090" s="66"/>
      <c r="AR1090" s="66"/>
      <c r="AS1090" s="66"/>
      <c r="AT1090" s="81"/>
      <c r="AU1090" s="81"/>
      <c r="AV1090" s="81"/>
      <c r="AW1090" s="81"/>
      <c r="AX1090" s="83">
        <f>SUM(Prog_23[[#This Row],[ADIANTAMENTO]]+Prog_23[[#This Row],[SALDO]]+Prog_23[[#This Row],[MARGEM]]+Prog_23[[#This Row],[ESTADIA 1]])</f>
        <v>0</v>
      </c>
      <c r="AY10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90" s="81"/>
      <c r="BA1090" s="81"/>
      <c r="BB1090" s="81">
        <f>Prog_23[[#This Row],[VLR NF]]*0.1%</f>
        <v>0</v>
      </c>
      <c r="BC1090" s="81">
        <f>Prog_23[[#This Row],[VLR NF]]*0.05%</f>
        <v>0</v>
      </c>
      <c r="BD1090" s="81"/>
      <c r="BE1090" s="81"/>
      <c r="BF1090" s="81"/>
      <c r="BG1090" s="81"/>
      <c r="BH1090" s="81"/>
      <c r="BI1090" s="81"/>
      <c r="BJ1090" s="81"/>
      <c r="BK1090" s="81"/>
      <c r="BL1090" s="81"/>
      <c r="BM1090" s="81"/>
      <c r="BN1090" s="66"/>
      <c r="BO1090" s="66"/>
      <c r="BP1090" s="66"/>
      <c r="BQ1090" s="66" t="str">
        <f>PROPER(TEXT(Prog_23[[#This Row],[PROGRAMAÇÃO CLIENTE]],"mmm"))</f>
        <v>Jan</v>
      </c>
      <c r="BR1090" s="66">
        <f>YEAR(Prog_23[[#This Row],[PROGRAMAÇÃO CLIENTE]])</f>
        <v>1900</v>
      </c>
    </row>
    <row r="1091" spans="1:70" x14ac:dyDescent="0.25">
      <c r="A1091" s="200">
        <f>Prog_23[[#This Row],[CONTEINER]]</f>
        <v>0</v>
      </c>
      <c r="B1091" s="86"/>
      <c r="C10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91" s="44"/>
      <c r="E1091" s="66"/>
      <c r="F1091" s="66"/>
      <c r="G1091" s="66"/>
      <c r="H1091" s="44"/>
      <c r="I1091" s="44"/>
      <c r="J1091" s="66"/>
      <c r="K1091" s="66"/>
      <c r="L1091" s="66"/>
      <c r="M1091" s="66"/>
      <c r="N1091" s="66">
        <f>SUM(Prog_23[[#This Row],[TARA]]+Prog_23[[#This Row],[PESO]])</f>
        <v>0</v>
      </c>
      <c r="O1091" s="44"/>
      <c r="P1091" s="66"/>
      <c r="Q1091" s="66"/>
      <c r="R1091" s="66"/>
      <c r="S1091" s="66"/>
      <c r="T1091" s="138" t="str">
        <f>IFERROR(LOOKUP($S1091,MOTORISTAS!$D$3:$D$916,MOTORISTAS!E$3:$E$916),"")</f>
        <v/>
      </c>
      <c r="U1091" s="138" t="str">
        <f>IFERROR(LOOKUP($S1091,MOTORISTAS!$D$3:$D$916,MOTORISTAS!F$3:$F$916),"")</f>
        <v/>
      </c>
      <c r="V1091" s="66"/>
      <c r="W1091" s="66"/>
      <c r="X1091" s="66"/>
      <c r="Y1091" s="66"/>
      <c r="Z1091" s="66"/>
      <c r="AA1091" s="66"/>
      <c r="AB1091" s="66"/>
      <c r="AC1091" s="66"/>
      <c r="AD1091" s="66"/>
      <c r="AE1091" s="66"/>
      <c r="AF1091" s="44"/>
      <c r="AG1091" s="254">
        <f>Prog_23[[#This Row],[SAÍDA DO CLIENTE]]-Prog_23[[#This Row],[PROGRAMAÇÃO CLIENTE]]</f>
        <v>0</v>
      </c>
      <c r="AH1091" s="44"/>
      <c r="AI1091" s="66"/>
      <c r="AJ1091" s="66"/>
      <c r="AK1091" s="66"/>
      <c r="AL1091" s="66"/>
      <c r="AM1091" s="66"/>
      <c r="AN1091" s="83"/>
      <c r="AO1091" s="83"/>
      <c r="AP1091" s="83"/>
      <c r="AQ1091" s="66"/>
      <c r="AR1091" s="66"/>
      <c r="AS1091" s="66"/>
      <c r="AT1091" s="81"/>
      <c r="AU1091" s="81"/>
      <c r="AV1091" s="81"/>
      <c r="AW1091" s="81"/>
      <c r="AX1091" s="83">
        <f>SUM(Prog_23[[#This Row],[ADIANTAMENTO]]+Prog_23[[#This Row],[SALDO]]+Prog_23[[#This Row],[MARGEM]]+Prog_23[[#This Row],[ESTADIA 1]])</f>
        <v>0</v>
      </c>
      <c r="AY10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91" s="81"/>
      <c r="BA1091" s="81"/>
      <c r="BB1091" s="81">
        <f>Prog_23[[#This Row],[VLR NF]]*0.1%</f>
        <v>0</v>
      </c>
      <c r="BC1091" s="81">
        <f>Prog_23[[#This Row],[VLR NF]]*0.05%</f>
        <v>0</v>
      </c>
      <c r="BD1091" s="81"/>
      <c r="BE1091" s="81"/>
      <c r="BF1091" s="81"/>
      <c r="BG1091" s="81"/>
      <c r="BH1091" s="81"/>
      <c r="BI1091" s="81"/>
      <c r="BJ1091" s="81"/>
      <c r="BK1091" s="81"/>
      <c r="BL1091" s="81"/>
      <c r="BM1091" s="81"/>
      <c r="BN1091" s="66"/>
      <c r="BO1091" s="66"/>
      <c r="BP1091" s="66"/>
      <c r="BQ1091" s="66" t="str">
        <f>PROPER(TEXT(Prog_23[[#This Row],[PROGRAMAÇÃO CLIENTE]],"mmm"))</f>
        <v>Jan</v>
      </c>
      <c r="BR1091" s="66">
        <f>YEAR(Prog_23[[#This Row],[PROGRAMAÇÃO CLIENTE]])</f>
        <v>1900</v>
      </c>
    </row>
    <row r="1092" spans="1:70" x14ac:dyDescent="0.25">
      <c r="A1092" s="201">
        <f>Prog_23[[#This Row],[CONTEINER]]</f>
        <v>0</v>
      </c>
      <c r="B1092" s="86"/>
      <c r="C10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92" s="44"/>
      <c r="E1092" s="66"/>
      <c r="F1092" s="66"/>
      <c r="G1092" s="66"/>
      <c r="H1092" s="44"/>
      <c r="I1092" s="44"/>
      <c r="J1092" s="66"/>
      <c r="K1092" s="66"/>
      <c r="L1092" s="66"/>
      <c r="M1092" s="66"/>
      <c r="N1092" s="66">
        <f>SUM(Prog_23[[#This Row],[TARA]]+Prog_23[[#This Row],[PESO]])</f>
        <v>0</v>
      </c>
      <c r="O1092" s="44"/>
      <c r="P1092" s="66"/>
      <c r="Q1092" s="66"/>
      <c r="R1092" s="66"/>
      <c r="S1092" s="66"/>
      <c r="T1092" s="138" t="str">
        <f>IFERROR(LOOKUP($S1092,MOTORISTAS!$D$3:$D$916,MOTORISTAS!E$3:$E$916),"")</f>
        <v/>
      </c>
      <c r="U1092" s="138" t="str">
        <f>IFERROR(LOOKUP($S1092,MOTORISTAS!$D$3:$D$916,MOTORISTAS!F$3:$F$916),"")</f>
        <v/>
      </c>
      <c r="V1092" s="66"/>
      <c r="W1092" s="66"/>
      <c r="X1092" s="66"/>
      <c r="Y1092" s="66"/>
      <c r="Z1092" s="66"/>
      <c r="AA1092" s="66"/>
      <c r="AB1092" s="66"/>
      <c r="AC1092" s="66"/>
      <c r="AD1092" s="66"/>
      <c r="AE1092" s="66"/>
      <c r="AF1092" s="44"/>
      <c r="AG1092" s="254">
        <f>Prog_23[[#This Row],[SAÍDA DO CLIENTE]]-Prog_23[[#This Row],[PROGRAMAÇÃO CLIENTE]]</f>
        <v>0</v>
      </c>
      <c r="AH1092" s="44"/>
      <c r="AI1092" s="66"/>
      <c r="AJ1092" s="66"/>
      <c r="AK1092" s="66"/>
      <c r="AL1092" s="66"/>
      <c r="AM1092" s="66"/>
      <c r="AN1092" s="83"/>
      <c r="AO1092" s="83"/>
      <c r="AP1092" s="83"/>
      <c r="AQ1092" s="66"/>
      <c r="AR1092" s="66"/>
      <c r="AS1092" s="66"/>
      <c r="AT1092" s="81"/>
      <c r="AU1092" s="81"/>
      <c r="AV1092" s="81"/>
      <c r="AW1092" s="81"/>
      <c r="AX1092" s="83">
        <f>SUM(Prog_23[[#This Row],[ADIANTAMENTO]]+Prog_23[[#This Row],[SALDO]]+Prog_23[[#This Row],[MARGEM]]+Prog_23[[#This Row],[ESTADIA 1]])</f>
        <v>0</v>
      </c>
      <c r="AY10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92" s="81"/>
      <c r="BA1092" s="81"/>
      <c r="BB1092" s="81">
        <f>Prog_23[[#This Row],[VLR NF]]*0.1%</f>
        <v>0</v>
      </c>
      <c r="BC1092" s="81">
        <f>Prog_23[[#This Row],[VLR NF]]*0.05%</f>
        <v>0</v>
      </c>
      <c r="BD1092" s="81"/>
      <c r="BE1092" s="81"/>
      <c r="BF1092" s="81"/>
      <c r="BG1092" s="81"/>
      <c r="BH1092" s="81"/>
      <c r="BI1092" s="81"/>
      <c r="BJ1092" s="81"/>
      <c r="BK1092" s="81"/>
      <c r="BL1092" s="81"/>
      <c r="BM1092" s="81"/>
      <c r="BN1092" s="66"/>
      <c r="BO1092" s="66"/>
      <c r="BP1092" s="66"/>
      <c r="BQ1092" s="66" t="str">
        <f>PROPER(TEXT(Prog_23[[#This Row],[PROGRAMAÇÃO CLIENTE]],"mmm"))</f>
        <v>Jan</v>
      </c>
      <c r="BR1092" s="66">
        <f>YEAR(Prog_23[[#This Row],[PROGRAMAÇÃO CLIENTE]])</f>
        <v>1900</v>
      </c>
    </row>
    <row r="1093" spans="1:70" x14ac:dyDescent="0.25">
      <c r="A1093" s="200">
        <f>Prog_23[[#This Row],[CONTEINER]]</f>
        <v>0</v>
      </c>
      <c r="B1093" s="86"/>
      <c r="C10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93" s="44"/>
      <c r="E1093" s="66"/>
      <c r="F1093" s="66"/>
      <c r="G1093" s="66"/>
      <c r="H1093" s="44"/>
      <c r="I1093" s="44"/>
      <c r="J1093" s="66"/>
      <c r="K1093" s="66"/>
      <c r="L1093" s="66"/>
      <c r="M1093" s="66"/>
      <c r="N1093" s="66">
        <f>SUM(Prog_23[[#This Row],[TARA]]+Prog_23[[#This Row],[PESO]])</f>
        <v>0</v>
      </c>
      <c r="O1093" s="44"/>
      <c r="P1093" s="66"/>
      <c r="Q1093" s="66"/>
      <c r="R1093" s="66"/>
      <c r="S1093" s="66"/>
      <c r="T1093" s="138" t="str">
        <f>IFERROR(LOOKUP($S1093,MOTORISTAS!$D$3:$D$916,MOTORISTAS!E$3:$E$916),"")</f>
        <v/>
      </c>
      <c r="U1093" s="138" t="str">
        <f>IFERROR(LOOKUP($S1093,MOTORISTAS!$D$3:$D$916,MOTORISTAS!F$3:$F$916),"")</f>
        <v/>
      </c>
      <c r="V1093" s="66"/>
      <c r="W1093" s="66"/>
      <c r="X1093" s="66"/>
      <c r="Y1093" s="66"/>
      <c r="Z1093" s="66"/>
      <c r="AA1093" s="66"/>
      <c r="AB1093" s="66"/>
      <c r="AC1093" s="66"/>
      <c r="AD1093" s="66"/>
      <c r="AE1093" s="66"/>
      <c r="AF1093" s="44"/>
      <c r="AG1093" s="254">
        <f>Prog_23[[#This Row],[SAÍDA DO CLIENTE]]-Prog_23[[#This Row],[PROGRAMAÇÃO CLIENTE]]</f>
        <v>0</v>
      </c>
      <c r="AH1093" s="44"/>
      <c r="AI1093" s="66"/>
      <c r="AJ1093" s="66"/>
      <c r="AK1093" s="66"/>
      <c r="AL1093" s="66"/>
      <c r="AM1093" s="66"/>
      <c r="AN1093" s="83"/>
      <c r="AO1093" s="83"/>
      <c r="AP1093" s="83"/>
      <c r="AQ1093" s="66"/>
      <c r="AR1093" s="66"/>
      <c r="AS1093" s="66"/>
      <c r="AT1093" s="81"/>
      <c r="AU1093" s="81"/>
      <c r="AV1093" s="81"/>
      <c r="AW1093" s="81"/>
      <c r="AX1093" s="83">
        <f>SUM(Prog_23[[#This Row],[ADIANTAMENTO]]+Prog_23[[#This Row],[SALDO]]+Prog_23[[#This Row],[MARGEM]]+Prog_23[[#This Row],[ESTADIA 1]])</f>
        <v>0</v>
      </c>
      <c r="AY10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93" s="81"/>
      <c r="BA1093" s="81"/>
      <c r="BB1093" s="81">
        <f>Prog_23[[#This Row],[VLR NF]]*0.1%</f>
        <v>0</v>
      </c>
      <c r="BC1093" s="81">
        <f>Prog_23[[#This Row],[VLR NF]]*0.05%</f>
        <v>0</v>
      </c>
      <c r="BD1093" s="81"/>
      <c r="BE1093" s="81"/>
      <c r="BF1093" s="81"/>
      <c r="BG1093" s="81"/>
      <c r="BH1093" s="81"/>
      <c r="BI1093" s="81"/>
      <c r="BJ1093" s="81"/>
      <c r="BK1093" s="81"/>
      <c r="BL1093" s="81"/>
      <c r="BM1093" s="81"/>
      <c r="BN1093" s="66"/>
      <c r="BO1093" s="66"/>
      <c r="BP1093" s="66"/>
      <c r="BQ1093" s="66" t="str">
        <f>PROPER(TEXT(Prog_23[[#This Row],[PROGRAMAÇÃO CLIENTE]],"mmm"))</f>
        <v>Jan</v>
      </c>
      <c r="BR1093" s="66">
        <f>YEAR(Prog_23[[#This Row],[PROGRAMAÇÃO CLIENTE]])</f>
        <v>1900</v>
      </c>
    </row>
    <row r="1094" spans="1:70" x14ac:dyDescent="0.25">
      <c r="A1094" s="201">
        <f>Prog_23[[#This Row],[CONTEINER]]</f>
        <v>0</v>
      </c>
      <c r="B1094" s="86"/>
      <c r="C10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94" s="44"/>
      <c r="E1094" s="66"/>
      <c r="F1094" s="66"/>
      <c r="G1094" s="66"/>
      <c r="H1094" s="44"/>
      <c r="I1094" s="44"/>
      <c r="J1094" s="66"/>
      <c r="K1094" s="66"/>
      <c r="L1094" s="66"/>
      <c r="M1094" s="66"/>
      <c r="N1094" s="66">
        <f>SUM(Prog_23[[#This Row],[TARA]]+Prog_23[[#This Row],[PESO]])</f>
        <v>0</v>
      </c>
      <c r="O1094" s="44"/>
      <c r="P1094" s="66"/>
      <c r="Q1094" s="66"/>
      <c r="R1094" s="66"/>
      <c r="S1094" s="66"/>
      <c r="T1094" s="138" t="str">
        <f>IFERROR(LOOKUP($S1094,MOTORISTAS!$D$3:$D$916,MOTORISTAS!E$3:$E$916),"")</f>
        <v/>
      </c>
      <c r="U1094" s="138" t="str">
        <f>IFERROR(LOOKUP($S1094,MOTORISTAS!$D$3:$D$916,MOTORISTAS!F$3:$F$916),"")</f>
        <v/>
      </c>
      <c r="V1094" s="66"/>
      <c r="W1094" s="66"/>
      <c r="X1094" s="66"/>
      <c r="Y1094" s="66"/>
      <c r="Z1094" s="66"/>
      <c r="AA1094" s="66"/>
      <c r="AB1094" s="66"/>
      <c r="AC1094" s="66"/>
      <c r="AD1094" s="66"/>
      <c r="AE1094" s="66"/>
      <c r="AF1094" s="44"/>
      <c r="AG1094" s="254">
        <f>Prog_23[[#This Row],[SAÍDA DO CLIENTE]]-Prog_23[[#This Row],[PROGRAMAÇÃO CLIENTE]]</f>
        <v>0</v>
      </c>
      <c r="AH1094" s="44"/>
      <c r="AI1094" s="66"/>
      <c r="AJ1094" s="66"/>
      <c r="AK1094" s="66"/>
      <c r="AL1094" s="66"/>
      <c r="AM1094" s="66"/>
      <c r="AN1094" s="83"/>
      <c r="AO1094" s="83"/>
      <c r="AP1094" s="83"/>
      <c r="AQ1094" s="66"/>
      <c r="AR1094" s="66"/>
      <c r="AS1094" s="66"/>
      <c r="AT1094" s="81"/>
      <c r="AU1094" s="81"/>
      <c r="AV1094" s="81"/>
      <c r="AW1094" s="81"/>
      <c r="AX1094" s="83">
        <f>SUM(Prog_23[[#This Row],[ADIANTAMENTO]]+Prog_23[[#This Row],[SALDO]]+Prog_23[[#This Row],[MARGEM]]+Prog_23[[#This Row],[ESTADIA 1]])</f>
        <v>0</v>
      </c>
      <c r="AY10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94" s="81"/>
      <c r="BA1094" s="81"/>
      <c r="BB1094" s="81">
        <f>Prog_23[[#This Row],[VLR NF]]*0.1%</f>
        <v>0</v>
      </c>
      <c r="BC1094" s="81">
        <f>Prog_23[[#This Row],[VLR NF]]*0.05%</f>
        <v>0</v>
      </c>
      <c r="BD1094" s="81"/>
      <c r="BE1094" s="81"/>
      <c r="BF1094" s="81"/>
      <c r="BG1094" s="81"/>
      <c r="BH1094" s="81"/>
      <c r="BI1094" s="81"/>
      <c r="BJ1094" s="81"/>
      <c r="BK1094" s="81"/>
      <c r="BL1094" s="81"/>
      <c r="BM1094" s="81"/>
      <c r="BN1094" s="66"/>
      <c r="BO1094" s="66"/>
      <c r="BP1094" s="66"/>
      <c r="BQ1094" s="66" t="str">
        <f>PROPER(TEXT(Prog_23[[#This Row],[PROGRAMAÇÃO CLIENTE]],"mmm"))</f>
        <v>Jan</v>
      </c>
      <c r="BR1094" s="66">
        <f>YEAR(Prog_23[[#This Row],[PROGRAMAÇÃO CLIENTE]])</f>
        <v>1900</v>
      </c>
    </row>
    <row r="1095" spans="1:70" x14ac:dyDescent="0.25">
      <c r="A1095" s="200">
        <f>Prog_23[[#This Row],[CONTEINER]]</f>
        <v>0</v>
      </c>
      <c r="B1095" s="86"/>
      <c r="C10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95" s="44"/>
      <c r="E1095" s="66"/>
      <c r="F1095" s="66"/>
      <c r="G1095" s="66"/>
      <c r="H1095" s="44"/>
      <c r="I1095" s="44"/>
      <c r="J1095" s="66"/>
      <c r="K1095" s="66"/>
      <c r="L1095" s="66"/>
      <c r="M1095" s="66"/>
      <c r="N1095" s="66">
        <f>SUM(Prog_23[[#This Row],[TARA]]+Prog_23[[#This Row],[PESO]])</f>
        <v>0</v>
      </c>
      <c r="O1095" s="44"/>
      <c r="P1095" s="66"/>
      <c r="Q1095" s="66"/>
      <c r="R1095" s="66"/>
      <c r="S1095" s="66"/>
      <c r="T1095" s="138" t="str">
        <f>IFERROR(LOOKUP($S1095,MOTORISTAS!$D$3:$D$916,MOTORISTAS!E$3:$E$916),"")</f>
        <v/>
      </c>
      <c r="U1095" s="138" t="str">
        <f>IFERROR(LOOKUP($S1095,MOTORISTAS!$D$3:$D$916,MOTORISTAS!F$3:$F$916),"")</f>
        <v/>
      </c>
      <c r="V1095" s="66"/>
      <c r="W1095" s="66"/>
      <c r="X1095" s="66"/>
      <c r="Y1095" s="66"/>
      <c r="Z1095" s="66"/>
      <c r="AA1095" s="66"/>
      <c r="AB1095" s="66"/>
      <c r="AC1095" s="66"/>
      <c r="AD1095" s="66"/>
      <c r="AE1095" s="66"/>
      <c r="AF1095" s="44"/>
      <c r="AG1095" s="254">
        <f>Prog_23[[#This Row],[SAÍDA DO CLIENTE]]-Prog_23[[#This Row],[PROGRAMAÇÃO CLIENTE]]</f>
        <v>0</v>
      </c>
      <c r="AH1095" s="44"/>
      <c r="AI1095" s="66"/>
      <c r="AJ1095" s="66"/>
      <c r="AK1095" s="66"/>
      <c r="AL1095" s="66"/>
      <c r="AM1095" s="66"/>
      <c r="AN1095" s="83"/>
      <c r="AO1095" s="83"/>
      <c r="AP1095" s="83"/>
      <c r="AQ1095" s="66"/>
      <c r="AR1095" s="66"/>
      <c r="AS1095" s="66"/>
      <c r="AT1095" s="81"/>
      <c r="AU1095" s="81"/>
      <c r="AV1095" s="81"/>
      <c r="AW1095" s="81"/>
      <c r="AX1095" s="83">
        <f>SUM(Prog_23[[#This Row],[ADIANTAMENTO]]+Prog_23[[#This Row],[SALDO]]+Prog_23[[#This Row],[MARGEM]]+Prog_23[[#This Row],[ESTADIA 1]])</f>
        <v>0</v>
      </c>
      <c r="AY10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95" s="81"/>
      <c r="BA1095" s="81"/>
      <c r="BB1095" s="81">
        <f>Prog_23[[#This Row],[VLR NF]]*0.1%</f>
        <v>0</v>
      </c>
      <c r="BC1095" s="81">
        <f>Prog_23[[#This Row],[VLR NF]]*0.05%</f>
        <v>0</v>
      </c>
      <c r="BD1095" s="81"/>
      <c r="BE1095" s="81"/>
      <c r="BF1095" s="81"/>
      <c r="BG1095" s="81"/>
      <c r="BH1095" s="81"/>
      <c r="BI1095" s="81"/>
      <c r="BJ1095" s="81"/>
      <c r="BK1095" s="81"/>
      <c r="BL1095" s="81"/>
      <c r="BM1095" s="81"/>
      <c r="BN1095" s="66"/>
      <c r="BO1095" s="66"/>
      <c r="BP1095" s="66"/>
      <c r="BQ1095" s="66" t="str">
        <f>PROPER(TEXT(Prog_23[[#This Row],[PROGRAMAÇÃO CLIENTE]],"mmm"))</f>
        <v>Jan</v>
      </c>
      <c r="BR1095" s="66">
        <f>YEAR(Prog_23[[#This Row],[PROGRAMAÇÃO CLIENTE]])</f>
        <v>1900</v>
      </c>
    </row>
    <row r="1096" spans="1:70" x14ac:dyDescent="0.25">
      <c r="A1096" s="201">
        <f>Prog_23[[#This Row],[CONTEINER]]</f>
        <v>0</v>
      </c>
      <c r="B1096" s="86"/>
      <c r="C10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96" s="44"/>
      <c r="E1096" s="66"/>
      <c r="F1096" s="66"/>
      <c r="G1096" s="66"/>
      <c r="H1096" s="44"/>
      <c r="I1096" s="44"/>
      <c r="J1096" s="66"/>
      <c r="K1096" s="66"/>
      <c r="L1096" s="66"/>
      <c r="M1096" s="66"/>
      <c r="N1096" s="66">
        <f>SUM(Prog_23[[#This Row],[TARA]]+Prog_23[[#This Row],[PESO]])</f>
        <v>0</v>
      </c>
      <c r="O1096" s="44"/>
      <c r="P1096" s="66"/>
      <c r="Q1096" s="66"/>
      <c r="R1096" s="66"/>
      <c r="S1096" s="66"/>
      <c r="T1096" s="138" t="str">
        <f>IFERROR(LOOKUP($S1096,MOTORISTAS!$D$3:$D$916,MOTORISTAS!E$3:$E$916),"")</f>
        <v/>
      </c>
      <c r="U1096" s="138" t="str">
        <f>IFERROR(LOOKUP($S1096,MOTORISTAS!$D$3:$D$916,MOTORISTAS!F$3:$F$916),"")</f>
        <v/>
      </c>
      <c r="V1096" s="66"/>
      <c r="W1096" s="66"/>
      <c r="X1096" s="66"/>
      <c r="Y1096" s="66"/>
      <c r="Z1096" s="66"/>
      <c r="AA1096" s="66"/>
      <c r="AB1096" s="66"/>
      <c r="AC1096" s="66"/>
      <c r="AD1096" s="66"/>
      <c r="AE1096" s="66"/>
      <c r="AF1096" s="44"/>
      <c r="AG1096" s="254">
        <f>Prog_23[[#This Row],[SAÍDA DO CLIENTE]]-Prog_23[[#This Row],[PROGRAMAÇÃO CLIENTE]]</f>
        <v>0</v>
      </c>
      <c r="AH1096" s="44"/>
      <c r="AI1096" s="66"/>
      <c r="AJ1096" s="66"/>
      <c r="AK1096" s="66"/>
      <c r="AL1096" s="66"/>
      <c r="AM1096" s="66"/>
      <c r="AN1096" s="83"/>
      <c r="AO1096" s="83"/>
      <c r="AP1096" s="83"/>
      <c r="AQ1096" s="66"/>
      <c r="AR1096" s="66"/>
      <c r="AS1096" s="66"/>
      <c r="AT1096" s="81"/>
      <c r="AU1096" s="81"/>
      <c r="AV1096" s="81"/>
      <c r="AW1096" s="81"/>
      <c r="AX1096" s="83">
        <f>SUM(Prog_23[[#This Row],[ADIANTAMENTO]]+Prog_23[[#This Row],[SALDO]]+Prog_23[[#This Row],[MARGEM]]+Prog_23[[#This Row],[ESTADIA 1]])</f>
        <v>0</v>
      </c>
      <c r="AY10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96" s="81"/>
      <c r="BA1096" s="81"/>
      <c r="BB1096" s="81">
        <f>Prog_23[[#This Row],[VLR NF]]*0.1%</f>
        <v>0</v>
      </c>
      <c r="BC1096" s="81">
        <f>Prog_23[[#This Row],[VLR NF]]*0.05%</f>
        <v>0</v>
      </c>
      <c r="BD1096" s="81"/>
      <c r="BE1096" s="81"/>
      <c r="BF1096" s="81"/>
      <c r="BG1096" s="81"/>
      <c r="BH1096" s="81"/>
      <c r="BI1096" s="81"/>
      <c r="BJ1096" s="81"/>
      <c r="BK1096" s="81"/>
      <c r="BL1096" s="81"/>
      <c r="BM1096" s="81"/>
      <c r="BN1096" s="66"/>
      <c r="BO1096" s="66"/>
      <c r="BP1096" s="66"/>
      <c r="BQ1096" s="66" t="str">
        <f>PROPER(TEXT(Prog_23[[#This Row],[PROGRAMAÇÃO CLIENTE]],"mmm"))</f>
        <v>Jan</v>
      </c>
      <c r="BR1096" s="66">
        <f>YEAR(Prog_23[[#This Row],[PROGRAMAÇÃO CLIENTE]])</f>
        <v>1900</v>
      </c>
    </row>
    <row r="1097" spans="1:70" x14ac:dyDescent="0.25">
      <c r="A1097" s="200">
        <f>Prog_23[[#This Row],[CONTEINER]]</f>
        <v>0</v>
      </c>
      <c r="B1097" s="86"/>
      <c r="C10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97" s="44"/>
      <c r="E1097" s="66"/>
      <c r="F1097" s="66"/>
      <c r="G1097" s="66"/>
      <c r="H1097" s="44"/>
      <c r="I1097" s="44"/>
      <c r="J1097" s="66"/>
      <c r="K1097" s="66"/>
      <c r="L1097" s="66"/>
      <c r="M1097" s="66"/>
      <c r="N1097" s="66">
        <f>SUM(Prog_23[[#This Row],[TARA]]+Prog_23[[#This Row],[PESO]])</f>
        <v>0</v>
      </c>
      <c r="O1097" s="44"/>
      <c r="P1097" s="66"/>
      <c r="Q1097" s="66"/>
      <c r="R1097" s="66"/>
      <c r="S1097" s="66"/>
      <c r="T1097" s="138" t="str">
        <f>IFERROR(LOOKUP($S1097,MOTORISTAS!$D$3:$D$916,MOTORISTAS!E$3:$E$916),"")</f>
        <v/>
      </c>
      <c r="U1097" s="138" t="str">
        <f>IFERROR(LOOKUP($S1097,MOTORISTAS!$D$3:$D$916,MOTORISTAS!F$3:$F$916),"")</f>
        <v/>
      </c>
      <c r="V1097" s="66"/>
      <c r="W1097" s="66"/>
      <c r="X1097" s="66"/>
      <c r="Y1097" s="66"/>
      <c r="Z1097" s="66"/>
      <c r="AA1097" s="66"/>
      <c r="AB1097" s="66"/>
      <c r="AC1097" s="66"/>
      <c r="AD1097" s="66"/>
      <c r="AE1097" s="66"/>
      <c r="AF1097" s="44"/>
      <c r="AG1097" s="254">
        <f>Prog_23[[#This Row],[SAÍDA DO CLIENTE]]-Prog_23[[#This Row],[PROGRAMAÇÃO CLIENTE]]</f>
        <v>0</v>
      </c>
      <c r="AH1097" s="44"/>
      <c r="AI1097" s="66"/>
      <c r="AJ1097" s="66"/>
      <c r="AK1097" s="66"/>
      <c r="AL1097" s="66"/>
      <c r="AM1097" s="66"/>
      <c r="AN1097" s="83"/>
      <c r="AO1097" s="83"/>
      <c r="AP1097" s="83"/>
      <c r="AQ1097" s="66"/>
      <c r="AR1097" s="66"/>
      <c r="AS1097" s="66"/>
      <c r="AT1097" s="81"/>
      <c r="AU1097" s="81"/>
      <c r="AV1097" s="81"/>
      <c r="AW1097" s="81"/>
      <c r="AX1097" s="83">
        <f>SUM(Prog_23[[#This Row],[ADIANTAMENTO]]+Prog_23[[#This Row],[SALDO]]+Prog_23[[#This Row],[MARGEM]]+Prog_23[[#This Row],[ESTADIA 1]])</f>
        <v>0</v>
      </c>
      <c r="AY10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97" s="81"/>
      <c r="BA1097" s="81"/>
      <c r="BB1097" s="81">
        <f>Prog_23[[#This Row],[VLR NF]]*0.1%</f>
        <v>0</v>
      </c>
      <c r="BC1097" s="81">
        <f>Prog_23[[#This Row],[VLR NF]]*0.05%</f>
        <v>0</v>
      </c>
      <c r="BD1097" s="81"/>
      <c r="BE1097" s="81"/>
      <c r="BF1097" s="81"/>
      <c r="BG1097" s="81"/>
      <c r="BH1097" s="81"/>
      <c r="BI1097" s="81"/>
      <c r="BJ1097" s="81"/>
      <c r="BK1097" s="81"/>
      <c r="BL1097" s="81"/>
      <c r="BM1097" s="81"/>
      <c r="BN1097" s="66"/>
      <c r="BO1097" s="66"/>
      <c r="BP1097" s="66"/>
      <c r="BQ1097" s="66" t="str">
        <f>PROPER(TEXT(Prog_23[[#This Row],[PROGRAMAÇÃO CLIENTE]],"mmm"))</f>
        <v>Jan</v>
      </c>
      <c r="BR1097" s="66">
        <f>YEAR(Prog_23[[#This Row],[PROGRAMAÇÃO CLIENTE]])</f>
        <v>1900</v>
      </c>
    </row>
    <row r="1098" spans="1:70" x14ac:dyDescent="0.25">
      <c r="A1098" s="201">
        <f>Prog_23[[#This Row],[CONTEINER]]</f>
        <v>0</v>
      </c>
      <c r="B1098" s="86"/>
      <c r="C10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98" s="44"/>
      <c r="E1098" s="66"/>
      <c r="F1098" s="66"/>
      <c r="G1098" s="66"/>
      <c r="H1098" s="44"/>
      <c r="I1098" s="44"/>
      <c r="J1098" s="66"/>
      <c r="K1098" s="66"/>
      <c r="L1098" s="66"/>
      <c r="M1098" s="66"/>
      <c r="N1098" s="66">
        <f>SUM(Prog_23[[#This Row],[TARA]]+Prog_23[[#This Row],[PESO]])</f>
        <v>0</v>
      </c>
      <c r="O1098" s="44"/>
      <c r="P1098" s="66"/>
      <c r="Q1098" s="66"/>
      <c r="R1098" s="66"/>
      <c r="S1098" s="66"/>
      <c r="T1098" s="138" t="str">
        <f>IFERROR(LOOKUP($S1098,MOTORISTAS!$D$3:$D$916,MOTORISTAS!E$3:$E$916),"")</f>
        <v/>
      </c>
      <c r="U1098" s="138" t="str">
        <f>IFERROR(LOOKUP($S1098,MOTORISTAS!$D$3:$D$916,MOTORISTAS!F$3:$F$916),"")</f>
        <v/>
      </c>
      <c r="V1098" s="66"/>
      <c r="W1098" s="66"/>
      <c r="X1098" s="66"/>
      <c r="Y1098" s="66"/>
      <c r="Z1098" s="66"/>
      <c r="AA1098" s="66"/>
      <c r="AB1098" s="66"/>
      <c r="AC1098" s="66"/>
      <c r="AD1098" s="66"/>
      <c r="AE1098" s="66"/>
      <c r="AF1098" s="44"/>
      <c r="AG1098" s="254">
        <f>Prog_23[[#This Row],[SAÍDA DO CLIENTE]]-Prog_23[[#This Row],[PROGRAMAÇÃO CLIENTE]]</f>
        <v>0</v>
      </c>
      <c r="AH1098" s="44"/>
      <c r="AI1098" s="66"/>
      <c r="AJ1098" s="66"/>
      <c r="AK1098" s="66"/>
      <c r="AL1098" s="66"/>
      <c r="AM1098" s="66"/>
      <c r="AN1098" s="83"/>
      <c r="AO1098" s="83"/>
      <c r="AP1098" s="83"/>
      <c r="AQ1098" s="66"/>
      <c r="AR1098" s="66"/>
      <c r="AS1098" s="66"/>
      <c r="AT1098" s="81"/>
      <c r="AU1098" s="81"/>
      <c r="AV1098" s="81"/>
      <c r="AW1098" s="81"/>
      <c r="AX1098" s="83">
        <f>SUM(Prog_23[[#This Row],[ADIANTAMENTO]]+Prog_23[[#This Row],[SALDO]]+Prog_23[[#This Row],[MARGEM]]+Prog_23[[#This Row],[ESTADIA 1]])</f>
        <v>0</v>
      </c>
      <c r="AY10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98" s="81"/>
      <c r="BA1098" s="81"/>
      <c r="BB1098" s="81">
        <f>Prog_23[[#This Row],[VLR NF]]*0.1%</f>
        <v>0</v>
      </c>
      <c r="BC1098" s="81">
        <f>Prog_23[[#This Row],[VLR NF]]*0.05%</f>
        <v>0</v>
      </c>
      <c r="BD1098" s="81"/>
      <c r="BE1098" s="81"/>
      <c r="BF1098" s="81"/>
      <c r="BG1098" s="81"/>
      <c r="BH1098" s="81"/>
      <c r="BI1098" s="81"/>
      <c r="BJ1098" s="81"/>
      <c r="BK1098" s="81"/>
      <c r="BL1098" s="81"/>
      <c r="BM1098" s="81"/>
      <c r="BN1098" s="66"/>
      <c r="BO1098" s="66"/>
      <c r="BP1098" s="66"/>
      <c r="BQ1098" s="66" t="str">
        <f>PROPER(TEXT(Prog_23[[#This Row],[PROGRAMAÇÃO CLIENTE]],"mmm"))</f>
        <v>Jan</v>
      </c>
      <c r="BR1098" s="66">
        <f>YEAR(Prog_23[[#This Row],[PROGRAMAÇÃO CLIENTE]])</f>
        <v>1900</v>
      </c>
    </row>
    <row r="1099" spans="1:70" x14ac:dyDescent="0.25">
      <c r="A1099" s="200">
        <f>Prog_23[[#This Row],[CONTEINER]]</f>
        <v>0</v>
      </c>
      <c r="B1099" s="86"/>
      <c r="C10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099" s="44"/>
      <c r="E1099" s="66"/>
      <c r="F1099" s="66"/>
      <c r="G1099" s="66"/>
      <c r="H1099" s="44"/>
      <c r="I1099" s="44"/>
      <c r="J1099" s="66"/>
      <c r="K1099" s="66"/>
      <c r="L1099" s="66"/>
      <c r="M1099" s="66"/>
      <c r="N1099" s="66">
        <f>SUM(Prog_23[[#This Row],[TARA]]+Prog_23[[#This Row],[PESO]])</f>
        <v>0</v>
      </c>
      <c r="O1099" s="44"/>
      <c r="P1099" s="66"/>
      <c r="Q1099" s="66"/>
      <c r="R1099" s="66"/>
      <c r="S1099" s="66"/>
      <c r="T1099" s="138" t="str">
        <f>IFERROR(LOOKUP($S1099,MOTORISTAS!$D$3:$D$916,MOTORISTAS!E$3:$E$916),"")</f>
        <v/>
      </c>
      <c r="U1099" s="138" t="str">
        <f>IFERROR(LOOKUP($S1099,MOTORISTAS!$D$3:$D$916,MOTORISTAS!F$3:$F$916),"")</f>
        <v/>
      </c>
      <c r="V1099" s="66"/>
      <c r="W1099" s="66"/>
      <c r="X1099" s="66"/>
      <c r="Y1099" s="66"/>
      <c r="Z1099" s="66"/>
      <c r="AA1099" s="66"/>
      <c r="AB1099" s="66"/>
      <c r="AC1099" s="66"/>
      <c r="AD1099" s="66"/>
      <c r="AE1099" s="66"/>
      <c r="AF1099" s="44"/>
      <c r="AG1099" s="254">
        <f>Prog_23[[#This Row],[SAÍDA DO CLIENTE]]-Prog_23[[#This Row],[PROGRAMAÇÃO CLIENTE]]</f>
        <v>0</v>
      </c>
      <c r="AH1099" s="44"/>
      <c r="AI1099" s="66"/>
      <c r="AJ1099" s="66"/>
      <c r="AK1099" s="66"/>
      <c r="AL1099" s="66"/>
      <c r="AM1099" s="66"/>
      <c r="AN1099" s="83"/>
      <c r="AO1099" s="83"/>
      <c r="AP1099" s="83"/>
      <c r="AQ1099" s="66"/>
      <c r="AR1099" s="66"/>
      <c r="AS1099" s="66"/>
      <c r="AT1099" s="81"/>
      <c r="AU1099" s="81"/>
      <c r="AV1099" s="81"/>
      <c r="AW1099" s="81"/>
      <c r="AX1099" s="83">
        <f>SUM(Prog_23[[#This Row],[ADIANTAMENTO]]+Prog_23[[#This Row],[SALDO]]+Prog_23[[#This Row],[MARGEM]]+Prog_23[[#This Row],[ESTADIA 1]])</f>
        <v>0</v>
      </c>
      <c r="AY10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099" s="81"/>
      <c r="BA1099" s="81"/>
      <c r="BB1099" s="81">
        <f>Prog_23[[#This Row],[VLR NF]]*0.1%</f>
        <v>0</v>
      </c>
      <c r="BC1099" s="81">
        <f>Prog_23[[#This Row],[VLR NF]]*0.05%</f>
        <v>0</v>
      </c>
      <c r="BD1099" s="81"/>
      <c r="BE1099" s="81"/>
      <c r="BF1099" s="81"/>
      <c r="BG1099" s="81"/>
      <c r="BH1099" s="81"/>
      <c r="BI1099" s="81"/>
      <c r="BJ1099" s="81"/>
      <c r="BK1099" s="81"/>
      <c r="BL1099" s="81"/>
      <c r="BM1099" s="81"/>
      <c r="BN1099" s="66"/>
      <c r="BO1099" s="66"/>
      <c r="BP1099" s="66"/>
      <c r="BQ1099" s="66" t="str">
        <f>PROPER(TEXT(Prog_23[[#This Row],[PROGRAMAÇÃO CLIENTE]],"mmm"))</f>
        <v>Jan</v>
      </c>
      <c r="BR1099" s="66">
        <f>YEAR(Prog_23[[#This Row],[PROGRAMAÇÃO CLIENTE]])</f>
        <v>1900</v>
      </c>
    </row>
    <row r="1100" spans="1:70" x14ac:dyDescent="0.25">
      <c r="A1100" s="201">
        <f>Prog_23[[#This Row],[CONTEINER]]</f>
        <v>0</v>
      </c>
      <c r="B1100" s="86"/>
      <c r="C11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00" s="44"/>
      <c r="E1100" s="66"/>
      <c r="F1100" s="66"/>
      <c r="G1100" s="66"/>
      <c r="H1100" s="44"/>
      <c r="I1100" s="44"/>
      <c r="J1100" s="66"/>
      <c r="K1100" s="66"/>
      <c r="L1100" s="66"/>
      <c r="M1100" s="66"/>
      <c r="N1100" s="66">
        <f>SUM(Prog_23[[#This Row],[TARA]]+Prog_23[[#This Row],[PESO]])</f>
        <v>0</v>
      </c>
      <c r="O1100" s="44"/>
      <c r="P1100" s="66"/>
      <c r="Q1100" s="66"/>
      <c r="R1100" s="66"/>
      <c r="S1100" s="66"/>
      <c r="T1100" s="138" t="str">
        <f>IFERROR(LOOKUP($S1100,MOTORISTAS!$D$3:$D$916,MOTORISTAS!E$3:$E$916),"")</f>
        <v/>
      </c>
      <c r="U1100" s="138" t="str">
        <f>IFERROR(LOOKUP($S1100,MOTORISTAS!$D$3:$D$916,MOTORISTAS!F$3:$F$916),"")</f>
        <v/>
      </c>
      <c r="V1100" s="66"/>
      <c r="W1100" s="66"/>
      <c r="X1100" s="66"/>
      <c r="Y1100" s="66"/>
      <c r="Z1100" s="66"/>
      <c r="AA1100" s="66"/>
      <c r="AB1100" s="66"/>
      <c r="AC1100" s="66"/>
      <c r="AD1100" s="66"/>
      <c r="AE1100" s="66"/>
      <c r="AF1100" s="44"/>
      <c r="AG1100" s="254">
        <f>Prog_23[[#This Row],[SAÍDA DO CLIENTE]]-Prog_23[[#This Row],[PROGRAMAÇÃO CLIENTE]]</f>
        <v>0</v>
      </c>
      <c r="AH1100" s="44"/>
      <c r="AI1100" s="66"/>
      <c r="AJ1100" s="66"/>
      <c r="AK1100" s="66"/>
      <c r="AL1100" s="66"/>
      <c r="AM1100" s="66"/>
      <c r="AN1100" s="83"/>
      <c r="AO1100" s="83"/>
      <c r="AP1100" s="83"/>
      <c r="AQ1100" s="66"/>
      <c r="AR1100" s="66"/>
      <c r="AS1100" s="66"/>
      <c r="AT1100" s="81"/>
      <c r="AU1100" s="81"/>
      <c r="AV1100" s="81"/>
      <c r="AW1100" s="81"/>
      <c r="AX1100" s="83">
        <f>SUM(Prog_23[[#This Row],[ADIANTAMENTO]]+Prog_23[[#This Row],[SALDO]]+Prog_23[[#This Row],[MARGEM]]+Prog_23[[#This Row],[ESTADIA 1]])</f>
        <v>0</v>
      </c>
      <c r="AY11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00" s="81"/>
      <c r="BA1100" s="81"/>
      <c r="BB1100" s="81">
        <f>Prog_23[[#This Row],[VLR NF]]*0.1%</f>
        <v>0</v>
      </c>
      <c r="BC1100" s="81">
        <f>Prog_23[[#This Row],[VLR NF]]*0.05%</f>
        <v>0</v>
      </c>
      <c r="BD1100" s="81"/>
      <c r="BE1100" s="81"/>
      <c r="BF1100" s="81"/>
      <c r="BG1100" s="81"/>
      <c r="BH1100" s="81"/>
      <c r="BI1100" s="81"/>
      <c r="BJ1100" s="81"/>
      <c r="BK1100" s="81"/>
      <c r="BL1100" s="81"/>
      <c r="BM1100" s="81"/>
      <c r="BN1100" s="66"/>
      <c r="BO1100" s="66"/>
      <c r="BP1100" s="66"/>
      <c r="BQ1100" s="66" t="str">
        <f>PROPER(TEXT(Prog_23[[#This Row],[PROGRAMAÇÃO CLIENTE]],"mmm"))</f>
        <v>Jan</v>
      </c>
      <c r="BR1100" s="66">
        <f>YEAR(Prog_23[[#This Row],[PROGRAMAÇÃO CLIENTE]])</f>
        <v>1900</v>
      </c>
    </row>
    <row r="1101" spans="1:70" x14ac:dyDescent="0.25">
      <c r="A1101" s="200">
        <f>Prog_23[[#This Row],[CONTEINER]]</f>
        <v>0</v>
      </c>
      <c r="B1101" s="86"/>
      <c r="C11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01" s="44"/>
      <c r="E1101" s="66"/>
      <c r="F1101" s="66"/>
      <c r="G1101" s="66"/>
      <c r="H1101" s="44"/>
      <c r="I1101" s="44"/>
      <c r="J1101" s="66"/>
      <c r="K1101" s="66"/>
      <c r="L1101" s="66"/>
      <c r="M1101" s="66"/>
      <c r="N1101" s="66">
        <f>SUM(Prog_23[[#This Row],[TARA]]+Prog_23[[#This Row],[PESO]])</f>
        <v>0</v>
      </c>
      <c r="O1101" s="44"/>
      <c r="P1101" s="66"/>
      <c r="Q1101" s="66"/>
      <c r="R1101" s="66"/>
      <c r="S1101" s="66"/>
      <c r="T1101" s="138" t="str">
        <f>IFERROR(LOOKUP($S1101,MOTORISTAS!$D$3:$D$916,MOTORISTAS!E$3:$E$916),"")</f>
        <v/>
      </c>
      <c r="U1101" s="138" t="str">
        <f>IFERROR(LOOKUP($S1101,MOTORISTAS!$D$3:$D$916,MOTORISTAS!F$3:$F$916),"")</f>
        <v/>
      </c>
      <c r="V1101" s="66"/>
      <c r="W1101" s="66"/>
      <c r="X1101" s="66"/>
      <c r="Y1101" s="66"/>
      <c r="Z1101" s="66"/>
      <c r="AA1101" s="66"/>
      <c r="AB1101" s="66"/>
      <c r="AC1101" s="66"/>
      <c r="AD1101" s="66"/>
      <c r="AE1101" s="66"/>
      <c r="AF1101" s="44"/>
      <c r="AG1101" s="254">
        <f>Prog_23[[#This Row],[SAÍDA DO CLIENTE]]-Prog_23[[#This Row],[PROGRAMAÇÃO CLIENTE]]</f>
        <v>0</v>
      </c>
      <c r="AH1101" s="44"/>
      <c r="AI1101" s="66"/>
      <c r="AJ1101" s="66"/>
      <c r="AK1101" s="66"/>
      <c r="AL1101" s="66"/>
      <c r="AM1101" s="66"/>
      <c r="AN1101" s="83"/>
      <c r="AO1101" s="83"/>
      <c r="AP1101" s="83"/>
      <c r="AQ1101" s="66"/>
      <c r="AR1101" s="66"/>
      <c r="AS1101" s="66"/>
      <c r="AT1101" s="81"/>
      <c r="AU1101" s="81"/>
      <c r="AV1101" s="81"/>
      <c r="AW1101" s="81"/>
      <c r="AX1101" s="83">
        <f>SUM(Prog_23[[#This Row],[ADIANTAMENTO]]+Prog_23[[#This Row],[SALDO]]+Prog_23[[#This Row],[MARGEM]]+Prog_23[[#This Row],[ESTADIA 1]])</f>
        <v>0</v>
      </c>
      <c r="AY11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01" s="81"/>
      <c r="BA1101" s="81"/>
      <c r="BB1101" s="81">
        <f>Prog_23[[#This Row],[VLR NF]]*0.1%</f>
        <v>0</v>
      </c>
      <c r="BC1101" s="81">
        <f>Prog_23[[#This Row],[VLR NF]]*0.05%</f>
        <v>0</v>
      </c>
      <c r="BD1101" s="81"/>
      <c r="BE1101" s="81"/>
      <c r="BF1101" s="81"/>
      <c r="BG1101" s="81"/>
      <c r="BH1101" s="81"/>
      <c r="BI1101" s="81"/>
      <c r="BJ1101" s="81"/>
      <c r="BK1101" s="81"/>
      <c r="BL1101" s="81"/>
      <c r="BM1101" s="81"/>
      <c r="BN1101" s="66"/>
      <c r="BO1101" s="66"/>
      <c r="BP1101" s="66"/>
      <c r="BQ1101" s="66" t="str">
        <f>PROPER(TEXT(Prog_23[[#This Row],[PROGRAMAÇÃO CLIENTE]],"mmm"))</f>
        <v>Jan</v>
      </c>
      <c r="BR1101" s="66">
        <f>YEAR(Prog_23[[#This Row],[PROGRAMAÇÃO CLIENTE]])</f>
        <v>1900</v>
      </c>
    </row>
    <row r="1102" spans="1:70" x14ac:dyDescent="0.25">
      <c r="A1102" s="201">
        <f>Prog_23[[#This Row],[CONTEINER]]</f>
        <v>0</v>
      </c>
      <c r="B1102" s="86"/>
      <c r="C11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02" s="44"/>
      <c r="E1102" s="66"/>
      <c r="F1102" s="66"/>
      <c r="G1102" s="66"/>
      <c r="H1102" s="44"/>
      <c r="I1102" s="44"/>
      <c r="J1102" s="66"/>
      <c r="K1102" s="66"/>
      <c r="L1102" s="66"/>
      <c r="M1102" s="66"/>
      <c r="N1102" s="66">
        <f>SUM(Prog_23[[#This Row],[TARA]]+Prog_23[[#This Row],[PESO]])</f>
        <v>0</v>
      </c>
      <c r="O1102" s="44"/>
      <c r="P1102" s="66"/>
      <c r="Q1102" s="66"/>
      <c r="R1102" s="66"/>
      <c r="S1102" s="66"/>
      <c r="T1102" s="138" t="str">
        <f>IFERROR(LOOKUP($S1102,MOTORISTAS!$D$3:$D$916,MOTORISTAS!E$3:$E$916),"")</f>
        <v/>
      </c>
      <c r="U1102" s="138" t="str">
        <f>IFERROR(LOOKUP($S1102,MOTORISTAS!$D$3:$D$916,MOTORISTAS!F$3:$F$916),"")</f>
        <v/>
      </c>
      <c r="V1102" s="66"/>
      <c r="W1102" s="66"/>
      <c r="X1102" s="66"/>
      <c r="Y1102" s="66"/>
      <c r="Z1102" s="66"/>
      <c r="AA1102" s="66"/>
      <c r="AB1102" s="66"/>
      <c r="AC1102" s="66"/>
      <c r="AD1102" s="66"/>
      <c r="AE1102" s="66"/>
      <c r="AF1102" s="44"/>
      <c r="AG1102" s="254">
        <f>Prog_23[[#This Row],[SAÍDA DO CLIENTE]]-Prog_23[[#This Row],[PROGRAMAÇÃO CLIENTE]]</f>
        <v>0</v>
      </c>
      <c r="AH1102" s="44"/>
      <c r="AI1102" s="66"/>
      <c r="AJ1102" s="66"/>
      <c r="AK1102" s="66"/>
      <c r="AL1102" s="66"/>
      <c r="AM1102" s="66"/>
      <c r="AN1102" s="83"/>
      <c r="AO1102" s="83"/>
      <c r="AP1102" s="83"/>
      <c r="AQ1102" s="66"/>
      <c r="AR1102" s="66"/>
      <c r="AS1102" s="66"/>
      <c r="AT1102" s="81"/>
      <c r="AU1102" s="81"/>
      <c r="AV1102" s="81"/>
      <c r="AW1102" s="81"/>
      <c r="AX1102" s="83">
        <f>SUM(Prog_23[[#This Row],[ADIANTAMENTO]]+Prog_23[[#This Row],[SALDO]]+Prog_23[[#This Row],[MARGEM]]+Prog_23[[#This Row],[ESTADIA 1]])</f>
        <v>0</v>
      </c>
      <c r="AY11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02" s="81"/>
      <c r="BA1102" s="81"/>
      <c r="BB1102" s="81">
        <f>Prog_23[[#This Row],[VLR NF]]*0.1%</f>
        <v>0</v>
      </c>
      <c r="BC1102" s="81">
        <f>Prog_23[[#This Row],[VLR NF]]*0.05%</f>
        <v>0</v>
      </c>
      <c r="BD1102" s="81"/>
      <c r="BE1102" s="81"/>
      <c r="BF1102" s="81"/>
      <c r="BG1102" s="81"/>
      <c r="BH1102" s="81"/>
      <c r="BI1102" s="81"/>
      <c r="BJ1102" s="81"/>
      <c r="BK1102" s="81"/>
      <c r="BL1102" s="81"/>
      <c r="BM1102" s="81"/>
      <c r="BN1102" s="66"/>
      <c r="BO1102" s="66"/>
      <c r="BP1102" s="66"/>
      <c r="BQ1102" s="66" t="str">
        <f>PROPER(TEXT(Prog_23[[#This Row],[PROGRAMAÇÃO CLIENTE]],"mmm"))</f>
        <v>Jan</v>
      </c>
      <c r="BR1102" s="66">
        <f>YEAR(Prog_23[[#This Row],[PROGRAMAÇÃO CLIENTE]])</f>
        <v>1900</v>
      </c>
    </row>
    <row r="1103" spans="1:70" x14ac:dyDescent="0.25">
      <c r="A1103" s="200">
        <f>Prog_23[[#This Row],[CONTEINER]]</f>
        <v>0</v>
      </c>
      <c r="B1103" s="86"/>
      <c r="C11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03" s="44"/>
      <c r="E1103" s="66"/>
      <c r="F1103" s="66"/>
      <c r="G1103" s="66"/>
      <c r="H1103" s="44"/>
      <c r="I1103" s="44"/>
      <c r="J1103" s="66"/>
      <c r="K1103" s="66"/>
      <c r="L1103" s="66"/>
      <c r="M1103" s="66"/>
      <c r="N1103" s="66">
        <f>SUM(Prog_23[[#This Row],[TARA]]+Prog_23[[#This Row],[PESO]])</f>
        <v>0</v>
      </c>
      <c r="O1103" s="44"/>
      <c r="P1103" s="66"/>
      <c r="Q1103" s="66"/>
      <c r="R1103" s="66"/>
      <c r="S1103" s="66"/>
      <c r="T1103" s="138" t="str">
        <f>IFERROR(LOOKUP($S1103,MOTORISTAS!$D$3:$D$916,MOTORISTAS!E$3:$E$916),"")</f>
        <v/>
      </c>
      <c r="U1103" s="138" t="str">
        <f>IFERROR(LOOKUP($S1103,MOTORISTAS!$D$3:$D$916,MOTORISTAS!F$3:$F$916),"")</f>
        <v/>
      </c>
      <c r="V1103" s="66"/>
      <c r="W1103" s="66"/>
      <c r="X1103" s="66"/>
      <c r="Y1103" s="66"/>
      <c r="Z1103" s="66"/>
      <c r="AA1103" s="66"/>
      <c r="AB1103" s="66"/>
      <c r="AC1103" s="66"/>
      <c r="AD1103" s="66"/>
      <c r="AE1103" s="66"/>
      <c r="AF1103" s="44"/>
      <c r="AG1103" s="254">
        <f>Prog_23[[#This Row],[SAÍDA DO CLIENTE]]-Prog_23[[#This Row],[PROGRAMAÇÃO CLIENTE]]</f>
        <v>0</v>
      </c>
      <c r="AH1103" s="44"/>
      <c r="AI1103" s="66"/>
      <c r="AJ1103" s="66"/>
      <c r="AK1103" s="66"/>
      <c r="AL1103" s="66"/>
      <c r="AM1103" s="66"/>
      <c r="AN1103" s="83"/>
      <c r="AO1103" s="83"/>
      <c r="AP1103" s="83"/>
      <c r="AQ1103" s="66"/>
      <c r="AR1103" s="66"/>
      <c r="AS1103" s="66"/>
      <c r="AT1103" s="81"/>
      <c r="AU1103" s="81"/>
      <c r="AV1103" s="81"/>
      <c r="AW1103" s="81"/>
      <c r="AX1103" s="83">
        <f>SUM(Prog_23[[#This Row],[ADIANTAMENTO]]+Prog_23[[#This Row],[SALDO]]+Prog_23[[#This Row],[MARGEM]]+Prog_23[[#This Row],[ESTADIA 1]])</f>
        <v>0</v>
      </c>
      <c r="AY11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03" s="81"/>
      <c r="BA1103" s="81"/>
      <c r="BB1103" s="81">
        <f>Prog_23[[#This Row],[VLR NF]]*0.1%</f>
        <v>0</v>
      </c>
      <c r="BC1103" s="81">
        <f>Prog_23[[#This Row],[VLR NF]]*0.05%</f>
        <v>0</v>
      </c>
      <c r="BD1103" s="81"/>
      <c r="BE1103" s="81"/>
      <c r="BF1103" s="81"/>
      <c r="BG1103" s="81"/>
      <c r="BH1103" s="81"/>
      <c r="BI1103" s="81"/>
      <c r="BJ1103" s="81"/>
      <c r="BK1103" s="81"/>
      <c r="BL1103" s="81"/>
      <c r="BM1103" s="81"/>
      <c r="BN1103" s="66"/>
      <c r="BO1103" s="66"/>
      <c r="BP1103" s="66"/>
      <c r="BQ1103" s="66" t="str">
        <f>PROPER(TEXT(Prog_23[[#This Row],[PROGRAMAÇÃO CLIENTE]],"mmm"))</f>
        <v>Jan</v>
      </c>
      <c r="BR1103" s="66">
        <f>YEAR(Prog_23[[#This Row],[PROGRAMAÇÃO CLIENTE]])</f>
        <v>1900</v>
      </c>
    </row>
    <row r="1104" spans="1:70" x14ac:dyDescent="0.25">
      <c r="A1104" s="201">
        <f>Prog_23[[#This Row],[CONTEINER]]</f>
        <v>0</v>
      </c>
      <c r="B1104" s="86"/>
      <c r="C11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04" s="44"/>
      <c r="E1104" s="66"/>
      <c r="F1104" s="66"/>
      <c r="G1104" s="66"/>
      <c r="H1104" s="44"/>
      <c r="I1104" s="44"/>
      <c r="J1104" s="66"/>
      <c r="K1104" s="66"/>
      <c r="L1104" s="66"/>
      <c r="M1104" s="66"/>
      <c r="N1104" s="66">
        <f>SUM(Prog_23[[#This Row],[TARA]]+Prog_23[[#This Row],[PESO]])</f>
        <v>0</v>
      </c>
      <c r="O1104" s="44"/>
      <c r="P1104" s="66"/>
      <c r="Q1104" s="66"/>
      <c r="R1104" s="66"/>
      <c r="S1104" s="66"/>
      <c r="T1104" s="138" t="str">
        <f>IFERROR(LOOKUP($S1104,MOTORISTAS!$D$3:$D$916,MOTORISTAS!E$3:$E$916),"")</f>
        <v/>
      </c>
      <c r="U1104" s="138" t="str">
        <f>IFERROR(LOOKUP($S1104,MOTORISTAS!$D$3:$D$916,MOTORISTAS!F$3:$F$916),"")</f>
        <v/>
      </c>
      <c r="V1104" s="66"/>
      <c r="W1104" s="66"/>
      <c r="X1104" s="66"/>
      <c r="Y1104" s="66"/>
      <c r="Z1104" s="66"/>
      <c r="AA1104" s="66"/>
      <c r="AB1104" s="66"/>
      <c r="AC1104" s="66"/>
      <c r="AD1104" s="66"/>
      <c r="AE1104" s="66"/>
      <c r="AF1104" s="44"/>
      <c r="AG1104" s="254">
        <f>Prog_23[[#This Row],[SAÍDA DO CLIENTE]]-Prog_23[[#This Row],[PROGRAMAÇÃO CLIENTE]]</f>
        <v>0</v>
      </c>
      <c r="AH1104" s="44"/>
      <c r="AI1104" s="66"/>
      <c r="AJ1104" s="66"/>
      <c r="AK1104" s="66"/>
      <c r="AL1104" s="66"/>
      <c r="AM1104" s="66"/>
      <c r="AN1104" s="83"/>
      <c r="AO1104" s="83"/>
      <c r="AP1104" s="83"/>
      <c r="AQ1104" s="66"/>
      <c r="AR1104" s="66"/>
      <c r="AS1104" s="66"/>
      <c r="AT1104" s="81"/>
      <c r="AU1104" s="81"/>
      <c r="AV1104" s="81"/>
      <c r="AW1104" s="81"/>
      <c r="AX1104" s="83">
        <f>SUM(Prog_23[[#This Row],[ADIANTAMENTO]]+Prog_23[[#This Row],[SALDO]]+Prog_23[[#This Row],[MARGEM]]+Prog_23[[#This Row],[ESTADIA 1]])</f>
        <v>0</v>
      </c>
      <c r="AY11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04" s="81"/>
      <c r="BA1104" s="81"/>
      <c r="BB1104" s="81">
        <f>Prog_23[[#This Row],[VLR NF]]*0.1%</f>
        <v>0</v>
      </c>
      <c r="BC1104" s="81">
        <f>Prog_23[[#This Row],[VLR NF]]*0.05%</f>
        <v>0</v>
      </c>
      <c r="BD1104" s="81"/>
      <c r="BE1104" s="81"/>
      <c r="BF1104" s="81"/>
      <c r="BG1104" s="81"/>
      <c r="BH1104" s="81"/>
      <c r="BI1104" s="81"/>
      <c r="BJ1104" s="81"/>
      <c r="BK1104" s="81"/>
      <c r="BL1104" s="81"/>
      <c r="BM1104" s="81"/>
      <c r="BN1104" s="66"/>
      <c r="BO1104" s="66"/>
      <c r="BP1104" s="66"/>
      <c r="BQ1104" s="66" t="str">
        <f>PROPER(TEXT(Prog_23[[#This Row],[PROGRAMAÇÃO CLIENTE]],"mmm"))</f>
        <v>Jan</v>
      </c>
      <c r="BR1104" s="66">
        <f>YEAR(Prog_23[[#This Row],[PROGRAMAÇÃO CLIENTE]])</f>
        <v>1900</v>
      </c>
    </row>
    <row r="1105" spans="1:70" x14ac:dyDescent="0.25">
      <c r="A1105" s="200">
        <f>Prog_23[[#This Row],[CONTEINER]]</f>
        <v>0</v>
      </c>
      <c r="B1105" s="86"/>
      <c r="C11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05" s="44"/>
      <c r="E1105" s="66"/>
      <c r="F1105" s="66"/>
      <c r="G1105" s="66"/>
      <c r="H1105" s="44"/>
      <c r="I1105" s="44"/>
      <c r="J1105" s="66"/>
      <c r="K1105" s="66"/>
      <c r="L1105" s="66"/>
      <c r="M1105" s="66"/>
      <c r="N1105" s="66">
        <f>SUM(Prog_23[[#This Row],[TARA]]+Prog_23[[#This Row],[PESO]])</f>
        <v>0</v>
      </c>
      <c r="O1105" s="44"/>
      <c r="P1105" s="66"/>
      <c r="Q1105" s="66"/>
      <c r="R1105" s="66"/>
      <c r="S1105" s="66"/>
      <c r="T1105" s="138" t="str">
        <f>IFERROR(LOOKUP($S1105,MOTORISTAS!$D$3:$D$916,MOTORISTAS!E$3:$E$916),"")</f>
        <v/>
      </c>
      <c r="U1105" s="138" t="str">
        <f>IFERROR(LOOKUP($S1105,MOTORISTAS!$D$3:$D$916,MOTORISTAS!F$3:$F$916),"")</f>
        <v/>
      </c>
      <c r="V1105" s="66"/>
      <c r="W1105" s="66"/>
      <c r="X1105" s="66"/>
      <c r="Y1105" s="66"/>
      <c r="Z1105" s="66"/>
      <c r="AA1105" s="66"/>
      <c r="AB1105" s="66"/>
      <c r="AC1105" s="66"/>
      <c r="AD1105" s="66"/>
      <c r="AE1105" s="66"/>
      <c r="AF1105" s="44"/>
      <c r="AG1105" s="254">
        <f>Prog_23[[#This Row],[SAÍDA DO CLIENTE]]-Prog_23[[#This Row],[PROGRAMAÇÃO CLIENTE]]</f>
        <v>0</v>
      </c>
      <c r="AH1105" s="44"/>
      <c r="AI1105" s="66"/>
      <c r="AJ1105" s="66"/>
      <c r="AK1105" s="66"/>
      <c r="AL1105" s="66"/>
      <c r="AM1105" s="66"/>
      <c r="AN1105" s="83"/>
      <c r="AO1105" s="83"/>
      <c r="AP1105" s="83"/>
      <c r="AQ1105" s="66"/>
      <c r="AR1105" s="66"/>
      <c r="AS1105" s="66"/>
      <c r="AT1105" s="81"/>
      <c r="AU1105" s="81"/>
      <c r="AV1105" s="81"/>
      <c r="AW1105" s="81"/>
      <c r="AX1105" s="83">
        <f>SUM(Prog_23[[#This Row],[ADIANTAMENTO]]+Prog_23[[#This Row],[SALDO]]+Prog_23[[#This Row],[MARGEM]]+Prog_23[[#This Row],[ESTADIA 1]])</f>
        <v>0</v>
      </c>
      <c r="AY11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05" s="81"/>
      <c r="BA1105" s="81"/>
      <c r="BB1105" s="81">
        <f>Prog_23[[#This Row],[VLR NF]]*0.1%</f>
        <v>0</v>
      </c>
      <c r="BC1105" s="81">
        <f>Prog_23[[#This Row],[VLR NF]]*0.05%</f>
        <v>0</v>
      </c>
      <c r="BD1105" s="81"/>
      <c r="BE1105" s="81"/>
      <c r="BF1105" s="81"/>
      <c r="BG1105" s="81"/>
      <c r="BH1105" s="81"/>
      <c r="BI1105" s="81"/>
      <c r="BJ1105" s="81"/>
      <c r="BK1105" s="81"/>
      <c r="BL1105" s="81"/>
      <c r="BM1105" s="81"/>
      <c r="BN1105" s="66"/>
      <c r="BO1105" s="66"/>
      <c r="BP1105" s="66"/>
      <c r="BQ1105" s="66" t="str">
        <f>PROPER(TEXT(Prog_23[[#This Row],[PROGRAMAÇÃO CLIENTE]],"mmm"))</f>
        <v>Jan</v>
      </c>
      <c r="BR1105" s="66">
        <f>YEAR(Prog_23[[#This Row],[PROGRAMAÇÃO CLIENTE]])</f>
        <v>1900</v>
      </c>
    </row>
    <row r="1106" spans="1:70" x14ac:dyDescent="0.25">
      <c r="A1106" s="201">
        <f>Prog_23[[#This Row],[CONTEINER]]</f>
        <v>0</v>
      </c>
      <c r="B1106" s="86"/>
      <c r="C11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06" s="44"/>
      <c r="E1106" s="66"/>
      <c r="F1106" s="66"/>
      <c r="G1106" s="66"/>
      <c r="H1106" s="44"/>
      <c r="I1106" s="44"/>
      <c r="J1106" s="66"/>
      <c r="K1106" s="66"/>
      <c r="L1106" s="66"/>
      <c r="M1106" s="66"/>
      <c r="N1106" s="66">
        <f>SUM(Prog_23[[#This Row],[TARA]]+Prog_23[[#This Row],[PESO]])</f>
        <v>0</v>
      </c>
      <c r="O1106" s="44"/>
      <c r="P1106" s="66"/>
      <c r="Q1106" s="66"/>
      <c r="R1106" s="66"/>
      <c r="S1106" s="66"/>
      <c r="T1106" s="138" t="str">
        <f>IFERROR(LOOKUP($S1106,MOTORISTAS!$D$3:$D$916,MOTORISTAS!E$3:$E$916),"")</f>
        <v/>
      </c>
      <c r="U1106" s="138" t="str">
        <f>IFERROR(LOOKUP($S1106,MOTORISTAS!$D$3:$D$916,MOTORISTAS!F$3:$F$916),"")</f>
        <v/>
      </c>
      <c r="V1106" s="66"/>
      <c r="W1106" s="66"/>
      <c r="X1106" s="66"/>
      <c r="Y1106" s="66"/>
      <c r="Z1106" s="66"/>
      <c r="AA1106" s="66"/>
      <c r="AB1106" s="66"/>
      <c r="AC1106" s="66"/>
      <c r="AD1106" s="66"/>
      <c r="AE1106" s="66"/>
      <c r="AF1106" s="44"/>
      <c r="AG1106" s="254">
        <f>Prog_23[[#This Row],[SAÍDA DO CLIENTE]]-Prog_23[[#This Row],[PROGRAMAÇÃO CLIENTE]]</f>
        <v>0</v>
      </c>
      <c r="AH1106" s="44"/>
      <c r="AI1106" s="66"/>
      <c r="AJ1106" s="66"/>
      <c r="AK1106" s="66"/>
      <c r="AL1106" s="66"/>
      <c r="AM1106" s="66"/>
      <c r="AN1106" s="83"/>
      <c r="AO1106" s="83"/>
      <c r="AP1106" s="83"/>
      <c r="AQ1106" s="66"/>
      <c r="AR1106" s="66"/>
      <c r="AS1106" s="66"/>
      <c r="AT1106" s="81"/>
      <c r="AU1106" s="81"/>
      <c r="AV1106" s="81"/>
      <c r="AW1106" s="81"/>
      <c r="AX1106" s="83">
        <f>SUM(Prog_23[[#This Row],[ADIANTAMENTO]]+Prog_23[[#This Row],[SALDO]]+Prog_23[[#This Row],[MARGEM]]+Prog_23[[#This Row],[ESTADIA 1]])</f>
        <v>0</v>
      </c>
      <c r="AY11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06" s="81"/>
      <c r="BA1106" s="81"/>
      <c r="BB1106" s="81">
        <f>Prog_23[[#This Row],[VLR NF]]*0.1%</f>
        <v>0</v>
      </c>
      <c r="BC1106" s="81">
        <f>Prog_23[[#This Row],[VLR NF]]*0.05%</f>
        <v>0</v>
      </c>
      <c r="BD1106" s="81"/>
      <c r="BE1106" s="81"/>
      <c r="BF1106" s="81"/>
      <c r="BG1106" s="81"/>
      <c r="BH1106" s="81"/>
      <c r="BI1106" s="81"/>
      <c r="BJ1106" s="81"/>
      <c r="BK1106" s="81"/>
      <c r="BL1106" s="81"/>
      <c r="BM1106" s="81"/>
      <c r="BN1106" s="66"/>
      <c r="BO1106" s="66"/>
      <c r="BP1106" s="66"/>
      <c r="BQ1106" s="66" t="str">
        <f>PROPER(TEXT(Prog_23[[#This Row],[PROGRAMAÇÃO CLIENTE]],"mmm"))</f>
        <v>Jan</v>
      </c>
      <c r="BR1106" s="66">
        <f>YEAR(Prog_23[[#This Row],[PROGRAMAÇÃO CLIENTE]])</f>
        <v>1900</v>
      </c>
    </row>
    <row r="1107" spans="1:70" x14ac:dyDescent="0.25">
      <c r="A1107" s="200">
        <f>Prog_23[[#This Row],[CONTEINER]]</f>
        <v>0</v>
      </c>
      <c r="B1107" s="86"/>
      <c r="C11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07" s="44"/>
      <c r="E1107" s="66"/>
      <c r="F1107" s="66"/>
      <c r="G1107" s="66"/>
      <c r="H1107" s="44"/>
      <c r="I1107" s="44"/>
      <c r="J1107" s="66"/>
      <c r="K1107" s="66"/>
      <c r="L1107" s="66"/>
      <c r="M1107" s="66"/>
      <c r="N1107" s="66">
        <f>SUM(Prog_23[[#This Row],[TARA]]+Prog_23[[#This Row],[PESO]])</f>
        <v>0</v>
      </c>
      <c r="O1107" s="44"/>
      <c r="P1107" s="66"/>
      <c r="Q1107" s="66"/>
      <c r="R1107" s="66"/>
      <c r="S1107" s="66"/>
      <c r="T1107" s="138" t="str">
        <f>IFERROR(LOOKUP($S1107,MOTORISTAS!$D$3:$D$916,MOTORISTAS!E$3:$E$916),"")</f>
        <v/>
      </c>
      <c r="U1107" s="138" t="str">
        <f>IFERROR(LOOKUP($S1107,MOTORISTAS!$D$3:$D$916,MOTORISTAS!F$3:$F$916),"")</f>
        <v/>
      </c>
      <c r="V1107" s="66"/>
      <c r="W1107" s="66"/>
      <c r="X1107" s="66"/>
      <c r="Y1107" s="66"/>
      <c r="Z1107" s="66"/>
      <c r="AA1107" s="66"/>
      <c r="AB1107" s="66"/>
      <c r="AC1107" s="66"/>
      <c r="AD1107" s="66"/>
      <c r="AE1107" s="66"/>
      <c r="AF1107" s="44"/>
      <c r="AG1107" s="254">
        <f>Prog_23[[#This Row],[SAÍDA DO CLIENTE]]-Prog_23[[#This Row],[PROGRAMAÇÃO CLIENTE]]</f>
        <v>0</v>
      </c>
      <c r="AH1107" s="44"/>
      <c r="AI1107" s="66"/>
      <c r="AJ1107" s="66"/>
      <c r="AK1107" s="66"/>
      <c r="AL1107" s="66"/>
      <c r="AM1107" s="66"/>
      <c r="AN1107" s="83"/>
      <c r="AO1107" s="83"/>
      <c r="AP1107" s="83"/>
      <c r="AQ1107" s="66"/>
      <c r="AR1107" s="66"/>
      <c r="AS1107" s="66"/>
      <c r="AT1107" s="81"/>
      <c r="AU1107" s="81"/>
      <c r="AV1107" s="81"/>
      <c r="AW1107" s="81"/>
      <c r="AX1107" s="83">
        <f>SUM(Prog_23[[#This Row],[ADIANTAMENTO]]+Prog_23[[#This Row],[SALDO]]+Prog_23[[#This Row],[MARGEM]]+Prog_23[[#This Row],[ESTADIA 1]])</f>
        <v>0</v>
      </c>
      <c r="AY11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07" s="81"/>
      <c r="BA1107" s="81"/>
      <c r="BB1107" s="81">
        <f>Prog_23[[#This Row],[VLR NF]]*0.1%</f>
        <v>0</v>
      </c>
      <c r="BC1107" s="81">
        <f>Prog_23[[#This Row],[VLR NF]]*0.05%</f>
        <v>0</v>
      </c>
      <c r="BD1107" s="81"/>
      <c r="BE1107" s="81"/>
      <c r="BF1107" s="81"/>
      <c r="BG1107" s="81"/>
      <c r="BH1107" s="81"/>
      <c r="BI1107" s="81"/>
      <c r="BJ1107" s="81"/>
      <c r="BK1107" s="81"/>
      <c r="BL1107" s="81"/>
      <c r="BM1107" s="81"/>
      <c r="BN1107" s="66"/>
      <c r="BO1107" s="66"/>
      <c r="BP1107" s="66"/>
      <c r="BQ1107" s="66" t="str">
        <f>PROPER(TEXT(Prog_23[[#This Row],[PROGRAMAÇÃO CLIENTE]],"mmm"))</f>
        <v>Jan</v>
      </c>
      <c r="BR1107" s="66">
        <f>YEAR(Prog_23[[#This Row],[PROGRAMAÇÃO CLIENTE]])</f>
        <v>1900</v>
      </c>
    </row>
    <row r="1108" spans="1:70" x14ac:dyDescent="0.25">
      <c r="A1108" s="201">
        <f>Prog_23[[#This Row],[CONTEINER]]</f>
        <v>0</v>
      </c>
      <c r="B1108" s="86"/>
      <c r="C11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08" s="44"/>
      <c r="E1108" s="66"/>
      <c r="F1108" s="66"/>
      <c r="G1108" s="66"/>
      <c r="H1108" s="44"/>
      <c r="I1108" s="44"/>
      <c r="J1108" s="66"/>
      <c r="K1108" s="66"/>
      <c r="L1108" s="66"/>
      <c r="M1108" s="66"/>
      <c r="N1108" s="66">
        <f>SUM(Prog_23[[#This Row],[TARA]]+Prog_23[[#This Row],[PESO]])</f>
        <v>0</v>
      </c>
      <c r="O1108" s="44"/>
      <c r="P1108" s="66"/>
      <c r="Q1108" s="66"/>
      <c r="R1108" s="66"/>
      <c r="S1108" s="66"/>
      <c r="T1108" s="138" t="str">
        <f>IFERROR(LOOKUP($S1108,MOTORISTAS!$D$3:$D$916,MOTORISTAS!E$3:$E$916),"")</f>
        <v/>
      </c>
      <c r="U1108" s="138" t="str">
        <f>IFERROR(LOOKUP($S1108,MOTORISTAS!$D$3:$D$916,MOTORISTAS!F$3:$F$916),"")</f>
        <v/>
      </c>
      <c r="V1108" s="66"/>
      <c r="W1108" s="66"/>
      <c r="X1108" s="66"/>
      <c r="Y1108" s="66"/>
      <c r="Z1108" s="66"/>
      <c r="AA1108" s="66"/>
      <c r="AB1108" s="66"/>
      <c r="AC1108" s="66"/>
      <c r="AD1108" s="66"/>
      <c r="AE1108" s="66"/>
      <c r="AF1108" s="44"/>
      <c r="AG1108" s="254">
        <f>Prog_23[[#This Row],[SAÍDA DO CLIENTE]]-Prog_23[[#This Row],[PROGRAMAÇÃO CLIENTE]]</f>
        <v>0</v>
      </c>
      <c r="AH1108" s="44"/>
      <c r="AI1108" s="66"/>
      <c r="AJ1108" s="66"/>
      <c r="AK1108" s="66"/>
      <c r="AL1108" s="66"/>
      <c r="AM1108" s="66"/>
      <c r="AN1108" s="83"/>
      <c r="AO1108" s="83"/>
      <c r="AP1108" s="83"/>
      <c r="AQ1108" s="66"/>
      <c r="AR1108" s="66"/>
      <c r="AS1108" s="66"/>
      <c r="AT1108" s="81"/>
      <c r="AU1108" s="81"/>
      <c r="AV1108" s="81"/>
      <c r="AW1108" s="81"/>
      <c r="AX1108" s="83">
        <f>SUM(Prog_23[[#This Row],[ADIANTAMENTO]]+Prog_23[[#This Row],[SALDO]]+Prog_23[[#This Row],[MARGEM]]+Prog_23[[#This Row],[ESTADIA 1]])</f>
        <v>0</v>
      </c>
      <c r="AY11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08" s="81"/>
      <c r="BA1108" s="81"/>
      <c r="BB1108" s="81">
        <f>Prog_23[[#This Row],[VLR NF]]*0.1%</f>
        <v>0</v>
      </c>
      <c r="BC1108" s="81">
        <f>Prog_23[[#This Row],[VLR NF]]*0.05%</f>
        <v>0</v>
      </c>
      <c r="BD1108" s="81"/>
      <c r="BE1108" s="81"/>
      <c r="BF1108" s="81"/>
      <c r="BG1108" s="81"/>
      <c r="BH1108" s="81"/>
      <c r="BI1108" s="81"/>
      <c r="BJ1108" s="81"/>
      <c r="BK1108" s="81"/>
      <c r="BL1108" s="81"/>
      <c r="BM1108" s="81"/>
      <c r="BN1108" s="66"/>
      <c r="BO1108" s="66"/>
      <c r="BP1108" s="66"/>
      <c r="BQ1108" s="66" t="str">
        <f>PROPER(TEXT(Prog_23[[#This Row],[PROGRAMAÇÃO CLIENTE]],"mmm"))</f>
        <v>Jan</v>
      </c>
      <c r="BR1108" s="66">
        <f>YEAR(Prog_23[[#This Row],[PROGRAMAÇÃO CLIENTE]])</f>
        <v>1900</v>
      </c>
    </row>
    <row r="1109" spans="1:70" x14ac:dyDescent="0.25">
      <c r="A1109" s="200">
        <f>Prog_23[[#This Row],[CONTEINER]]</f>
        <v>0</v>
      </c>
      <c r="B1109" s="86"/>
      <c r="C11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09" s="44"/>
      <c r="E1109" s="66"/>
      <c r="F1109" s="66"/>
      <c r="G1109" s="66"/>
      <c r="H1109" s="44"/>
      <c r="I1109" s="44"/>
      <c r="J1109" s="66"/>
      <c r="K1109" s="66"/>
      <c r="L1109" s="66"/>
      <c r="M1109" s="66"/>
      <c r="N1109" s="66">
        <f>SUM(Prog_23[[#This Row],[TARA]]+Prog_23[[#This Row],[PESO]])</f>
        <v>0</v>
      </c>
      <c r="O1109" s="44"/>
      <c r="P1109" s="66"/>
      <c r="Q1109" s="66"/>
      <c r="R1109" s="66"/>
      <c r="S1109" s="66"/>
      <c r="T1109" s="138" t="str">
        <f>IFERROR(LOOKUP($S1109,MOTORISTAS!$D$3:$D$916,MOTORISTAS!E$3:$E$916),"")</f>
        <v/>
      </c>
      <c r="U1109" s="138" t="str">
        <f>IFERROR(LOOKUP($S1109,MOTORISTAS!$D$3:$D$916,MOTORISTAS!F$3:$F$916),"")</f>
        <v/>
      </c>
      <c r="V1109" s="66"/>
      <c r="W1109" s="66"/>
      <c r="X1109" s="66"/>
      <c r="Y1109" s="66"/>
      <c r="Z1109" s="66"/>
      <c r="AA1109" s="66"/>
      <c r="AB1109" s="66"/>
      <c r="AC1109" s="66"/>
      <c r="AD1109" s="66"/>
      <c r="AE1109" s="66"/>
      <c r="AF1109" s="44"/>
      <c r="AG1109" s="254">
        <f>Prog_23[[#This Row],[SAÍDA DO CLIENTE]]-Prog_23[[#This Row],[PROGRAMAÇÃO CLIENTE]]</f>
        <v>0</v>
      </c>
      <c r="AH1109" s="44"/>
      <c r="AI1109" s="66"/>
      <c r="AJ1109" s="66"/>
      <c r="AK1109" s="66"/>
      <c r="AL1109" s="66"/>
      <c r="AM1109" s="66"/>
      <c r="AN1109" s="83"/>
      <c r="AO1109" s="83"/>
      <c r="AP1109" s="83"/>
      <c r="AQ1109" s="66"/>
      <c r="AR1109" s="66"/>
      <c r="AS1109" s="66"/>
      <c r="AT1109" s="81"/>
      <c r="AU1109" s="81"/>
      <c r="AV1109" s="81"/>
      <c r="AW1109" s="81"/>
      <c r="AX1109" s="83">
        <f>SUM(Prog_23[[#This Row],[ADIANTAMENTO]]+Prog_23[[#This Row],[SALDO]]+Prog_23[[#This Row],[MARGEM]]+Prog_23[[#This Row],[ESTADIA 1]])</f>
        <v>0</v>
      </c>
      <c r="AY11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09" s="81"/>
      <c r="BA1109" s="81"/>
      <c r="BB1109" s="81">
        <f>Prog_23[[#This Row],[VLR NF]]*0.1%</f>
        <v>0</v>
      </c>
      <c r="BC1109" s="81">
        <f>Prog_23[[#This Row],[VLR NF]]*0.05%</f>
        <v>0</v>
      </c>
      <c r="BD1109" s="81"/>
      <c r="BE1109" s="81"/>
      <c r="BF1109" s="81"/>
      <c r="BG1109" s="81"/>
      <c r="BH1109" s="81"/>
      <c r="BI1109" s="81"/>
      <c r="BJ1109" s="81"/>
      <c r="BK1109" s="81"/>
      <c r="BL1109" s="81"/>
      <c r="BM1109" s="81"/>
      <c r="BN1109" s="66"/>
      <c r="BO1109" s="66"/>
      <c r="BP1109" s="66"/>
      <c r="BQ1109" s="66" t="str">
        <f>PROPER(TEXT(Prog_23[[#This Row],[PROGRAMAÇÃO CLIENTE]],"mmm"))</f>
        <v>Jan</v>
      </c>
      <c r="BR1109" s="66">
        <f>YEAR(Prog_23[[#This Row],[PROGRAMAÇÃO CLIENTE]])</f>
        <v>1900</v>
      </c>
    </row>
    <row r="1110" spans="1:70" x14ac:dyDescent="0.25">
      <c r="A1110" s="201">
        <f>Prog_23[[#This Row],[CONTEINER]]</f>
        <v>0</v>
      </c>
      <c r="B1110" s="86"/>
      <c r="C11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10" s="44"/>
      <c r="E1110" s="66"/>
      <c r="F1110" s="66"/>
      <c r="G1110" s="66"/>
      <c r="H1110" s="44"/>
      <c r="I1110" s="44"/>
      <c r="J1110" s="66"/>
      <c r="K1110" s="66"/>
      <c r="L1110" s="66"/>
      <c r="M1110" s="66"/>
      <c r="N1110" s="66">
        <f>SUM(Prog_23[[#This Row],[TARA]]+Prog_23[[#This Row],[PESO]])</f>
        <v>0</v>
      </c>
      <c r="O1110" s="44"/>
      <c r="P1110" s="66"/>
      <c r="Q1110" s="66"/>
      <c r="R1110" s="66"/>
      <c r="S1110" s="66"/>
      <c r="T1110" s="138" t="str">
        <f>IFERROR(LOOKUP($S1110,MOTORISTAS!$D$3:$D$916,MOTORISTAS!E$3:$E$916),"")</f>
        <v/>
      </c>
      <c r="U1110" s="138" t="str">
        <f>IFERROR(LOOKUP($S1110,MOTORISTAS!$D$3:$D$916,MOTORISTAS!F$3:$F$916),"")</f>
        <v/>
      </c>
      <c r="V1110" s="66"/>
      <c r="W1110" s="66"/>
      <c r="X1110" s="66"/>
      <c r="Y1110" s="66"/>
      <c r="Z1110" s="66"/>
      <c r="AA1110" s="66"/>
      <c r="AB1110" s="66"/>
      <c r="AC1110" s="66"/>
      <c r="AD1110" s="66"/>
      <c r="AE1110" s="66"/>
      <c r="AF1110" s="44"/>
      <c r="AG1110" s="254">
        <f>Prog_23[[#This Row],[SAÍDA DO CLIENTE]]-Prog_23[[#This Row],[PROGRAMAÇÃO CLIENTE]]</f>
        <v>0</v>
      </c>
      <c r="AH1110" s="44"/>
      <c r="AI1110" s="66"/>
      <c r="AJ1110" s="66"/>
      <c r="AK1110" s="66"/>
      <c r="AL1110" s="66"/>
      <c r="AM1110" s="66"/>
      <c r="AN1110" s="83"/>
      <c r="AO1110" s="83"/>
      <c r="AP1110" s="83"/>
      <c r="AQ1110" s="66"/>
      <c r="AR1110" s="66"/>
      <c r="AS1110" s="66"/>
      <c r="AT1110" s="81"/>
      <c r="AU1110" s="81"/>
      <c r="AV1110" s="81"/>
      <c r="AW1110" s="81"/>
      <c r="AX1110" s="83">
        <f>SUM(Prog_23[[#This Row],[ADIANTAMENTO]]+Prog_23[[#This Row],[SALDO]]+Prog_23[[#This Row],[MARGEM]]+Prog_23[[#This Row],[ESTADIA 1]])</f>
        <v>0</v>
      </c>
      <c r="AY11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10" s="81"/>
      <c r="BA1110" s="81"/>
      <c r="BB1110" s="81">
        <f>Prog_23[[#This Row],[VLR NF]]*0.1%</f>
        <v>0</v>
      </c>
      <c r="BC1110" s="81">
        <f>Prog_23[[#This Row],[VLR NF]]*0.05%</f>
        <v>0</v>
      </c>
      <c r="BD1110" s="81"/>
      <c r="BE1110" s="81"/>
      <c r="BF1110" s="81"/>
      <c r="BG1110" s="81"/>
      <c r="BH1110" s="81"/>
      <c r="BI1110" s="81"/>
      <c r="BJ1110" s="81"/>
      <c r="BK1110" s="81"/>
      <c r="BL1110" s="81"/>
      <c r="BM1110" s="81"/>
      <c r="BN1110" s="66"/>
      <c r="BO1110" s="66"/>
      <c r="BP1110" s="66"/>
      <c r="BQ1110" s="66" t="str">
        <f>PROPER(TEXT(Prog_23[[#This Row],[PROGRAMAÇÃO CLIENTE]],"mmm"))</f>
        <v>Jan</v>
      </c>
      <c r="BR1110" s="66">
        <f>YEAR(Prog_23[[#This Row],[PROGRAMAÇÃO CLIENTE]])</f>
        <v>1900</v>
      </c>
    </row>
    <row r="1111" spans="1:70" x14ac:dyDescent="0.25">
      <c r="A1111" s="200">
        <f>Prog_23[[#This Row],[CONTEINER]]</f>
        <v>0</v>
      </c>
      <c r="B1111" s="86"/>
      <c r="C11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11" s="44"/>
      <c r="E1111" s="66"/>
      <c r="F1111" s="66"/>
      <c r="G1111" s="66"/>
      <c r="H1111" s="44"/>
      <c r="I1111" s="44"/>
      <c r="J1111" s="66"/>
      <c r="K1111" s="66"/>
      <c r="L1111" s="66"/>
      <c r="M1111" s="66"/>
      <c r="N1111" s="66">
        <f>SUM(Prog_23[[#This Row],[TARA]]+Prog_23[[#This Row],[PESO]])</f>
        <v>0</v>
      </c>
      <c r="O1111" s="44"/>
      <c r="P1111" s="66"/>
      <c r="Q1111" s="66"/>
      <c r="R1111" s="66"/>
      <c r="S1111" s="66"/>
      <c r="T1111" s="138" t="str">
        <f>IFERROR(LOOKUP($S1111,MOTORISTAS!$D$3:$D$916,MOTORISTAS!E$3:$E$916),"")</f>
        <v/>
      </c>
      <c r="U1111" s="138" t="str">
        <f>IFERROR(LOOKUP($S1111,MOTORISTAS!$D$3:$D$916,MOTORISTAS!F$3:$F$916),"")</f>
        <v/>
      </c>
      <c r="V1111" s="66"/>
      <c r="W1111" s="66"/>
      <c r="X1111" s="66"/>
      <c r="Y1111" s="66"/>
      <c r="Z1111" s="66"/>
      <c r="AA1111" s="66"/>
      <c r="AB1111" s="66"/>
      <c r="AC1111" s="66"/>
      <c r="AD1111" s="66"/>
      <c r="AE1111" s="66"/>
      <c r="AF1111" s="44"/>
      <c r="AG1111" s="254">
        <f>Prog_23[[#This Row],[SAÍDA DO CLIENTE]]-Prog_23[[#This Row],[PROGRAMAÇÃO CLIENTE]]</f>
        <v>0</v>
      </c>
      <c r="AH1111" s="44"/>
      <c r="AI1111" s="66"/>
      <c r="AJ1111" s="66"/>
      <c r="AK1111" s="66"/>
      <c r="AL1111" s="66"/>
      <c r="AM1111" s="66"/>
      <c r="AN1111" s="83"/>
      <c r="AO1111" s="83"/>
      <c r="AP1111" s="83"/>
      <c r="AQ1111" s="66"/>
      <c r="AR1111" s="66"/>
      <c r="AS1111" s="66"/>
      <c r="AT1111" s="81"/>
      <c r="AU1111" s="81"/>
      <c r="AV1111" s="81"/>
      <c r="AW1111" s="81"/>
      <c r="AX1111" s="83">
        <f>SUM(Prog_23[[#This Row],[ADIANTAMENTO]]+Prog_23[[#This Row],[SALDO]]+Prog_23[[#This Row],[MARGEM]]+Prog_23[[#This Row],[ESTADIA 1]])</f>
        <v>0</v>
      </c>
      <c r="AY11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11" s="81"/>
      <c r="BA1111" s="81"/>
      <c r="BB1111" s="81">
        <f>Prog_23[[#This Row],[VLR NF]]*0.1%</f>
        <v>0</v>
      </c>
      <c r="BC1111" s="81">
        <f>Prog_23[[#This Row],[VLR NF]]*0.05%</f>
        <v>0</v>
      </c>
      <c r="BD1111" s="81"/>
      <c r="BE1111" s="81"/>
      <c r="BF1111" s="81"/>
      <c r="BG1111" s="81"/>
      <c r="BH1111" s="81"/>
      <c r="BI1111" s="81"/>
      <c r="BJ1111" s="81"/>
      <c r="BK1111" s="81"/>
      <c r="BL1111" s="81"/>
      <c r="BM1111" s="81"/>
      <c r="BN1111" s="66"/>
      <c r="BO1111" s="66"/>
      <c r="BP1111" s="66"/>
      <c r="BQ1111" s="66" t="str">
        <f>PROPER(TEXT(Prog_23[[#This Row],[PROGRAMAÇÃO CLIENTE]],"mmm"))</f>
        <v>Jan</v>
      </c>
      <c r="BR1111" s="66">
        <f>YEAR(Prog_23[[#This Row],[PROGRAMAÇÃO CLIENTE]])</f>
        <v>1900</v>
      </c>
    </row>
    <row r="1112" spans="1:70" x14ac:dyDescent="0.25">
      <c r="A1112" s="201">
        <f>Prog_23[[#This Row],[CONTEINER]]</f>
        <v>0</v>
      </c>
      <c r="B1112" s="86"/>
      <c r="C11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12" s="44"/>
      <c r="E1112" s="66"/>
      <c r="F1112" s="66"/>
      <c r="G1112" s="66"/>
      <c r="H1112" s="44"/>
      <c r="I1112" s="44"/>
      <c r="J1112" s="66"/>
      <c r="K1112" s="66"/>
      <c r="L1112" s="66"/>
      <c r="M1112" s="66"/>
      <c r="N1112" s="66">
        <f>SUM(Prog_23[[#This Row],[TARA]]+Prog_23[[#This Row],[PESO]])</f>
        <v>0</v>
      </c>
      <c r="O1112" s="44"/>
      <c r="P1112" s="66"/>
      <c r="Q1112" s="66"/>
      <c r="R1112" s="66"/>
      <c r="S1112" s="66"/>
      <c r="T1112" s="138" t="str">
        <f>IFERROR(LOOKUP($S1112,MOTORISTAS!$D$3:$D$916,MOTORISTAS!E$3:$E$916),"")</f>
        <v/>
      </c>
      <c r="U1112" s="138" t="str">
        <f>IFERROR(LOOKUP($S1112,MOTORISTAS!$D$3:$D$916,MOTORISTAS!F$3:$F$916),"")</f>
        <v/>
      </c>
      <c r="V1112" s="66"/>
      <c r="W1112" s="66"/>
      <c r="X1112" s="66"/>
      <c r="Y1112" s="66"/>
      <c r="Z1112" s="66"/>
      <c r="AA1112" s="66"/>
      <c r="AB1112" s="66"/>
      <c r="AC1112" s="66"/>
      <c r="AD1112" s="66"/>
      <c r="AE1112" s="66"/>
      <c r="AF1112" s="44"/>
      <c r="AG1112" s="254">
        <f>Prog_23[[#This Row],[SAÍDA DO CLIENTE]]-Prog_23[[#This Row],[PROGRAMAÇÃO CLIENTE]]</f>
        <v>0</v>
      </c>
      <c r="AH1112" s="44"/>
      <c r="AI1112" s="66"/>
      <c r="AJ1112" s="66"/>
      <c r="AK1112" s="66"/>
      <c r="AL1112" s="66"/>
      <c r="AM1112" s="66"/>
      <c r="AN1112" s="83"/>
      <c r="AO1112" s="83"/>
      <c r="AP1112" s="83"/>
      <c r="AQ1112" s="66"/>
      <c r="AR1112" s="66"/>
      <c r="AS1112" s="66"/>
      <c r="AT1112" s="81"/>
      <c r="AU1112" s="81"/>
      <c r="AV1112" s="81"/>
      <c r="AW1112" s="81"/>
      <c r="AX1112" s="83">
        <f>SUM(Prog_23[[#This Row],[ADIANTAMENTO]]+Prog_23[[#This Row],[SALDO]]+Prog_23[[#This Row],[MARGEM]]+Prog_23[[#This Row],[ESTADIA 1]])</f>
        <v>0</v>
      </c>
      <c r="AY11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12" s="81"/>
      <c r="BA1112" s="81"/>
      <c r="BB1112" s="81">
        <f>Prog_23[[#This Row],[VLR NF]]*0.1%</f>
        <v>0</v>
      </c>
      <c r="BC1112" s="81">
        <f>Prog_23[[#This Row],[VLR NF]]*0.05%</f>
        <v>0</v>
      </c>
      <c r="BD1112" s="81"/>
      <c r="BE1112" s="81"/>
      <c r="BF1112" s="81"/>
      <c r="BG1112" s="81"/>
      <c r="BH1112" s="81"/>
      <c r="BI1112" s="81"/>
      <c r="BJ1112" s="81"/>
      <c r="BK1112" s="81"/>
      <c r="BL1112" s="81"/>
      <c r="BM1112" s="81"/>
      <c r="BN1112" s="66"/>
      <c r="BO1112" s="66"/>
      <c r="BP1112" s="66"/>
      <c r="BQ1112" s="66" t="str">
        <f>PROPER(TEXT(Prog_23[[#This Row],[PROGRAMAÇÃO CLIENTE]],"mmm"))</f>
        <v>Jan</v>
      </c>
      <c r="BR1112" s="66">
        <f>YEAR(Prog_23[[#This Row],[PROGRAMAÇÃO CLIENTE]])</f>
        <v>1900</v>
      </c>
    </row>
    <row r="1113" spans="1:70" x14ac:dyDescent="0.25">
      <c r="A1113" s="200">
        <f>Prog_23[[#This Row],[CONTEINER]]</f>
        <v>0</v>
      </c>
      <c r="B1113" s="86"/>
      <c r="C11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13" s="44"/>
      <c r="E1113" s="66"/>
      <c r="F1113" s="66"/>
      <c r="G1113" s="66"/>
      <c r="H1113" s="44"/>
      <c r="I1113" s="44"/>
      <c r="J1113" s="66"/>
      <c r="K1113" s="66"/>
      <c r="L1113" s="66"/>
      <c r="M1113" s="66"/>
      <c r="N1113" s="66">
        <f>SUM(Prog_23[[#This Row],[TARA]]+Prog_23[[#This Row],[PESO]])</f>
        <v>0</v>
      </c>
      <c r="O1113" s="44"/>
      <c r="P1113" s="66"/>
      <c r="Q1113" s="66"/>
      <c r="R1113" s="66"/>
      <c r="S1113" s="66"/>
      <c r="T1113" s="138" t="str">
        <f>IFERROR(LOOKUP($S1113,MOTORISTAS!$D$3:$D$916,MOTORISTAS!E$3:$E$916),"")</f>
        <v/>
      </c>
      <c r="U1113" s="138" t="str">
        <f>IFERROR(LOOKUP($S1113,MOTORISTAS!$D$3:$D$916,MOTORISTAS!F$3:$F$916),"")</f>
        <v/>
      </c>
      <c r="V1113" s="66"/>
      <c r="W1113" s="66"/>
      <c r="X1113" s="66"/>
      <c r="Y1113" s="66"/>
      <c r="Z1113" s="66"/>
      <c r="AA1113" s="66"/>
      <c r="AB1113" s="66"/>
      <c r="AC1113" s="66"/>
      <c r="AD1113" s="66"/>
      <c r="AE1113" s="66"/>
      <c r="AF1113" s="44"/>
      <c r="AG1113" s="254">
        <f>Prog_23[[#This Row],[SAÍDA DO CLIENTE]]-Prog_23[[#This Row],[PROGRAMAÇÃO CLIENTE]]</f>
        <v>0</v>
      </c>
      <c r="AH1113" s="44"/>
      <c r="AI1113" s="66"/>
      <c r="AJ1113" s="66"/>
      <c r="AK1113" s="66"/>
      <c r="AL1113" s="66"/>
      <c r="AM1113" s="66"/>
      <c r="AN1113" s="83"/>
      <c r="AO1113" s="83"/>
      <c r="AP1113" s="83"/>
      <c r="AQ1113" s="66"/>
      <c r="AR1113" s="66"/>
      <c r="AS1113" s="66"/>
      <c r="AT1113" s="81"/>
      <c r="AU1113" s="81"/>
      <c r="AV1113" s="81"/>
      <c r="AW1113" s="81"/>
      <c r="AX1113" s="83">
        <f>SUM(Prog_23[[#This Row],[ADIANTAMENTO]]+Prog_23[[#This Row],[SALDO]]+Prog_23[[#This Row],[MARGEM]]+Prog_23[[#This Row],[ESTADIA 1]])</f>
        <v>0</v>
      </c>
      <c r="AY11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13" s="81"/>
      <c r="BA1113" s="81"/>
      <c r="BB1113" s="81">
        <f>Prog_23[[#This Row],[VLR NF]]*0.1%</f>
        <v>0</v>
      </c>
      <c r="BC1113" s="81">
        <f>Prog_23[[#This Row],[VLR NF]]*0.05%</f>
        <v>0</v>
      </c>
      <c r="BD1113" s="81"/>
      <c r="BE1113" s="81"/>
      <c r="BF1113" s="81"/>
      <c r="BG1113" s="81"/>
      <c r="BH1113" s="81"/>
      <c r="BI1113" s="81"/>
      <c r="BJ1113" s="81"/>
      <c r="BK1113" s="81"/>
      <c r="BL1113" s="81"/>
      <c r="BM1113" s="81"/>
      <c r="BN1113" s="66"/>
      <c r="BO1113" s="66"/>
      <c r="BP1113" s="66"/>
      <c r="BQ1113" s="66" t="str">
        <f>PROPER(TEXT(Prog_23[[#This Row],[PROGRAMAÇÃO CLIENTE]],"mmm"))</f>
        <v>Jan</v>
      </c>
      <c r="BR1113" s="66">
        <f>YEAR(Prog_23[[#This Row],[PROGRAMAÇÃO CLIENTE]])</f>
        <v>1900</v>
      </c>
    </row>
    <row r="1114" spans="1:70" x14ac:dyDescent="0.25">
      <c r="A1114" s="201">
        <f>Prog_23[[#This Row],[CONTEINER]]</f>
        <v>0</v>
      </c>
      <c r="B1114" s="86"/>
      <c r="C11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14" s="44"/>
      <c r="E1114" s="66"/>
      <c r="F1114" s="66"/>
      <c r="G1114" s="66"/>
      <c r="H1114" s="44"/>
      <c r="I1114" s="44"/>
      <c r="J1114" s="66"/>
      <c r="K1114" s="66"/>
      <c r="L1114" s="66"/>
      <c r="M1114" s="66"/>
      <c r="N1114" s="66">
        <f>SUM(Prog_23[[#This Row],[TARA]]+Prog_23[[#This Row],[PESO]])</f>
        <v>0</v>
      </c>
      <c r="O1114" s="44"/>
      <c r="P1114" s="66"/>
      <c r="Q1114" s="66"/>
      <c r="R1114" s="66"/>
      <c r="S1114" s="66"/>
      <c r="T1114" s="138" t="str">
        <f>IFERROR(LOOKUP($S1114,MOTORISTAS!$D$3:$D$916,MOTORISTAS!E$3:$E$916),"")</f>
        <v/>
      </c>
      <c r="U1114" s="138" t="str">
        <f>IFERROR(LOOKUP($S1114,MOTORISTAS!$D$3:$D$916,MOTORISTAS!F$3:$F$916),"")</f>
        <v/>
      </c>
      <c r="V1114" s="66"/>
      <c r="W1114" s="66"/>
      <c r="X1114" s="66"/>
      <c r="Y1114" s="66"/>
      <c r="Z1114" s="66"/>
      <c r="AA1114" s="66"/>
      <c r="AB1114" s="66"/>
      <c r="AC1114" s="66"/>
      <c r="AD1114" s="66"/>
      <c r="AE1114" s="66"/>
      <c r="AF1114" s="44"/>
      <c r="AG1114" s="254">
        <f>Prog_23[[#This Row],[SAÍDA DO CLIENTE]]-Prog_23[[#This Row],[PROGRAMAÇÃO CLIENTE]]</f>
        <v>0</v>
      </c>
      <c r="AH1114" s="44"/>
      <c r="AI1114" s="66"/>
      <c r="AJ1114" s="66"/>
      <c r="AK1114" s="66"/>
      <c r="AL1114" s="66"/>
      <c r="AM1114" s="66"/>
      <c r="AN1114" s="83"/>
      <c r="AO1114" s="83"/>
      <c r="AP1114" s="83"/>
      <c r="AQ1114" s="66"/>
      <c r="AR1114" s="66"/>
      <c r="AS1114" s="66"/>
      <c r="AT1114" s="81"/>
      <c r="AU1114" s="81"/>
      <c r="AV1114" s="81"/>
      <c r="AW1114" s="81"/>
      <c r="AX1114" s="83">
        <f>SUM(Prog_23[[#This Row],[ADIANTAMENTO]]+Prog_23[[#This Row],[SALDO]]+Prog_23[[#This Row],[MARGEM]]+Prog_23[[#This Row],[ESTADIA 1]])</f>
        <v>0</v>
      </c>
      <c r="AY11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14" s="81"/>
      <c r="BA1114" s="81"/>
      <c r="BB1114" s="81">
        <f>Prog_23[[#This Row],[VLR NF]]*0.1%</f>
        <v>0</v>
      </c>
      <c r="BC1114" s="81">
        <f>Prog_23[[#This Row],[VLR NF]]*0.05%</f>
        <v>0</v>
      </c>
      <c r="BD1114" s="81"/>
      <c r="BE1114" s="81"/>
      <c r="BF1114" s="81"/>
      <c r="BG1114" s="81"/>
      <c r="BH1114" s="81"/>
      <c r="BI1114" s="81"/>
      <c r="BJ1114" s="81"/>
      <c r="BK1114" s="81"/>
      <c r="BL1114" s="81"/>
      <c r="BM1114" s="81"/>
      <c r="BN1114" s="66"/>
      <c r="BO1114" s="66"/>
      <c r="BP1114" s="66"/>
      <c r="BQ1114" s="66" t="str">
        <f>PROPER(TEXT(Prog_23[[#This Row],[PROGRAMAÇÃO CLIENTE]],"mmm"))</f>
        <v>Jan</v>
      </c>
      <c r="BR1114" s="66">
        <f>YEAR(Prog_23[[#This Row],[PROGRAMAÇÃO CLIENTE]])</f>
        <v>1900</v>
      </c>
    </row>
    <row r="1115" spans="1:70" x14ac:dyDescent="0.25">
      <c r="A1115" s="200">
        <f>Prog_23[[#This Row],[CONTEINER]]</f>
        <v>0</v>
      </c>
      <c r="B1115" s="86"/>
      <c r="C11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15" s="44"/>
      <c r="E1115" s="66"/>
      <c r="F1115" s="66"/>
      <c r="G1115" s="66"/>
      <c r="H1115" s="44"/>
      <c r="I1115" s="44"/>
      <c r="J1115" s="66"/>
      <c r="K1115" s="66"/>
      <c r="L1115" s="66"/>
      <c r="M1115" s="66"/>
      <c r="N1115" s="66">
        <f>SUM(Prog_23[[#This Row],[TARA]]+Prog_23[[#This Row],[PESO]])</f>
        <v>0</v>
      </c>
      <c r="O1115" s="44"/>
      <c r="P1115" s="66"/>
      <c r="Q1115" s="66"/>
      <c r="R1115" s="66"/>
      <c r="S1115" s="66"/>
      <c r="T1115" s="138" t="str">
        <f>IFERROR(LOOKUP($S1115,MOTORISTAS!$D$3:$D$916,MOTORISTAS!E$3:$E$916),"")</f>
        <v/>
      </c>
      <c r="U1115" s="138" t="str">
        <f>IFERROR(LOOKUP($S1115,MOTORISTAS!$D$3:$D$916,MOTORISTAS!F$3:$F$916),"")</f>
        <v/>
      </c>
      <c r="V1115" s="66"/>
      <c r="W1115" s="66"/>
      <c r="X1115" s="66"/>
      <c r="Y1115" s="66"/>
      <c r="Z1115" s="66"/>
      <c r="AA1115" s="66"/>
      <c r="AB1115" s="66"/>
      <c r="AC1115" s="66"/>
      <c r="AD1115" s="66"/>
      <c r="AE1115" s="66"/>
      <c r="AF1115" s="44"/>
      <c r="AG1115" s="254">
        <f>Prog_23[[#This Row],[SAÍDA DO CLIENTE]]-Prog_23[[#This Row],[PROGRAMAÇÃO CLIENTE]]</f>
        <v>0</v>
      </c>
      <c r="AH1115" s="44"/>
      <c r="AI1115" s="66"/>
      <c r="AJ1115" s="66"/>
      <c r="AK1115" s="66"/>
      <c r="AL1115" s="66"/>
      <c r="AM1115" s="66"/>
      <c r="AN1115" s="83"/>
      <c r="AO1115" s="83"/>
      <c r="AP1115" s="83"/>
      <c r="AQ1115" s="66"/>
      <c r="AR1115" s="66"/>
      <c r="AS1115" s="66"/>
      <c r="AT1115" s="81"/>
      <c r="AU1115" s="81"/>
      <c r="AV1115" s="81"/>
      <c r="AW1115" s="81"/>
      <c r="AX1115" s="83">
        <f>SUM(Prog_23[[#This Row],[ADIANTAMENTO]]+Prog_23[[#This Row],[SALDO]]+Prog_23[[#This Row],[MARGEM]]+Prog_23[[#This Row],[ESTADIA 1]])</f>
        <v>0</v>
      </c>
      <c r="AY11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15" s="81"/>
      <c r="BA1115" s="81"/>
      <c r="BB1115" s="81">
        <f>Prog_23[[#This Row],[VLR NF]]*0.1%</f>
        <v>0</v>
      </c>
      <c r="BC1115" s="81">
        <f>Prog_23[[#This Row],[VLR NF]]*0.05%</f>
        <v>0</v>
      </c>
      <c r="BD1115" s="81"/>
      <c r="BE1115" s="81"/>
      <c r="BF1115" s="81"/>
      <c r="BG1115" s="81"/>
      <c r="BH1115" s="81"/>
      <c r="BI1115" s="81"/>
      <c r="BJ1115" s="81"/>
      <c r="BK1115" s="81"/>
      <c r="BL1115" s="81"/>
      <c r="BM1115" s="81"/>
      <c r="BN1115" s="66"/>
      <c r="BO1115" s="66"/>
      <c r="BP1115" s="66"/>
      <c r="BQ1115" s="66" t="str">
        <f>PROPER(TEXT(Prog_23[[#This Row],[PROGRAMAÇÃO CLIENTE]],"mmm"))</f>
        <v>Jan</v>
      </c>
      <c r="BR1115" s="66">
        <f>YEAR(Prog_23[[#This Row],[PROGRAMAÇÃO CLIENTE]])</f>
        <v>1900</v>
      </c>
    </row>
    <row r="1116" spans="1:70" x14ac:dyDescent="0.25">
      <c r="A1116" s="201">
        <f>Prog_23[[#This Row],[CONTEINER]]</f>
        <v>0</v>
      </c>
      <c r="B1116" s="86"/>
      <c r="C11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16" s="44"/>
      <c r="E1116" s="66"/>
      <c r="F1116" s="66"/>
      <c r="G1116" s="66"/>
      <c r="H1116" s="44"/>
      <c r="I1116" s="44"/>
      <c r="J1116" s="66"/>
      <c r="K1116" s="66"/>
      <c r="L1116" s="66"/>
      <c r="M1116" s="66"/>
      <c r="N1116" s="66">
        <f>SUM(Prog_23[[#This Row],[TARA]]+Prog_23[[#This Row],[PESO]])</f>
        <v>0</v>
      </c>
      <c r="O1116" s="44"/>
      <c r="P1116" s="66"/>
      <c r="Q1116" s="66"/>
      <c r="R1116" s="66"/>
      <c r="S1116" s="66"/>
      <c r="T1116" s="138" t="str">
        <f>IFERROR(LOOKUP($S1116,MOTORISTAS!$D$3:$D$916,MOTORISTAS!E$3:$E$916),"")</f>
        <v/>
      </c>
      <c r="U1116" s="138" t="str">
        <f>IFERROR(LOOKUP($S1116,MOTORISTAS!$D$3:$D$916,MOTORISTAS!F$3:$F$916),"")</f>
        <v/>
      </c>
      <c r="V1116" s="66"/>
      <c r="W1116" s="66"/>
      <c r="X1116" s="66"/>
      <c r="Y1116" s="66"/>
      <c r="Z1116" s="66"/>
      <c r="AA1116" s="66"/>
      <c r="AB1116" s="66"/>
      <c r="AC1116" s="66"/>
      <c r="AD1116" s="66"/>
      <c r="AE1116" s="66"/>
      <c r="AF1116" s="44"/>
      <c r="AG1116" s="254">
        <f>Prog_23[[#This Row],[SAÍDA DO CLIENTE]]-Prog_23[[#This Row],[PROGRAMAÇÃO CLIENTE]]</f>
        <v>0</v>
      </c>
      <c r="AH1116" s="44"/>
      <c r="AI1116" s="66"/>
      <c r="AJ1116" s="66"/>
      <c r="AK1116" s="66"/>
      <c r="AL1116" s="66"/>
      <c r="AM1116" s="66"/>
      <c r="AN1116" s="83"/>
      <c r="AO1116" s="83"/>
      <c r="AP1116" s="83"/>
      <c r="AQ1116" s="66"/>
      <c r="AR1116" s="66"/>
      <c r="AS1116" s="66"/>
      <c r="AT1116" s="81"/>
      <c r="AU1116" s="81"/>
      <c r="AV1116" s="81"/>
      <c r="AW1116" s="81"/>
      <c r="AX1116" s="83">
        <f>SUM(Prog_23[[#This Row],[ADIANTAMENTO]]+Prog_23[[#This Row],[SALDO]]+Prog_23[[#This Row],[MARGEM]]+Prog_23[[#This Row],[ESTADIA 1]])</f>
        <v>0</v>
      </c>
      <c r="AY11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16" s="81"/>
      <c r="BA1116" s="81"/>
      <c r="BB1116" s="81">
        <f>Prog_23[[#This Row],[VLR NF]]*0.1%</f>
        <v>0</v>
      </c>
      <c r="BC1116" s="81">
        <f>Prog_23[[#This Row],[VLR NF]]*0.05%</f>
        <v>0</v>
      </c>
      <c r="BD1116" s="81"/>
      <c r="BE1116" s="81"/>
      <c r="BF1116" s="81"/>
      <c r="BG1116" s="81"/>
      <c r="BH1116" s="81"/>
      <c r="BI1116" s="81"/>
      <c r="BJ1116" s="81"/>
      <c r="BK1116" s="81"/>
      <c r="BL1116" s="81"/>
      <c r="BM1116" s="81"/>
      <c r="BN1116" s="66"/>
      <c r="BO1116" s="66"/>
      <c r="BP1116" s="66"/>
      <c r="BQ1116" s="66" t="str">
        <f>PROPER(TEXT(Prog_23[[#This Row],[PROGRAMAÇÃO CLIENTE]],"mmm"))</f>
        <v>Jan</v>
      </c>
      <c r="BR1116" s="66">
        <f>YEAR(Prog_23[[#This Row],[PROGRAMAÇÃO CLIENTE]])</f>
        <v>1900</v>
      </c>
    </row>
    <row r="1117" spans="1:70" x14ac:dyDescent="0.25">
      <c r="A1117" s="200">
        <f>Prog_23[[#This Row],[CONTEINER]]</f>
        <v>0</v>
      </c>
      <c r="B1117" s="86"/>
      <c r="C11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17" s="44"/>
      <c r="E1117" s="66"/>
      <c r="F1117" s="66"/>
      <c r="G1117" s="66"/>
      <c r="H1117" s="44"/>
      <c r="I1117" s="44"/>
      <c r="J1117" s="66"/>
      <c r="K1117" s="66"/>
      <c r="L1117" s="66"/>
      <c r="M1117" s="66"/>
      <c r="N1117" s="66">
        <f>SUM(Prog_23[[#This Row],[TARA]]+Prog_23[[#This Row],[PESO]])</f>
        <v>0</v>
      </c>
      <c r="O1117" s="44"/>
      <c r="P1117" s="66"/>
      <c r="Q1117" s="66"/>
      <c r="R1117" s="66"/>
      <c r="S1117" s="66"/>
      <c r="T1117" s="138" t="str">
        <f>IFERROR(LOOKUP($S1117,MOTORISTAS!$D$3:$D$916,MOTORISTAS!E$3:$E$916),"")</f>
        <v/>
      </c>
      <c r="U1117" s="138" t="str">
        <f>IFERROR(LOOKUP($S1117,MOTORISTAS!$D$3:$D$916,MOTORISTAS!F$3:$F$916),"")</f>
        <v/>
      </c>
      <c r="V1117" s="66"/>
      <c r="W1117" s="66"/>
      <c r="X1117" s="66"/>
      <c r="Y1117" s="66"/>
      <c r="Z1117" s="66"/>
      <c r="AA1117" s="66"/>
      <c r="AB1117" s="66"/>
      <c r="AC1117" s="66"/>
      <c r="AD1117" s="66"/>
      <c r="AE1117" s="66"/>
      <c r="AF1117" s="44"/>
      <c r="AG1117" s="254">
        <f>Prog_23[[#This Row],[SAÍDA DO CLIENTE]]-Prog_23[[#This Row],[PROGRAMAÇÃO CLIENTE]]</f>
        <v>0</v>
      </c>
      <c r="AH1117" s="44"/>
      <c r="AI1117" s="66"/>
      <c r="AJ1117" s="66"/>
      <c r="AK1117" s="66"/>
      <c r="AL1117" s="66"/>
      <c r="AM1117" s="66"/>
      <c r="AN1117" s="83"/>
      <c r="AO1117" s="83"/>
      <c r="AP1117" s="83"/>
      <c r="AQ1117" s="66"/>
      <c r="AR1117" s="66"/>
      <c r="AS1117" s="66"/>
      <c r="AT1117" s="81"/>
      <c r="AU1117" s="81"/>
      <c r="AV1117" s="81"/>
      <c r="AW1117" s="81"/>
      <c r="AX1117" s="83">
        <f>SUM(Prog_23[[#This Row],[ADIANTAMENTO]]+Prog_23[[#This Row],[SALDO]]+Prog_23[[#This Row],[MARGEM]]+Prog_23[[#This Row],[ESTADIA 1]])</f>
        <v>0</v>
      </c>
      <c r="AY11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17" s="81"/>
      <c r="BA1117" s="81"/>
      <c r="BB1117" s="81">
        <f>Prog_23[[#This Row],[VLR NF]]*0.1%</f>
        <v>0</v>
      </c>
      <c r="BC1117" s="81">
        <f>Prog_23[[#This Row],[VLR NF]]*0.05%</f>
        <v>0</v>
      </c>
      <c r="BD1117" s="81"/>
      <c r="BE1117" s="81"/>
      <c r="BF1117" s="81"/>
      <c r="BG1117" s="81"/>
      <c r="BH1117" s="81"/>
      <c r="BI1117" s="81"/>
      <c r="BJ1117" s="81"/>
      <c r="BK1117" s="81"/>
      <c r="BL1117" s="81"/>
      <c r="BM1117" s="81"/>
      <c r="BN1117" s="66"/>
      <c r="BO1117" s="66"/>
      <c r="BP1117" s="66"/>
      <c r="BQ1117" s="66" t="str">
        <f>PROPER(TEXT(Prog_23[[#This Row],[PROGRAMAÇÃO CLIENTE]],"mmm"))</f>
        <v>Jan</v>
      </c>
      <c r="BR1117" s="66">
        <f>YEAR(Prog_23[[#This Row],[PROGRAMAÇÃO CLIENTE]])</f>
        <v>1900</v>
      </c>
    </row>
    <row r="1118" spans="1:70" x14ac:dyDescent="0.25">
      <c r="A1118" s="201">
        <f>Prog_23[[#This Row],[CONTEINER]]</f>
        <v>0</v>
      </c>
      <c r="B1118" s="86"/>
      <c r="C11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18" s="44"/>
      <c r="E1118" s="66"/>
      <c r="F1118" s="66"/>
      <c r="G1118" s="66"/>
      <c r="H1118" s="44"/>
      <c r="I1118" s="44"/>
      <c r="J1118" s="66"/>
      <c r="K1118" s="66"/>
      <c r="L1118" s="66"/>
      <c r="M1118" s="66"/>
      <c r="N1118" s="66">
        <f>SUM(Prog_23[[#This Row],[TARA]]+Prog_23[[#This Row],[PESO]])</f>
        <v>0</v>
      </c>
      <c r="O1118" s="44"/>
      <c r="P1118" s="66"/>
      <c r="Q1118" s="66"/>
      <c r="R1118" s="66"/>
      <c r="S1118" s="66"/>
      <c r="T1118" s="138" t="str">
        <f>IFERROR(LOOKUP($S1118,MOTORISTAS!$D$3:$D$916,MOTORISTAS!E$3:$E$916),"")</f>
        <v/>
      </c>
      <c r="U1118" s="138" t="str">
        <f>IFERROR(LOOKUP($S1118,MOTORISTAS!$D$3:$D$916,MOTORISTAS!F$3:$F$916),"")</f>
        <v/>
      </c>
      <c r="V1118" s="66"/>
      <c r="W1118" s="66"/>
      <c r="X1118" s="66"/>
      <c r="Y1118" s="66"/>
      <c r="Z1118" s="66"/>
      <c r="AA1118" s="66"/>
      <c r="AB1118" s="66"/>
      <c r="AC1118" s="66"/>
      <c r="AD1118" s="66"/>
      <c r="AE1118" s="66"/>
      <c r="AF1118" s="44"/>
      <c r="AG1118" s="254">
        <f>Prog_23[[#This Row],[SAÍDA DO CLIENTE]]-Prog_23[[#This Row],[PROGRAMAÇÃO CLIENTE]]</f>
        <v>0</v>
      </c>
      <c r="AH1118" s="44"/>
      <c r="AI1118" s="66"/>
      <c r="AJ1118" s="66"/>
      <c r="AK1118" s="66"/>
      <c r="AL1118" s="66"/>
      <c r="AM1118" s="66"/>
      <c r="AN1118" s="83"/>
      <c r="AO1118" s="83"/>
      <c r="AP1118" s="83"/>
      <c r="AQ1118" s="66"/>
      <c r="AR1118" s="66"/>
      <c r="AS1118" s="66"/>
      <c r="AT1118" s="81"/>
      <c r="AU1118" s="81"/>
      <c r="AV1118" s="81"/>
      <c r="AW1118" s="81"/>
      <c r="AX1118" s="83">
        <f>SUM(Prog_23[[#This Row],[ADIANTAMENTO]]+Prog_23[[#This Row],[SALDO]]+Prog_23[[#This Row],[MARGEM]]+Prog_23[[#This Row],[ESTADIA 1]])</f>
        <v>0</v>
      </c>
      <c r="AY11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18" s="81"/>
      <c r="BA1118" s="81"/>
      <c r="BB1118" s="81">
        <f>Prog_23[[#This Row],[VLR NF]]*0.1%</f>
        <v>0</v>
      </c>
      <c r="BC1118" s="81">
        <f>Prog_23[[#This Row],[VLR NF]]*0.05%</f>
        <v>0</v>
      </c>
      <c r="BD1118" s="81"/>
      <c r="BE1118" s="81"/>
      <c r="BF1118" s="81"/>
      <c r="BG1118" s="81"/>
      <c r="BH1118" s="81"/>
      <c r="BI1118" s="81"/>
      <c r="BJ1118" s="81"/>
      <c r="BK1118" s="81"/>
      <c r="BL1118" s="81"/>
      <c r="BM1118" s="81"/>
      <c r="BN1118" s="66"/>
      <c r="BO1118" s="66"/>
      <c r="BP1118" s="66"/>
      <c r="BQ1118" s="66" t="str">
        <f>PROPER(TEXT(Prog_23[[#This Row],[PROGRAMAÇÃO CLIENTE]],"mmm"))</f>
        <v>Jan</v>
      </c>
      <c r="BR1118" s="66">
        <f>YEAR(Prog_23[[#This Row],[PROGRAMAÇÃO CLIENTE]])</f>
        <v>1900</v>
      </c>
    </row>
    <row r="1119" spans="1:70" x14ac:dyDescent="0.25">
      <c r="A1119" s="200">
        <f>Prog_23[[#This Row],[CONTEINER]]</f>
        <v>0</v>
      </c>
      <c r="B1119" s="86"/>
      <c r="C11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19" s="44"/>
      <c r="E1119" s="66"/>
      <c r="F1119" s="66"/>
      <c r="G1119" s="66"/>
      <c r="H1119" s="44"/>
      <c r="I1119" s="44"/>
      <c r="J1119" s="66"/>
      <c r="K1119" s="66"/>
      <c r="L1119" s="66"/>
      <c r="M1119" s="66"/>
      <c r="N1119" s="66">
        <f>SUM(Prog_23[[#This Row],[TARA]]+Prog_23[[#This Row],[PESO]])</f>
        <v>0</v>
      </c>
      <c r="O1119" s="44"/>
      <c r="P1119" s="66"/>
      <c r="Q1119" s="66"/>
      <c r="R1119" s="66"/>
      <c r="S1119" s="66"/>
      <c r="T1119" s="138" t="str">
        <f>IFERROR(LOOKUP($S1119,MOTORISTAS!$D$3:$D$916,MOTORISTAS!E$3:$E$916),"")</f>
        <v/>
      </c>
      <c r="U1119" s="138" t="str">
        <f>IFERROR(LOOKUP($S1119,MOTORISTAS!$D$3:$D$916,MOTORISTAS!F$3:$F$916),"")</f>
        <v/>
      </c>
      <c r="V1119" s="66"/>
      <c r="W1119" s="66"/>
      <c r="X1119" s="66"/>
      <c r="Y1119" s="66"/>
      <c r="Z1119" s="66"/>
      <c r="AA1119" s="66"/>
      <c r="AB1119" s="66"/>
      <c r="AC1119" s="66"/>
      <c r="AD1119" s="66"/>
      <c r="AE1119" s="66"/>
      <c r="AF1119" s="44"/>
      <c r="AG1119" s="254">
        <f>Prog_23[[#This Row],[SAÍDA DO CLIENTE]]-Prog_23[[#This Row],[PROGRAMAÇÃO CLIENTE]]</f>
        <v>0</v>
      </c>
      <c r="AH1119" s="44"/>
      <c r="AI1119" s="66"/>
      <c r="AJ1119" s="66"/>
      <c r="AK1119" s="66"/>
      <c r="AL1119" s="66"/>
      <c r="AM1119" s="66"/>
      <c r="AN1119" s="83"/>
      <c r="AO1119" s="83"/>
      <c r="AP1119" s="83"/>
      <c r="AQ1119" s="66"/>
      <c r="AR1119" s="66"/>
      <c r="AS1119" s="66"/>
      <c r="AT1119" s="81"/>
      <c r="AU1119" s="81"/>
      <c r="AV1119" s="81"/>
      <c r="AW1119" s="81"/>
      <c r="AX1119" s="83">
        <f>SUM(Prog_23[[#This Row],[ADIANTAMENTO]]+Prog_23[[#This Row],[SALDO]]+Prog_23[[#This Row],[MARGEM]]+Prog_23[[#This Row],[ESTADIA 1]])</f>
        <v>0</v>
      </c>
      <c r="AY11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19" s="81"/>
      <c r="BA1119" s="81"/>
      <c r="BB1119" s="81">
        <f>Prog_23[[#This Row],[VLR NF]]*0.1%</f>
        <v>0</v>
      </c>
      <c r="BC1119" s="81">
        <f>Prog_23[[#This Row],[VLR NF]]*0.05%</f>
        <v>0</v>
      </c>
      <c r="BD1119" s="81"/>
      <c r="BE1119" s="81"/>
      <c r="BF1119" s="81"/>
      <c r="BG1119" s="81"/>
      <c r="BH1119" s="81"/>
      <c r="BI1119" s="81"/>
      <c r="BJ1119" s="81"/>
      <c r="BK1119" s="81"/>
      <c r="BL1119" s="81"/>
      <c r="BM1119" s="81"/>
      <c r="BN1119" s="66"/>
      <c r="BO1119" s="66"/>
      <c r="BP1119" s="66"/>
      <c r="BQ1119" s="66" t="str">
        <f>PROPER(TEXT(Prog_23[[#This Row],[PROGRAMAÇÃO CLIENTE]],"mmm"))</f>
        <v>Jan</v>
      </c>
      <c r="BR1119" s="66">
        <f>YEAR(Prog_23[[#This Row],[PROGRAMAÇÃO CLIENTE]])</f>
        <v>1900</v>
      </c>
    </row>
    <row r="1120" spans="1:70" x14ac:dyDescent="0.25">
      <c r="A1120" s="201">
        <f>Prog_23[[#This Row],[CONTEINER]]</f>
        <v>0</v>
      </c>
      <c r="B1120" s="86"/>
      <c r="C11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0" s="44"/>
      <c r="E1120" s="66"/>
      <c r="F1120" s="66"/>
      <c r="G1120" s="66"/>
      <c r="H1120" s="44"/>
      <c r="I1120" s="44"/>
      <c r="J1120" s="66"/>
      <c r="K1120" s="66"/>
      <c r="L1120" s="66"/>
      <c r="M1120" s="66"/>
      <c r="N1120" s="66">
        <f>SUM(Prog_23[[#This Row],[TARA]]+Prog_23[[#This Row],[PESO]])</f>
        <v>0</v>
      </c>
      <c r="O1120" s="44"/>
      <c r="P1120" s="66"/>
      <c r="Q1120" s="66"/>
      <c r="R1120" s="66"/>
      <c r="S1120" s="66"/>
      <c r="T1120" s="138" t="str">
        <f>IFERROR(LOOKUP($S1120,MOTORISTAS!$D$3:$D$916,MOTORISTAS!E$3:$E$916),"")</f>
        <v/>
      </c>
      <c r="U1120" s="138" t="str">
        <f>IFERROR(LOOKUP($S1120,MOTORISTAS!$D$3:$D$916,MOTORISTAS!F$3:$F$916),"")</f>
        <v/>
      </c>
      <c r="V1120" s="66"/>
      <c r="W1120" s="66"/>
      <c r="X1120" s="66"/>
      <c r="Y1120" s="66"/>
      <c r="Z1120" s="66"/>
      <c r="AA1120" s="66"/>
      <c r="AB1120" s="66"/>
      <c r="AC1120" s="66"/>
      <c r="AD1120" s="66"/>
      <c r="AE1120" s="66"/>
      <c r="AF1120" s="44"/>
      <c r="AG1120" s="254">
        <f>Prog_23[[#This Row],[SAÍDA DO CLIENTE]]-Prog_23[[#This Row],[PROGRAMAÇÃO CLIENTE]]</f>
        <v>0</v>
      </c>
      <c r="AH1120" s="44"/>
      <c r="AI1120" s="66"/>
      <c r="AJ1120" s="66"/>
      <c r="AK1120" s="66"/>
      <c r="AL1120" s="66"/>
      <c r="AM1120" s="66"/>
      <c r="AN1120" s="83"/>
      <c r="AO1120" s="83"/>
      <c r="AP1120" s="83"/>
      <c r="AQ1120" s="66"/>
      <c r="AR1120" s="66"/>
      <c r="AS1120" s="66"/>
      <c r="AT1120" s="81"/>
      <c r="AU1120" s="81"/>
      <c r="AV1120" s="81"/>
      <c r="AW1120" s="81"/>
      <c r="AX1120" s="83">
        <f>SUM(Prog_23[[#This Row],[ADIANTAMENTO]]+Prog_23[[#This Row],[SALDO]]+Prog_23[[#This Row],[MARGEM]]+Prog_23[[#This Row],[ESTADIA 1]])</f>
        <v>0</v>
      </c>
      <c r="AY11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0" s="81"/>
      <c r="BA1120" s="81"/>
      <c r="BB1120" s="81">
        <f>Prog_23[[#This Row],[VLR NF]]*0.1%</f>
        <v>0</v>
      </c>
      <c r="BC1120" s="81">
        <f>Prog_23[[#This Row],[VLR NF]]*0.05%</f>
        <v>0</v>
      </c>
      <c r="BD1120" s="81"/>
      <c r="BE1120" s="81"/>
      <c r="BF1120" s="81"/>
      <c r="BG1120" s="81"/>
      <c r="BH1120" s="81"/>
      <c r="BI1120" s="81"/>
      <c r="BJ1120" s="81"/>
      <c r="BK1120" s="81"/>
      <c r="BL1120" s="81"/>
      <c r="BM1120" s="81"/>
      <c r="BN1120" s="66"/>
      <c r="BO1120" s="66"/>
      <c r="BP1120" s="66"/>
      <c r="BQ1120" s="66" t="str">
        <f>PROPER(TEXT(Prog_23[[#This Row],[PROGRAMAÇÃO CLIENTE]],"mmm"))</f>
        <v>Jan</v>
      </c>
      <c r="BR1120" s="66">
        <f>YEAR(Prog_23[[#This Row],[PROGRAMAÇÃO CLIENTE]])</f>
        <v>1900</v>
      </c>
    </row>
    <row r="1121" spans="1:70" x14ac:dyDescent="0.25">
      <c r="A1121" s="200">
        <f>Prog_23[[#This Row],[CONTEINER]]</f>
        <v>0</v>
      </c>
      <c r="B1121" s="86"/>
      <c r="C11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1" s="44"/>
      <c r="E1121" s="66"/>
      <c r="F1121" s="66"/>
      <c r="G1121" s="66"/>
      <c r="H1121" s="44"/>
      <c r="I1121" s="44"/>
      <c r="J1121" s="66"/>
      <c r="K1121" s="66"/>
      <c r="L1121" s="66"/>
      <c r="M1121" s="66"/>
      <c r="N1121" s="66">
        <f>SUM(Prog_23[[#This Row],[TARA]]+Prog_23[[#This Row],[PESO]])</f>
        <v>0</v>
      </c>
      <c r="O1121" s="44"/>
      <c r="P1121" s="66"/>
      <c r="Q1121" s="66"/>
      <c r="R1121" s="66"/>
      <c r="S1121" s="66"/>
      <c r="T1121" s="138" t="str">
        <f>IFERROR(LOOKUP($S1121,MOTORISTAS!$D$3:$D$916,MOTORISTAS!E$3:$E$916),"")</f>
        <v/>
      </c>
      <c r="U1121" s="138" t="str">
        <f>IFERROR(LOOKUP($S1121,MOTORISTAS!$D$3:$D$916,MOTORISTAS!F$3:$F$916),"")</f>
        <v/>
      </c>
      <c r="V1121" s="66"/>
      <c r="W1121" s="66"/>
      <c r="X1121" s="66"/>
      <c r="Y1121" s="66"/>
      <c r="Z1121" s="66"/>
      <c r="AA1121" s="66"/>
      <c r="AB1121" s="66"/>
      <c r="AC1121" s="66"/>
      <c r="AD1121" s="66"/>
      <c r="AE1121" s="66"/>
      <c r="AF1121" s="44"/>
      <c r="AG1121" s="254">
        <f>Prog_23[[#This Row],[SAÍDA DO CLIENTE]]-Prog_23[[#This Row],[PROGRAMAÇÃO CLIENTE]]</f>
        <v>0</v>
      </c>
      <c r="AH1121" s="44"/>
      <c r="AI1121" s="66"/>
      <c r="AJ1121" s="66"/>
      <c r="AK1121" s="66"/>
      <c r="AL1121" s="66"/>
      <c r="AM1121" s="66"/>
      <c r="AN1121" s="83"/>
      <c r="AO1121" s="83"/>
      <c r="AP1121" s="83"/>
      <c r="AQ1121" s="66"/>
      <c r="AR1121" s="66"/>
      <c r="AS1121" s="66"/>
      <c r="AT1121" s="81"/>
      <c r="AU1121" s="81"/>
      <c r="AV1121" s="81"/>
      <c r="AW1121" s="81"/>
      <c r="AX1121" s="83">
        <f>SUM(Prog_23[[#This Row],[ADIANTAMENTO]]+Prog_23[[#This Row],[SALDO]]+Prog_23[[#This Row],[MARGEM]]+Prog_23[[#This Row],[ESTADIA 1]])</f>
        <v>0</v>
      </c>
      <c r="AY11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1" s="81"/>
      <c r="BA1121" s="81"/>
      <c r="BB1121" s="81">
        <f>Prog_23[[#This Row],[VLR NF]]*0.1%</f>
        <v>0</v>
      </c>
      <c r="BC1121" s="81">
        <f>Prog_23[[#This Row],[VLR NF]]*0.05%</f>
        <v>0</v>
      </c>
      <c r="BD1121" s="81"/>
      <c r="BE1121" s="81"/>
      <c r="BF1121" s="81"/>
      <c r="BG1121" s="81"/>
      <c r="BH1121" s="81"/>
      <c r="BI1121" s="81"/>
      <c r="BJ1121" s="81"/>
      <c r="BK1121" s="81"/>
      <c r="BL1121" s="81"/>
      <c r="BM1121" s="81"/>
      <c r="BN1121" s="66"/>
      <c r="BO1121" s="66"/>
      <c r="BP1121" s="66"/>
      <c r="BQ1121" s="66" t="str">
        <f>PROPER(TEXT(Prog_23[[#This Row],[PROGRAMAÇÃO CLIENTE]],"mmm"))</f>
        <v>Jan</v>
      </c>
      <c r="BR1121" s="66">
        <f>YEAR(Prog_23[[#This Row],[PROGRAMAÇÃO CLIENTE]])</f>
        <v>1900</v>
      </c>
    </row>
    <row r="1122" spans="1:70" x14ac:dyDescent="0.25">
      <c r="A1122" s="201">
        <f>Prog_23[[#This Row],[CONTEINER]]</f>
        <v>0</v>
      </c>
      <c r="B1122" s="86"/>
      <c r="C11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2" s="44"/>
      <c r="E1122" s="66"/>
      <c r="F1122" s="66"/>
      <c r="G1122" s="66"/>
      <c r="H1122" s="44"/>
      <c r="I1122" s="44"/>
      <c r="J1122" s="66"/>
      <c r="K1122" s="66"/>
      <c r="L1122" s="66"/>
      <c r="M1122" s="66"/>
      <c r="N1122" s="66">
        <f>SUM(Prog_23[[#This Row],[TARA]]+Prog_23[[#This Row],[PESO]])</f>
        <v>0</v>
      </c>
      <c r="O1122" s="44"/>
      <c r="P1122" s="66"/>
      <c r="Q1122" s="66"/>
      <c r="R1122" s="66"/>
      <c r="S1122" s="66"/>
      <c r="T1122" s="138" t="str">
        <f>IFERROR(LOOKUP($S1122,MOTORISTAS!$D$3:$D$916,MOTORISTAS!E$3:$E$916),"")</f>
        <v/>
      </c>
      <c r="U1122" s="138" t="str">
        <f>IFERROR(LOOKUP($S1122,MOTORISTAS!$D$3:$D$916,MOTORISTAS!F$3:$F$916),"")</f>
        <v/>
      </c>
      <c r="V1122" s="66"/>
      <c r="W1122" s="66"/>
      <c r="X1122" s="66"/>
      <c r="Y1122" s="66"/>
      <c r="Z1122" s="66"/>
      <c r="AA1122" s="66"/>
      <c r="AB1122" s="66"/>
      <c r="AC1122" s="66"/>
      <c r="AD1122" s="66"/>
      <c r="AE1122" s="66"/>
      <c r="AF1122" s="44"/>
      <c r="AG1122" s="254">
        <f>Prog_23[[#This Row],[SAÍDA DO CLIENTE]]-Prog_23[[#This Row],[PROGRAMAÇÃO CLIENTE]]</f>
        <v>0</v>
      </c>
      <c r="AH1122" s="44"/>
      <c r="AI1122" s="66"/>
      <c r="AJ1122" s="66"/>
      <c r="AK1122" s="66"/>
      <c r="AL1122" s="66"/>
      <c r="AM1122" s="66"/>
      <c r="AN1122" s="83"/>
      <c r="AO1122" s="83"/>
      <c r="AP1122" s="83"/>
      <c r="AQ1122" s="66"/>
      <c r="AR1122" s="66"/>
      <c r="AS1122" s="66"/>
      <c r="AT1122" s="81"/>
      <c r="AU1122" s="81"/>
      <c r="AV1122" s="81"/>
      <c r="AW1122" s="81"/>
      <c r="AX1122" s="83">
        <f>SUM(Prog_23[[#This Row],[ADIANTAMENTO]]+Prog_23[[#This Row],[SALDO]]+Prog_23[[#This Row],[MARGEM]]+Prog_23[[#This Row],[ESTADIA 1]])</f>
        <v>0</v>
      </c>
      <c r="AY11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2" s="81"/>
      <c r="BA1122" s="81"/>
      <c r="BB1122" s="81">
        <f>Prog_23[[#This Row],[VLR NF]]*0.1%</f>
        <v>0</v>
      </c>
      <c r="BC1122" s="81">
        <f>Prog_23[[#This Row],[VLR NF]]*0.05%</f>
        <v>0</v>
      </c>
      <c r="BD1122" s="81"/>
      <c r="BE1122" s="81"/>
      <c r="BF1122" s="81"/>
      <c r="BG1122" s="81"/>
      <c r="BH1122" s="81"/>
      <c r="BI1122" s="81"/>
      <c r="BJ1122" s="81"/>
      <c r="BK1122" s="81"/>
      <c r="BL1122" s="81"/>
      <c r="BM1122" s="81"/>
      <c r="BN1122" s="66"/>
      <c r="BO1122" s="66"/>
      <c r="BP1122" s="66"/>
      <c r="BQ1122" s="66" t="str">
        <f>PROPER(TEXT(Prog_23[[#This Row],[PROGRAMAÇÃO CLIENTE]],"mmm"))</f>
        <v>Jan</v>
      </c>
      <c r="BR1122" s="66">
        <f>YEAR(Prog_23[[#This Row],[PROGRAMAÇÃO CLIENTE]])</f>
        <v>1900</v>
      </c>
    </row>
    <row r="1123" spans="1:70" x14ac:dyDescent="0.25">
      <c r="A1123" s="200">
        <f>Prog_23[[#This Row],[CONTEINER]]</f>
        <v>0</v>
      </c>
      <c r="B1123" s="86"/>
      <c r="C11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3" s="44"/>
      <c r="E1123" s="66"/>
      <c r="F1123" s="66"/>
      <c r="G1123" s="66"/>
      <c r="H1123" s="44"/>
      <c r="I1123" s="44"/>
      <c r="J1123" s="66"/>
      <c r="K1123" s="66"/>
      <c r="L1123" s="66"/>
      <c r="M1123" s="66"/>
      <c r="N1123" s="66">
        <f>SUM(Prog_23[[#This Row],[TARA]]+Prog_23[[#This Row],[PESO]])</f>
        <v>0</v>
      </c>
      <c r="O1123" s="44"/>
      <c r="P1123" s="66"/>
      <c r="Q1123" s="66"/>
      <c r="R1123" s="66"/>
      <c r="S1123" s="66"/>
      <c r="T1123" s="138" t="str">
        <f>IFERROR(LOOKUP($S1123,MOTORISTAS!$D$3:$D$916,MOTORISTAS!E$3:$E$916),"")</f>
        <v/>
      </c>
      <c r="U1123" s="138" t="str">
        <f>IFERROR(LOOKUP($S1123,MOTORISTAS!$D$3:$D$916,MOTORISTAS!F$3:$F$916),"")</f>
        <v/>
      </c>
      <c r="V1123" s="66"/>
      <c r="W1123" s="66"/>
      <c r="X1123" s="66"/>
      <c r="Y1123" s="66"/>
      <c r="Z1123" s="66"/>
      <c r="AA1123" s="66"/>
      <c r="AB1123" s="66"/>
      <c r="AC1123" s="66"/>
      <c r="AD1123" s="66"/>
      <c r="AE1123" s="66"/>
      <c r="AF1123" s="44"/>
      <c r="AG1123" s="254">
        <f>Prog_23[[#This Row],[SAÍDA DO CLIENTE]]-Prog_23[[#This Row],[PROGRAMAÇÃO CLIENTE]]</f>
        <v>0</v>
      </c>
      <c r="AH1123" s="44"/>
      <c r="AI1123" s="66"/>
      <c r="AJ1123" s="66"/>
      <c r="AK1123" s="66"/>
      <c r="AL1123" s="66"/>
      <c r="AM1123" s="66"/>
      <c r="AN1123" s="83"/>
      <c r="AO1123" s="83"/>
      <c r="AP1123" s="83"/>
      <c r="AQ1123" s="66"/>
      <c r="AR1123" s="66"/>
      <c r="AS1123" s="66"/>
      <c r="AT1123" s="81"/>
      <c r="AU1123" s="81"/>
      <c r="AV1123" s="81"/>
      <c r="AW1123" s="81"/>
      <c r="AX1123" s="83">
        <f>SUM(Prog_23[[#This Row],[ADIANTAMENTO]]+Prog_23[[#This Row],[SALDO]]+Prog_23[[#This Row],[MARGEM]]+Prog_23[[#This Row],[ESTADIA 1]])</f>
        <v>0</v>
      </c>
      <c r="AY11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3" s="81"/>
      <c r="BA1123" s="81"/>
      <c r="BB1123" s="81">
        <f>Prog_23[[#This Row],[VLR NF]]*0.1%</f>
        <v>0</v>
      </c>
      <c r="BC1123" s="81">
        <f>Prog_23[[#This Row],[VLR NF]]*0.05%</f>
        <v>0</v>
      </c>
      <c r="BD1123" s="81"/>
      <c r="BE1123" s="81"/>
      <c r="BF1123" s="81"/>
      <c r="BG1123" s="81"/>
      <c r="BH1123" s="81"/>
      <c r="BI1123" s="81"/>
      <c r="BJ1123" s="81"/>
      <c r="BK1123" s="81"/>
      <c r="BL1123" s="81"/>
      <c r="BM1123" s="81"/>
      <c r="BN1123" s="66"/>
      <c r="BO1123" s="66"/>
      <c r="BP1123" s="66"/>
      <c r="BQ1123" s="66" t="str">
        <f>PROPER(TEXT(Prog_23[[#This Row],[PROGRAMAÇÃO CLIENTE]],"mmm"))</f>
        <v>Jan</v>
      </c>
      <c r="BR1123" s="66">
        <f>YEAR(Prog_23[[#This Row],[PROGRAMAÇÃO CLIENTE]])</f>
        <v>1900</v>
      </c>
    </row>
    <row r="1124" spans="1:70" x14ac:dyDescent="0.25">
      <c r="A1124" s="201">
        <f>Prog_23[[#This Row],[CONTEINER]]</f>
        <v>0</v>
      </c>
      <c r="B1124" s="86"/>
      <c r="C11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4" s="44"/>
      <c r="E1124" s="66"/>
      <c r="F1124" s="66"/>
      <c r="G1124" s="66"/>
      <c r="H1124" s="44"/>
      <c r="I1124" s="44"/>
      <c r="J1124" s="66"/>
      <c r="K1124" s="66"/>
      <c r="L1124" s="66"/>
      <c r="M1124" s="66"/>
      <c r="N1124" s="66">
        <f>SUM(Prog_23[[#This Row],[TARA]]+Prog_23[[#This Row],[PESO]])</f>
        <v>0</v>
      </c>
      <c r="O1124" s="44"/>
      <c r="P1124" s="66"/>
      <c r="Q1124" s="66"/>
      <c r="R1124" s="66"/>
      <c r="S1124" s="66"/>
      <c r="T1124" s="138" t="str">
        <f>IFERROR(LOOKUP($S1124,MOTORISTAS!$D$3:$D$916,MOTORISTAS!E$3:$E$916),"")</f>
        <v/>
      </c>
      <c r="U1124" s="138" t="str">
        <f>IFERROR(LOOKUP($S1124,MOTORISTAS!$D$3:$D$916,MOTORISTAS!F$3:$F$916),"")</f>
        <v/>
      </c>
      <c r="V1124" s="66"/>
      <c r="W1124" s="66"/>
      <c r="X1124" s="66"/>
      <c r="Y1124" s="66"/>
      <c r="Z1124" s="66"/>
      <c r="AA1124" s="66"/>
      <c r="AB1124" s="66"/>
      <c r="AC1124" s="66"/>
      <c r="AD1124" s="66"/>
      <c r="AE1124" s="66"/>
      <c r="AF1124" s="44"/>
      <c r="AG1124" s="254">
        <f>Prog_23[[#This Row],[SAÍDA DO CLIENTE]]-Prog_23[[#This Row],[PROGRAMAÇÃO CLIENTE]]</f>
        <v>0</v>
      </c>
      <c r="AH1124" s="44"/>
      <c r="AI1124" s="66"/>
      <c r="AJ1124" s="66"/>
      <c r="AK1124" s="66"/>
      <c r="AL1124" s="66"/>
      <c r="AM1124" s="66"/>
      <c r="AN1124" s="83"/>
      <c r="AO1124" s="83"/>
      <c r="AP1124" s="83"/>
      <c r="AQ1124" s="66"/>
      <c r="AR1124" s="66"/>
      <c r="AS1124" s="66"/>
      <c r="AT1124" s="81"/>
      <c r="AU1124" s="81"/>
      <c r="AV1124" s="81"/>
      <c r="AW1124" s="81"/>
      <c r="AX1124" s="83">
        <f>SUM(Prog_23[[#This Row],[ADIANTAMENTO]]+Prog_23[[#This Row],[SALDO]]+Prog_23[[#This Row],[MARGEM]]+Prog_23[[#This Row],[ESTADIA 1]])</f>
        <v>0</v>
      </c>
      <c r="AY11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4" s="81"/>
      <c r="BA1124" s="81"/>
      <c r="BB1124" s="81">
        <f>Prog_23[[#This Row],[VLR NF]]*0.1%</f>
        <v>0</v>
      </c>
      <c r="BC1124" s="81">
        <f>Prog_23[[#This Row],[VLR NF]]*0.05%</f>
        <v>0</v>
      </c>
      <c r="BD1124" s="81"/>
      <c r="BE1124" s="81"/>
      <c r="BF1124" s="81"/>
      <c r="BG1124" s="81"/>
      <c r="BH1124" s="81"/>
      <c r="BI1124" s="81"/>
      <c r="BJ1124" s="81"/>
      <c r="BK1124" s="81"/>
      <c r="BL1124" s="81"/>
      <c r="BM1124" s="81"/>
      <c r="BN1124" s="66"/>
      <c r="BO1124" s="66"/>
      <c r="BP1124" s="66"/>
      <c r="BQ1124" s="66" t="str">
        <f>PROPER(TEXT(Prog_23[[#This Row],[PROGRAMAÇÃO CLIENTE]],"mmm"))</f>
        <v>Jan</v>
      </c>
      <c r="BR1124" s="66">
        <f>YEAR(Prog_23[[#This Row],[PROGRAMAÇÃO CLIENTE]])</f>
        <v>1900</v>
      </c>
    </row>
    <row r="1125" spans="1:70" x14ac:dyDescent="0.25">
      <c r="A1125" s="200">
        <f>Prog_23[[#This Row],[CONTEINER]]</f>
        <v>0</v>
      </c>
      <c r="B1125" s="86"/>
      <c r="C11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5" s="44"/>
      <c r="E1125" s="66"/>
      <c r="F1125" s="66"/>
      <c r="G1125" s="66"/>
      <c r="H1125" s="44"/>
      <c r="I1125" s="44"/>
      <c r="J1125" s="66"/>
      <c r="K1125" s="66"/>
      <c r="L1125" s="66"/>
      <c r="M1125" s="66"/>
      <c r="N1125" s="66">
        <f>SUM(Prog_23[[#This Row],[TARA]]+Prog_23[[#This Row],[PESO]])</f>
        <v>0</v>
      </c>
      <c r="O1125" s="44"/>
      <c r="P1125" s="66"/>
      <c r="Q1125" s="66"/>
      <c r="R1125" s="66"/>
      <c r="S1125" s="66"/>
      <c r="T1125" s="138" t="str">
        <f>IFERROR(LOOKUP($S1125,MOTORISTAS!$D$3:$D$916,MOTORISTAS!E$3:$E$916),"")</f>
        <v/>
      </c>
      <c r="U1125" s="138" t="str">
        <f>IFERROR(LOOKUP($S1125,MOTORISTAS!$D$3:$D$916,MOTORISTAS!F$3:$F$916),"")</f>
        <v/>
      </c>
      <c r="V1125" s="66"/>
      <c r="W1125" s="66"/>
      <c r="X1125" s="66"/>
      <c r="Y1125" s="66"/>
      <c r="Z1125" s="66"/>
      <c r="AA1125" s="66"/>
      <c r="AB1125" s="66"/>
      <c r="AC1125" s="66"/>
      <c r="AD1125" s="66"/>
      <c r="AE1125" s="66"/>
      <c r="AF1125" s="44"/>
      <c r="AG1125" s="254">
        <f>Prog_23[[#This Row],[SAÍDA DO CLIENTE]]-Prog_23[[#This Row],[PROGRAMAÇÃO CLIENTE]]</f>
        <v>0</v>
      </c>
      <c r="AH1125" s="44"/>
      <c r="AI1125" s="66"/>
      <c r="AJ1125" s="66"/>
      <c r="AK1125" s="66"/>
      <c r="AL1125" s="66"/>
      <c r="AM1125" s="66"/>
      <c r="AN1125" s="83"/>
      <c r="AO1125" s="83"/>
      <c r="AP1125" s="83"/>
      <c r="AQ1125" s="66"/>
      <c r="AR1125" s="66"/>
      <c r="AS1125" s="66"/>
      <c r="AT1125" s="81"/>
      <c r="AU1125" s="81"/>
      <c r="AV1125" s="81"/>
      <c r="AW1125" s="81"/>
      <c r="AX1125" s="83">
        <f>SUM(Prog_23[[#This Row],[ADIANTAMENTO]]+Prog_23[[#This Row],[SALDO]]+Prog_23[[#This Row],[MARGEM]]+Prog_23[[#This Row],[ESTADIA 1]])</f>
        <v>0</v>
      </c>
      <c r="AY11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5" s="81"/>
      <c r="BA1125" s="81"/>
      <c r="BB1125" s="81">
        <f>Prog_23[[#This Row],[VLR NF]]*0.1%</f>
        <v>0</v>
      </c>
      <c r="BC1125" s="81">
        <f>Prog_23[[#This Row],[VLR NF]]*0.05%</f>
        <v>0</v>
      </c>
      <c r="BD1125" s="81"/>
      <c r="BE1125" s="81"/>
      <c r="BF1125" s="81"/>
      <c r="BG1125" s="81"/>
      <c r="BH1125" s="81"/>
      <c r="BI1125" s="81"/>
      <c r="BJ1125" s="81"/>
      <c r="BK1125" s="81"/>
      <c r="BL1125" s="81"/>
      <c r="BM1125" s="81"/>
      <c r="BN1125" s="66"/>
      <c r="BO1125" s="66"/>
      <c r="BP1125" s="66"/>
      <c r="BQ1125" s="66" t="str">
        <f>PROPER(TEXT(Prog_23[[#This Row],[PROGRAMAÇÃO CLIENTE]],"mmm"))</f>
        <v>Jan</v>
      </c>
      <c r="BR1125" s="66">
        <f>YEAR(Prog_23[[#This Row],[PROGRAMAÇÃO CLIENTE]])</f>
        <v>1900</v>
      </c>
    </row>
    <row r="1126" spans="1:70" x14ac:dyDescent="0.25">
      <c r="A1126" s="201">
        <f>Prog_23[[#This Row],[CONTEINER]]</f>
        <v>0</v>
      </c>
      <c r="B1126" s="86"/>
      <c r="C11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6" s="44"/>
      <c r="E1126" s="66"/>
      <c r="F1126" s="66"/>
      <c r="G1126" s="66"/>
      <c r="H1126" s="44"/>
      <c r="I1126" s="44"/>
      <c r="J1126" s="66"/>
      <c r="K1126" s="66"/>
      <c r="L1126" s="66"/>
      <c r="M1126" s="66"/>
      <c r="N1126" s="66">
        <f>SUM(Prog_23[[#This Row],[TARA]]+Prog_23[[#This Row],[PESO]])</f>
        <v>0</v>
      </c>
      <c r="O1126" s="44"/>
      <c r="P1126" s="66"/>
      <c r="Q1126" s="66"/>
      <c r="R1126" s="66"/>
      <c r="S1126" s="66"/>
      <c r="T1126" s="138" t="str">
        <f>IFERROR(LOOKUP($S1126,MOTORISTAS!$D$3:$D$916,MOTORISTAS!E$3:$E$916),"")</f>
        <v/>
      </c>
      <c r="U1126" s="138" t="str">
        <f>IFERROR(LOOKUP($S1126,MOTORISTAS!$D$3:$D$916,MOTORISTAS!F$3:$F$916),"")</f>
        <v/>
      </c>
      <c r="V1126" s="66"/>
      <c r="W1126" s="66"/>
      <c r="X1126" s="66"/>
      <c r="Y1126" s="66"/>
      <c r="Z1126" s="66"/>
      <c r="AA1126" s="66"/>
      <c r="AB1126" s="66"/>
      <c r="AC1126" s="66"/>
      <c r="AD1126" s="66"/>
      <c r="AE1126" s="66"/>
      <c r="AF1126" s="44"/>
      <c r="AG1126" s="254">
        <f>Prog_23[[#This Row],[SAÍDA DO CLIENTE]]-Prog_23[[#This Row],[PROGRAMAÇÃO CLIENTE]]</f>
        <v>0</v>
      </c>
      <c r="AH1126" s="44"/>
      <c r="AI1126" s="66"/>
      <c r="AJ1126" s="66"/>
      <c r="AK1126" s="66"/>
      <c r="AL1126" s="66"/>
      <c r="AM1126" s="66"/>
      <c r="AN1126" s="83"/>
      <c r="AO1126" s="83"/>
      <c r="AP1126" s="83"/>
      <c r="AQ1126" s="66"/>
      <c r="AR1126" s="66"/>
      <c r="AS1126" s="66"/>
      <c r="AT1126" s="81"/>
      <c r="AU1126" s="81"/>
      <c r="AV1126" s="81"/>
      <c r="AW1126" s="81"/>
      <c r="AX1126" s="83">
        <f>SUM(Prog_23[[#This Row],[ADIANTAMENTO]]+Prog_23[[#This Row],[SALDO]]+Prog_23[[#This Row],[MARGEM]]+Prog_23[[#This Row],[ESTADIA 1]])</f>
        <v>0</v>
      </c>
      <c r="AY11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6" s="81"/>
      <c r="BA1126" s="81"/>
      <c r="BB1126" s="81">
        <f>Prog_23[[#This Row],[VLR NF]]*0.1%</f>
        <v>0</v>
      </c>
      <c r="BC1126" s="81">
        <f>Prog_23[[#This Row],[VLR NF]]*0.05%</f>
        <v>0</v>
      </c>
      <c r="BD1126" s="81"/>
      <c r="BE1126" s="81"/>
      <c r="BF1126" s="81"/>
      <c r="BG1126" s="81"/>
      <c r="BH1126" s="81"/>
      <c r="BI1126" s="81"/>
      <c r="BJ1126" s="81"/>
      <c r="BK1126" s="81"/>
      <c r="BL1126" s="81"/>
      <c r="BM1126" s="81"/>
      <c r="BN1126" s="66"/>
      <c r="BO1126" s="66"/>
      <c r="BP1126" s="66"/>
      <c r="BQ1126" s="66" t="str">
        <f>PROPER(TEXT(Prog_23[[#This Row],[PROGRAMAÇÃO CLIENTE]],"mmm"))</f>
        <v>Jan</v>
      </c>
      <c r="BR1126" s="66">
        <f>YEAR(Prog_23[[#This Row],[PROGRAMAÇÃO CLIENTE]])</f>
        <v>1900</v>
      </c>
    </row>
    <row r="1127" spans="1:70" x14ac:dyDescent="0.25">
      <c r="A1127" s="200">
        <f>Prog_23[[#This Row],[CONTEINER]]</f>
        <v>0</v>
      </c>
      <c r="B1127" s="86"/>
      <c r="C11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7" s="44"/>
      <c r="E1127" s="66"/>
      <c r="F1127" s="66"/>
      <c r="G1127" s="66"/>
      <c r="H1127" s="44"/>
      <c r="I1127" s="44"/>
      <c r="J1127" s="66"/>
      <c r="K1127" s="66"/>
      <c r="L1127" s="66"/>
      <c r="M1127" s="66"/>
      <c r="N1127" s="66">
        <f>SUM(Prog_23[[#This Row],[TARA]]+Prog_23[[#This Row],[PESO]])</f>
        <v>0</v>
      </c>
      <c r="O1127" s="44"/>
      <c r="P1127" s="66"/>
      <c r="Q1127" s="66"/>
      <c r="R1127" s="66"/>
      <c r="S1127" s="66"/>
      <c r="T1127" s="138" t="str">
        <f>IFERROR(LOOKUP($S1127,MOTORISTAS!$D$3:$D$916,MOTORISTAS!E$3:$E$916),"")</f>
        <v/>
      </c>
      <c r="U1127" s="138" t="str">
        <f>IFERROR(LOOKUP($S1127,MOTORISTAS!$D$3:$D$916,MOTORISTAS!F$3:$F$916),"")</f>
        <v/>
      </c>
      <c r="V1127" s="66"/>
      <c r="W1127" s="66"/>
      <c r="X1127" s="66"/>
      <c r="Y1127" s="66"/>
      <c r="Z1127" s="66"/>
      <c r="AA1127" s="66"/>
      <c r="AB1127" s="66"/>
      <c r="AC1127" s="66"/>
      <c r="AD1127" s="66"/>
      <c r="AE1127" s="66"/>
      <c r="AF1127" s="44"/>
      <c r="AG1127" s="254">
        <f>Prog_23[[#This Row],[SAÍDA DO CLIENTE]]-Prog_23[[#This Row],[PROGRAMAÇÃO CLIENTE]]</f>
        <v>0</v>
      </c>
      <c r="AH1127" s="44"/>
      <c r="AI1127" s="66"/>
      <c r="AJ1127" s="66"/>
      <c r="AK1127" s="66"/>
      <c r="AL1127" s="66"/>
      <c r="AM1127" s="66"/>
      <c r="AN1127" s="83"/>
      <c r="AO1127" s="83"/>
      <c r="AP1127" s="83"/>
      <c r="AQ1127" s="66"/>
      <c r="AR1127" s="66"/>
      <c r="AS1127" s="66"/>
      <c r="AT1127" s="81"/>
      <c r="AU1127" s="81"/>
      <c r="AV1127" s="81"/>
      <c r="AW1127" s="81"/>
      <c r="AX1127" s="83">
        <f>SUM(Prog_23[[#This Row],[ADIANTAMENTO]]+Prog_23[[#This Row],[SALDO]]+Prog_23[[#This Row],[MARGEM]]+Prog_23[[#This Row],[ESTADIA 1]])</f>
        <v>0</v>
      </c>
      <c r="AY11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7" s="81"/>
      <c r="BA1127" s="81"/>
      <c r="BB1127" s="81">
        <f>Prog_23[[#This Row],[VLR NF]]*0.1%</f>
        <v>0</v>
      </c>
      <c r="BC1127" s="81">
        <f>Prog_23[[#This Row],[VLR NF]]*0.05%</f>
        <v>0</v>
      </c>
      <c r="BD1127" s="81"/>
      <c r="BE1127" s="81"/>
      <c r="BF1127" s="81"/>
      <c r="BG1127" s="81"/>
      <c r="BH1127" s="81"/>
      <c r="BI1127" s="81"/>
      <c r="BJ1127" s="81"/>
      <c r="BK1127" s="81"/>
      <c r="BL1127" s="81"/>
      <c r="BM1127" s="81"/>
      <c r="BN1127" s="66"/>
      <c r="BO1127" s="66"/>
      <c r="BP1127" s="66"/>
      <c r="BQ1127" s="66" t="str">
        <f>PROPER(TEXT(Prog_23[[#This Row],[PROGRAMAÇÃO CLIENTE]],"mmm"))</f>
        <v>Jan</v>
      </c>
      <c r="BR1127" s="66">
        <f>YEAR(Prog_23[[#This Row],[PROGRAMAÇÃO CLIENTE]])</f>
        <v>1900</v>
      </c>
    </row>
    <row r="1128" spans="1:70" x14ac:dyDescent="0.25">
      <c r="A1128" s="201">
        <f>Prog_23[[#This Row],[CONTEINER]]</f>
        <v>0</v>
      </c>
      <c r="B1128" s="86"/>
      <c r="C11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8" s="44"/>
      <c r="E1128" s="66"/>
      <c r="F1128" s="66"/>
      <c r="G1128" s="66"/>
      <c r="H1128" s="44"/>
      <c r="I1128" s="44"/>
      <c r="J1128" s="66"/>
      <c r="K1128" s="66"/>
      <c r="L1128" s="66"/>
      <c r="M1128" s="66"/>
      <c r="N1128" s="66">
        <f>SUM(Prog_23[[#This Row],[TARA]]+Prog_23[[#This Row],[PESO]])</f>
        <v>0</v>
      </c>
      <c r="O1128" s="44"/>
      <c r="P1128" s="66"/>
      <c r="Q1128" s="66"/>
      <c r="R1128" s="66"/>
      <c r="S1128" s="66"/>
      <c r="T1128" s="138" t="str">
        <f>IFERROR(LOOKUP($S1128,MOTORISTAS!$D$3:$D$916,MOTORISTAS!E$3:$E$916),"")</f>
        <v/>
      </c>
      <c r="U1128" s="138" t="str">
        <f>IFERROR(LOOKUP($S1128,MOTORISTAS!$D$3:$D$916,MOTORISTAS!F$3:$F$916),"")</f>
        <v/>
      </c>
      <c r="V1128" s="66"/>
      <c r="W1128" s="66"/>
      <c r="X1128" s="66"/>
      <c r="Y1128" s="66"/>
      <c r="Z1128" s="66"/>
      <c r="AA1128" s="66"/>
      <c r="AB1128" s="66"/>
      <c r="AC1128" s="66"/>
      <c r="AD1128" s="66"/>
      <c r="AE1128" s="66"/>
      <c r="AF1128" s="44"/>
      <c r="AG1128" s="254">
        <f>Prog_23[[#This Row],[SAÍDA DO CLIENTE]]-Prog_23[[#This Row],[PROGRAMAÇÃO CLIENTE]]</f>
        <v>0</v>
      </c>
      <c r="AH1128" s="44"/>
      <c r="AI1128" s="66"/>
      <c r="AJ1128" s="66"/>
      <c r="AK1128" s="66"/>
      <c r="AL1128" s="66"/>
      <c r="AM1128" s="66"/>
      <c r="AN1128" s="83"/>
      <c r="AO1128" s="83"/>
      <c r="AP1128" s="83"/>
      <c r="AQ1128" s="66"/>
      <c r="AR1128" s="66"/>
      <c r="AS1128" s="66"/>
      <c r="AT1128" s="81"/>
      <c r="AU1128" s="81"/>
      <c r="AV1128" s="81"/>
      <c r="AW1128" s="81"/>
      <c r="AX1128" s="83">
        <f>SUM(Prog_23[[#This Row],[ADIANTAMENTO]]+Prog_23[[#This Row],[SALDO]]+Prog_23[[#This Row],[MARGEM]]+Prog_23[[#This Row],[ESTADIA 1]])</f>
        <v>0</v>
      </c>
      <c r="AY11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8" s="81"/>
      <c r="BA1128" s="81"/>
      <c r="BB1128" s="81">
        <f>Prog_23[[#This Row],[VLR NF]]*0.1%</f>
        <v>0</v>
      </c>
      <c r="BC1128" s="81">
        <f>Prog_23[[#This Row],[VLR NF]]*0.05%</f>
        <v>0</v>
      </c>
      <c r="BD1128" s="81"/>
      <c r="BE1128" s="81"/>
      <c r="BF1128" s="81"/>
      <c r="BG1128" s="81"/>
      <c r="BH1128" s="81"/>
      <c r="BI1128" s="81"/>
      <c r="BJ1128" s="81"/>
      <c r="BK1128" s="81"/>
      <c r="BL1128" s="81"/>
      <c r="BM1128" s="81"/>
      <c r="BN1128" s="66"/>
      <c r="BO1128" s="66"/>
      <c r="BP1128" s="66"/>
      <c r="BQ1128" s="66" t="str">
        <f>PROPER(TEXT(Prog_23[[#This Row],[PROGRAMAÇÃO CLIENTE]],"mmm"))</f>
        <v>Jan</v>
      </c>
      <c r="BR1128" s="66">
        <f>YEAR(Prog_23[[#This Row],[PROGRAMAÇÃO CLIENTE]])</f>
        <v>1900</v>
      </c>
    </row>
    <row r="1129" spans="1:70" x14ac:dyDescent="0.25">
      <c r="A1129" s="200">
        <f>Prog_23[[#This Row],[CONTEINER]]</f>
        <v>0</v>
      </c>
      <c r="B1129" s="86"/>
      <c r="C11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29" s="44"/>
      <c r="E1129" s="66"/>
      <c r="F1129" s="66"/>
      <c r="G1129" s="66"/>
      <c r="H1129" s="44"/>
      <c r="I1129" s="44"/>
      <c r="J1129" s="66"/>
      <c r="K1129" s="66"/>
      <c r="L1129" s="66"/>
      <c r="M1129" s="66"/>
      <c r="N1129" s="66">
        <f>SUM(Prog_23[[#This Row],[TARA]]+Prog_23[[#This Row],[PESO]])</f>
        <v>0</v>
      </c>
      <c r="O1129" s="44"/>
      <c r="P1129" s="66"/>
      <c r="Q1129" s="66"/>
      <c r="R1129" s="66"/>
      <c r="S1129" s="66"/>
      <c r="T1129" s="138" t="str">
        <f>IFERROR(LOOKUP($S1129,MOTORISTAS!$D$3:$D$916,MOTORISTAS!E$3:$E$916),"")</f>
        <v/>
      </c>
      <c r="U1129" s="138" t="str">
        <f>IFERROR(LOOKUP($S1129,MOTORISTAS!$D$3:$D$916,MOTORISTAS!F$3:$F$916),"")</f>
        <v/>
      </c>
      <c r="V1129" s="66"/>
      <c r="W1129" s="66"/>
      <c r="X1129" s="66"/>
      <c r="Y1129" s="66"/>
      <c r="Z1129" s="66"/>
      <c r="AA1129" s="66"/>
      <c r="AB1129" s="66"/>
      <c r="AC1129" s="66"/>
      <c r="AD1129" s="66"/>
      <c r="AE1129" s="66"/>
      <c r="AF1129" s="44"/>
      <c r="AG1129" s="254">
        <f>Prog_23[[#This Row],[SAÍDA DO CLIENTE]]-Prog_23[[#This Row],[PROGRAMAÇÃO CLIENTE]]</f>
        <v>0</v>
      </c>
      <c r="AH1129" s="44"/>
      <c r="AI1129" s="66"/>
      <c r="AJ1129" s="66"/>
      <c r="AK1129" s="66"/>
      <c r="AL1129" s="66"/>
      <c r="AM1129" s="66"/>
      <c r="AN1129" s="83"/>
      <c r="AO1129" s="83"/>
      <c r="AP1129" s="83"/>
      <c r="AQ1129" s="66"/>
      <c r="AR1129" s="66"/>
      <c r="AS1129" s="66"/>
      <c r="AT1129" s="81"/>
      <c r="AU1129" s="81"/>
      <c r="AV1129" s="81"/>
      <c r="AW1129" s="81"/>
      <c r="AX1129" s="83">
        <f>SUM(Prog_23[[#This Row],[ADIANTAMENTO]]+Prog_23[[#This Row],[SALDO]]+Prog_23[[#This Row],[MARGEM]]+Prog_23[[#This Row],[ESTADIA 1]])</f>
        <v>0</v>
      </c>
      <c r="AY11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29" s="81"/>
      <c r="BA1129" s="81"/>
      <c r="BB1129" s="81">
        <f>Prog_23[[#This Row],[VLR NF]]*0.1%</f>
        <v>0</v>
      </c>
      <c r="BC1129" s="81">
        <f>Prog_23[[#This Row],[VLR NF]]*0.05%</f>
        <v>0</v>
      </c>
      <c r="BD1129" s="81"/>
      <c r="BE1129" s="81"/>
      <c r="BF1129" s="81"/>
      <c r="BG1129" s="81"/>
      <c r="BH1129" s="81"/>
      <c r="BI1129" s="81"/>
      <c r="BJ1129" s="81"/>
      <c r="BK1129" s="81"/>
      <c r="BL1129" s="81"/>
      <c r="BM1129" s="81"/>
      <c r="BN1129" s="66"/>
      <c r="BO1129" s="66"/>
      <c r="BP1129" s="66"/>
      <c r="BQ1129" s="66" t="str">
        <f>PROPER(TEXT(Prog_23[[#This Row],[PROGRAMAÇÃO CLIENTE]],"mmm"))</f>
        <v>Jan</v>
      </c>
      <c r="BR1129" s="66">
        <f>YEAR(Prog_23[[#This Row],[PROGRAMAÇÃO CLIENTE]])</f>
        <v>1900</v>
      </c>
    </row>
    <row r="1130" spans="1:70" x14ac:dyDescent="0.25">
      <c r="A1130" s="201">
        <f>Prog_23[[#This Row],[CONTEINER]]</f>
        <v>0</v>
      </c>
      <c r="B1130" s="86"/>
      <c r="C11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30" s="44"/>
      <c r="E1130" s="66"/>
      <c r="F1130" s="66"/>
      <c r="G1130" s="66"/>
      <c r="H1130" s="44"/>
      <c r="I1130" s="44"/>
      <c r="J1130" s="66"/>
      <c r="K1130" s="66"/>
      <c r="L1130" s="66"/>
      <c r="M1130" s="66"/>
      <c r="N1130" s="66">
        <f>SUM(Prog_23[[#This Row],[TARA]]+Prog_23[[#This Row],[PESO]])</f>
        <v>0</v>
      </c>
      <c r="O1130" s="44"/>
      <c r="P1130" s="66"/>
      <c r="Q1130" s="66"/>
      <c r="R1130" s="66"/>
      <c r="S1130" s="66"/>
      <c r="T1130" s="138" t="str">
        <f>IFERROR(LOOKUP($S1130,MOTORISTAS!$D$3:$D$916,MOTORISTAS!E$3:$E$916),"")</f>
        <v/>
      </c>
      <c r="U1130" s="138" t="str">
        <f>IFERROR(LOOKUP($S1130,MOTORISTAS!$D$3:$D$916,MOTORISTAS!F$3:$F$916),"")</f>
        <v/>
      </c>
      <c r="V1130" s="66"/>
      <c r="W1130" s="66"/>
      <c r="X1130" s="66"/>
      <c r="Y1130" s="66"/>
      <c r="Z1130" s="66"/>
      <c r="AA1130" s="66"/>
      <c r="AB1130" s="66"/>
      <c r="AC1130" s="66"/>
      <c r="AD1130" s="66"/>
      <c r="AE1130" s="66"/>
      <c r="AF1130" s="44"/>
      <c r="AG1130" s="254">
        <f>Prog_23[[#This Row],[SAÍDA DO CLIENTE]]-Prog_23[[#This Row],[PROGRAMAÇÃO CLIENTE]]</f>
        <v>0</v>
      </c>
      <c r="AH1130" s="44"/>
      <c r="AI1130" s="66"/>
      <c r="AJ1130" s="66"/>
      <c r="AK1130" s="66"/>
      <c r="AL1130" s="66"/>
      <c r="AM1130" s="66"/>
      <c r="AN1130" s="83"/>
      <c r="AO1130" s="83"/>
      <c r="AP1130" s="83"/>
      <c r="AQ1130" s="66"/>
      <c r="AR1130" s="66"/>
      <c r="AS1130" s="66"/>
      <c r="AT1130" s="81"/>
      <c r="AU1130" s="81"/>
      <c r="AV1130" s="81"/>
      <c r="AW1130" s="81"/>
      <c r="AX1130" s="83">
        <f>SUM(Prog_23[[#This Row],[ADIANTAMENTO]]+Prog_23[[#This Row],[SALDO]]+Prog_23[[#This Row],[MARGEM]]+Prog_23[[#This Row],[ESTADIA 1]])</f>
        <v>0</v>
      </c>
      <c r="AY11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30" s="81"/>
      <c r="BA1130" s="81"/>
      <c r="BB1130" s="81">
        <f>Prog_23[[#This Row],[VLR NF]]*0.1%</f>
        <v>0</v>
      </c>
      <c r="BC1130" s="81">
        <f>Prog_23[[#This Row],[VLR NF]]*0.05%</f>
        <v>0</v>
      </c>
      <c r="BD1130" s="81"/>
      <c r="BE1130" s="81"/>
      <c r="BF1130" s="81"/>
      <c r="BG1130" s="81"/>
      <c r="BH1130" s="81"/>
      <c r="BI1130" s="81"/>
      <c r="BJ1130" s="81"/>
      <c r="BK1130" s="81"/>
      <c r="BL1130" s="81"/>
      <c r="BM1130" s="81"/>
      <c r="BN1130" s="66"/>
      <c r="BO1130" s="66"/>
      <c r="BP1130" s="66"/>
      <c r="BQ1130" s="66" t="str">
        <f>PROPER(TEXT(Prog_23[[#This Row],[PROGRAMAÇÃO CLIENTE]],"mmm"))</f>
        <v>Jan</v>
      </c>
      <c r="BR1130" s="66">
        <f>YEAR(Prog_23[[#This Row],[PROGRAMAÇÃO CLIENTE]])</f>
        <v>1900</v>
      </c>
    </row>
    <row r="1131" spans="1:70" x14ac:dyDescent="0.25">
      <c r="A1131" s="200">
        <f>Prog_23[[#This Row],[CONTEINER]]</f>
        <v>0</v>
      </c>
      <c r="B1131" s="86"/>
      <c r="C11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31" s="44"/>
      <c r="E1131" s="66"/>
      <c r="F1131" s="66"/>
      <c r="G1131" s="66"/>
      <c r="H1131" s="44"/>
      <c r="I1131" s="44"/>
      <c r="J1131" s="66"/>
      <c r="K1131" s="66"/>
      <c r="L1131" s="66"/>
      <c r="M1131" s="66"/>
      <c r="N1131" s="66">
        <f>SUM(Prog_23[[#This Row],[TARA]]+Prog_23[[#This Row],[PESO]])</f>
        <v>0</v>
      </c>
      <c r="O1131" s="44"/>
      <c r="P1131" s="66"/>
      <c r="Q1131" s="66"/>
      <c r="R1131" s="66"/>
      <c r="S1131" s="66"/>
      <c r="T1131" s="138" t="str">
        <f>IFERROR(LOOKUP($S1131,MOTORISTAS!$D$3:$D$916,MOTORISTAS!E$3:$E$916),"")</f>
        <v/>
      </c>
      <c r="U1131" s="138" t="str">
        <f>IFERROR(LOOKUP($S1131,MOTORISTAS!$D$3:$D$916,MOTORISTAS!F$3:$F$916),"")</f>
        <v/>
      </c>
      <c r="V1131" s="66"/>
      <c r="W1131" s="66"/>
      <c r="X1131" s="66"/>
      <c r="Y1131" s="66"/>
      <c r="Z1131" s="66"/>
      <c r="AA1131" s="66"/>
      <c r="AB1131" s="66"/>
      <c r="AC1131" s="66"/>
      <c r="AD1131" s="66"/>
      <c r="AE1131" s="66"/>
      <c r="AF1131" s="44"/>
      <c r="AG1131" s="254">
        <f>Prog_23[[#This Row],[SAÍDA DO CLIENTE]]-Prog_23[[#This Row],[PROGRAMAÇÃO CLIENTE]]</f>
        <v>0</v>
      </c>
      <c r="AH1131" s="44"/>
      <c r="AI1131" s="66"/>
      <c r="AJ1131" s="66"/>
      <c r="AK1131" s="66"/>
      <c r="AL1131" s="66"/>
      <c r="AM1131" s="66"/>
      <c r="AN1131" s="83"/>
      <c r="AO1131" s="83"/>
      <c r="AP1131" s="83"/>
      <c r="AQ1131" s="66"/>
      <c r="AR1131" s="66"/>
      <c r="AS1131" s="66"/>
      <c r="AT1131" s="81"/>
      <c r="AU1131" s="81"/>
      <c r="AV1131" s="81"/>
      <c r="AW1131" s="81"/>
      <c r="AX1131" s="83">
        <f>SUM(Prog_23[[#This Row],[ADIANTAMENTO]]+Prog_23[[#This Row],[SALDO]]+Prog_23[[#This Row],[MARGEM]]+Prog_23[[#This Row],[ESTADIA 1]])</f>
        <v>0</v>
      </c>
      <c r="AY11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31" s="81"/>
      <c r="BA1131" s="81"/>
      <c r="BB1131" s="81">
        <f>Prog_23[[#This Row],[VLR NF]]*0.1%</f>
        <v>0</v>
      </c>
      <c r="BC1131" s="81">
        <f>Prog_23[[#This Row],[VLR NF]]*0.05%</f>
        <v>0</v>
      </c>
      <c r="BD1131" s="81"/>
      <c r="BE1131" s="81"/>
      <c r="BF1131" s="81"/>
      <c r="BG1131" s="81"/>
      <c r="BH1131" s="81"/>
      <c r="BI1131" s="81"/>
      <c r="BJ1131" s="81"/>
      <c r="BK1131" s="81"/>
      <c r="BL1131" s="81"/>
      <c r="BM1131" s="81"/>
      <c r="BN1131" s="66"/>
      <c r="BO1131" s="66"/>
      <c r="BP1131" s="66"/>
      <c r="BQ1131" s="66" t="str">
        <f>PROPER(TEXT(Prog_23[[#This Row],[PROGRAMAÇÃO CLIENTE]],"mmm"))</f>
        <v>Jan</v>
      </c>
      <c r="BR1131" s="66">
        <f>YEAR(Prog_23[[#This Row],[PROGRAMAÇÃO CLIENTE]])</f>
        <v>1900</v>
      </c>
    </row>
    <row r="1132" spans="1:70" x14ac:dyDescent="0.25">
      <c r="A1132" s="201">
        <f>Prog_23[[#This Row],[CONTEINER]]</f>
        <v>0</v>
      </c>
      <c r="B1132" s="86"/>
      <c r="C11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32" s="44"/>
      <c r="E1132" s="66"/>
      <c r="F1132" s="66"/>
      <c r="G1132" s="66"/>
      <c r="H1132" s="44"/>
      <c r="I1132" s="44"/>
      <c r="J1132" s="66"/>
      <c r="K1132" s="66"/>
      <c r="L1132" s="66"/>
      <c r="M1132" s="66"/>
      <c r="N1132" s="66">
        <f>SUM(Prog_23[[#This Row],[TARA]]+Prog_23[[#This Row],[PESO]])</f>
        <v>0</v>
      </c>
      <c r="O1132" s="44"/>
      <c r="P1132" s="66"/>
      <c r="Q1132" s="66"/>
      <c r="R1132" s="66"/>
      <c r="S1132" s="66"/>
      <c r="T1132" s="138" t="str">
        <f>IFERROR(LOOKUP($S1132,MOTORISTAS!$D$3:$D$916,MOTORISTAS!E$3:$E$916),"")</f>
        <v/>
      </c>
      <c r="U1132" s="138" t="str">
        <f>IFERROR(LOOKUP($S1132,MOTORISTAS!$D$3:$D$916,MOTORISTAS!F$3:$F$916),"")</f>
        <v/>
      </c>
      <c r="V1132" s="66"/>
      <c r="W1132" s="66"/>
      <c r="X1132" s="66"/>
      <c r="Y1132" s="66"/>
      <c r="Z1132" s="66"/>
      <c r="AA1132" s="66"/>
      <c r="AB1132" s="66"/>
      <c r="AC1132" s="66"/>
      <c r="AD1132" s="66"/>
      <c r="AE1132" s="66"/>
      <c r="AF1132" s="44"/>
      <c r="AG1132" s="254">
        <f>Prog_23[[#This Row],[SAÍDA DO CLIENTE]]-Prog_23[[#This Row],[PROGRAMAÇÃO CLIENTE]]</f>
        <v>0</v>
      </c>
      <c r="AH1132" s="44"/>
      <c r="AI1132" s="66"/>
      <c r="AJ1132" s="66"/>
      <c r="AK1132" s="66"/>
      <c r="AL1132" s="66"/>
      <c r="AM1132" s="66"/>
      <c r="AN1132" s="83"/>
      <c r="AO1132" s="83"/>
      <c r="AP1132" s="83"/>
      <c r="AQ1132" s="66"/>
      <c r="AR1132" s="66"/>
      <c r="AS1132" s="66"/>
      <c r="AT1132" s="81"/>
      <c r="AU1132" s="81"/>
      <c r="AV1132" s="81"/>
      <c r="AW1132" s="81"/>
      <c r="AX1132" s="83">
        <f>SUM(Prog_23[[#This Row],[ADIANTAMENTO]]+Prog_23[[#This Row],[SALDO]]+Prog_23[[#This Row],[MARGEM]]+Prog_23[[#This Row],[ESTADIA 1]])</f>
        <v>0</v>
      </c>
      <c r="AY11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32" s="81"/>
      <c r="BA1132" s="81"/>
      <c r="BB1132" s="81">
        <f>Prog_23[[#This Row],[VLR NF]]*0.1%</f>
        <v>0</v>
      </c>
      <c r="BC1132" s="81">
        <f>Prog_23[[#This Row],[VLR NF]]*0.05%</f>
        <v>0</v>
      </c>
      <c r="BD1132" s="81"/>
      <c r="BE1132" s="81"/>
      <c r="BF1132" s="81"/>
      <c r="BG1132" s="81"/>
      <c r="BH1132" s="81"/>
      <c r="BI1132" s="81"/>
      <c r="BJ1132" s="81"/>
      <c r="BK1132" s="81"/>
      <c r="BL1132" s="81"/>
      <c r="BM1132" s="81"/>
      <c r="BN1132" s="66"/>
      <c r="BO1132" s="66"/>
      <c r="BP1132" s="66"/>
      <c r="BQ1132" s="66" t="str">
        <f>PROPER(TEXT(Prog_23[[#This Row],[PROGRAMAÇÃO CLIENTE]],"mmm"))</f>
        <v>Jan</v>
      </c>
      <c r="BR1132" s="66">
        <f>YEAR(Prog_23[[#This Row],[PROGRAMAÇÃO CLIENTE]])</f>
        <v>1900</v>
      </c>
    </row>
    <row r="1133" spans="1:70" x14ac:dyDescent="0.25">
      <c r="A1133" s="200">
        <f>Prog_23[[#This Row],[CONTEINER]]</f>
        <v>0</v>
      </c>
      <c r="B1133" s="86"/>
      <c r="C11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33" s="44"/>
      <c r="E1133" s="66"/>
      <c r="F1133" s="66"/>
      <c r="G1133" s="66"/>
      <c r="H1133" s="44"/>
      <c r="I1133" s="44"/>
      <c r="J1133" s="66"/>
      <c r="K1133" s="66"/>
      <c r="L1133" s="66"/>
      <c r="M1133" s="66"/>
      <c r="N1133" s="66">
        <f>SUM(Prog_23[[#This Row],[TARA]]+Prog_23[[#This Row],[PESO]])</f>
        <v>0</v>
      </c>
      <c r="O1133" s="44"/>
      <c r="P1133" s="66"/>
      <c r="Q1133" s="66"/>
      <c r="R1133" s="66"/>
      <c r="S1133" s="66"/>
      <c r="T1133" s="138" t="str">
        <f>IFERROR(LOOKUP($S1133,MOTORISTAS!$D$3:$D$916,MOTORISTAS!E$3:$E$916),"")</f>
        <v/>
      </c>
      <c r="U1133" s="138" t="str">
        <f>IFERROR(LOOKUP($S1133,MOTORISTAS!$D$3:$D$916,MOTORISTAS!F$3:$F$916),"")</f>
        <v/>
      </c>
      <c r="V1133" s="66"/>
      <c r="W1133" s="66"/>
      <c r="X1133" s="66"/>
      <c r="Y1133" s="66"/>
      <c r="Z1133" s="66"/>
      <c r="AA1133" s="66"/>
      <c r="AB1133" s="66"/>
      <c r="AC1133" s="66"/>
      <c r="AD1133" s="66"/>
      <c r="AE1133" s="66"/>
      <c r="AF1133" s="44"/>
      <c r="AG1133" s="254">
        <f>Prog_23[[#This Row],[SAÍDA DO CLIENTE]]-Prog_23[[#This Row],[PROGRAMAÇÃO CLIENTE]]</f>
        <v>0</v>
      </c>
      <c r="AH1133" s="44"/>
      <c r="AI1133" s="66"/>
      <c r="AJ1133" s="66"/>
      <c r="AK1133" s="66"/>
      <c r="AL1133" s="66"/>
      <c r="AM1133" s="66"/>
      <c r="AN1133" s="83"/>
      <c r="AO1133" s="83"/>
      <c r="AP1133" s="83"/>
      <c r="AQ1133" s="66"/>
      <c r="AR1133" s="66"/>
      <c r="AS1133" s="66"/>
      <c r="AT1133" s="81"/>
      <c r="AU1133" s="81"/>
      <c r="AV1133" s="81"/>
      <c r="AW1133" s="81"/>
      <c r="AX1133" s="83">
        <f>SUM(Prog_23[[#This Row],[ADIANTAMENTO]]+Prog_23[[#This Row],[SALDO]]+Prog_23[[#This Row],[MARGEM]]+Prog_23[[#This Row],[ESTADIA 1]])</f>
        <v>0</v>
      </c>
      <c r="AY11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33" s="81"/>
      <c r="BA1133" s="81"/>
      <c r="BB1133" s="81">
        <f>Prog_23[[#This Row],[VLR NF]]*0.1%</f>
        <v>0</v>
      </c>
      <c r="BC1133" s="81">
        <f>Prog_23[[#This Row],[VLR NF]]*0.05%</f>
        <v>0</v>
      </c>
      <c r="BD1133" s="81"/>
      <c r="BE1133" s="81"/>
      <c r="BF1133" s="81"/>
      <c r="BG1133" s="81"/>
      <c r="BH1133" s="81"/>
      <c r="BI1133" s="81"/>
      <c r="BJ1133" s="81"/>
      <c r="BK1133" s="81"/>
      <c r="BL1133" s="81"/>
      <c r="BM1133" s="81"/>
      <c r="BN1133" s="66"/>
      <c r="BO1133" s="66"/>
      <c r="BP1133" s="66"/>
      <c r="BQ1133" s="66" t="str">
        <f>PROPER(TEXT(Prog_23[[#This Row],[PROGRAMAÇÃO CLIENTE]],"mmm"))</f>
        <v>Jan</v>
      </c>
      <c r="BR1133" s="66">
        <f>YEAR(Prog_23[[#This Row],[PROGRAMAÇÃO CLIENTE]])</f>
        <v>1900</v>
      </c>
    </row>
    <row r="1134" spans="1:70" x14ac:dyDescent="0.25">
      <c r="A1134" s="201">
        <f>Prog_23[[#This Row],[CONTEINER]]</f>
        <v>0</v>
      </c>
      <c r="B1134" s="86"/>
      <c r="C11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34" s="44"/>
      <c r="E1134" s="66"/>
      <c r="F1134" s="66"/>
      <c r="G1134" s="66"/>
      <c r="H1134" s="44"/>
      <c r="I1134" s="44"/>
      <c r="J1134" s="66"/>
      <c r="K1134" s="66"/>
      <c r="L1134" s="66"/>
      <c r="M1134" s="66"/>
      <c r="N1134" s="66">
        <f>SUM(Prog_23[[#This Row],[TARA]]+Prog_23[[#This Row],[PESO]])</f>
        <v>0</v>
      </c>
      <c r="O1134" s="44"/>
      <c r="P1134" s="66"/>
      <c r="Q1134" s="66"/>
      <c r="R1134" s="66"/>
      <c r="S1134" s="66"/>
      <c r="T1134" s="138" t="str">
        <f>IFERROR(LOOKUP($S1134,MOTORISTAS!$D$3:$D$916,MOTORISTAS!E$3:$E$916),"")</f>
        <v/>
      </c>
      <c r="U1134" s="138" t="str">
        <f>IFERROR(LOOKUP($S1134,MOTORISTAS!$D$3:$D$916,MOTORISTAS!F$3:$F$916),"")</f>
        <v/>
      </c>
      <c r="V1134" s="66"/>
      <c r="W1134" s="66"/>
      <c r="X1134" s="66"/>
      <c r="Y1134" s="66"/>
      <c r="Z1134" s="66"/>
      <c r="AA1134" s="66"/>
      <c r="AB1134" s="66"/>
      <c r="AC1134" s="66"/>
      <c r="AD1134" s="66"/>
      <c r="AE1134" s="66"/>
      <c r="AF1134" s="44"/>
      <c r="AG1134" s="254">
        <f>Prog_23[[#This Row],[SAÍDA DO CLIENTE]]-Prog_23[[#This Row],[PROGRAMAÇÃO CLIENTE]]</f>
        <v>0</v>
      </c>
      <c r="AH1134" s="44"/>
      <c r="AI1134" s="66"/>
      <c r="AJ1134" s="66"/>
      <c r="AK1134" s="66"/>
      <c r="AL1134" s="66"/>
      <c r="AM1134" s="66"/>
      <c r="AN1134" s="83"/>
      <c r="AO1134" s="83"/>
      <c r="AP1134" s="83"/>
      <c r="AQ1134" s="66"/>
      <c r="AR1134" s="66"/>
      <c r="AS1134" s="66"/>
      <c r="AT1134" s="81"/>
      <c r="AU1134" s="81"/>
      <c r="AV1134" s="81"/>
      <c r="AW1134" s="81"/>
      <c r="AX1134" s="83">
        <f>SUM(Prog_23[[#This Row],[ADIANTAMENTO]]+Prog_23[[#This Row],[SALDO]]+Prog_23[[#This Row],[MARGEM]]+Prog_23[[#This Row],[ESTADIA 1]])</f>
        <v>0</v>
      </c>
      <c r="AY11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34" s="81"/>
      <c r="BA1134" s="81"/>
      <c r="BB1134" s="81">
        <f>Prog_23[[#This Row],[VLR NF]]*0.1%</f>
        <v>0</v>
      </c>
      <c r="BC1134" s="81">
        <f>Prog_23[[#This Row],[VLR NF]]*0.05%</f>
        <v>0</v>
      </c>
      <c r="BD1134" s="81"/>
      <c r="BE1134" s="81"/>
      <c r="BF1134" s="81"/>
      <c r="BG1134" s="81"/>
      <c r="BH1134" s="81"/>
      <c r="BI1134" s="81"/>
      <c r="BJ1134" s="81"/>
      <c r="BK1134" s="81"/>
      <c r="BL1134" s="81"/>
      <c r="BM1134" s="81"/>
      <c r="BN1134" s="66"/>
      <c r="BO1134" s="66"/>
      <c r="BP1134" s="66"/>
      <c r="BQ1134" s="66" t="str">
        <f>PROPER(TEXT(Prog_23[[#This Row],[PROGRAMAÇÃO CLIENTE]],"mmm"))</f>
        <v>Jan</v>
      </c>
      <c r="BR1134" s="66">
        <f>YEAR(Prog_23[[#This Row],[PROGRAMAÇÃO CLIENTE]])</f>
        <v>1900</v>
      </c>
    </row>
    <row r="1135" spans="1:70" x14ac:dyDescent="0.25">
      <c r="A1135" s="200">
        <f>Prog_23[[#This Row],[CONTEINER]]</f>
        <v>0</v>
      </c>
      <c r="B1135" s="86"/>
      <c r="C11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35" s="44"/>
      <c r="E1135" s="66"/>
      <c r="F1135" s="66"/>
      <c r="G1135" s="66"/>
      <c r="H1135" s="44"/>
      <c r="I1135" s="44"/>
      <c r="J1135" s="66"/>
      <c r="K1135" s="66"/>
      <c r="L1135" s="66"/>
      <c r="M1135" s="66"/>
      <c r="N1135" s="66">
        <f>SUM(Prog_23[[#This Row],[TARA]]+Prog_23[[#This Row],[PESO]])</f>
        <v>0</v>
      </c>
      <c r="O1135" s="44"/>
      <c r="P1135" s="66"/>
      <c r="Q1135" s="66"/>
      <c r="R1135" s="66"/>
      <c r="S1135" s="66"/>
      <c r="T1135" s="138" t="str">
        <f>IFERROR(LOOKUP($S1135,MOTORISTAS!$D$3:$D$916,MOTORISTAS!E$3:$E$916),"")</f>
        <v/>
      </c>
      <c r="U1135" s="138" t="str">
        <f>IFERROR(LOOKUP($S1135,MOTORISTAS!$D$3:$D$916,MOTORISTAS!F$3:$F$916),"")</f>
        <v/>
      </c>
      <c r="V1135" s="66"/>
      <c r="W1135" s="66"/>
      <c r="X1135" s="66"/>
      <c r="Y1135" s="66"/>
      <c r="Z1135" s="66"/>
      <c r="AA1135" s="66"/>
      <c r="AB1135" s="66"/>
      <c r="AC1135" s="66"/>
      <c r="AD1135" s="66"/>
      <c r="AE1135" s="66"/>
      <c r="AF1135" s="44"/>
      <c r="AG1135" s="254">
        <f>Prog_23[[#This Row],[SAÍDA DO CLIENTE]]-Prog_23[[#This Row],[PROGRAMAÇÃO CLIENTE]]</f>
        <v>0</v>
      </c>
      <c r="AH1135" s="44"/>
      <c r="AI1135" s="66"/>
      <c r="AJ1135" s="66"/>
      <c r="AK1135" s="66"/>
      <c r="AL1135" s="66"/>
      <c r="AM1135" s="66"/>
      <c r="AN1135" s="83"/>
      <c r="AO1135" s="83"/>
      <c r="AP1135" s="83"/>
      <c r="AQ1135" s="66"/>
      <c r="AR1135" s="66"/>
      <c r="AS1135" s="66"/>
      <c r="AT1135" s="81"/>
      <c r="AU1135" s="81"/>
      <c r="AV1135" s="81"/>
      <c r="AW1135" s="81"/>
      <c r="AX1135" s="83">
        <f>SUM(Prog_23[[#This Row],[ADIANTAMENTO]]+Prog_23[[#This Row],[SALDO]]+Prog_23[[#This Row],[MARGEM]]+Prog_23[[#This Row],[ESTADIA 1]])</f>
        <v>0</v>
      </c>
      <c r="AY11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35" s="81"/>
      <c r="BA1135" s="81"/>
      <c r="BB1135" s="81">
        <f>Prog_23[[#This Row],[VLR NF]]*0.1%</f>
        <v>0</v>
      </c>
      <c r="BC1135" s="81">
        <f>Prog_23[[#This Row],[VLR NF]]*0.05%</f>
        <v>0</v>
      </c>
      <c r="BD1135" s="81"/>
      <c r="BE1135" s="81"/>
      <c r="BF1135" s="81"/>
      <c r="BG1135" s="81"/>
      <c r="BH1135" s="81"/>
      <c r="BI1135" s="81"/>
      <c r="BJ1135" s="81"/>
      <c r="BK1135" s="81"/>
      <c r="BL1135" s="81"/>
      <c r="BM1135" s="81"/>
      <c r="BN1135" s="66"/>
      <c r="BO1135" s="66"/>
      <c r="BP1135" s="66"/>
      <c r="BQ1135" s="66" t="str">
        <f>PROPER(TEXT(Prog_23[[#This Row],[PROGRAMAÇÃO CLIENTE]],"mmm"))</f>
        <v>Jan</v>
      </c>
      <c r="BR1135" s="66">
        <f>YEAR(Prog_23[[#This Row],[PROGRAMAÇÃO CLIENTE]])</f>
        <v>1900</v>
      </c>
    </row>
    <row r="1136" spans="1:70" x14ac:dyDescent="0.25">
      <c r="A1136" s="201">
        <f>Prog_23[[#This Row],[CONTEINER]]</f>
        <v>0</v>
      </c>
      <c r="B1136" s="86"/>
      <c r="C11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36" s="44"/>
      <c r="E1136" s="66"/>
      <c r="F1136" s="66"/>
      <c r="G1136" s="66"/>
      <c r="H1136" s="44"/>
      <c r="I1136" s="44"/>
      <c r="J1136" s="66"/>
      <c r="K1136" s="66"/>
      <c r="L1136" s="66"/>
      <c r="M1136" s="66"/>
      <c r="N1136" s="66">
        <f>SUM(Prog_23[[#This Row],[TARA]]+Prog_23[[#This Row],[PESO]])</f>
        <v>0</v>
      </c>
      <c r="O1136" s="44"/>
      <c r="P1136" s="66"/>
      <c r="Q1136" s="66"/>
      <c r="R1136" s="66"/>
      <c r="S1136" s="66"/>
      <c r="T1136" s="138" t="str">
        <f>IFERROR(LOOKUP($S1136,MOTORISTAS!$D$3:$D$916,MOTORISTAS!E$3:$E$916),"")</f>
        <v/>
      </c>
      <c r="U1136" s="138" t="str">
        <f>IFERROR(LOOKUP($S1136,MOTORISTAS!$D$3:$D$916,MOTORISTAS!F$3:$F$916),"")</f>
        <v/>
      </c>
      <c r="V1136" s="66"/>
      <c r="W1136" s="66"/>
      <c r="X1136" s="66"/>
      <c r="Y1136" s="66"/>
      <c r="Z1136" s="66"/>
      <c r="AA1136" s="66"/>
      <c r="AB1136" s="66"/>
      <c r="AC1136" s="66"/>
      <c r="AD1136" s="66"/>
      <c r="AE1136" s="66"/>
      <c r="AF1136" s="44"/>
      <c r="AG1136" s="254">
        <f>Prog_23[[#This Row],[SAÍDA DO CLIENTE]]-Prog_23[[#This Row],[PROGRAMAÇÃO CLIENTE]]</f>
        <v>0</v>
      </c>
      <c r="AH1136" s="44"/>
      <c r="AI1136" s="66"/>
      <c r="AJ1136" s="66"/>
      <c r="AK1136" s="66"/>
      <c r="AL1136" s="66"/>
      <c r="AM1136" s="66"/>
      <c r="AN1136" s="83"/>
      <c r="AO1136" s="83"/>
      <c r="AP1136" s="83"/>
      <c r="AQ1136" s="66"/>
      <c r="AR1136" s="66"/>
      <c r="AS1136" s="66"/>
      <c r="AT1136" s="81"/>
      <c r="AU1136" s="81"/>
      <c r="AV1136" s="81"/>
      <c r="AW1136" s="81"/>
      <c r="AX1136" s="83">
        <f>SUM(Prog_23[[#This Row],[ADIANTAMENTO]]+Prog_23[[#This Row],[SALDO]]+Prog_23[[#This Row],[MARGEM]]+Prog_23[[#This Row],[ESTADIA 1]])</f>
        <v>0</v>
      </c>
      <c r="AY11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36" s="81"/>
      <c r="BA1136" s="81"/>
      <c r="BB1136" s="81">
        <f>Prog_23[[#This Row],[VLR NF]]*0.1%</f>
        <v>0</v>
      </c>
      <c r="BC1136" s="81">
        <f>Prog_23[[#This Row],[VLR NF]]*0.05%</f>
        <v>0</v>
      </c>
      <c r="BD1136" s="81"/>
      <c r="BE1136" s="81"/>
      <c r="BF1136" s="81"/>
      <c r="BG1136" s="81"/>
      <c r="BH1136" s="81"/>
      <c r="BI1136" s="81"/>
      <c r="BJ1136" s="81"/>
      <c r="BK1136" s="81"/>
      <c r="BL1136" s="81"/>
      <c r="BM1136" s="81"/>
      <c r="BN1136" s="66"/>
      <c r="BO1136" s="66"/>
      <c r="BP1136" s="66"/>
      <c r="BQ1136" s="66" t="str">
        <f>PROPER(TEXT(Prog_23[[#This Row],[PROGRAMAÇÃO CLIENTE]],"mmm"))</f>
        <v>Jan</v>
      </c>
      <c r="BR1136" s="66">
        <f>YEAR(Prog_23[[#This Row],[PROGRAMAÇÃO CLIENTE]])</f>
        <v>1900</v>
      </c>
    </row>
    <row r="1137" spans="1:70" x14ac:dyDescent="0.25">
      <c r="A1137" s="200">
        <f>Prog_23[[#This Row],[CONTEINER]]</f>
        <v>0</v>
      </c>
      <c r="B1137" s="86"/>
      <c r="C11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37" s="44"/>
      <c r="E1137" s="66"/>
      <c r="F1137" s="66"/>
      <c r="G1137" s="66"/>
      <c r="H1137" s="44"/>
      <c r="I1137" s="44"/>
      <c r="J1137" s="66"/>
      <c r="K1137" s="66"/>
      <c r="L1137" s="66"/>
      <c r="M1137" s="66"/>
      <c r="N1137" s="66">
        <f>SUM(Prog_23[[#This Row],[TARA]]+Prog_23[[#This Row],[PESO]])</f>
        <v>0</v>
      </c>
      <c r="O1137" s="44"/>
      <c r="P1137" s="66"/>
      <c r="Q1137" s="66"/>
      <c r="R1137" s="66"/>
      <c r="S1137" s="66"/>
      <c r="T1137" s="138" t="str">
        <f>IFERROR(LOOKUP($S1137,MOTORISTAS!$D$3:$D$916,MOTORISTAS!E$3:$E$916),"")</f>
        <v/>
      </c>
      <c r="U1137" s="138" t="str">
        <f>IFERROR(LOOKUP($S1137,MOTORISTAS!$D$3:$D$916,MOTORISTAS!F$3:$F$916),"")</f>
        <v/>
      </c>
      <c r="V1137" s="66"/>
      <c r="W1137" s="66"/>
      <c r="X1137" s="66"/>
      <c r="Y1137" s="66"/>
      <c r="Z1137" s="66"/>
      <c r="AA1137" s="66"/>
      <c r="AB1137" s="66"/>
      <c r="AC1137" s="66"/>
      <c r="AD1137" s="66"/>
      <c r="AE1137" s="66"/>
      <c r="AF1137" s="44"/>
      <c r="AG1137" s="254">
        <f>Prog_23[[#This Row],[SAÍDA DO CLIENTE]]-Prog_23[[#This Row],[PROGRAMAÇÃO CLIENTE]]</f>
        <v>0</v>
      </c>
      <c r="AH1137" s="44"/>
      <c r="AI1137" s="66"/>
      <c r="AJ1137" s="66"/>
      <c r="AK1137" s="66"/>
      <c r="AL1137" s="66"/>
      <c r="AM1137" s="66"/>
      <c r="AN1137" s="83"/>
      <c r="AO1137" s="83"/>
      <c r="AP1137" s="83"/>
      <c r="AQ1137" s="66"/>
      <c r="AR1137" s="66"/>
      <c r="AS1137" s="66"/>
      <c r="AT1137" s="81"/>
      <c r="AU1137" s="81"/>
      <c r="AV1137" s="81"/>
      <c r="AW1137" s="81"/>
      <c r="AX1137" s="83">
        <f>SUM(Prog_23[[#This Row],[ADIANTAMENTO]]+Prog_23[[#This Row],[SALDO]]+Prog_23[[#This Row],[MARGEM]]+Prog_23[[#This Row],[ESTADIA 1]])</f>
        <v>0</v>
      </c>
      <c r="AY11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37" s="81"/>
      <c r="BA1137" s="81"/>
      <c r="BB1137" s="81">
        <f>Prog_23[[#This Row],[VLR NF]]*0.1%</f>
        <v>0</v>
      </c>
      <c r="BC1137" s="81">
        <f>Prog_23[[#This Row],[VLR NF]]*0.05%</f>
        <v>0</v>
      </c>
      <c r="BD1137" s="81"/>
      <c r="BE1137" s="81"/>
      <c r="BF1137" s="81"/>
      <c r="BG1137" s="81"/>
      <c r="BH1137" s="81"/>
      <c r="BI1137" s="81"/>
      <c r="BJ1137" s="81"/>
      <c r="BK1137" s="81"/>
      <c r="BL1137" s="81"/>
      <c r="BM1137" s="81"/>
      <c r="BN1137" s="66"/>
      <c r="BO1137" s="66"/>
      <c r="BP1137" s="66"/>
      <c r="BQ1137" s="66" t="str">
        <f>PROPER(TEXT(Prog_23[[#This Row],[PROGRAMAÇÃO CLIENTE]],"mmm"))</f>
        <v>Jan</v>
      </c>
      <c r="BR1137" s="66">
        <f>YEAR(Prog_23[[#This Row],[PROGRAMAÇÃO CLIENTE]])</f>
        <v>1900</v>
      </c>
    </row>
    <row r="1138" spans="1:70" x14ac:dyDescent="0.25">
      <c r="A1138" s="201">
        <f>Prog_23[[#This Row],[CONTEINER]]</f>
        <v>0</v>
      </c>
      <c r="B1138" s="86"/>
      <c r="C11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38" s="44"/>
      <c r="E1138" s="66"/>
      <c r="F1138" s="66"/>
      <c r="G1138" s="66"/>
      <c r="H1138" s="44"/>
      <c r="I1138" s="44"/>
      <c r="J1138" s="66"/>
      <c r="K1138" s="66"/>
      <c r="L1138" s="66"/>
      <c r="M1138" s="66"/>
      <c r="N1138" s="66">
        <f>SUM(Prog_23[[#This Row],[TARA]]+Prog_23[[#This Row],[PESO]])</f>
        <v>0</v>
      </c>
      <c r="O1138" s="44"/>
      <c r="P1138" s="66"/>
      <c r="Q1138" s="66"/>
      <c r="R1138" s="66"/>
      <c r="S1138" s="66"/>
      <c r="T1138" s="138" t="str">
        <f>IFERROR(LOOKUP($S1138,MOTORISTAS!$D$3:$D$916,MOTORISTAS!E$3:$E$916),"")</f>
        <v/>
      </c>
      <c r="U1138" s="138" t="str">
        <f>IFERROR(LOOKUP($S1138,MOTORISTAS!$D$3:$D$916,MOTORISTAS!F$3:$F$916),"")</f>
        <v/>
      </c>
      <c r="V1138" s="66"/>
      <c r="W1138" s="66"/>
      <c r="X1138" s="66"/>
      <c r="Y1138" s="66"/>
      <c r="Z1138" s="66"/>
      <c r="AA1138" s="66"/>
      <c r="AB1138" s="66"/>
      <c r="AC1138" s="66"/>
      <c r="AD1138" s="66"/>
      <c r="AE1138" s="66"/>
      <c r="AF1138" s="44"/>
      <c r="AG1138" s="254">
        <f>Prog_23[[#This Row],[SAÍDA DO CLIENTE]]-Prog_23[[#This Row],[PROGRAMAÇÃO CLIENTE]]</f>
        <v>0</v>
      </c>
      <c r="AH1138" s="44"/>
      <c r="AI1138" s="66"/>
      <c r="AJ1138" s="66"/>
      <c r="AK1138" s="66"/>
      <c r="AL1138" s="66"/>
      <c r="AM1138" s="66"/>
      <c r="AN1138" s="83"/>
      <c r="AO1138" s="83"/>
      <c r="AP1138" s="83"/>
      <c r="AQ1138" s="66"/>
      <c r="AR1138" s="66"/>
      <c r="AS1138" s="66"/>
      <c r="AT1138" s="81"/>
      <c r="AU1138" s="81"/>
      <c r="AV1138" s="81"/>
      <c r="AW1138" s="81"/>
      <c r="AX1138" s="83">
        <f>SUM(Prog_23[[#This Row],[ADIANTAMENTO]]+Prog_23[[#This Row],[SALDO]]+Prog_23[[#This Row],[MARGEM]]+Prog_23[[#This Row],[ESTADIA 1]])</f>
        <v>0</v>
      </c>
      <c r="AY11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38" s="81"/>
      <c r="BA1138" s="81"/>
      <c r="BB1138" s="81">
        <f>Prog_23[[#This Row],[VLR NF]]*0.1%</f>
        <v>0</v>
      </c>
      <c r="BC1138" s="81">
        <f>Prog_23[[#This Row],[VLR NF]]*0.05%</f>
        <v>0</v>
      </c>
      <c r="BD1138" s="81"/>
      <c r="BE1138" s="81"/>
      <c r="BF1138" s="81"/>
      <c r="BG1138" s="81"/>
      <c r="BH1138" s="81"/>
      <c r="BI1138" s="81"/>
      <c r="BJ1138" s="81"/>
      <c r="BK1138" s="81"/>
      <c r="BL1138" s="81"/>
      <c r="BM1138" s="81"/>
      <c r="BN1138" s="66"/>
      <c r="BO1138" s="66"/>
      <c r="BP1138" s="66"/>
      <c r="BQ1138" s="66" t="str">
        <f>PROPER(TEXT(Prog_23[[#This Row],[PROGRAMAÇÃO CLIENTE]],"mmm"))</f>
        <v>Jan</v>
      </c>
      <c r="BR1138" s="66">
        <f>YEAR(Prog_23[[#This Row],[PROGRAMAÇÃO CLIENTE]])</f>
        <v>1900</v>
      </c>
    </row>
    <row r="1139" spans="1:70" x14ac:dyDescent="0.25">
      <c r="A1139" s="200">
        <f>Prog_23[[#This Row],[CONTEINER]]</f>
        <v>0</v>
      </c>
      <c r="B1139" s="86"/>
      <c r="C11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39" s="44"/>
      <c r="E1139" s="66"/>
      <c r="F1139" s="66"/>
      <c r="G1139" s="66"/>
      <c r="H1139" s="44"/>
      <c r="I1139" s="44"/>
      <c r="J1139" s="66"/>
      <c r="K1139" s="66"/>
      <c r="L1139" s="66"/>
      <c r="M1139" s="66"/>
      <c r="N1139" s="66">
        <f>SUM(Prog_23[[#This Row],[TARA]]+Prog_23[[#This Row],[PESO]])</f>
        <v>0</v>
      </c>
      <c r="O1139" s="44"/>
      <c r="P1139" s="66"/>
      <c r="Q1139" s="66"/>
      <c r="R1139" s="66"/>
      <c r="S1139" s="66"/>
      <c r="T1139" s="138" t="str">
        <f>IFERROR(LOOKUP($S1139,MOTORISTAS!$D$3:$D$916,MOTORISTAS!E$3:$E$916),"")</f>
        <v/>
      </c>
      <c r="U1139" s="138" t="str">
        <f>IFERROR(LOOKUP($S1139,MOTORISTAS!$D$3:$D$916,MOTORISTAS!F$3:$F$916),"")</f>
        <v/>
      </c>
      <c r="V1139" s="66"/>
      <c r="W1139" s="66"/>
      <c r="X1139" s="66"/>
      <c r="Y1139" s="66"/>
      <c r="Z1139" s="66"/>
      <c r="AA1139" s="66"/>
      <c r="AB1139" s="66"/>
      <c r="AC1139" s="66"/>
      <c r="AD1139" s="66"/>
      <c r="AE1139" s="66"/>
      <c r="AF1139" s="44"/>
      <c r="AG1139" s="254">
        <f>Prog_23[[#This Row],[SAÍDA DO CLIENTE]]-Prog_23[[#This Row],[PROGRAMAÇÃO CLIENTE]]</f>
        <v>0</v>
      </c>
      <c r="AH1139" s="44"/>
      <c r="AI1139" s="66"/>
      <c r="AJ1139" s="66"/>
      <c r="AK1139" s="66"/>
      <c r="AL1139" s="66"/>
      <c r="AM1139" s="66"/>
      <c r="AN1139" s="83"/>
      <c r="AO1139" s="83"/>
      <c r="AP1139" s="83"/>
      <c r="AQ1139" s="66"/>
      <c r="AR1139" s="66"/>
      <c r="AS1139" s="66"/>
      <c r="AT1139" s="81"/>
      <c r="AU1139" s="81"/>
      <c r="AV1139" s="81"/>
      <c r="AW1139" s="81"/>
      <c r="AX1139" s="83">
        <f>SUM(Prog_23[[#This Row],[ADIANTAMENTO]]+Prog_23[[#This Row],[SALDO]]+Prog_23[[#This Row],[MARGEM]]+Prog_23[[#This Row],[ESTADIA 1]])</f>
        <v>0</v>
      </c>
      <c r="AY11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39" s="81"/>
      <c r="BA1139" s="81"/>
      <c r="BB1139" s="81">
        <f>Prog_23[[#This Row],[VLR NF]]*0.1%</f>
        <v>0</v>
      </c>
      <c r="BC1139" s="81">
        <f>Prog_23[[#This Row],[VLR NF]]*0.05%</f>
        <v>0</v>
      </c>
      <c r="BD1139" s="81"/>
      <c r="BE1139" s="81"/>
      <c r="BF1139" s="81"/>
      <c r="BG1139" s="81"/>
      <c r="BH1139" s="81"/>
      <c r="BI1139" s="81"/>
      <c r="BJ1139" s="81"/>
      <c r="BK1139" s="81"/>
      <c r="BL1139" s="81"/>
      <c r="BM1139" s="81"/>
      <c r="BN1139" s="66"/>
      <c r="BO1139" s="66"/>
      <c r="BP1139" s="66"/>
      <c r="BQ1139" s="66" t="str">
        <f>PROPER(TEXT(Prog_23[[#This Row],[PROGRAMAÇÃO CLIENTE]],"mmm"))</f>
        <v>Jan</v>
      </c>
      <c r="BR1139" s="66">
        <f>YEAR(Prog_23[[#This Row],[PROGRAMAÇÃO CLIENTE]])</f>
        <v>1900</v>
      </c>
    </row>
    <row r="1140" spans="1:70" x14ac:dyDescent="0.25">
      <c r="A1140" s="201">
        <f>Prog_23[[#This Row],[CONTEINER]]</f>
        <v>0</v>
      </c>
      <c r="B1140" s="86"/>
      <c r="C11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40" s="44"/>
      <c r="E1140" s="66"/>
      <c r="F1140" s="66"/>
      <c r="G1140" s="66"/>
      <c r="H1140" s="44"/>
      <c r="I1140" s="44"/>
      <c r="J1140" s="66"/>
      <c r="K1140" s="66"/>
      <c r="L1140" s="66"/>
      <c r="M1140" s="66"/>
      <c r="N1140" s="66">
        <f>SUM(Prog_23[[#This Row],[TARA]]+Prog_23[[#This Row],[PESO]])</f>
        <v>0</v>
      </c>
      <c r="O1140" s="44"/>
      <c r="P1140" s="66"/>
      <c r="Q1140" s="66"/>
      <c r="R1140" s="66"/>
      <c r="S1140" s="66"/>
      <c r="T1140" s="138" t="str">
        <f>IFERROR(LOOKUP($S1140,MOTORISTAS!$D$3:$D$916,MOTORISTAS!E$3:$E$916),"")</f>
        <v/>
      </c>
      <c r="U1140" s="138" t="str">
        <f>IFERROR(LOOKUP($S1140,MOTORISTAS!$D$3:$D$916,MOTORISTAS!F$3:$F$916),"")</f>
        <v/>
      </c>
      <c r="V1140" s="66"/>
      <c r="W1140" s="66"/>
      <c r="X1140" s="66"/>
      <c r="Y1140" s="66"/>
      <c r="Z1140" s="66"/>
      <c r="AA1140" s="66"/>
      <c r="AB1140" s="66"/>
      <c r="AC1140" s="66"/>
      <c r="AD1140" s="66"/>
      <c r="AE1140" s="66"/>
      <c r="AF1140" s="44"/>
      <c r="AG1140" s="254">
        <f>Prog_23[[#This Row],[SAÍDA DO CLIENTE]]-Prog_23[[#This Row],[PROGRAMAÇÃO CLIENTE]]</f>
        <v>0</v>
      </c>
      <c r="AH1140" s="44"/>
      <c r="AI1140" s="66"/>
      <c r="AJ1140" s="66"/>
      <c r="AK1140" s="66"/>
      <c r="AL1140" s="66"/>
      <c r="AM1140" s="66"/>
      <c r="AN1140" s="83"/>
      <c r="AO1140" s="83"/>
      <c r="AP1140" s="83"/>
      <c r="AQ1140" s="66"/>
      <c r="AR1140" s="66"/>
      <c r="AS1140" s="66"/>
      <c r="AT1140" s="81"/>
      <c r="AU1140" s="81"/>
      <c r="AV1140" s="81"/>
      <c r="AW1140" s="81"/>
      <c r="AX1140" s="83">
        <f>SUM(Prog_23[[#This Row],[ADIANTAMENTO]]+Prog_23[[#This Row],[SALDO]]+Prog_23[[#This Row],[MARGEM]]+Prog_23[[#This Row],[ESTADIA 1]])</f>
        <v>0</v>
      </c>
      <c r="AY11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40" s="81"/>
      <c r="BA1140" s="81"/>
      <c r="BB1140" s="81">
        <f>Prog_23[[#This Row],[VLR NF]]*0.1%</f>
        <v>0</v>
      </c>
      <c r="BC1140" s="81">
        <f>Prog_23[[#This Row],[VLR NF]]*0.05%</f>
        <v>0</v>
      </c>
      <c r="BD1140" s="81"/>
      <c r="BE1140" s="81"/>
      <c r="BF1140" s="81"/>
      <c r="BG1140" s="81"/>
      <c r="BH1140" s="81"/>
      <c r="BI1140" s="81"/>
      <c r="BJ1140" s="81"/>
      <c r="BK1140" s="81"/>
      <c r="BL1140" s="81"/>
      <c r="BM1140" s="81"/>
      <c r="BN1140" s="66"/>
      <c r="BO1140" s="66"/>
      <c r="BP1140" s="66"/>
      <c r="BQ1140" s="66" t="str">
        <f>PROPER(TEXT(Prog_23[[#This Row],[PROGRAMAÇÃO CLIENTE]],"mmm"))</f>
        <v>Jan</v>
      </c>
      <c r="BR1140" s="66">
        <f>YEAR(Prog_23[[#This Row],[PROGRAMAÇÃO CLIENTE]])</f>
        <v>1900</v>
      </c>
    </row>
    <row r="1141" spans="1:70" x14ac:dyDescent="0.25">
      <c r="A1141" s="200">
        <f>Prog_23[[#This Row],[CONTEINER]]</f>
        <v>0</v>
      </c>
      <c r="B1141" s="86"/>
      <c r="C11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41" s="44"/>
      <c r="E1141" s="66"/>
      <c r="F1141" s="66"/>
      <c r="G1141" s="66"/>
      <c r="H1141" s="44"/>
      <c r="I1141" s="44"/>
      <c r="J1141" s="66"/>
      <c r="K1141" s="66"/>
      <c r="L1141" s="66"/>
      <c r="M1141" s="66"/>
      <c r="N1141" s="66">
        <f>SUM(Prog_23[[#This Row],[TARA]]+Prog_23[[#This Row],[PESO]])</f>
        <v>0</v>
      </c>
      <c r="O1141" s="44"/>
      <c r="P1141" s="66"/>
      <c r="Q1141" s="66"/>
      <c r="R1141" s="66"/>
      <c r="S1141" s="66"/>
      <c r="T1141" s="138" t="str">
        <f>IFERROR(LOOKUP($S1141,MOTORISTAS!$D$3:$D$916,MOTORISTAS!E$3:$E$916),"")</f>
        <v/>
      </c>
      <c r="U1141" s="138" t="str">
        <f>IFERROR(LOOKUP($S1141,MOTORISTAS!$D$3:$D$916,MOTORISTAS!F$3:$F$916),"")</f>
        <v/>
      </c>
      <c r="V1141" s="66"/>
      <c r="W1141" s="66"/>
      <c r="X1141" s="66"/>
      <c r="Y1141" s="66"/>
      <c r="Z1141" s="66"/>
      <c r="AA1141" s="66"/>
      <c r="AB1141" s="66"/>
      <c r="AC1141" s="66"/>
      <c r="AD1141" s="66"/>
      <c r="AE1141" s="66"/>
      <c r="AF1141" s="44"/>
      <c r="AG1141" s="254">
        <f>Prog_23[[#This Row],[SAÍDA DO CLIENTE]]-Prog_23[[#This Row],[PROGRAMAÇÃO CLIENTE]]</f>
        <v>0</v>
      </c>
      <c r="AH1141" s="44"/>
      <c r="AI1141" s="66"/>
      <c r="AJ1141" s="66"/>
      <c r="AK1141" s="66"/>
      <c r="AL1141" s="66"/>
      <c r="AM1141" s="66"/>
      <c r="AN1141" s="83"/>
      <c r="AO1141" s="83"/>
      <c r="AP1141" s="83"/>
      <c r="AQ1141" s="66"/>
      <c r="AR1141" s="66"/>
      <c r="AS1141" s="66"/>
      <c r="AT1141" s="81"/>
      <c r="AU1141" s="81"/>
      <c r="AV1141" s="81"/>
      <c r="AW1141" s="81"/>
      <c r="AX1141" s="83">
        <f>SUM(Prog_23[[#This Row],[ADIANTAMENTO]]+Prog_23[[#This Row],[SALDO]]+Prog_23[[#This Row],[MARGEM]]+Prog_23[[#This Row],[ESTADIA 1]])</f>
        <v>0</v>
      </c>
      <c r="AY11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41" s="81"/>
      <c r="BA1141" s="81"/>
      <c r="BB1141" s="81">
        <f>Prog_23[[#This Row],[VLR NF]]*0.1%</f>
        <v>0</v>
      </c>
      <c r="BC1141" s="81">
        <f>Prog_23[[#This Row],[VLR NF]]*0.05%</f>
        <v>0</v>
      </c>
      <c r="BD1141" s="81"/>
      <c r="BE1141" s="81"/>
      <c r="BF1141" s="81"/>
      <c r="BG1141" s="81"/>
      <c r="BH1141" s="81"/>
      <c r="BI1141" s="81"/>
      <c r="BJ1141" s="81"/>
      <c r="BK1141" s="81"/>
      <c r="BL1141" s="81"/>
      <c r="BM1141" s="81"/>
      <c r="BN1141" s="66"/>
      <c r="BO1141" s="66"/>
      <c r="BP1141" s="66"/>
      <c r="BQ1141" s="66" t="str">
        <f>PROPER(TEXT(Prog_23[[#This Row],[PROGRAMAÇÃO CLIENTE]],"mmm"))</f>
        <v>Jan</v>
      </c>
      <c r="BR1141" s="66">
        <f>YEAR(Prog_23[[#This Row],[PROGRAMAÇÃO CLIENTE]])</f>
        <v>1900</v>
      </c>
    </row>
    <row r="1142" spans="1:70" x14ac:dyDescent="0.25">
      <c r="A1142" s="201">
        <f>Prog_23[[#This Row],[CONTEINER]]</f>
        <v>0</v>
      </c>
      <c r="B1142" s="86"/>
      <c r="C11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42" s="44"/>
      <c r="E1142" s="66"/>
      <c r="F1142" s="66"/>
      <c r="G1142" s="66"/>
      <c r="H1142" s="44"/>
      <c r="I1142" s="44"/>
      <c r="J1142" s="66"/>
      <c r="K1142" s="66"/>
      <c r="L1142" s="66"/>
      <c r="M1142" s="66"/>
      <c r="N1142" s="66">
        <f>SUM(Prog_23[[#This Row],[TARA]]+Prog_23[[#This Row],[PESO]])</f>
        <v>0</v>
      </c>
      <c r="O1142" s="44"/>
      <c r="P1142" s="66"/>
      <c r="Q1142" s="66"/>
      <c r="R1142" s="66"/>
      <c r="S1142" s="66"/>
      <c r="T1142" s="138" t="str">
        <f>IFERROR(LOOKUP($S1142,MOTORISTAS!$D$3:$D$916,MOTORISTAS!E$3:$E$916),"")</f>
        <v/>
      </c>
      <c r="U1142" s="138" t="str">
        <f>IFERROR(LOOKUP($S1142,MOTORISTAS!$D$3:$D$916,MOTORISTAS!F$3:$F$916),"")</f>
        <v/>
      </c>
      <c r="V1142" s="66"/>
      <c r="W1142" s="66"/>
      <c r="X1142" s="66"/>
      <c r="Y1142" s="66"/>
      <c r="Z1142" s="66"/>
      <c r="AA1142" s="66"/>
      <c r="AB1142" s="66"/>
      <c r="AC1142" s="66"/>
      <c r="AD1142" s="66"/>
      <c r="AE1142" s="66"/>
      <c r="AF1142" s="44"/>
      <c r="AG1142" s="254">
        <f>Prog_23[[#This Row],[SAÍDA DO CLIENTE]]-Prog_23[[#This Row],[PROGRAMAÇÃO CLIENTE]]</f>
        <v>0</v>
      </c>
      <c r="AH1142" s="44"/>
      <c r="AI1142" s="66"/>
      <c r="AJ1142" s="66"/>
      <c r="AK1142" s="66"/>
      <c r="AL1142" s="66"/>
      <c r="AM1142" s="66"/>
      <c r="AN1142" s="83"/>
      <c r="AO1142" s="83"/>
      <c r="AP1142" s="83"/>
      <c r="AQ1142" s="66"/>
      <c r="AR1142" s="66"/>
      <c r="AS1142" s="66"/>
      <c r="AT1142" s="81"/>
      <c r="AU1142" s="81"/>
      <c r="AV1142" s="81"/>
      <c r="AW1142" s="81"/>
      <c r="AX1142" s="83">
        <f>SUM(Prog_23[[#This Row],[ADIANTAMENTO]]+Prog_23[[#This Row],[SALDO]]+Prog_23[[#This Row],[MARGEM]]+Prog_23[[#This Row],[ESTADIA 1]])</f>
        <v>0</v>
      </c>
      <c r="AY11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42" s="81"/>
      <c r="BA1142" s="81"/>
      <c r="BB1142" s="81">
        <f>Prog_23[[#This Row],[VLR NF]]*0.1%</f>
        <v>0</v>
      </c>
      <c r="BC1142" s="81">
        <f>Prog_23[[#This Row],[VLR NF]]*0.05%</f>
        <v>0</v>
      </c>
      <c r="BD1142" s="81"/>
      <c r="BE1142" s="81"/>
      <c r="BF1142" s="81"/>
      <c r="BG1142" s="81"/>
      <c r="BH1142" s="81"/>
      <c r="BI1142" s="81"/>
      <c r="BJ1142" s="81"/>
      <c r="BK1142" s="81"/>
      <c r="BL1142" s="81"/>
      <c r="BM1142" s="81"/>
      <c r="BN1142" s="66"/>
      <c r="BO1142" s="66"/>
      <c r="BP1142" s="66"/>
      <c r="BQ1142" s="66" t="str">
        <f>PROPER(TEXT(Prog_23[[#This Row],[PROGRAMAÇÃO CLIENTE]],"mmm"))</f>
        <v>Jan</v>
      </c>
      <c r="BR1142" s="66">
        <f>YEAR(Prog_23[[#This Row],[PROGRAMAÇÃO CLIENTE]])</f>
        <v>1900</v>
      </c>
    </row>
    <row r="1143" spans="1:70" x14ac:dyDescent="0.25">
      <c r="A1143" s="200">
        <f>Prog_23[[#This Row],[CONTEINER]]</f>
        <v>0</v>
      </c>
      <c r="B1143" s="86"/>
      <c r="C11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43" s="44"/>
      <c r="E1143" s="66"/>
      <c r="F1143" s="66"/>
      <c r="G1143" s="66"/>
      <c r="H1143" s="44"/>
      <c r="I1143" s="44"/>
      <c r="J1143" s="66"/>
      <c r="K1143" s="66"/>
      <c r="L1143" s="66"/>
      <c r="M1143" s="66"/>
      <c r="N1143" s="66">
        <f>SUM(Prog_23[[#This Row],[TARA]]+Prog_23[[#This Row],[PESO]])</f>
        <v>0</v>
      </c>
      <c r="O1143" s="44"/>
      <c r="P1143" s="66"/>
      <c r="Q1143" s="66"/>
      <c r="R1143" s="66"/>
      <c r="S1143" s="66"/>
      <c r="T1143" s="138" t="str">
        <f>IFERROR(LOOKUP($S1143,MOTORISTAS!$D$3:$D$916,MOTORISTAS!E$3:$E$916),"")</f>
        <v/>
      </c>
      <c r="U1143" s="138" t="str">
        <f>IFERROR(LOOKUP($S1143,MOTORISTAS!$D$3:$D$916,MOTORISTAS!F$3:$F$916),"")</f>
        <v/>
      </c>
      <c r="V1143" s="66"/>
      <c r="W1143" s="66"/>
      <c r="X1143" s="66"/>
      <c r="Y1143" s="66"/>
      <c r="Z1143" s="66"/>
      <c r="AA1143" s="66"/>
      <c r="AB1143" s="66"/>
      <c r="AC1143" s="66"/>
      <c r="AD1143" s="66"/>
      <c r="AE1143" s="66"/>
      <c r="AF1143" s="44"/>
      <c r="AG1143" s="254">
        <f>Prog_23[[#This Row],[SAÍDA DO CLIENTE]]-Prog_23[[#This Row],[PROGRAMAÇÃO CLIENTE]]</f>
        <v>0</v>
      </c>
      <c r="AH1143" s="44"/>
      <c r="AI1143" s="66"/>
      <c r="AJ1143" s="66"/>
      <c r="AK1143" s="66"/>
      <c r="AL1143" s="66"/>
      <c r="AM1143" s="66"/>
      <c r="AN1143" s="83"/>
      <c r="AO1143" s="83"/>
      <c r="AP1143" s="83"/>
      <c r="AQ1143" s="66"/>
      <c r="AR1143" s="66"/>
      <c r="AS1143" s="66"/>
      <c r="AT1143" s="81"/>
      <c r="AU1143" s="81"/>
      <c r="AV1143" s="81"/>
      <c r="AW1143" s="81"/>
      <c r="AX1143" s="83">
        <f>SUM(Prog_23[[#This Row],[ADIANTAMENTO]]+Prog_23[[#This Row],[SALDO]]+Prog_23[[#This Row],[MARGEM]]+Prog_23[[#This Row],[ESTADIA 1]])</f>
        <v>0</v>
      </c>
      <c r="AY11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43" s="81"/>
      <c r="BA1143" s="81"/>
      <c r="BB1143" s="81">
        <f>Prog_23[[#This Row],[VLR NF]]*0.1%</f>
        <v>0</v>
      </c>
      <c r="BC1143" s="81">
        <f>Prog_23[[#This Row],[VLR NF]]*0.05%</f>
        <v>0</v>
      </c>
      <c r="BD1143" s="81"/>
      <c r="BE1143" s="81"/>
      <c r="BF1143" s="81"/>
      <c r="BG1143" s="81"/>
      <c r="BH1143" s="81"/>
      <c r="BI1143" s="81"/>
      <c r="BJ1143" s="81"/>
      <c r="BK1143" s="81"/>
      <c r="BL1143" s="81"/>
      <c r="BM1143" s="81"/>
      <c r="BN1143" s="66"/>
      <c r="BO1143" s="66"/>
      <c r="BP1143" s="66"/>
      <c r="BQ1143" s="66" t="str">
        <f>PROPER(TEXT(Prog_23[[#This Row],[PROGRAMAÇÃO CLIENTE]],"mmm"))</f>
        <v>Jan</v>
      </c>
      <c r="BR1143" s="66">
        <f>YEAR(Prog_23[[#This Row],[PROGRAMAÇÃO CLIENTE]])</f>
        <v>1900</v>
      </c>
    </row>
    <row r="1144" spans="1:70" x14ac:dyDescent="0.25">
      <c r="A1144" s="201">
        <f>Prog_23[[#This Row],[CONTEINER]]</f>
        <v>0</v>
      </c>
      <c r="B1144" s="86"/>
      <c r="C11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44" s="44"/>
      <c r="E1144" s="66"/>
      <c r="F1144" s="66"/>
      <c r="G1144" s="66"/>
      <c r="H1144" s="44"/>
      <c r="I1144" s="44"/>
      <c r="J1144" s="66"/>
      <c r="K1144" s="66"/>
      <c r="L1144" s="66"/>
      <c r="M1144" s="66"/>
      <c r="N1144" s="66">
        <f>SUM(Prog_23[[#This Row],[TARA]]+Prog_23[[#This Row],[PESO]])</f>
        <v>0</v>
      </c>
      <c r="O1144" s="44"/>
      <c r="P1144" s="66"/>
      <c r="Q1144" s="66"/>
      <c r="R1144" s="66"/>
      <c r="S1144" s="66"/>
      <c r="T1144" s="138" t="str">
        <f>IFERROR(LOOKUP($S1144,MOTORISTAS!$D$3:$D$916,MOTORISTAS!E$3:$E$916),"")</f>
        <v/>
      </c>
      <c r="U1144" s="138" t="str">
        <f>IFERROR(LOOKUP($S1144,MOTORISTAS!$D$3:$D$916,MOTORISTAS!F$3:$F$916),"")</f>
        <v/>
      </c>
      <c r="V1144" s="66"/>
      <c r="W1144" s="66"/>
      <c r="X1144" s="66"/>
      <c r="Y1144" s="66"/>
      <c r="Z1144" s="66"/>
      <c r="AA1144" s="66"/>
      <c r="AB1144" s="66"/>
      <c r="AC1144" s="66"/>
      <c r="AD1144" s="66"/>
      <c r="AE1144" s="66"/>
      <c r="AF1144" s="44"/>
      <c r="AG1144" s="254">
        <f>Prog_23[[#This Row],[SAÍDA DO CLIENTE]]-Prog_23[[#This Row],[PROGRAMAÇÃO CLIENTE]]</f>
        <v>0</v>
      </c>
      <c r="AH1144" s="44"/>
      <c r="AI1144" s="66"/>
      <c r="AJ1144" s="66"/>
      <c r="AK1144" s="66"/>
      <c r="AL1144" s="66"/>
      <c r="AM1144" s="66"/>
      <c r="AN1144" s="83"/>
      <c r="AO1144" s="83"/>
      <c r="AP1144" s="83"/>
      <c r="AQ1144" s="66"/>
      <c r="AR1144" s="66"/>
      <c r="AS1144" s="66"/>
      <c r="AT1144" s="81"/>
      <c r="AU1144" s="81"/>
      <c r="AV1144" s="81"/>
      <c r="AW1144" s="81"/>
      <c r="AX1144" s="83">
        <f>SUM(Prog_23[[#This Row],[ADIANTAMENTO]]+Prog_23[[#This Row],[SALDO]]+Prog_23[[#This Row],[MARGEM]]+Prog_23[[#This Row],[ESTADIA 1]])</f>
        <v>0</v>
      </c>
      <c r="AY11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44" s="81"/>
      <c r="BA1144" s="81"/>
      <c r="BB1144" s="81">
        <f>Prog_23[[#This Row],[VLR NF]]*0.1%</f>
        <v>0</v>
      </c>
      <c r="BC1144" s="81">
        <f>Prog_23[[#This Row],[VLR NF]]*0.05%</f>
        <v>0</v>
      </c>
      <c r="BD1144" s="81"/>
      <c r="BE1144" s="81"/>
      <c r="BF1144" s="81"/>
      <c r="BG1144" s="81"/>
      <c r="BH1144" s="81"/>
      <c r="BI1144" s="81"/>
      <c r="BJ1144" s="81"/>
      <c r="BK1144" s="81"/>
      <c r="BL1144" s="81"/>
      <c r="BM1144" s="81"/>
      <c r="BN1144" s="66"/>
      <c r="BO1144" s="66"/>
      <c r="BP1144" s="66"/>
      <c r="BQ1144" s="66" t="str">
        <f>PROPER(TEXT(Prog_23[[#This Row],[PROGRAMAÇÃO CLIENTE]],"mmm"))</f>
        <v>Jan</v>
      </c>
      <c r="BR1144" s="66">
        <f>YEAR(Prog_23[[#This Row],[PROGRAMAÇÃO CLIENTE]])</f>
        <v>1900</v>
      </c>
    </row>
    <row r="1145" spans="1:70" x14ac:dyDescent="0.25">
      <c r="A1145" s="200">
        <f>Prog_23[[#This Row],[CONTEINER]]</f>
        <v>0</v>
      </c>
      <c r="B1145" s="86"/>
      <c r="C11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45" s="44"/>
      <c r="E1145" s="66"/>
      <c r="F1145" s="66"/>
      <c r="G1145" s="66"/>
      <c r="H1145" s="44"/>
      <c r="I1145" s="44"/>
      <c r="J1145" s="66"/>
      <c r="K1145" s="66"/>
      <c r="L1145" s="66"/>
      <c r="M1145" s="66"/>
      <c r="N1145" s="66">
        <f>SUM(Prog_23[[#This Row],[TARA]]+Prog_23[[#This Row],[PESO]])</f>
        <v>0</v>
      </c>
      <c r="O1145" s="44"/>
      <c r="P1145" s="66"/>
      <c r="Q1145" s="66"/>
      <c r="R1145" s="66"/>
      <c r="S1145" s="66"/>
      <c r="T1145" s="138" t="str">
        <f>IFERROR(LOOKUP($S1145,MOTORISTAS!$D$3:$D$916,MOTORISTAS!E$3:$E$916),"")</f>
        <v/>
      </c>
      <c r="U1145" s="138" t="str">
        <f>IFERROR(LOOKUP($S1145,MOTORISTAS!$D$3:$D$916,MOTORISTAS!F$3:$F$916),"")</f>
        <v/>
      </c>
      <c r="V1145" s="66"/>
      <c r="W1145" s="66"/>
      <c r="X1145" s="66"/>
      <c r="Y1145" s="66"/>
      <c r="Z1145" s="66"/>
      <c r="AA1145" s="66"/>
      <c r="AB1145" s="66"/>
      <c r="AC1145" s="66"/>
      <c r="AD1145" s="66"/>
      <c r="AE1145" s="66"/>
      <c r="AF1145" s="44"/>
      <c r="AG1145" s="254">
        <f>Prog_23[[#This Row],[SAÍDA DO CLIENTE]]-Prog_23[[#This Row],[PROGRAMAÇÃO CLIENTE]]</f>
        <v>0</v>
      </c>
      <c r="AH1145" s="44"/>
      <c r="AI1145" s="66"/>
      <c r="AJ1145" s="66"/>
      <c r="AK1145" s="66"/>
      <c r="AL1145" s="66"/>
      <c r="AM1145" s="66"/>
      <c r="AN1145" s="83"/>
      <c r="AO1145" s="83"/>
      <c r="AP1145" s="83"/>
      <c r="AQ1145" s="66"/>
      <c r="AR1145" s="66"/>
      <c r="AS1145" s="66"/>
      <c r="AT1145" s="81"/>
      <c r="AU1145" s="81"/>
      <c r="AV1145" s="81"/>
      <c r="AW1145" s="81"/>
      <c r="AX1145" s="83">
        <f>SUM(Prog_23[[#This Row],[ADIANTAMENTO]]+Prog_23[[#This Row],[SALDO]]+Prog_23[[#This Row],[MARGEM]]+Prog_23[[#This Row],[ESTADIA 1]])</f>
        <v>0</v>
      </c>
      <c r="AY11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45" s="81"/>
      <c r="BA1145" s="81"/>
      <c r="BB1145" s="81">
        <f>Prog_23[[#This Row],[VLR NF]]*0.1%</f>
        <v>0</v>
      </c>
      <c r="BC1145" s="81">
        <f>Prog_23[[#This Row],[VLR NF]]*0.05%</f>
        <v>0</v>
      </c>
      <c r="BD1145" s="81"/>
      <c r="BE1145" s="81"/>
      <c r="BF1145" s="81"/>
      <c r="BG1145" s="81"/>
      <c r="BH1145" s="81"/>
      <c r="BI1145" s="81"/>
      <c r="BJ1145" s="81"/>
      <c r="BK1145" s="81"/>
      <c r="BL1145" s="81"/>
      <c r="BM1145" s="81"/>
      <c r="BN1145" s="66"/>
      <c r="BO1145" s="66"/>
      <c r="BP1145" s="66"/>
      <c r="BQ1145" s="66" t="str">
        <f>PROPER(TEXT(Prog_23[[#This Row],[PROGRAMAÇÃO CLIENTE]],"mmm"))</f>
        <v>Jan</v>
      </c>
      <c r="BR1145" s="66">
        <f>YEAR(Prog_23[[#This Row],[PROGRAMAÇÃO CLIENTE]])</f>
        <v>1900</v>
      </c>
    </row>
    <row r="1146" spans="1:70" x14ac:dyDescent="0.25">
      <c r="A1146" s="201">
        <f>Prog_23[[#This Row],[CONTEINER]]</f>
        <v>0</v>
      </c>
      <c r="B1146" s="86"/>
      <c r="C11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46" s="44"/>
      <c r="E1146" s="66"/>
      <c r="F1146" s="66"/>
      <c r="G1146" s="66"/>
      <c r="H1146" s="44"/>
      <c r="I1146" s="44"/>
      <c r="J1146" s="66"/>
      <c r="K1146" s="66"/>
      <c r="L1146" s="66"/>
      <c r="M1146" s="66"/>
      <c r="N1146" s="66">
        <f>SUM(Prog_23[[#This Row],[TARA]]+Prog_23[[#This Row],[PESO]])</f>
        <v>0</v>
      </c>
      <c r="O1146" s="44"/>
      <c r="P1146" s="66"/>
      <c r="Q1146" s="66"/>
      <c r="R1146" s="66"/>
      <c r="S1146" s="66"/>
      <c r="T1146" s="138" t="str">
        <f>IFERROR(LOOKUP($S1146,MOTORISTAS!$D$3:$D$916,MOTORISTAS!E$3:$E$916),"")</f>
        <v/>
      </c>
      <c r="U1146" s="138" t="str">
        <f>IFERROR(LOOKUP($S1146,MOTORISTAS!$D$3:$D$916,MOTORISTAS!F$3:$F$916),"")</f>
        <v/>
      </c>
      <c r="V1146" s="66"/>
      <c r="W1146" s="66"/>
      <c r="X1146" s="66"/>
      <c r="Y1146" s="66"/>
      <c r="Z1146" s="66"/>
      <c r="AA1146" s="66"/>
      <c r="AB1146" s="66"/>
      <c r="AC1146" s="66"/>
      <c r="AD1146" s="66"/>
      <c r="AE1146" s="66"/>
      <c r="AF1146" s="44"/>
      <c r="AG1146" s="254">
        <f>Prog_23[[#This Row],[SAÍDA DO CLIENTE]]-Prog_23[[#This Row],[PROGRAMAÇÃO CLIENTE]]</f>
        <v>0</v>
      </c>
      <c r="AH1146" s="44"/>
      <c r="AI1146" s="66"/>
      <c r="AJ1146" s="66"/>
      <c r="AK1146" s="66"/>
      <c r="AL1146" s="66"/>
      <c r="AM1146" s="66"/>
      <c r="AN1146" s="83"/>
      <c r="AO1146" s="83"/>
      <c r="AP1146" s="83"/>
      <c r="AQ1146" s="66"/>
      <c r="AR1146" s="66"/>
      <c r="AS1146" s="66"/>
      <c r="AT1146" s="81"/>
      <c r="AU1146" s="81"/>
      <c r="AV1146" s="81"/>
      <c r="AW1146" s="81"/>
      <c r="AX1146" s="83">
        <f>SUM(Prog_23[[#This Row],[ADIANTAMENTO]]+Prog_23[[#This Row],[SALDO]]+Prog_23[[#This Row],[MARGEM]]+Prog_23[[#This Row],[ESTADIA 1]])</f>
        <v>0</v>
      </c>
      <c r="AY11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46" s="81"/>
      <c r="BA1146" s="81"/>
      <c r="BB1146" s="81">
        <f>Prog_23[[#This Row],[VLR NF]]*0.1%</f>
        <v>0</v>
      </c>
      <c r="BC1146" s="81">
        <f>Prog_23[[#This Row],[VLR NF]]*0.05%</f>
        <v>0</v>
      </c>
      <c r="BD1146" s="81"/>
      <c r="BE1146" s="81"/>
      <c r="BF1146" s="81"/>
      <c r="BG1146" s="81"/>
      <c r="BH1146" s="81"/>
      <c r="BI1146" s="81"/>
      <c r="BJ1146" s="81"/>
      <c r="BK1146" s="81"/>
      <c r="BL1146" s="81"/>
      <c r="BM1146" s="81"/>
      <c r="BN1146" s="66"/>
      <c r="BO1146" s="66"/>
      <c r="BP1146" s="66"/>
      <c r="BQ1146" s="66" t="str">
        <f>PROPER(TEXT(Prog_23[[#This Row],[PROGRAMAÇÃO CLIENTE]],"mmm"))</f>
        <v>Jan</v>
      </c>
      <c r="BR1146" s="66">
        <f>YEAR(Prog_23[[#This Row],[PROGRAMAÇÃO CLIENTE]])</f>
        <v>1900</v>
      </c>
    </row>
    <row r="1147" spans="1:70" x14ac:dyDescent="0.25">
      <c r="A1147" s="200">
        <f>Prog_23[[#This Row],[CONTEINER]]</f>
        <v>0</v>
      </c>
      <c r="B1147" s="86"/>
      <c r="C11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47" s="44"/>
      <c r="E1147" s="66"/>
      <c r="F1147" s="66"/>
      <c r="G1147" s="66"/>
      <c r="H1147" s="44"/>
      <c r="I1147" s="44"/>
      <c r="J1147" s="66"/>
      <c r="K1147" s="66"/>
      <c r="L1147" s="66"/>
      <c r="M1147" s="66"/>
      <c r="N1147" s="66">
        <f>SUM(Prog_23[[#This Row],[TARA]]+Prog_23[[#This Row],[PESO]])</f>
        <v>0</v>
      </c>
      <c r="O1147" s="44"/>
      <c r="P1147" s="66"/>
      <c r="Q1147" s="66"/>
      <c r="R1147" s="66"/>
      <c r="S1147" s="66"/>
      <c r="T1147" s="138" t="str">
        <f>IFERROR(LOOKUP($S1147,MOTORISTAS!$D$3:$D$916,MOTORISTAS!E$3:$E$916),"")</f>
        <v/>
      </c>
      <c r="U1147" s="138" t="str">
        <f>IFERROR(LOOKUP($S1147,MOTORISTAS!$D$3:$D$916,MOTORISTAS!F$3:$F$916),"")</f>
        <v/>
      </c>
      <c r="V1147" s="66"/>
      <c r="W1147" s="66"/>
      <c r="X1147" s="66"/>
      <c r="Y1147" s="66"/>
      <c r="Z1147" s="66"/>
      <c r="AA1147" s="66"/>
      <c r="AB1147" s="66"/>
      <c r="AC1147" s="66"/>
      <c r="AD1147" s="66"/>
      <c r="AE1147" s="66"/>
      <c r="AF1147" s="44"/>
      <c r="AG1147" s="254">
        <f>Prog_23[[#This Row],[SAÍDA DO CLIENTE]]-Prog_23[[#This Row],[PROGRAMAÇÃO CLIENTE]]</f>
        <v>0</v>
      </c>
      <c r="AH1147" s="44"/>
      <c r="AI1147" s="66"/>
      <c r="AJ1147" s="66"/>
      <c r="AK1147" s="66"/>
      <c r="AL1147" s="66"/>
      <c r="AM1147" s="66"/>
      <c r="AN1147" s="83"/>
      <c r="AO1147" s="83"/>
      <c r="AP1147" s="83"/>
      <c r="AQ1147" s="66"/>
      <c r="AR1147" s="66"/>
      <c r="AS1147" s="66"/>
      <c r="AT1147" s="81"/>
      <c r="AU1147" s="81"/>
      <c r="AV1147" s="81"/>
      <c r="AW1147" s="81"/>
      <c r="AX1147" s="83">
        <f>SUM(Prog_23[[#This Row],[ADIANTAMENTO]]+Prog_23[[#This Row],[SALDO]]+Prog_23[[#This Row],[MARGEM]]+Prog_23[[#This Row],[ESTADIA 1]])</f>
        <v>0</v>
      </c>
      <c r="AY11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47" s="81"/>
      <c r="BA1147" s="81"/>
      <c r="BB1147" s="81">
        <f>Prog_23[[#This Row],[VLR NF]]*0.1%</f>
        <v>0</v>
      </c>
      <c r="BC1147" s="81">
        <f>Prog_23[[#This Row],[VLR NF]]*0.05%</f>
        <v>0</v>
      </c>
      <c r="BD1147" s="81"/>
      <c r="BE1147" s="81"/>
      <c r="BF1147" s="81"/>
      <c r="BG1147" s="81"/>
      <c r="BH1147" s="81"/>
      <c r="BI1147" s="81"/>
      <c r="BJ1147" s="81"/>
      <c r="BK1147" s="81"/>
      <c r="BL1147" s="81"/>
      <c r="BM1147" s="81"/>
      <c r="BN1147" s="66"/>
      <c r="BO1147" s="66"/>
      <c r="BP1147" s="66"/>
      <c r="BQ1147" s="66" t="str">
        <f>PROPER(TEXT(Prog_23[[#This Row],[PROGRAMAÇÃO CLIENTE]],"mmm"))</f>
        <v>Jan</v>
      </c>
      <c r="BR1147" s="66">
        <f>YEAR(Prog_23[[#This Row],[PROGRAMAÇÃO CLIENTE]])</f>
        <v>1900</v>
      </c>
    </row>
    <row r="1148" spans="1:70" x14ac:dyDescent="0.25">
      <c r="A1148" s="201">
        <f>Prog_23[[#This Row],[CONTEINER]]</f>
        <v>0</v>
      </c>
      <c r="B1148" s="86"/>
      <c r="C11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48" s="44"/>
      <c r="E1148" s="66"/>
      <c r="F1148" s="66"/>
      <c r="G1148" s="66"/>
      <c r="H1148" s="44"/>
      <c r="I1148" s="44"/>
      <c r="J1148" s="66"/>
      <c r="K1148" s="66"/>
      <c r="L1148" s="66"/>
      <c r="M1148" s="66"/>
      <c r="N1148" s="66">
        <f>SUM(Prog_23[[#This Row],[TARA]]+Prog_23[[#This Row],[PESO]])</f>
        <v>0</v>
      </c>
      <c r="O1148" s="44"/>
      <c r="P1148" s="66"/>
      <c r="Q1148" s="66"/>
      <c r="R1148" s="66"/>
      <c r="S1148" s="66"/>
      <c r="T1148" s="138" t="str">
        <f>IFERROR(LOOKUP($S1148,MOTORISTAS!$D$3:$D$916,MOTORISTAS!E$3:$E$916),"")</f>
        <v/>
      </c>
      <c r="U1148" s="138" t="str">
        <f>IFERROR(LOOKUP($S1148,MOTORISTAS!$D$3:$D$916,MOTORISTAS!F$3:$F$916),"")</f>
        <v/>
      </c>
      <c r="V1148" s="66"/>
      <c r="W1148" s="66"/>
      <c r="X1148" s="66"/>
      <c r="Y1148" s="66"/>
      <c r="Z1148" s="66"/>
      <c r="AA1148" s="66"/>
      <c r="AB1148" s="66"/>
      <c r="AC1148" s="66"/>
      <c r="AD1148" s="66"/>
      <c r="AE1148" s="66"/>
      <c r="AF1148" s="44"/>
      <c r="AG1148" s="254">
        <f>Prog_23[[#This Row],[SAÍDA DO CLIENTE]]-Prog_23[[#This Row],[PROGRAMAÇÃO CLIENTE]]</f>
        <v>0</v>
      </c>
      <c r="AH1148" s="44"/>
      <c r="AI1148" s="66"/>
      <c r="AJ1148" s="66"/>
      <c r="AK1148" s="66"/>
      <c r="AL1148" s="66"/>
      <c r="AM1148" s="66"/>
      <c r="AN1148" s="83"/>
      <c r="AO1148" s="83"/>
      <c r="AP1148" s="83"/>
      <c r="AQ1148" s="66"/>
      <c r="AR1148" s="66"/>
      <c r="AS1148" s="66"/>
      <c r="AT1148" s="81"/>
      <c r="AU1148" s="81"/>
      <c r="AV1148" s="81"/>
      <c r="AW1148" s="81"/>
      <c r="AX1148" s="83">
        <f>SUM(Prog_23[[#This Row],[ADIANTAMENTO]]+Prog_23[[#This Row],[SALDO]]+Prog_23[[#This Row],[MARGEM]]+Prog_23[[#This Row],[ESTADIA 1]])</f>
        <v>0</v>
      </c>
      <c r="AY11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48" s="81"/>
      <c r="BA1148" s="81"/>
      <c r="BB1148" s="81">
        <f>Prog_23[[#This Row],[VLR NF]]*0.1%</f>
        <v>0</v>
      </c>
      <c r="BC1148" s="81">
        <f>Prog_23[[#This Row],[VLR NF]]*0.05%</f>
        <v>0</v>
      </c>
      <c r="BD1148" s="81"/>
      <c r="BE1148" s="81"/>
      <c r="BF1148" s="81"/>
      <c r="BG1148" s="81"/>
      <c r="BH1148" s="81"/>
      <c r="BI1148" s="81"/>
      <c r="BJ1148" s="81"/>
      <c r="BK1148" s="81"/>
      <c r="BL1148" s="81"/>
      <c r="BM1148" s="81"/>
      <c r="BN1148" s="66"/>
      <c r="BO1148" s="66"/>
      <c r="BP1148" s="66"/>
      <c r="BQ1148" s="66" t="str">
        <f>PROPER(TEXT(Prog_23[[#This Row],[PROGRAMAÇÃO CLIENTE]],"mmm"))</f>
        <v>Jan</v>
      </c>
      <c r="BR1148" s="66">
        <f>YEAR(Prog_23[[#This Row],[PROGRAMAÇÃO CLIENTE]])</f>
        <v>1900</v>
      </c>
    </row>
    <row r="1149" spans="1:70" x14ac:dyDescent="0.25">
      <c r="A1149" s="200">
        <f>Prog_23[[#This Row],[CONTEINER]]</f>
        <v>0</v>
      </c>
      <c r="B1149" s="86"/>
      <c r="C11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49" s="44"/>
      <c r="E1149" s="66"/>
      <c r="F1149" s="66"/>
      <c r="G1149" s="66"/>
      <c r="H1149" s="44"/>
      <c r="I1149" s="44"/>
      <c r="J1149" s="66"/>
      <c r="K1149" s="66"/>
      <c r="L1149" s="66"/>
      <c r="M1149" s="66"/>
      <c r="N1149" s="66">
        <f>SUM(Prog_23[[#This Row],[TARA]]+Prog_23[[#This Row],[PESO]])</f>
        <v>0</v>
      </c>
      <c r="O1149" s="44"/>
      <c r="P1149" s="66"/>
      <c r="Q1149" s="66"/>
      <c r="R1149" s="66"/>
      <c r="S1149" s="66"/>
      <c r="T1149" s="138" t="str">
        <f>IFERROR(LOOKUP($S1149,MOTORISTAS!$D$3:$D$916,MOTORISTAS!E$3:$E$916),"")</f>
        <v/>
      </c>
      <c r="U1149" s="138" t="str">
        <f>IFERROR(LOOKUP($S1149,MOTORISTAS!$D$3:$D$916,MOTORISTAS!F$3:$F$916),"")</f>
        <v/>
      </c>
      <c r="V1149" s="66"/>
      <c r="W1149" s="66"/>
      <c r="X1149" s="66"/>
      <c r="Y1149" s="66"/>
      <c r="Z1149" s="66"/>
      <c r="AA1149" s="66"/>
      <c r="AB1149" s="66"/>
      <c r="AC1149" s="66"/>
      <c r="AD1149" s="66"/>
      <c r="AE1149" s="66"/>
      <c r="AF1149" s="44"/>
      <c r="AG1149" s="254">
        <f>Prog_23[[#This Row],[SAÍDA DO CLIENTE]]-Prog_23[[#This Row],[PROGRAMAÇÃO CLIENTE]]</f>
        <v>0</v>
      </c>
      <c r="AH1149" s="44"/>
      <c r="AI1149" s="66"/>
      <c r="AJ1149" s="66"/>
      <c r="AK1149" s="66"/>
      <c r="AL1149" s="66"/>
      <c r="AM1149" s="66"/>
      <c r="AN1149" s="83"/>
      <c r="AO1149" s="83"/>
      <c r="AP1149" s="83"/>
      <c r="AQ1149" s="66"/>
      <c r="AR1149" s="66"/>
      <c r="AS1149" s="66"/>
      <c r="AT1149" s="81"/>
      <c r="AU1149" s="81"/>
      <c r="AV1149" s="81"/>
      <c r="AW1149" s="81"/>
      <c r="AX1149" s="83">
        <f>SUM(Prog_23[[#This Row],[ADIANTAMENTO]]+Prog_23[[#This Row],[SALDO]]+Prog_23[[#This Row],[MARGEM]]+Prog_23[[#This Row],[ESTADIA 1]])</f>
        <v>0</v>
      </c>
      <c r="AY11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49" s="81"/>
      <c r="BA1149" s="81"/>
      <c r="BB1149" s="81">
        <f>Prog_23[[#This Row],[VLR NF]]*0.1%</f>
        <v>0</v>
      </c>
      <c r="BC1149" s="81">
        <f>Prog_23[[#This Row],[VLR NF]]*0.05%</f>
        <v>0</v>
      </c>
      <c r="BD1149" s="81"/>
      <c r="BE1149" s="81"/>
      <c r="BF1149" s="81"/>
      <c r="BG1149" s="81"/>
      <c r="BH1149" s="81"/>
      <c r="BI1149" s="81"/>
      <c r="BJ1149" s="81"/>
      <c r="BK1149" s="81"/>
      <c r="BL1149" s="81"/>
      <c r="BM1149" s="81"/>
      <c r="BN1149" s="66"/>
      <c r="BO1149" s="66"/>
      <c r="BP1149" s="66"/>
      <c r="BQ1149" s="66" t="str">
        <f>PROPER(TEXT(Prog_23[[#This Row],[PROGRAMAÇÃO CLIENTE]],"mmm"))</f>
        <v>Jan</v>
      </c>
      <c r="BR1149" s="66">
        <f>YEAR(Prog_23[[#This Row],[PROGRAMAÇÃO CLIENTE]])</f>
        <v>1900</v>
      </c>
    </row>
    <row r="1150" spans="1:70" x14ac:dyDescent="0.25">
      <c r="A1150" s="201">
        <f>Prog_23[[#This Row],[CONTEINER]]</f>
        <v>0</v>
      </c>
      <c r="B1150" s="86"/>
      <c r="C11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50" s="44"/>
      <c r="E1150" s="66"/>
      <c r="F1150" s="66"/>
      <c r="G1150" s="66"/>
      <c r="H1150" s="44"/>
      <c r="I1150" s="44"/>
      <c r="J1150" s="66"/>
      <c r="K1150" s="66"/>
      <c r="L1150" s="66"/>
      <c r="M1150" s="66"/>
      <c r="N1150" s="66">
        <f>SUM(Prog_23[[#This Row],[TARA]]+Prog_23[[#This Row],[PESO]])</f>
        <v>0</v>
      </c>
      <c r="O1150" s="44"/>
      <c r="P1150" s="66"/>
      <c r="Q1150" s="66"/>
      <c r="R1150" s="66"/>
      <c r="S1150" s="66"/>
      <c r="T1150" s="138" t="str">
        <f>IFERROR(LOOKUP($S1150,MOTORISTAS!$D$3:$D$916,MOTORISTAS!E$3:$E$916),"")</f>
        <v/>
      </c>
      <c r="U1150" s="138" t="str">
        <f>IFERROR(LOOKUP($S1150,MOTORISTAS!$D$3:$D$916,MOTORISTAS!F$3:$F$916),"")</f>
        <v/>
      </c>
      <c r="V1150" s="66"/>
      <c r="W1150" s="66"/>
      <c r="X1150" s="66"/>
      <c r="Y1150" s="66"/>
      <c r="Z1150" s="66"/>
      <c r="AA1150" s="66"/>
      <c r="AB1150" s="66"/>
      <c r="AC1150" s="66"/>
      <c r="AD1150" s="66"/>
      <c r="AE1150" s="66"/>
      <c r="AF1150" s="44"/>
      <c r="AG1150" s="254">
        <f>Prog_23[[#This Row],[SAÍDA DO CLIENTE]]-Prog_23[[#This Row],[PROGRAMAÇÃO CLIENTE]]</f>
        <v>0</v>
      </c>
      <c r="AH1150" s="44"/>
      <c r="AI1150" s="66"/>
      <c r="AJ1150" s="66"/>
      <c r="AK1150" s="66"/>
      <c r="AL1150" s="66"/>
      <c r="AM1150" s="66"/>
      <c r="AN1150" s="83"/>
      <c r="AO1150" s="83"/>
      <c r="AP1150" s="83"/>
      <c r="AQ1150" s="66"/>
      <c r="AR1150" s="66"/>
      <c r="AS1150" s="66"/>
      <c r="AT1150" s="81"/>
      <c r="AU1150" s="81"/>
      <c r="AV1150" s="81"/>
      <c r="AW1150" s="81"/>
      <c r="AX1150" s="83">
        <f>SUM(Prog_23[[#This Row],[ADIANTAMENTO]]+Prog_23[[#This Row],[SALDO]]+Prog_23[[#This Row],[MARGEM]]+Prog_23[[#This Row],[ESTADIA 1]])</f>
        <v>0</v>
      </c>
      <c r="AY11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50" s="81"/>
      <c r="BA1150" s="81"/>
      <c r="BB1150" s="81">
        <f>Prog_23[[#This Row],[VLR NF]]*0.1%</f>
        <v>0</v>
      </c>
      <c r="BC1150" s="81">
        <f>Prog_23[[#This Row],[VLR NF]]*0.05%</f>
        <v>0</v>
      </c>
      <c r="BD1150" s="81"/>
      <c r="BE1150" s="81"/>
      <c r="BF1150" s="81"/>
      <c r="BG1150" s="81"/>
      <c r="BH1150" s="81"/>
      <c r="BI1150" s="81"/>
      <c r="BJ1150" s="81"/>
      <c r="BK1150" s="81"/>
      <c r="BL1150" s="81"/>
      <c r="BM1150" s="81"/>
      <c r="BN1150" s="66"/>
      <c r="BO1150" s="66"/>
      <c r="BP1150" s="66"/>
      <c r="BQ1150" s="66" t="str">
        <f>PROPER(TEXT(Prog_23[[#This Row],[PROGRAMAÇÃO CLIENTE]],"mmm"))</f>
        <v>Jan</v>
      </c>
      <c r="BR1150" s="66">
        <f>YEAR(Prog_23[[#This Row],[PROGRAMAÇÃO CLIENTE]])</f>
        <v>1900</v>
      </c>
    </row>
    <row r="1151" spans="1:70" x14ac:dyDescent="0.25">
      <c r="A1151" s="200">
        <f>Prog_23[[#This Row],[CONTEINER]]</f>
        <v>0</v>
      </c>
      <c r="B1151" s="86"/>
      <c r="C11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51" s="44"/>
      <c r="E1151" s="66"/>
      <c r="F1151" s="66"/>
      <c r="G1151" s="66"/>
      <c r="H1151" s="44"/>
      <c r="I1151" s="44"/>
      <c r="J1151" s="66"/>
      <c r="K1151" s="66"/>
      <c r="L1151" s="66"/>
      <c r="M1151" s="66"/>
      <c r="N1151" s="66">
        <f>SUM(Prog_23[[#This Row],[TARA]]+Prog_23[[#This Row],[PESO]])</f>
        <v>0</v>
      </c>
      <c r="O1151" s="44"/>
      <c r="P1151" s="66"/>
      <c r="Q1151" s="66"/>
      <c r="R1151" s="66"/>
      <c r="S1151" s="66"/>
      <c r="T1151" s="138" t="str">
        <f>IFERROR(LOOKUP($S1151,MOTORISTAS!$D$3:$D$916,MOTORISTAS!E$3:$E$916),"")</f>
        <v/>
      </c>
      <c r="U1151" s="138" t="str">
        <f>IFERROR(LOOKUP($S1151,MOTORISTAS!$D$3:$D$916,MOTORISTAS!F$3:$F$916),"")</f>
        <v/>
      </c>
      <c r="V1151" s="66"/>
      <c r="W1151" s="66"/>
      <c r="X1151" s="66"/>
      <c r="Y1151" s="66"/>
      <c r="Z1151" s="66"/>
      <c r="AA1151" s="66"/>
      <c r="AB1151" s="66"/>
      <c r="AC1151" s="66"/>
      <c r="AD1151" s="66"/>
      <c r="AE1151" s="66"/>
      <c r="AF1151" s="44"/>
      <c r="AG1151" s="254">
        <f>Prog_23[[#This Row],[SAÍDA DO CLIENTE]]-Prog_23[[#This Row],[PROGRAMAÇÃO CLIENTE]]</f>
        <v>0</v>
      </c>
      <c r="AH1151" s="44"/>
      <c r="AI1151" s="66"/>
      <c r="AJ1151" s="66"/>
      <c r="AK1151" s="66"/>
      <c r="AL1151" s="66"/>
      <c r="AM1151" s="66"/>
      <c r="AN1151" s="83"/>
      <c r="AO1151" s="83"/>
      <c r="AP1151" s="83"/>
      <c r="AQ1151" s="66"/>
      <c r="AR1151" s="66"/>
      <c r="AS1151" s="66"/>
      <c r="AT1151" s="81"/>
      <c r="AU1151" s="81"/>
      <c r="AV1151" s="81"/>
      <c r="AW1151" s="81"/>
      <c r="AX1151" s="83">
        <f>SUM(Prog_23[[#This Row],[ADIANTAMENTO]]+Prog_23[[#This Row],[SALDO]]+Prog_23[[#This Row],[MARGEM]]+Prog_23[[#This Row],[ESTADIA 1]])</f>
        <v>0</v>
      </c>
      <c r="AY11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51" s="81"/>
      <c r="BA1151" s="81"/>
      <c r="BB1151" s="81">
        <f>Prog_23[[#This Row],[VLR NF]]*0.1%</f>
        <v>0</v>
      </c>
      <c r="BC1151" s="81">
        <f>Prog_23[[#This Row],[VLR NF]]*0.05%</f>
        <v>0</v>
      </c>
      <c r="BD1151" s="81"/>
      <c r="BE1151" s="81"/>
      <c r="BF1151" s="81"/>
      <c r="BG1151" s="81"/>
      <c r="BH1151" s="81"/>
      <c r="BI1151" s="81"/>
      <c r="BJ1151" s="81"/>
      <c r="BK1151" s="81"/>
      <c r="BL1151" s="81"/>
      <c r="BM1151" s="81"/>
      <c r="BN1151" s="66"/>
      <c r="BO1151" s="66"/>
      <c r="BP1151" s="66"/>
      <c r="BQ1151" s="66" t="str">
        <f>PROPER(TEXT(Prog_23[[#This Row],[PROGRAMAÇÃO CLIENTE]],"mmm"))</f>
        <v>Jan</v>
      </c>
      <c r="BR1151" s="66">
        <f>YEAR(Prog_23[[#This Row],[PROGRAMAÇÃO CLIENTE]])</f>
        <v>1900</v>
      </c>
    </row>
    <row r="1152" spans="1:70" x14ac:dyDescent="0.25">
      <c r="A1152" s="201">
        <f>Prog_23[[#This Row],[CONTEINER]]</f>
        <v>0</v>
      </c>
      <c r="B1152" s="86"/>
      <c r="C11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52" s="44"/>
      <c r="E1152" s="66"/>
      <c r="F1152" s="66"/>
      <c r="G1152" s="66"/>
      <c r="H1152" s="44"/>
      <c r="I1152" s="44"/>
      <c r="J1152" s="66"/>
      <c r="K1152" s="66"/>
      <c r="L1152" s="66"/>
      <c r="M1152" s="66"/>
      <c r="N1152" s="66">
        <f>SUM(Prog_23[[#This Row],[TARA]]+Prog_23[[#This Row],[PESO]])</f>
        <v>0</v>
      </c>
      <c r="O1152" s="44"/>
      <c r="P1152" s="66"/>
      <c r="Q1152" s="66"/>
      <c r="R1152" s="66"/>
      <c r="S1152" s="66"/>
      <c r="T1152" s="138" t="str">
        <f>IFERROR(LOOKUP($S1152,MOTORISTAS!$D$3:$D$916,MOTORISTAS!E$3:$E$916),"")</f>
        <v/>
      </c>
      <c r="U1152" s="138" t="str">
        <f>IFERROR(LOOKUP($S1152,MOTORISTAS!$D$3:$D$916,MOTORISTAS!F$3:$F$916),"")</f>
        <v/>
      </c>
      <c r="V1152" s="66"/>
      <c r="W1152" s="66"/>
      <c r="X1152" s="66"/>
      <c r="Y1152" s="66"/>
      <c r="Z1152" s="66"/>
      <c r="AA1152" s="66"/>
      <c r="AB1152" s="66"/>
      <c r="AC1152" s="66"/>
      <c r="AD1152" s="66"/>
      <c r="AE1152" s="66"/>
      <c r="AF1152" s="44"/>
      <c r="AG1152" s="254">
        <f>Prog_23[[#This Row],[SAÍDA DO CLIENTE]]-Prog_23[[#This Row],[PROGRAMAÇÃO CLIENTE]]</f>
        <v>0</v>
      </c>
      <c r="AH1152" s="44"/>
      <c r="AI1152" s="66"/>
      <c r="AJ1152" s="66"/>
      <c r="AK1152" s="66"/>
      <c r="AL1152" s="66"/>
      <c r="AM1152" s="66"/>
      <c r="AN1152" s="83"/>
      <c r="AO1152" s="83"/>
      <c r="AP1152" s="83"/>
      <c r="AQ1152" s="66"/>
      <c r="AR1152" s="66"/>
      <c r="AS1152" s="66"/>
      <c r="AT1152" s="81"/>
      <c r="AU1152" s="81"/>
      <c r="AV1152" s="81"/>
      <c r="AW1152" s="81"/>
      <c r="AX1152" s="83">
        <f>SUM(Prog_23[[#This Row],[ADIANTAMENTO]]+Prog_23[[#This Row],[SALDO]]+Prog_23[[#This Row],[MARGEM]]+Prog_23[[#This Row],[ESTADIA 1]])</f>
        <v>0</v>
      </c>
      <c r="AY11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52" s="81"/>
      <c r="BA1152" s="81"/>
      <c r="BB1152" s="81">
        <f>Prog_23[[#This Row],[VLR NF]]*0.1%</f>
        <v>0</v>
      </c>
      <c r="BC1152" s="81">
        <f>Prog_23[[#This Row],[VLR NF]]*0.05%</f>
        <v>0</v>
      </c>
      <c r="BD1152" s="81"/>
      <c r="BE1152" s="81"/>
      <c r="BF1152" s="81"/>
      <c r="BG1152" s="81"/>
      <c r="BH1152" s="81"/>
      <c r="BI1152" s="81"/>
      <c r="BJ1152" s="81"/>
      <c r="BK1152" s="81"/>
      <c r="BL1152" s="81"/>
      <c r="BM1152" s="81"/>
      <c r="BN1152" s="66"/>
      <c r="BO1152" s="66"/>
      <c r="BP1152" s="66"/>
      <c r="BQ1152" s="66" t="str">
        <f>PROPER(TEXT(Prog_23[[#This Row],[PROGRAMAÇÃO CLIENTE]],"mmm"))</f>
        <v>Jan</v>
      </c>
      <c r="BR1152" s="66">
        <f>YEAR(Prog_23[[#This Row],[PROGRAMAÇÃO CLIENTE]])</f>
        <v>1900</v>
      </c>
    </row>
    <row r="1153" spans="1:70" x14ac:dyDescent="0.25">
      <c r="A1153" s="200">
        <f>Prog_23[[#This Row],[CONTEINER]]</f>
        <v>0</v>
      </c>
      <c r="B1153" s="86"/>
      <c r="C11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53" s="44"/>
      <c r="E1153" s="66"/>
      <c r="F1153" s="66"/>
      <c r="G1153" s="66"/>
      <c r="H1153" s="44"/>
      <c r="I1153" s="44"/>
      <c r="J1153" s="66"/>
      <c r="K1153" s="66"/>
      <c r="L1153" s="66"/>
      <c r="M1153" s="66"/>
      <c r="N1153" s="66">
        <f>SUM(Prog_23[[#This Row],[TARA]]+Prog_23[[#This Row],[PESO]])</f>
        <v>0</v>
      </c>
      <c r="O1153" s="44"/>
      <c r="P1153" s="66"/>
      <c r="Q1153" s="66"/>
      <c r="R1153" s="66"/>
      <c r="S1153" s="66"/>
      <c r="T1153" s="138" t="str">
        <f>IFERROR(LOOKUP($S1153,MOTORISTAS!$D$3:$D$916,MOTORISTAS!E$3:$E$916),"")</f>
        <v/>
      </c>
      <c r="U1153" s="138" t="str">
        <f>IFERROR(LOOKUP($S1153,MOTORISTAS!$D$3:$D$916,MOTORISTAS!F$3:$F$916),"")</f>
        <v/>
      </c>
      <c r="V1153" s="66"/>
      <c r="W1153" s="66"/>
      <c r="X1153" s="66"/>
      <c r="Y1153" s="66"/>
      <c r="Z1153" s="66"/>
      <c r="AA1153" s="66"/>
      <c r="AB1153" s="66"/>
      <c r="AC1153" s="66"/>
      <c r="AD1153" s="66"/>
      <c r="AE1153" s="66"/>
      <c r="AF1153" s="44"/>
      <c r="AG1153" s="254">
        <f>Prog_23[[#This Row],[SAÍDA DO CLIENTE]]-Prog_23[[#This Row],[PROGRAMAÇÃO CLIENTE]]</f>
        <v>0</v>
      </c>
      <c r="AH1153" s="44"/>
      <c r="AI1153" s="66"/>
      <c r="AJ1153" s="66"/>
      <c r="AK1153" s="66"/>
      <c r="AL1153" s="66"/>
      <c r="AM1153" s="66"/>
      <c r="AN1153" s="83"/>
      <c r="AO1153" s="83"/>
      <c r="AP1153" s="83"/>
      <c r="AQ1153" s="66"/>
      <c r="AR1153" s="66"/>
      <c r="AS1153" s="66"/>
      <c r="AT1153" s="81"/>
      <c r="AU1153" s="81"/>
      <c r="AV1153" s="81"/>
      <c r="AW1153" s="81"/>
      <c r="AX1153" s="83">
        <f>SUM(Prog_23[[#This Row],[ADIANTAMENTO]]+Prog_23[[#This Row],[SALDO]]+Prog_23[[#This Row],[MARGEM]]+Prog_23[[#This Row],[ESTADIA 1]])</f>
        <v>0</v>
      </c>
      <c r="AY11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53" s="81"/>
      <c r="BA1153" s="81"/>
      <c r="BB1153" s="81">
        <f>Prog_23[[#This Row],[VLR NF]]*0.1%</f>
        <v>0</v>
      </c>
      <c r="BC1153" s="81">
        <f>Prog_23[[#This Row],[VLR NF]]*0.05%</f>
        <v>0</v>
      </c>
      <c r="BD1153" s="81"/>
      <c r="BE1153" s="81"/>
      <c r="BF1153" s="81"/>
      <c r="BG1153" s="81"/>
      <c r="BH1153" s="81"/>
      <c r="BI1153" s="81"/>
      <c r="BJ1153" s="81"/>
      <c r="BK1153" s="81"/>
      <c r="BL1153" s="81"/>
      <c r="BM1153" s="81"/>
      <c r="BN1153" s="66"/>
      <c r="BO1153" s="66"/>
      <c r="BP1153" s="66"/>
      <c r="BQ1153" s="66" t="str">
        <f>PROPER(TEXT(Prog_23[[#This Row],[PROGRAMAÇÃO CLIENTE]],"mmm"))</f>
        <v>Jan</v>
      </c>
      <c r="BR1153" s="66">
        <f>YEAR(Prog_23[[#This Row],[PROGRAMAÇÃO CLIENTE]])</f>
        <v>1900</v>
      </c>
    </row>
    <row r="1154" spans="1:70" x14ac:dyDescent="0.25">
      <c r="A1154" s="201">
        <f>Prog_23[[#This Row],[CONTEINER]]</f>
        <v>0</v>
      </c>
      <c r="B1154" s="86"/>
      <c r="C11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54" s="44"/>
      <c r="E1154" s="66"/>
      <c r="F1154" s="66"/>
      <c r="G1154" s="66"/>
      <c r="H1154" s="44"/>
      <c r="I1154" s="44"/>
      <c r="J1154" s="66"/>
      <c r="K1154" s="66"/>
      <c r="L1154" s="66"/>
      <c r="M1154" s="66"/>
      <c r="N1154" s="66">
        <f>SUM(Prog_23[[#This Row],[TARA]]+Prog_23[[#This Row],[PESO]])</f>
        <v>0</v>
      </c>
      <c r="O1154" s="44"/>
      <c r="P1154" s="66"/>
      <c r="Q1154" s="66"/>
      <c r="R1154" s="66"/>
      <c r="S1154" s="66"/>
      <c r="T1154" s="138" t="str">
        <f>IFERROR(LOOKUP($S1154,MOTORISTAS!$D$3:$D$916,MOTORISTAS!E$3:$E$916),"")</f>
        <v/>
      </c>
      <c r="U1154" s="138" t="str">
        <f>IFERROR(LOOKUP($S1154,MOTORISTAS!$D$3:$D$916,MOTORISTAS!F$3:$F$916),"")</f>
        <v/>
      </c>
      <c r="V1154" s="66"/>
      <c r="W1154" s="66"/>
      <c r="X1154" s="66"/>
      <c r="Y1154" s="66"/>
      <c r="Z1154" s="66"/>
      <c r="AA1154" s="66"/>
      <c r="AB1154" s="66"/>
      <c r="AC1154" s="66"/>
      <c r="AD1154" s="66"/>
      <c r="AE1154" s="66"/>
      <c r="AF1154" s="44"/>
      <c r="AG1154" s="254">
        <f>Prog_23[[#This Row],[SAÍDA DO CLIENTE]]-Prog_23[[#This Row],[PROGRAMAÇÃO CLIENTE]]</f>
        <v>0</v>
      </c>
      <c r="AH1154" s="44"/>
      <c r="AI1154" s="66"/>
      <c r="AJ1154" s="66"/>
      <c r="AK1154" s="66"/>
      <c r="AL1154" s="66"/>
      <c r="AM1154" s="66"/>
      <c r="AN1154" s="83"/>
      <c r="AO1154" s="83"/>
      <c r="AP1154" s="83"/>
      <c r="AQ1154" s="66"/>
      <c r="AR1154" s="66"/>
      <c r="AS1154" s="66"/>
      <c r="AT1154" s="81"/>
      <c r="AU1154" s="81"/>
      <c r="AV1154" s="81"/>
      <c r="AW1154" s="81"/>
      <c r="AX1154" s="83">
        <f>SUM(Prog_23[[#This Row],[ADIANTAMENTO]]+Prog_23[[#This Row],[SALDO]]+Prog_23[[#This Row],[MARGEM]]+Prog_23[[#This Row],[ESTADIA 1]])</f>
        <v>0</v>
      </c>
      <c r="AY11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54" s="81"/>
      <c r="BA1154" s="81"/>
      <c r="BB1154" s="81">
        <f>Prog_23[[#This Row],[VLR NF]]*0.1%</f>
        <v>0</v>
      </c>
      <c r="BC1154" s="81">
        <f>Prog_23[[#This Row],[VLR NF]]*0.05%</f>
        <v>0</v>
      </c>
      <c r="BD1154" s="81"/>
      <c r="BE1154" s="81"/>
      <c r="BF1154" s="81"/>
      <c r="BG1154" s="81"/>
      <c r="BH1154" s="81"/>
      <c r="BI1154" s="81"/>
      <c r="BJ1154" s="81"/>
      <c r="BK1154" s="81"/>
      <c r="BL1154" s="81"/>
      <c r="BM1154" s="81"/>
      <c r="BN1154" s="66"/>
      <c r="BO1154" s="66"/>
      <c r="BP1154" s="66"/>
      <c r="BQ1154" s="66" t="str">
        <f>PROPER(TEXT(Prog_23[[#This Row],[PROGRAMAÇÃO CLIENTE]],"mmm"))</f>
        <v>Jan</v>
      </c>
      <c r="BR1154" s="66">
        <f>YEAR(Prog_23[[#This Row],[PROGRAMAÇÃO CLIENTE]])</f>
        <v>1900</v>
      </c>
    </row>
    <row r="1155" spans="1:70" x14ac:dyDescent="0.25">
      <c r="A1155" s="200">
        <f>Prog_23[[#This Row],[CONTEINER]]</f>
        <v>0</v>
      </c>
      <c r="B1155" s="86"/>
      <c r="C11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55" s="44"/>
      <c r="E1155" s="66"/>
      <c r="F1155" s="66"/>
      <c r="G1155" s="66"/>
      <c r="H1155" s="44"/>
      <c r="I1155" s="44"/>
      <c r="J1155" s="66"/>
      <c r="K1155" s="66"/>
      <c r="L1155" s="66"/>
      <c r="M1155" s="66"/>
      <c r="N1155" s="66">
        <f>SUM(Prog_23[[#This Row],[TARA]]+Prog_23[[#This Row],[PESO]])</f>
        <v>0</v>
      </c>
      <c r="O1155" s="44"/>
      <c r="P1155" s="66"/>
      <c r="Q1155" s="66"/>
      <c r="R1155" s="66"/>
      <c r="S1155" s="66"/>
      <c r="T1155" s="138" t="str">
        <f>IFERROR(LOOKUP($S1155,MOTORISTAS!$D$3:$D$916,MOTORISTAS!E$3:$E$916),"")</f>
        <v/>
      </c>
      <c r="U1155" s="138" t="str">
        <f>IFERROR(LOOKUP($S1155,MOTORISTAS!$D$3:$D$916,MOTORISTAS!F$3:$F$916),"")</f>
        <v/>
      </c>
      <c r="V1155" s="66"/>
      <c r="W1155" s="66"/>
      <c r="X1155" s="66"/>
      <c r="Y1155" s="66"/>
      <c r="Z1155" s="66"/>
      <c r="AA1155" s="66"/>
      <c r="AB1155" s="66"/>
      <c r="AC1155" s="66"/>
      <c r="AD1155" s="66"/>
      <c r="AE1155" s="66"/>
      <c r="AF1155" s="44"/>
      <c r="AG1155" s="254">
        <f>Prog_23[[#This Row],[SAÍDA DO CLIENTE]]-Prog_23[[#This Row],[PROGRAMAÇÃO CLIENTE]]</f>
        <v>0</v>
      </c>
      <c r="AH1155" s="44"/>
      <c r="AI1155" s="66"/>
      <c r="AJ1155" s="66"/>
      <c r="AK1155" s="66"/>
      <c r="AL1155" s="66"/>
      <c r="AM1155" s="66"/>
      <c r="AN1155" s="83"/>
      <c r="AO1155" s="83"/>
      <c r="AP1155" s="83"/>
      <c r="AQ1155" s="66"/>
      <c r="AR1155" s="66"/>
      <c r="AS1155" s="66"/>
      <c r="AT1155" s="81"/>
      <c r="AU1155" s="81"/>
      <c r="AV1155" s="81"/>
      <c r="AW1155" s="81"/>
      <c r="AX1155" s="83">
        <f>SUM(Prog_23[[#This Row],[ADIANTAMENTO]]+Prog_23[[#This Row],[SALDO]]+Prog_23[[#This Row],[MARGEM]]+Prog_23[[#This Row],[ESTADIA 1]])</f>
        <v>0</v>
      </c>
      <c r="AY11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55" s="81"/>
      <c r="BA1155" s="81"/>
      <c r="BB1155" s="81">
        <f>Prog_23[[#This Row],[VLR NF]]*0.1%</f>
        <v>0</v>
      </c>
      <c r="BC1155" s="81">
        <f>Prog_23[[#This Row],[VLR NF]]*0.05%</f>
        <v>0</v>
      </c>
      <c r="BD1155" s="81"/>
      <c r="BE1155" s="81"/>
      <c r="BF1155" s="81"/>
      <c r="BG1155" s="81"/>
      <c r="BH1155" s="81"/>
      <c r="BI1155" s="81"/>
      <c r="BJ1155" s="81"/>
      <c r="BK1155" s="81"/>
      <c r="BL1155" s="81"/>
      <c r="BM1155" s="81"/>
      <c r="BN1155" s="66"/>
      <c r="BO1155" s="66"/>
      <c r="BP1155" s="66"/>
      <c r="BQ1155" s="66" t="str">
        <f>PROPER(TEXT(Prog_23[[#This Row],[PROGRAMAÇÃO CLIENTE]],"mmm"))</f>
        <v>Jan</v>
      </c>
      <c r="BR1155" s="66">
        <f>YEAR(Prog_23[[#This Row],[PROGRAMAÇÃO CLIENTE]])</f>
        <v>1900</v>
      </c>
    </row>
    <row r="1156" spans="1:70" x14ac:dyDescent="0.25">
      <c r="A1156" s="201">
        <f>Prog_23[[#This Row],[CONTEINER]]</f>
        <v>0</v>
      </c>
      <c r="B1156" s="86"/>
      <c r="C11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56" s="44"/>
      <c r="E1156" s="66"/>
      <c r="F1156" s="66"/>
      <c r="G1156" s="66"/>
      <c r="H1156" s="44"/>
      <c r="I1156" s="44"/>
      <c r="J1156" s="66"/>
      <c r="K1156" s="66"/>
      <c r="L1156" s="66"/>
      <c r="M1156" s="66"/>
      <c r="N1156" s="66">
        <f>SUM(Prog_23[[#This Row],[TARA]]+Prog_23[[#This Row],[PESO]])</f>
        <v>0</v>
      </c>
      <c r="O1156" s="44"/>
      <c r="P1156" s="66"/>
      <c r="Q1156" s="66"/>
      <c r="R1156" s="66"/>
      <c r="S1156" s="66"/>
      <c r="T1156" s="138" t="str">
        <f>IFERROR(LOOKUP($S1156,MOTORISTAS!$D$3:$D$916,MOTORISTAS!E$3:$E$916),"")</f>
        <v/>
      </c>
      <c r="U1156" s="138" t="str">
        <f>IFERROR(LOOKUP($S1156,MOTORISTAS!$D$3:$D$916,MOTORISTAS!F$3:$F$916),"")</f>
        <v/>
      </c>
      <c r="V1156" s="66"/>
      <c r="W1156" s="66"/>
      <c r="X1156" s="66"/>
      <c r="Y1156" s="66"/>
      <c r="Z1156" s="66"/>
      <c r="AA1156" s="66"/>
      <c r="AB1156" s="66"/>
      <c r="AC1156" s="66"/>
      <c r="AD1156" s="66"/>
      <c r="AE1156" s="66"/>
      <c r="AF1156" s="44"/>
      <c r="AG1156" s="254">
        <f>Prog_23[[#This Row],[SAÍDA DO CLIENTE]]-Prog_23[[#This Row],[PROGRAMAÇÃO CLIENTE]]</f>
        <v>0</v>
      </c>
      <c r="AH1156" s="44"/>
      <c r="AI1156" s="66"/>
      <c r="AJ1156" s="66"/>
      <c r="AK1156" s="66"/>
      <c r="AL1156" s="66"/>
      <c r="AM1156" s="66"/>
      <c r="AN1156" s="83"/>
      <c r="AO1156" s="83"/>
      <c r="AP1156" s="83"/>
      <c r="AQ1156" s="66"/>
      <c r="AR1156" s="66"/>
      <c r="AS1156" s="66"/>
      <c r="AT1156" s="81"/>
      <c r="AU1156" s="81"/>
      <c r="AV1156" s="81"/>
      <c r="AW1156" s="81"/>
      <c r="AX1156" s="83">
        <f>SUM(Prog_23[[#This Row],[ADIANTAMENTO]]+Prog_23[[#This Row],[SALDO]]+Prog_23[[#This Row],[MARGEM]]+Prog_23[[#This Row],[ESTADIA 1]])</f>
        <v>0</v>
      </c>
      <c r="AY11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56" s="81"/>
      <c r="BA1156" s="81"/>
      <c r="BB1156" s="81">
        <f>Prog_23[[#This Row],[VLR NF]]*0.1%</f>
        <v>0</v>
      </c>
      <c r="BC1156" s="81">
        <f>Prog_23[[#This Row],[VLR NF]]*0.05%</f>
        <v>0</v>
      </c>
      <c r="BD1156" s="81"/>
      <c r="BE1156" s="81"/>
      <c r="BF1156" s="81"/>
      <c r="BG1156" s="81"/>
      <c r="BH1156" s="81"/>
      <c r="BI1156" s="81"/>
      <c r="BJ1156" s="81"/>
      <c r="BK1156" s="81"/>
      <c r="BL1156" s="81"/>
      <c r="BM1156" s="81"/>
      <c r="BN1156" s="66"/>
      <c r="BO1156" s="66"/>
      <c r="BP1156" s="66"/>
      <c r="BQ1156" s="66" t="str">
        <f>PROPER(TEXT(Prog_23[[#This Row],[PROGRAMAÇÃO CLIENTE]],"mmm"))</f>
        <v>Jan</v>
      </c>
      <c r="BR1156" s="66">
        <f>YEAR(Prog_23[[#This Row],[PROGRAMAÇÃO CLIENTE]])</f>
        <v>1900</v>
      </c>
    </row>
    <row r="1157" spans="1:70" x14ac:dyDescent="0.25">
      <c r="A1157" s="200">
        <f>Prog_23[[#This Row],[CONTEINER]]</f>
        <v>0</v>
      </c>
      <c r="B1157" s="86"/>
      <c r="C11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57" s="44"/>
      <c r="E1157" s="66"/>
      <c r="F1157" s="66"/>
      <c r="G1157" s="66"/>
      <c r="H1157" s="44"/>
      <c r="I1157" s="44"/>
      <c r="J1157" s="66"/>
      <c r="K1157" s="66"/>
      <c r="L1157" s="66"/>
      <c r="M1157" s="66"/>
      <c r="N1157" s="66">
        <f>SUM(Prog_23[[#This Row],[TARA]]+Prog_23[[#This Row],[PESO]])</f>
        <v>0</v>
      </c>
      <c r="O1157" s="44"/>
      <c r="P1157" s="66"/>
      <c r="Q1157" s="66"/>
      <c r="R1157" s="66"/>
      <c r="S1157" s="66"/>
      <c r="T1157" s="138" t="str">
        <f>IFERROR(LOOKUP($S1157,MOTORISTAS!$D$3:$D$916,MOTORISTAS!E$3:$E$916),"")</f>
        <v/>
      </c>
      <c r="U1157" s="138" t="str">
        <f>IFERROR(LOOKUP($S1157,MOTORISTAS!$D$3:$D$916,MOTORISTAS!F$3:$F$916),"")</f>
        <v/>
      </c>
      <c r="V1157" s="66"/>
      <c r="W1157" s="66"/>
      <c r="X1157" s="66"/>
      <c r="Y1157" s="66"/>
      <c r="Z1157" s="66"/>
      <c r="AA1157" s="66"/>
      <c r="AB1157" s="66"/>
      <c r="AC1157" s="66"/>
      <c r="AD1157" s="66"/>
      <c r="AE1157" s="66"/>
      <c r="AF1157" s="44"/>
      <c r="AG1157" s="254">
        <f>Prog_23[[#This Row],[SAÍDA DO CLIENTE]]-Prog_23[[#This Row],[PROGRAMAÇÃO CLIENTE]]</f>
        <v>0</v>
      </c>
      <c r="AH1157" s="44"/>
      <c r="AI1157" s="66"/>
      <c r="AJ1157" s="66"/>
      <c r="AK1157" s="66"/>
      <c r="AL1157" s="66"/>
      <c r="AM1157" s="66"/>
      <c r="AN1157" s="83"/>
      <c r="AO1157" s="83"/>
      <c r="AP1157" s="83"/>
      <c r="AQ1157" s="66"/>
      <c r="AR1157" s="66"/>
      <c r="AS1157" s="66"/>
      <c r="AT1157" s="81"/>
      <c r="AU1157" s="81"/>
      <c r="AV1157" s="81"/>
      <c r="AW1157" s="81"/>
      <c r="AX1157" s="83">
        <f>SUM(Prog_23[[#This Row],[ADIANTAMENTO]]+Prog_23[[#This Row],[SALDO]]+Prog_23[[#This Row],[MARGEM]]+Prog_23[[#This Row],[ESTADIA 1]])</f>
        <v>0</v>
      </c>
      <c r="AY11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57" s="81"/>
      <c r="BA1157" s="81"/>
      <c r="BB1157" s="81">
        <f>Prog_23[[#This Row],[VLR NF]]*0.1%</f>
        <v>0</v>
      </c>
      <c r="BC1157" s="81">
        <f>Prog_23[[#This Row],[VLR NF]]*0.05%</f>
        <v>0</v>
      </c>
      <c r="BD1157" s="81"/>
      <c r="BE1157" s="81"/>
      <c r="BF1157" s="81"/>
      <c r="BG1157" s="81"/>
      <c r="BH1157" s="81"/>
      <c r="BI1157" s="81"/>
      <c r="BJ1157" s="81"/>
      <c r="BK1157" s="81"/>
      <c r="BL1157" s="81"/>
      <c r="BM1157" s="81"/>
      <c r="BN1157" s="66"/>
      <c r="BO1157" s="66"/>
      <c r="BP1157" s="66"/>
      <c r="BQ1157" s="66" t="str">
        <f>PROPER(TEXT(Prog_23[[#This Row],[PROGRAMAÇÃO CLIENTE]],"mmm"))</f>
        <v>Jan</v>
      </c>
      <c r="BR1157" s="66">
        <f>YEAR(Prog_23[[#This Row],[PROGRAMAÇÃO CLIENTE]])</f>
        <v>1900</v>
      </c>
    </row>
    <row r="1158" spans="1:70" x14ac:dyDescent="0.25">
      <c r="A1158" s="201">
        <f>Prog_23[[#This Row],[CONTEINER]]</f>
        <v>0</v>
      </c>
      <c r="B1158" s="86"/>
      <c r="C11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58" s="44"/>
      <c r="E1158" s="66"/>
      <c r="F1158" s="66"/>
      <c r="G1158" s="66"/>
      <c r="H1158" s="44"/>
      <c r="I1158" s="44"/>
      <c r="J1158" s="66"/>
      <c r="K1158" s="66"/>
      <c r="L1158" s="66"/>
      <c r="M1158" s="66"/>
      <c r="N1158" s="66">
        <f>SUM(Prog_23[[#This Row],[TARA]]+Prog_23[[#This Row],[PESO]])</f>
        <v>0</v>
      </c>
      <c r="O1158" s="44"/>
      <c r="P1158" s="66"/>
      <c r="Q1158" s="66"/>
      <c r="R1158" s="66"/>
      <c r="S1158" s="66"/>
      <c r="T1158" s="138" t="str">
        <f>IFERROR(LOOKUP($S1158,MOTORISTAS!$D$3:$D$916,MOTORISTAS!E$3:$E$916),"")</f>
        <v/>
      </c>
      <c r="U1158" s="138" t="str">
        <f>IFERROR(LOOKUP($S1158,MOTORISTAS!$D$3:$D$916,MOTORISTAS!F$3:$F$916),"")</f>
        <v/>
      </c>
      <c r="V1158" s="66"/>
      <c r="W1158" s="66"/>
      <c r="X1158" s="66"/>
      <c r="Y1158" s="66"/>
      <c r="Z1158" s="66"/>
      <c r="AA1158" s="66"/>
      <c r="AB1158" s="66"/>
      <c r="AC1158" s="66"/>
      <c r="AD1158" s="66"/>
      <c r="AE1158" s="66"/>
      <c r="AF1158" s="44"/>
      <c r="AG1158" s="254">
        <f>Prog_23[[#This Row],[SAÍDA DO CLIENTE]]-Prog_23[[#This Row],[PROGRAMAÇÃO CLIENTE]]</f>
        <v>0</v>
      </c>
      <c r="AH1158" s="44"/>
      <c r="AI1158" s="66"/>
      <c r="AJ1158" s="66"/>
      <c r="AK1158" s="66"/>
      <c r="AL1158" s="66"/>
      <c r="AM1158" s="66"/>
      <c r="AN1158" s="83"/>
      <c r="AO1158" s="83"/>
      <c r="AP1158" s="83"/>
      <c r="AQ1158" s="66"/>
      <c r="AR1158" s="66"/>
      <c r="AS1158" s="66"/>
      <c r="AT1158" s="81"/>
      <c r="AU1158" s="81"/>
      <c r="AV1158" s="81"/>
      <c r="AW1158" s="81"/>
      <c r="AX1158" s="83">
        <f>SUM(Prog_23[[#This Row],[ADIANTAMENTO]]+Prog_23[[#This Row],[SALDO]]+Prog_23[[#This Row],[MARGEM]]+Prog_23[[#This Row],[ESTADIA 1]])</f>
        <v>0</v>
      </c>
      <c r="AY11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58" s="81"/>
      <c r="BA1158" s="81"/>
      <c r="BB1158" s="81">
        <f>Prog_23[[#This Row],[VLR NF]]*0.1%</f>
        <v>0</v>
      </c>
      <c r="BC1158" s="81">
        <f>Prog_23[[#This Row],[VLR NF]]*0.05%</f>
        <v>0</v>
      </c>
      <c r="BD1158" s="81"/>
      <c r="BE1158" s="81"/>
      <c r="BF1158" s="81"/>
      <c r="BG1158" s="81"/>
      <c r="BH1158" s="81"/>
      <c r="BI1158" s="81"/>
      <c r="BJ1158" s="81"/>
      <c r="BK1158" s="81"/>
      <c r="BL1158" s="81"/>
      <c r="BM1158" s="81"/>
      <c r="BN1158" s="66"/>
      <c r="BO1158" s="66"/>
      <c r="BP1158" s="66"/>
      <c r="BQ1158" s="66" t="str">
        <f>PROPER(TEXT(Prog_23[[#This Row],[PROGRAMAÇÃO CLIENTE]],"mmm"))</f>
        <v>Jan</v>
      </c>
      <c r="BR1158" s="66">
        <f>YEAR(Prog_23[[#This Row],[PROGRAMAÇÃO CLIENTE]])</f>
        <v>1900</v>
      </c>
    </row>
    <row r="1159" spans="1:70" x14ac:dyDescent="0.25">
      <c r="A1159" s="200">
        <f>Prog_23[[#This Row],[CONTEINER]]</f>
        <v>0</v>
      </c>
      <c r="B1159" s="86"/>
      <c r="C11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59" s="44"/>
      <c r="E1159" s="66"/>
      <c r="F1159" s="66"/>
      <c r="G1159" s="66"/>
      <c r="H1159" s="44"/>
      <c r="I1159" s="44"/>
      <c r="J1159" s="66"/>
      <c r="K1159" s="66"/>
      <c r="L1159" s="66"/>
      <c r="M1159" s="66"/>
      <c r="N1159" s="66">
        <f>SUM(Prog_23[[#This Row],[TARA]]+Prog_23[[#This Row],[PESO]])</f>
        <v>0</v>
      </c>
      <c r="O1159" s="44"/>
      <c r="P1159" s="66"/>
      <c r="Q1159" s="66"/>
      <c r="R1159" s="66"/>
      <c r="S1159" s="66"/>
      <c r="T1159" s="138" t="str">
        <f>IFERROR(LOOKUP($S1159,MOTORISTAS!$D$3:$D$916,MOTORISTAS!E$3:$E$916),"")</f>
        <v/>
      </c>
      <c r="U1159" s="138" t="str">
        <f>IFERROR(LOOKUP($S1159,MOTORISTAS!$D$3:$D$916,MOTORISTAS!F$3:$F$916),"")</f>
        <v/>
      </c>
      <c r="V1159" s="66"/>
      <c r="W1159" s="66"/>
      <c r="X1159" s="66"/>
      <c r="Y1159" s="66"/>
      <c r="Z1159" s="66"/>
      <c r="AA1159" s="66"/>
      <c r="AB1159" s="66"/>
      <c r="AC1159" s="66"/>
      <c r="AD1159" s="66"/>
      <c r="AE1159" s="66"/>
      <c r="AF1159" s="44"/>
      <c r="AG1159" s="254">
        <f>Prog_23[[#This Row],[SAÍDA DO CLIENTE]]-Prog_23[[#This Row],[PROGRAMAÇÃO CLIENTE]]</f>
        <v>0</v>
      </c>
      <c r="AH1159" s="44"/>
      <c r="AI1159" s="66"/>
      <c r="AJ1159" s="66"/>
      <c r="AK1159" s="66"/>
      <c r="AL1159" s="66"/>
      <c r="AM1159" s="66"/>
      <c r="AN1159" s="83"/>
      <c r="AO1159" s="83"/>
      <c r="AP1159" s="83"/>
      <c r="AQ1159" s="66"/>
      <c r="AR1159" s="66"/>
      <c r="AS1159" s="66"/>
      <c r="AT1159" s="81"/>
      <c r="AU1159" s="81"/>
      <c r="AV1159" s="81"/>
      <c r="AW1159" s="81"/>
      <c r="AX1159" s="83">
        <f>SUM(Prog_23[[#This Row],[ADIANTAMENTO]]+Prog_23[[#This Row],[SALDO]]+Prog_23[[#This Row],[MARGEM]]+Prog_23[[#This Row],[ESTADIA 1]])</f>
        <v>0</v>
      </c>
      <c r="AY11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59" s="81"/>
      <c r="BA1159" s="81"/>
      <c r="BB1159" s="81">
        <f>Prog_23[[#This Row],[VLR NF]]*0.1%</f>
        <v>0</v>
      </c>
      <c r="BC1159" s="81">
        <f>Prog_23[[#This Row],[VLR NF]]*0.05%</f>
        <v>0</v>
      </c>
      <c r="BD1159" s="81"/>
      <c r="BE1159" s="81"/>
      <c r="BF1159" s="81"/>
      <c r="BG1159" s="81"/>
      <c r="BH1159" s="81"/>
      <c r="BI1159" s="81"/>
      <c r="BJ1159" s="81"/>
      <c r="BK1159" s="81"/>
      <c r="BL1159" s="81"/>
      <c r="BM1159" s="81"/>
      <c r="BN1159" s="66"/>
      <c r="BO1159" s="66"/>
      <c r="BP1159" s="66"/>
      <c r="BQ1159" s="66" t="str">
        <f>PROPER(TEXT(Prog_23[[#This Row],[PROGRAMAÇÃO CLIENTE]],"mmm"))</f>
        <v>Jan</v>
      </c>
      <c r="BR1159" s="66">
        <f>YEAR(Prog_23[[#This Row],[PROGRAMAÇÃO CLIENTE]])</f>
        <v>1900</v>
      </c>
    </row>
    <row r="1160" spans="1:70" x14ac:dyDescent="0.25">
      <c r="A1160" s="201">
        <f>Prog_23[[#This Row],[CONTEINER]]</f>
        <v>0</v>
      </c>
      <c r="B1160" s="86"/>
      <c r="C11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60" s="44"/>
      <c r="E1160" s="66"/>
      <c r="F1160" s="66"/>
      <c r="G1160" s="66"/>
      <c r="H1160" s="44"/>
      <c r="I1160" s="44"/>
      <c r="J1160" s="66"/>
      <c r="K1160" s="66"/>
      <c r="L1160" s="66"/>
      <c r="M1160" s="66"/>
      <c r="N1160" s="66">
        <f>SUM(Prog_23[[#This Row],[TARA]]+Prog_23[[#This Row],[PESO]])</f>
        <v>0</v>
      </c>
      <c r="O1160" s="44"/>
      <c r="P1160" s="66"/>
      <c r="Q1160" s="66"/>
      <c r="R1160" s="66"/>
      <c r="S1160" s="66"/>
      <c r="T1160" s="138" t="str">
        <f>IFERROR(LOOKUP($S1160,MOTORISTAS!$D$3:$D$916,MOTORISTAS!E$3:$E$916),"")</f>
        <v/>
      </c>
      <c r="U1160" s="138" t="str">
        <f>IFERROR(LOOKUP($S1160,MOTORISTAS!$D$3:$D$916,MOTORISTAS!F$3:$F$916),"")</f>
        <v/>
      </c>
      <c r="V1160" s="66"/>
      <c r="W1160" s="66"/>
      <c r="X1160" s="66"/>
      <c r="Y1160" s="66"/>
      <c r="Z1160" s="66"/>
      <c r="AA1160" s="66"/>
      <c r="AB1160" s="66"/>
      <c r="AC1160" s="66"/>
      <c r="AD1160" s="66"/>
      <c r="AE1160" s="66"/>
      <c r="AF1160" s="44"/>
      <c r="AG1160" s="254">
        <f>Prog_23[[#This Row],[SAÍDA DO CLIENTE]]-Prog_23[[#This Row],[PROGRAMAÇÃO CLIENTE]]</f>
        <v>0</v>
      </c>
      <c r="AH1160" s="44"/>
      <c r="AI1160" s="66"/>
      <c r="AJ1160" s="66"/>
      <c r="AK1160" s="66"/>
      <c r="AL1160" s="66"/>
      <c r="AM1160" s="66"/>
      <c r="AN1160" s="83"/>
      <c r="AO1160" s="83"/>
      <c r="AP1160" s="83"/>
      <c r="AQ1160" s="66"/>
      <c r="AR1160" s="66"/>
      <c r="AS1160" s="66"/>
      <c r="AT1160" s="81"/>
      <c r="AU1160" s="81"/>
      <c r="AV1160" s="81"/>
      <c r="AW1160" s="81"/>
      <c r="AX1160" s="83">
        <f>SUM(Prog_23[[#This Row],[ADIANTAMENTO]]+Prog_23[[#This Row],[SALDO]]+Prog_23[[#This Row],[MARGEM]]+Prog_23[[#This Row],[ESTADIA 1]])</f>
        <v>0</v>
      </c>
      <c r="AY11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60" s="81"/>
      <c r="BA1160" s="81"/>
      <c r="BB1160" s="81">
        <f>Prog_23[[#This Row],[VLR NF]]*0.1%</f>
        <v>0</v>
      </c>
      <c r="BC1160" s="81">
        <f>Prog_23[[#This Row],[VLR NF]]*0.05%</f>
        <v>0</v>
      </c>
      <c r="BD1160" s="81"/>
      <c r="BE1160" s="81"/>
      <c r="BF1160" s="81"/>
      <c r="BG1160" s="81"/>
      <c r="BH1160" s="81"/>
      <c r="BI1160" s="81"/>
      <c r="BJ1160" s="81"/>
      <c r="BK1160" s="81"/>
      <c r="BL1160" s="81"/>
      <c r="BM1160" s="81"/>
      <c r="BN1160" s="66"/>
      <c r="BO1160" s="66"/>
      <c r="BP1160" s="66"/>
      <c r="BQ1160" s="66" t="str">
        <f>PROPER(TEXT(Prog_23[[#This Row],[PROGRAMAÇÃO CLIENTE]],"mmm"))</f>
        <v>Jan</v>
      </c>
      <c r="BR1160" s="66">
        <f>YEAR(Prog_23[[#This Row],[PROGRAMAÇÃO CLIENTE]])</f>
        <v>1900</v>
      </c>
    </row>
    <row r="1161" spans="1:70" x14ac:dyDescent="0.25">
      <c r="A1161" s="200">
        <f>Prog_23[[#This Row],[CONTEINER]]</f>
        <v>0</v>
      </c>
      <c r="B1161" s="86"/>
      <c r="C11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61" s="44"/>
      <c r="E1161" s="66"/>
      <c r="F1161" s="66"/>
      <c r="G1161" s="66"/>
      <c r="H1161" s="44"/>
      <c r="I1161" s="44"/>
      <c r="J1161" s="66"/>
      <c r="K1161" s="66"/>
      <c r="L1161" s="66"/>
      <c r="M1161" s="66"/>
      <c r="N1161" s="66">
        <f>SUM(Prog_23[[#This Row],[TARA]]+Prog_23[[#This Row],[PESO]])</f>
        <v>0</v>
      </c>
      <c r="O1161" s="44"/>
      <c r="P1161" s="66"/>
      <c r="Q1161" s="66"/>
      <c r="R1161" s="66"/>
      <c r="S1161" s="66"/>
      <c r="T1161" s="138" t="str">
        <f>IFERROR(LOOKUP($S1161,MOTORISTAS!$D$3:$D$916,MOTORISTAS!E$3:$E$916),"")</f>
        <v/>
      </c>
      <c r="U1161" s="138" t="str">
        <f>IFERROR(LOOKUP($S1161,MOTORISTAS!$D$3:$D$916,MOTORISTAS!F$3:$F$916),"")</f>
        <v/>
      </c>
      <c r="V1161" s="66"/>
      <c r="W1161" s="66"/>
      <c r="X1161" s="66"/>
      <c r="Y1161" s="66"/>
      <c r="Z1161" s="66"/>
      <c r="AA1161" s="66"/>
      <c r="AB1161" s="66"/>
      <c r="AC1161" s="66"/>
      <c r="AD1161" s="66"/>
      <c r="AE1161" s="66"/>
      <c r="AF1161" s="44"/>
      <c r="AG1161" s="254">
        <f>Prog_23[[#This Row],[SAÍDA DO CLIENTE]]-Prog_23[[#This Row],[PROGRAMAÇÃO CLIENTE]]</f>
        <v>0</v>
      </c>
      <c r="AH1161" s="44"/>
      <c r="AI1161" s="66"/>
      <c r="AJ1161" s="66"/>
      <c r="AK1161" s="66"/>
      <c r="AL1161" s="66"/>
      <c r="AM1161" s="66"/>
      <c r="AN1161" s="83"/>
      <c r="AO1161" s="83"/>
      <c r="AP1161" s="83"/>
      <c r="AQ1161" s="66"/>
      <c r="AR1161" s="66"/>
      <c r="AS1161" s="66"/>
      <c r="AT1161" s="81"/>
      <c r="AU1161" s="81"/>
      <c r="AV1161" s="81"/>
      <c r="AW1161" s="81"/>
      <c r="AX1161" s="83">
        <f>SUM(Prog_23[[#This Row],[ADIANTAMENTO]]+Prog_23[[#This Row],[SALDO]]+Prog_23[[#This Row],[MARGEM]]+Prog_23[[#This Row],[ESTADIA 1]])</f>
        <v>0</v>
      </c>
      <c r="AY11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61" s="81"/>
      <c r="BA1161" s="81"/>
      <c r="BB1161" s="81">
        <f>Prog_23[[#This Row],[VLR NF]]*0.1%</f>
        <v>0</v>
      </c>
      <c r="BC1161" s="81">
        <f>Prog_23[[#This Row],[VLR NF]]*0.05%</f>
        <v>0</v>
      </c>
      <c r="BD1161" s="81"/>
      <c r="BE1161" s="81"/>
      <c r="BF1161" s="81"/>
      <c r="BG1161" s="81"/>
      <c r="BH1161" s="81"/>
      <c r="BI1161" s="81"/>
      <c r="BJ1161" s="81"/>
      <c r="BK1161" s="81"/>
      <c r="BL1161" s="81"/>
      <c r="BM1161" s="81"/>
      <c r="BN1161" s="66"/>
      <c r="BO1161" s="66"/>
      <c r="BP1161" s="66"/>
      <c r="BQ1161" s="66" t="str">
        <f>PROPER(TEXT(Prog_23[[#This Row],[PROGRAMAÇÃO CLIENTE]],"mmm"))</f>
        <v>Jan</v>
      </c>
      <c r="BR1161" s="66">
        <f>YEAR(Prog_23[[#This Row],[PROGRAMAÇÃO CLIENTE]])</f>
        <v>1900</v>
      </c>
    </row>
    <row r="1162" spans="1:70" x14ac:dyDescent="0.25">
      <c r="A1162" s="201">
        <f>Prog_23[[#This Row],[CONTEINER]]</f>
        <v>0</v>
      </c>
      <c r="B1162" s="86"/>
      <c r="C11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62" s="44"/>
      <c r="E1162" s="66"/>
      <c r="F1162" s="66"/>
      <c r="G1162" s="66"/>
      <c r="H1162" s="44"/>
      <c r="I1162" s="44"/>
      <c r="J1162" s="66"/>
      <c r="K1162" s="66"/>
      <c r="L1162" s="66"/>
      <c r="M1162" s="66"/>
      <c r="N1162" s="66">
        <f>SUM(Prog_23[[#This Row],[TARA]]+Prog_23[[#This Row],[PESO]])</f>
        <v>0</v>
      </c>
      <c r="O1162" s="44"/>
      <c r="P1162" s="66"/>
      <c r="Q1162" s="66"/>
      <c r="R1162" s="66"/>
      <c r="S1162" s="66"/>
      <c r="T1162" s="138" t="str">
        <f>IFERROR(LOOKUP($S1162,MOTORISTAS!$D$3:$D$916,MOTORISTAS!E$3:$E$916),"")</f>
        <v/>
      </c>
      <c r="U1162" s="138" t="str">
        <f>IFERROR(LOOKUP($S1162,MOTORISTAS!$D$3:$D$916,MOTORISTAS!F$3:$F$916),"")</f>
        <v/>
      </c>
      <c r="V1162" s="66"/>
      <c r="W1162" s="66"/>
      <c r="X1162" s="66"/>
      <c r="Y1162" s="66"/>
      <c r="Z1162" s="66"/>
      <c r="AA1162" s="66"/>
      <c r="AB1162" s="66"/>
      <c r="AC1162" s="66"/>
      <c r="AD1162" s="66"/>
      <c r="AE1162" s="66"/>
      <c r="AF1162" s="44"/>
      <c r="AG1162" s="254">
        <f>Prog_23[[#This Row],[SAÍDA DO CLIENTE]]-Prog_23[[#This Row],[PROGRAMAÇÃO CLIENTE]]</f>
        <v>0</v>
      </c>
      <c r="AH1162" s="44"/>
      <c r="AI1162" s="66"/>
      <c r="AJ1162" s="66"/>
      <c r="AK1162" s="66"/>
      <c r="AL1162" s="66"/>
      <c r="AM1162" s="66"/>
      <c r="AN1162" s="83"/>
      <c r="AO1162" s="83"/>
      <c r="AP1162" s="83"/>
      <c r="AQ1162" s="66"/>
      <c r="AR1162" s="66"/>
      <c r="AS1162" s="66"/>
      <c r="AT1162" s="81"/>
      <c r="AU1162" s="81"/>
      <c r="AV1162" s="81"/>
      <c r="AW1162" s="81"/>
      <c r="AX1162" s="83">
        <f>SUM(Prog_23[[#This Row],[ADIANTAMENTO]]+Prog_23[[#This Row],[SALDO]]+Prog_23[[#This Row],[MARGEM]]+Prog_23[[#This Row],[ESTADIA 1]])</f>
        <v>0</v>
      </c>
      <c r="AY11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62" s="81"/>
      <c r="BA1162" s="81"/>
      <c r="BB1162" s="81">
        <f>Prog_23[[#This Row],[VLR NF]]*0.1%</f>
        <v>0</v>
      </c>
      <c r="BC1162" s="81">
        <f>Prog_23[[#This Row],[VLR NF]]*0.05%</f>
        <v>0</v>
      </c>
      <c r="BD1162" s="81"/>
      <c r="BE1162" s="81"/>
      <c r="BF1162" s="81"/>
      <c r="BG1162" s="81"/>
      <c r="BH1162" s="81"/>
      <c r="BI1162" s="81"/>
      <c r="BJ1162" s="81"/>
      <c r="BK1162" s="81"/>
      <c r="BL1162" s="81"/>
      <c r="BM1162" s="81"/>
      <c r="BN1162" s="66"/>
      <c r="BO1162" s="66"/>
      <c r="BP1162" s="66"/>
      <c r="BQ1162" s="66" t="str">
        <f>PROPER(TEXT(Prog_23[[#This Row],[PROGRAMAÇÃO CLIENTE]],"mmm"))</f>
        <v>Jan</v>
      </c>
      <c r="BR1162" s="66">
        <f>YEAR(Prog_23[[#This Row],[PROGRAMAÇÃO CLIENTE]])</f>
        <v>1900</v>
      </c>
    </row>
    <row r="1163" spans="1:70" x14ac:dyDescent="0.25">
      <c r="A1163" s="200">
        <f>Prog_23[[#This Row],[CONTEINER]]</f>
        <v>0</v>
      </c>
      <c r="B1163" s="86"/>
      <c r="C11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63" s="44"/>
      <c r="E1163" s="66"/>
      <c r="F1163" s="66"/>
      <c r="G1163" s="66"/>
      <c r="H1163" s="44"/>
      <c r="I1163" s="44"/>
      <c r="J1163" s="66"/>
      <c r="K1163" s="66"/>
      <c r="L1163" s="66"/>
      <c r="M1163" s="66"/>
      <c r="N1163" s="66">
        <f>SUM(Prog_23[[#This Row],[TARA]]+Prog_23[[#This Row],[PESO]])</f>
        <v>0</v>
      </c>
      <c r="O1163" s="44"/>
      <c r="P1163" s="66"/>
      <c r="Q1163" s="66"/>
      <c r="R1163" s="66"/>
      <c r="S1163" s="66"/>
      <c r="T1163" s="138" t="str">
        <f>IFERROR(LOOKUP($S1163,MOTORISTAS!$D$3:$D$916,MOTORISTAS!E$3:$E$916),"")</f>
        <v/>
      </c>
      <c r="U1163" s="138" t="str">
        <f>IFERROR(LOOKUP($S1163,MOTORISTAS!$D$3:$D$916,MOTORISTAS!F$3:$F$916),"")</f>
        <v/>
      </c>
      <c r="V1163" s="66"/>
      <c r="W1163" s="66"/>
      <c r="X1163" s="66"/>
      <c r="Y1163" s="66"/>
      <c r="Z1163" s="66"/>
      <c r="AA1163" s="66"/>
      <c r="AB1163" s="66"/>
      <c r="AC1163" s="66"/>
      <c r="AD1163" s="66"/>
      <c r="AE1163" s="66"/>
      <c r="AF1163" s="44"/>
      <c r="AG1163" s="254">
        <f>Prog_23[[#This Row],[SAÍDA DO CLIENTE]]-Prog_23[[#This Row],[PROGRAMAÇÃO CLIENTE]]</f>
        <v>0</v>
      </c>
      <c r="AH1163" s="44"/>
      <c r="AI1163" s="66"/>
      <c r="AJ1163" s="66"/>
      <c r="AK1163" s="66"/>
      <c r="AL1163" s="66"/>
      <c r="AM1163" s="66"/>
      <c r="AN1163" s="83"/>
      <c r="AO1163" s="83"/>
      <c r="AP1163" s="83"/>
      <c r="AQ1163" s="66"/>
      <c r="AR1163" s="66"/>
      <c r="AS1163" s="66"/>
      <c r="AT1163" s="81"/>
      <c r="AU1163" s="81"/>
      <c r="AV1163" s="81"/>
      <c r="AW1163" s="81"/>
      <c r="AX1163" s="83">
        <f>SUM(Prog_23[[#This Row],[ADIANTAMENTO]]+Prog_23[[#This Row],[SALDO]]+Prog_23[[#This Row],[MARGEM]]+Prog_23[[#This Row],[ESTADIA 1]])</f>
        <v>0</v>
      </c>
      <c r="AY11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63" s="81"/>
      <c r="BA1163" s="81"/>
      <c r="BB1163" s="81">
        <f>Prog_23[[#This Row],[VLR NF]]*0.1%</f>
        <v>0</v>
      </c>
      <c r="BC1163" s="81">
        <f>Prog_23[[#This Row],[VLR NF]]*0.05%</f>
        <v>0</v>
      </c>
      <c r="BD1163" s="81"/>
      <c r="BE1163" s="81"/>
      <c r="BF1163" s="81"/>
      <c r="BG1163" s="81"/>
      <c r="BH1163" s="81"/>
      <c r="BI1163" s="81"/>
      <c r="BJ1163" s="81"/>
      <c r="BK1163" s="81"/>
      <c r="BL1163" s="81"/>
      <c r="BM1163" s="81"/>
      <c r="BN1163" s="66"/>
      <c r="BO1163" s="66"/>
      <c r="BP1163" s="66"/>
      <c r="BQ1163" s="66" t="str">
        <f>PROPER(TEXT(Prog_23[[#This Row],[PROGRAMAÇÃO CLIENTE]],"mmm"))</f>
        <v>Jan</v>
      </c>
      <c r="BR1163" s="66">
        <f>YEAR(Prog_23[[#This Row],[PROGRAMAÇÃO CLIENTE]])</f>
        <v>1900</v>
      </c>
    </row>
    <row r="1164" spans="1:70" x14ac:dyDescent="0.25">
      <c r="A1164" s="201">
        <f>Prog_23[[#This Row],[CONTEINER]]</f>
        <v>0</v>
      </c>
      <c r="B1164" s="86"/>
      <c r="C11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64" s="44"/>
      <c r="E1164" s="66"/>
      <c r="F1164" s="66"/>
      <c r="G1164" s="66"/>
      <c r="H1164" s="44"/>
      <c r="I1164" s="44"/>
      <c r="J1164" s="66"/>
      <c r="K1164" s="66"/>
      <c r="L1164" s="66"/>
      <c r="M1164" s="66"/>
      <c r="N1164" s="66">
        <f>SUM(Prog_23[[#This Row],[TARA]]+Prog_23[[#This Row],[PESO]])</f>
        <v>0</v>
      </c>
      <c r="O1164" s="44"/>
      <c r="P1164" s="66"/>
      <c r="Q1164" s="66"/>
      <c r="R1164" s="66"/>
      <c r="S1164" s="66"/>
      <c r="T1164" s="138" t="str">
        <f>IFERROR(LOOKUP($S1164,MOTORISTAS!$D$3:$D$916,MOTORISTAS!E$3:$E$916),"")</f>
        <v/>
      </c>
      <c r="U1164" s="138" t="str">
        <f>IFERROR(LOOKUP($S1164,MOTORISTAS!$D$3:$D$916,MOTORISTAS!F$3:$F$916),"")</f>
        <v/>
      </c>
      <c r="V1164" s="66"/>
      <c r="W1164" s="66"/>
      <c r="X1164" s="66"/>
      <c r="Y1164" s="66"/>
      <c r="Z1164" s="66"/>
      <c r="AA1164" s="66"/>
      <c r="AB1164" s="66"/>
      <c r="AC1164" s="66"/>
      <c r="AD1164" s="66"/>
      <c r="AE1164" s="66"/>
      <c r="AF1164" s="44"/>
      <c r="AG1164" s="254">
        <f>Prog_23[[#This Row],[SAÍDA DO CLIENTE]]-Prog_23[[#This Row],[PROGRAMAÇÃO CLIENTE]]</f>
        <v>0</v>
      </c>
      <c r="AH1164" s="44"/>
      <c r="AI1164" s="66"/>
      <c r="AJ1164" s="66"/>
      <c r="AK1164" s="66"/>
      <c r="AL1164" s="66"/>
      <c r="AM1164" s="66"/>
      <c r="AN1164" s="83"/>
      <c r="AO1164" s="83"/>
      <c r="AP1164" s="83"/>
      <c r="AQ1164" s="66"/>
      <c r="AR1164" s="66"/>
      <c r="AS1164" s="66"/>
      <c r="AT1164" s="81"/>
      <c r="AU1164" s="81"/>
      <c r="AV1164" s="81"/>
      <c r="AW1164" s="81"/>
      <c r="AX1164" s="83">
        <f>SUM(Prog_23[[#This Row],[ADIANTAMENTO]]+Prog_23[[#This Row],[SALDO]]+Prog_23[[#This Row],[MARGEM]]+Prog_23[[#This Row],[ESTADIA 1]])</f>
        <v>0</v>
      </c>
      <c r="AY11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64" s="81"/>
      <c r="BA1164" s="81"/>
      <c r="BB1164" s="81">
        <f>Prog_23[[#This Row],[VLR NF]]*0.1%</f>
        <v>0</v>
      </c>
      <c r="BC1164" s="81">
        <f>Prog_23[[#This Row],[VLR NF]]*0.05%</f>
        <v>0</v>
      </c>
      <c r="BD1164" s="81"/>
      <c r="BE1164" s="81"/>
      <c r="BF1164" s="81"/>
      <c r="BG1164" s="81"/>
      <c r="BH1164" s="81"/>
      <c r="BI1164" s="81"/>
      <c r="BJ1164" s="81"/>
      <c r="BK1164" s="81"/>
      <c r="BL1164" s="81"/>
      <c r="BM1164" s="81"/>
      <c r="BN1164" s="66"/>
      <c r="BO1164" s="66"/>
      <c r="BP1164" s="66"/>
      <c r="BQ1164" s="66" t="str">
        <f>PROPER(TEXT(Prog_23[[#This Row],[PROGRAMAÇÃO CLIENTE]],"mmm"))</f>
        <v>Jan</v>
      </c>
      <c r="BR1164" s="66">
        <f>YEAR(Prog_23[[#This Row],[PROGRAMAÇÃO CLIENTE]])</f>
        <v>1900</v>
      </c>
    </row>
    <row r="1165" spans="1:70" x14ac:dyDescent="0.25">
      <c r="A1165" s="200">
        <f>Prog_23[[#This Row],[CONTEINER]]</f>
        <v>0</v>
      </c>
      <c r="B1165" s="86"/>
      <c r="C11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65" s="44"/>
      <c r="E1165" s="66"/>
      <c r="F1165" s="66"/>
      <c r="G1165" s="66"/>
      <c r="H1165" s="44"/>
      <c r="I1165" s="44"/>
      <c r="J1165" s="66"/>
      <c r="K1165" s="66"/>
      <c r="L1165" s="66"/>
      <c r="M1165" s="66"/>
      <c r="N1165" s="66">
        <f>SUM(Prog_23[[#This Row],[TARA]]+Prog_23[[#This Row],[PESO]])</f>
        <v>0</v>
      </c>
      <c r="O1165" s="44"/>
      <c r="P1165" s="66"/>
      <c r="Q1165" s="66"/>
      <c r="R1165" s="66"/>
      <c r="S1165" s="66"/>
      <c r="T1165" s="138" t="str">
        <f>IFERROR(LOOKUP($S1165,MOTORISTAS!$D$3:$D$916,MOTORISTAS!E$3:$E$916),"")</f>
        <v/>
      </c>
      <c r="U1165" s="138" t="str">
        <f>IFERROR(LOOKUP($S1165,MOTORISTAS!$D$3:$D$916,MOTORISTAS!F$3:$F$916),"")</f>
        <v/>
      </c>
      <c r="V1165" s="66"/>
      <c r="W1165" s="66"/>
      <c r="X1165" s="66"/>
      <c r="Y1165" s="66"/>
      <c r="Z1165" s="66"/>
      <c r="AA1165" s="66"/>
      <c r="AB1165" s="66"/>
      <c r="AC1165" s="66"/>
      <c r="AD1165" s="66"/>
      <c r="AE1165" s="66"/>
      <c r="AF1165" s="44"/>
      <c r="AG1165" s="254">
        <f>Prog_23[[#This Row],[SAÍDA DO CLIENTE]]-Prog_23[[#This Row],[PROGRAMAÇÃO CLIENTE]]</f>
        <v>0</v>
      </c>
      <c r="AH1165" s="44"/>
      <c r="AI1165" s="66"/>
      <c r="AJ1165" s="66"/>
      <c r="AK1165" s="66"/>
      <c r="AL1165" s="66"/>
      <c r="AM1165" s="66"/>
      <c r="AN1165" s="83"/>
      <c r="AO1165" s="83"/>
      <c r="AP1165" s="83"/>
      <c r="AQ1165" s="66"/>
      <c r="AR1165" s="66"/>
      <c r="AS1165" s="66"/>
      <c r="AT1165" s="81"/>
      <c r="AU1165" s="81"/>
      <c r="AV1165" s="81"/>
      <c r="AW1165" s="81"/>
      <c r="AX1165" s="83">
        <f>SUM(Prog_23[[#This Row],[ADIANTAMENTO]]+Prog_23[[#This Row],[SALDO]]+Prog_23[[#This Row],[MARGEM]]+Prog_23[[#This Row],[ESTADIA 1]])</f>
        <v>0</v>
      </c>
      <c r="AY11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65" s="81"/>
      <c r="BA1165" s="81"/>
      <c r="BB1165" s="81">
        <f>Prog_23[[#This Row],[VLR NF]]*0.1%</f>
        <v>0</v>
      </c>
      <c r="BC1165" s="81">
        <f>Prog_23[[#This Row],[VLR NF]]*0.05%</f>
        <v>0</v>
      </c>
      <c r="BD1165" s="81"/>
      <c r="BE1165" s="81"/>
      <c r="BF1165" s="81"/>
      <c r="BG1165" s="81"/>
      <c r="BH1165" s="81"/>
      <c r="BI1165" s="81"/>
      <c r="BJ1165" s="81"/>
      <c r="BK1165" s="81"/>
      <c r="BL1165" s="81"/>
      <c r="BM1165" s="81"/>
      <c r="BN1165" s="66"/>
      <c r="BO1165" s="66"/>
      <c r="BP1165" s="66"/>
      <c r="BQ1165" s="66" t="str">
        <f>PROPER(TEXT(Prog_23[[#This Row],[PROGRAMAÇÃO CLIENTE]],"mmm"))</f>
        <v>Jan</v>
      </c>
      <c r="BR1165" s="66">
        <f>YEAR(Prog_23[[#This Row],[PROGRAMAÇÃO CLIENTE]])</f>
        <v>1900</v>
      </c>
    </row>
    <row r="1166" spans="1:70" x14ac:dyDescent="0.25">
      <c r="A1166" s="201">
        <f>Prog_23[[#This Row],[CONTEINER]]</f>
        <v>0</v>
      </c>
      <c r="B1166" s="86"/>
      <c r="C11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66" s="44"/>
      <c r="E1166" s="66"/>
      <c r="F1166" s="66"/>
      <c r="G1166" s="66"/>
      <c r="H1166" s="44"/>
      <c r="I1166" s="44"/>
      <c r="J1166" s="66"/>
      <c r="K1166" s="66"/>
      <c r="L1166" s="66"/>
      <c r="M1166" s="66"/>
      <c r="N1166" s="66">
        <f>SUM(Prog_23[[#This Row],[TARA]]+Prog_23[[#This Row],[PESO]])</f>
        <v>0</v>
      </c>
      <c r="O1166" s="44"/>
      <c r="P1166" s="66"/>
      <c r="Q1166" s="66"/>
      <c r="R1166" s="66"/>
      <c r="S1166" s="66"/>
      <c r="T1166" s="138" t="str">
        <f>IFERROR(LOOKUP($S1166,MOTORISTAS!$D$3:$D$916,MOTORISTAS!E$3:$E$916),"")</f>
        <v/>
      </c>
      <c r="U1166" s="138" t="str">
        <f>IFERROR(LOOKUP($S1166,MOTORISTAS!$D$3:$D$916,MOTORISTAS!F$3:$F$916),"")</f>
        <v/>
      </c>
      <c r="V1166" s="66"/>
      <c r="W1166" s="66"/>
      <c r="X1166" s="66"/>
      <c r="Y1166" s="66"/>
      <c r="Z1166" s="66"/>
      <c r="AA1166" s="66"/>
      <c r="AB1166" s="66"/>
      <c r="AC1166" s="66"/>
      <c r="AD1166" s="66"/>
      <c r="AE1166" s="66"/>
      <c r="AF1166" s="44"/>
      <c r="AG1166" s="254">
        <f>Prog_23[[#This Row],[SAÍDA DO CLIENTE]]-Prog_23[[#This Row],[PROGRAMAÇÃO CLIENTE]]</f>
        <v>0</v>
      </c>
      <c r="AH1166" s="44"/>
      <c r="AI1166" s="66"/>
      <c r="AJ1166" s="66"/>
      <c r="AK1166" s="66"/>
      <c r="AL1166" s="66"/>
      <c r="AM1166" s="66"/>
      <c r="AN1166" s="83"/>
      <c r="AO1166" s="83"/>
      <c r="AP1166" s="83"/>
      <c r="AQ1166" s="66"/>
      <c r="AR1166" s="66"/>
      <c r="AS1166" s="66"/>
      <c r="AT1166" s="81"/>
      <c r="AU1166" s="81"/>
      <c r="AV1166" s="81"/>
      <c r="AW1166" s="81"/>
      <c r="AX1166" s="83">
        <f>SUM(Prog_23[[#This Row],[ADIANTAMENTO]]+Prog_23[[#This Row],[SALDO]]+Prog_23[[#This Row],[MARGEM]]+Prog_23[[#This Row],[ESTADIA 1]])</f>
        <v>0</v>
      </c>
      <c r="AY11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66" s="81"/>
      <c r="BA1166" s="81"/>
      <c r="BB1166" s="81">
        <f>Prog_23[[#This Row],[VLR NF]]*0.1%</f>
        <v>0</v>
      </c>
      <c r="BC1166" s="81">
        <f>Prog_23[[#This Row],[VLR NF]]*0.05%</f>
        <v>0</v>
      </c>
      <c r="BD1166" s="81"/>
      <c r="BE1166" s="81"/>
      <c r="BF1166" s="81"/>
      <c r="BG1166" s="81"/>
      <c r="BH1166" s="81"/>
      <c r="BI1166" s="81"/>
      <c r="BJ1166" s="81"/>
      <c r="BK1166" s="81"/>
      <c r="BL1166" s="81"/>
      <c r="BM1166" s="81"/>
      <c r="BN1166" s="66"/>
      <c r="BO1166" s="66"/>
      <c r="BP1166" s="66"/>
      <c r="BQ1166" s="66" t="str">
        <f>PROPER(TEXT(Prog_23[[#This Row],[PROGRAMAÇÃO CLIENTE]],"mmm"))</f>
        <v>Jan</v>
      </c>
      <c r="BR1166" s="66">
        <f>YEAR(Prog_23[[#This Row],[PROGRAMAÇÃO CLIENTE]])</f>
        <v>1900</v>
      </c>
    </row>
    <row r="1167" spans="1:70" x14ac:dyDescent="0.25">
      <c r="A1167" s="200">
        <f>Prog_23[[#This Row],[CONTEINER]]</f>
        <v>0</v>
      </c>
      <c r="B1167" s="86"/>
      <c r="C11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67" s="44"/>
      <c r="E1167" s="66"/>
      <c r="F1167" s="66"/>
      <c r="G1167" s="66"/>
      <c r="H1167" s="44"/>
      <c r="I1167" s="44"/>
      <c r="J1167" s="66"/>
      <c r="K1167" s="66"/>
      <c r="L1167" s="66"/>
      <c r="M1167" s="66"/>
      <c r="N1167" s="66">
        <f>SUM(Prog_23[[#This Row],[TARA]]+Prog_23[[#This Row],[PESO]])</f>
        <v>0</v>
      </c>
      <c r="O1167" s="44"/>
      <c r="P1167" s="66"/>
      <c r="Q1167" s="66"/>
      <c r="R1167" s="66"/>
      <c r="S1167" s="66"/>
      <c r="T1167" s="138" t="str">
        <f>IFERROR(LOOKUP($S1167,MOTORISTAS!$D$3:$D$916,MOTORISTAS!E$3:$E$916),"")</f>
        <v/>
      </c>
      <c r="U1167" s="138" t="str">
        <f>IFERROR(LOOKUP($S1167,MOTORISTAS!$D$3:$D$916,MOTORISTAS!F$3:$F$916),"")</f>
        <v/>
      </c>
      <c r="V1167" s="66"/>
      <c r="W1167" s="66"/>
      <c r="X1167" s="66"/>
      <c r="Y1167" s="66"/>
      <c r="Z1167" s="66"/>
      <c r="AA1167" s="66"/>
      <c r="AB1167" s="66"/>
      <c r="AC1167" s="66"/>
      <c r="AD1167" s="66"/>
      <c r="AE1167" s="66"/>
      <c r="AF1167" s="44"/>
      <c r="AG1167" s="254">
        <f>Prog_23[[#This Row],[SAÍDA DO CLIENTE]]-Prog_23[[#This Row],[PROGRAMAÇÃO CLIENTE]]</f>
        <v>0</v>
      </c>
      <c r="AH1167" s="44"/>
      <c r="AI1167" s="66"/>
      <c r="AJ1167" s="66"/>
      <c r="AK1167" s="66"/>
      <c r="AL1167" s="66"/>
      <c r="AM1167" s="66"/>
      <c r="AN1167" s="83"/>
      <c r="AO1167" s="83"/>
      <c r="AP1167" s="83"/>
      <c r="AQ1167" s="66"/>
      <c r="AR1167" s="66"/>
      <c r="AS1167" s="66"/>
      <c r="AT1167" s="81"/>
      <c r="AU1167" s="81"/>
      <c r="AV1167" s="81"/>
      <c r="AW1167" s="81"/>
      <c r="AX1167" s="83">
        <f>SUM(Prog_23[[#This Row],[ADIANTAMENTO]]+Prog_23[[#This Row],[SALDO]]+Prog_23[[#This Row],[MARGEM]]+Prog_23[[#This Row],[ESTADIA 1]])</f>
        <v>0</v>
      </c>
      <c r="AY11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67" s="81"/>
      <c r="BA1167" s="81"/>
      <c r="BB1167" s="81">
        <f>Prog_23[[#This Row],[VLR NF]]*0.1%</f>
        <v>0</v>
      </c>
      <c r="BC1167" s="81">
        <f>Prog_23[[#This Row],[VLR NF]]*0.05%</f>
        <v>0</v>
      </c>
      <c r="BD1167" s="81"/>
      <c r="BE1167" s="81"/>
      <c r="BF1167" s="81"/>
      <c r="BG1167" s="81"/>
      <c r="BH1167" s="81"/>
      <c r="BI1167" s="81"/>
      <c r="BJ1167" s="81"/>
      <c r="BK1167" s="81"/>
      <c r="BL1167" s="81"/>
      <c r="BM1167" s="81"/>
      <c r="BN1167" s="66"/>
      <c r="BO1167" s="66"/>
      <c r="BP1167" s="66"/>
      <c r="BQ1167" s="66" t="str">
        <f>PROPER(TEXT(Prog_23[[#This Row],[PROGRAMAÇÃO CLIENTE]],"mmm"))</f>
        <v>Jan</v>
      </c>
      <c r="BR1167" s="66">
        <f>YEAR(Prog_23[[#This Row],[PROGRAMAÇÃO CLIENTE]])</f>
        <v>1900</v>
      </c>
    </row>
    <row r="1168" spans="1:70" x14ac:dyDescent="0.25">
      <c r="A1168" s="201">
        <f>Prog_23[[#This Row],[CONTEINER]]</f>
        <v>0</v>
      </c>
      <c r="B1168" s="86"/>
      <c r="C11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68" s="44"/>
      <c r="E1168" s="66"/>
      <c r="F1168" s="66"/>
      <c r="G1168" s="66"/>
      <c r="H1168" s="44"/>
      <c r="I1168" s="44"/>
      <c r="J1168" s="66"/>
      <c r="K1168" s="66"/>
      <c r="L1168" s="66"/>
      <c r="M1168" s="66"/>
      <c r="N1168" s="66">
        <f>SUM(Prog_23[[#This Row],[TARA]]+Prog_23[[#This Row],[PESO]])</f>
        <v>0</v>
      </c>
      <c r="O1168" s="44"/>
      <c r="P1168" s="66"/>
      <c r="Q1168" s="66"/>
      <c r="R1168" s="66"/>
      <c r="S1168" s="66"/>
      <c r="T1168" s="138" t="str">
        <f>IFERROR(LOOKUP($S1168,MOTORISTAS!$D$3:$D$916,MOTORISTAS!E$3:$E$916),"")</f>
        <v/>
      </c>
      <c r="U1168" s="138" t="str">
        <f>IFERROR(LOOKUP($S1168,MOTORISTAS!$D$3:$D$916,MOTORISTAS!F$3:$F$916),"")</f>
        <v/>
      </c>
      <c r="V1168" s="66"/>
      <c r="W1168" s="66"/>
      <c r="X1168" s="66"/>
      <c r="Y1168" s="66"/>
      <c r="Z1168" s="66"/>
      <c r="AA1168" s="66"/>
      <c r="AB1168" s="66"/>
      <c r="AC1168" s="66"/>
      <c r="AD1168" s="66"/>
      <c r="AE1168" s="66"/>
      <c r="AF1168" s="44"/>
      <c r="AG1168" s="254">
        <f>Prog_23[[#This Row],[SAÍDA DO CLIENTE]]-Prog_23[[#This Row],[PROGRAMAÇÃO CLIENTE]]</f>
        <v>0</v>
      </c>
      <c r="AH1168" s="44"/>
      <c r="AI1168" s="66"/>
      <c r="AJ1168" s="66"/>
      <c r="AK1168" s="66"/>
      <c r="AL1168" s="66"/>
      <c r="AM1168" s="66"/>
      <c r="AN1168" s="83"/>
      <c r="AO1168" s="83"/>
      <c r="AP1168" s="83"/>
      <c r="AQ1168" s="66"/>
      <c r="AR1168" s="66"/>
      <c r="AS1168" s="66"/>
      <c r="AT1168" s="81"/>
      <c r="AU1168" s="81"/>
      <c r="AV1168" s="81"/>
      <c r="AW1168" s="81"/>
      <c r="AX1168" s="83">
        <f>SUM(Prog_23[[#This Row],[ADIANTAMENTO]]+Prog_23[[#This Row],[SALDO]]+Prog_23[[#This Row],[MARGEM]]+Prog_23[[#This Row],[ESTADIA 1]])</f>
        <v>0</v>
      </c>
      <c r="AY11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68" s="81"/>
      <c r="BA1168" s="81"/>
      <c r="BB1168" s="81">
        <f>Prog_23[[#This Row],[VLR NF]]*0.1%</f>
        <v>0</v>
      </c>
      <c r="BC1168" s="81">
        <f>Prog_23[[#This Row],[VLR NF]]*0.05%</f>
        <v>0</v>
      </c>
      <c r="BD1168" s="81"/>
      <c r="BE1168" s="81"/>
      <c r="BF1168" s="81"/>
      <c r="BG1168" s="81"/>
      <c r="BH1168" s="81"/>
      <c r="BI1168" s="81"/>
      <c r="BJ1168" s="81"/>
      <c r="BK1168" s="81"/>
      <c r="BL1168" s="81"/>
      <c r="BM1168" s="81"/>
      <c r="BN1168" s="66"/>
      <c r="BO1168" s="66"/>
      <c r="BP1168" s="66"/>
      <c r="BQ1168" s="66" t="str">
        <f>PROPER(TEXT(Prog_23[[#This Row],[PROGRAMAÇÃO CLIENTE]],"mmm"))</f>
        <v>Jan</v>
      </c>
      <c r="BR1168" s="66">
        <f>YEAR(Prog_23[[#This Row],[PROGRAMAÇÃO CLIENTE]])</f>
        <v>1900</v>
      </c>
    </row>
    <row r="1169" spans="1:70" x14ac:dyDescent="0.25">
      <c r="A1169" s="200">
        <f>Prog_23[[#This Row],[CONTEINER]]</f>
        <v>0</v>
      </c>
      <c r="B1169" s="86"/>
      <c r="C11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69" s="44"/>
      <c r="E1169" s="66"/>
      <c r="F1169" s="66"/>
      <c r="G1169" s="66"/>
      <c r="H1169" s="44"/>
      <c r="I1169" s="44"/>
      <c r="J1169" s="66"/>
      <c r="K1169" s="66"/>
      <c r="L1169" s="66"/>
      <c r="M1169" s="66"/>
      <c r="N1169" s="66">
        <f>SUM(Prog_23[[#This Row],[TARA]]+Prog_23[[#This Row],[PESO]])</f>
        <v>0</v>
      </c>
      <c r="O1169" s="44"/>
      <c r="P1169" s="66"/>
      <c r="Q1169" s="66"/>
      <c r="R1169" s="66"/>
      <c r="S1169" s="66"/>
      <c r="T1169" s="138" t="str">
        <f>IFERROR(LOOKUP($S1169,MOTORISTAS!$D$3:$D$916,MOTORISTAS!E$3:$E$916),"")</f>
        <v/>
      </c>
      <c r="U1169" s="138" t="str">
        <f>IFERROR(LOOKUP($S1169,MOTORISTAS!$D$3:$D$916,MOTORISTAS!F$3:$F$916),"")</f>
        <v/>
      </c>
      <c r="V1169" s="66"/>
      <c r="W1169" s="66"/>
      <c r="X1169" s="66"/>
      <c r="Y1169" s="66"/>
      <c r="Z1169" s="66"/>
      <c r="AA1169" s="66"/>
      <c r="AB1169" s="66"/>
      <c r="AC1169" s="66"/>
      <c r="AD1169" s="66"/>
      <c r="AE1169" s="66"/>
      <c r="AF1169" s="44"/>
      <c r="AG1169" s="254">
        <f>Prog_23[[#This Row],[SAÍDA DO CLIENTE]]-Prog_23[[#This Row],[PROGRAMAÇÃO CLIENTE]]</f>
        <v>0</v>
      </c>
      <c r="AH1169" s="44"/>
      <c r="AI1169" s="66"/>
      <c r="AJ1169" s="66"/>
      <c r="AK1169" s="66"/>
      <c r="AL1169" s="66"/>
      <c r="AM1169" s="66"/>
      <c r="AN1169" s="83"/>
      <c r="AO1169" s="83"/>
      <c r="AP1169" s="83"/>
      <c r="AQ1169" s="66"/>
      <c r="AR1169" s="66"/>
      <c r="AS1169" s="66"/>
      <c r="AT1169" s="81"/>
      <c r="AU1169" s="81"/>
      <c r="AV1169" s="81"/>
      <c r="AW1169" s="81"/>
      <c r="AX1169" s="83">
        <f>SUM(Prog_23[[#This Row],[ADIANTAMENTO]]+Prog_23[[#This Row],[SALDO]]+Prog_23[[#This Row],[MARGEM]]+Prog_23[[#This Row],[ESTADIA 1]])</f>
        <v>0</v>
      </c>
      <c r="AY11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69" s="81"/>
      <c r="BA1169" s="81"/>
      <c r="BB1169" s="81">
        <f>Prog_23[[#This Row],[VLR NF]]*0.1%</f>
        <v>0</v>
      </c>
      <c r="BC1169" s="81">
        <f>Prog_23[[#This Row],[VLR NF]]*0.05%</f>
        <v>0</v>
      </c>
      <c r="BD1169" s="81"/>
      <c r="BE1169" s="81"/>
      <c r="BF1169" s="81"/>
      <c r="BG1169" s="81"/>
      <c r="BH1169" s="81"/>
      <c r="BI1169" s="81"/>
      <c r="BJ1169" s="81"/>
      <c r="BK1169" s="81"/>
      <c r="BL1169" s="81"/>
      <c r="BM1169" s="81"/>
      <c r="BN1169" s="66"/>
      <c r="BO1169" s="66"/>
      <c r="BP1169" s="66"/>
      <c r="BQ1169" s="66" t="str">
        <f>PROPER(TEXT(Prog_23[[#This Row],[PROGRAMAÇÃO CLIENTE]],"mmm"))</f>
        <v>Jan</v>
      </c>
      <c r="BR1169" s="66">
        <f>YEAR(Prog_23[[#This Row],[PROGRAMAÇÃO CLIENTE]])</f>
        <v>1900</v>
      </c>
    </row>
    <row r="1170" spans="1:70" x14ac:dyDescent="0.25">
      <c r="A1170" s="201">
        <f>Prog_23[[#This Row],[CONTEINER]]</f>
        <v>0</v>
      </c>
      <c r="B1170" s="86"/>
      <c r="C11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70" s="44"/>
      <c r="E1170" s="66"/>
      <c r="F1170" s="66"/>
      <c r="G1170" s="66"/>
      <c r="H1170" s="44"/>
      <c r="I1170" s="44"/>
      <c r="J1170" s="66"/>
      <c r="K1170" s="66"/>
      <c r="L1170" s="66"/>
      <c r="M1170" s="66"/>
      <c r="N1170" s="66">
        <f>SUM(Prog_23[[#This Row],[TARA]]+Prog_23[[#This Row],[PESO]])</f>
        <v>0</v>
      </c>
      <c r="O1170" s="44"/>
      <c r="P1170" s="66"/>
      <c r="Q1170" s="66"/>
      <c r="R1170" s="66"/>
      <c r="S1170" s="66"/>
      <c r="T1170" s="138" t="str">
        <f>IFERROR(LOOKUP($S1170,MOTORISTAS!$D$3:$D$916,MOTORISTAS!E$3:$E$916),"")</f>
        <v/>
      </c>
      <c r="U1170" s="138" t="str">
        <f>IFERROR(LOOKUP($S1170,MOTORISTAS!$D$3:$D$916,MOTORISTAS!F$3:$F$916),"")</f>
        <v/>
      </c>
      <c r="V1170" s="66"/>
      <c r="W1170" s="66"/>
      <c r="X1170" s="66"/>
      <c r="Y1170" s="66"/>
      <c r="Z1170" s="66"/>
      <c r="AA1170" s="66"/>
      <c r="AB1170" s="66"/>
      <c r="AC1170" s="66"/>
      <c r="AD1170" s="66"/>
      <c r="AE1170" s="66"/>
      <c r="AF1170" s="44"/>
      <c r="AG1170" s="254">
        <f>Prog_23[[#This Row],[SAÍDA DO CLIENTE]]-Prog_23[[#This Row],[PROGRAMAÇÃO CLIENTE]]</f>
        <v>0</v>
      </c>
      <c r="AH1170" s="44"/>
      <c r="AI1170" s="66"/>
      <c r="AJ1170" s="66"/>
      <c r="AK1170" s="66"/>
      <c r="AL1170" s="66"/>
      <c r="AM1170" s="66"/>
      <c r="AN1170" s="83"/>
      <c r="AO1170" s="83"/>
      <c r="AP1170" s="83"/>
      <c r="AQ1170" s="66"/>
      <c r="AR1170" s="66"/>
      <c r="AS1170" s="66"/>
      <c r="AT1170" s="81"/>
      <c r="AU1170" s="81"/>
      <c r="AV1170" s="81"/>
      <c r="AW1170" s="81"/>
      <c r="AX1170" s="83">
        <f>SUM(Prog_23[[#This Row],[ADIANTAMENTO]]+Prog_23[[#This Row],[SALDO]]+Prog_23[[#This Row],[MARGEM]]+Prog_23[[#This Row],[ESTADIA 1]])</f>
        <v>0</v>
      </c>
      <c r="AY11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70" s="81"/>
      <c r="BA1170" s="81"/>
      <c r="BB1170" s="81">
        <f>Prog_23[[#This Row],[VLR NF]]*0.1%</f>
        <v>0</v>
      </c>
      <c r="BC1170" s="81">
        <f>Prog_23[[#This Row],[VLR NF]]*0.05%</f>
        <v>0</v>
      </c>
      <c r="BD1170" s="81"/>
      <c r="BE1170" s="81"/>
      <c r="BF1170" s="81"/>
      <c r="BG1170" s="81"/>
      <c r="BH1170" s="81"/>
      <c r="BI1170" s="81"/>
      <c r="BJ1170" s="81"/>
      <c r="BK1170" s="81"/>
      <c r="BL1170" s="81"/>
      <c r="BM1170" s="81"/>
      <c r="BN1170" s="66"/>
      <c r="BO1170" s="66"/>
      <c r="BP1170" s="66"/>
      <c r="BQ1170" s="66" t="str">
        <f>PROPER(TEXT(Prog_23[[#This Row],[PROGRAMAÇÃO CLIENTE]],"mmm"))</f>
        <v>Jan</v>
      </c>
      <c r="BR1170" s="66">
        <f>YEAR(Prog_23[[#This Row],[PROGRAMAÇÃO CLIENTE]])</f>
        <v>1900</v>
      </c>
    </row>
    <row r="1171" spans="1:70" x14ac:dyDescent="0.25">
      <c r="A1171" s="200">
        <f>Prog_23[[#This Row],[CONTEINER]]</f>
        <v>0</v>
      </c>
      <c r="B1171" s="86"/>
      <c r="C11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71" s="44"/>
      <c r="E1171" s="66"/>
      <c r="F1171" s="66"/>
      <c r="G1171" s="66"/>
      <c r="H1171" s="44"/>
      <c r="I1171" s="44"/>
      <c r="J1171" s="66"/>
      <c r="K1171" s="66"/>
      <c r="L1171" s="66"/>
      <c r="M1171" s="66"/>
      <c r="N1171" s="66">
        <f>SUM(Prog_23[[#This Row],[TARA]]+Prog_23[[#This Row],[PESO]])</f>
        <v>0</v>
      </c>
      <c r="O1171" s="44"/>
      <c r="P1171" s="66"/>
      <c r="Q1171" s="66"/>
      <c r="R1171" s="66"/>
      <c r="S1171" s="66"/>
      <c r="T1171" s="138" t="str">
        <f>IFERROR(LOOKUP($S1171,MOTORISTAS!$D$3:$D$916,MOTORISTAS!E$3:$E$916),"")</f>
        <v/>
      </c>
      <c r="U1171" s="138" t="str">
        <f>IFERROR(LOOKUP($S1171,MOTORISTAS!$D$3:$D$916,MOTORISTAS!F$3:$F$916),"")</f>
        <v/>
      </c>
      <c r="V1171" s="66"/>
      <c r="W1171" s="66"/>
      <c r="X1171" s="66"/>
      <c r="Y1171" s="66"/>
      <c r="Z1171" s="66"/>
      <c r="AA1171" s="66"/>
      <c r="AB1171" s="66"/>
      <c r="AC1171" s="66"/>
      <c r="AD1171" s="66"/>
      <c r="AE1171" s="66"/>
      <c r="AF1171" s="44"/>
      <c r="AG1171" s="254">
        <f>Prog_23[[#This Row],[SAÍDA DO CLIENTE]]-Prog_23[[#This Row],[PROGRAMAÇÃO CLIENTE]]</f>
        <v>0</v>
      </c>
      <c r="AH1171" s="44"/>
      <c r="AI1171" s="66"/>
      <c r="AJ1171" s="66"/>
      <c r="AK1171" s="66"/>
      <c r="AL1171" s="66"/>
      <c r="AM1171" s="66"/>
      <c r="AN1171" s="83"/>
      <c r="AO1171" s="83"/>
      <c r="AP1171" s="83"/>
      <c r="AQ1171" s="66"/>
      <c r="AR1171" s="66"/>
      <c r="AS1171" s="66"/>
      <c r="AT1171" s="81"/>
      <c r="AU1171" s="81"/>
      <c r="AV1171" s="81"/>
      <c r="AW1171" s="81"/>
      <c r="AX1171" s="83">
        <f>SUM(Prog_23[[#This Row],[ADIANTAMENTO]]+Prog_23[[#This Row],[SALDO]]+Prog_23[[#This Row],[MARGEM]]+Prog_23[[#This Row],[ESTADIA 1]])</f>
        <v>0</v>
      </c>
      <c r="AY11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71" s="81"/>
      <c r="BA1171" s="81"/>
      <c r="BB1171" s="81">
        <f>Prog_23[[#This Row],[VLR NF]]*0.1%</f>
        <v>0</v>
      </c>
      <c r="BC1171" s="81">
        <f>Prog_23[[#This Row],[VLR NF]]*0.05%</f>
        <v>0</v>
      </c>
      <c r="BD1171" s="81"/>
      <c r="BE1171" s="81"/>
      <c r="BF1171" s="81"/>
      <c r="BG1171" s="81"/>
      <c r="BH1171" s="81"/>
      <c r="BI1171" s="81"/>
      <c r="BJ1171" s="81"/>
      <c r="BK1171" s="81"/>
      <c r="BL1171" s="81"/>
      <c r="BM1171" s="81"/>
      <c r="BN1171" s="66"/>
      <c r="BO1171" s="66"/>
      <c r="BP1171" s="66"/>
      <c r="BQ1171" s="66" t="str">
        <f>PROPER(TEXT(Prog_23[[#This Row],[PROGRAMAÇÃO CLIENTE]],"mmm"))</f>
        <v>Jan</v>
      </c>
      <c r="BR1171" s="66">
        <f>YEAR(Prog_23[[#This Row],[PROGRAMAÇÃO CLIENTE]])</f>
        <v>1900</v>
      </c>
    </row>
    <row r="1172" spans="1:70" x14ac:dyDescent="0.25">
      <c r="A1172" s="201">
        <f>Prog_23[[#This Row],[CONTEINER]]</f>
        <v>0</v>
      </c>
      <c r="B1172" s="86"/>
      <c r="C11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72" s="44"/>
      <c r="E1172" s="66"/>
      <c r="F1172" s="66"/>
      <c r="G1172" s="66"/>
      <c r="H1172" s="44"/>
      <c r="I1172" s="44"/>
      <c r="J1172" s="66"/>
      <c r="K1172" s="66"/>
      <c r="L1172" s="66"/>
      <c r="M1172" s="66"/>
      <c r="N1172" s="66">
        <f>SUM(Prog_23[[#This Row],[TARA]]+Prog_23[[#This Row],[PESO]])</f>
        <v>0</v>
      </c>
      <c r="O1172" s="44"/>
      <c r="P1172" s="66"/>
      <c r="Q1172" s="66"/>
      <c r="R1172" s="66"/>
      <c r="S1172" s="66"/>
      <c r="T1172" s="138" t="str">
        <f>IFERROR(LOOKUP($S1172,MOTORISTAS!$D$3:$D$916,MOTORISTAS!E$3:$E$916),"")</f>
        <v/>
      </c>
      <c r="U1172" s="138" t="str">
        <f>IFERROR(LOOKUP($S1172,MOTORISTAS!$D$3:$D$916,MOTORISTAS!F$3:$F$916),"")</f>
        <v/>
      </c>
      <c r="V1172" s="66"/>
      <c r="W1172" s="66"/>
      <c r="X1172" s="66"/>
      <c r="Y1172" s="66"/>
      <c r="Z1172" s="66"/>
      <c r="AA1172" s="66"/>
      <c r="AB1172" s="66"/>
      <c r="AC1172" s="66"/>
      <c r="AD1172" s="66"/>
      <c r="AE1172" s="66"/>
      <c r="AF1172" s="44"/>
      <c r="AG1172" s="254">
        <f>Prog_23[[#This Row],[SAÍDA DO CLIENTE]]-Prog_23[[#This Row],[PROGRAMAÇÃO CLIENTE]]</f>
        <v>0</v>
      </c>
      <c r="AH1172" s="44"/>
      <c r="AI1172" s="66"/>
      <c r="AJ1172" s="66"/>
      <c r="AK1172" s="66"/>
      <c r="AL1172" s="66"/>
      <c r="AM1172" s="66"/>
      <c r="AN1172" s="83"/>
      <c r="AO1172" s="83"/>
      <c r="AP1172" s="83"/>
      <c r="AQ1172" s="66"/>
      <c r="AR1172" s="66"/>
      <c r="AS1172" s="66"/>
      <c r="AT1172" s="81"/>
      <c r="AU1172" s="81"/>
      <c r="AV1172" s="81"/>
      <c r="AW1172" s="81"/>
      <c r="AX1172" s="83">
        <f>SUM(Prog_23[[#This Row],[ADIANTAMENTO]]+Prog_23[[#This Row],[SALDO]]+Prog_23[[#This Row],[MARGEM]]+Prog_23[[#This Row],[ESTADIA 1]])</f>
        <v>0</v>
      </c>
      <c r="AY11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72" s="81"/>
      <c r="BA1172" s="81"/>
      <c r="BB1172" s="81">
        <f>Prog_23[[#This Row],[VLR NF]]*0.1%</f>
        <v>0</v>
      </c>
      <c r="BC1172" s="81">
        <f>Prog_23[[#This Row],[VLR NF]]*0.05%</f>
        <v>0</v>
      </c>
      <c r="BD1172" s="81"/>
      <c r="BE1172" s="81"/>
      <c r="BF1172" s="81"/>
      <c r="BG1172" s="81"/>
      <c r="BH1172" s="81"/>
      <c r="BI1172" s="81"/>
      <c r="BJ1172" s="81"/>
      <c r="BK1172" s="81"/>
      <c r="BL1172" s="81"/>
      <c r="BM1172" s="81"/>
      <c r="BN1172" s="66"/>
      <c r="BO1172" s="66"/>
      <c r="BP1172" s="66"/>
      <c r="BQ1172" s="66" t="str">
        <f>PROPER(TEXT(Prog_23[[#This Row],[PROGRAMAÇÃO CLIENTE]],"mmm"))</f>
        <v>Jan</v>
      </c>
      <c r="BR1172" s="66">
        <f>YEAR(Prog_23[[#This Row],[PROGRAMAÇÃO CLIENTE]])</f>
        <v>1900</v>
      </c>
    </row>
    <row r="1173" spans="1:70" x14ac:dyDescent="0.25">
      <c r="A1173" s="200">
        <f>Prog_23[[#This Row],[CONTEINER]]</f>
        <v>0</v>
      </c>
      <c r="B1173" s="86"/>
      <c r="C11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73" s="44"/>
      <c r="E1173" s="66"/>
      <c r="F1173" s="66"/>
      <c r="G1173" s="66"/>
      <c r="H1173" s="44"/>
      <c r="I1173" s="44"/>
      <c r="J1173" s="66"/>
      <c r="K1173" s="66"/>
      <c r="L1173" s="66"/>
      <c r="M1173" s="66"/>
      <c r="N1173" s="66">
        <f>SUM(Prog_23[[#This Row],[TARA]]+Prog_23[[#This Row],[PESO]])</f>
        <v>0</v>
      </c>
      <c r="O1173" s="44"/>
      <c r="P1173" s="66"/>
      <c r="Q1173" s="66"/>
      <c r="R1173" s="66"/>
      <c r="S1173" s="66"/>
      <c r="T1173" s="138" t="str">
        <f>IFERROR(LOOKUP($S1173,MOTORISTAS!$D$3:$D$916,MOTORISTAS!E$3:$E$916),"")</f>
        <v/>
      </c>
      <c r="U1173" s="138" t="str">
        <f>IFERROR(LOOKUP($S1173,MOTORISTAS!$D$3:$D$916,MOTORISTAS!F$3:$F$916),"")</f>
        <v/>
      </c>
      <c r="V1173" s="66"/>
      <c r="W1173" s="66"/>
      <c r="X1173" s="66"/>
      <c r="Y1173" s="66"/>
      <c r="Z1173" s="66"/>
      <c r="AA1173" s="66"/>
      <c r="AB1173" s="66"/>
      <c r="AC1173" s="66"/>
      <c r="AD1173" s="66"/>
      <c r="AE1173" s="66"/>
      <c r="AF1173" s="44"/>
      <c r="AG1173" s="254">
        <f>Prog_23[[#This Row],[SAÍDA DO CLIENTE]]-Prog_23[[#This Row],[PROGRAMAÇÃO CLIENTE]]</f>
        <v>0</v>
      </c>
      <c r="AH1173" s="44"/>
      <c r="AI1173" s="66"/>
      <c r="AJ1173" s="66"/>
      <c r="AK1173" s="66"/>
      <c r="AL1173" s="66"/>
      <c r="AM1173" s="66"/>
      <c r="AN1173" s="83"/>
      <c r="AO1173" s="83"/>
      <c r="AP1173" s="83"/>
      <c r="AQ1173" s="66"/>
      <c r="AR1173" s="66"/>
      <c r="AS1173" s="66"/>
      <c r="AT1173" s="81"/>
      <c r="AU1173" s="81"/>
      <c r="AV1173" s="81"/>
      <c r="AW1173" s="81"/>
      <c r="AX1173" s="83">
        <f>SUM(Prog_23[[#This Row],[ADIANTAMENTO]]+Prog_23[[#This Row],[SALDO]]+Prog_23[[#This Row],[MARGEM]]+Prog_23[[#This Row],[ESTADIA 1]])</f>
        <v>0</v>
      </c>
      <c r="AY11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73" s="81"/>
      <c r="BA1173" s="81"/>
      <c r="BB1173" s="81">
        <f>Prog_23[[#This Row],[VLR NF]]*0.1%</f>
        <v>0</v>
      </c>
      <c r="BC1173" s="81">
        <f>Prog_23[[#This Row],[VLR NF]]*0.05%</f>
        <v>0</v>
      </c>
      <c r="BD1173" s="81"/>
      <c r="BE1173" s="81"/>
      <c r="BF1173" s="81"/>
      <c r="BG1173" s="81"/>
      <c r="BH1173" s="81"/>
      <c r="BI1173" s="81"/>
      <c r="BJ1173" s="81"/>
      <c r="BK1173" s="81"/>
      <c r="BL1173" s="81"/>
      <c r="BM1173" s="81"/>
      <c r="BN1173" s="66"/>
      <c r="BO1173" s="66"/>
      <c r="BP1173" s="66"/>
      <c r="BQ1173" s="66" t="str">
        <f>PROPER(TEXT(Prog_23[[#This Row],[PROGRAMAÇÃO CLIENTE]],"mmm"))</f>
        <v>Jan</v>
      </c>
      <c r="BR1173" s="66">
        <f>YEAR(Prog_23[[#This Row],[PROGRAMAÇÃO CLIENTE]])</f>
        <v>1900</v>
      </c>
    </row>
    <row r="1174" spans="1:70" x14ac:dyDescent="0.25">
      <c r="A1174" s="201">
        <f>Prog_23[[#This Row],[CONTEINER]]</f>
        <v>0</v>
      </c>
      <c r="B1174" s="86"/>
      <c r="C11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74" s="44"/>
      <c r="E1174" s="66"/>
      <c r="F1174" s="66"/>
      <c r="G1174" s="66"/>
      <c r="H1174" s="44"/>
      <c r="I1174" s="44"/>
      <c r="J1174" s="66"/>
      <c r="K1174" s="66"/>
      <c r="L1174" s="66"/>
      <c r="M1174" s="66"/>
      <c r="N1174" s="66">
        <f>SUM(Prog_23[[#This Row],[TARA]]+Prog_23[[#This Row],[PESO]])</f>
        <v>0</v>
      </c>
      <c r="O1174" s="44"/>
      <c r="P1174" s="66"/>
      <c r="Q1174" s="66"/>
      <c r="R1174" s="66"/>
      <c r="S1174" s="66"/>
      <c r="T1174" s="138" t="str">
        <f>IFERROR(LOOKUP($S1174,MOTORISTAS!$D$3:$D$916,MOTORISTAS!E$3:$E$916),"")</f>
        <v/>
      </c>
      <c r="U1174" s="138" t="str">
        <f>IFERROR(LOOKUP($S1174,MOTORISTAS!$D$3:$D$916,MOTORISTAS!F$3:$F$916),"")</f>
        <v/>
      </c>
      <c r="V1174" s="66"/>
      <c r="W1174" s="66"/>
      <c r="X1174" s="66"/>
      <c r="Y1174" s="66"/>
      <c r="Z1174" s="66"/>
      <c r="AA1174" s="66"/>
      <c r="AB1174" s="66"/>
      <c r="AC1174" s="66"/>
      <c r="AD1174" s="66"/>
      <c r="AE1174" s="66"/>
      <c r="AF1174" s="44"/>
      <c r="AG1174" s="254">
        <f>Prog_23[[#This Row],[SAÍDA DO CLIENTE]]-Prog_23[[#This Row],[PROGRAMAÇÃO CLIENTE]]</f>
        <v>0</v>
      </c>
      <c r="AH1174" s="44"/>
      <c r="AI1174" s="66"/>
      <c r="AJ1174" s="66"/>
      <c r="AK1174" s="66"/>
      <c r="AL1174" s="66"/>
      <c r="AM1174" s="66"/>
      <c r="AN1174" s="83"/>
      <c r="AO1174" s="83"/>
      <c r="AP1174" s="83"/>
      <c r="AQ1174" s="66"/>
      <c r="AR1174" s="66"/>
      <c r="AS1174" s="66"/>
      <c r="AT1174" s="81"/>
      <c r="AU1174" s="81"/>
      <c r="AV1174" s="81"/>
      <c r="AW1174" s="81"/>
      <c r="AX1174" s="83">
        <f>SUM(Prog_23[[#This Row],[ADIANTAMENTO]]+Prog_23[[#This Row],[SALDO]]+Prog_23[[#This Row],[MARGEM]]+Prog_23[[#This Row],[ESTADIA 1]])</f>
        <v>0</v>
      </c>
      <c r="AY11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74" s="81"/>
      <c r="BA1174" s="81"/>
      <c r="BB1174" s="81">
        <f>Prog_23[[#This Row],[VLR NF]]*0.1%</f>
        <v>0</v>
      </c>
      <c r="BC1174" s="81">
        <f>Prog_23[[#This Row],[VLR NF]]*0.05%</f>
        <v>0</v>
      </c>
      <c r="BD1174" s="81"/>
      <c r="BE1174" s="81"/>
      <c r="BF1174" s="81"/>
      <c r="BG1174" s="81"/>
      <c r="BH1174" s="81"/>
      <c r="BI1174" s="81"/>
      <c r="BJ1174" s="81"/>
      <c r="BK1174" s="81"/>
      <c r="BL1174" s="81"/>
      <c r="BM1174" s="81"/>
      <c r="BN1174" s="66"/>
      <c r="BO1174" s="66"/>
      <c r="BP1174" s="66"/>
      <c r="BQ1174" s="66" t="str">
        <f>PROPER(TEXT(Prog_23[[#This Row],[PROGRAMAÇÃO CLIENTE]],"mmm"))</f>
        <v>Jan</v>
      </c>
      <c r="BR1174" s="66">
        <f>YEAR(Prog_23[[#This Row],[PROGRAMAÇÃO CLIENTE]])</f>
        <v>1900</v>
      </c>
    </row>
    <row r="1175" spans="1:70" x14ac:dyDescent="0.25">
      <c r="A1175" s="200">
        <f>Prog_23[[#This Row],[CONTEINER]]</f>
        <v>0</v>
      </c>
      <c r="B1175" s="86"/>
      <c r="C11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75" s="44"/>
      <c r="E1175" s="66"/>
      <c r="F1175" s="66"/>
      <c r="G1175" s="66"/>
      <c r="H1175" s="44"/>
      <c r="I1175" s="44"/>
      <c r="J1175" s="66"/>
      <c r="K1175" s="66"/>
      <c r="L1175" s="66"/>
      <c r="M1175" s="66"/>
      <c r="N1175" s="66">
        <f>SUM(Prog_23[[#This Row],[TARA]]+Prog_23[[#This Row],[PESO]])</f>
        <v>0</v>
      </c>
      <c r="O1175" s="44"/>
      <c r="P1175" s="66"/>
      <c r="Q1175" s="66"/>
      <c r="R1175" s="66"/>
      <c r="S1175" s="66"/>
      <c r="T1175" s="138" t="str">
        <f>IFERROR(LOOKUP($S1175,MOTORISTAS!$D$3:$D$916,MOTORISTAS!E$3:$E$916),"")</f>
        <v/>
      </c>
      <c r="U1175" s="138" t="str">
        <f>IFERROR(LOOKUP($S1175,MOTORISTAS!$D$3:$D$916,MOTORISTAS!F$3:$F$916),"")</f>
        <v/>
      </c>
      <c r="V1175" s="66"/>
      <c r="W1175" s="66"/>
      <c r="X1175" s="66"/>
      <c r="Y1175" s="66"/>
      <c r="Z1175" s="66"/>
      <c r="AA1175" s="66"/>
      <c r="AB1175" s="66"/>
      <c r="AC1175" s="66"/>
      <c r="AD1175" s="66"/>
      <c r="AE1175" s="66"/>
      <c r="AF1175" s="44"/>
      <c r="AG1175" s="254">
        <f>Prog_23[[#This Row],[SAÍDA DO CLIENTE]]-Prog_23[[#This Row],[PROGRAMAÇÃO CLIENTE]]</f>
        <v>0</v>
      </c>
      <c r="AH1175" s="44"/>
      <c r="AI1175" s="66"/>
      <c r="AJ1175" s="66"/>
      <c r="AK1175" s="66"/>
      <c r="AL1175" s="66"/>
      <c r="AM1175" s="66"/>
      <c r="AN1175" s="83"/>
      <c r="AO1175" s="83"/>
      <c r="AP1175" s="83"/>
      <c r="AQ1175" s="66"/>
      <c r="AR1175" s="66"/>
      <c r="AS1175" s="66"/>
      <c r="AT1175" s="81"/>
      <c r="AU1175" s="81"/>
      <c r="AV1175" s="81"/>
      <c r="AW1175" s="81"/>
      <c r="AX1175" s="83">
        <f>SUM(Prog_23[[#This Row],[ADIANTAMENTO]]+Prog_23[[#This Row],[SALDO]]+Prog_23[[#This Row],[MARGEM]]+Prog_23[[#This Row],[ESTADIA 1]])</f>
        <v>0</v>
      </c>
      <c r="AY11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75" s="81"/>
      <c r="BA1175" s="81"/>
      <c r="BB1175" s="81">
        <f>Prog_23[[#This Row],[VLR NF]]*0.1%</f>
        <v>0</v>
      </c>
      <c r="BC1175" s="81">
        <f>Prog_23[[#This Row],[VLR NF]]*0.05%</f>
        <v>0</v>
      </c>
      <c r="BD1175" s="81"/>
      <c r="BE1175" s="81"/>
      <c r="BF1175" s="81"/>
      <c r="BG1175" s="81"/>
      <c r="BH1175" s="81"/>
      <c r="BI1175" s="81"/>
      <c r="BJ1175" s="81"/>
      <c r="BK1175" s="81"/>
      <c r="BL1175" s="81"/>
      <c r="BM1175" s="81"/>
      <c r="BN1175" s="66"/>
      <c r="BO1175" s="66"/>
      <c r="BP1175" s="66"/>
      <c r="BQ1175" s="66" t="str">
        <f>PROPER(TEXT(Prog_23[[#This Row],[PROGRAMAÇÃO CLIENTE]],"mmm"))</f>
        <v>Jan</v>
      </c>
      <c r="BR1175" s="66">
        <f>YEAR(Prog_23[[#This Row],[PROGRAMAÇÃO CLIENTE]])</f>
        <v>1900</v>
      </c>
    </row>
    <row r="1176" spans="1:70" x14ac:dyDescent="0.25">
      <c r="A1176" s="201">
        <f>Prog_23[[#This Row],[CONTEINER]]</f>
        <v>0</v>
      </c>
      <c r="B1176" s="86"/>
      <c r="C11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76" s="44"/>
      <c r="E1176" s="66"/>
      <c r="F1176" s="66"/>
      <c r="G1176" s="66"/>
      <c r="H1176" s="44"/>
      <c r="I1176" s="44"/>
      <c r="J1176" s="66"/>
      <c r="K1176" s="66"/>
      <c r="L1176" s="66"/>
      <c r="M1176" s="66"/>
      <c r="N1176" s="66">
        <f>SUM(Prog_23[[#This Row],[TARA]]+Prog_23[[#This Row],[PESO]])</f>
        <v>0</v>
      </c>
      <c r="O1176" s="44"/>
      <c r="P1176" s="66"/>
      <c r="Q1176" s="66"/>
      <c r="R1176" s="66"/>
      <c r="S1176" s="66"/>
      <c r="T1176" s="138" t="str">
        <f>IFERROR(LOOKUP($S1176,MOTORISTAS!$D$3:$D$916,MOTORISTAS!E$3:$E$916),"")</f>
        <v/>
      </c>
      <c r="U1176" s="138" t="str">
        <f>IFERROR(LOOKUP($S1176,MOTORISTAS!$D$3:$D$916,MOTORISTAS!F$3:$F$916),"")</f>
        <v/>
      </c>
      <c r="V1176" s="66"/>
      <c r="W1176" s="66"/>
      <c r="X1176" s="66"/>
      <c r="Y1176" s="66"/>
      <c r="Z1176" s="66"/>
      <c r="AA1176" s="66"/>
      <c r="AB1176" s="66"/>
      <c r="AC1176" s="66"/>
      <c r="AD1176" s="66"/>
      <c r="AE1176" s="66"/>
      <c r="AF1176" s="44"/>
      <c r="AG1176" s="254">
        <f>Prog_23[[#This Row],[SAÍDA DO CLIENTE]]-Prog_23[[#This Row],[PROGRAMAÇÃO CLIENTE]]</f>
        <v>0</v>
      </c>
      <c r="AH1176" s="44"/>
      <c r="AI1176" s="66"/>
      <c r="AJ1176" s="66"/>
      <c r="AK1176" s="66"/>
      <c r="AL1176" s="66"/>
      <c r="AM1176" s="66"/>
      <c r="AN1176" s="83"/>
      <c r="AO1176" s="83"/>
      <c r="AP1176" s="83"/>
      <c r="AQ1176" s="66"/>
      <c r="AR1176" s="66"/>
      <c r="AS1176" s="66"/>
      <c r="AT1176" s="81"/>
      <c r="AU1176" s="81"/>
      <c r="AV1176" s="81"/>
      <c r="AW1176" s="81"/>
      <c r="AX1176" s="83">
        <f>SUM(Prog_23[[#This Row],[ADIANTAMENTO]]+Prog_23[[#This Row],[SALDO]]+Prog_23[[#This Row],[MARGEM]]+Prog_23[[#This Row],[ESTADIA 1]])</f>
        <v>0</v>
      </c>
      <c r="AY11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76" s="81"/>
      <c r="BA1176" s="81"/>
      <c r="BB1176" s="81">
        <f>Prog_23[[#This Row],[VLR NF]]*0.1%</f>
        <v>0</v>
      </c>
      <c r="BC1176" s="81">
        <f>Prog_23[[#This Row],[VLR NF]]*0.05%</f>
        <v>0</v>
      </c>
      <c r="BD1176" s="81"/>
      <c r="BE1176" s="81"/>
      <c r="BF1176" s="81"/>
      <c r="BG1176" s="81"/>
      <c r="BH1176" s="81"/>
      <c r="BI1176" s="81"/>
      <c r="BJ1176" s="81"/>
      <c r="BK1176" s="81"/>
      <c r="BL1176" s="81"/>
      <c r="BM1176" s="81"/>
      <c r="BN1176" s="66"/>
      <c r="BO1176" s="66"/>
      <c r="BP1176" s="66"/>
      <c r="BQ1176" s="66" t="str">
        <f>PROPER(TEXT(Prog_23[[#This Row],[PROGRAMAÇÃO CLIENTE]],"mmm"))</f>
        <v>Jan</v>
      </c>
      <c r="BR1176" s="66">
        <f>YEAR(Prog_23[[#This Row],[PROGRAMAÇÃO CLIENTE]])</f>
        <v>1900</v>
      </c>
    </row>
    <row r="1177" spans="1:70" x14ac:dyDescent="0.25">
      <c r="A1177" s="200">
        <f>Prog_23[[#This Row],[CONTEINER]]</f>
        <v>0</v>
      </c>
      <c r="B1177" s="86"/>
      <c r="C11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77" s="44"/>
      <c r="E1177" s="66"/>
      <c r="F1177" s="66"/>
      <c r="G1177" s="66"/>
      <c r="H1177" s="44"/>
      <c r="I1177" s="44"/>
      <c r="J1177" s="66"/>
      <c r="K1177" s="66"/>
      <c r="L1177" s="66"/>
      <c r="M1177" s="66"/>
      <c r="N1177" s="66">
        <f>SUM(Prog_23[[#This Row],[TARA]]+Prog_23[[#This Row],[PESO]])</f>
        <v>0</v>
      </c>
      <c r="O1177" s="44"/>
      <c r="P1177" s="66"/>
      <c r="Q1177" s="66"/>
      <c r="R1177" s="66"/>
      <c r="S1177" s="66"/>
      <c r="T1177" s="138" t="str">
        <f>IFERROR(LOOKUP($S1177,MOTORISTAS!$D$3:$D$916,MOTORISTAS!E$3:$E$916),"")</f>
        <v/>
      </c>
      <c r="U1177" s="138" t="str">
        <f>IFERROR(LOOKUP($S1177,MOTORISTAS!$D$3:$D$916,MOTORISTAS!F$3:$F$916),"")</f>
        <v/>
      </c>
      <c r="V1177" s="66"/>
      <c r="W1177" s="66"/>
      <c r="X1177" s="66"/>
      <c r="Y1177" s="66"/>
      <c r="Z1177" s="66"/>
      <c r="AA1177" s="66"/>
      <c r="AB1177" s="66"/>
      <c r="AC1177" s="66"/>
      <c r="AD1177" s="66"/>
      <c r="AE1177" s="66"/>
      <c r="AF1177" s="44"/>
      <c r="AG1177" s="254">
        <f>Prog_23[[#This Row],[SAÍDA DO CLIENTE]]-Prog_23[[#This Row],[PROGRAMAÇÃO CLIENTE]]</f>
        <v>0</v>
      </c>
      <c r="AH1177" s="44"/>
      <c r="AI1177" s="66"/>
      <c r="AJ1177" s="66"/>
      <c r="AK1177" s="66"/>
      <c r="AL1177" s="66"/>
      <c r="AM1177" s="66"/>
      <c r="AN1177" s="83"/>
      <c r="AO1177" s="83"/>
      <c r="AP1177" s="83"/>
      <c r="AQ1177" s="66"/>
      <c r="AR1177" s="66"/>
      <c r="AS1177" s="66"/>
      <c r="AT1177" s="81"/>
      <c r="AU1177" s="81"/>
      <c r="AV1177" s="81"/>
      <c r="AW1177" s="81"/>
      <c r="AX1177" s="83">
        <f>SUM(Prog_23[[#This Row],[ADIANTAMENTO]]+Prog_23[[#This Row],[SALDO]]+Prog_23[[#This Row],[MARGEM]]+Prog_23[[#This Row],[ESTADIA 1]])</f>
        <v>0</v>
      </c>
      <c r="AY11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77" s="81"/>
      <c r="BA1177" s="81"/>
      <c r="BB1177" s="81">
        <f>Prog_23[[#This Row],[VLR NF]]*0.1%</f>
        <v>0</v>
      </c>
      <c r="BC1177" s="81">
        <f>Prog_23[[#This Row],[VLR NF]]*0.05%</f>
        <v>0</v>
      </c>
      <c r="BD1177" s="81"/>
      <c r="BE1177" s="81"/>
      <c r="BF1177" s="81"/>
      <c r="BG1177" s="81"/>
      <c r="BH1177" s="81"/>
      <c r="BI1177" s="81"/>
      <c r="BJ1177" s="81"/>
      <c r="BK1177" s="81"/>
      <c r="BL1177" s="81"/>
      <c r="BM1177" s="81"/>
      <c r="BN1177" s="66"/>
      <c r="BO1177" s="66"/>
      <c r="BP1177" s="66"/>
      <c r="BQ1177" s="66" t="str">
        <f>PROPER(TEXT(Prog_23[[#This Row],[PROGRAMAÇÃO CLIENTE]],"mmm"))</f>
        <v>Jan</v>
      </c>
      <c r="BR1177" s="66">
        <f>YEAR(Prog_23[[#This Row],[PROGRAMAÇÃO CLIENTE]])</f>
        <v>1900</v>
      </c>
    </row>
    <row r="1178" spans="1:70" x14ac:dyDescent="0.25">
      <c r="A1178" s="201">
        <f>Prog_23[[#This Row],[CONTEINER]]</f>
        <v>0</v>
      </c>
      <c r="B1178" s="86"/>
      <c r="C11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78" s="44"/>
      <c r="E1178" s="66"/>
      <c r="F1178" s="66"/>
      <c r="G1178" s="66"/>
      <c r="H1178" s="44"/>
      <c r="I1178" s="44"/>
      <c r="J1178" s="66"/>
      <c r="K1178" s="66"/>
      <c r="L1178" s="66"/>
      <c r="M1178" s="66"/>
      <c r="N1178" s="66">
        <f>SUM(Prog_23[[#This Row],[TARA]]+Prog_23[[#This Row],[PESO]])</f>
        <v>0</v>
      </c>
      <c r="O1178" s="44"/>
      <c r="P1178" s="66"/>
      <c r="Q1178" s="66"/>
      <c r="R1178" s="66"/>
      <c r="S1178" s="66"/>
      <c r="T1178" s="138" t="str">
        <f>IFERROR(LOOKUP($S1178,MOTORISTAS!$D$3:$D$916,MOTORISTAS!E$3:$E$916),"")</f>
        <v/>
      </c>
      <c r="U1178" s="138" t="str">
        <f>IFERROR(LOOKUP($S1178,MOTORISTAS!$D$3:$D$916,MOTORISTAS!F$3:$F$916),"")</f>
        <v/>
      </c>
      <c r="V1178" s="66"/>
      <c r="W1178" s="66"/>
      <c r="X1178" s="66"/>
      <c r="Y1178" s="66"/>
      <c r="Z1178" s="66"/>
      <c r="AA1178" s="66"/>
      <c r="AB1178" s="66"/>
      <c r="AC1178" s="66"/>
      <c r="AD1178" s="66"/>
      <c r="AE1178" s="66"/>
      <c r="AF1178" s="44"/>
      <c r="AG1178" s="254">
        <f>Prog_23[[#This Row],[SAÍDA DO CLIENTE]]-Prog_23[[#This Row],[PROGRAMAÇÃO CLIENTE]]</f>
        <v>0</v>
      </c>
      <c r="AH1178" s="44"/>
      <c r="AI1178" s="66"/>
      <c r="AJ1178" s="66"/>
      <c r="AK1178" s="66"/>
      <c r="AL1178" s="66"/>
      <c r="AM1178" s="66"/>
      <c r="AN1178" s="83"/>
      <c r="AO1178" s="83"/>
      <c r="AP1178" s="83"/>
      <c r="AQ1178" s="66"/>
      <c r="AR1178" s="66"/>
      <c r="AS1178" s="66"/>
      <c r="AT1178" s="81"/>
      <c r="AU1178" s="81"/>
      <c r="AV1178" s="81"/>
      <c r="AW1178" s="81"/>
      <c r="AX1178" s="83">
        <f>SUM(Prog_23[[#This Row],[ADIANTAMENTO]]+Prog_23[[#This Row],[SALDO]]+Prog_23[[#This Row],[MARGEM]]+Prog_23[[#This Row],[ESTADIA 1]])</f>
        <v>0</v>
      </c>
      <c r="AY11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78" s="81"/>
      <c r="BA1178" s="81"/>
      <c r="BB1178" s="81">
        <f>Prog_23[[#This Row],[VLR NF]]*0.1%</f>
        <v>0</v>
      </c>
      <c r="BC1178" s="81">
        <f>Prog_23[[#This Row],[VLR NF]]*0.05%</f>
        <v>0</v>
      </c>
      <c r="BD1178" s="81"/>
      <c r="BE1178" s="81"/>
      <c r="BF1178" s="81"/>
      <c r="BG1178" s="81"/>
      <c r="BH1178" s="81"/>
      <c r="BI1178" s="81"/>
      <c r="BJ1178" s="81"/>
      <c r="BK1178" s="81"/>
      <c r="BL1178" s="81"/>
      <c r="BM1178" s="81"/>
      <c r="BN1178" s="66"/>
      <c r="BO1178" s="66"/>
      <c r="BP1178" s="66"/>
      <c r="BQ1178" s="66" t="str">
        <f>PROPER(TEXT(Prog_23[[#This Row],[PROGRAMAÇÃO CLIENTE]],"mmm"))</f>
        <v>Jan</v>
      </c>
      <c r="BR1178" s="66">
        <f>YEAR(Prog_23[[#This Row],[PROGRAMAÇÃO CLIENTE]])</f>
        <v>1900</v>
      </c>
    </row>
    <row r="1179" spans="1:70" x14ac:dyDescent="0.25">
      <c r="A1179" s="200">
        <f>Prog_23[[#This Row],[CONTEINER]]</f>
        <v>0</v>
      </c>
      <c r="B1179" s="86"/>
      <c r="C11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79" s="44"/>
      <c r="E1179" s="66"/>
      <c r="F1179" s="66"/>
      <c r="G1179" s="66"/>
      <c r="H1179" s="44"/>
      <c r="I1179" s="44"/>
      <c r="J1179" s="66"/>
      <c r="K1179" s="66"/>
      <c r="L1179" s="66"/>
      <c r="M1179" s="66"/>
      <c r="N1179" s="66">
        <f>SUM(Prog_23[[#This Row],[TARA]]+Prog_23[[#This Row],[PESO]])</f>
        <v>0</v>
      </c>
      <c r="O1179" s="44"/>
      <c r="P1179" s="66"/>
      <c r="Q1179" s="66"/>
      <c r="R1179" s="66"/>
      <c r="S1179" s="66"/>
      <c r="T1179" s="138" t="str">
        <f>IFERROR(LOOKUP($S1179,MOTORISTAS!$D$3:$D$916,MOTORISTAS!E$3:$E$916),"")</f>
        <v/>
      </c>
      <c r="U1179" s="138" t="str">
        <f>IFERROR(LOOKUP($S1179,MOTORISTAS!$D$3:$D$916,MOTORISTAS!F$3:$F$916),"")</f>
        <v/>
      </c>
      <c r="V1179" s="66"/>
      <c r="W1179" s="66"/>
      <c r="X1179" s="66"/>
      <c r="Y1179" s="66"/>
      <c r="Z1179" s="66"/>
      <c r="AA1179" s="66"/>
      <c r="AB1179" s="66"/>
      <c r="AC1179" s="66"/>
      <c r="AD1179" s="66"/>
      <c r="AE1179" s="66"/>
      <c r="AF1179" s="44"/>
      <c r="AG1179" s="254">
        <f>Prog_23[[#This Row],[SAÍDA DO CLIENTE]]-Prog_23[[#This Row],[PROGRAMAÇÃO CLIENTE]]</f>
        <v>0</v>
      </c>
      <c r="AH1179" s="44"/>
      <c r="AI1179" s="66"/>
      <c r="AJ1179" s="66"/>
      <c r="AK1179" s="66"/>
      <c r="AL1179" s="66"/>
      <c r="AM1179" s="66"/>
      <c r="AN1179" s="83"/>
      <c r="AO1179" s="83"/>
      <c r="AP1179" s="83"/>
      <c r="AQ1179" s="66"/>
      <c r="AR1179" s="66"/>
      <c r="AS1179" s="66"/>
      <c r="AT1179" s="81"/>
      <c r="AU1179" s="81"/>
      <c r="AV1179" s="81"/>
      <c r="AW1179" s="81"/>
      <c r="AX1179" s="83">
        <f>SUM(Prog_23[[#This Row],[ADIANTAMENTO]]+Prog_23[[#This Row],[SALDO]]+Prog_23[[#This Row],[MARGEM]]+Prog_23[[#This Row],[ESTADIA 1]])</f>
        <v>0</v>
      </c>
      <c r="AY11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79" s="81"/>
      <c r="BA1179" s="81"/>
      <c r="BB1179" s="81">
        <f>Prog_23[[#This Row],[VLR NF]]*0.1%</f>
        <v>0</v>
      </c>
      <c r="BC1179" s="81">
        <f>Prog_23[[#This Row],[VLR NF]]*0.05%</f>
        <v>0</v>
      </c>
      <c r="BD1179" s="81"/>
      <c r="BE1179" s="81"/>
      <c r="BF1179" s="81"/>
      <c r="BG1179" s="81"/>
      <c r="BH1179" s="81"/>
      <c r="BI1179" s="81"/>
      <c r="BJ1179" s="81"/>
      <c r="BK1179" s="81"/>
      <c r="BL1179" s="81"/>
      <c r="BM1179" s="81"/>
      <c r="BN1179" s="66"/>
      <c r="BO1179" s="66"/>
      <c r="BP1179" s="66"/>
      <c r="BQ1179" s="66" t="str">
        <f>PROPER(TEXT(Prog_23[[#This Row],[PROGRAMAÇÃO CLIENTE]],"mmm"))</f>
        <v>Jan</v>
      </c>
      <c r="BR1179" s="66">
        <f>YEAR(Prog_23[[#This Row],[PROGRAMAÇÃO CLIENTE]])</f>
        <v>1900</v>
      </c>
    </row>
    <row r="1180" spans="1:70" x14ac:dyDescent="0.25">
      <c r="A1180" s="201">
        <f>Prog_23[[#This Row],[CONTEINER]]</f>
        <v>0</v>
      </c>
      <c r="B1180" s="86"/>
      <c r="C11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80" s="44"/>
      <c r="E1180" s="66"/>
      <c r="F1180" s="66"/>
      <c r="G1180" s="66"/>
      <c r="H1180" s="44"/>
      <c r="I1180" s="44"/>
      <c r="J1180" s="66"/>
      <c r="K1180" s="66"/>
      <c r="L1180" s="66"/>
      <c r="M1180" s="66"/>
      <c r="N1180" s="66">
        <f>SUM(Prog_23[[#This Row],[TARA]]+Prog_23[[#This Row],[PESO]])</f>
        <v>0</v>
      </c>
      <c r="O1180" s="44"/>
      <c r="P1180" s="66"/>
      <c r="Q1180" s="66"/>
      <c r="R1180" s="66"/>
      <c r="S1180" s="66"/>
      <c r="T1180" s="138" t="str">
        <f>IFERROR(LOOKUP($S1180,MOTORISTAS!$D$3:$D$916,MOTORISTAS!E$3:$E$916),"")</f>
        <v/>
      </c>
      <c r="U1180" s="138" t="str">
        <f>IFERROR(LOOKUP($S1180,MOTORISTAS!$D$3:$D$916,MOTORISTAS!F$3:$F$916),"")</f>
        <v/>
      </c>
      <c r="V1180" s="66"/>
      <c r="W1180" s="66"/>
      <c r="X1180" s="66"/>
      <c r="Y1180" s="66"/>
      <c r="Z1180" s="66"/>
      <c r="AA1180" s="66"/>
      <c r="AB1180" s="66"/>
      <c r="AC1180" s="66"/>
      <c r="AD1180" s="66"/>
      <c r="AE1180" s="66"/>
      <c r="AF1180" s="44"/>
      <c r="AG1180" s="254">
        <f>Prog_23[[#This Row],[SAÍDA DO CLIENTE]]-Prog_23[[#This Row],[PROGRAMAÇÃO CLIENTE]]</f>
        <v>0</v>
      </c>
      <c r="AH1180" s="44"/>
      <c r="AI1180" s="66"/>
      <c r="AJ1180" s="66"/>
      <c r="AK1180" s="66"/>
      <c r="AL1180" s="66"/>
      <c r="AM1180" s="66"/>
      <c r="AN1180" s="83"/>
      <c r="AO1180" s="83"/>
      <c r="AP1180" s="83"/>
      <c r="AQ1180" s="66"/>
      <c r="AR1180" s="66"/>
      <c r="AS1180" s="66"/>
      <c r="AT1180" s="81"/>
      <c r="AU1180" s="81"/>
      <c r="AV1180" s="81"/>
      <c r="AW1180" s="81"/>
      <c r="AX1180" s="83">
        <f>SUM(Prog_23[[#This Row],[ADIANTAMENTO]]+Prog_23[[#This Row],[SALDO]]+Prog_23[[#This Row],[MARGEM]]+Prog_23[[#This Row],[ESTADIA 1]])</f>
        <v>0</v>
      </c>
      <c r="AY11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80" s="81"/>
      <c r="BA1180" s="81"/>
      <c r="BB1180" s="81">
        <f>Prog_23[[#This Row],[VLR NF]]*0.1%</f>
        <v>0</v>
      </c>
      <c r="BC1180" s="81">
        <f>Prog_23[[#This Row],[VLR NF]]*0.05%</f>
        <v>0</v>
      </c>
      <c r="BD1180" s="81"/>
      <c r="BE1180" s="81"/>
      <c r="BF1180" s="81"/>
      <c r="BG1180" s="81"/>
      <c r="BH1180" s="81"/>
      <c r="BI1180" s="81"/>
      <c r="BJ1180" s="81"/>
      <c r="BK1180" s="81"/>
      <c r="BL1180" s="81"/>
      <c r="BM1180" s="81"/>
      <c r="BN1180" s="66"/>
      <c r="BO1180" s="66"/>
      <c r="BP1180" s="66"/>
      <c r="BQ1180" s="66" t="str">
        <f>PROPER(TEXT(Prog_23[[#This Row],[PROGRAMAÇÃO CLIENTE]],"mmm"))</f>
        <v>Jan</v>
      </c>
      <c r="BR1180" s="66">
        <f>YEAR(Prog_23[[#This Row],[PROGRAMAÇÃO CLIENTE]])</f>
        <v>1900</v>
      </c>
    </row>
    <row r="1181" spans="1:70" x14ac:dyDescent="0.25">
      <c r="A1181" s="200">
        <f>Prog_23[[#This Row],[CONTEINER]]</f>
        <v>0</v>
      </c>
      <c r="B1181" s="86"/>
      <c r="C11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81" s="44"/>
      <c r="E1181" s="66"/>
      <c r="F1181" s="66"/>
      <c r="G1181" s="66"/>
      <c r="H1181" s="44"/>
      <c r="I1181" s="44"/>
      <c r="J1181" s="66"/>
      <c r="K1181" s="66"/>
      <c r="L1181" s="66"/>
      <c r="M1181" s="66"/>
      <c r="N1181" s="66">
        <f>SUM(Prog_23[[#This Row],[TARA]]+Prog_23[[#This Row],[PESO]])</f>
        <v>0</v>
      </c>
      <c r="O1181" s="44"/>
      <c r="P1181" s="66"/>
      <c r="Q1181" s="66"/>
      <c r="R1181" s="66"/>
      <c r="S1181" s="66"/>
      <c r="T1181" s="138" t="str">
        <f>IFERROR(LOOKUP($S1181,MOTORISTAS!$D$3:$D$916,MOTORISTAS!E$3:$E$916),"")</f>
        <v/>
      </c>
      <c r="U1181" s="138" t="str">
        <f>IFERROR(LOOKUP($S1181,MOTORISTAS!$D$3:$D$916,MOTORISTAS!F$3:$F$916),"")</f>
        <v/>
      </c>
      <c r="V1181" s="66"/>
      <c r="W1181" s="66"/>
      <c r="X1181" s="66"/>
      <c r="Y1181" s="66"/>
      <c r="Z1181" s="66"/>
      <c r="AA1181" s="66"/>
      <c r="AB1181" s="66"/>
      <c r="AC1181" s="66"/>
      <c r="AD1181" s="66"/>
      <c r="AE1181" s="66"/>
      <c r="AF1181" s="44"/>
      <c r="AG1181" s="254">
        <f>Prog_23[[#This Row],[SAÍDA DO CLIENTE]]-Prog_23[[#This Row],[PROGRAMAÇÃO CLIENTE]]</f>
        <v>0</v>
      </c>
      <c r="AH1181" s="44"/>
      <c r="AI1181" s="66"/>
      <c r="AJ1181" s="66"/>
      <c r="AK1181" s="66"/>
      <c r="AL1181" s="66"/>
      <c r="AM1181" s="66"/>
      <c r="AN1181" s="83"/>
      <c r="AO1181" s="83"/>
      <c r="AP1181" s="83"/>
      <c r="AQ1181" s="66"/>
      <c r="AR1181" s="66"/>
      <c r="AS1181" s="66"/>
      <c r="AT1181" s="81"/>
      <c r="AU1181" s="81"/>
      <c r="AV1181" s="81"/>
      <c r="AW1181" s="81"/>
      <c r="AX1181" s="83">
        <f>SUM(Prog_23[[#This Row],[ADIANTAMENTO]]+Prog_23[[#This Row],[SALDO]]+Prog_23[[#This Row],[MARGEM]]+Prog_23[[#This Row],[ESTADIA 1]])</f>
        <v>0</v>
      </c>
      <c r="AY11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81" s="81"/>
      <c r="BA1181" s="81"/>
      <c r="BB1181" s="81">
        <f>Prog_23[[#This Row],[VLR NF]]*0.1%</f>
        <v>0</v>
      </c>
      <c r="BC1181" s="81">
        <f>Prog_23[[#This Row],[VLR NF]]*0.05%</f>
        <v>0</v>
      </c>
      <c r="BD1181" s="81"/>
      <c r="BE1181" s="81"/>
      <c r="BF1181" s="81"/>
      <c r="BG1181" s="81"/>
      <c r="BH1181" s="81"/>
      <c r="BI1181" s="81"/>
      <c r="BJ1181" s="81"/>
      <c r="BK1181" s="81"/>
      <c r="BL1181" s="81"/>
      <c r="BM1181" s="81"/>
      <c r="BN1181" s="66"/>
      <c r="BO1181" s="66"/>
      <c r="BP1181" s="66"/>
      <c r="BQ1181" s="66" t="str">
        <f>PROPER(TEXT(Prog_23[[#This Row],[PROGRAMAÇÃO CLIENTE]],"mmm"))</f>
        <v>Jan</v>
      </c>
      <c r="BR1181" s="66">
        <f>YEAR(Prog_23[[#This Row],[PROGRAMAÇÃO CLIENTE]])</f>
        <v>1900</v>
      </c>
    </row>
    <row r="1182" spans="1:70" x14ac:dyDescent="0.25">
      <c r="A1182" s="201">
        <f>Prog_23[[#This Row],[CONTEINER]]</f>
        <v>0</v>
      </c>
      <c r="B1182" s="86"/>
      <c r="C11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82" s="44"/>
      <c r="E1182" s="66"/>
      <c r="F1182" s="66"/>
      <c r="G1182" s="66"/>
      <c r="H1182" s="44"/>
      <c r="I1182" s="44"/>
      <c r="J1182" s="66"/>
      <c r="K1182" s="66"/>
      <c r="L1182" s="66"/>
      <c r="M1182" s="66"/>
      <c r="N1182" s="66">
        <f>SUM(Prog_23[[#This Row],[TARA]]+Prog_23[[#This Row],[PESO]])</f>
        <v>0</v>
      </c>
      <c r="O1182" s="44"/>
      <c r="P1182" s="66"/>
      <c r="Q1182" s="66"/>
      <c r="R1182" s="66"/>
      <c r="S1182" s="66"/>
      <c r="T1182" s="138" t="str">
        <f>IFERROR(LOOKUP($S1182,MOTORISTAS!$D$3:$D$916,MOTORISTAS!E$3:$E$916),"")</f>
        <v/>
      </c>
      <c r="U1182" s="138" t="str">
        <f>IFERROR(LOOKUP($S1182,MOTORISTAS!$D$3:$D$916,MOTORISTAS!F$3:$F$916),"")</f>
        <v/>
      </c>
      <c r="V1182" s="66"/>
      <c r="W1182" s="66"/>
      <c r="X1182" s="66"/>
      <c r="Y1182" s="66"/>
      <c r="Z1182" s="66"/>
      <c r="AA1182" s="66"/>
      <c r="AB1182" s="66"/>
      <c r="AC1182" s="66"/>
      <c r="AD1182" s="66"/>
      <c r="AE1182" s="66"/>
      <c r="AF1182" s="44"/>
      <c r="AG1182" s="254">
        <f>Prog_23[[#This Row],[SAÍDA DO CLIENTE]]-Prog_23[[#This Row],[PROGRAMAÇÃO CLIENTE]]</f>
        <v>0</v>
      </c>
      <c r="AH1182" s="44"/>
      <c r="AI1182" s="66"/>
      <c r="AJ1182" s="66"/>
      <c r="AK1182" s="66"/>
      <c r="AL1182" s="66"/>
      <c r="AM1182" s="66"/>
      <c r="AN1182" s="83"/>
      <c r="AO1182" s="83"/>
      <c r="AP1182" s="83"/>
      <c r="AQ1182" s="66"/>
      <c r="AR1182" s="66"/>
      <c r="AS1182" s="66"/>
      <c r="AT1182" s="81"/>
      <c r="AU1182" s="81"/>
      <c r="AV1182" s="81"/>
      <c r="AW1182" s="81"/>
      <c r="AX1182" s="83">
        <f>SUM(Prog_23[[#This Row],[ADIANTAMENTO]]+Prog_23[[#This Row],[SALDO]]+Prog_23[[#This Row],[MARGEM]]+Prog_23[[#This Row],[ESTADIA 1]])</f>
        <v>0</v>
      </c>
      <c r="AY11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82" s="81"/>
      <c r="BA1182" s="81"/>
      <c r="BB1182" s="81">
        <f>Prog_23[[#This Row],[VLR NF]]*0.1%</f>
        <v>0</v>
      </c>
      <c r="BC1182" s="81">
        <f>Prog_23[[#This Row],[VLR NF]]*0.05%</f>
        <v>0</v>
      </c>
      <c r="BD1182" s="81"/>
      <c r="BE1182" s="81"/>
      <c r="BF1182" s="81"/>
      <c r="BG1182" s="81"/>
      <c r="BH1182" s="81"/>
      <c r="BI1182" s="81"/>
      <c r="BJ1182" s="81"/>
      <c r="BK1182" s="81"/>
      <c r="BL1182" s="81"/>
      <c r="BM1182" s="81"/>
      <c r="BN1182" s="66"/>
      <c r="BO1182" s="66"/>
      <c r="BP1182" s="66"/>
      <c r="BQ1182" s="66" t="str">
        <f>PROPER(TEXT(Prog_23[[#This Row],[PROGRAMAÇÃO CLIENTE]],"mmm"))</f>
        <v>Jan</v>
      </c>
      <c r="BR1182" s="66">
        <f>YEAR(Prog_23[[#This Row],[PROGRAMAÇÃO CLIENTE]])</f>
        <v>1900</v>
      </c>
    </row>
    <row r="1183" spans="1:70" x14ac:dyDescent="0.25">
      <c r="A1183" s="200">
        <f>Prog_23[[#This Row],[CONTEINER]]</f>
        <v>0</v>
      </c>
      <c r="B1183" s="86"/>
      <c r="C11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83" s="44"/>
      <c r="E1183" s="66"/>
      <c r="F1183" s="66"/>
      <c r="G1183" s="66"/>
      <c r="H1183" s="44"/>
      <c r="I1183" s="44"/>
      <c r="J1183" s="66"/>
      <c r="K1183" s="66"/>
      <c r="L1183" s="66"/>
      <c r="M1183" s="66"/>
      <c r="N1183" s="66">
        <f>SUM(Prog_23[[#This Row],[TARA]]+Prog_23[[#This Row],[PESO]])</f>
        <v>0</v>
      </c>
      <c r="O1183" s="44"/>
      <c r="P1183" s="66"/>
      <c r="Q1183" s="66"/>
      <c r="R1183" s="66"/>
      <c r="S1183" s="66"/>
      <c r="T1183" s="138" t="str">
        <f>IFERROR(LOOKUP($S1183,MOTORISTAS!$D$3:$D$916,MOTORISTAS!E$3:$E$916),"")</f>
        <v/>
      </c>
      <c r="U1183" s="138" t="str">
        <f>IFERROR(LOOKUP($S1183,MOTORISTAS!$D$3:$D$916,MOTORISTAS!F$3:$F$916),"")</f>
        <v/>
      </c>
      <c r="V1183" s="66"/>
      <c r="W1183" s="66"/>
      <c r="X1183" s="66"/>
      <c r="Y1183" s="66"/>
      <c r="Z1183" s="66"/>
      <c r="AA1183" s="66"/>
      <c r="AB1183" s="66"/>
      <c r="AC1183" s="66"/>
      <c r="AD1183" s="66"/>
      <c r="AE1183" s="66"/>
      <c r="AF1183" s="44"/>
      <c r="AG1183" s="254">
        <f>Prog_23[[#This Row],[SAÍDA DO CLIENTE]]-Prog_23[[#This Row],[PROGRAMAÇÃO CLIENTE]]</f>
        <v>0</v>
      </c>
      <c r="AH1183" s="44"/>
      <c r="AI1183" s="66"/>
      <c r="AJ1183" s="66"/>
      <c r="AK1183" s="66"/>
      <c r="AL1183" s="66"/>
      <c r="AM1183" s="66"/>
      <c r="AN1183" s="83"/>
      <c r="AO1183" s="83"/>
      <c r="AP1183" s="83"/>
      <c r="AQ1183" s="66"/>
      <c r="AR1183" s="66"/>
      <c r="AS1183" s="66"/>
      <c r="AT1183" s="81"/>
      <c r="AU1183" s="81"/>
      <c r="AV1183" s="81"/>
      <c r="AW1183" s="81"/>
      <c r="AX1183" s="83">
        <f>SUM(Prog_23[[#This Row],[ADIANTAMENTO]]+Prog_23[[#This Row],[SALDO]]+Prog_23[[#This Row],[MARGEM]]+Prog_23[[#This Row],[ESTADIA 1]])</f>
        <v>0</v>
      </c>
      <c r="AY11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83" s="81"/>
      <c r="BA1183" s="81"/>
      <c r="BB1183" s="81">
        <f>Prog_23[[#This Row],[VLR NF]]*0.1%</f>
        <v>0</v>
      </c>
      <c r="BC1183" s="81">
        <f>Prog_23[[#This Row],[VLR NF]]*0.05%</f>
        <v>0</v>
      </c>
      <c r="BD1183" s="81"/>
      <c r="BE1183" s="81"/>
      <c r="BF1183" s="81"/>
      <c r="BG1183" s="81"/>
      <c r="BH1183" s="81"/>
      <c r="BI1183" s="81"/>
      <c r="BJ1183" s="81"/>
      <c r="BK1183" s="81"/>
      <c r="BL1183" s="81"/>
      <c r="BM1183" s="81"/>
      <c r="BN1183" s="66"/>
      <c r="BO1183" s="66"/>
      <c r="BP1183" s="66"/>
      <c r="BQ1183" s="66" t="str">
        <f>PROPER(TEXT(Prog_23[[#This Row],[PROGRAMAÇÃO CLIENTE]],"mmm"))</f>
        <v>Jan</v>
      </c>
      <c r="BR1183" s="66">
        <f>YEAR(Prog_23[[#This Row],[PROGRAMAÇÃO CLIENTE]])</f>
        <v>1900</v>
      </c>
    </row>
    <row r="1184" spans="1:70" x14ac:dyDescent="0.25">
      <c r="A1184" s="201">
        <f>Prog_23[[#This Row],[CONTEINER]]</f>
        <v>0</v>
      </c>
      <c r="B1184" s="86"/>
      <c r="C11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84" s="44"/>
      <c r="E1184" s="66"/>
      <c r="F1184" s="66"/>
      <c r="G1184" s="66"/>
      <c r="H1184" s="44"/>
      <c r="I1184" s="44"/>
      <c r="J1184" s="66"/>
      <c r="K1184" s="66"/>
      <c r="L1184" s="66"/>
      <c r="M1184" s="66"/>
      <c r="N1184" s="66">
        <f>SUM(Prog_23[[#This Row],[TARA]]+Prog_23[[#This Row],[PESO]])</f>
        <v>0</v>
      </c>
      <c r="O1184" s="44"/>
      <c r="P1184" s="66"/>
      <c r="Q1184" s="66"/>
      <c r="R1184" s="66"/>
      <c r="S1184" s="66"/>
      <c r="T1184" s="138" t="str">
        <f>IFERROR(LOOKUP($S1184,MOTORISTAS!$D$3:$D$916,MOTORISTAS!E$3:$E$916),"")</f>
        <v/>
      </c>
      <c r="U1184" s="138" t="str">
        <f>IFERROR(LOOKUP($S1184,MOTORISTAS!$D$3:$D$916,MOTORISTAS!F$3:$F$916),"")</f>
        <v/>
      </c>
      <c r="V1184" s="66"/>
      <c r="W1184" s="66"/>
      <c r="X1184" s="66"/>
      <c r="Y1184" s="66"/>
      <c r="Z1184" s="66"/>
      <c r="AA1184" s="66"/>
      <c r="AB1184" s="66"/>
      <c r="AC1184" s="66"/>
      <c r="AD1184" s="66"/>
      <c r="AE1184" s="66"/>
      <c r="AF1184" s="44"/>
      <c r="AG1184" s="254">
        <f>Prog_23[[#This Row],[SAÍDA DO CLIENTE]]-Prog_23[[#This Row],[PROGRAMAÇÃO CLIENTE]]</f>
        <v>0</v>
      </c>
      <c r="AH1184" s="44"/>
      <c r="AI1184" s="66"/>
      <c r="AJ1184" s="66"/>
      <c r="AK1184" s="66"/>
      <c r="AL1184" s="66"/>
      <c r="AM1184" s="66"/>
      <c r="AN1184" s="83"/>
      <c r="AO1184" s="83"/>
      <c r="AP1184" s="83"/>
      <c r="AQ1184" s="66"/>
      <c r="AR1184" s="66"/>
      <c r="AS1184" s="66"/>
      <c r="AT1184" s="81"/>
      <c r="AU1184" s="81"/>
      <c r="AV1184" s="81"/>
      <c r="AW1184" s="81"/>
      <c r="AX1184" s="83">
        <f>SUM(Prog_23[[#This Row],[ADIANTAMENTO]]+Prog_23[[#This Row],[SALDO]]+Prog_23[[#This Row],[MARGEM]]+Prog_23[[#This Row],[ESTADIA 1]])</f>
        <v>0</v>
      </c>
      <c r="AY11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84" s="81"/>
      <c r="BA1184" s="81"/>
      <c r="BB1184" s="81">
        <f>Prog_23[[#This Row],[VLR NF]]*0.1%</f>
        <v>0</v>
      </c>
      <c r="BC1184" s="81">
        <f>Prog_23[[#This Row],[VLR NF]]*0.05%</f>
        <v>0</v>
      </c>
      <c r="BD1184" s="81"/>
      <c r="BE1184" s="81"/>
      <c r="BF1184" s="81"/>
      <c r="BG1184" s="81"/>
      <c r="BH1184" s="81"/>
      <c r="BI1184" s="81"/>
      <c r="BJ1184" s="81"/>
      <c r="BK1184" s="81"/>
      <c r="BL1184" s="81"/>
      <c r="BM1184" s="81"/>
      <c r="BN1184" s="66"/>
      <c r="BO1184" s="66"/>
      <c r="BP1184" s="66"/>
      <c r="BQ1184" s="66" t="str">
        <f>PROPER(TEXT(Prog_23[[#This Row],[PROGRAMAÇÃO CLIENTE]],"mmm"))</f>
        <v>Jan</v>
      </c>
      <c r="BR1184" s="66">
        <f>YEAR(Prog_23[[#This Row],[PROGRAMAÇÃO CLIENTE]])</f>
        <v>1900</v>
      </c>
    </row>
    <row r="1185" spans="1:70" x14ac:dyDescent="0.25">
      <c r="A1185" s="200">
        <f>Prog_23[[#This Row],[CONTEINER]]</f>
        <v>0</v>
      </c>
      <c r="B1185" s="86"/>
      <c r="C11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85" s="44"/>
      <c r="E1185" s="66"/>
      <c r="F1185" s="66"/>
      <c r="G1185" s="66"/>
      <c r="H1185" s="44"/>
      <c r="I1185" s="44"/>
      <c r="J1185" s="66"/>
      <c r="K1185" s="66"/>
      <c r="L1185" s="66"/>
      <c r="M1185" s="66"/>
      <c r="N1185" s="66">
        <f>SUM(Prog_23[[#This Row],[TARA]]+Prog_23[[#This Row],[PESO]])</f>
        <v>0</v>
      </c>
      <c r="O1185" s="44"/>
      <c r="P1185" s="66"/>
      <c r="Q1185" s="66"/>
      <c r="R1185" s="66"/>
      <c r="S1185" s="66"/>
      <c r="T1185" s="138" t="str">
        <f>IFERROR(LOOKUP($S1185,MOTORISTAS!$D$3:$D$916,MOTORISTAS!E$3:$E$916),"")</f>
        <v/>
      </c>
      <c r="U1185" s="138" t="str">
        <f>IFERROR(LOOKUP($S1185,MOTORISTAS!$D$3:$D$916,MOTORISTAS!F$3:$F$916),"")</f>
        <v/>
      </c>
      <c r="V1185" s="66"/>
      <c r="W1185" s="66"/>
      <c r="X1185" s="66"/>
      <c r="Y1185" s="66"/>
      <c r="Z1185" s="66"/>
      <c r="AA1185" s="66"/>
      <c r="AB1185" s="66"/>
      <c r="AC1185" s="66"/>
      <c r="AD1185" s="66"/>
      <c r="AE1185" s="66"/>
      <c r="AF1185" s="44"/>
      <c r="AG1185" s="254">
        <f>Prog_23[[#This Row],[SAÍDA DO CLIENTE]]-Prog_23[[#This Row],[PROGRAMAÇÃO CLIENTE]]</f>
        <v>0</v>
      </c>
      <c r="AH1185" s="44"/>
      <c r="AI1185" s="66"/>
      <c r="AJ1185" s="66"/>
      <c r="AK1185" s="66"/>
      <c r="AL1185" s="66"/>
      <c r="AM1185" s="66"/>
      <c r="AN1185" s="83"/>
      <c r="AO1185" s="83"/>
      <c r="AP1185" s="83"/>
      <c r="AQ1185" s="66"/>
      <c r="AR1185" s="66"/>
      <c r="AS1185" s="66"/>
      <c r="AT1185" s="81"/>
      <c r="AU1185" s="81"/>
      <c r="AV1185" s="81"/>
      <c r="AW1185" s="81"/>
      <c r="AX1185" s="83">
        <f>SUM(Prog_23[[#This Row],[ADIANTAMENTO]]+Prog_23[[#This Row],[SALDO]]+Prog_23[[#This Row],[MARGEM]]+Prog_23[[#This Row],[ESTADIA 1]])</f>
        <v>0</v>
      </c>
      <c r="AY11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85" s="81"/>
      <c r="BA1185" s="81"/>
      <c r="BB1185" s="81">
        <f>Prog_23[[#This Row],[VLR NF]]*0.1%</f>
        <v>0</v>
      </c>
      <c r="BC1185" s="81">
        <f>Prog_23[[#This Row],[VLR NF]]*0.05%</f>
        <v>0</v>
      </c>
      <c r="BD1185" s="81"/>
      <c r="BE1185" s="81"/>
      <c r="BF1185" s="81"/>
      <c r="BG1185" s="81"/>
      <c r="BH1185" s="81"/>
      <c r="BI1185" s="81"/>
      <c r="BJ1185" s="81"/>
      <c r="BK1185" s="81"/>
      <c r="BL1185" s="81"/>
      <c r="BM1185" s="81"/>
      <c r="BN1185" s="66"/>
      <c r="BO1185" s="66"/>
      <c r="BP1185" s="66"/>
      <c r="BQ1185" s="66" t="str">
        <f>PROPER(TEXT(Prog_23[[#This Row],[PROGRAMAÇÃO CLIENTE]],"mmm"))</f>
        <v>Jan</v>
      </c>
      <c r="BR1185" s="66">
        <f>YEAR(Prog_23[[#This Row],[PROGRAMAÇÃO CLIENTE]])</f>
        <v>1900</v>
      </c>
    </row>
    <row r="1186" spans="1:70" x14ac:dyDescent="0.25">
      <c r="A1186" s="201">
        <f>Prog_23[[#This Row],[CONTEINER]]</f>
        <v>0</v>
      </c>
      <c r="B1186" s="86"/>
      <c r="C11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86" s="44"/>
      <c r="E1186" s="66"/>
      <c r="F1186" s="66"/>
      <c r="G1186" s="66"/>
      <c r="H1186" s="44"/>
      <c r="I1186" s="44"/>
      <c r="J1186" s="66"/>
      <c r="K1186" s="66"/>
      <c r="L1186" s="66"/>
      <c r="M1186" s="66"/>
      <c r="N1186" s="66">
        <f>SUM(Prog_23[[#This Row],[TARA]]+Prog_23[[#This Row],[PESO]])</f>
        <v>0</v>
      </c>
      <c r="O1186" s="44"/>
      <c r="P1186" s="66"/>
      <c r="Q1186" s="66"/>
      <c r="R1186" s="66"/>
      <c r="S1186" s="66"/>
      <c r="T1186" s="138" t="str">
        <f>IFERROR(LOOKUP($S1186,MOTORISTAS!$D$3:$D$916,MOTORISTAS!E$3:$E$916),"")</f>
        <v/>
      </c>
      <c r="U1186" s="138" t="str">
        <f>IFERROR(LOOKUP($S1186,MOTORISTAS!$D$3:$D$916,MOTORISTAS!F$3:$F$916),"")</f>
        <v/>
      </c>
      <c r="V1186" s="66"/>
      <c r="W1186" s="66"/>
      <c r="X1186" s="66"/>
      <c r="Y1186" s="66"/>
      <c r="Z1186" s="66"/>
      <c r="AA1186" s="66"/>
      <c r="AB1186" s="66"/>
      <c r="AC1186" s="66"/>
      <c r="AD1186" s="66"/>
      <c r="AE1186" s="66"/>
      <c r="AF1186" s="44"/>
      <c r="AG1186" s="254">
        <f>Prog_23[[#This Row],[SAÍDA DO CLIENTE]]-Prog_23[[#This Row],[PROGRAMAÇÃO CLIENTE]]</f>
        <v>0</v>
      </c>
      <c r="AH1186" s="44"/>
      <c r="AI1186" s="66"/>
      <c r="AJ1186" s="66"/>
      <c r="AK1186" s="66"/>
      <c r="AL1186" s="66"/>
      <c r="AM1186" s="66"/>
      <c r="AN1186" s="83"/>
      <c r="AO1186" s="83"/>
      <c r="AP1186" s="83"/>
      <c r="AQ1186" s="66"/>
      <c r="AR1186" s="66"/>
      <c r="AS1186" s="66"/>
      <c r="AT1186" s="81"/>
      <c r="AU1186" s="81"/>
      <c r="AV1186" s="81"/>
      <c r="AW1186" s="81"/>
      <c r="AX1186" s="83">
        <f>SUM(Prog_23[[#This Row],[ADIANTAMENTO]]+Prog_23[[#This Row],[SALDO]]+Prog_23[[#This Row],[MARGEM]]+Prog_23[[#This Row],[ESTADIA 1]])</f>
        <v>0</v>
      </c>
      <c r="AY11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86" s="81"/>
      <c r="BA1186" s="81"/>
      <c r="BB1186" s="81">
        <f>Prog_23[[#This Row],[VLR NF]]*0.1%</f>
        <v>0</v>
      </c>
      <c r="BC1186" s="81">
        <f>Prog_23[[#This Row],[VLR NF]]*0.05%</f>
        <v>0</v>
      </c>
      <c r="BD1186" s="81"/>
      <c r="BE1186" s="81"/>
      <c r="BF1186" s="81"/>
      <c r="BG1186" s="81"/>
      <c r="BH1186" s="81"/>
      <c r="BI1186" s="81"/>
      <c r="BJ1186" s="81"/>
      <c r="BK1186" s="81"/>
      <c r="BL1186" s="81"/>
      <c r="BM1186" s="81"/>
      <c r="BN1186" s="66"/>
      <c r="BO1186" s="66"/>
      <c r="BP1186" s="66"/>
      <c r="BQ1186" s="66" t="str">
        <f>PROPER(TEXT(Prog_23[[#This Row],[PROGRAMAÇÃO CLIENTE]],"mmm"))</f>
        <v>Jan</v>
      </c>
      <c r="BR1186" s="66">
        <f>YEAR(Prog_23[[#This Row],[PROGRAMAÇÃO CLIENTE]])</f>
        <v>1900</v>
      </c>
    </row>
    <row r="1187" spans="1:70" x14ac:dyDescent="0.25">
      <c r="A1187" s="200">
        <f>Prog_23[[#This Row],[CONTEINER]]</f>
        <v>0</v>
      </c>
      <c r="B1187" s="86"/>
      <c r="C11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87" s="44"/>
      <c r="E1187" s="66"/>
      <c r="F1187" s="66"/>
      <c r="G1187" s="66"/>
      <c r="H1187" s="44"/>
      <c r="I1187" s="44"/>
      <c r="J1187" s="66"/>
      <c r="K1187" s="66"/>
      <c r="L1187" s="66"/>
      <c r="M1187" s="66"/>
      <c r="N1187" s="66">
        <f>SUM(Prog_23[[#This Row],[TARA]]+Prog_23[[#This Row],[PESO]])</f>
        <v>0</v>
      </c>
      <c r="O1187" s="44"/>
      <c r="P1187" s="66"/>
      <c r="Q1187" s="66"/>
      <c r="R1187" s="66"/>
      <c r="S1187" s="66"/>
      <c r="T1187" s="138" t="str">
        <f>IFERROR(LOOKUP($S1187,MOTORISTAS!$D$3:$D$916,MOTORISTAS!E$3:$E$916),"")</f>
        <v/>
      </c>
      <c r="U1187" s="138" t="str">
        <f>IFERROR(LOOKUP($S1187,MOTORISTAS!$D$3:$D$916,MOTORISTAS!F$3:$F$916),"")</f>
        <v/>
      </c>
      <c r="V1187" s="66"/>
      <c r="W1187" s="66"/>
      <c r="X1187" s="66"/>
      <c r="Y1187" s="66"/>
      <c r="Z1187" s="66"/>
      <c r="AA1187" s="66"/>
      <c r="AB1187" s="66"/>
      <c r="AC1187" s="66"/>
      <c r="AD1187" s="66"/>
      <c r="AE1187" s="66"/>
      <c r="AF1187" s="44"/>
      <c r="AG1187" s="254">
        <f>Prog_23[[#This Row],[SAÍDA DO CLIENTE]]-Prog_23[[#This Row],[PROGRAMAÇÃO CLIENTE]]</f>
        <v>0</v>
      </c>
      <c r="AH1187" s="44"/>
      <c r="AI1187" s="66"/>
      <c r="AJ1187" s="66"/>
      <c r="AK1187" s="66"/>
      <c r="AL1187" s="66"/>
      <c r="AM1187" s="66"/>
      <c r="AN1187" s="83"/>
      <c r="AO1187" s="83"/>
      <c r="AP1187" s="83"/>
      <c r="AQ1187" s="66"/>
      <c r="AR1187" s="66"/>
      <c r="AS1187" s="66"/>
      <c r="AT1187" s="81"/>
      <c r="AU1187" s="81"/>
      <c r="AV1187" s="81"/>
      <c r="AW1187" s="81"/>
      <c r="AX1187" s="83">
        <f>SUM(Prog_23[[#This Row],[ADIANTAMENTO]]+Prog_23[[#This Row],[SALDO]]+Prog_23[[#This Row],[MARGEM]]+Prog_23[[#This Row],[ESTADIA 1]])</f>
        <v>0</v>
      </c>
      <c r="AY11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87" s="81"/>
      <c r="BA1187" s="81"/>
      <c r="BB1187" s="81">
        <f>Prog_23[[#This Row],[VLR NF]]*0.1%</f>
        <v>0</v>
      </c>
      <c r="BC1187" s="81">
        <f>Prog_23[[#This Row],[VLR NF]]*0.05%</f>
        <v>0</v>
      </c>
      <c r="BD1187" s="81"/>
      <c r="BE1187" s="81"/>
      <c r="BF1187" s="81"/>
      <c r="BG1187" s="81"/>
      <c r="BH1187" s="81"/>
      <c r="BI1187" s="81"/>
      <c r="BJ1187" s="81"/>
      <c r="BK1187" s="81"/>
      <c r="BL1187" s="81"/>
      <c r="BM1187" s="81"/>
      <c r="BN1187" s="66"/>
      <c r="BO1187" s="66"/>
      <c r="BP1187" s="66"/>
      <c r="BQ1187" s="66" t="str">
        <f>PROPER(TEXT(Prog_23[[#This Row],[PROGRAMAÇÃO CLIENTE]],"mmm"))</f>
        <v>Jan</v>
      </c>
      <c r="BR1187" s="66">
        <f>YEAR(Prog_23[[#This Row],[PROGRAMAÇÃO CLIENTE]])</f>
        <v>1900</v>
      </c>
    </row>
    <row r="1188" spans="1:70" x14ac:dyDescent="0.25">
      <c r="A1188" s="201">
        <f>Prog_23[[#This Row],[CONTEINER]]</f>
        <v>0</v>
      </c>
      <c r="B1188" s="86"/>
      <c r="C11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88" s="44"/>
      <c r="E1188" s="66"/>
      <c r="F1188" s="66"/>
      <c r="G1188" s="66"/>
      <c r="H1188" s="44"/>
      <c r="I1188" s="44"/>
      <c r="J1188" s="66"/>
      <c r="K1188" s="66"/>
      <c r="L1188" s="66"/>
      <c r="M1188" s="66"/>
      <c r="N1188" s="66">
        <f>SUM(Prog_23[[#This Row],[TARA]]+Prog_23[[#This Row],[PESO]])</f>
        <v>0</v>
      </c>
      <c r="O1188" s="44"/>
      <c r="P1188" s="66"/>
      <c r="Q1188" s="66"/>
      <c r="R1188" s="66"/>
      <c r="S1188" s="66"/>
      <c r="T1188" s="138" t="str">
        <f>IFERROR(LOOKUP($S1188,MOTORISTAS!$D$3:$D$916,MOTORISTAS!E$3:$E$916),"")</f>
        <v/>
      </c>
      <c r="U1188" s="138" t="str">
        <f>IFERROR(LOOKUP($S1188,MOTORISTAS!$D$3:$D$916,MOTORISTAS!F$3:$F$916),"")</f>
        <v/>
      </c>
      <c r="V1188" s="66"/>
      <c r="W1188" s="66"/>
      <c r="X1188" s="66"/>
      <c r="Y1188" s="66"/>
      <c r="Z1188" s="66"/>
      <c r="AA1188" s="66"/>
      <c r="AB1188" s="66"/>
      <c r="AC1188" s="66"/>
      <c r="AD1188" s="66"/>
      <c r="AE1188" s="66"/>
      <c r="AF1188" s="44"/>
      <c r="AG1188" s="254">
        <f>Prog_23[[#This Row],[SAÍDA DO CLIENTE]]-Prog_23[[#This Row],[PROGRAMAÇÃO CLIENTE]]</f>
        <v>0</v>
      </c>
      <c r="AH1188" s="44"/>
      <c r="AI1188" s="66"/>
      <c r="AJ1188" s="66"/>
      <c r="AK1188" s="66"/>
      <c r="AL1188" s="66"/>
      <c r="AM1188" s="66"/>
      <c r="AN1188" s="83"/>
      <c r="AO1188" s="83"/>
      <c r="AP1188" s="83"/>
      <c r="AQ1188" s="66"/>
      <c r="AR1188" s="66"/>
      <c r="AS1188" s="66"/>
      <c r="AT1188" s="81"/>
      <c r="AU1188" s="81"/>
      <c r="AV1188" s="81"/>
      <c r="AW1188" s="81"/>
      <c r="AX1188" s="83">
        <f>SUM(Prog_23[[#This Row],[ADIANTAMENTO]]+Prog_23[[#This Row],[SALDO]]+Prog_23[[#This Row],[MARGEM]]+Prog_23[[#This Row],[ESTADIA 1]])</f>
        <v>0</v>
      </c>
      <c r="AY11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88" s="81"/>
      <c r="BA1188" s="81"/>
      <c r="BB1188" s="81">
        <f>Prog_23[[#This Row],[VLR NF]]*0.1%</f>
        <v>0</v>
      </c>
      <c r="BC1188" s="81">
        <f>Prog_23[[#This Row],[VLR NF]]*0.05%</f>
        <v>0</v>
      </c>
      <c r="BD1188" s="81"/>
      <c r="BE1188" s="81"/>
      <c r="BF1188" s="81"/>
      <c r="BG1188" s="81"/>
      <c r="BH1188" s="81"/>
      <c r="BI1188" s="81"/>
      <c r="BJ1188" s="81"/>
      <c r="BK1188" s="81"/>
      <c r="BL1188" s="81"/>
      <c r="BM1188" s="81"/>
      <c r="BN1188" s="66"/>
      <c r="BO1188" s="66"/>
      <c r="BP1188" s="66"/>
      <c r="BQ1188" s="66" t="str">
        <f>PROPER(TEXT(Prog_23[[#This Row],[PROGRAMAÇÃO CLIENTE]],"mmm"))</f>
        <v>Jan</v>
      </c>
      <c r="BR1188" s="66">
        <f>YEAR(Prog_23[[#This Row],[PROGRAMAÇÃO CLIENTE]])</f>
        <v>1900</v>
      </c>
    </row>
    <row r="1189" spans="1:70" x14ac:dyDescent="0.25">
      <c r="A1189" s="200">
        <f>Prog_23[[#This Row],[CONTEINER]]</f>
        <v>0</v>
      </c>
      <c r="B1189" s="86"/>
      <c r="C11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89" s="44"/>
      <c r="E1189" s="66"/>
      <c r="F1189" s="66"/>
      <c r="G1189" s="66"/>
      <c r="H1189" s="44"/>
      <c r="I1189" s="44"/>
      <c r="J1189" s="66"/>
      <c r="K1189" s="66"/>
      <c r="L1189" s="66"/>
      <c r="M1189" s="66"/>
      <c r="N1189" s="66">
        <f>SUM(Prog_23[[#This Row],[TARA]]+Prog_23[[#This Row],[PESO]])</f>
        <v>0</v>
      </c>
      <c r="O1189" s="44"/>
      <c r="P1189" s="66"/>
      <c r="Q1189" s="66"/>
      <c r="R1189" s="66"/>
      <c r="S1189" s="66"/>
      <c r="T1189" s="138" t="str">
        <f>IFERROR(LOOKUP($S1189,MOTORISTAS!$D$3:$D$916,MOTORISTAS!E$3:$E$916),"")</f>
        <v/>
      </c>
      <c r="U1189" s="138" t="str">
        <f>IFERROR(LOOKUP($S1189,MOTORISTAS!$D$3:$D$916,MOTORISTAS!F$3:$F$916),"")</f>
        <v/>
      </c>
      <c r="V1189" s="66"/>
      <c r="W1189" s="66"/>
      <c r="X1189" s="66"/>
      <c r="Y1189" s="66"/>
      <c r="Z1189" s="66"/>
      <c r="AA1189" s="66"/>
      <c r="AB1189" s="66"/>
      <c r="AC1189" s="66"/>
      <c r="AD1189" s="66"/>
      <c r="AE1189" s="66"/>
      <c r="AF1189" s="44"/>
      <c r="AG1189" s="254">
        <f>Prog_23[[#This Row],[SAÍDA DO CLIENTE]]-Prog_23[[#This Row],[PROGRAMAÇÃO CLIENTE]]</f>
        <v>0</v>
      </c>
      <c r="AH1189" s="44"/>
      <c r="AI1189" s="66"/>
      <c r="AJ1189" s="66"/>
      <c r="AK1189" s="66"/>
      <c r="AL1189" s="66"/>
      <c r="AM1189" s="66"/>
      <c r="AN1189" s="83"/>
      <c r="AO1189" s="83"/>
      <c r="AP1189" s="83"/>
      <c r="AQ1189" s="66"/>
      <c r="AR1189" s="66"/>
      <c r="AS1189" s="66"/>
      <c r="AT1189" s="81"/>
      <c r="AU1189" s="81"/>
      <c r="AV1189" s="81"/>
      <c r="AW1189" s="81"/>
      <c r="AX1189" s="83">
        <f>SUM(Prog_23[[#This Row],[ADIANTAMENTO]]+Prog_23[[#This Row],[SALDO]]+Prog_23[[#This Row],[MARGEM]]+Prog_23[[#This Row],[ESTADIA 1]])</f>
        <v>0</v>
      </c>
      <c r="AY11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89" s="81"/>
      <c r="BA1189" s="81"/>
      <c r="BB1189" s="81">
        <f>Prog_23[[#This Row],[VLR NF]]*0.1%</f>
        <v>0</v>
      </c>
      <c r="BC1189" s="81">
        <f>Prog_23[[#This Row],[VLR NF]]*0.05%</f>
        <v>0</v>
      </c>
      <c r="BD1189" s="81"/>
      <c r="BE1189" s="81"/>
      <c r="BF1189" s="81"/>
      <c r="BG1189" s="81"/>
      <c r="BH1189" s="81"/>
      <c r="BI1189" s="81"/>
      <c r="BJ1189" s="81"/>
      <c r="BK1189" s="81"/>
      <c r="BL1189" s="81"/>
      <c r="BM1189" s="81"/>
      <c r="BN1189" s="66"/>
      <c r="BO1189" s="66"/>
      <c r="BP1189" s="66"/>
      <c r="BQ1189" s="66" t="str">
        <f>PROPER(TEXT(Prog_23[[#This Row],[PROGRAMAÇÃO CLIENTE]],"mmm"))</f>
        <v>Jan</v>
      </c>
      <c r="BR1189" s="66">
        <f>YEAR(Prog_23[[#This Row],[PROGRAMAÇÃO CLIENTE]])</f>
        <v>1900</v>
      </c>
    </row>
    <row r="1190" spans="1:70" x14ac:dyDescent="0.25">
      <c r="A1190" s="201">
        <f>Prog_23[[#This Row],[CONTEINER]]</f>
        <v>0</v>
      </c>
      <c r="B1190" s="86"/>
      <c r="C11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90" s="44"/>
      <c r="E1190" s="66"/>
      <c r="F1190" s="66"/>
      <c r="G1190" s="66"/>
      <c r="H1190" s="44"/>
      <c r="I1190" s="44"/>
      <c r="J1190" s="66"/>
      <c r="K1190" s="66"/>
      <c r="L1190" s="66"/>
      <c r="M1190" s="66"/>
      <c r="N1190" s="66">
        <f>SUM(Prog_23[[#This Row],[TARA]]+Prog_23[[#This Row],[PESO]])</f>
        <v>0</v>
      </c>
      <c r="O1190" s="44"/>
      <c r="P1190" s="66"/>
      <c r="Q1190" s="66"/>
      <c r="R1190" s="66"/>
      <c r="S1190" s="66"/>
      <c r="T1190" s="138" t="str">
        <f>IFERROR(LOOKUP($S1190,MOTORISTAS!$D$3:$D$916,MOTORISTAS!E$3:$E$916),"")</f>
        <v/>
      </c>
      <c r="U1190" s="138" t="str">
        <f>IFERROR(LOOKUP($S1190,MOTORISTAS!$D$3:$D$916,MOTORISTAS!F$3:$F$916),"")</f>
        <v/>
      </c>
      <c r="V1190" s="66"/>
      <c r="W1190" s="66"/>
      <c r="X1190" s="66"/>
      <c r="Y1190" s="66"/>
      <c r="Z1190" s="66"/>
      <c r="AA1190" s="66"/>
      <c r="AB1190" s="66"/>
      <c r="AC1190" s="66"/>
      <c r="AD1190" s="66"/>
      <c r="AE1190" s="66"/>
      <c r="AF1190" s="44"/>
      <c r="AG1190" s="254">
        <f>Prog_23[[#This Row],[SAÍDA DO CLIENTE]]-Prog_23[[#This Row],[PROGRAMAÇÃO CLIENTE]]</f>
        <v>0</v>
      </c>
      <c r="AH1190" s="44"/>
      <c r="AI1190" s="66"/>
      <c r="AJ1190" s="66"/>
      <c r="AK1190" s="66"/>
      <c r="AL1190" s="66"/>
      <c r="AM1190" s="66"/>
      <c r="AN1190" s="83"/>
      <c r="AO1190" s="83"/>
      <c r="AP1190" s="83"/>
      <c r="AQ1190" s="66"/>
      <c r="AR1190" s="66"/>
      <c r="AS1190" s="66"/>
      <c r="AT1190" s="81"/>
      <c r="AU1190" s="81"/>
      <c r="AV1190" s="81"/>
      <c r="AW1190" s="81"/>
      <c r="AX1190" s="83">
        <f>SUM(Prog_23[[#This Row],[ADIANTAMENTO]]+Prog_23[[#This Row],[SALDO]]+Prog_23[[#This Row],[MARGEM]]+Prog_23[[#This Row],[ESTADIA 1]])</f>
        <v>0</v>
      </c>
      <c r="AY11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90" s="81"/>
      <c r="BA1190" s="81"/>
      <c r="BB1190" s="81">
        <f>Prog_23[[#This Row],[VLR NF]]*0.1%</f>
        <v>0</v>
      </c>
      <c r="BC1190" s="81">
        <f>Prog_23[[#This Row],[VLR NF]]*0.05%</f>
        <v>0</v>
      </c>
      <c r="BD1190" s="81"/>
      <c r="BE1190" s="81"/>
      <c r="BF1190" s="81"/>
      <c r="BG1190" s="81"/>
      <c r="BH1190" s="81"/>
      <c r="BI1190" s="81"/>
      <c r="BJ1190" s="81"/>
      <c r="BK1190" s="81"/>
      <c r="BL1190" s="81"/>
      <c r="BM1190" s="81"/>
      <c r="BN1190" s="66"/>
      <c r="BO1190" s="66"/>
      <c r="BP1190" s="66"/>
      <c r="BQ1190" s="66" t="str">
        <f>PROPER(TEXT(Prog_23[[#This Row],[PROGRAMAÇÃO CLIENTE]],"mmm"))</f>
        <v>Jan</v>
      </c>
      <c r="BR1190" s="66">
        <f>YEAR(Prog_23[[#This Row],[PROGRAMAÇÃO CLIENTE]])</f>
        <v>1900</v>
      </c>
    </row>
    <row r="1191" spans="1:70" x14ac:dyDescent="0.25">
      <c r="A1191" s="200">
        <f>Prog_23[[#This Row],[CONTEINER]]</f>
        <v>0</v>
      </c>
      <c r="B1191" s="86"/>
      <c r="C11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91" s="44"/>
      <c r="E1191" s="66"/>
      <c r="F1191" s="66"/>
      <c r="G1191" s="66"/>
      <c r="H1191" s="44"/>
      <c r="I1191" s="44"/>
      <c r="J1191" s="66"/>
      <c r="K1191" s="66"/>
      <c r="L1191" s="66"/>
      <c r="M1191" s="66"/>
      <c r="N1191" s="66">
        <f>SUM(Prog_23[[#This Row],[TARA]]+Prog_23[[#This Row],[PESO]])</f>
        <v>0</v>
      </c>
      <c r="O1191" s="44"/>
      <c r="P1191" s="66"/>
      <c r="Q1191" s="66"/>
      <c r="R1191" s="66"/>
      <c r="S1191" s="66"/>
      <c r="T1191" s="138" t="str">
        <f>IFERROR(LOOKUP($S1191,MOTORISTAS!$D$3:$D$916,MOTORISTAS!E$3:$E$916),"")</f>
        <v/>
      </c>
      <c r="U1191" s="138" t="str">
        <f>IFERROR(LOOKUP($S1191,MOTORISTAS!$D$3:$D$916,MOTORISTAS!F$3:$F$916),"")</f>
        <v/>
      </c>
      <c r="V1191" s="66"/>
      <c r="W1191" s="66"/>
      <c r="X1191" s="66"/>
      <c r="Y1191" s="66"/>
      <c r="Z1191" s="66"/>
      <c r="AA1191" s="66"/>
      <c r="AB1191" s="66"/>
      <c r="AC1191" s="66"/>
      <c r="AD1191" s="66"/>
      <c r="AE1191" s="66"/>
      <c r="AF1191" s="44"/>
      <c r="AG1191" s="254">
        <f>Prog_23[[#This Row],[SAÍDA DO CLIENTE]]-Prog_23[[#This Row],[PROGRAMAÇÃO CLIENTE]]</f>
        <v>0</v>
      </c>
      <c r="AH1191" s="44"/>
      <c r="AI1191" s="66"/>
      <c r="AJ1191" s="66"/>
      <c r="AK1191" s="66"/>
      <c r="AL1191" s="66"/>
      <c r="AM1191" s="66"/>
      <c r="AN1191" s="83"/>
      <c r="AO1191" s="83"/>
      <c r="AP1191" s="83"/>
      <c r="AQ1191" s="66"/>
      <c r="AR1191" s="66"/>
      <c r="AS1191" s="66"/>
      <c r="AT1191" s="81"/>
      <c r="AU1191" s="81"/>
      <c r="AV1191" s="81"/>
      <c r="AW1191" s="81"/>
      <c r="AX1191" s="83">
        <f>SUM(Prog_23[[#This Row],[ADIANTAMENTO]]+Prog_23[[#This Row],[SALDO]]+Prog_23[[#This Row],[MARGEM]]+Prog_23[[#This Row],[ESTADIA 1]])</f>
        <v>0</v>
      </c>
      <c r="AY11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91" s="81"/>
      <c r="BA1191" s="81"/>
      <c r="BB1191" s="81">
        <f>Prog_23[[#This Row],[VLR NF]]*0.1%</f>
        <v>0</v>
      </c>
      <c r="BC1191" s="81">
        <f>Prog_23[[#This Row],[VLR NF]]*0.05%</f>
        <v>0</v>
      </c>
      <c r="BD1191" s="81"/>
      <c r="BE1191" s="81"/>
      <c r="BF1191" s="81"/>
      <c r="BG1191" s="81"/>
      <c r="BH1191" s="81"/>
      <c r="BI1191" s="81"/>
      <c r="BJ1191" s="81"/>
      <c r="BK1191" s="81"/>
      <c r="BL1191" s="81"/>
      <c r="BM1191" s="81"/>
      <c r="BN1191" s="66"/>
      <c r="BO1191" s="66"/>
      <c r="BP1191" s="66"/>
      <c r="BQ1191" s="66" t="str">
        <f>PROPER(TEXT(Prog_23[[#This Row],[PROGRAMAÇÃO CLIENTE]],"mmm"))</f>
        <v>Jan</v>
      </c>
      <c r="BR1191" s="66">
        <f>YEAR(Prog_23[[#This Row],[PROGRAMAÇÃO CLIENTE]])</f>
        <v>1900</v>
      </c>
    </row>
    <row r="1192" spans="1:70" x14ac:dyDescent="0.25">
      <c r="A1192" s="201">
        <f>Prog_23[[#This Row],[CONTEINER]]</f>
        <v>0</v>
      </c>
      <c r="B1192" s="86"/>
      <c r="C11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92" s="44"/>
      <c r="E1192" s="66"/>
      <c r="F1192" s="66"/>
      <c r="G1192" s="66"/>
      <c r="H1192" s="44"/>
      <c r="I1192" s="44"/>
      <c r="J1192" s="66"/>
      <c r="K1192" s="66"/>
      <c r="L1192" s="66"/>
      <c r="M1192" s="66"/>
      <c r="N1192" s="66">
        <f>SUM(Prog_23[[#This Row],[TARA]]+Prog_23[[#This Row],[PESO]])</f>
        <v>0</v>
      </c>
      <c r="O1192" s="44"/>
      <c r="P1192" s="66"/>
      <c r="Q1192" s="66"/>
      <c r="R1192" s="66"/>
      <c r="S1192" s="66"/>
      <c r="T1192" s="138" t="str">
        <f>IFERROR(LOOKUP($S1192,MOTORISTAS!$D$3:$D$916,MOTORISTAS!E$3:$E$916),"")</f>
        <v/>
      </c>
      <c r="U1192" s="138" t="str">
        <f>IFERROR(LOOKUP($S1192,MOTORISTAS!$D$3:$D$916,MOTORISTAS!F$3:$F$916),"")</f>
        <v/>
      </c>
      <c r="V1192" s="66"/>
      <c r="W1192" s="66"/>
      <c r="X1192" s="66"/>
      <c r="Y1192" s="66"/>
      <c r="Z1192" s="66"/>
      <c r="AA1192" s="66"/>
      <c r="AB1192" s="66"/>
      <c r="AC1192" s="66"/>
      <c r="AD1192" s="66"/>
      <c r="AE1192" s="66"/>
      <c r="AF1192" s="44"/>
      <c r="AG1192" s="254">
        <f>Prog_23[[#This Row],[SAÍDA DO CLIENTE]]-Prog_23[[#This Row],[PROGRAMAÇÃO CLIENTE]]</f>
        <v>0</v>
      </c>
      <c r="AH1192" s="44"/>
      <c r="AI1192" s="66"/>
      <c r="AJ1192" s="66"/>
      <c r="AK1192" s="66"/>
      <c r="AL1192" s="66"/>
      <c r="AM1192" s="66"/>
      <c r="AN1192" s="83"/>
      <c r="AO1192" s="83"/>
      <c r="AP1192" s="83"/>
      <c r="AQ1192" s="66"/>
      <c r="AR1192" s="66"/>
      <c r="AS1192" s="66"/>
      <c r="AT1192" s="81"/>
      <c r="AU1192" s="81"/>
      <c r="AV1192" s="81"/>
      <c r="AW1192" s="81"/>
      <c r="AX1192" s="83">
        <f>SUM(Prog_23[[#This Row],[ADIANTAMENTO]]+Prog_23[[#This Row],[SALDO]]+Prog_23[[#This Row],[MARGEM]]+Prog_23[[#This Row],[ESTADIA 1]])</f>
        <v>0</v>
      </c>
      <c r="AY11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92" s="81"/>
      <c r="BA1192" s="81"/>
      <c r="BB1192" s="81">
        <f>Prog_23[[#This Row],[VLR NF]]*0.1%</f>
        <v>0</v>
      </c>
      <c r="BC1192" s="81">
        <f>Prog_23[[#This Row],[VLR NF]]*0.05%</f>
        <v>0</v>
      </c>
      <c r="BD1192" s="81"/>
      <c r="BE1192" s="81"/>
      <c r="BF1192" s="81"/>
      <c r="BG1192" s="81"/>
      <c r="BH1192" s="81"/>
      <c r="BI1192" s="81"/>
      <c r="BJ1192" s="81"/>
      <c r="BK1192" s="81"/>
      <c r="BL1192" s="81"/>
      <c r="BM1192" s="81"/>
      <c r="BN1192" s="66"/>
      <c r="BO1192" s="66"/>
      <c r="BP1192" s="66"/>
      <c r="BQ1192" s="66" t="str">
        <f>PROPER(TEXT(Prog_23[[#This Row],[PROGRAMAÇÃO CLIENTE]],"mmm"))</f>
        <v>Jan</v>
      </c>
      <c r="BR1192" s="66">
        <f>YEAR(Prog_23[[#This Row],[PROGRAMAÇÃO CLIENTE]])</f>
        <v>1900</v>
      </c>
    </row>
    <row r="1193" spans="1:70" x14ac:dyDescent="0.25">
      <c r="A1193" s="200">
        <f>Prog_23[[#This Row],[CONTEINER]]</f>
        <v>0</v>
      </c>
      <c r="B1193" s="86"/>
      <c r="C11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93" s="44"/>
      <c r="E1193" s="66"/>
      <c r="F1193" s="66"/>
      <c r="G1193" s="66"/>
      <c r="H1193" s="44"/>
      <c r="I1193" s="44"/>
      <c r="J1193" s="66"/>
      <c r="K1193" s="66"/>
      <c r="L1193" s="66"/>
      <c r="M1193" s="66"/>
      <c r="N1193" s="66">
        <f>SUM(Prog_23[[#This Row],[TARA]]+Prog_23[[#This Row],[PESO]])</f>
        <v>0</v>
      </c>
      <c r="O1193" s="44"/>
      <c r="P1193" s="66"/>
      <c r="Q1193" s="66"/>
      <c r="R1193" s="66"/>
      <c r="S1193" s="66"/>
      <c r="T1193" s="138" t="str">
        <f>IFERROR(LOOKUP($S1193,MOTORISTAS!$D$3:$D$916,MOTORISTAS!E$3:$E$916),"")</f>
        <v/>
      </c>
      <c r="U1193" s="138" t="str">
        <f>IFERROR(LOOKUP($S1193,MOTORISTAS!$D$3:$D$916,MOTORISTAS!F$3:$F$916),"")</f>
        <v/>
      </c>
      <c r="V1193" s="66"/>
      <c r="W1193" s="66"/>
      <c r="X1193" s="66"/>
      <c r="Y1193" s="66"/>
      <c r="Z1193" s="66"/>
      <c r="AA1193" s="66"/>
      <c r="AB1193" s="66"/>
      <c r="AC1193" s="66"/>
      <c r="AD1193" s="66"/>
      <c r="AE1193" s="66"/>
      <c r="AF1193" s="44"/>
      <c r="AG1193" s="254">
        <f>Prog_23[[#This Row],[SAÍDA DO CLIENTE]]-Prog_23[[#This Row],[PROGRAMAÇÃO CLIENTE]]</f>
        <v>0</v>
      </c>
      <c r="AH1193" s="44"/>
      <c r="AI1193" s="66"/>
      <c r="AJ1193" s="66"/>
      <c r="AK1193" s="66"/>
      <c r="AL1193" s="66"/>
      <c r="AM1193" s="66"/>
      <c r="AN1193" s="83"/>
      <c r="AO1193" s="83"/>
      <c r="AP1193" s="83"/>
      <c r="AQ1193" s="66"/>
      <c r="AR1193" s="66"/>
      <c r="AS1193" s="66"/>
      <c r="AT1193" s="81"/>
      <c r="AU1193" s="81"/>
      <c r="AV1193" s="81"/>
      <c r="AW1193" s="81"/>
      <c r="AX1193" s="83">
        <f>SUM(Prog_23[[#This Row],[ADIANTAMENTO]]+Prog_23[[#This Row],[SALDO]]+Prog_23[[#This Row],[MARGEM]]+Prog_23[[#This Row],[ESTADIA 1]])</f>
        <v>0</v>
      </c>
      <c r="AY11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93" s="81"/>
      <c r="BA1193" s="81"/>
      <c r="BB1193" s="81">
        <f>Prog_23[[#This Row],[VLR NF]]*0.1%</f>
        <v>0</v>
      </c>
      <c r="BC1193" s="81">
        <f>Prog_23[[#This Row],[VLR NF]]*0.05%</f>
        <v>0</v>
      </c>
      <c r="BD1193" s="81"/>
      <c r="BE1193" s="81"/>
      <c r="BF1193" s="81"/>
      <c r="BG1193" s="81"/>
      <c r="BH1193" s="81"/>
      <c r="BI1193" s="81"/>
      <c r="BJ1193" s="81"/>
      <c r="BK1193" s="81"/>
      <c r="BL1193" s="81"/>
      <c r="BM1193" s="81"/>
      <c r="BN1193" s="66"/>
      <c r="BO1193" s="66"/>
      <c r="BP1193" s="66"/>
      <c r="BQ1193" s="66" t="str">
        <f>PROPER(TEXT(Prog_23[[#This Row],[PROGRAMAÇÃO CLIENTE]],"mmm"))</f>
        <v>Jan</v>
      </c>
      <c r="BR1193" s="66">
        <f>YEAR(Prog_23[[#This Row],[PROGRAMAÇÃO CLIENTE]])</f>
        <v>1900</v>
      </c>
    </row>
    <row r="1194" spans="1:70" x14ac:dyDescent="0.25">
      <c r="A1194" s="201">
        <f>Prog_23[[#This Row],[CONTEINER]]</f>
        <v>0</v>
      </c>
      <c r="B1194" s="86"/>
      <c r="C11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94" s="44"/>
      <c r="E1194" s="66"/>
      <c r="F1194" s="66"/>
      <c r="G1194" s="66"/>
      <c r="H1194" s="44"/>
      <c r="I1194" s="44"/>
      <c r="J1194" s="66"/>
      <c r="K1194" s="66"/>
      <c r="L1194" s="66"/>
      <c r="M1194" s="66"/>
      <c r="N1194" s="66">
        <f>SUM(Prog_23[[#This Row],[TARA]]+Prog_23[[#This Row],[PESO]])</f>
        <v>0</v>
      </c>
      <c r="O1194" s="44"/>
      <c r="P1194" s="66"/>
      <c r="Q1194" s="66"/>
      <c r="R1194" s="66"/>
      <c r="S1194" s="66"/>
      <c r="T1194" s="138" t="str">
        <f>IFERROR(LOOKUP($S1194,MOTORISTAS!$D$3:$D$916,MOTORISTAS!E$3:$E$916),"")</f>
        <v/>
      </c>
      <c r="U1194" s="138" t="str">
        <f>IFERROR(LOOKUP($S1194,MOTORISTAS!$D$3:$D$916,MOTORISTAS!F$3:$F$916),"")</f>
        <v/>
      </c>
      <c r="V1194" s="66"/>
      <c r="W1194" s="66"/>
      <c r="X1194" s="66"/>
      <c r="Y1194" s="66"/>
      <c r="Z1194" s="66"/>
      <c r="AA1194" s="66"/>
      <c r="AB1194" s="66"/>
      <c r="AC1194" s="66"/>
      <c r="AD1194" s="66"/>
      <c r="AE1194" s="66"/>
      <c r="AF1194" s="44"/>
      <c r="AG1194" s="254">
        <f>Prog_23[[#This Row],[SAÍDA DO CLIENTE]]-Prog_23[[#This Row],[PROGRAMAÇÃO CLIENTE]]</f>
        <v>0</v>
      </c>
      <c r="AH1194" s="44"/>
      <c r="AI1194" s="66"/>
      <c r="AJ1194" s="66"/>
      <c r="AK1194" s="66"/>
      <c r="AL1194" s="66"/>
      <c r="AM1194" s="66"/>
      <c r="AN1194" s="83"/>
      <c r="AO1194" s="83"/>
      <c r="AP1194" s="83"/>
      <c r="AQ1194" s="66"/>
      <c r="AR1194" s="66"/>
      <c r="AS1194" s="66"/>
      <c r="AT1194" s="81"/>
      <c r="AU1194" s="81"/>
      <c r="AV1194" s="81"/>
      <c r="AW1194" s="81"/>
      <c r="AX1194" s="83">
        <f>SUM(Prog_23[[#This Row],[ADIANTAMENTO]]+Prog_23[[#This Row],[SALDO]]+Prog_23[[#This Row],[MARGEM]]+Prog_23[[#This Row],[ESTADIA 1]])</f>
        <v>0</v>
      </c>
      <c r="AY11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94" s="81"/>
      <c r="BA1194" s="81"/>
      <c r="BB1194" s="81">
        <f>Prog_23[[#This Row],[VLR NF]]*0.1%</f>
        <v>0</v>
      </c>
      <c r="BC1194" s="81">
        <f>Prog_23[[#This Row],[VLR NF]]*0.05%</f>
        <v>0</v>
      </c>
      <c r="BD1194" s="81"/>
      <c r="BE1194" s="81"/>
      <c r="BF1194" s="81"/>
      <c r="BG1194" s="81"/>
      <c r="BH1194" s="81"/>
      <c r="BI1194" s="81"/>
      <c r="BJ1194" s="81"/>
      <c r="BK1194" s="81"/>
      <c r="BL1194" s="81"/>
      <c r="BM1194" s="81"/>
      <c r="BN1194" s="66"/>
      <c r="BO1194" s="66"/>
      <c r="BP1194" s="66"/>
      <c r="BQ1194" s="66" t="str">
        <f>PROPER(TEXT(Prog_23[[#This Row],[PROGRAMAÇÃO CLIENTE]],"mmm"))</f>
        <v>Jan</v>
      </c>
      <c r="BR1194" s="66">
        <f>YEAR(Prog_23[[#This Row],[PROGRAMAÇÃO CLIENTE]])</f>
        <v>1900</v>
      </c>
    </row>
    <row r="1195" spans="1:70" x14ac:dyDescent="0.25">
      <c r="A1195" s="200">
        <f>Prog_23[[#This Row],[CONTEINER]]</f>
        <v>0</v>
      </c>
      <c r="B1195" s="86"/>
      <c r="C11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95" s="44"/>
      <c r="E1195" s="66"/>
      <c r="F1195" s="66"/>
      <c r="G1195" s="66"/>
      <c r="H1195" s="44"/>
      <c r="I1195" s="44"/>
      <c r="J1195" s="66"/>
      <c r="K1195" s="66"/>
      <c r="L1195" s="66"/>
      <c r="M1195" s="66"/>
      <c r="N1195" s="66">
        <f>SUM(Prog_23[[#This Row],[TARA]]+Prog_23[[#This Row],[PESO]])</f>
        <v>0</v>
      </c>
      <c r="O1195" s="44"/>
      <c r="P1195" s="66"/>
      <c r="Q1195" s="66"/>
      <c r="R1195" s="66"/>
      <c r="S1195" s="66"/>
      <c r="T1195" s="138" t="str">
        <f>IFERROR(LOOKUP($S1195,MOTORISTAS!$D$3:$D$916,MOTORISTAS!E$3:$E$916),"")</f>
        <v/>
      </c>
      <c r="U1195" s="138" t="str">
        <f>IFERROR(LOOKUP($S1195,MOTORISTAS!$D$3:$D$916,MOTORISTAS!F$3:$F$916),"")</f>
        <v/>
      </c>
      <c r="V1195" s="66"/>
      <c r="W1195" s="66"/>
      <c r="X1195" s="66"/>
      <c r="Y1195" s="66"/>
      <c r="Z1195" s="66"/>
      <c r="AA1195" s="66"/>
      <c r="AB1195" s="66"/>
      <c r="AC1195" s="66"/>
      <c r="AD1195" s="66"/>
      <c r="AE1195" s="66"/>
      <c r="AF1195" s="44"/>
      <c r="AG1195" s="254">
        <f>Prog_23[[#This Row],[SAÍDA DO CLIENTE]]-Prog_23[[#This Row],[PROGRAMAÇÃO CLIENTE]]</f>
        <v>0</v>
      </c>
      <c r="AH1195" s="44"/>
      <c r="AI1195" s="66"/>
      <c r="AJ1195" s="66"/>
      <c r="AK1195" s="66"/>
      <c r="AL1195" s="66"/>
      <c r="AM1195" s="66"/>
      <c r="AN1195" s="83"/>
      <c r="AO1195" s="83"/>
      <c r="AP1195" s="83"/>
      <c r="AQ1195" s="66"/>
      <c r="AR1195" s="66"/>
      <c r="AS1195" s="66"/>
      <c r="AT1195" s="81"/>
      <c r="AU1195" s="81"/>
      <c r="AV1195" s="81"/>
      <c r="AW1195" s="81"/>
      <c r="AX1195" s="83">
        <f>SUM(Prog_23[[#This Row],[ADIANTAMENTO]]+Prog_23[[#This Row],[SALDO]]+Prog_23[[#This Row],[MARGEM]]+Prog_23[[#This Row],[ESTADIA 1]])</f>
        <v>0</v>
      </c>
      <c r="AY11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95" s="81"/>
      <c r="BA1195" s="81"/>
      <c r="BB1195" s="81">
        <f>Prog_23[[#This Row],[VLR NF]]*0.1%</f>
        <v>0</v>
      </c>
      <c r="BC1195" s="81">
        <f>Prog_23[[#This Row],[VLR NF]]*0.05%</f>
        <v>0</v>
      </c>
      <c r="BD1195" s="81"/>
      <c r="BE1195" s="81"/>
      <c r="BF1195" s="81"/>
      <c r="BG1195" s="81"/>
      <c r="BH1195" s="81"/>
      <c r="BI1195" s="81"/>
      <c r="BJ1195" s="81"/>
      <c r="BK1195" s="81"/>
      <c r="BL1195" s="81"/>
      <c r="BM1195" s="81"/>
      <c r="BN1195" s="66"/>
      <c r="BO1195" s="66"/>
      <c r="BP1195" s="66"/>
      <c r="BQ1195" s="66" t="str">
        <f>PROPER(TEXT(Prog_23[[#This Row],[PROGRAMAÇÃO CLIENTE]],"mmm"))</f>
        <v>Jan</v>
      </c>
      <c r="BR1195" s="66">
        <f>YEAR(Prog_23[[#This Row],[PROGRAMAÇÃO CLIENTE]])</f>
        <v>1900</v>
      </c>
    </row>
    <row r="1196" spans="1:70" x14ac:dyDescent="0.25">
      <c r="A1196" s="201">
        <f>Prog_23[[#This Row],[CONTEINER]]</f>
        <v>0</v>
      </c>
      <c r="B1196" s="86"/>
      <c r="C11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96" s="44"/>
      <c r="E1196" s="66"/>
      <c r="F1196" s="66"/>
      <c r="G1196" s="66"/>
      <c r="H1196" s="44"/>
      <c r="I1196" s="44"/>
      <c r="J1196" s="66"/>
      <c r="K1196" s="66"/>
      <c r="L1196" s="66"/>
      <c r="M1196" s="66"/>
      <c r="N1196" s="66">
        <f>SUM(Prog_23[[#This Row],[TARA]]+Prog_23[[#This Row],[PESO]])</f>
        <v>0</v>
      </c>
      <c r="O1196" s="44"/>
      <c r="P1196" s="66"/>
      <c r="Q1196" s="66"/>
      <c r="R1196" s="66"/>
      <c r="S1196" s="66"/>
      <c r="T1196" s="138" t="str">
        <f>IFERROR(LOOKUP($S1196,MOTORISTAS!$D$3:$D$916,MOTORISTAS!E$3:$E$916),"")</f>
        <v/>
      </c>
      <c r="U1196" s="138" t="str">
        <f>IFERROR(LOOKUP($S1196,MOTORISTAS!$D$3:$D$916,MOTORISTAS!F$3:$F$916),"")</f>
        <v/>
      </c>
      <c r="V1196" s="66"/>
      <c r="W1196" s="66"/>
      <c r="X1196" s="66"/>
      <c r="Y1196" s="66"/>
      <c r="Z1196" s="66"/>
      <c r="AA1196" s="66"/>
      <c r="AB1196" s="66"/>
      <c r="AC1196" s="66"/>
      <c r="AD1196" s="66"/>
      <c r="AE1196" s="66"/>
      <c r="AF1196" s="44"/>
      <c r="AG1196" s="254">
        <f>Prog_23[[#This Row],[SAÍDA DO CLIENTE]]-Prog_23[[#This Row],[PROGRAMAÇÃO CLIENTE]]</f>
        <v>0</v>
      </c>
      <c r="AH1196" s="44"/>
      <c r="AI1196" s="66"/>
      <c r="AJ1196" s="66"/>
      <c r="AK1196" s="66"/>
      <c r="AL1196" s="66"/>
      <c r="AM1196" s="66"/>
      <c r="AN1196" s="83"/>
      <c r="AO1196" s="83"/>
      <c r="AP1196" s="83"/>
      <c r="AQ1196" s="66"/>
      <c r="AR1196" s="66"/>
      <c r="AS1196" s="66"/>
      <c r="AT1196" s="81"/>
      <c r="AU1196" s="81"/>
      <c r="AV1196" s="81"/>
      <c r="AW1196" s="81"/>
      <c r="AX1196" s="83">
        <f>SUM(Prog_23[[#This Row],[ADIANTAMENTO]]+Prog_23[[#This Row],[SALDO]]+Prog_23[[#This Row],[MARGEM]]+Prog_23[[#This Row],[ESTADIA 1]])</f>
        <v>0</v>
      </c>
      <c r="AY11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96" s="81"/>
      <c r="BA1196" s="81"/>
      <c r="BB1196" s="81">
        <f>Prog_23[[#This Row],[VLR NF]]*0.1%</f>
        <v>0</v>
      </c>
      <c r="BC1196" s="81">
        <f>Prog_23[[#This Row],[VLR NF]]*0.05%</f>
        <v>0</v>
      </c>
      <c r="BD1196" s="81"/>
      <c r="BE1196" s="81"/>
      <c r="BF1196" s="81"/>
      <c r="BG1196" s="81"/>
      <c r="BH1196" s="81"/>
      <c r="BI1196" s="81"/>
      <c r="BJ1196" s="81"/>
      <c r="BK1196" s="81"/>
      <c r="BL1196" s="81"/>
      <c r="BM1196" s="81"/>
      <c r="BN1196" s="66"/>
      <c r="BO1196" s="66"/>
      <c r="BP1196" s="66"/>
      <c r="BQ1196" s="66" t="str">
        <f>PROPER(TEXT(Prog_23[[#This Row],[PROGRAMAÇÃO CLIENTE]],"mmm"))</f>
        <v>Jan</v>
      </c>
      <c r="BR1196" s="66">
        <f>YEAR(Prog_23[[#This Row],[PROGRAMAÇÃO CLIENTE]])</f>
        <v>1900</v>
      </c>
    </row>
    <row r="1197" spans="1:70" x14ac:dyDescent="0.25">
      <c r="A1197" s="200">
        <f>Prog_23[[#This Row],[CONTEINER]]</f>
        <v>0</v>
      </c>
      <c r="B1197" s="86"/>
      <c r="C11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97" s="44"/>
      <c r="E1197" s="66"/>
      <c r="F1197" s="66"/>
      <c r="G1197" s="66"/>
      <c r="H1197" s="44"/>
      <c r="I1197" s="44"/>
      <c r="J1197" s="66"/>
      <c r="K1197" s="66"/>
      <c r="L1197" s="66"/>
      <c r="M1197" s="66"/>
      <c r="N1197" s="66">
        <f>SUM(Prog_23[[#This Row],[TARA]]+Prog_23[[#This Row],[PESO]])</f>
        <v>0</v>
      </c>
      <c r="O1197" s="44"/>
      <c r="P1197" s="66"/>
      <c r="Q1197" s="66"/>
      <c r="R1197" s="66"/>
      <c r="S1197" s="66"/>
      <c r="T1197" s="138" t="str">
        <f>IFERROR(LOOKUP($S1197,MOTORISTAS!$D$3:$D$916,MOTORISTAS!E$3:$E$916),"")</f>
        <v/>
      </c>
      <c r="U1197" s="138" t="str">
        <f>IFERROR(LOOKUP($S1197,MOTORISTAS!$D$3:$D$916,MOTORISTAS!F$3:$F$916),"")</f>
        <v/>
      </c>
      <c r="V1197" s="66"/>
      <c r="W1197" s="66"/>
      <c r="X1197" s="66"/>
      <c r="Y1197" s="66"/>
      <c r="Z1197" s="66"/>
      <c r="AA1197" s="66"/>
      <c r="AB1197" s="66"/>
      <c r="AC1197" s="66"/>
      <c r="AD1197" s="66"/>
      <c r="AE1197" s="66"/>
      <c r="AF1197" s="44"/>
      <c r="AG1197" s="254">
        <f>Prog_23[[#This Row],[SAÍDA DO CLIENTE]]-Prog_23[[#This Row],[PROGRAMAÇÃO CLIENTE]]</f>
        <v>0</v>
      </c>
      <c r="AH1197" s="44"/>
      <c r="AI1197" s="66"/>
      <c r="AJ1197" s="66"/>
      <c r="AK1197" s="66"/>
      <c r="AL1197" s="66"/>
      <c r="AM1197" s="66"/>
      <c r="AN1197" s="83"/>
      <c r="AO1197" s="83"/>
      <c r="AP1197" s="83"/>
      <c r="AQ1197" s="66"/>
      <c r="AR1197" s="66"/>
      <c r="AS1197" s="66"/>
      <c r="AT1197" s="81"/>
      <c r="AU1197" s="81"/>
      <c r="AV1197" s="81"/>
      <c r="AW1197" s="81"/>
      <c r="AX1197" s="83">
        <f>SUM(Prog_23[[#This Row],[ADIANTAMENTO]]+Prog_23[[#This Row],[SALDO]]+Prog_23[[#This Row],[MARGEM]]+Prog_23[[#This Row],[ESTADIA 1]])</f>
        <v>0</v>
      </c>
      <c r="AY11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97" s="81"/>
      <c r="BA1197" s="81"/>
      <c r="BB1197" s="81">
        <f>Prog_23[[#This Row],[VLR NF]]*0.1%</f>
        <v>0</v>
      </c>
      <c r="BC1197" s="81">
        <f>Prog_23[[#This Row],[VLR NF]]*0.05%</f>
        <v>0</v>
      </c>
      <c r="BD1197" s="81"/>
      <c r="BE1197" s="81"/>
      <c r="BF1197" s="81"/>
      <c r="BG1197" s="81"/>
      <c r="BH1197" s="81"/>
      <c r="BI1197" s="81"/>
      <c r="BJ1197" s="81"/>
      <c r="BK1197" s="81"/>
      <c r="BL1197" s="81"/>
      <c r="BM1197" s="81"/>
      <c r="BN1197" s="66"/>
      <c r="BO1197" s="66"/>
      <c r="BP1197" s="66"/>
      <c r="BQ1197" s="66" t="str">
        <f>PROPER(TEXT(Prog_23[[#This Row],[PROGRAMAÇÃO CLIENTE]],"mmm"))</f>
        <v>Jan</v>
      </c>
      <c r="BR1197" s="66">
        <f>YEAR(Prog_23[[#This Row],[PROGRAMAÇÃO CLIENTE]])</f>
        <v>1900</v>
      </c>
    </row>
    <row r="1198" spans="1:70" x14ac:dyDescent="0.25">
      <c r="A1198" s="201">
        <f>Prog_23[[#This Row],[CONTEINER]]</f>
        <v>0</v>
      </c>
      <c r="B1198" s="86"/>
      <c r="C11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98" s="44"/>
      <c r="E1198" s="66"/>
      <c r="F1198" s="66"/>
      <c r="G1198" s="66"/>
      <c r="H1198" s="44"/>
      <c r="I1198" s="44"/>
      <c r="J1198" s="66"/>
      <c r="K1198" s="66"/>
      <c r="L1198" s="66"/>
      <c r="M1198" s="66"/>
      <c r="N1198" s="66">
        <f>SUM(Prog_23[[#This Row],[TARA]]+Prog_23[[#This Row],[PESO]])</f>
        <v>0</v>
      </c>
      <c r="O1198" s="44"/>
      <c r="P1198" s="66"/>
      <c r="Q1198" s="66"/>
      <c r="R1198" s="66"/>
      <c r="S1198" s="66"/>
      <c r="T1198" s="138" t="str">
        <f>IFERROR(LOOKUP($S1198,MOTORISTAS!$D$3:$D$916,MOTORISTAS!E$3:$E$916),"")</f>
        <v/>
      </c>
      <c r="U1198" s="138" t="str">
        <f>IFERROR(LOOKUP($S1198,MOTORISTAS!$D$3:$D$916,MOTORISTAS!F$3:$F$916),"")</f>
        <v/>
      </c>
      <c r="V1198" s="66"/>
      <c r="W1198" s="66"/>
      <c r="X1198" s="66"/>
      <c r="Y1198" s="66"/>
      <c r="Z1198" s="66"/>
      <c r="AA1198" s="66"/>
      <c r="AB1198" s="66"/>
      <c r="AC1198" s="66"/>
      <c r="AD1198" s="66"/>
      <c r="AE1198" s="66"/>
      <c r="AF1198" s="44"/>
      <c r="AG1198" s="254">
        <f>Prog_23[[#This Row],[SAÍDA DO CLIENTE]]-Prog_23[[#This Row],[PROGRAMAÇÃO CLIENTE]]</f>
        <v>0</v>
      </c>
      <c r="AH1198" s="44"/>
      <c r="AI1198" s="66"/>
      <c r="AJ1198" s="66"/>
      <c r="AK1198" s="66"/>
      <c r="AL1198" s="66"/>
      <c r="AM1198" s="66"/>
      <c r="AN1198" s="83"/>
      <c r="AO1198" s="83"/>
      <c r="AP1198" s="83"/>
      <c r="AQ1198" s="66"/>
      <c r="AR1198" s="66"/>
      <c r="AS1198" s="66"/>
      <c r="AT1198" s="81"/>
      <c r="AU1198" s="81"/>
      <c r="AV1198" s="81"/>
      <c r="AW1198" s="81"/>
      <c r="AX1198" s="83">
        <f>SUM(Prog_23[[#This Row],[ADIANTAMENTO]]+Prog_23[[#This Row],[SALDO]]+Prog_23[[#This Row],[MARGEM]]+Prog_23[[#This Row],[ESTADIA 1]])</f>
        <v>0</v>
      </c>
      <c r="AY11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98" s="81"/>
      <c r="BA1198" s="81"/>
      <c r="BB1198" s="81">
        <f>Prog_23[[#This Row],[VLR NF]]*0.1%</f>
        <v>0</v>
      </c>
      <c r="BC1198" s="81">
        <f>Prog_23[[#This Row],[VLR NF]]*0.05%</f>
        <v>0</v>
      </c>
      <c r="BD1198" s="81"/>
      <c r="BE1198" s="81"/>
      <c r="BF1198" s="81"/>
      <c r="BG1198" s="81"/>
      <c r="BH1198" s="81"/>
      <c r="BI1198" s="81"/>
      <c r="BJ1198" s="81"/>
      <c r="BK1198" s="81"/>
      <c r="BL1198" s="81"/>
      <c r="BM1198" s="81"/>
      <c r="BN1198" s="66"/>
      <c r="BO1198" s="66"/>
      <c r="BP1198" s="66"/>
      <c r="BQ1198" s="66" t="str">
        <f>PROPER(TEXT(Prog_23[[#This Row],[PROGRAMAÇÃO CLIENTE]],"mmm"))</f>
        <v>Jan</v>
      </c>
      <c r="BR1198" s="66">
        <f>YEAR(Prog_23[[#This Row],[PROGRAMAÇÃO CLIENTE]])</f>
        <v>1900</v>
      </c>
    </row>
    <row r="1199" spans="1:70" x14ac:dyDescent="0.25">
      <c r="A1199" s="200">
        <f>Prog_23[[#This Row],[CONTEINER]]</f>
        <v>0</v>
      </c>
      <c r="B1199" s="86"/>
      <c r="C11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199" s="44"/>
      <c r="E1199" s="66"/>
      <c r="F1199" s="66"/>
      <c r="G1199" s="66"/>
      <c r="H1199" s="44"/>
      <c r="I1199" s="44"/>
      <c r="J1199" s="66"/>
      <c r="K1199" s="66"/>
      <c r="L1199" s="66"/>
      <c r="M1199" s="66"/>
      <c r="N1199" s="66">
        <f>SUM(Prog_23[[#This Row],[TARA]]+Prog_23[[#This Row],[PESO]])</f>
        <v>0</v>
      </c>
      <c r="O1199" s="44"/>
      <c r="P1199" s="66"/>
      <c r="Q1199" s="66"/>
      <c r="R1199" s="66"/>
      <c r="S1199" s="66"/>
      <c r="T1199" s="138" t="str">
        <f>IFERROR(LOOKUP($S1199,MOTORISTAS!$D$3:$D$916,MOTORISTAS!E$3:$E$916),"")</f>
        <v/>
      </c>
      <c r="U1199" s="138" t="str">
        <f>IFERROR(LOOKUP($S1199,MOTORISTAS!$D$3:$D$916,MOTORISTAS!F$3:$F$916),"")</f>
        <v/>
      </c>
      <c r="V1199" s="66"/>
      <c r="W1199" s="66"/>
      <c r="X1199" s="66"/>
      <c r="Y1199" s="66"/>
      <c r="Z1199" s="66"/>
      <c r="AA1199" s="66"/>
      <c r="AB1199" s="66"/>
      <c r="AC1199" s="66"/>
      <c r="AD1199" s="66"/>
      <c r="AE1199" s="66"/>
      <c r="AF1199" s="44"/>
      <c r="AG1199" s="254">
        <f>Prog_23[[#This Row],[SAÍDA DO CLIENTE]]-Prog_23[[#This Row],[PROGRAMAÇÃO CLIENTE]]</f>
        <v>0</v>
      </c>
      <c r="AH1199" s="44"/>
      <c r="AI1199" s="66"/>
      <c r="AJ1199" s="66"/>
      <c r="AK1199" s="66"/>
      <c r="AL1199" s="66"/>
      <c r="AM1199" s="66"/>
      <c r="AN1199" s="83"/>
      <c r="AO1199" s="83"/>
      <c r="AP1199" s="83"/>
      <c r="AQ1199" s="66"/>
      <c r="AR1199" s="66"/>
      <c r="AS1199" s="66"/>
      <c r="AT1199" s="81"/>
      <c r="AU1199" s="81"/>
      <c r="AV1199" s="81"/>
      <c r="AW1199" s="81"/>
      <c r="AX1199" s="83">
        <f>SUM(Prog_23[[#This Row],[ADIANTAMENTO]]+Prog_23[[#This Row],[SALDO]]+Prog_23[[#This Row],[MARGEM]]+Prog_23[[#This Row],[ESTADIA 1]])</f>
        <v>0</v>
      </c>
      <c r="AY11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199" s="81"/>
      <c r="BA1199" s="81"/>
      <c r="BB1199" s="81">
        <f>Prog_23[[#This Row],[VLR NF]]*0.1%</f>
        <v>0</v>
      </c>
      <c r="BC1199" s="81">
        <f>Prog_23[[#This Row],[VLR NF]]*0.05%</f>
        <v>0</v>
      </c>
      <c r="BD1199" s="81"/>
      <c r="BE1199" s="81"/>
      <c r="BF1199" s="81"/>
      <c r="BG1199" s="81"/>
      <c r="BH1199" s="81"/>
      <c r="BI1199" s="81"/>
      <c r="BJ1199" s="81"/>
      <c r="BK1199" s="81"/>
      <c r="BL1199" s="81"/>
      <c r="BM1199" s="81"/>
      <c r="BN1199" s="66"/>
      <c r="BO1199" s="66"/>
      <c r="BP1199" s="66"/>
      <c r="BQ1199" s="66" t="str">
        <f>PROPER(TEXT(Prog_23[[#This Row],[PROGRAMAÇÃO CLIENTE]],"mmm"))</f>
        <v>Jan</v>
      </c>
      <c r="BR1199" s="66">
        <f>YEAR(Prog_23[[#This Row],[PROGRAMAÇÃO CLIENTE]])</f>
        <v>1900</v>
      </c>
    </row>
    <row r="1200" spans="1:70" x14ac:dyDescent="0.25">
      <c r="A1200" s="201">
        <f>Prog_23[[#This Row],[CONTEINER]]</f>
        <v>0</v>
      </c>
      <c r="B1200" s="86"/>
      <c r="C12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00" s="44"/>
      <c r="E1200" s="66"/>
      <c r="F1200" s="66"/>
      <c r="G1200" s="66"/>
      <c r="H1200" s="44"/>
      <c r="I1200" s="44"/>
      <c r="J1200" s="66"/>
      <c r="K1200" s="66"/>
      <c r="L1200" s="66"/>
      <c r="M1200" s="66"/>
      <c r="N1200" s="66">
        <f>SUM(Prog_23[[#This Row],[TARA]]+Prog_23[[#This Row],[PESO]])</f>
        <v>0</v>
      </c>
      <c r="O1200" s="44"/>
      <c r="P1200" s="66"/>
      <c r="Q1200" s="66"/>
      <c r="R1200" s="66"/>
      <c r="S1200" s="66"/>
      <c r="T1200" s="138" t="str">
        <f>IFERROR(LOOKUP($S1200,MOTORISTAS!$D$3:$D$916,MOTORISTAS!E$3:$E$916),"")</f>
        <v/>
      </c>
      <c r="U1200" s="138" t="str">
        <f>IFERROR(LOOKUP($S1200,MOTORISTAS!$D$3:$D$916,MOTORISTAS!F$3:$F$916),"")</f>
        <v/>
      </c>
      <c r="V1200" s="66"/>
      <c r="W1200" s="66"/>
      <c r="X1200" s="66"/>
      <c r="Y1200" s="66"/>
      <c r="Z1200" s="66"/>
      <c r="AA1200" s="66"/>
      <c r="AB1200" s="66"/>
      <c r="AC1200" s="66"/>
      <c r="AD1200" s="66"/>
      <c r="AE1200" s="66"/>
      <c r="AF1200" s="44"/>
      <c r="AG1200" s="254">
        <f>Prog_23[[#This Row],[SAÍDA DO CLIENTE]]-Prog_23[[#This Row],[PROGRAMAÇÃO CLIENTE]]</f>
        <v>0</v>
      </c>
      <c r="AH1200" s="44"/>
      <c r="AI1200" s="66"/>
      <c r="AJ1200" s="66"/>
      <c r="AK1200" s="66"/>
      <c r="AL1200" s="66"/>
      <c r="AM1200" s="66"/>
      <c r="AN1200" s="83"/>
      <c r="AO1200" s="83"/>
      <c r="AP1200" s="83"/>
      <c r="AQ1200" s="66"/>
      <c r="AR1200" s="66"/>
      <c r="AS1200" s="66"/>
      <c r="AT1200" s="81"/>
      <c r="AU1200" s="81"/>
      <c r="AV1200" s="81"/>
      <c r="AW1200" s="81"/>
      <c r="AX1200" s="83">
        <f>SUM(Prog_23[[#This Row],[ADIANTAMENTO]]+Prog_23[[#This Row],[SALDO]]+Prog_23[[#This Row],[MARGEM]]+Prog_23[[#This Row],[ESTADIA 1]])</f>
        <v>0</v>
      </c>
      <c r="AY12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00" s="81"/>
      <c r="BA1200" s="81"/>
      <c r="BB1200" s="81">
        <f>Prog_23[[#This Row],[VLR NF]]*0.1%</f>
        <v>0</v>
      </c>
      <c r="BC1200" s="81">
        <f>Prog_23[[#This Row],[VLR NF]]*0.05%</f>
        <v>0</v>
      </c>
      <c r="BD1200" s="81"/>
      <c r="BE1200" s="81"/>
      <c r="BF1200" s="81"/>
      <c r="BG1200" s="81"/>
      <c r="BH1200" s="81"/>
      <c r="BI1200" s="81"/>
      <c r="BJ1200" s="81"/>
      <c r="BK1200" s="81"/>
      <c r="BL1200" s="81"/>
      <c r="BM1200" s="81"/>
      <c r="BN1200" s="66"/>
      <c r="BO1200" s="66"/>
      <c r="BP1200" s="66"/>
      <c r="BQ1200" s="66" t="str">
        <f>PROPER(TEXT(Prog_23[[#This Row],[PROGRAMAÇÃO CLIENTE]],"mmm"))</f>
        <v>Jan</v>
      </c>
      <c r="BR1200" s="66">
        <f>YEAR(Prog_23[[#This Row],[PROGRAMAÇÃO CLIENTE]])</f>
        <v>1900</v>
      </c>
    </row>
    <row r="1201" spans="1:70" x14ac:dyDescent="0.25">
      <c r="A1201" s="200">
        <f>Prog_23[[#This Row],[CONTEINER]]</f>
        <v>0</v>
      </c>
      <c r="B1201" s="86"/>
      <c r="C12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01" s="44"/>
      <c r="E1201" s="66"/>
      <c r="F1201" s="66"/>
      <c r="G1201" s="66"/>
      <c r="H1201" s="44"/>
      <c r="I1201" s="44"/>
      <c r="J1201" s="66"/>
      <c r="K1201" s="66"/>
      <c r="L1201" s="66"/>
      <c r="M1201" s="66"/>
      <c r="N1201" s="66">
        <f>SUM(Prog_23[[#This Row],[TARA]]+Prog_23[[#This Row],[PESO]])</f>
        <v>0</v>
      </c>
      <c r="O1201" s="44"/>
      <c r="P1201" s="66"/>
      <c r="Q1201" s="66"/>
      <c r="R1201" s="66"/>
      <c r="S1201" s="66"/>
      <c r="T1201" s="138" t="str">
        <f>IFERROR(LOOKUP($S1201,MOTORISTAS!$D$3:$D$916,MOTORISTAS!E$3:$E$916),"")</f>
        <v/>
      </c>
      <c r="U1201" s="138" t="str">
        <f>IFERROR(LOOKUP($S1201,MOTORISTAS!$D$3:$D$916,MOTORISTAS!F$3:$F$916),"")</f>
        <v/>
      </c>
      <c r="V1201" s="66"/>
      <c r="W1201" s="66"/>
      <c r="X1201" s="66"/>
      <c r="Y1201" s="66"/>
      <c r="Z1201" s="66"/>
      <c r="AA1201" s="66"/>
      <c r="AB1201" s="66"/>
      <c r="AC1201" s="66"/>
      <c r="AD1201" s="66"/>
      <c r="AE1201" s="66"/>
      <c r="AF1201" s="44"/>
      <c r="AG1201" s="254">
        <f>Prog_23[[#This Row],[SAÍDA DO CLIENTE]]-Prog_23[[#This Row],[PROGRAMAÇÃO CLIENTE]]</f>
        <v>0</v>
      </c>
      <c r="AH1201" s="44"/>
      <c r="AI1201" s="66"/>
      <c r="AJ1201" s="66"/>
      <c r="AK1201" s="66"/>
      <c r="AL1201" s="66"/>
      <c r="AM1201" s="66"/>
      <c r="AN1201" s="83"/>
      <c r="AO1201" s="83"/>
      <c r="AP1201" s="83"/>
      <c r="AQ1201" s="66"/>
      <c r="AR1201" s="66"/>
      <c r="AS1201" s="66"/>
      <c r="AT1201" s="81"/>
      <c r="AU1201" s="81"/>
      <c r="AV1201" s="81"/>
      <c r="AW1201" s="81"/>
      <c r="AX1201" s="83">
        <f>SUM(Prog_23[[#This Row],[ADIANTAMENTO]]+Prog_23[[#This Row],[SALDO]]+Prog_23[[#This Row],[MARGEM]]+Prog_23[[#This Row],[ESTADIA 1]])</f>
        <v>0</v>
      </c>
      <c r="AY12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01" s="81"/>
      <c r="BA1201" s="81"/>
      <c r="BB1201" s="81">
        <f>Prog_23[[#This Row],[VLR NF]]*0.1%</f>
        <v>0</v>
      </c>
      <c r="BC1201" s="81">
        <f>Prog_23[[#This Row],[VLR NF]]*0.05%</f>
        <v>0</v>
      </c>
      <c r="BD1201" s="81"/>
      <c r="BE1201" s="81"/>
      <c r="BF1201" s="81"/>
      <c r="BG1201" s="81"/>
      <c r="BH1201" s="81"/>
      <c r="BI1201" s="81"/>
      <c r="BJ1201" s="81"/>
      <c r="BK1201" s="81"/>
      <c r="BL1201" s="81"/>
      <c r="BM1201" s="81"/>
      <c r="BN1201" s="66"/>
      <c r="BO1201" s="66"/>
      <c r="BP1201" s="66"/>
      <c r="BQ1201" s="66" t="str">
        <f>PROPER(TEXT(Prog_23[[#This Row],[PROGRAMAÇÃO CLIENTE]],"mmm"))</f>
        <v>Jan</v>
      </c>
      <c r="BR1201" s="66">
        <f>YEAR(Prog_23[[#This Row],[PROGRAMAÇÃO CLIENTE]])</f>
        <v>1900</v>
      </c>
    </row>
    <row r="1202" spans="1:70" x14ac:dyDescent="0.25">
      <c r="A1202" s="201">
        <f>Prog_23[[#This Row],[CONTEINER]]</f>
        <v>0</v>
      </c>
      <c r="B1202" s="86"/>
      <c r="C12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02" s="44"/>
      <c r="E1202" s="66"/>
      <c r="F1202" s="66"/>
      <c r="G1202" s="66"/>
      <c r="H1202" s="44"/>
      <c r="I1202" s="44"/>
      <c r="J1202" s="66"/>
      <c r="K1202" s="66"/>
      <c r="L1202" s="66"/>
      <c r="M1202" s="66"/>
      <c r="N1202" s="66">
        <f>SUM(Prog_23[[#This Row],[TARA]]+Prog_23[[#This Row],[PESO]])</f>
        <v>0</v>
      </c>
      <c r="O1202" s="44"/>
      <c r="P1202" s="66"/>
      <c r="Q1202" s="66"/>
      <c r="R1202" s="66"/>
      <c r="S1202" s="66"/>
      <c r="T1202" s="138" t="str">
        <f>IFERROR(LOOKUP($S1202,MOTORISTAS!$D$3:$D$916,MOTORISTAS!E$3:$E$916),"")</f>
        <v/>
      </c>
      <c r="U1202" s="138" t="str">
        <f>IFERROR(LOOKUP($S1202,MOTORISTAS!$D$3:$D$916,MOTORISTAS!F$3:$F$916),"")</f>
        <v/>
      </c>
      <c r="V1202" s="66"/>
      <c r="W1202" s="66"/>
      <c r="X1202" s="66"/>
      <c r="Y1202" s="66"/>
      <c r="Z1202" s="66"/>
      <c r="AA1202" s="66"/>
      <c r="AB1202" s="66"/>
      <c r="AC1202" s="66"/>
      <c r="AD1202" s="66"/>
      <c r="AE1202" s="66"/>
      <c r="AF1202" s="44"/>
      <c r="AG1202" s="254">
        <f>Prog_23[[#This Row],[SAÍDA DO CLIENTE]]-Prog_23[[#This Row],[PROGRAMAÇÃO CLIENTE]]</f>
        <v>0</v>
      </c>
      <c r="AH1202" s="44"/>
      <c r="AI1202" s="66"/>
      <c r="AJ1202" s="66"/>
      <c r="AK1202" s="66"/>
      <c r="AL1202" s="66"/>
      <c r="AM1202" s="66"/>
      <c r="AN1202" s="83"/>
      <c r="AO1202" s="83"/>
      <c r="AP1202" s="83"/>
      <c r="AQ1202" s="66"/>
      <c r="AR1202" s="66"/>
      <c r="AS1202" s="66"/>
      <c r="AT1202" s="81"/>
      <c r="AU1202" s="81"/>
      <c r="AV1202" s="81"/>
      <c r="AW1202" s="81"/>
      <c r="AX1202" s="83">
        <f>SUM(Prog_23[[#This Row],[ADIANTAMENTO]]+Prog_23[[#This Row],[SALDO]]+Prog_23[[#This Row],[MARGEM]]+Prog_23[[#This Row],[ESTADIA 1]])</f>
        <v>0</v>
      </c>
      <c r="AY12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02" s="81"/>
      <c r="BA1202" s="81"/>
      <c r="BB1202" s="81">
        <f>Prog_23[[#This Row],[VLR NF]]*0.1%</f>
        <v>0</v>
      </c>
      <c r="BC1202" s="81">
        <f>Prog_23[[#This Row],[VLR NF]]*0.05%</f>
        <v>0</v>
      </c>
      <c r="BD1202" s="81"/>
      <c r="BE1202" s="81"/>
      <c r="BF1202" s="81"/>
      <c r="BG1202" s="81"/>
      <c r="BH1202" s="81"/>
      <c r="BI1202" s="81"/>
      <c r="BJ1202" s="81"/>
      <c r="BK1202" s="81"/>
      <c r="BL1202" s="81"/>
      <c r="BM1202" s="81"/>
      <c r="BN1202" s="66"/>
      <c r="BO1202" s="66"/>
      <c r="BP1202" s="66"/>
      <c r="BQ1202" s="66" t="str">
        <f>PROPER(TEXT(Prog_23[[#This Row],[PROGRAMAÇÃO CLIENTE]],"mmm"))</f>
        <v>Jan</v>
      </c>
      <c r="BR1202" s="66">
        <f>YEAR(Prog_23[[#This Row],[PROGRAMAÇÃO CLIENTE]])</f>
        <v>1900</v>
      </c>
    </row>
    <row r="1203" spans="1:70" x14ac:dyDescent="0.25">
      <c r="A1203" s="200">
        <f>Prog_23[[#This Row],[CONTEINER]]</f>
        <v>0</v>
      </c>
      <c r="B1203" s="86"/>
      <c r="C12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03" s="44"/>
      <c r="E1203" s="66"/>
      <c r="F1203" s="66"/>
      <c r="G1203" s="66"/>
      <c r="H1203" s="44"/>
      <c r="I1203" s="44"/>
      <c r="J1203" s="66"/>
      <c r="K1203" s="66"/>
      <c r="L1203" s="66"/>
      <c r="M1203" s="66"/>
      <c r="N1203" s="66">
        <f>SUM(Prog_23[[#This Row],[TARA]]+Prog_23[[#This Row],[PESO]])</f>
        <v>0</v>
      </c>
      <c r="O1203" s="44"/>
      <c r="P1203" s="66"/>
      <c r="Q1203" s="66"/>
      <c r="R1203" s="66"/>
      <c r="S1203" s="66"/>
      <c r="T1203" s="138" t="str">
        <f>IFERROR(LOOKUP($S1203,MOTORISTAS!$D$3:$D$916,MOTORISTAS!E$3:$E$916),"")</f>
        <v/>
      </c>
      <c r="U1203" s="138" t="str">
        <f>IFERROR(LOOKUP($S1203,MOTORISTAS!$D$3:$D$916,MOTORISTAS!F$3:$F$916),"")</f>
        <v/>
      </c>
      <c r="V1203" s="66"/>
      <c r="W1203" s="66"/>
      <c r="X1203" s="66"/>
      <c r="Y1203" s="66"/>
      <c r="Z1203" s="66"/>
      <c r="AA1203" s="66"/>
      <c r="AB1203" s="66"/>
      <c r="AC1203" s="66"/>
      <c r="AD1203" s="66"/>
      <c r="AE1203" s="66"/>
      <c r="AF1203" s="44"/>
      <c r="AG1203" s="254">
        <f>Prog_23[[#This Row],[SAÍDA DO CLIENTE]]-Prog_23[[#This Row],[PROGRAMAÇÃO CLIENTE]]</f>
        <v>0</v>
      </c>
      <c r="AH1203" s="44"/>
      <c r="AI1203" s="66"/>
      <c r="AJ1203" s="66"/>
      <c r="AK1203" s="66"/>
      <c r="AL1203" s="66"/>
      <c r="AM1203" s="66"/>
      <c r="AN1203" s="83"/>
      <c r="AO1203" s="83"/>
      <c r="AP1203" s="83"/>
      <c r="AQ1203" s="66"/>
      <c r="AR1203" s="66"/>
      <c r="AS1203" s="66"/>
      <c r="AT1203" s="81"/>
      <c r="AU1203" s="81"/>
      <c r="AV1203" s="81"/>
      <c r="AW1203" s="81"/>
      <c r="AX1203" s="83">
        <f>SUM(Prog_23[[#This Row],[ADIANTAMENTO]]+Prog_23[[#This Row],[SALDO]]+Prog_23[[#This Row],[MARGEM]]+Prog_23[[#This Row],[ESTADIA 1]])</f>
        <v>0</v>
      </c>
      <c r="AY12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03" s="81"/>
      <c r="BA1203" s="81"/>
      <c r="BB1203" s="81">
        <f>Prog_23[[#This Row],[VLR NF]]*0.1%</f>
        <v>0</v>
      </c>
      <c r="BC1203" s="81">
        <f>Prog_23[[#This Row],[VLR NF]]*0.05%</f>
        <v>0</v>
      </c>
      <c r="BD1203" s="81"/>
      <c r="BE1203" s="81"/>
      <c r="BF1203" s="81"/>
      <c r="BG1203" s="81"/>
      <c r="BH1203" s="81"/>
      <c r="BI1203" s="81"/>
      <c r="BJ1203" s="81"/>
      <c r="BK1203" s="81"/>
      <c r="BL1203" s="81"/>
      <c r="BM1203" s="81"/>
      <c r="BN1203" s="66"/>
      <c r="BO1203" s="66"/>
      <c r="BP1203" s="66"/>
      <c r="BQ1203" s="66" t="str">
        <f>PROPER(TEXT(Prog_23[[#This Row],[PROGRAMAÇÃO CLIENTE]],"mmm"))</f>
        <v>Jan</v>
      </c>
      <c r="BR1203" s="66">
        <f>YEAR(Prog_23[[#This Row],[PROGRAMAÇÃO CLIENTE]])</f>
        <v>1900</v>
      </c>
    </row>
    <row r="1204" spans="1:70" x14ac:dyDescent="0.25">
      <c r="A1204" s="201">
        <f>Prog_23[[#This Row],[CONTEINER]]</f>
        <v>0</v>
      </c>
      <c r="B1204" s="86"/>
      <c r="C12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04" s="44"/>
      <c r="E1204" s="66"/>
      <c r="F1204" s="66"/>
      <c r="G1204" s="66"/>
      <c r="H1204" s="44"/>
      <c r="I1204" s="44"/>
      <c r="J1204" s="66"/>
      <c r="K1204" s="66"/>
      <c r="L1204" s="66"/>
      <c r="M1204" s="66"/>
      <c r="N1204" s="66">
        <f>SUM(Prog_23[[#This Row],[TARA]]+Prog_23[[#This Row],[PESO]])</f>
        <v>0</v>
      </c>
      <c r="O1204" s="44"/>
      <c r="P1204" s="66"/>
      <c r="Q1204" s="66"/>
      <c r="R1204" s="66"/>
      <c r="S1204" s="66"/>
      <c r="T1204" s="138" t="str">
        <f>IFERROR(LOOKUP($S1204,MOTORISTAS!$D$3:$D$916,MOTORISTAS!E$3:$E$916),"")</f>
        <v/>
      </c>
      <c r="U1204" s="138" t="str">
        <f>IFERROR(LOOKUP($S1204,MOTORISTAS!$D$3:$D$916,MOTORISTAS!F$3:$F$916),"")</f>
        <v/>
      </c>
      <c r="V1204" s="66"/>
      <c r="W1204" s="66"/>
      <c r="X1204" s="66"/>
      <c r="Y1204" s="66"/>
      <c r="Z1204" s="66"/>
      <c r="AA1204" s="66"/>
      <c r="AB1204" s="66"/>
      <c r="AC1204" s="66"/>
      <c r="AD1204" s="66"/>
      <c r="AE1204" s="66"/>
      <c r="AF1204" s="44"/>
      <c r="AG1204" s="254">
        <f>Prog_23[[#This Row],[SAÍDA DO CLIENTE]]-Prog_23[[#This Row],[PROGRAMAÇÃO CLIENTE]]</f>
        <v>0</v>
      </c>
      <c r="AH1204" s="44"/>
      <c r="AI1204" s="66"/>
      <c r="AJ1204" s="66"/>
      <c r="AK1204" s="66"/>
      <c r="AL1204" s="66"/>
      <c r="AM1204" s="66"/>
      <c r="AN1204" s="83"/>
      <c r="AO1204" s="83"/>
      <c r="AP1204" s="83"/>
      <c r="AQ1204" s="66"/>
      <c r="AR1204" s="66"/>
      <c r="AS1204" s="66"/>
      <c r="AT1204" s="81"/>
      <c r="AU1204" s="81"/>
      <c r="AV1204" s="81"/>
      <c r="AW1204" s="81"/>
      <c r="AX1204" s="83">
        <f>SUM(Prog_23[[#This Row],[ADIANTAMENTO]]+Prog_23[[#This Row],[SALDO]]+Prog_23[[#This Row],[MARGEM]]+Prog_23[[#This Row],[ESTADIA 1]])</f>
        <v>0</v>
      </c>
      <c r="AY12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04" s="81"/>
      <c r="BA1204" s="81"/>
      <c r="BB1204" s="81">
        <f>Prog_23[[#This Row],[VLR NF]]*0.1%</f>
        <v>0</v>
      </c>
      <c r="BC1204" s="81">
        <f>Prog_23[[#This Row],[VLR NF]]*0.05%</f>
        <v>0</v>
      </c>
      <c r="BD1204" s="81"/>
      <c r="BE1204" s="81"/>
      <c r="BF1204" s="81"/>
      <c r="BG1204" s="81"/>
      <c r="BH1204" s="81"/>
      <c r="BI1204" s="81"/>
      <c r="BJ1204" s="81"/>
      <c r="BK1204" s="81"/>
      <c r="BL1204" s="81"/>
      <c r="BM1204" s="81"/>
      <c r="BN1204" s="66"/>
      <c r="BO1204" s="66"/>
      <c r="BP1204" s="66"/>
      <c r="BQ1204" s="66" t="str">
        <f>PROPER(TEXT(Prog_23[[#This Row],[PROGRAMAÇÃO CLIENTE]],"mmm"))</f>
        <v>Jan</v>
      </c>
      <c r="BR1204" s="66">
        <f>YEAR(Prog_23[[#This Row],[PROGRAMAÇÃO CLIENTE]])</f>
        <v>1900</v>
      </c>
    </row>
    <row r="1205" spans="1:70" x14ac:dyDescent="0.25">
      <c r="A1205" s="200">
        <f>Prog_23[[#This Row],[CONTEINER]]</f>
        <v>0</v>
      </c>
      <c r="B1205" s="86"/>
      <c r="C12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05" s="44"/>
      <c r="E1205" s="66"/>
      <c r="F1205" s="66"/>
      <c r="G1205" s="66"/>
      <c r="H1205" s="44"/>
      <c r="I1205" s="44"/>
      <c r="J1205" s="66"/>
      <c r="K1205" s="66"/>
      <c r="L1205" s="66"/>
      <c r="M1205" s="66"/>
      <c r="N1205" s="66">
        <f>SUM(Prog_23[[#This Row],[TARA]]+Prog_23[[#This Row],[PESO]])</f>
        <v>0</v>
      </c>
      <c r="O1205" s="44"/>
      <c r="P1205" s="66"/>
      <c r="Q1205" s="66"/>
      <c r="R1205" s="66"/>
      <c r="S1205" s="66"/>
      <c r="T1205" s="138" t="str">
        <f>IFERROR(LOOKUP($S1205,MOTORISTAS!$D$3:$D$916,MOTORISTAS!E$3:$E$916),"")</f>
        <v/>
      </c>
      <c r="U1205" s="138" t="str">
        <f>IFERROR(LOOKUP($S1205,MOTORISTAS!$D$3:$D$916,MOTORISTAS!F$3:$F$916),"")</f>
        <v/>
      </c>
      <c r="V1205" s="66"/>
      <c r="W1205" s="66"/>
      <c r="X1205" s="66"/>
      <c r="Y1205" s="66"/>
      <c r="Z1205" s="66"/>
      <c r="AA1205" s="66"/>
      <c r="AB1205" s="66"/>
      <c r="AC1205" s="66"/>
      <c r="AD1205" s="66"/>
      <c r="AE1205" s="66"/>
      <c r="AF1205" s="44"/>
      <c r="AG1205" s="254">
        <f>Prog_23[[#This Row],[SAÍDA DO CLIENTE]]-Prog_23[[#This Row],[PROGRAMAÇÃO CLIENTE]]</f>
        <v>0</v>
      </c>
      <c r="AH1205" s="44"/>
      <c r="AI1205" s="66"/>
      <c r="AJ1205" s="66"/>
      <c r="AK1205" s="66"/>
      <c r="AL1205" s="66"/>
      <c r="AM1205" s="66"/>
      <c r="AN1205" s="83"/>
      <c r="AO1205" s="83"/>
      <c r="AP1205" s="83"/>
      <c r="AQ1205" s="66"/>
      <c r="AR1205" s="66"/>
      <c r="AS1205" s="66"/>
      <c r="AT1205" s="81"/>
      <c r="AU1205" s="81"/>
      <c r="AV1205" s="81"/>
      <c r="AW1205" s="81"/>
      <c r="AX1205" s="83">
        <f>SUM(Prog_23[[#This Row],[ADIANTAMENTO]]+Prog_23[[#This Row],[SALDO]]+Prog_23[[#This Row],[MARGEM]]+Prog_23[[#This Row],[ESTADIA 1]])</f>
        <v>0</v>
      </c>
      <c r="AY12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05" s="81"/>
      <c r="BA1205" s="81"/>
      <c r="BB1205" s="81">
        <f>Prog_23[[#This Row],[VLR NF]]*0.1%</f>
        <v>0</v>
      </c>
      <c r="BC1205" s="81">
        <f>Prog_23[[#This Row],[VLR NF]]*0.05%</f>
        <v>0</v>
      </c>
      <c r="BD1205" s="81"/>
      <c r="BE1205" s="81"/>
      <c r="BF1205" s="81"/>
      <c r="BG1205" s="81"/>
      <c r="BH1205" s="81"/>
      <c r="BI1205" s="81"/>
      <c r="BJ1205" s="81"/>
      <c r="BK1205" s="81"/>
      <c r="BL1205" s="81"/>
      <c r="BM1205" s="81"/>
      <c r="BN1205" s="66"/>
      <c r="BO1205" s="66"/>
      <c r="BP1205" s="66"/>
      <c r="BQ1205" s="66" t="str">
        <f>PROPER(TEXT(Prog_23[[#This Row],[PROGRAMAÇÃO CLIENTE]],"mmm"))</f>
        <v>Jan</v>
      </c>
      <c r="BR1205" s="66">
        <f>YEAR(Prog_23[[#This Row],[PROGRAMAÇÃO CLIENTE]])</f>
        <v>1900</v>
      </c>
    </row>
    <row r="1206" spans="1:70" x14ac:dyDescent="0.25">
      <c r="A1206" s="201">
        <f>Prog_23[[#This Row],[CONTEINER]]</f>
        <v>0</v>
      </c>
      <c r="B1206" s="86"/>
      <c r="C12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06" s="44"/>
      <c r="E1206" s="66"/>
      <c r="F1206" s="66"/>
      <c r="G1206" s="66"/>
      <c r="H1206" s="44"/>
      <c r="I1206" s="44"/>
      <c r="J1206" s="66"/>
      <c r="K1206" s="66"/>
      <c r="L1206" s="66"/>
      <c r="M1206" s="66"/>
      <c r="N1206" s="66">
        <f>SUM(Prog_23[[#This Row],[TARA]]+Prog_23[[#This Row],[PESO]])</f>
        <v>0</v>
      </c>
      <c r="O1206" s="44"/>
      <c r="P1206" s="66"/>
      <c r="Q1206" s="66"/>
      <c r="R1206" s="66"/>
      <c r="S1206" s="66"/>
      <c r="T1206" s="138" t="str">
        <f>IFERROR(LOOKUP($S1206,MOTORISTAS!$D$3:$D$916,MOTORISTAS!E$3:$E$916),"")</f>
        <v/>
      </c>
      <c r="U1206" s="138" t="str">
        <f>IFERROR(LOOKUP($S1206,MOTORISTAS!$D$3:$D$916,MOTORISTAS!F$3:$F$916),"")</f>
        <v/>
      </c>
      <c r="V1206" s="66"/>
      <c r="W1206" s="66"/>
      <c r="X1206" s="66"/>
      <c r="Y1206" s="66"/>
      <c r="Z1206" s="66"/>
      <c r="AA1206" s="66"/>
      <c r="AB1206" s="66"/>
      <c r="AC1206" s="66"/>
      <c r="AD1206" s="66"/>
      <c r="AE1206" s="66"/>
      <c r="AF1206" s="44"/>
      <c r="AG1206" s="254">
        <f>Prog_23[[#This Row],[SAÍDA DO CLIENTE]]-Prog_23[[#This Row],[PROGRAMAÇÃO CLIENTE]]</f>
        <v>0</v>
      </c>
      <c r="AH1206" s="44"/>
      <c r="AI1206" s="66"/>
      <c r="AJ1206" s="66"/>
      <c r="AK1206" s="66"/>
      <c r="AL1206" s="66"/>
      <c r="AM1206" s="66"/>
      <c r="AN1206" s="83"/>
      <c r="AO1206" s="83"/>
      <c r="AP1206" s="83"/>
      <c r="AQ1206" s="66"/>
      <c r="AR1206" s="66"/>
      <c r="AS1206" s="66"/>
      <c r="AT1206" s="81"/>
      <c r="AU1206" s="81"/>
      <c r="AV1206" s="81"/>
      <c r="AW1206" s="81"/>
      <c r="AX1206" s="83">
        <f>SUM(Prog_23[[#This Row],[ADIANTAMENTO]]+Prog_23[[#This Row],[SALDO]]+Prog_23[[#This Row],[MARGEM]]+Prog_23[[#This Row],[ESTADIA 1]])</f>
        <v>0</v>
      </c>
      <c r="AY12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06" s="81"/>
      <c r="BA1206" s="81"/>
      <c r="BB1206" s="81">
        <f>Prog_23[[#This Row],[VLR NF]]*0.1%</f>
        <v>0</v>
      </c>
      <c r="BC1206" s="81">
        <f>Prog_23[[#This Row],[VLR NF]]*0.05%</f>
        <v>0</v>
      </c>
      <c r="BD1206" s="81"/>
      <c r="BE1206" s="81"/>
      <c r="BF1206" s="81"/>
      <c r="BG1206" s="81"/>
      <c r="BH1206" s="81"/>
      <c r="BI1206" s="81"/>
      <c r="BJ1206" s="81"/>
      <c r="BK1206" s="81"/>
      <c r="BL1206" s="81"/>
      <c r="BM1206" s="81"/>
      <c r="BN1206" s="66"/>
      <c r="BO1206" s="66"/>
      <c r="BP1206" s="66"/>
      <c r="BQ1206" s="66" t="str">
        <f>PROPER(TEXT(Prog_23[[#This Row],[PROGRAMAÇÃO CLIENTE]],"mmm"))</f>
        <v>Jan</v>
      </c>
      <c r="BR1206" s="66">
        <f>YEAR(Prog_23[[#This Row],[PROGRAMAÇÃO CLIENTE]])</f>
        <v>1900</v>
      </c>
    </row>
    <row r="1207" spans="1:70" x14ac:dyDescent="0.25">
      <c r="A1207" s="200">
        <f>Prog_23[[#This Row],[CONTEINER]]</f>
        <v>0</v>
      </c>
      <c r="B1207" s="86"/>
      <c r="C12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07" s="44"/>
      <c r="E1207" s="66"/>
      <c r="F1207" s="66"/>
      <c r="G1207" s="66"/>
      <c r="H1207" s="44"/>
      <c r="I1207" s="44"/>
      <c r="J1207" s="66"/>
      <c r="K1207" s="66"/>
      <c r="L1207" s="66"/>
      <c r="M1207" s="66"/>
      <c r="N1207" s="66">
        <f>SUM(Prog_23[[#This Row],[TARA]]+Prog_23[[#This Row],[PESO]])</f>
        <v>0</v>
      </c>
      <c r="O1207" s="44"/>
      <c r="P1207" s="66"/>
      <c r="Q1207" s="66"/>
      <c r="R1207" s="66"/>
      <c r="S1207" s="66"/>
      <c r="T1207" s="138" t="str">
        <f>IFERROR(LOOKUP($S1207,MOTORISTAS!$D$3:$D$916,MOTORISTAS!E$3:$E$916),"")</f>
        <v/>
      </c>
      <c r="U1207" s="138" t="str">
        <f>IFERROR(LOOKUP($S1207,MOTORISTAS!$D$3:$D$916,MOTORISTAS!F$3:$F$916),"")</f>
        <v/>
      </c>
      <c r="V1207" s="66"/>
      <c r="W1207" s="66"/>
      <c r="X1207" s="66"/>
      <c r="Y1207" s="66"/>
      <c r="Z1207" s="66"/>
      <c r="AA1207" s="66"/>
      <c r="AB1207" s="66"/>
      <c r="AC1207" s="66"/>
      <c r="AD1207" s="66"/>
      <c r="AE1207" s="66"/>
      <c r="AF1207" s="44"/>
      <c r="AG1207" s="254">
        <f>Prog_23[[#This Row],[SAÍDA DO CLIENTE]]-Prog_23[[#This Row],[PROGRAMAÇÃO CLIENTE]]</f>
        <v>0</v>
      </c>
      <c r="AH1207" s="44"/>
      <c r="AI1207" s="66"/>
      <c r="AJ1207" s="66"/>
      <c r="AK1207" s="66"/>
      <c r="AL1207" s="66"/>
      <c r="AM1207" s="66"/>
      <c r="AN1207" s="83"/>
      <c r="AO1207" s="83"/>
      <c r="AP1207" s="83"/>
      <c r="AQ1207" s="66"/>
      <c r="AR1207" s="66"/>
      <c r="AS1207" s="66"/>
      <c r="AT1207" s="81"/>
      <c r="AU1207" s="81"/>
      <c r="AV1207" s="81"/>
      <c r="AW1207" s="81"/>
      <c r="AX1207" s="83">
        <f>SUM(Prog_23[[#This Row],[ADIANTAMENTO]]+Prog_23[[#This Row],[SALDO]]+Prog_23[[#This Row],[MARGEM]]+Prog_23[[#This Row],[ESTADIA 1]])</f>
        <v>0</v>
      </c>
      <c r="AY12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07" s="81"/>
      <c r="BA1207" s="81"/>
      <c r="BB1207" s="81">
        <f>Prog_23[[#This Row],[VLR NF]]*0.1%</f>
        <v>0</v>
      </c>
      <c r="BC1207" s="81">
        <f>Prog_23[[#This Row],[VLR NF]]*0.05%</f>
        <v>0</v>
      </c>
      <c r="BD1207" s="81"/>
      <c r="BE1207" s="81"/>
      <c r="BF1207" s="81"/>
      <c r="BG1207" s="81"/>
      <c r="BH1207" s="81"/>
      <c r="BI1207" s="81"/>
      <c r="BJ1207" s="81"/>
      <c r="BK1207" s="81"/>
      <c r="BL1207" s="81"/>
      <c r="BM1207" s="81"/>
      <c r="BN1207" s="66"/>
      <c r="BO1207" s="66"/>
      <c r="BP1207" s="66"/>
      <c r="BQ1207" s="66" t="str">
        <f>PROPER(TEXT(Prog_23[[#This Row],[PROGRAMAÇÃO CLIENTE]],"mmm"))</f>
        <v>Jan</v>
      </c>
      <c r="BR1207" s="66">
        <f>YEAR(Prog_23[[#This Row],[PROGRAMAÇÃO CLIENTE]])</f>
        <v>1900</v>
      </c>
    </row>
    <row r="1208" spans="1:70" x14ac:dyDescent="0.25">
      <c r="A1208" s="201">
        <f>Prog_23[[#This Row],[CONTEINER]]</f>
        <v>0</v>
      </c>
      <c r="B1208" s="86"/>
      <c r="C12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08" s="44"/>
      <c r="E1208" s="66"/>
      <c r="F1208" s="66"/>
      <c r="G1208" s="66"/>
      <c r="H1208" s="44"/>
      <c r="I1208" s="44"/>
      <c r="J1208" s="66"/>
      <c r="K1208" s="66"/>
      <c r="L1208" s="66"/>
      <c r="M1208" s="66"/>
      <c r="N1208" s="66">
        <f>SUM(Prog_23[[#This Row],[TARA]]+Prog_23[[#This Row],[PESO]])</f>
        <v>0</v>
      </c>
      <c r="O1208" s="44"/>
      <c r="P1208" s="66"/>
      <c r="Q1208" s="66"/>
      <c r="R1208" s="66"/>
      <c r="S1208" s="66"/>
      <c r="T1208" s="138" t="str">
        <f>IFERROR(LOOKUP($S1208,MOTORISTAS!$D$3:$D$916,MOTORISTAS!E$3:$E$916),"")</f>
        <v/>
      </c>
      <c r="U1208" s="138" t="str">
        <f>IFERROR(LOOKUP($S1208,MOTORISTAS!$D$3:$D$916,MOTORISTAS!F$3:$F$916),"")</f>
        <v/>
      </c>
      <c r="V1208" s="66"/>
      <c r="W1208" s="66"/>
      <c r="X1208" s="66"/>
      <c r="Y1208" s="66"/>
      <c r="Z1208" s="66"/>
      <c r="AA1208" s="66"/>
      <c r="AB1208" s="66"/>
      <c r="AC1208" s="66"/>
      <c r="AD1208" s="66"/>
      <c r="AE1208" s="66"/>
      <c r="AF1208" s="44"/>
      <c r="AG1208" s="254">
        <f>Prog_23[[#This Row],[SAÍDA DO CLIENTE]]-Prog_23[[#This Row],[PROGRAMAÇÃO CLIENTE]]</f>
        <v>0</v>
      </c>
      <c r="AH1208" s="44"/>
      <c r="AI1208" s="66"/>
      <c r="AJ1208" s="66"/>
      <c r="AK1208" s="66"/>
      <c r="AL1208" s="66"/>
      <c r="AM1208" s="66"/>
      <c r="AN1208" s="83"/>
      <c r="AO1208" s="83"/>
      <c r="AP1208" s="83"/>
      <c r="AQ1208" s="66"/>
      <c r="AR1208" s="66"/>
      <c r="AS1208" s="66"/>
      <c r="AT1208" s="81"/>
      <c r="AU1208" s="81"/>
      <c r="AV1208" s="81"/>
      <c r="AW1208" s="81"/>
      <c r="AX1208" s="83">
        <f>SUM(Prog_23[[#This Row],[ADIANTAMENTO]]+Prog_23[[#This Row],[SALDO]]+Prog_23[[#This Row],[MARGEM]]+Prog_23[[#This Row],[ESTADIA 1]])</f>
        <v>0</v>
      </c>
      <c r="AY12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08" s="81"/>
      <c r="BA1208" s="81"/>
      <c r="BB1208" s="81">
        <f>Prog_23[[#This Row],[VLR NF]]*0.1%</f>
        <v>0</v>
      </c>
      <c r="BC1208" s="81">
        <f>Prog_23[[#This Row],[VLR NF]]*0.05%</f>
        <v>0</v>
      </c>
      <c r="BD1208" s="81"/>
      <c r="BE1208" s="81"/>
      <c r="BF1208" s="81"/>
      <c r="BG1208" s="81"/>
      <c r="BH1208" s="81"/>
      <c r="BI1208" s="81"/>
      <c r="BJ1208" s="81"/>
      <c r="BK1208" s="81"/>
      <c r="BL1208" s="81"/>
      <c r="BM1208" s="81"/>
      <c r="BN1208" s="66"/>
      <c r="BO1208" s="66"/>
      <c r="BP1208" s="66"/>
      <c r="BQ1208" s="66" t="str">
        <f>PROPER(TEXT(Prog_23[[#This Row],[PROGRAMAÇÃO CLIENTE]],"mmm"))</f>
        <v>Jan</v>
      </c>
      <c r="BR1208" s="66">
        <f>YEAR(Prog_23[[#This Row],[PROGRAMAÇÃO CLIENTE]])</f>
        <v>1900</v>
      </c>
    </row>
    <row r="1209" spans="1:70" x14ac:dyDescent="0.25">
      <c r="A1209" s="200">
        <f>Prog_23[[#This Row],[CONTEINER]]</f>
        <v>0</v>
      </c>
      <c r="B1209" s="86"/>
      <c r="C12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09" s="44"/>
      <c r="E1209" s="66"/>
      <c r="F1209" s="66"/>
      <c r="G1209" s="66"/>
      <c r="H1209" s="44"/>
      <c r="I1209" s="44"/>
      <c r="J1209" s="66"/>
      <c r="K1209" s="66"/>
      <c r="L1209" s="66"/>
      <c r="M1209" s="66"/>
      <c r="N1209" s="66">
        <f>SUM(Prog_23[[#This Row],[TARA]]+Prog_23[[#This Row],[PESO]])</f>
        <v>0</v>
      </c>
      <c r="O1209" s="44"/>
      <c r="P1209" s="66"/>
      <c r="Q1209" s="66"/>
      <c r="R1209" s="66"/>
      <c r="S1209" s="66"/>
      <c r="T1209" s="138" t="str">
        <f>IFERROR(LOOKUP($S1209,MOTORISTAS!$D$3:$D$916,MOTORISTAS!E$3:$E$916),"")</f>
        <v/>
      </c>
      <c r="U1209" s="138" t="str">
        <f>IFERROR(LOOKUP($S1209,MOTORISTAS!$D$3:$D$916,MOTORISTAS!F$3:$F$916),"")</f>
        <v/>
      </c>
      <c r="V1209" s="66"/>
      <c r="W1209" s="66"/>
      <c r="X1209" s="66"/>
      <c r="Y1209" s="66"/>
      <c r="Z1209" s="66"/>
      <c r="AA1209" s="66"/>
      <c r="AB1209" s="66"/>
      <c r="AC1209" s="66"/>
      <c r="AD1209" s="66"/>
      <c r="AE1209" s="66"/>
      <c r="AF1209" s="44"/>
      <c r="AG1209" s="254">
        <f>Prog_23[[#This Row],[SAÍDA DO CLIENTE]]-Prog_23[[#This Row],[PROGRAMAÇÃO CLIENTE]]</f>
        <v>0</v>
      </c>
      <c r="AH1209" s="44"/>
      <c r="AI1209" s="66"/>
      <c r="AJ1209" s="66"/>
      <c r="AK1209" s="66"/>
      <c r="AL1209" s="66"/>
      <c r="AM1209" s="66"/>
      <c r="AN1209" s="83"/>
      <c r="AO1209" s="83"/>
      <c r="AP1209" s="83"/>
      <c r="AQ1209" s="66"/>
      <c r="AR1209" s="66"/>
      <c r="AS1209" s="66"/>
      <c r="AT1209" s="81"/>
      <c r="AU1209" s="81"/>
      <c r="AV1209" s="81"/>
      <c r="AW1209" s="81"/>
      <c r="AX1209" s="83">
        <f>SUM(Prog_23[[#This Row],[ADIANTAMENTO]]+Prog_23[[#This Row],[SALDO]]+Prog_23[[#This Row],[MARGEM]]+Prog_23[[#This Row],[ESTADIA 1]])</f>
        <v>0</v>
      </c>
      <c r="AY12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09" s="81"/>
      <c r="BA1209" s="81"/>
      <c r="BB1209" s="81">
        <f>Prog_23[[#This Row],[VLR NF]]*0.1%</f>
        <v>0</v>
      </c>
      <c r="BC1209" s="81">
        <f>Prog_23[[#This Row],[VLR NF]]*0.05%</f>
        <v>0</v>
      </c>
      <c r="BD1209" s="81"/>
      <c r="BE1209" s="81"/>
      <c r="BF1209" s="81"/>
      <c r="BG1209" s="81"/>
      <c r="BH1209" s="81"/>
      <c r="BI1209" s="81"/>
      <c r="BJ1209" s="81"/>
      <c r="BK1209" s="81"/>
      <c r="BL1209" s="81"/>
      <c r="BM1209" s="81"/>
      <c r="BN1209" s="66"/>
      <c r="BO1209" s="66"/>
      <c r="BP1209" s="66"/>
      <c r="BQ1209" s="66" t="str">
        <f>PROPER(TEXT(Prog_23[[#This Row],[PROGRAMAÇÃO CLIENTE]],"mmm"))</f>
        <v>Jan</v>
      </c>
      <c r="BR1209" s="66">
        <f>YEAR(Prog_23[[#This Row],[PROGRAMAÇÃO CLIENTE]])</f>
        <v>1900</v>
      </c>
    </row>
    <row r="1210" spans="1:70" x14ac:dyDescent="0.25">
      <c r="A1210" s="201">
        <f>Prog_23[[#This Row],[CONTEINER]]</f>
        <v>0</v>
      </c>
      <c r="B1210" s="86"/>
      <c r="C12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10" s="44"/>
      <c r="E1210" s="66"/>
      <c r="F1210" s="66"/>
      <c r="G1210" s="66"/>
      <c r="H1210" s="44"/>
      <c r="I1210" s="44"/>
      <c r="J1210" s="66"/>
      <c r="K1210" s="66"/>
      <c r="L1210" s="66"/>
      <c r="M1210" s="66"/>
      <c r="N1210" s="66">
        <f>SUM(Prog_23[[#This Row],[TARA]]+Prog_23[[#This Row],[PESO]])</f>
        <v>0</v>
      </c>
      <c r="O1210" s="44"/>
      <c r="P1210" s="66"/>
      <c r="Q1210" s="66"/>
      <c r="R1210" s="66"/>
      <c r="S1210" s="66"/>
      <c r="T1210" s="138" t="str">
        <f>IFERROR(LOOKUP($S1210,MOTORISTAS!$D$3:$D$916,MOTORISTAS!E$3:$E$916),"")</f>
        <v/>
      </c>
      <c r="U1210" s="138" t="str">
        <f>IFERROR(LOOKUP($S1210,MOTORISTAS!$D$3:$D$916,MOTORISTAS!F$3:$F$916),"")</f>
        <v/>
      </c>
      <c r="V1210" s="66"/>
      <c r="W1210" s="66"/>
      <c r="X1210" s="66"/>
      <c r="Y1210" s="66"/>
      <c r="Z1210" s="66"/>
      <c r="AA1210" s="66"/>
      <c r="AB1210" s="66"/>
      <c r="AC1210" s="66"/>
      <c r="AD1210" s="66"/>
      <c r="AE1210" s="66"/>
      <c r="AF1210" s="44"/>
      <c r="AG1210" s="254">
        <f>Prog_23[[#This Row],[SAÍDA DO CLIENTE]]-Prog_23[[#This Row],[PROGRAMAÇÃO CLIENTE]]</f>
        <v>0</v>
      </c>
      <c r="AH1210" s="44"/>
      <c r="AI1210" s="66"/>
      <c r="AJ1210" s="66"/>
      <c r="AK1210" s="66"/>
      <c r="AL1210" s="66"/>
      <c r="AM1210" s="66"/>
      <c r="AN1210" s="83"/>
      <c r="AO1210" s="83"/>
      <c r="AP1210" s="83"/>
      <c r="AQ1210" s="66"/>
      <c r="AR1210" s="66"/>
      <c r="AS1210" s="66"/>
      <c r="AT1210" s="81"/>
      <c r="AU1210" s="81"/>
      <c r="AV1210" s="81"/>
      <c r="AW1210" s="81"/>
      <c r="AX1210" s="83">
        <f>SUM(Prog_23[[#This Row],[ADIANTAMENTO]]+Prog_23[[#This Row],[SALDO]]+Prog_23[[#This Row],[MARGEM]]+Prog_23[[#This Row],[ESTADIA 1]])</f>
        <v>0</v>
      </c>
      <c r="AY12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10" s="81"/>
      <c r="BA1210" s="81"/>
      <c r="BB1210" s="81">
        <f>Prog_23[[#This Row],[VLR NF]]*0.1%</f>
        <v>0</v>
      </c>
      <c r="BC1210" s="81">
        <f>Prog_23[[#This Row],[VLR NF]]*0.05%</f>
        <v>0</v>
      </c>
      <c r="BD1210" s="81"/>
      <c r="BE1210" s="81"/>
      <c r="BF1210" s="81"/>
      <c r="BG1210" s="81"/>
      <c r="BH1210" s="81"/>
      <c r="BI1210" s="81"/>
      <c r="BJ1210" s="81"/>
      <c r="BK1210" s="81"/>
      <c r="BL1210" s="81"/>
      <c r="BM1210" s="81"/>
      <c r="BN1210" s="66"/>
      <c r="BO1210" s="66"/>
      <c r="BP1210" s="66"/>
      <c r="BQ1210" s="66" t="str">
        <f>PROPER(TEXT(Prog_23[[#This Row],[PROGRAMAÇÃO CLIENTE]],"mmm"))</f>
        <v>Jan</v>
      </c>
      <c r="BR1210" s="66">
        <f>YEAR(Prog_23[[#This Row],[PROGRAMAÇÃO CLIENTE]])</f>
        <v>1900</v>
      </c>
    </row>
    <row r="1211" spans="1:70" x14ac:dyDescent="0.25">
      <c r="A1211" s="200">
        <f>Prog_23[[#This Row],[CONTEINER]]</f>
        <v>0</v>
      </c>
      <c r="B1211" s="86"/>
      <c r="C12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11" s="44"/>
      <c r="E1211" s="66"/>
      <c r="F1211" s="66"/>
      <c r="G1211" s="66"/>
      <c r="H1211" s="44"/>
      <c r="I1211" s="44"/>
      <c r="J1211" s="66"/>
      <c r="K1211" s="66"/>
      <c r="L1211" s="66"/>
      <c r="M1211" s="66"/>
      <c r="N1211" s="66">
        <f>SUM(Prog_23[[#This Row],[TARA]]+Prog_23[[#This Row],[PESO]])</f>
        <v>0</v>
      </c>
      <c r="O1211" s="44"/>
      <c r="P1211" s="66"/>
      <c r="Q1211" s="66"/>
      <c r="R1211" s="66"/>
      <c r="S1211" s="66"/>
      <c r="T1211" s="138" t="str">
        <f>IFERROR(LOOKUP($S1211,MOTORISTAS!$D$3:$D$916,MOTORISTAS!E$3:$E$916),"")</f>
        <v/>
      </c>
      <c r="U1211" s="138" t="str">
        <f>IFERROR(LOOKUP($S1211,MOTORISTAS!$D$3:$D$916,MOTORISTAS!F$3:$F$916),"")</f>
        <v/>
      </c>
      <c r="V1211" s="66"/>
      <c r="W1211" s="66"/>
      <c r="X1211" s="66"/>
      <c r="Y1211" s="66"/>
      <c r="Z1211" s="66"/>
      <c r="AA1211" s="66"/>
      <c r="AB1211" s="66"/>
      <c r="AC1211" s="66"/>
      <c r="AD1211" s="66"/>
      <c r="AE1211" s="66"/>
      <c r="AF1211" s="44"/>
      <c r="AG1211" s="254">
        <f>Prog_23[[#This Row],[SAÍDA DO CLIENTE]]-Prog_23[[#This Row],[PROGRAMAÇÃO CLIENTE]]</f>
        <v>0</v>
      </c>
      <c r="AH1211" s="44"/>
      <c r="AI1211" s="66"/>
      <c r="AJ1211" s="66"/>
      <c r="AK1211" s="66"/>
      <c r="AL1211" s="66"/>
      <c r="AM1211" s="66"/>
      <c r="AN1211" s="83"/>
      <c r="AO1211" s="83"/>
      <c r="AP1211" s="83"/>
      <c r="AQ1211" s="66"/>
      <c r="AR1211" s="66"/>
      <c r="AS1211" s="66"/>
      <c r="AT1211" s="81"/>
      <c r="AU1211" s="81"/>
      <c r="AV1211" s="81"/>
      <c r="AW1211" s="81"/>
      <c r="AX1211" s="83">
        <f>SUM(Prog_23[[#This Row],[ADIANTAMENTO]]+Prog_23[[#This Row],[SALDO]]+Prog_23[[#This Row],[MARGEM]]+Prog_23[[#This Row],[ESTADIA 1]])</f>
        <v>0</v>
      </c>
      <c r="AY12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11" s="81"/>
      <c r="BA1211" s="81"/>
      <c r="BB1211" s="81">
        <f>Prog_23[[#This Row],[VLR NF]]*0.1%</f>
        <v>0</v>
      </c>
      <c r="BC1211" s="81">
        <f>Prog_23[[#This Row],[VLR NF]]*0.05%</f>
        <v>0</v>
      </c>
      <c r="BD1211" s="81"/>
      <c r="BE1211" s="81"/>
      <c r="BF1211" s="81"/>
      <c r="BG1211" s="81"/>
      <c r="BH1211" s="81"/>
      <c r="BI1211" s="81"/>
      <c r="BJ1211" s="81"/>
      <c r="BK1211" s="81"/>
      <c r="BL1211" s="81"/>
      <c r="BM1211" s="81"/>
      <c r="BN1211" s="66"/>
      <c r="BO1211" s="66"/>
      <c r="BP1211" s="66"/>
      <c r="BQ1211" s="66" t="str">
        <f>PROPER(TEXT(Prog_23[[#This Row],[PROGRAMAÇÃO CLIENTE]],"mmm"))</f>
        <v>Jan</v>
      </c>
      <c r="BR1211" s="66">
        <f>YEAR(Prog_23[[#This Row],[PROGRAMAÇÃO CLIENTE]])</f>
        <v>1900</v>
      </c>
    </row>
    <row r="1212" spans="1:70" x14ac:dyDescent="0.25">
      <c r="A1212" s="201">
        <f>Prog_23[[#This Row],[CONTEINER]]</f>
        <v>0</v>
      </c>
      <c r="B1212" s="86"/>
      <c r="C12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12" s="44"/>
      <c r="E1212" s="66"/>
      <c r="F1212" s="66"/>
      <c r="G1212" s="66"/>
      <c r="H1212" s="44"/>
      <c r="I1212" s="44"/>
      <c r="J1212" s="66"/>
      <c r="K1212" s="66"/>
      <c r="L1212" s="66"/>
      <c r="M1212" s="66"/>
      <c r="N1212" s="66">
        <f>SUM(Prog_23[[#This Row],[TARA]]+Prog_23[[#This Row],[PESO]])</f>
        <v>0</v>
      </c>
      <c r="O1212" s="44"/>
      <c r="P1212" s="66"/>
      <c r="Q1212" s="66"/>
      <c r="R1212" s="66"/>
      <c r="S1212" s="66"/>
      <c r="T1212" s="138" t="str">
        <f>IFERROR(LOOKUP($S1212,MOTORISTAS!$D$3:$D$916,MOTORISTAS!E$3:$E$916),"")</f>
        <v/>
      </c>
      <c r="U1212" s="138" t="str">
        <f>IFERROR(LOOKUP($S1212,MOTORISTAS!$D$3:$D$916,MOTORISTAS!F$3:$F$916),"")</f>
        <v/>
      </c>
      <c r="V1212" s="66"/>
      <c r="W1212" s="66"/>
      <c r="X1212" s="66"/>
      <c r="Y1212" s="66"/>
      <c r="Z1212" s="66"/>
      <c r="AA1212" s="66"/>
      <c r="AB1212" s="66"/>
      <c r="AC1212" s="66"/>
      <c r="AD1212" s="66"/>
      <c r="AE1212" s="66"/>
      <c r="AF1212" s="44"/>
      <c r="AG1212" s="254">
        <f>Prog_23[[#This Row],[SAÍDA DO CLIENTE]]-Prog_23[[#This Row],[PROGRAMAÇÃO CLIENTE]]</f>
        <v>0</v>
      </c>
      <c r="AH1212" s="44"/>
      <c r="AI1212" s="66"/>
      <c r="AJ1212" s="66"/>
      <c r="AK1212" s="66"/>
      <c r="AL1212" s="66"/>
      <c r="AM1212" s="66"/>
      <c r="AN1212" s="83"/>
      <c r="AO1212" s="83"/>
      <c r="AP1212" s="83"/>
      <c r="AQ1212" s="66"/>
      <c r="AR1212" s="66"/>
      <c r="AS1212" s="66"/>
      <c r="AT1212" s="81"/>
      <c r="AU1212" s="81"/>
      <c r="AV1212" s="81"/>
      <c r="AW1212" s="81"/>
      <c r="AX1212" s="83">
        <f>SUM(Prog_23[[#This Row],[ADIANTAMENTO]]+Prog_23[[#This Row],[SALDO]]+Prog_23[[#This Row],[MARGEM]]+Prog_23[[#This Row],[ESTADIA 1]])</f>
        <v>0</v>
      </c>
      <c r="AY12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12" s="81"/>
      <c r="BA1212" s="81"/>
      <c r="BB1212" s="81">
        <f>Prog_23[[#This Row],[VLR NF]]*0.1%</f>
        <v>0</v>
      </c>
      <c r="BC1212" s="81">
        <f>Prog_23[[#This Row],[VLR NF]]*0.05%</f>
        <v>0</v>
      </c>
      <c r="BD1212" s="81"/>
      <c r="BE1212" s="81"/>
      <c r="BF1212" s="81"/>
      <c r="BG1212" s="81"/>
      <c r="BH1212" s="81"/>
      <c r="BI1212" s="81"/>
      <c r="BJ1212" s="81"/>
      <c r="BK1212" s="81"/>
      <c r="BL1212" s="81"/>
      <c r="BM1212" s="81"/>
      <c r="BN1212" s="66"/>
      <c r="BO1212" s="66"/>
      <c r="BP1212" s="66"/>
      <c r="BQ1212" s="66" t="str">
        <f>PROPER(TEXT(Prog_23[[#This Row],[PROGRAMAÇÃO CLIENTE]],"mmm"))</f>
        <v>Jan</v>
      </c>
      <c r="BR1212" s="66">
        <f>YEAR(Prog_23[[#This Row],[PROGRAMAÇÃO CLIENTE]])</f>
        <v>1900</v>
      </c>
    </row>
    <row r="1213" spans="1:70" x14ac:dyDescent="0.25">
      <c r="A1213" s="200">
        <f>Prog_23[[#This Row],[CONTEINER]]</f>
        <v>0</v>
      </c>
      <c r="B1213" s="86"/>
      <c r="C12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13" s="44"/>
      <c r="E1213" s="66"/>
      <c r="F1213" s="66"/>
      <c r="G1213" s="66"/>
      <c r="H1213" s="44"/>
      <c r="I1213" s="44"/>
      <c r="J1213" s="66"/>
      <c r="K1213" s="66"/>
      <c r="L1213" s="66"/>
      <c r="M1213" s="66"/>
      <c r="N1213" s="66">
        <f>SUM(Prog_23[[#This Row],[TARA]]+Prog_23[[#This Row],[PESO]])</f>
        <v>0</v>
      </c>
      <c r="O1213" s="44"/>
      <c r="P1213" s="66"/>
      <c r="Q1213" s="66"/>
      <c r="R1213" s="66"/>
      <c r="S1213" s="66"/>
      <c r="T1213" s="138" t="str">
        <f>IFERROR(LOOKUP($S1213,MOTORISTAS!$D$3:$D$916,MOTORISTAS!E$3:$E$916),"")</f>
        <v/>
      </c>
      <c r="U1213" s="138" t="str">
        <f>IFERROR(LOOKUP($S1213,MOTORISTAS!$D$3:$D$916,MOTORISTAS!F$3:$F$916),"")</f>
        <v/>
      </c>
      <c r="V1213" s="66"/>
      <c r="W1213" s="66"/>
      <c r="X1213" s="66"/>
      <c r="Y1213" s="66"/>
      <c r="Z1213" s="66"/>
      <c r="AA1213" s="66"/>
      <c r="AB1213" s="66"/>
      <c r="AC1213" s="66"/>
      <c r="AD1213" s="66"/>
      <c r="AE1213" s="66"/>
      <c r="AF1213" s="44"/>
      <c r="AG1213" s="254">
        <f>Prog_23[[#This Row],[SAÍDA DO CLIENTE]]-Prog_23[[#This Row],[PROGRAMAÇÃO CLIENTE]]</f>
        <v>0</v>
      </c>
      <c r="AH1213" s="44"/>
      <c r="AI1213" s="66"/>
      <c r="AJ1213" s="66"/>
      <c r="AK1213" s="66"/>
      <c r="AL1213" s="66"/>
      <c r="AM1213" s="66"/>
      <c r="AN1213" s="83"/>
      <c r="AO1213" s="83"/>
      <c r="AP1213" s="83"/>
      <c r="AQ1213" s="66"/>
      <c r="AR1213" s="66"/>
      <c r="AS1213" s="66"/>
      <c r="AT1213" s="81"/>
      <c r="AU1213" s="81"/>
      <c r="AV1213" s="81"/>
      <c r="AW1213" s="81"/>
      <c r="AX1213" s="83">
        <f>SUM(Prog_23[[#This Row],[ADIANTAMENTO]]+Prog_23[[#This Row],[SALDO]]+Prog_23[[#This Row],[MARGEM]]+Prog_23[[#This Row],[ESTADIA 1]])</f>
        <v>0</v>
      </c>
      <c r="AY12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13" s="81"/>
      <c r="BA1213" s="81"/>
      <c r="BB1213" s="81">
        <f>Prog_23[[#This Row],[VLR NF]]*0.1%</f>
        <v>0</v>
      </c>
      <c r="BC1213" s="81">
        <f>Prog_23[[#This Row],[VLR NF]]*0.05%</f>
        <v>0</v>
      </c>
      <c r="BD1213" s="81"/>
      <c r="BE1213" s="81"/>
      <c r="BF1213" s="81"/>
      <c r="BG1213" s="81"/>
      <c r="BH1213" s="81"/>
      <c r="BI1213" s="81"/>
      <c r="BJ1213" s="81"/>
      <c r="BK1213" s="81"/>
      <c r="BL1213" s="81"/>
      <c r="BM1213" s="81"/>
      <c r="BN1213" s="66"/>
      <c r="BO1213" s="66"/>
      <c r="BP1213" s="66"/>
      <c r="BQ1213" s="66" t="str">
        <f>PROPER(TEXT(Prog_23[[#This Row],[PROGRAMAÇÃO CLIENTE]],"mmm"))</f>
        <v>Jan</v>
      </c>
      <c r="BR1213" s="66">
        <f>YEAR(Prog_23[[#This Row],[PROGRAMAÇÃO CLIENTE]])</f>
        <v>1900</v>
      </c>
    </row>
    <row r="1214" spans="1:70" x14ac:dyDescent="0.25">
      <c r="A1214" s="201">
        <f>Prog_23[[#This Row],[CONTEINER]]</f>
        <v>0</v>
      </c>
      <c r="B1214" s="86"/>
      <c r="C12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14" s="44"/>
      <c r="E1214" s="66"/>
      <c r="F1214" s="66"/>
      <c r="G1214" s="66"/>
      <c r="H1214" s="44"/>
      <c r="I1214" s="44"/>
      <c r="J1214" s="66"/>
      <c r="K1214" s="66"/>
      <c r="L1214" s="66"/>
      <c r="M1214" s="66"/>
      <c r="N1214" s="66">
        <f>SUM(Prog_23[[#This Row],[TARA]]+Prog_23[[#This Row],[PESO]])</f>
        <v>0</v>
      </c>
      <c r="O1214" s="44"/>
      <c r="P1214" s="66"/>
      <c r="Q1214" s="66"/>
      <c r="R1214" s="66"/>
      <c r="S1214" s="66"/>
      <c r="T1214" s="138" t="str">
        <f>IFERROR(LOOKUP($S1214,MOTORISTAS!$D$3:$D$916,MOTORISTAS!E$3:$E$916),"")</f>
        <v/>
      </c>
      <c r="U1214" s="138" t="str">
        <f>IFERROR(LOOKUP($S1214,MOTORISTAS!$D$3:$D$916,MOTORISTAS!F$3:$F$916),"")</f>
        <v/>
      </c>
      <c r="V1214" s="66"/>
      <c r="W1214" s="66"/>
      <c r="X1214" s="66"/>
      <c r="Y1214" s="66"/>
      <c r="Z1214" s="66"/>
      <c r="AA1214" s="66"/>
      <c r="AB1214" s="66"/>
      <c r="AC1214" s="66"/>
      <c r="AD1214" s="66"/>
      <c r="AE1214" s="66"/>
      <c r="AF1214" s="44"/>
      <c r="AG1214" s="254">
        <f>Prog_23[[#This Row],[SAÍDA DO CLIENTE]]-Prog_23[[#This Row],[PROGRAMAÇÃO CLIENTE]]</f>
        <v>0</v>
      </c>
      <c r="AH1214" s="44"/>
      <c r="AI1214" s="66"/>
      <c r="AJ1214" s="66"/>
      <c r="AK1214" s="66"/>
      <c r="AL1214" s="66"/>
      <c r="AM1214" s="66"/>
      <c r="AN1214" s="83"/>
      <c r="AO1214" s="83"/>
      <c r="AP1214" s="83"/>
      <c r="AQ1214" s="66"/>
      <c r="AR1214" s="66"/>
      <c r="AS1214" s="66"/>
      <c r="AT1214" s="81"/>
      <c r="AU1214" s="81"/>
      <c r="AV1214" s="81"/>
      <c r="AW1214" s="81"/>
      <c r="AX1214" s="83">
        <f>SUM(Prog_23[[#This Row],[ADIANTAMENTO]]+Prog_23[[#This Row],[SALDO]]+Prog_23[[#This Row],[MARGEM]]+Prog_23[[#This Row],[ESTADIA 1]])</f>
        <v>0</v>
      </c>
      <c r="AY12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14" s="81"/>
      <c r="BA1214" s="81"/>
      <c r="BB1214" s="81">
        <f>Prog_23[[#This Row],[VLR NF]]*0.1%</f>
        <v>0</v>
      </c>
      <c r="BC1214" s="81">
        <f>Prog_23[[#This Row],[VLR NF]]*0.05%</f>
        <v>0</v>
      </c>
      <c r="BD1214" s="81"/>
      <c r="BE1214" s="81"/>
      <c r="BF1214" s="81"/>
      <c r="BG1214" s="81"/>
      <c r="BH1214" s="81"/>
      <c r="BI1214" s="81"/>
      <c r="BJ1214" s="81"/>
      <c r="BK1214" s="81"/>
      <c r="BL1214" s="81"/>
      <c r="BM1214" s="81"/>
      <c r="BN1214" s="66"/>
      <c r="BO1214" s="66"/>
      <c r="BP1214" s="66"/>
      <c r="BQ1214" s="66" t="str">
        <f>PROPER(TEXT(Prog_23[[#This Row],[PROGRAMAÇÃO CLIENTE]],"mmm"))</f>
        <v>Jan</v>
      </c>
      <c r="BR1214" s="66">
        <f>YEAR(Prog_23[[#This Row],[PROGRAMAÇÃO CLIENTE]])</f>
        <v>1900</v>
      </c>
    </row>
    <row r="1215" spans="1:70" x14ac:dyDescent="0.25">
      <c r="A1215" s="200">
        <f>Prog_23[[#This Row],[CONTEINER]]</f>
        <v>0</v>
      </c>
      <c r="B1215" s="86"/>
      <c r="C12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15" s="44"/>
      <c r="E1215" s="66"/>
      <c r="F1215" s="66"/>
      <c r="G1215" s="66"/>
      <c r="H1215" s="44"/>
      <c r="I1215" s="44"/>
      <c r="J1215" s="66"/>
      <c r="K1215" s="66"/>
      <c r="L1215" s="66"/>
      <c r="M1215" s="66"/>
      <c r="N1215" s="66">
        <f>SUM(Prog_23[[#This Row],[TARA]]+Prog_23[[#This Row],[PESO]])</f>
        <v>0</v>
      </c>
      <c r="O1215" s="44"/>
      <c r="P1215" s="66"/>
      <c r="Q1215" s="66"/>
      <c r="R1215" s="66"/>
      <c r="S1215" s="66"/>
      <c r="T1215" s="138" t="str">
        <f>IFERROR(LOOKUP($S1215,MOTORISTAS!$D$3:$D$916,MOTORISTAS!E$3:$E$916),"")</f>
        <v/>
      </c>
      <c r="U1215" s="138" t="str">
        <f>IFERROR(LOOKUP($S1215,MOTORISTAS!$D$3:$D$916,MOTORISTAS!F$3:$F$916),"")</f>
        <v/>
      </c>
      <c r="V1215" s="66"/>
      <c r="W1215" s="66"/>
      <c r="X1215" s="66"/>
      <c r="Y1215" s="66"/>
      <c r="Z1215" s="66"/>
      <c r="AA1215" s="66"/>
      <c r="AB1215" s="66"/>
      <c r="AC1215" s="66"/>
      <c r="AD1215" s="66"/>
      <c r="AE1215" s="66"/>
      <c r="AF1215" s="44"/>
      <c r="AG1215" s="254">
        <f>Prog_23[[#This Row],[SAÍDA DO CLIENTE]]-Prog_23[[#This Row],[PROGRAMAÇÃO CLIENTE]]</f>
        <v>0</v>
      </c>
      <c r="AH1215" s="44"/>
      <c r="AI1215" s="66"/>
      <c r="AJ1215" s="66"/>
      <c r="AK1215" s="66"/>
      <c r="AL1215" s="66"/>
      <c r="AM1215" s="66"/>
      <c r="AN1215" s="83"/>
      <c r="AO1215" s="83"/>
      <c r="AP1215" s="83"/>
      <c r="AQ1215" s="66"/>
      <c r="AR1215" s="66"/>
      <c r="AS1215" s="66"/>
      <c r="AT1215" s="81"/>
      <c r="AU1215" s="81"/>
      <c r="AV1215" s="81"/>
      <c r="AW1215" s="81"/>
      <c r="AX1215" s="83">
        <f>SUM(Prog_23[[#This Row],[ADIANTAMENTO]]+Prog_23[[#This Row],[SALDO]]+Prog_23[[#This Row],[MARGEM]]+Prog_23[[#This Row],[ESTADIA 1]])</f>
        <v>0</v>
      </c>
      <c r="AY12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15" s="81"/>
      <c r="BA1215" s="81"/>
      <c r="BB1215" s="81">
        <f>Prog_23[[#This Row],[VLR NF]]*0.1%</f>
        <v>0</v>
      </c>
      <c r="BC1215" s="81">
        <f>Prog_23[[#This Row],[VLR NF]]*0.05%</f>
        <v>0</v>
      </c>
      <c r="BD1215" s="81"/>
      <c r="BE1215" s="81"/>
      <c r="BF1215" s="81"/>
      <c r="BG1215" s="81"/>
      <c r="BH1215" s="81"/>
      <c r="BI1215" s="81"/>
      <c r="BJ1215" s="81"/>
      <c r="BK1215" s="81"/>
      <c r="BL1215" s="81"/>
      <c r="BM1215" s="81"/>
      <c r="BN1215" s="66"/>
      <c r="BO1215" s="66"/>
      <c r="BP1215" s="66"/>
      <c r="BQ1215" s="66" t="str">
        <f>PROPER(TEXT(Prog_23[[#This Row],[PROGRAMAÇÃO CLIENTE]],"mmm"))</f>
        <v>Jan</v>
      </c>
      <c r="BR1215" s="66">
        <f>YEAR(Prog_23[[#This Row],[PROGRAMAÇÃO CLIENTE]])</f>
        <v>1900</v>
      </c>
    </row>
    <row r="1216" spans="1:70" x14ac:dyDescent="0.25">
      <c r="A1216" s="201">
        <f>Prog_23[[#This Row],[CONTEINER]]</f>
        <v>0</v>
      </c>
      <c r="B1216" s="86"/>
      <c r="C12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16" s="44"/>
      <c r="E1216" s="66"/>
      <c r="F1216" s="66"/>
      <c r="G1216" s="66"/>
      <c r="H1216" s="44"/>
      <c r="I1216" s="44"/>
      <c r="J1216" s="66"/>
      <c r="K1216" s="66"/>
      <c r="L1216" s="66"/>
      <c r="M1216" s="66"/>
      <c r="N1216" s="66">
        <f>SUM(Prog_23[[#This Row],[TARA]]+Prog_23[[#This Row],[PESO]])</f>
        <v>0</v>
      </c>
      <c r="O1216" s="44"/>
      <c r="P1216" s="66"/>
      <c r="Q1216" s="66"/>
      <c r="R1216" s="66"/>
      <c r="S1216" s="66"/>
      <c r="T1216" s="138" t="str">
        <f>IFERROR(LOOKUP($S1216,MOTORISTAS!$D$3:$D$916,MOTORISTAS!E$3:$E$916),"")</f>
        <v/>
      </c>
      <c r="U1216" s="138" t="str">
        <f>IFERROR(LOOKUP($S1216,MOTORISTAS!$D$3:$D$916,MOTORISTAS!F$3:$F$916),"")</f>
        <v/>
      </c>
      <c r="V1216" s="66"/>
      <c r="W1216" s="66"/>
      <c r="X1216" s="66"/>
      <c r="Y1216" s="66"/>
      <c r="Z1216" s="66"/>
      <c r="AA1216" s="66"/>
      <c r="AB1216" s="66"/>
      <c r="AC1216" s="66"/>
      <c r="AD1216" s="66"/>
      <c r="AE1216" s="66"/>
      <c r="AF1216" s="44"/>
      <c r="AG1216" s="254">
        <f>Prog_23[[#This Row],[SAÍDA DO CLIENTE]]-Prog_23[[#This Row],[PROGRAMAÇÃO CLIENTE]]</f>
        <v>0</v>
      </c>
      <c r="AH1216" s="44"/>
      <c r="AI1216" s="66"/>
      <c r="AJ1216" s="66"/>
      <c r="AK1216" s="66"/>
      <c r="AL1216" s="66"/>
      <c r="AM1216" s="66"/>
      <c r="AN1216" s="83"/>
      <c r="AO1216" s="83"/>
      <c r="AP1216" s="83"/>
      <c r="AQ1216" s="66"/>
      <c r="AR1216" s="66"/>
      <c r="AS1216" s="66"/>
      <c r="AT1216" s="81"/>
      <c r="AU1216" s="81"/>
      <c r="AV1216" s="81"/>
      <c r="AW1216" s="81"/>
      <c r="AX1216" s="83">
        <f>SUM(Prog_23[[#This Row],[ADIANTAMENTO]]+Prog_23[[#This Row],[SALDO]]+Prog_23[[#This Row],[MARGEM]]+Prog_23[[#This Row],[ESTADIA 1]])</f>
        <v>0</v>
      </c>
      <c r="AY12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16" s="81"/>
      <c r="BA1216" s="81"/>
      <c r="BB1216" s="81">
        <f>Prog_23[[#This Row],[VLR NF]]*0.1%</f>
        <v>0</v>
      </c>
      <c r="BC1216" s="81">
        <f>Prog_23[[#This Row],[VLR NF]]*0.05%</f>
        <v>0</v>
      </c>
      <c r="BD1216" s="81"/>
      <c r="BE1216" s="81"/>
      <c r="BF1216" s="81"/>
      <c r="BG1216" s="81"/>
      <c r="BH1216" s="81"/>
      <c r="BI1216" s="81"/>
      <c r="BJ1216" s="81"/>
      <c r="BK1216" s="81"/>
      <c r="BL1216" s="81"/>
      <c r="BM1216" s="81"/>
      <c r="BN1216" s="66"/>
      <c r="BO1216" s="66"/>
      <c r="BP1216" s="66"/>
      <c r="BQ1216" s="66" t="str">
        <f>PROPER(TEXT(Prog_23[[#This Row],[PROGRAMAÇÃO CLIENTE]],"mmm"))</f>
        <v>Jan</v>
      </c>
      <c r="BR1216" s="66">
        <f>YEAR(Prog_23[[#This Row],[PROGRAMAÇÃO CLIENTE]])</f>
        <v>1900</v>
      </c>
    </row>
    <row r="1217" spans="1:70" x14ac:dyDescent="0.25">
      <c r="A1217" s="200">
        <f>Prog_23[[#This Row],[CONTEINER]]</f>
        <v>0</v>
      </c>
      <c r="B1217" s="86"/>
      <c r="C12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17" s="44"/>
      <c r="E1217" s="66"/>
      <c r="F1217" s="66"/>
      <c r="G1217" s="66"/>
      <c r="H1217" s="44"/>
      <c r="I1217" s="44"/>
      <c r="J1217" s="66"/>
      <c r="K1217" s="66"/>
      <c r="L1217" s="66"/>
      <c r="M1217" s="66"/>
      <c r="N1217" s="66">
        <f>SUM(Prog_23[[#This Row],[TARA]]+Prog_23[[#This Row],[PESO]])</f>
        <v>0</v>
      </c>
      <c r="O1217" s="44"/>
      <c r="P1217" s="66"/>
      <c r="Q1217" s="66"/>
      <c r="R1217" s="66"/>
      <c r="S1217" s="66"/>
      <c r="T1217" s="138" t="str">
        <f>IFERROR(LOOKUP($S1217,MOTORISTAS!$D$3:$D$916,MOTORISTAS!E$3:$E$916),"")</f>
        <v/>
      </c>
      <c r="U1217" s="138" t="str">
        <f>IFERROR(LOOKUP($S1217,MOTORISTAS!$D$3:$D$916,MOTORISTAS!F$3:$F$916),"")</f>
        <v/>
      </c>
      <c r="V1217" s="66"/>
      <c r="W1217" s="66"/>
      <c r="X1217" s="66"/>
      <c r="Y1217" s="66"/>
      <c r="Z1217" s="66"/>
      <c r="AA1217" s="66"/>
      <c r="AB1217" s="66"/>
      <c r="AC1217" s="66"/>
      <c r="AD1217" s="66"/>
      <c r="AE1217" s="66"/>
      <c r="AF1217" s="44"/>
      <c r="AG1217" s="254">
        <f>Prog_23[[#This Row],[SAÍDA DO CLIENTE]]-Prog_23[[#This Row],[PROGRAMAÇÃO CLIENTE]]</f>
        <v>0</v>
      </c>
      <c r="AH1217" s="44"/>
      <c r="AI1217" s="66"/>
      <c r="AJ1217" s="66"/>
      <c r="AK1217" s="66"/>
      <c r="AL1217" s="66"/>
      <c r="AM1217" s="66"/>
      <c r="AN1217" s="83"/>
      <c r="AO1217" s="83"/>
      <c r="AP1217" s="83"/>
      <c r="AQ1217" s="66"/>
      <c r="AR1217" s="66"/>
      <c r="AS1217" s="66"/>
      <c r="AT1217" s="81"/>
      <c r="AU1217" s="81"/>
      <c r="AV1217" s="81"/>
      <c r="AW1217" s="81"/>
      <c r="AX1217" s="83">
        <f>SUM(Prog_23[[#This Row],[ADIANTAMENTO]]+Prog_23[[#This Row],[SALDO]]+Prog_23[[#This Row],[MARGEM]]+Prog_23[[#This Row],[ESTADIA 1]])</f>
        <v>0</v>
      </c>
      <c r="AY12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17" s="81"/>
      <c r="BA1217" s="81"/>
      <c r="BB1217" s="81">
        <f>Prog_23[[#This Row],[VLR NF]]*0.1%</f>
        <v>0</v>
      </c>
      <c r="BC1217" s="81">
        <f>Prog_23[[#This Row],[VLR NF]]*0.05%</f>
        <v>0</v>
      </c>
      <c r="BD1217" s="81"/>
      <c r="BE1217" s="81"/>
      <c r="BF1217" s="81"/>
      <c r="BG1217" s="81"/>
      <c r="BH1217" s="81"/>
      <c r="BI1217" s="81"/>
      <c r="BJ1217" s="81"/>
      <c r="BK1217" s="81"/>
      <c r="BL1217" s="81"/>
      <c r="BM1217" s="81"/>
      <c r="BN1217" s="66"/>
      <c r="BO1217" s="66"/>
      <c r="BP1217" s="66"/>
      <c r="BQ1217" s="66" t="str">
        <f>PROPER(TEXT(Prog_23[[#This Row],[PROGRAMAÇÃO CLIENTE]],"mmm"))</f>
        <v>Jan</v>
      </c>
      <c r="BR1217" s="66">
        <f>YEAR(Prog_23[[#This Row],[PROGRAMAÇÃO CLIENTE]])</f>
        <v>1900</v>
      </c>
    </row>
    <row r="1218" spans="1:70" x14ac:dyDescent="0.25">
      <c r="A1218" s="201">
        <f>Prog_23[[#This Row],[CONTEINER]]</f>
        <v>0</v>
      </c>
      <c r="B1218" s="86"/>
      <c r="C12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18" s="44"/>
      <c r="E1218" s="66"/>
      <c r="F1218" s="66"/>
      <c r="G1218" s="66"/>
      <c r="H1218" s="44"/>
      <c r="I1218" s="44"/>
      <c r="J1218" s="66"/>
      <c r="K1218" s="66"/>
      <c r="L1218" s="66"/>
      <c r="M1218" s="66"/>
      <c r="N1218" s="66">
        <f>SUM(Prog_23[[#This Row],[TARA]]+Prog_23[[#This Row],[PESO]])</f>
        <v>0</v>
      </c>
      <c r="O1218" s="44"/>
      <c r="P1218" s="66"/>
      <c r="Q1218" s="66"/>
      <c r="R1218" s="66"/>
      <c r="S1218" s="66"/>
      <c r="T1218" s="138" t="str">
        <f>IFERROR(LOOKUP($S1218,MOTORISTAS!$D$3:$D$916,MOTORISTAS!E$3:$E$916),"")</f>
        <v/>
      </c>
      <c r="U1218" s="138" t="str">
        <f>IFERROR(LOOKUP($S1218,MOTORISTAS!$D$3:$D$916,MOTORISTAS!F$3:$F$916),"")</f>
        <v/>
      </c>
      <c r="V1218" s="66"/>
      <c r="W1218" s="66"/>
      <c r="X1218" s="66"/>
      <c r="Y1218" s="66"/>
      <c r="Z1218" s="66"/>
      <c r="AA1218" s="66"/>
      <c r="AB1218" s="66"/>
      <c r="AC1218" s="66"/>
      <c r="AD1218" s="66"/>
      <c r="AE1218" s="66"/>
      <c r="AF1218" s="44"/>
      <c r="AG1218" s="254">
        <f>Prog_23[[#This Row],[SAÍDA DO CLIENTE]]-Prog_23[[#This Row],[PROGRAMAÇÃO CLIENTE]]</f>
        <v>0</v>
      </c>
      <c r="AH1218" s="44"/>
      <c r="AI1218" s="66"/>
      <c r="AJ1218" s="66"/>
      <c r="AK1218" s="66"/>
      <c r="AL1218" s="66"/>
      <c r="AM1218" s="66"/>
      <c r="AN1218" s="83"/>
      <c r="AO1218" s="83"/>
      <c r="AP1218" s="83"/>
      <c r="AQ1218" s="66"/>
      <c r="AR1218" s="66"/>
      <c r="AS1218" s="66"/>
      <c r="AT1218" s="81"/>
      <c r="AU1218" s="81"/>
      <c r="AV1218" s="81"/>
      <c r="AW1218" s="81"/>
      <c r="AX1218" s="83">
        <f>SUM(Prog_23[[#This Row],[ADIANTAMENTO]]+Prog_23[[#This Row],[SALDO]]+Prog_23[[#This Row],[MARGEM]]+Prog_23[[#This Row],[ESTADIA 1]])</f>
        <v>0</v>
      </c>
      <c r="AY12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18" s="81"/>
      <c r="BA1218" s="81"/>
      <c r="BB1218" s="81">
        <f>Prog_23[[#This Row],[VLR NF]]*0.1%</f>
        <v>0</v>
      </c>
      <c r="BC1218" s="81">
        <f>Prog_23[[#This Row],[VLR NF]]*0.05%</f>
        <v>0</v>
      </c>
      <c r="BD1218" s="81"/>
      <c r="BE1218" s="81"/>
      <c r="BF1218" s="81"/>
      <c r="BG1218" s="81"/>
      <c r="BH1218" s="81"/>
      <c r="BI1218" s="81"/>
      <c r="BJ1218" s="81"/>
      <c r="BK1218" s="81"/>
      <c r="BL1218" s="81"/>
      <c r="BM1218" s="81"/>
      <c r="BN1218" s="66"/>
      <c r="BO1218" s="66"/>
      <c r="BP1218" s="66"/>
      <c r="BQ1218" s="66" t="str">
        <f>PROPER(TEXT(Prog_23[[#This Row],[PROGRAMAÇÃO CLIENTE]],"mmm"))</f>
        <v>Jan</v>
      </c>
      <c r="BR1218" s="66">
        <f>YEAR(Prog_23[[#This Row],[PROGRAMAÇÃO CLIENTE]])</f>
        <v>1900</v>
      </c>
    </row>
    <row r="1219" spans="1:70" x14ac:dyDescent="0.25">
      <c r="A1219" s="200">
        <f>Prog_23[[#This Row],[CONTEINER]]</f>
        <v>0</v>
      </c>
      <c r="B1219" s="86"/>
      <c r="C12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19" s="44"/>
      <c r="E1219" s="66"/>
      <c r="F1219" s="66"/>
      <c r="G1219" s="66"/>
      <c r="H1219" s="44"/>
      <c r="I1219" s="44"/>
      <c r="J1219" s="66"/>
      <c r="K1219" s="66"/>
      <c r="L1219" s="66"/>
      <c r="M1219" s="66"/>
      <c r="N1219" s="66">
        <f>SUM(Prog_23[[#This Row],[TARA]]+Prog_23[[#This Row],[PESO]])</f>
        <v>0</v>
      </c>
      <c r="O1219" s="44"/>
      <c r="P1219" s="66"/>
      <c r="Q1219" s="66"/>
      <c r="R1219" s="66"/>
      <c r="S1219" s="66"/>
      <c r="T1219" s="138" t="str">
        <f>IFERROR(LOOKUP($S1219,MOTORISTAS!$D$3:$D$916,MOTORISTAS!E$3:$E$916),"")</f>
        <v/>
      </c>
      <c r="U1219" s="138" t="str">
        <f>IFERROR(LOOKUP($S1219,MOTORISTAS!$D$3:$D$916,MOTORISTAS!F$3:$F$916),"")</f>
        <v/>
      </c>
      <c r="V1219" s="66"/>
      <c r="W1219" s="66"/>
      <c r="X1219" s="66"/>
      <c r="Y1219" s="66"/>
      <c r="Z1219" s="66"/>
      <c r="AA1219" s="66"/>
      <c r="AB1219" s="66"/>
      <c r="AC1219" s="66"/>
      <c r="AD1219" s="66"/>
      <c r="AE1219" s="66"/>
      <c r="AF1219" s="44"/>
      <c r="AG1219" s="254">
        <f>Prog_23[[#This Row],[SAÍDA DO CLIENTE]]-Prog_23[[#This Row],[PROGRAMAÇÃO CLIENTE]]</f>
        <v>0</v>
      </c>
      <c r="AH1219" s="44"/>
      <c r="AI1219" s="66"/>
      <c r="AJ1219" s="66"/>
      <c r="AK1219" s="66"/>
      <c r="AL1219" s="66"/>
      <c r="AM1219" s="66"/>
      <c r="AN1219" s="83"/>
      <c r="AO1219" s="83"/>
      <c r="AP1219" s="83"/>
      <c r="AQ1219" s="66"/>
      <c r="AR1219" s="66"/>
      <c r="AS1219" s="66"/>
      <c r="AT1219" s="81"/>
      <c r="AU1219" s="81"/>
      <c r="AV1219" s="81"/>
      <c r="AW1219" s="81"/>
      <c r="AX1219" s="83">
        <f>SUM(Prog_23[[#This Row],[ADIANTAMENTO]]+Prog_23[[#This Row],[SALDO]]+Prog_23[[#This Row],[MARGEM]]+Prog_23[[#This Row],[ESTADIA 1]])</f>
        <v>0</v>
      </c>
      <c r="AY12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19" s="81"/>
      <c r="BA1219" s="81"/>
      <c r="BB1219" s="81">
        <f>Prog_23[[#This Row],[VLR NF]]*0.1%</f>
        <v>0</v>
      </c>
      <c r="BC1219" s="81">
        <f>Prog_23[[#This Row],[VLR NF]]*0.05%</f>
        <v>0</v>
      </c>
      <c r="BD1219" s="81"/>
      <c r="BE1219" s="81"/>
      <c r="BF1219" s="81"/>
      <c r="BG1219" s="81"/>
      <c r="BH1219" s="81"/>
      <c r="BI1219" s="81"/>
      <c r="BJ1219" s="81"/>
      <c r="BK1219" s="81"/>
      <c r="BL1219" s="81"/>
      <c r="BM1219" s="81"/>
      <c r="BN1219" s="66"/>
      <c r="BO1219" s="66"/>
      <c r="BP1219" s="66"/>
      <c r="BQ1219" s="66" t="str">
        <f>PROPER(TEXT(Prog_23[[#This Row],[PROGRAMAÇÃO CLIENTE]],"mmm"))</f>
        <v>Jan</v>
      </c>
      <c r="BR1219" s="66">
        <f>YEAR(Prog_23[[#This Row],[PROGRAMAÇÃO CLIENTE]])</f>
        <v>1900</v>
      </c>
    </row>
    <row r="1220" spans="1:70" x14ac:dyDescent="0.25">
      <c r="A1220" s="201">
        <f>Prog_23[[#This Row],[CONTEINER]]</f>
        <v>0</v>
      </c>
      <c r="B1220" s="86"/>
      <c r="C12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20" s="44"/>
      <c r="E1220" s="66"/>
      <c r="F1220" s="66"/>
      <c r="G1220" s="66"/>
      <c r="H1220" s="44"/>
      <c r="I1220" s="44"/>
      <c r="J1220" s="66"/>
      <c r="K1220" s="66"/>
      <c r="L1220" s="66"/>
      <c r="M1220" s="66"/>
      <c r="N1220" s="66">
        <f>SUM(Prog_23[[#This Row],[TARA]]+Prog_23[[#This Row],[PESO]])</f>
        <v>0</v>
      </c>
      <c r="O1220" s="44"/>
      <c r="P1220" s="66"/>
      <c r="Q1220" s="66"/>
      <c r="R1220" s="66"/>
      <c r="S1220" s="66"/>
      <c r="T1220" s="138" t="str">
        <f>IFERROR(LOOKUP($S1220,MOTORISTAS!$D$3:$D$916,MOTORISTAS!E$3:$E$916),"")</f>
        <v/>
      </c>
      <c r="U1220" s="138" t="str">
        <f>IFERROR(LOOKUP($S1220,MOTORISTAS!$D$3:$D$916,MOTORISTAS!F$3:$F$916),"")</f>
        <v/>
      </c>
      <c r="V1220" s="66"/>
      <c r="W1220" s="66"/>
      <c r="X1220" s="66"/>
      <c r="Y1220" s="66"/>
      <c r="Z1220" s="66"/>
      <c r="AA1220" s="66"/>
      <c r="AB1220" s="66"/>
      <c r="AC1220" s="66"/>
      <c r="AD1220" s="66"/>
      <c r="AE1220" s="66"/>
      <c r="AF1220" s="44"/>
      <c r="AG1220" s="254">
        <f>Prog_23[[#This Row],[SAÍDA DO CLIENTE]]-Prog_23[[#This Row],[PROGRAMAÇÃO CLIENTE]]</f>
        <v>0</v>
      </c>
      <c r="AH1220" s="44"/>
      <c r="AI1220" s="66"/>
      <c r="AJ1220" s="66"/>
      <c r="AK1220" s="66"/>
      <c r="AL1220" s="66"/>
      <c r="AM1220" s="66"/>
      <c r="AN1220" s="83"/>
      <c r="AO1220" s="83"/>
      <c r="AP1220" s="83"/>
      <c r="AQ1220" s="66"/>
      <c r="AR1220" s="66"/>
      <c r="AS1220" s="66"/>
      <c r="AT1220" s="81"/>
      <c r="AU1220" s="81"/>
      <c r="AV1220" s="81"/>
      <c r="AW1220" s="81"/>
      <c r="AX1220" s="83">
        <f>SUM(Prog_23[[#This Row],[ADIANTAMENTO]]+Prog_23[[#This Row],[SALDO]]+Prog_23[[#This Row],[MARGEM]]+Prog_23[[#This Row],[ESTADIA 1]])</f>
        <v>0</v>
      </c>
      <c r="AY12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20" s="81"/>
      <c r="BA1220" s="81"/>
      <c r="BB1220" s="81">
        <f>Prog_23[[#This Row],[VLR NF]]*0.1%</f>
        <v>0</v>
      </c>
      <c r="BC1220" s="81">
        <f>Prog_23[[#This Row],[VLR NF]]*0.05%</f>
        <v>0</v>
      </c>
      <c r="BD1220" s="81"/>
      <c r="BE1220" s="81"/>
      <c r="BF1220" s="81"/>
      <c r="BG1220" s="81"/>
      <c r="BH1220" s="81"/>
      <c r="BI1220" s="81"/>
      <c r="BJ1220" s="81"/>
      <c r="BK1220" s="81"/>
      <c r="BL1220" s="81"/>
      <c r="BM1220" s="81"/>
      <c r="BN1220" s="66"/>
      <c r="BO1220" s="66"/>
      <c r="BP1220" s="66"/>
      <c r="BQ1220" s="66" t="str">
        <f>PROPER(TEXT(Prog_23[[#This Row],[PROGRAMAÇÃO CLIENTE]],"mmm"))</f>
        <v>Jan</v>
      </c>
      <c r="BR1220" s="66">
        <f>YEAR(Prog_23[[#This Row],[PROGRAMAÇÃO CLIENTE]])</f>
        <v>1900</v>
      </c>
    </row>
    <row r="1221" spans="1:70" x14ac:dyDescent="0.25">
      <c r="A1221" s="200">
        <f>Prog_23[[#This Row],[CONTEINER]]</f>
        <v>0</v>
      </c>
      <c r="B1221" s="86"/>
      <c r="C12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21" s="44"/>
      <c r="E1221" s="66"/>
      <c r="F1221" s="66"/>
      <c r="G1221" s="66"/>
      <c r="H1221" s="44"/>
      <c r="I1221" s="44"/>
      <c r="J1221" s="66"/>
      <c r="K1221" s="66"/>
      <c r="L1221" s="66"/>
      <c r="M1221" s="66"/>
      <c r="N1221" s="66">
        <f>SUM(Prog_23[[#This Row],[TARA]]+Prog_23[[#This Row],[PESO]])</f>
        <v>0</v>
      </c>
      <c r="O1221" s="44"/>
      <c r="P1221" s="66"/>
      <c r="Q1221" s="66"/>
      <c r="R1221" s="66"/>
      <c r="S1221" s="66"/>
      <c r="T1221" s="138" t="str">
        <f>IFERROR(LOOKUP($S1221,MOTORISTAS!$D$3:$D$916,MOTORISTAS!E$3:$E$916),"")</f>
        <v/>
      </c>
      <c r="U1221" s="138" t="str">
        <f>IFERROR(LOOKUP($S1221,MOTORISTAS!$D$3:$D$916,MOTORISTAS!F$3:$F$916),"")</f>
        <v/>
      </c>
      <c r="V1221" s="66"/>
      <c r="W1221" s="66"/>
      <c r="X1221" s="66"/>
      <c r="Y1221" s="66"/>
      <c r="Z1221" s="66"/>
      <c r="AA1221" s="66"/>
      <c r="AB1221" s="66"/>
      <c r="AC1221" s="66"/>
      <c r="AD1221" s="66"/>
      <c r="AE1221" s="66"/>
      <c r="AF1221" s="44"/>
      <c r="AG1221" s="254">
        <f>Prog_23[[#This Row],[SAÍDA DO CLIENTE]]-Prog_23[[#This Row],[PROGRAMAÇÃO CLIENTE]]</f>
        <v>0</v>
      </c>
      <c r="AH1221" s="44"/>
      <c r="AI1221" s="66"/>
      <c r="AJ1221" s="66"/>
      <c r="AK1221" s="66"/>
      <c r="AL1221" s="66"/>
      <c r="AM1221" s="66"/>
      <c r="AN1221" s="83"/>
      <c r="AO1221" s="83"/>
      <c r="AP1221" s="83"/>
      <c r="AQ1221" s="66"/>
      <c r="AR1221" s="66"/>
      <c r="AS1221" s="66"/>
      <c r="AT1221" s="81"/>
      <c r="AU1221" s="81"/>
      <c r="AV1221" s="81"/>
      <c r="AW1221" s="81"/>
      <c r="AX1221" s="83">
        <f>SUM(Prog_23[[#This Row],[ADIANTAMENTO]]+Prog_23[[#This Row],[SALDO]]+Prog_23[[#This Row],[MARGEM]]+Prog_23[[#This Row],[ESTADIA 1]])</f>
        <v>0</v>
      </c>
      <c r="AY12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21" s="81"/>
      <c r="BA1221" s="81"/>
      <c r="BB1221" s="81">
        <f>Prog_23[[#This Row],[VLR NF]]*0.1%</f>
        <v>0</v>
      </c>
      <c r="BC1221" s="81">
        <f>Prog_23[[#This Row],[VLR NF]]*0.05%</f>
        <v>0</v>
      </c>
      <c r="BD1221" s="81"/>
      <c r="BE1221" s="81"/>
      <c r="BF1221" s="81"/>
      <c r="BG1221" s="81"/>
      <c r="BH1221" s="81"/>
      <c r="BI1221" s="81"/>
      <c r="BJ1221" s="81"/>
      <c r="BK1221" s="81"/>
      <c r="BL1221" s="81"/>
      <c r="BM1221" s="81"/>
      <c r="BN1221" s="66"/>
      <c r="BO1221" s="66"/>
      <c r="BP1221" s="66"/>
      <c r="BQ1221" s="66" t="str">
        <f>PROPER(TEXT(Prog_23[[#This Row],[PROGRAMAÇÃO CLIENTE]],"mmm"))</f>
        <v>Jan</v>
      </c>
      <c r="BR1221" s="66">
        <f>YEAR(Prog_23[[#This Row],[PROGRAMAÇÃO CLIENTE]])</f>
        <v>1900</v>
      </c>
    </row>
    <row r="1222" spans="1:70" x14ac:dyDescent="0.25">
      <c r="A1222" s="201">
        <f>Prog_23[[#This Row],[CONTEINER]]</f>
        <v>0</v>
      </c>
      <c r="B1222" s="86"/>
      <c r="C12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22" s="44"/>
      <c r="E1222" s="66"/>
      <c r="F1222" s="66"/>
      <c r="G1222" s="66"/>
      <c r="H1222" s="44"/>
      <c r="I1222" s="44"/>
      <c r="J1222" s="66"/>
      <c r="K1222" s="66"/>
      <c r="L1222" s="66"/>
      <c r="M1222" s="66"/>
      <c r="N1222" s="66">
        <f>SUM(Prog_23[[#This Row],[TARA]]+Prog_23[[#This Row],[PESO]])</f>
        <v>0</v>
      </c>
      <c r="O1222" s="44"/>
      <c r="P1222" s="66"/>
      <c r="Q1222" s="66"/>
      <c r="R1222" s="66"/>
      <c r="S1222" s="66"/>
      <c r="T1222" s="138" t="str">
        <f>IFERROR(LOOKUP($S1222,MOTORISTAS!$D$3:$D$916,MOTORISTAS!E$3:$E$916),"")</f>
        <v/>
      </c>
      <c r="U1222" s="138" t="str">
        <f>IFERROR(LOOKUP($S1222,MOTORISTAS!$D$3:$D$916,MOTORISTAS!F$3:$F$916),"")</f>
        <v/>
      </c>
      <c r="V1222" s="66"/>
      <c r="W1222" s="66"/>
      <c r="X1222" s="66"/>
      <c r="Y1222" s="66"/>
      <c r="Z1222" s="66"/>
      <c r="AA1222" s="66"/>
      <c r="AB1222" s="66"/>
      <c r="AC1222" s="66"/>
      <c r="AD1222" s="66"/>
      <c r="AE1222" s="66"/>
      <c r="AF1222" s="44"/>
      <c r="AG1222" s="254">
        <f>Prog_23[[#This Row],[SAÍDA DO CLIENTE]]-Prog_23[[#This Row],[PROGRAMAÇÃO CLIENTE]]</f>
        <v>0</v>
      </c>
      <c r="AH1222" s="44"/>
      <c r="AI1222" s="66"/>
      <c r="AJ1222" s="66"/>
      <c r="AK1222" s="66"/>
      <c r="AL1222" s="66"/>
      <c r="AM1222" s="66"/>
      <c r="AN1222" s="83"/>
      <c r="AO1222" s="83"/>
      <c r="AP1222" s="83"/>
      <c r="AQ1222" s="66"/>
      <c r="AR1222" s="66"/>
      <c r="AS1222" s="66"/>
      <c r="AT1222" s="81"/>
      <c r="AU1222" s="81"/>
      <c r="AV1222" s="81"/>
      <c r="AW1222" s="81"/>
      <c r="AX1222" s="83">
        <f>SUM(Prog_23[[#This Row],[ADIANTAMENTO]]+Prog_23[[#This Row],[SALDO]]+Prog_23[[#This Row],[MARGEM]]+Prog_23[[#This Row],[ESTADIA 1]])</f>
        <v>0</v>
      </c>
      <c r="AY12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22" s="81"/>
      <c r="BA1222" s="81"/>
      <c r="BB1222" s="81">
        <f>Prog_23[[#This Row],[VLR NF]]*0.1%</f>
        <v>0</v>
      </c>
      <c r="BC1222" s="81">
        <f>Prog_23[[#This Row],[VLR NF]]*0.05%</f>
        <v>0</v>
      </c>
      <c r="BD1222" s="81"/>
      <c r="BE1222" s="81"/>
      <c r="BF1222" s="81"/>
      <c r="BG1222" s="81"/>
      <c r="BH1222" s="81"/>
      <c r="BI1222" s="81"/>
      <c r="BJ1222" s="81"/>
      <c r="BK1222" s="81"/>
      <c r="BL1222" s="81"/>
      <c r="BM1222" s="81"/>
      <c r="BN1222" s="66"/>
      <c r="BO1222" s="66"/>
      <c r="BP1222" s="66"/>
      <c r="BQ1222" s="66" t="str">
        <f>PROPER(TEXT(Prog_23[[#This Row],[PROGRAMAÇÃO CLIENTE]],"mmm"))</f>
        <v>Jan</v>
      </c>
      <c r="BR1222" s="66">
        <f>YEAR(Prog_23[[#This Row],[PROGRAMAÇÃO CLIENTE]])</f>
        <v>1900</v>
      </c>
    </row>
    <row r="1223" spans="1:70" x14ac:dyDescent="0.25">
      <c r="A1223" s="200">
        <f>Prog_23[[#This Row],[CONTEINER]]</f>
        <v>0</v>
      </c>
      <c r="B1223" s="86"/>
      <c r="C12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23" s="44"/>
      <c r="E1223" s="66"/>
      <c r="F1223" s="66"/>
      <c r="G1223" s="66"/>
      <c r="H1223" s="44"/>
      <c r="I1223" s="44"/>
      <c r="J1223" s="66"/>
      <c r="K1223" s="66"/>
      <c r="L1223" s="66"/>
      <c r="M1223" s="66"/>
      <c r="N1223" s="66">
        <f>SUM(Prog_23[[#This Row],[TARA]]+Prog_23[[#This Row],[PESO]])</f>
        <v>0</v>
      </c>
      <c r="O1223" s="44"/>
      <c r="P1223" s="66"/>
      <c r="Q1223" s="66"/>
      <c r="R1223" s="66"/>
      <c r="S1223" s="66"/>
      <c r="T1223" s="138" t="str">
        <f>IFERROR(LOOKUP($S1223,MOTORISTAS!$D$3:$D$916,MOTORISTAS!E$3:$E$916),"")</f>
        <v/>
      </c>
      <c r="U1223" s="138" t="str">
        <f>IFERROR(LOOKUP($S1223,MOTORISTAS!$D$3:$D$916,MOTORISTAS!F$3:$F$916),"")</f>
        <v/>
      </c>
      <c r="V1223" s="66"/>
      <c r="W1223" s="66"/>
      <c r="X1223" s="66"/>
      <c r="Y1223" s="66"/>
      <c r="Z1223" s="66"/>
      <c r="AA1223" s="66"/>
      <c r="AB1223" s="66"/>
      <c r="AC1223" s="66"/>
      <c r="AD1223" s="66"/>
      <c r="AE1223" s="66"/>
      <c r="AF1223" s="44"/>
      <c r="AG1223" s="254">
        <f>Prog_23[[#This Row],[SAÍDA DO CLIENTE]]-Prog_23[[#This Row],[PROGRAMAÇÃO CLIENTE]]</f>
        <v>0</v>
      </c>
      <c r="AH1223" s="44"/>
      <c r="AI1223" s="66"/>
      <c r="AJ1223" s="66"/>
      <c r="AK1223" s="66"/>
      <c r="AL1223" s="66"/>
      <c r="AM1223" s="66"/>
      <c r="AN1223" s="83"/>
      <c r="AO1223" s="83"/>
      <c r="AP1223" s="83"/>
      <c r="AQ1223" s="66"/>
      <c r="AR1223" s="66"/>
      <c r="AS1223" s="66"/>
      <c r="AT1223" s="81"/>
      <c r="AU1223" s="81"/>
      <c r="AV1223" s="81"/>
      <c r="AW1223" s="81"/>
      <c r="AX1223" s="83">
        <f>SUM(Prog_23[[#This Row],[ADIANTAMENTO]]+Prog_23[[#This Row],[SALDO]]+Prog_23[[#This Row],[MARGEM]]+Prog_23[[#This Row],[ESTADIA 1]])</f>
        <v>0</v>
      </c>
      <c r="AY12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23" s="81"/>
      <c r="BA1223" s="81"/>
      <c r="BB1223" s="81">
        <f>Prog_23[[#This Row],[VLR NF]]*0.1%</f>
        <v>0</v>
      </c>
      <c r="BC1223" s="81">
        <f>Prog_23[[#This Row],[VLR NF]]*0.05%</f>
        <v>0</v>
      </c>
      <c r="BD1223" s="81"/>
      <c r="BE1223" s="81"/>
      <c r="BF1223" s="81"/>
      <c r="BG1223" s="81"/>
      <c r="BH1223" s="81"/>
      <c r="BI1223" s="81"/>
      <c r="BJ1223" s="81"/>
      <c r="BK1223" s="81"/>
      <c r="BL1223" s="81"/>
      <c r="BM1223" s="81"/>
      <c r="BN1223" s="66"/>
      <c r="BO1223" s="66"/>
      <c r="BP1223" s="66"/>
      <c r="BQ1223" s="66" t="str">
        <f>PROPER(TEXT(Prog_23[[#This Row],[PROGRAMAÇÃO CLIENTE]],"mmm"))</f>
        <v>Jan</v>
      </c>
      <c r="BR1223" s="66">
        <f>YEAR(Prog_23[[#This Row],[PROGRAMAÇÃO CLIENTE]])</f>
        <v>1900</v>
      </c>
    </row>
    <row r="1224" spans="1:70" x14ac:dyDescent="0.25">
      <c r="A1224" s="201">
        <f>Prog_23[[#This Row],[CONTEINER]]</f>
        <v>0</v>
      </c>
      <c r="B1224" s="86"/>
      <c r="C12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24" s="44"/>
      <c r="E1224" s="66"/>
      <c r="F1224" s="66"/>
      <c r="G1224" s="66"/>
      <c r="H1224" s="44"/>
      <c r="I1224" s="44"/>
      <c r="J1224" s="66"/>
      <c r="K1224" s="66"/>
      <c r="L1224" s="66"/>
      <c r="M1224" s="66"/>
      <c r="N1224" s="66">
        <f>SUM(Prog_23[[#This Row],[TARA]]+Prog_23[[#This Row],[PESO]])</f>
        <v>0</v>
      </c>
      <c r="O1224" s="44"/>
      <c r="P1224" s="66"/>
      <c r="Q1224" s="66"/>
      <c r="R1224" s="66"/>
      <c r="S1224" s="66"/>
      <c r="T1224" s="138" t="str">
        <f>IFERROR(LOOKUP($S1224,MOTORISTAS!$D$3:$D$916,MOTORISTAS!E$3:$E$916),"")</f>
        <v/>
      </c>
      <c r="U1224" s="138" t="str">
        <f>IFERROR(LOOKUP($S1224,MOTORISTAS!$D$3:$D$916,MOTORISTAS!F$3:$F$916),"")</f>
        <v/>
      </c>
      <c r="V1224" s="66"/>
      <c r="W1224" s="66"/>
      <c r="X1224" s="66"/>
      <c r="Y1224" s="66"/>
      <c r="Z1224" s="66"/>
      <c r="AA1224" s="66"/>
      <c r="AB1224" s="66"/>
      <c r="AC1224" s="66"/>
      <c r="AD1224" s="66"/>
      <c r="AE1224" s="66"/>
      <c r="AF1224" s="44"/>
      <c r="AG1224" s="254">
        <f>Prog_23[[#This Row],[SAÍDA DO CLIENTE]]-Prog_23[[#This Row],[PROGRAMAÇÃO CLIENTE]]</f>
        <v>0</v>
      </c>
      <c r="AH1224" s="44"/>
      <c r="AI1224" s="66"/>
      <c r="AJ1224" s="66"/>
      <c r="AK1224" s="66"/>
      <c r="AL1224" s="66"/>
      <c r="AM1224" s="66"/>
      <c r="AN1224" s="83"/>
      <c r="AO1224" s="83"/>
      <c r="AP1224" s="83"/>
      <c r="AQ1224" s="66"/>
      <c r="AR1224" s="66"/>
      <c r="AS1224" s="66"/>
      <c r="AT1224" s="81"/>
      <c r="AU1224" s="81"/>
      <c r="AV1224" s="81"/>
      <c r="AW1224" s="81"/>
      <c r="AX1224" s="83">
        <f>SUM(Prog_23[[#This Row],[ADIANTAMENTO]]+Prog_23[[#This Row],[SALDO]]+Prog_23[[#This Row],[MARGEM]]+Prog_23[[#This Row],[ESTADIA 1]])</f>
        <v>0</v>
      </c>
      <c r="AY12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24" s="81"/>
      <c r="BA1224" s="81"/>
      <c r="BB1224" s="81">
        <f>Prog_23[[#This Row],[VLR NF]]*0.1%</f>
        <v>0</v>
      </c>
      <c r="BC1224" s="81">
        <f>Prog_23[[#This Row],[VLR NF]]*0.05%</f>
        <v>0</v>
      </c>
      <c r="BD1224" s="81"/>
      <c r="BE1224" s="81"/>
      <c r="BF1224" s="81"/>
      <c r="BG1224" s="81"/>
      <c r="BH1224" s="81"/>
      <c r="BI1224" s="81"/>
      <c r="BJ1224" s="81"/>
      <c r="BK1224" s="81"/>
      <c r="BL1224" s="81"/>
      <c r="BM1224" s="81"/>
      <c r="BN1224" s="66"/>
      <c r="BO1224" s="66"/>
      <c r="BP1224" s="66"/>
      <c r="BQ1224" s="66" t="str">
        <f>PROPER(TEXT(Prog_23[[#This Row],[PROGRAMAÇÃO CLIENTE]],"mmm"))</f>
        <v>Jan</v>
      </c>
      <c r="BR1224" s="66">
        <f>YEAR(Prog_23[[#This Row],[PROGRAMAÇÃO CLIENTE]])</f>
        <v>1900</v>
      </c>
    </row>
    <row r="1225" spans="1:70" x14ac:dyDescent="0.25">
      <c r="A1225" s="200">
        <f>Prog_23[[#This Row],[CONTEINER]]</f>
        <v>0</v>
      </c>
      <c r="B1225" s="86"/>
      <c r="C12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25" s="44"/>
      <c r="E1225" s="66"/>
      <c r="F1225" s="66"/>
      <c r="G1225" s="66"/>
      <c r="H1225" s="44"/>
      <c r="I1225" s="44"/>
      <c r="J1225" s="66"/>
      <c r="K1225" s="66"/>
      <c r="L1225" s="66"/>
      <c r="M1225" s="66"/>
      <c r="N1225" s="66">
        <f>SUM(Prog_23[[#This Row],[TARA]]+Prog_23[[#This Row],[PESO]])</f>
        <v>0</v>
      </c>
      <c r="O1225" s="44"/>
      <c r="P1225" s="66"/>
      <c r="Q1225" s="66"/>
      <c r="R1225" s="66"/>
      <c r="S1225" s="66"/>
      <c r="T1225" s="138" t="str">
        <f>IFERROR(LOOKUP($S1225,MOTORISTAS!$D$3:$D$916,MOTORISTAS!E$3:$E$916),"")</f>
        <v/>
      </c>
      <c r="U1225" s="138" t="str">
        <f>IFERROR(LOOKUP($S1225,MOTORISTAS!$D$3:$D$916,MOTORISTAS!F$3:$F$916),"")</f>
        <v/>
      </c>
      <c r="V1225" s="66"/>
      <c r="W1225" s="66"/>
      <c r="X1225" s="66"/>
      <c r="Y1225" s="66"/>
      <c r="Z1225" s="66"/>
      <c r="AA1225" s="66"/>
      <c r="AB1225" s="66"/>
      <c r="AC1225" s="66"/>
      <c r="AD1225" s="66"/>
      <c r="AE1225" s="66"/>
      <c r="AF1225" s="44"/>
      <c r="AG1225" s="254">
        <f>Prog_23[[#This Row],[SAÍDA DO CLIENTE]]-Prog_23[[#This Row],[PROGRAMAÇÃO CLIENTE]]</f>
        <v>0</v>
      </c>
      <c r="AH1225" s="44"/>
      <c r="AI1225" s="66"/>
      <c r="AJ1225" s="66"/>
      <c r="AK1225" s="66"/>
      <c r="AL1225" s="66"/>
      <c r="AM1225" s="66"/>
      <c r="AN1225" s="83"/>
      <c r="AO1225" s="83"/>
      <c r="AP1225" s="83"/>
      <c r="AQ1225" s="66"/>
      <c r="AR1225" s="66"/>
      <c r="AS1225" s="66"/>
      <c r="AT1225" s="81"/>
      <c r="AU1225" s="81"/>
      <c r="AV1225" s="81"/>
      <c r="AW1225" s="81"/>
      <c r="AX1225" s="83">
        <f>SUM(Prog_23[[#This Row],[ADIANTAMENTO]]+Prog_23[[#This Row],[SALDO]]+Prog_23[[#This Row],[MARGEM]]+Prog_23[[#This Row],[ESTADIA 1]])</f>
        <v>0</v>
      </c>
      <c r="AY12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25" s="81"/>
      <c r="BA1225" s="81"/>
      <c r="BB1225" s="81">
        <f>Prog_23[[#This Row],[VLR NF]]*0.1%</f>
        <v>0</v>
      </c>
      <c r="BC1225" s="81">
        <f>Prog_23[[#This Row],[VLR NF]]*0.05%</f>
        <v>0</v>
      </c>
      <c r="BD1225" s="81"/>
      <c r="BE1225" s="81"/>
      <c r="BF1225" s="81"/>
      <c r="BG1225" s="81"/>
      <c r="BH1225" s="81"/>
      <c r="BI1225" s="81"/>
      <c r="BJ1225" s="81"/>
      <c r="BK1225" s="81"/>
      <c r="BL1225" s="81"/>
      <c r="BM1225" s="81"/>
      <c r="BN1225" s="66"/>
      <c r="BO1225" s="66"/>
      <c r="BP1225" s="66"/>
      <c r="BQ1225" s="66" t="str">
        <f>PROPER(TEXT(Prog_23[[#This Row],[PROGRAMAÇÃO CLIENTE]],"mmm"))</f>
        <v>Jan</v>
      </c>
      <c r="BR1225" s="66">
        <f>YEAR(Prog_23[[#This Row],[PROGRAMAÇÃO CLIENTE]])</f>
        <v>1900</v>
      </c>
    </row>
    <row r="1226" spans="1:70" x14ac:dyDescent="0.25">
      <c r="A1226" s="201">
        <f>Prog_23[[#This Row],[CONTEINER]]</f>
        <v>0</v>
      </c>
      <c r="B1226" s="86"/>
      <c r="C12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26" s="44"/>
      <c r="E1226" s="66"/>
      <c r="F1226" s="66"/>
      <c r="G1226" s="66"/>
      <c r="H1226" s="44"/>
      <c r="I1226" s="44"/>
      <c r="J1226" s="66"/>
      <c r="K1226" s="66"/>
      <c r="L1226" s="66"/>
      <c r="M1226" s="66"/>
      <c r="N1226" s="66">
        <f>SUM(Prog_23[[#This Row],[TARA]]+Prog_23[[#This Row],[PESO]])</f>
        <v>0</v>
      </c>
      <c r="O1226" s="44"/>
      <c r="P1226" s="66"/>
      <c r="Q1226" s="66"/>
      <c r="R1226" s="66"/>
      <c r="S1226" s="66"/>
      <c r="T1226" s="138" t="str">
        <f>IFERROR(LOOKUP($S1226,MOTORISTAS!$D$3:$D$916,MOTORISTAS!E$3:$E$916),"")</f>
        <v/>
      </c>
      <c r="U1226" s="138" t="str">
        <f>IFERROR(LOOKUP($S1226,MOTORISTAS!$D$3:$D$916,MOTORISTAS!F$3:$F$916),"")</f>
        <v/>
      </c>
      <c r="V1226" s="66"/>
      <c r="W1226" s="66"/>
      <c r="X1226" s="66"/>
      <c r="Y1226" s="66"/>
      <c r="Z1226" s="66"/>
      <c r="AA1226" s="66"/>
      <c r="AB1226" s="66"/>
      <c r="AC1226" s="66"/>
      <c r="AD1226" s="66"/>
      <c r="AE1226" s="66"/>
      <c r="AF1226" s="44"/>
      <c r="AG1226" s="254">
        <f>Prog_23[[#This Row],[SAÍDA DO CLIENTE]]-Prog_23[[#This Row],[PROGRAMAÇÃO CLIENTE]]</f>
        <v>0</v>
      </c>
      <c r="AH1226" s="44"/>
      <c r="AI1226" s="66"/>
      <c r="AJ1226" s="66"/>
      <c r="AK1226" s="66"/>
      <c r="AL1226" s="66"/>
      <c r="AM1226" s="66"/>
      <c r="AN1226" s="83"/>
      <c r="AO1226" s="83"/>
      <c r="AP1226" s="83"/>
      <c r="AQ1226" s="66"/>
      <c r="AR1226" s="66"/>
      <c r="AS1226" s="66"/>
      <c r="AT1226" s="81"/>
      <c r="AU1226" s="81"/>
      <c r="AV1226" s="81"/>
      <c r="AW1226" s="81"/>
      <c r="AX1226" s="83">
        <f>SUM(Prog_23[[#This Row],[ADIANTAMENTO]]+Prog_23[[#This Row],[SALDO]]+Prog_23[[#This Row],[MARGEM]]+Prog_23[[#This Row],[ESTADIA 1]])</f>
        <v>0</v>
      </c>
      <c r="AY12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26" s="81"/>
      <c r="BA1226" s="81"/>
      <c r="BB1226" s="81">
        <f>Prog_23[[#This Row],[VLR NF]]*0.1%</f>
        <v>0</v>
      </c>
      <c r="BC1226" s="81">
        <f>Prog_23[[#This Row],[VLR NF]]*0.05%</f>
        <v>0</v>
      </c>
      <c r="BD1226" s="81"/>
      <c r="BE1226" s="81"/>
      <c r="BF1226" s="81"/>
      <c r="BG1226" s="81"/>
      <c r="BH1226" s="81"/>
      <c r="BI1226" s="81"/>
      <c r="BJ1226" s="81"/>
      <c r="BK1226" s="81"/>
      <c r="BL1226" s="81"/>
      <c r="BM1226" s="81"/>
      <c r="BN1226" s="66"/>
      <c r="BO1226" s="66"/>
      <c r="BP1226" s="66"/>
      <c r="BQ1226" s="66" t="str">
        <f>PROPER(TEXT(Prog_23[[#This Row],[PROGRAMAÇÃO CLIENTE]],"mmm"))</f>
        <v>Jan</v>
      </c>
      <c r="BR1226" s="66">
        <f>YEAR(Prog_23[[#This Row],[PROGRAMAÇÃO CLIENTE]])</f>
        <v>1900</v>
      </c>
    </row>
    <row r="1227" spans="1:70" x14ac:dyDescent="0.25">
      <c r="A1227" s="200">
        <f>Prog_23[[#This Row],[CONTEINER]]</f>
        <v>0</v>
      </c>
      <c r="B1227" s="86"/>
      <c r="C12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27" s="44"/>
      <c r="E1227" s="66"/>
      <c r="F1227" s="66"/>
      <c r="G1227" s="66"/>
      <c r="H1227" s="44"/>
      <c r="I1227" s="44"/>
      <c r="J1227" s="66"/>
      <c r="K1227" s="66"/>
      <c r="L1227" s="66"/>
      <c r="M1227" s="66"/>
      <c r="N1227" s="66">
        <f>SUM(Prog_23[[#This Row],[TARA]]+Prog_23[[#This Row],[PESO]])</f>
        <v>0</v>
      </c>
      <c r="O1227" s="44"/>
      <c r="P1227" s="66"/>
      <c r="Q1227" s="66"/>
      <c r="R1227" s="66"/>
      <c r="S1227" s="66"/>
      <c r="T1227" s="138" t="str">
        <f>IFERROR(LOOKUP($S1227,MOTORISTAS!$D$3:$D$916,MOTORISTAS!E$3:$E$916),"")</f>
        <v/>
      </c>
      <c r="U1227" s="138" t="str">
        <f>IFERROR(LOOKUP($S1227,MOTORISTAS!$D$3:$D$916,MOTORISTAS!F$3:$F$916),"")</f>
        <v/>
      </c>
      <c r="V1227" s="66"/>
      <c r="W1227" s="66"/>
      <c r="X1227" s="66"/>
      <c r="Y1227" s="66"/>
      <c r="Z1227" s="66"/>
      <c r="AA1227" s="66"/>
      <c r="AB1227" s="66"/>
      <c r="AC1227" s="66"/>
      <c r="AD1227" s="66"/>
      <c r="AE1227" s="66"/>
      <c r="AF1227" s="44"/>
      <c r="AG1227" s="254">
        <f>Prog_23[[#This Row],[SAÍDA DO CLIENTE]]-Prog_23[[#This Row],[PROGRAMAÇÃO CLIENTE]]</f>
        <v>0</v>
      </c>
      <c r="AH1227" s="44"/>
      <c r="AI1227" s="66"/>
      <c r="AJ1227" s="66"/>
      <c r="AK1227" s="66"/>
      <c r="AL1227" s="66"/>
      <c r="AM1227" s="66"/>
      <c r="AN1227" s="83"/>
      <c r="AO1227" s="83"/>
      <c r="AP1227" s="83"/>
      <c r="AQ1227" s="66"/>
      <c r="AR1227" s="66"/>
      <c r="AS1227" s="66"/>
      <c r="AT1227" s="81"/>
      <c r="AU1227" s="81"/>
      <c r="AV1227" s="81"/>
      <c r="AW1227" s="81"/>
      <c r="AX1227" s="83">
        <f>SUM(Prog_23[[#This Row],[ADIANTAMENTO]]+Prog_23[[#This Row],[SALDO]]+Prog_23[[#This Row],[MARGEM]]+Prog_23[[#This Row],[ESTADIA 1]])</f>
        <v>0</v>
      </c>
      <c r="AY12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27" s="81"/>
      <c r="BA1227" s="81"/>
      <c r="BB1227" s="81">
        <f>Prog_23[[#This Row],[VLR NF]]*0.1%</f>
        <v>0</v>
      </c>
      <c r="BC1227" s="81">
        <f>Prog_23[[#This Row],[VLR NF]]*0.05%</f>
        <v>0</v>
      </c>
      <c r="BD1227" s="81"/>
      <c r="BE1227" s="81"/>
      <c r="BF1227" s="81"/>
      <c r="BG1227" s="81"/>
      <c r="BH1227" s="81"/>
      <c r="BI1227" s="81"/>
      <c r="BJ1227" s="81"/>
      <c r="BK1227" s="81"/>
      <c r="BL1227" s="81"/>
      <c r="BM1227" s="81"/>
      <c r="BN1227" s="66"/>
      <c r="BO1227" s="66"/>
      <c r="BP1227" s="66"/>
      <c r="BQ1227" s="66" t="str">
        <f>PROPER(TEXT(Prog_23[[#This Row],[PROGRAMAÇÃO CLIENTE]],"mmm"))</f>
        <v>Jan</v>
      </c>
      <c r="BR1227" s="66">
        <f>YEAR(Prog_23[[#This Row],[PROGRAMAÇÃO CLIENTE]])</f>
        <v>1900</v>
      </c>
    </row>
    <row r="1228" spans="1:70" x14ac:dyDescent="0.25">
      <c r="A1228" s="201">
        <f>Prog_23[[#This Row],[CONTEINER]]</f>
        <v>0</v>
      </c>
      <c r="B1228" s="86"/>
      <c r="C12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28" s="44"/>
      <c r="E1228" s="66"/>
      <c r="F1228" s="66"/>
      <c r="G1228" s="66"/>
      <c r="H1228" s="44"/>
      <c r="I1228" s="44"/>
      <c r="J1228" s="66"/>
      <c r="K1228" s="66"/>
      <c r="L1228" s="66"/>
      <c r="M1228" s="66"/>
      <c r="N1228" s="66">
        <f>SUM(Prog_23[[#This Row],[TARA]]+Prog_23[[#This Row],[PESO]])</f>
        <v>0</v>
      </c>
      <c r="O1228" s="44"/>
      <c r="P1228" s="66"/>
      <c r="Q1228" s="66"/>
      <c r="R1228" s="66"/>
      <c r="S1228" s="66"/>
      <c r="T1228" s="138" t="str">
        <f>IFERROR(LOOKUP($S1228,MOTORISTAS!$D$3:$D$916,MOTORISTAS!E$3:$E$916),"")</f>
        <v/>
      </c>
      <c r="U1228" s="138" t="str">
        <f>IFERROR(LOOKUP($S1228,MOTORISTAS!$D$3:$D$916,MOTORISTAS!F$3:$F$916),"")</f>
        <v/>
      </c>
      <c r="V1228" s="66"/>
      <c r="W1228" s="66"/>
      <c r="X1228" s="66"/>
      <c r="Y1228" s="66"/>
      <c r="Z1228" s="66"/>
      <c r="AA1228" s="66"/>
      <c r="AB1228" s="66"/>
      <c r="AC1228" s="66"/>
      <c r="AD1228" s="66"/>
      <c r="AE1228" s="66"/>
      <c r="AF1228" s="44"/>
      <c r="AG1228" s="254">
        <f>Prog_23[[#This Row],[SAÍDA DO CLIENTE]]-Prog_23[[#This Row],[PROGRAMAÇÃO CLIENTE]]</f>
        <v>0</v>
      </c>
      <c r="AH1228" s="44"/>
      <c r="AI1228" s="66"/>
      <c r="AJ1228" s="66"/>
      <c r="AK1228" s="66"/>
      <c r="AL1228" s="66"/>
      <c r="AM1228" s="66"/>
      <c r="AN1228" s="83"/>
      <c r="AO1228" s="83"/>
      <c r="AP1228" s="83"/>
      <c r="AQ1228" s="66"/>
      <c r="AR1228" s="66"/>
      <c r="AS1228" s="66"/>
      <c r="AT1228" s="81"/>
      <c r="AU1228" s="81"/>
      <c r="AV1228" s="81"/>
      <c r="AW1228" s="81"/>
      <c r="AX1228" s="83">
        <f>SUM(Prog_23[[#This Row],[ADIANTAMENTO]]+Prog_23[[#This Row],[SALDO]]+Prog_23[[#This Row],[MARGEM]]+Prog_23[[#This Row],[ESTADIA 1]])</f>
        <v>0</v>
      </c>
      <c r="AY12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28" s="81"/>
      <c r="BA1228" s="81"/>
      <c r="BB1228" s="81">
        <f>Prog_23[[#This Row],[VLR NF]]*0.1%</f>
        <v>0</v>
      </c>
      <c r="BC1228" s="81">
        <f>Prog_23[[#This Row],[VLR NF]]*0.05%</f>
        <v>0</v>
      </c>
      <c r="BD1228" s="81"/>
      <c r="BE1228" s="81"/>
      <c r="BF1228" s="81"/>
      <c r="BG1228" s="81"/>
      <c r="BH1228" s="81"/>
      <c r="BI1228" s="81"/>
      <c r="BJ1228" s="81"/>
      <c r="BK1228" s="81"/>
      <c r="BL1228" s="81"/>
      <c r="BM1228" s="81"/>
      <c r="BN1228" s="66"/>
      <c r="BO1228" s="66"/>
      <c r="BP1228" s="66"/>
      <c r="BQ1228" s="66" t="str">
        <f>PROPER(TEXT(Prog_23[[#This Row],[PROGRAMAÇÃO CLIENTE]],"mmm"))</f>
        <v>Jan</v>
      </c>
      <c r="BR1228" s="66">
        <f>YEAR(Prog_23[[#This Row],[PROGRAMAÇÃO CLIENTE]])</f>
        <v>1900</v>
      </c>
    </row>
    <row r="1229" spans="1:70" x14ac:dyDescent="0.25">
      <c r="A1229" s="200">
        <f>Prog_23[[#This Row],[CONTEINER]]</f>
        <v>0</v>
      </c>
      <c r="B1229" s="86"/>
      <c r="C12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29" s="44"/>
      <c r="E1229" s="66"/>
      <c r="F1229" s="66"/>
      <c r="G1229" s="66"/>
      <c r="H1229" s="44"/>
      <c r="I1229" s="44"/>
      <c r="J1229" s="66"/>
      <c r="K1229" s="66"/>
      <c r="L1229" s="66"/>
      <c r="M1229" s="66"/>
      <c r="N1229" s="66">
        <f>SUM(Prog_23[[#This Row],[TARA]]+Prog_23[[#This Row],[PESO]])</f>
        <v>0</v>
      </c>
      <c r="O1229" s="44"/>
      <c r="P1229" s="66"/>
      <c r="Q1229" s="66"/>
      <c r="R1229" s="66"/>
      <c r="S1229" s="66"/>
      <c r="T1229" s="138" t="str">
        <f>IFERROR(LOOKUP($S1229,MOTORISTAS!$D$3:$D$916,MOTORISTAS!E$3:$E$916),"")</f>
        <v/>
      </c>
      <c r="U1229" s="138" t="str">
        <f>IFERROR(LOOKUP($S1229,MOTORISTAS!$D$3:$D$916,MOTORISTAS!F$3:$F$916),"")</f>
        <v/>
      </c>
      <c r="V1229" s="66"/>
      <c r="W1229" s="66"/>
      <c r="X1229" s="66"/>
      <c r="Y1229" s="66"/>
      <c r="Z1229" s="66"/>
      <c r="AA1229" s="66"/>
      <c r="AB1229" s="66"/>
      <c r="AC1229" s="66"/>
      <c r="AD1229" s="66"/>
      <c r="AE1229" s="66"/>
      <c r="AF1229" s="44"/>
      <c r="AG1229" s="254">
        <f>Prog_23[[#This Row],[SAÍDA DO CLIENTE]]-Prog_23[[#This Row],[PROGRAMAÇÃO CLIENTE]]</f>
        <v>0</v>
      </c>
      <c r="AH1229" s="44"/>
      <c r="AI1229" s="66"/>
      <c r="AJ1229" s="66"/>
      <c r="AK1229" s="66"/>
      <c r="AL1229" s="66"/>
      <c r="AM1229" s="66"/>
      <c r="AN1229" s="83"/>
      <c r="AO1229" s="83"/>
      <c r="AP1229" s="83"/>
      <c r="AQ1229" s="66"/>
      <c r="AR1229" s="66"/>
      <c r="AS1229" s="66"/>
      <c r="AT1229" s="81"/>
      <c r="AU1229" s="81"/>
      <c r="AV1229" s="81"/>
      <c r="AW1229" s="81"/>
      <c r="AX1229" s="83">
        <f>SUM(Prog_23[[#This Row],[ADIANTAMENTO]]+Prog_23[[#This Row],[SALDO]]+Prog_23[[#This Row],[MARGEM]]+Prog_23[[#This Row],[ESTADIA 1]])</f>
        <v>0</v>
      </c>
      <c r="AY12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29" s="81"/>
      <c r="BA1229" s="81"/>
      <c r="BB1229" s="81">
        <f>Prog_23[[#This Row],[VLR NF]]*0.1%</f>
        <v>0</v>
      </c>
      <c r="BC1229" s="81">
        <f>Prog_23[[#This Row],[VLR NF]]*0.05%</f>
        <v>0</v>
      </c>
      <c r="BD1229" s="81"/>
      <c r="BE1229" s="81"/>
      <c r="BF1229" s="81"/>
      <c r="BG1229" s="81"/>
      <c r="BH1229" s="81"/>
      <c r="BI1229" s="81"/>
      <c r="BJ1229" s="81"/>
      <c r="BK1229" s="81"/>
      <c r="BL1229" s="81"/>
      <c r="BM1229" s="81"/>
      <c r="BN1229" s="66"/>
      <c r="BO1229" s="66"/>
      <c r="BP1229" s="66"/>
      <c r="BQ1229" s="66" t="str">
        <f>PROPER(TEXT(Prog_23[[#This Row],[PROGRAMAÇÃO CLIENTE]],"mmm"))</f>
        <v>Jan</v>
      </c>
      <c r="BR1229" s="66">
        <f>YEAR(Prog_23[[#This Row],[PROGRAMAÇÃO CLIENTE]])</f>
        <v>1900</v>
      </c>
    </row>
    <row r="1230" spans="1:70" x14ac:dyDescent="0.25">
      <c r="A1230" s="201">
        <f>Prog_23[[#This Row],[CONTEINER]]</f>
        <v>0</v>
      </c>
      <c r="B1230" s="86"/>
      <c r="C12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0" s="44"/>
      <c r="E1230" s="66"/>
      <c r="F1230" s="66"/>
      <c r="G1230" s="66"/>
      <c r="H1230" s="44"/>
      <c r="I1230" s="44"/>
      <c r="J1230" s="66"/>
      <c r="K1230" s="66"/>
      <c r="L1230" s="66"/>
      <c r="M1230" s="66"/>
      <c r="N1230" s="66">
        <f>SUM(Prog_23[[#This Row],[TARA]]+Prog_23[[#This Row],[PESO]])</f>
        <v>0</v>
      </c>
      <c r="O1230" s="44"/>
      <c r="P1230" s="66"/>
      <c r="Q1230" s="66"/>
      <c r="R1230" s="66"/>
      <c r="S1230" s="66"/>
      <c r="T1230" s="138" t="str">
        <f>IFERROR(LOOKUP($S1230,MOTORISTAS!$D$3:$D$916,MOTORISTAS!E$3:$E$916),"")</f>
        <v/>
      </c>
      <c r="U1230" s="138" t="str">
        <f>IFERROR(LOOKUP($S1230,MOTORISTAS!$D$3:$D$916,MOTORISTAS!F$3:$F$916),"")</f>
        <v/>
      </c>
      <c r="V1230" s="66"/>
      <c r="W1230" s="66"/>
      <c r="X1230" s="66"/>
      <c r="Y1230" s="66"/>
      <c r="Z1230" s="66"/>
      <c r="AA1230" s="66"/>
      <c r="AB1230" s="66"/>
      <c r="AC1230" s="66"/>
      <c r="AD1230" s="66"/>
      <c r="AE1230" s="66"/>
      <c r="AF1230" s="44"/>
      <c r="AG1230" s="254">
        <f>Prog_23[[#This Row],[SAÍDA DO CLIENTE]]-Prog_23[[#This Row],[PROGRAMAÇÃO CLIENTE]]</f>
        <v>0</v>
      </c>
      <c r="AH1230" s="44"/>
      <c r="AI1230" s="66"/>
      <c r="AJ1230" s="66"/>
      <c r="AK1230" s="66"/>
      <c r="AL1230" s="66"/>
      <c r="AM1230" s="66"/>
      <c r="AN1230" s="83"/>
      <c r="AO1230" s="83"/>
      <c r="AP1230" s="83"/>
      <c r="AQ1230" s="66"/>
      <c r="AR1230" s="66"/>
      <c r="AS1230" s="66"/>
      <c r="AT1230" s="81"/>
      <c r="AU1230" s="81"/>
      <c r="AV1230" s="81"/>
      <c r="AW1230" s="81"/>
      <c r="AX1230" s="83">
        <f>SUM(Prog_23[[#This Row],[ADIANTAMENTO]]+Prog_23[[#This Row],[SALDO]]+Prog_23[[#This Row],[MARGEM]]+Prog_23[[#This Row],[ESTADIA 1]])</f>
        <v>0</v>
      </c>
      <c r="AY12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0" s="81"/>
      <c r="BA1230" s="81"/>
      <c r="BB1230" s="81">
        <f>Prog_23[[#This Row],[VLR NF]]*0.1%</f>
        <v>0</v>
      </c>
      <c r="BC1230" s="81">
        <f>Prog_23[[#This Row],[VLR NF]]*0.05%</f>
        <v>0</v>
      </c>
      <c r="BD1230" s="81"/>
      <c r="BE1230" s="81"/>
      <c r="BF1230" s="81"/>
      <c r="BG1230" s="81"/>
      <c r="BH1230" s="81"/>
      <c r="BI1230" s="81"/>
      <c r="BJ1230" s="81"/>
      <c r="BK1230" s="81"/>
      <c r="BL1230" s="81"/>
      <c r="BM1230" s="81"/>
      <c r="BN1230" s="66"/>
      <c r="BO1230" s="66"/>
      <c r="BP1230" s="66"/>
      <c r="BQ1230" s="66" t="str">
        <f>PROPER(TEXT(Prog_23[[#This Row],[PROGRAMAÇÃO CLIENTE]],"mmm"))</f>
        <v>Jan</v>
      </c>
      <c r="BR1230" s="66">
        <f>YEAR(Prog_23[[#This Row],[PROGRAMAÇÃO CLIENTE]])</f>
        <v>1900</v>
      </c>
    </row>
    <row r="1231" spans="1:70" x14ac:dyDescent="0.25">
      <c r="A1231" s="200">
        <f>Prog_23[[#This Row],[CONTEINER]]</f>
        <v>0</v>
      </c>
      <c r="B1231" s="86"/>
      <c r="C12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1" s="44"/>
      <c r="E1231" s="66"/>
      <c r="F1231" s="66"/>
      <c r="G1231" s="66"/>
      <c r="H1231" s="44"/>
      <c r="I1231" s="44"/>
      <c r="J1231" s="66"/>
      <c r="K1231" s="66"/>
      <c r="L1231" s="66"/>
      <c r="M1231" s="66"/>
      <c r="N1231" s="66">
        <f>SUM(Prog_23[[#This Row],[TARA]]+Prog_23[[#This Row],[PESO]])</f>
        <v>0</v>
      </c>
      <c r="O1231" s="44"/>
      <c r="P1231" s="66"/>
      <c r="Q1231" s="66"/>
      <c r="R1231" s="66"/>
      <c r="S1231" s="66"/>
      <c r="T1231" s="138" t="str">
        <f>IFERROR(LOOKUP($S1231,MOTORISTAS!$D$3:$D$916,MOTORISTAS!E$3:$E$916),"")</f>
        <v/>
      </c>
      <c r="U1231" s="138" t="str">
        <f>IFERROR(LOOKUP($S1231,MOTORISTAS!$D$3:$D$916,MOTORISTAS!F$3:$F$916),"")</f>
        <v/>
      </c>
      <c r="V1231" s="66"/>
      <c r="W1231" s="66"/>
      <c r="X1231" s="66"/>
      <c r="Y1231" s="66"/>
      <c r="Z1231" s="66"/>
      <c r="AA1231" s="66"/>
      <c r="AB1231" s="66"/>
      <c r="AC1231" s="66"/>
      <c r="AD1231" s="66"/>
      <c r="AE1231" s="66"/>
      <c r="AF1231" s="44"/>
      <c r="AG1231" s="254">
        <f>Prog_23[[#This Row],[SAÍDA DO CLIENTE]]-Prog_23[[#This Row],[PROGRAMAÇÃO CLIENTE]]</f>
        <v>0</v>
      </c>
      <c r="AH1231" s="44"/>
      <c r="AI1231" s="66"/>
      <c r="AJ1231" s="66"/>
      <c r="AK1231" s="66"/>
      <c r="AL1231" s="66"/>
      <c r="AM1231" s="66"/>
      <c r="AN1231" s="83"/>
      <c r="AO1231" s="83"/>
      <c r="AP1231" s="83"/>
      <c r="AQ1231" s="66"/>
      <c r="AR1231" s="66"/>
      <c r="AS1231" s="66"/>
      <c r="AT1231" s="81"/>
      <c r="AU1231" s="81"/>
      <c r="AV1231" s="81"/>
      <c r="AW1231" s="81"/>
      <c r="AX1231" s="83">
        <f>SUM(Prog_23[[#This Row],[ADIANTAMENTO]]+Prog_23[[#This Row],[SALDO]]+Prog_23[[#This Row],[MARGEM]]+Prog_23[[#This Row],[ESTADIA 1]])</f>
        <v>0</v>
      </c>
      <c r="AY12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1" s="81"/>
      <c r="BA1231" s="81"/>
      <c r="BB1231" s="81">
        <f>Prog_23[[#This Row],[VLR NF]]*0.1%</f>
        <v>0</v>
      </c>
      <c r="BC1231" s="81">
        <f>Prog_23[[#This Row],[VLR NF]]*0.05%</f>
        <v>0</v>
      </c>
      <c r="BD1231" s="81"/>
      <c r="BE1231" s="81"/>
      <c r="BF1231" s="81"/>
      <c r="BG1231" s="81"/>
      <c r="BH1231" s="81"/>
      <c r="BI1231" s="81"/>
      <c r="BJ1231" s="81"/>
      <c r="BK1231" s="81"/>
      <c r="BL1231" s="81"/>
      <c r="BM1231" s="81"/>
      <c r="BN1231" s="66"/>
      <c r="BO1231" s="66"/>
      <c r="BP1231" s="66"/>
      <c r="BQ1231" s="66" t="str">
        <f>PROPER(TEXT(Prog_23[[#This Row],[PROGRAMAÇÃO CLIENTE]],"mmm"))</f>
        <v>Jan</v>
      </c>
      <c r="BR1231" s="66">
        <f>YEAR(Prog_23[[#This Row],[PROGRAMAÇÃO CLIENTE]])</f>
        <v>1900</v>
      </c>
    </row>
    <row r="1232" spans="1:70" x14ac:dyDescent="0.25">
      <c r="A1232" s="201">
        <f>Prog_23[[#This Row],[CONTEINER]]</f>
        <v>0</v>
      </c>
      <c r="B1232" s="86"/>
      <c r="C12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2" s="44"/>
      <c r="E1232" s="66"/>
      <c r="F1232" s="66"/>
      <c r="G1232" s="66"/>
      <c r="H1232" s="44"/>
      <c r="I1232" s="44"/>
      <c r="J1232" s="66"/>
      <c r="K1232" s="66"/>
      <c r="L1232" s="66"/>
      <c r="M1232" s="66"/>
      <c r="N1232" s="66">
        <f>SUM(Prog_23[[#This Row],[TARA]]+Prog_23[[#This Row],[PESO]])</f>
        <v>0</v>
      </c>
      <c r="O1232" s="44"/>
      <c r="P1232" s="66"/>
      <c r="Q1232" s="66"/>
      <c r="R1232" s="66"/>
      <c r="S1232" s="66"/>
      <c r="T1232" s="138" t="str">
        <f>IFERROR(LOOKUP($S1232,MOTORISTAS!$D$3:$D$916,MOTORISTAS!E$3:$E$916),"")</f>
        <v/>
      </c>
      <c r="U1232" s="138" t="str">
        <f>IFERROR(LOOKUP($S1232,MOTORISTAS!$D$3:$D$916,MOTORISTAS!F$3:$F$916),"")</f>
        <v/>
      </c>
      <c r="V1232" s="66"/>
      <c r="W1232" s="66"/>
      <c r="X1232" s="66"/>
      <c r="Y1232" s="66"/>
      <c r="Z1232" s="66"/>
      <c r="AA1232" s="66"/>
      <c r="AB1232" s="66"/>
      <c r="AC1232" s="66"/>
      <c r="AD1232" s="66"/>
      <c r="AE1232" s="66"/>
      <c r="AF1232" s="44"/>
      <c r="AG1232" s="254">
        <f>Prog_23[[#This Row],[SAÍDA DO CLIENTE]]-Prog_23[[#This Row],[PROGRAMAÇÃO CLIENTE]]</f>
        <v>0</v>
      </c>
      <c r="AH1232" s="44"/>
      <c r="AI1232" s="66"/>
      <c r="AJ1232" s="66"/>
      <c r="AK1232" s="66"/>
      <c r="AL1232" s="66"/>
      <c r="AM1232" s="66"/>
      <c r="AN1232" s="83"/>
      <c r="AO1232" s="83"/>
      <c r="AP1232" s="83"/>
      <c r="AQ1232" s="66"/>
      <c r="AR1232" s="66"/>
      <c r="AS1232" s="66"/>
      <c r="AT1232" s="81"/>
      <c r="AU1232" s="81"/>
      <c r="AV1232" s="81"/>
      <c r="AW1232" s="81"/>
      <c r="AX1232" s="83">
        <f>SUM(Prog_23[[#This Row],[ADIANTAMENTO]]+Prog_23[[#This Row],[SALDO]]+Prog_23[[#This Row],[MARGEM]]+Prog_23[[#This Row],[ESTADIA 1]])</f>
        <v>0</v>
      </c>
      <c r="AY12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2" s="81"/>
      <c r="BA1232" s="81"/>
      <c r="BB1232" s="81">
        <f>Prog_23[[#This Row],[VLR NF]]*0.1%</f>
        <v>0</v>
      </c>
      <c r="BC1232" s="81">
        <f>Prog_23[[#This Row],[VLR NF]]*0.05%</f>
        <v>0</v>
      </c>
      <c r="BD1232" s="81"/>
      <c r="BE1232" s="81"/>
      <c r="BF1232" s="81"/>
      <c r="BG1232" s="81"/>
      <c r="BH1232" s="81"/>
      <c r="BI1232" s="81"/>
      <c r="BJ1232" s="81"/>
      <c r="BK1232" s="81"/>
      <c r="BL1232" s="81"/>
      <c r="BM1232" s="81"/>
      <c r="BN1232" s="66"/>
      <c r="BO1232" s="66"/>
      <c r="BP1232" s="66"/>
      <c r="BQ1232" s="66" t="str">
        <f>PROPER(TEXT(Prog_23[[#This Row],[PROGRAMAÇÃO CLIENTE]],"mmm"))</f>
        <v>Jan</v>
      </c>
      <c r="BR1232" s="66">
        <f>YEAR(Prog_23[[#This Row],[PROGRAMAÇÃO CLIENTE]])</f>
        <v>1900</v>
      </c>
    </row>
    <row r="1233" spans="1:70" x14ac:dyDescent="0.25">
      <c r="A1233" s="200">
        <f>Prog_23[[#This Row],[CONTEINER]]</f>
        <v>0</v>
      </c>
      <c r="B1233" s="86"/>
      <c r="C12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3" s="44"/>
      <c r="E1233" s="66"/>
      <c r="F1233" s="66"/>
      <c r="G1233" s="66"/>
      <c r="H1233" s="44"/>
      <c r="I1233" s="44"/>
      <c r="J1233" s="66"/>
      <c r="K1233" s="66"/>
      <c r="L1233" s="66"/>
      <c r="M1233" s="66"/>
      <c r="N1233" s="66">
        <f>SUM(Prog_23[[#This Row],[TARA]]+Prog_23[[#This Row],[PESO]])</f>
        <v>0</v>
      </c>
      <c r="O1233" s="44"/>
      <c r="P1233" s="66"/>
      <c r="Q1233" s="66"/>
      <c r="R1233" s="66"/>
      <c r="S1233" s="66"/>
      <c r="T1233" s="138" t="str">
        <f>IFERROR(LOOKUP($S1233,MOTORISTAS!$D$3:$D$916,MOTORISTAS!E$3:$E$916),"")</f>
        <v/>
      </c>
      <c r="U1233" s="138" t="str">
        <f>IFERROR(LOOKUP($S1233,MOTORISTAS!$D$3:$D$916,MOTORISTAS!F$3:$F$916),"")</f>
        <v/>
      </c>
      <c r="V1233" s="66"/>
      <c r="W1233" s="66"/>
      <c r="X1233" s="66"/>
      <c r="Y1233" s="66"/>
      <c r="Z1233" s="66"/>
      <c r="AA1233" s="66"/>
      <c r="AB1233" s="66"/>
      <c r="AC1233" s="66"/>
      <c r="AD1233" s="66"/>
      <c r="AE1233" s="66"/>
      <c r="AF1233" s="44"/>
      <c r="AG1233" s="254">
        <f>Prog_23[[#This Row],[SAÍDA DO CLIENTE]]-Prog_23[[#This Row],[PROGRAMAÇÃO CLIENTE]]</f>
        <v>0</v>
      </c>
      <c r="AH1233" s="44"/>
      <c r="AI1233" s="66"/>
      <c r="AJ1233" s="66"/>
      <c r="AK1233" s="66"/>
      <c r="AL1233" s="66"/>
      <c r="AM1233" s="66"/>
      <c r="AN1233" s="83"/>
      <c r="AO1233" s="83"/>
      <c r="AP1233" s="83"/>
      <c r="AQ1233" s="66"/>
      <c r="AR1233" s="66"/>
      <c r="AS1233" s="66"/>
      <c r="AT1233" s="81"/>
      <c r="AU1233" s="81"/>
      <c r="AV1233" s="81"/>
      <c r="AW1233" s="81"/>
      <c r="AX1233" s="83">
        <f>SUM(Prog_23[[#This Row],[ADIANTAMENTO]]+Prog_23[[#This Row],[SALDO]]+Prog_23[[#This Row],[MARGEM]]+Prog_23[[#This Row],[ESTADIA 1]])</f>
        <v>0</v>
      </c>
      <c r="AY12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3" s="81"/>
      <c r="BA1233" s="81"/>
      <c r="BB1233" s="81">
        <f>Prog_23[[#This Row],[VLR NF]]*0.1%</f>
        <v>0</v>
      </c>
      <c r="BC1233" s="81">
        <f>Prog_23[[#This Row],[VLR NF]]*0.05%</f>
        <v>0</v>
      </c>
      <c r="BD1233" s="81"/>
      <c r="BE1233" s="81"/>
      <c r="BF1233" s="81"/>
      <c r="BG1233" s="81"/>
      <c r="BH1233" s="81"/>
      <c r="BI1233" s="81"/>
      <c r="BJ1233" s="81"/>
      <c r="BK1233" s="81"/>
      <c r="BL1233" s="81"/>
      <c r="BM1233" s="81"/>
      <c r="BN1233" s="66"/>
      <c r="BO1233" s="66"/>
      <c r="BP1233" s="66"/>
      <c r="BQ1233" s="66" t="str">
        <f>PROPER(TEXT(Prog_23[[#This Row],[PROGRAMAÇÃO CLIENTE]],"mmm"))</f>
        <v>Jan</v>
      </c>
      <c r="BR1233" s="66">
        <f>YEAR(Prog_23[[#This Row],[PROGRAMAÇÃO CLIENTE]])</f>
        <v>1900</v>
      </c>
    </row>
    <row r="1234" spans="1:70" x14ac:dyDescent="0.25">
      <c r="A1234" s="201">
        <f>Prog_23[[#This Row],[CONTEINER]]</f>
        <v>0</v>
      </c>
      <c r="B1234" s="86"/>
      <c r="C12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4" s="44"/>
      <c r="E1234" s="66"/>
      <c r="F1234" s="66"/>
      <c r="G1234" s="66"/>
      <c r="H1234" s="44"/>
      <c r="I1234" s="44"/>
      <c r="J1234" s="66"/>
      <c r="K1234" s="66"/>
      <c r="L1234" s="66"/>
      <c r="M1234" s="66"/>
      <c r="N1234" s="66">
        <f>SUM(Prog_23[[#This Row],[TARA]]+Prog_23[[#This Row],[PESO]])</f>
        <v>0</v>
      </c>
      <c r="O1234" s="44"/>
      <c r="P1234" s="66"/>
      <c r="Q1234" s="66"/>
      <c r="R1234" s="66"/>
      <c r="S1234" s="66"/>
      <c r="T1234" s="138" t="str">
        <f>IFERROR(LOOKUP($S1234,MOTORISTAS!$D$3:$D$916,MOTORISTAS!E$3:$E$916),"")</f>
        <v/>
      </c>
      <c r="U1234" s="138" t="str">
        <f>IFERROR(LOOKUP($S1234,MOTORISTAS!$D$3:$D$916,MOTORISTAS!F$3:$F$916),"")</f>
        <v/>
      </c>
      <c r="V1234" s="66"/>
      <c r="W1234" s="66"/>
      <c r="X1234" s="66"/>
      <c r="Y1234" s="66"/>
      <c r="Z1234" s="66"/>
      <c r="AA1234" s="66"/>
      <c r="AB1234" s="66"/>
      <c r="AC1234" s="66"/>
      <c r="AD1234" s="66"/>
      <c r="AE1234" s="66"/>
      <c r="AF1234" s="44"/>
      <c r="AG1234" s="254">
        <f>Prog_23[[#This Row],[SAÍDA DO CLIENTE]]-Prog_23[[#This Row],[PROGRAMAÇÃO CLIENTE]]</f>
        <v>0</v>
      </c>
      <c r="AH1234" s="44"/>
      <c r="AI1234" s="66"/>
      <c r="AJ1234" s="66"/>
      <c r="AK1234" s="66"/>
      <c r="AL1234" s="66"/>
      <c r="AM1234" s="66"/>
      <c r="AN1234" s="83"/>
      <c r="AO1234" s="83"/>
      <c r="AP1234" s="83"/>
      <c r="AQ1234" s="66"/>
      <c r="AR1234" s="66"/>
      <c r="AS1234" s="66"/>
      <c r="AT1234" s="81"/>
      <c r="AU1234" s="81"/>
      <c r="AV1234" s="81"/>
      <c r="AW1234" s="81"/>
      <c r="AX1234" s="83">
        <f>SUM(Prog_23[[#This Row],[ADIANTAMENTO]]+Prog_23[[#This Row],[SALDO]]+Prog_23[[#This Row],[MARGEM]]+Prog_23[[#This Row],[ESTADIA 1]])</f>
        <v>0</v>
      </c>
      <c r="AY12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4" s="81"/>
      <c r="BA1234" s="81"/>
      <c r="BB1234" s="81">
        <f>Prog_23[[#This Row],[VLR NF]]*0.1%</f>
        <v>0</v>
      </c>
      <c r="BC1234" s="81">
        <f>Prog_23[[#This Row],[VLR NF]]*0.05%</f>
        <v>0</v>
      </c>
      <c r="BD1234" s="81"/>
      <c r="BE1234" s="81"/>
      <c r="BF1234" s="81"/>
      <c r="BG1234" s="81"/>
      <c r="BH1234" s="81"/>
      <c r="BI1234" s="81"/>
      <c r="BJ1234" s="81"/>
      <c r="BK1234" s="81"/>
      <c r="BL1234" s="81"/>
      <c r="BM1234" s="81"/>
      <c r="BN1234" s="66"/>
      <c r="BO1234" s="66"/>
      <c r="BP1234" s="66"/>
      <c r="BQ1234" s="66" t="str">
        <f>PROPER(TEXT(Prog_23[[#This Row],[PROGRAMAÇÃO CLIENTE]],"mmm"))</f>
        <v>Jan</v>
      </c>
      <c r="BR1234" s="66">
        <f>YEAR(Prog_23[[#This Row],[PROGRAMAÇÃO CLIENTE]])</f>
        <v>1900</v>
      </c>
    </row>
    <row r="1235" spans="1:70" x14ac:dyDescent="0.25">
      <c r="A1235" s="200">
        <f>Prog_23[[#This Row],[CONTEINER]]</f>
        <v>0</v>
      </c>
      <c r="B1235" s="86"/>
      <c r="C12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5" s="44"/>
      <c r="E1235" s="66"/>
      <c r="F1235" s="66"/>
      <c r="G1235" s="66"/>
      <c r="H1235" s="44"/>
      <c r="I1235" s="44"/>
      <c r="J1235" s="66"/>
      <c r="K1235" s="66"/>
      <c r="L1235" s="66"/>
      <c r="M1235" s="66"/>
      <c r="N1235" s="66">
        <f>SUM(Prog_23[[#This Row],[TARA]]+Prog_23[[#This Row],[PESO]])</f>
        <v>0</v>
      </c>
      <c r="O1235" s="44"/>
      <c r="P1235" s="66"/>
      <c r="Q1235" s="66"/>
      <c r="R1235" s="66"/>
      <c r="S1235" s="66"/>
      <c r="T1235" s="138" t="str">
        <f>IFERROR(LOOKUP($S1235,MOTORISTAS!$D$3:$D$916,MOTORISTAS!E$3:$E$916),"")</f>
        <v/>
      </c>
      <c r="U1235" s="138" t="str">
        <f>IFERROR(LOOKUP($S1235,MOTORISTAS!$D$3:$D$916,MOTORISTAS!F$3:$F$916),"")</f>
        <v/>
      </c>
      <c r="V1235" s="66"/>
      <c r="W1235" s="66"/>
      <c r="X1235" s="66"/>
      <c r="Y1235" s="66"/>
      <c r="Z1235" s="66"/>
      <c r="AA1235" s="66"/>
      <c r="AB1235" s="66"/>
      <c r="AC1235" s="66"/>
      <c r="AD1235" s="66"/>
      <c r="AE1235" s="66"/>
      <c r="AF1235" s="44"/>
      <c r="AG1235" s="254">
        <f>Prog_23[[#This Row],[SAÍDA DO CLIENTE]]-Prog_23[[#This Row],[PROGRAMAÇÃO CLIENTE]]</f>
        <v>0</v>
      </c>
      <c r="AH1235" s="44"/>
      <c r="AI1235" s="66"/>
      <c r="AJ1235" s="66"/>
      <c r="AK1235" s="66"/>
      <c r="AL1235" s="66"/>
      <c r="AM1235" s="66"/>
      <c r="AN1235" s="83"/>
      <c r="AO1235" s="83"/>
      <c r="AP1235" s="83"/>
      <c r="AQ1235" s="66"/>
      <c r="AR1235" s="66"/>
      <c r="AS1235" s="66"/>
      <c r="AT1235" s="81"/>
      <c r="AU1235" s="81"/>
      <c r="AV1235" s="81"/>
      <c r="AW1235" s="81"/>
      <c r="AX1235" s="83">
        <f>SUM(Prog_23[[#This Row],[ADIANTAMENTO]]+Prog_23[[#This Row],[SALDO]]+Prog_23[[#This Row],[MARGEM]]+Prog_23[[#This Row],[ESTADIA 1]])</f>
        <v>0</v>
      </c>
      <c r="AY12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5" s="81"/>
      <c r="BA1235" s="81"/>
      <c r="BB1235" s="81">
        <f>Prog_23[[#This Row],[VLR NF]]*0.1%</f>
        <v>0</v>
      </c>
      <c r="BC1235" s="81">
        <f>Prog_23[[#This Row],[VLR NF]]*0.05%</f>
        <v>0</v>
      </c>
      <c r="BD1235" s="81"/>
      <c r="BE1235" s="81"/>
      <c r="BF1235" s="81"/>
      <c r="BG1235" s="81"/>
      <c r="BH1235" s="81"/>
      <c r="BI1235" s="81"/>
      <c r="BJ1235" s="81"/>
      <c r="BK1235" s="81"/>
      <c r="BL1235" s="81"/>
      <c r="BM1235" s="81"/>
      <c r="BN1235" s="66"/>
      <c r="BO1235" s="66"/>
      <c r="BP1235" s="66"/>
      <c r="BQ1235" s="66" t="str">
        <f>PROPER(TEXT(Prog_23[[#This Row],[PROGRAMAÇÃO CLIENTE]],"mmm"))</f>
        <v>Jan</v>
      </c>
      <c r="BR1235" s="66">
        <f>YEAR(Prog_23[[#This Row],[PROGRAMAÇÃO CLIENTE]])</f>
        <v>1900</v>
      </c>
    </row>
    <row r="1236" spans="1:70" x14ac:dyDescent="0.25">
      <c r="A1236" s="201">
        <f>Prog_23[[#This Row],[CONTEINER]]</f>
        <v>0</v>
      </c>
      <c r="B1236" s="86"/>
      <c r="C12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6" s="44"/>
      <c r="E1236" s="66"/>
      <c r="F1236" s="66"/>
      <c r="G1236" s="66"/>
      <c r="H1236" s="44"/>
      <c r="I1236" s="44"/>
      <c r="J1236" s="66"/>
      <c r="K1236" s="66"/>
      <c r="L1236" s="66"/>
      <c r="M1236" s="66"/>
      <c r="N1236" s="66">
        <f>SUM(Prog_23[[#This Row],[TARA]]+Prog_23[[#This Row],[PESO]])</f>
        <v>0</v>
      </c>
      <c r="O1236" s="44"/>
      <c r="P1236" s="66"/>
      <c r="Q1236" s="66"/>
      <c r="R1236" s="66"/>
      <c r="S1236" s="66"/>
      <c r="T1236" s="138" t="str">
        <f>IFERROR(LOOKUP($S1236,MOTORISTAS!$D$3:$D$916,MOTORISTAS!E$3:$E$916),"")</f>
        <v/>
      </c>
      <c r="U1236" s="138" t="str">
        <f>IFERROR(LOOKUP($S1236,MOTORISTAS!$D$3:$D$916,MOTORISTAS!F$3:$F$916),"")</f>
        <v/>
      </c>
      <c r="V1236" s="66"/>
      <c r="W1236" s="66"/>
      <c r="X1236" s="66"/>
      <c r="Y1236" s="66"/>
      <c r="Z1236" s="66"/>
      <c r="AA1236" s="66"/>
      <c r="AB1236" s="66"/>
      <c r="AC1236" s="66"/>
      <c r="AD1236" s="66"/>
      <c r="AE1236" s="66"/>
      <c r="AF1236" s="44"/>
      <c r="AG1236" s="254">
        <f>Prog_23[[#This Row],[SAÍDA DO CLIENTE]]-Prog_23[[#This Row],[PROGRAMAÇÃO CLIENTE]]</f>
        <v>0</v>
      </c>
      <c r="AH1236" s="44"/>
      <c r="AI1236" s="66"/>
      <c r="AJ1236" s="66"/>
      <c r="AK1236" s="66"/>
      <c r="AL1236" s="66"/>
      <c r="AM1236" s="66"/>
      <c r="AN1236" s="83"/>
      <c r="AO1236" s="83"/>
      <c r="AP1236" s="83"/>
      <c r="AQ1236" s="66"/>
      <c r="AR1236" s="66"/>
      <c r="AS1236" s="66"/>
      <c r="AT1236" s="81"/>
      <c r="AU1236" s="81"/>
      <c r="AV1236" s="81"/>
      <c r="AW1236" s="81"/>
      <c r="AX1236" s="83">
        <f>SUM(Prog_23[[#This Row],[ADIANTAMENTO]]+Prog_23[[#This Row],[SALDO]]+Prog_23[[#This Row],[MARGEM]]+Prog_23[[#This Row],[ESTADIA 1]])</f>
        <v>0</v>
      </c>
      <c r="AY12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6" s="81"/>
      <c r="BA1236" s="81"/>
      <c r="BB1236" s="81">
        <f>Prog_23[[#This Row],[VLR NF]]*0.1%</f>
        <v>0</v>
      </c>
      <c r="BC1236" s="81">
        <f>Prog_23[[#This Row],[VLR NF]]*0.05%</f>
        <v>0</v>
      </c>
      <c r="BD1236" s="81"/>
      <c r="BE1236" s="81"/>
      <c r="BF1236" s="81"/>
      <c r="BG1236" s="81"/>
      <c r="BH1236" s="81"/>
      <c r="BI1236" s="81"/>
      <c r="BJ1236" s="81"/>
      <c r="BK1236" s="81"/>
      <c r="BL1236" s="81"/>
      <c r="BM1236" s="81"/>
      <c r="BN1236" s="66"/>
      <c r="BO1236" s="66"/>
      <c r="BP1236" s="66"/>
      <c r="BQ1236" s="66" t="str">
        <f>PROPER(TEXT(Prog_23[[#This Row],[PROGRAMAÇÃO CLIENTE]],"mmm"))</f>
        <v>Jan</v>
      </c>
      <c r="BR1236" s="66">
        <f>YEAR(Prog_23[[#This Row],[PROGRAMAÇÃO CLIENTE]])</f>
        <v>1900</v>
      </c>
    </row>
    <row r="1237" spans="1:70" x14ac:dyDescent="0.25">
      <c r="A1237" s="200">
        <f>Prog_23[[#This Row],[CONTEINER]]</f>
        <v>0</v>
      </c>
      <c r="B1237" s="86"/>
      <c r="C12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7" s="44"/>
      <c r="E1237" s="66"/>
      <c r="F1237" s="66"/>
      <c r="G1237" s="66"/>
      <c r="H1237" s="44"/>
      <c r="I1237" s="44"/>
      <c r="J1237" s="66"/>
      <c r="K1237" s="66"/>
      <c r="L1237" s="66"/>
      <c r="M1237" s="66"/>
      <c r="N1237" s="66">
        <f>SUM(Prog_23[[#This Row],[TARA]]+Prog_23[[#This Row],[PESO]])</f>
        <v>0</v>
      </c>
      <c r="O1237" s="44"/>
      <c r="P1237" s="66"/>
      <c r="Q1237" s="66"/>
      <c r="R1237" s="66"/>
      <c r="S1237" s="66"/>
      <c r="T1237" s="138" t="str">
        <f>IFERROR(LOOKUP($S1237,MOTORISTAS!$D$3:$D$916,MOTORISTAS!E$3:$E$916),"")</f>
        <v/>
      </c>
      <c r="U1237" s="138" t="str">
        <f>IFERROR(LOOKUP($S1237,MOTORISTAS!$D$3:$D$916,MOTORISTAS!F$3:$F$916),"")</f>
        <v/>
      </c>
      <c r="V1237" s="66"/>
      <c r="W1237" s="66"/>
      <c r="X1237" s="66"/>
      <c r="Y1237" s="66"/>
      <c r="Z1237" s="66"/>
      <c r="AA1237" s="66"/>
      <c r="AB1237" s="66"/>
      <c r="AC1237" s="66"/>
      <c r="AD1237" s="66"/>
      <c r="AE1237" s="66"/>
      <c r="AF1237" s="44"/>
      <c r="AG1237" s="254">
        <f>Prog_23[[#This Row],[SAÍDA DO CLIENTE]]-Prog_23[[#This Row],[PROGRAMAÇÃO CLIENTE]]</f>
        <v>0</v>
      </c>
      <c r="AH1237" s="44"/>
      <c r="AI1237" s="66"/>
      <c r="AJ1237" s="66"/>
      <c r="AK1237" s="66"/>
      <c r="AL1237" s="66"/>
      <c r="AM1237" s="66"/>
      <c r="AN1237" s="83"/>
      <c r="AO1237" s="83"/>
      <c r="AP1237" s="83"/>
      <c r="AQ1237" s="66"/>
      <c r="AR1237" s="66"/>
      <c r="AS1237" s="66"/>
      <c r="AT1237" s="81"/>
      <c r="AU1237" s="81"/>
      <c r="AV1237" s="81"/>
      <c r="AW1237" s="81"/>
      <c r="AX1237" s="83">
        <f>SUM(Prog_23[[#This Row],[ADIANTAMENTO]]+Prog_23[[#This Row],[SALDO]]+Prog_23[[#This Row],[MARGEM]]+Prog_23[[#This Row],[ESTADIA 1]])</f>
        <v>0</v>
      </c>
      <c r="AY12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7" s="81"/>
      <c r="BA1237" s="81"/>
      <c r="BB1237" s="81">
        <f>Prog_23[[#This Row],[VLR NF]]*0.1%</f>
        <v>0</v>
      </c>
      <c r="BC1237" s="81">
        <f>Prog_23[[#This Row],[VLR NF]]*0.05%</f>
        <v>0</v>
      </c>
      <c r="BD1237" s="81"/>
      <c r="BE1237" s="81"/>
      <c r="BF1237" s="81"/>
      <c r="BG1237" s="81"/>
      <c r="BH1237" s="81"/>
      <c r="BI1237" s="81"/>
      <c r="BJ1237" s="81"/>
      <c r="BK1237" s="81"/>
      <c r="BL1237" s="81"/>
      <c r="BM1237" s="81"/>
      <c r="BN1237" s="66"/>
      <c r="BO1237" s="66"/>
      <c r="BP1237" s="66"/>
      <c r="BQ1237" s="66" t="str">
        <f>PROPER(TEXT(Prog_23[[#This Row],[PROGRAMAÇÃO CLIENTE]],"mmm"))</f>
        <v>Jan</v>
      </c>
      <c r="BR1237" s="66">
        <f>YEAR(Prog_23[[#This Row],[PROGRAMAÇÃO CLIENTE]])</f>
        <v>1900</v>
      </c>
    </row>
    <row r="1238" spans="1:70" x14ac:dyDescent="0.25">
      <c r="A1238" s="201">
        <f>Prog_23[[#This Row],[CONTEINER]]</f>
        <v>0</v>
      </c>
      <c r="B1238" s="86"/>
      <c r="C12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8" s="44"/>
      <c r="E1238" s="66"/>
      <c r="F1238" s="66"/>
      <c r="G1238" s="66"/>
      <c r="H1238" s="44"/>
      <c r="I1238" s="44"/>
      <c r="J1238" s="66"/>
      <c r="K1238" s="66"/>
      <c r="L1238" s="66"/>
      <c r="M1238" s="66"/>
      <c r="N1238" s="66">
        <f>SUM(Prog_23[[#This Row],[TARA]]+Prog_23[[#This Row],[PESO]])</f>
        <v>0</v>
      </c>
      <c r="O1238" s="44"/>
      <c r="P1238" s="66"/>
      <c r="Q1238" s="66"/>
      <c r="R1238" s="66"/>
      <c r="S1238" s="66"/>
      <c r="T1238" s="138" t="str">
        <f>IFERROR(LOOKUP($S1238,MOTORISTAS!$D$3:$D$916,MOTORISTAS!E$3:$E$916),"")</f>
        <v/>
      </c>
      <c r="U1238" s="138" t="str">
        <f>IFERROR(LOOKUP($S1238,MOTORISTAS!$D$3:$D$916,MOTORISTAS!F$3:$F$916),"")</f>
        <v/>
      </c>
      <c r="V1238" s="66"/>
      <c r="W1238" s="66"/>
      <c r="X1238" s="66"/>
      <c r="Y1238" s="66"/>
      <c r="Z1238" s="66"/>
      <c r="AA1238" s="66"/>
      <c r="AB1238" s="66"/>
      <c r="AC1238" s="66"/>
      <c r="AD1238" s="66"/>
      <c r="AE1238" s="66"/>
      <c r="AF1238" s="44"/>
      <c r="AG1238" s="254">
        <f>Prog_23[[#This Row],[SAÍDA DO CLIENTE]]-Prog_23[[#This Row],[PROGRAMAÇÃO CLIENTE]]</f>
        <v>0</v>
      </c>
      <c r="AH1238" s="44"/>
      <c r="AI1238" s="66"/>
      <c r="AJ1238" s="66"/>
      <c r="AK1238" s="66"/>
      <c r="AL1238" s="66"/>
      <c r="AM1238" s="66"/>
      <c r="AN1238" s="83"/>
      <c r="AO1238" s="83"/>
      <c r="AP1238" s="83"/>
      <c r="AQ1238" s="66"/>
      <c r="AR1238" s="66"/>
      <c r="AS1238" s="66"/>
      <c r="AT1238" s="81"/>
      <c r="AU1238" s="81"/>
      <c r="AV1238" s="81"/>
      <c r="AW1238" s="81"/>
      <c r="AX1238" s="83">
        <f>SUM(Prog_23[[#This Row],[ADIANTAMENTO]]+Prog_23[[#This Row],[SALDO]]+Prog_23[[#This Row],[MARGEM]]+Prog_23[[#This Row],[ESTADIA 1]])</f>
        <v>0</v>
      </c>
      <c r="AY12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8" s="81"/>
      <c r="BA1238" s="81"/>
      <c r="BB1238" s="81">
        <f>Prog_23[[#This Row],[VLR NF]]*0.1%</f>
        <v>0</v>
      </c>
      <c r="BC1238" s="81">
        <f>Prog_23[[#This Row],[VLR NF]]*0.05%</f>
        <v>0</v>
      </c>
      <c r="BD1238" s="81"/>
      <c r="BE1238" s="81"/>
      <c r="BF1238" s="81"/>
      <c r="BG1238" s="81"/>
      <c r="BH1238" s="81"/>
      <c r="BI1238" s="81"/>
      <c r="BJ1238" s="81"/>
      <c r="BK1238" s="81"/>
      <c r="BL1238" s="81"/>
      <c r="BM1238" s="81"/>
      <c r="BN1238" s="66"/>
      <c r="BO1238" s="66"/>
      <c r="BP1238" s="66"/>
      <c r="BQ1238" s="66" t="str">
        <f>PROPER(TEXT(Prog_23[[#This Row],[PROGRAMAÇÃO CLIENTE]],"mmm"))</f>
        <v>Jan</v>
      </c>
      <c r="BR1238" s="66">
        <f>YEAR(Prog_23[[#This Row],[PROGRAMAÇÃO CLIENTE]])</f>
        <v>1900</v>
      </c>
    </row>
    <row r="1239" spans="1:70" x14ac:dyDescent="0.25">
      <c r="A1239" s="200">
        <f>Prog_23[[#This Row],[CONTEINER]]</f>
        <v>0</v>
      </c>
      <c r="B1239" s="86"/>
      <c r="C12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39" s="44"/>
      <c r="E1239" s="66"/>
      <c r="F1239" s="66"/>
      <c r="G1239" s="66"/>
      <c r="H1239" s="44"/>
      <c r="I1239" s="44"/>
      <c r="J1239" s="66"/>
      <c r="K1239" s="66"/>
      <c r="L1239" s="66"/>
      <c r="M1239" s="66"/>
      <c r="N1239" s="66">
        <f>SUM(Prog_23[[#This Row],[TARA]]+Prog_23[[#This Row],[PESO]])</f>
        <v>0</v>
      </c>
      <c r="O1239" s="44"/>
      <c r="P1239" s="66"/>
      <c r="Q1239" s="66"/>
      <c r="R1239" s="66"/>
      <c r="S1239" s="66"/>
      <c r="T1239" s="138" t="str">
        <f>IFERROR(LOOKUP($S1239,MOTORISTAS!$D$3:$D$916,MOTORISTAS!E$3:$E$916),"")</f>
        <v/>
      </c>
      <c r="U1239" s="138" t="str">
        <f>IFERROR(LOOKUP($S1239,MOTORISTAS!$D$3:$D$916,MOTORISTAS!F$3:$F$916),"")</f>
        <v/>
      </c>
      <c r="V1239" s="66"/>
      <c r="W1239" s="66"/>
      <c r="X1239" s="66"/>
      <c r="Y1239" s="66"/>
      <c r="Z1239" s="66"/>
      <c r="AA1239" s="66"/>
      <c r="AB1239" s="66"/>
      <c r="AC1239" s="66"/>
      <c r="AD1239" s="66"/>
      <c r="AE1239" s="66"/>
      <c r="AF1239" s="44"/>
      <c r="AG1239" s="254">
        <f>Prog_23[[#This Row],[SAÍDA DO CLIENTE]]-Prog_23[[#This Row],[PROGRAMAÇÃO CLIENTE]]</f>
        <v>0</v>
      </c>
      <c r="AH1239" s="44"/>
      <c r="AI1239" s="66"/>
      <c r="AJ1239" s="66"/>
      <c r="AK1239" s="66"/>
      <c r="AL1239" s="66"/>
      <c r="AM1239" s="66"/>
      <c r="AN1239" s="83"/>
      <c r="AO1239" s="83"/>
      <c r="AP1239" s="83"/>
      <c r="AQ1239" s="66"/>
      <c r="AR1239" s="66"/>
      <c r="AS1239" s="66"/>
      <c r="AT1239" s="81"/>
      <c r="AU1239" s="81"/>
      <c r="AV1239" s="81"/>
      <c r="AW1239" s="81"/>
      <c r="AX1239" s="83">
        <f>SUM(Prog_23[[#This Row],[ADIANTAMENTO]]+Prog_23[[#This Row],[SALDO]]+Prog_23[[#This Row],[MARGEM]]+Prog_23[[#This Row],[ESTADIA 1]])</f>
        <v>0</v>
      </c>
      <c r="AY12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39" s="81"/>
      <c r="BA1239" s="81"/>
      <c r="BB1239" s="81">
        <f>Prog_23[[#This Row],[VLR NF]]*0.1%</f>
        <v>0</v>
      </c>
      <c r="BC1239" s="81">
        <f>Prog_23[[#This Row],[VLR NF]]*0.05%</f>
        <v>0</v>
      </c>
      <c r="BD1239" s="81"/>
      <c r="BE1239" s="81"/>
      <c r="BF1239" s="81"/>
      <c r="BG1239" s="81"/>
      <c r="BH1239" s="81"/>
      <c r="BI1239" s="81"/>
      <c r="BJ1239" s="81"/>
      <c r="BK1239" s="81"/>
      <c r="BL1239" s="81"/>
      <c r="BM1239" s="81"/>
      <c r="BN1239" s="66"/>
      <c r="BO1239" s="66"/>
      <c r="BP1239" s="66"/>
      <c r="BQ1239" s="66" t="str">
        <f>PROPER(TEXT(Prog_23[[#This Row],[PROGRAMAÇÃO CLIENTE]],"mmm"))</f>
        <v>Jan</v>
      </c>
      <c r="BR1239" s="66">
        <f>YEAR(Prog_23[[#This Row],[PROGRAMAÇÃO CLIENTE]])</f>
        <v>1900</v>
      </c>
    </row>
    <row r="1240" spans="1:70" x14ac:dyDescent="0.25">
      <c r="A1240" s="201">
        <f>Prog_23[[#This Row],[CONTEINER]]</f>
        <v>0</v>
      </c>
      <c r="B1240" s="86"/>
      <c r="C12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40" s="44"/>
      <c r="E1240" s="66"/>
      <c r="F1240" s="66"/>
      <c r="G1240" s="66"/>
      <c r="H1240" s="44"/>
      <c r="I1240" s="44"/>
      <c r="J1240" s="66"/>
      <c r="K1240" s="66"/>
      <c r="L1240" s="66"/>
      <c r="M1240" s="66"/>
      <c r="N1240" s="66">
        <f>SUM(Prog_23[[#This Row],[TARA]]+Prog_23[[#This Row],[PESO]])</f>
        <v>0</v>
      </c>
      <c r="O1240" s="44"/>
      <c r="P1240" s="66"/>
      <c r="Q1240" s="66"/>
      <c r="R1240" s="66"/>
      <c r="S1240" s="66"/>
      <c r="T1240" s="138" t="str">
        <f>IFERROR(LOOKUP($S1240,MOTORISTAS!$D$3:$D$916,MOTORISTAS!E$3:$E$916),"")</f>
        <v/>
      </c>
      <c r="U1240" s="138" t="str">
        <f>IFERROR(LOOKUP($S1240,MOTORISTAS!$D$3:$D$916,MOTORISTAS!F$3:$F$916),"")</f>
        <v/>
      </c>
      <c r="V1240" s="66"/>
      <c r="W1240" s="66"/>
      <c r="X1240" s="66"/>
      <c r="Y1240" s="66"/>
      <c r="Z1240" s="66"/>
      <c r="AA1240" s="66"/>
      <c r="AB1240" s="66"/>
      <c r="AC1240" s="66"/>
      <c r="AD1240" s="66"/>
      <c r="AE1240" s="66"/>
      <c r="AF1240" s="44"/>
      <c r="AG1240" s="254">
        <f>Prog_23[[#This Row],[SAÍDA DO CLIENTE]]-Prog_23[[#This Row],[PROGRAMAÇÃO CLIENTE]]</f>
        <v>0</v>
      </c>
      <c r="AH1240" s="44"/>
      <c r="AI1240" s="66"/>
      <c r="AJ1240" s="66"/>
      <c r="AK1240" s="66"/>
      <c r="AL1240" s="66"/>
      <c r="AM1240" s="66"/>
      <c r="AN1240" s="83"/>
      <c r="AO1240" s="83"/>
      <c r="AP1240" s="83"/>
      <c r="AQ1240" s="66"/>
      <c r="AR1240" s="66"/>
      <c r="AS1240" s="66"/>
      <c r="AT1240" s="81"/>
      <c r="AU1240" s="81"/>
      <c r="AV1240" s="81"/>
      <c r="AW1240" s="81"/>
      <c r="AX1240" s="83">
        <f>SUM(Prog_23[[#This Row],[ADIANTAMENTO]]+Prog_23[[#This Row],[SALDO]]+Prog_23[[#This Row],[MARGEM]]+Prog_23[[#This Row],[ESTADIA 1]])</f>
        <v>0</v>
      </c>
      <c r="AY12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40" s="81"/>
      <c r="BA1240" s="81"/>
      <c r="BB1240" s="81">
        <f>Prog_23[[#This Row],[VLR NF]]*0.1%</f>
        <v>0</v>
      </c>
      <c r="BC1240" s="81">
        <f>Prog_23[[#This Row],[VLR NF]]*0.05%</f>
        <v>0</v>
      </c>
      <c r="BD1240" s="81"/>
      <c r="BE1240" s="81"/>
      <c r="BF1240" s="81"/>
      <c r="BG1240" s="81"/>
      <c r="BH1240" s="81"/>
      <c r="BI1240" s="81"/>
      <c r="BJ1240" s="81"/>
      <c r="BK1240" s="81"/>
      <c r="BL1240" s="81"/>
      <c r="BM1240" s="81"/>
      <c r="BN1240" s="66"/>
      <c r="BO1240" s="66"/>
      <c r="BP1240" s="66"/>
      <c r="BQ1240" s="66" t="str">
        <f>PROPER(TEXT(Prog_23[[#This Row],[PROGRAMAÇÃO CLIENTE]],"mmm"))</f>
        <v>Jan</v>
      </c>
      <c r="BR1240" s="66">
        <f>YEAR(Prog_23[[#This Row],[PROGRAMAÇÃO CLIENTE]])</f>
        <v>1900</v>
      </c>
    </row>
    <row r="1241" spans="1:70" x14ac:dyDescent="0.25">
      <c r="A1241" s="200">
        <f>Prog_23[[#This Row],[CONTEINER]]</f>
        <v>0</v>
      </c>
      <c r="B1241" s="86"/>
      <c r="C12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41" s="44"/>
      <c r="E1241" s="66"/>
      <c r="F1241" s="66"/>
      <c r="G1241" s="66"/>
      <c r="H1241" s="44"/>
      <c r="I1241" s="44"/>
      <c r="J1241" s="66"/>
      <c r="K1241" s="66"/>
      <c r="L1241" s="66"/>
      <c r="M1241" s="66"/>
      <c r="N1241" s="66">
        <f>SUM(Prog_23[[#This Row],[TARA]]+Prog_23[[#This Row],[PESO]])</f>
        <v>0</v>
      </c>
      <c r="O1241" s="44"/>
      <c r="P1241" s="66"/>
      <c r="Q1241" s="66"/>
      <c r="R1241" s="66"/>
      <c r="S1241" s="66"/>
      <c r="T1241" s="138" t="str">
        <f>IFERROR(LOOKUP($S1241,MOTORISTAS!$D$3:$D$916,MOTORISTAS!E$3:$E$916),"")</f>
        <v/>
      </c>
      <c r="U1241" s="138" t="str">
        <f>IFERROR(LOOKUP($S1241,MOTORISTAS!$D$3:$D$916,MOTORISTAS!F$3:$F$916),"")</f>
        <v/>
      </c>
      <c r="V1241" s="66"/>
      <c r="W1241" s="66"/>
      <c r="X1241" s="66"/>
      <c r="Y1241" s="66"/>
      <c r="Z1241" s="66"/>
      <c r="AA1241" s="66"/>
      <c r="AB1241" s="66"/>
      <c r="AC1241" s="66"/>
      <c r="AD1241" s="66"/>
      <c r="AE1241" s="66"/>
      <c r="AF1241" s="44"/>
      <c r="AG1241" s="254">
        <f>Prog_23[[#This Row],[SAÍDA DO CLIENTE]]-Prog_23[[#This Row],[PROGRAMAÇÃO CLIENTE]]</f>
        <v>0</v>
      </c>
      <c r="AH1241" s="44"/>
      <c r="AI1241" s="66"/>
      <c r="AJ1241" s="66"/>
      <c r="AK1241" s="66"/>
      <c r="AL1241" s="66"/>
      <c r="AM1241" s="66"/>
      <c r="AN1241" s="83"/>
      <c r="AO1241" s="83"/>
      <c r="AP1241" s="83"/>
      <c r="AQ1241" s="66"/>
      <c r="AR1241" s="66"/>
      <c r="AS1241" s="66"/>
      <c r="AT1241" s="81"/>
      <c r="AU1241" s="81"/>
      <c r="AV1241" s="81"/>
      <c r="AW1241" s="81"/>
      <c r="AX1241" s="83">
        <f>SUM(Prog_23[[#This Row],[ADIANTAMENTO]]+Prog_23[[#This Row],[SALDO]]+Prog_23[[#This Row],[MARGEM]]+Prog_23[[#This Row],[ESTADIA 1]])</f>
        <v>0</v>
      </c>
      <c r="AY12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41" s="81"/>
      <c r="BA1241" s="81"/>
      <c r="BB1241" s="81">
        <f>Prog_23[[#This Row],[VLR NF]]*0.1%</f>
        <v>0</v>
      </c>
      <c r="BC1241" s="81">
        <f>Prog_23[[#This Row],[VLR NF]]*0.05%</f>
        <v>0</v>
      </c>
      <c r="BD1241" s="81"/>
      <c r="BE1241" s="81"/>
      <c r="BF1241" s="81"/>
      <c r="BG1241" s="81"/>
      <c r="BH1241" s="81"/>
      <c r="BI1241" s="81"/>
      <c r="BJ1241" s="81"/>
      <c r="BK1241" s="81"/>
      <c r="BL1241" s="81"/>
      <c r="BM1241" s="81"/>
      <c r="BN1241" s="66"/>
      <c r="BO1241" s="66"/>
      <c r="BP1241" s="66"/>
      <c r="BQ1241" s="66" t="str">
        <f>PROPER(TEXT(Prog_23[[#This Row],[PROGRAMAÇÃO CLIENTE]],"mmm"))</f>
        <v>Jan</v>
      </c>
      <c r="BR1241" s="66">
        <f>YEAR(Prog_23[[#This Row],[PROGRAMAÇÃO CLIENTE]])</f>
        <v>1900</v>
      </c>
    </row>
    <row r="1242" spans="1:70" x14ac:dyDescent="0.25">
      <c r="A1242" s="201">
        <f>Prog_23[[#This Row],[CONTEINER]]</f>
        <v>0</v>
      </c>
      <c r="B1242" s="86"/>
      <c r="C12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42" s="44"/>
      <c r="E1242" s="66"/>
      <c r="F1242" s="66"/>
      <c r="G1242" s="66"/>
      <c r="H1242" s="44"/>
      <c r="I1242" s="44"/>
      <c r="J1242" s="66"/>
      <c r="K1242" s="66"/>
      <c r="L1242" s="66"/>
      <c r="M1242" s="66"/>
      <c r="N1242" s="66">
        <f>SUM(Prog_23[[#This Row],[TARA]]+Prog_23[[#This Row],[PESO]])</f>
        <v>0</v>
      </c>
      <c r="O1242" s="44"/>
      <c r="P1242" s="66"/>
      <c r="Q1242" s="66"/>
      <c r="R1242" s="66"/>
      <c r="S1242" s="66"/>
      <c r="T1242" s="138" t="str">
        <f>IFERROR(LOOKUP($S1242,MOTORISTAS!$D$3:$D$916,MOTORISTAS!E$3:$E$916),"")</f>
        <v/>
      </c>
      <c r="U1242" s="138" t="str">
        <f>IFERROR(LOOKUP($S1242,MOTORISTAS!$D$3:$D$916,MOTORISTAS!F$3:$F$916),"")</f>
        <v/>
      </c>
      <c r="V1242" s="66"/>
      <c r="W1242" s="66"/>
      <c r="X1242" s="66"/>
      <c r="Y1242" s="66"/>
      <c r="Z1242" s="66"/>
      <c r="AA1242" s="66"/>
      <c r="AB1242" s="66"/>
      <c r="AC1242" s="66"/>
      <c r="AD1242" s="66"/>
      <c r="AE1242" s="66"/>
      <c r="AF1242" s="44"/>
      <c r="AG1242" s="254">
        <f>Prog_23[[#This Row],[SAÍDA DO CLIENTE]]-Prog_23[[#This Row],[PROGRAMAÇÃO CLIENTE]]</f>
        <v>0</v>
      </c>
      <c r="AH1242" s="44"/>
      <c r="AI1242" s="66"/>
      <c r="AJ1242" s="66"/>
      <c r="AK1242" s="66"/>
      <c r="AL1242" s="66"/>
      <c r="AM1242" s="66"/>
      <c r="AN1242" s="83"/>
      <c r="AO1242" s="83"/>
      <c r="AP1242" s="83"/>
      <c r="AQ1242" s="66"/>
      <c r="AR1242" s="66"/>
      <c r="AS1242" s="66"/>
      <c r="AT1242" s="81"/>
      <c r="AU1242" s="81"/>
      <c r="AV1242" s="81"/>
      <c r="AW1242" s="81"/>
      <c r="AX1242" s="83">
        <f>SUM(Prog_23[[#This Row],[ADIANTAMENTO]]+Prog_23[[#This Row],[SALDO]]+Prog_23[[#This Row],[MARGEM]]+Prog_23[[#This Row],[ESTADIA 1]])</f>
        <v>0</v>
      </c>
      <c r="AY12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42" s="81"/>
      <c r="BA1242" s="81"/>
      <c r="BB1242" s="81">
        <f>Prog_23[[#This Row],[VLR NF]]*0.1%</f>
        <v>0</v>
      </c>
      <c r="BC1242" s="81">
        <f>Prog_23[[#This Row],[VLR NF]]*0.05%</f>
        <v>0</v>
      </c>
      <c r="BD1242" s="81"/>
      <c r="BE1242" s="81"/>
      <c r="BF1242" s="81"/>
      <c r="BG1242" s="81"/>
      <c r="BH1242" s="81"/>
      <c r="BI1242" s="81"/>
      <c r="BJ1242" s="81"/>
      <c r="BK1242" s="81"/>
      <c r="BL1242" s="81"/>
      <c r="BM1242" s="81"/>
      <c r="BN1242" s="66"/>
      <c r="BO1242" s="66"/>
      <c r="BP1242" s="66"/>
      <c r="BQ1242" s="66" t="str">
        <f>PROPER(TEXT(Prog_23[[#This Row],[PROGRAMAÇÃO CLIENTE]],"mmm"))</f>
        <v>Jan</v>
      </c>
      <c r="BR1242" s="66">
        <f>YEAR(Prog_23[[#This Row],[PROGRAMAÇÃO CLIENTE]])</f>
        <v>1900</v>
      </c>
    </row>
    <row r="1243" spans="1:70" x14ac:dyDescent="0.25">
      <c r="A1243" s="200">
        <f>Prog_23[[#This Row],[CONTEINER]]</f>
        <v>0</v>
      </c>
      <c r="B1243" s="86"/>
      <c r="C12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43" s="44"/>
      <c r="E1243" s="66"/>
      <c r="F1243" s="66"/>
      <c r="G1243" s="66"/>
      <c r="H1243" s="44"/>
      <c r="I1243" s="44"/>
      <c r="J1243" s="66"/>
      <c r="K1243" s="66"/>
      <c r="L1243" s="66"/>
      <c r="M1243" s="66"/>
      <c r="N1243" s="66">
        <f>SUM(Prog_23[[#This Row],[TARA]]+Prog_23[[#This Row],[PESO]])</f>
        <v>0</v>
      </c>
      <c r="O1243" s="44"/>
      <c r="P1243" s="66"/>
      <c r="Q1243" s="66"/>
      <c r="R1243" s="66"/>
      <c r="S1243" s="66"/>
      <c r="T1243" s="138" t="str">
        <f>IFERROR(LOOKUP($S1243,MOTORISTAS!$D$3:$D$916,MOTORISTAS!E$3:$E$916),"")</f>
        <v/>
      </c>
      <c r="U1243" s="138" t="str">
        <f>IFERROR(LOOKUP($S1243,MOTORISTAS!$D$3:$D$916,MOTORISTAS!F$3:$F$916),"")</f>
        <v/>
      </c>
      <c r="V1243" s="66"/>
      <c r="W1243" s="66"/>
      <c r="X1243" s="66"/>
      <c r="Y1243" s="66"/>
      <c r="Z1243" s="66"/>
      <c r="AA1243" s="66"/>
      <c r="AB1243" s="66"/>
      <c r="AC1243" s="66"/>
      <c r="AD1243" s="66"/>
      <c r="AE1243" s="66"/>
      <c r="AF1243" s="44"/>
      <c r="AG1243" s="254">
        <f>Prog_23[[#This Row],[SAÍDA DO CLIENTE]]-Prog_23[[#This Row],[PROGRAMAÇÃO CLIENTE]]</f>
        <v>0</v>
      </c>
      <c r="AH1243" s="44"/>
      <c r="AI1243" s="66"/>
      <c r="AJ1243" s="66"/>
      <c r="AK1243" s="66"/>
      <c r="AL1243" s="66"/>
      <c r="AM1243" s="66"/>
      <c r="AN1243" s="83"/>
      <c r="AO1243" s="83"/>
      <c r="AP1243" s="83"/>
      <c r="AQ1243" s="66"/>
      <c r="AR1243" s="66"/>
      <c r="AS1243" s="66"/>
      <c r="AT1243" s="81"/>
      <c r="AU1243" s="81"/>
      <c r="AV1243" s="81"/>
      <c r="AW1243" s="81"/>
      <c r="AX1243" s="83">
        <f>SUM(Prog_23[[#This Row],[ADIANTAMENTO]]+Prog_23[[#This Row],[SALDO]]+Prog_23[[#This Row],[MARGEM]]+Prog_23[[#This Row],[ESTADIA 1]])</f>
        <v>0</v>
      </c>
      <c r="AY12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43" s="81"/>
      <c r="BA1243" s="81"/>
      <c r="BB1243" s="81">
        <f>Prog_23[[#This Row],[VLR NF]]*0.1%</f>
        <v>0</v>
      </c>
      <c r="BC1243" s="81">
        <f>Prog_23[[#This Row],[VLR NF]]*0.05%</f>
        <v>0</v>
      </c>
      <c r="BD1243" s="81"/>
      <c r="BE1243" s="81"/>
      <c r="BF1243" s="81"/>
      <c r="BG1243" s="81"/>
      <c r="BH1243" s="81"/>
      <c r="BI1243" s="81"/>
      <c r="BJ1243" s="81"/>
      <c r="BK1243" s="81"/>
      <c r="BL1243" s="81"/>
      <c r="BM1243" s="81"/>
      <c r="BN1243" s="66"/>
      <c r="BO1243" s="66"/>
      <c r="BP1243" s="66"/>
      <c r="BQ1243" s="66" t="str">
        <f>PROPER(TEXT(Prog_23[[#This Row],[PROGRAMAÇÃO CLIENTE]],"mmm"))</f>
        <v>Jan</v>
      </c>
      <c r="BR1243" s="66">
        <f>YEAR(Prog_23[[#This Row],[PROGRAMAÇÃO CLIENTE]])</f>
        <v>1900</v>
      </c>
    </row>
    <row r="1244" spans="1:70" x14ac:dyDescent="0.25">
      <c r="A1244" s="201">
        <f>Prog_23[[#This Row],[CONTEINER]]</f>
        <v>0</v>
      </c>
      <c r="B1244" s="86"/>
      <c r="C12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44" s="44"/>
      <c r="E1244" s="66"/>
      <c r="F1244" s="66"/>
      <c r="G1244" s="66"/>
      <c r="H1244" s="44"/>
      <c r="I1244" s="44"/>
      <c r="J1244" s="66"/>
      <c r="K1244" s="66"/>
      <c r="L1244" s="66"/>
      <c r="M1244" s="66"/>
      <c r="N1244" s="66">
        <f>SUM(Prog_23[[#This Row],[TARA]]+Prog_23[[#This Row],[PESO]])</f>
        <v>0</v>
      </c>
      <c r="O1244" s="44"/>
      <c r="P1244" s="66"/>
      <c r="Q1244" s="66"/>
      <c r="R1244" s="66"/>
      <c r="S1244" s="66"/>
      <c r="T1244" s="138" t="str">
        <f>IFERROR(LOOKUP($S1244,MOTORISTAS!$D$3:$D$916,MOTORISTAS!E$3:$E$916),"")</f>
        <v/>
      </c>
      <c r="U1244" s="138" t="str">
        <f>IFERROR(LOOKUP($S1244,MOTORISTAS!$D$3:$D$916,MOTORISTAS!F$3:$F$916),"")</f>
        <v/>
      </c>
      <c r="V1244" s="66"/>
      <c r="W1244" s="66"/>
      <c r="X1244" s="66"/>
      <c r="Y1244" s="66"/>
      <c r="Z1244" s="66"/>
      <c r="AA1244" s="66"/>
      <c r="AB1244" s="66"/>
      <c r="AC1244" s="66"/>
      <c r="AD1244" s="66"/>
      <c r="AE1244" s="66"/>
      <c r="AF1244" s="44"/>
      <c r="AG1244" s="254">
        <f>Prog_23[[#This Row],[SAÍDA DO CLIENTE]]-Prog_23[[#This Row],[PROGRAMAÇÃO CLIENTE]]</f>
        <v>0</v>
      </c>
      <c r="AH1244" s="44"/>
      <c r="AI1244" s="66"/>
      <c r="AJ1244" s="66"/>
      <c r="AK1244" s="66"/>
      <c r="AL1244" s="66"/>
      <c r="AM1244" s="66"/>
      <c r="AN1244" s="83"/>
      <c r="AO1244" s="83"/>
      <c r="AP1244" s="83"/>
      <c r="AQ1244" s="66"/>
      <c r="AR1244" s="66"/>
      <c r="AS1244" s="66"/>
      <c r="AT1244" s="81"/>
      <c r="AU1244" s="81"/>
      <c r="AV1244" s="81"/>
      <c r="AW1244" s="81"/>
      <c r="AX1244" s="83">
        <f>SUM(Prog_23[[#This Row],[ADIANTAMENTO]]+Prog_23[[#This Row],[SALDO]]+Prog_23[[#This Row],[MARGEM]]+Prog_23[[#This Row],[ESTADIA 1]])</f>
        <v>0</v>
      </c>
      <c r="AY12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44" s="81"/>
      <c r="BA1244" s="81"/>
      <c r="BB1244" s="81">
        <f>Prog_23[[#This Row],[VLR NF]]*0.1%</f>
        <v>0</v>
      </c>
      <c r="BC1244" s="81">
        <f>Prog_23[[#This Row],[VLR NF]]*0.05%</f>
        <v>0</v>
      </c>
      <c r="BD1244" s="81"/>
      <c r="BE1244" s="81"/>
      <c r="BF1244" s="81"/>
      <c r="BG1244" s="81"/>
      <c r="BH1244" s="81"/>
      <c r="BI1244" s="81"/>
      <c r="BJ1244" s="81"/>
      <c r="BK1244" s="81"/>
      <c r="BL1244" s="81"/>
      <c r="BM1244" s="81"/>
      <c r="BN1244" s="66"/>
      <c r="BO1244" s="66"/>
      <c r="BP1244" s="66"/>
      <c r="BQ1244" s="66" t="str">
        <f>PROPER(TEXT(Prog_23[[#This Row],[PROGRAMAÇÃO CLIENTE]],"mmm"))</f>
        <v>Jan</v>
      </c>
      <c r="BR1244" s="66">
        <f>YEAR(Prog_23[[#This Row],[PROGRAMAÇÃO CLIENTE]])</f>
        <v>1900</v>
      </c>
    </row>
    <row r="1245" spans="1:70" x14ac:dyDescent="0.25">
      <c r="A1245" s="200">
        <f>Prog_23[[#This Row],[CONTEINER]]</f>
        <v>0</v>
      </c>
      <c r="B1245" s="86"/>
      <c r="C12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45" s="44"/>
      <c r="E1245" s="66"/>
      <c r="F1245" s="66"/>
      <c r="G1245" s="66"/>
      <c r="H1245" s="44"/>
      <c r="I1245" s="44"/>
      <c r="J1245" s="66"/>
      <c r="K1245" s="66"/>
      <c r="L1245" s="66"/>
      <c r="M1245" s="66"/>
      <c r="N1245" s="66">
        <f>SUM(Prog_23[[#This Row],[TARA]]+Prog_23[[#This Row],[PESO]])</f>
        <v>0</v>
      </c>
      <c r="O1245" s="44"/>
      <c r="P1245" s="66"/>
      <c r="Q1245" s="66"/>
      <c r="R1245" s="66"/>
      <c r="S1245" s="66"/>
      <c r="T1245" s="138" t="str">
        <f>IFERROR(LOOKUP($S1245,MOTORISTAS!$D$3:$D$916,MOTORISTAS!E$3:$E$916),"")</f>
        <v/>
      </c>
      <c r="U1245" s="138" t="str">
        <f>IFERROR(LOOKUP($S1245,MOTORISTAS!$D$3:$D$916,MOTORISTAS!F$3:$F$916),"")</f>
        <v/>
      </c>
      <c r="V1245" s="66"/>
      <c r="W1245" s="66"/>
      <c r="X1245" s="66"/>
      <c r="Y1245" s="66"/>
      <c r="Z1245" s="66"/>
      <c r="AA1245" s="66"/>
      <c r="AB1245" s="66"/>
      <c r="AC1245" s="66"/>
      <c r="AD1245" s="66"/>
      <c r="AE1245" s="66"/>
      <c r="AF1245" s="44"/>
      <c r="AG1245" s="254">
        <f>Prog_23[[#This Row],[SAÍDA DO CLIENTE]]-Prog_23[[#This Row],[PROGRAMAÇÃO CLIENTE]]</f>
        <v>0</v>
      </c>
      <c r="AH1245" s="44"/>
      <c r="AI1245" s="66"/>
      <c r="AJ1245" s="66"/>
      <c r="AK1245" s="66"/>
      <c r="AL1245" s="66"/>
      <c r="AM1245" s="66"/>
      <c r="AN1245" s="83"/>
      <c r="AO1245" s="83"/>
      <c r="AP1245" s="83"/>
      <c r="AQ1245" s="66"/>
      <c r="AR1245" s="66"/>
      <c r="AS1245" s="66"/>
      <c r="AT1245" s="81"/>
      <c r="AU1245" s="81"/>
      <c r="AV1245" s="81"/>
      <c r="AW1245" s="81"/>
      <c r="AX1245" s="83">
        <f>SUM(Prog_23[[#This Row],[ADIANTAMENTO]]+Prog_23[[#This Row],[SALDO]]+Prog_23[[#This Row],[MARGEM]]+Prog_23[[#This Row],[ESTADIA 1]])</f>
        <v>0</v>
      </c>
      <c r="AY12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45" s="81"/>
      <c r="BA1245" s="81"/>
      <c r="BB1245" s="81">
        <f>Prog_23[[#This Row],[VLR NF]]*0.1%</f>
        <v>0</v>
      </c>
      <c r="BC1245" s="81">
        <f>Prog_23[[#This Row],[VLR NF]]*0.05%</f>
        <v>0</v>
      </c>
      <c r="BD1245" s="81"/>
      <c r="BE1245" s="81"/>
      <c r="BF1245" s="81"/>
      <c r="BG1245" s="81"/>
      <c r="BH1245" s="81"/>
      <c r="BI1245" s="81"/>
      <c r="BJ1245" s="81"/>
      <c r="BK1245" s="81"/>
      <c r="BL1245" s="81"/>
      <c r="BM1245" s="81"/>
      <c r="BN1245" s="66"/>
      <c r="BO1245" s="66"/>
      <c r="BP1245" s="66"/>
      <c r="BQ1245" s="66" t="str">
        <f>PROPER(TEXT(Prog_23[[#This Row],[PROGRAMAÇÃO CLIENTE]],"mmm"))</f>
        <v>Jan</v>
      </c>
      <c r="BR1245" s="66">
        <f>YEAR(Prog_23[[#This Row],[PROGRAMAÇÃO CLIENTE]])</f>
        <v>1900</v>
      </c>
    </row>
    <row r="1246" spans="1:70" x14ac:dyDescent="0.25">
      <c r="A1246" s="201">
        <f>Prog_23[[#This Row],[CONTEINER]]</f>
        <v>0</v>
      </c>
      <c r="B1246" s="86"/>
      <c r="C12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46" s="44"/>
      <c r="E1246" s="66"/>
      <c r="F1246" s="66"/>
      <c r="G1246" s="66"/>
      <c r="H1246" s="44"/>
      <c r="I1246" s="44"/>
      <c r="J1246" s="66"/>
      <c r="K1246" s="66"/>
      <c r="L1246" s="66"/>
      <c r="M1246" s="66"/>
      <c r="N1246" s="66">
        <f>SUM(Prog_23[[#This Row],[TARA]]+Prog_23[[#This Row],[PESO]])</f>
        <v>0</v>
      </c>
      <c r="O1246" s="44"/>
      <c r="P1246" s="66"/>
      <c r="Q1246" s="66"/>
      <c r="R1246" s="66"/>
      <c r="S1246" s="66"/>
      <c r="T1246" s="138" t="str">
        <f>IFERROR(LOOKUP($S1246,MOTORISTAS!$D$3:$D$916,MOTORISTAS!E$3:$E$916),"")</f>
        <v/>
      </c>
      <c r="U1246" s="138" t="str">
        <f>IFERROR(LOOKUP($S1246,MOTORISTAS!$D$3:$D$916,MOTORISTAS!F$3:$F$916),"")</f>
        <v/>
      </c>
      <c r="V1246" s="66"/>
      <c r="W1246" s="66"/>
      <c r="X1246" s="66"/>
      <c r="Y1246" s="66"/>
      <c r="Z1246" s="66"/>
      <c r="AA1246" s="66"/>
      <c r="AB1246" s="66"/>
      <c r="AC1246" s="66"/>
      <c r="AD1246" s="66"/>
      <c r="AE1246" s="66"/>
      <c r="AF1246" s="44"/>
      <c r="AG1246" s="254">
        <f>Prog_23[[#This Row],[SAÍDA DO CLIENTE]]-Prog_23[[#This Row],[PROGRAMAÇÃO CLIENTE]]</f>
        <v>0</v>
      </c>
      <c r="AH1246" s="44"/>
      <c r="AI1246" s="66"/>
      <c r="AJ1246" s="66"/>
      <c r="AK1246" s="66"/>
      <c r="AL1246" s="66"/>
      <c r="AM1246" s="66"/>
      <c r="AN1246" s="83"/>
      <c r="AO1246" s="83"/>
      <c r="AP1246" s="83"/>
      <c r="AQ1246" s="66"/>
      <c r="AR1246" s="66"/>
      <c r="AS1246" s="66"/>
      <c r="AT1246" s="81"/>
      <c r="AU1246" s="81"/>
      <c r="AV1246" s="81"/>
      <c r="AW1246" s="81"/>
      <c r="AX1246" s="83">
        <f>SUM(Prog_23[[#This Row],[ADIANTAMENTO]]+Prog_23[[#This Row],[SALDO]]+Prog_23[[#This Row],[MARGEM]]+Prog_23[[#This Row],[ESTADIA 1]])</f>
        <v>0</v>
      </c>
      <c r="AY12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46" s="81"/>
      <c r="BA1246" s="81"/>
      <c r="BB1246" s="81">
        <f>Prog_23[[#This Row],[VLR NF]]*0.1%</f>
        <v>0</v>
      </c>
      <c r="BC1246" s="81">
        <f>Prog_23[[#This Row],[VLR NF]]*0.05%</f>
        <v>0</v>
      </c>
      <c r="BD1246" s="81"/>
      <c r="BE1246" s="81"/>
      <c r="BF1246" s="81"/>
      <c r="BG1246" s="81"/>
      <c r="BH1246" s="81"/>
      <c r="BI1246" s="81"/>
      <c r="BJ1246" s="81"/>
      <c r="BK1246" s="81"/>
      <c r="BL1246" s="81"/>
      <c r="BM1246" s="81"/>
      <c r="BN1246" s="66"/>
      <c r="BO1246" s="66"/>
      <c r="BP1246" s="66"/>
      <c r="BQ1246" s="66" t="str">
        <f>PROPER(TEXT(Prog_23[[#This Row],[PROGRAMAÇÃO CLIENTE]],"mmm"))</f>
        <v>Jan</v>
      </c>
      <c r="BR1246" s="66">
        <f>YEAR(Prog_23[[#This Row],[PROGRAMAÇÃO CLIENTE]])</f>
        <v>1900</v>
      </c>
    </row>
    <row r="1247" spans="1:70" x14ac:dyDescent="0.25">
      <c r="A1247" s="200">
        <f>Prog_23[[#This Row],[CONTEINER]]</f>
        <v>0</v>
      </c>
      <c r="B1247" s="86"/>
      <c r="C12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47" s="44"/>
      <c r="E1247" s="66"/>
      <c r="F1247" s="66"/>
      <c r="G1247" s="66"/>
      <c r="H1247" s="44"/>
      <c r="I1247" s="44"/>
      <c r="J1247" s="66"/>
      <c r="K1247" s="66"/>
      <c r="L1247" s="66"/>
      <c r="M1247" s="66"/>
      <c r="N1247" s="66">
        <f>SUM(Prog_23[[#This Row],[TARA]]+Prog_23[[#This Row],[PESO]])</f>
        <v>0</v>
      </c>
      <c r="O1247" s="44"/>
      <c r="P1247" s="66"/>
      <c r="Q1247" s="66"/>
      <c r="R1247" s="66"/>
      <c r="S1247" s="66"/>
      <c r="T1247" s="138" t="str">
        <f>IFERROR(LOOKUP($S1247,MOTORISTAS!$D$3:$D$916,MOTORISTAS!E$3:$E$916),"")</f>
        <v/>
      </c>
      <c r="U1247" s="138" t="str">
        <f>IFERROR(LOOKUP($S1247,MOTORISTAS!$D$3:$D$916,MOTORISTAS!F$3:$F$916),"")</f>
        <v/>
      </c>
      <c r="V1247" s="66"/>
      <c r="W1247" s="66"/>
      <c r="X1247" s="66"/>
      <c r="Y1247" s="66"/>
      <c r="Z1247" s="66"/>
      <c r="AA1247" s="66"/>
      <c r="AB1247" s="66"/>
      <c r="AC1247" s="66"/>
      <c r="AD1247" s="66"/>
      <c r="AE1247" s="66"/>
      <c r="AF1247" s="44"/>
      <c r="AG1247" s="254">
        <f>Prog_23[[#This Row],[SAÍDA DO CLIENTE]]-Prog_23[[#This Row],[PROGRAMAÇÃO CLIENTE]]</f>
        <v>0</v>
      </c>
      <c r="AH1247" s="44"/>
      <c r="AI1247" s="66"/>
      <c r="AJ1247" s="66"/>
      <c r="AK1247" s="66"/>
      <c r="AL1247" s="66"/>
      <c r="AM1247" s="66"/>
      <c r="AN1247" s="83"/>
      <c r="AO1247" s="83"/>
      <c r="AP1247" s="83"/>
      <c r="AQ1247" s="66"/>
      <c r="AR1247" s="66"/>
      <c r="AS1247" s="66"/>
      <c r="AT1247" s="81"/>
      <c r="AU1247" s="81"/>
      <c r="AV1247" s="81"/>
      <c r="AW1247" s="81"/>
      <c r="AX1247" s="83">
        <f>SUM(Prog_23[[#This Row],[ADIANTAMENTO]]+Prog_23[[#This Row],[SALDO]]+Prog_23[[#This Row],[MARGEM]]+Prog_23[[#This Row],[ESTADIA 1]])</f>
        <v>0</v>
      </c>
      <c r="AY12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47" s="81"/>
      <c r="BA1247" s="81"/>
      <c r="BB1247" s="81">
        <f>Prog_23[[#This Row],[VLR NF]]*0.1%</f>
        <v>0</v>
      </c>
      <c r="BC1247" s="81">
        <f>Prog_23[[#This Row],[VLR NF]]*0.05%</f>
        <v>0</v>
      </c>
      <c r="BD1247" s="81"/>
      <c r="BE1247" s="81"/>
      <c r="BF1247" s="81"/>
      <c r="BG1247" s="81"/>
      <c r="BH1247" s="81"/>
      <c r="BI1247" s="81"/>
      <c r="BJ1247" s="81"/>
      <c r="BK1247" s="81"/>
      <c r="BL1247" s="81"/>
      <c r="BM1247" s="81"/>
      <c r="BN1247" s="66"/>
      <c r="BO1247" s="66"/>
      <c r="BP1247" s="66"/>
      <c r="BQ1247" s="66" t="str">
        <f>PROPER(TEXT(Prog_23[[#This Row],[PROGRAMAÇÃO CLIENTE]],"mmm"))</f>
        <v>Jan</v>
      </c>
      <c r="BR1247" s="66">
        <f>YEAR(Prog_23[[#This Row],[PROGRAMAÇÃO CLIENTE]])</f>
        <v>1900</v>
      </c>
    </row>
    <row r="1248" spans="1:70" x14ac:dyDescent="0.25">
      <c r="A1248" s="201">
        <f>Prog_23[[#This Row],[CONTEINER]]</f>
        <v>0</v>
      </c>
      <c r="B1248" s="86"/>
      <c r="C12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48" s="44"/>
      <c r="E1248" s="66"/>
      <c r="F1248" s="66"/>
      <c r="G1248" s="66"/>
      <c r="H1248" s="44"/>
      <c r="I1248" s="44"/>
      <c r="J1248" s="66"/>
      <c r="K1248" s="66"/>
      <c r="L1248" s="66"/>
      <c r="M1248" s="66"/>
      <c r="N1248" s="66">
        <f>SUM(Prog_23[[#This Row],[TARA]]+Prog_23[[#This Row],[PESO]])</f>
        <v>0</v>
      </c>
      <c r="O1248" s="44"/>
      <c r="P1248" s="66"/>
      <c r="Q1248" s="66"/>
      <c r="R1248" s="66"/>
      <c r="S1248" s="66"/>
      <c r="T1248" s="138" t="str">
        <f>IFERROR(LOOKUP($S1248,MOTORISTAS!$D$3:$D$916,MOTORISTAS!E$3:$E$916),"")</f>
        <v/>
      </c>
      <c r="U1248" s="138" t="str">
        <f>IFERROR(LOOKUP($S1248,MOTORISTAS!$D$3:$D$916,MOTORISTAS!F$3:$F$916),"")</f>
        <v/>
      </c>
      <c r="V1248" s="66"/>
      <c r="W1248" s="66"/>
      <c r="X1248" s="66"/>
      <c r="Y1248" s="66"/>
      <c r="Z1248" s="66"/>
      <c r="AA1248" s="66"/>
      <c r="AB1248" s="66"/>
      <c r="AC1248" s="66"/>
      <c r="AD1248" s="66"/>
      <c r="AE1248" s="66"/>
      <c r="AF1248" s="44"/>
      <c r="AG1248" s="254">
        <f>Prog_23[[#This Row],[SAÍDA DO CLIENTE]]-Prog_23[[#This Row],[PROGRAMAÇÃO CLIENTE]]</f>
        <v>0</v>
      </c>
      <c r="AH1248" s="44"/>
      <c r="AI1248" s="66"/>
      <c r="AJ1248" s="66"/>
      <c r="AK1248" s="66"/>
      <c r="AL1248" s="66"/>
      <c r="AM1248" s="66"/>
      <c r="AN1248" s="83"/>
      <c r="AO1248" s="83"/>
      <c r="AP1248" s="83"/>
      <c r="AQ1248" s="66"/>
      <c r="AR1248" s="66"/>
      <c r="AS1248" s="66"/>
      <c r="AT1248" s="81"/>
      <c r="AU1248" s="81"/>
      <c r="AV1248" s="81"/>
      <c r="AW1248" s="81"/>
      <c r="AX1248" s="83">
        <f>SUM(Prog_23[[#This Row],[ADIANTAMENTO]]+Prog_23[[#This Row],[SALDO]]+Prog_23[[#This Row],[MARGEM]]+Prog_23[[#This Row],[ESTADIA 1]])</f>
        <v>0</v>
      </c>
      <c r="AY12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48" s="81"/>
      <c r="BA1248" s="81"/>
      <c r="BB1248" s="81">
        <f>Prog_23[[#This Row],[VLR NF]]*0.1%</f>
        <v>0</v>
      </c>
      <c r="BC1248" s="81">
        <f>Prog_23[[#This Row],[VLR NF]]*0.05%</f>
        <v>0</v>
      </c>
      <c r="BD1248" s="81"/>
      <c r="BE1248" s="81"/>
      <c r="BF1248" s="81"/>
      <c r="BG1248" s="81"/>
      <c r="BH1248" s="81"/>
      <c r="BI1248" s="81"/>
      <c r="BJ1248" s="81"/>
      <c r="BK1248" s="81"/>
      <c r="BL1248" s="81"/>
      <c r="BM1248" s="81"/>
      <c r="BN1248" s="66"/>
      <c r="BO1248" s="66"/>
      <c r="BP1248" s="66"/>
      <c r="BQ1248" s="66" t="str">
        <f>PROPER(TEXT(Prog_23[[#This Row],[PROGRAMAÇÃO CLIENTE]],"mmm"))</f>
        <v>Jan</v>
      </c>
      <c r="BR1248" s="66">
        <f>YEAR(Prog_23[[#This Row],[PROGRAMAÇÃO CLIENTE]])</f>
        <v>1900</v>
      </c>
    </row>
    <row r="1249" spans="1:70" x14ac:dyDescent="0.25">
      <c r="A1249" s="200">
        <f>Prog_23[[#This Row],[CONTEINER]]</f>
        <v>0</v>
      </c>
      <c r="B1249" s="86"/>
      <c r="C12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49" s="44"/>
      <c r="E1249" s="66"/>
      <c r="F1249" s="66"/>
      <c r="G1249" s="66"/>
      <c r="H1249" s="44"/>
      <c r="I1249" s="44"/>
      <c r="J1249" s="66"/>
      <c r="K1249" s="66"/>
      <c r="L1249" s="66"/>
      <c r="M1249" s="66"/>
      <c r="N1249" s="66">
        <f>SUM(Prog_23[[#This Row],[TARA]]+Prog_23[[#This Row],[PESO]])</f>
        <v>0</v>
      </c>
      <c r="O1249" s="44"/>
      <c r="P1249" s="66"/>
      <c r="Q1249" s="66"/>
      <c r="R1249" s="66"/>
      <c r="S1249" s="66"/>
      <c r="T1249" s="138" t="str">
        <f>IFERROR(LOOKUP($S1249,MOTORISTAS!$D$3:$D$916,MOTORISTAS!E$3:$E$916),"")</f>
        <v/>
      </c>
      <c r="U1249" s="138" t="str">
        <f>IFERROR(LOOKUP($S1249,MOTORISTAS!$D$3:$D$916,MOTORISTAS!F$3:$F$916),"")</f>
        <v/>
      </c>
      <c r="V1249" s="66"/>
      <c r="W1249" s="66"/>
      <c r="X1249" s="66"/>
      <c r="Y1249" s="66"/>
      <c r="Z1249" s="66"/>
      <c r="AA1249" s="66"/>
      <c r="AB1249" s="66"/>
      <c r="AC1249" s="66"/>
      <c r="AD1249" s="66"/>
      <c r="AE1249" s="66"/>
      <c r="AF1249" s="44"/>
      <c r="AG1249" s="254">
        <f>Prog_23[[#This Row],[SAÍDA DO CLIENTE]]-Prog_23[[#This Row],[PROGRAMAÇÃO CLIENTE]]</f>
        <v>0</v>
      </c>
      <c r="AH1249" s="44"/>
      <c r="AI1249" s="66"/>
      <c r="AJ1249" s="66"/>
      <c r="AK1249" s="66"/>
      <c r="AL1249" s="66"/>
      <c r="AM1249" s="66"/>
      <c r="AN1249" s="83"/>
      <c r="AO1249" s="83"/>
      <c r="AP1249" s="83"/>
      <c r="AQ1249" s="66"/>
      <c r="AR1249" s="66"/>
      <c r="AS1249" s="66"/>
      <c r="AT1249" s="81"/>
      <c r="AU1249" s="81"/>
      <c r="AV1249" s="81"/>
      <c r="AW1249" s="81"/>
      <c r="AX1249" s="83">
        <f>SUM(Prog_23[[#This Row],[ADIANTAMENTO]]+Prog_23[[#This Row],[SALDO]]+Prog_23[[#This Row],[MARGEM]]+Prog_23[[#This Row],[ESTADIA 1]])</f>
        <v>0</v>
      </c>
      <c r="AY12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49" s="81"/>
      <c r="BA1249" s="81"/>
      <c r="BB1249" s="81">
        <f>Prog_23[[#This Row],[VLR NF]]*0.1%</f>
        <v>0</v>
      </c>
      <c r="BC1249" s="81">
        <f>Prog_23[[#This Row],[VLR NF]]*0.05%</f>
        <v>0</v>
      </c>
      <c r="BD1249" s="81"/>
      <c r="BE1249" s="81"/>
      <c r="BF1249" s="81"/>
      <c r="BG1249" s="81"/>
      <c r="BH1249" s="81"/>
      <c r="BI1249" s="81"/>
      <c r="BJ1249" s="81"/>
      <c r="BK1249" s="81"/>
      <c r="BL1249" s="81"/>
      <c r="BM1249" s="81"/>
      <c r="BN1249" s="66"/>
      <c r="BO1249" s="66"/>
      <c r="BP1249" s="66"/>
      <c r="BQ1249" s="66" t="str">
        <f>PROPER(TEXT(Prog_23[[#This Row],[PROGRAMAÇÃO CLIENTE]],"mmm"))</f>
        <v>Jan</v>
      </c>
      <c r="BR1249" s="66">
        <f>YEAR(Prog_23[[#This Row],[PROGRAMAÇÃO CLIENTE]])</f>
        <v>1900</v>
      </c>
    </row>
    <row r="1250" spans="1:70" x14ac:dyDescent="0.25">
      <c r="A1250" s="201">
        <f>Prog_23[[#This Row],[CONTEINER]]</f>
        <v>0</v>
      </c>
      <c r="B1250" s="86"/>
      <c r="C12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50" s="44"/>
      <c r="E1250" s="66"/>
      <c r="F1250" s="66"/>
      <c r="G1250" s="66"/>
      <c r="H1250" s="44"/>
      <c r="I1250" s="44"/>
      <c r="J1250" s="66"/>
      <c r="K1250" s="66"/>
      <c r="L1250" s="66"/>
      <c r="M1250" s="66"/>
      <c r="N1250" s="66">
        <f>SUM(Prog_23[[#This Row],[TARA]]+Prog_23[[#This Row],[PESO]])</f>
        <v>0</v>
      </c>
      <c r="O1250" s="44"/>
      <c r="P1250" s="66"/>
      <c r="Q1250" s="66"/>
      <c r="R1250" s="66"/>
      <c r="S1250" s="66"/>
      <c r="T1250" s="138" t="str">
        <f>IFERROR(LOOKUP($S1250,MOTORISTAS!$D$3:$D$916,MOTORISTAS!E$3:$E$916),"")</f>
        <v/>
      </c>
      <c r="U1250" s="138" t="str">
        <f>IFERROR(LOOKUP($S1250,MOTORISTAS!$D$3:$D$916,MOTORISTAS!F$3:$F$916),"")</f>
        <v/>
      </c>
      <c r="V1250" s="66"/>
      <c r="W1250" s="66"/>
      <c r="X1250" s="66"/>
      <c r="Y1250" s="66"/>
      <c r="Z1250" s="66"/>
      <c r="AA1250" s="66"/>
      <c r="AB1250" s="66"/>
      <c r="AC1250" s="66"/>
      <c r="AD1250" s="66"/>
      <c r="AE1250" s="66"/>
      <c r="AF1250" s="44"/>
      <c r="AG1250" s="254">
        <f>Prog_23[[#This Row],[SAÍDA DO CLIENTE]]-Prog_23[[#This Row],[PROGRAMAÇÃO CLIENTE]]</f>
        <v>0</v>
      </c>
      <c r="AH1250" s="44"/>
      <c r="AI1250" s="66"/>
      <c r="AJ1250" s="66"/>
      <c r="AK1250" s="66"/>
      <c r="AL1250" s="66"/>
      <c r="AM1250" s="66"/>
      <c r="AN1250" s="83"/>
      <c r="AO1250" s="83"/>
      <c r="AP1250" s="83"/>
      <c r="AQ1250" s="66"/>
      <c r="AR1250" s="66"/>
      <c r="AS1250" s="66"/>
      <c r="AT1250" s="81"/>
      <c r="AU1250" s="81"/>
      <c r="AV1250" s="81"/>
      <c r="AW1250" s="81"/>
      <c r="AX1250" s="83">
        <f>SUM(Prog_23[[#This Row],[ADIANTAMENTO]]+Prog_23[[#This Row],[SALDO]]+Prog_23[[#This Row],[MARGEM]]+Prog_23[[#This Row],[ESTADIA 1]])</f>
        <v>0</v>
      </c>
      <c r="AY12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50" s="81"/>
      <c r="BA1250" s="81"/>
      <c r="BB1250" s="81">
        <f>Prog_23[[#This Row],[VLR NF]]*0.1%</f>
        <v>0</v>
      </c>
      <c r="BC1250" s="81">
        <f>Prog_23[[#This Row],[VLR NF]]*0.05%</f>
        <v>0</v>
      </c>
      <c r="BD1250" s="81"/>
      <c r="BE1250" s="81"/>
      <c r="BF1250" s="81"/>
      <c r="BG1250" s="81"/>
      <c r="BH1250" s="81"/>
      <c r="BI1250" s="81"/>
      <c r="BJ1250" s="81"/>
      <c r="BK1250" s="81"/>
      <c r="BL1250" s="81"/>
      <c r="BM1250" s="81"/>
      <c r="BN1250" s="66"/>
      <c r="BO1250" s="66"/>
      <c r="BP1250" s="66"/>
      <c r="BQ1250" s="66" t="str">
        <f>PROPER(TEXT(Prog_23[[#This Row],[PROGRAMAÇÃO CLIENTE]],"mmm"))</f>
        <v>Jan</v>
      </c>
      <c r="BR1250" s="66">
        <f>YEAR(Prog_23[[#This Row],[PROGRAMAÇÃO CLIENTE]])</f>
        <v>1900</v>
      </c>
    </row>
    <row r="1251" spans="1:70" x14ac:dyDescent="0.25">
      <c r="A1251" s="200">
        <f>Prog_23[[#This Row],[CONTEINER]]</f>
        <v>0</v>
      </c>
      <c r="B1251" s="86"/>
      <c r="C12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51" s="44"/>
      <c r="E1251" s="66"/>
      <c r="F1251" s="66"/>
      <c r="G1251" s="66"/>
      <c r="H1251" s="44"/>
      <c r="I1251" s="44"/>
      <c r="J1251" s="66"/>
      <c r="K1251" s="66"/>
      <c r="L1251" s="66"/>
      <c r="M1251" s="66"/>
      <c r="N1251" s="66">
        <f>SUM(Prog_23[[#This Row],[TARA]]+Prog_23[[#This Row],[PESO]])</f>
        <v>0</v>
      </c>
      <c r="O1251" s="44"/>
      <c r="P1251" s="66"/>
      <c r="Q1251" s="66"/>
      <c r="R1251" s="66"/>
      <c r="S1251" s="66"/>
      <c r="T1251" s="138" t="str">
        <f>IFERROR(LOOKUP($S1251,MOTORISTAS!$D$3:$D$916,MOTORISTAS!E$3:$E$916),"")</f>
        <v/>
      </c>
      <c r="U1251" s="138" t="str">
        <f>IFERROR(LOOKUP($S1251,MOTORISTAS!$D$3:$D$916,MOTORISTAS!F$3:$F$916),"")</f>
        <v/>
      </c>
      <c r="V1251" s="66"/>
      <c r="W1251" s="66"/>
      <c r="X1251" s="66"/>
      <c r="Y1251" s="66"/>
      <c r="Z1251" s="66"/>
      <c r="AA1251" s="66"/>
      <c r="AB1251" s="66"/>
      <c r="AC1251" s="66"/>
      <c r="AD1251" s="66"/>
      <c r="AE1251" s="66"/>
      <c r="AF1251" s="44"/>
      <c r="AG1251" s="254">
        <f>Prog_23[[#This Row],[SAÍDA DO CLIENTE]]-Prog_23[[#This Row],[PROGRAMAÇÃO CLIENTE]]</f>
        <v>0</v>
      </c>
      <c r="AH1251" s="44"/>
      <c r="AI1251" s="66"/>
      <c r="AJ1251" s="66"/>
      <c r="AK1251" s="66"/>
      <c r="AL1251" s="66"/>
      <c r="AM1251" s="66"/>
      <c r="AN1251" s="83"/>
      <c r="AO1251" s="83"/>
      <c r="AP1251" s="83"/>
      <c r="AQ1251" s="66"/>
      <c r="AR1251" s="66"/>
      <c r="AS1251" s="66"/>
      <c r="AT1251" s="81"/>
      <c r="AU1251" s="81"/>
      <c r="AV1251" s="81"/>
      <c r="AW1251" s="81"/>
      <c r="AX1251" s="83">
        <f>SUM(Prog_23[[#This Row],[ADIANTAMENTO]]+Prog_23[[#This Row],[SALDO]]+Prog_23[[#This Row],[MARGEM]]+Prog_23[[#This Row],[ESTADIA 1]])</f>
        <v>0</v>
      </c>
      <c r="AY12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51" s="81"/>
      <c r="BA1251" s="81"/>
      <c r="BB1251" s="81">
        <f>Prog_23[[#This Row],[VLR NF]]*0.1%</f>
        <v>0</v>
      </c>
      <c r="BC1251" s="81">
        <f>Prog_23[[#This Row],[VLR NF]]*0.05%</f>
        <v>0</v>
      </c>
      <c r="BD1251" s="81"/>
      <c r="BE1251" s="81"/>
      <c r="BF1251" s="81"/>
      <c r="BG1251" s="81"/>
      <c r="BH1251" s="81"/>
      <c r="BI1251" s="81"/>
      <c r="BJ1251" s="81"/>
      <c r="BK1251" s="81"/>
      <c r="BL1251" s="81"/>
      <c r="BM1251" s="81"/>
      <c r="BN1251" s="66"/>
      <c r="BO1251" s="66"/>
      <c r="BP1251" s="66"/>
      <c r="BQ1251" s="66" t="str">
        <f>PROPER(TEXT(Prog_23[[#This Row],[PROGRAMAÇÃO CLIENTE]],"mmm"))</f>
        <v>Jan</v>
      </c>
      <c r="BR1251" s="66">
        <f>YEAR(Prog_23[[#This Row],[PROGRAMAÇÃO CLIENTE]])</f>
        <v>1900</v>
      </c>
    </row>
    <row r="1252" spans="1:70" x14ac:dyDescent="0.25">
      <c r="A1252" s="201">
        <f>Prog_23[[#This Row],[CONTEINER]]</f>
        <v>0</v>
      </c>
      <c r="B1252" s="86"/>
      <c r="C12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52" s="44"/>
      <c r="E1252" s="66"/>
      <c r="F1252" s="66"/>
      <c r="G1252" s="66"/>
      <c r="H1252" s="44"/>
      <c r="I1252" s="44"/>
      <c r="J1252" s="66"/>
      <c r="K1252" s="66"/>
      <c r="L1252" s="66"/>
      <c r="M1252" s="66"/>
      <c r="N1252" s="66">
        <f>SUM(Prog_23[[#This Row],[TARA]]+Prog_23[[#This Row],[PESO]])</f>
        <v>0</v>
      </c>
      <c r="O1252" s="44"/>
      <c r="P1252" s="66"/>
      <c r="Q1252" s="66"/>
      <c r="R1252" s="66"/>
      <c r="S1252" s="66"/>
      <c r="T1252" s="138" t="str">
        <f>IFERROR(LOOKUP($S1252,MOTORISTAS!$D$3:$D$916,MOTORISTAS!E$3:$E$916),"")</f>
        <v/>
      </c>
      <c r="U1252" s="138" t="str">
        <f>IFERROR(LOOKUP($S1252,MOTORISTAS!$D$3:$D$916,MOTORISTAS!F$3:$F$916),"")</f>
        <v/>
      </c>
      <c r="V1252" s="66"/>
      <c r="W1252" s="66"/>
      <c r="X1252" s="66"/>
      <c r="Y1252" s="66"/>
      <c r="Z1252" s="66"/>
      <c r="AA1252" s="66"/>
      <c r="AB1252" s="66"/>
      <c r="AC1252" s="66"/>
      <c r="AD1252" s="66"/>
      <c r="AE1252" s="66"/>
      <c r="AF1252" s="44"/>
      <c r="AG1252" s="254">
        <f>Prog_23[[#This Row],[SAÍDA DO CLIENTE]]-Prog_23[[#This Row],[PROGRAMAÇÃO CLIENTE]]</f>
        <v>0</v>
      </c>
      <c r="AH1252" s="44"/>
      <c r="AI1252" s="66"/>
      <c r="AJ1252" s="66"/>
      <c r="AK1252" s="66"/>
      <c r="AL1252" s="66"/>
      <c r="AM1252" s="66"/>
      <c r="AN1252" s="83"/>
      <c r="AO1252" s="83"/>
      <c r="AP1252" s="83"/>
      <c r="AQ1252" s="66"/>
      <c r="AR1252" s="66"/>
      <c r="AS1252" s="66"/>
      <c r="AT1252" s="81"/>
      <c r="AU1252" s="81"/>
      <c r="AV1252" s="81"/>
      <c r="AW1252" s="81"/>
      <c r="AX1252" s="83">
        <f>SUM(Prog_23[[#This Row],[ADIANTAMENTO]]+Prog_23[[#This Row],[SALDO]]+Prog_23[[#This Row],[MARGEM]]+Prog_23[[#This Row],[ESTADIA 1]])</f>
        <v>0</v>
      </c>
      <c r="AY12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52" s="81"/>
      <c r="BA1252" s="81"/>
      <c r="BB1252" s="81">
        <f>Prog_23[[#This Row],[VLR NF]]*0.1%</f>
        <v>0</v>
      </c>
      <c r="BC1252" s="81">
        <f>Prog_23[[#This Row],[VLR NF]]*0.05%</f>
        <v>0</v>
      </c>
      <c r="BD1252" s="81"/>
      <c r="BE1252" s="81"/>
      <c r="BF1252" s="81"/>
      <c r="BG1252" s="81"/>
      <c r="BH1252" s="81"/>
      <c r="BI1252" s="81"/>
      <c r="BJ1252" s="81"/>
      <c r="BK1252" s="81"/>
      <c r="BL1252" s="81"/>
      <c r="BM1252" s="81"/>
      <c r="BN1252" s="66"/>
      <c r="BO1252" s="66"/>
      <c r="BP1252" s="66"/>
      <c r="BQ1252" s="66" t="str">
        <f>PROPER(TEXT(Prog_23[[#This Row],[PROGRAMAÇÃO CLIENTE]],"mmm"))</f>
        <v>Jan</v>
      </c>
      <c r="BR1252" s="66">
        <f>YEAR(Prog_23[[#This Row],[PROGRAMAÇÃO CLIENTE]])</f>
        <v>1900</v>
      </c>
    </row>
    <row r="1253" spans="1:70" x14ac:dyDescent="0.25">
      <c r="A1253" s="200">
        <f>Prog_23[[#This Row],[CONTEINER]]</f>
        <v>0</v>
      </c>
      <c r="B1253" s="86"/>
      <c r="C12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53" s="44"/>
      <c r="E1253" s="66"/>
      <c r="F1253" s="66"/>
      <c r="G1253" s="66"/>
      <c r="H1253" s="44"/>
      <c r="I1253" s="44"/>
      <c r="J1253" s="66"/>
      <c r="K1253" s="66"/>
      <c r="L1253" s="66"/>
      <c r="M1253" s="66"/>
      <c r="N1253" s="66">
        <f>SUM(Prog_23[[#This Row],[TARA]]+Prog_23[[#This Row],[PESO]])</f>
        <v>0</v>
      </c>
      <c r="O1253" s="44"/>
      <c r="P1253" s="66"/>
      <c r="Q1253" s="66"/>
      <c r="R1253" s="66"/>
      <c r="S1253" s="66"/>
      <c r="T1253" s="138" t="str">
        <f>IFERROR(LOOKUP($S1253,MOTORISTAS!$D$3:$D$916,MOTORISTAS!E$3:$E$916),"")</f>
        <v/>
      </c>
      <c r="U1253" s="138" t="str">
        <f>IFERROR(LOOKUP($S1253,MOTORISTAS!$D$3:$D$916,MOTORISTAS!F$3:$F$916),"")</f>
        <v/>
      </c>
      <c r="V1253" s="66"/>
      <c r="W1253" s="66"/>
      <c r="X1253" s="66"/>
      <c r="Y1253" s="66"/>
      <c r="Z1253" s="66"/>
      <c r="AA1253" s="66"/>
      <c r="AB1253" s="66"/>
      <c r="AC1253" s="66"/>
      <c r="AD1253" s="66"/>
      <c r="AE1253" s="66"/>
      <c r="AF1253" s="44"/>
      <c r="AG1253" s="254">
        <f>Prog_23[[#This Row],[SAÍDA DO CLIENTE]]-Prog_23[[#This Row],[PROGRAMAÇÃO CLIENTE]]</f>
        <v>0</v>
      </c>
      <c r="AH1253" s="44"/>
      <c r="AI1253" s="66"/>
      <c r="AJ1253" s="66"/>
      <c r="AK1253" s="66"/>
      <c r="AL1253" s="66"/>
      <c r="AM1253" s="66"/>
      <c r="AN1253" s="83"/>
      <c r="AO1253" s="83"/>
      <c r="AP1253" s="83"/>
      <c r="AQ1253" s="66"/>
      <c r="AR1253" s="66"/>
      <c r="AS1253" s="66"/>
      <c r="AT1253" s="81"/>
      <c r="AU1253" s="81"/>
      <c r="AV1253" s="81"/>
      <c r="AW1253" s="81"/>
      <c r="AX1253" s="83">
        <f>SUM(Prog_23[[#This Row],[ADIANTAMENTO]]+Prog_23[[#This Row],[SALDO]]+Prog_23[[#This Row],[MARGEM]]+Prog_23[[#This Row],[ESTADIA 1]])</f>
        <v>0</v>
      </c>
      <c r="AY12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53" s="81"/>
      <c r="BA1253" s="81"/>
      <c r="BB1253" s="81">
        <f>Prog_23[[#This Row],[VLR NF]]*0.1%</f>
        <v>0</v>
      </c>
      <c r="BC1253" s="81">
        <f>Prog_23[[#This Row],[VLR NF]]*0.05%</f>
        <v>0</v>
      </c>
      <c r="BD1253" s="81"/>
      <c r="BE1253" s="81"/>
      <c r="BF1253" s="81"/>
      <c r="BG1253" s="81"/>
      <c r="BH1253" s="81"/>
      <c r="BI1253" s="81"/>
      <c r="BJ1253" s="81"/>
      <c r="BK1253" s="81"/>
      <c r="BL1253" s="81"/>
      <c r="BM1253" s="81"/>
      <c r="BN1253" s="66"/>
      <c r="BO1253" s="66"/>
      <c r="BP1253" s="66"/>
      <c r="BQ1253" s="66" t="str">
        <f>PROPER(TEXT(Prog_23[[#This Row],[PROGRAMAÇÃO CLIENTE]],"mmm"))</f>
        <v>Jan</v>
      </c>
      <c r="BR1253" s="66">
        <f>YEAR(Prog_23[[#This Row],[PROGRAMAÇÃO CLIENTE]])</f>
        <v>1900</v>
      </c>
    </row>
    <row r="1254" spans="1:70" x14ac:dyDescent="0.25">
      <c r="A1254" s="201">
        <f>Prog_23[[#This Row],[CONTEINER]]</f>
        <v>0</v>
      </c>
      <c r="B1254" s="86"/>
      <c r="C12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54" s="44"/>
      <c r="E1254" s="66"/>
      <c r="F1254" s="66"/>
      <c r="G1254" s="66"/>
      <c r="H1254" s="44"/>
      <c r="I1254" s="44"/>
      <c r="J1254" s="66"/>
      <c r="K1254" s="66"/>
      <c r="L1254" s="66"/>
      <c r="M1254" s="66"/>
      <c r="N1254" s="66">
        <f>SUM(Prog_23[[#This Row],[TARA]]+Prog_23[[#This Row],[PESO]])</f>
        <v>0</v>
      </c>
      <c r="O1254" s="44"/>
      <c r="P1254" s="66"/>
      <c r="Q1254" s="66"/>
      <c r="R1254" s="66"/>
      <c r="S1254" s="66"/>
      <c r="T1254" s="138" t="str">
        <f>IFERROR(LOOKUP($S1254,MOTORISTAS!$D$3:$D$916,MOTORISTAS!E$3:$E$916),"")</f>
        <v/>
      </c>
      <c r="U1254" s="138" t="str">
        <f>IFERROR(LOOKUP($S1254,MOTORISTAS!$D$3:$D$916,MOTORISTAS!F$3:$F$916),"")</f>
        <v/>
      </c>
      <c r="V1254" s="66"/>
      <c r="W1254" s="66"/>
      <c r="X1254" s="66"/>
      <c r="Y1254" s="66"/>
      <c r="Z1254" s="66"/>
      <c r="AA1254" s="66"/>
      <c r="AB1254" s="66"/>
      <c r="AC1254" s="66"/>
      <c r="AD1254" s="66"/>
      <c r="AE1254" s="66"/>
      <c r="AF1254" s="44"/>
      <c r="AG1254" s="254">
        <f>Prog_23[[#This Row],[SAÍDA DO CLIENTE]]-Prog_23[[#This Row],[PROGRAMAÇÃO CLIENTE]]</f>
        <v>0</v>
      </c>
      <c r="AH1254" s="44"/>
      <c r="AI1254" s="66"/>
      <c r="AJ1254" s="66"/>
      <c r="AK1254" s="66"/>
      <c r="AL1254" s="66"/>
      <c r="AM1254" s="66"/>
      <c r="AN1254" s="83"/>
      <c r="AO1254" s="83"/>
      <c r="AP1254" s="83"/>
      <c r="AQ1254" s="66"/>
      <c r="AR1254" s="66"/>
      <c r="AS1254" s="66"/>
      <c r="AT1254" s="81"/>
      <c r="AU1254" s="81"/>
      <c r="AV1254" s="81"/>
      <c r="AW1254" s="81"/>
      <c r="AX1254" s="83">
        <f>SUM(Prog_23[[#This Row],[ADIANTAMENTO]]+Prog_23[[#This Row],[SALDO]]+Prog_23[[#This Row],[MARGEM]]+Prog_23[[#This Row],[ESTADIA 1]])</f>
        <v>0</v>
      </c>
      <c r="AY12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54" s="81"/>
      <c r="BA1254" s="81"/>
      <c r="BB1254" s="81">
        <f>Prog_23[[#This Row],[VLR NF]]*0.1%</f>
        <v>0</v>
      </c>
      <c r="BC1254" s="81">
        <f>Prog_23[[#This Row],[VLR NF]]*0.05%</f>
        <v>0</v>
      </c>
      <c r="BD1254" s="81"/>
      <c r="BE1254" s="81"/>
      <c r="BF1254" s="81"/>
      <c r="BG1254" s="81"/>
      <c r="BH1254" s="81"/>
      <c r="BI1254" s="81"/>
      <c r="BJ1254" s="81"/>
      <c r="BK1254" s="81"/>
      <c r="BL1254" s="81"/>
      <c r="BM1254" s="81"/>
      <c r="BN1254" s="66"/>
      <c r="BO1254" s="66"/>
      <c r="BP1254" s="66"/>
      <c r="BQ1254" s="66" t="str">
        <f>PROPER(TEXT(Prog_23[[#This Row],[PROGRAMAÇÃO CLIENTE]],"mmm"))</f>
        <v>Jan</v>
      </c>
      <c r="BR1254" s="66">
        <f>YEAR(Prog_23[[#This Row],[PROGRAMAÇÃO CLIENTE]])</f>
        <v>1900</v>
      </c>
    </row>
    <row r="1255" spans="1:70" x14ac:dyDescent="0.25">
      <c r="A1255" s="200">
        <f>Prog_23[[#This Row],[CONTEINER]]</f>
        <v>0</v>
      </c>
      <c r="B1255" s="86"/>
      <c r="C12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55" s="44"/>
      <c r="E1255" s="66"/>
      <c r="F1255" s="66"/>
      <c r="G1255" s="66"/>
      <c r="H1255" s="44"/>
      <c r="I1255" s="44"/>
      <c r="J1255" s="66"/>
      <c r="K1255" s="66"/>
      <c r="L1255" s="66"/>
      <c r="M1255" s="66"/>
      <c r="N1255" s="66">
        <f>SUM(Prog_23[[#This Row],[TARA]]+Prog_23[[#This Row],[PESO]])</f>
        <v>0</v>
      </c>
      <c r="O1255" s="44"/>
      <c r="P1255" s="66"/>
      <c r="Q1255" s="66"/>
      <c r="R1255" s="66"/>
      <c r="S1255" s="66"/>
      <c r="T1255" s="138" t="str">
        <f>IFERROR(LOOKUP($S1255,MOTORISTAS!$D$3:$D$916,MOTORISTAS!E$3:$E$916),"")</f>
        <v/>
      </c>
      <c r="U1255" s="138" t="str">
        <f>IFERROR(LOOKUP($S1255,MOTORISTAS!$D$3:$D$916,MOTORISTAS!F$3:$F$916),"")</f>
        <v/>
      </c>
      <c r="V1255" s="66"/>
      <c r="W1255" s="66"/>
      <c r="X1255" s="66"/>
      <c r="Y1255" s="66"/>
      <c r="Z1255" s="66"/>
      <c r="AA1255" s="66"/>
      <c r="AB1255" s="66"/>
      <c r="AC1255" s="66"/>
      <c r="AD1255" s="66"/>
      <c r="AE1255" s="66"/>
      <c r="AF1255" s="44"/>
      <c r="AG1255" s="254">
        <f>Prog_23[[#This Row],[SAÍDA DO CLIENTE]]-Prog_23[[#This Row],[PROGRAMAÇÃO CLIENTE]]</f>
        <v>0</v>
      </c>
      <c r="AH1255" s="44"/>
      <c r="AI1255" s="66"/>
      <c r="AJ1255" s="66"/>
      <c r="AK1255" s="66"/>
      <c r="AL1255" s="66"/>
      <c r="AM1255" s="66"/>
      <c r="AN1255" s="83"/>
      <c r="AO1255" s="83"/>
      <c r="AP1255" s="83"/>
      <c r="AQ1255" s="66"/>
      <c r="AR1255" s="66"/>
      <c r="AS1255" s="66"/>
      <c r="AT1255" s="81"/>
      <c r="AU1255" s="81"/>
      <c r="AV1255" s="81"/>
      <c r="AW1255" s="81"/>
      <c r="AX1255" s="83">
        <f>SUM(Prog_23[[#This Row],[ADIANTAMENTO]]+Prog_23[[#This Row],[SALDO]]+Prog_23[[#This Row],[MARGEM]]+Prog_23[[#This Row],[ESTADIA 1]])</f>
        <v>0</v>
      </c>
      <c r="AY12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55" s="81"/>
      <c r="BA1255" s="81"/>
      <c r="BB1255" s="81">
        <f>Prog_23[[#This Row],[VLR NF]]*0.1%</f>
        <v>0</v>
      </c>
      <c r="BC1255" s="81">
        <f>Prog_23[[#This Row],[VLR NF]]*0.05%</f>
        <v>0</v>
      </c>
      <c r="BD1255" s="81"/>
      <c r="BE1255" s="81"/>
      <c r="BF1255" s="81"/>
      <c r="BG1255" s="81"/>
      <c r="BH1255" s="81"/>
      <c r="BI1255" s="81"/>
      <c r="BJ1255" s="81"/>
      <c r="BK1255" s="81"/>
      <c r="BL1255" s="81"/>
      <c r="BM1255" s="81"/>
      <c r="BN1255" s="66"/>
      <c r="BO1255" s="66"/>
      <c r="BP1255" s="66"/>
      <c r="BQ1255" s="66" t="str">
        <f>PROPER(TEXT(Prog_23[[#This Row],[PROGRAMAÇÃO CLIENTE]],"mmm"))</f>
        <v>Jan</v>
      </c>
      <c r="BR1255" s="66">
        <f>YEAR(Prog_23[[#This Row],[PROGRAMAÇÃO CLIENTE]])</f>
        <v>1900</v>
      </c>
    </row>
    <row r="1256" spans="1:70" x14ac:dyDescent="0.25">
      <c r="A1256" s="201">
        <f>Prog_23[[#This Row],[CONTEINER]]</f>
        <v>0</v>
      </c>
      <c r="B1256" s="86"/>
      <c r="C12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56" s="44"/>
      <c r="E1256" s="66"/>
      <c r="F1256" s="66"/>
      <c r="G1256" s="66"/>
      <c r="H1256" s="44"/>
      <c r="I1256" s="44"/>
      <c r="J1256" s="66"/>
      <c r="K1256" s="66"/>
      <c r="L1256" s="66"/>
      <c r="M1256" s="66"/>
      <c r="N1256" s="66">
        <f>SUM(Prog_23[[#This Row],[TARA]]+Prog_23[[#This Row],[PESO]])</f>
        <v>0</v>
      </c>
      <c r="O1256" s="44"/>
      <c r="P1256" s="66"/>
      <c r="Q1256" s="66"/>
      <c r="R1256" s="66"/>
      <c r="S1256" s="66"/>
      <c r="T1256" s="138" t="str">
        <f>IFERROR(LOOKUP($S1256,MOTORISTAS!$D$3:$D$916,MOTORISTAS!E$3:$E$916),"")</f>
        <v/>
      </c>
      <c r="U1256" s="138" t="str">
        <f>IFERROR(LOOKUP($S1256,MOTORISTAS!$D$3:$D$916,MOTORISTAS!F$3:$F$916),"")</f>
        <v/>
      </c>
      <c r="V1256" s="66"/>
      <c r="W1256" s="66"/>
      <c r="X1256" s="66"/>
      <c r="Y1256" s="66"/>
      <c r="Z1256" s="66"/>
      <c r="AA1256" s="66"/>
      <c r="AB1256" s="66"/>
      <c r="AC1256" s="66"/>
      <c r="AD1256" s="66"/>
      <c r="AE1256" s="66"/>
      <c r="AF1256" s="44"/>
      <c r="AG1256" s="254">
        <f>Prog_23[[#This Row],[SAÍDA DO CLIENTE]]-Prog_23[[#This Row],[PROGRAMAÇÃO CLIENTE]]</f>
        <v>0</v>
      </c>
      <c r="AH1256" s="44"/>
      <c r="AI1256" s="66"/>
      <c r="AJ1256" s="66"/>
      <c r="AK1256" s="66"/>
      <c r="AL1256" s="66"/>
      <c r="AM1256" s="66"/>
      <c r="AN1256" s="83"/>
      <c r="AO1256" s="83"/>
      <c r="AP1256" s="83"/>
      <c r="AQ1256" s="66"/>
      <c r="AR1256" s="66"/>
      <c r="AS1256" s="66"/>
      <c r="AT1256" s="81"/>
      <c r="AU1256" s="81"/>
      <c r="AV1256" s="81"/>
      <c r="AW1256" s="81"/>
      <c r="AX1256" s="83">
        <f>SUM(Prog_23[[#This Row],[ADIANTAMENTO]]+Prog_23[[#This Row],[SALDO]]+Prog_23[[#This Row],[MARGEM]]+Prog_23[[#This Row],[ESTADIA 1]])</f>
        <v>0</v>
      </c>
      <c r="AY12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56" s="81"/>
      <c r="BA1256" s="81"/>
      <c r="BB1256" s="81">
        <f>Prog_23[[#This Row],[VLR NF]]*0.1%</f>
        <v>0</v>
      </c>
      <c r="BC1256" s="81">
        <f>Prog_23[[#This Row],[VLR NF]]*0.05%</f>
        <v>0</v>
      </c>
      <c r="BD1256" s="81"/>
      <c r="BE1256" s="81"/>
      <c r="BF1256" s="81"/>
      <c r="BG1256" s="81"/>
      <c r="BH1256" s="81"/>
      <c r="BI1256" s="81"/>
      <c r="BJ1256" s="81"/>
      <c r="BK1256" s="81"/>
      <c r="BL1256" s="81"/>
      <c r="BM1256" s="81"/>
      <c r="BN1256" s="66"/>
      <c r="BO1256" s="66"/>
      <c r="BP1256" s="66"/>
      <c r="BQ1256" s="66" t="str">
        <f>PROPER(TEXT(Prog_23[[#This Row],[PROGRAMAÇÃO CLIENTE]],"mmm"))</f>
        <v>Jan</v>
      </c>
      <c r="BR1256" s="66">
        <f>YEAR(Prog_23[[#This Row],[PROGRAMAÇÃO CLIENTE]])</f>
        <v>1900</v>
      </c>
    </row>
    <row r="1257" spans="1:70" x14ac:dyDescent="0.25">
      <c r="A1257" s="200">
        <f>Prog_23[[#This Row],[CONTEINER]]</f>
        <v>0</v>
      </c>
      <c r="B1257" s="86"/>
      <c r="C12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57" s="44"/>
      <c r="E1257" s="66"/>
      <c r="F1257" s="66"/>
      <c r="G1257" s="66"/>
      <c r="H1257" s="44"/>
      <c r="I1257" s="44"/>
      <c r="J1257" s="66"/>
      <c r="K1257" s="66"/>
      <c r="L1257" s="66"/>
      <c r="M1257" s="66"/>
      <c r="N1257" s="66">
        <f>SUM(Prog_23[[#This Row],[TARA]]+Prog_23[[#This Row],[PESO]])</f>
        <v>0</v>
      </c>
      <c r="O1257" s="44"/>
      <c r="P1257" s="66"/>
      <c r="Q1257" s="66"/>
      <c r="R1257" s="66"/>
      <c r="S1257" s="66"/>
      <c r="T1257" s="138" t="str">
        <f>IFERROR(LOOKUP($S1257,MOTORISTAS!$D$3:$D$916,MOTORISTAS!E$3:$E$916),"")</f>
        <v/>
      </c>
      <c r="U1257" s="138" t="str">
        <f>IFERROR(LOOKUP($S1257,MOTORISTAS!$D$3:$D$916,MOTORISTAS!F$3:$F$916),"")</f>
        <v/>
      </c>
      <c r="V1257" s="66"/>
      <c r="W1257" s="66"/>
      <c r="X1257" s="66"/>
      <c r="Y1257" s="66"/>
      <c r="Z1257" s="66"/>
      <c r="AA1257" s="66"/>
      <c r="AB1257" s="66"/>
      <c r="AC1257" s="66"/>
      <c r="AD1257" s="66"/>
      <c r="AE1257" s="66"/>
      <c r="AF1257" s="44"/>
      <c r="AG1257" s="254">
        <f>Prog_23[[#This Row],[SAÍDA DO CLIENTE]]-Prog_23[[#This Row],[PROGRAMAÇÃO CLIENTE]]</f>
        <v>0</v>
      </c>
      <c r="AH1257" s="44"/>
      <c r="AI1257" s="66"/>
      <c r="AJ1257" s="66"/>
      <c r="AK1257" s="66"/>
      <c r="AL1257" s="66"/>
      <c r="AM1257" s="66"/>
      <c r="AN1257" s="83"/>
      <c r="AO1257" s="83"/>
      <c r="AP1257" s="83"/>
      <c r="AQ1257" s="66"/>
      <c r="AR1257" s="66"/>
      <c r="AS1257" s="66"/>
      <c r="AT1257" s="81"/>
      <c r="AU1257" s="81"/>
      <c r="AV1257" s="81"/>
      <c r="AW1257" s="81"/>
      <c r="AX1257" s="83">
        <f>SUM(Prog_23[[#This Row],[ADIANTAMENTO]]+Prog_23[[#This Row],[SALDO]]+Prog_23[[#This Row],[MARGEM]]+Prog_23[[#This Row],[ESTADIA 1]])</f>
        <v>0</v>
      </c>
      <c r="AY12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57" s="81"/>
      <c r="BA1257" s="81"/>
      <c r="BB1257" s="81">
        <f>Prog_23[[#This Row],[VLR NF]]*0.1%</f>
        <v>0</v>
      </c>
      <c r="BC1257" s="81">
        <f>Prog_23[[#This Row],[VLR NF]]*0.05%</f>
        <v>0</v>
      </c>
      <c r="BD1257" s="81"/>
      <c r="BE1257" s="81"/>
      <c r="BF1257" s="81"/>
      <c r="BG1257" s="81"/>
      <c r="BH1257" s="81"/>
      <c r="BI1257" s="81"/>
      <c r="BJ1257" s="81"/>
      <c r="BK1257" s="81"/>
      <c r="BL1257" s="81"/>
      <c r="BM1257" s="81"/>
      <c r="BN1257" s="66"/>
      <c r="BO1257" s="66"/>
      <c r="BP1257" s="66"/>
      <c r="BQ1257" s="66" t="str">
        <f>PROPER(TEXT(Prog_23[[#This Row],[PROGRAMAÇÃO CLIENTE]],"mmm"))</f>
        <v>Jan</v>
      </c>
      <c r="BR1257" s="66">
        <f>YEAR(Prog_23[[#This Row],[PROGRAMAÇÃO CLIENTE]])</f>
        <v>1900</v>
      </c>
    </row>
    <row r="1258" spans="1:70" x14ac:dyDescent="0.25">
      <c r="A1258" s="201">
        <f>Prog_23[[#This Row],[CONTEINER]]</f>
        <v>0</v>
      </c>
      <c r="B1258" s="86"/>
      <c r="C12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58" s="44"/>
      <c r="E1258" s="66"/>
      <c r="F1258" s="66"/>
      <c r="G1258" s="66"/>
      <c r="H1258" s="44"/>
      <c r="I1258" s="44"/>
      <c r="J1258" s="66"/>
      <c r="K1258" s="66"/>
      <c r="L1258" s="66"/>
      <c r="M1258" s="66"/>
      <c r="N1258" s="66">
        <f>SUM(Prog_23[[#This Row],[TARA]]+Prog_23[[#This Row],[PESO]])</f>
        <v>0</v>
      </c>
      <c r="O1258" s="44"/>
      <c r="P1258" s="66"/>
      <c r="Q1258" s="66"/>
      <c r="R1258" s="66"/>
      <c r="S1258" s="66"/>
      <c r="T1258" s="138" t="str">
        <f>IFERROR(LOOKUP($S1258,MOTORISTAS!$D$3:$D$916,MOTORISTAS!E$3:$E$916),"")</f>
        <v/>
      </c>
      <c r="U1258" s="138" t="str">
        <f>IFERROR(LOOKUP($S1258,MOTORISTAS!$D$3:$D$916,MOTORISTAS!F$3:$F$916),"")</f>
        <v/>
      </c>
      <c r="V1258" s="66"/>
      <c r="W1258" s="66"/>
      <c r="X1258" s="66"/>
      <c r="Y1258" s="66"/>
      <c r="Z1258" s="66"/>
      <c r="AA1258" s="66"/>
      <c r="AB1258" s="66"/>
      <c r="AC1258" s="66"/>
      <c r="AD1258" s="66"/>
      <c r="AE1258" s="66"/>
      <c r="AF1258" s="44"/>
      <c r="AG1258" s="254">
        <f>Prog_23[[#This Row],[SAÍDA DO CLIENTE]]-Prog_23[[#This Row],[PROGRAMAÇÃO CLIENTE]]</f>
        <v>0</v>
      </c>
      <c r="AH1258" s="44"/>
      <c r="AI1258" s="66"/>
      <c r="AJ1258" s="66"/>
      <c r="AK1258" s="66"/>
      <c r="AL1258" s="66"/>
      <c r="AM1258" s="66"/>
      <c r="AN1258" s="83"/>
      <c r="AO1258" s="83"/>
      <c r="AP1258" s="83"/>
      <c r="AQ1258" s="66"/>
      <c r="AR1258" s="66"/>
      <c r="AS1258" s="66"/>
      <c r="AT1258" s="81"/>
      <c r="AU1258" s="81"/>
      <c r="AV1258" s="81"/>
      <c r="AW1258" s="81"/>
      <c r="AX1258" s="83">
        <f>SUM(Prog_23[[#This Row],[ADIANTAMENTO]]+Prog_23[[#This Row],[SALDO]]+Prog_23[[#This Row],[MARGEM]]+Prog_23[[#This Row],[ESTADIA 1]])</f>
        <v>0</v>
      </c>
      <c r="AY12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58" s="81"/>
      <c r="BA1258" s="81"/>
      <c r="BB1258" s="81">
        <f>Prog_23[[#This Row],[VLR NF]]*0.1%</f>
        <v>0</v>
      </c>
      <c r="BC1258" s="81">
        <f>Prog_23[[#This Row],[VLR NF]]*0.05%</f>
        <v>0</v>
      </c>
      <c r="BD1258" s="81"/>
      <c r="BE1258" s="81"/>
      <c r="BF1258" s="81"/>
      <c r="BG1258" s="81"/>
      <c r="BH1258" s="81"/>
      <c r="BI1258" s="81"/>
      <c r="BJ1258" s="81"/>
      <c r="BK1258" s="81"/>
      <c r="BL1258" s="81"/>
      <c r="BM1258" s="81"/>
      <c r="BN1258" s="66"/>
      <c r="BO1258" s="66"/>
      <c r="BP1258" s="66"/>
      <c r="BQ1258" s="66" t="str">
        <f>PROPER(TEXT(Prog_23[[#This Row],[PROGRAMAÇÃO CLIENTE]],"mmm"))</f>
        <v>Jan</v>
      </c>
      <c r="BR1258" s="66">
        <f>YEAR(Prog_23[[#This Row],[PROGRAMAÇÃO CLIENTE]])</f>
        <v>1900</v>
      </c>
    </row>
    <row r="1259" spans="1:70" x14ac:dyDescent="0.25">
      <c r="A1259" s="200">
        <f>Prog_23[[#This Row],[CONTEINER]]</f>
        <v>0</v>
      </c>
      <c r="B1259" s="86"/>
      <c r="C12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59" s="44"/>
      <c r="E1259" s="66"/>
      <c r="F1259" s="66"/>
      <c r="G1259" s="66"/>
      <c r="H1259" s="44"/>
      <c r="I1259" s="44"/>
      <c r="J1259" s="66"/>
      <c r="K1259" s="66"/>
      <c r="L1259" s="66"/>
      <c r="M1259" s="66"/>
      <c r="N1259" s="66">
        <f>SUM(Prog_23[[#This Row],[TARA]]+Prog_23[[#This Row],[PESO]])</f>
        <v>0</v>
      </c>
      <c r="O1259" s="44"/>
      <c r="P1259" s="66"/>
      <c r="Q1259" s="66"/>
      <c r="R1259" s="66"/>
      <c r="S1259" s="66"/>
      <c r="T1259" s="138" t="str">
        <f>IFERROR(LOOKUP($S1259,MOTORISTAS!$D$3:$D$916,MOTORISTAS!E$3:$E$916),"")</f>
        <v/>
      </c>
      <c r="U1259" s="138" t="str">
        <f>IFERROR(LOOKUP($S1259,MOTORISTAS!$D$3:$D$916,MOTORISTAS!F$3:$F$916),"")</f>
        <v/>
      </c>
      <c r="V1259" s="66"/>
      <c r="W1259" s="66"/>
      <c r="X1259" s="66"/>
      <c r="Y1259" s="66"/>
      <c r="Z1259" s="66"/>
      <c r="AA1259" s="66"/>
      <c r="AB1259" s="66"/>
      <c r="AC1259" s="66"/>
      <c r="AD1259" s="66"/>
      <c r="AE1259" s="66"/>
      <c r="AF1259" s="44"/>
      <c r="AG1259" s="254">
        <f>Prog_23[[#This Row],[SAÍDA DO CLIENTE]]-Prog_23[[#This Row],[PROGRAMAÇÃO CLIENTE]]</f>
        <v>0</v>
      </c>
      <c r="AH1259" s="44"/>
      <c r="AI1259" s="66"/>
      <c r="AJ1259" s="66"/>
      <c r="AK1259" s="66"/>
      <c r="AL1259" s="66"/>
      <c r="AM1259" s="66"/>
      <c r="AN1259" s="83"/>
      <c r="AO1259" s="83"/>
      <c r="AP1259" s="83"/>
      <c r="AQ1259" s="66"/>
      <c r="AR1259" s="66"/>
      <c r="AS1259" s="66"/>
      <c r="AT1259" s="81"/>
      <c r="AU1259" s="81"/>
      <c r="AV1259" s="81"/>
      <c r="AW1259" s="81"/>
      <c r="AX1259" s="83">
        <f>SUM(Prog_23[[#This Row],[ADIANTAMENTO]]+Prog_23[[#This Row],[SALDO]]+Prog_23[[#This Row],[MARGEM]]+Prog_23[[#This Row],[ESTADIA 1]])</f>
        <v>0</v>
      </c>
      <c r="AY12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59" s="81"/>
      <c r="BA1259" s="81"/>
      <c r="BB1259" s="81">
        <f>Prog_23[[#This Row],[VLR NF]]*0.1%</f>
        <v>0</v>
      </c>
      <c r="BC1259" s="81">
        <f>Prog_23[[#This Row],[VLR NF]]*0.05%</f>
        <v>0</v>
      </c>
      <c r="BD1259" s="81"/>
      <c r="BE1259" s="81"/>
      <c r="BF1259" s="81"/>
      <c r="BG1259" s="81"/>
      <c r="BH1259" s="81"/>
      <c r="BI1259" s="81"/>
      <c r="BJ1259" s="81"/>
      <c r="BK1259" s="81"/>
      <c r="BL1259" s="81"/>
      <c r="BM1259" s="81"/>
      <c r="BN1259" s="66"/>
      <c r="BO1259" s="66"/>
      <c r="BP1259" s="66"/>
      <c r="BQ1259" s="66" t="str">
        <f>PROPER(TEXT(Prog_23[[#This Row],[PROGRAMAÇÃO CLIENTE]],"mmm"))</f>
        <v>Jan</v>
      </c>
      <c r="BR1259" s="66">
        <f>YEAR(Prog_23[[#This Row],[PROGRAMAÇÃO CLIENTE]])</f>
        <v>1900</v>
      </c>
    </row>
    <row r="1260" spans="1:70" x14ac:dyDescent="0.25">
      <c r="A1260" s="201">
        <f>Prog_23[[#This Row],[CONTEINER]]</f>
        <v>0</v>
      </c>
      <c r="B1260" s="86"/>
      <c r="C12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60" s="44"/>
      <c r="E1260" s="66"/>
      <c r="F1260" s="66"/>
      <c r="G1260" s="66"/>
      <c r="H1260" s="44"/>
      <c r="I1260" s="44"/>
      <c r="J1260" s="66"/>
      <c r="K1260" s="66"/>
      <c r="L1260" s="66"/>
      <c r="M1260" s="66"/>
      <c r="N1260" s="66">
        <f>SUM(Prog_23[[#This Row],[TARA]]+Prog_23[[#This Row],[PESO]])</f>
        <v>0</v>
      </c>
      <c r="O1260" s="44"/>
      <c r="P1260" s="66"/>
      <c r="Q1260" s="66"/>
      <c r="R1260" s="66"/>
      <c r="S1260" s="66"/>
      <c r="T1260" s="138" t="str">
        <f>IFERROR(LOOKUP($S1260,MOTORISTAS!$D$3:$D$916,MOTORISTAS!E$3:$E$916),"")</f>
        <v/>
      </c>
      <c r="U1260" s="138" t="str">
        <f>IFERROR(LOOKUP($S1260,MOTORISTAS!$D$3:$D$916,MOTORISTAS!F$3:$F$916),"")</f>
        <v/>
      </c>
      <c r="V1260" s="66"/>
      <c r="W1260" s="66"/>
      <c r="X1260" s="66"/>
      <c r="Y1260" s="66"/>
      <c r="Z1260" s="66"/>
      <c r="AA1260" s="66"/>
      <c r="AB1260" s="66"/>
      <c r="AC1260" s="66"/>
      <c r="AD1260" s="66"/>
      <c r="AE1260" s="66"/>
      <c r="AF1260" s="44"/>
      <c r="AG1260" s="254">
        <f>Prog_23[[#This Row],[SAÍDA DO CLIENTE]]-Prog_23[[#This Row],[PROGRAMAÇÃO CLIENTE]]</f>
        <v>0</v>
      </c>
      <c r="AH1260" s="44"/>
      <c r="AI1260" s="66"/>
      <c r="AJ1260" s="66"/>
      <c r="AK1260" s="66"/>
      <c r="AL1260" s="66"/>
      <c r="AM1260" s="66"/>
      <c r="AN1260" s="83"/>
      <c r="AO1260" s="83"/>
      <c r="AP1260" s="83"/>
      <c r="AQ1260" s="66"/>
      <c r="AR1260" s="66"/>
      <c r="AS1260" s="66"/>
      <c r="AT1260" s="81"/>
      <c r="AU1260" s="81"/>
      <c r="AV1260" s="81"/>
      <c r="AW1260" s="81"/>
      <c r="AX1260" s="83">
        <f>SUM(Prog_23[[#This Row],[ADIANTAMENTO]]+Prog_23[[#This Row],[SALDO]]+Prog_23[[#This Row],[MARGEM]]+Prog_23[[#This Row],[ESTADIA 1]])</f>
        <v>0</v>
      </c>
      <c r="AY12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60" s="81"/>
      <c r="BA1260" s="81"/>
      <c r="BB1260" s="81">
        <f>Prog_23[[#This Row],[VLR NF]]*0.1%</f>
        <v>0</v>
      </c>
      <c r="BC1260" s="81">
        <f>Prog_23[[#This Row],[VLR NF]]*0.05%</f>
        <v>0</v>
      </c>
      <c r="BD1260" s="81"/>
      <c r="BE1260" s="81"/>
      <c r="BF1260" s="81"/>
      <c r="BG1260" s="81"/>
      <c r="BH1260" s="81"/>
      <c r="BI1260" s="81"/>
      <c r="BJ1260" s="81"/>
      <c r="BK1260" s="81"/>
      <c r="BL1260" s="81"/>
      <c r="BM1260" s="81"/>
      <c r="BN1260" s="66"/>
      <c r="BO1260" s="66"/>
      <c r="BP1260" s="66"/>
      <c r="BQ1260" s="66" t="str">
        <f>PROPER(TEXT(Prog_23[[#This Row],[PROGRAMAÇÃO CLIENTE]],"mmm"))</f>
        <v>Jan</v>
      </c>
      <c r="BR1260" s="66">
        <f>YEAR(Prog_23[[#This Row],[PROGRAMAÇÃO CLIENTE]])</f>
        <v>1900</v>
      </c>
    </row>
    <row r="1261" spans="1:70" x14ac:dyDescent="0.25">
      <c r="A1261" s="200">
        <f>Prog_23[[#This Row],[CONTEINER]]</f>
        <v>0</v>
      </c>
      <c r="B1261" s="86"/>
      <c r="C12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61" s="44"/>
      <c r="E1261" s="66"/>
      <c r="F1261" s="66"/>
      <c r="G1261" s="66"/>
      <c r="H1261" s="44"/>
      <c r="I1261" s="44"/>
      <c r="J1261" s="66"/>
      <c r="K1261" s="66"/>
      <c r="L1261" s="66"/>
      <c r="M1261" s="66"/>
      <c r="N1261" s="66">
        <f>SUM(Prog_23[[#This Row],[TARA]]+Prog_23[[#This Row],[PESO]])</f>
        <v>0</v>
      </c>
      <c r="O1261" s="44"/>
      <c r="P1261" s="66"/>
      <c r="Q1261" s="66"/>
      <c r="R1261" s="66"/>
      <c r="S1261" s="66"/>
      <c r="T1261" s="138" t="str">
        <f>IFERROR(LOOKUP($S1261,MOTORISTAS!$D$3:$D$916,MOTORISTAS!E$3:$E$916),"")</f>
        <v/>
      </c>
      <c r="U1261" s="138" t="str">
        <f>IFERROR(LOOKUP($S1261,MOTORISTAS!$D$3:$D$916,MOTORISTAS!F$3:$F$916),"")</f>
        <v/>
      </c>
      <c r="V1261" s="66"/>
      <c r="W1261" s="66"/>
      <c r="X1261" s="66"/>
      <c r="Y1261" s="66"/>
      <c r="Z1261" s="66"/>
      <c r="AA1261" s="66"/>
      <c r="AB1261" s="66"/>
      <c r="AC1261" s="66"/>
      <c r="AD1261" s="66"/>
      <c r="AE1261" s="66"/>
      <c r="AF1261" s="44"/>
      <c r="AG1261" s="254">
        <f>Prog_23[[#This Row],[SAÍDA DO CLIENTE]]-Prog_23[[#This Row],[PROGRAMAÇÃO CLIENTE]]</f>
        <v>0</v>
      </c>
      <c r="AH1261" s="44"/>
      <c r="AI1261" s="66"/>
      <c r="AJ1261" s="66"/>
      <c r="AK1261" s="66"/>
      <c r="AL1261" s="66"/>
      <c r="AM1261" s="66"/>
      <c r="AN1261" s="83"/>
      <c r="AO1261" s="83"/>
      <c r="AP1261" s="83"/>
      <c r="AQ1261" s="66"/>
      <c r="AR1261" s="66"/>
      <c r="AS1261" s="66"/>
      <c r="AT1261" s="81"/>
      <c r="AU1261" s="81"/>
      <c r="AV1261" s="81"/>
      <c r="AW1261" s="81"/>
      <c r="AX1261" s="83">
        <f>SUM(Prog_23[[#This Row],[ADIANTAMENTO]]+Prog_23[[#This Row],[SALDO]]+Prog_23[[#This Row],[MARGEM]]+Prog_23[[#This Row],[ESTADIA 1]])</f>
        <v>0</v>
      </c>
      <c r="AY12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61" s="81"/>
      <c r="BA1261" s="81"/>
      <c r="BB1261" s="81">
        <f>Prog_23[[#This Row],[VLR NF]]*0.1%</f>
        <v>0</v>
      </c>
      <c r="BC1261" s="81">
        <f>Prog_23[[#This Row],[VLR NF]]*0.05%</f>
        <v>0</v>
      </c>
      <c r="BD1261" s="81"/>
      <c r="BE1261" s="81"/>
      <c r="BF1261" s="81"/>
      <c r="BG1261" s="81"/>
      <c r="BH1261" s="81"/>
      <c r="BI1261" s="81"/>
      <c r="BJ1261" s="81"/>
      <c r="BK1261" s="81"/>
      <c r="BL1261" s="81"/>
      <c r="BM1261" s="81"/>
      <c r="BN1261" s="66"/>
      <c r="BO1261" s="66"/>
      <c r="BP1261" s="66"/>
      <c r="BQ1261" s="66" t="str">
        <f>PROPER(TEXT(Prog_23[[#This Row],[PROGRAMAÇÃO CLIENTE]],"mmm"))</f>
        <v>Jan</v>
      </c>
      <c r="BR1261" s="66">
        <f>YEAR(Prog_23[[#This Row],[PROGRAMAÇÃO CLIENTE]])</f>
        <v>1900</v>
      </c>
    </row>
    <row r="1262" spans="1:70" x14ac:dyDescent="0.25">
      <c r="A1262" s="201">
        <f>Prog_23[[#This Row],[CONTEINER]]</f>
        <v>0</v>
      </c>
      <c r="B1262" s="86"/>
      <c r="C12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62" s="44"/>
      <c r="E1262" s="66"/>
      <c r="F1262" s="66"/>
      <c r="G1262" s="66"/>
      <c r="H1262" s="44"/>
      <c r="I1262" s="44"/>
      <c r="J1262" s="66"/>
      <c r="K1262" s="66"/>
      <c r="L1262" s="66"/>
      <c r="M1262" s="66"/>
      <c r="N1262" s="66">
        <f>SUM(Prog_23[[#This Row],[TARA]]+Prog_23[[#This Row],[PESO]])</f>
        <v>0</v>
      </c>
      <c r="O1262" s="44"/>
      <c r="P1262" s="66"/>
      <c r="Q1262" s="66"/>
      <c r="R1262" s="66"/>
      <c r="S1262" s="66"/>
      <c r="T1262" s="138" t="str">
        <f>IFERROR(LOOKUP($S1262,MOTORISTAS!$D$3:$D$916,MOTORISTAS!E$3:$E$916),"")</f>
        <v/>
      </c>
      <c r="U1262" s="138" t="str">
        <f>IFERROR(LOOKUP($S1262,MOTORISTAS!$D$3:$D$916,MOTORISTAS!F$3:$F$916),"")</f>
        <v/>
      </c>
      <c r="V1262" s="66"/>
      <c r="W1262" s="66"/>
      <c r="X1262" s="66"/>
      <c r="Y1262" s="66"/>
      <c r="Z1262" s="66"/>
      <c r="AA1262" s="66"/>
      <c r="AB1262" s="66"/>
      <c r="AC1262" s="66"/>
      <c r="AD1262" s="66"/>
      <c r="AE1262" s="66"/>
      <c r="AF1262" s="44"/>
      <c r="AG1262" s="254">
        <f>Prog_23[[#This Row],[SAÍDA DO CLIENTE]]-Prog_23[[#This Row],[PROGRAMAÇÃO CLIENTE]]</f>
        <v>0</v>
      </c>
      <c r="AH1262" s="44"/>
      <c r="AI1262" s="66"/>
      <c r="AJ1262" s="66"/>
      <c r="AK1262" s="66"/>
      <c r="AL1262" s="66"/>
      <c r="AM1262" s="66"/>
      <c r="AN1262" s="83"/>
      <c r="AO1262" s="83"/>
      <c r="AP1262" s="83"/>
      <c r="AQ1262" s="66"/>
      <c r="AR1262" s="66"/>
      <c r="AS1262" s="66"/>
      <c r="AT1262" s="81"/>
      <c r="AU1262" s="81"/>
      <c r="AV1262" s="81"/>
      <c r="AW1262" s="81"/>
      <c r="AX1262" s="83">
        <f>SUM(Prog_23[[#This Row],[ADIANTAMENTO]]+Prog_23[[#This Row],[SALDO]]+Prog_23[[#This Row],[MARGEM]]+Prog_23[[#This Row],[ESTADIA 1]])</f>
        <v>0</v>
      </c>
      <c r="AY12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62" s="81"/>
      <c r="BA1262" s="81"/>
      <c r="BB1262" s="81">
        <f>Prog_23[[#This Row],[VLR NF]]*0.1%</f>
        <v>0</v>
      </c>
      <c r="BC1262" s="81">
        <f>Prog_23[[#This Row],[VLR NF]]*0.05%</f>
        <v>0</v>
      </c>
      <c r="BD1262" s="81"/>
      <c r="BE1262" s="81"/>
      <c r="BF1262" s="81"/>
      <c r="BG1262" s="81"/>
      <c r="BH1262" s="81"/>
      <c r="BI1262" s="81"/>
      <c r="BJ1262" s="81"/>
      <c r="BK1262" s="81"/>
      <c r="BL1262" s="81"/>
      <c r="BM1262" s="81"/>
      <c r="BN1262" s="66"/>
      <c r="BO1262" s="66"/>
      <c r="BP1262" s="66"/>
      <c r="BQ1262" s="66" t="str">
        <f>PROPER(TEXT(Prog_23[[#This Row],[PROGRAMAÇÃO CLIENTE]],"mmm"))</f>
        <v>Jan</v>
      </c>
      <c r="BR1262" s="66">
        <f>YEAR(Prog_23[[#This Row],[PROGRAMAÇÃO CLIENTE]])</f>
        <v>1900</v>
      </c>
    </row>
    <row r="1263" spans="1:70" x14ac:dyDescent="0.25">
      <c r="A1263" s="200">
        <f>Prog_23[[#This Row],[CONTEINER]]</f>
        <v>0</v>
      </c>
      <c r="B1263" s="86"/>
      <c r="C12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63" s="44"/>
      <c r="E1263" s="66"/>
      <c r="F1263" s="66"/>
      <c r="G1263" s="66"/>
      <c r="H1263" s="44"/>
      <c r="I1263" s="44"/>
      <c r="J1263" s="66"/>
      <c r="K1263" s="66"/>
      <c r="L1263" s="66"/>
      <c r="M1263" s="66"/>
      <c r="N1263" s="66">
        <f>SUM(Prog_23[[#This Row],[TARA]]+Prog_23[[#This Row],[PESO]])</f>
        <v>0</v>
      </c>
      <c r="O1263" s="44"/>
      <c r="P1263" s="66"/>
      <c r="Q1263" s="66"/>
      <c r="R1263" s="66"/>
      <c r="S1263" s="66"/>
      <c r="T1263" s="138" t="str">
        <f>IFERROR(LOOKUP($S1263,MOTORISTAS!$D$3:$D$916,MOTORISTAS!E$3:$E$916),"")</f>
        <v/>
      </c>
      <c r="U1263" s="138" t="str">
        <f>IFERROR(LOOKUP($S1263,MOTORISTAS!$D$3:$D$916,MOTORISTAS!F$3:$F$916),"")</f>
        <v/>
      </c>
      <c r="V1263" s="66"/>
      <c r="W1263" s="66"/>
      <c r="X1263" s="66"/>
      <c r="Y1263" s="66"/>
      <c r="Z1263" s="66"/>
      <c r="AA1263" s="66"/>
      <c r="AB1263" s="66"/>
      <c r="AC1263" s="66"/>
      <c r="AD1263" s="66"/>
      <c r="AE1263" s="66"/>
      <c r="AF1263" s="44"/>
      <c r="AG1263" s="254">
        <f>Prog_23[[#This Row],[SAÍDA DO CLIENTE]]-Prog_23[[#This Row],[PROGRAMAÇÃO CLIENTE]]</f>
        <v>0</v>
      </c>
      <c r="AH1263" s="44"/>
      <c r="AI1263" s="66"/>
      <c r="AJ1263" s="66"/>
      <c r="AK1263" s="66"/>
      <c r="AL1263" s="66"/>
      <c r="AM1263" s="66"/>
      <c r="AN1263" s="83"/>
      <c r="AO1263" s="83"/>
      <c r="AP1263" s="83"/>
      <c r="AQ1263" s="66"/>
      <c r="AR1263" s="66"/>
      <c r="AS1263" s="66"/>
      <c r="AT1263" s="81"/>
      <c r="AU1263" s="81"/>
      <c r="AV1263" s="81"/>
      <c r="AW1263" s="81"/>
      <c r="AX1263" s="83">
        <f>SUM(Prog_23[[#This Row],[ADIANTAMENTO]]+Prog_23[[#This Row],[SALDO]]+Prog_23[[#This Row],[MARGEM]]+Prog_23[[#This Row],[ESTADIA 1]])</f>
        <v>0</v>
      </c>
      <c r="AY12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63" s="81"/>
      <c r="BA1263" s="81"/>
      <c r="BB1263" s="81">
        <f>Prog_23[[#This Row],[VLR NF]]*0.1%</f>
        <v>0</v>
      </c>
      <c r="BC1263" s="81">
        <f>Prog_23[[#This Row],[VLR NF]]*0.05%</f>
        <v>0</v>
      </c>
      <c r="BD1263" s="81"/>
      <c r="BE1263" s="81"/>
      <c r="BF1263" s="81"/>
      <c r="BG1263" s="81"/>
      <c r="BH1263" s="81"/>
      <c r="BI1263" s="81"/>
      <c r="BJ1263" s="81"/>
      <c r="BK1263" s="81"/>
      <c r="BL1263" s="81"/>
      <c r="BM1263" s="81"/>
      <c r="BN1263" s="66"/>
      <c r="BO1263" s="66"/>
      <c r="BP1263" s="66"/>
      <c r="BQ1263" s="66" t="str">
        <f>PROPER(TEXT(Prog_23[[#This Row],[PROGRAMAÇÃO CLIENTE]],"mmm"))</f>
        <v>Jan</v>
      </c>
      <c r="BR1263" s="66">
        <f>YEAR(Prog_23[[#This Row],[PROGRAMAÇÃO CLIENTE]])</f>
        <v>1900</v>
      </c>
    </row>
    <row r="1264" spans="1:70" x14ac:dyDescent="0.25">
      <c r="A1264" s="201">
        <f>Prog_23[[#This Row],[CONTEINER]]</f>
        <v>0</v>
      </c>
      <c r="B1264" s="86"/>
      <c r="C12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64" s="44"/>
      <c r="E1264" s="66"/>
      <c r="F1264" s="66"/>
      <c r="G1264" s="66"/>
      <c r="H1264" s="44"/>
      <c r="I1264" s="44"/>
      <c r="J1264" s="66"/>
      <c r="K1264" s="66"/>
      <c r="L1264" s="66"/>
      <c r="M1264" s="66"/>
      <c r="N1264" s="66">
        <f>SUM(Prog_23[[#This Row],[TARA]]+Prog_23[[#This Row],[PESO]])</f>
        <v>0</v>
      </c>
      <c r="O1264" s="44"/>
      <c r="P1264" s="66"/>
      <c r="Q1264" s="66"/>
      <c r="R1264" s="66"/>
      <c r="S1264" s="66"/>
      <c r="T1264" s="138" t="str">
        <f>IFERROR(LOOKUP($S1264,MOTORISTAS!$D$3:$D$916,MOTORISTAS!E$3:$E$916),"")</f>
        <v/>
      </c>
      <c r="U1264" s="138" t="str">
        <f>IFERROR(LOOKUP($S1264,MOTORISTAS!$D$3:$D$916,MOTORISTAS!F$3:$F$916),"")</f>
        <v/>
      </c>
      <c r="V1264" s="66"/>
      <c r="W1264" s="66"/>
      <c r="X1264" s="66"/>
      <c r="Y1264" s="66"/>
      <c r="Z1264" s="66"/>
      <c r="AA1264" s="66"/>
      <c r="AB1264" s="66"/>
      <c r="AC1264" s="66"/>
      <c r="AD1264" s="66"/>
      <c r="AE1264" s="66"/>
      <c r="AF1264" s="44"/>
      <c r="AG1264" s="254">
        <f>Prog_23[[#This Row],[SAÍDA DO CLIENTE]]-Prog_23[[#This Row],[PROGRAMAÇÃO CLIENTE]]</f>
        <v>0</v>
      </c>
      <c r="AH1264" s="44"/>
      <c r="AI1264" s="66"/>
      <c r="AJ1264" s="66"/>
      <c r="AK1264" s="66"/>
      <c r="AL1264" s="66"/>
      <c r="AM1264" s="66"/>
      <c r="AN1264" s="83"/>
      <c r="AO1264" s="83"/>
      <c r="AP1264" s="83"/>
      <c r="AQ1264" s="66"/>
      <c r="AR1264" s="66"/>
      <c r="AS1264" s="66"/>
      <c r="AT1264" s="81"/>
      <c r="AU1264" s="81"/>
      <c r="AV1264" s="81"/>
      <c r="AW1264" s="81"/>
      <c r="AX1264" s="83">
        <f>SUM(Prog_23[[#This Row],[ADIANTAMENTO]]+Prog_23[[#This Row],[SALDO]]+Prog_23[[#This Row],[MARGEM]]+Prog_23[[#This Row],[ESTADIA 1]])</f>
        <v>0</v>
      </c>
      <c r="AY12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64" s="81"/>
      <c r="BA1264" s="81"/>
      <c r="BB1264" s="81">
        <f>Prog_23[[#This Row],[VLR NF]]*0.1%</f>
        <v>0</v>
      </c>
      <c r="BC1264" s="81">
        <f>Prog_23[[#This Row],[VLR NF]]*0.05%</f>
        <v>0</v>
      </c>
      <c r="BD1264" s="81"/>
      <c r="BE1264" s="81"/>
      <c r="BF1264" s="81"/>
      <c r="BG1264" s="81"/>
      <c r="BH1264" s="81"/>
      <c r="BI1264" s="81"/>
      <c r="BJ1264" s="81"/>
      <c r="BK1264" s="81"/>
      <c r="BL1264" s="81"/>
      <c r="BM1264" s="81"/>
      <c r="BN1264" s="66"/>
      <c r="BO1264" s="66"/>
      <c r="BP1264" s="66"/>
      <c r="BQ1264" s="66" t="str">
        <f>PROPER(TEXT(Prog_23[[#This Row],[PROGRAMAÇÃO CLIENTE]],"mmm"))</f>
        <v>Jan</v>
      </c>
      <c r="BR1264" s="66">
        <f>YEAR(Prog_23[[#This Row],[PROGRAMAÇÃO CLIENTE]])</f>
        <v>1900</v>
      </c>
    </row>
    <row r="1265" spans="1:70" x14ac:dyDescent="0.25">
      <c r="A1265" s="200">
        <f>Prog_23[[#This Row],[CONTEINER]]</f>
        <v>0</v>
      </c>
      <c r="B1265" s="86"/>
      <c r="C12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65" s="44"/>
      <c r="E1265" s="66"/>
      <c r="F1265" s="66"/>
      <c r="G1265" s="66"/>
      <c r="H1265" s="44"/>
      <c r="I1265" s="44"/>
      <c r="J1265" s="66"/>
      <c r="K1265" s="66"/>
      <c r="L1265" s="66"/>
      <c r="M1265" s="66"/>
      <c r="N1265" s="66">
        <f>SUM(Prog_23[[#This Row],[TARA]]+Prog_23[[#This Row],[PESO]])</f>
        <v>0</v>
      </c>
      <c r="O1265" s="44"/>
      <c r="P1265" s="66"/>
      <c r="Q1265" s="66"/>
      <c r="R1265" s="66"/>
      <c r="S1265" s="66"/>
      <c r="T1265" s="138" t="str">
        <f>IFERROR(LOOKUP($S1265,MOTORISTAS!$D$3:$D$916,MOTORISTAS!E$3:$E$916),"")</f>
        <v/>
      </c>
      <c r="U1265" s="138" t="str">
        <f>IFERROR(LOOKUP($S1265,MOTORISTAS!$D$3:$D$916,MOTORISTAS!F$3:$F$916),"")</f>
        <v/>
      </c>
      <c r="V1265" s="66"/>
      <c r="W1265" s="66"/>
      <c r="X1265" s="66"/>
      <c r="Y1265" s="66"/>
      <c r="Z1265" s="66"/>
      <c r="AA1265" s="66"/>
      <c r="AB1265" s="66"/>
      <c r="AC1265" s="66"/>
      <c r="AD1265" s="66"/>
      <c r="AE1265" s="66"/>
      <c r="AF1265" s="44"/>
      <c r="AG1265" s="254">
        <f>Prog_23[[#This Row],[SAÍDA DO CLIENTE]]-Prog_23[[#This Row],[PROGRAMAÇÃO CLIENTE]]</f>
        <v>0</v>
      </c>
      <c r="AH1265" s="44"/>
      <c r="AI1265" s="66"/>
      <c r="AJ1265" s="66"/>
      <c r="AK1265" s="66"/>
      <c r="AL1265" s="66"/>
      <c r="AM1265" s="66"/>
      <c r="AN1265" s="83"/>
      <c r="AO1265" s="83"/>
      <c r="AP1265" s="83"/>
      <c r="AQ1265" s="66"/>
      <c r="AR1265" s="66"/>
      <c r="AS1265" s="66"/>
      <c r="AT1265" s="81"/>
      <c r="AU1265" s="81"/>
      <c r="AV1265" s="81"/>
      <c r="AW1265" s="81"/>
      <c r="AX1265" s="83">
        <f>SUM(Prog_23[[#This Row],[ADIANTAMENTO]]+Prog_23[[#This Row],[SALDO]]+Prog_23[[#This Row],[MARGEM]]+Prog_23[[#This Row],[ESTADIA 1]])</f>
        <v>0</v>
      </c>
      <c r="AY12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65" s="81"/>
      <c r="BA1265" s="81"/>
      <c r="BB1265" s="81">
        <f>Prog_23[[#This Row],[VLR NF]]*0.1%</f>
        <v>0</v>
      </c>
      <c r="BC1265" s="81">
        <f>Prog_23[[#This Row],[VLR NF]]*0.05%</f>
        <v>0</v>
      </c>
      <c r="BD1265" s="81"/>
      <c r="BE1265" s="81"/>
      <c r="BF1265" s="81"/>
      <c r="BG1265" s="81"/>
      <c r="BH1265" s="81"/>
      <c r="BI1265" s="81"/>
      <c r="BJ1265" s="81"/>
      <c r="BK1265" s="81"/>
      <c r="BL1265" s="81"/>
      <c r="BM1265" s="81"/>
      <c r="BN1265" s="66"/>
      <c r="BO1265" s="66"/>
      <c r="BP1265" s="66"/>
      <c r="BQ1265" s="66" t="str">
        <f>PROPER(TEXT(Prog_23[[#This Row],[PROGRAMAÇÃO CLIENTE]],"mmm"))</f>
        <v>Jan</v>
      </c>
      <c r="BR1265" s="66">
        <f>YEAR(Prog_23[[#This Row],[PROGRAMAÇÃO CLIENTE]])</f>
        <v>1900</v>
      </c>
    </row>
    <row r="1266" spans="1:70" x14ac:dyDescent="0.25">
      <c r="A1266" s="201">
        <f>Prog_23[[#This Row],[CONTEINER]]</f>
        <v>0</v>
      </c>
      <c r="B1266" s="86"/>
      <c r="C12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66" s="44"/>
      <c r="E1266" s="66"/>
      <c r="F1266" s="66"/>
      <c r="G1266" s="66"/>
      <c r="H1266" s="44"/>
      <c r="I1266" s="44"/>
      <c r="J1266" s="66"/>
      <c r="K1266" s="66"/>
      <c r="L1266" s="66"/>
      <c r="M1266" s="66"/>
      <c r="N1266" s="66">
        <f>SUM(Prog_23[[#This Row],[TARA]]+Prog_23[[#This Row],[PESO]])</f>
        <v>0</v>
      </c>
      <c r="O1266" s="44"/>
      <c r="P1266" s="66"/>
      <c r="Q1266" s="66"/>
      <c r="R1266" s="66"/>
      <c r="S1266" s="66"/>
      <c r="T1266" s="138" t="str">
        <f>IFERROR(LOOKUP($S1266,MOTORISTAS!$D$3:$D$916,MOTORISTAS!E$3:$E$916),"")</f>
        <v/>
      </c>
      <c r="U1266" s="138" t="str">
        <f>IFERROR(LOOKUP($S1266,MOTORISTAS!$D$3:$D$916,MOTORISTAS!F$3:$F$916),"")</f>
        <v/>
      </c>
      <c r="V1266" s="66"/>
      <c r="W1266" s="66"/>
      <c r="X1266" s="66"/>
      <c r="Y1266" s="66"/>
      <c r="Z1266" s="66"/>
      <c r="AA1266" s="66"/>
      <c r="AB1266" s="66"/>
      <c r="AC1266" s="66"/>
      <c r="AD1266" s="66"/>
      <c r="AE1266" s="66"/>
      <c r="AF1266" s="44"/>
      <c r="AG1266" s="254">
        <f>Prog_23[[#This Row],[SAÍDA DO CLIENTE]]-Prog_23[[#This Row],[PROGRAMAÇÃO CLIENTE]]</f>
        <v>0</v>
      </c>
      <c r="AH1266" s="44"/>
      <c r="AI1266" s="66"/>
      <c r="AJ1266" s="66"/>
      <c r="AK1266" s="66"/>
      <c r="AL1266" s="66"/>
      <c r="AM1266" s="66"/>
      <c r="AN1266" s="83"/>
      <c r="AO1266" s="83"/>
      <c r="AP1266" s="83"/>
      <c r="AQ1266" s="66"/>
      <c r="AR1266" s="66"/>
      <c r="AS1266" s="66"/>
      <c r="AT1266" s="81"/>
      <c r="AU1266" s="81"/>
      <c r="AV1266" s="81"/>
      <c r="AW1266" s="81"/>
      <c r="AX1266" s="83">
        <f>SUM(Prog_23[[#This Row],[ADIANTAMENTO]]+Prog_23[[#This Row],[SALDO]]+Prog_23[[#This Row],[MARGEM]]+Prog_23[[#This Row],[ESTADIA 1]])</f>
        <v>0</v>
      </c>
      <c r="AY12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66" s="81"/>
      <c r="BA1266" s="81"/>
      <c r="BB1266" s="81">
        <f>Prog_23[[#This Row],[VLR NF]]*0.1%</f>
        <v>0</v>
      </c>
      <c r="BC1266" s="81">
        <f>Prog_23[[#This Row],[VLR NF]]*0.05%</f>
        <v>0</v>
      </c>
      <c r="BD1266" s="81"/>
      <c r="BE1266" s="81"/>
      <c r="BF1266" s="81"/>
      <c r="BG1266" s="81"/>
      <c r="BH1266" s="81"/>
      <c r="BI1266" s="81"/>
      <c r="BJ1266" s="81"/>
      <c r="BK1266" s="81"/>
      <c r="BL1266" s="81"/>
      <c r="BM1266" s="81"/>
      <c r="BN1266" s="66"/>
      <c r="BO1266" s="66"/>
      <c r="BP1266" s="66"/>
      <c r="BQ1266" s="66" t="str">
        <f>PROPER(TEXT(Prog_23[[#This Row],[PROGRAMAÇÃO CLIENTE]],"mmm"))</f>
        <v>Jan</v>
      </c>
      <c r="BR1266" s="66">
        <f>YEAR(Prog_23[[#This Row],[PROGRAMAÇÃO CLIENTE]])</f>
        <v>1900</v>
      </c>
    </row>
    <row r="1267" spans="1:70" x14ac:dyDescent="0.25">
      <c r="A1267" s="200">
        <f>Prog_23[[#This Row],[CONTEINER]]</f>
        <v>0</v>
      </c>
      <c r="B1267" s="86"/>
      <c r="C12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67" s="44"/>
      <c r="E1267" s="66"/>
      <c r="F1267" s="66"/>
      <c r="G1267" s="66"/>
      <c r="H1267" s="44"/>
      <c r="I1267" s="44"/>
      <c r="J1267" s="66"/>
      <c r="K1267" s="66"/>
      <c r="L1267" s="66"/>
      <c r="M1267" s="66"/>
      <c r="N1267" s="66">
        <f>SUM(Prog_23[[#This Row],[TARA]]+Prog_23[[#This Row],[PESO]])</f>
        <v>0</v>
      </c>
      <c r="O1267" s="44"/>
      <c r="P1267" s="66"/>
      <c r="Q1267" s="66"/>
      <c r="R1267" s="66"/>
      <c r="S1267" s="66"/>
      <c r="T1267" s="138" t="str">
        <f>IFERROR(LOOKUP($S1267,MOTORISTAS!$D$3:$D$916,MOTORISTAS!E$3:$E$916),"")</f>
        <v/>
      </c>
      <c r="U1267" s="138" t="str">
        <f>IFERROR(LOOKUP($S1267,MOTORISTAS!$D$3:$D$916,MOTORISTAS!F$3:$F$916),"")</f>
        <v/>
      </c>
      <c r="V1267" s="66"/>
      <c r="W1267" s="66"/>
      <c r="X1267" s="66"/>
      <c r="Y1267" s="66"/>
      <c r="Z1267" s="66"/>
      <c r="AA1267" s="66"/>
      <c r="AB1267" s="66"/>
      <c r="AC1267" s="66"/>
      <c r="AD1267" s="66"/>
      <c r="AE1267" s="66"/>
      <c r="AF1267" s="44"/>
      <c r="AG1267" s="254">
        <f>Prog_23[[#This Row],[SAÍDA DO CLIENTE]]-Prog_23[[#This Row],[PROGRAMAÇÃO CLIENTE]]</f>
        <v>0</v>
      </c>
      <c r="AH1267" s="44"/>
      <c r="AI1267" s="66"/>
      <c r="AJ1267" s="66"/>
      <c r="AK1267" s="66"/>
      <c r="AL1267" s="66"/>
      <c r="AM1267" s="66"/>
      <c r="AN1267" s="83"/>
      <c r="AO1267" s="83"/>
      <c r="AP1267" s="83"/>
      <c r="AQ1267" s="66"/>
      <c r="AR1267" s="66"/>
      <c r="AS1267" s="66"/>
      <c r="AT1267" s="81"/>
      <c r="AU1267" s="81"/>
      <c r="AV1267" s="81"/>
      <c r="AW1267" s="81"/>
      <c r="AX1267" s="83">
        <f>SUM(Prog_23[[#This Row],[ADIANTAMENTO]]+Prog_23[[#This Row],[SALDO]]+Prog_23[[#This Row],[MARGEM]]+Prog_23[[#This Row],[ESTADIA 1]])</f>
        <v>0</v>
      </c>
      <c r="AY12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67" s="81"/>
      <c r="BA1267" s="81"/>
      <c r="BB1267" s="81">
        <f>Prog_23[[#This Row],[VLR NF]]*0.1%</f>
        <v>0</v>
      </c>
      <c r="BC1267" s="81">
        <f>Prog_23[[#This Row],[VLR NF]]*0.05%</f>
        <v>0</v>
      </c>
      <c r="BD1267" s="81"/>
      <c r="BE1267" s="81"/>
      <c r="BF1267" s="81"/>
      <c r="BG1267" s="81"/>
      <c r="BH1267" s="81"/>
      <c r="BI1267" s="81"/>
      <c r="BJ1267" s="81"/>
      <c r="BK1267" s="81"/>
      <c r="BL1267" s="81"/>
      <c r="BM1267" s="81"/>
      <c r="BN1267" s="66"/>
      <c r="BO1267" s="66"/>
      <c r="BP1267" s="66"/>
      <c r="BQ1267" s="66" t="str">
        <f>PROPER(TEXT(Prog_23[[#This Row],[PROGRAMAÇÃO CLIENTE]],"mmm"))</f>
        <v>Jan</v>
      </c>
      <c r="BR1267" s="66">
        <f>YEAR(Prog_23[[#This Row],[PROGRAMAÇÃO CLIENTE]])</f>
        <v>1900</v>
      </c>
    </row>
    <row r="1268" spans="1:70" x14ac:dyDescent="0.25">
      <c r="A1268" s="201">
        <f>Prog_23[[#This Row],[CONTEINER]]</f>
        <v>0</v>
      </c>
      <c r="B1268" s="86"/>
      <c r="C12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68" s="44"/>
      <c r="E1268" s="66"/>
      <c r="F1268" s="66"/>
      <c r="G1268" s="66"/>
      <c r="H1268" s="44"/>
      <c r="I1268" s="44"/>
      <c r="J1268" s="66"/>
      <c r="K1268" s="66"/>
      <c r="L1268" s="66"/>
      <c r="M1268" s="66"/>
      <c r="N1268" s="66">
        <f>SUM(Prog_23[[#This Row],[TARA]]+Prog_23[[#This Row],[PESO]])</f>
        <v>0</v>
      </c>
      <c r="O1268" s="44"/>
      <c r="P1268" s="66"/>
      <c r="Q1268" s="66"/>
      <c r="R1268" s="66"/>
      <c r="S1268" s="66"/>
      <c r="T1268" s="138" t="str">
        <f>IFERROR(LOOKUP($S1268,MOTORISTAS!$D$3:$D$916,MOTORISTAS!E$3:$E$916),"")</f>
        <v/>
      </c>
      <c r="U1268" s="138" t="str">
        <f>IFERROR(LOOKUP($S1268,MOTORISTAS!$D$3:$D$916,MOTORISTAS!F$3:$F$916),"")</f>
        <v/>
      </c>
      <c r="V1268" s="66"/>
      <c r="W1268" s="66"/>
      <c r="X1268" s="66"/>
      <c r="Y1268" s="66"/>
      <c r="Z1268" s="66"/>
      <c r="AA1268" s="66"/>
      <c r="AB1268" s="66"/>
      <c r="AC1268" s="66"/>
      <c r="AD1268" s="66"/>
      <c r="AE1268" s="66"/>
      <c r="AF1268" s="44"/>
      <c r="AG1268" s="254">
        <f>Prog_23[[#This Row],[SAÍDA DO CLIENTE]]-Prog_23[[#This Row],[PROGRAMAÇÃO CLIENTE]]</f>
        <v>0</v>
      </c>
      <c r="AH1268" s="44"/>
      <c r="AI1268" s="66"/>
      <c r="AJ1268" s="66"/>
      <c r="AK1268" s="66"/>
      <c r="AL1268" s="66"/>
      <c r="AM1268" s="66"/>
      <c r="AN1268" s="83"/>
      <c r="AO1268" s="83"/>
      <c r="AP1268" s="83"/>
      <c r="AQ1268" s="66"/>
      <c r="AR1268" s="66"/>
      <c r="AS1268" s="66"/>
      <c r="AT1268" s="81"/>
      <c r="AU1268" s="81"/>
      <c r="AV1268" s="81"/>
      <c r="AW1268" s="81"/>
      <c r="AX1268" s="83">
        <f>SUM(Prog_23[[#This Row],[ADIANTAMENTO]]+Prog_23[[#This Row],[SALDO]]+Prog_23[[#This Row],[MARGEM]]+Prog_23[[#This Row],[ESTADIA 1]])</f>
        <v>0</v>
      </c>
      <c r="AY12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68" s="81"/>
      <c r="BA1268" s="81"/>
      <c r="BB1268" s="81">
        <f>Prog_23[[#This Row],[VLR NF]]*0.1%</f>
        <v>0</v>
      </c>
      <c r="BC1268" s="81">
        <f>Prog_23[[#This Row],[VLR NF]]*0.05%</f>
        <v>0</v>
      </c>
      <c r="BD1268" s="81"/>
      <c r="BE1268" s="81"/>
      <c r="BF1268" s="81"/>
      <c r="BG1268" s="81"/>
      <c r="BH1268" s="81"/>
      <c r="BI1268" s="81"/>
      <c r="BJ1268" s="81"/>
      <c r="BK1268" s="81"/>
      <c r="BL1268" s="81"/>
      <c r="BM1268" s="81"/>
      <c r="BN1268" s="66"/>
      <c r="BO1268" s="66"/>
      <c r="BP1268" s="66"/>
      <c r="BQ1268" s="66" t="str">
        <f>PROPER(TEXT(Prog_23[[#This Row],[PROGRAMAÇÃO CLIENTE]],"mmm"))</f>
        <v>Jan</v>
      </c>
      <c r="BR1268" s="66">
        <f>YEAR(Prog_23[[#This Row],[PROGRAMAÇÃO CLIENTE]])</f>
        <v>1900</v>
      </c>
    </row>
    <row r="1269" spans="1:70" x14ac:dyDescent="0.25">
      <c r="A1269" s="200">
        <f>Prog_23[[#This Row],[CONTEINER]]</f>
        <v>0</v>
      </c>
      <c r="B1269" s="86"/>
      <c r="C12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69" s="44"/>
      <c r="E1269" s="66"/>
      <c r="F1269" s="66"/>
      <c r="G1269" s="66"/>
      <c r="H1269" s="44"/>
      <c r="I1269" s="44"/>
      <c r="J1269" s="66"/>
      <c r="K1269" s="66"/>
      <c r="L1269" s="66"/>
      <c r="M1269" s="66"/>
      <c r="N1269" s="66">
        <f>SUM(Prog_23[[#This Row],[TARA]]+Prog_23[[#This Row],[PESO]])</f>
        <v>0</v>
      </c>
      <c r="O1269" s="44"/>
      <c r="P1269" s="66"/>
      <c r="Q1269" s="66"/>
      <c r="R1269" s="66"/>
      <c r="S1269" s="66"/>
      <c r="T1269" s="138" t="str">
        <f>IFERROR(LOOKUP($S1269,MOTORISTAS!$D$3:$D$916,MOTORISTAS!E$3:$E$916),"")</f>
        <v/>
      </c>
      <c r="U1269" s="138" t="str">
        <f>IFERROR(LOOKUP($S1269,MOTORISTAS!$D$3:$D$916,MOTORISTAS!F$3:$F$916),"")</f>
        <v/>
      </c>
      <c r="V1269" s="66"/>
      <c r="W1269" s="66"/>
      <c r="X1269" s="66"/>
      <c r="Y1269" s="66"/>
      <c r="Z1269" s="66"/>
      <c r="AA1269" s="66"/>
      <c r="AB1269" s="66"/>
      <c r="AC1269" s="66"/>
      <c r="AD1269" s="66"/>
      <c r="AE1269" s="66"/>
      <c r="AF1269" s="44"/>
      <c r="AG1269" s="254">
        <f>Prog_23[[#This Row],[SAÍDA DO CLIENTE]]-Prog_23[[#This Row],[PROGRAMAÇÃO CLIENTE]]</f>
        <v>0</v>
      </c>
      <c r="AH1269" s="44"/>
      <c r="AI1269" s="66"/>
      <c r="AJ1269" s="66"/>
      <c r="AK1269" s="66"/>
      <c r="AL1269" s="66"/>
      <c r="AM1269" s="66"/>
      <c r="AN1269" s="83"/>
      <c r="AO1269" s="83"/>
      <c r="AP1269" s="83"/>
      <c r="AQ1269" s="66"/>
      <c r="AR1269" s="66"/>
      <c r="AS1269" s="66"/>
      <c r="AT1269" s="81"/>
      <c r="AU1269" s="81"/>
      <c r="AV1269" s="81"/>
      <c r="AW1269" s="81"/>
      <c r="AX1269" s="83">
        <f>SUM(Prog_23[[#This Row],[ADIANTAMENTO]]+Prog_23[[#This Row],[SALDO]]+Prog_23[[#This Row],[MARGEM]]+Prog_23[[#This Row],[ESTADIA 1]])</f>
        <v>0</v>
      </c>
      <c r="AY12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69" s="81"/>
      <c r="BA1269" s="81"/>
      <c r="BB1269" s="81">
        <f>Prog_23[[#This Row],[VLR NF]]*0.1%</f>
        <v>0</v>
      </c>
      <c r="BC1269" s="81">
        <f>Prog_23[[#This Row],[VLR NF]]*0.05%</f>
        <v>0</v>
      </c>
      <c r="BD1269" s="81"/>
      <c r="BE1269" s="81"/>
      <c r="BF1269" s="81"/>
      <c r="BG1269" s="81"/>
      <c r="BH1269" s="81"/>
      <c r="BI1269" s="81"/>
      <c r="BJ1269" s="81"/>
      <c r="BK1269" s="81"/>
      <c r="BL1269" s="81"/>
      <c r="BM1269" s="81"/>
      <c r="BN1269" s="66"/>
      <c r="BO1269" s="66"/>
      <c r="BP1269" s="66"/>
      <c r="BQ1269" s="66" t="str">
        <f>PROPER(TEXT(Prog_23[[#This Row],[PROGRAMAÇÃO CLIENTE]],"mmm"))</f>
        <v>Jan</v>
      </c>
      <c r="BR1269" s="66">
        <f>YEAR(Prog_23[[#This Row],[PROGRAMAÇÃO CLIENTE]])</f>
        <v>1900</v>
      </c>
    </row>
    <row r="1270" spans="1:70" x14ac:dyDescent="0.25">
      <c r="A1270" s="201">
        <f>Prog_23[[#This Row],[CONTEINER]]</f>
        <v>0</v>
      </c>
      <c r="B1270" s="86"/>
      <c r="C12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70" s="44"/>
      <c r="E1270" s="66"/>
      <c r="F1270" s="66"/>
      <c r="G1270" s="66"/>
      <c r="H1270" s="44"/>
      <c r="I1270" s="44"/>
      <c r="J1270" s="66"/>
      <c r="K1270" s="66"/>
      <c r="L1270" s="66"/>
      <c r="M1270" s="66"/>
      <c r="N1270" s="66">
        <f>SUM(Prog_23[[#This Row],[TARA]]+Prog_23[[#This Row],[PESO]])</f>
        <v>0</v>
      </c>
      <c r="O1270" s="44"/>
      <c r="P1270" s="66"/>
      <c r="Q1270" s="66"/>
      <c r="R1270" s="66"/>
      <c r="S1270" s="66"/>
      <c r="T1270" s="138" t="str">
        <f>IFERROR(LOOKUP($S1270,MOTORISTAS!$D$3:$D$916,MOTORISTAS!E$3:$E$916),"")</f>
        <v/>
      </c>
      <c r="U1270" s="138" t="str">
        <f>IFERROR(LOOKUP($S1270,MOTORISTAS!$D$3:$D$916,MOTORISTAS!F$3:$F$916),"")</f>
        <v/>
      </c>
      <c r="V1270" s="66"/>
      <c r="W1270" s="66"/>
      <c r="X1270" s="66"/>
      <c r="Y1270" s="66"/>
      <c r="Z1270" s="66"/>
      <c r="AA1270" s="66"/>
      <c r="AB1270" s="66"/>
      <c r="AC1270" s="66"/>
      <c r="AD1270" s="66"/>
      <c r="AE1270" s="66"/>
      <c r="AF1270" s="44"/>
      <c r="AG1270" s="254">
        <f>Prog_23[[#This Row],[SAÍDA DO CLIENTE]]-Prog_23[[#This Row],[PROGRAMAÇÃO CLIENTE]]</f>
        <v>0</v>
      </c>
      <c r="AH1270" s="44"/>
      <c r="AI1270" s="66"/>
      <c r="AJ1270" s="66"/>
      <c r="AK1270" s="66"/>
      <c r="AL1270" s="66"/>
      <c r="AM1270" s="66"/>
      <c r="AN1270" s="83"/>
      <c r="AO1270" s="83"/>
      <c r="AP1270" s="83"/>
      <c r="AQ1270" s="66"/>
      <c r="AR1270" s="66"/>
      <c r="AS1270" s="66"/>
      <c r="AT1270" s="81"/>
      <c r="AU1270" s="81"/>
      <c r="AV1270" s="81"/>
      <c r="AW1270" s="81"/>
      <c r="AX1270" s="83">
        <f>SUM(Prog_23[[#This Row],[ADIANTAMENTO]]+Prog_23[[#This Row],[SALDO]]+Prog_23[[#This Row],[MARGEM]]+Prog_23[[#This Row],[ESTADIA 1]])</f>
        <v>0</v>
      </c>
      <c r="AY12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70" s="81"/>
      <c r="BA1270" s="81"/>
      <c r="BB1270" s="81">
        <f>Prog_23[[#This Row],[VLR NF]]*0.1%</f>
        <v>0</v>
      </c>
      <c r="BC1270" s="81">
        <f>Prog_23[[#This Row],[VLR NF]]*0.05%</f>
        <v>0</v>
      </c>
      <c r="BD1270" s="81"/>
      <c r="BE1270" s="81"/>
      <c r="BF1270" s="81"/>
      <c r="BG1270" s="81"/>
      <c r="BH1270" s="81"/>
      <c r="BI1270" s="81"/>
      <c r="BJ1270" s="81"/>
      <c r="BK1270" s="81"/>
      <c r="BL1270" s="81"/>
      <c r="BM1270" s="81"/>
      <c r="BN1270" s="66"/>
      <c r="BO1270" s="66"/>
      <c r="BP1270" s="66"/>
      <c r="BQ1270" s="66" t="str">
        <f>PROPER(TEXT(Prog_23[[#This Row],[PROGRAMAÇÃO CLIENTE]],"mmm"))</f>
        <v>Jan</v>
      </c>
      <c r="BR1270" s="66">
        <f>YEAR(Prog_23[[#This Row],[PROGRAMAÇÃO CLIENTE]])</f>
        <v>1900</v>
      </c>
    </row>
    <row r="1271" spans="1:70" x14ac:dyDescent="0.25">
      <c r="A1271" s="200">
        <f>Prog_23[[#This Row],[CONTEINER]]</f>
        <v>0</v>
      </c>
      <c r="B1271" s="86"/>
      <c r="C12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71" s="44"/>
      <c r="E1271" s="66"/>
      <c r="F1271" s="66"/>
      <c r="G1271" s="66"/>
      <c r="H1271" s="44"/>
      <c r="I1271" s="44"/>
      <c r="J1271" s="66"/>
      <c r="K1271" s="66"/>
      <c r="L1271" s="66"/>
      <c r="M1271" s="66"/>
      <c r="N1271" s="66">
        <f>SUM(Prog_23[[#This Row],[TARA]]+Prog_23[[#This Row],[PESO]])</f>
        <v>0</v>
      </c>
      <c r="O1271" s="44"/>
      <c r="P1271" s="66"/>
      <c r="Q1271" s="66"/>
      <c r="R1271" s="66"/>
      <c r="S1271" s="66"/>
      <c r="T1271" s="138" t="str">
        <f>IFERROR(LOOKUP($S1271,MOTORISTAS!$D$3:$D$916,MOTORISTAS!E$3:$E$916),"")</f>
        <v/>
      </c>
      <c r="U1271" s="138" t="str">
        <f>IFERROR(LOOKUP($S1271,MOTORISTAS!$D$3:$D$916,MOTORISTAS!F$3:$F$916),"")</f>
        <v/>
      </c>
      <c r="V1271" s="66"/>
      <c r="W1271" s="66"/>
      <c r="X1271" s="66"/>
      <c r="Y1271" s="66"/>
      <c r="Z1271" s="66"/>
      <c r="AA1271" s="66"/>
      <c r="AB1271" s="66"/>
      <c r="AC1271" s="66"/>
      <c r="AD1271" s="66"/>
      <c r="AE1271" s="66"/>
      <c r="AF1271" s="44"/>
      <c r="AG1271" s="254">
        <f>Prog_23[[#This Row],[SAÍDA DO CLIENTE]]-Prog_23[[#This Row],[PROGRAMAÇÃO CLIENTE]]</f>
        <v>0</v>
      </c>
      <c r="AH1271" s="44"/>
      <c r="AI1271" s="66"/>
      <c r="AJ1271" s="66"/>
      <c r="AK1271" s="66"/>
      <c r="AL1271" s="66"/>
      <c r="AM1271" s="66"/>
      <c r="AN1271" s="83"/>
      <c r="AO1271" s="83"/>
      <c r="AP1271" s="83"/>
      <c r="AQ1271" s="66"/>
      <c r="AR1271" s="66"/>
      <c r="AS1271" s="66"/>
      <c r="AT1271" s="81"/>
      <c r="AU1271" s="81"/>
      <c r="AV1271" s="81"/>
      <c r="AW1271" s="81"/>
      <c r="AX1271" s="83">
        <f>SUM(Prog_23[[#This Row],[ADIANTAMENTO]]+Prog_23[[#This Row],[SALDO]]+Prog_23[[#This Row],[MARGEM]]+Prog_23[[#This Row],[ESTADIA 1]])</f>
        <v>0</v>
      </c>
      <c r="AY12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71" s="81"/>
      <c r="BA1271" s="81"/>
      <c r="BB1271" s="81">
        <f>Prog_23[[#This Row],[VLR NF]]*0.1%</f>
        <v>0</v>
      </c>
      <c r="BC1271" s="81">
        <f>Prog_23[[#This Row],[VLR NF]]*0.05%</f>
        <v>0</v>
      </c>
      <c r="BD1271" s="81"/>
      <c r="BE1271" s="81"/>
      <c r="BF1271" s="81"/>
      <c r="BG1271" s="81"/>
      <c r="BH1271" s="81"/>
      <c r="BI1271" s="81"/>
      <c r="BJ1271" s="81"/>
      <c r="BK1271" s="81"/>
      <c r="BL1271" s="81"/>
      <c r="BM1271" s="81"/>
      <c r="BN1271" s="66"/>
      <c r="BO1271" s="66"/>
      <c r="BP1271" s="66"/>
      <c r="BQ1271" s="66" t="str">
        <f>PROPER(TEXT(Prog_23[[#This Row],[PROGRAMAÇÃO CLIENTE]],"mmm"))</f>
        <v>Jan</v>
      </c>
      <c r="BR1271" s="66">
        <f>YEAR(Prog_23[[#This Row],[PROGRAMAÇÃO CLIENTE]])</f>
        <v>1900</v>
      </c>
    </row>
    <row r="1272" spans="1:70" x14ac:dyDescent="0.25">
      <c r="A1272" s="201">
        <f>Prog_23[[#This Row],[CONTEINER]]</f>
        <v>0</v>
      </c>
      <c r="B1272" s="86"/>
      <c r="C12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72" s="44"/>
      <c r="E1272" s="66"/>
      <c r="F1272" s="66"/>
      <c r="G1272" s="66"/>
      <c r="H1272" s="44"/>
      <c r="I1272" s="44"/>
      <c r="J1272" s="66"/>
      <c r="K1272" s="66"/>
      <c r="L1272" s="66"/>
      <c r="M1272" s="66"/>
      <c r="N1272" s="66">
        <f>SUM(Prog_23[[#This Row],[TARA]]+Prog_23[[#This Row],[PESO]])</f>
        <v>0</v>
      </c>
      <c r="O1272" s="44"/>
      <c r="P1272" s="66"/>
      <c r="Q1272" s="66"/>
      <c r="R1272" s="66"/>
      <c r="S1272" s="66"/>
      <c r="T1272" s="138" t="str">
        <f>IFERROR(LOOKUP($S1272,MOTORISTAS!$D$3:$D$916,MOTORISTAS!E$3:$E$916),"")</f>
        <v/>
      </c>
      <c r="U1272" s="138" t="str">
        <f>IFERROR(LOOKUP($S1272,MOTORISTAS!$D$3:$D$916,MOTORISTAS!F$3:$F$916),"")</f>
        <v/>
      </c>
      <c r="V1272" s="66"/>
      <c r="W1272" s="66"/>
      <c r="X1272" s="66"/>
      <c r="Y1272" s="66"/>
      <c r="Z1272" s="66"/>
      <c r="AA1272" s="66"/>
      <c r="AB1272" s="66"/>
      <c r="AC1272" s="66"/>
      <c r="AD1272" s="66"/>
      <c r="AE1272" s="66"/>
      <c r="AF1272" s="44"/>
      <c r="AG1272" s="254">
        <f>Prog_23[[#This Row],[SAÍDA DO CLIENTE]]-Prog_23[[#This Row],[PROGRAMAÇÃO CLIENTE]]</f>
        <v>0</v>
      </c>
      <c r="AH1272" s="44"/>
      <c r="AI1272" s="66"/>
      <c r="AJ1272" s="66"/>
      <c r="AK1272" s="66"/>
      <c r="AL1272" s="66"/>
      <c r="AM1272" s="66"/>
      <c r="AN1272" s="83"/>
      <c r="AO1272" s="83"/>
      <c r="AP1272" s="83"/>
      <c r="AQ1272" s="66"/>
      <c r="AR1272" s="66"/>
      <c r="AS1272" s="66"/>
      <c r="AT1272" s="81"/>
      <c r="AU1272" s="81"/>
      <c r="AV1272" s="81"/>
      <c r="AW1272" s="81"/>
      <c r="AX1272" s="83">
        <f>SUM(Prog_23[[#This Row],[ADIANTAMENTO]]+Prog_23[[#This Row],[SALDO]]+Prog_23[[#This Row],[MARGEM]]+Prog_23[[#This Row],[ESTADIA 1]])</f>
        <v>0</v>
      </c>
      <c r="AY12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72" s="81"/>
      <c r="BA1272" s="81"/>
      <c r="BB1272" s="81">
        <f>Prog_23[[#This Row],[VLR NF]]*0.1%</f>
        <v>0</v>
      </c>
      <c r="BC1272" s="81">
        <f>Prog_23[[#This Row],[VLR NF]]*0.05%</f>
        <v>0</v>
      </c>
      <c r="BD1272" s="81"/>
      <c r="BE1272" s="81"/>
      <c r="BF1272" s="81"/>
      <c r="BG1272" s="81"/>
      <c r="BH1272" s="81"/>
      <c r="BI1272" s="81"/>
      <c r="BJ1272" s="81"/>
      <c r="BK1272" s="81"/>
      <c r="BL1272" s="81"/>
      <c r="BM1272" s="81"/>
      <c r="BN1272" s="66"/>
      <c r="BO1272" s="66"/>
      <c r="BP1272" s="66"/>
      <c r="BQ1272" s="66" t="str">
        <f>PROPER(TEXT(Prog_23[[#This Row],[PROGRAMAÇÃO CLIENTE]],"mmm"))</f>
        <v>Jan</v>
      </c>
      <c r="BR1272" s="66">
        <f>YEAR(Prog_23[[#This Row],[PROGRAMAÇÃO CLIENTE]])</f>
        <v>1900</v>
      </c>
    </row>
    <row r="1273" spans="1:70" x14ac:dyDescent="0.25">
      <c r="A1273" s="200">
        <f>Prog_23[[#This Row],[CONTEINER]]</f>
        <v>0</v>
      </c>
      <c r="B1273" s="86"/>
      <c r="C12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73" s="44"/>
      <c r="E1273" s="66"/>
      <c r="F1273" s="66"/>
      <c r="G1273" s="66"/>
      <c r="H1273" s="44"/>
      <c r="I1273" s="44"/>
      <c r="J1273" s="66"/>
      <c r="K1273" s="66"/>
      <c r="L1273" s="66"/>
      <c r="M1273" s="66"/>
      <c r="N1273" s="66">
        <f>SUM(Prog_23[[#This Row],[TARA]]+Prog_23[[#This Row],[PESO]])</f>
        <v>0</v>
      </c>
      <c r="O1273" s="44"/>
      <c r="P1273" s="66"/>
      <c r="Q1273" s="66"/>
      <c r="R1273" s="66"/>
      <c r="S1273" s="66"/>
      <c r="T1273" s="138" t="str">
        <f>IFERROR(LOOKUP($S1273,MOTORISTAS!$D$3:$D$916,MOTORISTAS!E$3:$E$916),"")</f>
        <v/>
      </c>
      <c r="U1273" s="138" t="str">
        <f>IFERROR(LOOKUP($S1273,MOTORISTAS!$D$3:$D$916,MOTORISTAS!F$3:$F$916),"")</f>
        <v/>
      </c>
      <c r="V1273" s="66"/>
      <c r="W1273" s="66"/>
      <c r="X1273" s="66"/>
      <c r="Y1273" s="66"/>
      <c r="Z1273" s="66"/>
      <c r="AA1273" s="66"/>
      <c r="AB1273" s="66"/>
      <c r="AC1273" s="66"/>
      <c r="AD1273" s="66"/>
      <c r="AE1273" s="66"/>
      <c r="AF1273" s="44"/>
      <c r="AG1273" s="254">
        <f>Prog_23[[#This Row],[SAÍDA DO CLIENTE]]-Prog_23[[#This Row],[PROGRAMAÇÃO CLIENTE]]</f>
        <v>0</v>
      </c>
      <c r="AH1273" s="44"/>
      <c r="AI1273" s="66"/>
      <c r="AJ1273" s="66"/>
      <c r="AK1273" s="66"/>
      <c r="AL1273" s="66"/>
      <c r="AM1273" s="66"/>
      <c r="AN1273" s="83"/>
      <c r="AO1273" s="83"/>
      <c r="AP1273" s="83"/>
      <c r="AQ1273" s="66"/>
      <c r="AR1273" s="66"/>
      <c r="AS1273" s="66"/>
      <c r="AT1273" s="81"/>
      <c r="AU1273" s="81"/>
      <c r="AV1273" s="81"/>
      <c r="AW1273" s="81"/>
      <c r="AX1273" s="83">
        <f>SUM(Prog_23[[#This Row],[ADIANTAMENTO]]+Prog_23[[#This Row],[SALDO]]+Prog_23[[#This Row],[MARGEM]]+Prog_23[[#This Row],[ESTADIA 1]])</f>
        <v>0</v>
      </c>
      <c r="AY12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73" s="81"/>
      <c r="BA1273" s="81"/>
      <c r="BB1273" s="81">
        <f>Prog_23[[#This Row],[VLR NF]]*0.1%</f>
        <v>0</v>
      </c>
      <c r="BC1273" s="81">
        <f>Prog_23[[#This Row],[VLR NF]]*0.05%</f>
        <v>0</v>
      </c>
      <c r="BD1273" s="81"/>
      <c r="BE1273" s="81"/>
      <c r="BF1273" s="81"/>
      <c r="BG1273" s="81"/>
      <c r="BH1273" s="81"/>
      <c r="BI1273" s="81"/>
      <c r="BJ1273" s="81"/>
      <c r="BK1273" s="81"/>
      <c r="BL1273" s="81"/>
      <c r="BM1273" s="81"/>
      <c r="BN1273" s="66"/>
      <c r="BO1273" s="66"/>
      <c r="BP1273" s="66"/>
      <c r="BQ1273" s="66" t="str">
        <f>PROPER(TEXT(Prog_23[[#This Row],[PROGRAMAÇÃO CLIENTE]],"mmm"))</f>
        <v>Jan</v>
      </c>
      <c r="BR1273" s="66">
        <f>YEAR(Prog_23[[#This Row],[PROGRAMAÇÃO CLIENTE]])</f>
        <v>1900</v>
      </c>
    </row>
    <row r="1274" spans="1:70" x14ac:dyDescent="0.25">
      <c r="A1274" s="201">
        <f>Prog_23[[#This Row],[CONTEINER]]</f>
        <v>0</v>
      </c>
      <c r="B1274" s="86"/>
      <c r="C12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74" s="44"/>
      <c r="E1274" s="66"/>
      <c r="F1274" s="66"/>
      <c r="G1274" s="66"/>
      <c r="H1274" s="44"/>
      <c r="I1274" s="44"/>
      <c r="J1274" s="66"/>
      <c r="K1274" s="66"/>
      <c r="L1274" s="66"/>
      <c r="M1274" s="66"/>
      <c r="N1274" s="66">
        <f>SUM(Prog_23[[#This Row],[TARA]]+Prog_23[[#This Row],[PESO]])</f>
        <v>0</v>
      </c>
      <c r="O1274" s="44"/>
      <c r="P1274" s="66"/>
      <c r="Q1274" s="66"/>
      <c r="R1274" s="66"/>
      <c r="S1274" s="66"/>
      <c r="T1274" s="138" t="str">
        <f>IFERROR(LOOKUP($S1274,MOTORISTAS!$D$3:$D$916,MOTORISTAS!E$3:$E$916),"")</f>
        <v/>
      </c>
      <c r="U1274" s="138" t="str">
        <f>IFERROR(LOOKUP($S1274,MOTORISTAS!$D$3:$D$916,MOTORISTAS!F$3:$F$916),"")</f>
        <v/>
      </c>
      <c r="V1274" s="66"/>
      <c r="W1274" s="66"/>
      <c r="X1274" s="66"/>
      <c r="Y1274" s="66"/>
      <c r="Z1274" s="66"/>
      <c r="AA1274" s="66"/>
      <c r="AB1274" s="66"/>
      <c r="AC1274" s="66"/>
      <c r="AD1274" s="66"/>
      <c r="AE1274" s="66"/>
      <c r="AF1274" s="44"/>
      <c r="AG1274" s="254">
        <f>Prog_23[[#This Row],[SAÍDA DO CLIENTE]]-Prog_23[[#This Row],[PROGRAMAÇÃO CLIENTE]]</f>
        <v>0</v>
      </c>
      <c r="AH1274" s="44"/>
      <c r="AI1274" s="66"/>
      <c r="AJ1274" s="66"/>
      <c r="AK1274" s="66"/>
      <c r="AL1274" s="66"/>
      <c r="AM1274" s="66"/>
      <c r="AN1274" s="83"/>
      <c r="AO1274" s="83"/>
      <c r="AP1274" s="83"/>
      <c r="AQ1274" s="66"/>
      <c r="AR1274" s="66"/>
      <c r="AS1274" s="66"/>
      <c r="AT1274" s="81"/>
      <c r="AU1274" s="81"/>
      <c r="AV1274" s="81"/>
      <c r="AW1274" s="81"/>
      <c r="AX1274" s="83">
        <f>SUM(Prog_23[[#This Row],[ADIANTAMENTO]]+Prog_23[[#This Row],[SALDO]]+Prog_23[[#This Row],[MARGEM]]+Prog_23[[#This Row],[ESTADIA 1]])</f>
        <v>0</v>
      </c>
      <c r="AY12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74" s="81"/>
      <c r="BA1274" s="81"/>
      <c r="BB1274" s="81">
        <f>Prog_23[[#This Row],[VLR NF]]*0.1%</f>
        <v>0</v>
      </c>
      <c r="BC1274" s="81">
        <f>Prog_23[[#This Row],[VLR NF]]*0.05%</f>
        <v>0</v>
      </c>
      <c r="BD1274" s="81"/>
      <c r="BE1274" s="81"/>
      <c r="BF1274" s="81"/>
      <c r="BG1274" s="81"/>
      <c r="BH1274" s="81"/>
      <c r="BI1274" s="81"/>
      <c r="BJ1274" s="81"/>
      <c r="BK1274" s="81"/>
      <c r="BL1274" s="81"/>
      <c r="BM1274" s="81"/>
      <c r="BN1274" s="66"/>
      <c r="BO1274" s="66"/>
      <c r="BP1274" s="66"/>
      <c r="BQ1274" s="66" t="str">
        <f>PROPER(TEXT(Prog_23[[#This Row],[PROGRAMAÇÃO CLIENTE]],"mmm"))</f>
        <v>Jan</v>
      </c>
      <c r="BR1274" s="66">
        <f>YEAR(Prog_23[[#This Row],[PROGRAMAÇÃO CLIENTE]])</f>
        <v>1900</v>
      </c>
    </row>
    <row r="1275" spans="1:70" x14ac:dyDescent="0.25">
      <c r="A1275" s="200">
        <f>Prog_23[[#This Row],[CONTEINER]]</f>
        <v>0</v>
      </c>
      <c r="B1275" s="86"/>
      <c r="C12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75" s="44"/>
      <c r="E1275" s="66"/>
      <c r="F1275" s="66"/>
      <c r="G1275" s="66"/>
      <c r="H1275" s="44"/>
      <c r="I1275" s="44"/>
      <c r="J1275" s="66"/>
      <c r="K1275" s="66"/>
      <c r="L1275" s="66"/>
      <c r="M1275" s="66"/>
      <c r="N1275" s="66">
        <f>SUM(Prog_23[[#This Row],[TARA]]+Prog_23[[#This Row],[PESO]])</f>
        <v>0</v>
      </c>
      <c r="O1275" s="44"/>
      <c r="P1275" s="66"/>
      <c r="Q1275" s="66"/>
      <c r="R1275" s="66"/>
      <c r="S1275" s="66"/>
      <c r="T1275" s="138" t="str">
        <f>IFERROR(LOOKUP($S1275,MOTORISTAS!$D$3:$D$916,MOTORISTAS!E$3:$E$916),"")</f>
        <v/>
      </c>
      <c r="U1275" s="138" t="str">
        <f>IFERROR(LOOKUP($S1275,MOTORISTAS!$D$3:$D$916,MOTORISTAS!F$3:$F$916),"")</f>
        <v/>
      </c>
      <c r="V1275" s="66"/>
      <c r="W1275" s="66"/>
      <c r="X1275" s="66"/>
      <c r="Y1275" s="66"/>
      <c r="Z1275" s="66"/>
      <c r="AA1275" s="66"/>
      <c r="AB1275" s="66"/>
      <c r="AC1275" s="66"/>
      <c r="AD1275" s="66"/>
      <c r="AE1275" s="66"/>
      <c r="AF1275" s="44"/>
      <c r="AG1275" s="254">
        <f>Prog_23[[#This Row],[SAÍDA DO CLIENTE]]-Prog_23[[#This Row],[PROGRAMAÇÃO CLIENTE]]</f>
        <v>0</v>
      </c>
      <c r="AH1275" s="44"/>
      <c r="AI1275" s="66"/>
      <c r="AJ1275" s="66"/>
      <c r="AK1275" s="66"/>
      <c r="AL1275" s="66"/>
      <c r="AM1275" s="66"/>
      <c r="AN1275" s="83"/>
      <c r="AO1275" s="83"/>
      <c r="AP1275" s="83"/>
      <c r="AQ1275" s="66"/>
      <c r="AR1275" s="66"/>
      <c r="AS1275" s="66"/>
      <c r="AT1275" s="81"/>
      <c r="AU1275" s="81"/>
      <c r="AV1275" s="81"/>
      <c r="AW1275" s="81"/>
      <c r="AX1275" s="83">
        <f>SUM(Prog_23[[#This Row],[ADIANTAMENTO]]+Prog_23[[#This Row],[SALDO]]+Prog_23[[#This Row],[MARGEM]]+Prog_23[[#This Row],[ESTADIA 1]])</f>
        <v>0</v>
      </c>
      <c r="AY12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75" s="81"/>
      <c r="BA1275" s="81"/>
      <c r="BB1275" s="81">
        <f>Prog_23[[#This Row],[VLR NF]]*0.1%</f>
        <v>0</v>
      </c>
      <c r="BC1275" s="81">
        <f>Prog_23[[#This Row],[VLR NF]]*0.05%</f>
        <v>0</v>
      </c>
      <c r="BD1275" s="81"/>
      <c r="BE1275" s="81"/>
      <c r="BF1275" s="81"/>
      <c r="BG1275" s="81"/>
      <c r="BH1275" s="81"/>
      <c r="BI1275" s="81"/>
      <c r="BJ1275" s="81"/>
      <c r="BK1275" s="81"/>
      <c r="BL1275" s="81"/>
      <c r="BM1275" s="81"/>
      <c r="BN1275" s="66"/>
      <c r="BO1275" s="66"/>
      <c r="BP1275" s="66"/>
      <c r="BQ1275" s="66" t="str">
        <f>PROPER(TEXT(Prog_23[[#This Row],[PROGRAMAÇÃO CLIENTE]],"mmm"))</f>
        <v>Jan</v>
      </c>
      <c r="BR1275" s="66">
        <f>YEAR(Prog_23[[#This Row],[PROGRAMAÇÃO CLIENTE]])</f>
        <v>1900</v>
      </c>
    </row>
    <row r="1276" spans="1:70" x14ac:dyDescent="0.25">
      <c r="A1276" s="201">
        <f>Prog_23[[#This Row],[CONTEINER]]</f>
        <v>0</v>
      </c>
      <c r="B1276" s="86"/>
      <c r="C12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76" s="44"/>
      <c r="E1276" s="66"/>
      <c r="F1276" s="66"/>
      <c r="G1276" s="66"/>
      <c r="H1276" s="44"/>
      <c r="I1276" s="44"/>
      <c r="J1276" s="66"/>
      <c r="K1276" s="66"/>
      <c r="L1276" s="66"/>
      <c r="M1276" s="66"/>
      <c r="N1276" s="66">
        <f>SUM(Prog_23[[#This Row],[TARA]]+Prog_23[[#This Row],[PESO]])</f>
        <v>0</v>
      </c>
      <c r="O1276" s="44"/>
      <c r="P1276" s="66"/>
      <c r="Q1276" s="66"/>
      <c r="R1276" s="66"/>
      <c r="S1276" s="66"/>
      <c r="T1276" s="138" t="str">
        <f>IFERROR(LOOKUP($S1276,MOTORISTAS!$D$3:$D$916,MOTORISTAS!E$3:$E$916),"")</f>
        <v/>
      </c>
      <c r="U1276" s="138" t="str">
        <f>IFERROR(LOOKUP($S1276,MOTORISTAS!$D$3:$D$916,MOTORISTAS!F$3:$F$916),"")</f>
        <v/>
      </c>
      <c r="V1276" s="66"/>
      <c r="W1276" s="66"/>
      <c r="X1276" s="66"/>
      <c r="Y1276" s="66"/>
      <c r="Z1276" s="66"/>
      <c r="AA1276" s="66"/>
      <c r="AB1276" s="66"/>
      <c r="AC1276" s="66"/>
      <c r="AD1276" s="66"/>
      <c r="AE1276" s="66"/>
      <c r="AF1276" s="44"/>
      <c r="AG1276" s="254">
        <f>Prog_23[[#This Row],[SAÍDA DO CLIENTE]]-Prog_23[[#This Row],[PROGRAMAÇÃO CLIENTE]]</f>
        <v>0</v>
      </c>
      <c r="AH1276" s="44"/>
      <c r="AI1276" s="66"/>
      <c r="AJ1276" s="66"/>
      <c r="AK1276" s="66"/>
      <c r="AL1276" s="66"/>
      <c r="AM1276" s="66"/>
      <c r="AN1276" s="83"/>
      <c r="AO1276" s="83"/>
      <c r="AP1276" s="83"/>
      <c r="AQ1276" s="66"/>
      <c r="AR1276" s="66"/>
      <c r="AS1276" s="66"/>
      <c r="AT1276" s="81"/>
      <c r="AU1276" s="81"/>
      <c r="AV1276" s="81"/>
      <c r="AW1276" s="81"/>
      <c r="AX1276" s="83">
        <f>SUM(Prog_23[[#This Row],[ADIANTAMENTO]]+Prog_23[[#This Row],[SALDO]]+Prog_23[[#This Row],[MARGEM]]+Prog_23[[#This Row],[ESTADIA 1]])</f>
        <v>0</v>
      </c>
      <c r="AY12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76" s="81"/>
      <c r="BA1276" s="81"/>
      <c r="BB1276" s="81">
        <f>Prog_23[[#This Row],[VLR NF]]*0.1%</f>
        <v>0</v>
      </c>
      <c r="BC1276" s="81">
        <f>Prog_23[[#This Row],[VLR NF]]*0.05%</f>
        <v>0</v>
      </c>
      <c r="BD1276" s="81"/>
      <c r="BE1276" s="81"/>
      <c r="BF1276" s="81"/>
      <c r="BG1276" s="81"/>
      <c r="BH1276" s="81"/>
      <c r="BI1276" s="81"/>
      <c r="BJ1276" s="81"/>
      <c r="BK1276" s="81"/>
      <c r="BL1276" s="81"/>
      <c r="BM1276" s="81"/>
      <c r="BN1276" s="66"/>
      <c r="BO1276" s="66"/>
      <c r="BP1276" s="66"/>
      <c r="BQ1276" s="66" t="str">
        <f>PROPER(TEXT(Prog_23[[#This Row],[PROGRAMAÇÃO CLIENTE]],"mmm"))</f>
        <v>Jan</v>
      </c>
      <c r="BR1276" s="66">
        <f>YEAR(Prog_23[[#This Row],[PROGRAMAÇÃO CLIENTE]])</f>
        <v>1900</v>
      </c>
    </row>
    <row r="1277" spans="1:70" x14ac:dyDescent="0.25">
      <c r="A1277" s="200">
        <f>Prog_23[[#This Row],[CONTEINER]]</f>
        <v>0</v>
      </c>
      <c r="B1277" s="86"/>
      <c r="C12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77" s="44"/>
      <c r="E1277" s="66"/>
      <c r="F1277" s="66"/>
      <c r="G1277" s="66"/>
      <c r="H1277" s="44"/>
      <c r="I1277" s="44"/>
      <c r="J1277" s="66"/>
      <c r="K1277" s="66"/>
      <c r="L1277" s="66"/>
      <c r="M1277" s="66"/>
      <c r="N1277" s="66">
        <f>SUM(Prog_23[[#This Row],[TARA]]+Prog_23[[#This Row],[PESO]])</f>
        <v>0</v>
      </c>
      <c r="O1277" s="44"/>
      <c r="P1277" s="66"/>
      <c r="Q1277" s="66"/>
      <c r="R1277" s="66"/>
      <c r="S1277" s="66"/>
      <c r="T1277" s="138" t="str">
        <f>IFERROR(LOOKUP($S1277,MOTORISTAS!$D$3:$D$916,MOTORISTAS!E$3:$E$916),"")</f>
        <v/>
      </c>
      <c r="U1277" s="138" t="str">
        <f>IFERROR(LOOKUP($S1277,MOTORISTAS!$D$3:$D$916,MOTORISTAS!F$3:$F$916),"")</f>
        <v/>
      </c>
      <c r="V1277" s="66"/>
      <c r="W1277" s="66"/>
      <c r="X1277" s="66"/>
      <c r="Y1277" s="66"/>
      <c r="Z1277" s="66"/>
      <c r="AA1277" s="66"/>
      <c r="AB1277" s="66"/>
      <c r="AC1277" s="66"/>
      <c r="AD1277" s="66"/>
      <c r="AE1277" s="66"/>
      <c r="AF1277" s="44"/>
      <c r="AG1277" s="254">
        <f>Prog_23[[#This Row],[SAÍDA DO CLIENTE]]-Prog_23[[#This Row],[PROGRAMAÇÃO CLIENTE]]</f>
        <v>0</v>
      </c>
      <c r="AH1277" s="44"/>
      <c r="AI1277" s="66"/>
      <c r="AJ1277" s="66"/>
      <c r="AK1277" s="66"/>
      <c r="AL1277" s="66"/>
      <c r="AM1277" s="66"/>
      <c r="AN1277" s="83"/>
      <c r="AO1277" s="83"/>
      <c r="AP1277" s="83"/>
      <c r="AQ1277" s="66"/>
      <c r="AR1277" s="66"/>
      <c r="AS1277" s="66"/>
      <c r="AT1277" s="81"/>
      <c r="AU1277" s="81"/>
      <c r="AV1277" s="81"/>
      <c r="AW1277" s="81"/>
      <c r="AX1277" s="83">
        <f>SUM(Prog_23[[#This Row],[ADIANTAMENTO]]+Prog_23[[#This Row],[SALDO]]+Prog_23[[#This Row],[MARGEM]]+Prog_23[[#This Row],[ESTADIA 1]])</f>
        <v>0</v>
      </c>
      <c r="AY12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77" s="81"/>
      <c r="BA1277" s="81"/>
      <c r="BB1277" s="81">
        <f>Prog_23[[#This Row],[VLR NF]]*0.1%</f>
        <v>0</v>
      </c>
      <c r="BC1277" s="81">
        <f>Prog_23[[#This Row],[VLR NF]]*0.05%</f>
        <v>0</v>
      </c>
      <c r="BD1277" s="81"/>
      <c r="BE1277" s="81"/>
      <c r="BF1277" s="81"/>
      <c r="BG1277" s="81"/>
      <c r="BH1277" s="81"/>
      <c r="BI1277" s="81"/>
      <c r="BJ1277" s="81"/>
      <c r="BK1277" s="81"/>
      <c r="BL1277" s="81"/>
      <c r="BM1277" s="81"/>
      <c r="BN1277" s="66"/>
      <c r="BO1277" s="66"/>
      <c r="BP1277" s="66"/>
      <c r="BQ1277" s="66" t="str">
        <f>PROPER(TEXT(Prog_23[[#This Row],[PROGRAMAÇÃO CLIENTE]],"mmm"))</f>
        <v>Jan</v>
      </c>
      <c r="BR1277" s="66">
        <f>YEAR(Prog_23[[#This Row],[PROGRAMAÇÃO CLIENTE]])</f>
        <v>1900</v>
      </c>
    </row>
    <row r="1278" spans="1:70" x14ac:dyDescent="0.25">
      <c r="A1278" s="201">
        <f>Prog_23[[#This Row],[CONTEINER]]</f>
        <v>0</v>
      </c>
      <c r="B1278" s="86"/>
      <c r="C12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78" s="44"/>
      <c r="E1278" s="66"/>
      <c r="F1278" s="66"/>
      <c r="G1278" s="66"/>
      <c r="H1278" s="44"/>
      <c r="I1278" s="44"/>
      <c r="J1278" s="66"/>
      <c r="K1278" s="66"/>
      <c r="L1278" s="66"/>
      <c r="M1278" s="66"/>
      <c r="N1278" s="66">
        <f>SUM(Prog_23[[#This Row],[TARA]]+Prog_23[[#This Row],[PESO]])</f>
        <v>0</v>
      </c>
      <c r="O1278" s="44"/>
      <c r="P1278" s="66"/>
      <c r="Q1278" s="66"/>
      <c r="R1278" s="66"/>
      <c r="S1278" s="66"/>
      <c r="T1278" s="138" t="str">
        <f>IFERROR(LOOKUP($S1278,MOTORISTAS!$D$3:$D$916,MOTORISTAS!E$3:$E$916),"")</f>
        <v/>
      </c>
      <c r="U1278" s="138" t="str">
        <f>IFERROR(LOOKUP($S1278,MOTORISTAS!$D$3:$D$916,MOTORISTAS!F$3:$F$916),"")</f>
        <v/>
      </c>
      <c r="V1278" s="66"/>
      <c r="W1278" s="66"/>
      <c r="X1278" s="66"/>
      <c r="Y1278" s="66"/>
      <c r="Z1278" s="66"/>
      <c r="AA1278" s="66"/>
      <c r="AB1278" s="66"/>
      <c r="AC1278" s="66"/>
      <c r="AD1278" s="66"/>
      <c r="AE1278" s="66"/>
      <c r="AF1278" s="44"/>
      <c r="AG1278" s="254">
        <f>Prog_23[[#This Row],[SAÍDA DO CLIENTE]]-Prog_23[[#This Row],[PROGRAMAÇÃO CLIENTE]]</f>
        <v>0</v>
      </c>
      <c r="AH1278" s="44"/>
      <c r="AI1278" s="66"/>
      <c r="AJ1278" s="66"/>
      <c r="AK1278" s="66"/>
      <c r="AL1278" s="66"/>
      <c r="AM1278" s="66"/>
      <c r="AN1278" s="83"/>
      <c r="AO1278" s="83"/>
      <c r="AP1278" s="83"/>
      <c r="AQ1278" s="66"/>
      <c r="AR1278" s="66"/>
      <c r="AS1278" s="66"/>
      <c r="AT1278" s="81"/>
      <c r="AU1278" s="81"/>
      <c r="AV1278" s="81"/>
      <c r="AW1278" s="81"/>
      <c r="AX1278" s="83">
        <f>SUM(Prog_23[[#This Row],[ADIANTAMENTO]]+Prog_23[[#This Row],[SALDO]]+Prog_23[[#This Row],[MARGEM]]+Prog_23[[#This Row],[ESTADIA 1]])</f>
        <v>0</v>
      </c>
      <c r="AY12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78" s="81"/>
      <c r="BA1278" s="81"/>
      <c r="BB1278" s="81">
        <f>Prog_23[[#This Row],[VLR NF]]*0.1%</f>
        <v>0</v>
      </c>
      <c r="BC1278" s="81">
        <f>Prog_23[[#This Row],[VLR NF]]*0.05%</f>
        <v>0</v>
      </c>
      <c r="BD1278" s="81"/>
      <c r="BE1278" s="81"/>
      <c r="BF1278" s="81"/>
      <c r="BG1278" s="81"/>
      <c r="BH1278" s="81"/>
      <c r="BI1278" s="81"/>
      <c r="BJ1278" s="81"/>
      <c r="BK1278" s="81"/>
      <c r="BL1278" s="81"/>
      <c r="BM1278" s="81"/>
      <c r="BN1278" s="66"/>
      <c r="BO1278" s="66"/>
      <c r="BP1278" s="66"/>
      <c r="BQ1278" s="66" t="str">
        <f>PROPER(TEXT(Prog_23[[#This Row],[PROGRAMAÇÃO CLIENTE]],"mmm"))</f>
        <v>Jan</v>
      </c>
      <c r="BR1278" s="66">
        <f>YEAR(Prog_23[[#This Row],[PROGRAMAÇÃO CLIENTE]])</f>
        <v>1900</v>
      </c>
    </row>
    <row r="1279" spans="1:70" x14ac:dyDescent="0.25">
      <c r="A1279" s="200">
        <f>Prog_23[[#This Row],[CONTEINER]]</f>
        <v>0</v>
      </c>
      <c r="B1279" s="86"/>
      <c r="C12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79" s="44"/>
      <c r="E1279" s="66"/>
      <c r="F1279" s="66"/>
      <c r="G1279" s="66"/>
      <c r="H1279" s="44"/>
      <c r="I1279" s="44"/>
      <c r="J1279" s="66"/>
      <c r="K1279" s="66"/>
      <c r="L1279" s="66"/>
      <c r="M1279" s="66"/>
      <c r="N1279" s="66">
        <f>SUM(Prog_23[[#This Row],[TARA]]+Prog_23[[#This Row],[PESO]])</f>
        <v>0</v>
      </c>
      <c r="O1279" s="44"/>
      <c r="P1279" s="66"/>
      <c r="Q1279" s="66"/>
      <c r="R1279" s="66"/>
      <c r="S1279" s="66"/>
      <c r="T1279" s="138" t="str">
        <f>IFERROR(LOOKUP($S1279,MOTORISTAS!$D$3:$D$916,MOTORISTAS!E$3:$E$916),"")</f>
        <v/>
      </c>
      <c r="U1279" s="138" t="str">
        <f>IFERROR(LOOKUP($S1279,MOTORISTAS!$D$3:$D$916,MOTORISTAS!F$3:$F$916),"")</f>
        <v/>
      </c>
      <c r="V1279" s="66"/>
      <c r="W1279" s="66"/>
      <c r="X1279" s="66"/>
      <c r="Y1279" s="66"/>
      <c r="Z1279" s="66"/>
      <c r="AA1279" s="66"/>
      <c r="AB1279" s="66"/>
      <c r="AC1279" s="66"/>
      <c r="AD1279" s="66"/>
      <c r="AE1279" s="66"/>
      <c r="AF1279" s="44"/>
      <c r="AG1279" s="254">
        <f>Prog_23[[#This Row],[SAÍDA DO CLIENTE]]-Prog_23[[#This Row],[PROGRAMAÇÃO CLIENTE]]</f>
        <v>0</v>
      </c>
      <c r="AH1279" s="44"/>
      <c r="AI1279" s="66"/>
      <c r="AJ1279" s="66"/>
      <c r="AK1279" s="66"/>
      <c r="AL1279" s="66"/>
      <c r="AM1279" s="66"/>
      <c r="AN1279" s="83"/>
      <c r="AO1279" s="83"/>
      <c r="AP1279" s="83"/>
      <c r="AQ1279" s="66"/>
      <c r="AR1279" s="66"/>
      <c r="AS1279" s="66"/>
      <c r="AT1279" s="81"/>
      <c r="AU1279" s="81"/>
      <c r="AV1279" s="81"/>
      <c r="AW1279" s="81"/>
      <c r="AX1279" s="83">
        <f>SUM(Prog_23[[#This Row],[ADIANTAMENTO]]+Prog_23[[#This Row],[SALDO]]+Prog_23[[#This Row],[MARGEM]]+Prog_23[[#This Row],[ESTADIA 1]])</f>
        <v>0</v>
      </c>
      <c r="AY12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79" s="81"/>
      <c r="BA1279" s="81"/>
      <c r="BB1279" s="81">
        <f>Prog_23[[#This Row],[VLR NF]]*0.1%</f>
        <v>0</v>
      </c>
      <c r="BC1279" s="81">
        <f>Prog_23[[#This Row],[VLR NF]]*0.05%</f>
        <v>0</v>
      </c>
      <c r="BD1279" s="81"/>
      <c r="BE1279" s="81"/>
      <c r="BF1279" s="81"/>
      <c r="BG1279" s="81"/>
      <c r="BH1279" s="81"/>
      <c r="BI1279" s="81"/>
      <c r="BJ1279" s="81"/>
      <c r="BK1279" s="81"/>
      <c r="BL1279" s="81"/>
      <c r="BM1279" s="81"/>
      <c r="BN1279" s="66"/>
      <c r="BO1279" s="66"/>
      <c r="BP1279" s="66"/>
      <c r="BQ1279" s="66" t="str">
        <f>PROPER(TEXT(Prog_23[[#This Row],[PROGRAMAÇÃO CLIENTE]],"mmm"))</f>
        <v>Jan</v>
      </c>
      <c r="BR1279" s="66">
        <f>YEAR(Prog_23[[#This Row],[PROGRAMAÇÃO CLIENTE]])</f>
        <v>1900</v>
      </c>
    </row>
    <row r="1280" spans="1:70" x14ac:dyDescent="0.25">
      <c r="A1280" s="201">
        <f>Prog_23[[#This Row],[CONTEINER]]</f>
        <v>0</v>
      </c>
      <c r="B1280" s="86"/>
      <c r="C12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80" s="44"/>
      <c r="E1280" s="66"/>
      <c r="F1280" s="66"/>
      <c r="G1280" s="66"/>
      <c r="H1280" s="44"/>
      <c r="I1280" s="44"/>
      <c r="J1280" s="66"/>
      <c r="K1280" s="66"/>
      <c r="L1280" s="66"/>
      <c r="M1280" s="66"/>
      <c r="N1280" s="66">
        <f>SUM(Prog_23[[#This Row],[TARA]]+Prog_23[[#This Row],[PESO]])</f>
        <v>0</v>
      </c>
      <c r="O1280" s="44"/>
      <c r="P1280" s="66"/>
      <c r="Q1280" s="66"/>
      <c r="R1280" s="66"/>
      <c r="S1280" s="66"/>
      <c r="T1280" s="138" t="str">
        <f>IFERROR(LOOKUP($S1280,MOTORISTAS!$D$3:$D$916,MOTORISTAS!E$3:$E$916),"")</f>
        <v/>
      </c>
      <c r="U1280" s="138" t="str">
        <f>IFERROR(LOOKUP($S1280,MOTORISTAS!$D$3:$D$916,MOTORISTAS!F$3:$F$916),"")</f>
        <v/>
      </c>
      <c r="V1280" s="66"/>
      <c r="W1280" s="66"/>
      <c r="X1280" s="66"/>
      <c r="Y1280" s="66"/>
      <c r="Z1280" s="66"/>
      <c r="AA1280" s="66"/>
      <c r="AB1280" s="66"/>
      <c r="AC1280" s="66"/>
      <c r="AD1280" s="66"/>
      <c r="AE1280" s="66"/>
      <c r="AF1280" s="44"/>
      <c r="AG1280" s="254">
        <f>Prog_23[[#This Row],[SAÍDA DO CLIENTE]]-Prog_23[[#This Row],[PROGRAMAÇÃO CLIENTE]]</f>
        <v>0</v>
      </c>
      <c r="AH1280" s="44"/>
      <c r="AI1280" s="66"/>
      <c r="AJ1280" s="66"/>
      <c r="AK1280" s="66"/>
      <c r="AL1280" s="66"/>
      <c r="AM1280" s="66"/>
      <c r="AN1280" s="83"/>
      <c r="AO1280" s="83"/>
      <c r="AP1280" s="83"/>
      <c r="AQ1280" s="66"/>
      <c r="AR1280" s="66"/>
      <c r="AS1280" s="66"/>
      <c r="AT1280" s="81"/>
      <c r="AU1280" s="81"/>
      <c r="AV1280" s="81"/>
      <c r="AW1280" s="81"/>
      <c r="AX1280" s="83">
        <f>SUM(Prog_23[[#This Row],[ADIANTAMENTO]]+Prog_23[[#This Row],[SALDO]]+Prog_23[[#This Row],[MARGEM]]+Prog_23[[#This Row],[ESTADIA 1]])</f>
        <v>0</v>
      </c>
      <c r="AY12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80" s="81"/>
      <c r="BA1280" s="81"/>
      <c r="BB1280" s="81">
        <f>Prog_23[[#This Row],[VLR NF]]*0.1%</f>
        <v>0</v>
      </c>
      <c r="BC1280" s="81">
        <f>Prog_23[[#This Row],[VLR NF]]*0.05%</f>
        <v>0</v>
      </c>
      <c r="BD1280" s="81"/>
      <c r="BE1280" s="81"/>
      <c r="BF1280" s="81"/>
      <c r="BG1280" s="81"/>
      <c r="BH1280" s="81"/>
      <c r="BI1280" s="81"/>
      <c r="BJ1280" s="81"/>
      <c r="BK1280" s="81"/>
      <c r="BL1280" s="81"/>
      <c r="BM1280" s="81"/>
      <c r="BN1280" s="66"/>
      <c r="BO1280" s="66"/>
      <c r="BP1280" s="66"/>
      <c r="BQ1280" s="66" t="str">
        <f>PROPER(TEXT(Prog_23[[#This Row],[PROGRAMAÇÃO CLIENTE]],"mmm"))</f>
        <v>Jan</v>
      </c>
      <c r="BR1280" s="66">
        <f>YEAR(Prog_23[[#This Row],[PROGRAMAÇÃO CLIENTE]])</f>
        <v>1900</v>
      </c>
    </row>
    <row r="1281" spans="1:70" x14ac:dyDescent="0.25">
      <c r="A1281" s="200">
        <f>Prog_23[[#This Row],[CONTEINER]]</f>
        <v>0</v>
      </c>
      <c r="B1281" s="86"/>
      <c r="C12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81" s="44"/>
      <c r="E1281" s="66"/>
      <c r="F1281" s="66"/>
      <c r="G1281" s="66"/>
      <c r="H1281" s="44"/>
      <c r="I1281" s="44"/>
      <c r="J1281" s="66"/>
      <c r="K1281" s="66"/>
      <c r="L1281" s="66"/>
      <c r="M1281" s="66"/>
      <c r="N1281" s="66">
        <f>SUM(Prog_23[[#This Row],[TARA]]+Prog_23[[#This Row],[PESO]])</f>
        <v>0</v>
      </c>
      <c r="O1281" s="44"/>
      <c r="P1281" s="66"/>
      <c r="Q1281" s="66"/>
      <c r="R1281" s="66"/>
      <c r="S1281" s="66"/>
      <c r="T1281" s="138" t="str">
        <f>IFERROR(LOOKUP($S1281,MOTORISTAS!$D$3:$D$916,MOTORISTAS!E$3:$E$916),"")</f>
        <v/>
      </c>
      <c r="U1281" s="138" t="str">
        <f>IFERROR(LOOKUP($S1281,MOTORISTAS!$D$3:$D$916,MOTORISTAS!F$3:$F$916),"")</f>
        <v/>
      </c>
      <c r="V1281" s="66"/>
      <c r="W1281" s="66"/>
      <c r="X1281" s="66"/>
      <c r="Y1281" s="66"/>
      <c r="Z1281" s="66"/>
      <c r="AA1281" s="66"/>
      <c r="AB1281" s="66"/>
      <c r="AC1281" s="66"/>
      <c r="AD1281" s="66"/>
      <c r="AE1281" s="66"/>
      <c r="AF1281" s="44"/>
      <c r="AG1281" s="254">
        <f>Prog_23[[#This Row],[SAÍDA DO CLIENTE]]-Prog_23[[#This Row],[PROGRAMAÇÃO CLIENTE]]</f>
        <v>0</v>
      </c>
      <c r="AH1281" s="44"/>
      <c r="AI1281" s="66"/>
      <c r="AJ1281" s="66"/>
      <c r="AK1281" s="66"/>
      <c r="AL1281" s="66"/>
      <c r="AM1281" s="66"/>
      <c r="AN1281" s="83"/>
      <c r="AO1281" s="83"/>
      <c r="AP1281" s="83"/>
      <c r="AQ1281" s="66"/>
      <c r="AR1281" s="66"/>
      <c r="AS1281" s="66"/>
      <c r="AT1281" s="81"/>
      <c r="AU1281" s="81"/>
      <c r="AV1281" s="81"/>
      <c r="AW1281" s="81"/>
      <c r="AX1281" s="83">
        <f>SUM(Prog_23[[#This Row],[ADIANTAMENTO]]+Prog_23[[#This Row],[SALDO]]+Prog_23[[#This Row],[MARGEM]]+Prog_23[[#This Row],[ESTADIA 1]])</f>
        <v>0</v>
      </c>
      <c r="AY12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81" s="81"/>
      <c r="BA1281" s="81"/>
      <c r="BB1281" s="81">
        <f>Prog_23[[#This Row],[VLR NF]]*0.1%</f>
        <v>0</v>
      </c>
      <c r="BC1281" s="81">
        <f>Prog_23[[#This Row],[VLR NF]]*0.05%</f>
        <v>0</v>
      </c>
      <c r="BD1281" s="81"/>
      <c r="BE1281" s="81"/>
      <c r="BF1281" s="81"/>
      <c r="BG1281" s="81"/>
      <c r="BH1281" s="81"/>
      <c r="BI1281" s="81"/>
      <c r="BJ1281" s="81"/>
      <c r="BK1281" s="81"/>
      <c r="BL1281" s="81"/>
      <c r="BM1281" s="81"/>
      <c r="BN1281" s="66"/>
      <c r="BO1281" s="66"/>
      <c r="BP1281" s="66"/>
      <c r="BQ1281" s="66" t="str">
        <f>PROPER(TEXT(Prog_23[[#This Row],[PROGRAMAÇÃO CLIENTE]],"mmm"))</f>
        <v>Jan</v>
      </c>
      <c r="BR1281" s="66">
        <f>YEAR(Prog_23[[#This Row],[PROGRAMAÇÃO CLIENTE]])</f>
        <v>1900</v>
      </c>
    </row>
    <row r="1282" spans="1:70" x14ac:dyDescent="0.25">
      <c r="A1282" s="201">
        <f>Prog_23[[#This Row],[CONTEINER]]</f>
        <v>0</v>
      </c>
      <c r="B1282" s="86"/>
      <c r="C12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82" s="44"/>
      <c r="E1282" s="66"/>
      <c r="F1282" s="66"/>
      <c r="G1282" s="66"/>
      <c r="H1282" s="44"/>
      <c r="I1282" s="44"/>
      <c r="J1282" s="66"/>
      <c r="K1282" s="66"/>
      <c r="L1282" s="66"/>
      <c r="M1282" s="66"/>
      <c r="N1282" s="66">
        <f>SUM(Prog_23[[#This Row],[TARA]]+Prog_23[[#This Row],[PESO]])</f>
        <v>0</v>
      </c>
      <c r="O1282" s="44"/>
      <c r="P1282" s="66"/>
      <c r="Q1282" s="66"/>
      <c r="R1282" s="66"/>
      <c r="S1282" s="66"/>
      <c r="T1282" s="138" t="str">
        <f>IFERROR(LOOKUP($S1282,MOTORISTAS!$D$3:$D$916,MOTORISTAS!E$3:$E$916),"")</f>
        <v/>
      </c>
      <c r="U1282" s="138" t="str">
        <f>IFERROR(LOOKUP($S1282,MOTORISTAS!$D$3:$D$916,MOTORISTAS!F$3:$F$916),"")</f>
        <v/>
      </c>
      <c r="V1282" s="66"/>
      <c r="W1282" s="66"/>
      <c r="X1282" s="66"/>
      <c r="Y1282" s="66"/>
      <c r="Z1282" s="66"/>
      <c r="AA1282" s="66"/>
      <c r="AB1282" s="66"/>
      <c r="AC1282" s="66"/>
      <c r="AD1282" s="66"/>
      <c r="AE1282" s="66"/>
      <c r="AF1282" s="44"/>
      <c r="AG1282" s="254">
        <f>Prog_23[[#This Row],[SAÍDA DO CLIENTE]]-Prog_23[[#This Row],[PROGRAMAÇÃO CLIENTE]]</f>
        <v>0</v>
      </c>
      <c r="AH1282" s="44"/>
      <c r="AI1282" s="66"/>
      <c r="AJ1282" s="66"/>
      <c r="AK1282" s="66"/>
      <c r="AL1282" s="66"/>
      <c r="AM1282" s="66"/>
      <c r="AN1282" s="83"/>
      <c r="AO1282" s="83"/>
      <c r="AP1282" s="83"/>
      <c r="AQ1282" s="66"/>
      <c r="AR1282" s="66"/>
      <c r="AS1282" s="66"/>
      <c r="AT1282" s="81"/>
      <c r="AU1282" s="81"/>
      <c r="AV1282" s="81"/>
      <c r="AW1282" s="81"/>
      <c r="AX1282" s="83">
        <f>SUM(Prog_23[[#This Row],[ADIANTAMENTO]]+Prog_23[[#This Row],[SALDO]]+Prog_23[[#This Row],[MARGEM]]+Prog_23[[#This Row],[ESTADIA 1]])</f>
        <v>0</v>
      </c>
      <c r="AY12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82" s="81"/>
      <c r="BA1282" s="81"/>
      <c r="BB1282" s="81">
        <f>Prog_23[[#This Row],[VLR NF]]*0.1%</f>
        <v>0</v>
      </c>
      <c r="BC1282" s="81">
        <f>Prog_23[[#This Row],[VLR NF]]*0.05%</f>
        <v>0</v>
      </c>
      <c r="BD1282" s="81"/>
      <c r="BE1282" s="81"/>
      <c r="BF1282" s="81"/>
      <c r="BG1282" s="81"/>
      <c r="BH1282" s="81"/>
      <c r="BI1282" s="81"/>
      <c r="BJ1282" s="81"/>
      <c r="BK1282" s="81"/>
      <c r="BL1282" s="81"/>
      <c r="BM1282" s="81"/>
      <c r="BN1282" s="66"/>
      <c r="BO1282" s="66"/>
      <c r="BP1282" s="66"/>
      <c r="BQ1282" s="66" t="str">
        <f>PROPER(TEXT(Prog_23[[#This Row],[PROGRAMAÇÃO CLIENTE]],"mmm"))</f>
        <v>Jan</v>
      </c>
      <c r="BR1282" s="66">
        <f>YEAR(Prog_23[[#This Row],[PROGRAMAÇÃO CLIENTE]])</f>
        <v>1900</v>
      </c>
    </row>
    <row r="1283" spans="1:70" x14ac:dyDescent="0.25">
      <c r="A1283" s="200">
        <f>Prog_23[[#This Row],[CONTEINER]]</f>
        <v>0</v>
      </c>
      <c r="B1283" s="86"/>
      <c r="C12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83" s="44"/>
      <c r="E1283" s="66"/>
      <c r="F1283" s="66"/>
      <c r="G1283" s="66"/>
      <c r="H1283" s="44"/>
      <c r="I1283" s="44"/>
      <c r="J1283" s="66"/>
      <c r="K1283" s="66"/>
      <c r="L1283" s="66"/>
      <c r="M1283" s="66"/>
      <c r="N1283" s="66">
        <f>SUM(Prog_23[[#This Row],[TARA]]+Prog_23[[#This Row],[PESO]])</f>
        <v>0</v>
      </c>
      <c r="O1283" s="44"/>
      <c r="P1283" s="66"/>
      <c r="Q1283" s="66"/>
      <c r="R1283" s="66"/>
      <c r="S1283" s="66"/>
      <c r="T1283" s="138" t="str">
        <f>IFERROR(LOOKUP($S1283,MOTORISTAS!$D$3:$D$916,MOTORISTAS!E$3:$E$916),"")</f>
        <v/>
      </c>
      <c r="U1283" s="138" t="str">
        <f>IFERROR(LOOKUP($S1283,MOTORISTAS!$D$3:$D$916,MOTORISTAS!F$3:$F$916),"")</f>
        <v/>
      </c>
      <c r="V1283" s="66"/>
      <c r="W1283" s="66"/>
      <c r="X1283" s="66"/>
      <c r="Y1283" s="66"/>
      <c r="Z1283" s="66"/>
      <c r="AA1283" s="66"/>
      <c r="AB1283" s="66"/>
      <c r="AC1283" s="66"/>
      <c r="AD1283" s="66"/>
      <c r="AE1283" s="66"/>
      <c r="AF1283" s="44"/>
      <c r="AG1283" s="254">
        <f>Prog_23[[#This Row],[SAÍDA DO CLIENTE]]-Prog_23[[#This Row],[PROGRAMAÇÃO CLIENTE]]</f>
        <v>0</v>
      </c>
      <c r="AH1283" s="44"/>
      <c r="AI1283" s="66"/>
      <c r="AJ1283" s="66"/>
      <c r="AK1283" s="66"/>
      <c r="AL1283" s="66"/>
      <c r="AM1283" s="66"/>
      <c r="AN1283" s="83"/>
      <c r="AO1283" s="83"/>
      <c r="AP1283" s="83"/>
      <c r="AQ1283" s="66"/>
      <c r="AR1283" s="66"/>
      <c r="AS1283" s="66"/>
      <c r="AT1283" s="81"/>
      <c r="AU1283" s="81"/>
      <c r="AV1283" s="81"/>
      <c r="AW1283" s="81"/>
      <c r="AX1283" s="83">
        <f>SUM(Prog_23[[#This Row],[ADIANTAMENTO]]+Prog_23[[#This Row],[SALDO]]+Prog_23[[#This Row],[MARGEM]]+Prog_23[[#This Row],[ESTADIA 1]])</f>
        <v>0</v>
      </c>
      <c r="AY12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83" s="81"/>
      <c r="BA1283" s="81"/>
      <c r="BB1283" s="81">
        <f>Prog_23[[#This Row],[VLR NF]]*0.1%</f>
        <v>0</v>
      </c>
      <c r="BC1283" s="81">
        <f>Prog_23[[#This Row],[VLR NF]]*0.05%</f>
        <v>0</v>
      </c>
      <c r="BD1283" s="81"/>
      <c r="BE1283" s="81"/>
      <c r="BF1283" s="81"/>
      <c r="BG1283" s="81"/>
      <c r="BH1283" s="81"/>
      <c r="BI1283" s="81"/>
      <c r="BJ1283" s="81"/>
      <c r="BK1283" s="81"/>
      <c r="BL1283" s="81"/>
      <c r="BM1283" s="81"/>
      <c r="BN1283" s="66"/>
      <c r="BO1283" s="66"/>
      <c r="BP1283" s="66"/>
      <c r="BQ1283" s="66" t="str">
        <f>PROPER(TEXT(Prog_23[[#This Row],[PROGRAMAÇÃO CLIENTE]],"mmm"))</f>
        <v>Jan</v>
      </c>
      <c r="BR1283" s="66">
        <f>YEAR(Prog_23[[#This Row],[PROGRAMAÇÃO CLIENTE]])</f>
        <v>1900</v>
      </c>
    </row>
    <row r="1284" spans="1:70" x14ac:dyDescent="0.25">
      <c r="A1284" s="201">
        <f>Prog_23[[#This Row],[CONTEINER]]</f>
        <v>0</v>
      </c>
      <c r="B1284" s="86"/>
      <c r="C12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84" s="44"/>
      <c r="E1284" s="66"/>
      <c r="F1284" s="66"/>
      <c r="G1284" s="66"/>
      <c r="H1284" s="44"/>
      <c r="I1284" s="44"/>
      <c r="J1284" s="66"/>
      <c r="K1284" s="66"/>
      <c r="L1284" s="66"/>
      <c r="M1284" s="66"/>
      <c r="N1284" s="66">
        <f>SUM(Prog_23[[#This Row],[TARA]]+Prog_23[[#This Row],[PESO]])</f>
        <v>0</v>
      </c>
      <c r="O1284" s="44"/>
      <c r="P1284" s="66"/>
      <c r="Q1284" s="66"/>
      <c r="R1284" s="66"/>
      <c r="S1284" s="66"/>
      <c r="T1284" s="138" t="str">
        <f>IFERROR(LOOKUP($S1284,MOTORISTAS!$D$3:$D$916,MOTORISTAS!E$3:$E$916),"")</f>
        <v/>
      </c>
      <c r="U1284" s="138" t="str">
        <f>IFERROR(LOOKUP($S1284,MOTORISTAS!$D$3:$D$916,MOTORISTAS!F$3:$F$916),"")</f>
        <v/>
      </c>
      <c r="V1284" s="66"/>
      <c r="W1284" s="66"/>
      <c r="X1284" s="66"/>
      <c r="Y1284" s="66"/>
      <c r="Z1284" s="66"/>
      <c r="AA1284" s="66"/>
      <c r="AB1284" s="66"/>
      <c r="AC1284" s="66"/>
      <c r="AD1284" s="66"/>
      <c r="AE1284" s="66"/>
      <c r="AF1284" s="44"/>
      <c r="AG1284" s="254">
        <f>Prog_23[[#This Row],[SAÍDA DO CLIENTE]]-Prog_23[[#This Row],[PROGRAMAÇÃO CLIENTE]]</f>
        <v>0</v>
      </c>
      <c r="AH1284" s="44"/>
      <c r="AI1284" s="66"/>
      <c r="AJ1284" s="66"/>
      <c r="AK1284" s="66"/>
      <c r="AL1284" s="66"/>
      <c r="AM1284" s="66"/>
      <c r="AN1284" s="83"/>
      <c r="AO1284" s="83"/>
      <c r="AP1284" s="83"/>
      <c r="AQ1284" s="66"/>
      <c r="AR1284" s="66"/>
      <c r="AS1284" s="66"/>
      <c r="AT1284" s="81"/>
      <c r="AU1284" s="81"/>
      <c r="AV1284" s="81"/>
      <c r="AW1284" s="81"/>
      <c r="AX1284" s="83">
        <f>SUM(Prog_23[[#This Row],[ADIANTAMENTO]]+Prog_23[[#This Row],[SALDO]]+Prog_23[[#This Row],[MARGEM]]+Prog_23[[#This Row],[ESTADIA 1]])</f>
        <v>0</v>
      </c>
      <c r="AY12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84" s="81"/>
      <c r="BA1284" s="81"/>
      <c r="BB1284" s="81">
        <f>Prog_23[[#This Row],[VLR NF]]*0.1%</f>
        <v>0</v>
      </c>
      <c r="BC1284" s="81">
        <f>Prog_23[[#This Row],[VLR NF]]*0.05%</f>
        <v>0</v>
      </c>
      <c r="BD1284" s="81"/>
      <c r="BE1284" s="81"/>
      <c r="BF1284" s="81"/>
      <c r="BG1284" s="81"/>
      <c r="BH1284" s="81"/>
      <c r="BI1284" s="81"/>
      <c r="BJ1284" s="81"/>
      <c r="BK1284" s="81"/>
      <c r="BL1284" s="81"/>
      <c r="BM1284" s="81"/>
      <c r="BN1284" s="66"/>
      <c r="BO1284" s="66"/>
      <c r="BP1284" s="66"/>
      <c r="BQ1284" s="66" t="str">
        <f>PROPER(TEXT(Prog_23[[#This Row],[PROGRAMAÇÃO CLIENTE]],"mmm"))</f>
        <v>Jan</v>
      </c>
      <c r="BR1284" s="66">
        <f>YEAR(Prog_23[[#This Row],[PROGRAMAÇÃO CLIENTE]])</f>
        <v>1900</v>
      </c>
    </row>
    <row r="1285" spans="1:70" x14ac:dyDescent="0.25">
      <c r="A1285" s="200">
        <f>Prog_23[[#This Row],[CONTEINER]]</f>
        <v>0</v>
      </c>
      <c r="B1285" s="86"/>
      <c r="C12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85" s="44"/>
      <c r="E1285" s="66"/>
      <c r="F1285" s="66"/>
      <c r="G1285" s="66"/>
      <c r="H1285" s="44"/>
      <c r="I1285" s="44"/>
      <c r="J1285" s="66"/>
      <c r="K1285" s="66"/>
      <c r="L1285" s="66"/>
      <c r="M1285" s="66"/>
      <c r="N1285" s="66">
        <f>SUM(Prog_23[[#This Row],[TARA]]+Prog_23[[#This Row],[PESO]])</f>
        <v>0</v>
      </c>
      <c r="O1285" s="44"/>
      <c r="P1285" s="66"/>
      <c r="Q1285" s="66"/>
      <c r="R1285" s="66"/>
      <c r="S1285" s="66"/>
      <c r="T1285" s="138" t="str">
        <f>IFERROR(LOOKUP($S1285,MOTORISTAS!$D$3:$D$916,MOTORISTAS!E$3:$E$916),"")</f>
        <v/>
      </c>
      <c r="U1285" s="138" t="str">
        <f>IFERROR(LOOKUP($S1285,MOTORISTAS!$D$3:$D$916,MOTORISTAS!F$3:$F$916),"")</f>
        <v/>
      </c>
      <c r="V1285" s="66"/>
      <c r="W1285" s="66"/>
      <c r="X1285" s="66"/>
      <c r="Y1285" s="66"/>
      <c r="Z1285" s="66"/>
      <c r="AA1285" s="66"/>
      <c r="AB1285" s="66"/>
      <c r="AC1285" s="66"/>
      <c r="AD1285" s="66"/>
      <c r="AE1285" s="66"/>
      <c r="AF1285" s="44"/>
      <c r="AG1285" s="254">
        <f>Prog_23[[#This Row],[SAÍDA DO CLIENTE]]-Prog_23[[#This Row],[PROGRAMAÇÃO CLIENTE]]</f>
        <v>0</v>
      </c>
      <c r="AH1285" s="44"/>
      <c r="AI1285" s="66"/>
      <c r="AJ1285" s="66"/>
      <c r="AK1285" s="66"/>
      <c r="AL1285" s="66"/>
      <c r="AM1285" s="66"/>
      <c r="AN1285" s="83"/>
      <c r="AO1285" s="83"/>
      <c r="AP1285" s="83"/>
      <c r="AQ1285" s="66"/>
      <c r="AR1285" s="66"/>
      <c r="AS1285" s="66"/>
      <c r="AT1285" s="81"/>
      <c r="AU1285" s="81"/>
      <c r="AV1285" s="81"/>
      <c r="AW1285" s="81"/>
      <c r="AX1285" s="83">
        <f>SUM(Prog_23[[#This Row],[ADIANTAMENTO]]+Prog_23[[#This Row],[SALDO]]+Prog_23[[#This Row],[MARGEM]]+Prog_23[[#This Row],[ESTADIA 1]])</f>
        <v>0</v>
      </c>
      <c r="AY12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85" s="81"/>
      <c r="BA1285" s="81"/>
      <c r="BB1285" s="81">
        <f>Prog_23[[#This Row],[VLR NF]]*0.1%</f>
        <v>0</v>
      </c>
      <c r="BC1285" s="81">
        <f>Prog_23[[#This Row],[VLR NF]]*0.05%</f>
        <v>0</v>
      </c>
      <c r="BD1285" s="81"/>
      <c r="BE1285" s="81"/>
      <c r="BF1285" s="81"/>
      <c r="BG1285" s="81"/>
      <c r="BH1285" s="81"/>
      <c r="BI1285" s="81"/>
      <c r="BJ1285" s="81"/>
      <c r="BK1285" s="81"/>
      <c r="BL1285" s="81"/>
      <c r="BM1285" s="81"/>
      <c r="BN1285" s="66"/>
      <c r="BO1285" s="66"/>
      <c r="BP1285" s="66"/>
      <c r="BQ1285" s="66" t="str">
        <f>PROPER(TEXT(Prog_23[[#This Row],[PROGRAMAÇÃO CLIENTE]],"mmm"))</f>
        <v>Jan</v>
      </c>
      <c r="BR1285" s="66">
        <f>YEAR(Prog_23[[#This Row],[PROGRAMAÇÃO CLIENTE]])</f>
        <v>1900</v>
      </c>
    </row>
    <row r="1286" spans="1:70" x14ac:dyDescent="0.25">
      <c r="A1286" s="201">
        <f>Prog_23[[#This Row],[CONTEINER]]</f>
        <v>0</v>
      </c>
      <c r="B1286" s="86"/>
      <c r="C12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86" s="44"/>
      <c r="E1286" s="66"/>
      <c r="F1286" s="66"/>
      <c r="G1286" s="66"/>
      <c r="H1286" s="44"/>
      <c r="I1286" s="44"/>
      <c r="J1286" s="66"/>
      <c r="K1286" s="66"/>
      <c r="L1286" s="66"/>
      <c r="M1286" s="66"/>
      <c r="N1286" s="66">
        <f>SUM(Prog_23[[#This Row],[TARA]]+Prog_23[[#This Row],[PESO]])</f>
        <v>0</v>
      </c>
      <c r="O1286" s="44"/>
      <c r="P1286" s="66"/>
      <c r="Q1286" s="66"/>
      <c r="R1286" s="66"/>
      <c r="S1286" s="66"/>
      <c r="T1286" s="138" t="str">
        <f>IFERROR(LOOKUP($S1286,MOTORISTAS!$D$3:$D$916,MOTORISTAS!E$3:$E$916),"")</f>
        <v/>
      </c>
      <c r="U1286" s="138" t="str">
        <f>IFERROR(LOOKUP($S1286,MOTORISTAS!$D$3:$D$916,MOTORISTAS!F$3:$F$916),"")</f>
        <v/>
      </c>
      <c r="V1286" s="66"/>
      <c r="W1286" s="66"/>
      <c r="X1286" s="66"/>
      <c r="Y1286" s="66"/>
      <c r="Z1286" s="66"/>
      <c r="AA1286" s="66"/>
      <c r="AB1286" s="66"/>
      <c r="AC1286" s="66"/>
      <c r="AD1286" s="66"/>
      <c r="AE1286" s="66"/>
      <c r="AF1286" s="44"/>
      <c r="AG1286" s="254">
        <f>Prog_23[[#This Row],[SAÍDA DO CLIENTE]]-Prog_23[[#This Row],[PROGRAMAÇÃO CLIENTE]]</f>
        <v>0</v>
      </c>
      <c r="AH1286" s="44"/>
      <c r="AI1286" s="66"/>
      <c r="AJ1286" s="66"/>
      <c r="AK1286" s="66"/>
      <c r="AL1286" s="66"/>
      <c r="AM1286" s="66"/>
      <c r="AN1286" s="83"/>
      <c r="AO1286" s="83"/>
      <c r="AP1286" s="83"/>
      <c r="AQ1286" s="66"/>
      <c r="AR1286" s="66"/>
      <c r="AS1286" s="66"/>
      <c r="AT1286" s="81"/>
      <c r="AU1286" s="81"/>
      <c r="AV1286" s="81"/>
      <c r="AW1286" s="81"/>
      <c r="AX1286" s="83">
        <f>SUM(Prog_23[[#This Row],[ADIANTAMENTO]]+Prog_23[[#This Row],[SALDO]]+Prog_23[[#This Row],[MARGEM]]+Prog_23[[#This Row],[ESTADIA 1]])</f>
        <v>0</v>
      </c>
      <c r="AY12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86" s="81"/>
      <c r="BA1286" s="81"/>
      <c r="BB1286" s="81">
        <f>Prog_23[[#This Row],[VLR NF]]*0.1%</f>
        <v>0</v>
      </c>
      <c r="BC1286" s="81">
        <f>Prog_23[[#This Row],[VLR NF]]*0.05%</f>
        <v>0</v>
      </c>
      <c r="BD1286" s="81"/>
      <c r="BE1286" s="81"/>
      <c r="BF1286" s="81"/>
      <c r="BG1286" s="81"/>
      <c r="BH1286" s="81"/>
      <c r="BI1286" s="81"/>
      <c r="BJ1286" s="81"/>
      <c r="BK1286" s="81"/>
      <c r="BL1286" s="81"/>
      <c r="BM1286" s="81"/>
      <c r="BN1286" s="66"/>
      <c r="BO1286" s="66"/>
      <c r="BP1286" s="66"/>
      <c r="BQ1286" s="66" t="str">
        <f>PROPER(TEXT(Prog_23[[#This Row],[PROGRAMAÇÃO CLIENTE]],"mmm"))</f>
        <v>Jan</v>
      </c>
      <c r="BR1286" s="66">
        <f>YEAR(Prog_23[[#This Row],[PROGRAMAÇÃO CLIENTE]])</f>
        <v>1900</v>
      </c>
    </row>
    <row r="1287" spans="1:70" x14ac:dyDescent="0.25">
      <c r="A1287" s="200">
        <f>Prog_23[[#This Row],[CONTEINER]]</f>
        <v>0</v>
      </c>
      <c r="B1287" s="86"/>
      <c r="C12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87" s="44"/>
      <c r="E1287" s="66"/>
      <c r="F1287" s="66"/>
      <c r="G1287" s="66"/>
      <c r="H1287" s="44"/>
      <c r="I1287" s="44"/>
      <c r="J1287" s="66"/>
      <c r="K1287" s="66"/>
      <c r="L1287" s="66"/>
      <c r="M1287" s="66"/>
      <c r="N1287" s="66">
        <f>SUM(Prog_23[[#This Row],[TARA]]+Prog_23[[#This Row],[PESO]])</f>
        <v>0</v>
      </c>
      <c r="O1287" s="44"/>
      <c r="P1287" s="66"/>
      <c r="Q1287" s="66"/>
      <c r="R1287" s="66"/>
      <c r="S1287" s="66"/>
      <c r="T1287" s="138" t="str">
        <f>IFERROR(LOOKUP($S1287,MOTORISTAS!$D$3:$D$916,MOTORISTAS!E$3:$E$916),"")</f>
        <v/>
      </c>
      <c r="U1287" s="138" t="str">
        <f>IFERROR(LOOKUP($S1287,MOTORISTAS!$D$3:$D$916,MOTORISTAS!F$3:$F$916),"")</f>
        <v/>
      </c>
      <c r="V1287" s="66"/>
      <c r="W1287" s="66"/>
      <c r="X1287" s="66"/>
      <c r="Y1287" s="66"/>
      <c r="Z1287" s="66"/>
      <c r="AA1287" s="66"/>
      <c r="AB1287" s="66"/>
      <c r="AC1287" s="66"/>
      <c r="AD1287" s="66"/>
      <c r="AE1287" s="66"/>
      <c r="AF1287" s="44"/>
      <c r="AG1287" s="254">
        <f>Prog_23[[#This Row],[SAÍDA DO CLIENTE]]-Prog_23[[#This Row],[PROGRAMAÇÃO CLIENTE]]</f>
        <v>0</v>
      </c>
      <c r="AH1287" s="44"/>
      <c r="AI1287" s="66"/>
      <c r="AJ1287" s="66"/>
      <c r="AK1287" s="66"/>
      <c r="AL1287" s="66"/>
      <c r="AM1287" s="66"/>
      <c r="AN1287" s="83"/>
      <c r="AO1287" s="83"/>
      <c r="AP1287" s="83"/>
      <c r="AQ1287" s="66"/>
      <c r="AR1287" s="66"/>
      <c r="AS1287" s="66"/>
      <c r="AT1287" s="81"/>
      <c r="AU1287" s="81"/>
      <c r="AV1287" s="81"/>
      <c r="AW1287" s="81"/>
      <c r="AX1287" s="83">
        <f>SUM(Prog_23[[#This Row],[ADIANTAMENTO]]+Prog_23[[#This Row],[SALDO]]+Prog_23[[#This Row],[MARGEM]]+Prog_23[[#This Row],[ESTADIA 1]])</f>
        <v>0</v>
      </c>
      <c r="AY12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87" s="81"/>
      <c r="BA1287" s="81"/>
      <c r="BB1287" s="81">
        <f>Prog_23[[#This Row],[VLR NF]]*0.1%</f>
        <v>0</v>
      </c>
      <c r="BC1287" s="81">
        <f>Prog_23[[#This Row],[VLR NF]]*0.05%</f>
        <v>0</v>
      </c>
      <c r="BD1287" s="81"/>
      <c r="BE1287" s="81"/>
      <c r="BF1287" s="81"/>
      <c r="BG1287" s="81"/>
      <c r="BH1287" s="81"/>
      <c r="BI1287" s="81"/>
      <c r="BJ1287" s="81"/>
      <c r="BK1287" s="81"/>
      <c r="BL1287" s="81"/>
      <c r="BM1287" s="81"/>
      <c r="BN1287" s="66"/>
      <c r="BO1287" s="66"/>
      <c r="BP1287" s="66"/>
      <c r="BQ1287" s="66" t="str">
        <f>PROPER(TEXT(Prog_23[[#This Row],[PROGRAMAÇÃO CLIENTE]],"mmm"))</f>
        <v>Jan</v>
      </c>
      <c r="BR1287" s="66">
        <f>YEAR(Prog_23[[#This Row],[PROGRAMAÇÃO CLIENTE]])</f>
        <v>1900</v>
      </c>
    </row>
    <row r="1288" spans="1:70" x14ac:dyDescent="0.25">
      <c r="A1288" s="201">
        <f>Prog_23[[#This Row],[CONTEINER]]</f>
        <v>0</v>
      </c>
      <c r="B1288" s="86"/>
      <c r="C12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88" s="44"/>
      <c r="E1288" s="66"/>
      <c r="F1288" s="66"/>
      <c r="G1288" s="66"/>
      <c r="H1288" s="44"/>
      <c r="I1288" s="44"/>
      <c r="J1288" s="66"/>
      <c r="K1288" s="66"/>
      <c r="L1288" s="66"/>
      <c r="M1288" s="66"/>
      <c r="N1288" s="66">
        <f>SUM(Prog_23[[#This Row],[TARA]]+Prog_23[[#This Row],[PESO]])</f>
        <v>0</v>
      </c>
      <c r="O1288" s="44"/>
      <c r="P1288" s="66"/>
      <c r="Q1288" s="66"/>
      <c r="R1288" s="66"/>
      <c r="S1288" s="66"/>
      <c r="T1288" s="138" t="str">
        <f>IFERROR(LOOKUP($S1288,MOTORISTAS!$D$3:$D$916,MOTORISTAS!E$3:$E$916),"")</f>
        <v/>
      </c>
      <c r="U1288" s="138" t="str">
        <f>IFERROR(LOOKUP($S1288,MOTORISTAS!$D$3:$D$916,MOTORISTAS!F$3:$F$916),"")</f>
        <v/>
      </c>
      <c r="V1288" s="66"/>
      <c r="W1288" s="66"/>
      <c r="X1288" s="66"/>
      <c r="Y1288" s="66"/>
      <c r="Z1288" s="66"/>
      <c r="AA1288" s="66"/>
      <c r="AB1288" s="66"/>
      <c r="AC1288" s="66"/>
      <c r="AD1288" s="66"/>
      <c r="AE1288" s="66"/>
      <c r="AF1288" s="44"/>
      <c r="AG1288" s="254">
        <f>Prog_23[[#This Row],[SAÍDA DO CLIENTE]]-Prog_23[[#This Row],[PROGRAMAÇÃO CLIENTE]]</f>
        <v>0</v>
      </c>
      <c r="AH1288" s="44"/>
      <c r="AI1288" s="66"/>
      <c r="AJ1288" s="66"/>
      <c r="AK1288" s="66"/>
      <c r="AL1288" s="66"/>
      <c r="AM1288" s="66"/>
      <c r="AN1288" s="83"/>
      <c r="AO1288" s="83"/>
      <c r="AP1288" s="83"/>
      <c r="AQ1288" s="66"/>
      <c r="AR1288" s="66"/>
      <c r="AS1288" s="66"/>
      <c r="AT1288" s="81"/>
      <c r="AU1288" s="81"/>
      <c r="AV1288" s="81"/>
      <c r="AW1288" s="81"/>
      <c r="AX1288" s="83">
        <f>SUM(Prog_23[[#This Row],[ADIANTAMENTO]]+Prog_23[[#This Row],[SALDO]]+Prog_23[[#This Row],[MARGEM]]+Prog_23[[#This Row],[ESTADIA 1]])</f>
        <v>0</v>
      </c>
      <c r="AY12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88" s="81"/>
      <c r="BA1288" s="81"/>
      <c r="BB1288" s="81">
        <f>Prog_23[[#This Row],[VLR NF]]*0.1%</f>
        <v>0</v>
      </c>
      <c r="BC1288" s="81">
        <f>Prog_23[[#This Row],[VLR NF]]*0.05%</f>
        <v>0</v>
      </c>
      <c r="BD1288" s="81"/>
      <c r="BE1288" s="81"/>
      <c r="BF1288" s="81"/>
      <c r="BG1288" s="81"/>
      <c r="BH1288" s="81"/>
      <c r="BI1288" s="81"/>
      <c r="BJ1288" s="81"/>
      <c r="BK1288" s="81"/>
      <c r="BL1288" s="81"/>
      <c r="BM1288" s="81"/>
      <c r="BN1288" s="66"/>
      <c r="BO1288" s="66"/>
      <c r="BP1288" s="66"/>
      <c r="BQ1288" s="66" t="str">
        <f>PROPER(TEXT(Prog_23[[#This Row],[PROGRAMAÇÃO CLIENTE]],"mmm"))</f>
        <v>Jan</v>
      </c>
      <c r="BR1288" s="66">
        <f>YEAR(Prog_23[[#This Row],[PROGRAMAÇÃO CLIENTE]])</f>
        <v>1900</v>
      </c>
    </row>
    <row r="1289" spans="1:70" x14ac:dyDescent="0.25">
      <c r="A1289" s="200">
        <f>Prog_23[[#This Row],[CONTEINER]]</f>
        <v>0</v>
      </c>
      <c r="B1289" s="86"/>
      <c r="C12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89" s="44"/>
      <c r="E1289" s="66"/>
      <c r="F1289" s="66"/>
      <c r="G1289" s="66"/>
      <c r="H1289" s="44"/>
      <c r="I1289" s="44"/>
      <c r="J1289" s="66"/>
      <c r="K1289" s="66"/>
      <c r="L1289" s="66"/>
      <c r="M1289" s="66"/>
      <c r="N1289" s="66">
        <f>SUM(Prog_23[[#This Row],[TARA]]+Prog_23[[#This Row],[PESO]])</f>
        <v>0</v>
      </c>
      <c r="O1289" s="44"/>
      <c r="P1289" s="66"/>
      <c r="Q1289" s="66"/>
      <c r="R1289" s="66"/>
      <c r="S1289" s="66"/>
      <c r="T1289" s="138" t="str">
        <f>IFERROR(LOOKUP($S1289,MOTORISTAS!$D$3:$D$916,MOTORISTAS!E$3:$E$916),"")</f>
        <v/>
      </c>
      <c r="U1289" s="138" t="str">
        <f>IFERROR(LOOKUP($S1289,MOTORISTAS!$D$3:$D$916,MOTORISTAS!F$3:$F$916),"")</f>
        <v/>
      </c>
      <c r="V1289" s="66"/>
      <c r="W1289" s="66"/>
      <c r="X1289" s="66"/>
      <c r="Y1289" s="66"/>
      <c r="Z1289" s="66"/>
      <c r="AA1289" s="66"/>
      <c r="AB1289" s="66"/>
      <c r="AC1289" s="66"/>
      <c r="AD1289" s="66"/>
      <c r="AE1289" s="66"/>
      <c r="AF1289" s="44"/>
      <c r="AG1289" s="254">
        <f>Prog_23[[#This Row],[SAÍDA DO CLIENTE]]-Prog_23[[#This Row],[PROGRAMAÇÃO CLIENTE]]</f>
        <v>0</v>
      </c>
      <c r="AH1289" s="44"/>
      <c r="AI1289" s="66"/>
      <c r="AJ1289" s="66"/>
      <c r="AK1289" s="66"/>
      <c r="AL1289" s="66"/>
      <c r="AM1289" s="66"/>
      <c r="AN1289" s="83"/>
      <c r="AO1289" s="83"/>
      <c r="AP1289" s="83"/>
      <c r="AQ1289" s="66"/>
      <c r="AR1289" s="66"/>
      <c r="AS1289" s="66"/>
      <c r="AT1289" s="81"/>
      <c r="AU1289" s="81"/>
      <c r="AV1289" s="81"/>
      <c r="AW1289" s="81"/>
      <c r="AX1289" s="83">
        <f>SUM(Prog_23[[#This Row],[ADIANTAMENTO]]+Prog_23[[#This Row],[SALDO]]+Prog_23[[#This Row],[MARGEM]]+Prog_23[[#This Row],[ESTADIA 1]])</f>
        <v>0</v>
      </c>
      <c r="AY12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89" s="81"/>
      <c r="BA1289" s="81"/>
      <c r="BB1289" s="81">
        <f>Prog_23[[#This Row],[VLR NF]]*0.1%</f>
        <v>0</v>
      </c>
      <c r="BC1289" s="81">
        <f>Prog_23[[#This Row],[VLR NF]]*0.05%</f>
        <v>0</v>
      </c>
      <c r="BD1289" s="81"/>
      <c r="BE1289" s="81"/>
      <c r="BF1289" s="81"/>
      <c r="BG1289" s="81"/>
      <c r="BH1289" s="81"/>
      <c r="BI1289" s="81"/>
      <c r="BJ1289" s="81"/>
      <c r="BK1289" s="81"/>
      <c r="BL1289" s="81"/>
      <c r="BM1289" s="81"/>
      <c r="BN1289" s="66"/>
      <c r="BO1289" s="66"/>
      <c r="BP1289" s="66"/>
      <c r="BQ1289" s="66" t="str">
        <f>PROPER(TEXT(Prog_23[[#This Row],[PROGRAMAÇÃO CLIENTE]],"mmm"))</f>
        <v>Jan</v>
      </c>
      <c r="BR1289" s="66">
        <f>YEAR(Prog_23[[#This Row],[PROGRAMAÇÃO CLIENTE]])</f>
        <v>1900</v>
      </c>
    </row>
    <row r="1290" spans="1:70" x14ac:dyDescent="0.25">
      <c r="A1290" s="201">
        <f>Prog_23[[#This Row],[CONTEINER]]</f>
        <v>0</v>
      </c>
      <c r="B1290" s="86"/>
      <c r="C12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90" s="44"/>
      <c r="E1290" s="66"/>
      <c r="F1290" s="66"/>
      <c r="G1290" s="66"/>
      <c r="H1290" s="44"/>
      <c r="I1290" s="44"/>
      <c r="J1290" s="66"/>
      <c r="K1290" s="66"/>
      <c r="L1290" s="66"/>
      <c r="M1290" s="66"/>
      <c r="N1290" s="66">
        <f>SUM(Prog_23[[#This Row],[TARA]]+Prog_23[[#This Row],[PESO]])</f>
        <v>0</v>
      </c>
      <c r="O1290" s="44"/>
      <c r="P1290" s="66"/>
      <c r="Q1290" s="66"/>
      <c r="R1290" s="66"/>
      <c r="S1290" s="66"/>
      <c r="T1290" s="138" t="str">
        <f>IFERROR(LOOKUP($S1290,MOTORISTAS!$D$3:$D$916,MOTORISTAS!E$3:$E$916),"")</f>
        <v/>
      </c>
      <c r="U1290" s="138" t="str">
        <f>IFERROR(LOOKUP($S1290,MOTORISTAS!$D$3:$D$916,MOTORISTAS!F$3:$F$916),"")</f>
        <v/>
      </c>
      <c r="V1290" s="66"/>
      <c r="W1290" s="66"/>
      <c r="X1290" s="66"/>
      <c r="Y1290" s="66"/>
      <c r="Z1290" s="66"/>
      <c r="AA1290" s="66"/>
      <c r="AB1290" s="66"/>
      <c r="AC1290" s="66"/>
      <c r="AD1290" s="66"/>
      <c r="AE1290" s="66"/>
      <c r="AF1290" s="44"/>
      <c r="AG1290" s="254">
        <f>Prog_23[[#This Row],[SAÍDA DO CLIENTE]]-Prog_23[[#This Row],[PROGRAMAÇÃO CLIENTE]]</f>
        <v>0</v>
      </c>
      <c r="AH1290" s="44"/>
      <c r="AI1290" s="66"/>
      <c r="AJ1290" s="66"/>
      <c r="AK1290" s="66"/>
      <c r="AL1290" s="66"/>
      <c r="AM1290" s="66"/>
      <c r="AN1290" s="83"/>
      <c r="AO1290" s="83"/>
      <c r="AP1290" s="83"/>
      <c r="AQ1290" s="66"/>
      <c r="AR1290" s="66"/>
      <c r="AS1290" s="66"/>
      <c r="AT1290" s="81"/>
      <c r="AU1290" s="81"/>
      <c r="AV1290" s="81"/>
      <c r="AW1290" s="81"/>
      <c r="AX1290" s="83">
        <f>SUM(Prog_23[[#This Row],[ADIANTAMENTO]]+Prog_23[[#This Row],[SALDO]]+Prog_23[[#This Row],[MARGEM]]+Prog_23[[#This Row],[ESTADIA 1]])</f>
        <v>0</v>
      </c>
      <c r="AY12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90" s="81"/>
      <c r="BA1290" s="81"/>
      <c r="BB1290" s="81">
        <f>Prog_23[[#This Row],[VLR NF]]*0.1%</f>
        <v>0</v>
      </c>
      <c r="BC1290" s="81">
        <f>Prog_23[[#This Row],[VLR NF]]*0.05%</f>
        <v>0</v>
      </c>
      <c r="BD1290" s="81"/>
      <c r="BE1290" s="81"/>
      <c r="BF1290" s="81"/>
      <c r="BG1290" s="81"/>
      <c r="BH1290" s="81"/>
      <c r="BI1290" s="81"/>
      <c r="BJ1290" s="81"/>
      <c r="BK1290" s="81"/>
      <c r="BL1290" s="81"/>
      <c r="BM1290" s="81"/>
      <c r="BN1290" s="66"/>
      <c r="BO1290" s="66"/>
      <c r="BP1290" s="66"/>
      <c r="BQ1290" s="66" t="str">
        <f>PROPER(TEXT(Prog_23[[#This Row],[PROGRAMAÇÃO CLIENTE]],"mmm"))</f>
        <v>Jan</v>
      </c>
      <c r="BR1290" s="66">
        <f>YEAR(Prog_23[[#This Row],[PROGRAMAÇÃO CLIENTE]])</f>
        <v>1900</v>
      </c>
    </row>
    <row r="1291" spans="1:70" x14ac:dyDescent="0.25">
      <c r="A1291" s="200">
        <f>Prog_23[[#This Row],[CONTEINER]]</f>
        <v>0</v>
      </c>
      <c r="B1291" s="86"/>
      <c r="C12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91" s="44"/>
      <c r="E1291" s="66"/>
      <c r="F1291" s="66"/>
      <c r="G1291" s="66"/>
      <c r="H1291" s="44"/>
      <c r="I1291" s="44"/>
      <c r="J1291" s="66"/>
      <c r="K1291" s="66"/>
      <c r="L1291" s="66"/>
      <c r="M1291" s="66"/>
      <c r="N1291" s="66">
        <f>SUM(Prog_23[[#This Row],[TARA]]+Prog_23[[#This Row],[PESO]])</f>
        <v>0</v>
      </c>
      <c r="O1291" s="44"/>
      <c r="P1291" s="66"/>
      <c r="Q1291" s="66"/>
      <c r="R1291" s="66"/>
      <c r="S1291" s="66"/>
      <c r="T1291" s="138" t="str">
        <f>IFERROR(LOOKUP($S1291,MOTORISTAS!$D$3:$D$916,MOTORISTAS!E$3:$E$916),"")</f>
        <v/>
      </c>
      <c r="U1291" s="138" t="str">
        <f>IFERROR(LOOKUP($S1291,MOTORISTAS!$D$3:$D$916,MOTORISTAS!F$3:$F$916),"")</f>
        <v/>
      </c>
      <c r="V1291" s="66"/>
      <c r="W1291" s="66"/>
      <c r="X1291" s="66"/>
      <c r="Y1291" s="66"/>
      <c r="Z1291" s="66"/>
      <c r="AA1291" s="66"/>
      <c r="AB1291" s="66"/>
      <c r="AC1291" s="66"/>
      <c r="AD1291" s="66"/>
      <c r="AE1291" s="66"/>
      <c r="AF1291" s="44"/>
      <c r="AG1291" s="254">
        <f>Prog_23[[#This Row],[SAÍDA DO CLIENTE]]-Prog_23[[#This Row],[PROGRAMAÇÃO CLIENTE]]</f>
        <v>0</v>
      </c>
      <c r="AH1291" s="44"/>
      <c r="AI1291" s="66"/>
      <c r="AJ1291" s="66"/>
      <c r="AK1291" s="66"/>
      <c r="AL1291" s="66"/>
      <c r="AM1291" s="66"/>
      <c r="AN1291" s="83"/>
      <c r="AO1291" s="83"/>
      <c r="AP1291" s="83"/>
      <c r="AQ1291" s="66"/>
      <c r="AR1291" s="66"/>
      <c r="AS1291" s="66"/>
      <c r="AT1291" s="81"/>
      <c r="AU1291" s="81"/>
      <c r="AV1291" s="81"/>
      <c r="AW1291" s="81"/>
      <c r="AX1291" s="83">
        <f>SUM(Prog_23[[#This Row],[ADIANTAMENTO]]+Prog_23[[#This Row],[SALDO]]+Prog_23[[#This Row],[MARGEM]]+Prog_23[[#This Row],[ESTADIA 1]])</f>
        <v>0</v>
      </c>
      <c r="AY12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91" s="81"/>
      <c r="BA1291" s="81"/>
      <c r="BB1291" s="81">
        <f>Prog_23[[#This Row],[VLR NF]]*0.1%</f>
        <v>0</v>
      </c>
      <c r="BC1291" s="81">
        <f>Prog_23[[#This Row],[VLR NF]]*0.05%</f>
        <v>0</v>
      </c>
      <c r="BD1291" s="81"/>
      <c r="BE1291" s="81"/>
      <c r="BF1291" s="81"/>
      <c r="BG1291" s="81"/>
      <c r="BH1291" s="81"/>
      <c r="BI1291" s="81"/>
      <c r="BJ1291" s="81"/>
      <c r="BK1291" s="81"/>
      <c r="BL1291" s="81"/>
      <c r="BM1291" s="81"/>
      <c r="BN1291" s="66"/>
      <c r="BO1291" s="66"/>
      <c r="BP1291" s="66"/>
      <c r="BQ1291" s="66" t="str">
        <f>PROPER(TEXT(Prog_23[[#This Row],[PROGRAMAÇÃO CLIENTE]],"mmm"))</f>
        <v>Jan</v>
      </c>
      <c r="BR1291" s="66">
        <f>YEAR(Prog_23[[#This Row],[PROGRAMAÇÃO CLIENTE]])</f>
        <v>1900</v>
      </c>
    </row>
    <row r="1292" spans="1:70" x14ac:dyDescent="0.25">
      <c r="A1292" s="201">
        <f>Prog_23[[#This Row],[CONTEINER]]</f>
        <v>0</v>
      </c>
      <c r="B1292" s="86"/>
      <c r="C12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92" s="44"/>
      <c r="E1292" s="66"/>
      <c r="F1292" s="66"/>
      <c r="G1292" s="66"/>
      <c r="H1292" s="44"/>
      <c r="I1292" s="44"/>
      <c r="J1292" s="66"/>
      <c r="K1292" s="66"/>
      <c r="L1292" s="66"/>
      <c r="M1292" s="66"/>
      <c r="N1292" s="66">
        <f>SUM(Prog_23[[#This Row],[TARA]]+Prog_23[[#This Row],[PESO]])</f>
        <v>0</v>
      </c>
      <c r="O1292" s="44"/>
      <c r="P1292" s="66"/>
      <c r="Q1292" s="66"/>
      <c r="R1292" s="66"/>
      <c r="S1292" s="66"/>
      <c r="T1292" s="138" t="str">
        <f>IFERROR(LOOKUP($S1292,MOTORISTAS!$D$3:$D$916,MOTORISTAS!E$3:$E$916),"")</f>
        <v/>
      </c>
      <c r="U1292" s="138" t="str">
        <f>IFERROR(LOOKUP($S1292,MOTORISTAS!$D$3:$D$916,MOTORISTAS!F$3:$F$916),"")</f>
        <v/>
      </c>
      <c r="V1292" s="66"/>
      <c r="W1292" s="66"/>
      <c r="X1292" s="66"/>
      <c r="Y1292" s="66"/>
      <c r="Z1292" s="66"/>
      <c r="AA1292" s="66"/>
      <c r="AB1292" s="66"/>
      <c r="AC1292" s="66"/>
      <c r="AD1292" s="66"/>
      <c r="AE1292" s="66"/>
      <c r="AF1292" s="44"/>
      <c r="AG1292" s="254">
        <f>Prog_23[[#This Row],[SAÍDA DO CLIENTE]]-Prog_23[[#This Row],[PROGRAMAÇÃO CLIENTE]]</f>
        <v>0</v>
      </c>
      <c r="AH1292" s="44"/>
      <c r="AI1292" s="66"/>
      <c r="AJ1292" s="66"/>
      <c r="AK1292" s="66"/>
      <c r="AL1292" s="66"/>
      <c r="AM1292" s="66"/>
      <c r="AN1292" s="83"/>
      <c r="AO1292" s="83"/>
      <c r="AP1292" s="83"/>
      <c r="AQ1292" s="66"/>
      <c r="AR1292" s="66"/>
      <c r="AS1292" s="66"/>
      <c r="AT1292" s="81"/>
      <c r="AU1292" s="81"/>
      <c r="AV1292" s="81"/>
      <c r="AW1292" s="81"/>
      <c r="AX1292" s="83">
        <f>SUM(Prog_23[[#This Row],[ADIANTAMENTO]]+Prog_23[[#This Row],[SALDO]]+Prog_23[[#This Row],[MARGEM]]+Prog_23[[#This Row],[ESTADIA 1]])</f>
        <v>0</v>
      </c>
      <c r="AY12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92" s="81"/>
      <c r="BA1292" s="81"/>
      <c r="BB1292" s="81">
        <f>Prog_23[[#This Row],[VLR NF]]*0.1%</f>
        <v>0</v>
      </c>
      <c r="BC1292" s="81">
        <f>Prog_23[[#This Row],[VLR NF]]*0.05%</f>
        <v>0</v>
      </c>
      <c r="BD1292" s="81"/>
      <c r="BE1292" s="81"/>
      <c r="BF1292" s="81"/>
      <c r="BG1292" s="81"/>
      <c r="BH1292" s="81"/>
      <c r="BI1292" s="81"/>
      <c r="BJ1292" s="81"/>
      <c r="BK1292" s="81"/>
      <c r="BL1292" s="81"/>
      <c r="BM1292" s="81"/>
      <c r="BN1292" s="66"/>
      <c r="BO1292" s="66"/>
      <c r="BP1292" s="66"/>
      <c r="BQ1292" s="66" t="str">
        <f>PROPER(TEXT(Prog_23[[#This Row],[PROGRAMAÇÃO CLIENTE]],"mmm"))</f>
        <v>Jan</v>
      </c>
      <c r="BR1292" s="66">
        <f>YEAR(Prog_23[[#This Row],[PROGRAMAÇÃO CLIENTE]])</f>
        <v>1900</v>
      </c>
    </row>
    <row r="1293" spans="1:70" x14ac:dyDescent="0.25">
      <c r="A1293" s="200">
        <f>Prog_23[[#This Row],[CONTEINER]]</f>
        <v>0</v>
      </c>
      <c r="B1293" s="86"/>
      <c r="C12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93" s="44"/>
      <c r="E1293" s="66"/>
      <c r="F1293" s="66"/>
      <c r="G1293" s="66"/>
      <c r="H1293" s="44"/>
      <c r="I1293" s="44"/>
      <c r="J1293" s="66"/>
      <c r="K1293" s="66"/>
      <c r="L1293" s="66"/>
      <c r="M1293" s="66"/>
      <c r="N1293" s="66">
        <f>SUM(Prog_23[[#This Row],[TARA]]+Prog_23[[#This Row],[PESO]])</f>
        <v>0</v>
      </c>
      <c r="O1293" s="44"/>
      <c r="P1293" s="66"/>
      <c r="Q1293" s="66"/>
      <c r="R1293" s="66"/>
      <c r="S1293" s="66"/>
      <c r="T1293" s="138" t="str">
        <f>IFERROR(LOOKUP($S1293,MOTORISTAS!$D$3:$D$916,MOTORISTAS!E$3:$E$916),"")</f>
        <v/>
      </c>
      <c r="U1293" s="138" t="str">
        <f>IFERROR(LOOKUP($S1293,MOTORISTAS!$D$3:$D$916,MOTORISTAS!F$3:$F$916),"")</f>
        <v/>
      </c>
      <c r="V1293" s="66"/>
      <c r="W1293" s="66"/>
      <c r="X1293" s="66"/>
      <c r="Y1293" s="66"/>
      <c r="Z1293" s="66"/>
      <c r="AA1293" s="66"/>
      <c r="AB1293" s="66"/>
      <c r="AC1293" s="66"/>
      <c r="AD1293" s="66"/>
      <c r="AE1293" s="66"/>
      <c r="AF1293" s="44"/>
      <c r="AG1293" s="254">
        <f>Prog_23[[#This Row],[SAÍDA DO CLIENTE]]-Prog_23[[#This Row],[PROGRAMAÇÃO CLIENTE]]</f>
        <v>0</v>
      </c>
      <c r="AH1293" s="44"/>
      <c r="AI1293" s="66"/>
      <c r="AJ1293" s="66"/>
      <c r="AK1293" s="66"/>
      <c r="AL1293" s="66"/>
      <c r="AM1293" s="66"/>
      <c r="AN1293" s="83"/>
      <c r="AO1293" s="83"/>
      <c r="AP1293" s="83"/>
      <c r="AQ1293" s="66"/>
      <c r="AR1293" s="66"/>
      <c r="AS1293" s="66"/>
      <c r="AT1293" s="81"/>
      <c r="AU1293" s="81"/>
      <c r="AV1293" s="81"/>
      <c r="AW1293" s="81"/>
      <c r="AX1293" s="83">
        <f>SUM(Prog_23[[#This Row],[ADIANTAMENTO]]+Prog_23[[#This Row],[SALDO]]+Prog_23[[#This Row],[MARGEM]]+Prog_23[[#This Row],[ESTADIA 1]])</f>
        <v>0</v>
      </c>
      <c r="AY12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93" s="81"/>
      <c r="BA1293" s="81"/>
      <c r="BB1293" s="81">
        <f>Prog_23[[#This Row],[VLR NF]]*0.1%</f>
        <v>0</v>
      </c>
      <c r="BC1293" s="81">
        <f>Prog_23[[#This Row],[VLR NF]]*0.05%</f>
        <v>0</v>
      </c>
      <c r="BD1293" s="81"/>
      <c r="BE1293" s="81"/>
      <c r="BF1293" s="81"/>
      <c r="BG1293" s="81"/>
      <c r="BH1293" s="81"/>
      <c r="BI1293" s="81"/>
      <c r="BJ1293" s="81"/>
      <c r="BK1293" s="81"/>
      <c r="BL1293" s="81"/>
      <c r="BM1293" s="81"/>
      <c r="BN1293" s="66"/>
      <c r="BO1293" s="66"/>
      <c r="BP1293" s="66"/>
      <c r="BQ1293" s="66" t="str">
        <f>PROPER(TEXT(Prog_23[[#This Row],[PROGRAMAÇÃO CLIENTE]],"mmm"))</f>
        <v>Jan</v>
      </c>
      <c r="BR1293" s="66">
        <f>YEAR(Prog_23[[#This Row],[PROGRAMAÇÃO CLIENTE]])</f>
        <v>1900</v>
      </c>
    </row>
    <row r="1294" spans="1:70" x14ac:dyDescent="0.25">
      <c r="A1294" s="201">
        <f>Prog_23[[#This Row],[CONTEINER]]</f>
        <v>0</v>
      </c>
      <c r="B1294" s="86"/>
      <c r="C12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94" s="44"/>
      <c r="E1294" s="66"/>
      <c r="F1294" s="66"/>
      <c r="G1294" s="66"/>
      <c r="H1294" s="44"/>
      <c r="I1294" s="44"/>
      <c r="J1294" s="66"/>
      <c r="K1294" s="66"/>
      <c r="L1294" s="66"/>
      <c r="M1294" s="66"/>
      <c r="N1294" s="66">
        <f>SUM(Prog_23[[#This Row],[TARA]]+Prog_23[[#This Row],[PESO]])</f>
        <v>0</v>
      </c>
      <c r="O1294" s="44"/>
      <c r="P1294" s="66"/>
      <c r="Q1294" s="66"/>
      <c r="R1294" s="66"/>
      <c r="S1294" s="66"/>
      <c r="T1294" s="138" t="str">
        <f>IFERROR(LOOKUP($S1294,MOTORISTAS!$D$3:$D$916,MOTORISTAS!E$3:$E$916),"")</f>
        <v/>
      </c>
      <c r="U1294" s="138" t="str">
        <f>IFERROR(LOOKUP($S1294,MOTORISTAS!$D$3:$D$916,MOTORISTAS!F$3:$F$916),"")</f>
        <v/>
      </c>
      <c r="V1294" s="66"/>
      <c r="W1294" s="66"/>
      <c r="X1294" s="66"/>
      <c r="Y1294" s="66"/>
      <c r="Z1294" s="66"/>
      <c r="AA1294" s="66"/>
      <c r="AB1294" s="66"/>
      <c r="AC1294" s="66"/>
      <c r="AD1294" s="66"/>
      <c r="AE1294" s="66"/>
      <c r="AF1294" s="44"/>
      <c r="AG1294" s="254">
        <f>Prog_23[[#This Row],[SAÍDA DO CLIENTE]]-Prog_23[[#This Row],[PROGRAMAÇÃO CLIENTE]]</f>
        <v>0</v>
      </c>
      <c r="AH1294" s="44"/>
      <c r="AI1294" s="66"/>
      <c r="AJ1294" s="66"/>
      <c r="AK1294" s="66"/>
      <c r="AL1294" s="66"/>
      <c r="AM1294" s="66"/>
      <c r="AN1294" s="83"/>
      <c r="AO1294" s="83"/>
      <c r="AP1294" s="83"/>
      <c r="AQ1294" s="66"/>
      <c r="AR1294" s="66"/>
      <c r="AS1294" s="66"/>
      <c r="AT1294" s="81"/>
      <c r="AU1294" s="81"/>
      <c r="AV1294" s="81"/>
      <c r="AW1294" s="81"/>
      <c r="AX1294" s="83">
        <f>SUM(Prog_23[[#This Row],[ADIANTAMENTO]]+Prog_23[[#This Row],[SALDO]]+Prog_23[[#This Row],[MARGEM]]+Prog_23[[#This Row],[ESTADIA 1]])</f>
        <v>0</v>
      </c>
      <c r="AY12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94" s="81"/>
      <c r="BA1294" s="81"/>
      <c r="BB1294" s="81">
        <f>Prog_23[[#This Row],[VLR NF]]*0.1%</f>
        <v>0</v>
      </c>
      <c r="BC1294" s="81">
        <f>Prog_23[[#This Row],[VLR NF]]*0.05%</f>
        <v>0</v>
      </c>
      <c r="BD1294" s="81"/>
      <c r="BE1294" s="81"/>
      <c r="BF1294" s="81"/>
      <c r="BG1294" s="81"/>
      <c r="BH1294" s="81"/>
      <c r="BI1294" s="81"/>
      <c r="BJ1294" s="81"/>
      <c r="BK1294" s="81"/>
      <c r="BL1294" s="81"/>
      <c r="BM1294" s="81"/>
      <c r="BN1294" s="66"/>
      <c r="BO1294" s="66"/>
      <c r="BP1294" s="66"/>
      <c r="BQ1294" s="66" t="str">
        <f>PROPER(TEXT(Prog_23[[#This Row],[PROGRAMAÇÃO CLIENTE]],"mmm"))</f>
        <v>Jan</v>
      </c>
      <c r="BR1294" s="66">
        <f>YEAR(Prog_23[[#This Row],[PROGRAMAÇÃO CLIENTE]])</f>
        <v>1900</v>
      </c>
    </row>
    <row r="1295" spans="1:70" x14ac:dyDescent="0.25">
      <c r="A1295" s="200">
        <f>Prog_23[[#This Row],[CONTEINER]]</f>
        <v>0</v>
      </c>
      <c r="B1295" s="86"/>
      <c r="C12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95" s="44"/>
      <c r="E1295" s="66"/>
      <c r="F1295" s="66"/>
      <c r="G1295" s="66"/>
      <c r="H1295" s="44"/>
      <c r="I1295" s="44"/>
      <c r="J1295" s="66"/>
      <c r="K1295" s="66"/>
      <c r="L1295" s="66"/>
      <c r="M1295" s="66"/>
      <c r="N1295" s="66">
        <f>SUM(Prog_23[[#This Row],[TARA]]+Prog_23[[#This Row],[PESO]])</f>
        <v>0</v>
      </c>
      <c r="O1295" s="44"/>
      <c r="P1295" s="66"/>
      <c r="Q1295" s="66"/>
      <c r="R1295" s="66"/>
      <c r="S1295" s="66"/>
      <c r="T1295" s="138" t="str">
        <f>IFERROR(LOOKUP($S1295,MOTORISTAS!$D$3:$D$916,MOTORISTAS!E$3:$E$916),"")</f>
        <v/>
      </c>
      <c r="U1295" s="138" t="str">
        <f>IFERROR(LOOKUP($S1295,MOTORISTAS!$D$3:$D$916,MOTORISTAS!F$3:$F$916),"")</f>
        <v/>
      </c>
      <c r="V1295" s="66"/>
      <c r="W1295" s="66"/>
      <c r="X1295" s="66"/>
      <c r="Y1295" s="66"/>
      <c r="Z1295" s="66"/>
      <c r="AA1295" s="66"/>
      <c r="AB1295" s="66"/>
      <c r="AC1295" s="66"/>
      <c r="AD1295" s="66"/>
      <c r="AE1295" s="66"/>
      <c r="AF1295" s="44"/>
      <c r="AG1295" s="254">
        <f>Prog_23[[#This Row],[SAÍDA DO CLIENTE]]-Prog_23[[#This Row],[PROGRAMAÇÃO CLIENTE]]</f>
        <v>0</v>
      </c>
      <c r="AH1295" s="44"/>
      <c r="AI1295" s="66"/>
      <c r="AJ1295" s="66"/>
      <c r="AK1295" s="66"/>
      <c r="AL1295" s="66"/>
      <c r="AM1295" s="66"/>
      <c r="AN1295" s="83"/>
      <c r="AO1295" s="83"/>
      <c r="AP1295" s="83"/>
      <c r="AQ1295" s="66"/>
      <c r="AR1295" s="66"/>
      <c r="AS1295" s="66"/>
      <c r="AT1295" s="81"/>
      <c r="AU1295" s="81"/>
      <c r="AV1295" s="81"/>
      <c r="AW1295" s="81"/>
      <c r="AX1295" s="83">
        <f>SUM(Prog_23[[#This Row],[ADIANTAMENTO]]+Prog_23[[#This Row],[SALDO]]+Prog_23[[#This Row],[MARGEM]]+Prog_23[[#This Row],[ESTADIA 1]])</f>
        <v>0</v>
      </c>
      <c r="AY12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95" s="81"/>
      <c r="BA1295" s="81"/>
      <c r="BB1295" s="81">
        <f>Prog_23[[#This Row],[VLR NF]]*0.1%</f>
        <v>0</v>
      </c>
      <c r="BC1295" s="81">
        <f>Prog_23[[#This Row],[VLR NF]]*0.05%</f>
        <v>0</v>
      </c>
      <c r="BD1295" s="81"/>
      <c r="BE1295" s="81"/>
      <c r="BF1295" s="81"/>
      <c r="BG1295" s="81"/>
      <c r="BH1295" s="81"/>
      <c r="BI1295" s="81"/>
      <c r="BJ1295" s="81"/>
      <c r="BK1295" s="81"/>
      <c r="BL1295" s="81"/>
      <c r="BM1295" s="81"/>
      <c r="BN1295" s="66"/>
      <c r="BO1295" s="66"/>
      <c r="BP1295" s="66"/>
      <c r="BQ1295" s="66" t="str">
        <f>PROPER(TEXT(Prog_23[[#This Row],[PROGRAMAÇÃO CLIENTE]],"mmm"))</f>
        <v>Jan</v>
      </c>
      <c r="BR1295" s="66">
        <f>YEAR(Prog_23[[#This Row],[PROGRAMAÇÃO CLIENTE]])</f>
        <v>1900</v>
      </c>
    </row>
    <row r="1296" spans="1:70" x14ac:dyDescent="0.25">
      <c r="A1296" s="201">
        <f>Prog_23[[#This Row],[CONTEINER]]</f>
        <v>0</v>
      </c>
      <c r="B1296" s="86"/>
      <c r="C12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96" s="44"/>
      <c r="E1296" s="66"/>
      <c r="F1296" s="66"/>
      <c r="G1296" s="66"/>
      <c r="H1296" s="44"/>
      <c r="I1296" s="44"/>
      <c r="J1296" s="66"/>
      <c r="K1296" s="66"/>
      <c r="L1296" s="66"/>
      <c r="M1296" s="66"/>
      <c r="N1296" s="66">
        <f>SUM(Prog_23[[#This Row],[TARA]]+Prog_23[[#This Row],[PESO]])</f>
        <v>0</v>
      </c>
      <c r="O1296" s="44"/>
      <c r="P1296" s="66"/>
      <c r="Q1296" s="66"/>
      <c r="R1296" s="66"/>
      <c r="S1296" s="66"/>
      <c r="T1296" s="138" t="str">
        <f>IFERROR(LOOKUP($S1296,MOTORISTAS!$D$3:$D$916,MOTORISTAS!E$3:$E$916),"")</f>
        <v/>
      </c>
      <c r="U1296" s="138" t="str">
        <f>IFERROR(LOOKUP($S1296,MOTORISTAS!$D$3:$D$916,MOTORISTAS!F$3:$F$916),"")</f>
        <v/>
      </c>
      <c r="V1296" s="66"/>
      <c r="W1296" s="66"/>
      <c r="X1296" s="66"/>
      <c r="Y1296" s="66"/>
      <c r="Z1296" s="66"/>
      <c r="AA1296" s="66"/>
      <c r="AB1296" s="66"/>
      <c r="AC1296" s="66"/>
      <c r="AD1296" s="66"/>
      <c r="AE1296" s="66"/>
      <c r="AF1296" s="44"/>
      <c r="AG1296" s="254">
        <f>Prog_23[[#This Row],[SAÍDA DO CLIENTE]]-Prog_23[[#This Row],[PROGRAMAÇÃO CLIENTE]]</f>
        <v>0</v>
      </c>
      <c r="AH1296" s="44"/>
      <c r="AI1296" s="66"/>
      <c r="AJ1296" s="66"/>
      <c r="AK1296" s="66"/>
      <c r="AL1296" s="66"/>
      <c r="AM1296" s="66"/>
      <c r="AN1296" s="83"/>
      <c r="AO1296" s="83"/>
      <c r="AP1296" s="83"/>
      <c r="AQ1296" s="66"/>
      <c r="AR1296" s="66"/>
      <c r="AS1296" s="66"/>
      <c r="AT1296" s="81"/>
      <c r="AU1296" s="81"/>
      <c r="AV1296" s="81"/>
      <c r="AW1296" s="81"/>
      <c r="AX1296" s="83">
        <f>SUM(Prog_23[[#This Row],[ADIANTAMENTO]]+Prog_23[[#This Row],[SALDO]]+Prog_23[[#This Row],[MARGEM]]+Prog_23[[#This Row],[ESTADIA 1]])</f>
        <v>0</v>
      </c>
      <c r="AY12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96" s="81"/>
      <c r="BA1296" s="81"/>
      <c r="BB1296" s="81">
        <f>Prog_23[[#This Row],[VLR NF]]*0.1%</f>
        <v>0</v>
      </c>
      <c r="BC1296" s="81">
        <f>Prog_23[[#This Row],[VLR NF]]*0.05%</f>
        <v>0</v>
      </c>
      <c r="BD1296" s="81"/>
      <c r="BE1296" s="81"/>
      <c r="BF1296" s="81"/>
      <c r="BG1296" s="81"/>
      <c r="BH1296" s="81"/>
      <c r="BI1296" s="81"/>
      <c r="BJ1296" s="81"/>
      <c r="BK1296" s="81"/>
      <c r="BL1296" s="81"/>
      <c r="BM1296" s="81"/>
      <c r="BN1296" s="66"/>
      <c r="BO1296" s="66"/>
      <c r="BP1296" s="66"/>
      <c r="BQ1296" s="66" t="str">
        <f>PROPER(TEXT(Prog_23[[#This Row],[PROGRAMAÇÃO CLIENTE]],"mmm"))</f>
        <v>Jan</v>
      </c>
      <c r="BR1296" s="66">
        <f>YEAR(Prog_23[[#This Row],[PROGRAMAÇÃO CLIENTE]])</f>
        <v>1900</v>
      </c>
    </row>
    <row r="1297" spans="1:70" x14ac:dyDescent="0.25">
      <c r="A1297" s="200">
        <f>Prog_23[[#This Row],[CONTEINER]]</f>
        <v>0</v>
      </c>
      <c r="B1297" s="86"/>
      <c r="C12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97" s="44"/>
      <c r="E1297" s="66"/>
      <c r="F1297" s="66"/>
      <c r="G1297" s="66"/>
      <c r="H1297" s="44"/>
      <c r="I1297" s="44"/>
      <c r="J1297" s="66"/>
      <c r="K1297" s="66"/>
      <c r="L1297" s="66"/>
      <c r="M1297" s="66"/>
      <c r="N1297" s="66">
        <f>SUM(Prog_23[[#This Row],[TARA]]+Prog_23[[#This Row],[PESO]])</f>
        <v>0</v>
      </c>
      <c r="O1297" s="44"/>
      <c r="P1297" s="66"/>
      <c r="Q1297" s="66"/>
      <c r="R1297" s="66"/>
      <c r="S1297" s="66"/>
      <c r="T1297" s="138" t="str">
        <f>IFERROR(LOOKUP($S1297,MOTORISTAS!$D$3:$D$916,MOTORISTAS!E$3:$E$916),"")</f>
        <v/>
      </c>
      <c r="U1297" s="138" t="str">
        <f>IFERROR(LOOKUP($S1297,MOTORISTAS!$D$3:$D$916,MOTORISTAS!F$3:$F$916),"")</f>
        <v/>
      </c>
      <c r="V1297" s="66"/>
      <c r="W1297" s="66"/>
      <c r="X1297" s="66"/>
      <c r="Y1297" s="66"/>
      <c r="Z1297" s="66"/>
      <c r="AA1297" s="66"/>
      <c r="AB1297" s="66"/>
      <c r="AC1297" s="66"/>
      <c r="AD1297" s="66"/>
      <c r="AE1297" s="66"/>
      <c r="AF1297" s="44"/>
      <c r="AG1297" s="254">
        <f>Prog_23[[#This Row],[SAÍDA DO CLIENTE]]-Prog_23[[#This Row],[PROGRAMAÇÃO CLIENTE]]</f>
        <v>0</v>
      </c>
      <c r="AH1297" s="44"/>
      <c r="AI1297" s="66"/>
      <c r="AJ1297" s="66"/>
      <c r="AK1297" s="66"/>
      <c r="AL1297" s="66"/>
      <c r="AM1297" s="66"/>
      <c r="AN1297" s="83"/>
      <c r="AO1297" s="83"/>
      <c r="AP1297" s="83"/>
      <c r="AQ1297" s="66"/>
      <c r="AR1297" s="66"/>
      <c r="AS1297" s="66"/>
      <c r="AT1297" s="81"/>
      <c r="AU1297" s="81"/>
      <c r="AV1297" s="81"/>
      <c r="AW1297" s="81"/>
      <c r="AX1297" s="83">
        <f>SUM(Prog_23[[#This Row],[ADIANTAMENTO]]+Prog_23[[#This Row],[SALDO]]+Prog_23[[#This Row],[MARGEM]]+Prog_23[[#This Row],[ESTADIA 1]])</f>
        <v>0</v>
      </c>
      <c r="AY12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97" s="81"/>
      <c r="BA1297" s="81"/>
      <c r="BB1297" s="81">
        <f>Prog_23[[#This Row],[VLR NF]]*0.1%</f>
        <v>0</v>
      </c>
      <c r="BC1297" s="81">
        <f>Prog_23[[#This Row],[VLR NF]]*0.05%</f>
        <v>0</v>
      </c>
      <c r="BD1297" s="81"/>
      <c r="BE1297" s="81"/>
      <c r="BF1297" s="81"/>
      <c r="BG1297" s="81"/>
      <c r="BH1297" s="81"/>
      <c r="BI1297" s="81"/>
      <c r="BJ1297" s="81"/>
      <c r="BK1297" s="81"/>
      <c r="BL1297" s="81"/>
      <c r="BM1297" s="81"/>
      <c r="BN1297" s="66"/>
      <c r="BO1297" s="66"/>
      <c r="BP1297" s="66"/>
      <c r="BQ1297" s="66" t="str">
        <f>PROPER(TEXT(Prog_23[[#This Row],[PROGRAMAÇÃO CLIENTE]],"mmm"))</f>
        <v>Jan</v>
      </c>
      <c r="BR1297" s="66">
        <f>YEAR(Prog_23[[#This Row],[PROGRAMAÇÃO CLIENTE]])</f>
        <v>1900</v>
      </c>
    </row>
    <row r="1298" spans="1:70" x14ac:dyDescent="0.25">
      <c r="A1298" s="201">
        <f>Prog_23[[#This Row],[CONTEINER]]</f>
        <v>0</v>
      </c>
      <c r="B1298" s="86"/>
      <c r="C12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98" s="44"/>
      <c r="E1298" s="66"/>
      <c r="F1298" s="66"/>
      <c r="G1298" s="66"/>
      <c r="H1298" s="44"/>
      <c r="I1298" s="44"/>
      <c r="J1298" s="66"/>
      <c r="K1298" s="66"/>
      <c r="L1298" s="66"/>
      <c r="M1298" s="66"/>
      <c r="N1298" s="66">
        <f>SUM(Prog_23[[#This Row],[TARA]]+Prog_23[[#This Row],[PESO]])</f>
        <v>0</v>
      </c>
      <c r="O1298" s="44"/>
      <c r="P1298" s="66"/>
      <c r="Q1298" s="66"/>
      <c r="R1298" s="66"/>
      <c r="S1298" s="66"/>
      <c r="T1298" s="138" t="str">
        <f>IFERROR(LOOKUP($S1298,MOTORISTAS!$D$3:$D$916,MOTORISTAS!E$3:$E$916),"")</f>
        <v/>
      </c>
      <c r="U1298" s="138" t="str">
        <f>IFERROR(LOOKUP($S1298,MOTORISTAS!$D$3:$D$916,MOTORISTAS!F$3:$F$916),"")</f>
        <v/>
      </c>
      <c r="V1298" s="66"/>
      <c r="W1298" s="66"/>
      <c r="X1298" s="66"/>
      <c r="Y1298" s="66"/>
      <c r="Z1298" s="66"/>
      <c r="AA1298" s="66"/>
      <c r="AB1298" s="66"/>
      <c r="AC1298" s="66"/>
      <c r="AD1298" s="66"/>
      <c r="AE1298" s="66"/>
      <c r="AF1298" s="44"/>
      <c r="AG1298" s="254">
        <f>Prog_23[[#This Row],[SAÍDA DO CLIENTE]]-Prog_23[[#This Row],[PROGRAMAÇÃO CLIENTE]]</f>
        <v>0</v>
      </c>
      <c r="AH1298" s="44"/>
      <c r="AI1298" s="66"/>
      <c r="AJ1298" s="66"/>
      <c r="AK1298" s="66"/>
      <c r="AL1298" s="66"/>
      <c r="AM1298" s="66"/>
      <c r="AN1298" s="83"/>
      <c r="AO1298" s="83"/>
      <c r="AP1298" s="83"/>
      <c r="AQ1298" s="66"/>
      <c r="AR1298" s="66"/>
      <c r="AS1298" s="66"/>
      <c r="AT1298" s="81"/>
      <c r="AU1298" s="81"/>
      <c r="AV1298" s="81"/>
      <c r="AW1298" s="81"/>
      <c r="AX1298" s="83">
        <f>SUM(Prog_23[[#This Row],[ADIANTAMENTO]]+Prog_23[[#This Row],[SALDO]]+Prog_23[[#This Row],[MARGEM]]+Prog_23[[#This Row],[ESTADIA 1]])</f>
        <v>0</v>
      </c>
      <c r="AY12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98" s="81"/>
      <c r="BA1298" s="81"/>
      <c r="BB1298" s="81">
        <f>Prog_23[[#This Row],[VLR NF]]*0.1%</f>
        <v>0</v>
      </c>
      <c r="BC1298" s="81">
        <f>Prog_23[[#This Row],[VLR NF]]*0.05%</f>
        <v>0</v>
      </c>
      <c r="BD1298" s="81"/>
      <c r="BE1298" s="81"/>
      <c r="BF1298" s="81"/>
      <c r="BG1298" s="81"/>
      <c r="BH1298" s="81"/>
      <c r="BI1298" s="81"/>
      <c r="BJ1298" s="81"/>
      <c r="BK1298" s="81"/>
      <c r="BL1298" s="81"/>
      <c r="BM1298" s="81"/>
      <c r="BN1298" s="66"/>
      <c r="BO1298" s="66"/>
      <c r="BP1298" s="66"/>
      <c r="BQ1298" s="66" t="str">
        <f>PROPER(TEXT(Prog_23[[#This Row],[PROGRAMAÇÃO CLIENTE]],"mmm"))</f>
        <v>Jan</v>
      </c>
      <c r="BR1298" s="66">
        <f>YEAR(Prog_23[[#This Row],[PROGRAMAÇÃO CLIENTE]])</f>
        <v>1900</v>
      </c>
    </row>
    <row r="1299" spans="1:70" x14ac:dyDescent="0.25">
      <c r="A1299" s="200">
        <f>Prog_23[[#This Row],[CONTEINER]]</f>
        <v>0</v>
      </c>
      <c r="B1299" s="86"/>
      <c r="C12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299" s="44"/>
      <c r="E1299" s="66"/>
      <c r="F1299" s="66"/>
      <c r="G1299" s="66"/>
      <c r="H1299" s="44"/>
      <c r="I1299" s="44"/>
      <c r="J1299" s="66"/>
      <c r="K1299" s="66"/>
      <c r="L1299" s="66"/>
      <c r="M1299" s="66"/>
      <c r="N1299" s="66">
        <f>SUM(Prog_23[[#This Row],[TARA]]+Prog_23[[#This Row],[PESO]])</f>
        <v>0</v>
      </c>
      <c r="O1299" s="44"/>
      <c r="P1299" s="66"/>
      <c r="Q1299" s="66"/>
      <c r="R1299" s="66"/>
      <c r="S1299" s="66"/>
      <c r="T1299" s="138" t="str">
        <f>IFERROR(LOOKUP($S1299,MOTORISTAS!$D$3:$D$916,MOTORISTAS!E$3:$E$916),"")</f>
        <v/>
      </c>
      <c r="U1299" s="138" t="str">
        <f>IFERROR(LOOKUP($S1299,MOTORISTAS!$D$3:$D$916,MOTORISTAS!F$3:$F$916),"")</f>
        <v/>
      </c>
      <c r="V1299" s="66"/>
      <c r="W1299" s="66"/>
      <c r="X1299" s="66"/>
      <c r="Y1299" s="66"/>
      <c r="Z1299" s="66"/>
      <c r="AA1299" s="66"/>
      <c r="AB1299" s="66"/>
      <c r="AC1299" s="66"/>
      <c r="AD1299" s="66"/>
      <c r="AE1299" s="66"/>
      <c r="AF1299" s="44"/>
      <c r="AG1299" s="254">
        <f>Prog_23[[#This Row],[SAÍDA DO CLIENTE]]-Prog_23[[#This Row],[PROGRAMAÇÃO CLIENTE]]</f>
        <v>0</v>
      </c>
      <c r="AH1299" s="44"/>
      <c r="AI1299" s="66"/>
      <c r="AJ1299" s="66"/>
      <c r="AK1299" s="66"/>
      <c r="AL1299" s="66"/>
      <c r="AM1299" s="66"/>
      <c r="AN1299" s="83"/>
      <c r="AO1299" s="83"/>
      <c r="AP1299" s="83"/>
      <c r="AQ1299" s="66"/>
      <c r="AR1299" s="66"/>
      <c r="AS1299" s="66"/>
      <c r="AT1299" s="81"/>
      <c r="AU1299" s="81"/>
      <c r="AV1299" s="81"/>
      <c r="AW1299" s="81"/>
      <c r="AX1299" s="83">
        <f>SUM(Prog_23[[#This Row],[ADIANTAMENTO]]+Prog_23[[#This Row],[SALDO]]+Prog_23[[#This Row],[MARGEM]]+Prog_23[[#This Row],[ESTADIA 1]])</f>
        <v>0</v>
      </c>
      <c r="AY12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299" s="81"/>
      <c r="BA1299" s="81"/>
      <c r="BB1299" s="81">
        <f>Prog_23[[#This Row],[VLR NF]]*0.1%</f>
        <v>0</v>
      </c>
      <c r="BC1299" s="81">
        <f>Prog_23[[#This Row],[VLR NF]]*0.05%</f>
        <v>0</v>
      </c>
      <c r="BD1299" s="81"/>
      <c r="BE1299" s="81"/>
      <c r="BF1299" s="81"/>
      <c r="BG1299" s="81"/>
      <c r="BH1299" s="81"/>
      <c r="BI1299" s="81"/>
      <c r="BJ1299" s="81"/>
      <c r="BK1299" s="81"/>
      <c r="BL1299" s="81"/>
      <c r="BM1299" s="81"/>
      <c r="BN1299" s="66"/>
      <c r="BO1299" s="66"/>
      <c r="BP1299" s="66"/>
      <c r="BQ1299" s="66" t="str">
        <f>PROPER(TEXT(Prog_23[[#This Row],[PROGRAMAÇÃO CLIENTE]],"mmm"))</f>
        <v>Jan</v>
      </c>
      <c r="BR1299" s="66">
        <f>YEAR(Prog_23[[#This Row],[PROGRAMAÇÃO CLIENTE]])</f>
        <v>1900</v>
      </c>
    </row>
    <row r="1300" spans="1:70" x14ac:dyDescent="0.25">
      <c r="A1300" s="201">
        <f>Prog_23[[#This Row],[CONTEINER]]</f>
        <v>0</v>
      </c>
      <c r="B1300" s="86"/>
      <c r="C13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00" s="44"/>
      <c r="E1300" s="66"/>
      <c r="F1300" s="66"/>
      <c r="G1300" s="66"/>
      <c r="H1300" s="44"/>
      <c r="I1300" s="44"/>
      <c r="J1300" s="66"/>
      <c r="K1300" s="66"/>
      <c r="L1300" s="66"/>
      <c r="M1300" s="66"/>
      <c r="N1300" s="66">
        <f>SUM(Prog_23[[#This Row],[TARA]]+Prog_23[[#This Row],[PESO]])</f>
        <v>0</v>
      </c>
      <c r="O1300" s="44"/>
      <c r="P1300" s="66"/>
      <c r="Q1300" s="66"/>
      <c r="R1300" s="66"/>
      <c r="S1300" s="66"/>
      <c r="T1300" s="138" t="str">
        <f>IFERROR(LOOKUP($S1300,MOTORISTAS!$D$3:$D$916,MOTORISTAS!E$3:$E$916),"")</f>
        <v/>
      </c>
      <c r="U1300" s="138" t="str">
        <f>IFERROR(LOOKUP($S1300,MOTORISTAS!$D$3:$D$916,MOTORISTAS!F$3:$F$916),"")</f>
        <v/>
      </c>
      <c r="V1300" s="66"/>
      <c r="W1300" s="66"/>
      <c r="X1300" s="66"/>
      <c r="Y1300" s="66"/>
      <c r="Z1300" s="66"/>
      <c r="AA1300" s="66"/>
      <c r="AB1300" s="66"/>
      <c r="AC1300" s="66"/>
      <c r="AD1300" s="66"/>
      <c r="AE1300" s="66"/>
      <c r="AF1300" s="44"/>
      <c r="AG1300" s="254">
        <f>Prog_23[[#This Row],[SAÍDA DO CLIENTE]]-Prog_23[[#This Row],[PROGRAMAÇÃO CLIENTE]]</f>
        <v>0</v>
      </c>
      <c r="AH1300" s="44"/>
      <c r="AI1300" s="66"/>
      <c r="AJ1300" s="66"/>
      <c r="AK1300" s="66"/>
      <c r="AL1300" s="66"/>
      <c r="AM1300" s="66"/>
      <c r="AN1300" s="83"/>
      <c r="AO1300" s="83"/>
      <c r="AP1300" s="83"/>
      <c r="AQ1300" s="66"/>
      <c r="AR1300" s="66"/>
      <c r="AS1300" s="66"/>
      <c r="AT1300" s="81"/>
      <c r="AU1300" s="81"/>
      <c r="AV1300" s="81"/>
      <c r="AW1300" s="81"/>
      <c r="AX1300" s="83">
        <f>SUM(Prog_23[[#This Row],[ADIANTAMENTO]]+Prog_23[[#This Row],[SALDO]]+Prog_23[[#This Row],[MARGEM]]+Prog_23[[#This Row],[ESTADIA 1]])</f>
        <v>0</v>
      </c>
      <c r="AY13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00" s="81"/>
      <c r="BA1300" s="81"/>
      <c r="BB1300" s="81">
        <f>Prog_23[[#This Row],[VLR NF]]*0.1%</f>
        <v>0</v>
      </c>
      <c r="BC1300" s="81">
        <f>Prog_23[[#This Row],[VLR NF]]*0.05%</f>
        <v>0</v>
      </c>
      <c r="BD1300" s="81"/>
      <c r="BE1300" s="81"/>
      <c r="BF1300" s="81"/>
      <c r="BG1300" s="81"/>
      <c r="BH1300" s="81"/>
      <c r="BI1300" s="81"/>
      <c r="BJ1300" s="81"/>
      <c r="BK1300" s="81"/>
      <c r="BL1300" s="81"/>
      <c r="BM1300" s="81"/>
      <c r="BN1300" s="66"/>
      <c r="BO1300" s="66"/>
      <c r="BP1300" s="66"/>
      <c r="BQ1300" s="66" t="str">
        <f>PROPER(TEXT(Prog_23[[#This Row],[PROGRAMAÇÃO CLIENTE]],"mmm"))</f>
        <v>Jan</v>
      </c>
      <c r="BR1300" s="66">
        <f>YEAR(Prog_23[[#This Row],[PROGRAMAÇÃO CLIENTE]])</f>
        <v>1900</v>
      </c>
    </row>
    <row r="1301" spans="1:70" x14ac:dyDescent="0.25">
      <c r="A1301" s="200">
        <f>Prog_23[[#This Row],[CONTEINER]]</f>
        <v>0</v>
      </c>
      <c r="B1301" s="86"/>
      <c r="C13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01" s="44"/>
      <c r="E1301" s="66"/>
      <c r="F1301" s="66"/>
      <c r="G1301" s="66"/>
      <c r="H1301" s="44"/>
      <c r="I1301" s="44"/>
      <c r="J1301" s="66"/>
      <c r="K1301" s="66"/>
      <c r="L1301" s="66"/>
      <c r="M1301" s="66"/>
      <c r="N1301" s="66">
        <f>SUM(Prog_23[[#This Row],[TARA]]+Prog_23[[#This Row],[PESO]])</f>
        <v>0</v>
      </c>
      <c r="O1301" s="44"/>
      <c r="P1301" s="66"/>
      <c r="Q1301" s="66"/>
      <c r="R1301" s="66"/>
      <c r="S1301" s="66"/>
      <c r="T1301" s="138" t="str">
        <f>IFERROR(LOOKUP($S1301,MOTORISTAS!$D$3:$D$916,MOTORISTAS!E$3:$E$916),"")</f>
        <v/>
      </c>
      <c r="U1301" s="138" t="str">
        <f>IFERROR(LOOKUP($S1301,MOTORISTAS!$D$3:$D$916,MOTORISTAS!F$3:$F$916),"")</f>
        <v/>
      </c>
      <c r="V1301" s="66"/>
      <c r="W1301" s="66"/>
      <c r="X1301" s="66"/>
      <c r="Y1301" s="66"/>
      <c r="Z1301" s="66"/>
      <c r="AA1301" s="66"/>
      <c r="AB1301" s="66"/>
      <c r="AC1301" s="66"/>
      <c r="AD1301" s="66"/>
      <c r="AE1301" s="66"/>
      <c r="AF1301" s="44"/>
      <c r="AG1301" s="254">
        <f>Prog_23[[#This Row],[SAÍDA DO CLIENTE]]-Prog_23[[#This Row],[PROGRAMAÇÃO CLIENTE]]</f>
        <v>0</v>
      </c>
      <c r="AH1301" s="44"/>
      <c r="AI1301" s="66"/>
      <c r="AJ1301" s="66"/>
      <c r="AK1301" s="66"/>
      <c r="AL1301" s="66"/>
      <c r="AM1301" s="66"/>
      <c r="AN1301" s="83"/>
      <c r="AO1301" s="83"/>
      <c r="AP1301" s="83"/>
      <c r="AQ1301" s="66"/>
      <c r="AR1301" s="66"/>
      <c r="AS1301" s="66"/>
      <c r="AT1301" s="81"/>
      <c r="AU1301" s="81"/>
      <c r="AV1301" s="81"/>
      <c r="AW1301" s="81"/>
      <c r="AX1301" s="83">
        <f>SUM(Prog_23[[#This Row],[ADIANTAMENTO]]+Prog_23[[#This Row],[SALDO]]+Prog_23[[#This Row],[MARGEM]]+Prog_23[[#This Row],[ESTADIA 1]])</f>
        <v>0</v>
      </c>
      <c r="AY13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01" s="81"/>
      <c r="BA1301" s="81"/>
      <c r="BB1301" s="81">
        <f>Prog_23[[#This Row],[VLR NF]]*0.1%</f>
        <v>0</v>
      </c>
      <c r="BC1301" s="81">
        <f>Prog_23[[#This Row],[VLR NF]]*0.05%</f>
        <v>0</v>
      </c>
      <c r="BD1301" s="81"/>
      <c r="BE1301" s="81"/>
      <c r="BF1301" s="81"/>
      <c r="BG1301" s="81"/>
      <c r="BH1301" s="81"/>
      <c r="BI1301" s="81"/>
      <c r="BJ1301" s="81"/>
      <c r="BK1301" s="81"/>
      <c r="BL1301" s="81"/>
      <c r="BM1301" s="81"/>
      <c r="BN1301" s="66"/>
      <c r="BO1301" s="66"/>
      <c r="BP1301" s="66"/>
      <c r="BQ1301" s="66" t="str">
        <f>PROPER(TEXT(Prog_23[[#This Row],[PROGRAMAÇÃO CLIENTE]],"mmm"))</f>
        <v>Jan</v>
      </c>
      <c r="BR1301" s="66">
        <f>YEAR(Prog_23[[#This Row],[PROGRAMAÇÃO CLIENTE]])</f>
        <v>1900</v>
      </c>
    </row>
    <row r="1302" spans="1:70" x14ac:dyDescent="0.25">
      <c r="A1302" s="201">
        <f>Prog_23[[#This Row],[CONTEINER]]</f>
        <v>0</v>
      </c>
      <c r="B1302" s="86"/>
      <c r="C13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02" s="44"/>
      <c r="E1302" s="66"/>
      <c r="F1302" s="66"/>
      <c r="G1302" s="66"/>
      <c r="H1302" s="44"/>
      <c r="I1302" s="44"/>
      <c r="J1302" s="66"/>
      <c r="K1302" s="66"/>
      <c r="L1302" s="66"/>
      <c r="M1302" s="66"/>
      <c r="N1302" s="66">
        <f>SUM(Prog_23[[#This Row],[TARA]]+Prog_23[[#This Row],[PESO]])</f>
        <v>0</v>
      </c>
      <c r="O1302" s="44"/>
      <c r="P1302" s="66"/>
      <c r="Q1302" s="66"/>
      <c r="R1302" s="66"/>
      <c r="S1302" s="66"/>
      <c r="T1302" s="138" t="str">
        <f>IFERROR(LOOKUP($S1302,MOTORISTAS!$D$3:$D$916,MOTORISTAS!E$3:$E$916),"")</f>
        <v/>
      </c>
      <c r="U1302" s="138" t="str">
        <f>IFERROR(LOOKUP($S1302,MOTORISTAS!$D$3:$D$916,MOTORISTAS!F$3:$F$916),"")</f>
        <v/>
      </c>
      <c r="V1302" s="66"/>
      <c r="W1302" s="66"/>
      <c r="X1302" s="66"/>
      <c r="Y1302" s="66"/>
      <c r="Z1302" s="66"/>
      <c r="AA1302" s="66"/>
      <c r="AB1302" s="66"/>
      <c r="AC1302" s="66"/>
      <c r="AD1302" s="66"/>
      <c r="AE1302" s="66"/>
      <c r="AF1302" s="44"/>
      <c r="AG1302" s="254">
        <f>Prog_23[[#This Row],[SAÍDA DO CLIENTE]]-Prog_23[[#This Row],[PROGRAMAÇÃO CLIENTE]]</f>
        <v>0</v>
      </c>
      <c r="AH1302" s="44"/>
      <c r="AI1302" s="66"/>
      <c r="AJ1302" s="66"/>
      <c r="AK1302" s="66"/>
      <c r="AL1302" s="66"/>
      <c r="AM1302" s="66"/>
      <c r="AN1302" s="83"/>
      <c r="AO1302" s="83"/>
      <c r="AP1302" s="83"/>
      <c r="AQ1302" s="66"/>
      <c r="AR1302" s="66"/>
      <c r="AS1302" s="66"/>
      <c r="AT1302" s="81"/>
      <c r="AU1302" s="81"/>
      <c r="AV1302" s="81"/>
      <c r="AW1302" s="81"/>
      <c r="AX1302" s="83">
        <f>SUM(Prog_23[[#This Row],[ADIANTAMENTO]]+Prog_23[[#This Row],[SALDO]]+Prog_23[[#This Row],[MARGEM]]+Prog_23[[#This Row],[ESTADIA 1]])</f>
        <v>0</v>
      </c>
      <c r="AY13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02" s="81"/>
      <c r="BA1302" s="81"/>
      <c r="BB1302" s="81">
        <f>Prog_23[[#This Row],[VLR NF]]*0.1%</f>
        <v>0</v>
      </c>
      <c r="BC1302" s="81">
        <f>Prog_23[[#This Row],[VLR NF]]*0.05%</f>
        <v>0</v>
      </c>
      <c r="BD1302" s="81"/>
      <c r="BE1302" s="81"/>
      <c r="BF1302" s="81"/>
      <c r="BG1302" s="81"/>
      <c r="BH1302" s="81"/>
      <c r="BI1302" s="81"/>
      <c r="BJ1302" s="81"/>
      <c r="BK1302" s="81"/>
      <c r="BL1302" s="81"/>
      <c r="BM1302" s="81"/>
      <c r="BN1302" s="66"/>
      <c r="BO1302" s="66"/>
      <c r="BP1302" s="66"/>
      <c r="BQ1302" s="66" t="str">
        <f>PROPER(TEXT(Prog_23[[#This Row],[PROGRAMAÇÃO CLIENTE]],"mmm"))</f>
        <v>Jan</v>
      </c>
      <c r="BR1302" s="66">
        <f>YEAR(Prog_23[[#This Row],[PROGRAMAÇÃO CLIENTE]])</f>
        <v>1900</v>
      </c>
    </row>
    <row r="1303" spans="1:70" x14ac:dyDescent="0.25">
      <c r="A1303" s="200">
        <f>Prog_23[[#This Row],[CONTEINER]]</f>
        <v>0</v>
      </c>
      <c r="B1303" s="86"/>
      <c r="C13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03" s="44"/>
      <c r="E1303" s="66"/>
      <c r="F1303" s="66"/>
      <c r="G1303" s="66"/>
      <c r="H1303" s="44"/>
      <c r="I1303" s="44"/>
      <c r="J1303" s="66"/>
      <c r="K1303" s="66"/>
      <c r="L1303" s="66"/>
      <c r="M1303" s="66"/>
      <c r="N1303" s="66">
        <f>SUM(Prog_23[[#This Row],[TARA]]+Prog_23[[#This Row],[PESO]])</f>
        <v>0</v>
      </c>
      <c r="O1303" s="44"/>
      <c r="P1303" s="66"/>
      <c r="Q1303" s="66"/>
      <c r="R1303" s="66"/>
      <c r="S1303" s="66"/>
      <c r="T1303" s="138" t="str">
        <f>IFERROR(LOOKUP($S1303,MOTORISTAS!$D$3:$D$916,MOTORISTAS!E$3:$E$916),"")</f>
        <v/>
      </c>
      <c r="U1303" s="138" t="str">
        <f>IFERROR(LOOKUP($S1303,MOTORISTAS!$D$3:$D$916,MOTORISTAS!F$3:$F$916),"")</f>
        <v/>
      </c>
      <c r="V1303" s="66"/>
      <c r="W1303" s="66"/>
      <c r="X1303" s="66"/>
      <c r="Y1303" s="66"/>
      <c r="Z1303" s="66"/>
      <c r="AA1303" s="66"/>
      <c r="AB1303" s="66"/>
      <c r="AC1303" s="66"/>
      <c r="AD1303" s="66"/>
      <c r="AE1303" s="66"/>
      <c r="AF1303" s="44"/>
      <c r="AG1303" s="254">
        <f>Prog_23[[#This Row],[SAÍDA DO CLIENTE]]-Prog_23[[#This Row],[PROGRAMAÇÃO CLIENTE]]</f>
        <v>0</v>
      </c>
      <c r="AH1303" s="44"/>
      <c r="AI1303" s="66"/>
      <c r="AJ1303" s="66"/>
      <c r="AK1303" s="66"/>
      <c r="AL1303" s="66"/>
      <c r="AM1303" s="66"/>
      <c r="AN1303" s="83"/>
      <c r="AO1303" s="83"/>
      <c r="AP1303" s="83"/>
      <c r="AQ1303" s="66"/>
      <c r="AR1303" s="66"/>
      <c r="AS1303" s="66"/>
      <c r="AT1303" s="81"/>
      <c r="AU1303" s="81"/>
      <c r="AV1303" s="81"/>
      <c r="AW1303" s="81"/>
      <c r="AX1303" s="83">
        <f>SUM(Prog_23[[#This Row],[ADIANTAMENTO]]+Prog_23[[#This Row],[SALDO]]+Prog_23[[#This Row],[MARGEM]]+Prog_23[[#This Row],[ESTADIA 1]])</f>
        <v>0</v>
      </c>
      <c r="AY13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03" s="81"/>
      <c r="BA1303" s="81"/>
      <c r="BB1303" s="81">
        <f>Prog_23[[#This Row],[VLR NF]]*0.1%</f>
        <v>0</v>
      </c>
      <c r="BC1303" s="81">
        <f>Prog_23[[#This Row],[VLR NF]]*0.05%</f>
        <v>0</v>
      </c>
      <c r="BD1303" s="81"/>
      <c r="BE1303" s="81"/>
      <c r="BF1303" s="81"/>
      <c r="BG1303" s="81"/>
      <c r="BH1303" s="81"/>
      <c r="BI1303" s="81"/>
      <c r="BJ1303" s="81"/>
      <c r="BK1303" s="81"/>
      <c r="BL1303" s="81"/>
      <c r="BM1303" s="81"/>
      <c r="BN1303" s="66"/>
      <c r="BO1303" s="66"/>
      <c r="BP1303" s="66"/>
      <c r="BQ1303" s="66" t="str">
        <f>PROPER(TEXT(Prog_23[[#This Row],[PROGRAMAÇÃO CLIENTE]],"mmm"))</f>
        <v>Jan</v>
      </c>
      <c r="BR1303" s="66">
        <f>YEAR(Prog_23[[#This Row],[PROGRAMAÇÃO CLIENTE]])</f>
        <v>1900</v>
      </c>
    </row>
    <row r="1304" spans="1:70" x14ac:dyDescent="0.25">
      <c r="A1304" s="201">
        <f>Prog_23[[#This Row],[CONTEINER]]</f>
        <v>0</v>
      </c>
      <c r="B1304" s="86"/>
      <c r="C13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04" s="44"/>
      <c r="E1304" s="66"/>
      <c r="F1304" s="66"/>
      <c r="G1304" s="66"/>
      <c r="H1304" s="44"/>
      <c r="I1304" s="44"/>
      <c r="J1304" s="66"/>
      <c r="K1304" s="66"/>
      <c r="L1304" s="66"/>
      <c r="M1304" s="66"/>
      <c r="N1304" s="66">
        <f>SUM(Prog_23[[#This Row],[TARA]]+Prog_23[[#This Row],[PESO]])</f>
        <v>0</v>
      </c>
      <c r="O1304" s="44"/>
      <c r="P1304" s="66"/>
      <c r="Q1304" s="66"/>
      <c r="R1304" s="66"/>
      <c r="S1304" s="66"/>
      <c r="T1304" s="138" t="str">
        <f>IFERROR(LOOKUP($S1304,MOTORISTAS!$D$3:$D$916,MOTORISTAS!E$3:$E$916),"")</f>
        <v/>
      </c>
      <c r="U1304" s="138" t="str">
        <f>IFERROR(LOOKUP($S1304,MOTORISTAS!$D$3:$D$916,MOTORISTAS!F$3:$F$916),"")</f>
        <v/>
      </c>
      <c r="V1304" s="66"/>
      <c r="W1304" s="66"/>
      <c r="X1304" s="66"/>
      <c r="Y1304" s="66"/>
      <c r="Z1304" s="66"/>
      <c r="AA1304" s="66"/>
      <c r="AB1304" s="66"/>
      <c r="AC1304" s="66"/>
      <c r="AD1304" s="66"/>
      <c r="AE1304" s="66"/>
      <c r="AF1304" s="44"/>
      <c r="AG1304" s="254">
        <f>Prog_23[[#This Row],[SAÍDA DO CLIENTE]]-Prog_23[[#This Row],[PROGRAMAÇÃO CLIENTE]]</f>
        <v>0</v>
      </c>
      <c r="AH1304" s="44"/>
      <c r="AI1304" s="66"/>
      <c r="AJ1304" s="66"/>
      <c r="AK1304" s="66"/>
      <c r="AL1304" s="66"/>
      <c r="AM1304" s="66"/>
      <c r="AN1304" s="83"/>
      <c r="AO1304" s="83"/>
      <c r="AP1304" s="83"/>
      <c r="AQ1304" s="66"/>
      <c r="AR1304" s="66"/>
      <c r="AS1304" s="66"/>
      <c r="AT1304" s="81"/>
      <c r="AU1304" s="81"/>
      <c r="AV1304" s="81"/>
      <c r="AW1304" s="81"/>
      <c r="AX1304" s="83">
        <f>SUM(Prog_23[[#This Row],[ADIANTAMENTO]]+Prog_23[[#This Row],[SALDO]]+Prog_23[[#This Row],[MARGEM]]+Prog_23[[#This Row],[ESTADIA 1]])</f>
        <v>0</v>
      </c>
      <c r="AY13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04" s="81"/>
      <c r="BA1304" s="81"/>
      <c r="BB1304" s="81">
        <f>Prog_23[[#This Row],[VLR NF]]*0.1%</f>
        <v>0</v>
      </c>
      <c r="BC1304" s="81">
        <f>Prog_23[[#This Row],[VLR NF]]*0.05%</f>
        <v>0</v>
      </c>
      <c r="BD1304" s="81"/>
      <c r="BE1304" s="81"/>
      <c r="BF1304" s="81"/>
      <c r="BG1304" s="81"/>
      <c r="BH1304" s="81"/>
      <c r="BI1304" s="81"/>
      <c r="BJ1304" s="81"/>
      <c r="BK1304" s="81"/>
      <c r="BL1304" s="81"/>
      <c r="BM1304" s="81"/>
      <c r="BN1304" s="66"/>
      <c r="BO1304" s="66"/>
      <c r="BP1304" s="66"/>
      <c r="BQ1304" s="66" t="str">
        <f>PROPER(TEXT(Prog_23[[#This Row],[PROGRAMAÇÃO CLIENTE]],"mmm"))</f>
        <v>Jan</v>
      </c>
      <c r="BR1304" s="66">
        <f>YEAR(Prog_23[[#This Row],[PROGRAMAÇÃO CLIENTE]])</f>
        <v>1900</v>
      </c>
    </row>
    <row r="1305" spans="1:70" x14ac:dyDescent="0.25">
      <c r="A1305" s="200">
        <f>Prog_23[[#This Row],[CONTEINER]]</f>
        <v>0</v>
      </c>
      <c r="B1305" s="86"/>
      <c r="C13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05" s="44"/>
      <c r="E1305" s="66"/>
      <c r="F1305" s="66"/>
      <c r="G1305" s="66"/>
      <c r="H1305" s="44"/>
      <c r="I1305" s="44"/>
      <c r="J1305" s="66"/>
      <c r="K1305" s="66"/>
      <c r="L1305" s="66"/>
      <c r="M1305" s="66"/>
      <c r="N1305" s="66">
        <f>SUM(Prog_23[[#This Row],[TARA]]+Prog_23[[#This Row],[PESO]])</f>
        <v>0</v>
      </c>
      <c r="O1305" s="44"/>
      <c r="P1305" s="66"/>
      <c r="Q1305" s="66"/>
      <c r="R1305" s="66"/>
      <c r="S1305" s="66"/>
      <c r="T1305" s="138" t="str">
        <f>IFERROR(LOOKUP($S1305,MOTORISTAS!$D$3:$D$916,MOTORISTAS!E$3:$E$916),"")</f>
        <v/>
      </c>
      <c r="U1305" s="138" t="str">
        <f>IFERROR(LOOKUP($S1305,MOTORISTAS!$D$3:$D$916,MOTORISTAS!F$3:$F$916),"")</f>
        <v/>
      </c>
      <c r="V1305" s="66"/>
      <c r="W1305" s="66"/>
      <c r="X1305" s="66"/>
      <c r="Y1305" s="66"/>
      <c r="Z1305" s="66"/>
      <c r="AA1305" s="66"/>
      <c r="AB1305" s="66"/>
      <c r="AC1305" s="66"/>
      <c r="AD1305" s="66"/>
      <c r="AE1305" s="66"/>
      <c r="AF1305" s="44"/>
      <c r="AG1305" s="254">
        <f>Prog_23[[#This Row],[SAÍDA DO CLIENTE]]-Prog_23[[#This Row],[PROGRAMAÇÃO CLIENTE]]</f>
        <v>0</v>
      </c>
      <c r="AH1305" s="44"/>
      <c r="AI1305" s="66"/>
      <c r="AJ1305" s="66"/>
      <c r="AK1305" s="66"/>
      <c r="AL1305" s="66"/>
      <c r="AM1305" s="66"/>
      <c r="AN1305" s="83"/>
      <c r="AO1305" s="83"/>
      <c r="AP1305" s="83"/>
      <c r="AQ1305" s="66"/>
      <c r="AR1305" s="66"/>
      <c r="AS1305" s="66"/>
      <c r="AT1305" s="81"/>
      <c r="AU1305" s="81"/>
      <c r="AV1305" s="81"/>
      <c r="AW1305" s="81"/>
      <c r="AX1305" s="83">
        <f>SUM(Prog_23[[#This Row],[ADIANTAMENTO]]+Prog_23[[#This Row],[SALDO]]+Prog_23[[#This Row],[MARGEM]]+Prog_23[[#This Row],[ESTADIA 1]])</f>
        <v>0</v>
      </c>
      <c r="AY13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05" s="81"/>
      <c r="BA1305" s="81"/>
      <c r="BB1305" s="81">
        <f>Prog_23[[#This Row],[VLR NF]]*0.1%</f>
        <v>0</v>
      </c>
      <c r="BC1305" s="81">
        <f>Prog_23[[#This Row],[VLR NF]]*0.05%</f>
        <v>0</v>
      </c>
      <c r="BD1305" s="81"/>
      <c r="BE1305" s="81"/>
      <c r="BF1305" s="81"/>
      <c r="BG1305" s="81"/>
      <c r="BH1305" s="81"/>
      <c r="BI1305" s="81"/>
      <c r="BJ1305" s="81"/>
      <c r="BK1305" s="81"/>
      <c r="BL1305" s="81"/>
      <c r="BM1305" s="81"/>
      <c r="BN1305" s="66"/>
      <c r="BO1305" s="66"/>
      <c r="BP1305" s="66"/>
      <c r="BQ1305" s="66" t="str">
        <f>PROPER(TEXT(Prog_23[[#This Row],[PROGRAMAÇÃO CLIENTE]],"mmm"))</f>
        <v>Jan</v>
      </c>
      <c r="BR1305" s="66">
        <f>YEAR(Prog_23[[#This Row],[PROGRAMAÇÃO CLIENTE]])</f>
        <v>1900</v>
      </c>
    </row>
    <row r="1306" spans="1:70" x14ac:dyDescent="0.25">
      <c r="A1306" s="201">
        <f>Prog_23[[#This Row],[CONTEINER]]</f>
        <v>0</v>
      </c>
      <c r="B1306" s="86"/>
      <c r="C13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06" s="44"/>
      <c r="E1306" s="66"/>
      <c r="F1306" s="66"/>
      <c r="G1306" s="66"/>
      <c r="H1306" s="44"/>
      <c r="I1306" s="44"/>
      <c r="J1306" s="66"/>
      <c r="K1306" s="66"/>
      <c r="L1306" s="66"/>
      <c r="M1306" s="66"/>
      <c r="N1306" s="66">
        <f>SUM(Prog_23[[#This Row],[TARA]]+Prog_23[[#This Row],[PESO]])</f>
        <v>0</v>
      </c>
      <c r="O1306" s="44"/>
      <c r="P1306" s="66"/>
      <c r="Q1306" s="66"/>
      <c r="R1306" s="66"/>
      <c r="S1306" s="66"/>
      <c r="T1306" s="138" t="str">
        <f>IFERROR(LOOKUP($S1306,MOTORISTAS!$D$3:$D$916,MOTORISTAS!E$3:$E$916),"")</f>
        <v/>
      </c>
      <c r="U1306" s="138" t="str">
        <f>IFERROR(LOOKUP($S1306,MOTORISTAS!$D$3:$D$916,MOTORISTAS!F$3:$F$916),"")</f>
        <v/>
      </c>
      <c r="V1306" s="66"/>
      <c r="W1306" s="66"/>
      <c r="X1306" s="66"/>
      <c r="Y1306" s="66"/>
      <c r="Z1306" s="66"/>
      <c r="AA1306" s="66"/>
      <c r="AB1306" s="66"/>
      <c r="AC1306" s="66"/>
      <c r="AD1306" s="66"/>
      <c r="AE1306" s="66"/>
      <c r="AF1306" s="44"/>
      <c r="AG1306" s="254">
        <f>Prog_23[[#This Row],[SAÍDA DO CLIENTE]]-Prog_23[[#This Row],[PROGRAMAÇÃO CLIENTE]]</f>
        <v>0</v>
      </c>
      <c r="AH1306" s="44"/>
      <c r="AI1306" s="66"/>
      <c r="AJ1306" s="66"/>
      <c r="AK1306" s="66"/>
      <c r="AL1306" s="66"/>
      <c r="AM1306" s="66"/>
      <c r="AN1306" s="83"/>
      <c r="AO1306" s="83"/>
      <c r="AP1306" s="83"/>
      <c r="AQ1306" s="66"/>
      <c r="AR1306" s="66"/>
      <c r="AS1306" s="66"/>
      <c r="AT1306" s="81"/>
      <c r="AU1306" s="81"/>
      <c r="AV1306" s="81"/>
      <c r="AW1306" s="81"/>
      <c r="AX1306" s="83">
        <f>SUM(Prog_23[[#This Row],[ADIANTAMENTO]]+Prog_23[[#This Row],[SALDO]]+Prog_23[[#This Row],[MARGEM]]+Prog_23[[#This Row],[ESTADIA 1]])</f>
        <v>0</v>
      </c>
      <c r="AY13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06" s="81"/>
      <c r="BA1306" s="81"/>
      <c r="BB1306" s="81">
        <f>Prog_23[[#This Row],[VLR NF]]*0.1%</f>
        <v>0</v>
      </c>
      <c r="BC1306" s="81">
        <f>Prog_23[[#This Row],[VLR NF]]*0.05%</f>
        <v>0</v>
      </c>
      <c r="BD1306" s="81"/>
      <c r="BE1306" s="81"/>
      <c r="BF1306" s="81"/>
      <c r="BG1306" s="81"/>
      <c r="BH1306" s="81"/>
      <c r="BI1306" s="81"/>
      <c r="BJ1306" s="81"/>
      <c r="BK1306" s="81"/>
      <c r="BL1306" s="81"/>
      <c r="BM1306" s="81"/>
      <c r="BN1306" s="66"/>
      <c r="BO1306" s="66"/>
      <c r="BP1306" s="66"/>
      <c r="BQ1306" s="66" t="str">
        <f>PROPER(TEXT(Prog_23[[#This Row],[PROGRAMAÇÃO CLIENTE]],"mmm"))</f>
        <v>Jan</v>
      </c>
      <c r="BR1306" s="66">
        <f>YEAR(Prog_23[[#This Row],[PROGRAMAÇÃO CLIENTE]])</f>
        <v>1900</v>
      </c>
    </row>
    <row r="1307" spans="1:70" x14ac:dyDescent="0.25">
      <c r="A1307" s="200">
        <f>Prog_23[[#This Row],[CONTEINER]]</f>
        <v>0</v>
      </c>
      <c r="B1307" s="86"/>
      <c r="C13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07" s="44"/>
      <c r="E1307" s="66"/>
      <c r="F1307" s="66"/>
      <c r="G1307" s="66"/>
      <c r="H1307" s="44"/>
      <c r="I1307" s="44"/>
      <c r="J1307" s="66"/>
      <c r="K1307" s="66"/>
      <c r="L1307" s="66"/>
      <c r="M1307" s="66"/>
      <c r="N1307" s="66">
        <f>SUM(Prog_23[[#This Row],[TARA]]+Prog_23[[#This Row],[PESO]])</f>
        <v>0</v>
      </c>
      <c r="O1307" s="44"/>
      <c r="P1307" s="66"/>
      <c r="Q1307" s="66"/>
      <c r="R1307" s="66"/>
      <c r="S1307" s="66"/>
      <c r="T1307" s="138" t="str">
        <f>IFERROR(LOOKUP($S1307,MOTORISTAS!$D$3:$D$916,MOTORISTAS!E$3:$E$916),"")</f>
        <v/>
      </c>
      <c r="U1307" s="138" t="str">
        <f>IFERROR(LOOKUP($S1307,MOTORISTAS!$D$3:$D$916,MOTORISTAS!F$3:$F$916),"")</f>
        <v/>
      </c>
      <c r="V1307" s="66"/>
      <c r="W1307" s="66"/>
      <c r="X1307" s="66"/>
      <c r="Y1307" s="66"/>
      <c r="Z1307" s="66"/>
      <c r="AA1307" s="66"/>
      <c r="AB1307" s="66"/>
      <c r="AC1307" s="66"/>
      <c r="AD1307" s="66"/>
      <c r="AE1307" s="66"/>
      <c r="AF1307" s="44"/>
      <c r="AG1307" s="254">
        <f>Prog_23[[#This Row],[SAÍDA DO CLIENTE]]-Prog_23[[#This Row],[PROGRAMAÇÃO CLIENTE]]</f>
        <v>0</v>
      </c>
      <c r="AH1307" s="44"/>
      <c r="AI1307" s="66"/>
      <c r="AJ1307" s="66"/>
      <c r="AK1307" s="66"/>
      <c r="AL1307" s="66"/>
      <c r="AM1307" s="66"/>
      <c r="AN1307" s="83"/>
      <c r="AO1307" s="83"/>
      <c r="AP1307" s="83"/>
      <c r="AQ1307" s="66"/>
      <c r="AR1307" s="66"/>
      <c r="AS1307" s="66"/>
      <c r="AT1307" s="81"/>
      <c r="AU1307" s="81"/>
      <c r="AV1307" s="81"/>
      <c r="AW1307" s="81"/>
      <c r="AX1307" s="83">
        <f>SUM(Prog_23[[#This Row],[ADIANTAMENTO]]+Prog_23[[#This Row],[SALDO]]+Prog_23[[#This Row],[MARGEM]]+Prog_23[[#This Row],[ESTADIA 1]])</f>
        <v>0</v>
      </c>
      <c r="AY13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07" s="81"/>
      <c r="BA1307" s="81"/>
      <c r="BB1307" s="81">
        <f>Prog_23[[#This Row],[VLR NF]]*0.1%</f>
        <v>0</v>
      </c>
      <c r="BC1307" s="81">
        <f>Prog_23[[#This Row],[VLR NF]]*0.05%</f>
        <v>0</v>
      </c>
      <c r="BD1307" s="81"/>
      <c r="BE1307" s="81"/>
      <c r="BF1307" s="81"/>
      <c r="BG1307" s="81"/>
      <c r="BH1307" s="81"/>
      <c r="BI1307" s="81"/>
      <c r="BJ1307" s="81"/>
      <c r="BK1307" s="81"/>
      <c r="BL1307" s="81"/>
      <c r="BM1307" s="81"/>
      <c r="BN1307" s="66"/>
      <c r="BO1307" s="66"/>
      <c r="BP1307" s="66"/>
      <c r="BQ1307" s="66" t="str">
        <f>PROPER(TEXT(Prog_23[[#This Row],[PROGRAMAÇÃO CLIENTE]],"mmm"))</f>
        <v>Jan</v>
      </c>
      <c r="BR1307" s="66">
        <f>YEAR(Prog_23[[#This Row],[PROGRAMAÇÃO CLIENTE]])</f>
        <v>1900</v>
      </c>
    </row>
    <row r="1308" spans="1:70" x14ac:dyDescent="0.25">
      <c r="A1308" s="201">
        <f>Prog_23[[#This Row],[CONTEINER]]</f>
        <v>0</v>
      </c>
      <c r="B1308" s="86"/>
      <c r="C13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08" s="44"/>
      <c r="E1308" s="66"/>
      <c r="F1308" s="66"/>
      <c r="G1308" s="66"/>
      <c r="H1308" s="44"/>
      <c r="I1308" s="44"/>
      <c r="J1308" s="66"/>
      <c r="K1308" s="66"/>
      <c r="L1308" s="66"/>
      <c r="M1308" s="66"/>
      <c r="N1308" s="66">
        <f>SUM(Prog_23[[#This Row],[TARA]]+Prog_23[[#This Row],[PESO]])</f>
        <v>0</v>
      </c>
      <c r="O1308" s="44"/>
      <c r="P1308" s="66"/>
      <c r="Q1308" s="66"/>
      <c r="R1308" s="66"/>
      <c r="S1308" s="66"/>
      <c r="T1308" s="138" t="str">
        <f>IFERROR(LOOKUP($S1308,MOTORISTAS!$D$3:$D$916,MOTORISTAS!E$3:$E$916),"")</f>
        <v/>
      </c>
      <c r="U1308" s="138" t="str">
        <f>IFERROR(LOOKUP($S1308,MOTORISTAS!$D$3:$D$916,MOTORISTAS!F$3:$F$916),"")</f>
        <v/>
      </c>
      <c r="V1308" s="66"/>
      <c r="W1308" s="66"/>
      <c r="X1308" s="66"/>
      <c r="Y1308" s="66"/>
      <c r="Z1308" s="66"/>
      <c r="AA1308" s="66"/>
      <c r="AB1308" s="66"/>
      <c r="AC1308" s="66"/>
      <c r="AD1308" s="66"/>
      <c r="AE1308" s="66"/>
      <c r="AF1308" s="44"/>
      <c r="AG1308" s="254">
        <f>Prog_23[[#This Row],[SAÍDA DO CLIENTE]]-Prog_23[[#This Row],[PROGRAMAÇÃO CLIENTE]]</f>
        <v>0</v>
      </c>
      <c r="AH1308" s="44"/>
      <c r="AI1308" s="66"/>
      <c r="AJ1308" s="66"/>
      <c r="AK1308" s="66"/>
      <c r="AL1308" s="66"/>
      <c r="AM1308" s="66"/>
      <c r="AN1308" s="83"/>
      <c r="AO1308" s="83"/>
      <c r="AP1308" s="83"/>
      <c r="AQ1308" s="66"/>
      <c r="AR1308" s="66"/>
      <c r="AS1308" s="66"/>
      <c r="AT1308" s="81"/>
      <c r="AU1308" s="81"/>
      <c r="AV1308" s="81"/>
      <c r="AW1308" s="81"/>
      <c r="AX1308" s="83">
        <f>SUM(Prog_23[[#This Row],[ADIANTAMENTO]]+Prog_23[[#This Row],[SALDO]]+Prog_23[[#This Row],[MARGEM]]+Prog_23[[#This Row],[ESTADIA 1]])</f>
        <v>0</v>
      </c>
      <c r="AY13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08" s="81"/>
      <c r="BA1308" s="81"/>
      <c r="BB1308" s="81">
        <f>Prog_23[[#This Row],[VLR NF]]*0.1%</f>
        <v>0</v>
      </c>
      <c r="BC1308" s="81">
        <f>Prog_23[[#This Row],[VLR NF]]*0.05%</f>
        <v>0</v>
      </c>
      <c r="BD1308" s="81"/>
      <c r="BE1308" s="81"/>
      <c r="BF1308" s="81"/>
      <c r="BG1308" s="81"/>
      <c r="BH1308" s="81"/>
      <c r="BI1308" s="81"/>
      <c r="BJ1308" s="81"/>
      <c r="BK1308" s="81"/>
      <c r="BL1308" s="81"/>
      <c r="BM1308" s="81"/>
      <c r="BN1308" s="66"/>
      <c r="BO1308" s="66"/>
      <c r="BP1308" s="66"/>
      <c r="BQ1308" s="66" t="str">
        <f>PROPER(TEXT(Prog_23[[#This Row],[PROGRAMAÇÃO CLIENTE]],"mmm"))</f>
        <v>Jan</v>
      </c>
      <c r="BR1308" s="66">
        <f>YEAR(Prog_23[[#This Row],[PROGRAMAÇÃO CLIENTE]])</f>
        <v>1900</v>
      </c>
    </row>
    <row r="1309" spans="1:70" x14ac:dyDescent="0.25">
      <c r="A1309" s="200">
        <f>Prog_23[[#This Row],[CONTEINER]]</f>
        <v>0</v>
      </c>
      <c r="B1309" s="86"/>
      <c r="C13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09" s="44"/>
      <c r="E1309" s="66"/>
      <c r="F1309" s="66"/>
      <c r="G1309" s="66"/>
      <c r="H1309" s="44"/>
      <c r="I1309" s="44"/>
      <c r="J1309" s="66"/>
      <c r="K1309" s="66"/>
      <c r="L1309" s="66"/>
      <c r="M1309" s="66"/>
      <c r="N1309" s="66">
        <f>SUM(Prog_23[[#This Row],[TARA]]+Prog_23[[#This Row],[PESO]])</f>
        <v>0</v>
      </c>
      <c r="O1309" s="44"/>
      <c r="P1309" s="66"/>
      <c r="Q1309" s="66"/>
      <c r="R1309" s="66"/>
      <c r="S1309" s="66"/>
      <c r="T1309" s="138" t="str">
        <f>IFERROR(LOOKUP($S1309,MOTORISTAS!$D$3:$D$916,MOTORISTAS!E$3:$E$916),"")</f>
        <v/>
      </c>
      <c r="U1309" s="138" t="str">
        <f>IFERROR(LOOKUP($S1309,MOTORISTAS!$D$3:$D$916,MOTORISTAS!F$3:$F$916),"")</f>
        <v/>
      </c>
      <c r="V1309" s="66"/>
      <c r="W1309" s="66"/>
      <c r="X1309" s="66"/>
      <c r="Y1309" s="66"/>
      <c r="Z1309" s="66"/>
      <c r="AA1309" s="66"/>
      <c r="AB1309" s="66"/>
      <c r="AC1309" s="66"/>
      <c r="AD1309" s="66"/>
      <c r="AE1309" s="66"/>
      <c r="AF1309" s="44"/>
      <c r="AG1309" s="254">
        <f>Prog_23[[#This Row],[SAÍDA DO CLIENTE]]-Prog_23[[#This Row],[PROGRAMAÇÃO CLIENTE]]</f>
        <v>0</v>
      </c>
      <c r="AH1309" s="44"/>
      <c r="AI1309" s="66"/>
      <c r="AJ1309" s="66"/>
      <c r="AK1309" s="66"/>
      <c r="AL1309" s="66"/>
      <c r="AM1309" s="66"/>
      <c r="AN1309" s="83"/>
      <c r="AO1309" s="83"/>
      <c r="AP1309" s="83"/>
      <c r="AQ1309" s="66"/>
      <c r="AR1309" s="66"/>
      <c r="AS1309" s="66"/>
      <c r="AT1309" s="81"/>
      <c r="AU1309" s="81"/>
      <c r="AV1309" s="81"/>
      <c r="AW1309" s="81"/>
      <c r="AX1309" s="83">
        <f>SUM(Prog_23[[#This Row],[ADIANTAMENTO]]+Prog_23[[#This Row],[SALDO]]+Prog_23[[#This Row],[MARGEM]]+Prog_23[[#This Row],[ESTADIA 1]])</f>
        <v>0</v>
      </c>
      <c r="AY13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09" s="81"/>
      <c r="BA1309" s="81"/>
      <c r="BB1309" s="81">
        <f>Prog_23[[#This Row],[VLR NF]]*0.1%</f>
        <v>0</v>
      </c>
      <c r="BC1309" s="81">
        <f>Prog_23[[#This Row],[VLR NF]]*0.05%</f>
        <v>0</v>
      </c>
      <c r="BD1309" s="81"/>
      <c r="BE1309" s="81"/>
      <c r="BF1309" s="81"/>
      <c r="BG1309" s="81"/>
      <c r="BH1309" s="81"/>
      <c r="BI1309" s="81"/>
      <c r="BJ1309" s="81"/>
      <c r="BK1309" s="81"/>
      <c r="BL1309" s="81"/>
      <c r="BM1309" s="81"/>
      <c r="BN1309" s="66"/>
      <c r="BO1309" s="66"/>
      <c r="BP1309" s="66"/>
      <c r="BQ1309" s="66" t="str">
        <f>PROPER(TEXT(Prog_23[[#This Row],[PROGRAMAÇÃO CLIENTE]],"mmm"))</f>
        <v>Jan</v>
      </c>
      <c r="BR1309" s="66">
        <f>YEAR(Prog_23[[#This Row],[PROGRAMAÇÃO CLIENTE]])</f>
        <v>1900</v>
      </c>
    </row>
    <row r="1310" spans="1:70" x14ac:dyDescent="0.25">
      <c r="A1310" s="201">
        <f>Prog_23[[#This Row],[CONTEINER]]</f>
        <v>0</v>
      </c>
      <c r="B1310" s="86"/>
      <c r="C13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10" s="44"/>
      <c r="E1310" s="66"/>
      <c r="F1310" s="66"/>
      <c r="G1310" s="66"/>
      <c r="H1310" s="44"/>
      <c r="I1310" s="44"/>
      <c r="J1310" s="66"/>
      <c r="K1310" s="66"/>
      <c r="L1310" s="66"/>
      <c r="M1310" s="66"/>
      <c r="N1310" s="66">
        <f>SUM(Prog_23[[#This Row],[TARA]]+Prog_23[[#This Row],[PESO]])</f>
        <v>0</v>
      </c>
      <c r="O1310" s="44"/>
      <c r="P1310" s="66"/>
      <c r="Q1310" s="66"/>
      <c r="R1310" s="66"/>
      <c r="S1310" s="66"/>
      <c r="T1310" s="138" t="str">
        <f>IFERROR(LOOKUP($S1310,MOTORISTAS!$D$3:$D$916,MOTORISTAS!E$3:$E$916),"")</f>
        <v/>
      </c>
      <c r="U1310" s="138" t="str">
        <f>IFERROR(LOOKUP($S1310,MOTORISTAS!$D$3:$D$916,MOTORISTAS!F$3:$F$916),"")</f>
        <v/>
      </c>
      <c r="V1310" s="66"/>
      <c r="W1310" s="66"/>
      <c r="X1310" s="66"/>
      <c r="Y1310" s="66"/>
      <c r="Z1310" s="66"/>
      <c r="AA1310" s="66"/>
      <c r="AB1310" s="66"/>
      <c r="AC1310" s="66"/>
      <c r="AD1310" s="66"/>
      <c r="AE1310" s="66"/>
      <c r="AF1310" s="44"/>
      <c r="AG1310" s="254">
        <f>Prog_23[[#This Row],[SAÍDA DO CLIENTE]]-Prog_23[[#This Row],[PROGRAMAÇÃO CLIENTE]]</f>
        <v>0</v>
      </c>
      <c r="AH1310" s="44"/>
      <c r="AI1310" s="66"/>
      <c r="AJ1310" s="66"/>
      <c r="AK1310" s="66"/>
      <c r="AL1310" s="66"/>
      <c r="AM1310" s="66"/>
      <c r="AN1310" s="83"/>
      <c r="AO1310" s="83"/>
      <c r="AP1310" s="83"/>
      <c r="AQ1310" s="66"/>
      <c r="AR1310" s="66"/>
      <c r="AS1310" s="66"/>
      <c r="AT1310" s="81"/>
      <c r="AU1310" s="81"/>
      <c r="AV1310" s="81"/>
      <c r="AW1310" s="81"/>
      <c r="AX1310" s="83">
        <f>SUM(Prog_23[[#This Row],[ADIANTAMENTO]]+Prog_23[[#This Row],[SALDO]]+Prog_23[[#This Row],[MARGEM]]+Prog_23[[#This Row],[ESTADIA 1]])</f>
        <v>0</v>
      </c>
      <c r="AY13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10" s="81"/>
      <c r="BA1310" s="81"/>
      <c r="BB1310" s="81">
        <f>Prog_23[[#This Row],[VLR NF]]*0.1%</f>
        <v>0</v>
      </c>
      <c r="BC1310" s="81">
        <f>Prog_23[[#This Row],[VLR NF]]*0.05%</f>
        <v>0</v>
      </c>
      <c r="BD1310" s="81"/>
      <c r="BE1310" s="81"/>
      <c r="BF1310" s="81"/>
      <c r="BG1310" s="81"/>
      <c r="BH1310" s="81"/>
      <c r="BI1310" s="81"/>
      <c r="BJ1310" s="81"/>
      <c r="BK1310" s="81"/>
      <c r="BL1310" s="81"/>
      <c r="BM1310" s="81"/>
      <c r="BN1310" s="66"/>
      <c r="BO1310" s="66"/>
      <c r="BP1310" s="66"/>
      <c r="BQ1310" s="66" t="str">
        <f>PROPER(TEXT(Prog_23[[#This Row],[PROGRAMAÇÃO CLIENTE]],"mmm"))</f>
        <v>Jan</v>
      </c>
      <c r="BR1310" s="66">
        <f>YEAR(Prog_23[[#This Row],[PROGRAMAÇÃO CLIENTE]])</f>
        <v>1900</v>
      </c>
    </row>
    <row r="1311" spans="1:70" x14ac:dyDescent="0.25">
      <c r="A1311" s="200">
        <f>Prog_23[[#This Row],[CONTEINER]]</f>
        <v>0</v>
      </c>
      <c r="B1311" s="86"/>
      <c r="C13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11" s="44"/>
      <c r="E1311" s="66"/>
      <c r="F1311" s="66"/>
      <c r="G1311" s="66"/>
      <c r="H1311" s="44"/>
      <c r="I1311" s="44"/>
      <c r="J1311" s="66"/>
      <c r="K1311" s="66"/>
      <c r="L1311" s="66"/>
      <c r="M1311" s="66"/>
      <c r="N1311" s="66">
        <f>SUM(Prog_23[[#This Row],[TARA]]+Prog_23[[#This Row],[PESO]])</f>
        <v>0</v>
      </c>
      <c r="O1311" s="44"/>
      <c r="P1311" s="66"/>
      <c r="Q1311" s="66"/>
      <c r="R1311" s="66"/>
      <c r="S1311" s="66"/>
      <c r="T1311" s="138" t="str">
        <f>IFERROR(LOOKUP($S1311,MOTORISTAS!$D$3:$D$916,MOTORISTAS!E$3:$E$916),"")</f>
        <v/>
      </c>
      <c r="U1311" s="138" t="str">
        <f>IFERROR(LOOKUP($S1311,MOTORISTAS!$D$3:$D$916,MOTORISTAS!F$3:$F$916),"")</f>
        <v/>
      </c>
      <c r="V1311" s="66"/>
      <c r="W1311" s="66"/>
      <c r="X1311" s="66"/>
      <c r="Y1311" s="66"/>
      <c r="Z1311" s="66"/>
      <c r="AA1311" s="66"/>
      <c r="AB1311" s="66"/>
      <c r="AC1311" s="66"/>
      <c r="AD1311" s="66"/>
      <c r="AE1311" s="66"/>
      <c r="AF1311" s="44"/>
      <c r="AG1311" s="254">
        <f>Prog_23[[#This Row],[SAÍDA DO CLIENTE]]-Prog_23[[#This Row],[PROGRAMAÇÃO CLIENTE]]</f>
        <v>0</v>
      </c>
      <c r="AH1311" s="44"/>
      <c r="AI1311" s="66"/>
      <c r="AJ1311" s="66"/>
      <c r="AK1311" s="66"/>
      <c r="AL1311" s="66"/>
      <c r="AM1311" s="66"/>
      <c r="AN1311" s="83"/>
      <c r="AO1311" s="83"/>
      <c r="AP1311" s="83"/>
      <c r="AQ1311" s="66"/>
      <c r="AR1311" s="66"/>
      <c r="AS1311" s="66"/>
      <c r="AT1311" s="81"/>
      <c r="AU1311" s="81"/>
      <c r="AV1311" s="81"/>
      <c r="AW1311" s="81"/>
      <c r="AX1311" s="83">
        <f>SUM(Prog_23[[#This Row],[ADIANTAMENTO]]+Prog_23[[#This Row],[SALDO]]+Prog_23[[#This Row],[MARGEM]]+Prog_23[[#This Row],[ESTADIA 1]])</f>
        <v>0</v>
      </c>
      <c r="AY13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11" s="81"/>
      <c r="BA1311" s="81"/>
      <c r="BB1311" s="81">
        <f>Prog_23[[#This Row],[VLR NF]]*0.1%</f>
        <v>0</v>
      </c>
      <c r="BC1311" s="81">
        <f>Prog_23[[#This Row],[VLR NF]]*0.05%</f>
        <v>0</v>
      </c>
      <c r="BD1311" s="81"/>
      <c r="BE1311" s="81"/>
      <c r="BF1311" s="81"/>
      <c r="BG1311" s="81"/>
      <c r="BH1311" s="81"/>
      <c r="BI1311" s="81"/>
      <c r="BJ1311" s="81"/>
      <c r="BK1311" s="81"/>
      <c r="BL1311" s="81"/>
      <c r="BM1311" s="81"/>
      <c r="BN1311" s="66"/>
      <c r="BO1311" s="66"/>
      <c r="BP1311" s="66"/>
      <c r="BQ1311" s="66" t="str">
        <f>PROPER(TEXT(Prog_23[[#This Row],[PROGRAMAÇÃO CLIENTE]],"mmm"))</f>
        <v>Jan</v>
      </c>
      <c r="BR1311" s="66">
        <f>YEAR(Prog_23[[#This Row],[PROGRAMAÇÃO CLIENTE]])</f>
        <v>1900</v>
      </c>
    </row>
    <row r="1312" spans="1:70" x14ac:dyDescent="0.25">
      <c r="A1312" s="201">
        <f>Prog_23[[#This Row],[CONTEINER]]</f>
        <v>0</v>
      </c>
      <c r="B1312" s="86"/>
      <c r="C13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12" s="44"/>
      <c r="E1312" s="66"/>
      <c r="F1312" s="66"/>
      <c r="G1312" s="66"/>
      <c r="H1312" s="44"/>
      <c r="I1312" s="44"/>
      <c r="J1312" s="66"/>
      <c r="K1312" s="66"/>
      <c r="L1312" s="66"/>
      <c r="M1312" s="66"/>
      <c r="N1312" s="66">
        <f>SUM(Prog_23[[#This Row],[TARA]]+Prog_23[[#This Row],[PESO]])</f>
        <v>0</v>
      </c>
      <c r="O1312" s="44"/>
      <c r="P1312" s="66"/>
      <c r="Q1312" s="66"/>
      <c r="R1312" s="66"/>
      <c r="S1312" s="66"/>
      <c r="T1312" s="138" t="str">
        <f>IFERROR(LOOKUP($S1312,MOTORISTAS!$D$3:$D$916,MOTORISTAS!E$3:$E$916),"")</f>
        <v/>
      </c>
      <c r="U1312" s="138" t="str">
        <f>IFERROR(LOOKUP($S1312,MOTORISTAS!$D$3:$D$916,MOTORISTAS!F$3:$F$916),"")</f>
        <v/>
      </c>
      <c r="V1312" s="66"/>
      <c r="W1312" s="66"/>
      <c r="X1312" s="66"/>
      <c r="Y1312" s="66"/>
      <c r="Z1312" s="66"/>
      <c r="AA1312" s="66"/>
      <c r="AB1312" s="66"/>
      <c r="AC1312" s="66"/>
      <c r="AD1312" s="66"/>
      <c r="AE1312" s="66"/>
      <c r="AF1312" s="44"/>
      <c r="AG1312" s="254">
        <f>Prog_23[[#This Row],[SAÍDA DO CLIENTE]]-Prog_23[[#This Row],[PROGRAMAÇÃO CLIENTE]]</f>
        <v>0</v>
      </c>
      <c r="AH1312" s="44"/>
      <c r="AI1312" s="66"/>
      <c r="AJ1312" s="66"/>
      <c r="AK1312" s="66"/>
      <c r="AL1312" s="66"/>
      <c r="AM1312" s="66"/>
      <c r="AN1312" s="83"/>
      <c r="AO1312" s="83"/>
      <c r="AP1312" s="83"/>
      <c r="AQ1312" s="66"/>
      <c r="AR1312" s="66"/>
      <c r="AS1312" s="66"/>
      <c r="AT1312" s="81"/>
      <c r="AU1312" s="81"/>
      <c r="AV1312" s="81"/>
      <c r="AW1312" s="81"/>
      <c r="AX1312" s="83">
        <f>SUM(Prog_23[[#This Row],[ADIANTAMENTO]]+Prog_23[[#This Row],[SALDO]]+Prog_23[[#This Row],[MARGEM]]+Prog_23[[#This Row],[ESTADIA 1]])</f>
        <v>0</v>
      </c>
      <c r="AY13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12" s="81"/>
      <c r="BA1312" s="81"/>
      <c r="BB1312" s="81">
        <f>Prog_23[[#This Row],[VLR NF]]*0.1%</f>
        <v>0</v>
      </c>
      <c r="BC1312" s="81">
        <f>Prog_23[[#This Row],[VLR NF]]*0.05%</f>
        <v>0</v>
      </c>
      <c r="BD1312" s="81"/>
      <c r="BE1312" s="81"/>
      <c r="BF1312" s="81"/>
      <c r="BG1312" s="81"/>
      <c r="BH1312" s="81"/>
      <c r="BI1312" s="81"/>
      <c r="BJ1312" s="81"/>
      <c r="BK1312" s="81"/>
      <c r="BL1312" s="81"/>
      <c r="BM1312" s="81"/>
      <c r="BN1312" s="66"/>
      <c r="BO1312" s="66"/>
      <c r="BP1312" s="66"/>
      <c r="BQ1312" s="66" t="str">
        <f>PROPER(TEXT(Prog_23[[#This Row],[PROGRAMAÇÃO CLIENTE]],"mmm"))</f>
        <v>Jan</v>
      </c>
      <c r="BR1312" s="66">
        <f>YEAR(Prog_23[[#This Row],[PROGRAMAÇÃO CLIENTE]])</f>
        <v>1900</v>
      </c>
    </row>
    <row r="1313" spans="1:70" x14ac:dyDescent="0.25">
      <c r="A1313" s="200">
        <f>Prog_23[[#This Row],[CONTEINER]]</f>
        <v>0</v>
      </c>
      <c r="B1313" s="86"/>
      <c r="C13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13" s="44"/>
      <c r="E1313" s="66"/>
      <c r="F1313" s="66"/>
      <c r="G1313" s="66"/>
      <c r="H1313" s="44"/>
      <c r="I1313" s="44"/>
      <c r="J1313" s="66"/>
      <c r="K1313" s="66"/>
      <c r="L1313" s="66"/>
      <c r="M1313" s="66"/>
      <c r="N1313" s="66">
        <f>SUM(Prog_23[[#This Row],[TARA]]+Prog_23[[#This Row],[PESO]])</f>
        <v>0</v>
      </c>
      <c r="O1313" s="44"/>
      <c r="P1313" s="66"/>
      <c r="Q1313" s="66"/>
      <c r="R1313" s="66"/>
      <c r="S1313" s="66"/>
      <c r="T1313" s="138" t="str">
        <f>IFERROR(LOOKUP($S1313,MOTORISTAS!$D$3:$D$916,MOTORISTAS!E$3:$E$916),"")</f>
        <v/>
      </c>
      <c r="U1313" s="138" t="str">
        <f>IFERROR(LOOKUP($S1313,MOTORISTAS!$D$3:$D$916,MOTORISTAS!F$3:$F$916),"")</f>
        <v/>
      </c>
      <c r="V1313" s="66"/>
      <c r="W1313" s="66"/>
      <c r="X1313" s="66"/>
      <c r="Y1313" s="66"/>
      <c r="Z1313" s="66"/>
      <c r="AA1313" s="66"/>
      <c r="AB1313" s="66"/>
      <c r="AC1313" s="66"/>
      <c r="AD1313" s="66"/>
      <c r="AE1313" s="66"/>
      <c r="AF1313" s="44"/>
      <c r="AG1313" s="254">
        <f>Prog_23[[#This Row],[SAÍDA DO CLIENTE]]-Prog_23[[#This Row],[PROGRAMAÇÃO CLIENTE]]</f>
        <v>0</v>
      </c>
      <c r="AH1313" s="44"/>
      <c r="AI1313" s="66"/>
      <c r="AJ1313" s="66"/>
      <c r="AK1313" s="66"/>
      <c r="AL1313" s="66"/>
      <c r="AM1313" s="66"/>
      <c r="AN1313" s="83"/>
      <c r="AO1313" s="83"/>
      <c r="AP1313" s="83"/>
      <c r="AQ1313" s="66"/>
      <c r="AR1313" s="66"/>
      <c r="AS1313" s="66"/>
      <c r="AT1313" s="81"/>
      <c r="AU1313" s="81"/>
      <c r="AV1313" s="81"/>
      <c r="AW1313" s="81"/>
      <c r="AX1313" s="83">
        <f>SUM(Prog_23[[#This Row],[ADIANTAMENTO]]+Prog_23[[#This Row],[SALDO]]+Prog_23[[#This Row],[MARGEM]]+Prog_23[[#This Row],[ESTADIA 1]])</f>
        <v>0</v>
      </c>
      <c r="AY13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13" s="81"/>
      <c r="BA1313" s="81"/>
      <c r="BB1313" s="81">
        <f>Prog_23[[#This Row],[VLR NF]]*0.1%</f>
        <v>0</v>
      </c>
      <c r="BC1313" s="81">
        <f>Prog_23[[#This Row],[VLR NF]]*0.05%</f>
        <v>0</v>
      </c>
      <c r="BD1313" s="81"/>
      <c r="BE1313" s="81"/>
      <c r="BF1313" s="81"/>
      <c r="BG1313" s="81"/>
      <c r="BH1313" s="81"/>
      <c r="BI1313" s="81"/>
      <c r="BJ1313" s="81"/>
      <c r="BK1313" s="81"/>
      <c r="BL1313" s="81"/>
      <c r="BM1313" s="81"/>
      <c r="BN1313" s="66"/>
      <c r="BO1313" s="66"/>
      <c r="BP1313" s="66"/>
      <c r="BQ1313" s="66" t="str">
        <f>PROPER(TEXT(Prog_23[[#This Row],[PROGRAMAÇÃO CLIENTE]],"mmm"))</f>
        <v>Jan</v>
      </c>
      <c r="BR1313" s="66">
        <f>YEAR(Prog_23[[#This Row],[PROGRAMAÇÃO CLIENTE]])</f>
        <v>1900</v>
      </c>
    </row>
    <row r="1314" spans="1:70" x14ac:dyDescent="0.25">
      <c r="A1314" s="201">
        <f>Prog_23[[#This Row],[CONTEINER]]</f>
        <v>0</v>
      </c>
      <c r="B1314" s="86"/>
      <c r="C13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14" s="44"/>
      <c r="E1314" s="66"/>
      <c r="F1314" s="66"/>
      <c r="G1314" s="66"/>
      <c r="H1314" s="44"/>
      <c r="I1314" s="44"/>
      <c r="J1314" s="66"/>
      <c r="K1314" s="66"/>
      <c r="L1314" s="66"/>
      <c r="M1314" s="66"/>
      <c r="N1314" s="66">
        <f>SUM(Prog_23[[#This Row],[TARA]]+Prog_23[[#This Row],[PESO]])</f>
        <v>0</v>
      </c>
      <c r="O1314" s="44"/>
      <c r="P1314" s="66"/>
      <c r="Q1314" s="66"/>
      <c r="R1314" s="66"/>
      <c r="S1314" s="66"/>
      <c r="T1314" s="138" t="str">
        <f>IFERROR(LOOKUP($S1314,MOTORISTAS!$D$3:$D$916,MOTORISTAS!E$3:$E$916),"")</f>
        <v/>
      </c>
      <c r="U1314" s="138" t="str">
        <f>IFERROR(LOOKUP($S1314,MOTORISTAS!$D$3:$D$916,MOTORISTAS!F$3:$F$916),"")</f>
        <v/>
      </c>
      <c r="V1314" s="66"/>
      <c r="W1314" s="66"/>
      <c r="X1314" s="66"/>
      <c r="Y1314" s="66"/>
      <c r="Z1314" s="66"/>
      <c r="AA1314" s="66"/>
      <c r="AB1314" s="66"/>
      <c r="AC1314" s="66"/>
      <c r="AD1314" s="66"/>
      <c r="AE1314" s="66"/>
      <c r="AF1314" s="44"/>
      <c r="AG1314" s="254">
        <f>Prog_23[[#This Row],[SAÍDA DO CLIENTE]]-Prog_23[[#This Row],[PROGRAMAÇÃO CLIENTE]]</f>
        <v>0</v>
      </c>
      <c r="AH1314" s="44"/>
      <c r="AI1314" s="66"/>
      <c r="AJ1314" s="66"/>
      <c r="AK1314" s="66"/>
      <c r="AL1314" s="66"/>
      <c r="AM1314" s="66"/>
      <c r="AN1314" s="83"/>
      <c r="AO1314" s="83"/>
      <c r="AP1314" s="83"/>
      <c r="AQ1314" s="66"/>
      <c r="AR1314" s="66"/>
      <c r="AS1314" s="66"/>
      <c r="AT1314" s="81"/>
      <c r="AU1314" s="81"/>
      <c r="AV1314" s="81"/>
      <c r="AW1314" s="81"/>
      <c r="AX1314" s="83">
        <f>SUM(Prog_23[[#This Row],[ADIANTAMENTO]]+Prog_23[[#This Row],[SALDO]]+Prog_23[[#This Row],[MARGEM]]+Prog_23[[#This Row],[ESTADIA 1]])</f>
        <v>0</v>
      </c>
      <c r="AY13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14" s="81"/>
      <c r="BA1314" s="81"/>
      <c r="BB1314" s="81">
        <f>Prog_23[[#This Row],[VLR NF]]*0.1%</f>
        <v>0</v>
      </c>
      <c r="BC1314" s="81">
        <f>Prog_23[[#This Row],[VLR NF]]*0.05%</f>
        <v>0</v>
      </c>
      <c r="BD1314" s="81"/>
      <c r="BE1314" s="81"/>
      <c r="BF1314" s="81"/>
      <c r="BG1314" s="81"/>
      <c r="BH1314" s="81"/>
      <c r="BI1314" s="81"/>
      <c r="BJ1314" s="81"/>
      <c r="BK1314" s="81"/>
      <c r="BL1314" s="81"/>
      <c r="BM1314" s="81"/>
      <c r="BN1314" s="66"/>
      <c r="BO1314" s="66"/>
      <c r="BP1314" s="66"/>
      <c r="BQ1314" s="66" t="str">
        <f>PROPER(TEXT(Prog_23[[#This Row],[PROGRAMAÇÃO CLIENTE]],"mmm"))</f>
        <v>Jan</v>
      </c>
      <c r="BR1314" s="66">
        <f>YEAR(Prog_23[[#This Row],[PROGRAMAÇÃO CLIENTE]])</f>
        <v>1900</v>
      </c>
    </row>
    <row r="1315" spans="1:70" x14ac:dyDescent="0.25">
      <c r="A1315" s="200">
        <f>Prog_23[[#This Row],[CONTEINER]]</f>
        <v>0</v>
      </c>
      <c r="B1315" s="86"/>
      <c r="C13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15" s="44"/>
      <c r="E1315" s="66"/>
      <c r="F1315" s="66"/>
      <c r="G1315" s="66"/>
      <c r="H1315" s="44"/>
      <c r="I1315" s="44"/>
      <c r="J1315" s="66"/>
      <c r="K1315" s="66"/>
      <c r="L1315" s="66"/>
      <c r="M1315" s="66"/>
      <c r="N1315" s="66">
        <f>SUM(Prog_23[[#This Row],[TARA]]+Prog_23[[#This Row],[PESO]])</f>
        <v>0</v>
      </c>
      <c r="O1315" s="44"/>
      <c r="P1315" s="66"/>
      <c r="Q1315" s="66"/>
      <c r="R1315" s="66"/>
      <c r="S1315" s="66"/>
      <c r="T1315" s="138" t="str">
        <f>IFERROR(LOOKUP($S1315,MOTORISTAS!$D$3:$D$916,MOTORISTAS!E$3:$E$916),"")</f>
        <v/>
      </c>
      <c r="U1315" s="138" t="str">
        <f>IFERROR(LOOKUP($S1315,MOTORISTAS!$D$3:$D$916,MOTORISTAS!F$3:$F$916),"")</f>
        <v/>
      </c>
      <c r="V1315" s="66"/>
      <c r="W1315" s="66"/>
      <c r="X1315" s="66"/>
      <c r="Y1315" s="66"/>
      <c r="Z1315" s="66"/>
      <c r="AA1315" s="66"/>
      <c r="AB1315" s="66"/>
      <c r="AC1315" s="66"/>
      <c r="AD1315" s="66"/>
      <c r="AE1315" s="66"/>
      <c r="AF1315" s="44"/>
      <c r="AG1315" s="254">
        <f>Prog_23[[#This Row],[SAÍDA DO CLIENTE]]-Prog_23[[#This Row],[PROGRAMAÇÃO CLIENTE]]</f>
        <v>0</v>
      </c>
      <c r="AH1315" s="44"/>
      <c r="AI1315" s="66"/>
      <c r="AJ1315" s="66"/>
      <c r="AK1315" s="66"/>
      <c r="AL1315" s="66"/>
      <c r="AM1315" s="66"/>
      <c r="AN1315" s="83"/>
      <c r="AO1315" s="83"/>
      <c r="AP1315" s="83"/>
      <c r="AQ1315" s="66"/>
      <c r="AR1315" s="66"/>
      <c r="AS1315" s="66"/>
      <c r="AT1315" s="81"/>
      <c r="AU1315" s="81"/>
      <c r="AV1315" s="81"/>
      <c r="AW1315" s="81"/>
      <c r="AX1315" s="83">
        <f>SUM(Prog_23[[#This Row],[ADIANTAMENTO]]+Prog_23[[#This Row],[SALDO]]+Prog_23[[#This Row],[MARGEM]]+Prog_23[[#This Row],[ESTADIA 1]])</f>
        <v>0</v>
      </c>
      <c r="AY13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15" s="81"/>
      <c r="BA1315" s="81"/>
      <c r="BB1315" s="81">
        <f>Prog_23[[#This Row],[VLR NF]]*0.1%</f>
        <v>0</v>
      </c>
      <c r="BC1315" s="81">
        <f>Prog_23[[#This Row],[VLR NF]]*0.05%</f>
        <v>0</v>
      </c>
      <c r="BD1315" s="81"/>
      <c r="BE1315" s="81"/>
      <c r="BF1315" s="81"/>
      <c r="BG1315" s="81"/>
      <c r="BH1315" s="81"/>
      <c r="BI1315" s="81"/>
      <c r="BJ1315" s="81"/>
      <c r="BK1315" s="81"/>
      <c r="BL1315" s="81"/>
      <c r="BM1315" s="81"/>
      <c r="BN1315" s="66"/>
      <c r="BO1315" s="66"/>
      <c r="BP1315" s="66"/>
      <c r="BQ1315" s="66" t="str">
        <f>PROPER(TEXT(Prog_23[[#This Row],[PROGRAMAÇÃO CLIENTE]],"mmm"))</f>
        <v>Jan</v>
      </c>
      <c r="BR1315" s="66">
        <f>YEAR(Prog_23[[#This Row],[PROGRAMAÇÃO CLIENTE]])</f>
        <v>1900</v>
      </c>
    </row>
    <row r="1316" spans="1:70" x14ac:dyDescent="0.25">
      <c r="A1316" s="201">
        <f>Prog_23[[#This Row],[CONTEINER]]</f>
        <v>0</v>
      </c>
      <c r="B1316" s="86"/>
      <c r="C13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16" s="44"/>
      <c r="E1316" s="66"/>
      <c r="F1316" s="66"/>
      <c r="G1316" s="66"/>
      <c r="H1316" s="44"/>
      <c r="I1316" s="44"/>
      <c r="J1316" s="66"/>
      <c r="K1316" s="66"/>
      <c r="L1316" s="66"/>
      <c r="M1316" s="66"/>
      <c r="N1316" s="66">
        <f>SUM(Prog_23[[#This Row],[TARA]]+Prog_23[[#This Row],[PESO]])</f>
        <v>0</v>
      </c>
      <c r="O1316" s="44"/>
      <c r="P1316" s="66"/>
      <c r="Q1316" s="66"/>
      <c r="R1316" s="66"/>
      <c r="S1316" s="66"/>
      <c r="T1316" s="138" t="str">
        <f>IFERROR(LOOKUP($S1316,MOTORISTAS!$D$3:$D$916,MOTORISTAS!E$3:$E$916),"")</f>
        <v/>
      </c>
      <c r="U1316" s="138" t="str">
        <f>IFERROR(LOOKUP($S1316,MOTORISTAS!$D$3:$D$916,MOTORISTAS!F$3:$F$916),"")</f>
        <v/>
      </c>
      <c r="V1316" s="66"/>
      <c r="W1316" s="66"/>
      <c r="X1316" s="66"/>
      <c r="Y1316" s="66"/>
      <c r="Z1316" s="66"/>
      <c r="AA1316" s="66"/>
      <c r="AB1316" s="66"/>
      <c r="AC1316" s="66"/>
      <c r="AD1316" s="66"/>
      <c r="AE1316" s="66"/>
      <c r="AF1316" s="44"/>
      <c r="AG1316" s="254">
        <f>Prog_23[[#This Row],[SAÍDA DO CLIENTE]]-Prog_23[[#This Row],[PROGRAMAÇÃO CLIENTE]]</f>
        <v>0</v>
      </c>
      <c r="AH1316" s="44"/>
      <c r="AI1316" s="66"/>
      <c r="AJ1316" s="66"/>
      <c r="AK1316" s="66"/>
      <c r="AL1316" s="66"/>
      <c r="AM1316" s="66"/>
      <c r="AN1316" s="83"/>
      <c r="AO1316" s="83"/>
      <c r="AP1316" s="83"/>
      <c r="AQ1316" s="66"/>
      <c r="AR1316" s="66"/>
      <c r="AS1316" s="66"/>
      <c r="AT1316" s="81"/>
      <c r="AU1316" s="81"/>
      <c r="AV1316" s="81"/>
      <c r="AW1316" s="81"/>
      <c r="AX1316" s="83">
        <f>SUM(Prog_23[[#This Row],[ADIANTAMENTO]]+Prog_23[[#This Row],[SALDO]]+Prog_23[[#This Row],[MARGEM]]+Prog_23[[#This Row],[ESTADIA 1]])</f>
        <v>0</v>
      </c>
      <c r="AY13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16" s="81"/>
      <c r="BA1316" s="81"/>
      <c r="BB1316" s="81">
        <f>Prog_23[[#This Row],[VLR NF]]*0.1%</f>
        <v>0</v>
      </c>
      <c r="BC1316" s="81">
        <f>Prog_23[[#This Row],[VLR NF]]*0.05%</f>
        <v>0</v>
      </c>
      <c r="BD1316" s="81"/>
      <c r="BE1316" s="81"/>
      <c r="BF1316" s="81"/>
      <c r="BG1316" s="81"/>
      <c r="BH1316" s="81"/>
      <c r="BI1316" s="81"/>
      <c r="BJ1316" s="81"/>
      <c r="BK1316" s="81"/>
      <c r="BL1316" s="81"/>
      <c r="BM1316" s="81"/>
      <c r="BN1316" s="66"/>
      <c r="BO1316" s="66"/>
      <c r="BP1316" s="66"/>
      <c r="BQ1316" s="66" t="str">
        <f>PROPER(TEXT(Prog_23[[#This Row],[PROGRAMAÇÃO CLIENTE]],"mmm"))</f>
        <v>Jan</v>
      </c>
      <c r="BR1316" s="66">
        <f>YEAR(Prog_23[[#This Row],[PROGRAMAÇÃO CLIENTE]])</f>
        <v>1900</v>
      </c>
    </row>
    <row r="1317" spans="1:70" x14ac:dyDescent="0.25">
      <c r="A1317" s="200">
        <f>Prog_23[[#This Row],[CONTEINER]]</f>
        <v>0</v>
      </c>
      <c r="B1317" s="86"/>
      <c r="C13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17" s="44"/>
      <c r="E1317" s="66"/>
      <c r="F1317" s="66"/>
      <c r="G1317" s="66"/>
      <c r="H1317" s="44"/>
      <c r="I1317" s="44"/>
      <c r="J1317" s="66"/>
      <c r="K1317" s="66"/>
      <c r="L1317" s="66"/>
      <c r="M1317" s="66"/>
      <c r="N1317" s="66">
        <f>SUM(Prog_23[[#This Row],[TARA]]+Prog_23[[#This Row],[PESO]])</f>
        <v>0</v>
      </c>
      <c r="O1317" s="44"/>
      <c r="P1317" s="66"/>
      <c r="Q1317" s="66"/>
      <c r="R1317" s="66"/>
      <c r="S1317" s="66"/>
      <c r="T1317" s="138" t="str">
        <f>IFERROR(LOOKUP($S1317,MOTORISTAS!$D$3:$D$916,MOTORISTAS!E$3:$E$916),"")</f>
        <v/>
      </c>
      <c r="U1317" s="138" t="str">
        <f>IFERROR(LOOKUP($S1317,MOTORISTAS!$D$3:$D$916,MOTORISTAS!F$3:$F$916),"")</f>
        <v/>
      </c>
      <c r="V1317" s="66"/>
      <c r="W1317" s="66"/>
      <c r="X1317" s="66"/>
      <c r="Y1317" s="66"/>
      <c r="Z1317" s="66"/>
      <c r="AA1317" s="66"/>
      <c r="AB1317" s="66"/>
      <c r="AC1317" s="66"/>
      <c r="AD1317" s="66"/>
      <c r="AE1317" s="66"/>
      <c r="AF1317" s="44"/>
      <c r="AG1317" s="254">
        <f>Prog_23[[#This Row],[SAÍDA DO CLIENTE]]-Prog_23[[#This Row],[PROGRAMAÇÃO CLIENTE]]</f>
        <v>0</v>
      </c>
      <c r="AH1317" s="44"/>
      <c r="AI1317" s="66"/>
      <c r="AJ1317" s="66"/>
      <c r="AK1317" s="66"/>
      <c r="AL1317" s="66"/>
      <c r="AM1317" s="66"/>
      <c r="AN1317" s="83"/>
      <c r="AO1317" s="83"/>
      <c r="AP1317" s="83"/>
      <c r="AQ1317" s="66"/>
      <c r="AR1317" s="66"/>
      <c r="AS1317" s="66"/>
      <c r="AT1317" s="81"/>
      <c r="AU1317" s="81"/>
      <c r="AV1317" s="81"/>
      <c r="AW1317" s="81"/>
      <c r="AX1317" s="83">
        <f>SUM(Prog_23[[#This Row],[ADIANTAMENTO]]+Prog_23[[#This Row],[SALDO]]+Prog_23[[#This Row],[MARGEM]]+Prog_23[[#This Row],[ESTADIA 1]])</f>
        <v>0</v>
      </c>
      <c r="AY13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17" s="81"/>
      <c r="BA1317" s="81"/>
      <c r="BB1317" s="81">
        <f>Prog_23[[#This Row],[VLR NF]]*0.1%</f>
        <v>0</v>
      </c>
      <c r="BC1317" s="81">
        <f>Prog_23[[#This Row],[VLR NF]]*0.05%</f>
        <v>0</v>
      </c>
      <c r="BD1317" s="81"/>
      <c r="BE1317" s="81"/>
      <c r="BF1317" s="81"/>
      <c r="BG1317" s="81"/>
      <c r="BH1317" s="81"/>
      <c r="BI1317" s="81"/>
      <c r="BJ1317" s="81"/>
      <c r="BK1317" s="81"/>
      <c r="BL1317" s="81"/>
      <c r="BM1317" s="81"/>
      <c r="BN1317" s="66"/>
      <c r="BO1317" s="66"/>
      <c r="BP1317" s="66"/>
      <c r="BQ1317" s="66" t="str">
        <f>PROPER(TEXT(Prog_23[[#This Row],[PROGRAMAÇÃO CLIENTE]],"mmm"))</f>
        <v>Jan</v>
      </c>
      <c r="BR1317" s="66">
        <f>YEAR(Prog_23[[#This Row],[PROGRAMAÇÃO CLIENTE]])</f>
        <v>1900</v>
      </c>
    </row>
    <row r="1318" spans="1:70" x14ac:dyDescent="0.25">
      <c r="A1318" s="201">
        <f>Prog_23[[#This Row],[CONTEINER]]</f>
        <v>0</v>
      </c>
      <c r="B1318" s="86"/>
      <c r="C13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18" s="44"/>
      <c r="E1318" s="66"/>
      <c r="F1318" s="66"/>
      <c r="G1318" s="66"/>
      <c r="H1318" s="44"/>
      <c r="I1318" s="44"/>
      <c r="J1318" s="66"/>
      <c r="K1318" s="66"/>
      <c r="L1318" s="66"/>
      <c r="M1318" s="66"/>
      <c r="N1318" s="66">
        <f>SUM(Prog_23[[#This Row],[TARA]]+Prog_23[[#This Row],[PESO]])</f>
        <v>0</v>
      </c>
      <c r="O1318" s="44"/>
      <c r="P1318" s="66"/>
      <c r="Q1318" s="66"/>
      <c r="R1318" s="66"/>
      <c r="S1318" s="66"/>
      <c r="T1318" s="138" t="str">
        <f>IFERROR(LOOKUP($S1318,MOTORISTAS!$D$3:$D$916,MOTORISTAS!E$3:$E$916),"")</f>
        <v/>
      </c>
      <c r="U1318" s="138" t="str">
        <f>IFERROR(LOOKUP($S1318,MOTORISTAS!$D$3:$D$916,MOTORISTAS!F$3:$F$916),"")</f>
        <v/>
      </c>
      <c r="V1318" s="66"/>
      <c r="W1318" s="66"/>
      <c r="X1318" s="66"/>
      <c r="Y1318" s="66"/>
      <c r="Z1318" s="66"/>
      <c r="AA1318" s="66"/>
      <c r="AB1318" s="66"/>
      <c r="AC1318" s="66"/>
      <c r="AD1318" s="66"/>
      <c r="AE1318" s="66"/>
      <c r="AF1318" s="44"/>
      <c r="AG1318" s="254">
        <f>Prog_23[[#This Row],[SAÍDA DO CLIENTE]]-Prog_23[[#This Row],[PROGRAMAÇÃO CLIENTE]]</f>
        <v>0</v>
      </c>
      <c r="AH1318" s="44"/>
      <c r="AI1318" s="66"/>
      <c r="AJ1318" s="66"/>
      <c r="AK1318" s="66"/>
      <c r="AL1318" s="66"/>
      <c r="AM1318" s="66"/>
      <c r="AN1318" s="83"/>
      <c r="AO1318" s="83"/>
      <c r="AP1318" s="83"/>
      <c r="AQ1318" s="66"/>
      <c r="AR1318" s="66"/>
      <c r="AS1318" s="66"/>
      <c r="AT1318" s="81"/>
      <c r="AU1318" s="81"/>
      <c r="AV1318" s="81"/>
      <c r="AW1318" s="81"/>
      <c r="AX1318" s="83">
        <f>SUM(Prog_23[[#This Row],[ADIANTAMENTO]]+Prog_23[[#This Row],[SALDO]]+Prog_23[[#This Row],[MARGEM]]+Prog_23[[#This Row],[ESTADIA 1]])</f>
        <v>0</v>
      </c>
      <c r="AY13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18" s="81"/>
      <c r="BA1318" s="81"/>
      <c r="BB1318" s="81">
        <f>Prog_23[[#This Row],[VLR NF]]*0.1%</f>
        <v>0</v>
      </c>
      <c r="BC1318" s="81">
        <f>Prog_23[[#This Row],[VLR NF]]*0.05%</f>
        <v>0</v>
      </c>
      <c r="BD1318" s="81"/>
      <c r="BE1318" s="81"/>
      <c r="BF1318" s="81"/>
      <c r="BG1318" s="81"/>
      <c r="BH1318" s="81"/>
      <c r="BI1318" s="81"/>
      <c r="BJ1318" s="81"/>
      <c r="BK1318" s="81"/>
      <c r="BL1318" s="81"/>
      <c r="BM1318" s="81"/>
      <c r="BN1318" s="66"/>
      <c r="BO1318" s="66"/>
      <c r="BP1318" s="66"/>
      <c r="BQ1318" s="66" t="str">
        <f>PROPER(TEXT(Prog_23[[#This Row],[PROGRAMAÇÃO CLIENTE]],"mmm"))</f>
        <v>Jan</v>
      </c>
      <c r="BR1318" s="66">
        <f>YEAR(Prog_23[[#This Row],[PROGRAMAÇÃO CLIENTE]])</f>
        <v>1900</v>
      </c>
    </row>
    <row r="1319" spans="1:70" x14ac:dyDescent="0.25">
      <c r="A1319" s="200">
        <f>Prog_23[[#This Row],[CONTEINER]]</f>
        <v>0</v>
      </c>
      <c r="B1319" s="86"/>
      <c r="C13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19" s="44"/>
      <c r="E1319" s="66"/>
      <c r="F1319" s="66"/>
      <c r="G1319" s="66"/>
      <c r="H1319" s="44"/>
      <c r="I1319" s="44"/>
      <c r="J1319" s="66"/>
      <c r="K1319" s="66"/>
      <c r="L1319" s="66"/>
      <c r="M1319" s="66"/>
      <c r="N1319" s="66">
        <f>SUM(Prog_23[[#This Row],[TARA]]+Prog_23[[#This Row],[PESO]])</f>
        <v>0</v>
      </c>
      <c r="O1319" s="44"/>
      <c r="P1319" s="66"/>
      <c r="Q1319" s="66"/>
      <c r="R1319" s="66"/>
      <c r="S1319" s="66"/>
      <c r="T1319" s="138" t="str">
        <f>IFERROR(LOOKUP($S1319,MOTORISTAS!$D$3:$D$916,MOTORISTAS!E$3:$E$916),"")</f>
        <v/>
      </c>
      <c r="U1319" s="138" t="str">
        <f>IFERROR(LOOKUP($S1319,MOTORISTAS!$D$3:$D$916,MOTORISTAS!F$3:$F$916),"")</f>
        <v/>
      </c>
      <c r="V1319" s="66"/>
      <c r="W1319" s="66"/>
      <c r="X1319" s="66"/>
      <c r="Y1319" s="66"/>
      <c r="Z1319" s="66"/>
      <c r="AA1319" s="66"/>
      <c r="AB1319" s="66"/>
      <c r="AC1319" s="66"/>
      <c r="AD1319" s="66"/>
      <c r="AE1319" s="66"/>
      <c r="AF1319" s="44"/>
      <c r="AG1319" s="254">
        <f>Prog_23[[#This Row],[SAÍDA DO CLIENTE]]-Prog_23[[#This Row],[PROGRAMAÇÃO CLIENTE]]</f>
        <v>0</v>
      </c>
      <c r="AH1319" s="44"/>
      <c r="AI1319" s="66"/>
      <c r="AJ1319" s="66"/>
      <c r="AK1319" s="66"/>
      <c r="AL1319" s="66"/>
      <c r="AM1319" s="66"/>
      <c r="AN1319" s="83"/>
      <c r="AO1319" s="83"/>
      <c r="AP1319" s="83"/>
      <c r="AQ1319" s="66"/>
      <c r="AR1319" s="66"/>
      <c r="AS1319" s="66"/>
      <c r="AT1319" s="81"/>
      <c r="AU1319" s="81"/>
      <c r="AV1319" s="81"/>
      <c r="AW1319" s="81"/>
      <c r="AX1319" s="83">
        <f>SUM(Prog_23[[#This Row],[ADIANTAMENTO]]+Prog_23[[#This Row],[SALDO]]+Prog_23[[#This Row],[MARGEM]]+Prog_23[[#This Row],[ESTADIA 1]])</f>
        <v>0</v>
      </c>
      <c r="AY13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19" s="81"/>
      <c r="BA1319" s="81"/>
      <c r="BB1319" s="81">
        <f>Prog_23[[#This Row],[VLR NF]]*0.1%</f>
        <v>0</v>
      </c>
      <c r="BC1319" s="81">
        <f>Prog_23[[#This Row],[VLR NF]]*0.05%</f>
        <v>0</v>
      </c>
      <c r="BD1319" s="81"/>
      <c r="BE1319" s="81"/>
      <c r="BF1319" s="81"/>
      <c r="BG1319" s="81"/>
      <c r="BH1319" s="81"/>
      <c r="BI1319" s="81"/>
      <c r="BJ1319" s="81"/>
      <c r="BK1319" s="81"/>
      <c r="BL1319" s="81"/>
      <c r="BM1319" s="81"/>
      <c r="BN1319" s="66"/>
      <c r="BO1319" s="66"/>
      <c r="BP1319" s="66"/>
      <c r="BQ1319" s="66" t="str">
        <f>PROPER(TEXT(Prog_23[[#This Row],[PROGRAMAÇÃO CLIENTE]],"mmm"))</f>
        <v>Jan</v>
      </c>
      <c r="BR1319" s="66">
        <f>YEAR(Prog_23[[#This Row],[PROGRAMAÇÃO CLIENTE]])</f>
        <v>1900</v>
      </c>
    </row>
    <row r="1320" spans="1:70" x14ac:dyDescent="0.25">
      <c r="A1320" s="201">
        <f>Prog_23[[#This Row],[CONTEINER]]</f>
        <v>0</v>
      </c>
      <c r="B1320" s="86"/>
      <c r="C13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20" s="44"/>
      <c r="E1320" s="66"/>
      <c r="F1320" s="66"/>
      <c r="G1320" s="66"/>
      <c r="H1320" s="44"/>
      <c r="I1320" s="44"/>
      <c r="J1320" s="66"/>
      <c r="K1320" s="66"/>
      <c r="L1320" s="66"/>
      <c r="M1320" s="66"/>
      <c r="N1320" s="66">
        <f>SUM(Prog_23[[#This Row],[TARA]]+Prog_23[[#This Row],[PESO]])</f>
        <v>0</v>
      </c>
      <c r="O1320" s="44"/>
      <c r="P1320" s="66"/>
      <c r="Q1320" s="66"/>
      <c r="R1320" s="66"/>
      <c r="S1320" s="66"/>
      <c r="T1320" s="138" t="str">
        <f>IFERROR(LOOKUP($S1320,MOTORISTAS!$D$3:$D$916,MOTORISTAS!E$3:$E$916),"")</f>
        <v/>
      </c>
      <c r="U1320" s="138" t="str">
        <f>IFERROR(LOOKUP($S1320,MOTORISTAS!$D$3:$D$916,MOTORISTAS!F$3:$F$916),"")</f>
        <v/>
      </c>
      <c r="V1320" s="66"/>
      <c r="W1320" s="66"/>
      <c r="X1320" s="66"/>
      <c r="Y1320" s="66"/>
      <c r="Z1320" s="66"/>
      <c r="AA1320" s="66"/>
      <c r="AB1320" s="66"/>
      <c r="AC1320" s="66"/>
      <c r="AD1320" s="66"/>
      <c r="AE1320" s="66"/>
      <c r="AF1320" s="44"/>
      <c r="AG1320" s="254">
        <f>Prog_23[[#This Row],[SAÍDA DO CLIENTE]]-Prog_23[[#This Row],[PROGRAMAÇÃO CLIENTE]]</f>
        <v>0</v>
      </c>
      <c r="AH1320" s="44"/>
      <c r="AI1320" s="66"/>
      <c r="AJ1320" s="66"/>
      <c r="AK1320" s="66"/>
      <c r="AL1320" s="66"/>
      <c r="AM1320" s="66"/>
      <c r="AN1320" s="83"/>
      <c r="AO1320" s="83"/>
      <c r="AP1320" s="83"/>
      <c r="AQ1320" s="66"/>
      <c r="AR1320" s="66"/>
      <c r="AS1320" s="66"/>
      <c r="AT1320" s="81"/>
      <c r="AU1320" s="81"/>
      <c r="AV1320" s="81"/>
      <c r="AW1320" s="81"/>
      <c r="AX1320" s="83">
        <f>SUM(Prog_23[[#This Row],[ADIANTAMENTO]]+Prog_23[[#This Row],[SALDO]]+Prog_23[[#This Row],[MARGEM]]+Prog_23[[#This Row],[ESTADIA 1]])</f>
        <v>0</v>
      </c>
      <c r="AY13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20" s="81"/>
      <c r="BA1320" s="81"/>
      <c r="BB1320" s="81">
        <f>Prog_23[[#This Row],[VLR NF]]*0.1%</f>
        <v>0</v>
      </c>
      <c r="BC1320" s="81">
        <f>Prog_23[[#This Row],[VLR NF]]*0.05%</f>
        <v>0</v>
      </c>
      <c r="BD1320" s="81"/>
      <c r="BE1320" s="81"/>
      <c r="BF1320" s="81"/>
      <c r="BG1320" s="81"/>
      <c r="BH1320" s="81"/>
      <c r="BI1320" s="81"/>
      <c r="BJ1320" s="81"/>
      <c r="BK1320" s="81"/>
      <c r="BL1320" s="81"/>
      <c r="BM1320" s="81"/>
      <c r="BN1320" s="66"/>
      <c r="BO1320" s="66"/>
      <c r="BP1320" s="66"/>
      <c r="BQ1320" s="66" t="str">
        <f>PROPER(TEXT(Prog_23[[#This Row],[PROGRAMAÇÃO CLIENTE]],"mmm"))</f>
        <v>Jan</v>
      </c>
      <c r="BR1320" s="66">
        <f>YEAR(Prog_23[[#This Row],[PROGRAMAÇÃO CLIENTE]])</f>
        <v>1900</v>
      </c>
    </row>
    <row r="1321" spans="1:70" x14ac:dyDescent="0.25">
      <c r="A1321" s="200">
        <f>Prog_23[[#This Row],[CONTEINER]]</f>
        <v>0</v>
      </c>
      <c r="B1321" s="86"/>
      <c r="C13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21" s="44"/>
      <c r="E1321" s="66"/>
      <c r="F1321" s="66"/>
      <c r="G1321" s="66"/>
      <c r="H1321" s="44"/>
      <c r="I1321" s="44"/>
      <c r="J1321" s="66"/>
      <c r="K1321" s="66"/>
      <c r="L1321" s="66"/>
      <c r="M1321" s="66"/>
      <c r="N1321" s="66">
        <f>SUM(Prog_23[[#This Row],[TARA]]+Prog_23[[#This Row],[PESO]])</f>
        <v>0</v>
      </c>
      <c r="O1321" s="44"/>
      <c r="P1321" s="66"/>
      <c r="Q1321" s="66"/>
      <c r="R1321" s="66"/>
      <c r="S1321" s="66"/>
      <c r="T1321" s="138" t="str">
        <f>IFERROR(LOOKUP($S1321,MOTORISTAS!$D$3:$D$916,MOTORISTAS!E$3:$E$916),"")</f>
        <v/>
      </c>
      <c r="U1321" s="138" t="str">
        <f>IFERROR(LOOKUP($S1321,MOTORISTAS!$D$3:$D$916,MOTORISTAS!F$3:$F$916),"")</f>
        <v/>
      </c>
      <c r="V1321" s="66"/>
      <c r="W1321" s="66"/>
      <c r="X1321" s="66"/>
      <c r="Y1321" s="66"/>
      <c r="Z1321" s="66"/>
      <c r="AA1321" s="66"/>
      <c r="AB1321" s="66"/>
      <c r="AC1321" s="66"/>
      <c r="AD1321" s="66"/>
      <c r="AE1321" s="66"/>
      <c r="AF1321" s="44"/>
      <c r="AG1321" s="254">
        <f>Prog_23[[#This Row],[SAÍDA DO CLIENTE]]-Prog_23[[#This Row],[PROGRAMAÇÃO CLIENTE]]</f>
        <v>0</v>
      </c>
      <c r="AH1321" s="44"/>
      <c r="AI1321" s="66"/>
      <c r="AJ1321" s="66"/>
      <c r="AK1321" s="66"/>
      <c r="AL1321" s="66"/>
      <c r="AM1321" s="66"/>
      <c r="AN1321" s="83"/>
      <c r="AO1321" s="83"/>
      <c r="AP1321" s="83"/>
      <c r="AQ1321" s="66"/>
      <c r="AR1321" s="66"/>
      <c r="AS1321" s="66"/>
      <c r="AT1321" s="81"/>
      <c r="AU1321" s="81"/>
      <c r="AV1321" s="81"/>
      <c r="AW1321" s="81"/>
      <c r="AX1321" s="83">
        <f>SUM(Prog_23[[#This Row],[ADIANTAMENTO]]+Prog_23[[#This Row],[SALDO]]+Prog_23[[#This Row],[MARGEM]]+Prog_23[[#This Row],[ESTADIA 1]])</f>
        <v>0</v>
      </c>
      <c r="AY13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21" s="81"/>
      <c r="BA1321" s="81"/>
      <c r="BB1321" s="81">
        <f>Prog_23[[#This Row],[VLR NF]]*0.1%</f>
        <v>0</v>
      </c>
      <c r="BC1321" s="81">
        <f>Prog_23[[#This Row],[VLR NF]]*0.05%</f>
        <v>0</v>
      </c>
      <c r="BD1321" s="81"/>
      <c r="BE1321" s="81"/>
      <c r="BF1321" s="81"/>
      <c r="BG1321" s="81"/>
      <c r="BH1321" s="81"/>
      <c r="BI1321" s="81"/>
      <c r="BJ1321" s="81"/>
      <c r="BK1321" s="81"/>
      <c r="BL1321" s="81"/>
      <c r="BM1321" s="81"/>
      <c r="BN1321" s="66"/>
      <c r="BO1321" s="66"/>
      <c r="BP1321" s="66"/>
      <c r="BQ1321" s="66" t="str">
        <f>PROPER(TEXT(Prog_23[[#This Row],[PROGRAMAÇÃO CLIENTE]],"mmm"))</f>
        <v>Jan</v>
      </c>
      <c r="BR1321" s="66">
        <f>YEAR(Prog_23[[#This Row],[PROGRAMAÇÃO CLIENTE]])</f>
        <v>1900</v>
      </c>
    </row>
    <row r="1322" spans="1:70" x14ac:dyDescent="0.25">
      <c r="A1322" s="201">
        <f>Prog_23[[#This Row],[CONTEINER]]</f>
        <v>0</v>
      </c>
      <c r="B1322" s="86"/>
      <c r="C13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22" s="44"/>
      <c r="E1322" s="66"/>
      <c r="F1322" s="66"/>
      <c r="G1322" s="66"/>
      <c r="H1322" s="44"/>
      <c r="I1322" s="44"/>
      <c r="J1322" s="66"/>
      <c r="K1322" s="66"/>
      <c r="L1322" s="66"/>
      <c r="M1322" s="66"/>
      <c r="N1322" s="66">
        <f>SUM(Prog_23[[#This Row],[TARA]]+Prog_23[[#This Row],[PESO]])</f>
        <v>0</v>
      </c>
      <c r="O1322" s="44"/>
      <c r="P1322" s="66"/>
      <c r="Q1322" s="66"/>
      <c r="R1322" s="66"/>
      <c r="S1322" s="66"/>
      <c r="T1322" s="138" t="str">
        <f>IFERROR(LOOKUP($S1322,MOTORISTAS!$D$3:$D$916,MOTORISTAS!E$3:$E$916),"")</f>
        <v/>
      </c>
      <c r="U1322" s="138" t="str">
        <f>IFERROR(LOOKUP($S1322,MOTORISTAS!$D$3:$D$916,MOTORISTAS!F$3:$F$916),"")</f>
        <v/>
      </c>
      <c r="V1322" s="66"/>
      <c r="W1322" s="66"/>
      <c r="X1322" s="66"/>
      <c r="Y1322" s="66"/>
      <c r="Z1322" s="66"/>
      <c r="AA1322" s="66"/>
      <c r="AB1322" s="66"/>
      <c r="AC1322" s="66"/>
      <c r="AD1322" s="66"/>
      <c r="AE1322" s="66"/>
      <c r="AF1322" s="44"/>
      <c r="AG1322" s="254">
        <f>Prog_23[[#This Row],[SAÍDA DO CLIENTE]]-Prog_23[[#This Row],[PROGRAMAÇÃO CLIENTE]]</f>
        <v>0</v>
      </c>
      <c r="AH1322" s="44"/>
      <c r="AI1322" s="66"/>
      <c r="AJ1322" s="66"/>
      <c r="AK1322" s="66"/>
      <c r="AL1322" s="66"/>
      <c r="AM1322" s="66"/>
      <c r="AN1322" s="83"/>
      <c r="AO1322" s="83"/>
      <c r="AP1322" s="83"/>
      <c r="AQ1322" s="66"/>
      <c r="AR1322" s="66"/>
      <c r="AS1322" s="66"/>
      <c r="AT1322" s="81"/>
      <c r="AU1322" s="81"/>
      <c r="AV1322" s="81"/>
      <c r="AW1322" s="81"/>
      <c r="AX1322" s="83">
        <f>SUM(Prog_23[[#This Row],[ADIANTAMENTO]]+Prog_23[[#This Row],[SALDO]]+Prog_23[[#This Row],[MARGEM]]+Prog_23[[#This Row],[ESTADIA 1]])</f>
        <v>0</v>
      </c>
      <c r="AY13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22" s="81"/>
      <c r="BA1322" s="81"/>
      <c r="BB1322" s="81">
        <f>Prog_23[[#This Row],[VLR NF]]*0.1%</f>
        <v>0</v>
      </c>
      <c r="BC1322" s="81">
        <f>Prog_23[[#This Row],[VLR NF]]*0.05%</f>
        <v>0</v>
      </c>
      <c r="BD1322" s="81"/>
      <c r="BE1322" s="81"/>
      <c r="BF1322" s="81"/>
      <c r="BG1322" s="81"/>
      <c r="BH1322" s="81"/>
      <c r="BI1322" s="81"/>
      <c r="BJ1322" s="81"/>
      <c r="BK1322" s="81"/>
      <c r="BL1322" s="81"/>
      <c r="BM1322" s="81"/>
      <c r="BN1322" s="66"/>
      <c r="BO1322" s="66"/>
      <c r="BP1322" s="66"/>
      <c r="BQ1322" s="66" t="str">
        <f>PROPER(TEXT(Prog_23[[#This Row],[PROGRAMAÇÃO CLIENTE]],"mmm"))</f>
        <v>Jan</v>
      </c>
      <c r="BR1322" s="66">
        <f>YEAR(Prog_23[[#This Row],[PROGRAMAÇÃO CLIENTE]])</f>
        <v>1900</v>
      </c>
    </row>
    <row r="1323" spans="1:70" x14ac:dyDescent="0.25">
      <c r="A1323" s="200">
        <f>Prog_23[[#This Row],[CONTEINER]]</f>
        <v>0</v>
      </c>
      <c r="B1323" s="86"/>
      <c r="C13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23" s="44"/>
      <c r="E1323" s="66"/>
      <c r="F1323" s="66"/>
      <c r="G1323" s="66"/>
      <c r="H1323" s="44"/>
      <c r="I1323" s="44"/>
      <c r="J1323" s="66"/>
      <c r="K1323" s="66"/>
      <c r="L1323" s="66"/>
      <c r="M1323" s="66"/>
      <c r="N1323" s="66">
        <f>SUM(Prog_23[[#This Row],[TARA]]+Prog_23[[#This Row],[PESO]])</f>
        <v>0</v>
      </c>
      <c r="O1323" s="44"/>
      <c r="P1323" s="66"/>
      <c r="Q1323" s="66"/>
      <c r="R1323" s="66"/>
      <c r="S1323" s="66"/>
      <c r="T1323" s="138" t="str">
        <f>IFERROR(LOOKUP($S1323,MOTORISTAS!$D$3:$D$916,MOTORISTAS!E$3:$E$916),"")</f>
        <v/>
      </c>
      <c r="U1323" s="138" t="str">
        <f>IFERROR(LOOKUP($S1323,MOTORISTAS!$D$3:$D$916,MOTORISTAS!F$3:$F$916),"")</f>
        <v/>
      </c>
      <c r="V1323" s="66"/>
      <c r="W1323" s="66"/>
      <c r="X1323" s="66"/>
      <c r="Y1323" s="66"/>
      <c r="Z1323" s="66"/>
      <c r="AA1323" s="66"/>
      <c r="AB1323" s="66"/>
      <c r="AC1323" s="66"/>
      <c r="AD1323" s="66"/>
      <c r="AE1323" s="66"/>
      <c r="AF1323" s="44"/>
      <c r="AG1323" s="254">
        <f>Prog_23[[#This Row],[SAÍDA DO CLIENTE]]-Prog_23[[#This Row],[PROGRAMAÇÃO CLIENTE]]</f>
        <v>0</v>
      </c>
      <c r="AH1323" s="44"/>
      <c r="AI1323" s="66"/>
      <c r="AJ1323" s="66"/>
      <c r="AK1323" s="66"/>
      <c r="AL1323" s="66"/>
      <c r="AM1323" s="66"/>
      <c r="AN1323" s="83"/>
      <c r="AO1323" s="83"/>
      <c r="AP1323" s="83"/>
      <c r="AQ1323" s="66"/>
      <c r="AR1323" s="66"/>
      <c r="AS1323" s="66"/>
      <c r="AT1323" s="81"/>
      <c r="AU1323" s="81"/>
      <c r="AV1323" s="81"/>
      <c r="AW1323" s="81"/>
      <c r="AX1323" s="83">
        <f>SUM(Prog_23[[#This Row],[ADIANTAMENTO]]+Prog_23[[#This Row],[SALDO]]+Prog_23[[#This Row],[MARGEM]]+Prog_23[[#This Row],[ESTADIA 1]])</f>
        <v>0</v>
      </c>
      <c r="AY13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23" s="81"/>
      <c r="BA1323" s="81"/>
      <c r="BB1323" s="81">
        <f>Prog_23[[#This Row],[VLR NF]]*0.1%</f>
        <v>0</v>
      </c>
      <c r="BC1323" s="81">
        <f>Prog_23[[#This Row],[VLR NF]]*0.05%</f>
        <v>0</v>
      </c>
      <c r="BD1323" s="81"/>
      <c r="BE1323" s="81"/>
      <c r="BF1323" s="81"/>
      <c r="BG1323" s="81"/>
      <c r="BH1323" s="81"/>
      <c r="BI1323" s="81"/>
      <c r="BJ1323" s="81"/>
      <c r="BK1323" s="81"/>
      <c r="BL1323" s="81"/>
      <c r="BM1323" s="81"/>
      <c r="BN1323" s="66"/>
      <c r="BO1323" s="66"/>
      <c r="BP1323" s="66"/>
      <c r="BQ1323" s="66" t="str">
        <f>PROPER(TEXT(Prog_23[[#This Row],[PROGRAMAÇÃO CLIENTE]],"mmm"))</f>
        <v>Jan</v>
      </c>
      <c r="BR1323" s="66">
        <f>YEAR(Prog_23[[#This Row],[PROGRAMAÇÃO CLIENTE]])</f>
        <v>1900</v>
      </c>
    </row>
    <row r="1324" spans="1:70" x14ac:dyDescent="0.25">
      <c r="A1324" s="201">
        <f>Prog_23[[#This Row],[CONTEINER]]</f>
        <v>0</v>
      </c>
      <c r="B1324" s="86"/>
      <c r="C13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24" s="44"/>
      <c r="E1324" s="66"/>
      <c r="F1324" s="66"/>
      <c r="G1324" s="66"/>
      <c r="H1324" s="44"/>
      <c r="I1324" s="44"/>
      <c r="J1324" s="66"/>
      <c r="K1324" s="66"/>
      <c r="L1324" s="66"/>
      <c r="M1324" s="66"/>
      <c r="N1324" s="66">
        <f>SUM(Prog_23[[#This Row],[TARA]]+Prog_23[[#This Row],[PESO]])</f>
        <v>0</v>
      </c>
      <c r="O1324" s="44"/>
      <c r="P1324" s="66"/>
      <c r="Q1324" s="66"/>
      <c r="R1324" s="66"/>
      <c r="S1324" s="66"/>
      <c r="T1324" s="138" t="str">
        <f>IFERROR(LOOKUP($S1324,MOTORISTAS!$D$3:$D$916,MOTORISTAS!E$3:$E$916),"")</f>
        <v/>
      </c>
      <c r="U1324" s="138" t="str">
        <f>IFERROR(LOOKUP($S1324,MOTORISTAS!$D$3:$D$916,MOTORISTAS!F$3:$F$916),"")</f>
        <v/>
      </c>
      <c r="V1324" s="66"/>
      <c r="W1324" s="66"/>
      <c r="X1324" s="66"/>
      <c r="Y1324" s="66"/>
      <c r="Z1324" s="66"/>
      <c r="AA1324" s="66"/>
      <c r="AB1324" s="66"/>
      <c r="AC1324" s="66"/>
      <c r="AD1324" s="66"/>
      <c r="AE1324" s="66"/>
      <c r="AF1324" s="44"/>
      <c r="AG1324" s="254">
        <f>Prog_23[[#This Row],[SAÍDA DO CLIENTE]]-Prog_23[[#This Row],[PROGRAMAÇÃO CLIENTE]]</f>
        <v>0</v>
      </c>
      <c r="AH1324" s="44"/>
      <c r="AI1324" s="66"/>
      <c r="AJ1324" s="66"/>
      <c r="AK1324" s="66"/>
      <c r="AL1324" s="66"/>
      <c r="AM1324" s="66"/>
      <c r="AN1324" s="83"/>
      <c r="AO1324" s="83"/>
      <c r="AP1324" s="83"/>
      <c r="AQ1324" s="66"/>
      <c r="AR1324" s="66"/>
      <c r="AS1324" s="66"/>
      <c r="AT1324" s="81"/>
      <c r="AU1324" s="81"/>
      <c r="AV1324" s="81"/>
      <c r="AW1324" s="81"/>
      <c r="AX1324" s="83">
        <f>SUM(Prog_23[[#This Row],[ADIANTAMENTO]]+Prog_23[[#This Row],[SALDO]]+Prog_23[[#This Row],[MARGEM]]+Prog_23[[#This Row],[ESTADIA 1]])</f>
        <v>0</v>
      </c>
      <c r="AY13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24" s="81"/>
      <c r="BA1324" s="81"/>
      <c r="BB1324" s="81">
        <f>Prog_23[[#This Row],[VLR NF]]*0.1%</f>
        <v>0</v>
      </c>
      <c r="BC1324" s="81">
        <f>Prog_23[[#This Row],[VLR NF]]*0.05%</f>
        <v>0</v>
      </c>
      <c r="BD1324" s="81"/>
      <c r="BE1324" s="81"/>
      <c r="BF1324" s="81"/>
      <c r="BG1324" s="81"/>
      <c r="BH1324" s="81"/>
      <c r="BI1324" s="81"/>
      <c r="BJ1324" s="81"/>
      <c r="BK1324" s="81"/>
      <c r="BL1324" s="81"/>
      <c r="BM1324" s="81"/>
      <c r="BN1324" s="66"/>
      <c r="BO1324" s="66"/>
      <c r="BP1324" s="66"/>
      <c r="BQ1324" s="66" t="str">
        <f>PROPER(TEXT(Prog_23[[#This Row],[PROGRAMAÇÃO CLIENTE]],"mmm"))</f>
        <v>Jan</v>
      </c>
      <c r="BR1324" s="66">
        <f>YEAR(Prog_23[[#This Row],[PROGRAMAÇÃO CLIENTE]])</f>
        <v>1900</v>
      </c>
    </row>
    <row r="1325" spans="1:70" x14ac:dyDescent="0.25">
      <c r="A1325" s="200">
        <f>Prog_23[[#This Row],[CONTEINER]]</f>
        <v>0</v>
      </c>
      <c r="B1325" s="86"/>
      <c r="C13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25" s="44"/>
      <c r="E1325" s="66"/>
      <c r="F1325" s="66"/>
      <c r="G1325" s="66"/>
      <c r="H1325" s="44"/>
      <c r="I1325" s="44"/>
      <c r="J1325" s="66"/>
      <c r="K1325" s="66"/>
      <c r="L1325" s="66"/>
      <c r="M1325" s="66"/>
      <c r="N1325" s="66">
        <f>SUM(Prog_23[[#This Row],[TARA]]+Prog_23[[#This Row],[PESO]])</f>
        <v>0</v>
      </c>
      <c r="O1325" s="44"/>
      <c r="P1325" s="66"/>
      <c r="Q1325" s="66"/>
      <c r="R1325" s="66"/>
      <c r="S1325" s="66"/>
      <c r="T1325" s="138" t="str">
        <f>IFERROR(LOOKUP($S1325,MOTORISTAS!$D$3:$D$916,MOTORISTAS!E$3:$E$916),"")</f>
        <v/>
      </c>
      <c r="U1325" s="138" t="str">
        <f>IFERROR(LOOKUP($S1325,MOTORISTAS!$D$3:$D$916,MOTORISTAS!F$3:$F$916),"")</f>
        <v/>
      </c>
      <c r="V1325" s="66"/>
      <c r="W1325" s="66"/>
      <c r="X1325" s="66"/>
      <c r="Y1325" s="66"/>
      <c r="Z1325" s="66"/>
      <c r="AA1325" s="66"/>
      <c r="AB1325" s="66"/>
      <c r="AC1325" s="66"/>
      <c r="AD1325" s="66"/>
      <c r="AE1325" s="66"/>
      <c r="AF1325" s="44"/>
      <c r="AG1325" s="254">
        <f>Prog_23[[#This Row],[SAÍDA DO CLIENTE]]-Prog_23[[#This Row],[PROGRAMAÇÃO CLIENTE]]</f>
        <v>0</v>
      </c>
      <c r="AH1325" s="44"/>
      <c r="AI1325" s="66"/>
      <c r="AJ1325" s="66"/>
      <c r="AK1325" s="66"/>
      <c r="AL1325" s="66"/>
      <c r="AM1325" s="66"/>
      <c r="AN1325" s="83"/>
      <c r="AO1325" s="83"/>
      <c r="AP1325" s="83"/>
      <c r="AQ1325" s="66"/>
      <c r="AR1325" s="66"/>
      <c r="AS1325" s="66"/>
      <c r="AT1325" s="81"/>
      <c r="AU1325" s="81"/>
      <c r="AV1325" s="81"/>
      <c r="AW1325" s="81"/>
      <c r="AX1325" s="83">
        <f>SUM(Prog_23[[#This Row],[ADIANTAMENTO]]+Prog_23[[#This Row],[SALDO]]+Prog_23[[#This Row],[MARGEM]]+Prog_23[[#This Row],[ESTADIA 1]])</f>
        <v>0</v>
      </c>
      <c r="AY13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25" s="81"/>
      <c r="BA1325" s="81"/>
      <c r="BB1325" s="81">
        <f>Prog_23[[#This Row],[VLR NF]]*0.1%</f>
        <v>0</v>
      </c>
      <c r="BC1325" s="81">
        <f>Prog_23[[#This Row],[VLR NF]]*0.05%</f>
        <v>0</v>
      </c>
      <c r="BD1325" s="81"/>
      <c r="BE1325" s="81"/>
      <c r="BF1325" s="81"/>
      <c r="BG1325" s="81"/>
      <c r="BH1325" s="81"/>
      <c r="BI1325" s="81"/>
      <c r="BJ1325" s="81"/>
      <c r="BK1325" s="81"/>
      <c r="BL1325" s="81"/>
      <c r="BM1325" s="81"/>
      <c r="BN1325" s="66"/>
      <c r="BO1325" s="66"/>
      <c r="BP1325" s="66"/>
      <c r="BQ1325" s="66" t="str">
        <f>PROPER(TEXT(Prog_23[[#This Row],[PROGRAMAÇÃO CLIENTE]],"mmm"))</f>
        <v>Jan</v>
      </c>
      <c r="BR1325" s="66">
        <f>YEAR(Prog_23[[#This Row],[PROGRAMAÇÃO CLIENTE]])</f>
        <v>1900</v>
      </c>
    </row>
    <row r="1326" spans="1:70" x14ac:dyDescent="0.25">
      <c r="A1326" s="201">
        <f>Prog_23[[#This Row],[CONTEINER]]</f>
        <v>0</v>
      </c>
      <c r="B1326" s="86"/>
      <c r="C13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26" s="44"/>
      <c r="E1326" s="66"/>
      <c r="F1326" s="66"/>
      <c r="G1326" s="66"/>
      <c r="H1326" s="44"/>
      <c r="I1326" s="44"/>
      <c r="J1326" s="66"/>
      <c r="K1326" s="66"/>
      <c r="L1326" s="66"/>
      <c r="M1326" s="66"/>
      <c r="N1326" s="66">
        <f>SUM(Prog_23[[#This Row],[TARA]]+Prog_23[[#This Row],[PESO]])</f>
        <v>0</v>
      </c>
      <c r="O1326" s="44"/>
      <c r="P1326" s="66"/>
      <c r="Q1326" s="66"/>
      <c r="R1326" s="66"/>
      <c r="S1326" s="66"/>
      <c r="T1326" s="138" t="str">
        <f>IFERROR(LOOKUP($S1326,MOTORISTAS!$D$3:$D$916,MOTORISTAS!E$3:$E$916),"")</f>
        <v/>
      </c>
      <c r="U1326" s="138" t="str">
        <f>IFERROR(LOOKUP($S1326,MOTORISTAS!$D$3:$D$916,MOTORISTAS!F$3:$F$916),"")</f>
        <v/>
      </c>
      <c r="V1326" s="66"/>
      <c r="W1326" s="66"/>
      <c r="X1326" s="66"/>
      <c r="Y1326" s="66"/>
      <c r="Z1326" s="66"/>
      <c r="AA1326" s="66"/>
      <c r="AB1326" s="66"/>
      <c r="AC1326" s="66"/>
      <c r="AD1326" s="66"/>
      <c r="AE1326" s="66"/>
      <c r="AF1326" s="44"/>
      <c r="AG1326" s="254">
        <f>Prog_23[[#This Row],[SAÍDA DO CLIENTE]]-Prog_23[[#This Row],[PROGRAMAÇÃO CLIENTE]]</f>
        <v>0</v>
      </c>
      <c r="AH1326" s="44"/>
      <c r="AI1326" s="66"/>
      <c r="AJ1326" s="66"/>
      <c r="AK1326" s="66"/>
      <c r="AL1326" s="66"/>
      <c r="AM1326" s="66"/>
      <c r="AN1326" s="83"/>
      <c r="AO1326" s="83"/>
      <c r="AP1326" s="83"/>
      <c r="AQ1326" s="66"/>
      <c r="AR1326" s="66"/>
      <c r="AS1326" s="66"/>
      <c r="AT1326" s="81"/>
      <c r="AU1326" s="81"/>
      <c r="AV1326" s="81"/>
      <c r="AW1326" s="81"/>
      <c r="AX1326" s="83">
        <f>SUM(Prog_23[[#This Row],[ADIANTAMENTO]]+Prog_23[[#This Row],[SALDO]]+Prog_23[[#This Row],[MARGEM]]+Prog_23[[#This Row],[ESTADIA 1]])</f>
        <v>0</v>
      </c>
      <c r="AY13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26" s="81"/>
      <c r="BA1326" s="81"/>
      <c r="BB1326" s="81">
        <f>Prog_23[[#This Row],[VLR NF]]*0.1%</f>
        <v>0</v>
      </c>
      <c r="BC1326" s="81">
        <f>Prog_23[[#This Row],[VLR NF]]*0.05%</f>
        <v>0</v>
      </c>
      <c r="BD1326" s="81"/>
      <c r="BE1326" s="81"/>
      <c r="BF1326" s="81"/>
      <c r="BG1326" s="81"/>
      <c r="BH1326" s="81"/>
      <c r="BI1326" s="81"/>
      <c r="BJ1326" s="81"/>
      <c r="BK1326" s="81"/>
      <c r="BL1326" s="81"/>
      <c r="BM1326" s="81"/>
      <c r="BN1326" s="66"/>
      <c r="BO1326" s="66"/>
      <c r="BP1326" s="66"/>
      <c r="BQ1326" s="66" t="str">
        <f>PROPER(TEXT(Prog_23[[#This Row],[PROGRAMAÇÃO CLIENTE]],"mmm"))</f>
        <v>Jan</v>
      </c>
      <c r="BR1326" s="66">
        <f>YEAR(Prog_23[[#This Row],[PROGRAMAÇÃO CLIENTE]])</f>
        <v>1900</v>
      </c>
    </row>
    <row r="1327" spans="1:70" x14ac:dyDescent="0.25">
      <c r="A1327" s="200">
        <f>Prog_23[[#This Row],[CONTEINER]]</f>
        <v>0</v>
      </c>
      <c r="B1327" s="86"/>
      <c r="C13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27" s="44"/>
      <c r="E1327" s="66"/>
      <c r="F1327" s="66"/>
      <c r="G1327" s="66"/>
      <c r="H1327" s="44"/>
      <c r="I1327" s="44"/>
      <c r="J1327" s="66"/>
      <c r="K1327" s="66"/>
      <c r="L1327" s="66"/>
      <c r="M1327" s="66"/>
      <c r="N1327" s="66">
        <f>SUM(Prog_23[[#This Row],[TARA]]+Prog_23[[#This Row],[PESO]])</f>
        <v>0</v>
      </c>
      <c r="O1327" s="44"/>
      <c r="P1327" s="66"/>
      <c r="Q1327" s="66"/>
      <c r="R1327" s="66"/>
      <c r="S1327" s="66"/>
      <c r="T1327" s="138" t="str">
        <f>IFERROR(LOOKUP($S1327,MOTORISTAS!$D$3:$D$916,MOTORISTAS!E$3:$E$916),"")</f>
        <v/>
      </c>
      <c r="U1327" s="138" t="str">
        <f>IFERROR(LOOKUP($S1327,MOTORISTAS!$D$3:$D$916,MOTORISTAS!F$3:$F$916),"")</f>
        <v/>
      </c>
      <c r="V1327" s="66"/>
      <c r="W1327" s="66"/>
      <c r="X1327" s="66"/>
      <c r="Y1327" s="66"/>
      <c r="Z1327" s="66"/>
      <c r="AA1327" s="66"/>
      <c r="AB1327" s="66"/>
      <c r="AC1327" s="66"/>
      <c r="AD1327" s="66"/>
      <c r="AE1327" s="66"/>
      <c r="AF1327" s="44"/>
      <c r="AG1327" s="254">
        <f>Prog_23[[#This Row],[SAÍDA DO CLIENTE]]-Prog_23[[#This Row],[PROGRAMAÇÃO CLIENTE]]</f>
        <v>0</v>
      </c>
      <c r="AH1327" s="44"/>
      <c r="AI1327" s="66"/>
      <c r="AJ1327" s="66"/>
      <c r="AK1327" s="66"/>
      <c r="AL1327" s="66"/>
      <c r="AM1327" s="66"/>
      <c r="AN1327" s="83"/>
      <c r="AO1327" s="83"/>
      <c r="AP1327" s="83"/>
      <c r="AQ1327" s="66"/>
      <c r="AR1327" s="66"/>
      <c r="AS1327" s="66"/>
      <c r="AT1327" s="81"/>
      <c r="AU1327" s="81"/>
      <c r="AV1327" s="81"/>
      <c r="AW1327" s="81"/>
      <c r="AX1327" s="83">
        <f>SUM(Prog_23[[#This Row],[ADIANTAMENTO]]+Prog_23[[#This Row],[SALDO]]+Prog_23[[#This Row],[MARGEM]]+Prog_23[[#This Row],[ESTADIA 1]])</f>
        <v>0</v>
      </c>
      <c r="AY13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27" s="81"/>
      <c r="BA1327" s="81"/>
      <c r="BB1327" s="81">
        <f>Prog_23[[#This Row],[VLR NF]]*0.1%</f>
        <v>0</v>
      </c>
      <c r="BC1327" s="81">
        <f>Prog_23[[#This Row],[VLR NF]]*0.05%</f>
        <v>0</v>
      </c>
      <c r="BD1327" s="81"/>
      <c r="BE1327" s="81"/>
      <c r="BF1327" s="81"/>
      <c r="BG1327" s="81"/>
      <c r="BH1327" s="81"/>
      <c r="BI1327" s="81"/>
      <c r="BJ1327" s="81"/>
      <c r="BK1327" s="81"/>
      <c r="BL1327" s="81"/>
      <c r="BM1327" s="81"/>
      <c r="BN1327" s="66"/>
      <c r="BO1327" s="66"/>
      <c r="BP1327" s="66"/>
      <c r="BQ1327" s="66" t="str">
        <f>PROPER(TEXT(Prog_23[[#This Row],[PROGRAMAÇÃO CLIENTE]],"mmm"))</f>
        <v>Jan</v>
      </c>
      <c r="BR1327" s="66">
        <f>YEAR(Prog_23[[#This Row],[PROGRAMAÇÃO CLIENTE]])</f>
        <v>1900</v>
      </c>
    </row>
    <row r="1328" spans="1:70" x14ac:dyDescent="0.25">
      <c r="A1328" s="201">
        <f>Prog_23[[#This Row],[CONTEINER]]</f>
        <v>0</v>
      </c>
      <c r="B1328" s="86"/>
      <c r="C13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28" s="44"/>
      <c r="E1328" s="66"/>
      <c r="F1328" s="66"/>
      <c r="G1328" s="66"/>
      <c r="H1328" s="44"/>
      <c r="I1328" s="44"/>
      <c r="J1328" s="66"/>
      <c r="K1328" s="66"/>
      <c r="L1328" s="66"/>
      <c r="M1328" s="66"/>
      <c r="N1328" s="66">
        <f>SUM(Prog_23[[#This Row],[TARA]]+Prog_23[[#This Row],[PESO]])</f>
        <v>0</v>
      </c>
      <c r="O1328" s="44"/>
      <c r="P1328" s="66"/>
      <c r="Q1328" s="66"/>
      <c r="R1328" s="66"/>
      <c r="S1328" s="66"/>
      <c r="T1328" s="138" t="str">
        <f>IFERROR(LOOKUP($S1328,MOTORISTAS!$D$3:$D$916,MOTORISTAS!E$3:$E$916),"")</f>
        <v/>
      </c>
      <c r="U1328" s="138" t="str">
        <f>IFERROR(LOOKUP($S1328,MOTORISTAS!$D$3:$D$916,MOTORISTAS!F$3:$F$916),"")</f>
        <v/>
      </c>
      <c r="V1328" s="66"/>
      <c r="W1328" s="66"/>
      <c r="X1328" s="66"/>
      <c r="Y1328" s="66"/>
      <c r="Z1328" s="66"/>
      <c r="AA1328" s="66"/>
      <c r="AB1328" s="66"/>
      <c r="AC1328" s="66"/>
      <c r="AD1328" s="66"/>
      <c r="AE1328" s="66"/>
      <c r="AF1328" s="44"/>
      <c r="AG1328" s="254">
        <f>Prog_23[[#This Row],[SAÍDA DO CLIENTE]]-Prog_23[[#This Row],[PROGRAMAÇÃO CLIENTE]]</f>
        <v>0</v>
      </c>
      <c r="AH1328" s="44"/>
      <c r="AI1328" s="66"/>
      <c r="AJ1328" s="66"/>
      <c r="AK1328" s="66"/>
      <c r="AL1328" s="66"/>
      <c r="AM1328" s="66"/>
      <c r="AN1328" s="83"/>
      <c r="AO1328" s="83"/>
      <c r="AP1328" s="83"/>
      <c r="AQ1328" s="66"/>
      <c r="AR1328" s="66"/>
      <c r="AS1328" s="66"/>
      <c r="AT1328" s="81"/>
      <c r="AU1328" s="81"/>
      <c r="AV1328" s="81"/>
      <c r="AW1328" s="81"/>
      <c r="AX1328" s="83">
        <f>SUM(Prog_23[[#This Row],[ADIANTAMENTO]]+Prog_23[[#This Row],[SALDO]]+Prog_23[[#This Row],[MARGEM]]+Prog_23[[#This Row],[ESTADIA 1]])</f>
        <v>0</v>
      </c>
      <c r="AY13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28" s="81"/>
      <c r="BA1328" s="81"/>
      <c r="BB1328" s="81">
        <f>Prog_23[[#This Row],[VLR NF]]*0.1%</f>
        <v>0</v>
      </c>
      <c r="BC1328" s="81">
        <f>Prog_23[[#This Row],[VLR NF]]*0.05%</f>
        <v>0</v>
      </c>
      <c r="BD1328" s="81"/>
      <c r="BE1328" s="81"/>
      <c r="BF1328" s="81"/>
      <c r="BG1328" s="81"/>
      <c r="BH1328" s="81"/>
      <c r="BI1328" s="81"/>
      <c r="BJ1328" s="81"/>
      <c r="BK1328" s="81"/>
      <c r="BL1328" s="81"/>
      <c r="BM1328" s="81"/>
      <c r="BN1328" s="66"/>
      <c r="BO1328" s="66"/>
      <c r="BP1328" s="66"/>
      <c r="BQ1328" s="66" t="str">
        <f>PROPER(TEXT(Prog_23[[#This Row],[PROGRAMAÇÃO CLIENTE]],"mmm"))</f>
        <v>Jan</v>
      </c>
      <c r="BR1328" s="66">
        <f>YEAR(Prog_23[[#This Row],[PROGRAMAÇÃO CLIENTE]])</f>
        <v>1900</v>
      </c>
    </row>
    <row r="1329" spans="1:70" x14ac:dyDescent="0.25">
      <c r="A1329" s="200">
        <f>Prog_23[[#This Row],[CONTEINER]]</f>
        <v>0</v>
      </c>
      <c r="B1329" s="86"/>
      <c r="C13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29" s="44"/>
      <c r="E1329" s="66"/>
      <c r="F1329" s="66"/>
      <c r="G1329" s="66"/>
      <c r="H1329" s="44"/>
      <c r="I1329" s="44"/>
      <c r="J1329" s="66"/>
      <c r="K1329" s="66"/>
      <c r="L1329" s="66"/>
      <c r="M1329" s="66"/>
      <c r="N1329" s="66">
        <f>SUM(Prog_23[[#This Row],[TARA]]+Prog_23[[#This Row],[PESO]])</f>
        <v>0</v>
      </c>
      <c r="O1329" s="44"/>
      <c r="P1329" s="66"/>
      <c r="Q1329" s="66"/>
      <c r="R1329" s="66"/>
      <c r="S1329" s="66"/>
      <c r="T1329" s="138" t="str">
        <f>IFERROR(LOOKUP($S1329,MOTORISTAS!$D$3:$D$916,MOTORISTAS!E$3:$E$916),"")</f>
        <v/>
      </c>
      <c r="U1329" s="138" t="str">
        <f>IFERROR(LOOKUP($S1329,MOTORISTAS!$D$3:$D$916,MOTORISTAS!F$3:$F$916),"")</f>
        <v/>
      </c>
      <c r="V1329" s="66"/>
      <c r="W1329" s="66"/>
      <c r="X1329" s="66"/>
      <c r="Y1329" s="66"/>
      <c r="Z1329" s="66"/>
      <c r="AA1329" s="66"/>
      <c r="AB1329" s="66"/>
      <c r="AC1329" s="66"/>
      <c r="AD1329" s="66"/>
      <c r="AE1329" s="66"/>
      <c r="AF1329" s="44"/>
      <c r="AG1329" s="254">
        <f>Prog_23[[#This Row],[SAÍDA DO CLIENTE]]-Prog_23[[#This Row],[PROGRAMAÇÃO CLIENTE]]</f>
        <v>0</v>
      </c>
      <c r="AH1329" s="44"/>
      <c r="AI1329" s="66"/>
      <c r="AJ1329" s="66"/>
      <c r="AK1329" s="66"/>
      <c r="AL1329" s="66"/>
      <c r="AM1329" s="66"/>
      <c r="AN1329" s="83"/>
      <c r="AO1329" s="83"/>
      <c r="AP1329" s="83"/>
      <c r="AQ1329" s="66"/>
      <c r="AR1329" s="66"/>
      <c r="AS1329" s="66"/>
      <c r="AT1329" s="81"/>
      <c r="AU1329" s="81"/>
      <c r="AV1329" s="81"/>
      <c r="AW1329" s="81"/>
      <c r="AX1329" s="83">
        <f>SUM(Prog_23[[#This Row],[ADIANTAMENTO]]+Prog_23[[#This Row],[SALDO]]+Prog_23[[#This Row],[MARGEM]]+Prog_23[[#This Row],[ESTADIA 1]])</f>
        <v>0</v>
      </c>
      <c r="AY13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29" s="81"/>
      <c r="BA1329" s="81"/>
      <c r="BB1329" s="81">
        <f>Prog_23[[#This Row],[VLR NF]]*0.1%</f>
        <v>0</v>
      </c>
      <c r="BC1329" s="81">
        <f>Prog_23[[#This Row],[VLR NF]]*0.05%</f>
        <v>0</v>
      </c>
      <c r="BD1329" s="81"/>
      <c r="BE1329" s="81"/>
      <c r="BF1329" s="81"/>
      <c r="BG1329" s="81"/>
      <c r="BH1329" s="81"/>
      <c r="BI1329" s="81"/>
      <c r="BJ1329" s="81"/>
      <c r="BK1329" s="81"/>
      <c r="BL1329" s="81"/>
      <c r="BM1329" s="81"/>
      <c r="BN1329" s="66"/>
      <c r="BO1329" s="66"/>
      <c r="BP1329" s="66"/>
      <c r="BQ1329" s="66" t="str">
        <f>PROPER(TEXT(Prog_23[[#This Row],[PROGRAMAÇÃO CLIENTE]],"mmm"))</f>
        <v>Jan</v>
      </c>
      <c r="BR1329" s="66">
        <f>YEAR(Prog_23[[#This Row],[PROGRAMAÇÃO CLIENTE]])</f>
        <v>1900</v>
      </c>
    </row>
    <row r="1330" spans="1:70" x14ac:dyDescent="0.25">
      <c r="A1330" s="201">
        <f>Prog_23[[#This Row],[CONTEINER]]</f>
        <v>0</v>
      </c>
      <c r="B1330" s="86"/>
      <c r="C13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30" s="44"/>
      <c r="E1330" s="66"/>
      <c r="F1330" s="66"/>
      <c r="G1330" s="66"/>
      <c r="H1330" s="44"/>
      <c r="I1330" s="44"/>
      <c r="J1330" s="66"/>
      <c r="K1330" s="66"/>
      <c r="L1330" s="66"/>
      <c r="M1330" s="66"/>
      <c r="N1330" s="66">
        <f>SUM(Prog_23[[#This Row],[TARA]]+Prog_23[[#This Row],[PESO]])</f>
        <v>0</v>
      </c>
      <c r="O1330" s="44"/>
      <c r="P1330" s="66"/>
      <c r="Q1330" s="66"/>
      <c r="R1330" s="66"/>
      <c r="S1330" s="66"/>
      <c r="T1330" s="138" t="str">
        <f>IFERROR(LOOKUP($S1330,MOTORISTAS!$D$3:$D$916,MOTORISTAS!E$3:$E$916),"")</f>
        <v/>
      </c>
      <c r="U1330" s="138" t="str">
        <f>IFERROR(LOOKUP($S1330,MOTORISTAS!$D$3:$D$916,MOTORISTAS!F$3:$F$916),"")</f>
        <v/>
      </c>
      <c r="V1330" s="66"/>
      <c r="W1330" s="66"/>
      <c r="X1330" s="66"/>
      <c r="Y1330" s="66"/>
      <c r="Z1330" s="66"/>
      <c r="AA1330" s="66"/>
      <c r="AB1330" s="66"/>
      <c r="AC1330" s="66"/>
      <c r="AD1330" s="66"/>
      <c r="AE1330" s="66"/>
      <c r="AF1330" s="44"/>
      <c r="AG1330" s="254">
        <f>Prog_23[[#This Row],[SAÍDA DO CLIENTE]]-Prog_23[[#This Row],[PROGRAMAÇÃO CLIENTE]]</f>
        <v>0</v>
      </c>
      <c r="AH1330" s="44"/>
      <c r="AI1330" s="66"/>
      <c r="AJ1330" s="66"/>
      <c r="AK1330" s="66"/>
      <c r="AL1330" s="66"/>
      <c r="AM1330" s="66"/>
      <c r="AN1330" s="83"/>
      <c r="AO1330" s="83"/>
      <c r="AP1330" s="83"/>
      <c r="AQ1330" s="66"/>
      <c r="AR1330" s="66"/>
      <c r="AS1330" s="66"/>
      <c r="AT1330" s="81"/>
      <c r="AU1330" s="81"/>
      <c r="AV1330" s="81"/>
      <c r="AW1330" s="81"/>
      <c r="AX1330" s="83">
        <f>SUM(Prog_23[[#This Row],[ADIANTAMENTO]]+Prog_23[[#This Row],[SALDO]]+Prog_23[[#This Row],[MARGEM]]+Prog_23[[#This Row],[ESTADIA 1]])</f>
        <v>0</v>
      </c>
      <c r="AY13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30" s="81"/>
      <c r="BA1330" s="81"/>
      <c r="BB1330" s="81">
        <f>Prog_23[[#This Row],[VLR NF]]*0.1%</f>
        <v>0</v>
      </c>
      <c r="BC1330" s="81">
        <f>Prog_23[[#This Row],[VLR NF]]*0.05%</f>
        <v>0</v>
      </c>
      <c r="BD1330" s="81"/>
      <c r="BE1330" s="81"/>
      <c r="BF1330" s="81"/>
      <c r="BG1330" s="81"/>
      <c r="BH1330" s="81"/>
      <c r="BI1330" s="81"/>
      <c r="BJ1330" s="81"/>
      <c r="BK1330" s="81"/>
      <c r="BL1330" s="81"/>
      <c r="BM1330" s="81"/>
      <c r="BN1330" s="66"/>
      <c r="BO1330" s="66"/>
      <c r="BP1330" s="66"/>
      <c r="BQ1330" s="66" t="str">
        <f>PROPER(TEXT(Prog_23[[#This Row],[PROGRAMAÇÃO CLIENTE]],"mmm"))</f>
        <v>Jan</v>
      </c>
      <c r="BR1330" s="66">
        <f>YEAR(Prog_23[[#This Row],[PROGRAMAÇÃO CLIENTE]])</f>
        <v>1900</v>
      </c>
    </row>
    <row r="1331" spans="1:70" x14ac:dyDescent="0.25">
      <c r="A1331" s="200">
        <f>Prog_23[[#This Row],[CONTEINER]]</f>
        <v>0</v>
      </c>
      <c r="B1331" s="86"/>
      <c r="C13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31" s="44"/>
      <c r="E1331" s="66"/>
      <c r="F1331" s="66"/>
      <c r="G1331" s="66"/>
      <c r="H1331" s="44"/>
      <c r="I1331" s="44"/>
      <c r="J1331" s="66"/>
      <c r="K1331" s="66"/>
      <c r="L1331" s="66"/>
      <c r="M1331" s="66"/>
      <c r="N1331" s="66">
        <f>SUM(Prog_23[[#This Row],[TARA]]+Prog_23[[#This Row],[PESO]])</f>
        <v>0</v>
      </c>
      <c r="O1331" s="44"/>
      <c r="P1331" s="66"/>
      <c r="Q1331" s="66"/>
      <c r="R1331" s="66"/>
      <c r="S1331" s="66"/>
      <c r="T1331" s="138" t="str">
        <f>IFERROR(LOOKUP($S1331,MOTORISTAS!$D$3:$D$916,MOTORISTAS!E$3:$E$916),"")</f>
        <v/>
      </c>
      <c r="U1331" s="138" t="str">
        <f>IFERROR(LOOKUP($S1331,MOTORISTAS!$D$3:$D$916,MOTORISTAS!F$3:$F$916),"")</f>
        <v/>
      </c>
      <c r="V1331" s="66"/>
      <c r="W1331" s="66"/>
      <c r="X1331" s="66"/>
      <c r="Y1331" s="66"/>
      <c r="Z1331" s="66"/>
      <c r="AA1331" s="66"/>
      <c r="AB1331" s="66"/>
      <c r="AC1331" s="66"/>
      <c r="AD1331" s="66"/>
      <c r="AE1331" s="66"/>
      <c r="AF1331" s="44"/>
      <c r="AG1331" s="254">
        <f>Prog_23[[#This Row],[SAÍDA DO CLIENTE]]-Prog_23[[#This Row],[PROGRAMAÇÃO CLIENTE]]</f>
        <v>0</v>
      </c>
      <c r="AH1331" s="44"/>
      <c r="AI1331" s="66"/>
      <c r="AJ1331" s="66"/>
      <c r="AK1331" s="66"/>
      <c r="AL1331" s="66"/>
      <c r="AM1331" s="66"/>
      <c r="AN1331" s="83"/>
      <c r="AO1331" s="83"/>
      <c r="AP1331" s="83"/>
      <c r="AQ1331" s="66"/>
      <c r="AR1331" s="66"/>
      <c r="AS1331" s="66"/>
      <c r="AT1331" s="81"/>
      <c r="AU1331" s="81"/>
      <c r="AV1331" s="81"/>
      <c r="AW1331" s="81"/>
      <c r="AX1331" s="83">
        <f>SUM(Prog_23[[#This Row],[ADIANTAMENTO]]+Prog_23[[#This Row],[SALDO]]+Prog_23[[#This Row],[MARGEM]]+Prog_23[[#This Row],[ESTADIA 1]])</f>
        <v>0</v>
      </c>
      <c r="AY13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31" s="81"/>
      <c r="BA1331" s="81"/>
      <c r="BB1331" s="81">
        <f>Prog_23[[#This Row],[VLR NF]]*0.1%</f>
        <v>0</v>
      </c>
      <c r="BC1331" s="81">
        <f>Prog_23[[#This Row],[VLR NF]]*0.05%</f>
        <v>0</v>
      </c>
      <c r="BD1331" s="81"/>
      <c r="BE1331" s="81"/>
      <c r="BF1331" s="81"/>
      <c r="BG1331" s="81"/>
      <c r="BH1331" s="81"/>
      <c r="BI1331" s="81"/>
      <c r="BJ1331" s="81"/>
      <c r="BK1331" s="81"/>
      <c r="BL1331" s="81"/>
      <c r="BM1331" s="81"/>
      <c r="BN1331" s="66"/>
      <c r="BO1331" s="66"/>
      <c r="BP1331" s="66"/>
      <c r="BQ1331" s="66" t="str">
        <f>PROPER(TEXT(Prog_23[[#This Row],[PROGRAMAÇÃO CLIENTE]],"mmm"))</f>
        <v>Jan</v>
      </c>
      <c r="BR1331" s="66">
        <f>YEAR(Prog_23[[#This Row],[PROGRAMAÇÃO CLIENTE]])</f>
        <v>1900</v>
      </c>
    </row>
    <row r="1332" spans="1:70" x14ac:dyDescent="0.25">
      <c r="A1332" s="201">
        <f>Prog_23[[#This Row],[CONTEINER]]</f>
        <v>0</v>
      </c>
      <c r="B1332" s="86"/>
      <c r="C13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32" s="44"/>
      <c r="E1332" s="66"/>
      <c r="F1332" s="66"/>
      <c r="G1332" s="66"/>
      <c r="H1332" s="44"/>
      <c r="I1332" s="44"/>
      <c r="J1332" s="66"/>
      <c r="K1332" s="66"/>
      <c r="L1332" s="66"/>
      <c r="M1332" s="66"/>
      <c r="N1332" s="66">
        <f>SUM(Prog_23[[#This Row],[TARA]]+Prog_23[[#This Row],[PESO]])</f>
        <v>0</v>
      </c>
      <c r="O1332" s="44"/>
      <c r="P1332" s="66"/>
      <c r="Q1332" s="66"/>
      <c r="R1332" s="66"/>
      <c r="S1332" s="66"/>
      <c r="T1332" s="138" t="str">
        <f>IFERROR(LOOKUP($S1332,MOTORISTAS!$D$3:$D$916,MOTORISTAS!E$3:$E$916),"")</f>
        <v/>
      </c>
      <c r="U1332" s="138" t="str">
        <f>IFERROR(LOOKUP($S1332,MOTORISTAS!$D$3:$D$916,MOTORISTAS!F$3:$F$916),"")</f>
        <v/>
      </c>
      <c r="V1332" s="66"/>
      <c r="W1332" s="66"/>
      <c r="X1332" s="66"/>
      <c r="Y1332" s="66"/>
      <c r="Z1332" s="66"/>
      <c r="AA1332" s="66"/>
      <c r="AB1332" s="66"/>
      <c r="AC1332" s="66"/>
      <c r="AD1332" s="66"/>
      <c r="AE1332" s="66"/>
      <c r="AF1332" s="44"/>
      <c r="AG1332" s="254">
        <f>Prog_23[[#This Row],[SAÍDA DO CLIENTE]]-Prog_23[[#This Row],[PROGRAMAÇÃO CLIENTE]]</f>
        <v>0</v>
      </c>
      <c r="AH1332" s="44"/>
      <c r="AI1332" s="66"/>
      <c r="AJ1332" s="66"/>
      <c r="AK1332" s="66"/>
      <c r="AL1332" s="66"/>
      <c r="AM1332" s="66"/>
      <c r="AN1332" s="83"/>
      <c r="AO1332" s="83"/>
      <c r="AP1332" s="83"/>
      <c r="AQ1332" s="66"/>
      <c r="AR1332" s="66"/>
      <c r="AS1332" s="66"/>
      <c r="AT1332" s="81"/>
      <c r="AU1332" s="81"/>
      <c r="AV1332" s="81"/>
      <c r="AW1332" s="81"/>
      <c r="AX1332" s="83">
        <f>SUM(Prog_23[[#This Row],[ADIANTAMENTO]]+Prog_23[[#This Row],[SALDO]]+Prog_23[[#This Row],[MARGEM]]+Prog_23[[#This Row],[ESTADIA 1]])</f>
        <v>0</v>
      </c>
      <c r="AY13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32" s="81"/>
      <c r="BA1332" s="81"/>
      <c r="BB1332" s="81">
        <f>Prog_23[[#This Row],[VLR NF]]*0.1%</f>
        <v>0</v>
      </c>
      <c r="BC1332" s="81">
        <f>Prog_23[[#This Row],[VLR NF]]*0.05%</f>
        <v>0</v>
      </c>
      <c r="BD1332" s="81"/>
      <c r="BE1332" s="81"/>
      <c r="BF1332" s="81"/>
      <c r="BG1332" s="81"/>
      <c r="BH1332" s="81"/>
      <c r="BI1332" s="81"/>
      <c r="BJ1332" s="81"/>
      <c r="BK1332" s="81"/>
      <c r="BL1332" s="81"/>
      <c r="BM1332" s="81"/>
      <c r="BN1332" s="66"/>
      <c r="BO1332" s="66"/>
      <c r="BP1332" s="66"/>
      <c r="BQ1332" s="66" t="str">
        <f>PROPER(TEXT(Prog_23[[#This Row],[PROGRAMAÇÃO CLIENTE]],"mmm"))</f>
        <v>Jan</v>
      </c>
      <c r="BR1332" s="66">
        <f>YEAR(Prog_23[[#This Row],[PROGRAMAÇÃO CLIENTE]])</f>
        <v>1900</v>
      </c>
    </row>
    <row r="1333" spans="1:70" x14ac:dyDescent="0.25">
      <c r="A1333" s="200">
        <f>Prog_23[[#This Row],[CONTEINER]]</f>
        <v>0</v>
      </c>
      <c r="B1333" s="86"/>
      <c r="C13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33" s="44"/>
      <c r="E1333" s="66"/>
      <c r="F1333" s="66"/>
      <c r="G1333" s="66"/>
      <c r="H1333" s="44"/>
      <c r="I1333" s="44"/>
      <c r="J1333" s="66"/>
      <c r="K1333" s="66"/>
      <c r="L1333" s="66"/>
      <c r="M1333" s="66"/>
      <c r="N1333" s="66">
        <f>SUM(Prog_23[[#This Row],[TARA]]+Prog_23[[#This Row],[PESO]])</f>
        <v>0</v>
      </c>
      <c r="O1333" s="44"/>
      <c r="P1333" s="66"/>
      <c r="Q1333" s="66"/>
      <c r="R1333" s="66"/>
      <c r="S1333" s="66"/>
      <c r="T1333" s="138" t="str">
        <f>IFERROR(LOOKUP($S1333,MOTORISTAS!$D$3:$D$916,MOTORISTAS!E$3:$E$916),"")</f>
        <v/>
      </c>
      <c r="U1333" s="138" t="str">
        <f>IFERROR(LOOKUP($S1333,MOTORISTAS!$D$3:$D$916,MOTORISTAS!F$3:$F$916),"")</f>
        <v/>
      </c>
      <c r="V1333" s="66"/>
      <c r="W1333" s="66"/>
      <c r="X1333" s="66"/>
      <c r="Y1333" s="66"/>
      <c r="Z1333" s="66"/>
      <c r="AA1333" s="66"/>
      <c r="AB1333" s="66"/>
      <c r="AC1333" s="66"/>
      <c r="AD1333" s="66"/>
      <c r="AE1333" s="66"/>
      <c r="AF1333" s="44"/>
      <c r="AG1333" s="254">
        <f>Prog_23[[#This Row],[SAÍDA DO CLIENTE]]-Prog_23[[#This Row],[PROGRAMAÇÃO CLIENTE]]</f>
        <v>0</v>
      </c>
      <c r="AH1333" s="44"/>
      <c r="AI1333" s="66"/>
      <c r="AJ1333" s="66"/>
      <c r="AK1333" s="66"/>
      <c r="AL1333" s="66"/>
      <c r="AM1333" s="66"/>
      <c r="AN1333" s="83"/>
      <c r="AO1333" s="83"/>
      <c r="AP1333" s="83"/>
      <c r="AQ1333" s="66"/>
      <c r="AR1333" s="66"/>
      <c r="AS1333" s="66"/>
      <c r="AT1333" s="81"/>
      <c r="AU1333" s="81"/>
      <c r="AV1333" s="81"/>
      <c r="AW1333" s="81"/>
      <c r="AX1333" s="83">
        <f>SUM(Prog_23[[#This Row],[ADIANTAMENTO]]+Prog_23[[#This Row],[SALDO]]+Prog_23[[#This Row],[MARGEM]]+Prog_23[[#This Row],[ESTADIA 1]])</f>
        <v>0</v>
      </c>
      <c r="AY13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33" s="81"/>
      <c r="BA1333" s="81"/>
      <c r="BB1333" s="81">
        <f>Prog_23[[#This Row],[VLR NF]]*0.1%</f>
        <v>0</v>
      </c>
      <c r="BC1333" s="81">
        <f>Prog_23[[#This Row],[VLR NF]]*0.05%</f>
        <v>0</v>
      </c>
      <c r="BD1333" s="81"/>
      <c r="BE1333" s="81"/>
      <c r="BF1333" s="81"/>
      <c r="BG1333" s="81"/>
      <c r="BH1333" s="81"/>
      <c r="BI1333" s="81"/>
      <c r="BJ1333" s="81"/>
      <c r="BK1333" s="81"/>
      <c r="BL1333" s="81"/>
      <c r="BM1333" s="81"/>
      <c r="BN1333" s="66"/>
      <c r="BO1333" s="66"/>
      <c r="BP1333" s="66"/>
      <c r="BQ1333" s="66" t="str">
        <f>PROPER(TEXT(Prog_23[[#This Row],[PROGRAMAÇÃO CLIENTE]],"mmm"))</f>
        <v>Jan</v>
      </c>
      <c r="BR1333" s="66">
        <f>YEAR(Prog_23[[#This Row],[PROGRAMAÇÃO CLIENTE]])</f>
        <v>1900</v>
      </c>
    </row>
    <row r="1334" spans="1:70" x14ac:dyDescent="0.25">
      <c r="A1334" s="201">
        <f>Prog_23[[#This Row],[CONTEINER]]</f>
        <v>0</v>
      </c>
      <c r="B1334" s="86"/>
      <c r="C13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34" s="44"/>
      <c r="E1334" s="66"/>
      <c r="F1334" s="66"/>
      <c r="G1334" s="66"/>
      <c r="H1334" s="44"/>
      <c r="I1334" s="44"/>
      <c r="J1334" s="66"/>
      <c r="K1334" s="66"/>
      <c r="L1334" s="66"/>
      <c r="M1334" s="66"/>
      <c r="N1334" s="66">
        <f>SUM(Prog_23[[#This Row],[TARA]]+Prog_23[[#This Row],[PESO]])</f>
        <v>0</v>
      </c>
      <c r="O1334" s="44"/>
      <c r="P1334" s="66"/>
      <c r="Q1334" s="66"/>
      <c r="R1334" s="66"/>
      <c r="S1334" s="66"/>
      <c r="T1334" s="138" t="str">
        <f>IFERROR(LOOKUP($S1334,MOTORISTAS!$D$3:$D$916,MOTORISTAS!E$3:$E$916),"")</f>
        <v/>
      </c>
      <c r="U1334" s="138" t="str">
        <f>IFERROR(LOOKUP($S1334,MOTORISTAS!$D$3:$D$916,MOTORISTAS!F$3:$F$916),"")</f>
        <v/>
      </c>
      <c r="V1334" s="66"/>
      <c r="W1334" s="66"/>
      <c r="X1334" s="66"/>
      <c r="Y1334" s="66"/>
      <c r="Z1334" s="66"/>
      <c r="AA1334" s="66"/>
      <c r="AB1334" s="66"/>
      <c r="AC1334" s="66"/>
      <c r="AD1334" s="66"/>
      <c r="AE1334" s="66"/>
      <c r="AF1334" s="44"/>
      <c r="AG1334" s="254">
        <f>Prog_23[[#This Row],[SAÍDA DO CLIENTE]]-Prog_23[[#This Row],[PROGRAMAÇÃO CLIENTE]]</f>
        <v>0</v>
      </c>
      <c r="AH1334" s="44"/>
      <c r="AI1334" s="66"/>
      <c r="AJ1334" s="66"/>
      <c r="AK1334" s="66"/>
      <c r="AL1334" s="66"/>
      <c r="AM1334" s="66"/>
      <c r="AN1334" s="83"/>
      <c r="AO1334" s="83"/>
      <c r="AP1334" s="83"/>
      <c r="AQ1334" s="66"/>
      <c r="AR1334" s="66"/>
      <c r="AS1334" s="66"/>
      <c r="AT1334" s="81"/>
      <c r="AU1334" s="81"/>
      <c r="AV1334" s="81"/>
      <c r="AW1334" s="81"/>
      <c r="AX1334" s="83">
        <f>SUM(Prog_23[[#This Row],[ADIANTAMENTO]]+Prog_23[[#This Row],[SALDO]]+Prog_23[[#This Row],[MARGEM]]+Prog_23[[#This Row],[ESTADIA 1]])</f>
        <v>0</v>
      </c>
      <c r="AY13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34" s="81"/>
      <c r="BA1334" s="81"/>
      <c r="BB1334" s="81">
        <f>Prog_23[[#This Row],[VLR NF]]*0.1%</f>
        <v>0</v>
      </c>
      <c r="BC1334" s="81">
        <f>Prog_23[[#This Row],[VLR NF]]*0.05%</f>
        <v>0</v>
      </c>
      <c r="BD1334" s="81"/>
      <c r="BE1334" s="81"/>
      <c r="BF1334" s="81"/>
      <c r="BG1334" s="81"/>
      <c r="BH1334" s="81"/>
      <c r="BI1334" s="81"/>
      <c r="BJ1334" s="81"/>
      <c r="BK1334" s="81"/>
      <c r="BL1334" s="81"/>
      <c r="BM1334" s="81"/>
      <c r="BN1334" s="66"/>
      <c r="BO1334" s="66"/>
      <c r="BP1334" s="66"/>
      <c r="BQ1334" s="66" t="str">
        <f>PROPER(TEXT(Prog_23[[#This Row],[PROGRAMAÇÃO CLIENTE]],"mmm"))</f>
        <v>Jan</v>
      </c>
      <c r="BR1334" s="66">
        <f>YEAR(Prog_23[[#This Row],[PROGRAMAÇÃO CLIENTE]])</f>
        <v>1900</v>
      </c>
    </row>
    <row r="1335" spans="1:70" x14ac:dyDescent="0.25">
      <c r="A1335" s="200">
        <f>Prog_23[[#This Row],[CONTEINER]]</f>
        <v>0</v>
      </c>
      <c r="B1335" s="86"/>
      <c r="C13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35" s="44"/>
      <c r="E1335" s="66"/>
      <c r="F1335" s="66"/>
      <c r="G1335" s="66"/>
      <c r="H1335" s="44"/>
      <c r="I1335" s="44"/>
      <c r="J1335" s="66"/>
      <c r="K1335" s="66"/>
      <c r="L1335" s="66"/>
      <c r="M1335" s="66"/>
      <c r="N1335" s="66">
        <f>SUM(Prog_23[[#This Row],[TARA]]+Prog_23[[#This Row],[PESO]])</f>
        <v>0</v>
      </c>
      <c r="O1335" s="44"/>
      <c r="P1335" s="66"/>
      <c r="Q1335" s="66"/>
      <c r="R1335" s="66"/>
      <c r="S1335" s="66"/>
      <c r="T1335" s="138" t="str">
        <f>IFERROR(LOOKUP($S1335,MOTORISTAS!$D$3:$D$916,MOTORISTAS!E$3:$E$916),"")</f>
        <v/>
      </c>
      <c r="U1335" s="138" t="str">
        <f>IFERROR(LOOKUP($S1335,MOTORISTAS!$D$3:$D$916,MOTORISTAS!F$3:$F$916),"")</f>
        <v/>
      </c>
      <c r="V1335" s="66"/>
      <c r="W1335" s="66"/>
      <c r="X1335" s="66"/>
      <c r="Y1335" s="66"/>
      <c r="Z1335" s="66"/>
      <c r="AA1335" s="66"/>
      <c r="AB1335" s="66"/>
      <c r="AC1335" s="66"/>
      <c r="AD1335" s="66"/>
      <c r="AE1335" s="66"/>
      <c r="AF1335" s="44"/>
      <c r="AG1335" s="254">
        <f>Prog_23[[#This Row],[SAÍDA DO CLIENTE]]-Prog_23[[#This Row],[PROGRAMAÇÃO CLIENTE]]</f>
        <v>0</v>
      </c>
      <c r="AH1335" s="44"/>
      <c r="AI1335" s="66"/>
      <c r="AJ1335" s="66"/>
      <c r="AK1335" s="66"/>
      <c r="AL1335" s="66"/>
      <c r="AM1335" s="66"/>
      <c r="AN1335" s="83"/>
      <c r="AO1335" s="83"/>
      <c r="AP1335" s="83"/>
      <c r="AQ1335" s="66"/>
      <c r="AR1335" s="66"/>
      <c r="AS1335" s="66"/>
      <c r="AT1335" s="81"/>
      <c r="AU1335" s="81"/>
      <c r="AV1335" s="81"/>
      <c r="AW1335" s="81"/>
      <c r="AX1335" s="83">
        <f>SUM(Prog_23[[#This Row],[ADIANTAMENTO]]+Prog_23[[#This Row],[SALDO]]+Prog_23[[#This Row],[MARGEM]]+Prog_23[[#This Row],[ESTADIA 1]])</f>
        <v>0</v>
      </c>
      <c r="AY13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35" s="81"/>
      <c r="BA1335" s="81"/>
      <c r="BB1335" s="81">
        <f>Prog_23[[#This Row],[VLR NF]]*0.1%</f>
        <v>0</v>
      </c>
      <c r="BC1335" s="81">
        <f>Prog_23[[#This Row],[VLR NF]]*0.05%</f>
        <v>0</v>
      </c>
      <c r="BD1335" s="81"/>
      <c r="BE1335" s="81"/>
      <c r="BF1335" s="81"/>
      <c r="BG1335" s="81"/>
      <c r="BH1335" s="81"/>
      <c r="BI1335" s="81"/>
      <c r="BJ1335" s="81"/>
      <c r="BK1335" s="81"/>
      <c r="BL1335" s="81"/>
      <c r="BM1335" s="81"/>
      <c r="BN1335" s="66"/>
      <c r="BO1335" s="66"/>
      <c r="BP1335" s="66"/>
      <c r="BQ1335" s="66" t="str">
        <f>PROPER(TEXT(Prog_23[[#This Row],[PROGRAMAÇÃO CLIENTE]],"mmm"))</f>
        <v>Jan</v>
      </c>
      <c r="BR1335" s="66">
        <f>YEAR(Prog_23[[#This Row],[PROGRAMAÇÃO CLIENTE]])</f>
        <v>1900</v>
      </c>
    </row>
    <row r="1336" spans="1:70" x14ac:dyDescent="0.25">
      <c r="A1336" s="201">
        <f>Prog_23[[#This Row],[CONTEINER]]</f>
        <v>0</v>
      </c>
      <c r="B1336" s="86"/>
      <c r="C13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36" s="44"/>
      <c r="E1336" s="66"/>
      <c r="F1336" s="66"/>
      <c r="G1336" s="66"/>
      <c r="H1336" s="44"/>
      <c r="I1336" s="44"/>
      <c r="J1336" s="66"/>
      <c r="K1336" s="66"/>
      <c r="L1336" s="66"/>
      <c r="M1336" s="66"/>
      <c r="N1336" s="66">
        <f>SUM(Prog_23[[#This Row],[TARA]]+Prog_23[[#This Row],[PESO]])</f>
        <v>0</v>
      </c>
      <c r="O1336" s="44"/>
      <c r="P1336" s="66"/>
      <c r="Q1336" s="66"/>
      <c r="R1336" s="66"/>
      <c r="S1336" s="66"/>
      <c r="T1336" s="138" t="str">
        <f>IFERROR(LOOKUP($S1336,MOTORISTAS!$D$3:$D$916,MOTORISTAS!E$3:$E$916),"")</f>
        <v/>
      </c>
      <c r="U1336" s="138" t="str">
        <f>IFERROR(LOOKUP($S1336,MOTORISTAS!$D$3:$D$916,MOTORISTAS!F$3:$F$916),"")</f>
        <v/>
      </c>
      <c r="V1336" s="66"/>
      <c r="W1336" s="66"/>
      <c r="X1336" s="66"/>
      <c r="Y1336" s="66"/>
      <c r="Z1336" s="66"/>
      <c r="AA1336" s="66"/>
      <c r="AB1336" s="66"/>
      <c r="AC1336" s="66"/>
      <c r="AD1336" s="66"/>
      <c r="AE1336" s="66"/>
      <c r="AF1336" s="44"/>
      <c r="AG1336" s="254">
        <f>Prog_23[[#This Row],[SAÍDA DO CLIENTE]]-Prog_23[[#This Row],[PROGRAMAÇÃO CLIENTE]]</f>
        <v>0</v>
      </c>
      <c r="AH1336" s="44"/>
      <c r="AI1336" s="66"/>
      <c r="AJ1336" s="66"/>
      <c r="AK1336" s="66"/>
      <c r="AL1336" s="66"/>
      <c r="AM1336" s="66"/>
      <c r="AN1336" s="83"/>
      <c r="AO1336" s="83"/>
      <c r="AP1336" s="83"/>
      <c r="AQ1336" s="66"/>
      <c r="AR1336" s="66"/>
      <c r="AS1336" s="66"/>
      <c r="AT1336" s="81"/>
      <c r="AU1336" s="81"/>
      <c r="AV1336" s="81"/>
      <c r="AW1336" s="81"/>
      <c r="AX1336" s="83">
        <f>SUM(Prog_23[[#This Row],[ADIANTAMENTO]]+Prog_23[[#This Row],[SALDO]]+Prog_23[[#This Row],[MARGEM]]+Prog_23[[#This Row],[ESTADIA 1]])</f>
        <v>0</v>
      </c>
      <c r="AY13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36" s="81"/>
      <c r="BA1336" s="81"/>
      <c r="BB1336" s="81">
        <f>Prog_23[[#This Row],[VLR NF]]*0.1%</f>
        <v>0</v>
      </c>
      <c r="BC1336" s="81">
        <f>Prog_23[[#This Row],[VLR NF]]*0.05%</f>
        <v>0</v>
      </c>
      <c r="BD1336" s="81"/>
      <c r="BE1336" s="81"/>
      <c r="BF1336" s="81"/>
      <c r="BG1336" s="81"/>
      <c r="BH1336" s="81"/>
      <c r="BI1336" s="81"/>
      <c r="BJ1336" s="81"/>
      <c r="BK1336" s="81"/>
      <c r="BL1336" s="81"/>
      <c r="BM1336" s="81"/>
      <c r="BN1336" s="66"/>
      <c r="BO1336" s="66"/>
      <c r="BP1336" s="66"/>
      <c r="BQ1336" s="66" t="str">
        <f>PROPER(TEXT(Prog_23[[#This Row],[PROGRAMAÇÃO CLIENTE]],"mmm"))</f>
        <v>Jan</v>
      </c>
      <c r="BR1336" s="66">
        <f>YEAR(Prog_23[[#This Row],[PROGRAMAÇÃO CLIENTE]])</f>
        <v>1900</v>
      </c>
    </row>
    <row r="1337" spans="1:70" x14ac:dyDescent="0.25">
      <c r="A1337" s="200">
        <f>Prog_23[[#This Row],[CONTEINER]]</f>
        <v>0</v>
      </c>
      <c r="B1337" s="86"/>
      <c r="C13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37" s="44"/>
      <c r="E1337" s="66"/>
      <c r="F1337" s="66"/>
      <c r="G1337" s="66"/>
      <c r="H1337" s="44"/>
      <c r="I1337" s="44"/>
      <c r="J1337" s="66"/>
      <c r="K1337" s="66"/>
      <c r="L1337" s="66"/>
      <c r="M1337" s="66"/>
      <c r="N1337" s="66">
        <f>SUM(Prog_23[[#This Row],[TARA]]+Prog_23[[#This Row],[PESO]])</f>
        <v>0</v>
      </c>
      <c r="O1337" s="44"/>
      <c r="P1337" s="66"/>
      <c r="Q1337" s="66"/>
      <c r="R1337" s="66"/>
      <c r="S1337" s="66"/>
      <c r="T1337" s="138" t="str">
        <f>IFERROR(LOOKUP($S1337,MOTORISTAS!$D$3:$D$916,MOTORISTAS!E$3:$E$916),"")</f>
        <v/>
      </c>
      <c r="U1337" s="138" t="str">
        <f>IFERROR(LOOKUP($S1337,MOTORISTAS!$D$3:$D$916,MOTORISTAS!F$3:$F$916),"")</f>
        <v/>
      </c>
      <c r="V1337" s="66"/>
      <c r="W1337" s="66"/>
      <c r="X1337" s="66"/>
      <c r="Y1337" s="66"/>
      <c r="Z1337" s="66"/>
      <c r="AA1337" s="66"/>
      <c r="AB1337" s="66"/>
      <c r="AC1337" s="66"/>
      <c r="AD1337" s="66"/>
      <c r="AE1337" s="66"/>
      <c r="AF1337" s="44"/>
      <c r="AG1337" s="254">
        <f>Prog_23[[#This Row],[SAÍDA DO CLIENTE]]-Prog_23[[#This Row],[PROGRAMAÇÃO CLIENTE]]</f>
        <v>0</v>
      </c>
      <c r="AH1337" s="44"/>
      <c r="AI1337" s="66"/>
      <c r="AJ1337" s="66"/>
      <c r="AK1337" s="66"/>
      <c r="AL1337" s="66"/>
      <c r="AM1337" s="66"/>
      <c r="AN1337" s="83"/>
      <c r="AO1337" s="83"/>
      <c r="AP1337" s="83"/>
      <c r="AQ1337" s="66"/>
      <c r="AR1337" s="66"/>
      <c r="AS1337" s="66"/>
      <c r="AT1337" s="81"/>
      <c r="AU1337" s="81"/>
      <c r="AV1337" s="81"/>
      <c r="AW1337" s="81"/>
      <c r="AX1337" s="83">
        <f>SUM(Prog_23[[#This Row],[ADIANTAMENTO]]+Prog_23[[#This Row],[SALDO]]+Prog_23[[#This Row],[MARGEM]]+Prog_23[[#This Row],[ESTADIA 1]])</f>
        <v>0</v>
      </c>
      <c r="AY13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37" s="81"/>
      <c r="BA1337" s="81"/>
      <c r="BB1337" s="81">
        <f>Prog_23[[#This Row],[VLR NF]]*0.1%</f>
        <v>0</v>
      </c>
      <c r="BC1337" s="81">
        <f>Prog_23[[#This Row],[VLR NF]]*0.05%</f>
        <v>0</v>
      </c>
      <c r="BD1337" s="81"/>
      <c r="BE1337" s="81"/>
      <c r="BF1337" s="81"/>
      <c r="BG1337" s="81"/>
      <c r="BH1337" s="81"/>
      <c r="BI1337" s="81"/>
      <c r="BJ1337" s="81"/>
      <c r="BK1337" s="81"/>
      <c r="BL1337" s="81"/>
      <c r="BM1337" s="81"/>
      <c r="BN1337" s="66"/>
      <c r="BO1337" s="66"/>
      <c r="BP1337" s="66"/>
      <c r="BQ1337" s="66" t="str">
        <f>PROPER(TEXT(Prog_23[[#This Row],[PROGRAMAÇÃO CLIENTE]],"mmm"))</f>
        <v>Jan</v>
      </c>
      <c r="BR1337" s="66">
        <f>YEAR(Prog_23[[#This Row],[PROGRAMAÇÃO CLIENTE]])</f>
        <v>1900</v>
      </c>
    </row>
    <row r="1338" spans="1:70" x14ac:dyDescent="0.25">
      <c r="A1338" s="201">
        <f>Prog_23[[#This Row],[CONTEINER]]</f>
        <v>0</v>
      </c>
      <c r="B1338" s="86"/>
      <c r="C13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38" s="44"/>
      <c r="E1338" s="66"/>
      <c r="F1338" s="66"/>
      <c r="G1338" s="66"/>
      <c r="H1338" s="44"/>
      <c r="I1338" s="44"/>
      <c r="J1338" s="66"/>
      <c r="K1338" s="66"/>
      <c r="L1338" s="66"/>
      <c r="M1338" s="66"/>
      <c r="N1338" s="66">
        <f>SUM(Prog_23[[#This Row],[TARA]]+Prog_23[[#This Row],[PESO]])</f>
        <v>0</v>
      </c>
      <c r="O1338" s="44"/>
      <c r="P1338" s="66"/>
      <c r="Q1338" s="66"/>
      <c r="R1338" s="66"/>
      <c r="S1338" s="66"/>
      <c r="T1338" s="138" t="str">
        <f>IFERROR(LOOKUP($S1338,MOTORISTAS!$D$3:$D$916,MOTORISTAS!E$3:$E$916),"")</f>
        <v/>
      </c>
      <c r="U1338" s="138" t="str">
        <f>IFERROR(LOOKUP($S1338,MOTORISTAS!$D$3:$D$916,MOTORISTAS!F$3:$F$916),"")</f>
        <v/>
      </c>
      <c r="V1338" s="66"/>
      <c r="W1338" s="66"/>
      <c r="X1338" s="66"/>
      <c r="Y1338" s="66"/>
      <c r="Z1338" s="66"/>
      <c r="AA1338" s="66"/>
      <c r="AB1338" s="66"/>
      <c r="AC1338" s="66"/>
      <c r="AD1338" s="66"/>
      <c r="AE1338" s="66"/>
      <c r="AF1338" s="44"/>
      <c r="AG1338" s="254">
        <f>Prog_23[[#This Row],[SAÍDA DO CLIENTE]]-Prog_23[[#This Row],[PROGRAMAÇÃO CLIENTE]]</f>
        <v>0</v>
      </c>
      <c r="AH1338" s="44"/>
      <c r="AI1338" s="66"/>
      <c r="AJ1338" s="66"/>
      <c r="AK1338" s="66"/>
      <c r="AL1338" s="66"/>
      <c r="AM1338" s="66"/>
      <c r="AN1338" s="83"/>
      <c r="AO1338" s="83"/>
      <c r="AP1338" s="83"/>
      <c r="AQ1338" s="66"/>
      <c r="AR1338" s="66"/>
      <c r="AS1338" s="66"/>
      <c r="AT1338" s="81"/>
      <c r="AU1338" s="81"/>
      <c r="AV1338" s="81"/>
      <c r="AW1338" s="81"/>
      <c r="AX1338" s="83">
        <f>SUM(Prog_23[[#This Row],[ADIANTAMENTO]]+Prog_23[[#This Row],[SALDO]]+Prog_23[[#This Row],[MARGEM]]+Prog_23[[#This Row],[ESTADIA 1]])</f>
        <v>0</v>
      </c>
      <c r="AY13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38" s="81"/>
      <c r="BA1338" s="81"/>
      <c r="BB1338" s="81">
        <f>Prog_23[[#This Row],[VLR NF]]*0.1%</f>
        <v>0</v>
      </c>
      <c r="BC1338" s="81">
        <f>Prog_23[[#This Row],[VLR NF]]*0.05%</f>
        <v>0</v>
      </c>
      <c r="BD1338" s="81"/>
      <c r="BE1338" s="81"/>
      <c r="BF1338" s="81"/>
      <c r="BG1338" s="81"/>
      <c r="BH1338" s="81"/>
      <c r="BI1338" s="81"/>
      <c r="BJ1338" s="81"/>
      <c r="BK1338" s="81"/>
      <c r="BL1338" s="81"/>
      <c r="BM1338" s="81"/>
      <c r="BN1338" s="66"/>
      <c r="BO1338" s="66"/>
      <c r="BP1338" s="66"/>
      <c r="BQ1338" s="66" t="str">
        <f>PROPER(TEXT(Prog_23[[#This Row],[PROGRAMAÇÃO CLIENTE]],"mmm"))</f>
        <v>Jan</v>
      </c>
      <c r="BR1338" s="66">
        <f>YEAR(Prog_23[[#This Row],[PROGRAMAÇÃO CLIENTE]])</f>
        <v>1900</v>
      </c>
    </row>
    <row r="1339" spans="1:70" x14ac:dyDescent="0.25">
      <c r="A1339" s="200">
        <f>Prog_23[[#This Row],[CONTEINER]]</f>
        <v>0</v>
      </c>
      <c r="B1339" s="86"/>
      <c r="C13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39" s="44"/>
      <c r="E1339" s="66"/>
      <c r="F1339" s="66"/>
      <c r="G1339" s="66"/>
      <c r="H1339" s="44"/>
      <c r="I1339" s="44"/>
      <c r="J1339" s="66"/>
      <c r="K1339" s="66"/>
      <c r="L1339" s="66"/>
      <c r="M1339" s="66"/>
      <c r="N1339" s="66">
        <f>SUM(Prog_23[[#This Row],[TARA]]+Prog_23[[#This Row],[PESO]])</f>
        <v>0</v>
      </c>
      <c r="O1339" s="44"/>
      <c r="P1339" s="66"/>
      <c r="Q1339" s="66"/>
      <c r="R1339" s="66"/>
      <c r="S1339" s="66"/>
      <c r="T1339" s="138" t="str">
        <f>IFERROR(LOOKUP($S1339,MOTORISTAS!$D$3:$D$916,MOTORISTAS!E$3:$E$916),"")</f>
        <v/>
      </c>
      <c r="U1339" s="138" t="str">
        <f>IFERROR(LOOKUP($S1339,MOTORISTAS!$D$3:$D$916,MOTORISTAS!F$3:$F$916),"")</f>
        <v/>
      </c>
      <c r="V1339" s="66"/>
      <c r="W1339" s="66"/>
      <c r="X1339" s="66"/>
      <c r="Y1339" s="66"/>
      <c r="Z1339" s="66"/>
      <c r="AA1339" s="66"/>
      <c r="AB1339" s="66"/>
      <c r="AC1339" s="66"/>
      <c r="AD1339" s="66"/>
      <c r="AE1339" s="66"/>
      <c r="AF1339" s="44"/>
      <c r="AG1339" s="254">
        <f>Prog_23[[#This Row],[SAÍDA DO CLIENTE]]-Prog_23[[#This Row],[PROGRAMAÇÃO CLIENTE]]</f>
        <v>0</v>
      </c>
      <c r="AH1339" s="44"/>
      <c r="AI1339" s="66"/>
      <c r="AJ1339" s="66"/>
      <c r="AK1339" s="66"/>
      <c r="AL1339" s="66"/>
      <c r="AM1339" s="66"/>
      <c r="AN1339" s="83"/>
      <c r="AO1339" s="83"/>
      <c r="AP1339" s="83"/>
      <c r="AQ1339" s="66"/>
      <c r="AR1339" s="66"/>
      <c r="AS1339" s="66"/>
      <c r="AT1339" s="81"/>
      <c r="AU1339" s="81"/>
      <c r="AV1339" s="81"/>
      <c r="AW1339" s="81"/>
      <c r="AX1339" s="83">
        <f>SUM(Prog_23[[#This Row],[ADIANTAMENTO]]+Prog_23[[#This Row],[SALDO]]+Prog_23[[#This Row],[MARGEM]]+Prog_23[[#This Row],[ESTADIA 1]])</f>
        <v>0</v>
      </c>
      <c r="AY13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39" s="81"/>
      <c r="BA1339" s="81"/>
      <c r="BB1339" s="81">
        <f>Prog_23[[#This Row],[VLR NF]]*0.1%</f>
        <v>0</v>
      </c>
      <c r="BC1339" s="81">
        <f>Prog_23[[#This Row],[VLR NF]]*0.05%</f>
        <v>0</v>
      </c>
      <c r="BD1339" s="81"/>
      <c r="BE1339" s="81"/>
      <c r="BF1339" s="81"/>
      <c r="BG1339" s="81"/>
      <c r="BH1339" s="81"/>
      <c r="BI1339" s="81"/>
      <c r="BJ1339" s="81"/>
      <c r="BK1339" s="81"/>
      <c r="BL1339" s="81"/>
      <c r="BM1339" s="81"/>
      <c r="BN1339" s="66"/>
      <c r="BO1339" s="66"/>
      <c r="BP1339" s="66"/>
      <c r="BQ1339" s="66" t="str">
        <f>PROPER(TEXT(Prog_23[[#This Row],[PROGRAMAÇÃO CLIENTE]],"mmm"))</f>
        <v>Jan</v>
      </c>
      <c r="BR1339" s="66">
        <f>YEAR(Prog_23[[#This Row],[PROGRAMAÇÃO CLIENTE]])</f>
        <v>1900</v>
      </c>
    </row>
    <row r="1340" spans="1:70" x14ac:dyDescent="0.25">
      <c r="A1340" s="201">
        <f>Prog_23[[#This Row],[CONTEINER]]</f>
        <v>0</v>
      </c>
      <c r="B1340" s="86"/>
      <c r="C13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40" s="44"/>
      <c r="E1340" s="66"/>
      <c r="F1340" s="66"/>
      <c r="G1340" s="66"/>
      <c r="H1340" s="44"/>
      <c r="I1340" s="44"/>
      <c r="J1340" s="66"/>
      <c r="K1340" s="66"/>
      <c r="L1340" s="66"/>
      <c r="M1340" s="66"/>
      <c r="N1340" s="66">
        <f>SUM(Prog_23[[#This Row],[TARA]]+Prog_23[[#This Row],[PESO]])</f>
        <v>0</v>
      </c>
      <c r="O1340" s="44"/>
      <c r="P1340" s="66"/>
      <c r="Q1340" s="66"/>
      <c r="R1340" s="66"/>
      <c r="S1340" s="66"/>
      <c r="T1340" s="138" t="str">
        <f>IFERROR(LOOKUP($S1340,MOTORISTAS!$D$3:$D$916,MOTORISTAS!E$3:$E$916),"")</f>
        <v/>
      </c>
      <c r="U1340" s="138" t="str">
        <f>IFERROR(LOOKUP($S1340,MOTORISTAS!$D$3:$D$916,MOTORISTAS!F$3:$F$916),"")</f>
        <v/>
      </c>
      <c r="V1340" s="66"/>
      <c r="W1340" s="66"/>
      <c r="X1340" s="66"/>
      <c r="Y1340" s="66"/>
      <c r="Z1340" s="66"/>
      <c r="AA1340" s="66"/>
      <c r="AB1340" s="66"/>
      <c r="AC1340" s="66"/>
      <c r="AD1340" s="66"/>
      <c r="AE1340" s="66"/>
      <c r="AF1340" s="44"/>
      <c r="AG1340" s="254">
        <f>Prog_23[[#This Row],[SAÍDA DO CLIENTE]]-Prog_23[[#This Row],[PROGRAMAÇÃO CLIENTE]]</f>
        <v>0</v>
      </c>
      <c r="AH1340" s="44"/>
      <c r="AI1340" s="66"/>
      <c r="AJ1340" s="66"/>
      <c r="AK1340" s="66"/>
      <c r="AL1340" s="66"/>
      <c r="AM1340" s="66"/>
      <c r="AN1340" s="83"/>
      <c r="AO1340" s="83"/>
      <c r="AP1340" s="83"/>
      <c r="AQ1340" s="66"/>
      <c r="AR1340" s="66"/>
      <c r="AS1340" s="66"/>
      <c r="AT1340" s="81"/>
      <c r="AU1340" s="81"/>
      <c r="AV1340" s="81"/>
      <c r="AW1340" s="81"/>
      <c r="AX1340" s="83">
        <f>SUM(Prog_23[[#This Row],[ADIANTAMENTO]]+Prog_23[[#This Row],[SALDO]]+Prog_23[[#This Row],[MARGEM]]+Prog_23[[#This Row],[ESTADIA 1]])</f>
        <v>0</v>
      </c>
      <c r="AY13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40" s="81"/>
      <c r="BA1340" s="81"/>
      <c r="BB1340" s="81">
        <f>Prog_23[[#This Row],[VLR NF]]*0.1%</f>
        <v>0</v>
      </c>
      <c r="BC1340" s="81">
        <f>Prog_23[[#This Row],[VLR NF]]*0.05%</f>
        <v>0</v>
      </c>
      <c r="BD1340" s="81"/>
      <c r="BE1340" s="81"/>
      <c r="BF1340" s="81"/>
      <c r="BG1340" s="81"/>
      <c r="BH1340" s="81"/>
      <c r="BI1340" s="81"/>
      <c r="BJ1340" s="81"/>
      <c r="BK1340" s="81"/>
      <c r="BL1340" s="81"/>
      <c r="BM1340" s="81"/>
      <c r="BN1340" s="66"/>
      <c r="BO1340" s="66"/>
      <c r="BP1340" s="66"/>
      <c r="BQ1340" s="66" t="str">
        <f>PROPER(TEXT(Prog_23[[#This Row],[PROGRAMAÇÃO CLIENTE]],"mmm"))</f>
        <v>Jan</v>
      </c>
      <c r="BR1340" s="66">
        <f>YEAR(Prog_23[[#This Row],[PROGRAMAÇÃO CLIENTE]])</f>
        <v>1900</v>
      </c>
    </row>
    <row r="1341" spans="1:70" x14ac:dyDescent="0.25">
      <c r="A1341" s="200">
        <f>Prog_23[[#This Row],[CONTEINER]]</f>
        <v>0</v>
      </c>
      <c r="B1341" s="86"/>
      <c r="C13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41" s="44"/>
      <c r="E1341" s="66"/>
      <c r="F1341" s="66"/>
      <c r="G1341" s="66"/>
      <c r="H1341" s="44"/>
      <c r="I1341" s="44"/>
      <c r="J1341" s="66"/>
      <c r="K1341" s="66"/>
      <c r="L1341" s="66"/>
      <c r="M1341" s="66"/>
      <c r="N1341" s="66">
        <f>SUM(Prog_23[[#This Row],[TARA]]+Prog_23[[#This Row],[PESO]])</f>
        <v>0</v>
      </c>
      <c r="O1341" s="44"/>
      <c r="P1341" s="66"/>
      <c r="Q1341" s="66"/>
      <c r="R1341" s="66"/>
      <c r="S1341" s="66"/>
      <c r="T1341" s="138" t="str">
        <f>IFERROR(LOOKUP($S1341,MOTORISTAS!$D$3:$D$916,MOTORISTAS!E$3:$E$916),"")</f>
        <v/>
      </c>
      <c r="U1341" s="138" t="str">
        <f>IFERROR(LOOKUP($S1341,MOTORISTAS!$D$3:$D$916,MOTORISTAS!F$3:$F$916),"")</f>
        <v/>
      </c>
      <c r="V1341" s="66"/>
      <c r="W1341" s="66"/>
      <c r="X1341" s="66"/>
      <c r="Y1341" s="66"/>
      <c r="Z1341" s="66"/>
      <c r="AA1341" s="66"/>
      <c r="AB1341" s="66"/>
      <c r="AC1341" s="66"/>
      <c r="AD1341" s="66"/>
      <c r="AE1341" s="66"/>
      <c r="AF1341" s="44"/>
      <c r="AG1341" s="254">
        <f>Prog_23[[#This Row],[SAÍDA DO CLIENTE]]-Prog_23[[#This Row],[PROGRAMAÇÃO CLIENTE]]</f>
        <v>0</v>
      </c>
      <c r="AH1341" s="44"/>
      <c r="AI1341" s="66"/>
      <c r="AJ1341" s="66"/>
      <c r="AK1341" s="66"/>
      <c r="AL1341" s="66"/>
      <c r="AM1341" s="66"/>
      <c r="AN1341" s="83"/>
      <c r="AO1341" s="83"/>
      <c r="AP1341" s="83"/>
      <c r="AQ1341" s="66"/>
      <c r="AR1341" s="66"/>
      <c r="AS1341" s="66"/>
      <c r="AT1341" s="81"/>
      <c r="AU1341" s="81"/>
      <c r="AV1341" s="81"/>
      <c r="AW1341" s="81"/>
      <c r="AX1341" s="83">
        <f>SUM(Prog_23[[#This Row],[ADIANTAMENTO]]+Prog_23[[#This Row],[SALDO]]+Prog_23[[#This Row],[MARGEM]]+Prog_23[[#This Row],[ESTADIA 1]])</f>
        <v>0</v>
      </c>
      <c r="AY13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41" s="81"/>
      <c r="BA1341" s="81"/>
      <c r="BB1341" s="81">
        <f>Prog_23[[#This Row],[VLR NF]]*0.1%</f>
        <v>0</v>
      </c>
      <c r="BC1341" s="81">
        <f>Prog_23[[#This Row],[VLR NF]]*0.05%</f>
        <v>0</v>
      </c>
      <c r="BD1341" s="81"/>
      <c r="BE1341" s="81"/>
      <c r="BF1341" s="81"/>
      <c r="BG1341" s="81"/>
      <c r="BH1341" s="81"/>
      <c r="BI1341" s="81"/>
      <c r="BJ1341" s="81"/>
      <c r="BK1341" s="81"/>
      <c r="BL1341" s="81"/>
      <c r="BM1341" s="81"/>
      <c r="BN1341" s="66"/>
      <c r="BO1341" s="66"/>
      <c r="BP1341" s="66"/>
      <c r="BQ1341" s="66" t="str">
        <f>PROPER(TEXT(Prog_23[[#This Row],[PROGRAMAÇÃO CLIENTE]],"mmm"))</f>
        <v>Jan</v>
      </c>
      <c r="BR1341" s="66">
        <f>YEAR(Prog_23[[#This Row],[PROGRAMAÇÃO CLIENTE]])</f>
        <v>1900</v>
      </c>
    </row>
    <row r="1342" spans="1:70" x14ac:dyDescent="0.25">
      <c r="A1342" s="201">
        <f>Prog_23[[#This Row],[CONTEINER]]</f>
        <v>0</v>
      </c>
      <c r="B1342" s="86"/>
      <c r="C13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42" s="44"/>
      <c r="E1342" s="66"/>
      <c r="F1342" s="66"/>
      <c r="G1342" s="66"/>
      <c r="H1342" s="44"/>
      <c r="I1342" s="44"/>
      <c r="J1342" s="66"/>
      <c r="K1342" s="66"/>
      <c r="L1342" s="66"/>
      <c r="M1342" s="66"/>
      <c r="N1342" s="66">
        <f>SUM(Prog_23[[#This Row],[TARA]]+Prog_23[[#This Row],[PESO]])</f>
        <v>0</v>
      </c>
      <c r="O1342" s="44"/>
      <c r="P1342" s="66"/>
      <c r="Q1342" s="66"/>
      <c r="R1342" s="66"/>
      <c r="S1342" s="66"/>
      <c r="T1342" s="138" t="str">
        <f>IFERROR(LOOKUP($S1342,MOTORISTAS!$D$3:$D$916,MOTORISTAS!E$3:$E$916),"")</f>
        <v/>
      </c>
      <c r="U1342" s="138" t="str">
        <f>IFERROR(LOOKUP($S1342,MOTORISTAS!$D$3:$D$916,MOTORISTAS!F$3:$F$916),"")</f>
        <v/>
      </c>
      <c r="V1342" s="66"/>
      <c r="W1342" s="66"/>
      <c r="X1342" s="66"/>
      <c r="Y1342" s="66"/>
      <c r="Z1342" s="66"/>
      <c r="AA1342" s="66"/>
      <c r="AB1342" s="66"/>
      <c r="AC1342" s="66"/>
      <c r="AD1342" s="66"/>
      <c r="AE1342" s="66"/>
      <c r="AF1342" s="44"/>
      <c r="AG1342" s="254">
        <f>Prog_23[[#This Row],[SAÍDA DO CLIENTE]]-Prog_23[[#This Row],[PROGRAMAÇÃO CLIENTE]]</f>
        <v>0</v>
      </c>
      <c r="AH1342" s="44"/>
      <c r="AI1342" s="66"/>
      <c r="AJ1342" s="66"/>
      <c r="AK1342" s="66"/>
      <c r="AL1342" s="66"/>
      <c r="AM1342" s="66"/>
      <c r="AN1342" s="83"/>
      <c r="AO1342" s="83"/>
      <c r="AP1342" s="83"/>
      <c r="AQ1342" s="66"/>
      <c r="AR1342" s="66"/>
      <c r="AS1342" s="66"/>
      <c r="AT1342" s="81"/>
      <c r="AU1342" s="81"/>
      <c r="AV1342" s="81"/>
      <c r="AW1342" s="81"/>
      <c r="AX1342" s="83">
        <f>SUM(Prog_23[[#This Row],[ADIANTAMENTO]]+Prog_23[[#This Row],[SALDO]]+Prog_23[[#This Row],[MARGEM]]+Prog_23[[#This Row],[ESTADIA 1]])</f>
        <v>0</v>
      </c>
      <c r="AY13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42" s="81"/>
      <c r="BA1342" s="81"/>
      <c r="BB1342" s="81">
        <f>Prog_23[[#This Row],[VLR NF]]*0.1%</f>
        <v>0</v>
      </c>
      <c r="BC1342" s="81">
        <f>Prog_23[[#This Row],[VLR NF]]*0.05%</f>
        <v>0</v>
      </c>
      <c r="BD1342" s="81"/>
      <c r="BE1342" s="81"/>
      <c r="BF1342" s="81"/>
      <c r="BG1342" s="81"/>
      <c r="BH1342" s="81"/>
      <c r="BI1342" s="81"/>
      <c r="BJ1342" s="81"/>
      <c r="BK1342" s="81"/>
      <c r="BL1342" s="81"/>
      <c r="BM1342" s="81"/>
      <c r="BN1342" s="66"/>
      <c r="BO1342" s="66"/>
      <c r="BP1342" s="66"/>
      <c r="BQ1342" s="66" t="str">
        <f>PROPER(TEXT(Prog_23[[#This Row],[PROGRAMAÇÃO CLIENTE]],"mmm"))</f>
        <v>Jan</v>
      </c>
      <c r="BR1342" s="66">
        <f>YEAR(Prog_23[[#This Row],[PROGRAMAÇÃO CLIENTE]])</f>
        <v>1900</v>
      </c>
    </row>
    <row r="1343" spans="1:70" x14ac:dyDescent="0.25">
      <c r="A1343" s="200">
        <f>Prog_23[[#This Row],[CONTEINER]]</f>
        <v>0</v>
      </c>
      <c r="B1343" s="86"/>
      <c r="C13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43" s="44"/>
      <c r="E1343" s="66"/>
      <c r="F1343" s="66"/>
      <c r="G1343" s="66"/>
      <c r="H1343" s="44"/>
      <c r="I1343" s="44"/>
      <c r="J1343" s="66"/>
      <c r="K1343" s="66"/>
      <c r="L1343" s="66"/>
      <c r="M1343" s="66"/>
      <c r="N1343" s="66">
        <f>SUM(Prog_23[[#This Row],[TARA]]+Prog_23[[#This Row],[PESO]])</f>
        <v>0</v>
      </c>
      <c r="O1343" s="44"/>
      <c r="P1343" s="66"/>
      <c r="Q1343" s="66"/>
      <c r="R1343" s="66"/>
      <c r="S1343" s="66"/>
      <c r="T1343" s="138" t="str">
        <f>IFERROR(LOOKUP($S1343,MOTORISTAS!$D$3:$D$916,MOTORISTAS!E$3:$E$916),"")</f>
        <v/>
      </c>
      <c r="U1343" s="138" t="str">
        <f>IFERROR(LOOKUP($S1343,MOTORISTAS!$D$3:$D$916,MOTORISTAS!F$3:$F$916),"")</f>
        <v/>
      </c>
      <c r="V1343" s="66"/>
      <c r="W1343" s="66"/>
      <c r="X1343" s="66"/>
      <c r="Y1343" s="66"/>
      <c r="Z1343" s="66"/>
      <c r="AA1343" s="66"/>
      <c r="AB1343" s="66"/>
      <c r="AC1343" s="66"/>
      <c r="AD1343" s="66"/>
      <c r="AE1343" s="66"/>
      <c r="AF1343" s="44"/>
      <c r="AG1343" s="254">
        <f>Prog_23[[#This Row],[SAÍDA DO CLIENTE]]-Prog_23[[#This Row],[PROGRAMAÇÃO CLIENTE]]</f>
        <v>0</v>
      </c>
      <c r="AH1343" s="44"/>
      <c r="AI1343" s="66"/>
      <c r="AJ1343" s="66"/>
      <c r="AK1343" s="66"/>
      <c r="AL1343" s="66"/>
      <c r="AM1343" s="66"/>
      <c r="AN1343" s="83"/>
      <c r="AO1343" s="83"/>
      <c r="AP1343" s="83"/>
      <c r="AQ1343" s="66"/>
      <c r="AR1343" s="66"/>
      <c r="AS1343" s="66"/>
      <c r="AT1343" s="81"/>
      <c r="AU1343" s="81"/>
      <c r="AV1343" s="81"/>
      <c r="AW1343" s="81"/>
      <c r="AX1343" s="83">
        <f>SUM(Prog_23[[#This Row],[ADIANTAMENTO]]+Prog_23[[#This Row],[SALDO]]+Prog_23[[#This Row],[MARGEM]]+Prog_23[[#This Row],[ESTADIA 1]])</f>
        <v>0</v>
      </c>
      <c r="AY13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43" s="81"/>
      <c r="BA1343" s="81"/>
      <c r="BB1343" s="81">
        <f>Prog_23[[#This Row],[VLR NF]]*0.1%</f>
        <v>0</v>
      </c>
      <c r="BC1343" s="81">
        <f>Prog_23[[#This Row],[VLR NF]]*0.05%</f>
        <v>0</v>
      </c>
      <c r="BD1343" s="81"/>
      <c r="BE1343" s="81"/>
      <c r="BF1343" s="81"/>
      <c r="BG1343" s="81"/>
      <c r="BH1343" s="81"/>
      <c r="BI1343" s="81"/>
      <c r="BJ1343" s="81"/>
      <c r="BK1343" s="81"/>
      <c r="BL1343" s="81"/>
      <c r="BM1343" s="81"/>
      <c r="BN1343" s="66"/>
      <c r="BO1343" s="66"/>
      <c r="BP1343" s="66"/>
      <c r="BQ1343" s="66" t="str">
        <f>PROPER(TEXT(Prog_23[[#This Row],[PROGRAMAÇÃO CLIENTE]],"mmm"))</f>
        <v>Jan</v>
      </c>
      <c r="BR1343" s="66">
        <f>YEAR(Prog_23[[#This Row],[PROGRAMAÇÃO CLIENTE]])</f>
        <v>1900</v>
      </c>
    </row>
    <row r="1344" spans="1:70" x14ac:dyDescent="0.25">
      <c r="A1344" s="201">
        <f>Prog_23[[#This Row],[CONTEINER]]</f>
        <v>0</v>
      </c>
      <c r="B1344" s="86"/>
      <c r="C13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44" s="44"/>
      <c r="E1344" s="66"/>
      <c r="F1344" s="66"/>
      <c r="G1344" s="66"/>
      <c r="H1344" s="44"/>
      <c r="I1344" s="44"/>
      <c r="J1344" s="66"/>
      <c r="K1344" s="66"/>
      <c r="L1344" s="66"/>
      <c r="M1344" s="66"/>
      <c r="N1344" s="66">
        <f>SUM(Prog_23[[#This Row],[TARA]]+Prog_23[[#This Row],[PESO]])</f>
        <v>0</v>
      </c>
      <c r="O1344" s="44"/>
      <c r="P1344" s="66"/>
      <c r="Q1344" s="66"/>
      <c r="R1344" s="66"/>
      <c r="S1344" s="66"/>
      <c r="T1344" s="138" t="str">
        <f>IFERROR(LOOKUP($S1344,MOTORISTAS!$D$3:$D$916,MOTORISTAS!E$3:$E$916),"")</f>
        <v/>
      </c>
      <c r="U1344" s="138" t="str">
        <f>IFERROR(LOOKUP($S1344,MOTORISTAS!$D$3:$D$916,MOTORISTAS!F$3:$F$916),"")</f>
        <v/>
      </c>
      <c r="V1344" s="66"/>
      <c r="W1344" s="66"/>
      <c r="X1344" s="66"/>
      <c r="Y1344" s="66"/>
      <c r="Z1344" s="66"/>
      <c r="AA1344" s="66"/>
      <c r="AB1344" s="66"/>
      <c r="AC1344" s="66"/>
      <c r="AD1344" s="66"/>
      <c r="AE1344" s="66"/>
      <c r="AF1344" s="44"/>
      <c r="AG1344" s="254">
        <f>Prog_23[[#This Row],[SAÍDA DO CLIENTE]]-Prog_23[[#This Row],[PROGRAMAÇÃO CLIENTE]]</f>
        <v>0</v>
      </c>
      <c r="AH1344" s="44"/>
      <c r="AI1344" s="66"/>
      <c r="AJ1344" s="66"/>
      <c r="AK1344" s="66"/>
      <c r="AL1344" s="66"/>
      <c r="AM1344" s="66"/>
      <c r="AN1344" s="83"/>
      <c r="AO1344" s="83"/>
      <c r="AP1344" s="83"/>
      <c r="AQ1344" s="66"/>
      <c r="AR1344" s="66"/>
      <c r="AS1344" s="66"/>
      <c r="AT1344" s="81"/>
      <c r="AU1344" s="81"/>
      <c r="AV1344" s="81"/>
      <c r="AW1344" s="81"/>
      <c r="AX1344" s="83">
        <f>SUM(Prog_23[[#This Row],[ADIANTAMENTO]]+Prog_23[[#This Row],[SALDO]]+Prog_23[[#This Row],[MARGEM]]+Prog_23[[#This Row],[ESTADIA 1]])</f>
        <v>0</v>
      </c>
      <c r="AY13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44" s="81"/>
      <c r="BA1344" s="81"/>
      <c r="BB1344" s="81">
        <f>Prog_23[[#This Row],[VLR NF]]*0.1%</f>
        <v>0</v>
      </c>
      <c r="BC1344" s="81">
        <f>Prog_23[[#This Row],[VLR NF]]*0.05%</f>
        <v>0</v>
      </c>
      <c r="BD1344" s="81"/>
      <c r="BE1344" s="81"/>
      <c r="BF1344" s="81"/>
      <c r="BG1344" s="81"/>
      <c r="BH1344" s="81"/>
      <c r="BI1344" s="81"/>
      <c r="BJ1344" s="81"/>
      <c r="BK1344" s="81"/>
      <c r="BL1344" s="81"/>
      <c r="BM1344" s="81"/>
      <c r="BN1344" s="66"/>
      <c r="BO1344" s="66"/>
      <c r="BP1344" s="66"/>
      <c r="BQ1344" s="66" t="str">
        <f>PROPER(TEXT(Prog_23[[#This Row],[PROGRAMAÇÃO CLIENTE]],"mmm"))</f>
        <v>Jan</v>
      </c>
      <c r="BR1344" s="66">
        <f>YEAR(Prog_23[[#This Row],[PROGRAMAÇÃO CLIENTE]])</f>
        <v>1900</v>
      </c>
    </row>
    <row r="1345" spans="1:70" x14ac:dyDescent="0.25">
      <c r="A1345" s="200">
        <f>Prog_23[[#This Row],[CONTEINER]]</f>
        <v>0</v>
      </c>
      <c r="B1345" s="86"/>
      <c r="C13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45" s="44"/>
      <c r="E1345" s="66"/>
      <c r="F1345" s="66"/>
      <c r="G1345" s="66"/>
      <c r="H1345" s="44"/>
      <c r="I1345" s="44"/>
      <c r="J1345" s="66"/>
      <c r="K1345" s="66"/>
      <c r="L1345" s="66"/>
      <c r="M1345" s="66"/>
      <c r="N1345" s="66">
        <f>SUM(Prog_23[[#This Row],[TARA]]+Prog_23[[#This Row],[PESO]])</f>
        <v>0</v>
      </c>
      <c r="O1345" s="44"/>
      <c r="P1345" s="66"/>
      <c r="Q1345" s="66"/>
      <c r="R1345" s="66"/>
      <c r="S1345" s="66"/>
      <c r="T1345" s="138" t="str">
        <f>IFERROR(LOOKUP($S1345,MOTORISTAS!$D$3:$D$916,MOTORISTAS!E$3:$E$916),"")</f>
        <v/>
      </c>
      <c r="U1345" s="138" t="str">
        <f>IFERROR(LOOKUP($S1345,MOTORISTAS!$D$3:$D$916,MOTORISTAS!F$3:$F$916),"")</f>
        <v/>
      </c>
      <c r="V1345" s="66"/>
      <c r="W1345" s="66"/>
      <c r="X1345" s="66"/>
      <c r="Y1345" s="66"/>
      <c r="Z1345" s="66"/>
      <c r="AA1345" s="66"/>
      <c r="AB1345" s="66"/>
      <c r="AC1345" s="66"/>
      <c r="AD1345" s="66"/>
      <c r="AE1345" s="66"/>
      <c r="AF1345" s="44"/>
      <c r="AG1345" s="254">
        <f>Prog_23[[#This Row],[SAÍDA DO CLIENTE]]-Prog_23[[#This Row],[PROGRAMAÇÃO CLIENTE]]</f>
        <v>0</v>
      </c>
      <c r="AH1345" s="44"/>
      <c r="AI1345" s="66"/>
      <c r="AJ1345" s="66"/>
      <c r="AK1345" s="66"/>
      <c r="AL1345" s="66"/>
      <c r="AM1345" s="66"/>
      <c r="AN1345" s="83"/>
      <c r="AO1345" s="83"/>
      <c r="AP1345" s="83"/>
      <c r="AQ1345" s="66"/>
      <c r="AR1345" s="66"/>
      <c r="AS1345" s="66"/>
      <c r="AT1345" s="81"/>
      <c r="AU1345" s="81"/>
      <c r="AV1345" s="81"/>
      <c r="AW1345" s="81"/>
      <c r="AX1345" s="83">
        <f>SUM(Prog_23[[#This Row],[ADIANTAMENTO]]+Prog_23[[#This Row],[SALDO]]+Prog_23[[#This Row],[MARGEM]]+Prog_23[[#This Row],[ESTADIA 1]])</f>
        <v>0</v>
      </c>
      <c r="AY13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45" s="81"/>
      <c r="BA1345" s="81"/>
      <c r="BB1345" s="81">
        <f>Prog_23[[#This Row],[VLR NF]]*0.1%</f>
        <v>0</v>
      </c>
      <c r="BC1345" s="81">
        <f>Prog_23[[#This Row],[VLR NF]]*0.05%</f>
        <v>0</v>
      </c>
      <c r="BD1345" s="81"/>
      <c r="BE1345" s="81"/>
      <c r="BF1345" s="81"/>
      <c r="BG1345" s="81"/>
      <c r="BH1345" s="81"/>
      <c r="BI1345" s="81"/>
      <c r="BJ1345" s="81"/>
      <c r="BK1345" s="81"/>
      <c r="BL1345" s="81"/>
      <c r="BM1345" s="81"/>
      <c r="BN1345" s="66"/>
      <c r="BO1345" s="66"/>
      <c r="BP1345" s="66"/>
      <c r="BQ1345" s="66" t="str">
        <f>PROPER(TEXT(Prog_23[[#This Row],[PROGRAMAÇÃO CLIENTE]],"mmm"))</f>
        <v>Jan</v>
      </c>
      <c r="BR1345" s="66">
        <f>YEAR(Prog_23[[#This Row],[PROGRAMAÇÃO CLIENTE]])</f>
        <v>1900</v>
      </c>
    </row>
    <row r="1346" spans="1:70" x14ac:dyDescent="0.25">
      <c r="A1346" s="201">
        <f>Prog_23[[#This Row],[CONTEINER]]</f>
        <v>0</v>
      </c>
      <c r="B1346" s="86"/>
      <c r="C13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46" s="44"/>
      <c r="E1346" s="66"/>
      <c r="F1346" s="66"/>
      <c r="G1346" s="66"/>
      <c r="H1346" s="44"/>
      <c r="I1346" s="44"/>
      <c r="J1346" s="66"/>
      <c r="K1346" s="66"/>
      <c r="L1346" s="66"/>
      <c r="M1346" s="66"/>
      <c r="N1346" s="66">
        <f>SUM(Prog_23[[#This Row],[TARA]]+Prog_23[[#This Row],[PESO]])</f>
        <v>0</v>
      </c>
      <c r="O1346" s="44"/>
      <c r="P1346" s="66"/>
      <c r="Q1346" s="66"/>
      <c r="R1346" s="66"/>
      <c r="S1346" s="66"/>
      <c r="T1346" s="138" t="str">
        <f>IFERROR(LOOKUP($S1346,MOTORISTAS!$D$3:$D$916,MOTORISTAS!E$3:$E$916),"")</f>
        <v/>
      </c>
      <c r="U1346" s="138" t="str">
        <f>IFERROR(LOOKUP($S1346,MOTORISTAS!$D$3:$D$916,MOTORISTAS!F$3:$F$916),"")</f>
        <v/>
      </c>
      <c r="V1346" s="66"/>
      <c r="W1346" s="66"/>
      <c r="X1346" s="66"/>
      <c r="Y1346" s="66"/>
      <c r="Z1346" s="66"/>
      <c r="AA1346" s="66"/>
      <c r="AB1346" s="66"/>
      <c r="AC1346" s="66"/>
      <c r="AD1346" s="66"/>
      <c r="AE1346" s="66"/>
      <c r="AF1346" s="44"/>
      <c r="AG1346" s="254">
        <f>Prog_23[[#This Row],[SAÍDA DO CLIENTE]]-Prog_23[[#This Row],[PROGRAMAÇÃO CLIENTE]]</f>
        <v>0</v>
      </c>
      <c r="AH1346" s="44"/>
      <c r="AI1346" s="66"/>
      <c r="AJ1346" s="66"/>
      <c r="AK1346" s="66"/>
      <c r="AL1346" s="66"/>
      <c r="AM1346" s="66"/>
      <c r="AN1346" s="83"/>
      <c r="AO1346" s="83"/>
      <c r="AP1346" s="83"/>
      <c r="AQ1346" s="66"/>
      <c r="AR1346" s="66"/>
      <c r="AS1346" s="66"/>
      <c r="AT1346" s="81"/>
      <c r="AU1346" s="81"/>
      <c r="AV1346" s="81"/>
      <c r="AW1346" s="81"/>
      <c r="AX1346" s="83">
        <f>SUM(Prog_23[[#This Row],[ADIANTAMENTO]]+Prog_23[[#This Row],[SALDO]]+Prog_23[[#This Row],[MARGEM]]+Prog_23[[#This Row],[ESTADIA 1]])</f>
        <v>0</v>
      </c>
      <c r="AY13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46" s="81"/>
      <c r="BA1346" s="81"/>
      <c r="BB1346" s="81">
        <f>Prog_23[[#This Row],[VLR NF]]*0.1%</f>
        <v>0</v>
      </c>
      <c r="BC1346" s="81">
        <f>Prog_23[[#This Row],[VLR NF]]*0.05%</f>
        <v>0</v>
      </c>
      <c r="BD1346" s="81"/>
      <c r="BE1346" s="81"/>
      <c r="BF1346" s="81"/>
      <c r="BG1346" s="81"/>
      <c r="BH1346" s="81"/>
      <c r="BI1346" s="81"/>
      <c r="BJ1346" s="81"/>
      <c r="BK1346" s="81"/>
      <c r="BL1346" s="81"/>
      <c r="BM1346" s="81"/>
      <c r="BN1346" s="66"/>
      <c r="BO1346" s="66"/>
      <c r="BP1346" s="66"/>
      <c r="BQ1346" s="66" t="str">
        <f>PROPER(TEXT(Prog_23[[#This Row],[PROGRAMAÇÃO CLIENTE]],"mmm"))</f>
        <v>Jan</v>
      </c>
      <c r="BR1346" s="66">
        <f>YEAR(Prog_23[[#This Row],[PROGRAMAÇÃO CLIENTE]])</f>
        <v>1900</v>
      </c>
    </row>
    <row r="1347" spans="1:70" x14ac:dyDescent="0.25">
      <c r="A1347" s="200">
        <f>Prog_23[[#This Row],[CONTEINER]]</f>
        <v>0</v>
      </c>
      <c r="B1347" s="86"/>
      <c r="C13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47" s="44"/>
      <c r="E1347" s="66"/>
      <c r="F1347" s="66"/>
      <c r="G1347" s="66"/>
      <c r="H1347" s="44"/>
      <c r="I1347" s="44"/>
      <c r="J1347" s="66"/>
      <c r="K1347" s="66"/>
      <c r="L1347" s="66"/>
      <c r="M1347" s="66"/>
      <c r="N1347" s="66">
        <f>SUM(Prog_23[[#This Row],[TARA]]+Prog_23[[#This Row],[PESO]])</f>
        <v>0</v>
      </c>
      <c r="O1347" s="44"/>
      <c r="P1347" s="66"/>
      <c r="Q1347" s="66"/>
      <c r="R1347" s="66"/>
      <c r="S1347" s="66"/>
      <c r="T1347" s="138" t="str">
        <f>IFERROR(LOOKUP($S1347,MOTORISTAS!$D$3:$D$916,MOTORISTAS!E$3:$E$916),"")</f>
        <v/>
      </c>
      <c r="U1347" s="138" t="str">
        <f>IFERROR(LOOKUP($S1347,MOTORISTAS!$D$3:$D$916,MOTORISTAS!F$3:$F$916),"")</f>
        <v/>
      </c>
      <c r="V1347" s="66"/>
      <c r="W1347" s="66"/>
      <c r="X1347" s="66"/>
      <c r="Y1347" s="66"/>
      <c r="Z1347" s="66"/>
      <c r="AA1347" s="66"/>
      <c r="AB1347" s="66"/>
      <c r="AC1347" s="66"/>
      <c r="AD1347" s="66"/>
      <c r="AE1347" s="66"/>
      <c r="AF1347" s="44"/>
      <c r="AG1347" s="254">
        <f>Prog_23[[#This Row],[SAÍDA DO CLIENTE]]-Prog_23[[#This Row],[PROGRAMAÇÃO CLIENTE]]</f>
        <v>0</v>
      </c>
      <c r="AH1347" s="44"/>
      <c r="AI1347" s="66"/>
      <c r="AJ1347" s="66"/>
      <c r="AK1347" s="66"/>
      <c r="AL1347" s="66"/>
      <c r="AM1347" s="66"/>
      <c r="AN1347" s="83"/>
      <c r="AO1347" s="83"/>
      <c r="AP1347" s="83"/>
      <c r="AQ1347" s="66"/>
      <c r="AR1347" s="66"/>
      <c r="AS1347" s="66"/>
      <c r="AT1347" s="81"/>
      <c r="AU1347" s="81"/>
      <c r="AV1347" s="81"/>
      <c r="AW1347" s="81"/>
      <c r="AX1347" s="83">
        <f>SUM(Prog_23[[#This Row],[ADIANTAMENTO]]+Prog_23[[#This Row],[SALDO]]+Prog_23[[#This Row],[MARGEM]]+Prog_23[[#This Row],[ESTADIA 1]])</f>
        <v>0</v>
      </c>
      <c r="AY13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47" s="81"/>
      <c r="BA1347" s="81"/>
      <c r="BB1347" s="81">
        <f>Prog_23[[#This Row],[VLR NF]]*0.1%</f>
        <v>0</v>
      </c>
      <c r="BC1347" s="81">
        <f>Prog_23[[#This Row],[VLR NF]]*0.05%</f>
        <v>0</v>
      </c>
      <c r="BD1347" s="81"/>
      <c r="BE1347" s="81"/>
      <c r="BF1347" s="81"/>
      <c r="BG1347" s="81"/>
      <c r="BH1347" s="81"/>
      <c r="BI1347" s="81"/>
      <c r="BJ1347" s="81"/>
      <c r="BK1347" s="81"/>
      <c r="BL1347" s="81"/>
      <c r="BM1347" s="81"/>
      <c r="BN1347" s="66"/>
      <c r="BO1347" s="66"/>
      <c r="BP1347" s="66"/>
      <c r="BQ1347" s="66" t="str">
        <f>PROPER(TEXT(Prog_23[[#This Row],[PROGRAMAÇÃO CLIENTE]],"mmm"))</f>
        <v>Jan</v>
      </c>
      <c r="BR1347" s="66">
        <f>YEAR(Prog_23[[#This Row],[PROGRAMAÇÃO CLIENTE]])</f>
        <v>1900</v>
      </c>
    </row>
    <row r="1348" spans="1:70" x14ac:dyDescent="0.25">
      <c r="A1348" s="201">
        <f>Prog_23[[#This Row],[CONTEINER]]</f>
        <v>0</v>
      </c>
      <c r="B1348" s="86"/>
      <c r="C13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48" s="44"/>
      <c r="E1348" s="66"/>
      <c r="F1348" s="66"/>
      <c r="G1348" s="66"/>
      <c r="H1348" s="44"/>
      <c r="I1348" s="44"/>
      <c r="J1348" s="66"/>
      <c r="K1348" s="66"/>
      <c r="L1348" s="66"/>
      <c r="M1348" s="66"/>
      <c r="N1348" s="66">
        <f>SUM(Prog_23[[#This Row],[TARA]]+Prog_23[[#This Row],[PESO]])</f>
        <v>0</v>
      </c>
      <c r="O1348" s="44"/>
      <c r="P1348" s="66"/>
      <c r="Q1348" s="66"/>
      <c r="R1348" s="66"/>
      <c r="S1348" s="66"/>
      <c r="T1348" s="138" t="str">
        <f>IFERROR(LOOKUP($S1348,MOTORISTAS!$D$3:$D$916,MOTORISTAS!E$3:$E$916),"")</f>
        <v/>
      </c>
      <c r="U1348" s="138" t="str">
        <f>IFERROR(LOOKUP($S1348,MOTORISTAS!$D$3:$D$916,MOTORISTAS!F$3:$F$916),"")</f>
        <v/>
      </c>
      <c r="V1348" s="66"/>
      <c r="W1348" s="66"/>
      <c r="X1348" s="66"/>
      <c r="Y1348" s="66"/>
      <c r="Z1348" s="66"/>
      <c r="AA1348" s="66"/>
      <c r="AB1348" s="66"/>
      <c r="AC1348" s="66"/>
      <c r="AD1348" s="66"/>
      <c r="AE1348" s="66"/>
      <c r="AF1348" s="44"/>
      <c r="AG1348" s="254">
        <f>Prog_23[[#This Row],[SAÍDA DO CLIENTE]]-Prog_23[[#This Row],[PROGRAMAÇÃO CLIENTE]]</f>
        <v>0</v>
      </c>
      <c r="AH1348" s="44"/>
      <c r="AI1348" s="66"/>
      <c r="AJ1348" s="66"/>
      <c r="AK1348" s="66"/>
      <c r="AL1348" s="66"/>
      <c r="AM1348" s="66"/>
      <c r="AN1348" s="83"/>
      <c r="AO1348" s="83"/>
      <c r="AP1348" s="83"/>
      <c r="AQ1348" s="66"/>
      <c r="AR1348" s="66"/>
      <c r="AS1348" s="66"/>
      <c r="AT1348" s="81"/>
      <c r="AU1348" s="81"/>
      <c r="AV1348" s="81"/>
      <c r="AW1348" s="81"/>
      <c r="AX1348" s="83">
        <f>SUM(Prog_23[[#This Row],[ADIANTAMENTO]]+Prog_23[[#This Row],[SALDO]]+Prog_23[[#This Row],[MARGEM]]+Prog_23[[#This Row],[ESTADIA 1]])</f>
        <v>0</v>
      </c>
      <c r="AY13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48" s="81"/>
      <c r="BA1348" s="81"/>
      <c r="BB1348" s="81">
        <f>Prog_23[[#This Row],[VLR NF]]*0.1%</f>
        <v>0</v>
      </c>
      <c r="BC1348" s="81">
        <f>Prog_23[[#This Row],[VLR NF]]*0.05%</f>
        <v>0</v>
      </c>
      <c r="BD1348" s="81"/>
      <c r="BE1348" s="81"/>
      <c r="BF1348" s="81"/>
      <c r="BG1348" s="81"/>
      <c r="BH1348" s="81"/>
      <c r="BI1348" s="81"/>
      <c r="BJ1348" s="81"/>
      <c r="BK1348" s="81"/>
      <c r="BL1348" s="81"/>
      <c r="BM1348" s="81"/>
      <c r="BN1348" s="66"/>
      <c r="BO1348" s="66"/>
      <c r="BP1348" s="66"/>
      <c r="BQ1348" s="66" t="str">
        <f>PROPER(TEXT(Prog_23[[#This Row],[PROGRAMAÇÃO CLIENTE]],"mmm"))</f>
        <v>Jan</v>
      </c>
      <c r="BR1348" s="66">
        <f>YEAR(Prog_23[[#This Row],[PROGRAMAÇÃO CLIENTE]])</f>
        <v>1900</v>
      </c>
    </row>
    <row r="1349" spans="1:70" x14ac:dyDescent="0.25">
      <c r="A1349" s="200">
        <f>Prog_23[[#This Row],[CONTEINER]]</f>
        <v>0</v>
      </c>
      <c r="B1349" s="86"/>
      <c r="C13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49" s="44"/>
      <c r="E1349" s="66"/>
      <c r="F1349" s="66"/>
      <c r="G1349" s="66"/>
      <c r="H1349" s="44"/>
      <c r="I1349" s="44"/>
      <c r="J1349" s="66"/>
      <c r="K1349" s="66"/>
      <c r="L1349" s="66"/>
      <c r="M1349" s="66"/>
      <c r="N1349" s="66">
        <f>SUM(Prog_23[[#This Row],[TARA]]+Prog_23[[#This Row],[PESO]])</f>
        <v>0</v>
      </c>
      <c r="O1349" s="44"/>
      <c r="P1349" s="66"/>
      <c r="Q1349" s="66"/>
      <c r="R1349" s="66"/>
      <c r="S1349" s="66"/>
      <c r="T1349" s="138" t="str">
        <f>IFERROR(LOOKUP($S1349,MOTORISTAS!$D$3:$D$916,MOTORISTAS!E$3:$E$916),"")</f>
        <v/>
      </c>
      <c r="U1349" s="138" t="str">
        <f>IFERROR(LOOKUP($S1349,MOTORISTAS!$D$3:$D$916,MOTORISTAS!F$3:$F$916),"")</f>
        <v/>
      </c>
      <c r="V1349" s="66"/>
      <c r="W1349" s="66"/>
      <c r="X1349" s="66"/>
      <c r="Y1349" s="66"/>
      <c r="Z1349" s="66"/>
      <c r="AA1349" s="66"/>
      <c r="AB1349" s="66"/>
      <c r="AC1349" s="66"/>
      <c r="AD1349" s="66"/>
      <c r="AE1349" s="66"/>
      <c r="AF1349" s="44"/>
      <c r="AG1349" s="254">
        <f>Prog_23[[#This Row],[SAÍDA DO CLIENTE]]-Prog_23[[#This Row],[PROGRAMAÇÃO CLIENTE]]</f>
        <v>0</v>
      </c>
      <c r="AH1349" s="44"/>
      <c r="AI1349" s="66"/>
      <c r="AJ1349" s="66"/>
      <c r="AK1349" s="66"/>
      <c r="AL1349" s="66"/>
      <c r="AM1349" s="66"/>
      <c r="AN1349" s="83"/>
      <c r="AO1349" s="83"/>
      <c r="AP1349" s="83"/>
      <c r="AQ1349" s="66"/>
      <c r="AR1349" s="66"/>
      <c r="AS1349" s="66"/>
      <c r="AT1349" s="81"/>
      <c r="AU1349" s="81"/>
      <c r="AV1349" s="81"/>
      <c r="AW1349" s="81"/>
      <c r="AX1349" s="83">
        <f>SUM(Prog_23[[#This Row],[ADIANTAMENTO]]+Prog_23[[#This Row],[SALDO]]+Prog_23[[#This Row],[MARGEM]]+Prog_23[[#This Row],[ESTADIA 1]])</f>
        <v>0</v>
      </c>
      <c r="AY13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49" s="81"/>
      <c r="BA1349" s="81"/>
      <c r="BB1349" s="81">
        <f>Prog_23[[#This Row],[VLR NF]]*0.1%</f>
        <v>0</v>
      </c>
      <c r="BC1349" s="81">
        <f>Prog_23[[#This Row],[VLR NF]]*0.05%</f>
        <v>0</v>
      </c>
      <c r="BD1349" s="81"/>
      <c r="BE1349" s="81"/>
      <c r="BF1349" s="81"/>
      <c r="BG1349" s="81"/>
      <c r="BH1349" s="81"/>
      <c r="BI1349" s="81"/>
      <c r="BJ1349" s="81"/>
      <c r="BK1349" s="81"/>
      <c r="BL1349" s="81"/>
      <c r="BM1349" s="81"/>
      <c r="BN1349" s="66"/>
      <c r="BO1349" s="66"/>
      <c r="BP1349" s="66"/>
      <c r="BQ1349" s="66" t="str">
        <f>PROPER(TEXT(Prog_23[[#This Row],[PROGRAMAÇÃO CLIENTE]],"mmm"))</f>
        <v>Jan</v>
      </c>
      <c r="BR1349" s="66">
        <f>YEAR(Prog_23[[#This Row],[PROGRAMAÇÃO CLIENTE]])</f>
        <v>1900</v>
      </c>
    </row>
    <row r="1350" spans="1:70" x14ac:dyDescent="0.25">
      <c r="A1350" s="201">
        <f>Prog_23[[#This Row],[CONTEINER]]</f>
        <v>0</v>
      </c>
      <c r="B1350" s="86"/>
      <c r="C13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50" s="44"/>
      <c r="E1350" s="66"/>
      <c r="F1350" s="66"/>
      <c r="G1350" s="66"/>
      <c r="H1350" s="44"/>
      <c r="I1350" s="44"/>
      <c r="J1350" s="66"/>
      <c r="K1350" s="66"/>
      <c r="L1350" s="66"/>
      <c r="M1350" s="66"/>
      <c r="N1350" s="66">
        <f>SUM(Prog_23[[#This Row],[TARA]]+Prog_23[[#This Row],[PESO]])</f>
        <v>0</v>
      </c>
      <c r="O1350" s="44"/>
      <c r="P1350" s="66"/>
      <c r="Q1350" s="66"/>
      <c r="R1350" s="66"/>
      <c r="S1350" s="66"/>
      <c r="T1350" s="138" t="str">
        <f>IFERROR(LOOKUP($S1350,MOTORISTAS!$D$3:$D$916,MOTORISTAS!E$3:$E$916),"")</f>
        <v/>
      </c>
      <c r="U1350" s="138" t="str">
        <f>IFERROR(LOOKUP($S1350,MOTORISTAS!$D$3:$D$916,MOTORISTAS!F$3:$F$916),"")</f>
        <v/>
      </c>
      <c r="V1350" s="66"/>
      <c r="W1350" s="66"/>
      <c r="X1350" s="66"/>
      <c r="Y1350" s="66"/>
      <c r="Z1350" s="66"/>
      <c r="AA1350" s="66"/>
      <c r="AB1350" s="66"/>
      <c r="AC1350" s="66"/>
      <c r="AD1350" s="66"/>
      <c r="AE1350" s="66"/>
      <c r="AF1350" s="44"/>
      <c r="AG1350" s="254">
        <f>Prog_23[[#This Row],[SAÍDA DO CLIENTE]]-Prog_23[[#This Row],[PROGRAMAÇÃO CLIENTE]]</f>
        <v>0</v>
      </c>
      <c r="AH1350" s="44"/>
      <c r="AI1350" s="66"/>
      <c r="AJ1350" s="66"/>
      <c r="AK1350" s="66"/>
      <c r="AL1350" s="66"/>
      <c r="AM1350" s="66"/>
      <c r="AN1350" s="83"/>
      <c r="AO1350" s="83"/>
      <c r="AP1350" s="83"/>
      <c r="AQ1350" s="66"/>
      <c r="AR1350" s="66"/>
      <c r="AS1350" s="66"/>
      <c r="AT1350" s="81"/>
      <c r="AU1350" s="81"/>
      <c r="AV1350" s="81"/>
      <c r="AW1350" s="81"/>
      <c r="AX1350" s="83">
        <f>SUM(Prog_23[[#This Row],[ADIANTAMENTO]]+Prog_23[[#This Row],[SALDO]]+Prog_23[[#This Row],[MARGEM]]+Prog_23[[#This Row],[ESTADIA 1]])</f>
        <v>0</v>
      </c>
      <c r="AY13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50" s="81"/>
      <c r="BA1350" s="81"/>
      <c r="BB1350" s="81">
        <f>Prog_23[[#This Row],[VLR NF]]*0.1%</f>
        <v>0</v>
      </c>
      <c r="BC1350" s="81">
        <f>Prog_23[[#This Row],[VLR NF]]*0.05%</f>
        <v>0</v>
      </c>
      <c r="BD1350" s="81"/>
      <c r="BE1350" s="81"/>
      <c r="BF1350" s="81"/>
      <c r="BG1350" s="81"/>
      <c r="BH1350" s="81"/>
      <c r="BI1350" s="81"/>
      <c r="BJ1350" s="81"/>
      <c r="BK1350" s="81"/>
      <c r="BL1350" s="81"/>
      <c r="BM1350" s="81"/>
      <c r="BN1350" s="66"/>
      <c r="BO1350" s="66"/>
      <c r="BP1350" s="66"/>
      <c r="BQ1350" s="66" t="str">
        <f>PROPER(TEXT(Prog_23[[#This Row],[PROGRAMAÇÃO CLIENTE]],"mmm"))</f>
        <v>Jan</v>
      </c>
      <c r="BR1350" s="66">
        <f>YEAR(Prog_23[[#This Row],[PROGRAMAÇÃO CLIENTE]])</f>
        <v>1900</v>
      </c>
    </row>
    <row r="1351" spans="1:70" x14ac:dyDescent="0.25">
      <c r="A1351" s="200">
        <f>Prog_23[[#This Row],[CONTEINER]]</f>
        <v>0</v>
      </c>
      <c r="B1351" s="86"/>
      <c r="C13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51" s="44"/>
      <c r="E1351" s="66"/>
      <c r="F1351" s="66"/>
      <c r="G1351" s="66"/>
      <c r="H1351" s="44"/>
      <c r="I1351" s="44"/>
      <c r="J1351" s="66"/>
      <c r="K1351" s="66"/>
      <c r="L1351" s="66"/>
      <c r="M1351" s="66"/>
      <c r="N1351" s="66">
        <f>SUM(Prog_23[[#This Row],[TARA]]+Prog_23[[#This Row],[PESO]])</f>
        <v>0</v>
      </c>
      <c r="O1351" s="44"/>
      <c r="P1351" s="66"/>
      <c r="Q1351" s="66"/>
      <c r="R1351" s="66"/>
      <c r="S1351" s="66"/>
      <c r="T1351" s="138" t="str">
        <f>IFERROR(LOOKUP($S1351,MOTORISTAS!$D$3:$D$916,MOTORISTAS!E$3:$E$916),"")</f>
        <v/>
      </c>
      <c r="U1351" s="138" t="str">
        <f>IFERROR(LOOKUP($S1351,MOTORISTAS!$D$3:$D$916,MOTORISTAS!F$3:$F$916),"")</f>
        <v/>
      </c>
      <c r="V1351" s="66"/>
      <c r="W1351" s="66"/>
      <c r="X1351" s="66"/>
      <c r="Y1351" s="66"/>
      <c r="Z1351" s="66"/>
      <c r="AA1351" s="66"/>
      <c r="AB1351" s="66"/>
      <c r="AC1351" s="66"/>
      <c r="AD1351" s="66"/>
      <c r="AE1351" s="66"/>
      <c r="AF1351" s="44"/>
      <c r="AG1351" s="254">
        <f>Prog_23[[#This Row],[SAÍDA DO CLIENTE]]-Prog_23[[#This Row],[PROGRAMAÇÃO CLIENTE]]</f>
        <v>0</v>
      </c>
      <c r="AH1351" s="44"/>
      <c r="AI1351" s="66"/>
      <c r="AJ1351" s="66"/>
      <c r="AK1351" s="66"/>
      <c r="AL1351" s="66"/>
      <c r="AM1351" s="66"/>
      <c r="AN1351" s="83"/>
      <c r="AO1351" s="83"/>
      <c r="AP1351" s="83"/>
      <c r="AQ1351" s="66"/>
      <c r="AR1351" s="66"/>
      <c r="AS1351" s="66"/>
      <c r="AT1351" s="81"/>
      <c r="AU1351" s="81"/>
      <c r="AV1351" s="81"/>
      <c r="AW1351" s="81"/>
      <c r="AX1351" s="83">
        <f>SUM(Prog_23[[#This Row],[ADIANTAMENTO]]+Prog_23[[#This Row],[SALDO]]+Prog_23[[#This Row],[MARGEM]]+Prog_23[[#This Row],[ESTADIA 1]])</f>
        <v>0</v>
      </c>
      <c r="AY13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51" s="81"/>
      <c r="BA1351" s="81"/>
      <c r="BB1351" s="81">
        <f>Prog_23[[#This Row],[VLR NF]]*0.1%</f>
        <v>0</v>
      </c>
      <c r="BC1351" s="81">
        <f>Prog_23[[#This Row],[VLR NF]]*0.05%</f>
        <v>0</v>
      </c>
      <c r="BD1351" s="81"/>
      <c r="BE1351" s="81"/>
      <c r="BF1351" s="81"/>
      <c r="BG1351" s="81"/>
      <c r="BH1351" s="81"/>
      <c r="BI1351" s="81"/>
      <c r="BJ1351" s="81"/>
      <c r="BK1351" s="81"/>
      <c r="BL1351" s="81"/>
      <c r="BM1351" s="81"/>
      <c r="BN1351" s="66"/>
      <c r="BO1351" s="66"/>
      <c r="BP1351" s="66"/>
      <c r="BQ1351" s="66" t="str">
        <f>PROPER(TEXT(Prog_23[[#This Row],[PROGRAMAÇÃO CLIENTE]],"mmm"))</f>
        <v>Jan</v>
      </c>
      <c r="BR1351" s="66">
        <f>YEAR(Prog_23[[#This Row],[PROGRAMAÇÃO CLIENTE]])</f>
        <v>1900</v>
      </c>
    </row>
    <row r="1352" spans="1:70" x14ac:dyDescent="0.25">
      <c r="A1352" s="201">
        <f>Prog_23[[#This Row],[CONTEINER]]</f>
        <v>0</v>
      </c>
      <c r="B1352" s="86"/>
      <c r="C13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52" s="44"/>
      <c r="E1352" s="66"/>
      <c r="F1352" s="66"/>
      <c r="G1352" s="66"/>
      <c r="H1352" s="44"/>
      <c r="I1352" s="44"/>
      <c r="J1352" s="66"/>
      <c r="K1352" s="66"/>
      <c r="L1352" s="66"/>
      <c r="M1352" s="66"/>
      <c r="N1352" s="66">
        <f>SUM(Prog_23[[#This Row],[TARA]]+Prog_23[[#This Row],[PESO]])</f>
        <v>0</v>
      </c>
      <c r="O1352" s="44"/>
      <c r="P1352" s="66"/>
      <c r="Q1352" s="66"/>
      <c r="R1352" s="66"/>
      <c r="S1352" s="66"/>
      <c r="T1352" s="138" t="str">
        <f>IFERROR(LOOKUP($S1352,MOTORISTAS!$D$3:$D$916,MOTORISTAS!E$3:$E$916),"")</f>
        <v/>
      </c>
      <c r="U1352" s="138" t="str">
        <f>IFERROR(LOOKUP($S1352,MOTORISTAS!$D$3:$D$916,MOTORISTAS!F$3:$F$916),"")</f>
        <v/>
      </c>
      <c r="V1352" s="66"/>
      <c r="W1352" s="66"/>
      <c r="X1352" s="66"/>
      <c r="Y1352" s="66"/>
      <c r="Z1352" s="66"/>
      <c r="AA1352" s="66"/>
      <c r="AB1352" s="66"/>
      <c r="AC1352" s="66"/>
      <c r="AD1352" s="66"/>
      <c r="AE1352" s="66"/>
      <c r="AF1352" s="44"/>
      <c r="AG1352" s="254">
        <f>Prog_23[[#This Row],[SAÍDA DO CLIENTE]]-Prog_23[[#This Row],[PROGRAMAÇÃO CLIENTE]]</f>
        <v>0</v>
      </c>
      <c r="AH1352" s="44"/>
      <c r="AI1352" s="66"/>
      <c r="AJ1352" s="66"/>
      <c r="AK1352" s="66"/>
      <c r="AL1352" s="66"/>
      <c r="AM1352" s="66"/>
      <c r="AN1352" s="83"/>
      <c r="AO1352" s="83"/>
      <c r="AP1352" s="83"/>
      <c r="AQ1352" s="66"/>
      <c r="AR1352" s="66"/>
      <c r="AS1352" s="66"/>
      <c r="AT1352" s="81"/>
      <c r="AU1352" s="81"/>
      <c r="AV1352" s="81"/>
      <c r="AW1352" s="81"/>
      <c r="AX1352" s="83">
        <f>SUM(Prog_23[[#This Row],[ADIANTAMENTO]]+Prog_23[[#This Row],[SALDO]]+Prog_23[[#This Row],[MARGEM]]+Prog_23[[#This Row],[ESTADIA 1]])</f>
        <v>0</v>
      </c>
      <c r="AY13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52" s="81"/>
      <c r="BA1352" s="81"/>
      <c r="BB1352" s="81">
        <f>Prog_23[[#This Row],[VLR NF]]*0.1%</f>
        <v>0</v>
      </c>
      <c r="BC1352" s="81">
        <f>Prog_23[[#This Row],[VLR NF]]*0.05%</f>
        <v>0</v>
      </c>
      <c r="BD1352" s="81"/>
      <c r="BE1352" s="81"/>
      <c r="BF1352" s="81"/>
      <c r="BG1352" s="81"/>
      <c r="BH1352" s="81"/>
      <c r="BI1352" s="81"/>
      <c r="BJ1352" s="81"/>
      <c r="BK1352" s="81"/>
      <c r="BL1352" s="81"/>
      <c r="BM1352" s="81"/>
      <c r="BN1352" s="66"/>
      <c r="BO1352" s="66"/>
      <c r="BP1352" s="66"/>
      <c r="BQ1352" s="66" t="str">
        <f>PROPER(TEXT(Prog_23[[#This Row],[PROGRAMAÇÃO CLIENTE]],"mmm"))</f>
        <v>Jan</v>
      </c>
      <c r="BR1352" s="66">
        <f>YEAR(Prog_23[[#This Row],[PROGRAMAÇÃO CLIENTE]])</f>
        <v>1900</v>
      </c>
    </row>
    <row r="1353" spans="1:70" x14ac:dyDescent="0.25">
      <c r="A1353" s="200">
        <f>Prog_23[[#This Row],[CONTEINER]]</f>
        <v>0</v>
      </c>
      <c r="B1353" s="86"/>
      <c r="C13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53" s="44"/>
      <c r="E1353" s="66"/>
      <c r="F1353" s="66"/>
      <c r="G1353" s="66"/>
      <c r="H1353" s="44"/>
      <c r="I1353" s="44"/>
      <c r="J1353" s="66"/>
      <c r="K1353" s="66"/>
      <c r="L1353" s="66"/>
      <c r="M1353" s="66"/>
      <c r="N1353" s="66">
        <f>SUM(Prog_23[[#This Row],[TARA]]+Prog_23[[#This Row],[PESO]])</f>
        <v>0</v>
      </c>
      <c r="O1353" s="44"/>
      <c r="P1353" s="66"/>
      <c r="Q1353" s="66"/>
      <c r="R1353" s="66"/>
      <c r="S1353" s="66"/>
      <c r="T1353" s="138" t="str">
        <f>IFERROR(LOOKUP($S1353,MOTORISTAS!$D$3:$D$916,MOTORISTAS!E$3:$E$916),"")</f>
        <v/>
      </c>
      <c r="U1353" s="138" t="str">
        <f>IFERROR(LOOKUP($S1353,MOTORISTAS!$D$3:$D$916,MOTORISTAS!F$3:$F$916),"")</f>
        <v/>
      </c>
      <c r="V1353" s="66"/>
      <c r="W1353" s="66"/>
      <c r="X1353" s="66"/>
      <c r="Y1353" s="66"/>
      <c r="Z1353" s="66"/>
      <c r="AA1353" s="66"/>
      <c r="AB1353" s="66"/>
      <c r="AC1353" s="66"/>
      <c r="AD1353" s="66"/>
      <c r="AE1353" s="66"/>
      <c r="AF1353" s="44"/>
      <c r="AG1353" s="254">
        <f>Prog_23[[#This Row],[SAÍDA DO CLIENTE]]-Prog_23[[#This Row],[PROGRAMAÇÃO CLIENTE]]</f>
        <v>0</v>
      </c>
      <c r="AH1353" s="44"/>
      <c r="AI1353" s="66"/>
      <c r="AJ1353" s="66"/>
      <c r="AK1353" s="66"/>
      <c r="AL1353" s="66"/>
      <c r="AM1353" s="66"/>
      <c r="AN1353" s="83"/>
      <c r="AO1353" s="83"/>
      <c r="AP1353" s="83"/>
      <c r="AQ1353" s="66"/>
      <c r="AR1353" s="66"/>
      <c r="AS1353" s="66"/>
      <c r="AT1353" s="81"/>
      <c r="AU1353" s="81"/>
      <c r="AV1353" s="81"/>
      <c r="AW1353" s="81"/>
      <c r="AX1353" s="83">
        <f>SUM(Prog_23[[#This Row],[ADIANTAMENTO]]+Prog_23[[#This Row],[SALDO]]+Prog_23[[#This Row],[MARGEM]]+Prog_23[[#This Row],[ESTADIA 1]])</f>
        <v>0</v>
      </c>
      <c r="AY13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53" s="81"/>
      <c r="BA1353" s="81"/>
      <c r="BB1353" s="81">
        <f>Prog_23[[#This Row],[VLR NF]]*0.1%</f>
        <v>0</v>
      </c>
      <c r="BC1353" s="81">
        <f>Prog_23[[#This Row],[VLR NF]]*0.05%</f>
        <v>0</v>
      </c>
      <c r="BD1353" s="81"/>
      <c r="BE1353" s="81"/>
      <c r="BF1353" s="81"/>
      <c r="BG1353" s="81"/>
      <c r="BH1353" s="81"/>
      <c r="BI1353" s="81"/>
      <c r="BJ1353" s="81"/>
      <c r="BK1353" s="81"/>
      <c r="BL1353" s="81"/>
      <c r="BM1353" s="81"/>
      <c r="BN1353" s="66"/>
      <c r="BO1353" s="66"/>
      <c r="BP1353" s="66"/>
      <c r="BQ1353" s="66" t="str">
        <f>PROPER(TEXT(Prog_23[[#This Row],[PROGRAMAÇÃO CLIENTE]],"mmm"))</f>
        <v>Jan</v>
      </c>
      <c r="BR1353" s="66">
        <f>YEAR(Prog_23[[#This Row],[PROGRAMAÇÃO CLIENTE]])</f>
        <v>1900</v>
      </c>
    </row>
    <row r="1354" spans="1:70" x14ac:dyDescent="0.25">
      <c r="A1354" s="201">
        <f>Prog_23[[#This Row],[CONTEINER]]</f>
        <v>0</v>
      </c>
      <c r="B1354" s="86"/>
      <c r="C13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54" s="44"/>
      <c r="E1354" s="66"/>
      <c r="F1354" s="66"/>
      <c r="G1354" s="66"/>
      <c r="H1354" s="44"/>
      <c r="I1354" s="44"/>
      <c r="J1354" s="66"/>
      <c r="K1354" s="66"/>
      <c r="L1354" s="66"/>
      <c r="M1354" s="66"/>
      <c r="N1354" s="66">
        <f>SUM(Prog_23[[#This Row],[TARA]]+Prog_23[[#This Row],[PESO]])</f>
        <v>0</v>
      </c>
      <c r="O1354" s="44"/>
      <c r="P1354" s="66"/>
      <c r="Q1354" s="66"/>
      <c r="R1354" s="66"/>
      <c r="S1354" s="66"/>
      <c r="T1354" s="138" t="str">
        <f>IFERROR(LOOKUP($S1354,MOTORISTAS!$D$3:$D$916,MOTORISTAS!E$3:$E$916),"")</f>
        <v/>
      </c>
      <c r="U1354" s="138" t="str">
        <f>IFERROR(LOOKUP($S1354,MOTORISTAS!$D$3:$D$916,MOTORISTAS!F$3:$F$916),"")</f>
        <v/>
      </c>
      <c r="V1354" s="66"/>
      <c r="W1354" s="66"/>
      <c r="X1354" s="66"/>
      <c r="Y1354" s="66"/>
      <c r="Z1354" s="66"/>
      <c r="AA1354" s="66"/>
      <c r="AB1354" s="66"/>
      <c r="AC1354" s="66"/>
      <c r="AD1354" s="66"/>
      <c r="AE1354" s="66"/>
      <c r="AF1354" s="44"/>
      <c r="AG1354" s="254">
        <f>Prog_23[[#This Row],[SAÍDA DO CLIENTE]]-Prog_23[[#This Row],[PROGRAMAÇÃO CLIENTE]]</f>
        <v>0</v>
      </c>
      <c r="AH1354" s="44"/>
      <c r="AI1354" s="66"/>
      <c r="AJ1354" s="66"/>
      <c r="AK1354" s="66"/>
      <c r="AL1354" s="66"/>
      <c r="AM1354" s="66"/>
      <c r="AN1354" s="83"/>
      <c r="AO1354" s="83"/>
      <c r="AP1354" s="83"/>
      <c r="AQ1354" s="66"/>
      <c r="AR1354" s="66"/>
      <c r="AS1354" s="66"/>
      <c r="AT1354" s="81"/>
      <c r="AU1354" s="81"/>
      <c r="AV1354" s="81"/>
      <c r="AW1354" s="81"/>
      <c r="AX1354" s="83">
        <f>SUM(Prog_23[[#This Row],[ADIANTAMENTO]]+Prog_23[[#This Row],[SALDO]]+Prog_23[[#This Row],[MARGEM]]+Prog_23[[#This Row],[ESTADIA 1]])</f>
        <v>0</v>
      </c>
      <c r="AY13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54" s="81"/>
      <c r="BA1354" s="81"/>
      <c r="BB1354" s="81">
        <f>Prog_23[[#This Row],[VLR NF]]*0.1%</f>
        <v>0</v>
      </c>
      <c r="BC1354" s="81">
        <f>Prog_23[[#This Row],[VLR NF]]*0.05%</f>
        <v>0</v>
      </c>
      <c r="BD1354" s="81"/>
      <c r="BE1354" s="81"/>
      <c r="BF1354" s="81"/>
      <c r="BG1354" s="81"/>
      <c r="BH1354" s="81"/>
      <c r="BI1354" s="81"/>
      <c r="BJ1354" s="81"/>
      <c r="BK1354" s="81"/>
      <c r="BL1354" s="81"/>
      <c r="BM1354" s="81"/>
      <c r="BN1354" s="66"/>
      <c r="BO1354" s="66"/>
      <c r="BP1354" s="66"/>
      <c r="BQ1354" s="66" t="str">
        <f>PROPER(TEXT(Prog_23[[#This Row],[PROGRAMAÇÃO CLIENTE]],"mmm"))</f>
        <v>Jan</v>
      </c>
      <c r="BR1354" s="66">
        <f>YEAR(Prog_23[[#This Row],[PROGRAMAÇÃO CLIENTE]])</f>
        <v>1900</v>
      </c>
    </row>
    <row r="1355" spans="1:70" x14ac:dyDescent="0.25">
      <c r="A1355" s="200">
        <f>Prog_23[[#This Row],[CONTEINER]]</f>
        <v>0</v>
      </c>
      <c r="B1355" s="86"/>
      <c r="C13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55" s="44"/>
      <c r="E1355" s="66"/>
      <c r="F1355" s="66"/>
      <c r="G1355" s="66"/>
      <c r="H1355" s="44"/>
      <c r="I1355" s="44"/>
      <c r="J1355" s="66"/>
      <c r="K1355" s="66"/>
      <c r="L1355" s="66"/>
      <c r="M1355" s="66"/>
      <c r="N1355" s="66">
        <f>SUM(Prog_23[[#This Row],[TARA]]+Prog_23[[#This Row],[PESO]])</f>
        <v>0</v>
      </c>
      <c r="O1355" s="44"/>
      <c r="P1355" s="66"/>
      <c r="Q1355" s="66"/>
      <c r="R1355" s="66"/>
      <c r="S1355" s="66"/>
      <c r="T1355" s="138" t="str">
        <f>IFERROR(LOOKUP($S1355,MOTORISTAS!$D$3:$D$916,MOTORISTAS!E$3:$E$916),"")</f>
        <v/>
      </c>
      <c r="U1355" s="138" t="str">
        <f>IFERROR(LOOKUP($S1355,MOTORISTAS!$D$3:$D$916,MOTORISTAS!F$3:$F$916),"")</f>
        <v/>
      </c>
      <c r="V1355" s="66"/>
      <c r="W1355" s="66"/>
      <c r="X1355" s="66"/>
      <c r="Y1355" s="66"/>
      <c r="Z1355" s="66"/>
      <c r="AA1355" s="66"/>
      <c r="AB1355" s="66"/>
      <c r="AC1355" s="66"/>
      <c r="AD1355" s="66"/>
      <c r="AE1355" s="66"/>
      <c r="AF1355" s="44"/>
      <c r="AG1355" s="254">
        <f>Prog_23[[#This Row],[SAÍDA DO CLIENTE]]-Prog_23[[#This Row],[PROGRAMAÇÃO CLIENTE]]</f>
        <v>0</v>
      </c>
      <c r="AH1355" s="44"/>
      <c r="AI1355" s="66"/>
      <c r="AJ1355" s="66"/>
      <c r="AK1355" s="66"/>
      <c r="AL1355" s="66"/>
      <c r="AM1355" s="66"/>
      <c r="AN1355" s="83"/>
      <c r="AO1355" s="83"/>
      <c r="AP1355" s="83"/>
      <c r="AQ1355" s="66"/>
      <c r="AR1355" s="66"/>
      <c r="AS1355" s="66"/>
      <c r="AT1355" s="81"/>
      <c r="AU1355" s="81"/>
      <c r="AV1355" s="81"/>
      <c r="AW1355" s="81"/>
      <c r="AX1355" s="83">
        <f>SUM(Prog_23[[#This Row],[ADIANTAMENTO]]+Prog_23[[#This Row],[SALDO]]+Prog_23[[#This Row],[MARGEM]]+Prog_23[[#This Row],[ESTADIA 1]])</f>
        <v>0</v>
      </c>
      <c r="AY13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55" s="81"/>
      <c r="BA1355" s="81"/>
      <c r="BB1355" s="81">
        <f>Prog_23[[#This Row],[VLR NF]]*0.1%</f>
        <v>0</v>
      </c>
      <c r="BC1355" s="81">
        <f>Prog_23[[#This Row],[VLR NF]]*0.05%</f>
        <v>0</v>
      </c>
      <c r="BD1355" s="81"/>
      <c r="BE1355" s="81"/>
      <c r="BF1355" s="81"/>
      <c r="BG1355" s="81"/>
      <c r="BH1355" s="81"/>
      <c r="BI1355" s="81"/>
      <c r="BJ1355" s="81"/>
      <c r="BK1355" s="81"/>
      <c r="BL1355" s="81"/>
      <c r="BM1355" s="81"/>
      <c r="BN1355" s="66"/>
      <c r="BO1355" s="66"/>
      <c r="BP1355" s="66"/>
      <c r="BQ1355" s="66" t="str">
        <f>PROPER(TEXT(Prog_23[[#This Row],[PROGRAMAÇÃO CLIENTE]],"mmm"))</f>
        <v>Jan</v>
      </c>
      <c r="BR1355" s="66">
        <f>YEAR(Prog_23[[#This Row],[PROGRAMAÇÃO CLIENTE]])</f>
        <v>1900</v>
      </c>
    </row>
    <row r="1356" spans="1:70" x14ac:dyDescent="0.25">
      <c r="A1356" s="201">
        <f>Prog_23[[#This Row],[CONTEINER]]</f>
        <v>0</v>
      </c>
      <c r="B1356" s="86"/>
      <c r="C13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56" s="44"/>
      <c r="E1356" s="66"/>
      <c r="F1356" s="66"/>
      <c r="G1356" s="66"/>
      <c r="H1356" s="44"/>
      <c r="I1356" s="44"/>
      <c r="J1356" s="66"/>
      <c r="K1356" s="66"/>
      <c r="L1356" s="66"/>
      <c r="M1356" s="66"/>
      <c r="N1356" s="66">
        <f>SUM(Prog_23[[#This Row],[TARA]]+Prog_23[[#This Row],[PESO]])</f>
        <v>0</v>
      </c>
      <c r="O1356" s="44"/>
      <c r="P1356" s="66"/>
      <c r="Q1356" s="66"/>
      <c r="R1356" s="66"/>
      <c r="S1356" s="66"/>
      <c r="T1356" s="138" t="str">
        <f>IFERROR(LOOKUP($S1356,MOTORISTAS!$D$3:$D$916,MOTORISTAS!E$3:$E$916),"")</f>
        <v/>
      </c>
      <c r="U1356" s="138" t="str">
        <f>IFERROR(LOOKUP($S1356,MOTORISTAS!$D$3:$D$916,MOTORISTAS!F$3:$F$916),"")</f>
        <v/>
      </c>
      <c r="V1356" s="66"/>
      <c r="W1356" s="66"/>
      <c r="X1356" s="66"/>
      <c r="Y1356" s="66"/>
      <c r="Z1356" s="66"/>
      <c r="AA1356" s="66"/>
      <c r="AB1356" s="66"/>
      <c r="AC1356" s="66"/>
      <c r="AD1356" s="66"/>
      <c r="AE1356" s="66"/>
      <c r="AF1356" s="44"/>
      <c r="AG1356" s="254">
        <f>Prog_23[[#This Row],[SAÍDA DO CLIENTE]]-Prog_23[[#This Row],[PROGRAMAÇÃO CLIENTE]]</f>
        <v>0</v>
      </c>
      <c r="AH1356" s="44"/>
      <c r="AI1356" s="66"/>
      <c r="AJ1356" s="66"/>
      <c r="AK1356" s="66"/>
      <c r="AL1356" s="66"/>
      <c r="AM1356" s="66"/>
      <c r="AN1356" s="83"/>
      <c r="AO1356" s="83"/>
      <c r="AP1356" s="83"/>
      <c r="AQ1356" s="66"/>
      <c r="AR1356" s="66"/>
      <c r="AS1356" s="66"/>
      <c r="AT1356" s="81"/>
      <c r="AU1356" s="81"/>
      <c r="AV1356" s="81"/>
      <c r="AW1356" s="81"/>
      <c r="AX1356" s="83">
        <f>SUM(Prog_23[[#This Row],[ADIANTAMENTO]]+Prog_23[[#This Row],[SALDO]]+Prog_23[[#This Row],[MARGEM]]+Prog_23[[#This Row],[ESTADIA 1]])</f>
        <v>0</v>
      </c>
      <c r="AY13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56" s="81"/>
      <c r="BA1356" s="81"/>
      <c r="BB1356" s="81">
        <f>Prog_23[[#This Row],[VLR NF]]*0.1%</f>
        <v>0</v>
      </c>
      <c r="BC1356" s="81">
        <f>Prog_23[[#This Row],[VLR NF]]*0.05%</f>
        <v>0</v>
      </c>
      <c r="BD1356" s="81"/>
      <c r="BE1356" s="81"/>
      <c r="BF1356" s="81"/>
      <c r="BG1356" s="81"/>
      <c r="BH1356" s="81"/>
      <c r="BI1356" s="81"/>
      <c r="BJ1356" s="81"/>
      <c r="BK1356" s="81"/>
      <c r="BL1356" s="81"/>
      <c r="BM1356" s="81"/>
      <c r="BN1356" s="66"/>
      <c r="BO1356" s="66"/>
      <c r="BP1356" s="66"/>
      <c r="BQ1356" s="66" t="str">
        <f>PROPER(TEXT(Prog_23[[#This Row],[PROGRAMAÇÃO CLIENTE]],"mmm"))</f>
        <v>Jan</v>
      </c>
      <c r="BR1356" s="66">
        <f>YEAR(Prog_23[[#This Row],[PROGRAMAÇÃO CLIENTE]])</f>
        <v>1900</v>
      </c>
    </row>
    <row r="1357" spans="1:70" x14ac:dyDescent="0.25">
      <c r="A1357" s="200">
        <f>Prog_23[[#This Row],[CONTEINER]]</f>
        <v>0</v>
      </c>
      <c r="B1357" s="86"/>
      <c r="C13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57" s="44"/>
      <c r="E1357" s="66"/>
      <c r="F1357" s="66"/>
      <c r="G1357" s="66"/>
      <c r="H1357" s="44"/>
      <c r="I1357" s="44"/>
      <c r="J1357" s="66"/>
      <c r="K1357" s="66"/>
      <c r="L1357" s="66"/>
      <c r="M1357" s="66"/>
      <c r="N1357" s="66">
        <f>SUM(Prog_23[[#This Row],[TARA]]+Prog_23[[#This Row],[PESO]])</f>
        <v>0</v>
      </c>
      <c r="O1357" s="44"/>
      <c r="P1357" s="66"/>
      <c r="Q1357" s="66"/>
      <c r="R1357" s="66"/>
      <c r="S1357" s="66"/>
      <c r="T1357" s="138" t="str">
        <f>IFERROR(LOOKUP($S1357,MOTORISTAS!$D$3:$D$916,MOTORISTAS!E$3:$E$916),"")</f>
        <v/>
      </c>
      <c r="U1357" s="138" t="str">
        <f>IFERROR(LOOKUP($S1357,MOTORISTAS!$D$3:$D$916,MOTORISTAS!F$3:$F$916),"")</f>
        <v/>
      </c>
      <c r="V1357" s="66"/>
      <c r="W1357" s="66"/>
      <c r="X1357" s="66"/>
      <c r="Y1357" s="66"/>
      <c r="Z1357" s="66"/>
      <c r="AA1357" s="66"/>
      <c r="AB1357" s="66"/>
      <c r="AC1357" s="66"/>
      <c r="AD1357" s="66"/>
      <c r="AE1357" s="66"/>
      <c r="AF1357" s="44"/>
      <c r="AG1357" s="254">
        <f>Prog_23[[#This Row],[SAÍDA DO CLIENTE]]-Prog_23[[#This Row],[PROGRAMAÇÃO CLIENTE]]</f>
        <v>0</v>
      </c>
      <c r="AH1357" s="44"/>
      <c r="AI1357" s="66"/>
      <c r="AJ1357" s="66"/>
      <c r="AK1357" s="66"/>
      <c r="AL1357" s="66"/>
      <c r="AM1357" s="66"/>
      <c r="AN1357" s="83"/>
      <c r="AO1357" s="83"/>
      <c r="AP1357" s="83"/>
      <c r="AQ1357" s="66"/>
      <c r="AR1357" s="66"/>
      <c r="AS1357" s="66"/>
      <c r="AT1357" s="81"/>
      <c r="AU1357" s="81"/>
      <c r="AV1357" s="81"/>
      <c r="AW1357" s="81"/>
      <c r="AX1357" s="83">
        <f>SUM(Prog_23[[#This Row],[ADIANTAMENTO]]+Prog_23[[#This Row],[SALDO]]+Prog_23[[#This Row],[MARGEM]]+Prog_23[[#This Row],[ESTADIA 1]])</f>
        <v>0</v>
      </c>
      <c r="AY13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57" s="81"/>
      <c r="BA1357" s="81"/>
      <c r="BB1357" s="81">
        <f>Prog_23[[#This Row],[VLR NF]]*0.1%</f>
        <v>0</v>
      </c>
      <c r="BC1357" s="81">
        <f>Prog_23[[#This Row],[VLR NF]]*0.05%</f>
        <v>0</v>
      </c>
      <c r="BD1357" s="81"/>
      <c r="BE1357" s="81"/>
      <c r="BF1357" s="81"/>
      <c r="BG1357" s="81"/>
      <c r="BH1357" s="81"/>
      <c r="BI1357" s="81"/>
      <c r="BJ1357" s="81"/>
      <c r="BK1357" s="81"/>
      <c r="BL1357" s="81"/>
      <c r="BM1357" s="81"/>
      <c r="BN1357" s="66"/>
      <c r="BO1357" s="66"/>
      <c r="BP1357" s="66"/>
      <c r="BQ1357" s="66" t="str">
        <f>PROPER(TEXT(Prog_23[[#This Row],[PROGRAMAÇÃO CLIENTE]],"mmm"))</f>
        <v>Jan</v>
      </c>
      <c r="BR1357" s="66">
        <f>YEAR(Prog_23[[#This Row],[PROGRAMAÇÃO CLIENTE]])</f>
        <v>1900</v>
      </c>
    </row>
    <row r="1358" spans="1:70" x14ac:dyDescent="0.25">
      <c r="A1358" s="201">
        <f>Prog_23[[#This Row],[CONTEINER]]</f>
        <v>0</v>
      </c>
      <c r="B1358" s="86"/>
      <c r="C13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58" s="44"/>
      <c r="E1358" s="66"/>
      <c r="F1358" s="66"/>
      <c r="G1358" s="66"/>
      <c r="H1358" s="44"/>
      <c r="I1358" s="44"/>
      <c r="J1358" s="66"/>
      <c r="K1358" s="66"/>
      <c r="L1358" s="66"/>
      <c r="M1358" s="66"/>
      <c r="N1358" s="66">
        <f>SUM(Prog_23[[#This Row],[TARA]]+Prog_23[[#This Row],[PESO]])</f>
        <v>0</v>
      </c>
      <c r="O1358" s="44"/>
      <c r="P1358" s="66"/>
      <c r="Q1358" s="66"/>
      <c r="R1358" s="66"/>
      <c r="S1358" s="66"/>
      <c r="T1358" s="138" t="str">
        <f>IFERROR(LOOKUP($S1358,MOTORISTAS!$D$3:$D$916,MOTORISTAS!E$3:$E$916),"")</f>
        <v/>
      </c>
      <c r="U1358" s="138" t="str">
        <f>IFERROR(LOOKUP($S1358,MOTORISTAS!$D$3:$D$916,MOTORISTAS!F$3:$F$916),"")</f>
        <v/>
      </c>
      <c r="V1358" s="66"/>
      <c r="W1358" s="66"/>
      <c r="X1358" s="66"/>
      <c r="Y1358" s="66"/>
      <c r="Z1358" s="66"/>
      <c r="AA1358" s="66"/>
      <c r="AB1358" s="66"/>
      <c r="AC1358" s="66"/>
      <c r="AD1358" s="66"/>
      <c r="AE1358" s="66"/>
      <c r="AF1358" s="44"/>
      <c r="AG1358" s="254">
        <f>Prog_23[[#This Row],[SAÍDA DO CLIENTE]]-Prog_23[[#This Row],[PROGRAMAÇÃO CLIENTE]]</f>
        <v>0</v>
      </c>
      <c r="AH1358" s="44"/>
      <c r="AI1358" s="66"/>
      <c r="AJ1358" s="66"/>
      <c r="AK1358" s="66"/>
      <c r="AL1358" s="66"/>
      <c r="AM1358" s="66"/>
      <c r="AN1358" s="83"/>
      <c r="AO1358" s="83"/>
      <c r="AP1358" s="83"/>
      <c r="AQ1358" s="66"/>
      <c r="AR1358" s="66"/>
      <c r="AS1358" s="66"/>
      <c r="AT1358" s="81"/>
      <c r="AU1358" s="81"/>
      <c r="AV1358" s="81"/>
      <c r="AW1358" s="81"/>
      <c r="AX1358" s="83">
        <f>SUM(Prog_23[[#This Row],[ADIANTAMENTO]]+Prog_23[[#This Row],[SALDO]]+Prog_23[[#This Row],[MARGEM]]+Prog_23[[#This Row],[ESTADIA 1]])</f>
        <v>0</v>
      </c>
      <c r="AY13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58" s="81"/>
      <c r="BA1358" s="81"/>
      <c r="BB1358" s="81">
        <f>Prog_23[[#This Row],[VLR NF]]*0.1%</f>
        <v>0</v>
      </c>
      <c r="BC1358" s="81">
        <f>Prog_23[[#This Row],[VLR NF]]*0.05%</f>
        <v>0</v>
      </c>
      <c r="BD1358" s="81"/>
      <c r="BE1358" s="81"/>
      <c r="BF1358" s="81"/>
      <c r="BG1358" s="81"/>
      <c r="BH1358" s="81"/>
      <c r="BI1358" s="81"/>
      <c r="BJ1358" s="81"/>
      <c r="BK1358" s="81"/>
      <c r="BL1358" s="81"/>
      <c r="BM1358" s="81"/>
      <c r="BN1358" s="66"/>
      <c r="BO1358" s="66"/>
      <c r="BP1358" s="66"/>
      <c r="BQ1358" s="66" t="str">
        <f>PROPER(TEXT(Prog_23[[#This Row],[PROGRAMAÇÃO CLIENTE]],"mmm"))</f>
        <v>Jan</v>
      </c>
      <c r="BR1358" s="66">
        <f>YEAR(Prog_23[[#This Row],[PROGRAMAÇÃO CLIENTE]])</f>
        <v>1900</v>
      </c>
    </row>
    <row r="1359" spans="1:70" x14ac:dyDescent="0.25">
      <c r="A1359" s="200">
        <f>Prog_23[[#This Row],[CONTEINER]]</f>
        <v>0</v>
      </c>
      <c r="B1359" s="86"/>
      <c r="C13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59" s="44"/>
      <c r="E1359" s="66"/>
      <c r="F1359" s="66"/>
      <c r="G1359" s="66"/>
      <c r="H1359" s="44"/>
      <c r="I1359" s="44"/>
      <c r="J1359" s="66"/>
      <c r="K1359" s="66"/>
      <c r="L1359" s="66"/>
      <c r="M1359" s="66"/>
      <c r="N1359" s="66">
        <f>SUM(Prog_23[[#This Row],[TARA]]+Prog_23[[#This Row],[PESO]])</f>
        <v>0</v>
      </c>
      <c r="O1359" s="44"/>
      <c r="P1359" s="66"/>
      <c r="Q1359" s="66"/>
      <c r="R1359" s="66"/>
      <c r="S1359" s="66"/>
      <c r="T1359" s="138" t="str">
        <f>IFERROR(LOOKUP($S1359,MOTORISTAS!$D$3:$D$916,MOTORISTAS!E$3:$E$916),"")</f>
        <v/>
      </c>
      <c r="U1359" s="138" t="str">
        <f>IFERROR(LOOKUP($S1359,MOTORISTAS!$D$3:$D$916,MOTORISTAS!F$3:$F$916),"")</f>
        <v/>
      </c>
      <c r="V1359" s="66"/>
      <c r="W1359" s="66"/>
      <c r="X1359" s="66"/>
      <c r="Y1359" s="66"/>
      <c r="Z1359" s="66"/>
      <c r="AA1359" s="66"/>
      <c r="AB1359" s="66"/>
      <c r="AC1359" s="66"/>
      <c r="AD1359" s="66"/>
      <c r="AE1359" s="66"/>
      <c r="AF1359" s="44"/>
      <c r="AG1359" s="254">
        <f>Prog_23[[#This Row],[SAÍDA DO CLIENTE]]-Prog_23[[#This Row],[PROGRAMAÇÃO CLIENTE]]</f>
        <v>0</v>
      </c>
      <c r="AH1359" s="44"/>
      <c r="AI1359" s="66"/>
      <c r="AJ1359" s="66"/>
      <c r="AK1359" s="66"/>
      <c r="AL1359" s="66"/>
      <c r="AM1359" s="66"/>
      <c r="AN1359" s="83"/>
      <c r="AO1359" s="83"/>
      <c r="AP1359" s="83"/>
      <c r="AQ1359" s="66"/>
      <c r="AR1359" s="66"/>
      <c r="AS1359" s="66"/>
      <c r="AT1359" s="81"/>
      <c r="AU1359" s="81"/>
      <c r="AV1359" s="81"/>
      <c r="AW1359" s="81"/>
      <c r="AX1359" s="83">
        <f>SUM(Prog_23[[#This Row],[ADIANTAMENTO]]+Prog_23[[#This Row],[SALDO]]+Prog_23[[#This Row],[MARGEM]]+Prog_23[[#This Row],[ESTADIA 1]])</f>
        <v>0</v>
      </c>
      <c r="AY13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59" s="81"/>
      <c r="BA1359" s="81"/>
      <c r="BB1359" s="81">
        <f>Prog_23[[#This Row],[VLR NF]]*0.1%</f>
        <v>0</v>
      </c>
      <c r="BC1359" s="81">
        <f>Prog_23[[#This Row],[VLR NF]]*0.05%</f>
        <v>0</v>
      </c>
      <c r="BD1359" s="81"/>
      <c r="BE1359" s="81"/>
      <c r="BF1359" s="81"/>
      <c r="BG1359" s="81"/>
      <c r="BH1359" s="81"/>
      <c r="BI1359" s="81"/>
      <c r="BJ1359" s="81"/>
      <c r="BK1359" s="81"/>
      <c r="BL1359" s="81"/>
      <c r="BM1359" s="81"/>
      <c r="BN1359" s="66"/>
      <c r="BO1359" s="66"/>
      <c r="BP1359" s="66"/>
      <c r="BQ1359" s="66" t="str">
        <f>PROPER(TEXT(Prog_23[[#This Row],[PROGRAMAÇÃO CLIENTE]],"mmm"))</f>
        <v>Jan</v>
      </c>
      <c r="BR1359" s="66">
        <f>YEAR(Prog_23[[#This Row],[PROGRAMAÇÃO CLIENTE]])</f>
        <v>1900</v>
      </c>
    </row>
    <row r="1360" spans="1:70" x14ac:dyDescent="0.25">
      <c r="A1360" s="201">
        <f>Prog_23[[#This Row],[CONTEINER]]</f>
        <v>0</v>
      </c>
      <c r="B1360" s="86"/>
      <c r="C13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60" s="44"/>
      <c r="E1360" s="66"/>
      <c r="F1360" s="66"/>
      <c r="G1360" s="66"/>
      <c r="H1360" s="44"/>
      <c r="I1360" s="44"/>
      <c r="J1360" s="66"/>
      <c r="K1360" s="66"/>
      <c r="L1360" s="66"/>
      <c r="M1360" s="66"/>
      <c r="N1360" s="66">
        <f>SUM(Prog_23[[#This Row],[TARA]]+Prog_23[[#This Row],[PESO]])</f>
        <v>0</v>
      </c>
      <c r="O1360" s="44"/>
      <c r="P1360" s="66"/>
      <c r="Q1360" s="66"/>
      <c r="R1360" s="66"/>
      <c r="S1360" s="66"/>
      <c r="T1360" s="138" t="str">
        <f>IFERROR(LOOKUP($S1360,MOTORISTAS!$D$3:$D$916,MOTORISTAS!E$3:$E$916),"")</f>
        <v/>
      </c>
      <c r="U1360" s="138" t="str">
        <f>IFERROR(LOOKUP($S1360,MOTORISTAS!$D$3:$D$916,MOTORISTAS!F$3:$F$916),"")</f>
        <v/>
      </c>
      <c r="V1360" s="66"/>
      <c r="W1360" s="66"/>
      <c r="X1360" s="66"/>
      <c r="Y1360" s="66"/>
      <c r="Z1360" s="66"/>
      <c r="AA1360" s="66"/>
      <c r="AB1360" s="66"/>
      <c r="AC1360" s="66"/>
      <c r="AD1360" s="66"/>
      <c r="AE1360" s="66"/>
      <c r="AF1360" s="44"/>
      <c r="AG1360" s="254">
        <f>Prog_23[[#This Row],[SAÍDA DO CLIENTE]]-Prog_23[[#This Row],[PROGRAMAÇÃO CLIENTE]]</f>
        <v>0</v>
      </c>
      <c r="AH1360" s="44"/>
      <c r="AI1360" s="66"/>
      <c r="AJ1360" s="66"/>
      <c r="AK1360" s="66"/>
      <c r="AL1360" s="66"/>
      <c r="AM1360" s="66"/>
      <c r="AN1360" s="83"/>
      <c r="AO1360" s="83"/>
      <c r="AP1360" s="83"/>
      <c r="AQ1360" s="66"/>
      <c r="AR1360" s="66"/>
      <c r="AS1360" s="66"/>
      <c r="AT1360" s="81"/>
      <c r="AU1360" s="81"/>
      <c r="AV1360" s="81"/>
      <c r="AW1360" s="81"/>
      <c r="AX1360" s="83">
        <f>SUM(Prog_23[[#This Row],[ADIANTAMENTO]]+Prog_23[[#This Row],[SALDO]]+Prog_23[[#This Row],[MARGEM]]+Prog_23[[#This Row],[ESTADIA 1]])</f>
        <v>0</v>
      </c>
      <c r="AY13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60" s="81"/>
      <c r="BA1360" s="81"/>
      <c r="BB1360" s="81">
        <f>Prog_23[[#This Row],[VLR NF]]*0.1%</f>
        <v>0</v>
      </c>
      <c r="BC1360" s="81">
        <f>Prog_23[[#This Row],[VLR NF]]*0.05%</f>
        <v>0</v>
      </c>
      <c r="BD1360" s="81"/>
      <c r="BE1360" s="81"/>
      <c r="BF1360" s="81"/>
      <c r="BG1360" s="81"/>
      <c r="BH1360" s="81"/>
      <c r="BI1360" s="81"/>
      <c r="BJ1360" s="81"/>
      <c r="BK1360" s="81"/>
      <c r="BL1360" s="81"/>
      <c r="BM1360" s="81"/>
      <c r="BN1360" s="66"/>
      <c r="BO1360" s="66"/>
      <c r="BP1360" s="66"/>
      <c r="BQ1360" s="66" t="str">
        <f>PROPER(TEXT(Prog_23[[#This Row],[PROGRAMAÇÃO CLIENTE]],"mmm"))</f>
        <v>Jan</v>
      </c>
      <c r="BR1360" s="66">
        <f>YEAR(Prog_23[[#This Row],[PROGRAMAÇÃO CLIENTE]])</f>
        <v>1900</v>
      </c>
    </row>
    <row r="1361" spans="1:70" x14ac:dyDescent="0.25">
      <c r="A1361" s="200">
        <f>Prog_23[[#This Row],[CONTEINER]]</f>
        <v>0</v>
      </c>
      <c r="B1361" s="86"/>
      <c r="C13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61" s="44"/>
      <c r="E1361" s="66"/>
      <c r="F1361" s="66"/>
      <c r="G1361" s="66"/>
      <c r="H1361" s="44"/>
      <c r="I1361" s="44"/>
      <c r="J1361" s="66"/>
      <c r="K1361" s="66"/>
      <c r="L1361" s="66"/>
      <c r="M1361" s="66"/>
      <c r="N1361" s="66">
        <f>SUM(Prog_23[[#This Row],[TARA]]+Prog_23[[#This Row],[PESO]])</f>
        <v>0</v>
      </c>
      <c r="O1361" s="44"/>
      <c r="P1361" s="66"/>
      <c r="Q1361" s="66"/>
      <c r="R1361" s="66"/>
      <c r="S1361" s="66"/>
      <c r="T1361" s="138" t="str">
        <f>IFERROR(LOOKUP($S1361,MOTORISTAS!$D$3:$D$916,MOTORISTAS!E$3:$E$916),"")</f>
        <v/>
      </c>
      <c r="U1361" s="138" t="str">
        <f>IFERROR(LOOKUP($S1361,MOTORISTAS!$D$3:$D$916,MOTORISTAS!F$3:$F$916),"")</f>
        <v/>
      </c>
      <c r="V1361" s="66"/>
      <c r="W1361" s="66"/>
      <c r="X1361" s="66"/>
      <c r="Y1361" s="66"/>
      <c r="Z1361" s="66"/>
      <c r="AA1361" s="66"/>
      <c r="AB1361" s="66"/>
      <c r="AC1361" s="66"/>
      <c r="AD1361" s="66"/>
      <c r="AE1361" s="66"/>
      <c r="AF1361" s="44"/>
      <c r="AG1361" s="254">
        <f>Prog_23[[#This Row],[SAÍDA DO CLIENTE]]-Prog_23[[#This Row],[PROGRAMAÇÃO CLIENTE]]</f>
        <v>0</v>
      </c>
      <c r="AH1361" s="44"/>
      <c r="AI1361" s="66"/>
      <c r="AJ1361" s="66"/>
      <c r="AK1361" s="66"/>
      <c r="AL1361" s="66"/>
      <c r="AM1361" s="66"/>
      <c r="AN1361" s="83"/>
      <c r="AO1361" s="83"/>
      <c r="AP1361" s="83"/>
      <c r="AQ1361" s="66"/>
      <c r="AR1361" s="66"/>
      <c r="AS1361" s="66"/>
      <c r="AT1361" s="81"/>
      <c r="AU1361" s="81"/>
      <c r="AV1361" s="81"/>
      <c r="AW1361" s="81"/>
      <c r="AX1361" s="83">
        <f>SUM(Prog_23[[#This Row],[ADIANTAMENTO]]+Prog_23[[#This Row],[SALDO]]+Prog_23[[#This Row],[MARGEM]]+Prog_23[[#This Row],[ESTADIA 1]])</f>
        <v>0</v>
      </c>
      <c r="AY13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61" s="81"/>
      <c r="BA1361" s="81"/>
      <c r="BB1361" s="81">
        <f>Prog_23[[#This Row],[VLR NF]]*0.1%</f>
        <v>0</v>
      </c>
      <c r="BC1361" s="81">
        <f>Prog_23[[#This Row],[VLR NF]]*0.05%</f>
        <v>0</v>
      </c>
      <c r="BD1361" s="81"/>
      <c r="BE1361" s="81"/>
      <c r="BF1361" s="81"/>
      <c r="BG1361" s="81"/>
      <c r="BH1361" s="81"/>
      <c r="BI1361" s="81"/>
      <c r="BJ1361" s="81"/>
      <c r="BK1361" s="81"/>
      <c r="BL1361" s="81"/>
      <c r="BM1361" s="81"/>
      <c r="BN1361" s="66"/>
      <c r="BO1361" s="66"/>
      <c r="BP1361" s="66"/>
      <c r="BQ1361" s="66" t="str">
        <f>PROPER(TEXT(Prog_23[[#This Row],[PROGRAMAÇÃO CLIENTE]],"mmm"))</f>
        <v>Jan</v>
      </c>
      <c r="BR1361" s="66">
        <f>YEAR(Prog_23[[#This Row],[PROGRAMAÇÃO CLIENTE]])</f>
        <v>1900</v>
      </c>
    </row>
    <row r="1362" spans="1:70" x14ac:dyDescent="0.25">
      <c r="A1362" s="201">
        <f>Prog_23[[#This Row],[CONTEINER]]</f>
        <v>0</v>
      </c>
      <c r="B1362" s="86"/>
      <c r="C13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62" s="44"/>
      <c r="E1362" s="66"/>
      <c r="F1362" s="66"/>
      <c r="G1362" s="66"/>
      <c r="H1362" s="44"/>
      <c r="I1362" s="44"/>
      <c r="J1362" s="66"/>
      <c r="K1362" s="66"/>
      <c r="L1362" s="66"/>
      <c r="M1362" s="66"/>
      <c r="N1362" s="66">
        <f>SUM(Prog_23[[#This Row],[TARA]]+Prog_23[[#This Row],[PESO]])</f>
        <v>0</v>
      </c>
      <c r="O1362" s="44"/>
      <c r="P1362" s="66"/>
      <c r="Q1362" s="66"/>
      <c r="R1362" s="66"/>
      <c r="S1362" s="66"/>
      <c r="T1362" s="138" t="str">
        <f>IFERROR(LOOKUP($S1362,MOTORISTAS!$D$3:$D$916,MOTORISTAS!E$3:$E$916),"")</f>
        <v/>
      </c>
      <c r="U1362" s="138" t="str">
        <f>IFERROR(LOOKUP($S1362,MOTORISTAS!$D$3:$D$916,MOTORISTAS!F$3:$F$916),"")</f>
        <v/>
      </c>
      <c r="V1362" s="66"/>
      <c r="W1362" s="66"/>
      <c r="X1362" s="66"/>
      <c r="Y1362" s="66"/>
      <c r="Z1362" s="66"/>
      <c r="AA1362" s="66"/>
      <c r="AB1362" s="66"/>
      <c r="AC1362" s="66"/>
      <c r="AD1362" s="66"/>
      <c r="AE1362" s="66"/>
      <c r="AF1362" s="44"/>
      <c r="AG1362" s="254">
        <f>Prog_23[[#This Row],[SAÍDA DO CLIENTE]]-Prog_23[[#This Row],[PROGRAMAÇÃO CLIENTE]]</f>
        <v>0</v>
      </c>
      <c r="AH1362" s="44"/>
      <c r="AI1362" s="66"/>
      <c r="AJ1362" s="66"/>
      <c r="AK1362" s="66"/>
      <c r="AL1362" s="66"/>
      <c r="AM1362" s="66"/>
      <c r="AN1362" s="83"/>
      <c r="AO1362" s="83"/>
      <c r="AP1362" s="83"/>
      <c r="AQ1362" s="66"/>
      <c r="AR1362" s="66"/>
      <c r="AS1362" s="66"/>
      <c r="AT1362" s="81"/>
      <c r="AU1362" s="81"/>
      <c r="AV1362" s="81"/>
      <c r="AW1362" s="81"/>
      <c r="AX1362" s="83">
        <f>SUM(Prog_23[[#This Row],[ADIANTAMENTO]]+Prog_23[[#This Row],[SALDO]]+Prog_23[[#This Row],[MARGEM]]+Prog_23[[#This Row],[ESTADIA 1]])</f>
        <v>0</v>
      </c>
      <c r="AY13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62" s="81"/>
      <c r="BA1362" s="81"/>
      <c r="BB1362" s="81">
        <f>Prog_23[[#This Row],[VLR NF]]*0.1%</f>
        <v>0</v>
      </c>
      <c r="BC1362" s="81">
        <f>Prog_23[[#This Row],[VLR NF]]*0.05%</f>
        <v>0</v>
      </c>
      <c r="BD1362" s="81"/>
      <c r="BE1362" s="81"/>
      <c r="BF1362" s="81"/>
      <c r="BG1362" s="81"/>
      <c r="BH1362" s="81"/>
      <c r="BI1362" s="81"/>
      <c r="BJ1362" s="81"/>
      <c r="BK1362" s="81"/>
      <c r="BL1362" s="81"/>
      <c r="BM1362" s="81"/>
      <c r="BN1362" s="66"/>
      <c r="BO1362" s="66"/>
      <c r="BP1362" s="66"/>
      <c r="BQ1362" s="66" t="str">
        <f>PROPER(TEXT(Prog_23[[#This Row],[PROGRAMAÇÃO CLIENTE]],"mmm"))</f>
        <v>Jan</v>
      </c>
      <c r="BR1362" s="66">
        <f>YEAR(Prog_23[[#This Row],[PROGRAMAÇÃO CLIENTE]])</f>
        <v>1900</v>
      </c>
    </row>
    <row r="1363" spans="1:70" x14ac:dyDescent="0.25">
      <c r="A1363" s="200">
        <f>Prog_23[[#This Row],[CONTEINER]]</f>
        <v>0</v>
      </c>
      <c r="B1363" s="86"/>
      <c r="C13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63" s="44"/>
      <c r="E1363" s="66"/>
      <c r="F1363" s="66"/>
      <c r="G1363" s="66"/>
      <c r="H1363" s="44"/>
      <c r="I1363" s="44"/>
      <c r="J1363" s="66"/>
      <c r="K1363" s="66"/>
      <c r="L1363" s="66"/>
      <c r="M1363" s="66"/>
      <c r="N1363" s="66">
        <f>SUM(Prog_23[[#This Row],[TARA]]+Prog_23[[#This Row],[PESO]])</f>
        <v>0</v>
      </c>
      <c r="O1363" s="44"/>
      <c r="P1363" s="66"/>
      <c r="Q1363" s="66"/>
      <c r="R1363" s="66"/>
      <c r="S1363" s="66"/>
      <c r="T1363" s="138" t="str">
        <f>IFERROR(LOOKUP($S1363,MOTORISTAS!$D$3:$D$916,MOTORISTAS!E$3:$E$916),"")</f>
        <v/>
      </c>
      <c r="U1363" s="138" t="str">
        <f>IFERROR(LOOKUP($S1363,MOTORISTAS!$D$3:$D$916,MOTORISTAS!F$3:$F$916),"")</f>
        <v/>
      </c>
      <c r="V1363" s="66"/>
      <c r="W1363" s="66"/>
      <c r="X1363" s="66"/>
      <c r="Y1363" s="66"/>
      <c r="Z1363" s="66"/>
      <c r="AA1363" s="66"/>
      <c r="AB1363" s="66"/>
      <c r="AC1363" s="66"/>
      <c r="AD1363" s="66"/>
      <c r="AE1363" s="66"/>
      <c r="AF1363" s="44"/>
      <c r="AG1363" s="254">
        <f>Prog_23[[#This Row],[SAÍDA DO CLIENTE]]-Prog_23[[#This Row],[PROGRAMAÇÃO CLIENTE]]</f>
        <v>0</v>
      </c>
      <c r="AH1363" s="44"/>
      <c r="AI1363" s="66"/>
      <c r="AJ1363" s="66"/>
      <c r="AK1363" s="66"/>
      <c r="AL1363" s="66"/>
      <c r="AM1363" s="66"/>
      <c r="AN1363" s="83"/>
      <c r="AO1363" s="83"/>
      <c r="AP1363" s="83"/>
      <c r="AQ1363" s="66"/>
      <c r="AR1363" s="66"/>
      <c r="AS1363" s="66"/>
      <c r="AT1363" s="81"/>
      <c r="AU1363" s="81"/>
      <c r="AV1363" s="81"/>
      <c r="AW1363" s="81"/>
      <c r="AX1363" s="83">
        <f>SUM(Prog_23[[#This Row],[ADIANTAMENTO]]+Prog_23[[#This Row],[SALDO]]+Prog_23[[#This Row],[MARGEM]]+Prog_23[[#This Row],[ESTADIA 1]])</f>
        <v>0</v>
      </c>
      <c r="AY13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63" s="81"/>
      <c r="BA1363" s="81"/>
      <c r="BB1363" s="81">
        <f>Prog_23[[#This Row],[VLR NF]]*0.1%</f>
        <v>0</v>
      </c>
      <c r="BC1363" s="81">
        <f>Prog_23[[#This Row],[VLR NF]]*0.05%</f>
        <v>0</v>
      </c>
      <c r="BD1363" s="81"/>
      <c r="BE1363" s="81"/>
      <c r="BF1363" s="81"/>
      <c r="BG1363" s="81"/>
      <c r="BH1363" s="81"/>
      <c r="BI1363" s="81"/>
      <c r="BJ1363" s="81"/>
      <c r="BK1363" s="81"/>
      <c r="BL1363" s="81"/>
      <c r="BM1363" s="81"/>
      <c r="BN1363" s="66"/>
      <c r="BO1363" s="66"/>
      <c r="BP1363" s="66"/>
      <c r="BQ1363" s="66" t="str">
        <f>PROPER(TEXT(Prog_23[[#This Row],[PROGRAMAÇÃO CLIENTE]],"mmm"))</f>
        <v>Jan</v>
      </c>
      <c r="BR1363" s="66">
        <f>YEAR(Prog_23[[#This Row],[PROGRAMAÇÃO CLIENTE]])</f>
        <v>1900</v>
      </c>
    </row>
    <row r="1364" spans="1:70" x14ac:dyDescent="0.25">
      <c r="A1364" s="201">
        <f>Prog_23[[#This Row],[CONTEINER]]</f>
        <v>0</v>
      </c>
      <c r="B1364" s="86"/>
      <c r="C13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64" s="44"/>
      <c r="E1364" s="66"/>
      <c r="F1364" s="66"/>
      <c r="G1364" s="66"/>
      <c r="H1364" s="44"/>
      <c r="I1364" s="44"/>
      <c r="J1364" s="66"/>
      <c r="K1364" s="66"/>
      <c r="L1364" s="66"/>
      <c r="M1364" s="66"/>
      <c r="N1364" s="66">
        <f>SUM(Prog_23[[#This Row],[TARA]]+Prog_23[[#This Row],[PESO]])</f>
        <v>0</v>
      </c>
      <c r="O1364" s="44"/>
      <c r="P1364" s="66"/>
      <c r="Q1364" s="66"/>
      <c r="R1364" s="66"/>
      <c r="S1364" s="66"/>
      <c r="T1364" s="138" t="str">
        <f>IFERROR(LOOKUP($S1364,MOTORISTAS!$D$3:$D$916,MOTORISTAS!E$3:$E$916),"")</f>
        <v/>
      </c>
      <c r="U1364" s="138" t="str">
        <f>IFERROR(LOOKUP($S1364,MOTORISTAS!$D$3:$D$916,MOTORISTAS!F$3:$F$916),"")</f>
        <v/>
      </c>
      <c r="V1364" s="66"/>
      <c r="W1364" s="66"/>
      <c r="X1364" s="66"/>
      <c r="Y1364" s="66"/>
      <c r="Z1364" s="66"/>
      <c r="AA1364" s="66"/>
      <c r="AB1364" s="66"/>
      <c r="AC1364" s="66"/>
      <c r="AD1364" s="66"/>
      <c r="AE1364" s="66"/>
      <c r="AF1364" s="44"/>
      <c r="AG1364" s="254">
        <f>Prog_23[[#This Row],[SAÍDA DO CLIENTE]]-Prog_23[[#This Row],[PROGRAMAÇÃO CLIENTE]]</f>
        <v>0</v>
      </c>
      <c r="AH1364" s="44"/>
      <c r="AI1364" s="66"/>
      <c r="AJ1364" s="66"/>
      <c r="AK1364" s="66"/>
      <c r="AL1364" s="66"/>
      <c r="AM1364" s="66"/>
      <c r="AN1364" s="83"/>
      <c r="AO1364" s="83"/>
      <c r="AP1364" s="83"/>
      <c r="AQ1364" s="66"/>
      <c r="AR1364" s="66"/>
      <c r="AS1364" s="66"/>
      <c r="AT1364" s="81"/>
      <c r="AU1364" s="81"/>
      <c r="AV1364" s="81"/>
      <c r="AW1364" s="81"/>
      <c r="AX1364" s="83">
        <f>SUM(Prog_23[[#This Row],[ADIANTAMENTO]]+Prog_23[[#This Row],[SALDO]]+Prog_23[[#This Row],[MARGEM]]+Prog_23[[#This Row],[ESTADIA 1]])</f>
        <v>0</v>
      </c>
      <c r="AY13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64" s="81"/>
      <c r="BA1364" s="81"/>
      <c r="BB1364" s="81">
        <f>Prog_23[[#This Row],[VLR NF]]*0.1%</f>
        <v>0</v>
      </c>
      <c r="BC1364" s="81">
        <f>Prog_23[[#This Row],[VLR NF]]*0.05%</f>
        <v>0</v>
      </c>
      <c r="BD1364" s="81"/>
      <c r="BE1364" s="81"/>
      <c r="BF1364" s="81"/>
      <c r="BG1364" s="81"/>
      <c r="BH1364" s="81"/>
      <c r="BI1364" s="81"/>
      <c r="BJ1364" s="81"/>
      <c r="BK1364" s="81"/>
      <c r="BL1364" s="81"/>
      <c r="BM1364" s="81"/>
      <c r="BN1364" s="66"/>
      <c r="BO1364" s="66"/>
      <c r="BP1364" s="66"/>
      <c r="BQ1364" s="66" t="str">
        <f>PROPER(TEXT(Prog_23[[#This Row],[PROGRAMAÇÃO CLIENTE]],"mmm"))</f>
        <v>Jan</v>
      </c>
      <c r="BR1364" s="66">
        <f>YEAR(Prog_23[[#This Row],[PROGRAMAÇÃO CLIENTE]])</f>
        <v>1900</v>
      </c>
    </row>
    <row r="1365" spans="1:70" x14ac:dyDescent="0.25">
      <c r="A1365" s="200">
        <f>Prog_23[[#This Row],[CONTEINER]]</f>
        <v>0</v>
      </c>
      <c r="B1365" s="86"/>
      <c r="C13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65" s="44"/>
      <c r="E1365" s="66"/>
      <c r="F1365" s="66"/>
      <c r="G1365" s="66"/>
      <c r="H1365" s="44"/>
      <c r="I1365" s="44"/>
      <c r="J1365" s="66"/>
      <c r="K1365" s="66"/>
      <c r="L1365" s="66"/>
      <c r="M1365" s="66"/>
      <c r="N1365" s="66">
        <f>SUM(Prog_23[[#This Row],[TARA]]+Prog_23[[#This Row],[PESO]])</f>
        <v>0</v>
      </c>
      <c r="O1365" s="44"/>
      <c r="P1365" s="66"/>
      <c r="Q1365" s="66"/>
      <c r="R1365" s="66"/>
      <c r="S1365" s="66"/>
      <c r="T1365" s="138" t="str">
        <f>IFERROR(LOOKUP($S1365,MOTORISTAS!$D$3:$D$916,MOTORISTAS!E$3:$E$916),"")</f>
        <v/>
      </c>
      <c r="U1365" s="138" t="str">
        <f>IFERROR(LOOKUP($S1365,MOTORISTAS!$D$3:$D$916,MOTORISTAS!F$3:$F$916),"")</f>
        <v/>
      </c>
      <c r="V1365" s="66"/>
      <c r="W1365" s="66"/>
      <c r="X1365" s="66"/>
      <c r="Y1365" s="66"/>
      <c r="Z1365" s="66"/>
      <c r="AA1365" s="66"/>
      <c r="AB1365" s="66"/>
      <c r="AC1365" s="66"/>
      <c r="AD1365" s="66"/>
      <c r="AE1365" s="66"/>
      <c r="AF1365" s="44"/>
      <c r="AG1365" s="254">
        <f>Prog_23[[#This Row],[SAÍDA DO CLIENTE]]-Prog_23[[#This Row],[PROGRAMAÇÃO CLIENTE]]</f>
        <v>0</v>
      </c>
      <c r="AH1365" s="44"/>
      <c r="AI1365" s="66"/>
      <c r="AJ1365" s="66"/>
      <c r="AK1365" s="66"/>
      <c r="AL1365" s="66"/>
      <c r="AM1365" s="66"/>
      <c r="AN1365" s="83"/>
      <c r="AO1365" s="83"/>
      <c r="AP1365" s="83"/>
      <c r="AQ1365" s="66"/>
      <c r="AR1365" s="66"/>
      <c r="AS1365" s="66"/>
      <c r="AT1365" s="81"/>
      <c r="AU1365" s="81"/>
      <c r="AV1365" s="81"/>
      <c r="AW1365" s="81"/>
      <c r="AX1365" s="83">
        <f>SUM(Prog_23[[#This Row],[ADIANTAMENTO]]+Prog_23[[#This Row],[SALDO]]+Prog_23[[#This Row],[MARGEM]]+Prog_23[[#This Row],[ESTADIA 1]])</f>
        <v>0</v>
      </c>
      <c r="AY13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65" s="81"/>
      <c r="BA1365" s="81"/>
      <c r="BB1365" s="81">
        <f>Prog_23[[#This Row],[VLR NF]]*0.1%</f>
        <v>0</v>
      </c>
      <c r="BC1365" s="81">
        <f>Prog_23[[#This Row],[VLR NF]]*0.05%</f>
        <v>0</v>
      </c>
      <c r="BD1365" s="81"/>
      <c r="BE1365" s="81"/>
      <c r="BF1365" s="81"/>
      <c r="BG1365" s="81"/>
      <c r="BH1365" s="81"/>
      <c r="BI1365" s="81"/>
      <c r="BJ1365" s="81"/>
      <c r="BK1365" s="81"/>
      <c r="BL1365" s="81"/>
      <c r="BM1365" s="81"/>
      <c r="BN1365" s="66"/>
      <c r="BO1365" s="66"/>
      <c r="BP1365" s="66"/>
      <c r="BQ1365" s="66" t="str">
        <f>PROPER(TEXT(Prog_23[[#This Row],[PROGRAMAÇÃO CLIENTE]],"mmm"))</f>
        <v>Jan</v>
      </c>
      <c r="BR1365" s="66">
        <f>YEAR(Prog_23[[#This Row],[PROGRAMAÇÃO CLIENTE]])</f>
        <v>1900</v>
      </c>
    </row>
    <row r="1366" spans="1:70" x14ac:dyDescent="0.25">
      <c r="A1366" s="201">
        <f>Prog_23[[#This Row],[CONTEINER]]</f>
        <v>0</v>
      </c>
      <c r="B1366" s="86"/>
      <c r="C13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66" s="44"/>
      <c r="E1366" s="66"/>
      <c r="F1366" s="66"/>
      <c r="G1366" s="66"/>
      <c r="H1366" s="44"/>
      <c r="I1366" s="44"/>
      <c r="J1366" s="66"/>
      <c r="K1366" s="66"/>
      <c r="L1366" s="66"/>
      <c r="M1366" s="66"/>
      <c r="N1366" s="66">
        <f>SUM(Prog_23[[#This Row],[TARA]]+Prog_23[[#This Row],[PESO]])</f>
        <v>0</v>
      </c>
      <c r="O1366" s="44"/>
      <c r="P1366" s="66"/>
      <c r="Q1366" s="66"/>
      <c r="R1366" s="66"/>
      <c r="S1366" s="66"/>
      <c r="T1366" s="138" t="str">
        <f>IFERROR(LOOKUP($S1366,MOTORISTAS!$D$3:$D$916,MOTORISTAS!E$3:$E$916),"")</f>
        <v/>
      </c>
      <c r="U1366" s="138" t="str">
        <f>IFERROR(LOOKUP($S1366,MOTORISTAS!$D$3:$D$916,MOTORISTAS!F$3:$F$916),"")</f>
        <v/>
      </c>
      <c r="V1366" s="66"/>
      <c r="W1366" s="66"/>
      <c r="X1366" s="66"/>
      <c r="Y1366" s="66"/>
      <c r="Z1366" s="66"/>
      <c r="AA1366" s="66"/>
      <c r="AB1366" s="66"/>
      <c r="AC1366" s="66"/>
      <c r="AD1366" s="66"/>
      <c r="AE1366" s="66"/>
      <c r="AF1366" s="44"/>
      <c r="AG1366" s="254">
        <f>Prog_23[[#This Row],[SAÍDA DO CLIENTE]]-Prog_23[[#This Row],[PROGRAMAÇÃO CLIENTE]]</f>
        <v>0</v>
      </c>
      <c r="AH1366" s="44"/>
      <c r="AI1366" s="66"/>
      <c r="AJ1366" s="66"/>
      <c r="AK1366" s="66"/>
      <c r="AL1366" s="66"/>
      <c r="AM1366" s="66"/>
      <c r="AN1366" s="83"/>
      <c r="AO1366" s="83"/>
      <c r="AP1366" s="83"/>
      <c r="AQ1366" s="66"/>
      <c r="AR1366" s="66"/>
      <c r="AS1366" s="66"/>
      <c r="AT1366" s="81"/>
      <c r="AU1366" s="81"/>
      <c r="AV1366" s="81"/>
      <c r="AW1366" s="81"/>
      <c r="AX1366" s="83">
        <f>SUM(Prog_23[[#This Row],[ADIANTAMENTO]]+Prog_23[[#This Row],[SALDO]]+Prog_23[[#This Row],[MARGEM]]+Prog_23[[#This Row],[ESTADIA 1]])</f>
        <v>0</v>
      </c>
      <c r="AY13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66" s="81"/>
      <c r="BA1366" s="81"/>
      <c r="BB1366" s="81">
        <f>Prog_23[[#This Row],[VLR NF]]*0.1%</f>
        <v>0</v>
      </c>
      <c r="BC1366" s="81">
        <f>Prog_23[[#This Row],[VLR NF]]*0.05%</f>
        <v>0</v>
      </c>
      <c r="BD1366" s="81"/>
      <c r="BE1366" s="81"/>
      <c r="BF1366" s="81"/>
      <c r="BG1366" s="81"/>
      <c r="BH1366" s="81"/>
      <c r="BI1366" s="81"/>
      <c r="BJ1366" s="81"/>
      <c r="BK1366" s="81"/>
      <c r="BL1366" s="81"/>
      <c r="BM1366" s="81"/>
      <c r="BN1366" s="66"/>
      <c r="BO1366" s="66"/>
      <c r="BP1366" s="66"/>
      <c r="BQ1366" s="66" t="str">
        <f>PROPER(TEXT(Prog_23[[#This Row],[PROGRAMAÇÃO CLIENTE]],"mmm"))</f>
        <v>Jan</v>
      </c>
      <c r="BR1366" s="66">
        <f>YEAR(Prog_23[[#This Row],[PROGRAMAÇÃO CLIENTE]])</f>
        <v>1900</v>
      </c>
    </row>
    <row r="1367" spans="1:70" x14ac:dyDescent="0.25">
      <c r="A1367" s="200">
        <f>Prog_23[[#This Row],[CONTEINER]]</f>
        <v>0</v>
      </c>
      <c r="B1367" s="86"/>
      <c r="C13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67" s="44"/>
      <c r="E1367" s="66"/>
      <c r="F1367" s="66"/>
      <c r="G1367" s="66"/>
      <c r="H1367" s="44"/>
      <c r="I1367" s="44"/>
      <c r="J1367" s="66"/>
      <c r="K1367" s="66"/>
      <c r="L1367" s="66"/>
      <c r="M1367" s="66"/>
      <c r="N1367" s="66">
        <f>SUM(Prog_23[[#This Row],[TARA]]+Prog_23[[#This Row],[PESO]])</f>
        <v>0</v>
      </c>
      <c r="O1367" s="44"/>
      <c r="P1367" s="66"/>
      <c r="Q1367" s="66"/>
      <c r="R1367" s="66"/>
      <c r="S1367" s="66"/>
      <c r="T1367" s="138" t="str">
        <f>IFERROR(LOOKUP($S1367,MOTORISTAS!$D$3:$D$916,MOTORISTAS!E$3:$E$916),"")</f>
        <v/>
      </c>
      <c r="U1367" s="138" t="str">
        <f>IFERROR(LOOKUP($S1367,MOTORISTAS!$D$3:$D$916,MOTORISTAS!F$3:$F$916),"")</f>
        <v/>
      </c>
      <c r="V1367" s="66"/>
      <c r="W1367" s="66"/>
      <c r="X1367" s="66"/>
      <c r="Y1367" s="66"/>
      <c r="Z1367" s="66"/>
      <c r="AA1367" s="66"/>
      <c r="AB1367" s="66"/>
      <c r="AC1367" s="66"/>
      <c r="AD1367" s="66"/>
      <c r="AE1367" s="66"/>
      <c r="AF1367" s="44"/>
      <c r="AG1367" s="254">
        <f>Prog_23[[#This Row],[SAÍDA DO CLIENTE]]-Prog_23[[#This Row],[PROGRAMAÇÃO CLIENTE]]</f>
        <v>0</v>
      </c>
      <c r="AH1367" s="44"/>
      <c r="AI1367" s="66"/>
      <c r="AJ1367" s="66"/>
      <c r="AK1367" s="66"/>
      <c r="AL1367" s="66"/>
      <c r="AM1367" s="66"/>
      <c r="AN1367" s="83"/>
      <c r="AO1367" s="83"/>
      <c r="AP1367" s="83"/>
      <c r="AQ1367" s="66"/>
      <c r="AR1367" s="66"/>
      <c r="AS1367" s="66"/>
      <c r="AT1367" s="81"/>
      <c r="AU1367" s="81"/>
      <c r="AV1367" s="81"/>
      <c r="AW1367" s="81"/>
      <c r="AX1367" s="83">
        <f>SUM(Prog_23[[#This Row],[ADIANTAMENTO]]+Prog_23[[#This Row],[SALDO]]+Prog_23[[#This Row],[MARGEM]]+Prog_23[[#This Row],[ESTADIA 1]])</f>
        <v>0</v>
      </c>
      <c r="AY13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67" s="81"/>
      <c r="BA1367" s="81"/>
      <c r="BB1367" s="81">
        <f>Prog_23[[#This Row],[VLR NF]]*0.1%</f>
        <v>0</v>
      </c>
      <c r="BC1367" s="81">
        <f>Prog_23[[#This Row],[VLR NF]]*0.05%</f>
        <v>0</v>
      </c>
      <c r="BD1367" s="81"/>
      <c r="BE1367" s="81"/>
      <c r="BF1367" s="81"/>
      <c r="BG1367" s="81"/>
      <c r="BH1367" s="81"/>
      <c r="BI1367" s="81"/>
      <c r="BJ1367" s="81"/>
      <c r="BK1367" s="81"/>
      <c r="BL1367" s="81"/>
      <c r="BM1367" s="81"/>
      <c r="BN1367" s="66"/>
      <c r="BO1367" s="66"/>
      <c r="BP1367" s="66"/>
      <c r="BQ1367" s="66" t="str">
        <f>PROPER(TEXT(Prog_23[[#This Row],[PROGRAMAÇÃO CLIENTE]],"mmm"))</f>
        <v>Jan</v>
      </c>
      <c r="BR1367" s="66">
        <f>YEAR(Prog_23[[#This Row],[PROGRAMAÇÃO CLIENTE]])</f>
        <v>1900</v>
      </c>
    </row>
    <row r="1368" spans="1:70" x14ac:dyDescent="0.25">
      <c r="A1368" s="201">
        <f>Prog_23[[#This Row],[CONTEINER]]</f>
        <v>0</v>
      </c>
      <c r="B1368" s="86"/>
      <c r="C13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68" s="44"/>
      <c r="E1368" s="66"/>
      <c r="F1368" s="66"/>
      <c r="G1368" s="66"/>
      <c r="H1368" s="44"/>
      <c r="I1368" s="44"/>
      <c r="J1368" s="66"/>
      <c r="K1368" s="66"/>
      <c r="L1368" s="66"/>
      <c r="M1368" s="66"/>
      <c r="N1368" s="66">
        <f>SUM(Prog_23[[#This Row],[TARA]]+Prog_23[[#This Row],[PESO]])</f>
        <v>0</v>
      </c>
      <c r="O1368" s="44"/>
      <c r="P1368" s="66"/>
      <c r="Q1368" s="66"/>
      <c r="R1368" s="66"/>
      <c r="S1368" s="66"/>
      <c r="T1368" s="138" t="str">
        <f>IFERROR(LOOKUP($S1368,MOTORISTAS!$D$3:$D$916,MOTORISTAS!E$3:$E$916),"")</f>
        <v/>
      </c>
      <c r="U1368" s="138" t="str">
        <f>IFERROR(LOOKUP($S1368,MOTORISTAS!$D$3:$D$916,MOTORISTAS!F$3:$F$916),"")</f>
        <v/>
      </c>
      <c r="V1368" s="66"/>
      <c r="W1368" s="66"/>
      <c r="X1368" s="66"/>
      <c r="Y1368" s="66"/>
      <c r="Z1368" s="66"/>
      <c r="AA1368" s="66"/>
      <c r="AB1368" s="66"/>
      <c r="AC1368" s="66"/>
      <c r="AD1368" s="66"/>
      <c r="AE1368" s="66"/>
      <c r="AF1368" s="44"/>
      <c r="AG1368" s="254">
        <f>Prog_23[[#This Row],[SAÍDA DO CLIENTE]]-Prog_23[[#This Row],[PROGRAMAÇÃO CLIENTE]]</f>
        <v>0</v>
      </c>
      <c r="AH1368" s="44"/>
      <c r="AI1368" s="66"/>
      <c r="AJ1368" s="66"/>
      <c r="AK1368" s="66"/>
      <c r="AL1368" s="66"/>
      <c r="AM1368" s="66"/>
      <c r="AN1368" s="83"/>
      <c r="AO1368" s="83"/>
      <c r="AP1368" s="83"/>
      <c r="AQ1368" s="66"/>
      <c r="AR1368" s="66"/>
      <c r="AS1368" s="66"/>
      <c r="AT1368" s="81"/>
      <c r="AU1368" s="81"/>
      <c r="AV1368" s="81"/>
      <c r="AW1368" s="81"/>
      <c r="AX1368" s="83">
        <f>SUM(Prog_23[[#This Row],[ADIANTAMENTO]]+Prog_23[[#This Row],[SALDO]]+Prog_23[[#This Row],[MARGEM]]+Prog_23[[#This Row],[ESTADIA 1]])</f>
        <v>0</v>
      </c>
      <c r="AY13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68" s="81"/>
      <c r="BA1368" s="81"/>
      <c r="BB1368" s="81">
        <f>Prog_23[[#This Row],[VLR NF]]*0.1%</f>
        <v>0</v>
      </c>
      <c r="BC1368" s="81">
        <f>Prog_23[[#This Row],[VLR NF]]*0.05%</f>
        <v>0</v>
      </c>
      <c r="BD1368" s="81"/>
      <c r="BE1368" s="81"/>
      <c r="BF1368" s="81"/>
      <c r="BG1368" s="81"/>
      <c r="BH1368" s="81"/>
      <c r="BI1368" s="81"/>
      <c r="BJ1368" s="81"/>
      <c r="BK1368" s="81"/>
      <c r="BL1368" s="81"/>
      <c r="BM1368" s="81"/>
      <c r="BN1368" s="66"/>
      <c r="BO1368" s="66"/>
      <c r="BP1368" s="66"/>
      <c r="BQ1368" s="66" t="str">
        <f>PROPER(TEXT(Prog_23[[#This Row],[PROGRAMAÇÃO CLIENTE]],"mmm"))</f>
        <v>Jan</v>
      </c>
      <c r="BR1368" s="66">
        <f>YEAR(Prog_23[[#This Row],[PROGRAMAÇÃO CLIENTE]])</f>
        <v>1900</v>
      </c>
    </row>
    <row r="1369" spans="1:70" x14ac:dyDescent="0.25">
      <c r="A1369" s="200">
        <f>Prog_23[[#This Row],[CONTEINER]]</f>
        <v>0</v>
      </c>
      <c r="B1369" s="86"/>
      <c r="C13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69" s="44"/>
      <c r="E1369" s="66"/>
      <c r="F1369" s="66"/>
      <c r="G1369" s="66"/>
      <c r="H1369" s="44"/>
      <c r="I1369" s="44"/>
      <c r="J1369" s="66"/>
      <c r="K1369" s="66"/>
      <c r="L1369" s="66"/>
      <c r="M1369" s="66"/>
      <c r="N1369" s="66">
        <f>SUM(Prog_23[[#This Row],[TARA]]+Prog_23[[#This Row],[PESO]])</f>
        <v>0</v>
      </c>
      <c r="O1369" s="44"/>
      <c r="P1369" s="66"/>
      <c r="Q1369" s="66"/>
      <c r="R1369" s="66"/>
      <c r="S1369" s="66"/>
      <c r="T1369" s="138" t="str">
        <f>IFERROR(LOOKUP($S1369,MOTORISTAS!$D$3:$D$916,MOTORISTAS!E$3:$E$916),"")</f>
        <v/>
      </c>
      <c r="U1369" s="138" t="str">
        <f>IFERROR(LOOKUP($S1369,MOTORISTAS!$D$3:$D$916,MOTORISTAS!F$3:$F$916),"")</f>
        <v/>
      </c>
      <c r="V1369" s="66"/>
      <c r="W1369" s="66"/>
      <c r="X1369" s="66"/>
      <c r="Y1369" s="66"/>
      <c r="Z1369" s="66"/>
      <c r="AA1369" s="66"/>
      <c r="AB1369" s="66"/>
      <c r="AC1369" s="66"/>
      <c r="AD1369" s="66"/>
      <c r="AE1369" s="66"/>
      <c r="AF1369" s="44"/>
      <c r="AG1369" s="254">
        <f>Prog_23[[#This Row],[SAÍDA DO CLIENTE]]-Prog_23[[#This Row],[PROGRAMAÇÃO CLIENTE]]</f>
        <v>0</v>
      </c>
      <c r="AH1369" s="44"/>
      <c r="AI1369" s="66"/>
      <c r="AJ1369" s="66"/>
      <c r="AK1369" s="66"/>
      <c r="AL1369" s="66"/>
      <c r="AM1369" s="66"/>
      <c r="AN1369" s="83"/>
      <c r="AO1369" s="83"/>
      <c r="AP1369" s="83"/>
      <c r="AQ1369" s="66"/>
      <c r="AR1369" s="66"/>
      <c r="AS1369" s="66"/>
      <c r="AT1369" s="81"/>
      <c r="AU1369" s="81"/>
      <c r="AV1369" s="81"/>
      <c r="AW1369" s="81"/>
      <c r="AX1369" s="83">
        <f>SUM(Prog_23[[#This Row],[ADIANTAMENTO]]+Prog_23[[#This Row],[SALDO]]+Prog_23[[#This Row],[MARGEM]]+Prog_23[[#This Row],[ESTADIA 1]])</f>
        <v>0</v>
      </c>
      <c r="AY13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69" s="81"/>
      <c r="BA1369" s="81"/>
      <c r="BB1369" s="81">
        <f>Prog_23[[#This Row],[VLR NF]]*0.1%</f>
        <v>0</v>
      </c>
      <c r="BC1369" s="81">
        <f>Prog_23[[#This Row],[VLR NF]]*0.05%</f>
        <v>0</v>
      </c>
      <c r="BD1369" s="81"/>
      <c r="BE1369" s="81"/>
      <c r="BF1369" s="81"/>
      <c r="BG1369" s="81"/>
      <c r="BH1369" s="81"/>
      <c r="BI1369" s="81"/>
      <c r="BJ1369" s="81"/>
      <c r="BK1369" s="81"/>
      <c r="BL1369" s="81"/>
      <c r="BM1369" s="81"/>
      <c r="BN1369" s="66"/>
      <c r="BO1369" s="66"/>
      <c r="BP1369" s="66"/>
      <c r="BQ1369" s="66" t="str">
        <f>PROPER(TEXT(Prog_23[[#This Row],[PROGRAMAÇÃO CLIENTE]],"mmm"))</f>
        <v>Jan</v>
      </c>
      <c r="BR1369" s="66">
        <f>YEAR(Prog_23[[#This Row],[PROGRAMAÇÃO CLIENTE]])</f>
        <v>1900</v>
      </c>
    </row>
    <row r="1370" spans="1:70" x14ac:dyDescent="0.25">
      <c r="A1370" s="201">
        <f>Prog_23[[#This Row],[CONTEINER]]</f>
        <v>0</v>
      </c>
      <c r="B1370" s="86"/>
      <c r="C13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70" s="44"/>
      <c r="E1370" s="66"/>
      <c r="F1370" s="66"/>
      <c r="G1370" s="66"/>
      <c r="H1370" s="44"/>
      <c r="I1370" s="44"/>
      <c r="J1370" s="66"/>
      <c r="K1370" s="66"/>
      <c r="L1370" s="66"/>
      <c r="M1370" s="66"/>
      <c r="N1370" s="66">
        <f>SUM(Prog_23[[#This Row],[TARA]]+Prog_23[[#This Row],[PESO]])</f>
        <v>0</v>
      </c>
      <c r="O1370" s="44"/>
      <c r="P1370" s="66"/>
      <c r="Q1370" s="66"/>
      <c r="R1370" s="66"/>
      <c r="S1370" s="66"/>
      <c r="T1370" s="138" t="str">
        <f>IFERROR(LOOKUP($S1370,MOTORISTAS!$D$3:$D$916,MOTORISTAS!E$3:$E$916),"")</f>
        <v/>
      </c>
      <c r="U1370" s="138" t="str">
        <f>IFERROR(LOOKUP($S1370,MOTORISTAS!$D$3:$D$916,MOTORISTAS!F$3:$F$916),"")</f>
        <v/>
      </c>
      <c r="V1370" s="66"/>
      <c r="W1370" s="66"/>
      <c r="X1370" s="66"/>
      <c r="Y1370" s="66"/>
      <c r="Z1370" s="66"/>
      <c r="AA1370" s="66"/>
      <c r="AB1370" s="66"/>
      <c r="AC1370" s="66"/>
      <c r="AD1370" s="66"/>
      <c r="AE1370" s="66"/>
      <c r="AF1370" s="44"/>
      <c r="AG1370" s="254">
        <f>Prog_23[[#This Row],[SAÍDA DO CLIENTE]]-Prog_23[[#This Row],[PROGRAMAÇÃO CLIENTE]]</f>
        <v>0</v>
      </c>
      <c r="AH1370" s="44"/>
      <c r="AI1370" s="66"/>
      <c r="AJ1370" s="66"/>
      <c r="AK1370" s="66"/>
      <c r="AL1370" s="66"/>
      <c r="AM1370" s="66"/>
      <c r="AN1370" s="83"/>
      <c r="AO1370" s="83"/>
      <c r="AP1370" s="83"/>
      <c r="AQ1370" s="66"/>
      <c r="AR1370" s="66"/>
      <c r="AS1370" s="66"/>
      <c r="AT1370" s="81"/>
      <c r="AU1370" s="81"/>
      <c r="AV1370" s="81"/>
      <c r="AW1370" s="81"/>
      <c r="AX1370" s="83">
        <f>SUM(Prog_23[[#This Row],[ADIANTAMENTO]]+Prog_23[[#This Row],[SALDO]]+Prog_23[[#This Row],[MARGEM]]+Prog_23[[#This Row],[ESTADIA 1]])</f>
        <v>0</v>
      </c>
      <c r="AY13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70" s="81"/>
      <c r="BA1370" s="81"/>
      <c r="BB1370" s="81">
        <f>Prog_23[[#This Row],[VLR NF]]*0.1%</f>
        <v>0</v>
      </c>
      <c r="BC1370" s="81">
        <f>Prog_23[[#This Row],[VLR NF]]*0.05%</f>
        <v>0</v>
      </c>
      <c r="BD1370" s="81"/>
      <c r="BE1370" s="81"/>
      <c r="BF1370" s="81"/>
      <c r="BG1370" s="81"/>
      <c r="BH1370" s="81"/>
      <c r="BI1370" s="81"/>
      <c r="BJ1370" s="81"/>
      <c r="BK1370" s="81"/>
      <c r="BL1370" s="81"/>
      <c r="BM1370" s="81"/>
      <c r="BN1370" s="66"/>
      <c r="BO1370" s="66"/>
      <c r="BP1370" s="66"/>
      <c r="BQ1370" s="66" t="str">
        <f>PROPER(TEXT(Prog_23[[#This Row],[PROGRAMAÇÃO CLIENTE]],"mmm"))</f>
        <v>Jan</v>
      </c>
      <c r="BR1370" s="66">
        <f>YEAR(Prog_23[[#This Row],[PROGRAMAÇÃO CLIENTE]])</f>
        <v>1900</v>
      </c>
    </row>
    <row r="1371" spans="1:70" x14ac:dyDescent="0.25">
      <c r="A1371" s="200">
        <f>Prog_23[[#This Row],[CONTEINER]]</f>
        <v>0</v>
      </c>
      <c r="B1371" s="86"/>
      <c r="C13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71" s="44"/>
      <c r="E1371" s="66"/>
      <c r="F1371" s="66"/>
      <c r="G1371" s="66"/>
      <c r="H1371" s="44"/>
      <c r="I1371" s="44"/>
      <c r="J1371" s="66"/>
      <c r="K1371" s="66"/>
      <c r="L1371" s="66"/>
      <c r="M1371" s="66"/>
      <c r="N1371" s="66">
        <f>SUM(Prog_23[[#This Row],[TARA]]+Prog_23[[#This Row],[PESO]])</f>
        <v>0</v>
      </c>
      <c r="O1371" s="44"/>
      <c r="P1371" s="66"/>
      <c r="Q1371" s="66"/>
      <c r="R1371" s="66"/>
      <c r="S1371" s="66"/>
      <c r="T1371" s="138" t="str">
        <f>IFERROR(LOOKUP($S1371,MOTORISTAS!$D$3:$D$916,MOTORISTAS!E$3:$E$916),"")</f>
        <v/>
      </c>
      <c r="U1371" s="138" t="str">
        <f>IFERROR(LOOKUP($S1371,MOTORISTAS!$D$3:$D$916,MOTORISTAS!F$3:$F$916),"")</f>
        <v/>
      </c>
      <c r="V1371" s="66"/>
      <c r="W1371" s="66"/>
      <c r="X1371" s="66"/>
      <c r="Y1371" s="66"/>
      <c r="Z1371" s="66"/>
      <c r="AA1371" s="66"/>
      <c r="AB1371" s="66"/>
      <c r="AC1371" s="66"/>
      <c r="AD1371" s="66"/>
      <c r="AE1371" s="66"/>
      <c r="AF1371" s="44"/>
      <c r="AG1371" s="254">
        <f>Prog_23[[#This Row],[SAÍDA DO CLIENTE]]-Prog_23[[#This Row],[PROGRAMAÇÃO CLIENTE]]</f>
        <v>0</v>
      </c>
      <c r="AH1371" s="44"/>
      <c r="AI1371" s="66"/>
      <c r="AJ1371" s="66"/>
      <c r="AK1371" s="66"/>
      <c r="AL1371" s="66"/>
      <c r="AM1371" s="66"/>
      <c r="AN1371" s="83"/>
      <c r="AO1371" s="83"/>
      <c r="AP1371" s="83"/>
      <c r="AQ1371" s="66"/>
      <c r="AR1371" s="66"/>
      <c r="AS1371" s="66"/>
      <c r="AT1371" s="81"/>
      <c r="AU1371" s="81"/>
      <c r="AV1371" s="81"/>
      <c r="AW1371" s="81"/>
      <c r="AX1371" s="83">
        <f>SUM(Prog_23[[#This Row],[ADIANTAMENTO]]+Prog_23[[#This Row],[SALDO]]+Prog_23[[#This Row],[MARGEM]]+Prog_23[[#This Row],[ESTADIA 1]])</f>
        <v>0</v>
      </c>
      <c r="AY13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71" s="81"/>
      <c r="BA1371" s="81"/>
      <c r="BB1371" s="81">
        <f>Prog_23[[#This Row],[VLR NF]]*0.1%</f>
        <v>0</v>
      </c>
      <c r="BC1371" s="81">
        <f>Prog_23[[#This Row],[VLR NF]]*0.05%</f>
        <v>0</v>
      </c>
      <c r="BD1371" s="81"/>
      <c r="BE1371" s="81"/>
      <c r="BF1371" s="81"/>
      <c r="BG1371" s="81"/>
      <c r="BH1371" s="81"/>
      <c r="BI1371" s="81"/>
      <c r="BJ1371" s="81"/>
      <c r="BK1371" s="81"/>
      <c r="BL1371" s="81"/>
      <c r="BM1371" s="81"/>
      <c r="BN1371" s="66"/>
      <c r="BO1371" s="66"/>
      <c r="BP1371" s="66"/>
      <c r="BQ1371" s="66" t="str">
        <f>PROPER(TEXT(Prog_23[[#This Row],[PROGRAMAÇÃO CLIENTE]],"mmm"))</f>
        <v>Jan</v>
      </c>
      <c r="BR1371" s="66">
        <f>YEAR(Prog_23[[#This Row],[PROGRAMAÇÃO CLIENTE]])</f>
        <v>1900</v>
      </c>
    </row>
    <row r="1372" spans="1:70" x14ac:dyDescent="0.25">
      <c r="A1372" s="201">
        <f>Prog_23[[#This Row],[CONTEINER]]</f>
        <v>0</v>
      </c>
      <c r="B1372" s="86"/>
      <c r="C13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72" s="44"/>
      <c r="E1372" s="66"/>
      <c r="F1372" s="66"/>
      <c r="G1372" s="66"/>
      <c r="H1372" s="44"/>
      <c r="I1372" s="44"/>
      <c r="J1372" s="66"/>
      <c r="K1372" s="66"/>
      <c r="L1372" s="66"/>
      <c r="M1372" s="66"/>
      <c r="N1372" s="66">
        <f>SUM(Prog_23[[#This Row],[TARA]]+Prog_23[[#This Row],[PESO]])</f>
        <v>0</v>
      </c>
      <c r="O1372" s="44"/>
      <c r="P1372" s="66"/>
      <c r="Q1372" s="66"/>
      <c r="R1372" s="66"/>
      <c r="S1372" s="66"/>
      <c r="T1372" s="138" t="str">
        <f>IFERROR(LOOKUP($S1372,MOTORISTAS!$D$3:$D$916,MOTORISTAS!E$3:$E$916),"")</f>
        <v/>
      </c>
      <c r="U1372" s="138" t="str">
        <f>IFERROR(LOOKUP($S1372,MOTORISTAS!$D$3:$D$916,MOTORISTAS!F$3:$F$916),"")</f>
        <v/>
      </c>
      <c r="V1372" s="66"/>
      <c r="W1372" s="66"/>
      <c r="X1372" s="66"/>
      <c r="Y1372" s="66"/>
      <c r="Z1372" s="66"/>
      <c r="AA1372" s="66"/>
      <c r="AB1372" s="66"/>
      <c r="AC1372" s="66"/>
      <c r="AD1372" s="66"/>
      <c r="AE1372" s="66"/>
      <c r="AF1372" s="44"/>
      <c r="AG1372" s="254">
        <f>Prog_23[[#This Row],[SAÍDA DO CLIENTE]]-Prog_23[[#This Row],[PROGRAMAÇÃO CLIENTE]]</f>
        <v>0</v>
      </c>
      <c r="AH1372" s="44"/>
      <c r="AI1372" s="66"/>
      <c r="AJ1372" s="66"/>
      <c r="AK1372" s="66"/>
      <c r="AL1372" s="66"/>
      <c r="AM1372" s="66"/>
      <c r="AN1372" s="83"/>
      <c r="AO1372" s="83"/>
      <c r="AP1372" s="83"/>
      <c r="AQ1372" s="66"/>
      <c r="AR1372" s="66"/>
      <c r="AS1372" s="66"/>
      <c r="AT1372" s="81"/>
      <c r="AU1372" s="81"/>
      <c r="AV1372" s="81"/>
      <c r="AW1372" s="81"/>
      <c r="AX1372" s="83">
        <f>SUM(Prog_23[[#This Row],[ADIANTAMENTO]]+Prog_23[[#This Row],[SALDO]]+Prog_23[[#This Row],[MARGEM]]+Prog_23[[#This Row],[ESTADIA 1]])</f>
        <v>0</v>
      </c>
      <c r="AY13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72" s="81"/>
      <c r="BA1372" s="81"/>
      <c r="BB1372" s="81">
        <f>Prog_23[[#This Row],[VLR NF]]*0.1%</f>
        <v>0</v>
      </c>
      <c r="BC1372" s="81">
        <f>Prog_23[[#This Row],[VLR NF]]*0.05%</f>
        <v>0</v>
      </c>
      <c r="BD1372" s="81"/>
      <c r="BE1372" s="81"/>
      <c r="BF1372" s="81"/>
      <c r="BG1372" s="81"/>
      <c r="BH1372" s="81"/>
      <c r="BI1372" s="81"/>
      <c r="BJ1372" s="81"/>
      <c r="BK1372" s="81"/>
      <c r="BL1372" s="81"/>
      <c r="BM1372" s="81"/>
      <c r="BN1372" s="66"/>
      <c r="BO1372" s="66"/>
      <c r="BP1372" s="66"/>
      <c r="BQ1372" s="66" t="str">
        <f>PROPER(TEXT(Prog_23[[#This Row],[PROGRAMAÇÃO CLIENTE]],"mmm"))</f>
        <v>Jan</v>
      </c>
      <c r="BR1372" s="66">
        <f>YEAR(Prog_23[[#This Row],[PROGRAMAÇÃO CLIENTE]])</f>
        <v>1900</v>
      </c>
    </row>
    <row r="1373" spans="1:70" x14ac:dyDescent="0.25">
      <c r="A1373" s="200">
        <f>Prog_23[[#This Row],[CONTEINER]]</f>
        <v>0</v>
      </c>
      <c r="B1373" s="86"/>
      <c r="C13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73" s="44"/>
      <c r="E1373" s="66"/>
      <c r="F1373" s="66"/>
      <c r="G1373" s="66"/>
      <c r="H1373" s="44"/>
      <c r="I1373" s="44"/>
      <c r="J1373" s="66"/>
      <c r="K1373" s="66"/>
      <c r="L1373" s="66"/>
      <c r="M1373" s="66"/>
      <c r="N1373" s="66">
        <f>SUM(Prog_23[[#This Row],[TARA]]+Prog_23[[#This Row],[PESO]])</f>
        <v>0</v>
      </c>
      <c r="O1373" s="44"/>
      <c r="P1373" s="66"/>
      <c r="Q1373" s="66"/>
      <c r="R1373" s="66"/>
      <c r="S1373" s="66"/>
      <c r="T1373" s="138" t="str">
        <f>IFERROR(LOOKUP($S1373,MOTORISTAS!$D$3:$D$916,MOTORISTAS!E$3:$E$916),"")</f>
        <v/>
      </c>
      <c r="U1373" s="138" t="str">
        <f>IFERROR(LOOKUP($S1373,MOTORISTAS!$D$3:$D$916,MOTORISTAS!F$3:$F$916),"")</f>
        <v/>
      </c>
      <c r="V1373" s="66"/>
      <c r="W1373" s="66"/>
      <c r="X1373" s="66"/>
      <c r="Y1373" s="66"/>
      <c r="Z1373" s="66"/>
      <c r="AA1373" s="66"/>
      <c r="AB1373" s="66"/>
      <c r="AC1373" s="66"/>
      <c r="AD1373" s="66"/>
      <c r="AE1373" s="66"/>
      <c r="AF1373" s="44"/>
      <c r="AG1373" s="254">
        <f>Prog_23[[#This Row],[SAÍDA DO CLIENTE]]-Prog_23[[#This Row],[PROGRAMAÇÃO CLIENTE]]</f>
        <v>0</v>
      </c>
      <c r="AH1373" s="44"/>
      <c r="AI1373" s="66"/>
      <c r="AJ1373" s="66"/>
      <c r="AK1373" s="66"/>
      <c r="AL1373" s="66"/>
      <c r="AM1373" s="66"/>
      <c r="AN1373" s="83"/>
      <c r="AO1373" s="83"/>
      <c r="AP1373" s="83"/>
      <c r="AQ1373" s="66"/>
      <c r="AR1373" s="66"/>
      <c r="AS1373" s="66"/>
      <c r="AT1373" s="81"/>
      <c r="AU1373" s="81"/>
      <c r="AV1373" s="81"/>
      <c r="AW1373" s="81"/>
      <c r="AX1373" s="83">
        <f>SUM(Prog_23[[#This Row],[ADIANTAMENTO]]+Prog_23[[#This Row],[SALDO]]+Prog_23[[#This Row],[MARGEM]]+Prog_23[[#This Row],[ESTADIA 1]])</f>
        <v>0</v>
      </c>
      <c r="AY13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73" s="81"/>
      <c r="BA1373" s="81"/>
      <c r="BB1373" s="81">
        <f>Prog_23[[#This Row],[VLR NF]]*0.1%</f>
        <v>0</v>
      </c>
      <c r="BC1373" s="81">
        <f>Prog_23[[#This Row],[VLR NF]]*0.05%</f>
        <v>0</v>
      </c>
      <c r="BD1373" s="81"/>
      <c r="BE1373" s="81"/>
      <c r="BF1373" s="81"/>
      <c r="BG1373" s="81"/>
      <c r="BH1373" s="81"/>
      <c r="BI1373" s="81"/>
      <c r="BJ1373" s="81"/>
      <c r="BK1373" s="81"/>
      <c r="BL1373" s="81"/>
      <c r="BM1373" s="81"/>
      <c r="BN1373" s="66"/>
      <c r="BO1373" s="66"/>
      <c r="BP1373" s="66"/>
      <c r="BQ1373" s="66" t="str">
        <f>PROPER(TEXT(Prog_23[[#This Row],[PROGRAMAÇÃO CLIENTE]],"mmm"))</f>
        <v>Jan</v>
      </c>
      <c r="BR1373" s="66">
        <f>YEAR(Prog_23[[#This Row],[PROGRAMAÇÃO CLIENTE]])</f>
        <v>1900</v>
      </c>
    </row>
    <row r="1374" spans="1:70" x14ac:dyDescent="0.25">
      <c r="A1374" s="201">
        <f>Prog_23[[#This Row],[CONTEINER]]</f>
        <v>0</v>
      </c>
      <c r="B1374" s="86"/>
      <c r="C13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74" s="44"/>
      <c r="E1374" s="66"/>
      <c r="F1374" s="66"/>
      <c r="G1374" s="66"/>
      <c r="H1374" s="44"/>
      <c r="I1374" s="44"/>
      <c r="J1374" s="66"/>
      <c r="K1374" s="66"/>
      <c r="L1374" s="66"/>
      <c r="M1374" s="66"/>
      <c r="N1374" s="66">
        <f>SUM(Prog_23[[#This Row],[TARA]]+Prog_23[[#This Row],[PESO]])</f>
        <v>0</v>
      </c>
      <c r="O1374" s="44"/>
      <c r="P1374" s="66"/>
      <c r="Q1374" s="66"/>
      <c r="R1374" s="66"/>
      <c r="S1374" s="66"/>
      <c r="T1374" s="138" t="str">
        <f>IFERROR(LOOKUP($S1374,MOTORISTAS!$D$3:$D$916,MOTORISTAS!E$3:$E$916),"")</f>
        <v/>
      </c>
      <c r="U1374" s="138" t="str">
        <f>IFERROR(LOOKUP($S1374,MOTORISTAS!$D$3:$D$916,MOTORISTAS!F$3:$F$916),"")</f>
        <v/>
      </c>
      <c r="V1374" s="66"/>
      <c r="W1374" s="66"/>
      <c r="X1374" s="66"/>
      <c r="Y1374" s="66"/>
      <c r="Z1374" s="66"/>
      <c r="AA1374" s="66"/>
      <c r="AB1374" s="66"/>
      <c r="AC1374" s="66"/>
      <c r="AD1374" s="66"/>
      <c r="AE1374" s="66"/>
      <c r="AF1374" s="44"/>
      <c r="AG1374" s="254">
        <f>Prog_23[[#This Row],[SAÍDA DO CLIENTE]]-Prog_23[[#This Row],[PROGRAMAÇÃO CLIENTE]]</f>
        <v>0</v>
      </c>
      <c r="AH1374" s="44"/>
      <c r="AI1374" s="66"/>
      <c r="AJ1374" s="66"/>
      <c r="AK1374" s="66"/>
      <c r="AL1374" s="66"/>
      <c r="AM1374" s="66"/>
      <c r="AN1374" s="83"/>
      <c r="AO1374" s="83"/>
      <c r="AP1374" s="83"/>
      <c r="AQ1374" s="66"/>
      <c r="AR1374" s="66"/>
      <c r="AS1374" s="66"/>
      <c r="AT1374" s="81"/>
      <c r="AU1374" s="81"/>
      <c r="AV1374" s="81"/>
      <c r="AW1374" s="81"/>
      <c r="AX1374" s="83">
        <f>SUM(Prog_23[[#This Row],[ADIANTAMENTO]]+Prog_23[[#This Row],[SALDO]]+Prog_23[[#This Row],[MARGEM]]+Prog_23[[#This Row],[ESTADIA 1]])</f>
        <v>0</v>
      </c>
      <c r="AY13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74" s="81"/>
      <c r="BA1374" s="81"/>
      <c r="BB1374" s="81">
        <f>Prog_23[[#This Row],[VLR NF]]*0.1%</f>
        <v>0</v>
      </c>
      <c r="BC1374" s="81">
        <f>Prog_23[[#This Row],[VLR NF]]*0.05%</f>
        <v>0</v>
      </c>
      <c r="BD1374" s="81"/>
      <c r="BE1374" s="81"/>
      <c r="BF1374" s="81"/>
      <c r="BG1374" s="81"/>
      <c r="BH1374" s="81"/>
      <c r="BI1374" s="81"/>
      <c r="BJ1374" s="81"/>
      <c r="BK1374" s="81"/>
      <c r="BL1374" s="81"/>
      <c r="BM1374" s="81"/>
      <c r="BN1374" s="66"/>
      <c r="BO1374" s="66"/>
      <c r="BP1374" s="66"/>
      <c r="BQ1374" s="66" t="str">
        <f>PROPER(TEXT(Prog_23[[#This Row],[PROGRAMAÇÃO CLIENTE]],"mmm"))</f>
        <v>Jan</v>
      </c>
      <c r="BR1374" s="66">
        <f>YEAR(Prog_23[[#This Row],[PROGRAMAÇÃO CLIENTE]])</f>
        <v>1900</v>
      </c>
    </row>
    <row r="1375" spans="1:70" x14ac:dyDescent="0.25">
      <c r="A1375" s="200">
        <f>Prog_23[[#This Row],[CONTEINER]]</f>
        <v>0</v>
      </c>
      <c r="B1375" s="86"/>
      <c r="C13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75" s="44"/>
      <c r="E1375" s="66"/>
      <c r="F1375" s="66"/>
      <c r="G1375" s="66"/>
      <c r="H1375" s="44"/>
      <c r="I1375" s="44"/>
      <c r="J1375" s="66"/>
      <c r="K1375" s="66"/>
      <c r="L1375" s="66"/>
      <c r="M1375" s="66"/>
      <c r="N1375" s="66">
        <f>SUM(Prog_23[[#This Row],[TARA]]+Prog_23[[#This Row],[PESO]])</f>
        <v>0</v>
      </c>
      <c r="O1375" s="44"/>
      <c r="P1375" s="66"/>
      <c r="Q1375" s="66"/>
      <c r="R1375" s="66"/>
      <c r="S1375" s="66"/>
      <c r="T1375" s="138" t="str">
        <f>IFERROR(LOOKUP($S1375,MOTORISTAS!$D$3:$D$916,MOTORISTAS!E$3:$E$916),"")</f>
        <v/>
      </c>
      <c r="U1375" s="138" t="str">
        <f>IFERROR(LOOKUP($S1375,MOTORISTAS!$D$3:$D$916,MOTORISTAS!F$3:$F$916),"")</f>
        <v/>
      </c>
      <c r="V1375" s="66"/>
      <c r="W1375" s="66"/>
      <c r="X1375" s="66"/>
      <c r="Y1375" s="66"/>
      <c r="Z1375" s="66"/>
      <c r="AA1375" s="66"/>
      <c r="AB1375" s="66"/>
      <c r="AC1375" s="66"/>
      <c r="AD1375" s="66"/>
      <c r="AE1375" s="66"/>
      <c r="AF1375" s="44"/>
      <c r="AG1375" s="254">
        <f>Prog_23[[#This Row],[SAÍDA DO CLIENTE]]-Prog_23[[#This Row],[PROGRAMAÇÃO CLIENTE]]</f>
        <v>0</v>
      </c>
      <c r="AH1375" s="44"/>
      <c r="AI1375" s="66"/>
      <c r="AJ1375" s="66"/>
      <c r="AK1375" s="66"/>
      <c r="AL1375" s="66"/>
      <c r="AM1375" s="66"/>
      <c r="AN1375" s="83"/>
      <c r="AO1375" s="83"/>
      <c r="AP1375" s="83"/>
      <c r="AQ1375" s="66"/>
      <c r="AR1375" s="66"/>
      <c r="AS1375" s="66"/>
      <c r="AT1375" s="81"/>
      <c r="AU1375" s="81"/>
      <c r="AV1375" s="81"/>
      <c r="AW1375" s="81"/>
      <c r="AX1375" s="83">
        <f>SUM(Prog_23[[#This Row],[ADIANTAMENTO]]+Prog_23[[#This Row],[SALDO]]+Prog_23[[#This Row],[MARGEM]]+Prog_23[[#This Row],[ESTADIA 1]])</f>
        <v>0</v>
      </c>
      <c r="AY13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75" s="81"/>
      <c r="BA1375" s="81"/>
      <c r="BB1375" s="81">
        <f>Prog_23[[#This Row],[VLR NF]]*0.1%</f>
        <v>0</v>
      </c>
      <c r="BC1375" s="81">
        <f>Prog_23[[#This Row],[VLR NF]]*0.05%</f>
        <v>0</v>
      </c>
      <c r="BD1375" s="81"/>
      <c r="BE1375" s="81"/>
      <c r="BF1375" s="81"/>
      <c r="BG1375" s="81"/>
      <c r="BH1375" s="81"/>
      <c r="BI1375" s="81"/>
      <c r="BJ1375" s="81"/>
      <c r="BK1375" s="81"/>
      <c r="BL1375" s="81"/>
      <c r="BM1375" s="81"/>
      <c r="BN1375" s="66"/>
      <c r="BO1375" s="66"/>
      <c r="BP1375" s="66"/>
      <c r="BQ1375" s="66" t="str">
        <f>PROPER(TEXT(Prog_23[[#This Row],[PROGRAMAÇÃO CLIENTE]],"mmm"))</f>
        <v>Jan</v>
      </c>
      <c r="BR1375" s="66">
        <f>YEAR(Prog_23[[#This Row],[PROGRAMAÇÃO CLIENTE]])</f>
        <v>1900</v>
      </c>
    </row>
    <row r="1376" spans="1:70" x14ac:dyDescent="0.25">
      <c r="A1376" s="201">
        <f>Prog_23[[#This Row],[CONTEINER]]</f>
        <v>0</v>
      </c>
      <c r="B1376" s="86"/>
      <c r="C13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76" s="44"/>
      <c r="E1376" s="66"/>
      <c r="F1376" s="66"/>
      <c r="G1376" s="66"/>
      <c r="H1376" s="44"/>
      <c r="I1376" s="44"/>
      <c r="J1376" s="66"/>
      <c r="K1376" s="66"/>
      <c r="L1376" s="66"/>
      <c r="M1376" s="66"/>
      <c r="N1376" s="66">
        <f>SUM(Prog_23[[#This Row],[TARA]]+Prog_23[[#This Row],[PESO]])</f>
        <v>0</v>
      </c>
      <c r="O1376" s="44"/>
      <c r="P1376" s="66"/>
      <c r="Q1376" s="66"/>
      <c r="R1376" s="66"/>
      <c r="S1376" s="66"/>
      <c r="T1376" s="138" t="str">
        <f>IFERROR(LOOKUP($S1376,MOTORISTAS!$D$3:$D$916,MOTORISTAS!E$3:$E$916),"")</f>
        <v/>
      </c>
      <c r="U1376" s="138" t="str">
        <f>IFERROR(LOOKUP($S1376,MOTORISTAS!$D$3:$D$916,MOTORISTAS!F$3:$F$916),"")</f>
        <v/>
      </c>
      <c r="V1376" s="66"/>
      <c r="W1376" s="66"/>
      <c r="X1376" s="66"/>
      <c r="Y1376" s="66"/>
      <c r="Z1376" s="66"/>
      <c r="AA1376" s="66"/>
      <c r="AB1376" s="66"/>
      <c r="AC1376" s="66"/>
      <c r="AD1376" s="66"/>
      <c r="AE1376" s="66"/>
      <c r="AF1376" s="44"/>
      <c r="AG1376" s="254">
        <f>Prog_23[[#This Row],[SAÍDA DO CLIENTE]]-Prog_23[[#This Row],[PROGRAMAÇÃO CLIENTE]]</f>
        <v>0</v>
      </c>
      <c r="AH1376" s="44"/>
      <c r="AI1376" s="66"/>
      <c r="AJ1376" s="66"/>
      <c r="AK1376" s="66"/>
      <c r="AL1376" s="66"/>
      <c r="AM1376" s="66"/>
      <c r="AN1376" s="83"/>
      <c r="AO1376" s="83"/>
      <c r="AP1376" s="83"/>
      <c r="AQ1376" s="66"/>
      <c r="AR1376" s="66"/>
      <c r="AS1376" s="66"/>
      <c r="AT1376" s="81"/>
      <c r="AU1376" s="81"/>
      <c r="AV1376" s="81"/>
      <c r="AW1376" s="81"/>
      <c r="AX1376" s="83">
        <f>SUM(Prog_23[[#This Row],[ADIANTAMENTO]]+Prog_23[[#This Row],[SALDO]]+Prog_23[[#This Row],[MARGEM]]+Prog_23[[#This Row],[ESTADIA 1]])</f>
        <v>0</v>
      </c>
      <c r="AY13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76" s="81"/>
      <c r="BA1376" s="81"/>
      <c r="BB1376" s="81">
        <f>Prog_23[[#This Row],[VLR NF]]*0.1%</f>
        <v>0</v>
      </c>
      <c r="BC1376" s="81">
        <f>Prog_23[[#This Row],[VLR NF]]*0.05%</f>
        <v>0</v>
      </c>
      <c r="BD1376" s="81"/>
      <c r="BE1376" s="81"/>
      <c r="BF1376" s="81"/>
      <c r="BG1376" s="81"/>
      <c r="BH1376" s="81"/>
      <c r="BI1376" s="81"/>
      <c r="BJ1376" s="81"/>
      <c r="BK1376" s="81"/>
      <c r="BL1376" s="81"/>
      <c r="BM1376" s="81"/>
      <c r="BN1376" s="66"/>
      <c r="BO1376" s="66"/>
      <c r="BP1376" s="66"/>
      <c r="BQ1376" s="66" t="str">
        <f>PROPER(TEXT(Prog_23[[#This Row],[PROGRAMAÇÃO CLIENTE]],"mmm"))</f>
        <v>Jan</v>
      </c>
      <c r="BR1376" s="66">
        <f>YEAR(Prog_23[[#This Row],[PROGRAMAÇÃO CLIENTE]])</f>
        <v>1900</v>
      </c>
    </row>
    <row r="1377" spans="1:70" x14ac:dyDescent="0.25">
      <c r="A1377" s="200">
        <f>Prog_23[[#This Row],[CONTEINER]]</f>
        <v>0</v>
      </c>
      <c r="B1377" s="86"/>
      <c r="C13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77" s="44"/>
      <c r="E1377" s="66"/>
      <c r="F1377" s="66"/>
      <c r="G1377" s="66"/>
      <c r="H1377" s="44"/>
      <c r="I1377" s="44"/>
      <c r="J1377" s="66"/>
      <c r="K1377" s="66"/>
      <c r="L1377" s="66"/>
      <c r="M1377" s="66"/>
      <c r="N1377" s="66">
        <f>SUM(Prog_23[[#This Row],[TARA]]+Prog_23[[#This Row],[PESO]])</f>
        <v>0</v>
      </c>
      <c r="O1377" s="44"/>
      <c r="P1377" s="66"/>
      <c r="Q1377" s="66"/>
      <c r="R1377" s="66"/>
      <c r="S1377" s="66"/>
      <c r="T1377" s="138" t="str">
        <f>IFERROR(LOOKUP($S1377,MOTORISTAS!$D$3:$D$916,MOTORISTAS!E$3:$E$916),"")</f>
        <v/>
      </c>
      <c r="U1377" s="138" t="str">
        <f>IFERROR(LOOKUP($S1377,MOTORISTAS!$D$3:$D$916,MOTORISTAS!F$3:$F$916),"")</f>
        <v/>
      </c>
      <c r="V1377" s="66"/>
      <c r="W1377" s="66"/>
      <c r="X1377" s="66"/>
      <c r="Y1377" s="66"/>
      <c r="Z1377" s="66"/>
      <c r="AA1377" s="66"/>
      <c r="AB1377" s="66"/>
      <c r="AC1377" s="66"/>
      <c r="AD1377" s="66"/>
      <c r="AE1377" s="66"/>
      <c r="AF1377" s="44"/>
      <c r="AG1377" s="254">
        <f>Prog_23[[#This Row],[SAÍDA DO CLIENTE]]-Prog_23[[#This Row],[PROGRAMAÇÃO CLIENTE]]</f>
        <v>0</v>
      </c>
      <c r="AH1377" s="44"/>
      <c r="AI1377" s="66"/>
      <c r="AJ1377" s="66"/>
      <c r="AK1377" s="66"/>
      <c r="AL1377" s="66"/>
      <c r="AM1377" s="66"/>
      <c r="AN1377" s="83"/>
      <c r="AO1377" s="83"/>
      <c r="AP1377" s="83"/>
      <c r="AQ1377" s="66"/>
      <c r="AR1377" s="66"/>
      <c r="AS1377" s="66"/>
      <c r="AT1377" s="81"/>
      <c r="AU1377" s="81"/>
      <c r="AV1377" s="81"/>
      <c r="AW1377" s="81"/>
      <c r="AX1377" s="83">
        <f>SUM(Prog_23[[#This Row],[ADIANTAMENTO]]+Prog_23[[#This Row],[SALDO]]+Prog_23[[#This Row],[MARGEM]]+Prog_23[[#This Row],[ESTADIA 1]])</f>
        <v>0</v>
      </c>
      <c r="AY13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77" s="81"/>
      <c r="BA1377" s="81"/>
      <c r="BB1377" s="81">
        <f>Prog_23[[#This Row],[VLR NF]]*0.1%</f>
        <v>0</v>
      </c>
      <c r="BC1377" s="81">
        <f>Prog_23[[#This Row],[VLR NF]]*0.05%</f>
        <v>0</v>
      </c>
      <c r="BD1377" s="81"/>
      <c r="BE1377" s="81"/>
      <c r="BF1377" s="81"/>
      <c r="BG1377" s="81"/>
      <c r="BH1377" s="81"/>
      <c r="BI1377" s="81"/>
      <c r="BJ1377" s="81"/>
      <c r="BK1377" s="81"/>
      <c r="BL1377" s="81"/>
      <c r="BM1377" s="81"/>
      <c r="BN1377" s="66"/>
      <c r="BO1377" s="66"/>
      <c r="BP1377" s="66"/>
      <c r="BQ1377" s="66" t="str">
        <f>PROPER(TEXT(Prog_23[[#This Row],[PROGRAMAÇÃO CLIENTE]],"mmm"))</f>
        <v>Jan</v>
      </c>
      <c r="BR1377" s="66">
        <f>YEAR(Prog_23[[#This Row],[PROGRAMAÇÃO CLIENTE]])</f>
        <v>1900</v>
      </c>
    </row>
    <row r="1378" spans="1:70" x14ac:dyDescent="0.25">
      <c r="A1378" s="201">
        <f>Prog_23[[#This Row],[CONTEINER]]</f>
        <v>0</v>
      </c>
      <c r="B1378" s="86"/>
      <c r="C13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78" s="44"/>
      <c r="E1378" s="66"/>
      <c r="F1378" s="66"/>
      <c r="G1378" s="66"/>
      <c r="H1378" s="44"/>
      <c r="I1378" s="44"/>
      <c r="J1378" s="66"/>
      <c r="K1378" s="66"/>
      <c r="L1378" s="66"/>
      <c r="M1378" s="66"/>
      <c r="N1378" s="66">
        <f>SUM(Prog_23[[#This Row],[TARA]]+Prog_23[[#This Row],[PESO]])</f>
        <v>0</v>
      </c>
      <c r="O1378" s="44"/>
      <c r="P1378" s="66"/>
      <c r="Q1378" s="66"/>
      <c r="R1378" s="66"/>
      <c r="S1378" s="66"/>
      <c r="T1378" s="138" t="str">
        <f>IFERROR(LOOKUP($S1378,MOTORISTAS!$D$3:$D$916,MOTORISTAS!E$3:$E$916),"")</f>
        <v/>
      </c>
      <c r="U1378" s="138" t="str">
        <f>IFERROR(LOOKUP($S1378,MOTORISTAS!$D$3:$D$916,MOTORISTAS!F$3:$F$916),"")</f>
        <v/>
      </c>
      <c r="V1378" s="66"/>
      <c r="W1378" s="66"/>
      <c r="X1378" s="66"/>
      <c r="Y1378" s="66"/>
      <c r="Z1378" s="66"/>
      <c r="AA1378" s="66"/>
      <c r="AB1378" s="66"/>
      <c r="AC1378" s="66"/>
      <c r="AD1378" s="66"/>
      <c r="AE1378" s="66"/>
      <c r="AF1378" s="44"/>
      <c r="AG1378" s="254">
        <f>Prog_23[[#This Row],[SAÍDA DO CLIENTE]]-Prog_23[[#This Row],[PROGRAMAÇÃO CLIENTE]]</f>
        <v>0</v>
      </c>
      <c r="AH1378" s="44"/>
      <c r="AI1378" s="66"/>
      <c r="AJ1378" s="66"/>
      <c r="AK1378" s="66"/>
      <c r="AL1378" s="66"/>
      <c r="AM1378" s="66"/>
      <c r="AN1378" s="83"/>
      <c r="AO1378" s="83"/>
      <c r="AP1378" s="83"/>
      <c r="AQ1378" s="66"/>
      <c r="AR1378" s="66"/>
      <c r="AS1378" s="66"/>
      <c r="AT1378" s="81"/>
      <c r="AU1378" s="81"/>
      <c r="AV1378" s="81"/>
      <c r="AW1378" s="81"/>
      <c r="AX1378" s="83">
        <f>SUM(Prog_23[[#This Row],[ADIANTAMENTO]]+Prog_23[[#This Row],[SALDO]]+Prog_23[[#This Row],[MARGEM]]+Prog_23[[#This Row],[ESTADIA 1]])</f>
        <v>0</v>
      </c>
      <c r="AY13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78" s="81"/>
      <c r="BA1378" s="81"/>
      <c r="BB1378" s="81">
        <f>Prog_23[[#This Row],[VLR NF]]*0.1%</f>
        <v>0</v>
      </c>
      <c r="BC1378" s="81">
        <f>Prog_23[[#This Row],[VLR NF]]*0.05%</f>
        <v>0</v>
      </c>
      <c r="BD1378" s="81"/>
      <c r="BE1378" s="81"/>
      <c r="BF1378" s="81"/>
      <c r="BG1378" s="81"/>
      <c r="BH1378" s="81"/>
      <c r="BI1378" s="81"/>
      <c r="BJ1378" s="81"/>
      <c r="BK1378" s="81"/>
      <c r="BL1378" s="81"/>
      <c r="BM1378" s="81"/>
      <c r="BN1378" s="66"/>
      <c r="BO1378" s="66"/>
      <c r="BP1378" s="66"/>
      <c r="BQ1378" s="66" t="str">
        <f>PROPER(TEXT(Prog_23[[#This Row],[PROGRAMAÇÃO CLIENTE]],"mmm"))</f>
        <v>Jan</v>
      </c>
      <c r="BR1378" s="66">
        <f>YEAR(Prog_23[[#This Row],[PROGRAMAÇÃO CLIENTE]])</f>
        <v>1900</v>
      </c>
    </row>
    <row r="1379" spans="1:70" x14ac:dyDescent="0.25">
      <c r="A1379" s="200">
        <f>Prog_23[[#This Row],[CONTEINER]]</f>
        <v>0</v>
      </c>
      <c r="B1379" s="86"/>
      <c r="C13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79" s="44"/>
      <c r="E1379" s="66"/>
      <c r="F1379" s="66"/>
      <c r="G1379" s="66"/>
      <c r="H1379" s="44"/>
      <c r="I1379" s="44"/>
      <c r="J1379" s="66"/>
      <c r="K1379" s="66"/>
      <c r="L1379" s="66"/>
      <c r="M1379" s="66"/>
      <c r="N1379" s="66">
        <f>SUM(Prog_23[[#This Row],[TARA]]+Prog_23[[#This Row],[PESO]])</f>
        <v>0</v>
      </c>
      <c r="O1379" s="44"/>
      <c r="P1379" s="66"/>
      <c r="Q1379" s="66"/>
      <c r="R1379" s="66"/>
      <c r="S1379" s="66"/>
      <c r="T1379" s="138" t="str">
        <f>IFERROR(LOOKUP($S1379,MOTORISTAS!$D$3:$D$916,MOTORISTAS!E$3:$E$916),"")</f>
        <v/>
      </c>
      <c r="U1379" s="138" t="str">
        <f>IFERROR(LOOKUP($S1379,MOTORISTAS!$D$3:$D$916,MOTORISTAS!F$3:$F$916),"")</f>
        <v/>
      </c>
      <c r="V1379" s="66"/>
      <c r="W1379" s="66"/>
      <c r="X1379" s="66"/>
      <c r="Y1379" s="66"/>
      <c r="Z1379" s="66"/>
      <c r="AA1379" s="66"/>
      <c r="AB1379" s="66"/>
      <c r="AC1379" s="66"/>
      <c r="AD1379" s="66"/>
      <c r="AE1379" s="66"/>
      <c r="AF1379" s="44"/>
      <c r="AG1379" s="254">
        <f>Prog_23[[#This Row],[SAÍDA DO CLIENTE]]-Prog_23[[#This Row],[PROGRAMAÇÃO CLIENTE]]</f>
        <v>0</v>
      </c>
      <c r="AH1379" s="44"/>
      <c r="AI1379" s="66"/>
      <c r="AJ1379" s="66"/>
      <c r="AK1379" s="66"/>
      <c r="AL1379" s="66"/>
      <c r="AM1379" s="66"/>
      <c r="AN1379" s="83"/>
      <c r="AO1379" s="83"/>
      <c r="AP1379" s="83"/>
      <c r="AQ1379" s="66"/>
      <c r="AR1379" s="66"/>
      <c r="AS1379" s="66"/>
      <c r="AT1379" s="81"/>
      <c r="AU1379" s="81"/>
      <c r="AV1379" s="81"/>
      <c r="AW1379" s="81"/>
      <c r="AX1379" s="83">
        <f>SUM(Prog_23[[#This Row],[ADIANTAMENTO]]+Prog_23[[#This Row],[SALDO]]+Prog_23[[#This Row],[MARGEM]]+Prog_23[[#This Row],[ESTADIA 1]])</f>
        <v>0</v>
      </c>
      <c r="AY13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79" s="81"/>
      <c r="BA1379" s="81"/>
      <c r="BB1379" s="81">
        <f>Prog_23[[#This Row],[VLR NF]]*0.1%</f>
        <v>0</v>
      </c>
      <c r="BC1379" s="81">
        <f>Prog_23[[#This Row],[VLR NF]]*0.05%</f>
        <v>0</v>
      </c>
      <c r="BD1379" s="81"/>
      <c r="BE1379" s="81"/>
      <c r="BF1379" s="81"/>
      <c r="BG1379" s="81"/>
      <c r="BH1379" s="81"/>
      <c r="BI1379" s="81"/>
      <c r="BJ1379" s="81"/>
      <c r="BK1379" s="81"/>
      <c r="BL1379" s="81"/>
      <c r="BM1379" s="81"/>
      <c r="BN1379" s="66"/>
      <c r="BO1379" s="66"/>
      <c r="BP1379" s="66"/>
      <c r="BQ1379" s="66" t="str">
        <f>PROPER(TEXT(Prog_23[[#This Row],[PROGRAMAÇÃO CLIENTE]],"mmm"))</f>
        <v>Jan</v>
      </c>
      <c r="BR1379" s="66">
        <f>YEAR(Prog_23[[#This Row],[PROGRAMAÇÃO CLIENTE]])</f>
        <v>1900</v>
      </c>
    </row>
    <row r="1380" spans="1:70" x14ac:dyDescent="0.25">
      <c r="A1380" s="201">
        <f>Prog_23[[#This Row],[CONTEINER]]</f>
        <v>0</v>
      </c>
      <c r="B1380" s="86"/>
      <c r="C13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80" s="44"/>
      <c r="E1380" s="66"/>
      <c r="F1380" s="66"/>
      <c r="G1380" s="66"/>
      <c r="H1380" s="44"/>
      <c r="I1380" s="44"/>
      <c r="J1380" s="66"/>
      <c r="K1380" s="66"/>
      <c r="L1380" s="66"/>
      <c r="M1380" s="66"/>
      <c r="N1380" s="66">
        <f>SUM(Prog_23[[#This Row],[TARA]]+Prog_23[[#This Row],[PESO]])</f>
        <v>0</v>
      </c>
      <c r="O1380" s="44"/>
      <c r="P1380" s="66"/>
      <c r="Q1380" s="66"/>
      <c r="R1380" s="66"/>
      <c r="S1380" s="66"/>
      <c r="T1380" s="138" t="str">
        <f>IFERROR(LOOKUP($S1380,MOTORISTAS!$D$3:$D$916,MOTORISTAS!E$3:$E$916),"")</f>
        <v/>
      </c>
      <c r="U1380" s="138" t="str">
        <f>IFERROR(LOOKUP($S1380,MOTORISTAS!$D$3:$D$916,MOTORISTAS!F$3:$F$916),"")</f>
        <v/>
      </c>
      <c r="V1380" s="66"/>
      <c r="W1380" s="66"/>
      <c r="X1380" s="66"/>
      <c r="Y1380" s="66"/>
      <c r="Z1380" s="66"/>
      <c r="AA1380" s="66"/>
      <c r="AB1380" s="66"/>
      <c r="AC1380" s="66"/>
      <c r="AD1380" s="66"/>
      <c r="AE1380" s="66"/>
      <c r="AF1380" s="44"/>
      <c r="AG1380" s="254">
        <f>Prog_23[[#This Row],[SAÍDA DO CLIENTE]]-Prog_23[[#This Row],[PROGRAMAÇÃO CLIENTE]]</f>
        <v>0</v>
      </c>
      <c r="AH1380" s="44"/>
      <c r="AI1380" s="66"/>
      <c r="AJ1380" s="66"/>
      <c r="AK1380" s="66"/>
      <c r="AL1380" s="66"/>
      <c r="AM1380" s="66"/>
      <c r="AN1380" s="83"/>
      <c r="AO1380" s="83"/>
      <c r="AP1380" s="83"/>
      <c r="AQ1380" s="66"/>
      <c r="AR1380" s="66"/>
      <c r="AS1380" s="66"/>
      <c r="AT1380" s="81"/>
      <c r="AU1380" s="81"/>
      <c r="AV1380" s="81"/>
      <c r="AW1380" s="81"/>
      <c r="AX1380" s="83">
        <f>SUM(Prog_23[[#This Row],[ADIANTAMENTO]]+Prog_23[[#This Row],[SALDO]]+Prog_23[[#This Row],[MARGEM]]+Prog_23[[#This Row],[ESTADIA 1]])</f>
        <v>0</v>
      </c>
      <c r="AY13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80" s="81"/>
      <c r="BA1380" s="81"/>
      <c r="BB1380" s="81">
        <f>Prog_23[[#This Row],[VLR NF]]*0.1%</f>
        <v>0</v>
      </c>
      <c r="BC1380" s="81">
        <f>Prog_23[[#This Row],[VLR NF]]*0.05%</f>
        <v>0</v>
      </c>
      <c r="BD1380" s="81"/>
      <c r="BE1380" s="81"/>
      <c r="BF1380" s="81"/>
      <c r="BG1380" s="81"/>
      <c r="BH1380" s="81"/>
      <c r="BI1380" s="81"/>
      <c r="BJ1380" s="81"/>
      <c r="BK1380" s="81"/>
      <c r="BL1380" s="81"/>
      <c r="BM1380" s="81"/>
      <c r="BN1380" s="66"/>
      <c r="BO1380" s="66"/>
      <c r="BP1380" s="66"/>
      <c r="BQ1380" s="66" t="str">
        <f>PROPER(TEXT(Prog_23[[#This Row],[PROGRAMAÇÃO CLIENTE]],"mmm"))</f>
        <v>Jan</v>
      </c>
      <c r="BR1380" s="66">
        <f>YEAR(Prog_23[[#This Row],[PROGRAMAÇÃO CLIENTE]])</f>
        <v>1900</v>
      </c>
    </row>
    <row r="1381" spans="1:70" x14ac:dyDescent="0.25">
      <c r="A1381" s="200">
        <f>Prog_23[[#This Row],[CONTEINER]]</f>
        <v>0</v>
      </c>
      <c r="B1381" s="86"/>
      <c r="C13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81" s="44"/>
      <c r="E1381" s="66"/>
      <c r="F1381" s="66"/>
      <c r="G1381" s="66"/>
      <c r="H1381" s="44"/>
      <c r="I1381" s="44"/>
      <c r="J1381" s="66"/>
      <c r="K1381" s="66"/>
      <c r="L1381" s="66"/>
      <c r="M1381" s="66"/>
      <c r="N1381" s="66">
        <f>SUM(Prog_23[[#This Row],[TARA]]+Prog_23[[#This Row],[PESO]])</f>
        <v>0</v>
      </c>
      <c r="O1381" s="44"/>
      <c r="P1381" s="66"/>
      <c r="Q1381" s="66"/>
      <c r="R1381" s="66"/>
      <c r="S1381" s="66"/>
      <c r="T1381" s="138" t="str">
        <f>IFERROR(LOOKUP($S1381,MOTORISTAS!$D$3:$D$916,MOTORISTAS!E$3:$E$916),"")</f>
        <v/>
      </c>
      <c r="U1381" s="138" t="str">
        <f>IFERROR(LOOKUP($S1381,MOTORISTAS!$D$3:$D$916,MOTORISTAS!F$3:$F$916),"")</f>
        <v/>
      </c>
      <c r="V1381" s="66"/>
      <c r="W1381" s="66"/>
      <c r="X1381" s="66"/>
      <c r="Y1381" s="66"/>
      <c r="Z1381" s="66"/>
      <c r="AA1381" s="66"/>
      <c r="AB1381" s="66"/>
      <c r="AC1381" s="66"/>
      <c r="AD1381" s="66"/>
      <c r="AE1381" s="66"/>
      <c r="AF1381" s="44"/>
      <c r="AG1381" s="254">
        <f>Prog_23[[#This Row],[SAÍDA DO CLIENTE]]-Prog_23[[#This Row],[PROGRAMAÇÃO CLIENTE]]</f>
        <v>0</v>
      </c>
      <c r="AH1381" s="44"/>
      <c r="AI1381" s="66"/>
      <c r="AJ1381" s="66"/>
      <c r="AK1381" s="66"/>
      <c r="AL1381" s="66"/>
      <c r="AM1381" s="66"/>
      <c r="AN1381" s="83"/>
      <c r="AO1381" s="83"/>
      <c r="AP1381" s="83"/>
      <c r="AQ1381" s="66"/>
      <c r="AR1381" s="66"/>
      <c r="AS1381" s="66"/>
      <c r="AT1381" s="81"/>
      <c r="AU1381" s="81"/>
      <c r="AV1381" s="81"/>
      <c r="AW1381" s="81"/>
      <c r="AX1381" s="83">
        <f>SUM(Prog_23[[#This Row],[ADIANTAMENTO]]+Prog_23[[#This Row],[SALDO]]+Prog_23[[#This Row],[MARGEM]]+Prog_23[[#This Row],[ESTADIA 1]])</f>
        <v>0</v>
      </c>
      <c r="AY13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81" s="81"/>
      <c r="BA1381" s="81"/>
      <c r="BB1381" s="81">
        <f>Prog_23[[#This Row],[VLR NF]]*0.1%</f>
        <v>0</v>
      </c>
      <c r="BC1381" s="81">
        <f>Prog_23[[#This Row],[VLR NF]]*0.05%</f>
        <v>0</v>
      </c>
      <c r="BD1381" s="81"/>
      <c r="BE1381" s="81"/>
      <c r="BF1381" s="81"/>
      <c r="BG1381" s="81"/>
      <c r="BH1381" s="81"/>
      <c r="BI1381" s="81"/>
      <c r="BJ1381" s="81"/>
      <c r="BK1381" s="81"/>
      <c r="BL1381" s="81"/>
      <c r="BM1381" s="81"/>
      <c r="BN1381" s="66"/>
      <c r="BO1381" s="66"/>
      <c r="BP1381" s="66"/>
      <c r="BQ1381" s="66" t="str">
        <f>PROPER(TEXT(Prog_23[[#This Row],[PROGRAMAÇÃO CLIENTE]],"mmm"))</f>
        <v>Jan</v>
      </c>
      <c r="BR1381" s="66">
        <f>YEAR(Prog_23[[#This Row],[PROGRAMAÇÃO CLIENTE]])</f>
        <v>1900</v>
      </c>
    </row>
    <row r="1382" spans="1:70" x14ac:dyDescent="0.25">
      <c r="A1382" s="201">
        <f>Prog_23[[#This Row],[CONTEINER]]</f>
        <v>0</v>
      </c>
      <c r="B1382" s="86"/>
      <c r="C13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82" s="44"/>
      <c r="E1382" s="66"/>
      <c r="F1382" s="66"/>
      <c r="G1382" s="66"/>
      <c r="H1382" s="44"/>
      <c r="I1382" s="44"/>
      <c r="J1382" s="66"/>
      <c r="K1382" s="66"/>
      <c r="L1382" s="66"/>
      <c r="M1382" s="66"/>
      <c r="N1382" s="66">
        <f>SUM(Prog_23[[#This Row],[TARA]]+Prog_23[[#This Row],[PESO]])</f>
        <v>0</v>
      </c>
      <c r="O1382" s="44"/>
      <c r="P1382" s="66"/>
      <c r="Q1382" s="66"/>
      <c r="R1382" s="66"/>
      <c r="S1382" s="66"/>
      <c r="T1382" s="138" t="str">
        <f>IFERROR(LOOKUP($S1382,MOTORISTAS!$D$3:$D$916,MOTORISTAS!E$3:$E$916),"")</f>
        <v/>
      </c>
      <c r="U1382" s="138" t="str">
        <f>IFERROR(LOOKUP($S1382,MOTORISTAS!$D$3:$D$916,MOTORISTAS!F$3:$F$916),"")</f>
        <v/>
      </c>
      <c r="V1382" s="66"/>
      <c r="W1382" s="66"/>
      <c r="X1382" s="66"/>
      <c r="Y1382" s="66"/>
      <c r="Z1382" s="66"/>
      <c r="AA1382" s="66"/>
      <c r="AB1382" s="66"/>
      <c r="AC1382" s="66"/>
      <c r="AD1382" s="66"/>
      <c r="AE1382" s="66"/>
      <c r="AF1382" s="44"/>
      <c r="AG1382" s="254">
        <f>Prog_23[[#This Row],[SAÍDA DO CLIENTE]]-Prog_23[[#This Row],[PROGRAMAÇÃO CLIENTE]]</f>
        <v>0</v>
      </c>
      <c r="AH1382" s="44"/>
      <c r="AI1382" s="66"/>
      <c r="AJ1382" s="66"/>
      <c r="AK1382" s="66"/>
      <c r="AL1382" s="66"/>
      <c r="AM1382" s="66"/>
      <c r="AN1382" s="83"/>
      <c r="AO1382" s="83"/>
      <c r="AP1382" s="83"/>
      <c r="AQ1382" s="66"/>
      <c r="AR1382" s="66"/>
      <c r="AS1382" s="66"/>
      <c r="AT1382" s="81"/>
      <c r="AU1382" s="81"/>
      <c r="AV1382" s="81"/>
      <c r="AW1382" s="81"/>
      <c r="AX1382" s="83">
        <f>SUM(Prog_23[[#This Row],[ADIANTAMENTO]]+Prog_23[[#This Row],[SALDO]]+Prog_23[[#This Row],[MARGEM]]+Prog_23[[#This Row],[ESTADIA 1]])</f>
        <v>0</v>
      </c>
      <c r="AY13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82" s="81"/>
      <c r="BA1382" s="81"/>
      <c r="BB1382" s="81">
        <f>Prog_23[[#This Row],[VLR NF]]*0.1%</f>
        <v>0</v>
      </c>
      <c r="BC1382" s="81">
        <f>Prog_23[[#This Row],[VLR NF]]*0.05%</f>
        <v>0</v>
      </c>
      <c r="BD1382" s="81"/>
      <c r="BE1382" s="81"/>
      <c r="BF1382" s="81"/>
      <c r="BG1382" s="81"/>
      <c r="BH1382" s="81"/>
      <c r="BI1382" s="81"/>
      <c r="BJ1382" s="81"/>
      <c r="BK1382" s="81"/>
      <c r="BL1382" s="81"/>
      <c r="BM1382" s="81"/>
      <c r="BN1382" s="66"/>
      <c r="BO1382" s="66"/>
      <c r="BP1382" s="66"/>
      <c r="BQ1382" s="66" t="str">
        <f>PROPER(TEXT(Prog_23[[#This Row],[PROGRAMAÇÃO CLIENTE]],"mmm"))</f>
        <v>Jan</v>
      </c>
      <c r="BR1382" s="66">
        <f>YEAR(Prog_23[[#This Row],[PROGRAMAÇÃO CLIENTE]])</f>
        <v>1900</v>
      </c>
    </row>
    <row r="1383" spans="1:70" x14ac:dyDescent="0.25">
      <c r="A1383" s="200">
        <f>Prog_23[[#This Row],[CONTEINER]]</f>
        <v>0</v>
      </c>
      <c r="B1383" s="86"/>
      <c r="C13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83" s="44"/>
      <c r="E1383" s="66"/>
      <c r="F1383" s="66"/>
      <c r="G1383" s="66"/>
      <c r="H1383" s="44"/>
      <c r="I1383" s="44"/>
      <c r="J1383" s="66"/>
      <c r="K1383" s="66"/>
      <c r="L1383" s="66"/>
      <c r="M1383" s="66"/>
      <c r="N1383" s="66">
        <f>SUM(Prog_23[[#This Row],[TARA]]+Prog_23[[#This Row],[PESO]])</f>
        <v>0</v>
      </c>
      <c r="O1383" s="44"/>
      <c r="P1383" s="66"/>
      <c r="Q1383" s="66"/>
      <c r="R1383" s="66"/>
      <c r="S1383" s="66"/>
      <c r="T1383" s="138" t="str">
        <f>IFERROR(LOOKUP($S1383,MOTORISTAS!$D$3:$D$916,MOTORISTAS!E$3:$E$916),"")</f>
        <v/>
      </c>
      <c r="U1383" s="138" t="str">
        <f>IFERROR(LOOKUP($S1383,MOTORISTAS!$D$3:$D$916,MOTORISTAS!F$3:$F$916),"")</f>
        <v/>
      </c>
      <c r="V1383" s="66"/>
      <c r="W1383" s="66"/>
      <c r="X1383" s="66"/>
      <c r="Y1383" s="66"/>
      <c r="Z1383" s="66"/>
      <c r="AA1383" s="66"/>
      <c r="AB1383" s="66"/>
      <c r="AC1383" s="66"/>
      <c r="AD1383" s="66"/>
      <c r="AE1383" s="66"/>
      <c r="AF1383" s="44"/>
      <c r="AG1383" s="254">
        <f>Prog_23[[#This Row],[SAÍDA DO CLIENTE]]-Prog_23[[#This Row],[PROGRAMAÇÃO CLIENTE]]</f>
        <v>0</v>
      </c>
      <c r="AH1383" s="44"/>
      <c r="AI1383" s="66"/>
      <c r="AJ1383" s="66"/>
      <c r="AK1383" s="66"/>
      <c r="AL1383" s="66"/>
      <c r="AM1383" s="66"/>
      <c r="AN1383" s="83"/>
      <c r="AO1383" s="83"/>
      <c r="AP1383" s="83"/>
      <c r="AQ1383" s="66"/>
      <c r="AR1383" s="66"/>
      <c r="AS1383" s="66"/>
      <c r="AT1383" s="81"/>
      <c r="AU1383" s="81"/>
      <c r="AV1383" s="81"/>
      <c r="AW1383" s="81"/>
      <c r="AX1383" s="83">
        <f>SUM(Prog_23[[#This Row],[ADIANTAMENTO]]+Prog_23[[#This Row],[SALDO]]+Prog_23[[#This Row],[MARGEM]]+Prog_23[[#This Row],[ESTADIA 1]])</f>
        <v>0</v>
      </c>
      <c r="AY13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83" s="81"/>
      <c r="BA1383" s="81"/>
      <c r="BB1383" s="81">
        <f>Prog_23[[#This Row],[VLR NF]]*0.1%</f>
        <v>0</v>
      </c>
      <c r="BC1383" s="81">
        <f>Prog_23[[#This Row],[VLR NF]]*0.05%</f>
        <v>0</v>
      </c>
      <c r="BD1383" s="81"/>
      <c r="BE1383" s="81"/>
      <c r="BF1383" s="81"/>
      <c r="BG1383" s="81"/>
      <c r="BH1383" s="81"/>
      <c r="BI1383" s="81"/>
      <c r="BJ1383" s="81"/>
      <c r="BK1383" s="81"/>
      <c r="BL1383" s="81"/>
      <c r="BM1383" s="81"/>
      <c r="BN1383" s="66"/>
      <c r="BO1383" s="66"/>
      <c r="BP1383" s="66"/>
      <c r="BQ1383" s="66" t="str">
        <f>PROPER(TEXT(Prog_23[[#This Row],[PROGRAMAÇÃO CLIENTE]],"mmm"))</f>
        <v>Jan</v>
      </c>
      <c r="BR1383" s="66">
        <f>YEAR(Prog_23[[#This Row],[PROGRAMAÇÃO CLIENTE]])</f>
        <v>1900</v>
      </c>
    </row>
    <row r="1384" spans="1:70" x14ac:dyDescent="0.25">
      <c r="A1384" s="201">
        <f>Prog_23[[#This Row],[CONTEINER]]</f>
        <v>0</v>
      </c>
      <c r="B1384" s="86"/>
      <c r="C13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84" s="44"/>
      <c r="E1384" s="66"/>
      <c r="F1384" s="66"/>
      <c r="G1384" s="66"/>
      <c r="H1384" s="44"/>
      <c r="I1384" s="44"/>
      <c r="J1384" s="66"/>
      <c r="K1384" s="66"/>
      <c r="L1384" s="66"/>
      <c r="M1384" s="66"/>
      <c r="N1384" s="66">
        <f>SUM(Prog_23[[#This Row],[TARA]]+Prog_23[[#This Row],[PESO]])</f>
        <v>0</v>
      </c>
      <c r="O1384" s="44"/>
      <c r="P1384" s="66"/>
      <c r="Q1384" s="66"/>
      <c r="R1384" s="66"/>
      <c r="S1384" s="66"/>
      <c r="T1384" s="138" t="str">
        <f>IFERROR(LOOKUP($S1384,MOTORISTAS!$D$3:$D$916,MOTORISTAS!E$3:$E$916),"")</f>
        <v/>
      </c>
      <c r="U1384" s="138" t="str">
        <f>IFERROR(LOOKUP($S1384,MOTORISTAS!$D$3:$D$916,MOTORISTAS!F$3:$F$916),"")</f>
        <v/>
      </c>
      <c r="V1384" s="66"/>
      <c r="W1384" s="66"/>
      <c r="X1384" s="66"/>
      <c r="Y1384" s="66"/>
      <c r="Z1384" s="66"/>
      <c r="AA1384" s="66"/>
      <c r="AB1384" s="66"/>
      <c r="AC1384" s="66"/>
      <c r="AD1384" s="66"/>
      <c r="AE1384" s="66"/>
      <c r="AF1384" s="44"/>
      <c r="AG1384" s="254">
        <f>Prog_23[[#This Row],[SAÍDA DO CLIENTE]]-Prog_23[[#This Row],[PROGRAMAÇÃO CLIENTE]]</f>
        <v>0</v>
      </c>
      <c r="AH1384" s="44"/>
      <c r="AI1384" s="66"/>
      <c r="AJ1384" s="66"/>
      <c r="AK1384" s="66"/>
      <c r="AL1384" s="66"/>
      <c r="AM1384" s="66"/>
      <c r="AN1384" s="83"/>
      <c r="AO1384" s="83"/>
      <c r="AP1384" s="83"/>
      <c r="AQ1384" s="66"/>
      <c r="AR1384" s="66"/>
      <c r="AS1384" s="66"/>
      <c r="AT1384" s="81"/>
      <c r="AU1384" s="81"/>
      <c r="AV1384" s="81"/>
      <c r="AW1384" s="81"/>
      <c r="AX1384" s="83">
        <f>SUM(Prog_23[[#This Row],[ADIANTAMENTO]]+Prog_23[[#This Row],[SALDO]]+Prog_23[[#This Row],[MARGEM]]+Prog_23[[#This Row],[ESTADIA 1]])</f>
        <v>0</v>
      </c>
      <c r="AY13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84" s="81"/>
      <c r="BA1384" s="81"/>
      <c r="BB1384" s="81">
        <f>Prog_23[[#This Row],[VLR NF]]*0.1%</f>
        <v>0</v>
      </c>
      <c r="BC1384" s="81">
        <f>Prog_23[[#This Row],[VLR NF]]*0.05%</f>
        <v>0</v>
      </c>
      <c r="BD1384" s="81"/>
      <c r="BE1384" s="81"/>
      <c r="BF1384" s="81"/>
      <c r="BG1384" s="81"/>
      <c r="BH1384" s="81"/>
      <c r="BI1384" s="81"/>
      <c r="BJ1384" s="81"/>
      <c r="BK1384" s="81"/>
      <c r="BL1384" s="81"/>
      <c r="BM1384" s="81"/>
      <c r="BN1384" s="66"/>
      <c r="BO1384" s="66"/>
      <c r="BP1384" s="66"/>
      <c r="BQ1384" s="66" t="str">
        <f>PROPER(TEXT(Prog_23[[#This Row],[PROGRAMAÇÃO CLIENTE]],"mmm"))</f>
        <v>Jan</v>
      </c>
      <c r="BR1384" s="66">
        <f>YEAR(Prog_23[[#This Row],[PROGRAMAÇÃO CLIENTE]])</f>
        <v>1900</v>
      </c>
    </row>
    <row r="1385" spans="1:70" x14ac:dyDescent="0.25">
      <c r="A1385" s="200">
        <f>Prog_23[[#This Row],[CONTEINER]]</f>
        <v>0</v>
      </c>
      <c r="B1385" s="86"/>
      <c r="C13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85" s="44"/>
      <c r="E1385" s="66"/>
      <c r="F1385" s="66"/>
      <c r="G1385" s="66"/>
      <c r="H1385" s="44"/>
      <c r="I1385" s="44"/>
      <c r="J1385" s="66"/>
      <c r="K1385" s="66"/>
      <c r="L1385" s="66"/>
      <c r="M1385" s="66"/>
      <c r="N1385" s="66">
        <f>SUM(Prog_23[[#This Row],[TARA]]+Prog_23[[#This Row],[PESO]])</f>
        <v>0</v>
      </c>
      <c r="O1385" s="44"/>
      <c r="P1385" s="66"/>
      <c r="Q1385" s="66"/>
      <c r="R1385" s="66"/>
      <c r="S1385" s="66"/>
      <c r="T1385" s="138" t="str">
        <f>IFERROR(LOOKUP($S1385,MOTORISTAS!$D$3:$D$916,MOTORISTAS!E$3:$E$916),"")</f>
        <v/>
      </c>
      <c r="U1385" s="138" t="str">
        <f>IFERROR(LOOKUP($S1385,MOTORISTAS!$D$3:$D$916,MOTORISTAS!F$3:$F$916),"")</f>
        <v/>
      </c>
      <c r="V1385" s="66"/>
      <c r="W1385" s="66"/>
      <c r="X1385" s="66"/>
      <c r="Y1385" s="66"/>
      <c r="Z1385" s="66"/>
      <c r="AA1385" s="66"/>
      <c r="AB1385" s="66"/>
      <c r="AC1385" s="66"/>
      <c r="AD1385" s="66"/>
      <c r="AE1385" s="66"/>
      <c r="AF1385" s="44"/>
      <c r="AG1385" s="254">
        <f>Prog_23[[#This Row],[SAÍDA DO CLIENTE]]-Prog_23[[#This Row],[PROGRAMAÇÃO CLIENTE]]</f>
        <v>0</v>
      </c>
      <c r="AH1385" s="44"/>
      <c r="AI1385" s="66"/>
      <c r="AJ1385" s="66"/>
      <c r="AK1385" s="66"/>
      <c r="AL1385" s="66"/>
      <c r="AM1385" s="66"/>
      <c r="AN1385" s="83"/>
      <c r="AO1385" s="83"/>
      <c r="AP1385" s="83"/>
      <c r="AQ1385" s="66"/>
      <c r="AR1385" s="66"/>
      <c r="AS1385" s="66"/>
      <c r="AT1385" s="81"/>
      <c r="AU1385" s="81"/>
      <c r="AV1385" s="81"/>
      <c r="AW1385" s="81"/>
      <c r="AX1385" s="83">
        <f>SUM(Prog_23[[#This Row],[ADIANTAMENTO]]+Prog_23[[#This Row],[SALDO]]+Prog_23[[#This Row],[MARGEM]]+Prog_23[[#This Row],[ESTADIA 1]])</f>
        <v>0</v>
      </c>
      <c r="AY13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85" s="81"/>
      <c r="BA1385" s="81"/>
      <c r="BB1385" s="81">
        <f>Prog_23[[#This Row],[VLR NF]]*0.1%</f>
        <v>0</v>
      </c>
      <c r="BC1385" s="81">
        <f>Prog_23[[#This Row],[VLR NF]]*0.05%</f>
        <v>0</v>
      </c>
      <c r="BD1385" s="81"/>
      <c r="BE1385" s="81"/>
      <c r="BF1385" s="81"/>
      <c r="BG1385" s="81"/>
      <c r="BH1385" s="81"/>
      <c r="BI1385" s="81"/>
      <c r="BJ1385" s="81"/>
      <c r="BK1385" s="81"/>
      <c r="BL1385" s="81"/>
      <c r="BM1385" s="81"/>
      <c r="BN1385" s="66"/>
      <c r="BO1385" s="66"/>
      <c r="BP1385" s="66"/>
      <c r="BQ1385" s="66" t="str">
        <f>PROPER(TEXT(Prog_23[[#This Row],[PROGRAMAÇÃO CLIENTE]],"mmm"))</f>
        <v>Jan</v>
      </c>
      <c r="BR1385" s="66">
        <f>YEAR(Prog_23[[#This Row],[PROGRAMAÇÃO CLIENTE]])</f>
        <v>1900</v>
      </c>
    </row>
    <row r="1386" spans="1:70" x14ac:dyDescent="0.25">
      <c r="A1386" s="201">
        <f>Prog_23[[#This Row],[CONTEINER]]</f>
        <v>0</v>
      </c>
      <c r="B1386" s="86"/>
      <c r="C13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86" s="44"/>
      <c r="E1386" s="66"/>
      <c r="F1386" s="66"/>
      <c r="G1386" s="66"/>
      <c r="H1386" s="44"/>
      <c r="I1386" s="44"/>
      <c r="J1386" s="66"/>
      <c r="K1386" s="66"/>
      <c r="L1386" s="66"/>
      <c r="M1386" s="66"/>
      <c r="N1386" s="66">
        <f>SUM(Prog_23[[#This Row],[TARA]]+Prog_23[[#This Row],[PESO]])</f>
        <v>0</v>
      </c>
      <c r="O1386" s="44"/>
      <c r="P1386" s="66"/>
      <c r="Q1386" s="66"/>
      <c r="R1386" s="66"/>
      <c r="S1386" s="66"/>
      <c r="T1386" s="138" t="str">
        <f>IFERROR(LOOKUP($S1386,MOTORISTAS!$D$3:$D$916,MOTORISTAS!E$3:$E$916),"")</f>
        <v/>
      </c>
      <c r="U1386" s="138" t="str">
        <f>IFERROR(LOOKUP($S1386,MOTORISTAS!$D$3:$D$916,MOTORISTAS!F$3:$F$916),"")</f>
        <v/>
      </c>
      <c r="V1386" s="66"/>
      <c r="W1386" s="66"/>
      <c r="X1386" s="66"/>
      <c r="Y1386" s="66"/>
      <c r="Z1386" s="66"/>
      <c r="AA1386" s="66"/>
      <c r="AB1386" s="66"/>
      <c r="AC1386" s="66"/>
      <c r="AD1386" s="66"/>
      <c r="AE1386" s="66"/>
      <c r="AF1386" s="44"/>
      <c r="AG1386" s="254">
        <f>Prog_23[[#This Row],[SAÍDA DO CLIENTE]]-Prog_23[[#This Row],[PROGRAMAÇÃO CLIENTE]]</f>
        <v>0</v>
      </c>
      <c r="AH1386" s="44"/>
      <c r="AI1386" s="66"/>
      <c r="AJ1386" s="66"/>
      <c r="AK1386" s="66"/>
      <c r="AL1386" s="66"/>
      <c r="AM1386" s="66"/>
      <c r="AN1386" s="83"/>
      <c r="AO1386" s="83"/>
      <c r="AP1386" s="83"/>
      <c r="AQ1386" s="66"/>
      <c r="AR1386" s="66"/>
      <c r="AS1386" s="66"/>
      <c r="AT1386" s="81"/>
      <c r="AU1386" s="81"/>
      <c r="AV1386" s="81"/>
      <c r="AW1386" s="81"/>
      <c r="AX1386" s="83">
        <f>SUM(Prog_23[[#This Row],[ADIANTAMENTO]]+Prog_23[[#This Row],[SALDO]]+Prog_23[[#This Row],[MARGEM]]+Prog_23[[#This Row],[ESTADIA 1]])</f>
        <v>0</v>
      </c>
      <c r="AY13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86" s="81"/>
      <c r="BA1386" s="81"/>
      <c r="BB1386" s="81">
        <f>Prog_23[[#This Row],[VLR NF]]*0.1%</f>
        <v>0</v>
      </c>
      <c r="BC1386" s="81">
        <f>Prog_23[[#This Row],[VLR NF]]*0.05%</f>
        <v>0</v>
      </c>
      <c r="BD1386" s="81"/>
      <c r="BE1386" s="81"/>
      <c r="BF1386" s="81"/>
      <c r="BG1386" s="81"/>
      <c r="BH1386" s="81"/>
      <c r="BI1386" s="81"/>
      <c r="BJ1386" s="81"/>
      <c r="BK1386" s="81"/>
      <c r="BL1386" s="81"/>
      <c r="BM1386" s="81"/>
      <c r="BN1386" s="66"/>
      <c r="BO1386" s="66"/>
      <c r="BP1386" s="66"/>
      <c r="BQ1386" s="66" t="str">
        <f>PROPER(TEXT(Prog_23[[#This Row],[PROGRAMAÇÃO CLIENTE]],"mmm"))</f>
        <v>Jan</v>
      </c>
      <c r="BR1386" s="66">
        <f>YEAR(Prog_23[[#This Row],[PROGRAMAÇÃO CLIENTE]])</f>
        <v>1900</v>
      </c>
    </row>
    <row r="1387" spans="1:70" x14ac:dyDescent="0.25">
      <c r="A1387" s="200">
        <f>Prog_23[[#This Row],[CONTEINER]]</f>
        <v>0</v>
      </c>
      <c r="B1387" s="86"/>
      <c r="C13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87" s="44"/>
      <c r="E1387" s="66"/>
      <c r="F1387" s="66"/>
      <c r="G1387" s="66"/>
      <c r="H1387" s="44"/>
      <c r="I1387" s="44"/>
      <c r="J1387" s="66"/>
      <c r="K1387" s="66"/>
      <c r="L1387" s="66"/>
      <c r="M1387" s="66"/>
      <c r="N1387" s="66">
        <f>SUM(Prog_23[[#This Row],[TARA]]+Prog_23[[#This Row],[PESO]])</f>
        <v>0</v>
      </c>
      <c r="O1387" s="44"/>
      <c r="P1387" s="66"/>
      <c r="Q1387" s="66"/>
      <c r="R1387" s="66"/>
      <c r="S1387" s="66"/>
      <c r="T1387" s="138" t="str">
        <f>IFERROR(LOOKUP($S1387,MOTORISTAS!$D$3:$D$916,MOTORISTAS!E$3:$E$916),"")</f>
        <v/>
      </c>
      <c r="U1387" s="138" t="str">
        <f>IFERROR(LOOKUP($S1387,MOTORISTAS!$D$3:$D$916,MOTORISTAS!F$3:$F$916),"")</f>
        <v/>
      </c>
      <c r="V1387" s="66"/>
      <c r="W1387" s="66"/>
      <c r="X1387" s="66"/>
      <c r="Y1387" s="66"/>
      <c r="Z1387" s="66"/>
      <c r="AA1387" s="66"/>
      <c r="AB1387" s="66"/>
      <c r="AC1387" s="66"/>
      <c r="AD1387" s="66"/>
      <c r="AE1387" s="66"/>
      <c r="AF1387" s="44"/>
      <c r="AG1387" s="254">
        <f>Prog_23[[#This Row],[SAÍDA DO CLIENTE]]-Prog_23[[#This Row],[PROGRAMAÇÃO CLIENTE]]</f>
        <v>0</v>
      </c>
      <c r="AH1387" s="44"/>
      <c r="AI1387" s="66"/>
      <c r="AJ1387" s="66"/>
      <c r="AK1387" s="66"/>
      <c r="AL1387" s="66"/>
      <c r="AM1387" s="66"/>
      <c r="AN1387" s="83"/>
      <c r="AO1387" s="83"/>
      <c r="AP1387" s="83"/>
      <c r="AQ1387" s="66"/>
      <c r="AR1387" s="66"/>
      <c r="AS1387" s="66"/>
      <c r="AT1387" s="81"/>
      <c r="AU1387" s="81"/>
      <c r="AV1387" s="81"/>
      <c r="AW1387" s="81"/>
      <c r="AX1387" s="83">
        <f>SUM(Prog_23[[#This Row],[ADIANTAMENTO]]+Prog_23[[#This Row],[SALDO]]+Prog_23[[#This Row],[MARGEM]]+Prog_23[[#This Row],[ESTADIA 1]])</f>
        <v>0</v>
      </c>
      <c r="AY13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87" s="81"/>
      <c r="BA1387" s="81"/>
      <c r="BB1387" s="81">
        <f>Prog_23[[#This Row],[VLR NF]]*0.1%</f>
        <v>0</v>
      </c>
      <c r="BC1387" s="81">
        <f>Prog_23[[#This Row],[VLR NF]]*0.05%</f>
        <v>0</v>
      </c>
      <c r="BD1387" s="81"/>
      <c r="BE1387" s="81"/>
      <c r="BF1387" s="81"/>
      <c r="BG1387" s="81"/>
      <c r="BH1387" s="81"/>
      <c r="BI1387" s="81"/>
      <c r="BJ1387" s="81"/>
      <c r="BK1387" s="81"/>
      <c r="BL1387" s="81"/>
      <c r="BM1387" s="81"/>
      <c r="BN1387" s="66"/>
      <c r="BO1387" s="66"/>
      <c r="BP1387" s="66"/>
      <c r="BQ1387" s="66" t="str">
        <f>PROPER(TEXT(Prog_23[[#This Row],[PROGRAMAÇÃO CLIENTE]],"mmm"))</f>
        <v>Jan</v>
      </c>
      <c r="BR1387" s="66">
        <f>YEAR(Prog_23[[#This Row],[PROGRAMAÇÃO CLIENTE]])</f>
        <v>1900</v>
      </c>
    </row>
    <row r="1388" spans="1:70" x14ac:dyDescent="0.25">
      <c r="A1388" s="201">
        <f>Prog_23[[#This Row],[CONTEINER]]</f>
        <v>0</v>
      </c>
      <c r="B1388" s="86"/>
      <c r="C13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88" s="44"/>
      <c r="E1388" s="66"/>
      <c r="F1388" s="66"/>
      <c r="G1388" s="66"/>
      <c r="H1388" s="44"/>
      <c r="I1388" s="44"/>
      <c r="J1388" s="66"/>
      <c r="K1388" s="66"/>
      <c r="L1388" s="66"/>
      <c r="M1388" s="66"/>
      <c r="N1388" s="66">
        <f>SUM(Prog_23[[#This Row],[TARA]]+Prog_23[[#This Row],[PESO]])</f>
        <v>0</v>
      </c>
      <c r="O1388" s="44"/>
      <c r="P1388" s="66"/>
      <c r="Q1388" s="66"/>
      <c r="R1388" s="66"/>
      <c r="S1388" s="66"/>
      <c r="T1388" s="138" t="str">
        <f>IFERROR(LOOKUP($S1388,MOTORISTAS!$D$3:$D$916,MOTORISTAS!E$3:$E$916),"")</f>
        <v/>
      </c>
      <c r="U1388" s="138" t="str">
        <f>IFERROR(LOOKUP($S1388,MOTORISTAS!$D$3:$D$916,MOTORISTAS!F$3:$F$916),"")</f>
        <v/>
      </c>
      <c r="V1388" s="66"/>
      <c r="W1388" s="66"/>
      <c r="X1388" s="66"/>
      <c r="Y1388" s="66"/>
      <c r="Z1388" s="66"/>
      <c r="AA1388" s="66"/>
      <c r="AB1388" s="66"/>
      <c r="AC1388" s="66"/>
      <c r="AD1388" s="66"/>
      <c r="AE1388" s="66"/>
      <c r="AF1388" s="44"/>
      <c r="AG1388" s="254">
        <f>Prog_23[[#This Row],[SAÍDA DO CLIENTE]]-Prog_23[[#This Row],[PROGRAMAÇÃO CLIENTE]]</f>
        <v>0</v>
      </c>
      <c r="AH1388" s="44"/>
      <c r="AI1388" s="66"/>
      <c r="AJ1388" s="66"/>
      <c r="AK1388" s="66"/>
      <c r="AL1388" s="66"/>
      <c r="AM1388" s="66"/>
      <c r="AN1388" s="83"/>
      <c r="AO1388" s="83"/>
      <c r="AP1388" s="83"/>
      <c r="AQ1388" s="66"/>
      <c r="AR1388" s="66"/>
      <c r="AS1388" s="66"/>
      <c r="AT1388" s="81"/>
      <c r="AU1388" s="81"/>
      <c r="AV1388" s="81"/>
      <c r="AW1388" s="81"/>
      <c r="AX1388" s="83">
        <f>SUM(Prog_23[[#This Row],[ADIANTAMENTO]]+Prog_23[[#This Row],[SALDO]]+Prog_23[[#This Row],[MARGEM]]+Prog_23[[#This Row],[ESTADIA 1]])</f>
        <v>0</v>
      </c>
      <c r="AY13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88" s="81"/>
      <c r="BA1388" s="81"/>
      <c r="BB1388" s="81">
        <f>Prog_23[[#This Row],[VLR NF]]*0.1%</f>
        <v>0</v>
      </c>
      <c r="BC1388" s="81">
        <f>Prog_23[[#This Row],[VLR NF]]*0.05%</f>
        <v>0</v>
      </c>
      <c r="BD1388" s="81"/>
      <c r="BE1388" s="81"/>
      <c r="BF1388" s="81"/>
      <c r="BG1388" s="81"/>
      <c r="BH1388" s="81"/>
      <c r="BI1388" s="81"/>
      <c r="BJ1388" s="81"/>
      <c r="BK1388" s="81"/>
      <c r="BL1388" s="81"/>
      <c r="BM1388" s="81"/>
      <c r="BN1388" s="66"/>
      <c r="BO1388" s="66"/>
      <c r="BP1388" s="66"/>
      <c r="BQ1388" s="66" t="str">
        <f>PROPER(TEXT(Prog_23[[#This Row],[PROGRAMAÇÃO CLIENTE]],"mmm"))</f>
        <v>Jan</v>
      </c>
      <c r="BR1388" s="66">
        <f>YEAR(Prog_23[[#This Row],[PROGRAMAÇÃO CLIENTE]])</f>
        <v>1900</v>
      </c>
    </row>
    <row r="1389" spans="1:70" x14ac:dyDescent="0.25">
      <c r="A1389" s="200">
        <f>Prog_23[[#This Row],[CONTEINER]]</f>
        <v>0</v>
      </c>
      <c r="B1389" s="86"/>
      <c r="C13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89" s="44"/>
      <c r="E1389" s="66"/>
      <c r="F1389" s="66"/>
      <c r="G1389" s="66"/>
      <c r="H1389" s="44"/>
      <c r="I1389" s="44"/>
      <c r="J1389" s="66"/>
      <c r="K1389" s="66"/>
      <c r="L1389" s="66"/>
      <c r="M1389" s="66"/>
      <c r="N1389" s="66">
        <f>SUM(Prog_23[[#This Row],[TARA]]+Prog_23[[#This Row],[PESO]])</f>
        <v>0</v>
      </c>
      <c r="O1389" s="44"/>
      <c r="P1389" s="66"/>
      <c r="Q1389" s="66"/>
      <c r="R1389" s="66"/>
      <c r="S1389" s="66"/>
      <c r="T1389" s="138" t="str">
        <f>IFERROR(LOOKUP($S1389,MOTORISTAS!$D$3:$D$916,MOTORISTAS!E$3:$E$916),"")</f>
        <v/>
      </c>
      <c r="U1389" s="138" t="str">
        <f>IFERROR(LOOKUP($S1389,MOTORISTAS!$D$3:$D$916,MOTORISTAS!F$3:$F$916),"")</f>
        <v/>
      </c>
      <c r="V1389" s="66"/>
      <c r="W1389" s="66"/>
      <c r="X1389" s="66"/>
      <c r="Y1389" s="66"/>
      <c r="Z1389" s="66"/>
      <c r="AA1389" s="66"/>
      <c r="AB1389" s="66"/>
      <c r="AC1389" s="66"/>
      <c r="AD1389" s="66"/>
      <c r="AE1389" s="66"/>
      <c r="AF1389" s="44"/>
      <c r="AG1389" s="254">
        <f>Prog_23[[#This Row],[SAÍDA DO CLIENTE]]-Prog_23[[#This Row],[PROGRAMAÇÃO CLIENTE]]</f>
        <v>0</v>
      </c>
      <c r="AH1389" s="44"/>
      <c r="AI1389" s="66"/>
      <c r="AJ1389" s="66"/>
      <c r="AK1389" s="66"/>
      <c r="AL1389" s="66"/>
      <c r="AM1389" s="66"/>
      <c r="AN1389" s="83"/>
      <c r="AO1389" s="83"/>
      <c r="AP1389" s="83"/>
      <c r="AQ1389" s="66"/>
      <c r="AR1389" s="66"/>
      <c r="AS1389" s="66"/>
      <c r="AT1389" s="81"/>
      <c r="AU1389" s="81"/>
      <c r="AV1389" s="81"/>
      <c r="AW1389" s="81"/>
      <c r="AX1389" s="83">
        <f>SUM(Prog_23[[#This Row],[ADIANTAMENTO]]+Prog_23[[#This Row],[SALDO]]+Prog_23[[#This Row],[MARGEM]]+Prog_23[[#This Row],[ESTADIA 1]])</f>
        <v>0</v>
      </c>
      <c r="AY13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89" s="81"/>
      <c r="BA1389" s="81"/>
      <c r="BB1389" s="81">
        <f>Prog_23[[#This Row],[VLR NF]]*0.1%</f>
        <v>0</v>
      </c>
      <c r="BC1389" s="81">
        <f>Prog_23[[#This Row],[VLR NF]]*0.05%</f>
        <v>0</v>
      </c>
      <c r="BD1389" s="81"/>
      <c r="BE1389" s="81"/>
      <c r="BF1389" s="81"/>
      <c r="BG1389" s="81"/>
      <c r="BH1389" s="81"/>
      <c r="BI1389" s="81"/>
      <c r="BJ1389" s="81"/>
      <c r="BK1389" s="81"/>
      <c r="BL1389" s="81"/>
      <c r="BM1389" s="81"/>
      <c r="BN1389" s="66"/>
      <c r="BO1389" s="66"/>
      <c r="BP1389" s="66"/>
      <c r="BQ1389" s="66" t="str">
        <f>PROPER(TEXT(Prog_23[[#This Row],[PROGRAMAÇÃO CLIENTE]],"mmm"))</f>
        <v>Jan</v>
      </c>
      <c r="BR1389" s="66">
        <f>YEAR(Prog_23[[#This Row],[PROGRAMAÇÃO CLIENTE]])</f>
        <v>1900</v>
      </c>
    </row>
    <row r="1390" spans="1:70" x14ac:dyDescent="0.25">
      <c r="A1390" s="201">
        <f>Prog_23[[#This Row],[CONTEINER]]</f>
        <v>0</v>
      </c>
      <c r="B1390" s="86"/>
      <c r="C13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90" s="44"/>
      <c r="E1390" s="66"/>
      <c r="F1390" s="66"/>
      <c r="G1390" s="66"/>
      <c r="H1390" s="44"/>
      <c r="I1390" s="44"/>
      <c r="J1390" s="66"/>
      <c r="K1390" s="66"/>
      <c r="L1390" s="66"/>
      <c r="M1390" s="66"/>
      <c r="N1390" s="66">
        <f>SUM(Prog_23[[#This Row],[TARA]]+Prog_23[[#This Row],[PESO]])</f>
        <v>0</v>
      </c>
      <c r="O1390" s="44"/>
      <c r="P1390" s="66"/>
      <c r="Q1390" s="66"/>
      <c r="R1390" s="66"/>
      <c r="S1390" s="66"/>
      <c r="T1390" s="138" t="str">
        <f>IFERROR(LOOKUP($S1390,MOTORISTAS!$D$3:$D$916,MOTORISTAS!E$3:$E$916),"")</f>
        <v/>
      </c>
      <c r="U1390" s="138" t="str">
        <f>IFERROR(LOOKUP($S1390,MOTORISTAS!$D$3:$D$916,MOTORISTAS!F$3:$F$916),"")</f>
        <v/>
      </c>
      <c r="V1390" s="66"/>
      <c r="W1390" s="66"/>
      <c r="X1390" s="66"/>
      <c r="Y1390" s="66"/>
      <c r="Z1390" s="66"/>
      <c r="AA1390" s="66"/>
      <c r="AB1390" s="66"/>
      <c r="AC1390" s="66"/>
      <c r="AD1390" s="66"/>
      <c r="AE1390" s="66"/>
      <c r="AF1390" s="44"/>
      <c r="AG1390" s="254">
        <f>Prog_23[[#This Row],[SAÍDA DO CLIENTE]]-Prog_23[[#This Row],[PROGRAMAÇÃO CLIENTE]]</f>
        <v>0</v>
      </c>
      <c r="AH1390" s="44"/>
      <c r="AI1390" s="66"/>
      <c r="AJ1390" s="66"/>
      <c r="AK1390" s="66"/>
      <c r="AL1390" s="66"/>
      <c r="AM1390" s="66"/>
      <c r="AN1390" s="83"/>
      <c r="AO1390" s="83"/>
      <c r="AP1390" s="83"/>
      <c r="AQ1390" s="66"/>
      <c r="AR1390" s="66"/>
      <c r="AS1390" s="66"/>
      <c r="AT1390" s="81"/>
      <c r="AU1390" s="81"/>
      <c r="AV1390" s="81"/>
      <c r="AW1390" s="81"/>
      <c r="AX1390" s="83">
        <f>SUM(Prog_23[[#This Row],[ADIANTAMENTO]]+Prog_23[[#This Row],[SALDO]]+Prog_23[[#This Row],[MARGEM]]+Prog_23[[#This Row],[ESTADIA 1]])</f>
        <v>0</v>
      </c>
      <c r="AY13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0" s="81"/>
      <c r="BA1390" s="81"/>
      <c r="BB1390" s="81">
        <f>Prog_23[[#This Row],[VLR NF]]*0.1%</f>
        <v>0</v>
      </c>
      <c r="BC1390" s="81">
        <f>Prog_23[[#This Row],[VLR NF]]*0.05%</f>
        <v>0</v>
      </c>
      <c r="BD1390" s="81"/>
      <c r="BE1390" s="81"/>
      <c r="BF1390" s="81"/>
      <c r="BG1390" s="81"/>
      <c r="BH1390" s="81"/>
      <c r="BI1390" s="81"/>
      <c r="BJ1390" s="81"/>
      <c r="BK1390" s="81"/>
      <c r="BL1390" s="81"/>
      <c r="BM1390" s="81"/>
      <c r="BN1390" s="66"/>
      <c r="BO1390" s="66"/>
      <c r="BP1390" s="66"/>
      <c r="BQ1390" s="66" t="str">
        <f>PROPER(TEXT(Prog_23[[#This Row],[PROGRAMAÇÃO CLIENTE]],"mmm"))</f>
        <v>Jan</v>
      </c>
      <c r="BR1390" s="66">
        <f>YEAR(Prog_23[[#This Row],[PROGRAMAÇÃO CLIENTE]])</f>
        <v>1900</v>
      </c>
    </row>
    <row r="1391" spans="1:70" x14ac:dyDescent="0.25">
      <c r="A1391" s="200">
        <f>Prog_23[[#This Row],[CONTEINER]]</f>
        <v>0</v>
      </c>
      <c r="B1391" s="86"/>
      <c r="C13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91" s="44"/>
      <c r="E1391" s="66"/>
      <c r="F1391" s="66"/>
      <c r="G1391" s="66"/>
      <c r="H1391" s="44"/>
      <c r="I1391" s="44"/>
      <c r="J1391" s="66"/>
      <c r="K1391" s="66"/>
      <c r="L1391" s="66"/>
      <c r="M1391" s="66"/>
      <c r="N1391" s="66">
        <f>SUM(Prog_23[[#This Row],[TARA]]+Prog_23[[#This Row],[PESO]])</f>
        <v>0</v>
      </c>
      <c r="O1391" s="44"/>
      <c r="P1391" s="66"/>
      <c r="Q1391" s="66"/>
      <c r="R1391" s="66"/>
      <c r="S1391" s="66"/>
      <c r="T1391" s="138" t="str">
        <f>IFERROR(LOOKUP($S1391,MOTORISTAS!$D$3:$D$916,MOTORISTAS!E$3:$E$916),"")</f>
        <v/>
      </c>
      <c r="U1391" s="138" t="str">
        <f>IFERROR(LOOKUP($S1391,MOTORISTAS!$D$3:$D$916,MOTORISTAS!F$3:$F$916),"")</f>
        <v/>
      </c>
      <c r="V1391" s="66"/>
      <c r="W1391" s="66"/>
      <c r="X1391" s="66"/>
      <c r="Y1391" s="66"/>
      <c r="Z1391" s="66"/>
      <c r="AA1391" s="66"/>
      <c r="AB1391" s="66"/>
      <c r="AC1391" s="66"/>
      <c r="AD1391" s="66"/>
      <c r="AE1391" s="66"/>
      <c r="AF1391" s="44"/>
      <c r="AG1391" s="254">
        <f>Prog_23[[#This Row],[SAÍDA DO CLIENTE]]-Prog_23[[#This Row],[PROGRAMAÇÃO CLIENTE]]</f>
        <v>0</v>
      </c>
      <c r="AH1391" s="44"/>
      <c r="AI1391" s="66"/>
      <c r="AJ1391" s="66"/>
      <c r="AK1391" s="66"/>
      <c r="AL1391" s="66"/>
      <c r="AM1391" s="66"/>
      <c r="AN1391" s="83"/>
      <c r="AO1391" s="83"/>
      <c r="AP1391" s="83"/>
      <c r="AQ1391" s="66"/>
      <c r="AR1391" s="66"/>
      <c r="AS1391" s="66"/>
      <c r="AT1391" s="81"/>
      <c r="AU1391" s="81"/>
      <c r="AV1391" s="81"/>
      <c r="AW1391" s="81"/>
      <c r="AX1391" s="83">
        <f>SUM(Prog_23[[#This Row],[ADIANTAMENTO]]+Prog_23[[#This Row],[SALDO]]+Prog_23[[#This Row],[MARGEM]]+Prog_23[[#This Row],[ESTADIA 1]])</f>
        <v>0</v>
      </c>
      <c r="AY13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1" s="81"/>
      <c r="BA1391" s="81"/>
      <c r="BB1391" s="81">
        <f>Prog_23[[#This Row],[VLR NF]]*0.1%</f>
        <v>0</v>
      </c>
      <c r="BC1391" s="81">
        <f>Prog_23[[#This Row],[VLR NF]]*0.05%</f>
        <v>0</v>
      </c>
      <c r="BD1391" s="81"/>
      <c r="BE1391" s="81"/>
      <c r="BF1391" s="81"/>
      <c r="BG1391" s="81"/>
      <c r="BH1391" s="81"/>
      <c r="BI1391" s="81"/>
      <c r="BJ1391" s="81"/>
      <c r="BK1391" s="81"/>
      <c r="BL1391" s="81"/>
      <c r="BM1391" s="81"/>
      <c r="BN1391" s="66"/>
      <c r="BO1391" s="66"/>
      <c r="BP1391" s="66"/>
      <c r="BQ1391" s="66" t="str">
        <f>PROPER(TEXT(Prog_23[[#This Row],[PROGRAMAÇÃO CLIENTE]],"mmm"))</f>
        <v>Jan</v>
      </c>
      <c r="BR1391" s="66">
        <f>YEAR(Prog_23[[#This Row],[PROGRAMAÇÃO CLIENTE]])</f>
        <v>1900</v>
      </c>
    </row>
    <row r="1392" spans="1:70" x14ac:dyDescent="0.25">
      <c r="A1392" s="201">
        <f>Prog_23[[#This Row],[CONTEINER]]</f>
        <v>0</v>
      </c>
      <c r="B1392" s="86"/>
      <c r="C13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92" s="44"/>
      <c r="E1392" s="66"/>
      <c r="F1392" s="66"/>
      <c r="G1392" s="66"/>
      <c r="H1392" s="44"/>
      <c r="I1392" s="44"/>
      <c r="J1392" s="66"/>
      <c r="K1392" s="66"/>
      <c r="L1392" s="66"/>
      <c r="M1392" s="66"/>
      <c r="N1392" s="66">
        <f>SUM(Prog_23[[#This Row],[TARA]]+Prog_23[[#This Row],[PESO]])</f>
        <v>0</v>
      </c>
      <c r="O1392" s="44"/>
      <c r="P1392" s="66"/>
      <c r="Q1392" s="66"/>
      <c r="R1392" s="66"/>
      <c r="S1392" s="66"/>
      <c r="T1392" s="138" t="str">
        <f>IFERROR(LOOKUP($S1392,MOTORISTAS!$D$3:$D$916,MOTORISTAS!E$3:$E$916),"")</f>
        <v/>
      </c>
      <c r="U1392" s="138" t="str">
        <f>IFERROR(LOOKUP($S1392,MOTORISTAS!$D$3:$D$916,MOTORISTAS!F$3:$F$916),"")</f>
        <v/>
      </c>
      <c r="V1392" s="66"/>
      <c r="W1392" s="66"/>
      <c r="X1392" s="66"/>
      <c r="Y1392" s="66"/>
      <c r="Z1392" s="66"/>
      <c r="AA1392" s="66"/>
      <c r="AB1392" s="66"/>
      <c r="AC1392" s="66"/>
      <c r="AD1392" s="66"/>
      <c r="AE1392" s="66"/>
      <c r="AF1392" s="44"/>
      <c r="AG1392" s="254">
        <f>Prog_23[[#This Row],[SAÍDA DO CLIENTE]]-Prog_23[[#This Row],[PROGRAMAÇÃO CLIENTE]]</f>
        <v>0</v>
      </c>
      <c r="AH1392" s="44"/>
      <c r="AI1392" s="66"/>
      <c r="AJ1392" s="66"/>
      <c r="AK1392" s="66"/>
      <c r="AL1392" s="66"/>
      <c r="AM1392" s="66"/>
      <c r="AN1392" s="83"/>
      <c r="AO1392" s="83"/>
      <c r="AP1392" s="83"/>
      <c r="AQ1392" s="66"/>
      <c r="AR1392" s="66"/>
      <c r="AS1392" s="66"/>
      <c r="AT1392" s="81"/>
      <c r="AU1392" s="81"/>
      <c r="AV1392" s="81"/>
      <c r="AW1392" s="81"/>
      <c r="AX1392" s="83">
        <f>SUM(Prog_23[[#This Row],[ADIANTAMENTO]]+Prog_23[[#This Row],[SALDO]]+Prog_23[[#This Row],[MARGEM]]+Prog_23[[#This Row],[ESTADIA 1]])</f>
        <v>0</v>
      </c>
      <c r="AY13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2" s="81"/>
      <c r="BA1392" s="81"/>
      <c r="BB1392" s="81">
        <f>Prog_23[[#This Row],[VLR NF]]*0.1%</f>
        <v>0</v>
      </c>
      <c r="BC1392" s="81">
        <f>Prog_23[[#This Row],[VLR NF]]*0.05%</f>
        <v>0</v>
      </c>
      <c r="BD1392" s="81"/>
      <c r="BE1392" s="81"/>
      <c r="BF1392" s="81"/>
      <c r="BG1392" s="81"/>
      <c r="BH1392" s="81"/>
      <c r="BI1392" s="81"/>
      <c r="BJ1392" s="81"/>
      <c r="BK1392" s="81"/>
      <c r="BL1392" s="81"/>
      <c r="BM1392" s="81"/>
      <c r="BN1392" s="66"/>
      <c r="BO1392" s="66"/>
      <c r="BP1392" s="66"/>
      <c r="BQ1392" s="66" t="str">
        <f>PROPER(TEXT(Prog_23[[#This Row],[PROGRAMAÇÃO CLIENTE]],"mmm"))</f>
        <v>Jan</v>
      </c>
      <c r="BR1392" s="66">
        <f>YEAR(Prog_23[[#This Row],[PROGRAMAÇÃO CLIENTE]])</f>
        <v>1900</v>
      </c>
    </row>
    <row r="1393" spans="1:70" x14ac:dyDescent="0.25">
      <c r="A1393" s="200">
        <f>Prog_23[[#This Row],[CONTEINER]]</f>
        <v>0</v>
      </c>
      <c r="B1393" s="86"/>
      <c r="C13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93" s="44"/>
      <c r="E1393" s="66"/>
      <c r="F1393" s="66"/>
      <c r="G1393" s="66"/>
      <c r="H1393" s="44"/>
      <c r="I1393" s="44"/>
      <c r="J1393" s="66"/>
      <c r="K1393" s="66"/>
      <c r="L1393" s="66"/>
      <c r="M1393" s="66"/>
      <c r="N1393" s="66">
        <f>SUM(Prog_23[[#This Row],[TARA]]+Prog_23[[#This Row],[PESO]])</f>
        <v>0</v>
      </c>
      <c r="O1393" s="44"/>
      <c r="P1393" s="66"/>
      <c r="Q1393" s="66"/>
      <c r="R1393" s="66"/>
      <c r="S1393" s="66"/>
      <c r="T1393" s="138" t="str">
        <f>IFERROR(LOOKUP($S1393,MOTORISTAS!$D$3:$D$916,MOTORISTAS!E$3:$E$916),"")</f>
        <v/>
      </c>
      <c r="U1393" s="138" t="str">
        <f>IFERROR(LOOKUP($S1393,MOTORISTAS!$D$3:$D$916,MOTORISTAS!F$3:$F$916),"")</f>
        <v/>
      </c>
      <c r="V1393" s="66"/>
      <c r="W1393" s="66"/>
      <c r="X1393" s="66"/>
      <c r="Y1393" s="66"/>
      <c r="Z1393" s="66"/>
      <c r="AA1393" s="66"/>
      <c r="AB1393" s="66"/>
      <c r="AC1393" s="66"/>
      <c r="AD1393" s="66"/>
      <c r="AE1393" s="66"/>
      <c r="AF1393" s="44"/>
      <c r="AG1393" s="254">
        <f>Prog_23[[#This Row],[SAÍDA DO CLIENTE]]-Prog_23[[#This Row],[PROGRAMAÇÃO CLIENTE]]</f>
        <v>0</v>
      </c>
      <c r="AH1393" s="44"/>
      <c r="AI1393" s="66"/>
      <c r="AJ1393" s="66"/>
      <c r="AK1393" s="66"/>
      <c r="AL1393" s="66"/>
      <c r="AM1393" s="66"/>
      <c r="AN1393" s="83"/>
      <c r="AO1393" s="83"/>
      <c r="AP1393" s="83"/>
      <c r="AQ1393" s="66"/>
      <c r="AR1393" s="66"/>
      <c r="AS1393" s="66"/>
      <c r="AT1393" s="81"/>
      <c r="AU1393" s="81"/>
      <c r="AV1393" s="81"/>
      <c r="AW1393" s="81"/>
      <c r="AX1393" s="83">
        <f>SUM(Prog_23[[#This Row],[ADIANTAMENTO]]+Prog_23[[#This Row],[SALDO]]+Prog_23[[#This Row],[MARGEM]]+Prog_23[[#This Row],[ESTADIA 1]])</f>
        <v>0</v>
      </c>
      <c r="AY13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3" s="81"/>
      <c r="BA1393" s="81"/>
      <c r="BB1393" s="81">
        <f>Prog_23[[#This Row],[VLR NF]]*0.1%</f>
        <v>0</v>
      </c>
      <c r="BC1393" s="81">
        <f>Prog_23[[#This Row],[VLR NF]]*0.05%</f>
        <v>0</v>
      </c>
      <c r="BD1393" s="81"/>
      <c r="BE1393" s="81"/>
      <c r="BF1393" s="81"/>
      <c r="BG1393" s="81"/>
      <c r="BH1393" s="81"/>
      <c r="BI1393" s="81"/>
      <c r="BJ1393" s="81"/>
      <c r="BK1393" s="81"/>
      <c r="BL1393" s="81"/>
      <c r="BM1393" s="81"/>
      <c r="BN1393" s="66"/>
      <c r="BO1393" s="66"/>
      <c r="BP1393" s="66"/>
      <c r="BQ1393" s="66" t="str">
        <f>PROPER(TEXT(Prog_23[[#This Row],[PROGRAMAÇÃO CLIENTE]],"mmm"))</f>
        <v>Jan</v>
      </c>
      <c r="BR1393" s="66">
        <f>YEAR(Prog_23[[#This Row],[PROGRAMAÇÃO CLIENTE]])</f>
        <v>1900</v>
      </c>
    </row>
    <row r="1394" spans="1:70" x14ac:dyDescent="0.25">
      <c r="A1394" s="201">
        <f>Prog_23[[#This Row],[CONTEINER]]</f>
        <v>0</v>
      </c>
      <c r="B1394" s="86"/>
      <c r="C13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94" s="44"/>
      <c r="E1394" s="66"/>
      <c r="F1394" s="66"/>
      <c r="G1394" s="66"/>
      <c r="H1394" s="44"/>
      <c r="I1394" s="44"/>
      <c r="J1394" s="66"/>
      <c r="K1394" s="66"/>
      <c r="L1394" s="66"/>
      <c r="M1394" s="66"/>
      <c r="N1394" s="66">
        <f>SUM(Prog_23[[#This Row],[TARA]]+Prog_23[[#This Row],[PESO]])</f>
        <v>0</v>
      </c>
      <c r="O1394" s="44"/>
      <c r="P1394" s="66"/>
      <c r="Q1394" s="66"/>
      <c r="R1394" s="66"/>
      <c r="S1394" s="66"/>
      <c r="T1394" s="138" t="str">
        <f>IFERROR(LOOKUP($S1394,MOTORISTAS!$D$3:$D$916,MOTORISTAS!E$3:$E$916),"")</f>
        <v/>
      </c>
      <c r="U1394" s="138" t="str">
        <f>IFERROR(LOOKUP($S1394,MOTORISTAS!$D$3:$D$916,MOTORISTAS!F$3:$F$916),"")</f>
        <v/>
      </c>
      <c r="V1394" s="66"/>
      <c r="W1394" s="66"/>
      <c r="X1394" s="66"/>
      <c r="Y1394" s="66"/>
      <c r="Z1394" s="66"/>
      <c r="AA1394" s="66"/>
      <c r="AB1394" s="66"/>
      <c r="AC1394" s="66"/>
      <c r="AD1394" s="66"/>
      <c r="AE1394" s="66"/>
      <c r="AF1394" s="44"/>
      <c r="AG1394" s="254">
        <f>Prog_23[[#This Row],[SAÍDA DO CLIENTE]]-Prog_23[[#This Row],[PROGRAMAÇÃO CLIENTE]]</f>
        <v>0</v>
      </c>
      <c r="AH1394" s="44"/>
      <c r="AI1394" s="66"/>
      <c r="AJ1394" s="66"/>
      <c r="AK1394" s="66"/>
      <c r="AL1394" s="66"/>
      <c r="AM1394" s="66"/>
      <c r="AN1394" s="83"/>
      <c r="AO1394" s="83"/>
      <c r="AP1394" s="83"/>
      <c r="AQ1394" s="66"/>
      <c r="AR1394" s="66"/>
      <c r="AS1394" s="66"/>
      <c r="AT1394" s="81"/>
      <c r="AU1394" s="81"/>
      <c r="AV1394" s="81"/>
      <c r="AW1394" s="81"/>
      <c r="AX1394" s="83">
        <f>SUM(Prog_23[[#This Row],[ADIANTAMENTO]]+Prog_23[[#This Row],[SALDO]]+Prog_23[[#This Row],[MARGEM]]+Prog_23[[#This Row],[ESTADIA 1]])</f>
        <v>0</v>
      </c>
      <c r="AY13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4" s="81"/>
      <c r="BA1394" s="81"/>
      <c r="BB1394" s="81">
        <f>Prog_23[[#This Row],[VLR NF]]*0.1%</f>
        <v>0</v>
      </c>
      <c r="BC1394" s="81">
        <f>Prog_23[[#This Row],[VLR NF]]*0.05%</f>
        <v>0</v>
      </c>
      <c r="BD1394" s="81"/>
      <c r="BE1394" s="81"/>
      <c r="BF1394" s="81"/>
      <c r="BG1394" s="81"/>
      <c r="BH1394" s="81"/>
      <c r="BI1394" s="81"/>
      <c r="BJ1394" s="81"/>
      <c r="BK1394" s="81"/>
      <c r="BL1394" s="81"/>
      <c r="BM1394" s="81"/>
      <c r="BN1394" s="66"/>
      <c r="BO1394" s="66"/>
      <c r="BP1394" s="66"/>
      <c r="BQ1394" s="66" t="str">
        <f>PROPER(TEXT(Prog_23[[#This Row],[PROGRAMAÇÃO CLIENTE]],"mmm"))</f>
        <v>Jan</v>
      </c>
      <c r="BR1394" s="66">
        <f>YEAR(Prog_23[[#This Row],[PROGRAMAÇÃO CLIENTE]])</f>
        <v>1900</v>
      </c>
    </row>
    <row r="1395" spans="1:70" x14ac:dyDescent="0.25">
      <c r="A1395" s="200">
        <f>Prog_23[[#This Row],[CONTEINER]]</f>
        <v>0</v>
      </c>
      <c r="B1395" s="86"/>
      <c r="C13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95" s="44"/>
      <c r="E1395" s="66"/>
      <c r="F1395" s="66"/>
      <c r="G1395" s="66"/>
      <c r="H1395" s="44"/>
      <c r="I1395" s="44"/>
      <c r="J1395" s="66"/>
      <c r="K1395" s="66"/>
      <c r="L1395" s="66"/>
      <c r="M1395" s="66"/>
      <c r="N1395" s="66">
        <f>SUM(Prog_23[[#This Row],[TARA]]+Prog_23[[#This Row],[PESO]])</f>
        <v>0</v>
      </c>
      <c r="O1395" s="44"/>
      <c r="P1395" s="66"/>
      <c r="Q1395" s="66"/>
      <c r="R1395" s="66"/>
      <c r="S1395" s="66"/>
      <c r="T1395" s="138" t="str">
        <f>IFERROR(LOOKUP($S1395,MOTORISTAS!$D$3:$D$916,MOTORISTAS!E$3:$E$916),"")</f>
        <v/>
      </c>
      <c r="U1395" s="138" t="str">
        <f>IFERROR(LOOKUP($S1395,MOTORISTAS!$D$3:$D$916,MOTORISTAS!F$3:$F$916),"")</f>
        <v/>
      </c>
      <c r="V1395" s="66"/>
      <c r="W1395" s="66"/>
      <c r="X1395" s="66"/>
      <c r="Y1395" s="66"/>
      <c r="Z1395" s="66"/>
      <c r="AA1395" s="66"/>
      <c r="AB1395" s="66"/>
      <c r="AC1395" s="66"/>
      <c r="AD1395" s="66"/>
      <c r="AE1395" s="66"/>
      <c r="AF1395" s="44"/>
      <c r="AG1395" s="254">
        <f>Prog_23[[#This Row],[SAÍDA DO CLIENTE]]-Prog_23[[#This Row],[PROGRAMAÇÃO CLIENTE]]</f>
        <v>0</v>
      </c>
      <c r="AH1395" s="44"/>
      <c r="AI1395" s="66"/>
      <c r="AJ1395" s="66"/>
      <c r="AK1395" s="66"/>
      <c r="AL1395" s="66"/>
      <c r="AM1395" s="66"/>
      <c r="AN1395" s="83"/>
      <c r="AO1395" s="83"/>
      <c r="AP1395" s="83"/>
      <c r="AQ1395" s="66"/>
      <c r="AR1395" s="66"/>
      <c r="AS1395" s="66"/>
      <c r="AT1395" s="81"/>
      <c r="AU1395" s="81"/>
      <c r="AV1395" s="81"/>
      <c r="AW1395" s="81"/>
      <c r="AX1395" s="83">
        <f>SUM(Prog_23[[#This Row],[ADIANTAMENTO]]+Prog_23[[#This Row],[SALDO]]+Prog_23[[#This Row],[MARGEM]]+Prog_23[[#This Row],[ESTADIA 1]])</f>
        <v>0</v>
      </c>
      <c r="AY13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5" s="81"/>
      <c r="BA1395" s="81"/>
      <c r="BB1395" s="81">
        <f>Prog_23[[#This Row],[VLR NF]]*0.1%</f>
        <v>0</v>
      </c>
      <c r="BC1395" s="81">
        <f>Prog_23[[#This Row],[VLR NF]]*0.05%</f>
        <v>0</v>
      </c>
      <c r="BD1395" s="81"/>
      <c r="BE1395" s="81"/>
      <c r="BF1395" s="81"/>
      <c r="BG1395" s="81"/>
      <c r="BH1395" s="81"/>
      <c r="BI1395" s="81"/>
      <c r="BJ1395" s="81"/>
      <c r="BK1395" s="81"/>
      <c r="BL1395" s="81"/>
      <c r="BM1395" s="81"/>
      <c r="BN1395" s="66"/>
      <c r="BO1395" s="66"/>
      <c r="BP1395" s="66"/>
      <c r="BQ1395" s="66" t="str">
        <f>PROPER(TEXT(Prog_23[[#This Row],[PROGRAMAÇÃO CLIENTE]],"mmm"))</f>
        <v>Jan</v>
      </c>
      <c r="BR1395" s="66">
        <f>YEAR(Prog_23[[#This Row],[PROGRAMAÇÃO CLIENTE]])</f>
        <v>1900</v>
      </c>
    </row>
    <row r="1396" spans="1:70" x14ac:dyDescent="0.25">
      <c r="A1396" s="201">
        <f>Prog_23[[#This Row],[CONTEINER]]</f>
        <v>0</v>
      </c>
      <c r="B1396" s="86"/>
      <c r="C13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96" s="44"/>
      <c r="E1396" s="66"/>
      <c r="F1396" s="66"/>
      <c r="G1396" s="66"/>
      <c r="H1396" s="44"/>
      <c r="I1396" s="44"/>
      <c r="J1396" s="66"/>
      <c r="K1396" s="66"/>
      <c r="L1396" s="66"/>
      <c r="M1396" s="66"/>
      <c r="N1396" s="66">
        <f>SUM(Prog_23[[#This Row],[TARA]]+Prog_23[[#This Row],[PESO]])</f>
        <v>0</v>
      </c>
      <c r="O1396" s="44"/>
      <c r="P1396" s="66"/>
      <c r="Q1396" s="66"/>
      <c r="R1396" s="66"/>
      <c r="S1396" s="66"/>
      <c r="T1396" s="138" t="str">
        <f>IFERROR(LOOKUP($S1396,MOTORISTAS!$D$3:$D$916,MOTORISTAS!E$3:$E$916),"")</f>
        <v/>
      </c>
      <c r="U1396" s="138" t="str">
        <f>IFERROR(LOOKUP($S1396,MOTORISTAS!$D$3:$D$916,MOTORISTAS!F$3:$F$916),"")</f>
        <v/>
      </c>
      <c r="V1396" s="66"/>
      <c r="W1396" s="66"/>
      <c r="X1396" s="66"/>
      <c r="Y1396" s="66"/>
      <c r="Z1396" s="66"/>
      <c r="AA1396" s="66"/>
      <c r="AB1396" s="66"/>
      <c r="AC1396" s="66"/>
      <c r="AD1396" s="66"/>
      <c r="AE1396" s="66"/>
      <c r="AF1396" s="44"/>
      <c r="AG1396" s="254">
        <f>Prog_23[[#This Row],[SAÍDA DO CLIENTE]]-Prog_23[[#This Row],[PROGRAMAÇÃO CLIENTE]]</f>
        <v>0</v>
      </c>
      <c r="AH1396" s="44"/>
      <c r="AI1396" s="66"/>
      <c r="AJ1396" s="66"/>
      <c r="AK1396" s="66"/>
      <c r="AL1396" s="66"/>
      <c r="AM1396" s="66"/>
      <c r="AN1396" s="83"/>
      <c r="AO1396" s="83"/>
      <c r="AP1396" s="83"/>
      <c r="AQ1396" s="66"/>
      <c r="AR1396" s="66"/>
      <c r="AS1396" s="66"/>
      <c r="AT1396" s="81"/>
      <c r="AU1396" s="81"/>
      <c r="AV1396" s="81"/>
      <c r="AW1396" s="81"/>
      <c r="AX1396" s="83">
        <f>SUM(Prog_23[[#This Row],[ADIANTAMENTO]]+Prog_23[[#This Row],[SALDO]]+Prog_23[[#This Row],[MARGEM]]+Prog_23[[#This Row],[ESTADIA 1]])</f>
        <v>0</v>
      </c>
      <c r="AY13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6" s="81"/>
      <c r="BA1396" s="81"/>
      <c r="BB1396" s="81">
        <f>Prog_23[[#This Row],[VLR NF]]*0.1%</f>
        <v>0</v>
      </c>
      <c r="BC1396" s="81">
        <f>Prog_23[[#This Row],[VLR NF]]*0.05%</f>
        <v>0</v>
      </c>
      <c r="BD1396" s="81"/>
      <c r="BE1396" s="81"/>
      <c r="BF1396" s="81"/>
      <c r="BG1396" s="81"/>
      <c r="BH1396" s="81"/>
      <c r="BI1396" s="81"/>
      <c r="BJ1396" s="81"/>
      <c r="BK1396" s="81"/>
      <c r="BL1396" s="81"/>
      <c r="BM1396" s="81"/>
      <c r="BN1396" s="66"/>
      <c r="BO1396" s="66"/>
      <c r="BP1396" s="66"/>
      <c r="BQ1396" s="66" t="str">
        <f>PROPER(TEXT(Prog_23[[#This Row],[PROGRAMAÇÃO CLIENTE]],"mmm"))</f>
        <v>Jan</v>
      </c>
      <c r="BR1396" s="66">
        <f>YEAR(Prog_23[[#This Row],[PROGRAMAÇÃO CLIENTE]])</f>
        <v>1900</v>
      </c>
    </row>
    <row r="1397" spans="1:70" x14ac:dyDescent="0.25">
      <c r="A1397" s="200">
        <f>Prog_23[[#This Row],[CONTEINER]]</f>
        <v>0</v>
      </c>
      <c r="B1397" s="86"/>
      <c r="C13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97" s="44"/>
      <c r="E1397" s="66"/>
      <c r="F1397" s="66"/>
      <c r="G1397" s="66"/>
      <c r="H1397" s="44"/>
      <c r="I1397" s="44"/>
      <c r="J1397" s="66"/>
      <c r="K1397" s="66"/>
      <c r="L1397" s="66"/>
      <c r="M1397" s="66"/>
      <c r="N1397" s="66">
        <f>SUM(Prog_23[[#This Row],[TARA]]+Prog_23[[#This Row],[PESO]])</f>
        <v>0</v>
      </c>
      <c r="O1397" s="44"/>
      <c r="P1397" s="66"/>
      <c r="Q1397" s="66"/>
      <c r="R1397" s="66"/>
      <c r="S1397" s="66"/>
      <c r="T1397" s="138" t="str">
        <f>IFERROR(LOOKUP($S1397,MOTORISTAS!$D$3:$D$916,MOTORISTAS!E$3:$E$916),"")</f>
        <v/>
      </c>
      <c r="U1397" s="138" t="str">
        <f>IFERROR(LOOKUP($S1397,MOTORISTAS!$D$3:$D$916,MOTORISTAS!F$3:$F$916),"")</f>
        <v/>
      </c>
      <c r="V1397" s="66"/>
      <c r="W1397" s="66"/>
      <c r="X1397" s="66"/>
      <c r="Y1397" s="66"/>
      <c r="Z1397" s="66"/>
      <c r="AA1397" s="66"/>
      <c r="AB1397" s="66"/>
      <c r="AC1397" s="66"/>
      <c r="AD1397" s="66"/>
      <c r="AE1397" s="66"/>
      <c r="AF1397" s="44"/>
      <c r="AG1397" s="254">
        <f>Prog_23[[#This Row],[SAÍDA DO CLIENTE]]-Prog_23[[#This Row],[PROGRAMAÇÃO CLIENTE]]</f>
        <v>0</v>
      </c>
      <c r="AH1397" s="44"/>
      <c r="AI1397" s="66"/>
      <c r="AJ1397" s="66"/>
      <c r="AK1397" s="66"/>
      <c r="AL1397" s="66"/>
      <c r="AM1397" s="66"/>
      <c r="AN1397" s="83"/>
      <c r="AO1397" s="83"/>
      <c r="AP1397" s="83"/>
      <c r="AQ1397" s="66"/>
      <c r="AR1397" s="66"/>
      <c r="AS1397" s="66"/>
      <c r="AT1397" s="81"/>
      <c r="AU1397" s="81"/>
      <c r="AV1397" s="81"/>
      <c r="AW1397" s="81"/>
      <c r="AX1397" s="83">
        <f>SUM(Prog_23[[#This Row],[ADIANTAMENTO]]+Prog_23[[#This Row],[SALDO]]+Prog_23[[#This Row],[MARGEM]]+Prog_23[[#This Row],[ESTADIA 1]])</f>
        <v>0</v>
      </c>
      <c r="AY13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7" s="81"/>
      <c r="BA1397" s="81"/>
      <c r="BB1397" s="81">
        <f>Prog_23[[#This Row],[VLR NF]]*0.1%</f>
        <v>0</v>
      </c>
      <c r="BC1397" s="81">
        <f>Prog_23[[#This Row],[VLR NF]]*0.05%</f>
        <v>0</v>
      </c>
      <c r="BD1397" s="81"/>
      <c r="BE1397" s="81"/>
      <c r="BF1397" s="81"/>
      <c r="BG1397" s="81"/>
      <c r="BH1397" s="81"/>
      <c r="BI1397" s="81"/>
      <c r="BJ1397" s="81"/>
      <c r="BK1397" s="81"/>
      <c r="BL1397" s="81"/>
      <c r="BM1397" s="81"/>
      <c r="BN1397" s="66"/>
      <c r="BO1397" s="66"/>
      <c r="BP1397" s="66"/>
      <c r="BQ1397" s="66" t="str">
        <f>PROPER(TEXT(Prog_23[[#This Row],[PROGRAMAÇÃO CLIENTE]],"mmm"))</f>
        <v>Jan</v>
      </c>
      <c r="BR1397" s="66">
        <f>YEAR(Prog_23[[#This Row],[PROGRAMAÇÃO CLIENTE]])</f>
        <v>1900</v>
      </c>
    </row>
    <row r="1398" spans="1:70" x14ac:dyDescent="0.25">
      <c r="A1398" s="201">
        <f>Prog_23[[#This Row],[CONTEINER]]</f>
        <v>0</v>
      </c>
      <c r="B1398" s="86"/>
      <c r="C13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98" s="44"/>
      <c r="E1398" s="66"/>
      <c r="F1398" s="66"/>
      <c r="G1398" s="66"/>
      <c r="H1398" s="44"/>
      <c r="I1398" s="44"/>
      <c r="J1398" s="66"/>
      <c r="K1398" s="66"/>
      <c r="L1398" s="66"/>
      <c r="M1398" s="66"/>
      <c r="N1398" s="66">
        <f>SUM(Prog_23[[#This Row],[TARA]]+Prog_23[[#This Row],[PESO]])</f>
        <v>0</v>
      </c>
      <c r="O1398" s="44"/>
      <c r="P1398" s="66"/>
      <c r="Q1398" s="66"/>
      <c r="R1398" s="66"/>
      <c r="S1398" s="66"/>
      <c r="T1398" s="138" t="str">
        <f>IFERROR(LOOKUP($S1398,MOTORISTAS!$D$3:$D$916,MOTORISTAS!E$3:$E$916),"")</f>
        <v/>
      </c>
      <c r="U1398" s="138" t="str">
        <f>IFERROR(LOOKUP($S1398,MOTORISTAS!$D$3:$D$916,MOTORISTAS!F$3:$F$916),"")</f>
        <v/>
      </c>
      <c r="V1398" s="66"/>
      <c r="W1398" s="66"/>
      <c r="X1398" s="66"/>
      <c r="Y1398" s="66"/>
      <c r="Z1398" s="66"/>
      <c r="AA1398" s="66"/>
      <c r="AB1398" s="66"/>
      <c r="AC1398" s="66"/>
      <c r="AD1398" s="66"/>
      <c r="AE1398" s="66"/>
      <c r="AF1398" s="44"/>
      <c r="AG1398" s="254">
        <f>Prog_23[[#This Row],[SAÍDA DO CLIENTE]]-Prog_23[[#This Row],[PROGRAMAÇÃO CLIENTE]]</f>
        <v>0</v>
      </c>
      <c r="AH1398" s="44"/>
      <c r="AI1398" s="66"/>
      <c r="AJ1398" s="66"/>
      <c r="AK1398" s="66"/>
      <c r="AL1398" s="66"/>
      <c r="AM1398" s="66"/>
      <c r="AN1398" s="83"/>
      <c r="AO1398" s="83"/>
      <c r="AP1398" s="83"/>
      <c r="AQ1398" s="66"/>
      <c r="AR1398" s="66"/>
      <c r="AS1398" s="66"/>
      <c r="AT1398" s="81"/>
      <c r="AU1398" s="81"/>
      <c r="AV1398" s="81"/>
      <c r="AW1398" s="81"/>
      <c r="AX1398" s="83">
        <f>SUM(Prog_23[[#This Row],[ADIANTAMENTO]]+Prog_23[[#This Row],[SALDO]]+Prog_23[[#This Row],[MARGEM]]+Prog_23[[#This Row],[ESTADIA 1]])</f>
        <v>0</v>
      </c>
      <c r="AY13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8" s="81"/>
      <c r="BA1398" s="81"/>
      <c r="BB1398" s="81">
        <f>Prog_23[[#This Row],[VLR NF]]*0.1%</f>
        <v>0</v>
      </c>
      <c r="BC1398" s="81">
        <f>Prog_23[[#This Row],[VLR NF]]*0.05%</f>
        <v>0</v>
      </c>
      <c r="BD1398" s="81"/>
      <c r="BE1398" s="81"/>
      <c r="BF1398" s="81"/>
      <c r="BG1398" s="81"/>
      <c r="BH1398" s="81"/>
      <c r="BI1398" s="81"/>
      <c r="BJ1398" s="81"/>
      <c r="BK1398" s="81"/>
      <c r="BL1398" s="81"/>
      <c r="BM1398" s="81"/>
      <c r="BN1398" s="66"/>
      <c r="BO1398" s="66"/>
      <c r="BP1398" s="66"/>
      <c r="BQ1398" s="66" t="str">
        <f>PROPER(TEXT(Prog_23[[#This Row],[PROGRAMAÇÃO CLIENTE]],"mmm"))</f>
        <v>Jan</v>
      </c>
      <c r="BR1398" s="66">
        <f>YEAR(Prog_23[[#This Row],[PROGRAMAÇÃO CLIENTE]])</f>
        <v>1900</v>
      </c>
    </row>
    <row r="1399" spans="1:70" x14ac:dyDescent="0.25">
      <c r="A1399" s="200">
        <f>Prog_23[[#This Row],[CONTEINER]]</f>
        <v>0</v>
      </c>
      <c r="B1399" s="86"/>
      <c r="C13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399" s="44"/>
      <c r="E1399" s="66"/>
      <c r="F1399" s="66"/>
      <c r="G1399" s="66"/>
      <c r="H1399" s="44"/>
      <c r="I1399" s="44"/>
      <c r="J1399" s="66"/>
      <c r="K1399" s="66"/>
      <c r="L1399" s="66"/>
      <c r="M1399" s="66"/>
      <c r="N1399" s="66">
        <f>SUM(Prog_23[[#This Row],[TARA]]+Prog_23[[#This Row],[PESO]])</f>
        <v>0</v>
      </c>
      <c r="O1399" s="44"/>
      <c r="P1399" s="66"/>
      <c r="Q1399" s="66"/>
      <c r="R1399" s="66"/>
      <c r="S1399" s="66"/>
      <c r="T1399" s="138" t="str">
        <f>IFERROR(LOOKUP($S1399,MOTORISTAS!$D$3:$D$916,MOTORISTAS!E$3:$E$916),"")</f>
        <v/>
      </c>
      <c r="U1399" s="138" t="str">
        <f>IFERROR(LOOKUP($S1399,MOTORISTAS!$D$3:$D$916,MOTORISTAS!F$3:$F$916),"")</f>
        <v/>
      </c>
      <c r="V1399" s="66"/>
      <c r="W1399" s="66"/>
      <c r="X1399" s="66"/>
      <c r="Y1399" s="66"/>
      <c r="Z1399" s="66"/>
      <c r="AA1399" s="66"/>
      <c r="AB1399" s="66"/>
      <c r="AC1399" s="66"/>
      <c r="AD1399" s="66"/>
      <c r="AE1399" s="66"/>
      <c r="AF1399" s="44"/>
      <c r="AG1399" s="254">
        <f>Prog_23[[#This Row],[SAÍDA DO CLIENTE]]-Prog_23[[#This Row],[PROGRAMAÇÃO CLIENTE]]</f>
        <v>0</v>
      </c>
      <c r="AH1399" s="44"/>
      <c r="AI1399" s="66"/>
      <c r="AJ1399" s="66"/>
      <c r="AK1399" s="66"/>
      <c r="AL1399" s="66"/>
      <c r="AM1399" s="66"/>
      <c r="AN1399" s="83"/>
      <c r="AO1399" s="83"/>
      <c r="AP1399" s="83"/>
      <c r="AQ1399" s="66"/>
      <c r="AR1399" s="66"/>
      <c r="AS1399" s="66"/>
      <c r="AT1399" s="81"/>
      <c r="AU1399" s="81"/>
      <c r="AV1399" s="81"/>
      <c r="AW1399" s="81"/>
      <c r="AX1399" s="83">
        <f>SUM(Prog_23[[#This Row],[ADIANTAMENTO]]+Prog_23[[#This Row],[SALDO]]+Prog_23[[#This Row],[MARGEM]]+Prog_23[[#This Row],[ESTADIA 1]])</f>
        <v>0</v>
      </c>
      <c r="AY13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399" s="81"/>
      <c r="BA1399" s="81"/>
      <c r="BB1399" s="81">
        <f>Prog_23[[#This Row],[VLR NF]]*0.1%</f>
        <v>0</v>
      </c>
      <c r="BC1399" s="81">
        <f>Prog_23[[#This Row],[VLR NF]]*0.05%</f>
        <v>0</v>
      </c>
      <c r="BD1399" s="81"/>
      <c r="BE1399" s="81"/>
      <c r="BF1399" s="81"/>
      <c r="BG1399" s="81"/>
      <c r="BH1399" s="81"/>
      <c r="BI1399" s="81"/>
      <c r="BJ1399" s="81"/>
      <c r="BK1399" s="81"/>
      <c r="BL1399" s="81"/>
      <c r="BM1399" s="81"/>
      <c r="BN1399" s="66"/>
      <c r="BO1399" s="66"/>
      <c r="BP1399" s="66"/>
      <c r="BQ1399" s="66" t="str">
        <f>PROPER(TEXT(Prog_23[[#This Row],[PROGRAMAÇÃO CLIENTE]],"mmm"))</f>
        <v>Jan</v>
      </c>
      <c r="BR1399" s="66">
        <f>YEAR(Prog_23[[#This Row],[PROGRAMAÇÃO CLIENTE]])</f>
        <v>1900</v>
      </c>
    </row>
    <row r="1400" spans="1:70" x14ac:dyDescent="0.25">
      <c r="A1400" s="201">
        <f>Prog_23[[#This Row],[CONTEINER]]</f>
        <v>0</v>
      </c>
      <c r="B1400" s="86"/>
      <c r="C14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00" s="44"/>
      <c r="E1400" s="66"/>
      <c r="F1400" s="66"/>
      <c r="G1400" s="66"/>
      <c r="H1400" s="44"/>
      <c r="I1400" s="44"/>
      <c r="J1400" s="66"/>
      <c r="K1400" s="66"/>
      <c r="L1400" s="66"/>
      <c r="M1400" s="66"/>
      <c r="N1400" s="66">
        <f>SUM(Prog_23[[#This Row],[TARA]]+Prog_23[[#This Row],[PESO]])</f>
        <v>0</v>
      </c>
      <c r="O1400" s="44"/>
      <c r="P1400" s="66"/>
      <c r="Q1400" s="66"/>
      <c r="R1400" s="66"/>
      <c r="S1400" s="66"/>
      <c r="T1400" s="138" t="str">
        <f>IFERROR(LOOKUP($S1400,MOTORISTAS!$D$3:$D$916,MOTORISTAS!E$3:$E$916),"")</f>
        <v/>
      </c>
      <c r="U1400" s="138" t="str">
        <f>IFERROR(LOOKUP($S1400,MOTORISTAS!$D$3:$D$916,MOTORISTAS!F$3:$F$916),"")</f>
        <v/>
      </c>
      <c r="V1400" s="66"/>
      <c r="W1400" s="66"/>
      <c r="X1400" s="66"/>
      <c r="Y1400" s="66"/>
      <c r="Z1400" s="66"/>
      <c r="AA1400" s="66"/>
      <c r="AB1400" s="66"/>
      <c r="AC1400" s="66"/>
      <c r="AD1400" s="66"/>
      <c r="AE1400" s="66"/>
      <c r="AF1400" s="44"/>
      <c r="AG1400" s="254">
        <f>Prog_23[[#This Row],[SAÍDA DO CLIENTE]]-Prog_23[[#This Row],[PROGRAMAÇÃO CLIENTE]]</f>
        <v>0</v>
      </c>
      <c r="AH1400" s="44"/>
      <c r="AI1400" s="66"/>
      <c r="AJ1400" s="66"/>
      <c r="AK1400" s="66"/>
      <c r="AL1400" s="66"/>
      <c r="AM1400" s="66"/>
      <c r="AN1400" s="83"/>
      <c r="AO1400" s="83"/>
      <c r="AP1400" s="83"/>
      <c r="AQ1400" s="66"/>
      <c r="AR1400" s="66"/>
      <c r="AS1400" s="66"/>
      <c r="AT1400" s="81"/>
      <c r="AU1400" s="81"/>
      <c r="AV1400" s="81"/>
      <c r="AW1400" s="81"/>
      <c r="AX1400" s="83">
        <f>SUM(Prog_23[[#This Row],[ADIANTAMENTO]]+Prog_23[[#This Row],[SALDO]]+Prog_23[[#This Row],[MARGEM]]+Prog_23[[#This Row],[ESTADIA 1]])</f>
        <v>0</v>
      </c>
      <c r="AY14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0" s="81"/>
      <c r="BA1400" s="81"/>
      <c r="BB1400" s="81">
        <f>Prog_23[[#This Row],[VLR NF]]*0.1%</f>
        <v>0</v>
      </c>
      <c r="BC1400" s="81">
        <f>Prog_23[[#This Row],[VLR NF]]*0.05%</f>
        <v>0</v>
      </c>
      <c r="BD1400" s="81"/>
      <c r="BE1400" s="81"/>
      <c r="BF1400" s="81"/>
      <c r="BG1400" s="81"/>
      <c r="BH1400" s="81"/>
      <c r="BI1400" s="81"/>
      <c r="BJ1400" s="81"/>
      <c r="BK1400" s="81"/>
      <c r="BL1400" s="81"/>
      <c r="BM1400" s="81"/>
      <c r="BN1400" s="66"/>
      <c r="BO1400" s="66"/>
      <c r="BP1400" s="66"/>
      <c r="BQ1400" s="66" t="str">
        <f>PROPER(TEXT(Prog_23[[#This Row],[PROGRAMAÇÃO CLIENTE]],"mmm"))</f>
        <v>Jan</v>
      </c>
      <c r="BR1400" s="66">
        <f>YEAR(Prog_23[[#This Row],[PROGRAMAÇÃO CLIENTE]])</f>
        <v>1900</v>
      </c>
    </row>
    <row r="1401" spans="1:70" x14ac:dyDescent="0.25">
      <c r="A1401" s="200">
        <f>Prog_23[[#This Row],[CONTEINER]]</f>
        <v>0</v>
      </c>
      <c r="B1401" s="86"/>
      <c r="C14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01" s="44"/>
      <c r="E1401" s="66"/>
      <c r="F1401" s="66"/>
      <c r="G1401" s="66"/>
      <c r="H1401" s="44"/>
      <c r="I1401" s="44"/>
      <c r="J1401" s="66"/>
      <c r="K1401" s="66"/>
      <c r="L1401" s="66"/>
      <c r="M1401" s="66"/>
      <c r="N1401" s="66">
        <f>SUM(Prog_23[[#This Row],[TARA]]+Prog_23[[#This Row],[PESO]])</f>
        <v>0</v>
      </c>
      <c r="O1401" s="44"/>
      <c r="P1401" s="66"/>
      <c r="Q1401" s="66"/>
      <c r="R1401" s="66"/>
      <c r="S1401" s="66"/>
      <c r="T1401" s="138" t="str">
        <f>IFERROR(LOOKUP($S1401,MOTORISTAS!$D$3:$D$916,MOTORISTAS!E$3:$E$916),"")</f>
        <v/>
      </c>
      <c r="U1401" s="138" t="str">
        <f>IFERROR(LOOKUP($S1401,MOTORISTAS!$D$3:$D$916,MOTORISTAS!F$3:$F$916),"")</f>
        <v/>
      </c>
      <c r="V1401" s="66"/>
      <c r="W1401" s="66"/>
      <c r="X1401" s="66"/>
      <c r="Y1401" s="66"/>
      <c r="Z1401" s="66"/>
      <c r="AA1401" s="66"/>
      <c r="AB1401" s="66"/>
      <c r="AC1401" s="66"/>
      <c r="AD1401" s="66"/>
      <c r="AE1401" s="66"/>
      <c r="AF1401" s="44"/>
      <c r="AG1401" s="254">
        <f>Prog_23[[#This Row],[SAÍDA DO CLIENTE]]-Prog_23[[#This Row],[PROGRAMAÇÃO CLIENTE]]</f>
        <v>0</v>
      </c>
      <c r="AH1401" s="44"/>
      <c r="AI1401" s="66"/>
      <c r="AJ1401" s="66"/>
      <c r="AK1401" s="66"/>
      <c r="AL1401" s="66"/>
      <c r="AM1401" s="66"/>
      <c r="AN1401" s="83"/>
      <c r="AO1401" s="83"/>
      <c r="AP1401" s="83"/>
      <c r="AQ1401" s="66"/>
      <c r="AR1401" s="66"/>
      <c r="AS1401" s="66"/>
      <c r="AT1401" s="81"/>
      <c r="AU1401" s="81"/>
      <c r="AV1401" s="81"/>
      <c r="AW1401" s="81"/>
      <c r="AX1401" s="83">
        <f>SUM(Prog_23[[#This Row],[ADIANTAMENTO]]+Prog_23[[#This Row],[SALDO]]+Prog_23[[#This Row],[MARGEM]]+Prog_23[[#This Row],[ESTADIA 1]])</f>
        <v>0</v>
      </c>
      <c r="AY14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1" s="81"/>
      <c r="BA1401" s="81"/>
      <c r="BB1401" s="81">
        <f>Prog_23[[#This Row],[VLR NF]]*0.1%</f>
        <v>0</v>
      </c>
      <c r="BC1401" s="81">
        <f>Prog_23[[#This Row],[VLR NF]]*0.05%</f>
        <v>0</v>
      </c>
      <c r="BD1401" s="81"/>
      <c r="BE1401" s="81"/>
      <c r="BF1401" s="81"/>
      <c r="BG1401" s="81"/>
      <c r="BH1401" s="81"/>
      <c r="BI1401" s="81"/>
      <c r="BJ1401" s="81"/>
      <c r="BK1401" s="81"/>
      <c r="BL1401" s="81"/>
      <c r="BM1401" s="81"/>
      <c r="BN1401" s="66"/>
      <c r="BO1401" s="66"/>
      <c r="BP1401" s="66"/>
      <c r="BQ1401" s="66" t="str">
        <f>PROPER(TEXT(Prog_23[[#This Row],[PROGRAMAÇÃO CLIENTE]],"mmm"))</f>
        <v>Jan</v>
      </c>
      <c r="BR1401" s="66">
        <f>YEAR(Prog_23[[#This Row],[PROGRAMAÇÃO CLIENTE]])</f>
        <v>1900</v>
      </c>
    </row>
    <row r="1402" spans="1:70" x14ac:dyDescent="0.25">
      <c r="A1402" s="201">
        <f>Prog_23[[#This Row],[CONTEINER]]</f>
        <v>0</v>
      </c>
      <c r="B1402" s="86"/>
      <c r="C14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02" s="44"/>
      <c r="E1402" s="66"/>
      <c r="F1402" s="66"/>
      <c r="G1402" s="66"/>
      <c r="H1402" s="44"/>
      <c r="I1402" s="44"/>
      <c r="J1402" s="66"/>
      <c r="K1402" s="66"/>
      <c r="L1402" s="66"/>
      <c r="M1402" s="66"/>
      <c r="N1402" s="66">
        <f>SUM(Prog_23[[#This Row],[TARA]]+Prog_23[[#This Row],[PESO]])</f>
        <v>0</v>
      </c>
      <c r="O1402" s="44"/>
      <c r="P1402" s="66"/>
      <c r="Q1402" s="66"/>
      <c r="R1402" s="66"/>
      <c r="S1402" s="66"/>
      <c r="T1402" s="138" t="str">
        <f>IFERROR(LOOKUP($S1402,MOTORISTAS!$D$3:$D$916,MOTORISTAS!E$3:$E$916),"")</f>
        <v/>
      </c>
      <c r="U1402" s="138" t="str">
        <f>IFERROR(LOOKUP($S1402,MOTORISTAS!$D$3:$D$916,MOTORISTAS!F$3:$F$916),"")</f>
        <v/>
      </c>
      <c r="V1402" s="66"/>
      <c r="W1402" s="66"/>
      <c r="X1402" s="66"/>
      <c r="Y1402" s="66"/>
      <c r="Z1402" s="66"/>
      <c r="AA1402" s="66"/>
      <c r="AB1402" s="66"/>
      <c r="AC1402" s="66"/>
      <c r="AD1402" s="66"/>
      <c r="AE1402" s="66"/>
      <c r="AF1402" s="44"/>
      <c r="AG1402" s="254">
        <f>Prog_23[[#This Row],[SAÍDA DO CLIENTE]]-Prog_23[[#This Row],[PROGRAMAÇÃO CLIENTE]]</f>
        <v>0</v>
      </c>
      <c r="AH1402" s="44"/>
      <c r="AI1402" s="66"/>
      <c r="AJ1402" s="66"/>
      <c r="AK1402" s="66"/>
      <c r="AL1402" s="66"/>
      <c r="AM1402" s="66"/>
      <c r="AN1402" s="83"/>
      <c r="AO1402" s="83"/>
      <c r="AP1402" s="83"/>
      <c r="AQ1402" s="66"/>
      <c r="AR1402" s="66"/>
      <c r="AS1402" s="66"/>
      <c r="AT1402" s="81"/>
      <c r="AU1402" s="81"/>
      <c r="AV1402" s="81"/>
      <c r="AW1402" s="81"/>
      <c r="AX1402" s="83">
        <f>SUM(Prog_23[[#This Row],[ADIANTAMENTO]]+Prog_23[[#This Row],[SALDO]]+Prog_23[[#This Row],[MARGEM]]+Prog_23[[#This Row],[ESTADIA 1]])</f>
        <v>0</v>
      </c>
      <c r="AY14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2" s="81"/>
      <c r="BA1402" s="81"/>
      <c r="BB1402" s="81">
        <f>Prog_23[[#This Row],[VLR NF]]*0.1%</f>
        <v>0</v>
      </c>
      <c r="BC1402" s="81">
        <f>Prog_23[[#This Row],[VLR NF]]*0.05%</f>
        <v>0</v>
      </c>
      <c r="BD1402" s="81"/>
      <c r="BE1402" s="81"/>
      <c r="BF1402" s="81"/>
      <c r="BG1402" s="81"/>
      <c r="BH1402" s="81"/>
      <c r="BI1402" s="81"/>
      <c r="BJ1402" s="81"/>
      <c r="BK1402" s="81"/>
      <c r="BL1402" s="81"/>
      <c r="BM1402" s="81"/>
      <c r="BN1402" s="66"/>
      <c r="BO1402" s="66"/>
      <c r="BP1402" s="66"/>
      <c r="BQ1402" s="66" t="str">
        <f>PROPER(TEXT(Prog_23[[#This Row],[PROGRAMAÇÃO CLIENTE]],"mmm"))</f>
        <v>Jan</v>
      </c>
      <c r="BR1402" s="66">
        <f>YEAR(Prog_23[[#This Row],[PROGRAMAÇÃO CLIENTE]])</f>
        <v>1900</v>
      </c>
    </row>
    <row r="1403" spans="1:70" x14ac:dyDescent="0.25">
      <c r="A1403" s="200">
        <f>Prog_23[[#This Row],[CONTEINER]]</f>
        <v>0</v>
      </c>
      <c r="B1403" s="86"/>
      <c r="C14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03" s="44"/>
      <c r="E1403" s="66"/>
      <c r="F1403" s="66"/>
      <c r="G1403" s="66"/>
      <c r="H1403" s="44"/>
      <c r="I1403" s="44"/>
      <c r="J1403" s="66"/>
      <c r="K1403" s="66"/>
      <c r="L1403" s="66"/>
      <c r="M1403" s="66"/>
      <c r="N1403" s="66">
        <f>SUM(Prog_23[[#This Row],[TARA]]+Prog_23[[#This Row],[PESO]])</f>
        <v>0</v>
      </c>
      <c r="O1403" s="44"/>
      <c r="P1403" s="66"/>
      <c r="Q1403" s="66"/>
      <c r="R1403" s="66"/>
      <c r="S1403" s="66"/>
      <c r="T1403" s="138" t="str">
        <f>IFERROR(LOOKUP($S1403,MOTORISTAS!$D$3:$D$916,MOTORISTAS!E$3:$E$916),"")</f>
        <v/>
      </c>
      <c r="U1403" s="138" t="str">
        <f>IFERROR(LOOKUP($S1403,MOTORISTAS!$D$3:$D$916,MOTORISTAS!F$3:$F$916),"")</f>
        <v/>
      </c>
      <c r="V1403" s="66"/>
      <c r="W1403" s="66"/>
      <c r="X1403" s="66"/>
      <c r="Y1403" s="66"/>
      <c r="Z1403" s="66"/>
      <c r="AA1403" s="66"/>
      <c r="AB1403" s="66"/>
      <c r="AC1403" s="66"/>
      <c r="AD1403" s="66"/>
      <c r="AE1403" s="66"/>
      <c r="AF1403" s="44"/>
      <c r="AG1403" s="254">
        <f>Prog_23[[#This Row],[SAÍDA DO CLIENTE]]-Prog_23[[#This Row],[PROGRAMAÇÃO CLIENTE]]</f>
        <v>0</v>
      </c>
      <c r="AH1403" s="44"/>
      <c r="AI1403" s="66"/>
      <c r="AJ1403" s="66"/>
      <c r="AK1403" s="66"/>
      <c r="AL1403" s="66"/>
      <c r="AM1403" s="66"/>
      <c r="AN1403" s="83"/>
      <c r="AO1403" s="83"/>
      <c r="AP1403" s="83"/>
      <c r="AQ1403" s="66"/>
      <c r="AR1403" s="66"/>
      <c r="AS1403" s="66"/>
      <c r="AT1403" s="81"/>
      <c r="AU1403" s="81"/>
      <c r="AV1403" s="81"/>
      <c r="AW1403" s="81"/>
      <c r="AX1403" s="83">
        <f>SUM(Prog_23[[#This Row],[ADIANTAMENTO]]+Prog_23[[#This Row],[SALDO]]+Prog_23[[#This Row],[MARGEM]]+Prog_23[[#This Row],[ESTADIA 1]])</f>
        <v>0</v>
      </c>
      <c r="AY14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3" s="81"/>
      <c r="BA1403" s="81"/>
      <c r="BB1403" s="81">
        <f>Prog_23[[#This Row],[VLR NF]]*0.1%</f>
        <v>0</v>
      </c>
      <c r="BC1403" s="81">
        <f>Prog_23[[#This Row],[VLR NF]]*0.05%</f>
        <v>0</v>
      </c>
      <c r="BD1403" s="81"/>
      <c r="BE1403" s="81"/>
      <c r="BF1403" s="81"/>
      <c r="BG1403" s="81"/>
      <c r="BH1403" s="81"/>
      <c r="BI1403" s="81"/>
      <c r="BJ1403" s="81"/>
      <c r="BK1403" s="81"/>
      <c r="BL1403" s="81"/>
      <c r="BM1403" s="81"/>
      <c r="BN1403" s="66"/>
      <c r="BO1403" s="66"/>
      <c r="BP1403" s="66"/>
      <c r="BQ1403" s="66" t="str">
        <f>PROPER(TEXT(Prog_23[[#This Row],[PROGRAMAÇÃO CLIENTE]],"mmm"))</f>
        <v>Jan</v>
      </c>
      <c r="BR1403" s="66">
        <f>YEAR(Prog_23[[#This Row],[PROGRAMAÇÃO CLIENTE]])</f>
        <v>1900</v>
      </c>
    </row>
    <row r="1404" spans="1:70" x14ac:dyDescent="0.25">
      <c r="A1404" s="201">
        <f>Prog_23[[#This Row],[CONTEINER]]</f>
        <v>0</v>
      </c>
      <c r="B1404" s="86"/>
      <c r="C14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04" s="44"/>
      <c r="E1404" s="66"/>
      <c r="F1404" s="66"/>
      <c r="G1404" s="66"/>
      <c r="H1404" s="44"/>
      <c r="I1404" s="44"/>
      <c r="J1404" s="66"/>
      <c r="K1404" s="66"/>
      <c r="L1404" s="66"/>
      <c r="M1404" s="66"/>
      <c r="N1404" s="66">
        <f>SUM(Prog_23[[#This Row],[TARA]]+Prog_23[[#This Row],[PESO]])</f>
        <v>0</v>
      </c>
      <c r="O1404" s="44"/>
      <c r="P1404" s="66"/>
      <c r="Q1404" s="66"/>
      <c r="R1404" s="66"/>
      <c r="S1404" s="66"/>
      <c r="T1404" s="138" t="str">
        <f>IFERROR(LOOKUP($S1404,MOTORISTAS!$D$3:$D$916,MOTORISTAS!E$3:$E$916),"")</f>
        <v/>
      </c>
      <c r="U1404" s="138" t="str">
        <f>IFERROR(LOOKUP($S1404,MOTORISTAS!$D$3:$D$916,MOTORISTAS!F$3:$F$916),"")</f>
        <v/>
      </c>
      <c r="V1404" s="66"/>
      <c r="W1404" s="66"/>
      <c r="X1404" s="66"/>
      <c r="Y1404" s="66"/>
      <c r="Z1404" s="66"/>
      <c r="AA1404" s="66"/>
      <c r="AB1404" s="66"/>
      <c r="AC1404" s="66"/>
      <c r="AD1404" s="66"/>
      <c r="AE1404" s="66"/>
      <c r="AF1404" s="44"/>
      <c r="AG1404" s="254">
        <f>Prog_23[[#This Row],[SAÍDA DO CLIENTE]]-Prog_23[[#This Row],[PROGRAMAÇÃO CLIENTE]]</f>
        <v>0</v>
      </c>
      <c r="AH1404" s="44"/>
      <c r="AI1404" s="66"/>
      <c r="AJ1404" s="66"/>
      <c r="AK1404" s="66"/>
      <c r="AL1404" s="66"/>
      <c r="AM1404" s="66"/>
      <c r="AN1404" s="83"/>
      <c r="AO1404" s="83"/>
      <c r="AP1404" s="83"/>
      <c r="AQ1404" s="66"/>
      <c r="AR1404" s="66"/>
      <c r="AS1404" s="66"/>
      <c r="AT1404" s="81"/>
      <c r="AU1404" s="81"/>
      <c r="AV1404" s="81"/>
      <c r="AW1404" s="81"/>
      <c r="AX1404" s="83">
        <f>SUM(Prog_23[[#This Row],[ADIANTAMENTO]]+Prog_23[[#This Row],[SALDO]]+Prog_23[[#This Row],[MARGEM]]+Prog_23[[#This Row],[ESTADIA 1]])</f>
        <v>0</v>
      </c>
      <c r="AY14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4" s="81"/>
      <c r="BA1404" s="81"/>
      <c r="BB1404" s="81">
        <f>Prog_23[[#This Row],[VLR NF]]*0.1%</f>
        <v>0</v>
      </c>
      <c r="BC1404" s="81">
        <f>Prog_23[[#This Row],[VLR NF]]*0.05%</f>
        <v>0</v>
      </c>
      <c r="BD1404" s="81"/>
      <c r="BE1404" s="81"/>
      <c r="BF1404" s="81"/>
      <c r="BG1404" s="81"/>
      <c r="BH1404" s="81"/>
      <c r="BI1404" s="81"/>
      <c r="BJ1404" s="81"/>
      <c r="BK1404" s="81"/>
      <c r="BL1404" s="81"/>
      <c r="BM1404" s="81"/>
      <c r="BN1404" s="66"/>
      <c r="BO1404" s="66"/>
      <c r="BP1404" s="66"/>
      <c r="BQ1404" s="66" t="str">
        <f>PROPER(TEXT(Prog_23[[#This Row],[PROGRAMAÇÃO CLIENTE]],"mmm"))</f>
        <v>Jan</v>
      </c>
      <c r="BR1404" s="66">
        <f>YEAR(Prog_23[[#This Row],[PROGRAMAÇÃO CLIENTE]])</f>
        <v>1900</v>
      </c>
    </row>
    <row r="1405" spans="1:70" x14ac:dyDescent="0.25">
      <c r="A1405" s="200">
        <f>Prog_23[[#This Row],[CONTEINER]]</f>
        <v>0</v>
      </c>
      <c r="B1405" s="86"/>
      <c r="C14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05" s="44"/>
      <c r="E1405" s="66"/>
      <c r="F1405" s="66"/>
      <c r="G1405" s="66"/>
      <c r="H1405" s="44"/>
      <c r="I1405" s="44"/>
      <c r="J1405" s="66"/>
      <c r="K1405" s="66"/>
      <c r="L1405" s="66"/>
      <c r="M1405" s="66"/>
      <c r="N1405" s="66">
        <f>SUM(Prog_23[[#This Row],[TARA]]+Prog_23[[#This Row],[PESO]])</f>
        <v>0</v>
      </c>
      <c r="O1405" s="44"/>
      <c r="P1405" s="66"/>
      <c r="Q1405" s="66"/>
      <c r="R1405" s="66"/>
      <c r="S1405" s="66"/>
      <c r="T1405" s="138" t="str">
        <f>IFERROR(LOOKUP($S1405,MOTORISTAS!$D$3:$D$916,MOTORISTAS!E$3:$E$916),"")</f>
        <v/>
      </c>
      <c r="U1405" s="138" t="str">
        <f>IFERROR(LOOKUP($S1405,MOTORISTAS!$D$3:$D$916,MOTORISTAS!F$3:$F$916),"")</f>
        <v/>
      </c>
      <c r="V1405" s="66"/>
      <c r="W1405" s="66"/>
      <c r="X1405" s="66"/>
      <c r="Y1405" s="66"/>
      <c r="Z1405" s="66"/>
      <c r="AA1405" s="66"/>
      <c r="AB1405" s="66"/>
      <c r="AC1405" s="66"/>
      <c r="AD1405" s="66"/>
      <c r="AE1405" s="66"/>
      <c r="AF1405" s="44"/>
      <c r="AG1405" s="254">
        <f>Prog_23[[#This Row],[SAÍDA DO CLIENTE]]-Prog_23[[#This Row],[PROGRAMAÇÃO CLIENTE]]</f>
        <v>0</v>
      </c>
      <c r="AH1405" s="44"/>
      <c r="AI1405" s="66"/>
      <c r="AJ1405" s="66"/>
      <c r="AK1405" s="66"/>
      <c r="AL1405" s="66"/>
      <c r="AM1405" s="66"/>
      <c r="AN1405" s="83"/>
      <c r="AO1405" s="83"/>
      <c r="AP1405" s="83"/>
      <c r="AQ1405" s="66"/>
      <c r="AR1405" s="66"/>
      <c r="AS1405" s="66"/>
      <c r="AT1405" s="81"/>
      <c r="AU1405" s="81"/>
      <c r="AV1405" s="81"/>
      <c r="AW1405" s="81"/>
      <c r="AX1405" s="83">
        <f>SUM(Prog_23[[#This Row],[ADIANTAMENTO]]+Prog_23[[#This Row],[SALDO]]+Prog_23[[#This Row],[MARGEM]]+Prog_23[[#This Row],[ESTADIA 1]])</f>
        <v>0</v>
      </c>
      <c r="AY14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5" s="81"/>
      <c r="BA1405" s="81"/>
      <c r="BB1405" s="81">
        <f>Prog_23[[#This Row],[VLR NF]]*0.1%</f>
        <v>0</v>
      </c>
      <c r="BC1405" s="81">
        <f>Prog_23[[#This Row],[VLR NF]]*0.05%</f>
        <v>0</v>
      </c>
      <c r="BD1405" s="81"/>
      <c r="BE1405" s="81"/>
      <c r="BF1405" s="81"/>
      <c r="BG1405" s="81"/>
      <c r="BH1405" s="81"/>
      <c r="BI1405" s="81"/>
      <c r="BJ1405" s="81"/>
      <c r="BK1405" s="81"/>
      <c r="BL1405" s="81"/>
      <c r="BM1405" s="81"/>
      <c r="BN1405" s="66"/>
      <c r="BO1405" s="66"/>
      <c r="BP1405" s="66"/>
      <c r="BQ1405" s="66" t="str">
        <f>PROPER(TEXT(Prog_23[[#This Row],[PROGRAMAÇÃO CLIENTE]],"mmm"))</f>
        <v>Jan</v>
      </c>
      <c r="BR1405" s="66">
        <f>YEAR(Prog_23[[#This Row],[PROGRAMAÇÃO CLIENTE]])</f>
        <v>1900</v>
      </c>
    </row>
    <row r="1406" spans="1:70" x14ac:dyDescent="0.25">
      <c r="A1406" s="201">
        <f>Prog_23[[#This Row],[CONTEINER]]</f>
        <v>0</v>
      </c>
      <c r="B1406" s="86"/>
      <c r="C14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06" s="44"/>
      <c r="E1406" s="66"/>
      <c r="F1406" s="66"/>
      <c r="G1406" s="66"/>
      <c r="H1406" s="44"/>
      <c r="I1406" s="44"/>
      <c r="J1406" s="66"/>
      <c r="K1406" s="66"/>
      <c r="L1406" s="66"/>
      <c r="M1406" s="66"/>
      <c r="N1406" s="66">
        <f>SUM(Prog_23[[#This Row],[TARA]]+Prog_23[[#This Row],[PESO]])</f>
        <v>0</v>
      </c>
      <c r="O1406" s="44"/>
      <c r="P1406" s="66"/>
      <c r="Q1406" s="66"/>
      <c r="R1406" s="66"/>
      <c r="S1406" s="66"/>
      <c r="T1406" s="138" t="str">
        <f>IFERROR(LOOKUP($S1406,MOTORISTAS!$D$3:$D$916,MOTORISTAS!E$3:$E$916),"")</f>
        <v/>
      </c>
      <c r="U1406" s="138" t="str">
        <f>IFERROR(LOOKUP($S1406,MOTORISTAS!$D$3:$D$916,MOTORISTAS!F$3:$F$916),"")</f>
        <v/>
      </c>
      <c r="V1406" s="66"/>
      <c r="W1406" s="66"/>
      <c r="X1406" s="66"/>
      <c r="Y1406" s="66"/>
      <c r="Z1406" s="66"/>
      <c r="AA1406" s="66"/>
      <c r="AB1406" s="66"/>
      <c r="AC1406" s="66"/>
      <c r="AD1406" s="66"/>
      <c r="AE1406" s="66"/>
      <c r="AF1406" s="44"/>
      <c r="AG1406" s="254">
        <f>Prog_23[[#This Row],[SAÍDA DO CLIENTE]]-Prog_23[[#This Row],[PROGRAMAÇÃO CLIENTE]]</f>
        <v>0</v>
      </c>
      <c r="AH1406" s="44"/>
      <c r="AI1406" s="66"/>
      <c r="AJ1406" s="66"/>
      <c r="AK1406" s="66"/>
      <c r="AL1406" s="66"/>
      <c r="AM1406" s="66"/>
      <c r="AN1406" s="83"/>
      <c r="AO1406" s="83"/>
      <c r="AP1406" s="83"/>
      <c r="AQ1406" s="66"/>
      <c r="AR1406" s="66"/>
      <c r="AS1406" s="66"/>
      <c r="AT1406" s="81"/>
      <c r="AU1406" s="81"/>
      <c r="AV1406" s="81"/>
      <c r="AW1406" s="81"/>
      <c r="AX1406" s="83">
        <f>SUM(Prog_23[[#This Row],[ADIANTAMENTO]]+Prog_23[[#This Row],[SALDO]]+Prog_23[[#This Row],[MARGEM]]+Prog_23[[#This Row],[ESTADIA 1]])</f>
        <v>0</v>
      </c>
      <c r="AY14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6" s="81"/>
      <c r="BA1406" s="81"/>
      <c r="BB1406" s="81">
        <f>Prog_23[[#This Row],[VLR NF]]*0.1%</f>
        <v>0</v>
      </c>
      <c r="BC1406" s="81">
        <f>Prog_23[[#This Row],[VLR NF]]*0.05%</f>
        <v>0</v>
      </c>
      <c r="BD1406" s="81"/>
      <c r="BE1406" s="81"/>
      <c r="BF1406" s="81"/>
      <c r="BG1406" s="81"/>
      <c r="BH1406" s="81"/>
      <c r="BI1406" s="81"/>
      <c r="BJ1406" s="81"/>
      <c r="BK1406" s="81"/>
      <c r="BL1406" s="81"/>
      <c r="BM1406" s="81"/>
      <c r="BN1406" s="66"/>
      <c r="BO1406" s="66"/>
      <c r="BP1406" s="66"/>
      <c r="BQ1406" s="66" t="str">
        <f>PROPER(TEXT(Prog_23[[#This Row],[PROGRAMAÇÃO CLIENTE]],"mmm"))</f>
        <v>Jan</v>
      </c>
      <c r="BR1406" s="66">
        <f>YEAR(Prog_23[[#This Row],[PROGRAMAÇÃO CLIENTE]])</f>
        <v>1900</v>
      </c>
    </row>
    <row r="1407" spans="1:70" x14ac:dyDescent="0.25">
      <c r="A1407" s="200">
        <f>Prog_23[[#This Row],[CONTEINER]]</f>
        <v>0</v>
      </c>
      <c r="B1407" s="86"/>
      <c r="C14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07" s="44"/>
      <c r="E1407" s="66"/>
      <c r="F1407" s="66"/>
      <c r="G1407" s="66"/>
      <c r="H1407" s="44"/>
      <c r="I1407" s="44"/>
      <c r="J1407" s="66"/>
      <c r="K1407" s="66"/>
      <c r="L1407" s="66"/>
      <c r="M1407" s="66"/>
      <c r="N1407" s="66">
        <f>SUM(Prog_23[[#This Row],[TARA]]+Prog_23[[#This Row],[PESO]])</f>
        <v>0</v>
      </c>
      <c r="O1407" s="44"/>
      <c r="P1407" s="66"/>
      <c r="Q1407" s="66"/>
      <c r="R1407" s="66"/>
      <c r="S1407" s="66"/>
      <c r="T1407" s="138" t="str">
        <f>IFERROR(LOOKUP($S1407,MOTORISTAS!$D$3:$D$916,MOTORISTAS!E$3:$E$916),"")</f>
        <v/>
      </c>
      <c r="U1407" s="138" t="str">
        <f>IFERROR(LOOKUP($S1407,MOTORISTAS!$D$3:$D$916,MOTORISTAS!F$3:$F$916),"")</f>
        <v/>
      </c>
      <c r="V1407" s="66"/>
      <c r="W1407" s="66"/>
      <c r="X1407" s="66"/>
      <c r="Y1407" s="66"/>
      <c r="Z1407" s="66"/>
      <c r="AA1407" s="66"/>
      <c r="AB1407" s="66"/>
      <c r="AC1407" s="66"/>
      <c r="AD1407" s="66"/>
      <c r="AE1407" s="66"/>
      <c r="AF1407" s="44"/>
      <c r="AG1407" s="254">
        <f>Prog_23[[#This Row],[SAÍDA DO CLIENTE]]-Prog_23[[#This Row],[PROGRAMAÇÃO CLIENTE]]</f>
        <v>0</v>
      </c>
      <c r="AH1407" s="44"/>
      <c r="AI1407" s="66"/>
      <c r="AJ1407" s="66"/>
      <c r="AK1407" s="66"/>
      <c r="AL1407" s="66"/>
      <c r="AM1407" s="66"/>
      <c r="AN1407" s="83"/>
      <c r="AO1407" s="83"/>
      <c r="AP1407" s="83"/>
      <c r="AQ1407" s="66"/>
      <c r="AR1407" s="66"/>
      <c r="AS1407" s="66"/>
      <c r="AT1407" s="81"/>
      <c r="AU1407" s="81"/>
      <c r="AV1407" s="81"/>
      <c r="AW1407" s="81"/>
      <c r="AX1407" s="83">
        <f>SUM(Prog_23[[#This Row],[ADIANTAMENTO]]+Prog_23[[#This Row],[SALDO]]+Prog_23[[#This Row],[MARGEM]]+Prog_23[[#This Row],[ESTADIA 1]])</f>
        <v>0</v>
      </c>
      <c r="AY14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7" s="81"/>
      <c r="BA1407" s="81"/>
      <c r="BB1407" s="81">
        <f>Prog_23[[#This Row],[VLR NF]]*0.1%</f>
        <v>0</v>
      </c>
      <c r="BC1407" s="81">
        <f>Prog_23[[#This Row],[VLR NF]]*0.05%</f>
        <v>0</v>
      </c>
      <c r="BD1407" s="81"/>
      <c r="BE1407" s="81"/>
      <c r="BF1407" s="81"/>
      <c r="BG1407" s="81"/>
      <c r="BH1407" s="81"/>
      <c r="BI1407" s="81"/>
      <c r="BJ1407" s="81"/>
      <c r="BK1407" s="81"/>
      <c r="BL1407" s="81"/>
      <c r="BM1407" s="81"/>
      <c r="BN1407" s="66"/>
      <c r="BO1407" s="66"/>
      <c r="BP1407" s="66"/>
      <c r="BQ1407" s="66" t="str">
        <f>PROPER(TEXT(Prog_23[[#This Row],[PROGRAMAÇÃO CLIENTE]],"mmm"))</f>
        <v>Jan</v>
      </c>
      <c r="BR1407" s="66">
        <f>YEAR(Prog_23[[#This Row],[PROGRAMAÇÃO CLIENTE]])</f>
        <v>1900</v>
      </c>
    </row>
    <row r="1408" spans="1:70" x14ac:dyDescent="0.25">
      <c r="A1408" s="201">
        <f>Prog_23[[#This Row],[CONTEINER]]</f>
        <v>0</v>
      </c>
      <c r="B1408" s="86"/>
      <c r="C14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08" s="44"/>
      <c r="E1408" s="66"/>
      <c r="F1408" s="66"/>
      <c r="G1408" s="66"/>
      <c r="H1408" s="44"/>
      <c r="I1408" s="44"/>
      <c r="J1408" s="66"/>
      <c r="K1408" s="66"/>
      <c r="L1408" s="66"/>
      <c r="M1408" s="66"/>
      <c r="N1408" s="66">
        <f>SUM(Prog_23[[#This Row],[TARA]]+Prog_23[[#This Row],[PESO]])</f>
        <v>0</v>
      </c>
      <c r="O1408" s="44"/>
      <c r="P1408" s="66"/>
      <c r="Q1408" s="66"/>
      <c r="R1408" s="66"/>
      <c r="S1408" s="66"/>
      <c r="T1408" s="138" t="str">
        <f>IFERROR(LOOKUP($S1408,MOTORISTAS!$D$3:$D$916,MOTORISTAS!E$3:$E$916),"")</f>
        <v/>
      </c>
      <c r="U1408" s="138" t="str">
        <f>IFERROR(LOOKUP($S1408,MOTORISTAS!$D$3:$D$916,MOTORISTAS!F$3:$F$916),"")</f>
        <v/>
      </c>
      <c r="V1408" s="66"/>
      <c r="W1408" s="66"/>
      <c r="X1408" s="66"/>
      <c r="Y1408" s="66"/>
      <c r="Z1408" s="66"/>
      <c r="AA1408" s="66"/>
      <c r="AB1408" s="66"/>
      <c r="AC1408" s="66"/>
      <c r="AD1408" s="66"/>
      <c r="AE1408" s="66"/>
      <c r="AF1408" s="44"/>
      <c r="AG1408" s="254">
        <f>Prog_23[[#This Row],[SAÍDA DO CLIENTE]]-Prog_23[[#This Row],[PROGRAMAÇÃO CLIENTE]]</f>
        <v>0</v>
      </c>
      <c r="AH1408" s="44"/>
      <c r="AI1408" s="66"/>
      <c r="AJ1408" s="66"/>
      <c r="AK1408" s="66"/>
      <c r="AL1408" s="66"/>
      <c r="AM1408" s="66"/>
      <c r="AN1408" s="83"/>
      <c r="AO1408" s="83"/>
      <c r="AP1408" s="83"/>
      <c r="AQ1408" s="66"/>
      <c r="AR1408" s="66"/>
      <c r="AS1408" s="66"/>
      <c r="AT1408" s="81"/>
      <c r="AU1408" s="81"/>
      <c r="AV1408" s="81"/>
      <c r="AW1408" s="81"/>
      <c r="AX1408" s="83">
        <f>SUM(Prog_23[[#This Row],[ADIANTAMENTO]]+Prog_23[[#This Row],[SALDO]]+Prog_23[[#This Row],[MARGEM]]+Prog_23[[#This Row],[ESTADIA 1]])</f>
        <v>0</v>
      </c>
      <c r="AY14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8" s="81"/>
      <c r="BA1408" s="81"/>
      <c r="BB1408" s="81">
        <f>Prog_23[[#This Row],[VLR NF]]*0.1%</f>
        <v>0</v>
      </c>
      <c r="BC1408" s="81">
        <f>Prog_23[[#This Row],[VLR NF]]*0.05%</f>
        <v>0</v>
      </c>
      <c r="BD1408" s="81"/>
      <c r="BE1408" s="81"/>
      <c r="BF1408" s="81"/>
      <c r="BG1408" s="81"/>
      <c r="BH1408" s="81"/>
      <c r="BI1408" s="81"/>
      <c r="BJ1408" s="81"/>
      <c r="BK1408" s="81"/>
      <c r="BL1408" s="81"/>
      <c r="BM1408" s="81"/>
      <c r="BN1408" s="66"/>
      <c r="BO1408" s="66"/>
      <c r="BP1408" s="66"/>
      <c r="BQ1408" s="66" t="str">
        <f>PROPER(TEXT(Prog_23[[#This Row],[PROGRAMAÇÃO CLIENTE]],"mmm"))</f>
        <v>Jan</v>
      </c>
      <c r="BR1408" s="66">
        <f>YEAR(Prog_23[[#This Row],[PROGRAMAÇÃO CLIENTE]])</f>
        <v>1900</v>
      </c>
    </row>
    <row r="1409" spans="1:70" x14ac:dyDescent="0.25">
      <c r="A1409" s="200">
        <f>Prog_23[[#This Row],[CONTEINER]]</f>
        <v>0</v>
      </c>
      <c r="B1409" s="86"/>
      <c r="C14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09" s="44"/>
      <c r="E1409" s="66"/>
      <c r="F1409" s="66"/>
      <c r="G1409" s="66"/>
      <c r="H1409" s="44"/>
      <c r="I1409" s="44"/>
      <c r="J1409" s="66"/>
      <c r="K1409" s="66"/>
      <c r="L1409" s="66"/>
      <c r="M1409" s="66"/>
      <c r="N1409" s="66">
        <f>SUM(Prog_23[[#This Row],[TARA]]+Prog_23[[#This Row],[PESO]])</f>
        <v>0</v>
      </c>
      <c r="O1409" s="44"/>
      <c r="P1409" s="66"/>
      <c r="Q1409" s="66"/>
      <c r="R1409" s="66"/>
      <c r="S1409" s="66"/>
      <c r="T1409" s="138" t="str">
        <f>IFERROR(LOOKUP($S1409,MOTORISTAS!$D$3:$D$916,MOTORISTAS!E$3:$E$916),"")</f>
        <v/>
      </c>
      <c r="U1409" s="138" t="str">
        <f>IFERROR(LOOKUP($S1409,MOTORISTAS!$D$3:$D$916,MOTORISTAS!F$3:$F$916),"")</f>
        <v/>
      </c>
      <c r="V1409" s="66"/>
      <c r="W1409" s="66"/>
      <c r="X1409" s="66"/>
      <c r="Y1409" s="66"/>
      <c r="Z1409" s="66"/>
      <c r="AA1409" s="66"/>
      <c r="AB1409" s="66"/>
      <c r="AC1409" s="66"/>
      <c r="AD1409" s="66"/>
      <c r="AE1409" s="66"/>
      <c r="AF1409" s="44"/>
      <c r="AG1409" s="254">
        <f>Prog_23[[#This Row],[SAÍDA DO CLIENTE]]-Prog_23[[#This Row],[PROGRAMAÇÃO CLIENTE]]</f>
        <v>0</v>
      </c>
      <c r="AH1409" s="44"/>
      <c r="AI1409" s="66"/>
      <c r="AJ1409" s="66"/>
      <c r="AK1409" s="66"/>
      <c r="AL1409" s="66"/>
      <c r="AM1409" s="66"/>
      <c r="AN1409" s="83"/>
      <c r="AO1409" s="83"/>
      <c r="AP1409" s="83"/>
      <c r="AQ1409" s="66"/>
      <c r="AR1409" s="66"/>
      <c r="AS1409" s="66"/>
      <c r="AT1409" s="81"/>
      <c r="AU1409" s="81"/>
      <c r="AV1409" s="81"/>
      <c r="AW1409" s="81"/>
      <c r="AX1409" s="83">
        <f>SUM(Prog_23[[#This Row],[ADIANTAMENTO]]+Prog_23[[#This Row],[SALDO]]+Prog_23[[#This Row],[MARGEM]]+Prog_23[[#This Row],[ESTADIA 1]])</f>
        <v>0</v>
      </c>
      <c r="AY14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09" s="81"/>
      <c r="BA1409" s="81"/>
      <c r="BB1409" s="81">
        <f>Prog_23[[#This Row],[VLR NF]]*0.1%</f>
        <v>0</v>
      </c>
      <c r="BC1409" s="81">
        <f>Prog_23[[#This Row],[VLR NF]]*0.05%</f>
        <v>0</v>
      </c>
      <c r="BD1409" s="81"/>
      <c r="BE1409" s="81"/>
      <c r="BF1409" s="81"/>
      <c r="BG1409" s="81"/>
      <c r="BH1409" s="81"/>
      <c r="BI1409" s="81"/>
      <c r="BJ1409" s="81"/>
      <c r="BK1409" s="81"/>
      <c r="BL1409" s="81"/>
      <c r="BM1409" s="81"/>
      <c r="BN1409" s="66"/>
      <c r="BO1409" s="66"/>
      <c r="BP1409" s="66"/>
      <c r="BQ1409" s="66" t="str">
        <f>PROPER(TEXT(Prog_23[[#This Row],[PROGRAMAÇÃO CLIENTE]],"mmm"))</f>
        <v>Jan</v>
      </c>
      <c r="BR1409" s="66">
        <f>YEAR(Prog_23[[#This Row],[PROGRAMAÇÃO CLIENTE]])</f>
        <v>1900</v>
      </c>
    </row>
    <row r="1410" spans="1:70" x14ac:dyDescent="0.25">
      <c r="A1410" s="201">
        <f>Prog_23[[#This Row],[CONTEINER]]</f>
        <v>0</v>
      </c>
      <c r="B1410" s="86"/>
      <c r="C14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10" s="44"/>
      <c r="E1410" s="66"/>
      <c r="F1410" s="66"/>
      <c r="G1410" s="66"/>
      <c r="H1410" s="44"/>
      <c r="I1410" s="44"/>
      <c r="J1410" s="66"/>
      <c r="K1410" s="66"/>
      <c r="L1410" s="66"/>
      <c r="M1410" s="66"/>
      <c r="N1410" s="66">
        <f>SUM(Prog_23[[#This Row],[TARA]]+Prog_23[[#This Row],[PESO]])</f>
        <v>0</v>
      </c>
      <c r="O1410" s="44"/>
      <c r="P1410" s="66"/>
      <c r="Q1410" s="66"/>
      <c r="R1410" s="66"/>
      <c r="S1410" s="66"/>
      <c r="T1410" s="138" t="str">
        <f>IFERROR(LOOKUP($S1410,MOTORISTAS!$D$3:$D$916,MOTORISTAS!E$3:$E$916),"")</f>
        <v/>
      </c>
      <c r="U1410" s="138" t="str">
        <f>IFERROR(LOOKUP($S1410,MOTORISTAS!$D$3:$D$916,MOTORISTAS!F$3:$F$916),"")</f>
        <v/>
      </c>
      <c r="V1410" s="66"/>
      <c r="W1410" s="66"/>
      <c r="X1410" s="66"/>
      <c r="Y1410" s="66"/>
      <c r="Z1410" s="66"/>
      <c r="AA1410" s="66"/>
      <c r="AB1410" s="66"/>
      <c r="AC1410" s="66"/>
      <c r="AD1410" s="66"/>
      <c r="AE1410" s="66"/>
      <c r="AF1410" s="44"/>
      <c r="AG1410" s="254">
        <f>Prog_23[[#This Row],[SAÍDA DO CLIENTE]]-Prog_23[[#This Row],[PROGRAMAÇÃO CLIENTE]]</f>
        <v>0</v>
      </c>
      <c r="AH1410" s="44"/>
      <c r="AI1410" s="66"/>
      <c r="AJ1410" s="66"/>
      <c r="AK1410" s="66"/>
      <c r="AL1410" s="66"/>
      <c r="AM1410" s="66"/>
      <c r="AN1410" s="83"/>
      <c r="AO1410" s="83"/>
      <c r="AP1410" s="83"/>
      <c r="AQ1410" s="66"/>
      <c r="AR1410" s="66"/>
      <c r="AS1410" s="66"/>
      <c r="AT1410" s="81"/>
      <c r="AU1410" s="81"/>
      <c r="AV1410" s="81"/>
      <c r="AW1410" s="81"/>
      <c r="AX1410" s="83">
        <f>SUM(Prog_23[[#This Row],[ADIANTAMENTO]]+Prog_23[[#This Row],[SALDO]]+Prog_23[[#This Row],[MARGEM]]+Prog_23[[#This Row],[ESTADIA 1]])</f>
        <v>0</v>
      </c>
      <c r="AY14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10" s="81"/>
      <c r="BA1410" s="81"/>
      <c r="BB1410" s="81">
        <f>Prog_23[[#This Row],[VLR NF]]*0.1%</f>
        <v>0</v>
      </c>
      <c r="BC1410" s="81">
        <f>Prog_23[[#This Row],[VLR NF]]*0.05%</f>
        <v>0</v>
      </c>
      <c r="BD1410" s="81"/>
      <c r="BE1410" s="81"/>
      <c r="BF1410" s="81"/>
      <c r="BG1410" s="81"/>
      <c r="BH1410" s="81"/>
      <c r="BI1410" s="81"/>
      <c r="BJ1410" s="81"/>
      <c r="BK1410" s="81"/>
      <c r="BL1410" s="81"/>
      <c r="BM1410" s="81"/>
      <c r="BN1410" s="66"/>
      <c r="BO1410" s="66"/>
      <c r="BP1410" s="66"/>
      <c r="BQ1410" s="66" t="str">
        <f>PROPER(TEXT(Prog_23[[#This Row],[PROGRAMAÇÃO CLIENTE]],"mmm"))</f>
        <v>Jan</v>
      </c>
      <c r="BR1410" s="66">
        <f>YEAR(Prog_23[[#This Row],[PROGRAMAÇÃO CLIENTE]])</f>
        <v>1900</v>
      </c>
    </row>
    <row r="1411" spans="1:70" x14ac:dyDescent="0.25">
      <c r="A1411" s="200">
        <f>Prog_23[[#This Row],[CONTEINER]]</f>
        <v>0</v>
      </c>
      <c r="B1411" s="86"/>
      <c r="C14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11" s="44"/>
      <c r="E1411" s="66"/>
      <c r="F1411" s="66"/>
      <c r="G1411" s="66"/>
      <c r="H1411" s="44"/>
      <c r="I1411" s="44"/>
      <c r="J1411" s="66"/>
      <c r="K1411" s="66"/>
      <c r="L1411" s="66"/>
      <c r="M1411" s="66"/>
      <c r="N1411" s="66">
        <f>SUM(Prog_23[[#This Row],[TARA]]+Prog_23[[#This Row],[PESO]])</f>
        <v>0</v>
      </c>
      <c r="O1411" s="44"/>
      <c r="P1411" s="66"/>
      <c r="Q1411" s="66"/>
      <c r="R1411" s="66"/>
      <c r="S1411" s="66"/>
      <c r="T1411" s="138" t="str">
        <f>IFERROR(LOOKUP($S1411,MOTORISTAS!$D$3:$D$916,MOTORISTAS!E$3:$E$916),"")</f>
        <v/>
      </c>
      <c r="U1411" s="138" t="str">
        <f>IFERROR(LOOKUP($S1411,MOTORISTAS!$D$3:$D$916,MOTORISTAS!F$3:$F$916),"")</f>
        <v/>
      </c>
      <c r="V1411" s="66"/>
      <c r="W1411" s="66"/>
      <c r="X1411" s="66"/>
      <c r="Y1411" s="66"/>
      <c r="Z1411" s="66"/>
      <c r="AA1411" s="66"/>
      <c r="AB1411" s="66"/>
      <c r="AC1411" s="66"/>
      <c r="AD1411" s="66"/>
      <c r="AE1411" s="66"/>
      <c r="AF1411" s="44"/>
      <c r="AG1411" s="254">
        <f>Prog_23[[#This Row],[SAÍDA DO CLIENTE]]-Prog_23[[#This Row],[PROGRAMAÇÃO CLIENTE]]</f>
        <v>0</v>
      </c>
      <c r="AH1411" s="44"/>
      <c r="AI1411" s="66"/>
      <c r="AJ1411" s="66"/>
      <c r="AK1411" s="66"/>
      <c r="AL1411" s="66"/>
      <c r="AM1411" s="66"/>
      <c r="AN1411" s="83"/>
      <c r="AO1411" s="83"/>
      <c r="AP1411" s="83"/>
      <c r="AQ1411" s="66"/>
      <c r="AR1411" s="66"/>
      <c r="AS1411" s="66"/>
      <c r="AT1411" s="81"/>
      <c r="AU1411" s="81"/>
      <c r="AV1411" s="81"/>
      <c r="AW1411" s="81"/>
      <c r="AX1411" s="83">
        <f>SUM(Prog_23[[#This Row],[ADIANTAMENTO]]+Prog_23[[#This Row],[SALDO]]+Prog_23[[#This Row],[MARGEM]]+Prog_23[[#This Row],[ESTADIA 1]])</f>
        <v>0</v>
      </c>
      <c r="AY14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11" s="81"/>
      <c r="BA1411" s="81"/>
      <c r="BB1411" s="81">
        <f>Prog_23[[#This Row],[VLR NF]]*0.1%</f>
        <v>0</v>
      </c>
      <c r="BC1411" s="81">
        <f>Prog_23[[#This Row],[VLR NF]]*0.05%</f>
        <v>0</v>
      </c>
      <c r="BD1411" s="81"/>
      <c r="BE1411" s="81"/>
      <c r="BF1411" s="81"/>
      <c r="BG1411" s="81"/>
      <c r="BH1411" s="81"/>
      <c r="BI1411" s="81"/>
      <c r="BJ1411" s="81"/>
      <c r="BK1411" s="81"/>
      <c r="BL1411" s="81"/>
      <c r="BM1411" s="81"/>
      <c r="BN1411" s="66"/>
      <c r="BO1411" s="66"/>
      <c r="BP1411" s="66"/>
      <c r="BQ1411" s="66" t="str">
        <f>PROPER(TEXT(Prog_23[[#This Row],[PROGRAMAÇÃO CLIENTE]],"mmm"))</f>
        <v>Jan</v>
      </c>
      <c r="BR1411" s="66">
        <f>YEAR(Prog_23[[#This Row],[PROGRAMAÇÃO CLIENTE]])</f>
        <v>1900</v>
      </c>
    </row>
    <row r="1412" spans="1:70" x14ac:dyDescent="0.25">
      <c r="A1412" s="201">
        <f>Prog_23[[#This Row],[CONTEINER]]</f>
        <v>0</v>
      </c>
      <c r="B1412" s="86"/>
      <c r="C14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12" s="44"/>
      <c r="E1412" s="66"/>
      <c r="F1412" s="66"/>
      <c r="G1412" s="66"/>
      <c r="H1412" s="44"/>
      <c r="I1412" s="44"/>
      <c r="J1412" s="66"/>
      <c r="K1412" s="66"/>
      <c r="L1412" s="66"/>
      <c r="M1412" s="66"/>
      <c r="N1412" s="66">
        <f>SUM(Prog_23[[#This Row],[TARA]]+Prog_23[[#This Row],[PESO]])</f>
        <v>0</v>
      </c>
      <c r="O1412" s="44"/>
      <c r="P1412" s="66"/>
      <c r="Q1412" s="66"/>
      <c r="R1412" s="66"/>
      <c r="S1412" s="66"/>
      <c r="T1412" s="138" t="str">
        <f>IFERROR(LOOKUP($S1412,MOTORISTAS!$D$3:$D$916,MOTORISTAS!E$3:$E$916),"")</f>
        <v/>
      </c>
      <c r="U1412" s="138" t="str">
        <f>IFERROR(LOOKUP($S1412,MOTORISTAS!$D$3:$D$916,MOTORISTAS!F$3:$F$916),"")</f>
        <v/>
      </c>
      <c r="V1412" s="66"/>
      <c r="W1412" s="66"/>
      <c r="X1412" s="66"/>
      <c r="Y1412" s="66"/>
      <c r="Z1412" s="66"/>
      <c r="AA1412" s="66"/>
      <c r="AB1412" s="66"/>
      <c r="AC1412" s="66"/>
      <c r="AD1412" s="66"/>
      <c r="AE1412" s="66"/>
      <c r="AF1412" s="44"/>
      <c r="AG1412" s="254">
        <f>Prog_23[[#This Row],[SAÍDA DO CLIENTE]]-Prog_23[[#This Row],[PROGRAMAÇÃO CLIENTE]]</f>
        <v>0</v>
      </c>
      <c r="AH1412" s="44"/>
      <c r="AI1412" s="66"/>
      <c r="AJ1412" s="66"/>
      <c r="AK1412" s="66"/>
      <c r="AL1412" s="66"/>
      <c r="AM1412" s="66"/>
      <c r="AN1412" s="83"/>
      <c r="AO1412" s="83"/>
      <c r="AP1412" s="83"/>
      <c r="AQ1412" s="66"/>
      <c r="AR1412" s="66"/>
      <c r="AS1412" s="66"/>
      <c r="AT1412" s="81"/>
      <c r="AU1412" s="81"/>
      <c r="AV1412" s="81"/>
      <c r="AW1412" s="81"/>
      <c r="AX1412" s="83">
        <f>SUM(Prog_23[[#This Row],[ADIANTAMENTO]]+Prog_23[[#This Row],[SALDO]]+Prog_23[[#This Row],[MARGEM]]+Prog_23[[#This Row],[ESTADIA 1]])</f>
        <v>0</v>
      </c>
      <c r="AY14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12" s="81"/>
      <c r="BA1412" s="81"/>
      <c r="BB1412" s="81">
        <f>Prog_23[[#This Row],[VLR NF]]*0.1%</f>
        <v>0</v>
      </c>
      <c r="BC1412" s="81">
        <f>Prog_23[[#This Row],[VLR NF]]*0.05%</f>
        <v>0</v>
      </c>
      <c r="BD1412" s="81"/>
      <c r="BE1412" s="81"/>
      <c r="BF1412" s="81"/>
      <c r="BG1412" s="81"/>
      <c r="BH1412" s="81"/>
      <c r="BI1412" s="81"/>
      <c r="BJ1412" s="81"/>
      <c r="BK1412" s="81"/>
      <c r="BL1412" s="81"/>
      <c r="BM1412" s="81"/>
      <c r="BN1412" s="66"/>
      <c r="BO1412" s="66"/>
      <c r="BP1412" s="66"/>
      <c r="BQ1412" s="66" t="str">
        <f>PROPER(TEXT(Prog_23[[#This Row],[PROGRAMAÇÃO CLIENTE]],"mmm"))</f>
        <v>Jan</v>
      </c>
      <c r="BR1412" s="66">
        <f>YEAR(Prog_23[[#This Row],[PROGRAMAÇÃO CLIENTE]])</f>
        <v>1900</v>
      </c>
    </row>
    <row r="1413" spans="1:70" x14ac:dyDescent="0.25">
      <c r="A1413" s="200">
        <f>Prog_23[[#This Row],[CONTEINER]]</f>
        <v>0</v>
      </c>
      <c r="B1413" s="86"/>
      <c r="C14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13" s="44"/>
      <c r="E1413" s="66"/>
      <c r="F1413" s="66"/>
      <c r="G1413" s="66"/>
      <c r="H1413" s="44"/>
      <c r="I1413" s="44"/>
      <c r="J1413" s="66"/>
      <c r="K1413" s="66"/>
      <c r="L1413" s="66"/>
      <c r="M1413" s="66"/>
      <c r="N1413" s="66">
        <f>SUM(Prog_23[[#This Row],[TARA]]+Prog_23[[#This Row],[PESO]])</f>
        <v>0</v>
      </c>
      <c r="O1413" s="44"/>
      <c r="P1413" s="66"/>
      <c r="Q1413" s="66"/>
      <c r="R1413" s="66"/>
      <c r="S1413" s="66"/>
      <c r="T1413" s="138" t="str">
        <f>IFERROR(LOOKUP($S1413,MOTORISTAS!$D$3:$D$916,MOTORISTAS!E$3:$E$916),"")</f>
        <v/>
      </c>
      <c r="U1413" s="138" t="str">
        <f>IFERROR(LOOKUP($S1413,MOTORISTAS!$D$3:$D$916,MOTORISTAS!F$3:$F$916),"")</f>
        <v/>
      </c>
      <c r="V1413" s="66"/>
      <c r="W1413" s="66"/>
      <c r="X1413" s="66"/>
      <c r="Y1413" s="66"/>
      <c r="Z1413" s="66"/>
      <c r="AA1413" s="66"/>
      <c r="AB1413" s="66"/>
      <c r="AC1413" s="66"/>
      <c r="AD1413" s="66"/>
      <c r="AE1413" s="66"/>
      <c r="AF1413" s="44"/>
      <c r="AG1413" s="254">
        <f>Prog_23[[#This Row],[SAÍDA DO CLIENTE]]-Prog_23[[#This Row],[PROGRAMAÇÃO CLIENTE]]</f>
        <v>0</v>
      </c>
      <c r="AH1413" s="44"/>
      <c r="AI1413" s="66"/>
      <c r="AJ1413" s="66"/>
      <c r="AK1413" s="66"/>
      <c r="AL1413" s="66"/>
      <c r="AM1413" s="66"/>
      <c r="AN1413" s="83"/>
      <c r="AO1413" s="83"/>
      <c r="AP1413" s="83"/>
      <c r="AQ1413" s="66"/>
      <c r="AR1413" s="66"/>
      <c r="AS1413" s="66"/>
      <c r="AT1413" s="81"/>
      <c r="AU1413" s="81"/>
      <c r="AV1413" s="81"/>
      <c r="AW1413" s="81"/>
      <c r="AX1413" s="83">
        <f>SUM(Prog_23[[#This Row],[ADIANTAMENTO]]+Prog_23[[#This Row],[SALDO]]+Prog_23[[#This Row],[MARGEM]]+Prog_23[[#This Row],[ESTADIA 1]])</f>
        <v>0</v>
      </c>
      <c r="AY14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13" s="81"/>
      <c r="BA1413" s="81"/>
      <c r="BB1413" s="81">
        <f>Prog_23[[#This Row],[VLR NF]]*0.1%</f>
        <v>0</v>
      </c>
      <c r="BC1413" s="81">
        <f>Prog_23[[#This Row],[VLR NF]]*0.05%</f>
        <v>0</v>
      </c>
      <c r="BD1413" s="81"/>
      <c r="BE1413" s="81"/>
      <c r="BF1413" s="81"/>
      <c r="BG1413" s="81"/>
      <c r="BH1413" s="81"/>
      <c r="BI1413" s="81"/>
      <c r="BJ1413" s="81"/>
      <c r="BK1413" s="81"/>
      <c r="BL1413" s="81"/>
      <c r="BM1413" s="81"/>
      <c r="BN1413" s="66"/>
      <c r="BO1413" s="66"/>
      <c r="BP1413" s="66"/>
      <c r="BQ1413" s="66" t="str">
        <f>PROPER(TEXT(Prog_23[[#This Row],[PROGRAMAÇÃO CLIENTE]],"mmm"))</f>
        <v>Jan</v>
      </c>
      <c r="BR1413" s="66">
        <f>YEAR(Prog_23[[#This Row],[PROGRAMAÇÃO CLIENTE]])</f>
        <v>1900</v>
      </c>
    </row>
    <row r="1414" spans="1:70" x14ac:dyDescent="0.25">
      <c r="A1414" s="201">
        <f>Prog_23[[#This Row],[CONTEINER]]</f>
        <v>0</v>
      </c>
      <c r="B1414" s="86"/>
      <c r="C14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14" s="44"/>
      <c r="E1414" s="66"/>
      <c r="F1414" s="66"/>
      <c r="G1414" s="66"/>
      <c r="H1414" s="44"/>
      <c r="I1414" s="44"/>
      <c r="J1414" s="66"/>
      <c r="K1414" s="66"/>
      <c r="L1414" s="66"/>
      <c r="M1414" s="66"/>
      <c r="N1414" s="66">
        <f>SUM(Prog_23[[#This Row],[TARA]]+Prog_23[[#This Row],[PESO]])</f>
        <v>0</v>
      </c>
      <c r="O1414" s="44"/>
      <c r="P1414" s="66"/>
      <c r="Q1414" s="66"/>
      <c r="R1414" s="66"/>
      <c r="S1414" s="66"/>
      <c r="T1414" s="138" t="str">
        <f>IFERROR(LOOKUP($S1414,MOTORISTAS!$D$3:$D$916,MOTORISTAS!E$3:$E$916),"")</f>
        <v/>
      </c>
      <c r="U1414" s="138" t="str">
        <f>IFERROR(LOOKUP($S1414,MOTORISTAS!$D$3:$D$916,MOTORISTAS!F$3:$F$916),"")</f>
        <v/>
      </c>
      <c r="V1414" s="66"/>
      <c r="W1414" s="66"/>
      <c r="X1414" s="66"/>
      <c r="Y1414" s="66"/>
      <c r="Z1414" s="66"/>
      <c r="AA1414" s="66"/>
      <c r="AB1414" s="66"/>
      <c r="AC1414" s="66"/>
      <c r="AD1414" s="66"/>
      <c r="AE1414" s="66"/>
      <c r="AF1414" s="44"/>
      <c r="AG1414" s="254">
        <f>Prog_23[[#This Row],[SAÍDA DO CLIENTE]]-Prog_23[[#This Row],[PROGRAMAÇÃO CLIENTE]]</f>
        <v>0</v>
      </c>
      <c r="AH1414" s="44"/>
      <c r="AI1414" s="66"/>
      <c r="AJ1414" s="66"/>
      <c r="AK1414" s="66"/>
      <c r="AL1414" s="66"/>
      <c r="AM1414" s="66"/>
      <c r="AN1414" s="83"/>
      <c r="AO1414" s="83"/>
      <c r="AP1414" s="83"/>
      <c r="AQ1414" s="66"/>
      <c r="AR1414" s="66"/>
      <c r="AS1414" s="66"/>
      <c r="AT1414" s="81"/>
      <c r="AU1414" s="81"/>
      <c r="AV1414" s="81"/>
      <c r="AW1414" s="81"/>
      <c r="AX1414" s="83">
        <f>SUM(Prog_23[[#This Row],[ADIANTAMENTO]]+Prog_23[[#This Row],[SALDO]]+Prog_23[[#This Row],[MARGEM]]+Prog_23[[#This Row],[ESTADIA 1]])</f>
        <v>0</v>
      </c>
      <c r="AY14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14" s="81"/>
      <c r="BA1414" s="81"/>
      <c r="BB1414" s="81">
        <f>Prog_23[[#This Row],[VLR NF]]*0.1%</f>
        <v>0</v>
      </c>
      <c r="BC1414" s="81">
        <f>Prog_23[[#This Row],[VLR NF]]*0.05%</f>
        <v>0</v>
      </c>
      <c r="BD1414" s="81"/>
      <c r="BE1414" s="81"/>
      <c r="BF1414" s="81"/>
      <c r="BG1414" s="81"/>
      <c r="BH1414" s="81"/>
      <c r="BI1414" s="81"/>
      <c r="BJ1414" s="81"/>
      <c r="BK1414" s="81"/>
      <c r="BL1414" s="81"/>
      <c r="BM1414" s="81"/>
      <c r="BN1414" s="66"/>
      <c r="BO1414" s="66"/>
      <c r="BP1414" s="66"/>
      <c r="BQ1414" s="66" t="str">
        <f>PROPER(TEXT(Prog_23[[#This Row],[PROGRAMAÇÃO CLIENTE]],"mmm"))</f>
        <v>Jan</v>
      </c>
      <c r="BR1414" s="66">
        <f>YEAR(Prog_23[[#This Row],[PROGRAMAÇÃO CLIENTE]])</f>
        <v>1900</v>
      </c>
    </row>
    <row r="1415" spans="1:70" x14ac:dyDescent="0.25">
      <c r="A1415" s="200">
        <f>Prog_23[[#This Row],[CONTEINER]]</f>
        <v>0</v>
      </c>
      <c r="B1415" s="86"/>
      <c r="C14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15" s="44"/>
      <c r="E1415" s="66"/>
      <c r="F1415" s="66"/>
      <c r="G1415" s="66"/>
      <c r="H1415" s="44"/>
      <c r="I1415" s="44"/>
      <c r="J1415" s="66"/>
      <c r="K1415" s="66"/>
      <c r="L1415" s="66"/>
      <c r="M1415" s="66"/>
      <c r="N1415" s="66">
        <f>SUM(Prog_23[[#This Row],[TARA]]+Prog_23[[#This Row],[PESO]])</f>
        <v>0</v>
      </c>
      <c r="O1415" s="44"/>
      <c r="P1415" s="66"/>
      <c r="Q1415" s="66"/>
      <c r="R1415" s="66"/>
      <c r="S1415" s="66"/>
      <c r="T1415" s="138" t="str">
        <f>IFERROR(LOOKUP($S1415,MOTORISTAS!$D$3:$D$916,MOTORISTAS!E$3:$E$916),"")</f>
        <v/>
      </c>
      <c r="U1415" s="138" t="str">
        <f>IFERROR(LOOKUP($S1415,MOTORISTAS!$D$3:$D$916,MOTORISTAS!F$3:$F$916),"")</f>
        <v/>
      </c>
      <c r="V1415" s="66"/>
      <c r="W1415" s="66"/>
      <c r="X1415" s="66"/>
      <c r="Y1415" s="66"/>
      <c r="Z1415" s="66"/>
      <c r="AA1415" s="66"/>
      <c r="AB1415" s="66"/>
      <c r="AC1415" s="66"/>
      <c r="AD1415" s="66"/>
      <c r="AE1415" s="66"/>
      <c r="AF1415" s="44"/>
      <c r="AG1415" s="254">
        <f>Prog_23[[#This Row],[SAÍDA DO CLIENTE]]-Prog_23[[#This Row],[PROGRAMAÇÃO CLIENTE]]</f>
        <v>0</v>
      </c>
      <c r="AH1415" s="44"/>
      <c r="AI1415" s="66"/>
      <c r="AJ1415" s="66"/>
      <c r="AK1415" s="66"/>
      <c r="AL1415" s="66"/>
      <c r="AM1415" s="66"/>
      <c r="AN1415" s="83"/>
      <c r="AO1415" s="83"/>
      <c r="AP1415" s="83"/>
      <c r="AQ1415" s="66"/>
      <c r="AR1415" s="66"/>
      <c r="AS1415" s="66"/>
      <c r="AT1415" s="81"/>
      <c r="AU1415" s="81"/>
      <c r="AV1415" s="81"/>
      <c r="AW1415" s="81"/>
      <c r="AX1415" s="83">
        <f>SUM(Prog_23[[#This Row],[ADIANTAMENTO]]+Prog_23[[#This Row],[SALDO]]+Prog_23[[#This Row],[MARGEM]]+Prog_23[[#This Row],[ESTADIA 1]])</f>
        <v>0</v>
      </c>
      <c r="AY14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15" s="81"/>
      <c r="BA1415" s="81"/>
      <c r="BB1415" s="81">
        <f>Prog_23[[#This Row],[VLR NF]]*0.1%</f>
        <v>0</v>
      </c>
      <c r="BC1415" s="81">
        <f>Prog_23[[#This Row],[VLR NF]]*0.05%</f>
        <v>0</v>
      </c>
      <c r="BD1415" s="81"/>
      <c r="BE1415" s="81"/>
      <c r="BF1415" s="81"/>
      <c r="BG1415" s="81"/>
      <c r="BH1415" s="81"/>
      <c r="BI1415" s="81"/>
      <c r="BJ1415" s="81"/>
      <c r="BK1415" s="81"/>
      <c r="BL1415" s="81"/>
      <c r="BM1415" s="81"/>
      <c r="BN1415" s="66"/>
      <c r="BO1415" s="66"/>
      <c r="BP1415" s="66"/>
      <c r="BQ1415" s="66" t="str">
        <f>PROPER(TEXT(Prog_23[[#This Row],[PROGRAMAÇÃO CLIENTE]],"mmm"))</f>
        <v>Jan</v>
      </c>
      <c r="BR1415" s="66">
        <f>YEAR(Prog_23[[#This Row],[PROGRAMAÇÃO CLIENTE]])</f>
        <v>1900</v>
      </c>
    </row>
    <row r="1416" spans="1:70" x14ac:dyDescent="0.25">
      <c r="A1416" s="201">
        <f>Prog_23[[#This Row],[CONTEINER]]</f>
        <v>0</v>
      </c>
      <c r="B1416" s="86"/>
      <c r="C14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16" s="44"/>
      <c r="E1416" s="66"/>
      <c r="F1416" s="66"/>
      <c r="G1416" s="66"/>
      <c r="H1416" s="44"/>
      <c r="I1416" s="44"/>
      <c r="J1416" s="66"/>
      <c r="K1416" s="66"/>
      <c r="L1416" s="66"/>
      <c r="M1416" s="66"/>
      <c r="N1416" s="66">
        <f>SUM(Prog_23[[#This Row],[TARA]]+Prog_23[[#This Row],[PESO]])</f>
        <v>0</v>
      </c>
      <c r="O1416" s="44"/>
      <c r="P1416" s="66"/>
      <c r="Q1416" s="66"/>
      <c r="R1416" s="66"/>
      <c r="S1416" s="66"/>
      <c r="T1416" s="138" t="str">
        <f>IFERROR(LOOKUP($S1416,MOTORISTAS!$D$3:$D$916,MOTORISTAS!E$3:$E$916),"")</f>
        <v/>
      </c>
      <c r="U1416" s="138" t="str">
        <f>IFERROR(LOOKUP($S1416,MOTORISTAS!$D$3:$D$916,MOTORISTAS!F$3:$F$916),"")</f>
        <v/>
      </c>
      <c r="V1416" s="66"/>
      <c r="W1416" s="66"/>
      <c r="X1416" s="66"/>
      <c r="Y1416" s="66"/>
      <c r="Z1416" s="66"/>
      <c r="AA1416" s="66"/>
      <c r="AB1416" s="66"/>
      <c r="AC1416" s="66"/>
      <c r="AD1416" s="66"/>
      <c r="AE1416" s="66"/>
      <c r="AF1416" s="44"/>
      <c r="AG1416" s="254">
        <f>Prog_23[[#This Row],[SAÍDA DO CLIENTE]]-Prog_23[[#This Row],[PROGRAMAÇÃO CLIENTE]]</f>
        <v>0</v>
      </c>
      <c r="AH1416" s="44"/>
      <c r="AI1416" s="66"/>
      <c r="AJ1416" s="66"/>
      <c r="AK1416" s="66"/>
      <c r="AL1416" s="66"/>
      <c r="AM1416" s="66"/>
      <c r="AN1416" s="83"/>
      <c r="AO1416" s="83"/>
      <c r="AP1416" s="83"/>
      <c r="AQ1416" s="66"/>
      <c r="AR1416" s="66"/>
      <c r="AS1416" s="66"/>
      <c r="AT1416" s="81"/>
      <c r="AU1416" s="81"/>
      <c r="AV1416" s="81"/>
      <c r="AW1416" s="81"/>
      <c r="AX1416" s="83">
        <f>SUM(Prog_23[[#This Row],[ADIANTAMENTO]]+Prog_23[[#This Row],[SALDO]]+Prog_23[[#This Row],[MARGEM]]+Prog_23[[#This Row],[ESTADIA 1]])</f>
        <v>0</v>
      </c>
      <c r="AY14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16" s="81"/>
      <c r="BA1416" s="81"/>
      <c r="BB1416" s="81">
        <f>Prog_23[[#This Row],[VLR NF]]*0.1%</f>
        <v>0</v>
      </c>
      <c r="BC1416" s="81">
        <f>Prog_23[[#This Row],[VLR NF]]*0.05%</f>
        <v>0</v>
      </c>
      <c r="BD1416" s="81"/>
      <c r="BE1416" s="81"/>
      <c r="BF1416" s="81"/>
      <c r="BG1416" s="81"/>
      <c r="BH1416" s="81"/>
      <c r="BI1416" s="81"/>
      <c r="BJ1416" s="81"/>
      <c r="BK1416" s="81"/>
      <c r="BL1416" s="81"/>
      <c r="BM1416" s="81"/>
      <c r="BN1416" s="66"/>
      <c r="BO1416" s="66"/>
      <c r="BP1416" s="66"/>
      <c r="BQ1416" s="66" t="str">
        <f>PROPER(TEXT(Prog_23[[#This Row],[PROGRAMAÇÃO CLIENTE]],"mmm"))</f>
        <v>Jan</v>
      </c>
      <c r="BR1416" s="66">
        <f>YEAR(Prog_23[[#This Row],[PROGRAMAÇÃO CLIENTE]])</f>
        <v>1900</v>
      </c>
    </row>
    <row r="1417" spans="1:70" x14ac:dyDescent="0.25">
      <c r="A1417" s="200">
        <f>Prog_23[[#This Row],[CONTEINER]]</f>
        <v>0</v>
      </c>
      <c r="B1417" s="86"/>
      <c r="C14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17" s="44"/>
      <c r="E1417" s="66"/>
      <c r="F1417" s="66"/>
      <c r="G1417" s="66"/>
      <c r="H1417" s="44"/>
      <c r="I1417" s="44"/>
      <c r="J1417" s="66"/>
      <c r="K1417" s="66"/>
      <c r="L1417" s="66"/>
      <c r="M1417" s="66"/>
      <c r="N1417" s="66">
        <f>SUM(Prog_23[[#This Row],[TARA]]+Prog_23[[#This Row],[PESO]])</f>
        <v>0</v>
      </c>
      <c r="O1417" s="44"/>
      <c r="P1417" s="66"/>
      <c r="Q1417" s="66"/>
      <c r="R1417" s="66"/>
      <c r="S1417" s="66"/>
      <c r="T1417" s="138" t="str">
        <f>IFERROR(LOOKUP($S1417,MOTORISTAS!$D$3:$D$916,MOTORISTAS!E$3:$E$916),"")</f>
        <v/>
      </c>
      <c r="U1417" s="138" t="str">
        <f>IFERROR(LOOKUP($S1417,MOTORISTAS!$D$3:$D$916,MOTORISTAS!F$3:$F$916),"")</f>
        <v/>
      </c>
      <c r="V1417" s="66"/>
      <c r="W1417" s="66"/>
      <c r="X1417" s="66"/>
      <c r="Y1417" s="66"/>
      <c r="Z1417" s="66"/>
      <c r="AA1417" s="66"/>
      <c r="AB1417" s="66"/>
      <c r="AC1417" s="66"/>
      <c r="AD1417" s="66"/>
      <c r="AE1417" s="66"/>
      <c r="AF1417" s="44"/>
      <c r="AG1417" s="254">
        <f>Prog_23[[#This Row],[SAÍDA DO CLIENTE]]-Prog_23[[#This Row],[PROGRAMAÇÃO CLIENTE]]</f>
        <v>0</v>
      </c>
      <c r="AH1417" s="44"/>
      <c r="AI1417" s="66"/>
      <c r="AJ1417" s="66"/>
      <c r="AK1417" s="66"/>
      <c r="AL1417" s="66"/>
      <c r="AM1417" s="66"/>
      <c r="AN1417" s="83"/>
      <c r="AO1417" s="83"/>
      <c r="AP1417" s="83"/>
      <c r="AQ1417" s="66"/>
      <c r="AR1417" s="66"/>
      <c r="AS1417" s="66"/>
      <c r="AT1417" s="81"/>
      <c r="AU1417" s="81"/>
      <c r="AV1417" s="81"/>
      <c r="AW1417" s="81"/>
      <c r="AX1417" s="83">
        <f>SUM(Prog_23[[#This Row],[ADIANTAMENTO]]+Prog_23[[#This Row],[SALDO]]+Prog_23[[#This Row],[MARGEM]]+Prog_23[[#This Row],[ESTADIA 1]])</f>
        <v>0</v>
      </c>
      <c r="AY14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17" s="81"/>
      <c r="BA1417" s="81"/>
      <c r="BB1417" s="81">
        <f>Prog_23[[#This Row],[VLR NF]]*0.1%</f>
        <v>0</v>
      </c>
      <c r="BC1417" s="81">
        <f>Prog_23[[#This Row],[VLR NF]]*0.05%</f>
        <v>0</v>
      </c>
      <c r="BD1417" s="81"/>
      <c r="BE1417" s="81"/>
      <c r="BF1417" s="81"/>
      <c r="BG1417" s="81"/>
      <c r="BH1417" s="81"/>
      <c r="BI1417" s="81"/>
      <c r="BJ1417" s="81"/>
      <c r="BK1417" s="81"/>
      <c r="BL1417" s="81"/>
      <c r="BM1417" s="81"/>
      <c r="BN1417" s="66"/>
      <c r="BO1417" s="66"/>
      <c r="BP1417" s="66"/>
      <c r="BQ1417" s="66" t="str">
        <f>PROPER(TEXT(Prog_23[[#This Row],[PROGRAMAÇÃO CLIENTE]],"mmm"))</f>
        <v>Jan</v>
      </c>
      <c r="BR1417" s="66">
        <f>YEAR(Prog_23[[#This Row],[PROGRAMAÇÃO CLIENTE]])</f>
        <v>1900</v>
      </c>
    </row>
    <row r="1418" spans="1:70" x14ac:dyDescent="0.25">
      <c r="A1418" s="201">
        <f>Prog_23[[#This Row],[CONTEINER]]</f>
        <v>0</v>
      </c>
      <c r="B1418" s="86"/>
      <c r="C14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18" s="44"/>
      <c r="E1418" s="66"/>
      <c r="F1418" s="66"/>
      <c r="G1418" s="66"/>
      <c r="H1418" s="44"/>
      <c r="I1418" s="44"/>
      <c r="J1418" s="66"/>
      <c r="K1418" s="66"/>
      <c r="L1418" s="66"/>
      <c r="M1418" s="66"/>
      <c r="N1418" s="66">
        <f>SUM(Prog_23[[#This Row],[TARA]]+Prog_23[[#This Row],[PESO]])</f>
        <v>0</v>
      </c>
      <c r="O1418" s="44"/>
      <c r="P1418" s="66"/>
      <c r="Q1418" s="66"/>
      <c r="R1418" s="66"/>
      <c r="S1418" s="66"/>
      <c r="T1418" s="138" t="str">
        <f>IFERROR(LOOKUP($S1418,MOTORISTAS!$D$3:$D$916,MOTORISTAS!E$3:$E$916),"")</f>
        <v/>
      </c>
      <c r="U1418" s="138" t="str">
        <f>IFERROR(LOOKUP($S1418,MOTORISTAS!$D$3:$D$916,MOTORISTAS!F$3:$F$916),"")</f>
        <v/>
      </c>
      <c r="V1418" s="66"/>
      <c r="W1418" s="66"/>
      <c r="X1418" s="66"/>
      <c r="Y1418" s="66"/>
      <c r="Z1418" s="66"/>
      <c r="AA1418" s="66"/>
      <c r="AB1418" s="66"/>
      <c r="AC1418" s="66"/>
      <c r="AD1418" s="66"/>
      <c r="AE1418" s="66"/>
      <c r="AF1418" s="44"/>
      <c r="AG1418" s="254">
        <f>Prog_23[[#This Row],[SAÍDA DO CLIENTE]]-Prog_23[[#This Row],[PROGRAMAÇÃO CLIENTE]]</f>
        <v>0</v>
      </c>
      <c r="AH1418" s="44"/>
      <c r="AI1418" s="66"/>
      <c r="AJ1418" s="66"/>
      <c r="AK1418" s="66"/>
      <c r="AL1418" s="66"/>
      <c r="AM1418" s="66"/>
      <c r="AN1418" s="83"/>
      <c r="AO1418" s="83"/>
      <c r="AP1418" s="83"/>
      <c r="AQ1418" s="66"/>
      <c r="AR1418" s="66"/>
      <c r="AS1418" s="66"/>
      <c r="AT1418" s="81"/>
      <c r="AU1418" s="81"/>
      <c r="AV1418" s="81"/>
      <c r="AW1418" s="81"/>
      <c r="AX1418" s="83">
        <f>SUM(Prog_23[[#This Row],[ADIANTAMENTO]]+Prog_23[[#This Row],[SALDO]]+Prog_23[[#This Row],[MARGEM]]+Prog_23[[#This Row],[ESTADIA 1]])</f>
        <v>0</v>
      </c>
      <c r="AY14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18" s="81"/>
      <c r="BA1418" s="81"/>
      <c r="BB1418" s="81">
        <f>Prog_23[[#This Row],[VLR NF]]*0.1%</f>
        <v>0</v>
      </c>
      <c r="BC1418" s="81">
        <f>Prog_23[[#This Row],[VLR NF]]*0.05%</f>
        <v>0</v>
      </c>
      <c r="BD1418" s="81"/>
      <c r="BE1418" s="81"/>
      <c r="BF1418" s="81"/>
      <c r="BG1418" s="81"/>
      <c r="BH1418" s="81"/>
      <c r="BI1418" s="81"/>
      <c r="BJ1418" s="81"/>
      <c r="BK1418" s="81"/>
      <c r="BL1418" s="81"/>
      <c r="BM1418" s="81"/>
      <c r="BN1418" s="66"/>
      <c r="BO1418" s="66"/>
      <c r="BP1418" s="66"/>
      <c r="BQ1418" s="66" t="str">
        <f>PROPER(TEXT(Prog_23[[#This Row],[PROGRAMAÇÃO CLIENTE]],"mmm"))</f>
        <v>Jan</v>
      </c>
      <c r="BR1418" s="66">
        <f>YEAR(Prog_23[[#This Row],[PROGRAMAÇÃO CLIENTE]])</f>
        <v>1900</v>
      </c>
    </row>
    <row r="1419" spans="1:70" x14ac:dyDescent="0.25">
      <c r="A1419" s="200">
        <f>Prog_23[[#This Row],[CONTEINER]]</f>
        <v>0</v>
      </c>
      <c r="B1419" s="86"/>
      <c r="C14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19" s="44"/>
      <c r="E1419" s="66"/>
      <c r="F1419" s="66"/>
      <c r="G1419" s="66"/>
      <c r="H1419" s="44"/>
      <c r="I1419" s="44"/>
      <c r="J1419" s="66"/>
      <c r="K1419" s="66"/>
      <c r="L1419" s="66"/>
      <c r="M1419" s="66"/>
      <c r="N1419" s="66">
        <f>SUM(Prog_23[[#This Row],[TARA]]+Prog_23[[#This Row],[PESO]])</f>
        <v>0</v>
      </c>
      <c r="O1419" s="44"/>
      <c r="P1419" s="66"/>
      <c r="Q1419" s="66"/>
      <c r="R1419" s="66"/>
      <c r="S1419" s="66"/>
      <c r="T1419" s="138" t="str">
        <f>IFERROR(LOOKUP($S1419,MOTORISTAS!$D$3:$D$916,MOTORISTAS!E$3:$E$916),"")</f>
        <v/>
      </c>
      <c r="U1419" s="138" t="str">
        <f>IFERROR(LOOKUP($S1419,MOTORISTAS!$D$3:$D$916,MOTORISTAS!F$3:$F$916),"")</f>
        <v/>
      </c>
      <c r="V1419" s="66"/>
      <c r="W1419" s="66"/>
      <c r="X1419" s="66"/>
      <c r="Y1419" s="66"/>
      <c r="Z1419" s="66"/>
      <c r="AA1419" s="66"/>
      <c r="AB1419" s="66"/>
      <c r="AC1419" s="66"/>
      <c r="AD1419" s="66"/>
      <c r="AE1419" s="66"/>
      <c r="AF1419" s="44"/>
      <c r="AG1419" s="254">
        <f>Prog_23[[#This Row],[SAÍDA DO CLIENTE]]-Prog_23[[#This Row],[PROGRAMAÇÃO CLIENTE]]</f>
        <v>0</v>
      </c>
      <c r="AH1419" s="44"/>
      <c r="AI1419" s="66"/>
      <c r="AJ1419" s="66"/>
      <c r="AK1419" s="66"/>
      <c r="AL1419" s="66"/>
      <c r="AM1419" s="66"/>
      <c r="AN1419" s="83"/>
      <c r="AO1419" s="83"/>
      <c r="AP1419" s="83"/>
      <c r="AQ1419" s="66"/>
      <c r="AR1419" s="66"/>
      <c r="AS1419" s="66"/>
      <c r="AT1419" s="81"/>
      <c r="AU1419" s="81"/>
      <c r="AV1419" s="81"/>
      <c r="AW1419" s="81"/>
      <c r="AX1419" s="83">
        <f>SUM(Prog_23[[#This Row],[ADIANTAMENTO]]+Prog_23[[#This Row],[SALDO]]+Prog_23[[#This Row],[MARGEM]]+Prog_23[[#This Row],[ESTADIA 1]])</f>
        <v>0</v>
      </c>
      <c r="AY14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19" s="81"/>
      <c r="BA1419" s="81"/>
      <c r="BB1419" s="81">
        <f>Prog_23[[#This Row],[VLR NF]]*0.1%</f>
        <v>0</v>
      </c>
      <c r="BC1419" s="81">
        <f>Prog_23[[#This Row],[VLR NF]]*0.05%</f>
        <v>0</v>
      </c>
      <c r="BD1419" s="81"/>
      <c r="BE1419" s="81"/>
      <c r="BF1419" s="81"/>
      <c r="BG1419" s="81"/>
      <c r="BH1419" s="81"/>
      <c r="BI1419" s="81"/>
      <c r="BJ1419" s="81"/>
      <c r="BK1419" s="81"/>
      <c r="BL1419" s="81"/>
      <c r="BM1419" s="81"/>
      <c r="BN1419" s="66"/>
      <c r="BO1419" s="66"/>
      <c r="BP1419" s="66"/>
      <c r="BQ1419" s="66" t="str">
        <f>PROPER(TEXT(Prog_23[[#This Row],[PROGRAMAÇÃO CLIENTE]],"mmm"))</f>
        <v>Jan</v>
      </c>
      <c r="BR1419" s="66">
        <f>YEAR(Prog_23[[#This Row],[PROGRAMAÇÃO CLIENTE]])</f>
        <v>1900</v>
      </c>
    </row>
    <row r="1420" spans="1:70" x14ac:dyDescent="0.25">
      <c r="A1420" s="201">
        <f>Prog_23[[#This Row],[CONTEINER]]</f>
        <v>0</v>
      </c>
      <c r="B1420" s="86"/>
      <c r="C14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20" s="44"/>
      <c r="E1420" s="66"/>
      <c r="F1420" s="66"/>
      <c r="G1420" s="66"/>
      <c r="H1420" s="44"/>
      <c r="I1420" s="44"/>
      <c r="J1420" s="66"/>
      <c r="K1420" s="66"/>
      <c r="L1420" s="66"/>
      <c r="M1420" s="66"/>
      <c r="N1420" s="66">
        <f>SUM(Prog_23[[#This Row],[TARA]]+Prog_23[[#This Row],[PESO]])</f>
        <v>0</v>
      </c>
      <c r="O1420" s="44"/>
      <c r="P1420" s="66"/>
      <c r="Q1420" s="66"/>
      <c r="R1420" s="66"/>
      <c r="S1420" s="66"/>
      <c r="T1420" s="138" t="str">
        <f>IFERROR(LOOKUP($S1420,MOTORISTAS!$D$3:$D$916,MOTORISTAS!E$3:$E$916),"")</f>
        <v/>
      </c>
      <c r="U1420" s="138" t="str">
        <f>IFERROR(LOOKUP($S1420,MOTORISTAS!$D$3:$D$916,MOTORISTAS!F$3:$F$916),"")</f>
        <v/>
      </c>
      <c r="V1420" s="66"/>
      <c r="W1420" s="66"/>
      <c r="X1420" s="66"/>
      <c r="Y1420" s="66"/>
      <c r="Z1420" s="66"/>
      <c r="AA1420" s="66"/>
      <c r="AB1420" s="66"/>
      <c r="AC1420" s="66"/>
      <c r="AD1420" s="66"/>
      <c r="AE1420" s="66"/>
      <c r="AF1420" s="44"/>
      <c r="AG1420" s="254">
        <f>Prog_23[[#This Row],[SAÍDA DO CLIENTE]]-Prog_23[[#This Row],[PROGRAMAÇÃO CLIENTE]]</f>
        <v>0</v>
      </c>
      <c r="AH1420" s="44"/>
      <c r="AI1420" s="66"/>
      <c r="AJ1420" s="66"/>
      <c r="AK1420" s="66"/>
      <c r="AL1420" s="66"/>
      <c r="AM1420" s="66"/>
      <c r="AN1420" s="83"/>
      <c r="AO1420" s="83"/>
      <c r="AP1420" s="83"/>
      <c r="AQ1420" s="66"/>
      <c r="AR1420" s="66"/>
      <c r="AS1420" s="66"/>
      <c r="AT1420" s="81"/>
      <c r="AU1420" s="81"/>
      <c r="AV1420" s="81"/>
      <c r="AW1420" s="81"/>
      <c r="AX1420" s="83">
        <f>SUM(Prog_23[[#This Row],[ADIANTAMENTO]]+Prog_23[[#This Row],[SALDO]]+Prog_23[[#This Row],[MARGEM]]+Prog_23[[#This Row],[ESTADIA 1]])</f>
        <v>0</v>
      </c>
      <c r="AY14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20" s="81"/>
      <c r="BA1420" s="81"/>
      <c r="BB1420" s="81">
        <f>Prog_23[[#This Row],[VLR NF]]*0.1%</f>
        <v>0</v>
      </c>
      <c r="BC1420" s="81">
        <f>Prog_23[[#This Row],[VLR NF]]*0.05%</f>
        <v>0</v>
      </c>
      <c r="BD1420" s="81"/>
      <c r="BE1420" s="81"/>
      <c r="BF1420" s="81"/>
      <c r="BG1420" s="81"/>
      <c r="BH1420" s="81"/>
      <c r="BI1420" s="81"/>
      <c r="BJ1420" s="81"/>
      <c r="BK1420" s="81"/>
      <c r="BL1420" s="81"/>
      <c r="BM1420" s="81"/>
      <c r="BN1420" s="66"/>
      <c r="BO1420" s="66"/>
      <c r="BP1420" s="66"/>
      <c r="BQ1420" s="66" t="str">
        <f>PROPER(TEXT(Prog_23[[#This Row],[PROGRAMAÇÃO CLIENTE]],"mmm"))</f>
        <v>Jan</v>
      </c>
      <c r="BR1420" s="66">
        <f>YEAR(Prog_23[[#This Row],[PROGRAMAÇÃO CLIENTE]])</f>
        <v>1900</v>
      </c>
    </row>
    <row r="1421" spans="1:70" x14ac:dyDescent="0.25">
      <c r="A1421" s="200">
        <f>Prog_23[[#This Row],[CONTEINER]]</f>
        <v>0</v>
      </c>
      <c r="B1421" s="86"/>
      <c r="C14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21" s="44"/>
      <c r="E1421" s="66"/>
      <c r="F1421" s="66"/>
      <c r="G1421" s="66"/>
      <c r="H1421" s="44"/>
      <c r="I1421" s="44"/>
      <c r="J1421" s="66"/>
      <c r="K1421" s="66"/>
      <c r="L1421" s="66"/>
      <c r="M1421" s="66"/>
      <c r="N1421" s="66">
        <f>SUM(Prog_23[[#This Row],[TARA]]+Prog_23[[#This Row],[PESO]])</f>
        <v>0</v>
      </c>
      <c r="O1421" s="44"/>
      <c r="P1421" s="66"/>
      <c r="Q1421" s="66"/>
      <c r="R1421" s="66"/>
      <c r="S1421" s="66"/>
      <c r="T1421" s="138" t="str">
        <f>IFERROR(LOOKUP($S1421,MOTORISTAS!$D$3:$D$916,MOTORISTAS!E$3:$E$916),"")</f>
        <v/>
      </c>
      <c r="U1421" s="138" t="str">
        <f>IFERROR(LOOKUP($S1421,MOTORISTAS!$D$3:$D$916,MOTORISTAS!F$3:$F$916),"")</f>
        <v/>
      </c>
      <c r="V1421" s="66"/>
      <c r="W1421" s="66"/>
      <c r="X1421" s="66"/>
      <c r="Y1421" s="66"/>
      <c r="Z1421" s="66"/>
      <c r="AA1421" s="66"/>
      <c r="AB1421" s="66"/>
      <c r="AC1421" s="66"/>
      <c r="AD1421" s="66"/>
      <c r="AE1421" s="66"/>
      <c r="AF1421" s="44"/>
      <c r="AG1421" s="254">
        <f>Prog_23[[#This Row],[SAÍDA DO CLIENTE]]-Prog_23[[#This Row],[PROGRAMAÇÃO CLIENTE]]</f>
        <v>0</v>
      </c>
      <c r="AH1421" s="44"/>
      <c r="AI1421" s="66"/>
      <c r="AJ1421" s="66"/>
      <c r="AK1421" s="66"/>
      <c r="AL1421" s="66"/>
      <c r="AM1421" s="66"/>
      <c r="AN1421" s="83"/>
      <c r="AO1421" s="83"/>
      <c r="AP1421" s="83"/>
      <c r="AQ1421" s="66"/>
      <c r="AR1421" s="66"/>
      <c r="AS1421" s="66"/>
      <c r="AT1421" s="81"/>
      <c r="AU1421" s="81"/>
      <c r="AV1421" s="81"/>
      <c r="AW1421" s="81"/>
      <c r="AX1421" s="83">
        <f>SUM(Prog_23[[#This Row],[ADIANTAMENTO]]+Prog_23[[#This Row],[SALDO]]+Prog_23[[#This Row],[MARGEM]]+Prog_23[[#This Row],[ESTADIA 1]])</f>
        <v>0</v>
      </c>
      <c r="AY14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21" s="81"/>
      <c r="BA1421" s="81"/>
      <c r="BB1421" s="81">
        <f>Prog_23[[#This Row],[VLR NF]]*0.1%</f>
        <v>0</v>
      </c>
      <c r="BC1421" s="81">
        <f>Prog_23[[#This Row],[VLR NF]]*0.05%</f>
        <v>0</v>
      </c>
      <c r="BD1421" s="81"/>
      <c r="BE1421" s="81"/>
      <c r="BF1421" s="81"/>
      <c r="BG1421" s="81"/>
      <c r="BH1421" s="81"/>
      <c r="BI1421" s="81"/>
      <c r="BJ1421" s="81"/>
      <c r="BK1421" s="81"/>
      <c r="BL1421" s="81"/>
      <c r="BM1421" s="81"/>
      <c r="BN1421" s="66"/>
      <c r="BO1421" s="66"/>
      <c r="BP1421" s="66"/>
      <c r="BQ1421" s="66" t="str">
        <f>PROPER(TEXT(Prog_23[[#This Row],[PROGRAMAÇÃO CLIENTE]],"mmm"))</f>
        <v>Jan</v>
      </c>
      <c r="BR1421" s="66">
        <f>YEAR(Prog_23[[#This Row],[PROGRAMAÇÃO CLIENTE]])</f>
        <v>1900</v>
      </c>
    </row>
    <row r="1422" spans="1:70" x14ac:dyDescent="0.25">
      <c r="A1422" s="201">
        <f>Prog_23[[#This Row],[CONTEINER]]</f>
        <v>0</v>
      </c>
      <c r="B1422" s="86"/>
      <c r="C14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22" s="44"/>
      <c r="E1422" s="66"/>
      <c r="F1422" s="66"/>
      <c r="G1422" s="66"/>
      <c r="H1422" s="44"/>
      <c r="I1422" s="44"/>
      <c r="J1422" s="66"/>
      <c r="K1422" s="66"/>
      <c r="L1422" s="66"/>
      <c r="M1422" s="66"/>
      <c r="N1422" s="66">
        <f>SUM(Prog_23[[#This Row],[TARA]]+Prog_23[[#This Row],[PESO]])</f>
        <v>0</v>
      </c>
      <c r="O1422" s="44"/>
      <c r="P1422" s="66"/>
      <c r="Q1422" s="66"/>
      <c r="R1422" s="66"/>
      <c r="S1422" s="66"/>
      <c r="T1422" s="138" t="str">
        <f>IFERROR(LOOKUP($S1422,MOTORISTAS!$D$3:$D$916,MOTORISTAS!E$3:$E$916),"")</f>
        <v/>
      </c>
      <c r="U1422" s="138" t="str">
        <f>IFERROR(LOOKUP($S1422,MOTORISTAS!$D$3:$D$916,MOTORISTAS!F$3:$F$916),"")</f>
        <v/>
      </c>
      <c r="V1422" s="66"/>
      <c r="W1422" s="66"/>
      <c r="X1422" s="66"/>
      <c r="Y1422" s="66"/>
      <c r="Z1422" s="66"/>
      <c r="AA1422" s="66"/>
      <c r="AB1422" s="66"/>
      <c r="AC1422" s="66"/>
      <c r="AD1422" s="66"/>
      <c r="AE1422" s="66"/>
      <c r="AF1422" s="44"/>
      <c r="AG1422" s="254">
        <f>Prog_23[[#This Row],[SAÍDA DO CLIENTE]]-Prog_23[[#This Row],[PROGRAMAÇÃO CLIENTE]]</f>
        <v>0</v>
      </c>
      <c r="AH1422" s="44"/>
      <c r="AI1422" s="66"/>
      <c r="AJ1422" s="66"/>
      <c r="AK1422" s="66"/>
      <c r="AL1422" s="66"/>
      <c r="AM1422" s="66"/>
      <c r="AN1422" s="83"/>
      <c r="AO1422" s="83"/>
      <c r="AP1422" s="83"/>
      <c r="AQ1422" s="66"/>
      <c r="AR1422" s="66"/>
      <c r="AS1422" s="66"/>
      <c r="AT1422" s="81"/>
      <c r="AU1422" s="81"/>
      <c r="AV1422" s="81"/>
      <c r="AW1422" s="81"/>
      <c r="AX1422" s="83">
        <f>SUM(Prog_23[[#This Row],[ADIANTAMENTO]]+Prog_23[[#This Row],[SALDO]]+Prog_23[[#This Row],[MARGEM]]+Prog_23[[#This Row],[ESTADIA 1]])</f>
        <v>0</v>
      </c>
      <c r="AY14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22" s="81"/>
      <c r="BA1422" s="81"/>
      <c r="BB1422" s="81">
        <f>Prog_23[[#This Row],[VLR NF]]*0.1%</f>
        <v>0</v>
      </c>
      <c r="BC1422" s="81">
        <f>Prog_23[[#This Row],[VLR NF]]*0.05%</f>
        <v>0</v>
      </c>
      <c r="BD1422" s="81"/>
      <c r="BE1422" s="81"/>
      <c r="BF1422" s="81"/>
      <c r="BG1422" s="81"/>
      <c r="BH1422" s="81"/>
      <c r="BI1422" s="81"/>
      <c r="BJ1422" s="81"/>
      <c r="BK1422" s="81"/>
      <c r="BL1422" s="81"/>
      <c r="BM1422" s="81"/>
      <c r="BN1422" s="66"/>
      <c r="BO1422" s="66"/>
      <c r="BP1422" s="66"/>
      <c r="BQ1422" s="66" t="str">
        <f>PROPER(TEXT(Prog_23[[#This Row],[PROGRAMAÇÃO CLIENTE]],"mmm"))</f>
        <v>Jan</v>
      </c>
      <c r="BR1422" s="66">
        <f>YEAR(Prog_23[[#This Row],[PROGRAMAÇÃO CLIENTE]])</f>
        <v>1900</v>
      </c>
    </row>
    <row r="1423" spans="1:70" x14ac:dyDescent="0.25">
      <c r="A1423" s="200">
        <f>Prog_23[[#This Row],[CONTEINER]]</f>
        <v>0</v>
      </c>
      <c r="B1423" s="86"/>
      <c r="C14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23" s="44"/>
      <c r="E1423" s="66"/>
      <c r="F1423" s="66"/>
      <c r="G1423" s="66"/>
      <c r="H1423" s="44"/>
      <c r="I1423" s="44"/>
      <c r="J1423" s="66"/>
      <c r="K1423" s="66"/>
      <c r="L1423" s="66"/>
      <c r="M1423" s="66"/>
      <c r="N1423" s="66">
        <f>SUM(Prog_23[[#This Row],[TARA]]+Prog_23[[#This Row],[PESO]])</f>
        <v>0</v>
      </c>
      <c r="O1423" s="44"/>
      <c r="P1423" s="66"/>
      <c r="Q1423" s="66"/>
      <c r="R1423" s="66"/>
      <c r="S1423" s="66"/>
      <c r="T1423" s="138" t="str">
        <f>IFERROR(LOOKUP($S1423,MOTORISTAS!$D$3:$D$916,MOTORISTAS!E$3:$E$916),"")</f>
        <v/>
      </c>
      <c r="U1423" s="138" t="str">
        <f>IFERROR(LOOKUP($S1423,MOTORISTAS!$D$3:$D$916,MOTORISTAS!F$3:$F$916),"")</f>
        <v/>
      </c>
      <c r="V1423" s="66"/>
      <c r="W1423" s="66"/>
      <c r="X1423" s="66"/>
      <c r="Y1423" s="66"/>
      <c r="Z1423" s="66"/>
      <c r="AA1423" s="66"/>
      <c r="AB1423" s="66"/>
      <c r="AC1423" s="66"/>
      <c r="AD1423" s="66"/>
      <c r="AE1423" s="66"/>
      <c r="AF1423" s="44"/>
      <c r="AG1423" s="254">
        <f>Prog_23[[#This Row],[SAÍDA DO CLIENTE]]-Prog_23[[#This Row],[PROGRAMAÇÃO CLIENTE]]</f>
        <v>0</v>
      </c>
      <c r="AH1423" s="44"/>
      <c r="AI1423" s="66"/>
      <c r="AJ1423" s="66"/>
      <c r="AK1423" s="66"/>
      <c r="AL1423" s="66"/>
      <c r="AM1423" s="66"/>
      <c r="AN1423" s="83"/>
      <c r="AO1423" s="83"/>
      <c r="AP1423" s="83"/>
      <c r="AQ1423" s="66"/>
      <c r="AR1423" s="66"/>
      <c r="AS1423" s="66"/>
      <c r="AT1423" s="81"/>
      <c r="AU1423" s="81"/>
      <c r="AV1423" s="81"/>
      <c r="AW1423" s="81"/>
      <c r="AX1423" s="83">
        <f>SUM(Prog_23[[#This Row],[ADIANTAMENTO]]+Prog_23[[#This Row],[SALDO]]+Prog_23[[#This Row],[MARGEM]]+Prog_23[[#This Row],[ESTADIA 1]])</f>
        <v>0</v>
      </c>
      <c r="AY14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23" s="81"/>
      <c r="BA1423" s="81"/>
      <c r="BB1423" s="81">
        <f>Prog_23[[#This Row],[VLR NF]]*0.1%</f>
        <v>0</v>
      </c>
      <c r="BC1423" s="81">
        <f>Prog_23[[#This Row],[VLR NF]]*0.05%</f>
        <v>0</v>
      </c>
      <c r="BD1423" s="81"/>
      <c r="BE1423" s="81"/>
      <c r="BF1423" s="81"/>
      <c r="BG1423" s="81"/>
      <c r="BH1423" s="81"/>
      <c r="BI1423" s="81"/>
      <c r="BJ1423" s="81"/>
      <c r="BK1423" s="81"/>
      <c r="BL1423" s="81"/>
      <c r="BM1423" s="81"/>
      <c r="BN1423" s="66"/>
      <c r="BO1423" s="66"/>
      <c r="BP1423" s="66"/>
      <c r="BQ1423" s="66" t="str">
        <f>PROPER(TEXT(Prog_23[[#This Row],[PROGRAMAÇÃO CLIENTE]],"mmm"))</f>
        <v>Jan</v>
      </c>
      <c r="BR1423" s="66">
        <f>YEAR(Prog_23[[#This Row],[PROGRAMAÇÃO CLIENTE]])</f>
        <v>1900</v>
      </c>
    </row>
    <row r="1424" spans="1:70" x14ac:dyDescent="0.25">
      <c r="A1424" s="201">
        <f>Prog_23[[#This Row],[CONTEINER]]</f>
        <v>0</v>
      </c>
      <c r="B1424" s="86"/>
      <c r="C14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24" s="44"/>
      <c r="E1424" s="66"/>
      <c r="F1424" s="66"/>
      <c r="G1424" s="66"/>
      <c r="H1424" s="44"/>
      <c r="I1424" s="44"/>
      <c r="J1424" s="66"/>
      <c r="K1424" s="66"/>
      <c r="L1424" s="66"/>
      <c r="M1424" s="66"/>
      <c r="N1424" s="66">
        <f>SUM(Prog_23[[#This Row],[TARA]]+Prog_23[[#This Row],[PESO]])</f>
        <v>0</v>
      </c>
      <c r="O1424" s="44"/>
      <c r="P1424" s="66"/>
      <c r="Q1424" s="66"/>
      <c r="R1424" s="66"/>
      <c r="S1424" s="66"/>
      <c r="T1424" s="138" t="str">
        <f>IFERROR(LOOKUP($S1424,MOTORISTAS!$D$3:$D$916,MOTORISTAS!E$3:$E$916),"")</f>
        <v/>
      </c>
      <c r="U1424" s="138" t="str">
        <f>IFERROR(LOOKUP($S1424,MOTORISTAS!$D$3:$D$916,MOTORISTAS!F$3:$F$916),"")</f>
        <v/>
      </c>
      <c r="V1424" s="66"/>
      <c r="W1424" s="66"/>
      <c r="X1424" s="66"/>
      <c r="Y1424" s="66"/>
      <c r="Z1424" s="66"/>
      <c r="AA1424" s="66"/>
      <c r="AB1424" s="66"/>
      <c r="AC1424" s="66"/>
      <c r="AD1424" s="66"/>
      <c r="AE1424" s="66"/>
      <c r="AF1424" s="44"/>
      <c r="AG1424" s="254">
        <f>Prog_23[[#This Row],[SAÍDA DO CLIENTE]]-Prog_23[[#This Row],[PROGRAMAÇÃO CLIENTE]]</f>
        <v>0</v>
      </c>
      <c r="AH1424" s="44"/>
      <c r="AI1424" s="66"/>
      <c r="AJ1424" s="66"/>
      <c r="AK1424" s="66"/>
      <c r="AL1424" s="66"/>
      <c r="AM1424" s="66"/>
      <c r="AN1424" s="83"/>
      <c r="AO1424" s="83"/>
      <c r="AP1424" s="83"/>
      <c r="AQ1424" s="66"/>
      <c r="AR1424" s="66"/>
      <c r="AS1424" s="66"/>
      <c r="AT1424" s="81"/>
      <c r="AU1424" s="81"/>
      <c r="AV1424" s="81"/>
      <c r="AW1424" s="81"/>
      <c r="AX1424" s="83">
        <f>SUM(Prog_23[[#This Row],[ADIANTAMENTO]]+Prog_23[[#This Row],[SALDO]]+Prog_23[[#This Row],[MARGEM]]+Prog_23[[#This Row],[ESTADIA 1]])</f>
        <v>0</v>
      </c>
      <c r="AY14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24" s="81"/>
      <c r="BA1424" s="81"/>
      <c r="BB1424" s="81">
        <f>Prog_23[[#This Row],[VLR NF]]*0.1%</f>
        <v>0</v>
      </c>
      <c r="BC1424" s="81">
        <f>Prog_23[[#This Row],[VLR NF]]*0.05%</f>
        <v>0</v>
      </c>
      <c r="BD1424" s="81"/>
      <c r="BE1424" s="81"/>
      <c r="BF1424" s="81"/>
      <c r="BG1424" s="81"/>
      <c r="BH1424" s="81"/>
      <c r="BI1424" s="81"/>
      <c r="BJ1424" s="81"/>
      <c r="BK1424" s="81"/>
      <c r="BL1424" s="81"/>
      <c r="BM1424" s="81"/>
      <c r="BN1424" s="66"/>
      <c r="BO1424" s="66"/>
      <c r="BP1424" s="66"/>
      <c r="BQ1424" s="66" t="str">
        <f>PROPER(TEXT(Prog_23[[#This Row],[PROGRAMAÇÃO CLIENTE]],"mmm"))</f>
        <v>Jan</v>
      </c>
      <c r="BR1424" s="66">
        <f>YEAR(Prog_23[[#This Row],[PROGRAMAÇÃO CLIENTE]])</f>
        <v>1900</v>
      </c>
    </row>
    <row r="1425" spans="1:70" x14ac:dyDescent="0.25">
      <c r="A1425" s="200">
        <f>Prog_23[[#This Row],[CONTEINER]]</f>
        <v>0</v>
      </c>
      <c r="B1425" s="86"/>
      <c r="C14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25" s="44"/>
      <c r="E1425" s="66"/>
      <c r="F1425" s="66"/>
      <c r="G1425" s="66"/>
      <c r="H1425" s="44"/>
      <c r="I1425" s="44"/>
      <c r="J1425" s="66"/>
      <c r="K1425" s="66"/>
      <c r="L1425" s="66"/>
      <c r="M1425" s="66"/>
      <c r="N1425" s="66">
        <f>SUM(Prog_23[[#This Row],[TARA]]+Prog_23[[#This Row],[PESO]])</f>
        <v>0</v>
      </c>
      <c r="O1425" s="44"/>
      <c r="P1425" s="66"/>
      <c r="Q1425" s="66"/>
      <c r="R1425" s="66"/>
      <c r="S1425" s="66"/>
      <c r="T1425" s="138" t="str">
        <f>IFERROR(LOOKUP($S1425,MOTORISTAS!$D$3:$D$916,MOTORISTAS!E$3:$E$916),"")</f>
        <v/>
      </c>
      <c r="U1425" s="138" t="str">
        <f>IFERROR(LOOKUP($S1425,MOTORISTAS!$D$3:$D$916,MOTORISTAS!F$3:$F$916),"")</f>
        <v/>
      </c>
      <c r="V1425" s="66"/>
      <c r="W1425" s="66"/>
      <c r="X1425" s="66"/>
      <c r="Y1425" s="66"/>
      <c r="Z1425" s="66"/>
      <c r="AA1425" s="66"/>
      <c r="AB1425" s="66"/>
      <c r="AC1425" s="66"/>
      <c r="AD1425" s="66"/>
      <c r="AE1425" s="66"/>
      <c r="AF1425" s="44"/>
      <c r="AG1425" s="254">
        <f>Prog_23[[#This Row],[SAÍDA DO CLIENTE]]-Prog_23[[#This Row],[PROGRAMAÇÃO CLIENTE]]</f>
        <v>0</v>
      </c>
      <c r="AH1425" s="44"/>
      <c r="AI1425" s="66"/>
      <c r="AJ1425" s="66"/>
      <c r="AK1425" s="66"/>
      <c r="AL1425" s="66"/>
      <c r="AM1425" s="66"/>
      <c r="AN1425" s="83"/>
      <c r="AO1425" s="83"/>
      <c r="AP1425" s="83"/>
      <c r="AQ1425" s="66"/>
      <c r="AR1425" s="66"/>
      <c r="AS1425" s="66"/>
      <c r="AT1425" s="81"/>
      <c r="AU1425" s="81"/>
      <c r="AV1425" s="81"/>
      <c r="AW1425" s="81"/>
      <c r="AX1425" s="83">
        <f>SUM(Prog_23[[#This Row],[ADIANTAMENTO]]+Prog_23[[#This Row],[SALDO]]+Prog_23[[#This Row],[MARGEM]]+Prog_23[[#This Row],[ESTADIA 1]])</f>
        <v>0</v>
      </c>
      <c r="AY14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25" s="81"/>
      <c r="BA1425" s="81"/>
      <c r="BB1425" s="81">
        <f>Prog_23[[#This Row],[VLR NF]]*0.1%</f>
        <v>0</v>
      </c>
      <c r="BC1425" s="81">
        <f>Prog_23[[#This Row],[VLR NF]]*0.05%</f>
        <v>0</v>
      </c>
      <c r="BD1425" s="81"/>
      <c r="BE1425" s="81"/>
      <c r="BF1425" s="81"/>
      <c r="BG1425" s="81"/>
      <c r="BH1425" s="81"/>
      <c r="BI1425" s="81"/>
      <c r="BJ1425" s="81"/>
      <c r="BK1425" s="81"/>
      <c r="BL1425" s="81"/>
      <c r="BM1425" s="81"/>
      <c r="BN1425" s="66"/>
      <c r="BO1425" s="66"/>
      <c r="BP1425" s="66"/>
      <c r="BQ1425" s="66" t="str">
        <f>PROPER(TEXT(Prog_23[[#This Row],[PROGRAMAÇÃO CLIENTE]],"mmm"))</f>
        <v>Jan</v>
      </c>
      <c r="BR1425" s="66">
        <f>YEAR(Prog_23[[#This Row],[PROGRAMAÇÃO CLIENTE]])</f>
        <v>1900</v>
      </c>
    </row>
    <row r="1426" spans="1:70" x14ac:dyDescent="0.25">
      <c r="A1426" s="201">
        <f>Prog_23[[#This Row],[CONTEINER]]</f>
        <v>0</v>
      </c>
      <c r="B1426" s="86"/>
      <c r="C14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26" s="44"/>
      <c r="E1426" s="66"/>
      <c r="F1426" s="66"/>
      <c r="G1426" s="66"/>
      <c r="H1426" s="44"/>
      <c r="I1426" s="44"/>
      <c r="J1426" s="66"/>
      <c r="K1426" s="66"/>
      <c r="L1426" s="66"/>
      <c r="M1426" s="66"/>
      <c r="N1426" s="66">
        <f>SUM(Prog_23[[#This Row],[TARA]]+Prog_23[[#This Row],[PESO]])</f>
        <v>0</v>
      </c>
      <c r="O1426" s="44"/>
      <c r="P1426" s="66"/>
      <c r="Q1426" s="66"/>
      <c r="R1426" s="66"/>
      <c r="S1426" s="66"/>
      <c r="T1426" s="138" t="str">
        <f>IFERROR(LOOKUP($S1426,MOTORISTAS!$D$3:$D$916,MOTORISTAS!E$3:$E$916),"")</f>
        <v/>
      </c>
      <c r="U1426" s="138" t="str">
        <f>IFERROR(LOOKUP($S1426,MOTORISTAS!$D$3:$D$916,MOTORISTAS!F$3:$F$916),"")</f>
        <v/>
      </c>
      <c r="V1426" s="66"/>
      <c r="W1426" s="66"/>
      <c r="X1426" s="66"/>
      <c r="Y1426" s="66"/>
      <c r="Z1426" s="66"/>
      <c r="AA1426" s="66"/>
      <c r="AB1426" s="66"/>
      <c r="AC1426" s="66"/>
      <c r="AD1426" s="66"/>
      <c r="AE1426" s="66"/>
      <c r="AF1426" s="44"/>
      <c r="AG1426" s="254">
        <f>Prog_23[[#This Row],[SAÍDA DO CLIENTE]]-Prog_23[[#This Row],[PROGRAMAÇÃO CLIENTE]]</f>
        <v>0</v>
      </c>
      <c r="AH1426" s="44"/>
      <c r="AI1426" s="66"/>
      <c r="AJ1426" s="66"/>
      <c r="AK1426" s="66"/>
      <c r="AL1426" s="66"/>
      <c r="AM1426" s="66"/>
      <c r="AN1426" s="83"/>
      <c r="AO1426" s="83"/>
      <c r="AP1426" s="83"/>
      <c r="AQ1426" s="66"/>
      <c r="AR1426" s="66"/>
      <c r="AS1426" s="66"/>
      <c r="AT1426" s="81"/>
      <c r="AU1426" s="81"/>
      <c r="AV1426" s="81"/>
      <c r="AW1426" s="81"/>
      <c r="AX1426" s="83">
        <f>SUM(Prog_23[[#This Row],[ADIANTAMENTO]]+Prog_23[[#This Row],[SALDO]]+Prog_23[[#This Row],[MARGEM]]+Prog_23[[#This Row],[ESTADIA 1]])</f>
        <v>0</v>
      </c>
      <c r="AY14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26" s="81"/>
      <c r="BA1426" s="81"/>
      <c r="BB1426" s="81">
        <f>Prog_23[[#This Row],[VLR NF]]*0.1%</f>
        <v>0</v>
      </c>
      <c r="BC1426" s="81">
        <f>Prog_23[[#This Row],[VLR NF]]*0.05%</f>
        <v>0</v>
      </c>
      <c r="BD1426" s="81"/>
      <c r="BE1426" s="81"/>
      <c r="BF1426" s="81"/>
      <c r="BG1426" s="81"/>
      <c r="BH1426" s="81"/>
      <c r="BI1426" s="81"/>
      <c r="BJ1426" s="81"/>
      <c r="BK1426" s="81"/>
      <c r="BL1426" s="81"/>
      <c r="BM1426" s="81"/>
      <c r="BN1426" s="66"/>
      <c r="BO1426" s="66"/>
      <c r="BP1426" s="66"/>
      <c r="BQ1426" s="66" t="str">
        <f>PROPER(TEXT(Prog_23[[#This Row],[PROGRAMAÇÃO CLIENTE]],"mmm"))</f>
        <v>Jan</v>
      </c>
      <c r="BR1426" s="66">
        <f>YEAR(Prog_23[[#This Row],[PROGRAMAÇÃO CLIENTE]])</f>
        <v>1900</v>
      </c>
    </row>
    <row r="1427" spans="1:70" x14ac:dyDescent="0.25">
      <c r="A1427" s="200">
        <f>Prog_23[[#This Row],[CONTEINER]]</f>
        <v>0</v>
      </c>
      <c r="B1427" s="86"/>
      <c r="C14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27" s="44"/>
      <c r="E1427" s="66"/>
      <c r="F1427" s="66"/>
      <c r="G1427" s="66"/>
      <c r="H1427" s="44"/>
      <c r="I1427" s="44"/>
      <c r="J1427" s="66"/>
      <c r="K1427" s="66"/>
      <c r="L1427" s="66"/>
      <c r="M1427" s="66"/>
      <c r="N1427" s="66">
        <f>SUM(Prog_23[[#This Row],[TARA]]+Prog_23[[#This Row],[PESO]])</f>
        <v>0</v>
      </c>
      <c r="O1427" s="44"/>
      <c r="P1427" s="66"/>
      <c r="Q1427" s="66"/>
      <c r="R1427" s="66"/>
      <c r="S1427" s="66"/>
      <c r="T1427" s="138" t="str">
        <f>IFERROR(LOOKUP($S1427,MOTORISTAS!$D$3:$D$916,MOTORISTAS!E$3:$E$916),"")</f>
        <v/>
      </c>
      <c r="U1427" s="138" t="str">
        <f>IFERROR(LOOKUP($S1427,MOTORISTAS!$D$3:$D$916,MOTORISTAS!F$3:$F$916),"")</f>
        <v/>
      </c>
      <c r="V1427" s="66"/>
      <c r="W1427" s="66"/>
      <c r="X1427" s="66"/>
      <c r="Y1427" s="66"/>
      <c r="Z1427" s="66"/>
      <c r="AA1427" s="66"/>
      <c r="AB1427" s="66"/>
      <c r="AC1427" s="66"/>
      <c r="AD1427" s="66"/>
      <c r="AE1427" s="66"/>
      <c r="AF1427" s="44"/>
      <c r="AG1427" s="254">
        <f>Prog_23[[#This Row],[SAÍDA DO CLIENTE]]-Prog_23[[#This Row],[PROGRAMAÇÃO CLIENTE]]</f>
        <v>0</v>
      </c>
      <c r="AH1427" s="44"/>
      <c r="AI1427" s="66"/>
      <c r="AJ1427" s="66"/>
      <c r="AK1427" s="66"/>
      <c r="AL1427" s="66"/>
      <c r="AM1427" s="66"/>
      <c r="AN1427" s="83"/>
      <c r="AO1427" s="83"/>
      <c r="AP1427" s="83"/>
      <c r="AQ1427" s="66"/>
      <c r="AR1427" s="66"/>
      <c r="AS1427" s="66"/>
      <c r="AT1427" s="81"/>
      <c r="AU1427" s="81"/>
      <c r="AV1427" s="81"/>
      <c r="AW1427" s="81"/>
      <c r="AX1427" s="83">
        <f>SUM(Prog_23[[#This Row],[ADIANTAMENTO]]+Prog_23[[#This Row],[SALDO]]+Prog_23[[#This Row],[MARGEM]]+Prog_23[[#This Row],[ESTADIA 1]])</f>
        <v>0</v>
      </c>
      <c r="AY14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27" s="81"/>
      <c r="BA1427" s="81"/>
      <c r="BB1427" s="81">
        <f>Prog_23[[#This Row],[VLR NF]]*0.1%</f>
        <v>0</v>
      </c>
      <c r="BC1427" s="81">
        <f>Prog_23[[#This Row],[VLR NF]]*0.05%</f>
        <v>0</v>
      </c>
      <c r="BD1427" s="81"/>
      <c r="BE1427" s="81"/>
      <c r="BF1427" s="81"/>
      <c r="BG1427" s="81"/>
      <c r="BH1427" s="81"/>
      <c r="BI1427" s="81"/>
      <c r="BJ1427" s="81"/>
      <c r="BK1427" s="81"/>
      <c r="BL1427" s="81"/>
      <c r="BM1427" s="81"/>
      <c r="BN1427" s="66"/>
      <c r="BO1427" s="66"/>
      <c r="BP1427" s="66"/>
      <c r="BQ1427" s="66" t="str">
        <f>PROPER(TEXT(Prog_23[[#This Row],[PROGRAMAÇÃO CLIENTE]],"mmm"))</f>
        <v>Jan</v>
      </c>
      <c r="BR1427" s="66">
        <f>YEAR(Prog_23[[#This Row],[PROGRAMAÇÃO CLIENTE]])</f>
        <v>1900</v>
      </c>
    </row>
    <row r="1428" spans="1:70" x14ac:dyDescent="0.25">
      <c r="A1428" s="201">
        <f>Prog_23[[#This Row],[CONTEINER]]</f>
        <v>0</v>
      </c>
      <c r="B1428" s="86"/>
      <c r="C14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28" s="44"/>
      <c r="E1428" s="66"/>
      <c r="F1428" s="66"/>
      <c r="G1428" s="66"/>
      <c r="H1428" s="44"/>
      <c r="I1428" s="44"/>
      <c r="J1428" s="66"/>
      <c r="K1428" s="66"/>
      <c r="L1428" s="66"/>
      <c r="M1428" s="66"/>
      <c r="N1428" s="66">
        <f>SUM(Prog_23[[#This Row],[TARA]]+Prog_23[[#This Row],[PESO]])</f>
        <v>0</v>
      </c>
      <c r="O1428" s="44"/>
      <c r="P1428" s="66"/>
      <c r="Q1428" s="66"/>
      <c r="R1428" s="66"/>
      <c r="S1428" s="66"/>
      <c r="T1428" s="138" t="str">
        <f>IFERROR(LOOKUP($S1428,MOTORISTAS!$D$3:$D$916,MOTORISTAS!E$3:$E$916),"")</f>
        <v/>
      </c>
      <c r="U1428" s="138" t="str">
        <f>IFERROR(LOOKUP($S1428,MOTORISTAS!$D$3:$D$916,MOTORISTAS!F$3:$F$916),"")</f>
        <v/>
      </c>
      <c r="V1428" s="66"/>
      <c r="W1428" s="66"/>
      <c r="X1428" s="66"/>
      <c r="Y1428" s="66"/>
      <c r="Z1428" s="66"/>
      <c r="AA1428" s="66"/>
      <c r="AB1428" s="66"/>
      <c r="AC1428" s="66"/>
      <c r="AD1428" s="66"/>
      <c r="AE1428" s="66"/>
      <c r="AF1428" s="44"/>
      <c r="AG1428" s="254">
        <f>Prog_23[[#This Row],[SAÍDA DO CLIENTE]]-Prog_23[[#This Row],[PROGRAMAÇÃO CLIENTE]]</f>
        <v>0</v>
      </c>
      <c r="AH1428" s="44"/>
      <c r="AI1428" s="66"/>
      <c r="AJ1428" s="66"/>
      <c r="AK1428" s="66"/>
      <c r="AL1428" s="66"/>
      <c r="AM1428" s="66"/>
      <c r="AN1428" s="83"/>
      <c r="AO1428" s="83"/>
      <c r="AP1428" s="83"/>
      <c r="AQ1428" s="66"/>
      <c r="AR1428" s="66"/>
      <c r="AS1428" s="66"/>
      <c r="AT1428" s="81"/>
      <c r="AU1428" s="81"/>
      <c r="AV1428" s="81"/>
      <c r="AW1428" s="81"/>
      <c r="AX1428" s="83">
        <f>SUM(Prog_23[[#This Row],[ADIANTAMENTO]]+Prog_23[[#This Row],[SALDO]]+Prog_23[[#This Row],[MARGEM]]+Prog_23[[#This Row],[ESTADIA 1]])</f>
        <v>0</v>
      </c>
      <c r="AY14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28" s="81"/>
      <c r="BA1428" s="81"/>
      <c r="BB1428" s="81">
        <f>Prog_23[[#This Row],[VLR NF]]*0.1%</f>
        <v>0</v>
      </c>
      <c r="BC1428" s="81">
        <f>Prog_23[[#This Row],[VLR NF]]*0.05%</f>
        <v>0</v>
      </c>
      <c r="BD1428" s="81"/>
      <c r="BE1428" s="81"/>
      <c r="BF1428" s="81"/>
      <c r="BG1428" s="81"/>
      <c r="BH1428" s="81"/>
      <c r="BI1428" s="81"/>
      <c r="BJ1428" s="81"/>
      <c r="BK1428" s="81"/>
      <c r="BL1428" s="81"/>
      <c r="BM1428" s="81"/>
      <c r="BN1428" s="66"/>
      <c r="BO1428" s="66"/>
      <c r="BP1428" s="66"/>
      <c r="BQ1428" s="66" t="str">
        <f>PROPER(TEXT(Prog_23[[#This Row],[PROGRAMAÇÃO CLIENTE]],"mmm"))</f>
        <v>Jan</v>
      </c>
      <c r="BR1428" s="66">
        <f>YEAR(Prog_23[[#This Row],[PROGRAMAÇÃO CLIENTE]])</f>
        <v>1900</v>
      </c>
    </row>
    <row r="1429" spans="1:70" x14ac:dyDescent="0.25">
      <c r="A1429" s="200">
        <f>Prog_23[[#This Row],[CONTEINER]]</f>
        <v>0</v>
      </c>
      <c r="B1429" s="86"/>
      <c r="C14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29" s="44"/>
      <c r="E1429" s="66"/>
      <c r="F1429" s="66"/>
      <c r="G1429" s="66"/>
      <c r="H1429" s="44"/>
      <c r="I1429" s="44"/>
      <c r="J1429" s="66"/>
      <c r="K1429" s="66"/>
      <c r="L1429" s="66"/>
      <c r="M1429" s="66"/>
      <c r="N1429" s="66">
        <f>SUM(Prog_23[[#This Row],[TARA]]+Prog_23[[#This Row],[PESO]])</f>
        <v>0</v>
      </c>
      <c r="O1429" s="44"/>
      <c r="P1429" s="66"/>
      <c r="Q1429" s="66"/>
      <c r="R1429" s="66"/>
      <c r="S1429" s="66"/>
      <c r="T1429" s="138" t="str">
        <f>IFERROR(LOOKUP($S1429,MOTORISTAS!$D$3:$D$916,MOTORISTAS!E$3:$E$916),"")</f>
        <v/>
      </c>
      <c r="U1429" s="138" t="str">
        <f>IFERROR(LOOKUP($S1429,MOTORISTAS!$D$3:$D$916,MOTORISTAS!F$3:$F$916),"")</f>
        <v/>
      </c>
      <c r="V1429" s="66"/>
      <c r="W1429" s="66"/>
      <c r="X1429" s="66"/>
      <c r="Y1429" s="66"/>
      <c r="Z1429" s="66"/>
      <c r="AA1429" s="66"/>
      <c r="AB1429" s="66"/>
      <c r="AC1429" s="66"/>
      <c r="AD1429" s="66"/>
      <c r="AE1429" s="66"/>
      <c r="AF1429" s="44"/>
      <c r="AG1429" s="254">
        <f>Prog_23[[#This Row],[SAÍDA DO CLIENTE]]-Prog_23[[#This Row],[PROGRAMAÇÃO CLIENTE]]</f>
        <v>0</v>
      </c>
      <c r="AH1429" s="44"/>
      <c r="AI1429" s="66"/>
      <c r="AJ1429" s="66"/>
      <c r="AK1429" s="66"/>
      <c r="AL1429" s="66"/>
      <c r="AM1429" s="66"/>
      <c r="AN1429" s="83"/>
      <c r="AO1429" s="83"/>
      <c r="AP1429" s="83"/>
      <c r="AQ1429" s="66"/>
      <c r="AR1429" s="66"/>
      <c r="AS1429" s="66"/>
      <c r="AT1429" s="81"/>
      <c r="AU1429" s="81"/>
      <c r="AV1429" s="81"/>
      <c r="AW1429" s="81"/>
      <c r="AX1429" s="83">
        <f>SUM(Prog_23[[#This Row],[ADIANTAMENTO]]+Prog_23[[#This Row],[SALDO]]+Prog_23[[#This Row],[MARGEM]]+Prog_23[[#This Row],[ESTADIA 1]])</f>
        <v>0</v>
      </c>
      <c r="AY14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29" s="81"/>
      <c r="BA1429" s="81"/>
      <c r="BB1429" s="81">
        <f>Prog_23[[#This Row],[VLR NF]]*0.1%</f>
        <v>0</v>
      </c>
      <c r="BC1429" s="81">
        <f>Prog_23[[#This Row],[VLR NF]]*0.05%</f>
        <v>0</v>
      </c>
      <c r="BD1429" s="81"/>
      <c r="BE1429" s="81"/>
      <c r="BF1429" s="81"/>
      <c r="BG1429" s="81"/>
      <c r="BH1429" s="81"/>
      <c r="BI1429" s="81"/>
      <c r="BJ1429" s="81"/>
      <c r="BK1429" s="81"/>
      <c r="BL1429" s="81"/>
      <c r="BM1429" s="81"/>
      <c r="BN1429" s="66"/>
      <c r="BO1429" s="66"/>
      <c r="BP1429" s="66"/>
      <c r="BQ1429" s="66" t="str">
        <f>PROPER(TEXT(Prog_23[[#This Row],[PROGRAMAÇÃO CLIENTE]],"mmm"))</f>
        <v>Jan</v>
      </c>
      <c r="BR1429" s="66">
        <f>YEAR(Prog_23[[#This Row],[PROGRAMAÇÃO CLIENTE]])</f>
        <v>1900</v>
      </c>
    </row>
    <row r="1430" spans="1:70" x14ac:dyDescent="0.25">
      <c r="A1430" s="201">
        <f>Prog_23[[#This Row],[CONTEINER]]</f>
        <v>0</v>
      </c>
      <c r="B1430" s="86"/>
      <c r="C14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30" s="44"/>
      <c r="E1430" s="66"/>
      <c r="F1430" s="66"/>
      <c r="G1430" s="66"/>
      <c r="H1430" s="44"/>
      <c r="I1430" s="44"/>
      <c r="J1430" s="66"/>
      <c r="K1430" s="66"/>
      <c r="L1430" s="66"/>
      <c r="M1430" s="66"/>
      <c r="N1430" s="66">
        <f>SUM(Prog_23[[#This Row],[TARA]]+Prog_23[[#This Row],[PESO]])</f>
        <v>0</v>
      </c>
      <c r="O1430" s="44"/>
      <c r="P1430" s="66"/>
      <c r="Q1430" s="66"/>
      <c r="R1430" s="66"/>
      <c r="S1430" s="66"/>
      <c r="T1430" s="138" t="str">
        <f>IFERROR(LOOKUP($S1430,MOTORISTAS!$D$3:$D$916,MOTORISTAS!E$3:$E$916),"")</f>
        <v/>
      </c>
      <c r="U1430" s="138" t="str">
        <f>IFERROR(LOOKUP($S1430,MOTORISTAS!$D$3:$D$916,MOTORISTAS!F$3:$F$916),"")</f>
        <v/>
      </c>
      <c r="V1430" s="66"/>
      <c r="W1430" s="66"/>
      <c r="X1430" s="66"/>
      <c r="Y1430" s="66"/>
      <c r="Z1430" s="66"/>
      <c r="AA1430" s="66"/>
      <c r="AB1430" s="66"/>
      <c r="AC1430" s="66"/>
      <c r="AD1430" s="66"/>
      <c r="AE1430" s="66"/>
      <c r="AF1430" s="44"/>
      <c r="AG1430" s="254">
        <f>Prog_23[[#This Row],[SAÍDA DO CLIENTE]]-Prog_23[[#This Row],[PROGRAMAÇÃO CLIENTE]]</f>
        <v>0</v>
      </c>
      <c r="AH1430" s="44"/>
      <c r="AI1430" s="66"/>
      <c r="AJ1430" s="66"/>
      <c r="AK1430" s="66"/>
      <c r="AL1430" s="66"/>
      <c r="AM1430" s="66"/>
      <c r="AN1430" s="83"/>
      <c r="AO1430" s="83"/>
      <c r="AP1430" s="83"/>
      <c r="AQ1430" s="66"/>
      <c r="AR1430" s="66"/>
      <c r="AS1430" s="66"/>
      <c r="AT1430" s="81"/>
      <c r="AU1430" s="81"/>
      <c r="AV1430" s="81"/>
      <c r="AW1430" s="81"/>
      <c r="AX1430" s="83">
        <f>SUM(Prog_23[[#This Row],[ADIANTAMENTO]]+Prog_23[[#This Row],[SALDO]]+Prog_23[[#This Row],[MARGEM]]+Prog_23[[#This Row],[ESTADIA 1]])</f>
        <v>0</v>
      </c>
      <c r="AY14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30" s="81"/>
      <c r="BA1430" s="81"/>
      <c r="BB1430" s="81">
        <f>Prog_23[[#This Row],[VLR NF]]*0.1%</f>
        <v>0</v>
      </c>
      <c r="BC1430" s="81">
        <f>Prog_23[[#This Row],[VLR NF]]*0.05%</f>
        <v>0</v>
      </c>
      <c r="BD1430" s="81"/>
      <c r="BE1430" s="81"/>
      <c r="BF1430" s="81"/>
      <c r="BG1430" s="81"/>
      <c r="BH1430" s="81"/>
      <c r="BI1430" s="81"/>
      <c r="BJ1430" s="81"/>
      <c r="BK1430" s="81"/>
      <c r="BL1430" s="81"/>
      <c r="BM1430" s="81"/>
      <c r="BN1430" s="66"/>
      <c r="BO1430" s="66"/>
      <c r="BP1430" s="66"/>
      <c r="BQ1430" s="66" t="str">
        <f>PROPER(TEXT(Prog_23[[#This Row],[PROGRAMAÇÃO CLIENTE]],"mmm"))</f>
        <v>Jan</v>
      </c>
      <c r="BR1430" s="66">
        <f>YEAR(Prog_23[[#This Row],[PROGRAMAÇÃO CLIENTE]])</f>
        <v>1900</v>
      </c>
    </row>
    <row r="1431" spans="1:70" x14ac:dyDescent="0.25">
      <c r="A1431" s="200">
        <f>Prog_23[[#This Row],[CONTEINER]]</f>
        <v>0</v>
      </c>
      <c r="B1431" s="86"/>
      <c r="C14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31" s="44"/>
      <c r="E1431" s="66"/>
      <c r="F1431" s="66"/>
      <c r="G1431" s="66"/>
      <c r="H1431" s="44"/>
      <c r="I1431" s="44"/>
      <c r="J1431" s="66"/>
      <c r="K1431" s="66"/>
      <c r="L1431" s="66"/>
      <c r="M1431" s="66"/>
      <c r="N1431" s="66">
        <f>SUM(Prog_23[[#This Row],[TARA]]+Prog_23[[#This Row],[PESO]])</f>
        <v>0</v>
      </c>
      <c r="O1431" s="44"/>
      <c r="P1431" s="66"/>
      <c r="Q1431" s="66"/>
      <c r="R1431" s="66"/>
      <c r="S1431" s="66"/>
      <c r="T1431" s="138" t="str">
        <f>IFERROR(LOOKUP($S1431,MOTORISTAS!$D$3:$D$916,MOTORISTAS!E$3:$E$916),"")</f>
        <v/>
      </c>
      <c r="U1431" s="138" t="str">
        <f>IFERROR(LOOKUP($S1431,MOTORISTAS!$D$3:$D$916,MOTORISTAS!F$3:$F$916),"")</f>
        <v/>
      </c>
      <c r="V1431" s="66"/>
      <c r="W1431" s="66"/>
      <c r="X1431" s="66"/>
      <c r="Y1431" s="66"/>
      <c r="Z1431" s="66"/>
      <c r="AA1431" s="66"/>
      <c r="AB1431" s="66"/>
      <c r="AC1431" s="66"/>
      <c r="AD1431" s="66"/>
      <c r="AE1431" s="66"/>
      <c r="AF1431" s="44"/>
      <c r="AG1431" s="254">
        <f>Prog_23[[#This Row],[SAÍDA DO CLIENTE]]-Prog_23[[#This Row],[PROGRAMAÇÃO CLIENTE]]</f>
        <v>0</v>
      </c>
      <c r="AH1431" s="44"/>
      <c r="AI1431" s="66"/>
      <c r="AJ1431" s="66"/>
      <c r="AK1431" s="66"/>
      <c r="AL1431" s="66"/>
      <c r="AM1431" s="66"/>
      <c r="AN1431" s="83"/>
      <c r="AO1431" s="83"/>
      <c r="AP1431" s="83"/>
      <c r="AQ1431" s="66"/>
      <c r="AR1431" s="66"/>
      <c r="AS1431" s="66"/>
      <c r="AT1431" s="81"/>
      <c r="AU1431" s="81"/>
      <c r="AV1431" s="81"/>
      <c r="AW1431" s="81"/>
      <c r="AX1431" s="83">
        <f>SUM(Prog_23[[#This Row],[ADIANTAMENTO]]+Prog_23[[#This Row],[SALDO]]+Prog_23[[#This Row],[MARGEM]]+Prog_23[[#This Row],[ESTADIA 1]])</f>
        <v>0</v>
      </c>
      <c r="AY14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31" s="81"/>
      <c r="BA1431" s="81"/>
      <c r="BB1431" s="81">
        <f>Prog_23[[#This Row],[VLR NF]]*0.1%</f>
        <v>0</v>
      </c>
      <c r="BC1431" s="81">
        <f>Prog_23[[#This Row],[VLR NF]]*0.05%</f>
        <v>0</v>
      </c>
      <c r="BD1431" s="81"/>
      <c r="BE1431" s="81"/>
      <c r="BF1431" s="81"/>
      <c r="BG1431" s="81"/>
      <c r="BH1431" s="81"/>
      <c r="BI1431" s="81"/>
      <c r="BJ1431" s="81"/>
      <c r="BK1431" s="81"/>
      <c r="BL1431" s="81"/>
      <c r="BM1431" s="81"/>
      <c r="BN1431" s="66"/>
      <c r="BO1431" s="66"/>
      <c r="BP1431" s="66"/>
      <c r="BQ1431" s="66" t="str">
        <f>PROPER(TEXT(Prog_23[[#This Row],[PROGRAMAÇÃO CLIENTE]],"mmm"))</f>
        <v>Jan</v>
      </c>
      <c r="BR1431" s="66">
        <f>YEAR(Prog_23[[#This Row],[PROGRAMAÇÃO CLIENTE]])</f>
        <v>1900</v>
      </c>
    </row>
    <row r="1432" spans="1:70" x14ac:dyDescent="0.25">
      <c r="A1432" s="201">
        <f>Prog_23[[#This Row],[CONTEINER]]</f>
        <v>0</v>
      </c>
      <c r="B1432" s="86"/>
      <c r="C14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32" s="44"/>
      <c r="E1432" s="66"/>
      <c r="F1432" s="66"/>
      <c r="G1432" s="66"/>
      <c r="H1432" s="44"/>
      <c r="I1432" s="44"/>
      <c r="J1432" s="66"/>
      <c r="K1432" s="66"/>
      <c r="L1432" s="66"/>
      <c r="M1432" s="66"/>
      <c r="N1432" s="66">
        <f>SUM(Prog_23[[#This Row],[TARA]]+Prog_23[[#This Row],[PESO]])</f>
        <v>0</v>
      </c>
      <c r="O1432" s="44"/>
      <c r="P1432" s="66"/>
      <c r="Q1432" s="66"/>
      <c r="R1432" s="66"/>
      <c r="S1432" s="66"/>
      <c r="T1432" s="138" t="str">
        <f>IFERROR(LOOKUP($S1432,MOTORISTAS!$D$3:$D$916,MOTORISTAS!E$3:$E$916),"")</f>
        <v/>
      </c>
      <c r="U1432" s="138" t="str">
        <f>IFERROR(LOOKUP($S1432,MOTORISTAS!$D$3:$D$916,MOTORISTAS!F$3:$F$916),"")</f>
        <v/>
      </c>
      <c r="V1432" s="66"/>
      <c r="W1432" s="66"/>
      <c r="X1432" s="66"/>
      <c r="Y1432" s="66"/>
      <c r="Z1432" s="66"/>
      <c r="AA1432" s="66"/>
      <c r="AB1432" s="66"/>
      <c r="AC1432" s="66"/>
      <c r="AD1432" s="66"/>
      <c r="AE1432" s="66"/>
      <c r="AF1432" s="44"/>
      <c r="AG1432" s="254">
        <f>Prog_23[[#This Row],[SAÍDA DO CLIENTE]]-Prog_23[[#This Row],[PROGRAMAÇÃO CLIENTE]]</f>
        <v>0</v>
      </c>
      <c r="AH1432" s="44"/>
      <c r="AI1432" s="66"/>
      <c r="AJ1432" s="66"/>
      <c r="AK1432" s="66"/>
      <c r="AL1432" s="66"/>
      <c r="AM1432" s="66"/>
      <c r="AN1432" s="83"/>
      <c r="AO1432" s="83"/>
      <c r="AP1432" s="83"/>
      <c r="AQ1432" s="66"/>
      <c r="AR1432" s="66"/>
      <c r="AS1432" s="66"/>
      <c r="AT1432" s="81"/>
      <c r="AU1432" s="81"/>
      <c r="AV1432" s="81"/>
      <c r="AW1432" s="81"/>
      <c r="AX1432" s="83">
        <f>SUM(Prog_23[[#This Row],[ADIANTAMENTO]]+Prog_23[[#This Row],[SALDO]]+Prog_23[[#This Row],[MARGEM]]+Prog_23[[#This Row],[ESTADIA 1]])</f>
        <v>0</v>
      </c>
      <c r="AY14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32" s="81"/>
      <c r="BA1432" s="81"/>
      <c r="BB1432" s="81">
        <f>Prog_23[[#This Row],[VLR NF]]*0.1%</f>
        <v>0</v>
      </c>
      <c r="BC1432" s="81">
        <f>Prog_23[[#This Row],[VLR NF]]*0.05%</f>
        <v>0</v>
      </c>
      <c r="BD1432" s="81"/>
      <c r="BE1432" s="81"/>
      <c r="BF1432" s="81"/>
      <c r="BG1432" s="81"/>
      <c r="BH1432" s="81"/>
      <c r="BI1432" s="81"/>
      <c r="BJ1432" s="81"/>
      <c r="BK1432" s="81"/>
      <c r="BL1432" s="81"/>
      <c r="BM1432" s="81"/>
      <c r="BN1432" s="66"/>
      <c r="BO1432" s="66"/>
      <c r="BP1432" s="66"/>
      <c r="BQ1432" s="66" t="str">
        <f>PROPER(TEXT(Prog_23[[#This Row],[PROGRAMAÇÃO CLIENTE]],"mmm"))</f>
        <v>Jan</v>
      </c>
      <c r="BR1432" s="66">
        <f>YEAR(Prog_23[[#This Row],[PROGRAMAÇÃO CLIENTE]])</f>
        <v>1900</v>
      </c>
    </row>
    <row r="1433" spans="1:70" x14ac:dyDescent="0.25">
      <c r="A1433" s="200">
        <f>Prog_23[[#This Row],[CONTEINER]]</f>
        <v>0</v>
      </c>
      <c r="B1433" s="86"/>
      <c r="C14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33" s="44"/>
      <c r="E1433" s="66"/>
      <c r="F1433" s="66"/>
      <c r="G1433" s="66"/>
      <c r="H1433" s="44"/>
      <c r="I1433" s="44"/>
      <c r="J1433" s="66"/>
      <c r="K1433" s="66"/>
      <c r="L1433" s="66"/>
      <c r="M1433" s="66"/>
      <c r="N1433" s="66">
        <f>SUM(Prog_23[[#This Row],[TARA]]+Prog_23[[#This Row],[PESO]])</f>
        <v>0</v>
      </c>
      <c r="O1433" s="44"/>
      <c r="P1433" s="66"/>
      <c r="Q1433" s="66"/>
      <c r="R1433" s="66"/>
      <c r="S1433" s="66"/>
      <c r="T1433" s="138" t="str">
        <f>IFERROR(LOOKUP($S1433,MOTORISTAS!$D$3:$D$916,MOTORISTAS!E$3:$E$916),"")</f>
        <v/>
      </c>
      <c r="U1433" s="138" t="str">
        <f>IFERROR(LOOKUP($S1433,MOTORISTAS!$D$3:$D$916,MOTORISTAS!F$3:$F$916),"")</f>
        <v/>
      </c>
      <c r="V1433" s="66"/>
      <c r="W1433" s="66"/>
      <c r="X1433" s="66"/>
      <c r="Y1433" s="66"/>
      <c r="Z1433" s="66"/>
      <c r="AA1433" s="66"/>
      <c r="AB1433" s="66"/>
      <c r="AC1433" s="66"/>
      <c r="AD1433" s="66"/>
      <c r="AE1433" s="66"/>
      <c r="AF1433" s="44"/>
      <c r="AG1433" s="254">
        <f>Prog_23[[#This Row],[SAÍDA DO CLIENTE]]-Prog_23[[#This Row],[PROGRAMAÇÃO CLIENTE]]</f>
        <v>0</v>
      </c>
      <c r="AH1433" s="44"/>
      <c r="AI1433" s="66"/>
      <c r="AJ1433" s="66"/>
      <c r="AK1433" s="66"/>
      <c r="AL1433" s="66"/>
      <c r="AM1433" s="66"/>
      <c r="AN1433" s="83"/>
      <c r="AO1433" s="83"/>
      <c r="AP1433" s="83"/>
      <c r="AQ1433" s="66"/>
      <c r="AR1433" s="66"/>
      <c r="AS1433" s="66"/>
      <c r="AT1433" s="81"/>
      <c r="AU1433" s="81"/>
      <c r="AV1433" s="81"/>
      <c r="AW1433" s="81"/>
      <c r="AX1433" s="83">
        <f>SUM(Prog_23[[#This Row],[ADIANTAMENTO]]+Prog_23[[#This Row],[SALDO]]+Prog_23[[#This Row],[MARGEM]]+Prog_23[[#This Row],[ESTADIA 1]])</f>
        <v>0</v>
      </c>
      <c r="AY14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33" s="81"/>
      <c r="BA1433" s="81"/>
      <c r="BB1433" s="81">
        <f>Prog_23[[#This Row],[VLR NF]]*0.1%</f>
        <v>0</v>
      </c>
      <c r="BC1433" s="81">
        <f>Prog_23[[#This Row],[VLR NF]]*0.05%</f>
        <v>0</v>
      </c>
      <c r="BD1433" s="81"/>
      <c r="BE1433" s="81"/>
      <c r="BF1433" s="81"/>
      <c r="BG1433" s="81"/>
      <c r="BH1433" s="81"/>
      <c r="BI1433" s="81"/>
      <c r="BJ1433" s="81"/>
      <c r="BK1433" s="81"/>
      <c r="BL1433" s="81"/>
      <c r="BM1433" s="81"/>
      <c r="BN1433" s="66"/>
      <c r="BO1433" s="66"/>
      <c r="BP1433" s="66"/>
      <c r="BQ1433" s="66" t="str">
        <f>PROPER(TEXT(Prog_23[[#This Row],[PROGRAMAÇÃO CLIENTE]],"mmm"))</f>
        <v>Jan</v>
      </c>
      <c r="BR1433" s="66">
        <f>YEAR(Prog_23[[#This Row],[PROGRAMAÇÃO CLIENTE]])</f>
        <v>1900</v>
      </c>
    </row>
    <row r="1434" spans="1:70" x14ac:dyDescent="0.25">
      <c r="A1434" s="201">
        <f>Prog_23[[#This Row],[CONTEINER]]</f>
        <v>0</v>
      </c>
      <c r="B1434" s="86"/>
      <c r="C14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34" s="44"/>
      <c r="E1434" s="66"/>
      <c r="F1434" s="66"/>
      <c r="G1434" s="66"/>
      <c r="H1434" s="44"/>
      <c r="I1434" s="44"/>
      <c r="J1434" s="66"/>
      <c r="K1434" s="66"/>
      <c r="L1434" s="66"/>
      <c r="M1434" s="66"/>
      <c r="N1434" s="66">
        <f>SUM(Prog_23[[#This Row],[TARA]]+Prog_23[[#This Row],[PESO]])</f>
        <v>0</v>
      </c>
      <c r="O1434" s="44"/>
      <c r="P1434" s="66"/>
      <c r="Q1434" s="66"/>
      <c r="R1434" s="66"/>
      <c r="S1434" s="66"/>
      <c r="T1434" s="138" t="str">
        <f>IFERROR(LOOKUP($S1434,MOTORISTAS!$D$3:$D$916,MOTORISTAS!E$3:$E$916),"")</f>
        <v/>
      </c>
      <c r="U1434" s="138" t="str">
        <f>IFERROR(LOOKUP($S1434,MOTORISTAS!$D$3:$D$916,MOTORISTAS!F$3:$F$916),"")</f>
        <v/>
      </c>
      <c r="V1434" s="66"/>
      <c r="W1434" s="66"/>
      <c r="X1434" s="66"/>
      <c r="Y1434" s="66"/>
      <c r="Z1434" s="66"/>
      <c r="AA1434" s="66"/>
      <c r="AB1434" s="66"/>
      <c r="AC1434" s="66"/>
      <c r="AD1434" s="66"/>
      <c r="AE1434" s="66"/>
      <c r="AF1434" s="44"/>
      <c r="AG1434" s="254">
        <f>Prog_23[[#This Row],[SAÍDA DO CLIENTE]]-Prog_23[[#This Row],[PROGRAMAÇÃO CLIENTE]]</f>
        <v>0</v>
      </c>
      <c r="AH1434" s="44"/>
      <c r="AI1434" s="66"/>
      <c r="AJ1434" s="66"/>
      <c r="AK1434" s="66"/>
      <c r="AL1434" s="66"/>
      <c r="AM1434" s="66"/>
      <c r="AN1434" s="83"/>
      <c r="AO1434" s="83"/>
      <c r="AP1434" s="83"/>
      <c r="AQ1434" s="66"/>
      <c r="AR1434" s="66"/>
      <c r="AS1434" s="66"/>
      <c r="AT1434" s="81"/>
      <c r="AU1434" s="81"/>
      <c r="AV1434" s="81"/>
      <c r="AW1434" s="81"/>
      <c r="AX1434" s="83">
        <f>SUM(Prog_23[[#This Row],[ADIANTAMENTO]]+Prog_23[[#This Row],[SALDO]]+Prog_23[[#This Row],[MARGEM]]+Prog_23[[#This Row],[ESTADIA 1]])</f>
        <v>0</v>
      </c>
      <c r="AY14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34" s="81"/>
      <c r="BA1434" s="81"/>
      <c r="BB1434" s="81">
        <f>Prog_23[[#This Row],[VLR NF]]*0.1%</f>
        <v>0</v>
      </c>
      <c r="BC1434" s="81">
        <f>Prog_23[[#This Row],[VLR NF]]*0.05%</f>
        <v>0</v>
      </c>
      <c r="BD1434" s="81"/>
      <c r="BE1434" s="81"/>
      <c r="BF1434" s="81"/>
      <c r="BG1434" s="81"/>
      <c r="BH1434" s="81"/>
      <c r="BI1434" s="81"/>
      <c r="BJ1434" s="81"/>
      <c r="BK1434" s="81"/>
      <c r="BL1434" s="81"/>
      <c r="BM1434" s="81"/>
      <c r="BN1434" s="66"/>
      <c r="BO1434" s="66"/>
      <c r="BP1434" s="66"/>
      <c r="BQ1434" s="66" t="str">
        <f>PROPER(TEXT(Prog_23[[#This Row],[PROGRAMAÇÃO CLIENTE]],"mmm"))</f>
        <v>Jan</v>
      </c>
      <c r="BR1434" s="66">
        <f>YEAR(Prog_23[[#This Row],[PROGRAMAÇÃO CLIENTE]])</f>
        <v>1900</v>
      </c>
    </row>
    <row r="1435" spans="1:70" x14ac:dyDescent="0.25">
      <c r="A1435" s="200">
        <f>Prog_23[[#This Row],[CONTEINER]]</f>
        <v>0</v>
      </c>
      <c r="B1435" s="86"/>
      <c r="C14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35" s="44"/>
      <c r="E1435" s="66"/>
      <c r="F1435" s="66"/>
      <c r="G1435" s="66"/>
      <c r="H1435" s="44"/>
      <c r="I1435" s="44"/>
      <c r="J1435" s="66"/>
      <c r="K1435" s="66"/>
      <c r="L1435" s="66"/>
      <c r="M1435" s="66"/>
      <c r="N1435" s="66">
        <f>SUM(Prog_23[[#This Row],[TARA]]+Prog_23[[#This Row],[PESO]])</f>
        <v>0</v>
      </c>
      <c r="O1435" s="44"/>
      <c r="P1435" s="66"/>
      <c r="Q1435" s="66"/>
      <c r="R1435" s="66"/>
      <c r="S1435" s="66"/>
      <c r="T1435" s="138" t="str">
        <f>IFERROR(LOOKUP($S1435,MOTORISTAS!$D$3:$D$916,MOTORISTAS!E$3:$E$916),"")</f>
        <v/>
      </c>
      <c r="U1435" s="138" t="str">
        <f>IFERROR(LOOKUP($S1435,MOTORISTAS!$D$3:$D$916,MOTORISTAS!F$3:$F$916),"")</f>
        <v/>
      </c>
      <c r="V1435" s="66"/>
      <c r="W1435" s="66"/>
      <c r="X1435" s="66"/>
      <c r="Y1435" s="66"/>
      <c r="Z1435" s="66"/>
      <c r="AA1435" s="66"/>
      <c r="AB1435" s="66"/>
      <c r="AC1435" s="66"/>
      <c r="AD1435" s="66"/>
      <c r="AE1435" s="66"/>
      <c r="AF1435" s="44"/>
      <c r="AG1435" s="254">
        <f>Prog_23[[#This Row],[SAÍDA DO CLIENTE]]-Prog_23[[#This Row],[PROGRAMAÇÃO CLIENTE]]</f>
        <v>0</v>
      </c>
      <c r="AH1435" s="44"/>
      <c r="AI1435" s="66"/>
      <c r="AJ1435" s="66"/>
      <c r="AK1435" s="66"/>
      <c r="AL1435" s="66"/>
      <c r="AM1435" s="66"/>
      <c r="AN1435" s="83"/>
      <c r="AO1435" s="83"/>
      <c r="AP1435" s="83"/>
      <c r="AQ1435" s="66"/>
      <c r="AR1435" s="66"/>
      <c r="AS1435" s="66"/>
      <c r="AT1435" s="81"/>
      <c r="AU1435" s="81"/>
      <c r="AV1435" s="81"/>
      <c r="AW1435" s="81"/>
      <c r="AX1435" s="83">
        <f>SUM(Prog_23[[#This Row],[ADIANTAMENTO]]+Prog_23[[#This Row],[SALDO]]+Prog_23[[#This Row],[MARGEM]]+Prog_23[[#This Row],[ESTADIA 1]])</f>
        <v>0</v>
      </c>
      <c r="AY14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35" s="81"/>
      <c r="BA1435" s="81"/>
      <c r="BB1435" s="81">
        <f>Prog_23[[#This Row],[VLR NF]]*0.1%</f>
        <v>0</v>
      </c>
      <c r="BC1435" s="81">
        <f>Prog_23[[#This Row],[VLR NF]]*0.05%</f>
        <v>0</v>
      </c>
      <c r="BD1435" s="81"/>
      <c r="BE1435" s="81"/>
      <c r="BF1435" s="81"/>
      <c r="BG1435" s="81"/>
      <c r="BH1435" s="81"/>
      <c r="BI1435" s="81"/>
      <c r="BJ1435" s="81"/>
      <c r="BK1435" s="81"/>
      <c r="BL1435" s="81"/>
      <c r="BM1435" s="81"/>
      <c r="BN1435" s="66"/>
      <c r="BO1435" s="66"/>
      <c r="BP1435" s="66"/>
      <c r="BQ1435" s="66" t="str">
        <f>PROPER(TEXT(Prog_23[[#This Row],[PROGRAMAÇÃO CLIENTE]],"mmm"))</f>
        <v>Jan</v>
      </c>
      <c r="BR1435" s="66">
        <f>YEAR(Prog_23[[#This Row],[PROGRAMAÇÃO CLIENTE]])</f>
        <v>1900</v>
      </c>
    </row>
    <row r="1436" spans="1:70" x14ac:dyDescent="0.25">
      <c r="A1436" s="201">
        <f>Prog_23[[#This Row],[CONTEINER]]</f>
        <v>0</v>
      </c>
      <c r="B1436" s="86"/>
      <c r="C14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36" s="44"/>
      <c r="E1436" s="66"/>
      <c r="F1436" s="66"/>
      <c r="G1436" s="66"/>
      <c r="H1436" s="44"/>
      <c r="I1436" s="44"/>
      <c r="J1436" s="66"/>
      <c r="K1436" s="66"/>
      <c r="L1436" s="66"/>
      <c r="M1436" s="66"/>
      <c r="N1436" s="66">
        <f>SUM(Prog_23[[#This Row],[TARA]]+Prog_23[[#This Row],[PESO]])</f>
        <v>0</v>
      </c>
      <c r="O1436" s="44"/>
      <c r="P1436" s="66"/>
      <c r="Q1436" s="66"/>
      <c r="R1436" s="66"/>
      <c r="S1436" s="66"/>
      <c r="T1436" s="138" t="str">
        <f>IFERROR(LOOKUP($S1436,MOTORISTAS!$D$3:$D$916,MOTORISTAS!E$3:$E$916),"")</f>
        <v/>
      </c>
      <c r="U1436" s="138" t="str">
        <f>IFERROR(LOOKUP($S1436,MOTORISTAS!$D$3:$D$916,MOTORISTAS!F$3:$F$916),"")</f>
        <v/>
      </c>
      <c r="V1436" s="66"/>
      <c r="W1436" s="66"/>
      <c r="X1436" s="66"/>
      <c r="Y1436" s="66"/>
      <c r="Z1436" s="66"/>
      <c r="AA1436" s="66"/>
      <c r="AB1436" s="66"/>
      <c r="AC1436" s="66"/>
      <c r="AD1436" s="66"/>
      <c r="AE1436" s="66"/>
      <c r="AF1436" s="44"/>
      <c r="AG1436" s="254">
        <f>Prog_23[[#This Row],[SAÍDA DO CLIENTE]]-Prog_23[[#This Row],[PROGRAMAÇÃO CLIENTE]]</f>
        <v>0</v>
      </c>
      <c r="AH1436" s="44"/>
      <c r="AI1436" s="66"/>
      <c r="AJ1436" s="66"/>
      <c r="AK1436" s="66"/>
      <c r="AL1436" s="66"/>
      <c r="AM1436" s="66"/>
      <c r="AN1436" s="83"/>
      <c r="AO1436" s="83"/>
      <c r="AP1436" s="83"/>
      <c r="AQ1436" s="66"/>
      <c r="AR1436" s="66"/>
      <c r="AS1436" s="66"/>
      <c r="AT1436" s="81"/>
      <c r="AU1436" s="81"/>
      <c r="AV1436" s="81"/>
      <c r="AW1436" s="81"/>
      <c r="AX1436" s="83">
        <f>SUM(Prog_23[[#This Row],[ADIANTAMENTO]]+Prog_23[[#This Row],[SALDO]]+Prog_23[[#This Row],[MARGEM]]+Prog_23[[#This Row],[ESTADIA 1]])</f>
        <v>0</v>
      </c>
      <c r="AY14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36" s="81"/>
      <c r="BA1436" s="81"/>
      <c r="BB1436" s="81">
        <f>Prog_23[[#This Row],[VLR NF]]*0.1%</f>
        <v>0</v>
      </c>
      <c r="BC1436" s="81">
        <f>Prog_23[[#This Row],[VLR NF]]*0.05%</f>
        <v>0</v>
      </c>
      <c r="BD1436" s="81"/>
      <c r="BE1436" s="81"/>
      <c r="BF1436" s="81"/>
      <c r="BG1436" s="81"/>
      <c r="BH1436" s="81"/>
      <c r="BI1436" s="81"/>
      <c r="BJ1436" s="81"/>
      <c r="BK1436" s="81"/>
      <c r="BL1436" s="81"/>
      <c r="BM1436" s="81"/>
      <c r="BN1436" s="66"/>
      <c r="BO1436" s="66"/>
      <c r="BP1436" s="66"/>
      <c r="BQ1436" s="66" t="str">
        <f>PROPER(TEXT(Prog_23[[#This Row],[PROGRAMAÇÃO CLIENTE]],"mmm"))</f>
        <v>Jan</v>
      </c>
      <c r="BR1436" s="66">
        <f>YEAR(Prog_23[[#This Row],[PROGRAMAÇÃO CLIENTE]])</f>
        <v>1900</v>
      </c>
    </row>
    <row r="1437" spans="1:70" x14ac:dyDescent="0.25">
      <c r="A1437" s="200">
        <f>Prog_23[[#This Row],[CONTEINER]]</f>
        <v>0</v>
      </c>
      <c r="B1437" s="86"/>
      <c r="C14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37" s="44"/>
      <c r="E1437" s="66"/>
      <c r="F1437" s="66"/>
      <c r="G1437" s="66"/>
      <c r="H1437" s="44"/>
      <c r="I1437" s="44"/>
      <c r="J1437" s="66"/>
      <c r="K1437" s="66"/>
      <c r="L1437" s="66"/>
      <c r="M1437" s="66"/>
      <c r="N1437" s="66">
        <f>SUM(Prog_23[[#This Row],[TARA]]+Prog_23[[#This Row],[PESO]])</f>
        <v>0</v>
      </c>
      <c r="O1437" s="44"/>
      <c r="P1437" s="66"/>
      <c r="Q1437" s="66"/>
      <c r="R1437" s="66"/>
      <c r="S1437" s="66"/>
      <c r="T1437" s="138" t="str">
        <f>IFERROR(LOOKUP($S1437,MOTORISTAS!$D$3:$D$916,MOTORISTAS!E$3:$E$916),"")</f>
        <v/>
      </c>
      <c r="U1437" s="138" t="str">
        <f>IFERROR(LOOKUP($S1437,MOTORISTAS!$D$3:$D$916,MOTORISTAS!F$3:$F$916),"")</f>
        <v/>
      </c>
      <c r="V1437" s="66"/>
      <c r="W1437" s="66"/>
      <c r="X1437" s="66"/>
      <c r="Y1437" s="66"/>
      <c r="Z1437" s="66"/>
      <c r="AA1437" s="66"/>
      <c r="AB1437" s="66"/>
      <c r="AC1437" s="66"/>
      <c r="AD1437" s="66"/>
      <c r="AE1437" s="66"/>
      <c r="AF1437" s="44"/>
      <c r="AG1437" s="254">
        <f>Prog_23[[#This Row],[SAÍDA DO CLIENTE]]-Prog_23[[#This Row],[PROGRAMAÇÃO CLIENTE]]</f>
        <v>0</v>
      </c>
      <c r="AH1437" s="44"/>
      <c r="AI1437" s="66"/>
      <c r="AJ1437" s="66"/>
      <c r="AK1437" s="66"/>
      <c r="AL1437" s="66"/>
      <c r="AM1437" s="66"/>
      <c r="AN1437" s="83"/>
      <c r="AO1437" s="83"/>
      <c r="AP1437" s="83"/>
      <c r="AQ1437" s="66"/>
      <c r="AR1437" s="66"/>
      <c r="AS1437" s="66"/>
      <c r="AT1437" s="81"/>
      <c r="AU1437" s="81"/>
      <c r="AV1437" s="81"/>
      <c r="AW1437" s="81"/>
      <c r="AX1437" s="83">
        <f>SUM(Prog_23[[#This Row],[ADIANTAMENTO]]+Prog_23[[#This Row],[SALDO]]+Prog_23[[#This Row],[MARGEM]]+Prog_23[[#This Row],[ESTADIA 1]])</f>
        <v>0</v>
      </c>
      <c r="AY14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37" s="81"/>
      <c r="BA1437" s="81"/>
      <c r="BB1437" s="81">
        <f>Prog_23[[#This Row],[VLR NF]]*0.1%</f>
        <v>0</v>
      </c>
      <c r="BC1437" s="81">
        <f>Prog_23[[#This Row],[VLR NF]]*0.05%</f>
        <v>0</v>
      </c>
      <c r="BD1437" s="81"/>
      <c r="BE1437" s="81"/>
      <c r="BF1437" s="81"/>
      <c r="BG1437" s="81"/>
      <c r="BH1437" s="81"/>
      <c r="BI1437" s="81"/>
      <c r="BJ1437" s="81"/>
      <c r="BK1437" s="81"/>
      <c r="BL1437" s="81"/>
      <c r="BM1437" s="81"/>
      <c r="BN1437" s="66"/>
      <c r="BO1437" s="66"/>
      <c r="BP1437" s="66"/>
      <c r="BQ1437" s="66" t="str">
        <f>PROPER(TEXT(Prog_23[[#This Row],[PROGRAMAÇÃO CLIENTE]],"mmm"))</f>
        <v>Jan</v>
      </c>
      <c r="BR1437" s="66">
        <f>YEAR(Prog_23[[#This Row],[PROGRAMAÇÃO CLIENTE]])</f>
        <v>1900</v>
      </c>
    </row>
    <row r="1438" spans="1:70" x14ac:dyDescent="0.25">
      <c r="A1438" s="201">
        <f>Prog_23[[#This Row],[CONTEINER]]</f>
        <v>0</v>
      </c>
      <c r="B1438" s="86"/>
      <c r="C14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38" s="44"/>
      <c r="E1438" s="66"/>
      <c r="F1438" s="66"/>
      <c r="G1438" s="66"/>
      <c r="H1438" s="44"/>
      <c r="I1438" s="44"/>
      <c r="J1438" s="66"/>
      <c r="K1438" s="66"/>
      <c r="L1438" s="66"/>
      <c r="M1438" s="66"/>
      <c r="N1438" s="66">
        <f>SUM(Prog_23[[#This Row],[TARA]]+Prog_23[[#This Row],[PESO]])</f>
        <v>0</v>
      </c>
      <c r="O1438" s="44"/>
      <c r="P1438" s="66"/>
      <c r="Q1438" s="66"/>
      <c r="R1438" s="66"/>
      <c r="S1438" s="66"/>
      <c r="T1438" s="138" t="str">
        <f>IFERROR(LOOKUP($S1438,MOTORISTAS!$D$3:$D$916,MOTORISTAS!E$3:$E$916),"")</f>
        <v/>
      </c>
      <c r="U1438" s="138" t="str">
        <f>IFERROR(LOOKUP($S1438,MOTORISTAS!$D$3:$D$916,MOTORISTAS!F$3:$F$916),"")</f>
        <v/>
      </c>
      <c r="V1438" s="66"/>
      <c r="W1438" s="66"/>
      <c r="X1438" s="66"/>
      <c r="Y1438" s="66"/>
      <c r="Z1438" s="66"/>
      <c r="AA1438" s="66"/>
      <c r="AB1438" s="66"/>
      <c r="AC1438" s="66"/>
      <c r="AD1438" s="66"/>
      <c r="AE1438" s="66"/>
      <c r="AF1438" s="44"/>
      <c r="AG1438" s="254">
        <f>Prog_23[[#This Row],[SAÍDA DO CLIENTE]]-Prog_23[[#This Row],[PROGRAMAÇÃO CLIENTE]]</f>
        <v>0</v>
      </c>
      <c r="AH1438" s="44"/>
      <c r="AI1438" s="66"/>
      <c r="AJ1438" s="66"/>
      <c r="AK1438" s="66"/>
      <c r="AL1438" s="66"/>
      <c r="AM1438" s="66"/>
      <c r="AN1438" s="83"/>
      <c r="AO1438" s="83"/>
      <c r="AP1438" s="83"/>
      <c r="AQ1438" s="66"/>
      <c r="AR1438" s="66"/>
      <c r="AS1438" s="66"/>
      <c r="AT1438" s="81"/>
      <c r="AU1438" s="81"/>
      <c r="AV1438" s="81"/>
      <c r="AW1438" s="81"/>
      <c r="AX1438" s="83">
        <f>SUM(Prog_23[[#This Row],[ADIANTAMENTO]]+Prog_23[[#This Row],[SALDO]]+Prog_23[[#This Row],[MARGEM]]+Prog_23[[#This Row],[ESTADIA 1]])</f>
        <v>0</v>
      </c>
      <c r="AY14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38" s="81"/>
      <c r="BA1438" s="81"/>
      <c r="BB1438" s="81">
        <f>Prog_23[[#This Row],[VLR NF]]*0.1%</f>
        <v>0</v>
      </c>
      <c r="BC1438" s="81">
        <f>Prog_23[[#This Row],[VLR NF]]*0.05%</f>
        <v>0</v>
      </c>
      <c r="BD1438" s="81"/>
      <c r="BE1438" s="81"/>
      <c r="BF1438" s="81"/>
      <c r="BG1438" s="81"/>
      <c r="BH1438" s="81"/>
      <c r="BI1438" s="81"/>
      <c r="BJ1438" s="81"/>
      <c r="BK1438" s="81"/>
      <c r="BL1438" s="81"/>
      <c r="BM1438" s="81"/>
      <c r="BN1438" s="66"/>
      <c r="BO1438" s="66"/>
      <c r="BP1438" s="66"/>
      <c r="BQ1438" s="66" t="str">
        <f>PROPER(TEXT(Prog_23[[#This Row],[PROGRAMAÇÃO CLIENTE]],"mmm"))</f>
        <v>Jan</v>
      </c>
      <c r="BR1438" s="66">
        <f>YEAR(Prog_23[[#This Row],[PROGRAMAÇÃO CLIENTE]])</f>
        <v>1900</v>
      </c>
    </row>
    <row r="1439" spans="1:70" x14ac:dyDescent="0.25">
      <c r="A1439" s="200">
        <f>Prog_23[[#This Row],[CONTEINER]]</f>
        <v>0</v>
      </c>
      <c r="B1439" s="86"/>
      <c r="C14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39" s="44"/>
      <c r="E1439" s="66"/>
      <c r="F1439" s="66"/>
      <c r="G1439" s="66"/>
      <c r="H1439" s="44"/>
      <c r="I1439" s="44"/>
      <c r="J1439" s="66"/>
      <c r="K1439" s="66"/>
      <c r="L1439" s="66"/>
      <c r="M1439" s="66"/>
      <c r="N1439" s="66">
        <f>SUM(Prog_23[[#This Row],[TARA]]+Prog_23[[#This Row],[PESO]])</f>
        <v>0</v>
      </c>
      <c r="O1439" s="44"/>
      <c r="P1439" s="66"/>
      <c r="Q1439" s="66"/>
      <c r="R1439" s="66"/>
      <c r="S1439" s="66"/>
      <c r="T1439" s="138" t="str">
        <f>IFERROR(LOOKUP($S1439,MOTORISTAS!$D$3:$D$916,MOTORISTAS!E$3:$E$916),"")</f>
        <v/>
      </c>
      <c r="U1439" s="138" t="str">
        <f>IFERROR(LOOKUP($S1439,MOTORISTAS!$D$3:$D$916,MOTORISTAS!F$3:$F$916),"")</f>
        <v/>
      </c>
      <c r="V1439" s="66"/>
      <c r="W1439" s="66"/>
      <c r="X1439" s="66"/>
      <c r="Y1439" s="66"/>
      <c r="Z1439" s="66"/>
      <c r="AA1439" s="66"/>
      <c r="AB1439" s="66"/>
      <c r="AC1439" s="66"/>
      <c r="AD1439" s="66"/>
      <c r="AE1439" s="66"/>
      <c r="AF1439" s="44"/>
      <c r="AG1439" s="254">
        <f>Prog_23[[#This Row],[SAÍDA DO CLIENTE]]-Prog_23[[#This Row],[PROGRAMAÇÃO CLIENTE]]</f>
        <v>0</v>
      </c>
      <c r="AH1439" s="44"/>
      <c r="AI1439" s="66"/>
      <c r="AJ1439" s="66"/>
      <c r="AK1439" s="66"/>
      <c r="AL1439" s="66"/>
      <c r="AM1439" s="66"/>
      <c r="AN1439" s="83"/>
      <c r="AO1439" s="83"/>
      <c r="AP1439" s="83"/>
      <c r="AQ1439" s="66"/>
      <c r="AR1439" s="66"/>
      <c r="AS1439" s="66"/>
      <c r="AT1439" s="81"/>
      <c r="AU1439" s="81"/>
      <c r="AV1439" s="81"/>
      <c r="AW1439" s="81"/>
      <c r="AX1439" s="83">
        <f>SUM(Prog_23[[#This Row],[ADIANTAMENTO]]+Prog_23[[#This Row],[SALDO]]+Prog_23[[#This Row],[MARGEM]]+Prog_23[[#This Row],[ESTADIA 1]])</f>
        <v>0</v>
      </c>
      <c r="AY14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39" s="81"/>
      <c r="BA1439" s="81"/>
      <c r="BB1439" s="81">
        <f>Prog_23[[#This Row],[VLR NF]]*0.1%</f>
        <v>0</v>
      </c>
      <c r="BC1439" s="81">
        <f>Prog_23[[#This Row],[VLR NF]]*0.05%</f>
        <v>0</v>
      </c>
      <c r="BD1439" s="81"/>
      <c r="BE1439" s="81"/>
      <c r="BF1439" s="81"/>
      <c r="BG1439" s="81"/>
      <c r="BH1439" s="81"/>
      <c r="BI1439" s="81"/>
      <c r="BJ1439" s="81"/>
      <c r="BK1439" s="81"/>
      <c r="BL1439" s="81"/>
      <c r="BM1439" s="81"/>
      <c r="BN1439" s="66"/>
      <c r="BO1439" s="66"/>
      <c r="BP1439" s="66"/>
      <c r="BQ1439" s="66" t="str">
        <f>PROPER(TEXT(Prog_23[[#This Row],[PROGRAMAÇÃO CLIENTE]],"mmm"))</f>
        <v>Jan</v>
      </c>
      <c r="BR1439" s="66">
        <f>YEAR(Prog_23[[#This Row],[PROGRAMAÇÃO CLIENTE]])</f>
        <v>1900</v>
      </c>
    </row>
    <row r="1440" spans="1:70" x14ac:dyDescent="0.25">
      <c r="A1440" s="201">
        <f>Prog_23[[#This Row],[CONTEINER]]</f>
        <v>0</v>
      </c>
      <c r="B1440" s="86"/>
      <c r="C14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40" s="44"/>
      <c r="E1440" s="66"/>
      <c r="F1440" s="66"/>
      <c r="G1440" s="66"/>
      <c r="H1440" s="44"/>
      <c r="I1440" s="44"/>
      <c r="J1440" s="66"/>
      <c r="K1440" s="66"/>
      <c r="L1440" s="66"/>
      <c r="M1440" s="66"/>
      <c r="N1440" s="66">
        <f>SUM(Prog_23[[#This Row],[TARA]]+Prog_23[[#This Row],[PESO]])</f>
        <v>0</v>
      </c>
      <c r="O1440" s="44"/>
      <c r="P1440" s="66"/>
      <c r="Q1440" s="66"/>
      <c r="R1440" s="66"/>
      <c r="S1440" s="66"/>
      <c r="T1440" s="138" t="str">
        <f>IFERROR(LOOKUP($S1440,MOTORISTAS!$D$3:$D$916,MOTORISTAS!E$3:$E$916),"")</f>
        <v/>
      </c>
      <c r="U1440" s="138" t="str">
        <f>IFERROR(LOOKUP($S1440,MOTORISTAS!$D$3:$D$916,MOTORISTAS!F$3:$F$916),"")</f>
        <v/>
      </c>
      <c r="V1440" s="66"/>
      <c r="W1440" s="66"/>
      <c r="X1440" s="66"/>
      <c r="Y1440" s="66"/>
      <c r="Z1440" s="66"/>
      <c r="AA1440" s="66"/>
      <c r="AB1440" s="66"/>
      <c r="AC1440" s="66"/>
      <c r="AD1440" s="66"/>
      <c r="AE1440" s="66"/>
      <c r="AF1440" s="44"/>
      <c r="AG1440" s="254">
        <f>Prog_23[[#This Row],[SAÍDA DO CLIENTE]]-Prog_23[[#This Row],[PROGRAMAÇÃO CLIENTE]]</f>
        <v>0</v>
      </c>
      <c r="AH1440" s="44"/>
      <c r="AI1440" s="66"/>
      <c r="AJ1440" s="66"/>
      <c r="AK1440" s="66"/>
      <c r="AL1440" s="66"/>
      <c r="AM1440" s="66"/>
      <c r="AN1440" s="83"/>
      <c r="AO1440" s="83"/>
      <c r="AP1440" s="83"/>
      <c r="AQ1440" s="66"/>
      <c r="AR1440" s="66"/>
      <c r="AS1440" s="66"/>
      <c r="AT1440" s="81"/>
      <c r="AU1440" s="81"/>
      <c r="AV1440" s="81"/>
      <c r="AW1440" s="81"/>
      <c r="AX1440" s="83">
        <f>SUM(Prog_23[[#This Row],[ADIANTAMENTO]]+Prog_23[[#This Row],[SALDO]]+Prog_23[[#This Row],[MARGEM]]+Prog_23[[#This Row],[ESTADIA 1]])</f>
        <v>0</v>
      </c>
      <c r="AY14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40" s="81"/>
      <c r="BA1440" s="81"/>
      <c r="BB1440" s="81">
        <f>Prog_23[[#This Row],[VLR NF]]*0.1%</f>
        <v>0</v>
      </c>
      <c r="BC1440" s="81">
        <f>Prog_23[[#This Row],[VLR NF]]*0.05%</f>
        <v>0</v>
      </c>
      <c r="BD1440" s="81"/>
      <c r="BE1440" s="81"/>
      <c r="BF1440" s="81"/>
      <c r="BG1440" s="81"/>
      <c r="BH1440" s="81"/>
      <c r="BI1440" s="81"/>
      <c r="BJ1440" s="81"/>
      <c r="BK1440" s="81"/>
      <c r="BL1440" s="81"/>
      <c r="BM1440" s="81"/>
      <c r="BN1440" s="66"/>
      <c r="BO1440" s="66"/>
      <c r="BP1440" s="66"/>
      <c r="BQ1440" s="66" t="str">
        <f>PROPER(TEXT(Prog_23[[#This Row],[PROGRAMAÇÃO CLIENTE]],"mmm"))</f>
        <v>Jan</v>
      </c>
      <c r="BR1440" s="66">
        <f>YEAR(Prog_23[[#This Row],[PROGRAMAÇÃO CLIENTE]])</f>
        <v>1900</v>
      </c>
    </row>
    <row r="1441" spans="1:70" x14ac:dyDescent="0.25">
      <c r="A1441" s="200">
        <f>Prog_23[[#This Row],[CONTEINER]]</f>
        <v>0</v>
      </c>
      <c r="B1441" s="86"/>
      <c r="C14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41" s="44"/>
      <c r="E1441" s="66"/>
      <c r="F1441" s="66"/>
      <c r="G1441" s="66"/>
      <c r="H1441" s="44"/>
      <c r="I1441" s="44"/>
      <c r="J1441" s="66"/>
      <c r="K1441" s="66"/>
      <c r="L1441" s="66"/>
      <c r="M1441" s="66"/>
      <c r="N1441" s="66">
        <f>SUM(Prog_23[[#This Row],[TARA]]+Prog_23[[#This Row],[PESO]])</f>
        <v>0</v>
      </c>
      <c r="O1441" s="44"/>
      <c r="P1441" s="66"/>
      <c r="Q1441" s="66"/>
      <c r="R1441" s="66"/>
      <c r="S1441" s="66"/>
      <c r="T1441" s="138" t="str">
        <f>IFERROR(LOOKUP($S1441,MOTORISTAS!$D$3:$D$916,MOTORISTAS!E$3:$E$916),"")</f>
        <v/>
      </c>
      <c r="U1441" s="138" t="str">
        <f>IFERROR(LOOKUP($S1441,MOTORISTAS!$D$3:$D$916,MOTORISTAS!F$3:$F$916),"")</f>
        <v/>
      </c>
      <c r="V1441" s="66"/>
      <c r="W1441" s="66"/>
      <c r="X1441" s="66"/>
      <c r="Y1441" s="66"/>
      <c r="Z1441" s="66"/>
      <c r="AA1441" s="66"/>
      <c r="AB1441" s="66"/>
      <c r="AC1441" s="66"/>
      <c r="AD1441" s="66"/>
      <c r="AE1441" s="66"/>
      <c r="AF1441" s="44"/>
      <c r="AG1441" s="254">
        <f>Prog_23[[#This Row],[SAÍDA DO CLIENTE]]-Prog_23[[#This Row],[PROGRAMAÇÃO CLIENTE]]</f>
        <v>0</v>
      </c>
      <c r="AH1441" s="44"/>
      <c r="AI1441" s="66"/>
      <c r="AJ1441" s="66"/>
      <c r="AK1441" s="66"/>
      <c r="AL1441" s="66"/>
      <c r="AM1441" s="66"/>
      <c r="AN1441" s="83"/>
      <c r="AO1441" s="83"/>
      <c r="AP1441" s="83"/>
      <c r="AQ1441" s="66"/>
      <c r="AR1441" s="66"/>
      <c r="AS1441" s="66"/>
      <c r="AT1441" s="81"/>
      <c r="AU1441" s="81"/>
      <c r="AV1441" s="81"/>
      <c r="AW1441" s="81"/>
      <c r="AX1441" s="83">
        <f>SUM(Prog_23[[#This Row],[ADIANTAMENTO]]+Prog_23[[#This Row],[SALDO]]+Prog_23[[#This Row],[MARGEM]]+Prog_23[[#This Row],[ESTADIA 1]])</f>
        <v>0</v>
      </c>
      <c r="AY14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41" s="81"/>
      <c r="BA1441" s="81"/>
      <c r="BB1441" s="81">
        <f>Prog_23[[#This Row],[VLR NF]]*0.1%</f>
        <v>0</v>
      </c>
      <c r="BC1441" s="81">
        <f>Prog_23[[#This Row],[VLR NF]]*0.05%</f>
        <v>0</v>
      </c>
      <c r="BD1441" s="81"/>
      <c r="BE1441" s="81"/>
      <c r="BF1441" s="81"/>
      <c r="BG1441" s="81"/>
      <c r="BH1441" s="81"/>
      <c r="BI1441" s="81"/>
      <c r="BJ1441" s="81"/>
      <c r="BK1441" s="81"/>
      <c r="BL1441" s="81"/>
      <c r="BM1441" s="81"/>
      <c r="BN1441" s="66"/>
      <c r="BO1441" s="66"/>
      <c r="BP1441" s="66"/>
      <c r="BQ1441" s="66" t="str">
        <f>PROPER(TEXT(Prog_23[[#This Row],[PROGRAMAÇÃO CLIENTE]],"mmm"))</f>
        <v>Jan</v>
      </c>
      <c r="BR1441" s="66">
        <f>YEAR(Prog_23[[#This Row],[PROGRAMAÇÃO CLIENTE]])</f>
        <v>1900</v>
      </c>
    </row>
    <row r="1442" spans="1:70" x14ac:dyDescent="0.25">
      <c r="A1442" s="201">
        <f>Prog_23[[#This Row],[CONTEINER]]</f>
        <v>0</v>
      </c>
      <c r="B1442" s="86"/>
      <c r="C14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42" s="44"/>
      <c r="E1442" s="66"/>
      <c r="F1442" s="66"/>
      <c r="G1442" s="66"/>
      <c r="H1442" s="44"/>
      <c r="I1442" s="44"/>
      <c r="J1442" s="66"/>
      <c r="K1442" s="66"/>
      <c r="L1442" s="66"/>
      <c r="M1442" s="66"/>
      <c r="N1442" s="66">
        <f>SUM(Prog_23[[#This Row],[TARA]]+Prog_23[[#This Row],[PESO]])</f>
        <v>0</v>
      </c>
      <c r="O1442" s="44"/>
      <c r="P1442" s="66"/>
      <c r="Q1442" s="66"/>
      <c r="R1442" s="66"/>
      <c r="S1442" s="66"/>
      <c r="T1442" s="138" t="str">
        <f>IFERROR(LOOKUP($S1442,MOTORISTAS!$D$3:$D$916,MOTORISTAS!E$3:$E$916),"")</f>
        <v/>
      </c>
      <c r="U1442" s="138" t="str">
        <f>IFERROR(LOOKUP($S1442,MOTORISTAS!$D$3:$D$916,MOTORISTAS!F$3:$F$916),"")</f>
        <v/>
      </c>
      <c r="V1442" s="66"/>
      <c r="W1442" s="66"/>
      <c r="X1442" s="66"/>
      <c r="Y1442" s="66"/>
      <c r="Z1442" s="66"/>
      <c r="AA1442" s="66"/>
      <c r="AB1442" s="66"/>
      <c r="AC1442" s="66"/>
      <c r="AD1442" s="66"/>
      <c r="AE1442" s="66"/>
      <c r="AF1442" s="44"/>
      <c r="AG1442" s="254">
        <f>Prog_23[[#This Row],[SAÍDA DO CLIENTE]]-Prog_23[[#This Row],[PROGRAMAÇÃO CLIENTE]]</f>
        <v>0</v>
      </c>
      <c r="AH1442" s="44"/>
      <c r="AI1442" s="66"/>
      <c r="AJ1442" s="66"/>
      <c r="AK1442" s="66"/>
      <c r="AL1442" s="66"/>
      <c r="AM1442" s="66"/>
      <c r="AN1442" s="83"/>
      <c r="AO1442" s="83"/>
      <c r="AP1442" s="83"/>
      <c r="AQ1442" s="66"/>
      <c r="AR1442" s="66"/>
      <c r="AS1442" s="66"/>
      <c r="AT1442" s="81"/>
      <c r="AU1442" s="81"/>
      <c r="AV1442" s="81"/>
      <c r="AW1442" s="81"/>
      <c r="AX1442" s="83">
        <f>SUM(Prog_23[[#This Row],[ADIANTAMENTO]]+Prog_23[[#This Row],[SALDO]]+Prog_23[[#This Row],[MARGEM]]+Prog_23[[#This Row],[ESTADIA 1]])</f>
        <v>0</v>
      </c>
      <c r="AY14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42" s="81"/>
      <c r="BA1442" s="81"/>
      <c r="BB1442" s="81">
        <f>Prog_23[[#This Row],[VLR NF]]*0.1%</f>
        <v>0</v>
      </c>
      <c r="BC1442" s="81">
        <f>Prog_23[[#This Row],[VLR NF]]*0.05%</f>
        <v>0</v>
      </c>
      <c r="BD1442" s="81"/>
      <c r="BE1442" s="81"/>
      <c r="BF1442" s="81"/>
      <c r="BG1442" s="81"/>
      <c r="BH1442" s="81"/>
      <c r="BI1442" s="81"/>
      <c r="BJ1442" s="81"/>
      <c r="BK1442" s="81"/>
      <c r="BL1442" s="81"/>
      <c r="BM1442" s="81"/>
      <c r="BN1442" s="66"/>
      <c r="BO1442" s="66"/>
      <c r="BP1442" s="66"/>
      <c r="BQ1442" s="66" t="str">
        <f>PROPER(TEXT(Prog_23[[#This Row],[PROGRAMAÇÃO CLIENTE]],"mmm"))</f>
        <v>Jan</v>
      </c>
      <c r="BR1442" s="66">
        <f>YEAR(Prog_23[[#This Row],[PROGRAMAÇÃO CLIENTE]])</f>
        <v>1900</v>
      </c>
    </row>
    <row r="1443" spans="1:70" x14ac:dyDescent="0.25">
      <c r="A1443" s="200">
        <f>Prog_23[[#This Row],[CONTEINER]]</f>
        <v>0</v>
      </c>
      <c r="B1443" s="86"/>
      <c r="C14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43" s="44"/>
      <c r="E1443" s="66"/>
      <c r="F1443" s="66"/>
      <c r="G1443" s="66"/>
      <c r="H1443" s="44"/>
      <c r="I1443" s="44"/>
      <c r="J1443" s="66"/>
      <c r="K1443" s="66"/>
      <c r="L1443" s="66"/>
      <c r="M1443" s="66"/>
      <c r="N1443" s="66">
        <f>SUM(Prog_23[[#This Row],[TARA]]+Prog_23[[#This Row],[PESO]])</f>
        <v>0</v>
      </c>
      <c r="O1443" s="44"/>
      <c r="P1443" s="66"/>
      <c r="Q1443" s="66"/>
      <c r="R1443" s="66"/>
      <c r="S1443" s="66"/>
      <c r="T1443" s="138" t="str">
        <f>IFERROR(LOOKUP($S1443,MOTORISTAS!$D$3:$D$916,MOTORISTAS!E$3:$E$916),"")</f>
        <v/>
      </c>
      <c r="U1443" s="138" t="str">
        <f>IFERROR(LOOKUP($S1443,MOTORISTAS!$D$3:$D$916,MOTORISTAS!F$3:$F$916),"")</f>
        <v/>
      </c>
      <c r="V1443" s="66"/>
      <c r="W1443" s="66"/>
      <c r="X1443" s="66"/>
      <c r="Y1443" s="66"/>
      <c r="Z1443" s="66"/>
      <c r="AA1443" s="66"/>
      <c r="AB1443" s="66"/>
      <c r="AC1443" s="66"/>
      <c r="AD1443" s="66"/>
      <c r="AE1443" s="66"/>
      <c r="AF1443" s="44"/>
      <c r="AG1443" s="254">
        <f>Prog_23[[#This Row],[SAÍDA DO CLIENTE]]-Prog_23[[#This Row],[PROGRAMAÇÃO CLIENTE]]</f>
        <v>0</v>
      </c>
      <c r="AH1443" s="44"/>
      <c r="AI1443" s="66"/>
      <c r="AJ1443" s="66"/>
      <c r="AK1443" s="66"/>
      <c r="AL1443" s="66"/>
      <c r="AM1443" s="66"/>
      <c r="AN1443" s="83"/>
      <c r="AO1443" s="83"/>
      <c r="AP1443" s="83"/>
      <c r="AQ1443" s="66"/>
      <c r="AR1443" s="66"/>
      <c r="AS1443" s="66"/>
      <c r="AT1443" s="81"/>
      <c r="AU1443" s="81"/>
      <c r="AV1443" s="81"/>
      <c r="AW1443" s="81"/>
      <c r="AX1443" s="83">
        <f>SUM(Prog_23[[#This Row],[ADIANTAMENTO]]+Prog_23[[#This Row],[SALDO]]+Prog_23[[#This Row],[MARGEM]]+Prog_23[[#This Row],[ESTADIA 1]])</f>
        <v>0</v>
      </c>
      <c r="AY14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43" s="81"/>
      <c r="BA1443" s="81"/>
      <c r="BB1443" s="81">
        <f>Prog_23[[#This Row],[VLR NF]]*0.1%</f>
        <v>0</v>
      </c>
      <c r="BC1443" s="81">
        <f>Prog_23[[#This Row],[VLR NF]]*0.05%</f>
        <v>0</v>
      </c>
      <c r="BD1443" s="81"/>
      <c r="BE1443" s="81"/>
      <c r="BF1443" s="81"/>
      <c r="BG1443" s="81"/>
      <c r="BH1443" s="81"/>
      <c r="BI1443" s="81"/>
      <c r="BJ1443" s="81"/>
      <c r="BK1443" s="81"/>
      <c r="BL1443" s="81"/>
      <c r="BM1443" s="81"/>
      <c r="BN1443" s="66"/>
      <c r="BO1443" s="66"/>
      <c r="BP1443" s="66"/>
      <c r="BQ1443" s="66" t="str">
        <f>PROPER(TEXT(Prog_23[[#This Row],[PROGRAMAÇÃO CLIENTE]],"mmm"))</f>
        <v>Jan</v>
      </c>
      <c r="BR1443" s="66">
        <f>YEAR(Prog_23[[#This Row],[PROGRAMAÇÃO CLIENTE]])</f>
        <v>1900</v>
      </c>
    </row>
    <row r="1444" spans="1:70" x14ac:dyDescent="0.25">
      <c r="A1444" s="201">
        <f>Prog_23[[#This Row],[CONTEINER]]</f>
        <v>0</v>
      </c>
      <c r="B1444" s="86"/>
      <c r="C14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44" s="44"/>
      <c r="E1444" s="66"/>
      <c r="F1444" s="66"/>
      <c r="G1444" s="66"/>
      <c r="H1444" s="44"/>
      <c r="I1444" s="44"/>
      <c r="J1444" s="66"/>
      <c r="K1444" s="66"/>
      <c r="L1444" s="66"/>
      <c r="M1444" s="66"/>
      <c r="N1444" s="66">
        <f>SUM(Prog_23[[#This Row],[TARA]]+Prog_23[[#This Row],[PESO]])</f>
        <v>0</v>
      </c>
      <c r="O1444" s="44"/>
      <c r="P1444" s="66"/>
      <c r="Q1444" s="66"/>
      <c r="R1444" s="66"/>
      <c r="S1444" s="66"/>
      <c r="T1444" s="138" t="str">
        <f>IFERROR(LOOKUP($S1444,MOTORISTAS!$D$3:$D$916,MOTORISTAS!E$3:$E$916),"")</f>
        <v/>
      </c>
      <c r="U1444" s="138" t="str">
        <f>IFERROR(LOOKUP($S1444,MOTORISTAS!$D$3:$D$916,MOTORISTAS!F$3:$F$916),"")</f>
        <v/>
      </c>
      <c r="V1444" s="66"/>
      <c r="W1444" s="66"/>
      <c r="X1444" s="66"/>
      <c r="Y1444" s="66"/>
      <c r="Z1444" s="66"/>
      <c r="AA1444" s="66"/>
      <c r="AB1444" s="66"/>
      <c r="AC1444" s="66"/>
      <c r="AD1444" s="66"/>
      <c r="AE1444" s="66"/>
      <c r="AF1444" s="44"/>
      <c r="AG1444" s="254">
        <f>Prog_23[[#This Row],[SAÍDA DO CLIENTE]]-Prog_23[[#This Row],[PROGRAMAÇÃO CLIENTE]]</f>
        <v>0</v>
      </c>
      <c r="AH1444" s="44"/>
      <c r="AI1444" s="66"/>
      <c r="AJ1444" s="66"/>
      <c r="AK1444" s="66"/>
      <c r="AL1444" s="66"/>
      <c r="AM1444" s="66"/>
      <c r="AN1444" s="83"/>
      <c r="AO1444" s="83"/>
      <c r="AP1444" s="83"/>
      <c r="AQ1444" s="66"/>
      <c r="AR1444" s="66"/>
      <c r="AS1444" s="66"/>
      <c r="AT1444" s="81"/>
      <c r="AU1444" s="81"/>
      <c r="AV1444" s="81"/>
      <c r="AW1444" s="81"/>
      <c r="AX1444" s="83">
        <f>SUM(Prog_23[[#This Row],[ADIANTAMENTO]]+Prog_23[[#This Row],[SALDO]]+Prog_23[[#This Row],[MARGEM]]+Prog_23[[#This Row],[ESTADIA 1]])</f>
        <v>0</v>
      </c>
      <c r="AY14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44" s="81"/>
      <c r="BA1444" s="81"/>
      <c r="BB1444" s="81">
        <f>Prog_23[[#This Row],[VLR NF]]*0.1%</f>
        <v>0</v>
      </c>
      <c r="BC1444" s="81">
        <f>Prog_23[[#This Row],[VLR NF]]*0.05%</f>
        <v>0</v>
      </c>
      <c r="BD1444" s="81"/>
      <c r="BE1444" s="81"/>
      <c r="BF1444" s="81"/>
      <c r="BG1444" s="81"/>
      <c r="BH1444" s="81"/>
      <c r="BI1444" s="81"/>
      <c r="BJ1444" s="81"/>
      <c r="BK1444" s="81"/>
      <c r="BL1444" s="81"/>
      <c r="BM1444" s="81"/>
      <c r="BN1444" s="66"/>
      <c r="BO1444" s="66"/>
      <c r="BP1444" s="66"/>
      <c r="BQ1444" s="66" t="str">
        <f>PROPER(TEXT(Prog_23[[#This Row],[PROGRAMAÇÃO CLIENTE]],"mmm"))</f>
        <v>Jan</v>
      </c>
      <c r="BR1444" s="66">
        <f>YEAR(Prog_23[[#This Row],[PROGRAMAÇÃO CLIENTE]])</f>
        <v>1900</v>
      </c>
    </row>
    <row r="1445" spans="1:70" x14ac:dyDescent="0.25">
      <c r="A1445" s="200">
        <f>Prog_23[[#This Row],[CONTEINER]]</f>
        <v>0</v>
      </c>
      <c r="B1445" s="86"/>
      <c r="C14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45" s="44"/>
      <c r="E1445" s="66"/>
      <c r="F1445" s="66"/>
      <c r="G1445" s="66"/>
      <c r="H1445" s="44"/>
      <c r="I1445" s="44"/>
      <c r="J1445" s="66"/>
      <c r="K1445" s="66"/>
      <c r="L1445" s="66"/>
      <c r="M1445" s="66"/>
      <c r="N1445" s="66">
        <f>SUM(Prog_23[[#This Row],[TARA]]+Prog_23[[#This Row],[PESO]])</f>
        <v>0</v>
      </c>
      <c r="O1445" s="44"/>
      <c r="P1445" s="66"/>
      <c r="Q1445" s="66"/>
      <c r="R1445" s="66"/>
      <c r="S1445" s="66"/>
      <c r="T1445" s="138" t="str">
        <f>IFERROR(LOOKUP($S1445,MOTORISTAS!$D$3:$D$916,MOTORISTAS!E$3:$E$916),"")</f>
        <v/>
      </c>
      <c r="U1445" s="138" t="str">
        <f>IFERROR(LOOKUP($S1445,MOTORISTAS!$D$3:$D$916,MOTORISTAS!F$3:$F$916),"")</f>
        <v/>
      </c>
      <c r="V1445" s="66"/>
      <c r="W1445" s="66"/>
      <c r="X1445" s="66"/>
      <c r="Y1445" s="66"/>
      <c r="Z1445" s="66"/>
      <c r="AA1445" s="66"/>
      <c r="AB1445" s="66"/>
      <c r="AC1445" s="66"/>
      <c r="AD1445" s="66"/>
      <c r="AE1445" s="66"/>
      <c r="AF1445" s="44"/>
      <c r="AG1445" s="254">
        <f>Prog_23[[#This Row],[SAÍDA DO CLIENTE]]-Prog_23[[#This Row],[PROGRAMAÇÃO CLIENTE]]</f>
        <v>0</v>
      </c>
      <c r="AH1445" s="44"/>
      <c r="AI1445" s="66"/>
      <c r="AJ1445" s="66"/>
      <c r="AK1445" s="66"/>
      <c r="AL1445" s="66"/>
      <c r="AM1445" s="66"/>
      <c r="AN1445" s="83"/>
      <c r="AO1445" s="83"/>
      <c r="AP1445" s="83"/>
      <c r="AQ1445" s="66"/>
      <c r="AR1445" s="66"/>
      <c r="AS1445" s="66"/>
      <c r="AT1445" s="81"/>
      <c r="AU1445" s="81"/>
      <c r="AV1445" s="81"/>
      <c r="AW1445" s="81"/>
      <c r="AX1445" s="83">
        <f>SUM(Prog_23[[#This Row],[ADIANTAMENTO]]+Prog_23[[#This Row],[SALDO]]+Prog_23[[#This Row],[MARGEM]]+Prog_23[[#This Row],[ESTADIA 1]])</f>
        <v>0</v>
      </c>
      <c r="AY14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45" s="81"/>
      <c r="BA1445" s="81"/>
      <c r="BB1445" s="81">
        <f>Prog_23[[#This Row],[VLR NF]]*0.1%</f>
        <v>0</v>
      </c>
      <c r="BC1445" s="81">
        <f>Prog_23[[#This Row],[VLR NF]]*0.05%</f>
        <v>0</v>
      </c>
      <c r="BD1445" s="81"/>
      <c r="BE1445" s="81"/>
      <c r="BF1445" s="81"/>
      <c r="BG1445" s="81"/>
      <c r="BH1445" s="81"/>
      <c r="BI1445" s="81"/>
      <c r="BJ1445" s="81"/>
      <c r="BK1445" s="81"/>
      <c r="BL1445" s="81"/>
      <c r="BM1445" s="81"/>
      <c r="BN1445" s="66"/>
      <c r="BO1445" s="66"/>
      <c r="BP1445" s="66"/>
      <c r="BQ1445" s="66" t="str">
        <f>PROPER(TEXT(Prog_23[[#This Row],[PROGRAMAÇÃO CLIENTE]],"mmm"))</f>
        <v>Jan</v>
      </c>
      <c r="BR1445" s="66">
        <f>YEAR(Prog_23[[#This Row],[PROGRAMAÇÃO CLIENTE]])</f>
        <v>1900</v>
      </c>
    </row>
    <row r="1446" spans="1:70" x14ac:dyDescent="0.25">
      <c r="A1446" s="201">
        <f>Prog_23[[#This Row],[CONTEINER]]</f>
        <v>0</v>
      </c>
      <c r="B1446" s="86"/>
      <c r="C14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46" s="44"/>
      <c r="E1446" s="66"/>
      <c r="F1446" s="66"/>
      <c r="G1446" s="66"/>
      <c r="H1446" s="44"/>
      <c r="I1446" s="44"/>
      <c r="J1446" s="66"/>
      <c r="K1446" s="66"/>
      <c r="L1446" s="66"/>
      <c r="M1446" s="66"/>
      <c r="N1446" s="66">
        <f>SUM(Prog_23[[#This Row],[TARA]]+Prog_23[[#This Row],[PESO]])</f>
        <v>0</v>
      </c>
      <c r="O1446" s="44"/>
      <c r="P1446" s="66"/>
      <c r="Q1446" s="66"/>
      <c r="R1446" s="66"/>
      <c r="S1446" s="66"/>
      <c r="T1446" s="138" t="str">
        <f>IFERROR(LOOKUP($S1446,MOTORISTAS!$D$3:$D$916,MOTORISTAS!E$3:$E$916),"")</f>
        <v/>
      </c>
      <c r="U1446" s="138" t="str">
        <f>IFERROR(LOOKUP($S1446,MOTORISTAS!$D$3:$D$916,MOTORISTAS!F$3:$F$916),"")</f>
        <v/>
      </c>
      <c r="V1446" s="66"/>
      <c r="W1446" s="66"/>
      <c r="X1446" s="66"/>
      <c r="Y1446" s="66"/>
      <c r="Z1446" s="66"/>
      <c r="AA1446" s="66"/>
      <c r="AB1446" s="66"/>
      <c r="AC1446" s="66"/>
      <c r="AD1446" s="66"/>
      <c r="AE1446" s="66"/>
      <c r="AF1446" s="44"/>
      <c r="AG1446" s="254">
        <f>Prog_23[[#This Row],[SAÍDA DO CLIENTE]]-Prog_23[[#This Row],[PROGRAMAÇÃO CLIENTE]]</f>
        <v>0</v>
      </c>
      <c r="AH1446" s="44"/>
      <c r="AI1446" s="66"/>
      <c r="AJ1446" s="66"/>
      <c r="AK1446" s="66"/>
      <c r="AL1446" s="66"/>
      <c r="AM1446" s="66"/>
      <c r="AN1446" s="83"/>
      <c r="AO1446" s="83"/>
      <c r="AP1446" s="83"/>
      <c r="AQ1446" s="66"/>
      <c r="AR1446" s="66"/>
      <c r="AS1446" s="66"/>
      <c r="AT1446" s="81"/>
      <c r="AU1446" s="81"/>
      <c r="AV1446" s="81"/>
      <c r="AW1446" s="81"/>
      <c r="AX1446" s="83">
        <f>SUM(Prog_23[[#This Row],[ADIANTAMENTO]]+Prog_23[[#This Row],[SALDO]]+Prog_23[[#This Row],[MARGEM]]+Prog_23[[#This Row],[ESTADIA 1]])</f>
        <v>0</v>
      </c>
      <c r="AY14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46" s="81"/>
      <c r="BA1446" s="81"/>
      <c r="BB1446" s="81">
        <f>Prog_23[[#This Row],[VLR NF]]*0.1%</f>
        <v>0</v>
      </c>
      <c r="BC1446" s="81">
        <f>Prog_23[[#This Row],[VLR NF]]*0.05%</f>
        <v>0</v>
      </c>
      <c r="BD1446" s="81"/>
      <c r="BE1446" s="81"/>
      <c r="BF1446" s="81"/>
      <c r="BG1446" s="81"/>
      <c r="BH1446" s="81"/>
      <c r="BI1446" s="81"/>
      <c r="BJ1446" s="81"/>
      <c r="BK1446" s="81"/>
      <c r="BL1446" s="81"/>
      <c r="BM1446" s="81"/>
      <c r="BN1446" s="66"/>
      <c r="BO1446" s="66"/>
      <c r="BP1446" s="66"/>
      <c r="BQ1446" s="66" t="str">
        <f>PROPER(TEXT(Prog_23[[#This Row],[PROGRAMAÇÃO CLIENTE]],"mmm"))</f>
        <v>Jan</v>
      </c>
      <c r="BR1446" s="66">
        <f>YEAR(Prog_23[[#This Row],[PROGRAMAÇÃO CLIENTE]])</f>
        <v>1900</v>
      </c>
    </row>
    <row r="1447" spans="1:70" x14ac:dyDescent="0.25">
      <c r="A1447" s="200">
        <f>Prog_23[[#This Row],[CONTEINER]]</f>
        <v>0</v>
      </c>
      <c r="B1447" s="86"/>
      <c r="C14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47" s="44"/>
      <c r="E1447" s="66"/>
      <c r="F1447" s="66"/>
      <c r="G1447" s="66"/>
      <c r="H1447" s="44"/>
      <c r="I1447" s="44"/>
      <c r="J1447" s="66"/>
      <c r="K1447" s="66"/>
      <c r="L1447" s="66"/>
      <c r="M1447" s="66"/>
      <c r="N1447" s="66">
        <f>SUM(Prog_23[[#This Row],[TARA]]+Prog_23[[#This Row],[PESO]])</f>
        <v>0</v>
      </c>
      <c r="O1447" s="44"/>
      <c r="P1447" s="66"/>
      <c r="Q1447" s="66"/>
      <c r="R1447" s="66"/>
      <c r="S1447" s="66"/>
      <c r="T1447" s="138" t="str">
        <f>IFERROR(LOOKUP($S1447,MOTORISTAS!$D$3:$D$916,MOTORISTAS!E$3:$E$916),"")</f>
        <v/>
      </c>
      <c r="U1447" s="138" t="str">
        <f>IFERROR(LOOKUP($S1447,MOTORISTAS!$D$3:$D$916,MOTORISTAS!F$3:$F$916),"")</f>
        <v/>
      </c>
      <c r="V1447" s="66"/>
      <c r="W1447" s="66"/>
      <c r="X1447" s="66"/>
      <c r="Y1447" s="66"/>
      <c r="Z1447" s="66"/>
      <c r="AA1447" s="66"/>
      <c r="AB1447" s="66"/>
      <c r="AC1447" s="66"/>
      <c r="AD1447" s="66"/>
      <c r="AE1447" s="66"/>
      <c r="AF1447" s="44"/>
      <c r="AG1447" s="254">
        <f>Prog_23[[#This Row],[SAÍDA DO CLIENTE]]-Prog_23[[#This Row],[PROGRAMAÇÃO CLIENTE]]</f>
        <v>0</v>
      </c>
      <c r="AH1447" s="44"/>
      <c r="AI1447" s="66"/>
      <c r="AJ1447" s="66"/>
      <c r="AK1447" s="66"/>
      <c r="AL1447" s="66"/>
      <c r="AM1447" s="66"/>
      <c r="AN1447" s="83"/>
      <c r="AO1447" s="83"/>
      <c r="AP1447" s="83"/>
      <c r="AQ1447" s="66"/>
      <c r="AR1447" s="66"/>
      <c r="AS1447" s="66"/>
      <c r="AT1447" s="81"/>
      <c r="AU1447" s="81"/>
      <c r="AV1447" s="81"/>
      <c r="AW1447" s="81"/>
      <c r="AX1447" s="83">
        <f>SUM(Prog_23[[#This Row],[ADIANTAMENTO]]+Prog_23[[#This Row],[SALDO]]+Prog_23[[#This Row],[MARGEM]]+Prog_23[[#This Row],[ESTADIA 1]])</f>
        <v>0</v>
      </c>
      <c r="AY14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47" s="81"/>
      <c r="BA1447" s="81"/>
      <c r="BB1447" s="81">
        <f>Prog_23[[#This Row],[VLR NF]]*0.1%</f>
        <v>0</v>
      </c>
      <c r="BC1447" s="81">
        <f>Prog_23[[#This Row],[VLR NF]]*0.05%</f>
        <v>0</v>
      </c>
      <c r="BD1447" s="81"/>
      <c r="BE1447" s="81"/>
      <c r="BF1447" s="81"/>
      <c r="BG1447" s="81"/>
      <c r="BH1447" s="81"/>
      <c r="BI1447" s="81"/>
      <c r="BJ1447" s="81"/>
      <c r="BK1447" s="81"/>
      <c r="BL1447" s="81"/>
      <c r="BM1447" s="81"/>
      <c r="BN1447" s="66"/>
      <c r="BO1447" s="66"/>
      <c r="BP1447" s="66"/>
      <c r="BQ1447" s="66" t="str">
        <f>PROPER(TEXT(Prog_23[[#This Row],[PROGRAMAÇÃO CLIENTE]],"mmm"))</f>
        <v>Jan</v>
      </c>
      <c r="BR1447" s="66">
        <f>YEAR(Prog_23[[#This Row],[PROGRAMAÇÃO CLIENTE]])</f>
        <v>1900</v>
      </c>
    </row>
    <row r="1448" spans="1:70" x14ac:dyDescent="0.25">
      <c r="A1448" s="201">
        <f>Prog_23[[#This Row],[CONTEINER]]</f>
        <v>0</v>
      </c>
      <c r="B1448" s="86"/>
      <c r="C14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48" s="44"/>
      <c r="E1448" s="66"/>
      <c r="F1448" s="66"/>
      <c r="G1448" s="66"/>
      <c r="H1448" s="44"/>
      <c r="I1448" s="44"/>
      <c r="J1448" s="66"/>
      <c r="K1448" s="66"/>
      <c r="L1448" s="66"/>
      <c r="M1448" s="66"/>
      <c r="N1448" s="66">
        <f>SUM(Prog_23[[#This Row],[TARA]]+Prog_23[[#This Row],[PESO]])</f>
        <v>0</v>
      </c>
      <c r="O1448" s="44"/>
      <c r="P1448" s="66"/>
      <c r="Q1448" s="66"/>
      <c r="R1448" s="66"/>
      <c r="S1448" s="66"/>
      <c r="T1448" s="138" t="str">
        <f>IFERROR(LOOKUP($S1448,MOTORISTAS!$D$3:$D$916,MOTORISTAS!E$3:$E$916),"")</f>
        <v/>
      </c>
      <c r="U1448" s="138" t="str">
        <f>IFERROR(LOOKUP($S1448,MOTORISTAS!$D$3:$D$916,MOTORISTAS!F$3:$F$916),"")</f>
        <v/>
      </c>
      <c r="V1448" s="66"/>
      <c r="W1448" s="66"/>
      <c r="X1448" s="66"/>
      <c r="Y1448" s="66"/>
      <c r="Z1448" s="66"/>
      <c r="AA1448" s="66"/>
      <c r="AB1448" s="66"/>
      <c r="AC1448" s="66"/>
      <c r="AD1448" s="66"/>
      <c r="AE1448" s="66"/>
      <c r="AF1448" s="44"/>
      <c r="AG1448" s="254">
        <f>Prog_23[[#This Row],[SAÍDA DO CLIENTE]]-Prog_23[[#This Row],[PROGRAMAÇÃO CLIENTE]]</f>
        <v>0</v>
      </c>
      <c r="AH1448" s="44"/>
      <c r="AI1448" s="66"/>
      <c r="AJ1448" s="66"/>
      <c r="AK1448" s="66"/>
      <c r="AL1448" s="66"/>
      <c r="AM1448" s="66"/>
      <c r="AN1448" s="83"/>
      <c r="AO1448" s="83"/>
      <c r="AP1448" s="83"/>
      <c r="AQ1448" s="66"/>
      <c r="AR1448" s="66"/>
      <c r="AS1448" s="66"/>
      <c r="AT1448" s="81"/>
      <c r="AU1448" s="81"/>
      <c r="AV1448" s="81"/>
      <c r="AW1448" s="81"/>
      <c r="AX1448" s="83">
        <f>SUM(Prog_23[[#This Row],[ADIANTAMENTO]]+Prog_23[[#This Row],[SALDO]]+Prog_23[[#This Row],[MARGEM]]+Prog_23[[#This Row],[ESTADIA 1]])</f>
        <v>0</v>
      </c>
      <c r="AY14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48" s="81"/>
      <c r="BA1448" s="81"/>
      <c r="BB1448" s="81">
        <f>Prog_23[[#This Row],[VLR NF]]*0.1%</f>
        <v>0</v>
      </c>
      <c r="BC1448" s="81">
        <f>Prog_23[[#This Row],[VLR NF]]*0.05%</f>
        <v>0</v>
      </c>
      <c r="BD1448" s="81"/>
      <c r="BE1448" s="81"/>
      <c r="BF1448" s="81"/>
      <c r="BG1448" s="81"/>
      <c r="BH1448" s="81"/>
      <c r="BI1448" s="81"/>
      <c r="BJ1448" s="81"/>
      <c r="BK1448" s="81"/>
      <c r="BL1448" s="81"/>
      <c r="BM1448" s="81"/>
      <c r="BN1448" s="66"/>
      <c r="BO1448" s="66"/>
      <c r="BP1448" s="66"/>
      <c r="BQ1448" s="66" t="str">
        <f>PROPER(TEXT(Prog_23[[#This Row],[PROGRAMAÇÃO CLIENTE]],"mmm"))</f>
        <v>Jan</v>
      </c>
      <c r="BR1448" s="66">
        <f>YEAR(Prog_23[[#This Row],[PROGRAMAÇÃO CLIENTE]])</f>
        <v>1900</v>
      </c>
    </row>
    <row r="1449" spans="1:70" x14ac:dyDescent="0.25">
      <c r="A1449" s="200">
        <f>Prog_23[[#This Row],[CONTEINER]]</f>
        <v>0</v>
      </c>
      <c r="B1449" s="86"/>
      <c r="C14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49" s="44"/>
      <c r="E1449" s="66"/>
      <c r="F1449" s="66"/>
      <c r="G1449" s="66"/>
      <c r="H1449" s="44"/>
      <c r="I1449" s="44"/>
      <c r="J1449" s="66"/>
      <c r="K1449" s="66"/>
      <c r="L1449" s="66"/>
      <c r="M1449" s="66"/>
      <c r="N1449" s="66">
        <f>SUM(Prog_23[[#This Row],[TARA]]+Prog_23[[#This Row],[PESO]])</f>
        <v>0</v>
      </c>
      <c r="O1449" s="44"/>
      <c r="P1449" s="66"/>
      <c r="Q1449" s="66"/>
      <c r="R1449" s="66"/>
      <c r="S1449" s="66"/>
      <c r="T1449" s="138" t="str">
        <f>IFERROR(LOOKUP($S1449,MOTORISTAS!$D$3:$D$916,MOTORISTAS!E$3:$E$916),"")</f>
        <v/>
      </c>
      <c r="U1449" s="138" t="str">
        <f>IFERROR(LOOKUP($S1449,MOTORISTAS!$D$3:$D$916,MOTORISTAS!F$3:$F$916),"")</f>
        <v/>
      </c>
      <c r="V1449" s="66"/>
      <c r="W1449" s="66"/>
      <c r="X1449" s="66"/>
      <c r="Y1449" s="66"/>
      <c r="Z1449" s="66"/>
      <c r="AA1449" s="66"/>
      <c r="AB1449" s="66"/>
      <c r="AC1449" s="66"/>
      <c r="AD1449" s="66"/>
      <c r="AE1449" s="66"/>
      <c r="AF1449" s="44"/>
      <c r="AG1449" s="254">
        <f>Prog_23[[#This Row],[SAÍDA DO CLIENTE]]-Prog_23[[#This Row],[PROGRAMAÇÃO CLIENTE]]</f>
        <v>0</v>
      </c>
      <c r="AH1449" s="44"/>
      <c r="AI1449" s="66"/>
      <c r="AJ1449" s="66"/>
      <c r="AK1449" s="66"/>
      <c r="AL1449" s="66"/>
      <c r="AM1449" s="66"/>
      <c r="AN1449" s="83"/>
      <c r="AO1449" s="83"/>
      <c r="AP1449" s="83"/>
      <c r="AQ1449" s="66"/>
      <c r="AR1449" s="66"/>
      <c r="AS1449" s="66"/>
      <c r="AT1449" s="81"/>
      <c r="AU1449" s="81"/>
      <c r="AV1449" s="81"/>
      <c r="AW1449" s="81"/>
      <c r="AX1449" s="83">
        <f>SUM(Prog_23[[#This Row],[ADIANTAMENTO]]+Prog_23[[#This Row],[SALDO]]+Prog_23[[#This Row],[MARGEM]]+Prog_23[[#This Row],[ESTADIA 1]])</f>
        <v>0</v>
      </c>
      <c r="AY14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49" s="81"/>
      <c r="BA1449" s="81"/>
      <c r="BB1449" s="81">
        <f>Prog_23[[#This Row],[VLR NF]]*0.1%</f>
        <v>0</v>
      </c>
      <c r="BC1449" s="81">
        <f>Prog_23[[#This Row],[VLR NF]]*0.05%</f>
        <v>0</v>
      </c>
      <c r="BD1449" s="81"/>
      <c r="BE1449" s="81"/>
      <c r="BF1449" s="81"/>
      <c r="BG1449" s="81"/>
      <c r="BH1449" s="81"/>
      <c r="BI1449" s="81"/>
      <c r="BJ1449" s="81"/>
      <c r="BK1449" s="81"/>
      <c r="BL1449" s="81"/>
      <c r="BM1449" s="81"/>
      <c r="BN1449" s="66"/>
      <c r="BO1449" s="66"/>
      <c r="BP1449" s="66"/>
      <c r="BQ1449" s="66" t="str">
        <f>PROPER(TEXT(Prog_23[[#This Row],[PROGRAMAÇÃO CLIENTE]],"mmm"))</f>
        <v>Jan</v>
      </c>
      <c r="BR1449" s="66">
        <f>YEAR(Prog_23[[#This Row],[PROGRAMAÇÃO CLIENTE]])</f>
        <v>1900</v>
      </c>
    </row>
    <row r="1450" spans="1:70" x14ac:dyDescent="0.25">
      <c r="A1450" s="201">
        <f>Prog_23[[#This Row],[CONTEINER]]</f>
        <v>0</v>
      </c>
      <c r="B1450" s="86"/>
      <c r="C14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50" s="44"/>
      <c r="E1450" s="66"/>
      <c r="F1450" s="66"/>
      <c r="G1450" s="66"/>
      <c r="H1450" s="44"/>
      <c r="I1450" s="44"/>
      <c r="J1450" s="66"/>
      <c r="K1450" s="66"/>
      <c r="L1450" s="66"/>
      <c r="M1450" s="66"/>
      <c r="N1450" s="66">
        <f>SUM(Prog_23[[#This Row],[TARA]]+Prog_23[[#This Row],[PESO]])</f>
        <v>0</v>
      </c>
      <c r="O1450" s="44"/>
      <c r="P1450" s="66"/>
      <c r="Q1450" s="66"/>
      <c r="R1450" s="66"/>
      <c r="S1450" s="66"/>
      <c r="T1450" s="138" t="str">
        <f>IFERROR(LOOKUP($S1450,MOTORISTAS!$D$3:$D$916,MOTORISTAS!E$3:$E$916),"")</f>
        <v/>
      </c>
      <c r="U1450" s="138" t="str">
        <f>IFERROR(LOOKUP($S1450,MOTORISTAS!$D$3:$D$916,MOTORISTAS!F$3:$F$916),"")</f>
        <v/>
      </c>
      <c r="V1450" s="66"/>
      <c r="W1450" s="66"/>
      <c r="X1450" s="66"/>
      <c r="Y1450" s="66"/>
      <c r="Z1450" s="66"/>
      <c r="AA1450" s="66"/>
      <c r="AB1450" s="66"/>
      <c r="AC1450" s="66"/>
      <c r="AD1450" s="66"/>
      <c r="AE1450" s="66"/>
      <c r="AF1450" s="44"/>
      <c r="AG1450" s="254">
        <f>Prog_23[[#This Row],[SAÍDA DO CLIENTE]]-Prog_23[[#This Row],[PROGRAMAÇÃO CLIENTE]]</f>
        <v>0</v>
      </c>
      <c r="AH1450" s="44"/>
      <c r="AI1450" s="66"/>
      <c r="AJ1450" s="66"/>
      <c r="AK1450" s="66"/>
      <c r="AL1450" s="66"/>
      <c r="AM1450" s="66"/>
      <c r="AN1450" s="83"/>
      <c r="AO1450" s="83"/>
      <c r="AP1450" s="83"/>
      <c r="AQ1450" s="66"/>
      <c r="AR1450" s="66"/>
      <c r="AS1450" s="66"/>
      <c r="AT1450" s="81"/>
      <c r="AU1450" s="81"/>
      <c r="AV1450" s="81"/>
      <c r="AW1450" s="81"/>
      <c r="AX1450" s="83">
        <f>SUM(Prog_23[[#This Row],[ADIANTAMENTO]]+Prog_23[[#This Row],[SALDO]]+Prog_23[[#This Row],[MARGEM]]+Prog_23[[#This Row],[ESTADIA 1]])</f>
        <v>0</v>
      </c>
      <c r="AY14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50" s="81"/>
      <c r="BA1450" s="81"/>
      <c r="BB1450" s="81">
        <f>Prog_23[[#This Row],[VLR NF]]*0.1%</f>
        <v>0</v>
      </c>
      <c r="BC1450" s="81">
        <f>Prog_23[[#This Row],[VLR NF]]*0.05%</f>
        <v>0</v>
      </c>
      <c r="BD1450" s="81"/>
      <c r="BE1450" s="81"/>
      <c r="BF1450" s="81"/>
      <c r="BG1450" s="81"/>
      <c r="BH1450" s="81"/>
      <c r="BI1450" s="81"/>
      <c r="BJ1450" s="81"/>
      <c r="BK1450" s="81"/>
      <c r="BL1450" s="81"/>
      <c r="BM1450" s="81"/>
      <c r="BN1450" s="66"/>
      <c r="BO1450" s="66"/>
      <c r="BP1450" s="66"/>
      <c r="BQ1450" s="66" t="str">
        <f>PROPER(TEXT(Prog_23[[#This Row],[PROGRAMAÇÃO CLIENTE]],"mmm"))</f>
        <v>Jan</v>
      </c>
      <c r="BR1450" s="66">
        <f>YEAR(Prog_23[[#This Row],[PROGRAMAÇÃO CLIENTE]])</f>
        <v>1900</v>
      </c>
    </row>
    <row r="1451" spans="1:70" x14ac:dyDescent="0.25">
      <c r="A1451" s="200">
        <f>Prog_23[[#This Row],[CONTEINER]]</f>
        <v>0</v>
      </c>
      <c r="B1451" s="86"/>
      <c r="C14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51" s="44"/>
      <c r="E1451" s="66"/>
      <c r="F1451" s="66"/>
      <c r="G1451" s="66"/>
      <c r="H1451" s="44"/>
      <c r="I1451" s="44"/>
      <c r="J1451" s="66"/>
      <c r="K1451" s="66"/>
      <c r="L1451" s="66"/>
      <c r="M1451" s="66"/>
      <c r="N1451" s="66">
        <f>SUM(Prog_23[[#This Row],[TARA]]+Prog_23[[#This Row],[PESO]])</f>
        <v>0</v>
      </c>
      <c r="O1451" s="44"/>
      <c r="P1451" s="66"/>
      <c r="Q1451" s="66"/>
      <c r="R1451" s="66"/>
      <c r="S1451" s="66"/>
      <c r="T1451" s="138" t="str">
        <f>IFERROR(LOOKUP($S1451,MOTORISTAS!$D$3:$D$916,MOTORISTAS!E$3:$E$916),"")</f>
        <v/>
      </c>
      <c r="U1451" s="138" t="str">
        <f>IFERROR(LOOKUP($S1451,MOTORISTAS!$D$3:$D$916,MOTORISTAS!F$3:$F$916),"")</f>
        <v/>
      </c>
      <c r="V1451" s="66"/>
      <c r="W1451" s="66"/>
      <c r="X1451" s="66"/>
      <c r="Y1451" s="66"/>
      <c r="Z1451" s="66"/>
      <c r="AA1451" s="66"/>
      <c r="AB1451" s="66"/>
      <c r="AC1451" s="66"/>
      <c r="AD1451" s="66"/>
      <c r="AE1451" s="66"/>
      <c r="AF1451" s="44"/>
      <c r="AG1451" s="254">
        <f>Prog_23[[#This Row],[SAÍDA DO CLIENTE]]-Prog_23[[#This Row],[PROGRAMAÇÃO CLIENTE]]</f>
        <v>0</v>
      </c>
      <c r="AH1451" s="44"/>
      <c r="AI1451" s="66"/>
      <c r="AJ1451" s="66"/>
      <c r="AK1451" s="66"/>
      <c r="AL1451" s="66"/>
      <c r="AM1451" s="66"/>
      <c r="AN1451" s="83"/>
      <c r="AO1451" s="83"/>
      <c r="AP1451" s="83"/>
      <c r="AQ1451" s="66"/>
      <c r="AR1451" s="66"/>
      <c r="AS1451" s="66"/>
      <c r="AT1451" s="81"/>
      <c r="AU1451" s="81"/>
      <c r="AV1451" s="81"/>
      <c r="AW1451" s="81"/>
      <c r="AX1451" s="83">
        <f>SUM(Prog_23[[#This Row],[ADIANTAMENTO]]+Prog_23[[#This Row],[SALDO]]+Prog_23[[#This Row],[MARGEM]]+Prog_23[[#This Row],[ESTADIA 1]])</f>
        <v>0</v>
      </c>
      <c r="AY14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51" s="81"/>
      <c r="BA1451" s="81"/>
      <c r="BB1451" s="81">
        <f>Prog_23[[#This Row],[VLR NF]]*0.1%</f>
        <v>0</v>
      </c>
      <c r="BC1451" s="81">
        <f>Prog_23[[#This Row],[VLR NF]]*0.05%</f>
        <v>0</v>
      </c>
      <c r="BD1451" s="81"/>
      <c r="BE1451" s="81"/>
      <c r="BF1451" s="81"/>
      <c r="BG1451" s="81"/>
      <c r="BH1451" s="81"/>
      <c r="BI1451" s="81"/>
      <c r="BJ1451" s="81"/>
      <c r="BK1451" s="81"/>
      <c r="BL1451" s="81"/>
      <c r="BM1451" s="81"/>
      <c r="BN1451" s="66"/>
      <c r="BO1451" s="66"/>
      <c r="BP1451" s="66"/>
      <c r="BQ1451" s="66" t="str">
        <f>PROPER(TEXT(Prog_23[[#This Row],[PROGRAMAÇÃO CLIENTE]],"mmm"))</f>
        <v>Jan</v>
      </c>
      <c r="BR1451" s="66">
        <f>YEAR(Prog_23[[#This Row],[PROGRAMAÇÃO CLIENTE]])</f>
        <v>1900</v>
      </c>
    </row>
    <row r="1452" spans="1:70" x14ac:dyDescent="0.25">
      <c r="A1452" s="201">
        <f>Prog_23[[#This Row],[CONTEINER]]</f>
        <v>0</v>
      </c>
      <c r="B1452" s="86"/>
      <c r="C14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52" s="44"/>
      <c r="E1452" s="66"/>
      <c r="F1452" s="66"/>
      <c r="G1452" s="66"/>
      <c r="H1452" s="44"/>
      <c r="I1452" s="44"/>
      <c r="J1452" s="66"/>
      <c r="K1452" s="66"/>
      <c r="L1452" s="66"/>
      <c r="M1452" s="66"/>
      <c r="N1452" s="66">
        <f>SUM(Prog_23[[#This Row],[TARA]]+Prog_23[[#This Row],[PESO]])</f>
        <v>0</v>
      </c>
      <c r="O1452" s="44"/>
      <c r="P1452" s="66"/>
      <c r="Q1452" s="66"/>
      <c r="R1452" s="66"/>
      <c r="S1452" s="66"/>
      <c r="T1452" s="138" t="str">
        <f>IFERROR(LOOKUP($S1452,MOTORISTAS!$D$3:$D$916,MOTORISTAS!E$3:$E$916),"")</f>
        <v/>
      </c>
      <c r="U1452" s="138" t="str">
        <f>IFERROR(LOOKUP($S1452,MOTORISTAS!$D$3:$D$916,MOTORISTAS!F$3:$F$916),"")</f>
        <v/>
      </c>
      <c r="V1452" s="66"/>
      <c r="W1452" s="66"/>
      <c r="X1452" s="66"/>
      <c r="Y1452" s="66"/>
      <c r="Z1452" s="66"/>
      <c r="AA1452" s="66"/>
      <c r="AB1452" s="66"/>
      <c r="AC1452" s="66"/>
      <c r="AD1452" s="66"/>
      <c r="AE1452" s="66"/>
      <c r="AF1452" s="44"/>
      <c r="AG1452" s="254">
        <f>Prog_23[[#This Row],[SAÍDA DO CLIENTE]]-Prog_23[[#This Row],[PROGRAMAÇÃO CLIENTE]]</f>
        <v>0</v>
      </c>
      <c r="AH1452" s="44"/>
      <c r="AI1452" s="66"/>
      <c r="AJ1452" s="66"/>
      <c r="AK1452" s="66"/>
      <c r="AL1452" s="66"/>
      <c r="AM1452" s="66"/>
      <c r="AN1452" s="83"/>
      <c r="AO1452" s="83"/>
      <c r="AP1452" s="83"/>
      <c r="AQ1452" s="66"/>
      <c r="AR1452" s="66"/>
      <c r="AS1452" s="66"/>
      <c r="AT1452" s="81"/>
      <c r="AU1452" s="81"/>
      <c r="AV1452" s="81"/>
      <c r="AW1452" s="81"/>
      <c r="AX1452" s="83">
        <f>SUM(Prog_23[[#This Row],[ADIANTAMENTO]]+Prog_23[[#This Row],[SALDO]]+Prog_23[[#This Row],[MARGEM]]+Prog_23[[#This Row],[ESTADIA 1]])</f>
        <v>0</v>
      </c>
      <c r="AY14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52" s="81"/>
      <c r="BA1452" s="81"/>
      <c r="BB1452" s="81">
        <f>Prog_23[[#This Row],[VLR NF]]*0.1%</f>
        <v>0</v>
      </c>
      <c r="BC1452" s="81">
        <f>Prog_23[[#This Row],[VLR NF]]*0.05%</f>
        <v>0</v>
      </c>
      <c r="BD1452" s="81"/>
      <c r="BE1452" s="81"/>
      <c r="BF1452" s="81"/>
      <c r="BG1452" s="81"/>
      <c r="BH1452" s="81"/>
      <c r="BI1452" s="81"/>
      <c r="BJ1452" s="81"/>
      <c r="BK1452" s="81"/>
      <c r="BL1452" s="81"/>
      <c r="BM1452" s="81"/>
      <c r="BN1452" s="66"/>
      <c r="BO1452" s="66"/>
      <c r="BP1452" s="66"/>
      <c r="BQ1452" s="66" t="str">
        <f>PROPER(TEXT(Prog_23[[#This Row],[PROGRAMAÇÃO CLIENTE]],"mmm"))</f>
        <v>Jan</v>
      </c>
      <c r="BR1452" s="66">
        <f>YEAR(Prog_23[[#This Row],[PROGRAMAÇÃO CLIENTE]])</f>
        <v>1900</v>
      </c>
    </row>
    <row r="1453" spans="1:70" x14ac:dyDescent="0.25">
      <c r="A1453" s="200">
        <f>Prog_23[[#This Row],[CONTEINER]]</f>
        <v>0</v>
      </c>
      <c r="B1453" s="86"/>
      <c r="C14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53" s="44"/>
      <c r="E1453" s="66"/>
      <c r="F1453" s="66"/>
      <c r="G1453" s="66"/>
      <c r="H1453" s="44"/>
      <c r="I1453" s="44"/>
      <c r="J1453" s="66"/>
      <c r="K1453" s="66"/>
      <c r="L1453" s="66"/>
      <c r="M1453" s="66"/>
      <c r="N1453" s="66">
        <f>SUM(Prog_23[[#This Row],[TARA]]+Prog_23[[#This Row],[PESO]])</f>
        <v>0</v>
      </c>
      <c r="O1453" s="44"/>
      <c r="P1453" s="66"/>
      <c r="Q1453" s="66"/>
      <c r="R1453" s="66"/>
      <c r="S1453" s="66"/>
      <c r="T1453" s="138" t="str">
        <f>IFERROR(LOOKUP($S1453,MOTORISTAS!$D$3:$D$916,MOTORISTAS!E$3:$E$916),"")</f>
        <v/>
      </c>
      <c r="U1453" s="138" t="str">
        <f>IFERROR(LOOKUP($S1453,MOTORISTAS!$D$3:$D$916,MOTORISTAS!F$3:$F$916),"")</f>
        <v/>
      </c>
      <c r="V1453" s="66"/>
      <c r="W1453" s="66"/>
      <c r="X1453" s="66"/>
      <c r="Y1453" s="66"/>
      <c r="Z1453" s="66"/>
      <c r="AA1453" s="66"/>
      <c r="AB1453" s="66"/>
      <c r="AC1453" s="66"/>
      <c r="AD1453" s="66"/>
      <c r="AE1453" s="66"/>
      <c r="AF1453" s="44"/>
      <c r="AG1453" s="254">
        <f>Prog_23[[#This Row],[SAÍDA DO CLIENTE]]-Prog_23[[#This Row],[PROGRAMAÇÃO CLIENTE]]</f>
        <v>0</v>
      </c>
      <c r="AH1453" s="44"/>
      <c r="AI1453" s="66"/>
      <c r="AJ1453" s="66"/>
      <c r="AK1453" s="66"/>
      <c r="AL1453" s="66"/>
      <c r="AM1453" s="66"/>
      <c r="AN1453" s="83"/>
      <c r="AO1453" s="83"/>
      <c r="AP1453" s="83"/>
      <c r="AQ1453" s="66"/>
      <c r="AR1453" s="66"/>
      <c r="AS1453" s="66"/>
      <c r="AT1453" s="81"/>
      <c r="AU1453" s="81"/>
      <c r="AV1453" s="81"/>
      <c r="AW1453" s="81"/>
      <c r="AX1453" s="83">
        <f>SUM(Prog_23[[#This Row],[ADIANTAMENTO]]+Prog_23[[#This Row],[SALDO]]+Prog_23[[#This Row],[MARGEM]]+Prog_23[[#This Row],[ESTADIA 1]])</f>
        <v>0</v>
      </c>
      <c r="AY14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53" s="81"/>
      <c r="BA1453" s="81"/>
      <c r="BB1453" s="81">
        <f>Prog_23[[#This Row],[VLR NF]]*0.1%</f>
        <v>0</v>
      </c>
      <c r="BC1453" s="81">
        <f>Prog_23[[#This Row],[VLR NF]]*0.05%</f>
        <v>0</v>
      </c>
      <c r="BD1453" s="81"/>
      <c r="BE1453" s="81"/>
      <c r="BF1453" s="81"/>
      <c r="BG1453" s="81"/>
      <c r="BH1453" s="81"/>
      <c r="BI1453" s="81"/>
      <c r="BJ1453" s="81"/>
      <c r="BK1453" s="81"/>
      <c r="BL1453" s="81"/>
      <c r="BM1453" s="81"/>
      <c r="BN1453" s="66"/>
      <c r="BO1453" s="66"/>
      <c r="BP1453" s="66"/>
      <c r="BQ1453" s="66" t="str">
        <f>PROPER(TEXT(Prog_23[[#This Row],[PROGRAMAÇÃO CLIENTE]],"mmm"))</f>
        <v>Jan</v>
      </c>
      <c r="BR1453" s="66">
        <f>YEAR(Prog_23[[#This Row],[PROGRAMAÇÃO CLIENTE]])</f>
        <v>1900</v>
      </c>
    </row>
    <row r="1454" spans="1:70" x14ac:dyDescent="0.25">
      <c r="A1454" s="201">
        <f>Prog_23[[#This Row],[CONTEINER]]</f>
        <v>0</v>
      </c>
      <c r="B1454" s="86"/>
      <c r="C14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54" s="44"/>
      <c r="E1454" s="66"/>
      <c r="F1454" s="66"/>
      <c r="G1454" s="66"/>
      <c r="H1454" s="44"/>
      <c r="I1454" s="44"/>
      <c r="J1454" s="66"/>
      <c r="K1454" s="66"/>
      <c r="L1454" s="66"/>
      <c r="M1454" s="66"/>
      <c r="N1454" s="66">
        <f>SUM(Prog_23[[#This Row],[TARA]]+Prog_23[[#This Row],[PESO]])</f>
        <v>0</v>
      </c>
      <c r="O1454" s="44"/>
      <c r="P1454" s="66"/>
      <c r="Q1454" s="66"/>
      <c r="R1454" s="66"/>
      <c r="S1454" s="66"/>
      <c r="T1454" s="138" t="str">
        <f>IFERROR(LOOKUP($S1454,MOTORISTAS!$D$3:$D$916,MOTORISTAS!E$3:$E$916),"")</f>
        <v/>
      </c>
      <c r="U1454" s="138" t="str">
        <f>IFERROR(LOOKUP($S1454,MOTORISTAS!$D$3:$D$916,MOTORISTAS!F$3:$F$916),"")</f>
        <v/>
      </c>
      <c r="V1454" s="66"/>
      <c r="W1454" s="66"/>
      <c r="X1454" s="66"/>
      <c r="Y1454" s="66"/>
      <c r="Z1454" s="66"/>
      <c r="AA1454" s="66"/>
      <c r="AB1454" s="66"/>
      <c r="AC1454" s="66"/>
      <c r="AD1454" s="66"/>
      <c r="AE1454" s="66"/>
      <c r="AF1454" s="44"/>
      <c r="AG1454" s="254">
        <f>Prog_23[[#This Row],[SAÍDA DO CLIENTE]]-Prog_23[[#This Row],[PROGRAMAÇÃO CLIENTE]]</f>
        <v>0</v>
      </c>
      <c r="AH1454" s="44"/>
      <c r="AI1454" s="66"/>
      <c r="AJ1454" s="66"/>
      <c r="AK1454" s="66"/>
      <c r="AL1454" s="66"/>
      <c r="AM1454" s="66"/>
      <c r="AN1454" s="83"/>
      <c r="AO1454" s="83"/>
      <c r="AP1454" s="83"/>
      <c r="AQ1454" s="66"/>
      <c r="AR1454" s="66"/>
      <c r="AS1454" s="66"/>
      <c r="AT1454" s="81"/>
      <c r="AU1454" s="81"/>
      <c r="AV1454" s="81"/>
      <c r="AW1454" s="81"/>
      <c r="AX1454" s="83">
        <f>SUM(Prog_23[[#This Row],[ADIANTAMENTO]]+Prog_23[[#This Row],[SALDO]]+Prog_23[[#This Row],[MARGEM]]+Prog_23[[#This Row],[ESTADIA 1]])</f>
        <v>0</v>
      </c>
      <c r="AY14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54" s="81"/>
      <c r="BA1454" s="81"/>
      <c r="BB1454" s="81">
        <f>Prog_23[[#This Row],[VLR NF]]*0.1%</f>
        <v>0</v>
      </c>
      <c r="BC1454" s="81">
        <f>Prog_23[[#This Row],[VLR NF]]*0.05%</f>
        <v>0</v>
      </c>
      <c r="BD1454" s="81"/>
      <c r="BE1454" s="81"/>
      <c r="BF1454" s="81"/>
      <c r="BG1454" s="81"/>
      <c r="BH1454" s="81"/>
      <c r="BI1454" s="81"/>
      <c r="BJ1454" s="81"/>
      <c r="BK1454" s="81"/>
      <c r="BL1454" s="81"/>
      <c r="BM1454" s="81"/>
      <c r="BN1454" s="66"/>
      <c r="BO1454" s="66"/>
      <c r="BP1454" s="66"/>
      <c r="BQ1454" s="66" t="str">
        <f>PROPER(TEXT(Prog_23[[#This Row],[PROGRAMAÇÃO CLIENTE]],"mmm"))</f>
        <v>Jan</v>
      </c>
      <c r="BR1454" s="66">
        <f>YEAR(Prog_23[[#This Row],[PROGRAMAÇÃO CLIENTE]])</f>
        <v>1900</v>
      </c>
    </row>
    <row r="1455" spans="1:70" x14ac:dyDescent="0.25">
      <c r="A1455" s="200">
        <f>Prog_23[[#This Row],[CONTEINER]]</f>
        <v>0</v>
      </c>
      <c r="B1455" s="86"/>
      <c r="C14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55" s="44"/>
      <c r="E1455" s="66"/>
      <c r="F1455" s="66"/>
      <c r="G1455" s="66"/>
      <c r="H1455" s="44"/>
      <c r="I1455" s="44"/>
      <c r="J1455" s="66"/>
      <c r="K1455" s="66"/>
      <c r="L1455" s="66"/>
      <c r="M1455" s="66"/>
      <c r="N1455" s="66">
        <f>SUM(Prog_23[[#This Row],[TARA]]+Prog_23[[#This Row],[PESO]])</f>
        <v>0</v>
      </c>
      <c r="O1455" s="44"/>
      <c r="P1455" s="66"/>
      <c r="Q1455" s="66"/>
      <c r="R1455" s="66"/>
      <c r="S1455" s="66"/>
      <c r="T1455" s="138" t="str">
        <f>IFERROR(LOOKUP($S1455,MOTORISTAS!$D$3:$D$916,MOTORISTAS!E$3:$E$916),"")</f>
        <v/>
      </c>
      <c r="U1455" s="138" t="str">
        <f>IFERROR(LOOKUP($S1455,MOTORISTAS!$D$3:$D$916,MOTORISTAS!F$3:$F$916),"")</f>
        <v/>
      </c>
      <c r="V1455" s="66"/>
      <c r="W1455" s="66"/>
      <c r="X1455" s="66"/>
      <c r="Y1455" s="66"/>
      <c r="Z1455" s="66"/>
      <c r="AA1455" s="66"/>
      <c r="AB1455" s="66"/>
      <c r="AC1455" s="66"/>
      <c r="AD1455" s="66"/>
      <c r="AE1455" s="66"/>
      <c r="AF1455" s="44"/>
      <c r="AG1455" s="254">
        <f>Prog_23[[#This Row],[SAÍDA DO CLIENTE]]-Prog_23[[#This Row],[PROGRAMAÇÃO CLIENTE]]</f>
        <v>0</v>
      </c>
      <c r="AH1455" s="44"/>
      <c r="AI1455" s="66"/>
      <c r="AJ1455" s="66"/>
      <c r="AK1455" s="66"/>
      <c r="AL1455" s="66"/>
      <c r="AM1455" s="66"/>
      <c r="AN1455" s="83"/>
      <c r="AO1455" s="83"/>
      <c r="AP1455" s="83"/>
      <c r="AQ1455" s="66"/>
      <c r="AR1455" s="66"/>
      <c r="AS1455" s="66"/>
      <c r="AT1455" s="81"/>
      <c r="AU1455" s="81"/>
      <c r="AV1455" s="81"/>
      <c r="AW1455" s="81"/>
      <c r="AX1455" s="83">
        <f>SUM(Prog_23[[#This Row],[ADIANTAMENTO]]+Prog_23[[#This Row],[SALDO]]+Prog_23[[#This Row],[MARGEM]]+Prog_23[[#This Row],[ESTADIA 1]])</f>
        <v>0</v>
      </c>
      <c r="AY14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55" s="81"/>
      <c r="BA1455" s="81"/>
      <c r="BB1455" s="81">
        <f>Prog_23[[#This Row],[VLR NF]]*0.1%</f>
        <v>0</v>
      </c>
      <c r="BC1455" s="81">
        <f>Prog_23[[#This Row],[VLR NF]]*0.05%</f>
        <v>0</v>
      </c>
      <c r="BD1455" s="81"/>
      <c r="BE1455" s="81"/>
      <c r="BF1455" s="81"/>
      <c r="BG1455" s="81"/>
      <c r="BH1455" s="81"/>
      <c r="BI1455" s="81"/>
      <c r="BJ1455" s="81"/>
      <c r="BK1455" s="81"/>
      <c r="BL1455" s="81"/>
      <c r="BM1455" s="81"/>
      <c r="BN1455" s="66"/>
      <c r="BO1455" s="66"/>
      <c r="BP1455" s="66"/>
      <c r="BQ1455" s="66" t="str">
        <f>PROPER(TEXT(Prog_23[[#This Row],[PROGRAMAÇÃO CLIENTE]],"mmm"))</f>
        <v>Jan</v>
      </c>
      <c r="BR1455" s="66">
        <f>YEAR(Prog_23[[#This Row],[PROGRAMAÇÃO CLIENTE]])</f>
        <v>1900</v>
      </c>
    </row>
    <row r="1456" spans="1:70" x14ac:dyDescent="0.25">
      <c r="A1456" s="201">
        <f>Prog_23[[#This Row],[CONTEINER]]</f>
        <v>0</v>
      </c>
      <c r="B1456" s="86"/>
      <c r="C14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56" s="44"/>
      <c r="E1456" s="66"/>
      <c r="F1456" s="66"/>
      <c r="G1456" s="66"/>
      <c r="H1456" s="44"/>
      <c r="I1456" s="44"/>
      <c r="J1456" s="66"/>
      <c r="K1456" s="66"/>
      <c r="L1456" s="66"/>
      <c r="M1456" s="66"/>
      <c r="N1456" s="66">
        <f>SUM(Prog_23[[#This Row],[TARA]]+Prog_23[[#This Row],[PESO]])</f>
        <v>0</v>
      </c>
      <c r="O1456" s="44"/>
      <c r="P1456" s="66"/>
      <c r="Q1456" s="66"/>
      <c r="R1456" s="66"/>
      <c r="S1456" s="66"/>
      <c r="T1456" s="138" t="str">
        <f>IFERROR(LOOKUP($S1456,MOTORISTAS!$D$3:$D$916,MOTORISTAS!E$3:$E$916),"")</f>
        <v/>
      </c>
      <c r="U1456" s="138" t="str">
        <f>IFERROR(LOOKUP($S1456,MOTORISTAS!$D$3:$D$916,MOTORISTAS!F$3:$F$916),"")</f>
        <v/>
      </c>
      <c r="V1456" s="66"/>
      <c r="W1456" s="66"/>
      <c r="X1456" s="66"/>
      <c r="Y1456" s="66"/>
      <c r="Z1456" s="66"/>
      <c r="AA1456" s="66"/>
      <c r="AB1456" s="66"/>
      <c r="AC1456" s="66"/>
      <c r="AD1456" s="66"/>
      <c r="AE1456" s="66"/>
      <c r="AF1456" s="44"/>
      <c r="AG1456" s="254">
        <f>Prog_23[[#This Row],[SAÍDA DO CLIENTE]]-Prog_23[[#This Row],[PROGRAMAÇÃO CLIENTE]]</f>
        <v>0</v>
      </c>
      <c r="AH1456" s="44"/>
      <c r="AI1456" s="66"/>
      <c r="AJ1456" s="66"/>
      <c r="AK1456" s="66"/>
      <c r="AL1456" s="66"/>
      <c r="AM1456" s="66"/>
      <c r="AN1456" s="83"/>
      <c r="AO1456" s="83"/>
      <c r="AP1456" s="83"/>
      <c r="AQ1456" s="66"/>
      <c r="AR1456" s="66"/>
      <c r="AS1456" s="66"/>
      <c r="AT1456" s="81"/>
      <c r="AU1456" s="81"/>
      <c r="AV1456" s="81"/>
      <c r="AW1456" s="81"/>
      <c r="AX1456" s="83">
        <f>SUM(Prog_23[[#This Row],[ADIANTAMENTO]]+Prog_23[[#This Row],[SALDO]]+Prog_23[[#This Row],[MARGEM]]+Prog_23[[#This Row],[ESTADIA 1]])</f>
        <v>0</v>
      </c>
      <c r="AY14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56" s="81"/>
      <c r="BA1456" s="81"/>
      <c r="BB1456" s="81">
        <f>Prog_23[[#This Row],[VLR NF]]*0.1%</f>
        <v>0</v>
      </c>
      <c r="BC1456" s="81">
        <f>Prog_23[[#This Row],[VLR NF]]*0.05%</f>
        <v>0</v>
      </c>
      <c r="BD1456" s="81"/>
      <c r="BE1456" s="81"/>
      <c r="BF1456" s="81"/>
      <c r="BG1456" s="81"/>
      <c r="BH1456" s="81"/>
      <c r="BI1456" s="81"/>
      <c r="BJ1456" s="81"/>
      <c r="BK1456" s="81"/>
      <c r="BL1456" s="81"/>
      <c r="BM1456" s="81"/>
      <c r="BN1456" s="66"/>
      <c r="BO1456" s="66"/>
      <c r="BP1456" s="66"/>
      <c r="BQ1456" s="66" t="str">
        <f>PROPER(TEXT(Prog_23[[#This Row],[PROGRAMAÇÃO CLIENTE]],"mmm"))</f>
        <v>Jan</v>
      </c>
      <c r="BR1456" s="66">
        <f>YEAR(Prog_23[[#This Row],[PROGRAMAÇÃO CLIENTE]])</f>
        <v>1900</v>
      </c>
    </row>
    <row r="1457" spans="1:70" x14ac:dyDescent="0.25">
      <c r="A1457" s="200">
        <f>Prog_23[[#This Row],[CONTEINER]]</f>
        <v>0</v>
      </c>
      <c r="B1457" s="86"/>
      <c r="C14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57" s="44"/>
      <c r="E1457" s="66"/>
      <c r="F1457" s="66"/>
      <c r="G1457" s="66"/>
      <c r="H1457" s="44"/>
      <c r="I1457" s="44"/>
      <c r="J1457" s="66"/>
      <c r="K1457" s="66"/>
      <c r="L1457" s="66"/>
      <c r="M1457" s="66"/>
      <c r="N1457" s="66">
        <f>SUM(Prog_23[[#This Row],[TARA]]+Prog_23[[#This Row],[PESO]])</f>
        <v>0</v>
      </c>
      <c r="O1457" s="44"/>
      <c r="P1457" s="66"/>
      <c r="Q1457" s="66"/>
      <c r="R1457" s="66"/>
      <c r="S1457" s="66"/>
      <c r="T1457" s="138" t="str">
        <f>IFERROR(LOOKUP($S1457,MOTORISTAS!$D$3:$D$916,MOTORISTAS!E$3:$E$916),"")</f>
        <v/>
      </c>
      <c r="U1457" s="138" t="str">
        <f>IFERROR(LOOKUP($S1457,MOTORISTAS!$D$3:$D$916,MOTORISTAS!F$3:$F$916),"")</f>
        <v/>
      </c>
      <c r="V1457" s="66"/>
      <c r="W1457" s="66"/>
      <c r="X1457" s="66"/>
      <c r="Y1457" s="66"/>
      <c r="Z1457" s="66"/>
      <c r="AA1457" s="66"/>
      <c r="AB1457" s="66"/>
      <c r="AC1457" s="66"/>
      <c r="AD1457" s="66"/>
      <c r="AE1457" s="66"/>
      <c r="AF1457" s="44"/>
      <c r="AG1457" s="254">
        <f>Prog_23[[#This Row],[SAÍDA DO CLIENTE]]-Prog_23[[#This Row],[PROGRAMAÇÃO CLIENTE]]</f>
        <v>0</v>
      </c>
      <c r="AH1457" s="44"/>
      <c r="AI1457" s="66"/>
      <c r="AJ1457" s="66"/>
      <c r="AK1457" s="66"/>
      <c r="AL1457" s="66"/>
      <c r="AM1457" s="66"/>
      <c r="AN1457" s="83"/>
      <c r="AO1457" s="83"/>
      <c r="AP1457" s="83"/>
      <c r="AQ1457" s="66"/>
      <c r="AR1457" s="66"/>
      <c r="AS1457" s="66"/>
      <c r="AT1457" s="81"/>
      <c r="AU1457" s="81"/>
      <c r="AV1457" s="81"/>
      <c r="AW1457" s="81"/>
      <c r="AX1457" s="83">
        <f>SUM(Prog_23[[#This Row],[ADIANTAMENTO]]+Prog_23[[#This Row],[SALDO]]+Prog_23[[#This Row],[MARGEM]]+Prog_23[[#This Row],[ESTADIA 1]])</f>
        <v>0</v>
      </c>
      <c r="AY14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57" s="81"/>
      <c r="BA1457" s="81"/>
      <c r="BB1457" s="81">
        <f>Prog_23[[#This Row],[VLR NF]]*0.1%</f>
        <v>0</v>
      </c>
      <c r="BC1457" s="81">
        <f>Prog_23[[#This Row],[VLR NF]]*0.05%</f>
        <v>0</v>
      </c>
      <c r="BD1457" s="81"/>
      <c r="BE1457" s="81"/>
      <c r="BF1457" s="81"/>
      <c r="BG1457" s="81"/>
      <c r="BH1457" s="81"/>
      <c r="BI1457" s="81"/>
      <c r="BJ1457" s="81"/>
      <c r="BK1457" s="81"/>
      <c r="BL1457" s="81"/>
      <c r="BM1457" s="81"/>
      <c r="BN1457" s="66"/>
      <c r="BO1457" s="66"/>
      <c r="BP1457" s="66"/>
      <c r="BQ1457" s="66" t="str">
        <f>PROPER(TEXT(Prog_23[[#This Row],[PROGRAMAÇÃO CLIENTE]],"mmm"))</f>
        <v>Jan</v>
      </c>
      <c r="BR1457" s="66">
        <f>YEAR(Prog_23[[#This Row],[PROGRAMAÇÃO CLIENTE]])</f>
        <v>1900</v>
      </c>
    </row>
    <row r="1458" spans="1:70" x14ac:dyDescent="0.25">
      <c r="A1458" s="201">
        <f>Prog_23[[#This Row],[CONTEINER]]</f>
        <v>0</v>
      </c>
      <c r="B1458" s="86"/>
      <c r="C14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58" s="44"/>
      <c r="E1458" s="66"/>
      <c r="F1458" s="66"/>
      <c r="G1458" s="66"/>
      <c r="H1458" s="44"/>
      <c r="I1458" s="44"/>
      <c r="J1458" s="66"/>
      <c r="K1458" s="66"/>
      <c r="L1458" s="66"/>
      <c r="M1458" s="66"/>
      <c r="N1458" s="66">
        <f>SUM(Prog_23[[#This Row],[TARA]]+Prog_23[[#This Row],[PESO]])</f>
        <v>0</v>
      </c>
      <c r="O1458" s="44"/>
      <c r="P1458" s="66"/>
      <c r="Q1458" s="66"/>
      <c r="R1458" s="66"/>
      <c r="S1458" s="66"/>
      <c r="T1458" s="138" t="str">
        <f>IFERROR(LOOKUP($S1458,MOTORISTAS!$D$3:$D$916,MOTORISTAS!E$3:$E$916),"")</f>
        <v/>
      </c>
      <c r="U1458" s="138" t="str">
        <f>IFERROR(LOOKUP($S1458,MOTORISTAS!$D$3:$D$916,MOTORISTAS!F$3:$F$916),"")</f>
        <v/>
      </c>
      <c r="V1458" s="66"/>
      <c r="W1458" s="66"/>
      <c r="X1458" s="66"/>
      <c r="Y1458" s="66"/>
      <c r="Z1458" s="66"/>
      <c r="AA1458" s="66"/>
      <c r="AB1458" s="66"/>
      <c r="AC1458" s="66"/>
      <c r="AD1458" s="66"/>
      <c r="AE1458" s="66"/>
      <c r="AF1458" s="44"/>
      <c r="AG1458" s="254">
        <f>Prog_23[[#This Row],[SAÍDA DO CLIENTE]]-Prog_23[[#This Row],[PROGRAMAÇÃO CLIENTE]]</f>
        <v>0</v>
      </c>
      <c r="AH1458" s="44"/>
      <c r="AI1458" s="66"/>
      <c r="AJ1458" s="66"/>
      <c r="AK1458" s="66"/>
      <c r="AL1458" s="66"/>
      <c r="AM1458" s="66"/>
      <c r="AN1458" s="83"/>
      <c r="AO1458" s="83"/>
      <c r="AP1458" s="83"/>
      <c r="AQ1458" s="66"/>
      <c r="AR1458" s="66"/>
      <c r="AS1458" s="66"/>
      <c r="AT1458" s="81"/>
      <c r="AU1458" s="81"/>
      <c r="AV1458" s="81"/>
      <c r="AW1458" s="81"/>
      <c r="AX1458" s="83">
        <f>SUM(Prog_23[[#This Row],[ADIANTAMENTO]]+Prog_23[[#This Row],[SALDO]]+Prog_23[[#This Row],[MARGEM]]+Prog_23[[#This Row],[ESTADIA 1]])</f>
        <v>0</v>
      </c>
      <c r="AY14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58" s="81"/>
      <c r="BA1458" s="81"/>
      <c r="BB1458" s="81">
        <f>Prog_23[[#This Row],[VLR NF]]*0.1%</f>
        <v>0</v>
      </c>
      <c r="BC1458" s="81">
        <f>Prog_23[[#This Row],[VLR NF]]*0.05%</f>
        <v>0</v>
      </c>
      <c r="BD1458" s="81"/>
      <c r="BE1458" s="81"/>
      <c r="BF1458" s="81"/>
      <c r="BG1458" s="81"/>
      <c r="BH1458" s="81"/>
      <c r="BI1458" s="81"/>
      <c r="BJ1458" s="81"/>
      <c r="BK1458" s="81"/>
      <c r="BL1458" s="81"/>
      <c r="BM1458" s="81"/>
      <c r="BN1458" s="66"/>
      <c r="BO1458" s="66"/>
      <c r="BP1458" s="66"/>
      <c r="BQ1458" s="66" t="str">
        <f>PROPER(TEXT(Prog_23[[#This Row],[PROGRAMAÇÃO CLIENTE]],"mmm"))</f>
        <v>Jan</v>
      </c>
      <c r="BR1458" s="66">
        <f>YEAR(Prog_23[[#This Row],[PROGRAMAÇÃO CLIENTE]])</f>
        <v>1900</v>
      </c>
    </row>
    <row r="1459" spans="1:70" x14ac:dyDescent="0.25">
      <c r="A1459" s="200">
        <f>Prog_23[[#This Row],[CONTEINER]]</f>
        <v>0</v>
      </c>
      <c r="B1459" s="86"/>
      <c r="C14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59" s="44"/>
      <c r="E1459" s="66"/>
      <c r="F1459" s="66"/>
      <c r="G1459" s="66"/>
      <c r="H1459" s="44"/>
      <c r="I1459" s="44"/>
      <c r="J1459" s="66"/>
      <c r="K1459" s="66"/>
      <c r="L1459" s="66"/>
      <c r="M1459" s="66"/>
      <c r="N1459" s="66">
        <f>SUM(Prog_23[[#This Row],[TARA]]+Prog_23[[#This Row],[PESO]])</f>
        <v>0</v>
      </c>
      <c r="O1459" s="44"/>
      <c r="P1459" s="66"/>
      <c r="Q1459" s="66"/>
      <c r="R1459" s="66"/>
      <c r="S1459" s="66"/>
      <c r="T1459" s="138" t="str">
        <f>IFERROR(LOOKUP($S1459,MOTORISTAS!$D$3:$D$916,MOTORISTAS!E$3:$E$916),"")</f>
        <v/>
      </c>
      <c r="U1459" s="138" t="str">
        <f>IFERROR(LOOKUP($S1459,MOTORISTAS!$D$3:$D$916,MOTORISTAS!F$3:$F$916),"")</f>
        <v/>
      </c>
      <c r="V1459" s="66"/>
      <c r="W1459" s="66"/>
      <c r="X1459" s="66"/>
      <c r="Y1459" s="66"/>
      <c r="Z1459" s="66"/>
      <c r="AA1459" s="66"/>
      <c r="AB1459" s="66"/>
      <c r="AC1459" s="66"/>
      <c r="AD1459" s="66"/>
      <c r="AE1459" s="66"/>
      <c r="AF1459" s="44"/>
      <c r="AG1459" s="254">
        <f>Prog_23[[#This Row],[SAÍDA DO CLIENTE]]-Prog_23[[#This Row],[PROGRAMAÇÃO CLIENTE]]</f>
        <v>0</v>
      </c>
      <c r="AH1459" s="44"/>
      <c r="AI1459" s="66"/>
      <c r="AJ1459" s="66"/>
      <c r="AK1459" s="66"/>
      <c r="AL1459" s="66"/>
      <c r="AM1459" s="66"/>
      <c r="AN1459" s="83"/>
      <c r="AO1459" s="83"/>
      <c r="AP1459" s="83"/>
      <c r="AQ1459" s="66"/>
      <c r="AR1459" s="66"/>
      <c r="AS1459" s="66"/>
      <c r="AT1459" s="81"/>
      <c r="AU1459" s="81"/>
      <c r="AV1459" s="81"/>
      <c r="AW1459" s="81"/>
      <c r="AX1459" s="83">
        <f>SUM(Prog_23[[#This Row],[ADIANTAMENTO]]+Prog_23[[#This Row],[SALDO]]+Prog_23[[#This Row],[MARGEM]]+Prog_23[[#This Row],[ESTADIA 1]])</f>
        <v>0</v>
      </c>
      <c r="AY14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59" s="81"/>
      <c r="BA1459" s="81"/>
      <c r="BB1459" s="81">
        <f>Prog_23[[#This Row],[VLR NF]]*0.1%</f>
        <v>0</v>
      </c>
      <c r="BC1459" s="81">
        <f>Prog_23[[#This Row],[VLR NF]]*0.05%</f>
        <v>0</v>
      </c>
      <c r="BD1459" s="81"/>
      <c r="BE1459" s="81"/>
      <c r="BF1459" s="81"/>
      <c r="BG1459" s="81"/>
      <c r="BH1459" s="81"/>
      <c r="BI1459" s="81"/>
      <c r="BJ1459" s="81"/>
      <c r="BK1459" s="81"/>
      <c r="BL1459" s="81"/>
      <c r="BM1459" s="81"/>
      <c r="BN1459" s="66"/>
      <c r="BO1459" s="66"/>
      <c r="BP1459" s="66"/>
      <c r="BQ1459" s="66" t="str">
        <f>PROPER(TEXT(Prog_23[[#This Row],[PROGRAMAÇÃO CLIENTE]],"mmm"))</f>
        <v>Jan</v>
      </c>
      <c r="BR1459" s="66">
        <f>YEAR(Prog_23[[#This Row],[PROGRAMAÇÃO CLIENTE]])</f>
        <v>1900</v>
      </c>
    </row>
    <row r="1460" spans="1:70" x14ac:dyDescent="0.25">
      <c r="A1460" s="201">
        <f>Prog_23[[#This Row],[CONTEINER]]</f>
        <v>0</v>
      </c>
      <c r="B1460" s="86"/>
      <c r="C14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60" s="44"/>
      <c r="E1460" s="66"/>
      <c r="F1460" s="66"/>
      <c r="G1460" s="66"/>
      <c r="H1460" s="44"/>
      <c r="I1460" s="44"/>
      <c r="J1460" s="66"/>
      <c r="K1460" s="66"/>
      <c r="L1460" s="66"/>
      <c r="M1460" s="66"/>
      <c r="N1460" s="66">
        <f>SUM(Prog_23[[#This Row],[TARA]]+Prog_23[[#This Row],[PESO]])</f>
        <v>0</v>
      </c>
      <c r="O1460" s="44"/>
      <c r="P1460" s="66"/>
      <c r="Q1460" s="66"/>
      <c r="R1460" s="66"/>
      <c r="S1460" s="66"/>
      <c r="T1460" s="138" t="str">
        <f>IFERROR(LOOKUP($S1460,MOTORISTAS!$D$3:$D$916,MOTORISTAS!E$3:$E$916),"")</f>
        <v/>
      </c>
      <c r="U1460" s="138" t="str">
        <f>IFERROR(LOOKUP($S1460,MOTORISTAS!$D$3:$D$916,MOTORISTAS!F$3:$F$916),"")</f>
        <v/>
      </c>
      <c r="V1460" s="66"/>
      <c r="W1460" s="66"/>
      <c r="X1460" s="66"/>
      <c r="Y1460" s="66"/>
      <c r="Z1460" s="66"/>
      <c r="AA1460" s="66"/>
      <c r="AB1460" s="66"/>
      <c r="AC1460" s="66"/>
      <c r="AD1460" s="66"/>
      <c r="AE1460" s="66"/>
      <c r="AF1460" s="44"/>
      <c r="AG1460" s="254">
        <f>Prog_23[[#This Row],[SAÍDA DO CLIENTE]]-Prog_23[[#This Row],[PROGRAMAÇÃO CLIENTE]]</f>
        <v>0</v>
      </c>
      <c r="AH1460" s="44"/>
      <c r="AI1460" s="66"/>
      <c r="AJ1460" s="66"/>
      <c r="AK1460" s="66"/>
      <c r="AL1460" s="66"/>
      <c r="AM1460" s="66"/>
      <c r="AN1460" s="83"/>
      <c r="AO1460" s="83"/>
      <c r="AP1460" s="83"/>
      <c r="AQ1460" s="66"/>
      <c r="AR1460" s="66"/>
      <c r="AS1460" s="66"/>
      <c r="AT1460" s="81"/>
      <c r="AU1460" s="81"/>
      <c r="AV1460" s="81"/>
      <c r="AW1460" s="81"/>
      <c r="AX1460" s="83">
        <f>SUM(Prog_23[[#This Row],[ADIANTAMENTO]]+Prog_23[[#This Row],[SALDO]]+Prog_23[[#This Row],[MARGEM]]+Prog_23[[#This Row],[ESTADIA 1]])</f>
        <v>0</v>
      </c>
      <c r="AY14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60" s="81"/>
      <c r="BA1460" s="81"/>
      <c r="BB1460" s="81">
        <f>Prog_23[[#This Row],[VLR NF]]*0.1%</f>
        <v>0</v>
      </c>
      <c r="BC1460" s="81">
        <f>Prog_23[[#This Row],[VLR NF]]*0.05%</f>
        <v>0</v>
      </c>
      <c r="BD1460" s="81"/>
      <c r="BE1460" s="81"/>
      <c r="BF1460" s="81"/>
      <c r="BG1460" s="81"/>
      <c r="BH1460" s="81"/>
      <c r="BI1460" s="81"/>
      <c r="BJ1460" s="81"/>
      <c r="BK1460" s="81"/>
      <c r="BL1460" s="81"/>
      <c r="BM1460" s="81"/>
      <c r="BN1460" s="66"/>
      <c r="BO1460" s="66"/>
      <c r="BP1460" s="66"/>
      <c r="BQ1460" s="66" t="str">
        <f>PROPER(TEXT(Prog_23[[#This Row],[PROGRAMAÇÃO CLIENTE]],"mmm"))</f>
        <v>Jan</v>
      </c>
      <c r="BR1460" s="66">
        <f>YEAR(Prog_23[[#This Row],[PROGRAMAÇÃO CLIENTE]])</f>
        <v>1900</v>
      </c>
    </row>
    <row r="1461" spans="1:70" x14ac:dyDescent="0.25">
      <c r="A1461" s="200">
        <f>Prog_23[[#This Row],[CONTEINER]]</f>
        <v>0</v>
      </c>
      <c r="B1461" s="86"/>
      <c r="C14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61" s="44"/>
      <c r="E1461" s="66"/>
      <c r="F1461" s="66"/>
      <c r="G1461" s="66"/>
      <c r="H1461" s="44"/>
      <c r="I1461" s="44"/>
      <c r="J1461" s="66"/>
      <c r="K1461" s="66"/>
      <c r="L1461" s="66"/>
      <c r="M1461" s="66"/>
      <c r="N1461" s="66">
        <f>SUM(Prog_23[[#This Row],[TARA]]+Prog_23[[#This Row],[PESO]])</f>
        <v>0</v>
      </c>
      <c r="O1461" s="44"/>
      <c r="P1461" s="66"/>
      <c r="Q1461" s="66"/>
      <c r="R1461" s="66"/>
      <c r="S1461" s="66"/>
      <c r="T1461" s="138" t="str">
        <f>IFERROR(LOOKUP($S1461,MOTORISTAS!$D$3:$D$916,MOTORISTAS!E$3:$E$916),"")</f>
        <v/>
      </c>
      <c r="U1461" s="138" t="str">
        <f>IFERROR(LOOKUP($S1461,MOTORISTAS!$D$3:$D$916,MOTORISTAS!F$3:$F$916),"")</f>
        <v/>
      </c>
      <c r="V1461" s="66"/>
      <c r="W1461" s="66"/>
      <c r="X1461" s="66"/>
      <c r="Y1461" s="66"/>
      <c r="Z1461" s="66"/>
      <c r="AA1461" s="66"/>
      <c r="AB1461" s="66"/>
      <c r="AC1461" s="66"/>
      <c r="AD1461" s="66"/>
      <c r="AE1461" s="66"/>
      <c r="AF1461" s="44"/>
      <c r="AG1461" s="254">
        <f>Prog_23[[#This Row],[SAÍDA DO CLIENTE]]-Prog_23[[#This Row],[PROGRAMAÇÃO CLIENTE]]</f>
        <v>0</v>
      </c>
      <c r="AH1461" s="44"/>
      <c r="AI1461" s="66"/>
      <c r="AJ1461" s="66"/>
      <c r="AK1461" s="66"/>
      <c r="AL1461" s="66"/>
      <c r="AM1461" s="66"/>
      <c r="AN1461" s="83"/>
      <c r="AO1461" s="83"/>
      <c r="AP1461" s="83"/>
      <c r="AQ1461" s="66"/>
      <c r="AR1461" s="66"/>
      <c r="AS1461" s="66"/>
      <c r="AT1461" s="81"/>
      <c r="AU1461" s="81"/>
      <c r="AV1461" s="81"/>
      <c r="AW1461" s="81"/>
      <c r="AX1461" s="83">
        <f>SUM(Prog_23[[#This Row],[ADIANTAMENTO]]+Prog_23[[#This Row],[SALDO]]+Prog_23[[#This Row],[MARGEM]]+Prog_23[[#This Row],[ESTADIA 1]])</f>
        <v>0</v>
      </c>
      <c r="AY14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61" s="81"/>
      <c r="BA1461" s="81"/>
      <c r="BB1461" s="81">
        <f>Prog_23[[#This Row],[VLR NF]]*0.1%</f>
        <v>0</v>
      </c>
      <c r="BC1461" s="81">
        <f>Prog_23[[#This Row],[VLR NF]]*0.05%</f>
        <v>0</v>
      </c>
      <c r="BD1461" s="81"/>
      <c r="BE1461" s="81"/>
      <c r="BF1461" s="81"/>
      <c r="BG1461" s="81"/>
      <c r="BH1461" s="81"/>
      <c r="BI1461" s="81"/>
      <c r="BJ1461" s="81"/>
      <c r="BK1461" s="81"/>
      <c r="BL1461" s="81"/>
      <c r="BM1461" s="81"/>
      <c r="BN1461" s="66"/>
      <c r="BO1461" s="66"/>
      <c r="BP1461" s="66"/>
      <c r="BQ1461" s="66" t="str">
        <f>PROPER(TEXT(Prog_23[[#This Row],[PROGRAMAÇÃO CLIENTE]],"mmm"))</f>
        <v>Jan</v>
      </c>
      <c r="BR1461" s="66">
        <f>YEAR(Prog_23[[#This Row],[PROGRAMAÇÃO CLIENTE]])</f>
        <v>1900</v>
      </c>
    </row>
    <row r="1462" spans="1:70" x14ac:dyDescent="0.25">
      <c r="A1462" s="201">
        <f>Prog_23[[#This Row],[CONTEINER]]</f>
        <v>0</v>
      </c>
      <c r="B1462" s="86"/>
      <c r="C14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62" s="44"/>
      <c r="E1462" s="66"/>
      <c r="F1462" s="66"/>
      <c r="G1462" s="66"/>
      <c r="H1462" s="44"/>
      <c r="I1462" s="44"/>
      <c r="J1462" s="66"/>
      <c r="K1462" s="66"/>
      <c r="L1462" s="66"/>
      <c r="M1462" s="66"/>
      <c r="N1462" s="66">
        <f>SUM(Prog_23[[#This Row],[TARA]]+Prog_23[[#This Row],[PESO]])</f>
        <v>0</v>
      </c>
      <c r="O1462" s="44"/>
      <c r="P1462" s="66"/>
      <c r="Q1462" s="66"/>
      <c r="R1462" s="66"/>
      <c r="S1462" s="66"/>
      <c r="T1462" s="138" t="str">
        <f>IFERROR(LOOKUP($S1462,MOTORISTAS!$D$3:$D$916,MOTORISTAS!E$3:$E$916),"")</f>
        <v/>
      </c>
      <c r="U1462" s="138" t="str">
        <f>IFERROR(LOOKUP($S1462,MOTORISTAS!$D$3:$D$916,MOTORISTAS!F$3:$F$916),"")</f>
        <v/>
      </c>
      <c r="V1462" s="66"/>
      <c r="W1462" s="66"/>
      <c r="X1462" s="66"/>
      <c r="Y1462" s="66"/>
      <c r="Z1462" s="66"/>
      <c r="AA1462" s="66"/>
      <c r="AB1462" s="66"/>
      <c r="AC1462" s="66"/>
      <c r="AD1462" s="66"/>
      <c r="AE1462" s="66"/>
      <c r="AF1462" s="44"/>
      <c r="AG1462" s="254">
        <f>Prog_23[[#This Row],[SAÍDA DO CLIENTE]]-Prog_23[[#This Row],[PROGRAMAÇÃO CLIENTE]]</f>
        <v>0</v>
      </c>
      <c r="AH1462" s="44"/>
      <c r="AI1462" s="66"/>
      <c r="AJ1462" s="66"/>
      <c r="AK1462" s="66"/>
      <c r="AL1462" s="66"/>
      <c r="AM1462" s="66"/>
      <c r="AN1462" s="83"/>
      <c r="AO1462" s="83"/>
      <c r="AP1462" s="83"/>
      <c r="AQ1462" s="66"/>
      <c r="AR1462" s="66"/>
      <c r="AS1462" s="66"/>
      <c r="AT1462" s="81"/>
      <c r="AU1462" s="81"/>
      <c r="AV1462" s="81"/>
      <c r="AW1462" s="81"/>
      <c r="AX1462" s="83">
        <f>SUM(Prog_23[[#This Row],[ADIANTAMENTO]]+Prog_23[[#This Row],[SALDO]]+Prog_23[[#This Row],[MARGEM]]+Prog_23[[#This Row],[ESTADIA 1]])</f>
        <v>0</v>
      </c>
      <c r="AY14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62" s="81"/>
      <c r="BA1462" s="81"/>
      <c r="BB1462" s="81">
        <f>Prog_23[[#This Row],[VLR NF]]*0.1%</f>
        <v>0</v>
      </c>
      <c r="BC1462" s="81">
        <f>Prog_23[[#This Row],[VLR NF]]*0.05%</f>
        <v>0</v>
      </c>
      <c r="BD1462" s="81"/>
      <c r="BE1462" s="81"/>
      <c r="BF1462" s="81"/>
      <c r="BG1462" s="81"/>
      <c r="BH1462" s="81"/>
      <c r="BI1462" s="81"/>
      <c r="BJ1462" s="81"/>
      <c r="BK1462" s="81"/>
      <c r="BL1462" s="81"/>
      <c r="BM1462" s="81"/>
      <c r="BN1462" s="66"/>
      <c r="BO1462" s="66"/>
      <c r="BP1462" s="66"/>
      <c r="BQ1462" s="66" t="str">
        <f>PROPER(TEXT(Prog_23[[#This Row],[PROGRAMAÇÃO CLIENTE]],"mmm"))</f>
        <v>Jan</v>
      </c>
      <c r="BR1462" s="66">
        <f>YEAR(Prog_23[[#This Row],[PROGRAMAÇÃO CLIENTE]])</f>
        <v>1900</v>
      </c>
    </row>
    <row r="1463" spans="1:70" x14ac:dyDescent="0.25">
      <c r="A1463" s="200">
        <f>Prog_23[[#This Row],[CONTEINER]]</f>
        <v>0</v>
      </c>
      <c r="B1463" s="86"/>
      <c r="C14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63" s="44"/>
      <c r="E1463" s="66"/>
      <c r="F1463" s="66"/>
      <c r="G1463" s="66"/>
      <c r="H1463" s="44"/>
      <c r="I1463" s="44"/>
      <c r="J1463" s="66"/>
      <c r="K1463" s="66"/>
      <c r="L1463" s="66"/>
      <c r="M1463" s="66"/>
      <c r="N1463" s="66">
        <f>SUM(Prog_23[[#This Row],[TARA]]+Prog_23[[#This Row],[PESO]])</f>
        <v>0</v>
      </c>
      <c r="O1463" s="44"/>
      <c r="P1463" s="66"/>
      <c r="Q1463" s="66"/>
      <c r="R1463" s="66"/>
      <c r="S1463" s="66"/>
      <c r="T1463" s="138" t="str">
        <f>IFERROR(LOOKUP($S1463,MOTORISTAS!$D$3:$D$916,MOTORISTAS!E$3:$E$916),"")</f>
        <v/>
      </c>
      <c r="U1463" s="138" t="str">
        <f>IFERROR(LOOKUP($S1463,MOTORISTAS!$D$3:$D$916,MOTORISTAS!F$3:$F$916),"")</f>
        <v/>
      </c>
      <c r="V1463" s="66"/>
      <c r="W1463" s="66"/>
      <c r="X1463" s="66"/>
      <c r="Y1463" s="66"/>
      <c r="Z1463" s="66"/>
      <c r="AA1463" s="66"/>
      <c r="AB1463" s="66"/>
      <c r="AC1463" s="66"/>
      <c r="AD1463" s="66"/>
      <c r="AE1463" s="66"/>
      <c r="AF1463" s="44"/>
      <c r="AG1463" s="254">
        <f>Prog_23[[#This Row],[SAÍDA DO CLIENTE]]-Prog_23[[#This Row],[PROGRAMAÇÃO CLIENTE]]</f>
        <v>0</v>
      </c>
      <c r="AH1463" s="44"/>
      <c r="AI1463" s="66"/>
      <c r="AJ1463" s="66"/>
      <c r="AK1463" s="66"/>
      <c r="AL1463" s="66"/>
      <c r="AM1463" s="66"/>
      <c r="AN1463" s="83"/>
      <c r="AO1463" s="83"/>
      <c r="AP1463" s="83"/>
      <c r="AQ1463" s="66"/>
      <c r="AR1463" s="66"/>
      <c r="AS1463" s="66"/>
      <c r="AT1463" s="81"/>
      <c r="AU1463" s="81"/>
      <c r="AV1463" s="81"/>
      <c r="AW1463" s="81"/>
      <c r="AX1463" s="83">
        <f>SUM(Prog_23[[#This Row],[ADIANTAMENTO]]+Prog_23[[#This Row],[SALDO]]+Prog_23[[#This Row],[MARGEM]]+Prog_23[[#This Row],[ESTADIA 1]])</f>
        <v>0</v>
      </c>
      <c r="AY14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63" s="81"/>
      <c r="BA1463" s="81"/>
      <c r="BB1463" s="81">
        <f>Prog_23[[#This Row],[VLR NF]]*0.1%</f>
        <v>0</v>
      </c>
      <c r="BC1463" s="81">
        <f>Prog_23[[#This Row],[VLR NF]]*0.05%</f>
        <v>0</v>
      </c>
      <c r="BD1463" s="81"/>
      <c r="BE1463" s="81"/>
      <c r="BF1463" s="81"/>
      <c r="BG1463" s="81"/>
      <c r="BH1463" s="81"/>
      <c r="BI1463" s="81"/>
      <c r="BJ1463" s="81"/>
      <c r="BK1463" s="81"/>
      <c r="BL1463" s="81"/>
      <c r="BM1463" s="81"/>
      <c r="BN1463" s="66"/>
      <c r="BO1463" s="66"/>
      <c r="BP1463" s="66"/>
      <c r="BQ1463" s="66" t="str">
        <f>PROPER(TEXT(Prog_23[[#This Row],[PROGRAMAÇÃO CLIENTE]],"mmm"))</f>
        <v>Jan</v>
      </c>
      <c r="BR1463" s="66">
        <f>YEAR(Prog_23[[#This Row],[PROGRAMAÇÃO CLIENTE]])</f>
        <v>1900</v>
      </c>
    </row>
    <row r="1464" spans="1:70" x14ac:dyDescent="0.25">
      <c r="A1464" s="201">
        <f>Prog_23[[#This Row],[CONTEINER]]</f>
        <v>0</v>
      </c>
      <c r="B1464" s="86"/>
      <c r="C14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64" s="44"/>
      <c r="E1464" s="66"/>
      <c r="F1464" s="66"/>
      <c r="G1464" s="66"/>
      <c r="H1464" s="44"/>
      <c r="I1464" s="44"/>
      <c r="J1464" s="66"/>
      <c r="K1464" s="66"/>
      <c r="L1464" s="66"/>
      <c r="M1464" s="66"/>
      <c r="N1464" s="66">
        <f>SUM(Prog_23[[#This Row],[TARA]]+Prog_23[[#This Row],[PESO]])</f>
        <v>0</v>
      </c>
      <c r="O1464" s="44"/>
      <c r="P1464" s="66"/>
      <c r="Q1464" s="66"/>
      <c r="R1464" s="66"/>
      <c r="S1464" s="66"/>
      <c r="T1464" s="138" t="str">
        <f>IFERROR(LOOKUP($S1464,MOTORISTAS!$D$3:$D$916,MOTORISTAS!E$3:$E$916),"")</f>
        <v/>
      </c>
      <c r="U1464" s="138" t="str">
        <f>IFERROR(LOOKUP($S1464,MOTORISTAS!$D$3:$D$916,MOTORISTAS!F$3:$F$916),"")</f>
        <v/>
      </c>
      <c r="V1464" s="66"/>
      <c r="W1464" s="66"/>
      <c r="X1464" s="66"/>
      <c r="Y1464" s="66"/>
      <c r="Z1464" s="66"/>
      <c r="AA1464" s="66"/>
      <c r="AB1464" s="66"/>
      <c r="AC1464" s="66"/>
      <c r="AD1464" s="66"/>
      <c r="AE1464" s="66"/>
      <c r="AF1464" s="44"/>
      <c r="AG1464" s="254">
        <f>Prog_23[[#This Row],[SAÍDA DO CLIENTE]]-Prog_23[[#This Row],[PROGRAMAÇÃO CLIENTE]]</f>
        <v>0</v>
      </c>
      <c r="AH1464" s="44"/>
      <c r="AI1464" s="66"/>
      <c r="AJ1464" s="66"/>
      <c r="AK1464" s="66"/>
      <c r="AL1464" s="66"/>
      <c r="AM1464" s="66"/>
      <c r="AN1464" s="83"/>
      <c r="AO1464" s="83"/>
      <c r="AP1464" s="83"/>
      <c r="AQ1464" s="66"/>
      <c r="AR1464" s="66"/>
      <c r="AS1464" s="66"/>
      <c r="AT1464" s="81"/>
      <c r="AU1464" s="81"/>
      <c r="AV1464" s="81"/>
      <c r="AW1464" s="81"/>
      <c r="AX1464" s="83">
        <f>SUM(Prog_23[[#This Row],[ADIANTAMENTO]]+Prog_23[[#This Row],[SALDO]]+Prog_23[[#This Row],[MARGEM]]+Prog_23[[#This Row],[ESTADIA 1]])</f>
        <v>0</v>
      </c>
      <c r="AY14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64" s="81"/>
      <c r="BA1464" s="81"/>
      <c r="BB1464" s="81">
        <f>Prog_23[[#This Row],[VLR NF]]*0.1%</f>
        <v>0</v>
      </c>
      <c r="BC1464" s="81">
        <f>Prog_23[[#This Row],[VLR NF]]*0.05%</f>
        <v>0</v>
      </c>
      <c r="BD1464" s="81"/>
      <c r="BE1464" s="81"/>
      <c r="BF1464" s="81"/>
      <c r="BG1464" s="81"/>
      <c r="BH1464" s="81"/>
      <c r="BI1464" s="81"/>
      <c r="BJ1464" s="81"/>
      <c r="BK1464" s="81"/>
      <c r="BL1464" s="81"/>
      <c r="BM1464" s="81"/>
      <c r="BN1464" s="66"/>
      <c r="BO1464" s="66"/>
      <c r="BP1464" s="66"/>
      <c r="BQ1464" s="66" t="str">
        <f>PROPER(TEXT(Prog_23[[#This Row],[PROGRAMAÇÃO CLIENTE]],"mmm"))</f>
        <v>Jan</v>
      </c>
      <c r="BR1464" s="66">
        <f>YEAR(Prog_23[[#This Row],[PROGRAMAÇÃO CLIENTE]])</f>
        <v>1900</v>
      </c>
    </row>
    <row r="1465" spans="1:70" x14ac:dyDescent="0.25">
      <c r="A1465" s="200">
        <f>Prog_23[[#This Row],[CONTEINER]]</f>
        <v>0</v>
      </c>
      <c r="B1465" s="86"/>
      <c r="C14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65" s="44"/>
      <c r="E1465" s="66"/>
      <c r="F1465" s="66"/>
      <c r="G1465" s="66"/>
      <c r="H1465" s="44"/>
      <c r="I1465" s="44"/>
      <c r="J1465" s="66"/>
      <c r="K1465" s="66"/>
      <c r="L1465" s="66"/>
      <c r="M1465" s="66"/>
      <c r="N1465" s="66">
        <f>SUM(Prog_23[[#This Row],[TARA]]+Prog_23[[#This Row],[PESO]])</f>
        <v>0</v>
      </c>
      <c r="O1465" s="44"/>
      <c r="P1465" s="66"/>
      <c r="Q1465" s="66"/>
      <c r="R1465" s="66"/>
      <c r="S1465" s="66"/>
      <c r="T1465" s="138" t="str">
        <f>IFERROR(LOOKUP($S1465,MOTORISTAS!$D$3:$D$916,MOTORISTAS!E$3:$E$916),"")</f>
        <v/>
      </c>
      <c r="U1465" s="138" t="str">
        <f>IFERROR(LOOKUP($S1465,MOTORISTAS!$D$3:$D$916,MOTORISTAS!F$3:$F$916),"")</f>
        <v/>
      </c>
      <c r="V1465" s="66"/>
      <c r="W1465" s="66"/>
      <c r="X1465" s="66"/>
      <c r="Y1465" s="66"/>
      <c r="Z1465" s="66"/>
      <c r="AA1465" s="66"/>
      <c r="AB1465" s="66"/>
      <c r="AC1465" s="66"/>
      <c r="AD1465" s="66"/>
      <c r="AE1465" s="66"/>
      <c r="AF1465" s="44"/>
      <c r="AG1465" s="254">
        <f>Prog_23[[#This Row],[SAÍDA DO CLIENTE]]-Prog_23[[#This Row],[PROGRAMAÇÃO CLIENTE]]</f>
        <v>0</v>
      </c>
      <c r="AH1465" s="44"/>
      <c r="AI1465" s="66"/>
      <c r="AJ1465" s="66"/>
      <c r="AK1465" s="66"/>
      <c r="AL1465" s="66"/>
      <c r="AM1465" s="66"/>
      <c r="AN1465" s="83"/>
      <c r="AO1465" s="83"/>
      <c r="AP1465" s="83"/>
      <c r="AQ1465" s="66"/>
      <c r="AR1465" s="66"/>
      <c r="AS1465" s="66"/>
      <c r="AT1465" s="81"/>
      <c r="AU1465" s="81"/>
      <c r="AV1465" s="81"/>
      <c r="AW1465" s="81"/>
      <c r="AX1465" s="83">
        <f>SUM(Prog_23[[#This Row],[ADIANTAMENTO]]+Prog_23[[#This Row],[SALDO]]+Prog_23[[#This Row],[MARGEM]]+Prog_23[[#This Row],[ESTADIA 1]])</f>
        <v>0</v>
      </c>
      <c r="AY14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65" s="81"/>
      <c r="BA1465" s="81"/>
      <c r="BB1465" s="81">
        <f>Prog_23[[#This Row],[VLR NF]]*0.1%</f>
        <v>0</v>
      </c>
      <c r="BC1465" s="81">
        <f>Prog_23[[#This Row],[VLR NF]]*0.05%</f>
        <v>0</v>
      </c>
      <c r="BD1465" s="81"/>
      <c r="BE1465" s="81"/>
      <c r="BF1465" s="81"/>
      <c r="BG1465" s="81"/>
      <c r="BH1465" s="81"/>
      <c r="BI1465" s="81"/>
      <c r="BJ1465" s="81"/>
      <c r="BK1465" s="81"/>
      <c r="BL1465" s="81"/>
      <c r="BM1465" s="81"/>
      <c r="BN1465" s="66"/>
      <c r="BO1465" s="66"/>
      <c r="BP1465" s="66"/>
      <c r="BQ1465" s="66" t="str">
        <f>PROPER(TEXT(Prog_23[[#This Row],[PROGRAMAÇÃO CLIENTE]],"mmm"))</f>
        <v>Jan</v>
      </c>
      <c r="BR1465" s="66">
        <f>YEAR(Prog_23[[#This Row],[PROGRAMAÇÃO CLIENTE]])</f>
        <v>1900</v>
      </c>
    </row>
    <row r="1466" spans="1:70" x14ac:dyDescent="0.25">
      <c r="A1466" s="201">
        <f>Prog_23[[#This Row],[CONTEINER]]</f>
        <v>0</v>
      </c>
      <c r="B1466" s="86"/>
      <c r="C14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66" s="44"/>
      <c r="E1466" s="66"/>
      <c r="F1466" s="66"/>
      <c r="G1466" s="66"/>
      <c r="H1466" s="44"/>
      <c r="I1466" s="44"/>
      <c r="J1466" s="66"/>
      <c r="K1466" s="66"/>
      <c r="L1466" s="66"/>
      <c r="M1466" s="66"/>
      <c r="N1466" s="66">
        <f>SUM(Prog_23[[#This Row],[TARA]]+Prog_23[[#This Row],[PESO]])</f>
        <v>0</v>
      </c>
      <c r="O1466" s="44"/>
      <c r="P1466" s="66"/>
      <c r="Q1466" s="66"/>
      <c r="R1466" s="66"/>
      <c r="S1466" s="66"/>
      <c r="T1466" s="138" t="str">
        <f>IFERROR(LOOKUP($S1466,MOTORISTAS!$D$3:$D$916,MOTORISTAS!E$3:$E$916),"")</f>
        <v/>
      </c>
      <c r="U1466" s="138" t="str">
        <f>IFERROR(LOOKUP($S1466,MOTORISTAS!$D$3:$D$916,MOTORISTAS!F$3:$F$916),"")</f>
        <v/>
      </c>
      <c r="V1466" s="66"/>
      <c r="W1466" s="66"/>
      <c r="X1466" s="66"/>
      <c r="Y1466" s="66"/>
      <c r="Z1466" s="66"/>
      <c r="AA1466" s="66"/>
      <c r="AB1466" s="66"/>
      <c r="AC1466" s="66"/>
      <c r="AD1466" s="66"/>
      <c r="AE1466" s="66"/>
      <c r="AF1466" s="44"/>
      <c r="AG1466" s="254">
        <f>Prog_23[[#This Row],[SAÍDA DO CLIENTE]]-Prog_23[[#This Row],[PROGRAMAÇÃO CLIENTE]]</f>
        <v>0</v>
      </c>
      <c r="AH1466" s="44"/>
      <c r="AI1466" s="66"/>
      <c r="AJ1466" s="66"/>
      <c r="AK1466" s="66"/>
      <c r="AL1466" s="66"/>
      <c r="AM1466" s="66"/>
      <c r="AN1466" s="83"/>
      <c r="AO1466" s="83"/>
      <c r="AP1466" s="83"/>
      <c r="AQ1466" s="66"/>
      <c r="AR1466" s="66"/>
      <c r="AS1466" s="66"/>
      <c r="AT1466" s="81"/>
      <c r="AU1466" s="81"/>
      <c r="AV1466" s="81"/>
      <c r="AW1466" s="81"/>
      <c r="AX1466" s="83">
        <f>SUM(Prog_23[[#This Row],[ADIANTAMENTO]]+Prog_23[[#This Row],[SALDO]]+Prog_23[[#This Row],[MARGEM]]+Prog_23[[#This Row],[ESTADIA 1]])</f>
        <v>0</v>
      </c>
      <c r="AY14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66" s="81"/>
      <c r="BA1466" s="81"/>
      <c r="BB1466" s="81">
        <f>Prog_23[[#This Row],[VLR NF]]*0.1%</f>
        <v>0</v>
      </c>
      <c r="BC1466" s="81">
        <f>Prog_23[[#This Row],[VLR NF]]*0.05%</f>
        <v>0</v>
      </c>
      <c r="BD1466" s="81"/>
      <c r="BE1466" s="81"/>
      <c r="BF1466" s="81"/>
      <c r="BG1466" s="81"/>
      <c r="BH1466" s="81"/>
      <c r="BI1466" s="81"/>
      <c r="BJ1466" s="81"/>
      <c r="BK1466" s="81"/>
      <c r="BL1466" s="81"/>
      <c r="BM1466" s="81"/>
      <c r="BN1466" s="66"/>
      <c r="BO1466" s="66"/>
      <c r="BP1466" s="66"/>
      <c r="BQ1466" s="66" t="str">
        <f>PROPER(TEXT(Prog_23[[#This Row],[PROGRAMAÇÃO CLIENTE]],"mmm"))</f>
        <v>Jan</v>
      </c>
      <c r="BR1466" s="66">
        <f>YEAR(Prog_23[[#This Row],[PROGRAMAÇÃO CLIENTE]])</f>
        <v>1900</v>
      </c>
    </row>
    <row r="1467" spans="1:70" x14ac:dyDescent="0.25">
      <c r="A1467" s="200">
        <f>Prog_23[[#This Row],[CONTEINER]]</f>
        <v>0</v>
      </c>
      <c r="B1467" s="86"/>
      <c r="C14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67" s="44"/>
      <c r="E1467" s="66"/>
      <c r="F1467" s="66"/>
      <c r="G1467" s="66"/>
      <c r="H1467" s="44"/>
      <c r="I1467" s="44"/>
      <c r="J1467" s="66"/>
      <c r="K1467" s="66"/>
      <c r="L1467" s="66"/>
      <c r="M1467" s="66"/>
      <c r="N1467" s="66">
        <f>SUM(Prog_23[[#This Row],[TARA]]+Prog_23[[#This Row],[PESO]])</f>
        <v>0</v>
      </c>
      <c r="O1467" s="44"/>
      <c r="P1467" s="66"/>
      <c r="Q1467" s="66"/>
      <c r="R1467" s="66"/>
      <c r="S1467" s="66"/>
      <c r="T1467" s="138" t="str">
        <f>IFERROR(LOOKUP($S1467,MOTORISTAS!$D$3:$D$916,MOTORISTAS!E$3:$E$916),"")</f>
        <v/>
      </c>
      <c r="U1467" s="138" t="str">
        <f>IFERROR(LOOKUP($S1467,MOTORISTAS!$D$3:$D$916,MOTORISTAS!F$3:$F$916),"")</f>
        <v/>
      </c>
      <c r="V1467" s="66"/>
      <c r="W1467" s="66"/>
      <c r="X1467" s="66"/>
      <c r="Y1467" s="66"/>
      <c r="Z1467" s="66"/>
      <c r="AA1467" s="66"/>
      <c r="AB1467" s="66"/>
      <c r="AC1467" s="66"/>
      <c r="AD1467" s="66"/>
      <c r="AE1467" s="66"/>
      <c r="AF1467" s="44"/>
      <c r="AG1467" s="254">
        <f>Prog_23[[#This Row],[SAÍDA DO CLIENTE]]-Prog_23[[#This Row],[PROGRAMAÇÃO CLIENTE]]</f>
        <v>0</v>
      </c>
      <c r="AH1467" s="44"/>
      <c r="AI1467" s="66"/>
      <c r="AJ1467" s="66"/>
      <c r="AK1467" s="66"/>
      <c r="AL1467" s="66"/>
      <c r="AM1467" s="66"/>
      <c r="AN1467" s="83"/>
      <c r="AO1467" s="83"/>
      <c r="AP1467" s="83"/>
      <c r="AQ1467" s="66"/>
      <c r="AR1467" s="66"/>
      <c r="AS1467" s="66"/>
      <c r="AT1467" s="81"/>
      <c r="AU1467" s="81"/>
      <c r="AV1467" s="81"/>
      <c r="AW1467" s="81"/>
      <c r="AX1467" s="83">
        <f>SUM(Prog_23[[#This Row],[ADIANTAMENTO]]+Prog_23[[#This Row],[SALDO]]+Prog_23[[#This Row],[MARGEM]]+Prog_23[[#This Row],[ESTADIA 1]])</f>
        <v>0</v>
      </c>
      <c r="AY14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67" s="81"/>
      <c r="BA1467" s="81"/>
      <c r="BB1467" s="81">
        <f>Prog_23[[#This Row],[VLR NF]]*0.1%</f>
        <v>0</v>
      </c>
      <c r="BC1467" s="81">
        <f>Prog_23[[#This Row],[VLR NF]]*0.05%</f>
        <v>0</v>
      </c>
      <c r="BD1467" s="81"/>
      <c r="BE1467" s="81"/>
      <c r="BF1467" s="81"/>
      <c r="BG1467" s="81"/>
      <c r="BH1467" s="81"/>
      <c r="BI1467" s="81"/>
      <c r="BJ1467" s="81"/>
      <c r="BK1467" s="81"/>
      <c r="BL1467" s="81"/>
      <c r="BM1467" s="81"/>
      <c r="BN1467" s="66"/>
      <c r="BO1467" s="66"/>
      <c r="BP1467" s="66"/>
      <c r="BQ1467" s="66" t="str">
        <f>PROPER(TEXT(Prog_23[[#This Row],[PROGRAMAÇÃO CLIENTE]],"mmm"))</f>
        <v>Jan</v>
      </c>
      <c r="BR1467" s="66">
        <f>YEAR(Prog_23[[#This Row],[PROGRAMAÇÃO CLIENTE]])</f>
        <v>1900</v>
      </c>
    </row>
    <row r="1468" spans="1:70" x14ac:dyDescent="0.25">
      <c r="A1468" s="201">
        <f>Prog_23[[#This Row],[CONTEINER]]</f>
        <v>0</v>
      </c>
      <c r="B1468" s="86"/>
      <c r="C14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68" s="44"/>
      <c r="E1468" s="66"/>
      <c r="F1468" s="66"/>
      <c r="G1468" s="66"/>
      <c r="H1468" s="44"/>
      <c r="I1468" s="44"/>
      <c r="J1468" s="66"/>
      <c r="K1468" s="66"/>
      <c r="L1468" s="66"/>
      <c r="M1468" s="66"/>
      <c r="N1468" s="66">
        <f>SUM(Prog_23[[#This Row],[TARA]]+Prog_23[[#This Row],[PESO]])</f>
        <v>0</v>
      </c>
      <c r="O1468" s="44"/>
      <c r="P1468" s="66"/>
      <c r="Q1468" s="66"/>
      <c r="R1468" s="66"/>
      <c r="S1468" s="66"/>
      <c r="T1468" s="138" t="str">
        <f>IFERROR(LOOKUP($S1468,MOTORISTAS!$D$3:$D$916,MOTORISTAS!E$3:$E$916),"")</f>
        <v/>
      </c>
      <c r="U1468" s="138" t="str">
        <f>IFERROR(LOOKUP($S1468,MOTORISTAS!$D$3:$D$916,MOTORISTAS!F$3:$F$916),"")</f>
        <v/>
      </c>
      <c r="V1468" s="66"/>
      <c r="W1468" s="66"/>
      <c r="X1468" s="66"/>
      <c r="Y1468" s="66"/>
      <c r="Z1468" s="66"/>
      <c r="AA1468" s="66"/>
      <c r="AB1468" s="66"/>
      <c r="AC1468" s="66"/>
      <c r="AD1468" s="66"/>
      <c r="AE1468" s="66"/>
      <c r="AF1468" s="44"/>
      <c r="AG1468" s="254">
        <f>Prog_23[[#This Row],[SAÍDA DO CLIENTE]]-Prog_23[[#This Row],[PROGRAMAÇÃO CLIENTE]]</f>
        <v>0</v>
      </c>
      <c r="AH1468" s="44"/>
      <c r="AI1468" s="66"/>
      <c r="AJ1468" s="66"/>
      <c r="AK1468" s="66"/>
      <c r="AL1468" s="66"/>
      <c r="AM1468" s="66"/>
      <c r="AN1468" s="83"/>
      <c r="AO1468" s="83"/>
      <c r="AP1468" s="83"/>
      <c r="AQ1468" s="66"/>
      <c r="AR1468" s="66"/>
      <c r="AS1468" s="66"/>
      <c r="AT1468" s="81"/>
      <c r="AU1468" s="81"/>
      <c r="AV1468" s="81"/>
      <c r="AW1468" s="81"/>
      <c r="AX1468" s="83">
        <f>SUM(Prog_23[[#This Row],[ADIANTAMENTO]]+Prog_23[[#This Row],[SALDO]]+Prog_23[[#This Row],[MARGEM]]+Prog_23[[#This Row],[ESTADIA 1]])</f>
        <v>0</v>
      </c>
      <c r="AY14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68" s="81"/>
      <c r="BA1468" s="81"/>
      <c r="BB1468" s="81">
        <f>Prog_23[[#This Row],[VLR NF]]*0.1%</f>
        <v>0</v>
      </c>
      <c r="BC1468" s="81">
        <f>Prog_23[[#This Row],[VLR NF]]*0.05%</f>
        <v>0</v>
      </c>
      <c r="BD1468" s="81"/>
      <c r="BE1468" s="81"/>
      <c r="BF1468" s="81"/>
      <c r="BG1468" s="81"/>
      <c r="BH1468" s="81"/>
      <c r="BI1468" s="81"/>
      <c r="BJ1468" s="81"/>
      <c r="BK1468" s="81"/>
      <c r="BL1468" s="81"/>
      <c r="BM1468" s="81"/>
      <c r="BN1468" s="66"/>
      <c r="BO1468" s="66"/>
      <c r="BP1468" s="66"/>
      <c r="BQ1468" s="66" t="str">
        <f>PROPER(TEXT(Prog_23[[#This Row],[PROGRAMAÇÃO CLIENTE]],"mmm"))</f>
        <v>Jan</v>
      </c>
      <c r="BR1468" s="66">
        <f>YEAR(Prog_23[[#This Row],[PROGRAMAÇÃO CLIENTE]])</f>
        <v>1900</v>
      </c>
    </row>
    <row r="1469" spans="1:70" x14ac:dyDescent="0.25">
      <c r="A1469" s="200">
        <f>Prog_23[[#This Row],[CONTEINER]]</f>
        <v>0</v>
      </c>
      <c r="B1469" s="86"/>
      <c r="C14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69" s="44"/>
      <c r="E1469" s="66"/>
      <c r="F1469" s="66"/>
      <c r="G1469" s="66"/>
      <c r="H1469" s="44"/>
      <c r="I1469" s="44"/>
      <c r="J1469" s="66"/>
      <c r="K1469" s="66"/>
      <c r="L1469" s="66"/>
      <c r="M1469" s="66"/>
      <c r="N1469" s="66">
        <f>SUM(Prog_23[[#This Row],[TARA]]+Prog_23[[#This Row],[PESO]])</f>
        <v>0</v>
      </c>
      <c r="O1469" s="44"/>
      <c r="P1469" s="66"/>
      <c r="Q1469" s="66"/>
      <c r="R1469" s="66"/>
      <c r="S1469" s="66"/>
      <c r="T1469" s="138" t="str">
        <f>IFERROR(LOOKUP($S1469,MOTORISTAS!$D$3:$D$916,MOTORISTAS!E$3:$E$916),"")</f>
        <v/>
      </c>
      <c r="U1469" s="138" t="str">
        <f>IFERROR(LOOKUP($S1469,MOTORISTAS!$D$3:$D$916,MOTORISTAS!F$3:$F$916),"")</f>
        <v/>
      </c>
      <c r="V1469" s="66"/>
      <c r="W1469" s="66"/>
      <c r="X1469" s="66"/>
      <c r="Y1469" s="66"/>
      <c r="Z1469" s="66"/>
      <c r="AA1469" s="66"/>
      <c r="AB1469" s="66"/>
      <c r="AC1469" s="66"/>
      <c r="AD1469" s="66"/>
      <c r="AE1469" s="66"/>
      <c r="AF1469" s="44"/>
      <c r="AG1469" s="254">
        <f>Prog_23[[#This Row],[SAÍDA DO CLIENTE]]-Prog_23[[#This Row],[PROGRAMAÇÃO CLIENTE]]</f>
        <v>0</v>
      </c>
      <c r="AH1469" s="44"/>
      <c r="AI1469" s="66"/>
      <c r="AJ1469" s="66"/>
      <c r="AK1469" s="66"/>
      <c r="AL1469" s="66"/>
      <c r="AM1469" s="66"/>
      <c r="AN1469" s="83"/>
      <c r="AO1469" s="83"/>
      <c r="AP1469" s="83"/>
      <c r="AQ1469" s="66"/>
      <c r="AR1469" s="66"/>
      <c r="AS1469" s="66"/>
      <c r="AT1469" s="81"/>
      <c r="AU1469" s="81"/>
      <c r="AV1469" s="81"/>
      <c r="AW1469" s="81"/>
      <c r="AX1469" s="83">
        <f>SUM(Prog_23[[#This Row],[ADIANTAMENTO]]+Prog_23[[#This Row],[SALDO]]+Prog_23[[#This Row],[MARGEM]]+Prog_23[[#This Row],[ESTADIA 1]])</f>
        <v>0</v>
      </c>
      <c r="AY14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69" s="81"/>
      <c r="BA1469" s="81"/>
      <c r="BB1469" s="81">
        <f>Prog_23[[#This Row],[VLR NF]]*0.1%</f>
        <v>0</v>
      </c>
      <c r="BC1469" s="81">
        <f>Prog_23[[#This Row],[VLR NF]]*0.05%</f>
        <v>0</v>
      </c>
      <c r="BD1469" s="81"/>
      <c r="BE1469" s="81"/>
      <c r="BF1469" s="81"/>
      <c r="BG1469" s="81"/>
      <c r="BH1469" s="81"/>
      <c r="BI1469" s="81"/>
      <c r="BJ1469" s="81"/>
      <c r="BK1469" s="81"/>
      <c r="BL1469" s="81"/>
      <c r="BM1469" s="81"/>
      <c r="BN1469" s="66"/>
      <c r="BO1469" s="66"/>
      <c r="BP1469" s="66"/>
      <c r="BQ1469" s="66" t="str">
        <f>PROPER(TEXT(Prog_23[[#This Row],[PROGRAMAÇÃO CLIENTE]],"mmm"))</f>
        <v>Jan</v>
      </c>
      <c r="BR1469" s="66">
        <f>YEAR(Prog_23[[#This Row],[PROGRAMAÇÃO CLIENTE]])</f>
        <v>1900</v>
      </c>
    </row>
    <row r="1470" spans="1:70" x14ac:dyDescent="0.25">
      <c r="A1470" s="201">
        <f>Prog_23[[#This Row],[CONTEINER]]</f>
        <v>0</v>
      </c>
      <c r="B1470" s="86"/>
      <c r="C14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70" s="44"/>
      <c r="E1470" s="66"/>
      <c r="F1470" s="66"/>
      <c r="G1470" s="66"/>
      <c r="H1470" s="44"/>
      <c r="I1470" s="44"/>
      <c r="J1470" s="66"/>
      <c r="K1470" s="66"/>
      <c r="L1470" s="66"/>
      <c r="M1470" s="66"/>
      <c r="N1470" s="66">
        <f>SUM(Prog_23[[#This Row],[TARA]]+Prog_23[[#This Row],[PESO]])</f>
        <v>0</v>
      </c>
      <c r="O1470" s="44"/>
      <c r="P1470" s="66"/>
      <c r="Q1470" s="66"/>
      <c r="R1470" s="66"/>
      <c r="S1470" s="66"/>
      <c r="T1470" s="138" t="str">
        <f>IFERROR(LOOKUP($S1470,MOTORISTAS!$D$3:$D$916,MOTORISTAS!E$3:$E$916),"")</f>
        <v/>
      </c>
      <c r="U1470" s="138" t="str">
        <f>IFERROR(LOOKUP($S1470,MOTORISTAS!$D$3:$D$916,MOTORISTAS!F$3:$F$916),"")</f>
        <v/>
      </c>
      <c r="V1470" s="66"/>
      <c r="W1470" s="66"/>
      <c r="X1470" s="66"/>
      <c r="Y1470" s="66"/>
      <c r="Z1470" s="66"/>
      <c r="AA1470" s="66"/>
      <c r="AB1470" s="66"/>
      <c r="AC1470" s="66"/>
      <c r="AD1470" s="66"/>
      <c r="AE1470" s="66"/>
      <c r="AF1470" s="44"/>
      <c r="AG1470" s="254">
        <f>Prog_23[[#This Row],[SAÍDA DO CLIENTE]]-Prog_23[[#This Row],[PROGRAMAÇÃO CLIENTE]]</f>
        <v>0</v>
      </c>
      <c r="AH1470" s="44"/>
      <c r="AI1470" s="66"/>
      <c r="AJ1470" s="66"/>
      <c r="AK1470" s="66"/>
      <c r="AL1470" s="66"/>
      <c r="AM1470" s="66"/>
      <c r="AN1470" s="83"/>
      <c r="AO1470" s="83"/>
      <c r="AP1470" s="83"/>
      <c r="AQ1470" s="66"/>
      <c r="AR1470" s="66"/>
      <c r="AS1470" s="66"/>
      <c r="AT1470" s="81"/>
      <c r="AU1470" s="81"/>
      <c r="AV1470" s="81"/>
      <c r="AW1470" s="81"/>
      <c r="AX1470" s="83">
        <f>SUM(Prog_23[[#This Row],[ADIANTAMENTO]]+Prog_23[[#This Row],[SALDO]]+Prog_23[[#This Row],[MARGEM]]+Prog_23[[#This Row],[ESTADIA 1]])</f>
        <v>0</v>
      </c>
      <c r="AY14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0" s="81"/>
      <c r="BA1470" s="81"/>
      <c r="BB1470" s="81">
        <f>Prog_23[[#This Row],[VLR NF]]*0.1%</f>
        <v>0</v>
      </c>
      <c r="BC1470" s="81">
        <f>Prog_23[[#This Row],[VLR NF]]*0.05%</f>
        <v>0</v>
      </c>
      <c r="BD1470" s="81"/>
      <c r="BE1470" s="81"/>
      <c r="BF1470" s="81"/>
      <c r="BG1470" s="81"/>
      <c r="BH1470" s="81"/>
      <c r="BI1470" s="81"/>
      <c r="BJ1470" s="81"/>
      <c r="BK1470" s="81"/>
      <c r="BL1470" s="81"/>
      <c r="BM1470" s="81"/>
      <c r="BN1470" s="66"/>
      <c r="BO1470" s="66"/>
      <c r="BP1470" s="66"/>
      <c r="BQ1470" s="66" t="str">
        <f>PROPER(TEXT(Prog_23[[#This Row],[PROGRAMAÇÃO CLIENTE]],"mmm"))</f>
        <v>Jan</v>
      </c>
      <c r="BR1470" s="66">
        <f>YEAR(Prog_23[[#This Row],[PROGRAMAÇÃO CLIENTE]])</f>
        <v>1900</v>
      </c>
    </row>
    <row r="1471" spans="1:70" x14ac:dyDescent="0.25">
      <c r="A1471" s="200">
        <f>Prog_23[[#This Row],[CONTEINER]]</f>
        <v>0</v>
      </c>
      <c r="B1471" s="86"/>
      <c r="C14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71" s="44"/>
      <c r="E1471" s="66"/>
      <c r="F1471" s="66"/>
      <c r="G1471" s="66"/>
      <c r="H1471" s="44"/>
      <c r="I1471" s="44"/>
      <c r="J1471" s="66"/>
      <c r="K1471" s="66"/>
      <c r="L1471" s="66"/>
      <c r="M1471" s="66"/>
      <c r="N1471" s="66">
        <f>SUM(Prog_23[[#This Row],[TARA]]+Prog_23[[#This Row],[PESO]])</f>
        <v>0</v>
      </c>
      <c r="O1471" s="44"/>
      <c r="P1471" s="66"/>
      <c r="Q1471" s="66"/>
      <c r="R1471" s="66"/>
      <c r="S1471" s="66"/>
      <c r="T1471" s="138" t="str">
        <f>IFERROR(LOOKUP($S1471,MOTORISTAS!$D$3:$D$916,MOTORISTAS!E$3:$E$916),"")</f>
        <v/>
      </c>
      <c r="U1471" s="138" t="str">
        <f>IFERROR(LOOKUP($S1471,MOTORISTAS!$D$3:$D$916,MOTORISTAS!F$3:$F$916),"")</f>
        <v/>
      </c>
      <c r="V1471" s="66"/>
      <c r="W1471" s="66"/>
      <c r="X1471" s="66"/>
      <c r="Y1471" s="66"/>
      <c r="Z1471" s="66"/>
      <c r="AA1471" s="66"/>
      <c r="AB1471" s="66"/>
      <c r="AC1471" s="66"/>
      <c r="AD1471" s="66"/>
      <c r="AE1471" s="66"/>
      <c r="AF1471" s="44"/>
      <c r="AG1471" s="254">
        <f>Prog_23[[#This Row],[SAÍDA DO CLIENTE]]-Prog_23[[#This Row],[PROGRAMAÇÃO CLIENTE]]</f>
        <v>0</v>
      </c>
      <c r="AH1471" s="44"/>
      <c r="AI1471" s="66"/>
      <c r="AJ1471" s="66"/>
      <c r="AK1471" s="66"/>
      <c r="AL1471" s="66"/>
      <c r="AM1471" s="66"/>
      <c r="AN1471" s="83"/>
      <c r="AO1471" s="83"/>
      <c r="AP1471" s="83"/>
      <c r="AQ1471" s="66"/>
      <c r="AR1471" s="66"/>
      <c r="AS1471" s="66"/>
      <c r="AT1471" s="81"/>
      <c r="AU1471" s="81"/>
      <c r="AV1471" s="81"/>
      <c r="AW1471" s="81"/>
      <c r="AX1471" s="83">
        <f>SUM(Prog_23[[#This Row],[ADIANTAMENTO]]+Prog_23[[#This Row],[SALDO]]+Prog_23[[#This Row],[MARGEM]]+Prog_23[[#This Row],[ESTADIA 1]])</f>
        <v>0</v>
      </c>
      <c r="AY14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1" s="81"/>
      <c r="BA1471" s="81"/>
      <c r="BB1471" s="81">
        <f>Prog_23[[#This Row],[VLR NF]]*0.1%</f>
        <v>0</v>
      </c>
      <c r="BC1471" s="81">
        <f>Prog_23[[#This Row],[VLR NF]]*0.05%</f>
        <v>0</v>
      </c>
      <c r="BD1471" s="81"/>
      <c r="BE1471" s="81"/>
      <c r="BF1471" s="81"/>
      <c r="BG1471" s="81"/>
      <c r="BH1471" s="81"/>
      <c r="BI1471" s="81"/>
      <c r="BJ1471" s="81"/>
      <c r="BK1471" s="81"/>
      <c r="BL1471" s="81"/>
      <c r="BM1471" s="81"/>
      <c r="BN1471" s="66"/>
      <c r="BO1471" s="66"/>
      <c r="BP1471" s="66"/>
      <c r="BQ1471" s="66" t="str">
        <f>PROPER(TEXT(Prog_23[[#This Row],[PROGRAMAÇÃO CLIENTE]],"mmm"))</f>
        <v>Jan</v>
      </c>
      <c r="BR1471" s="66">
        <f>YEAR(Prog_23[[#This Row],[PROGRAMAÇÃO CLIENTE]])</f>
        <v>1900</v>
      </c>
    </row>
    <row r="1472" spans="1:70" x14ac:dyDescent="0.25">
      <c r="A1472" s="201">
        <f>Prog_23[[#This Row],[CONTEINER]]</f>
        <v>0</v>
      </c>
      <c r="B1472" s="86"/>
      <c r="C14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72" s="44"/>
      <c r="E1472" s="66"/>
      <c r="F1472" s="66"/>
      <c r="G1472" s="66"/>
      <c r="H1472" s="44"/>
      <c r="I1472" s="44"/>
      <c r="J1472" s="66"/>
      <c r="K1472" s="66"/>
      <c r="L1472" s="66"/>
      <c r="M1472" s="66"/>
      <c r="N1472" s="66">
        <f>SUM(Prog_23[[#This Row],[TARA]]+Prog_23[[#This Row],[PESO]])</f>
        <v>0</v>
      </c>
      <c r="O1472" s="44"/>
      <c r="P1472" s="66"/>
      <c r="Q1472" s="66"/>
      <c r="R1472" s="66"/>
      <c r="S1472" s="66"/>
      <c r="T1472" s="138" t="str">
        <f>IFERROR(LOOKUP($S1472,MOTORISTAS!$D$3:$D$916,MOTORISTAS!E$3:$E$916),"")</f>
        <v/>
      </c>
      <c r="U1472" s="138" t="str">
        <f>IFERROR(LOOKUP($S1472,MOTORISTAS!$D$3:$D$916,MOTORISTAS!F$3:$F$916),"")</f>
        <v/>
      </c>
      <c r="V1472" s="66"/>
      <c r="W1472" s="66"/>
      <c r="X1472" s="66"/>
      <c r="Y1472" s="66"/>
      <c r="Z1472" s="66"/>
      <c r="AA1472" s="66"/>
      <c r="AB1472" s="66"/>
      <c r="AC1472" s="66"/>
      <c r="AD1472" s="66"/>
      <c r="AE1472" s="66"/>
      <c r="AF1472" s="44"/>
      <c r="AG1472" s="254">
        <f>Prog_23[[#This Row],[SAÍDA DO CLIENTE]]-Prog_23[[#This Row],[PROGRAMAÇÃO CLIENTE]]</f>
        <v>0</v>
      </c>
      <c r="AH1472" s="44"/>
      <c r="AI1472" s="66"/>
      <c r="AJ1472" s="66"/>
      <c r="AK1472" s="66"/>
      <c r="AL1472" s="66"/>
      <c r="AM1472" s="66"/>
      <c r="AN1472" s="83"/>
      <c r="AO1472" s="83"/>
      <c r="AP1472" s="83"/>
      <c r="AQ1472" s="66"/>
      <c r="AR1472" s="66"/>
      <c r="AS1472" s="66"/>
      <c r="AT1472" s="81"/>
      <c r="AU1472" s="81"/>
      <c r="AV1472" s="81"/>
      <c r="AW1472" s="81"/>
      <c r="AX1472" s="83">
        <f>SUM(Prog_23[[#This Row],[ADIANTAMENTO]]+Prog_23[[#This Row],[SALDO]]+Prog_23[[#This Row],[MARGEM]]+Prog_23[[#This Row],[ESTADIA 1]])</f>
        <v>0</v>
      </c>
      <c r="AY14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2" s="81"/>
      <c r="BA1472" s="81"/>
      <c r="BB1472" s="81">
        <f>Prog_23[[#This Row],[VLR NF]]*0.1%</f>
        <v>0</v>
      </c>
      <c r="BC1472" s="81">
        <f>Prog_23[[#This Row],[VLR NF]]*0.05%</f>
        <v>0</v>
      </c>
      <c r="BD1472" s="81"/>
      <c r="BE1472" s="81"/>
      <c r="BF1472" s="81"/>
      <c r="BG1472" s="81"/>
      <c r="BH1472" s="81"/>
      <c r="BI1472" s="81"/>
      <c r="BJ1472" s="81"/>
      <c r="BK1472" s="81"/>
      <c r="BL1472" s="81"/>
      <c r="BM1472" s="81"/>
      <c r="BN1472" s="66"/>
      <c r="BO1472" s="66"/>
      <c r="BP1472" s="66"/>
      <c r="BQ1472" s="66" t="str">
        <f>PROPER(TEXT(Prog_23[[#This Row],[PROGRAMAÇÃO CLIENTE]],"mmm"))</f>
        <v>Jan</v>
      </c>
      <c r="BR1472" s="66">
        <f>YEAR(Prog_23[[#This Row],[PROGRAMAÇÃO CLIENTE]])</f>
        <v>1900</v>
      </c>
    </row>
    <row r="1473" spans="1:70" x14ac:dyDescent="0.25">
      <c r="A1473" s="200">
        <f>Prog_23[[#This Row],[CONTEINER]]</f>
        <v>0</v>
      </c>
      <c r="B1473" s="86"/>
      <c r="C14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73" s="44"/>
      <c r="E1473" s="66"/>
      <c r="F1473" s="66"/>
      <c r="G1473" s="66"/>
      <c r="H1473" s="44"/>
      <c r="I1473" s="44"/>
      <c r="J1473" s="66"/>
      <c r="K1473" s="66"/>
      <c r="L1473" s="66"/>
      <c r="M1473" s="66"/>
      <c r="N1473" s="66">
        <f>SUM(Prog_23[[#This Row],[TARA]]+Prog_23[[#This Row],[PESO]])</f>
        <v>0</v>
      </c>
      <c r="O1473" s="44"/>
      <c r="P1473" s="66"/>
      <c r="Q1473" s="66"/>
      <c r="R1473" s="66"/>
      <c r="S1473" s="66"/>
      <c r="T1473" s="138" t="str">
        <f>IFERROR(LOOKUP($S1473,MOTORISTAS!$D$3:$D$916,MOTORISTAS!E$3:$E$916),"")</f>
        <v/>
      </c>
      <c r="U1473" s="138" t="str">
        <f>IFERROR(LOOKUP($S1473,MOTORISTAS!$D$3:$D$916,MOTORISTAS!F$3:$F$916),"")</f>
        <v/>
      </c>
      <c r="V1473" s="66"/>
      <c r="W1473" s="66"/>
      <c r="X1473" s="66"/>
      <c r="Y1473" s="66"/>
      <c r="Z1473" s="66"/>
      <c r="AA1473" s="66"/>
      <c r="AB1473" s="66"/>
      <c r="AC1473" s="66"/>
      <c r="AD1473" s="66"/>
      <c r="AE1473" s="66"/>
      <c r="AF1473" s="44"/>
      <c r="AG1473" s="254">
        <f>Prog_23[[#This Row],[SAÍDA DO CLIENTE]]-Prog_23[[#This Row],[PROGRAMAÇÃO CLIENTE]]</f>
        <v>0</v>
      </c>
      <c r="AH1473" s="44"/>
      <c r="AI1473" s="66"/>
      <c r="AJ1473" s="66"/>
      <c r="AK1473" s="66"/>
      <c r="AL1473" s="66"/>
      <c r="AM1473" s="66"/>
      <c r="AN1473" s="83"/>
      <c r="AO1473" s="83"/>
      <c r="AP1473" s="83"/>
      <c r="AQ1473" s="66"/>
      <c r="AR1473" s="66"/>
      <c r="AS1473" s="66"/>
      <c r="AT1473" s="81"/>
      <c r="AU1473" s="81"/>
      <c r="AV1473" s="81"/>
      <c r="AW1473" s="81"/>
      <c r="AX1473" s="83">
        <f>SUM(Prog_23[[#This Row],[ADIANTAMENTO]]+Prog_23[[#This Row],[SALDO]]+Prog_23[[#This Row],[MARGEM]]+Prog_23[[#This Row],[ESTADIA 1]])</f>
        <v>0</v>
      </c>
      <c r="AY14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3" s="81"/>
      <c r="BA1473" s="81"/>
      <c r="BB1473" s="81">
        <f>Prog_23[[#This Row],[VLR NF]]*0.1%</f>
        <v>0</v>
      </c>
      <c r="BC1473" s="81">
        <f>Prog_23[[#This Row],[VLR NF]]*0.05%</f>
        <v>0</v>
      </c>
      <c r="BD1473" s="81"/>
      <c r="BE1473" s="81"/>
      <c r="BF1473" s="81"/>
      <c r="BG1473" s="81"/>
      <c r="BH1473" s="81"/>
      <c r="BI1473" s="81"/>
      <c r="BJ1473" s="81"/>
      <c r="BK1473" s="81"/>
      <c r="BL1473" s="81"/>
      <c r="BM1473" s="81"/>
      <c r="BN1473" s="66"/>
      <c r="BO1473" s="66"/>
      <c r="BP1473" s="66"/>
      <c r="BQ1473" s="66" t="str">
        <f>PROPER(TEXT(Prog_23[[#This Row],[PROGRAMAÇÃO CLIENTE]],"mmm"))</f>
        <v>Jan</v>
      </c>
      <c r="BR1473" s="66">
        <f>YEAR(Prog_23[[#This Row],[PROGRAMAÇÃO CLIENTE]])</f>
        <v>1900</v>
      </c>
    </row>
    <row r="1474" spans="1:70" x14ac:dyDescent="0.25">
      <c r="A1474" s="201">
        <f>Prog_23[[#This Row],[CONTEINER]]</f>
        <v>0</v>
      </c>
      <c r="B1474" s="86"/>
      <c r="C14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74" s="44"/>
      <c r="E1474" s="66"/>
      <c r="F1474" s="66"/>
      <c r="G1474" s="66"/>
      <c r="H1474" s="44"/>
      <c r="I1474" s="44"/>
      <c r="J1474" s="66"/>
      <c r="K1474" s="66"/>
      <c r="L1474" s="66"/>
      <c r="M1474" s="66"/>
      <c r="N1474" s="66">
        <f>SUM(Prog_23[[#This Row],[TARA]]+Prog_23[[#This Row],[PESO]])</f>
        <v>0</v>
      </c>
      <c r="O1474" s="44"/>
      <c r="P1474" s="66"/>
      <c r="Q1474" s="66"/>
      <c r="R1474" s="66"/>
      <c r="S1474" s="66"/>
      <c r="T1474" s="138" t="str">
        <f>IFERROR(LOOKUP($S1474,MOTORISTAS!$D$3:$D$916,MOTORISTAS!E$3:$E$916),"")</f>
        <v/>
      </c>
      <c r="U1474" s="138" t="str">
        <f>IFERROR(LOOKUP($S1474,MOTORISTAS!$D$3:$D$916,MOTORISTAS!F$3:$F$916),"")</f>
        <v/>
      </c>
      <c r="V1474" s="66"/>
      <c r="W1474" s="66"/>
      <c r="X1474" s="66"/>
      <c r="Y1474" s="66"/>
      <c r="Z1474" s="66"/>
      <c r="AA1474" s="66"/>
      <c r="AB1474" s="66"/>
      <c r="AC1474" s="66"/>
      <c r="AD1474" s="66"/>
      <c r="AE1474" s="66"/>
      <c r="AF1474" s="44"/>
      <c r="AG1474" s="254">
        <f>Prog_23[[#This Row],[SAÍDA DO CLIENTE]]-Prog_23[[#This Row],[PROGRAMAÇÃO CLIENTE]]</f>
        <v>0</v>
      </c>
      <c r="AH1474" s="44"/>
      <c r="AI1474" s="66"/>
      <c r="AJ1474" s="66"/>
      <c r="AK1474" s="66"/>
      <c r="AL1474" s="66"/>
      <c r="AM1474" s="66"/>
      <c r="AN1474" s="83"/>
      <c r="AO1474" s="83"/>
      <c r="AP1474" s="83"/>
      <c r="AQ1474" s="66"/>
      <c r="AR1474" s="66"/>
      <c r="AS1474" s="66"/>
      <c r="AT1474" s="81"/>
      <c r="AU1474" s="81"/>
      <c r="AV1474" s="81"/>
      <c r="AW1474" s="81"/>
      <c r="AX1474" s="83">
        <f>SUM(Prog_23[[#This Row],[ADIANTAMENTO]]+Prog_23[[#This Row],[SALDO]]+Prog_23[[#This Row],[MARGEM]]+Prog_23[[#This Row],[ESTADIA 1]])</f>
        <v>0</v>
      </c>
      <c r="AY14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4" s="81"/>
      <c r="BA1474" s="81"/>
      <c r="BB1474" s="81">
        <f>Prog_23[[#This Row],[VLR NF]]*0.1%</f>
        <v>0</v>
      </c>
      <c r="BC1474" s="81">
        <f>Prog_23[[#This Row],[VLR NF]]*0.05%</f>
        <v>0</v>
      </c>
      <c r="BD1474" s="81"/>
      <c r="BE1474" s="81"/>
      <c r="BF1474" s="81"/>
      <c r="BG1474" s="81"/>
      <c r="BH1474" s="81"/>
      <c r="BI1474" s="81"/>
      <c r="BJ1474" s="81"/>
      <c r="BK1474" s="81"/>
      <c r="BL1474" s="81"/>
      <c r="BM1474" s="81"/>
      <c r="BN1474" s="66"/>
      <c r="BO1474" s="66"/>
      <c r="BP1474" s="66"/>
      <c r="BQ1474" s="66" t="str">
        <f>PROPER(TEXT(Prog_23[[#This Row],[PROGRAMAÇÃO CLIENTE]],"mmm"))</f>
        <v>Jan</v>
      </c>
      <c r="BR1474" s="66">
        <f>YEAR(Prog_23[[#This Row],[PROGRAMAÇÃO CLIENTE]])</f>
        <v>1900</v>
      </c>
    </row>
    <row r="1475" spans="1:70" x14ac:dyDescent="0.25">
      <c r="A1475" s="200">
        <f>Prog_23[[#This Row],[CONTEINER]]</f>
        <v>0</v>
      </c>
      <c r="B1475" s="86"/>
      <c r="C14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75" s="44"/>
      <c r="E1475" s="66"/>
      <c r="F1475" s="66"/>
      <c r="G1475" s="66"/>
      <c r="H1475" s="44"/>
      <c r="I1475" s="44"/>
      <c r="J1475" s="66"/>
      <c r="K1475" s="66"/>
      <c r="L1475" s="66"/>
      <c r="M1475" s="66"/>
      <c r="N1475" s="66">
        <f>SUM(Prog_23[[#This Row],[TARA]]+Prog_23[[#This Row],[PESO]])</f>
        <v>0</v>
      </c>
      <c r="O1475" s="44"/>
      <c r="P1475" s="66"/>
      <c r="Q1475" s="66"/>
      <c r="R1475" s="66"/>
      <c r="S1475" s="66"/>
      <c r="T1475" s="138" t="str">
        <f>IFERROR(LOOKUP($S1475,MOTORISTAS!$D$3:$D$916,MOTORISTAS!E$3:$E$916),"")</f>
        <v/>
      </c>
      <c r="U1475" s="138" t="str">
        <f>IFERROR(LOOKUP($S1475,MOTORISTAS!$D$3:$D$916,MOTORISTAS!F$3:$F$916),"")</f>
        <v/>
      </c>
      <c r="V1475" s="66"/>
      <c r="W1475" s="66"/>
      <c r="X1475" s="66"/>
      <c r="Y1475" s="66"/>
      <c r="Z1475" s="66"/>
      <c r="AA1475" s="66"/>
      <c r="AB1475" s="66"/>
      <c r="AC1475" s="66"/>
      <c r="AD1475" s="66"/>
      <c r="AE1475" s="66"/>
      <c r="AF1475" s="44"/>
      <c r="AG1475" s="254">
        <f>Prog_23[[#This Row],[SAÍDA DO CLIENTE]]-Prog_23[[#This Row],[PROGRAMAÇÃO CLIENTE]]</f>
        <v>0</v>
      </c>
      <c r="AH1475" s="44"/>
      <c r="AI1475" s="66"/>
      <c r="AJ1475" s="66"/>
      <c r="AK1475" s="66"/>
      <c r="AL1475" s="66"/>
      <c r="AM1475" s="66"/>
      <c r="AN1475" s="83"/>
      <c r="AO1475" s="83"/>
      <c r="AP1475" s="83"/>
      <c r="AQ1475" s="66"/>
      <c r="AR1475" s="66"/>
      <c r="AS1475" s="66"/>
      <c r="AT1475" s="81"/>
      <c r="AU1475" s="81"/>
      <c r="AV1475" s="81"/>
      <c r="AW1475" s="81"/>
      <c r="AX1475" s="83">
        <f>SUM(Prog_23[[#This Row],[ADIANTAMENTO]]+Prog_23[[#This Row],[SALDO]]+Prog_23[[#This Row],[MARGEM]]+Prog_23[[#This Row],[ESTADIA 1]])</f>
        <v>0</v>
      </c>
      <c r="AY14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5" s="81"/>
      <c r="BA1475" s="81"/>
      <c r="BB1475" s="81">
        <f>Prog_23[[#This Row],[VLR NF]]*0.1%</f>
        <v>0</v>
      </c>
      <c r="BC1475" s="81">
        <f>Prog_23[[#This Row],[VLR NF]]*0.05%</f>
        <v>0</v>
      </c>
      <c r="BD1475" s="81"/>
      <c r="BE1475" s="81"/>
      <c r="BF1475" s="81"/>
      <c r="BG1475" s="81"/>
      <c r="BH1475" s="81"/>
      <c r="BI1475" s="81"/>
      <c r="BJ1475" s="81"/>
      <c r="BK1475" s="81"/>
      <c r="BL1475" s="81"/>
      <c r="BM1475" s="81"/>
      <c r="BN1475" s="66"/>
      <c r="BO1475" s="66"/>
      <c r="BP1475" s="66"/>
      <c r="BQ1475" s="66" t="str">
        <f>PROPER(TEXT(Prog_23[[#This Row],[PROGRAMAÇÃO CLIENTE]],"mmm"))</f>
        <v>Jan</v>
      </c>
      <c r="BR1475" s="66">
        <f>YEAR(Prog_23[[#This Row],[PROGRAMAÇÃO CLIENTE]])</f>
        <v>1900</v>
      </c>
    </row>
    <row r="1476" spans="1:70" x14ac:dyDescent="0.25">
      <c r="A1476" s="201">
        <f>Prog_23[[#This Row],[CONTEINER]]</f>
        <v>0</v>
      </c>
      <c r="B1476" s="86"/>
      <c r="C14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76" s="44"/>
      <c r="E1476" s="66"/>
      <c r="F1476" s="66"/>
      <c r="G1476" s="66"/>
      <c r="H1476" s="44"/>
      <c r="I1476" s="44"/>
      <c r="J1476" s="66"/>
      <c r="K1476" s="66"/>
      <c r="L1476" s="66"/>
      <c r="M1476" s="66"/>
      <c r="N1476" s="66">
        <f>SUM(Prog_23[[#This Row],[TARA]]+Prog_23[[#This Row],[PESO]])</f>
        <v>0</v>
      </c>
      <c r="O1476" s="44"/>
      <c r="P1476" s="66"/>
      <c r="Q1476" s="66"/>
      <c r="R1476" s="66"/>
      <c r="S1476" s="66"/>
      <c r="T1476" s="138" t="str">
        <f>IFERROR(LOOKUP($S1476,MOTORISTAS!$D$3:$D$916,MOTORISTAS!E$3:$E$916),"")</f>
        <v/>
      </c>
      <c r="U1476" s="138" t="str">
        <f>IFERROR(LOOKUP($S1476,MOTORISTAS!$D$3:$D$916,MOTORISTAS!F$3:$F$916),"")</f>
        <v/>
      </c>
      <c r="V1476" s="66"/>
      <c r="W1476" s="66"/>
      <c r="X1476" s="66"/>
      <c r="Y1476" s="66"/>
      <c r="Z1476" s="66"/>
      <c r="AA1476" s="66"/>
      <c r="AB1476" s="66"/>
      <c r="AC1476" s="66"/>
      <c r="AD1476" s="66"/>
      <c r="AE1476" s="66"/>
      <c r="AF1476" s="44"/>
      <c r="AG1476" s="254">
        <f>Prog_23[[#This Row],[SAÍDA DO CLIENTE]]-Prog_23[[#This Row],[PROGRAMAÇÃO CLIENTE]]</f>
        <v>0</v>
      </c>
      <c r="AH1476" s="44"/>
      <c r="AI1476" s="66"/>
      <c r="AJ1476" s="66"/>
      <c r="AK1476" s="66"/>
      <c r="AL1476" s="66"/>
      <c r="AM1476" s="66"/>
      <c r="AN1476" s="83"/>
      <c r="AO1476" s="83"/>
      <c r="AP1476" s="83"/>
      <c r="AQ1476" s="66"/>
      <c r="AR1476" s="66"/>
      <c r="AS1476" s="66"/>
      <c r="AT1476" s="81"/>
      <c r="AU1476" s="81"/>
      <c r="AV1476" s="81"/>
      <c r="AW1476" s="81"/>
      <c r="AX1476" s="83">
        <f>SUM(Prog_23[[#This Row],[ADIANTAMENTO]]+Prog_23[[#This Row],[SALDO]]+Prog_23[[#This Row],[MARGEM]]+Prog_23[[#This Row],[ESTADIA 1]])</f>
        <v>0</v>
      </c>
      <c r="AY14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6" s="81"/>
      <c r="BA1476" s="81"/>
      <c r="BB1476" s="81">
        <f>Prog_23[[#This Row],[VLR NF]]*0.1%</f>
        <v>0</v>
      </c>
      <c r="BC1476" s="81">
        <f>Prog_23[[#This Row],[VLR NF]]*0.05%</f>
        <v>0</v>
      </c>
      <c r="BD1476" s="81"/>
      <c r="BE1476" s="81"/>
      <c r="BF1476" s="81"/>
      <c r="BG1476" s="81"/>
      <c r="BH1476" s="81"/>
      <c r="BI1476" s="81"/>
      <c r="BJ1476" s="81"/>
      <c r="BK1476" s="81"/>
      <c r="BL1476" s="81"/>
      <c r="BM1476" s="81"/>
      <c r="BN1476" s="66"/>
      <c r="BO1476" s="66"/>
      <c r="BP1476" s="66"/>
      <c r="BQ1476" s="66" t="str">
        <f>PROPER(TEXT(Prog_23[[#This Row],[PROGRAMAÇÃO CLIENTE]],"mmm"))</f>
        <v>Jan</v>
      </c>
      <c r="BR1476" s="66">
        <f>YEAR(Prog_23[[#This Row],[PROGRAMAÇÃO CLIENTE]])</f>
        <v>1900</v>
      </c>
    </row>
    <row r="1477" spans="1:70" x14ac:dyDescent="0.25">
      <c r="A1477" s="200">
        <f>Prog_23[[#This Row],[CONTEINER]]</f>
        <v>0</v>
      </c>
      <c r="B1477" s="86"/>
      <c r="C14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77" s="44"/>
      <c r="E1477" s="66"/>
      <c r="F1477" s="66"/>
      <c r="G1477" s="66"/>
      <c r="H1477" s="44"/>
      <c r="I1477" s="44"/>
      <c r="J1477" s="66"/>
      <c r="K1477" s="66"/>
      <c r="L1477" s="66"/>
      <c r="M1477" s="66"/>
      <c r="N1477" s="66">
        <f>SUM(Prog_23[[#This Row],[TARA]]+Prog_23[[#This Row],[PESO]])</f>
        <v>0</v>
      </c>
      <c r="O1477" s="44"/>
      <c r="P1477" s="66"/>
      <c r="Q1477" s="66"/>
      <c r="R1477" s="66"/>
      <c r="S1477" s="66"/>
      <c r="T1477" s="138" t="str">
        <f>IFERROR(LOOKUP($S1477,MOTORISTAS!$D$3:$D$916,MOTORISTAS!E$3:$E$916),"")</f>
        <v/>
      </c>
      <c r="U1477" s="138" t="str">
        <f>IFERROR(LOOKUP($S1477,MOTORISTAS!$D$3:$D$916,MOTORISTAS!F$3:$F$916),"")</f>
        <v/>
      </c>
      <c r="V1477" s="66"/>
      <c r="W1477" s="66"/>
      <c r="X1477" s="66"/>
      <c r="Y1477" s="66"/>
      <c r="Z1477" s="66"/>
      <c r="AA1477" s="66"/>
      <c r="AB1477" s="66"/>
      <c r="AC1477" s="66"/>
      <c r="AD1477" s="66"/>
      <c r="AE1477" s="66"/>
      <c r="AF1477" s="44"/>
      <c r="AG1477" s="254">
        <f>Prog_23[[#This Row],[SAÍDA DO CLIENTE]]-Prog_23[[#This Row],[PROGRAMAÇÃO CLIENTE]]</f>
        <v>0</v>
      </c>
      <c r="AH1477" s="44"/>
      <c r="AI1477" s="66"/>
      <c r="AJ1477" s="66"/>
      <c r="AK1477" s="66"/>
      <c r="AL1477" s="66"/>
      <c r="AM1477" s="66"/>
      <c r="AN1477" s="83"/>
      <c r="AO1477" s="83"/>
      <c r="AP1477" s="83"/>
      <c r="AQ1477" s="66"/>
      <c r="AR1477" s="66"/>
      <c r="AS1477" s="66"/>
      <c r="AT1477" s="81"/>
      <c r="AU1477" s="81"/>
      <c r="AV1477" s="81"/>
      <c r="AW1477" s="81"/>
      <c r="AX1477" s="83">
        <f>SUM(Prog_23[[#This Row],[ADIANTAMENTO]]+Prog_23[[#This Row],[SALDO]]+Prog_23[[#This Row],[MARGEM]]+Prog_23[[#This Row],[ESTADIA 1]])</f>
        <v>0</v>
      </c>
      <c r="AY14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7" s="81"/>
      <c r="BA1477" s="81"/>
      <c r="BB1477" s="81">
        <f>Prog_23[[#This Row],[VLR NF]]*0.1%</f>
        <v>0</v>
      </c>
      <c r="BC1477" s="81">
        <f>Prog_23[[#This Row],[VLR NF]]*0.05%</f>
        <v>0</v>
      </c>
      <c r="BD1477" s="81"/>
      <c r="BE1477" s="81"/>
      <c r="BF1477" s="81"/>
      <c r="BG1477" s="81"/>
      <c r="BH1477" s="81"/>
      <c r="BI1477" s="81"/>
      <c r="BJ1477" s="81"/>
      <c r="BK1477" s="81"/>
      <c r="BL1477" s="81"/>
      <c r="BM1477" s="81"/>
      <c r="BN1477" s="66"/>
      <c r="BO1477" s="66"/>
      <c r="BP1477" s="66"/>
      <c r="BQ1477" s="66" t="str">
        <f>PROPER(TEXT(Prog_23[[#This Row],[PROGRAMAÇÃO CLIENTE]],"mmm"))</f>
        <v>Jan</v>
      </c>
      <c r="BR1477" s="66">
        <f>YEAR(Prog_23[[#This Row],[PROGRAMAÇÃO CLIENTE]])</f>
        <v>1900</v>
      </c>
    </row>
    <row r="1478" spans="1:70" x14ac:dyDescent="0.25">
      <c r="A1478" s="201">
        <f>Prog_23[[#This Row],[CONTEINER]]</f>
        <v>0</v>
      </c>
      <c r="B1478" s="86"/>
      <c r="C14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78" s="44"/>
      <c r="E1478" s="66"/>
      <c r="F1478" s="66"/>
      <c r="G1478" s="66"/>
      <c r="H1478" s="44"/>
      <c r="I1478" s="44"/>
      <c r="J1478" s="66"/>
      <c r="K1478" s="66"/>
      <c r="L1478" s="66"/>
      <c r="M1478" s="66"/>
      <c r="N1478" s="66">
        <f>SUM(Prog_23[[#This Row],[TARA]]+Prog_23[[#This Row],[PESO]])</f>
        <v>0</v>
      </c>
      <c r="O1478" s="44"/>
      <c r="P1478" s="66"/>
      <c r="Q1478" s="66"/>
      <c r="R1478" s="66"/>
      <c r="S1478" s="66"/>
      <c r="T1478" s="138" t="str">
        <f>IFERROR(LOOKUP($S1478,MOTORISTAS!$D$3:$D$916,MOTORISTAS!E$3:$E$916),"")</f>
        <v/>
      </c>
      <c r="U1478" s="138" t="str">
        <f>IFERROR(LOOKUP($S1478,MOTORISTAS!$D$3:$D$916,MOTORISTAS!F$3:$F$916),"")</f>
        <v/>
      </c>
      <c r="V1478" s="66"/>
      <c r="W1478" s="66"/>
      <c r="X1478" s="66"/>
      <c r="Y1478" s="66"/>
      <c r="Z1478" s="66"/>
      <c r="AA1478" s="66"/>
      <c r="AB1478" s="66"/>
      <c r="AC1478" s="66"/>
      <c r="AD1478" s="66"/>
      <c r="AE1478" s="66"/>
      <c r="AF1478" s="44"/>
      <c r="AG1478" s="254">
        <f>Prog_23[[#This Row],[SAÍDA DO CLIENTE]]-Prog_23[[#This Row],[PROGRAMAÇÃO CLIENTE]]</f>
        <v>0</v>
      </c>
      <c r="AH1478" s="44"/>
      <c r="AI1478" s="66"/>
      <c r="AJ1478" s="66"/>
      <c r="AK1478" s="66"/>
      <c r="AL1478" s="66"/>
      <c r="AM1478" s="66"/>
      <c r="AN1478" s="83"/>
      <c r="AO1478" s="83"/>
      <c r="AP1478" s="83"/>
      <c r="AQ1478" s="66"/>
      <c r="AR1478" s="66"/>
      <c r="AS1478" s="66"/>
      <c r="AT1478" s="81"/>
      <c r="AU1478" s="81"/>
      <c r="AV1478" s="81"/>
      <c r="AW1478" s="81"/>
      <c r="AX1478" s="83">
        <f>SUM(Prog_23[[#This Row],[ADIANTAMENTO]]+Prog_23[[#This Row],[SALDO]]+Prog_23[[#This Row],[MARGEM]]+Prog_23[[#This Row],[ESTADIA 1]])</f>
        <v>0</v>
      </c>
      <c r="AY14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8" s="81"/>
      <c r="BA1478" s="81"/>
      <c r="BB1478" s="81">
        <f>Prog_23[[#This Row],[VLR NF]]*0.1%</f>
        <v>0</v>
      </c>
      <c r="BC1478" s="81">
        <f>Prog_23[[#This Row],[VLR NF]]*0.05%</f>
        <v>0</v>
      </c>
      <c r="BD1478" s="81"/>
      <c r="BE1478" s="81"/>
      <c r="BF1478" s="81"/>
      <c r="BG1478" s="81"/>
      <c r="BH1478" s="81"/>
      <c r="BI1478" s="81"/>
      <c r="BJ1478" s="81"/>
      <c r="BK1478" s="81"/>
      <c r="BL1478" s="81"/>
      <c r="BM1478" s="81"/>
      <c r="BN1478" s="66"/>
      <c r="BO1478" s="66"/>
      <c r="BP1478" s="66"/>
      <c r="BQ1478" s="66" t="str">
        <f>PROPER(TEXT(Prog_23[[#This Row],[PROGRAMAÇÃO CLIENTE]],"mmm"))</f>
        <v>Jan</v>
      </c>
      <c r="BR1478" s="66">
        <f>YEAR(Prog_23[[#This Row],[PROGRAMAÇÃO CLIENTE]])</f>
        <v>1900</v>
      </c>
    </row>
    <row r="1479" spans="1:70" x14ac:dyDescent="0.25">
      <c r="A1479" s="200">
        <f>Prog_23[[#This Row],[CONTEINER]]</f>
        <v>0</v>
      </c>
      <c r="B1479" s="86"/>
      <c r="C14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79" s="44"/>
      <c r="E1479" s="66"/>
      <c r="F1479" s="66"/>
      <c r="G1479" s="66"/>
      <c r="H1479" s="44"/>
      <c r="I1479" s="44"/>
      <c r="J1479" s="66"/>
      <c r="K1479" s="66"/>
      <c r="L1479" s="66"/>
      <c r="M1479" s="66"/>
      <c r="N1479" s="66">
        <f>SUM(Prog_23[[#This Row],[TARA]]+Prog_23[[#This Row],[PESO]])</f>
        <v>0</v>
      </c>
      <c r="O1479" s="44"/>
      <c r="P1479" s="66"/>
      <c r="Q1479" s="66"/>
      <c r="R1479" s="66"/>
      <c r="S1479" s="66"/>
      <c r="T1479" s="138" t="str">
        <f>IFERROR(LOOKUP($S1479,MOTORISTAS!$D$3:$D$916,MOTORISTAS!E$3:$E$916),"")</f>
        <v/>
      </c>
      <c r="U1479" s="138" t="str">
        <f>IFERROR(LOOKUP($S1479,MOTORISTAS!$D$3:$D$916,MOTORISTAS!F$3:$F$916),"")</f>
        <v/>
      </c>
      <c r="V1479" s="66"/>
      <c r="W1479" s="66"/>
      <c r="X1479" s="66"/>
      <c r="Y1479" s="66"/>
      <c r="Z1479" s="66"/>
      <c r="AA1479" s="66"/>
      <c r="AB1479" s="66"/>
      <c r="AC1479" s="66"/>
      <c r="AD1479" s="66"/>
      <c r="AE1479" s="66"/>
      <c r="AF1479" s="44"/>
      <c r="AG1479" s="254">
        <f>Prog_23[[#This Row],[SAÍDA DO CLIENTE]]-Prog_23[[#This Row],[PROGRAMAÇÃO CLIENTE]]</f>
        <v>0</v>
      </c>
      <c r="AH1479" s="44"/>
      <c r="AI1479" s="66"/>
      <c r="AJ1479" s="66"/>
      <c r="AK1479" s="66"/>
      <c r="AL1479" s="66"/>
      <c r="AM1479" s="66"/>
      <c r="AN1479" s="83"/>
      <c r="AO1479" s="83"/>
      <c r="AP1479" s="83"/>
      <c r="AQ1479" s="66"/>
      <c r="AR1479" s="66"/>
      <c r="AS1479" s="66"/>
      <c r="AT1479" s="81"/>
      <c r="AU1479" s="81"/>
      <c r="AV1479" s="81"/>
      <c r="AW1479" s="81"/>
      <c r="AX1479" s="83">
        <f>SUM(Prog_23[[#This Row],[ADIANTAMENTO]]+Prog_23[[#This Row],[SALDO]]+Prog_23[[#This Row],[MARGEM]]+Prog_23[[#This Row],[ESTADIA 1]])</f>
        <v>0</v>
      </c>
      <c r="AY14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79" s="81"/>
      <c r="BA1479" s="81"/>
      <c r="BB1479" s="81">
        <f>Prog_23[[#This Row],[VLR NF]]*0.1%</f>
        <v>0</v>
      </c>
      <c r="BC1479" s="81">
        <f>Prog_23[[#This Row],[VLR NF]]*0.05%</f>
        <v>0</v>
      </c>
      <c r="BD1479" s="81"/>
      <c r="BE1479" s="81"/>
      <c r="BF1479" s="81"/>
      <c r="BG1479" s="81"/>
      <c r="BH1479" s="81"/>
      <c r="BI1479" s="81"/>
      <c r="BJ1479" s="81"/>
      <c r="BK1479" s="81"/>
      <c r="BL1479" s="81"/>
      <c r="BM1479" s="81"/>
      <c r="BN1479" s="66"/>
      <c r="BO1479" s="66"/>
      <c r="BP1479" s="66"/>
      <c r="BQ1479" s="66" t="str">
        <f>PROPER(TEXT(Prog_23[[#This Row],[PROGRAMAÇÃO CLIENTE]],"mmm"))</f>
        <v>Jan</v>
      </c>
      <c r="BR1479" s="66">
        <f>YEAR(Prog_23[[#This Row],[PROGRAMAÇÃO CLIENTE]])</f>
        <v>1900</v>
      </c>
    </row>
    <row r="1480" spans="1:70" x14ac:dyDescent="0.25">
      <c r="A1480" s="201">
        <f>Prog_23[[#This Row],[CONTEINER]]</f>
        <v>0</v>
      </c>
      <c r="B1480" s="86"/>
      <c r="C14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80" s="44"/>
      <c r="E1480" s="66"/>
      <c r="F1480" s="66"/>
      <c r="G1480" s="66"/>
      <c r="H1480" s="44"/>
      <c r="I1480" s="44"/>
      <c r="J1480" s="66"/>
      <c r="K1480" s="66"/>
      <c r="L1480" s="66"/>
      <c r="M1480" s="66"/>
      <c r="N1480" s="66">
        <f>SUM(Prog_23[[#This Row],[TARA]]+Prog_23[[#This Row],[PESO]])</f>
        <v>0</v>
      </c>
      <c r="O1480" s="44"/>
      <c r="P1480" s="66"/>
      <c r="Q1480" s="66"/>
      <c r="R1480" s="66"/>
      <c r="S1480" s="66"/>
      <c r="T1480" s="138" t="str">
        <f>IFERROR(LOOKUP($S1480,MOTORISTAS!$D$3:$D$916,MOTORISTAS!E$3:$E$916),"")</f>
        <v/>
      </c>
      <c r="U1480" s="138" t="str">
        <f>IFERROR(LOOKUP($S1480,MOTORISTAS!$D$3:$D$916,MOTORISTAS!F$3:$F$916),"")</f>
        <v/>
      </c>
      <c r="V1480" s="66"/>
      <c r="W1480" s="66"/>
      <c r="X1480" s="66"/>
      <c r="Y1480" s="66"/>
      <c r="Z1480" s="66"/>
      <c r="AA1480" s="66"/>
      <c r="AB1480" s="66"/>
      <c r="AC1480" s="66"/>
      <c r="AD1480" s="66"/>
      <c r="AE1480" s="66"/>
      <c r="AF1480" s="44"/>
      <c r="AG1480" s="254">
        <f>Prog_23[[#This Row],[SAÍDA DO CLIENTE]]-Prog_23[[#This Row],[PROGRAMAÇÃO CLIENTE]]</f>
        <v>0</v>
      </c>
      <c r="AH1480" s="44"/>
      <c r="AI1480" s="66"/>
      <c r="AJ1480" s="66"/>
      <c r="AK1480" s="66"/>
      <c r="AL1480" s="66"/>
      <c r="AM1480" s="66"/>
      <c r="AN1480" s="83"/>
      <c r="AO1480" s="83"/>
      <c r="AP1480" s="83"/>
      <c r="AQ1480" s="66"/>
      <c r="AR1480" s="66"/>
      <c r="AS1480" s="66"/>
      <c r="AT1480" s="81"/>
      <c r="AU1480" s="81"/>
      <c r="AV1480" s="81"/>
      <c r="AW1480" s="81"/>
      <c r="AX1480" s="83">
        <f>SUM(Prog_23[[#This Row],[ADIANTAMENTO]]+Prog_23[[#This Row],[SALDO]]+Prog_23[[#This Row],[MARGEM]]+Prog_23[[#This Row],[ESTADIA 1]])</f>
        <v>0</v>
      </c>
      <c r="AY14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0" s="81"/>
      <c r="BA1480" s="81"/>
      <c r="BB1480" s="81">
        <f>Prog_23[[#This Row],[VLR NF]]*0.1%</f>
        <v>0</v>
      </c>
      <c r="BC1480" s="81">
        <f>Prog_23[[#This Row],[VLR NF]]*0.05%</f>
        <v>0</v>
      </c>
      <c r="BD1480" s="81"/>
      <c r="BE1480" s="81"/>
      <c r="BF1480" s="81"/>
      <c r="BG1480" s="81"/>
      <c r="BH1480" s="81"/>
      <c r="BI1480" s="81"/>
      <c r="BJ1480" s="81"/>
      <c r="BK1480" s="81"/>
      <c r="BL1480" s="81"/>
      <c r="BM1480" s="81"/>
      <c r="BN1480" s="66"/>
      <c r="BO1480" s="66"/>
      <c r="BP1480" s="66"/>
      <c r="BQ1480" s="66" t="str">
        <f>PROPER(TEXT(Prog_23[[#This Row],[PROGRAMAÇÃO CLIENTE]],"mmm"))</f>
        <v>Jan</v>
      </c>
      <c r="BR1480" s="66">
        <f>YEAR(Prog_23[[#This Row],[PROGRAMAÇÃO CLIENTE]])</f>
        <v>1900</v>
      </c>
    </row>
    <row r="1481" spans="1:70" x14ac:dyDescent="0.25">
      <c r="A1481" s="200">
        <f>Prog_23[[#This Row],[CONTEINER]]</f>
        <v>0</v>
      </c>
      <c r="B1481" s="86"/>
      <c r="C14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81" s="44"/>
      <c r="E1481" s="66"/>
      <c r="F1481" s="66"/>
      <c r="G1481" s="66"/>
      <c r="H1481" s="44"/>
      <c r="I1481" s="44"/>
      <c r="J1481" s="66"/>
      <c r="K1481" s="66"/>
      <c r="L1481" s="66"/>
      <c r="M1481" s="66"/>
      <c r="N1481" s="66">
        <f>SUM(Prog_23[[#This Row],[TARA]]+Prog_23[[#This Row],[PESO]])</f>
        <v>0</v>
      </c>
      <c r="O1481" s="44"/>
      <c r="P1481" s="66"/>
      <c r="Q1481" s="66"/>
      <c r="R1481" s="66"/>
      <c r="S1481" s="66"/>
      <c r="T1481" s="138" t="str">
        <f>IFERROR(LOOKUP($S1481,MOTORISTAS!$D$3:$D$916,MOTORISTAS!E$3:$E$916),"")</f>
        <v/>
      </c>
      <c r="U1481" s="138" t="str">
        <f>IFERROR(LOOKUP($S1481,MOTORISTAS!$D$3:$D$916,MOTORISTAS!F$3:$F$916),"")</f>
        <v/>
      </c>
      <c r="V1481" s="66"/>
      <c r="W1481" s="66"/>
      <c r="X1481" s="66"/>
      <c r="Y1481" s="66"/>
      <c r="Z1481" s="66"/>
      <c r="AA1481" s="66"/>
      <c r="AB1481" s="66"/>
      <c r="AC1481" s="66"/>
      <c r="AD1481" s="66"/>
      <c r="AE1481" s="66"/>
      <c r="AF1481" s="44"/>
      <c r="AG1481" s="254">
        <f>Prog_23[[#This Row],[SAÍDA DO CLIENTE]]-Prog_23[[#This Row],[PROGRAMAÇÃO CLIENTE]]</f>
        <v>0</v>
      </c>
      <c r="AH1481" s="44"/>
      <c r="AI1481" s="66"/>
      <c r="AJ1481" s="66"/>
      <c r="AK1481" s="66"/>
      <c r="AL1481" s="66"/>
      <c r="AM1481" s="66"/>
      <c r="AN1481" s="83"/>
      <c r="AO1481" s="83"/>
      <c r="AP1481" s="83"/>
      <c r="AQ1481" s="66"/>
      <c r="AR1481" s="66"/>
      <c r="AS1481" s="66"/>
      <c r="AT1481" s="81"/>
      <c r="AU1481" s="81"/>
      <c r="AV1481" s="81"/>
      <c r="AW1481" s="81"/>
      <c r="AX1481" s="83">
        <f>SUM(Prog_23[[#This Row],[ADIANTAMENTO]]+Prog_23[[#This Row],[SALDO]]+Prog_23[[#This Row],[MARGEM]]+Prog_23[[#This Row],[ESTADIA 1]])</f>
        <v>0</v>
      </c>
      <c r="AY14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1" s="81"/>
      <c r="BA1481" s="81"/>
      <c r="BB1481" s="81">
        <f>Prog_23[[#This Row],[VLR NF]]*0.1%</f>
        <v>0</v>
      </c>
      <c r="BC1481" s="81">
        <f>Prog_23[[#This Row],[VLR NF]]*0.05%</f>
        <v>0</v>
      </c>
      <c r="BD1481" s="81"/>
      <c r="BE1481" s="81"/>
      <c r="BF1481" s="81"/>
      <c r="BG1481" s="81"/>
      <c r="BH1481" s="81"/>
      <c r="BI1481" s="81"/>
      <c r="BJ1481" s="81"/>
      <c r="BK1481" s="81"/>
      <c r="BL1481" s="81"/>
      <c r="BM1481" s="81"/>
      <c r="BN1481" s="66"/>
      <c r="BO1481" s="66"/>
      <c r="BP1481" s="66"/>
      <c r="BQ1481" s="66" t="str">
        <f>PROPER(TEXT(Prog_23[[#This Row],[PROGRAMAÇÃO CLIENTE]],"mmm"))</f>
        <v>Jan</v>
      </c>
      <c r="BR1481" s="66">
        <f>YEAR(Prog_23[[#This Row],[PROGRAMAÇÃO CLIENTE]])</f>
        <v>1900</v>
      </c>
    </row>
    <row r="1482" spans="1:70" x14ac:dyDescent="0.25">
      <c r="A1482" s="201">
        <f>Prog_23[[#This Row],[CONTEINER]]</f>
        <v>0</v>
      </c>
      <c r="B1482" s="86"/>
      <c r="C14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82" s="44"/>
      <c r="E1482" s="66"/>
      <c r="F1482" s="66"/>
      <c r="G1482" s="66"/>
      <c r="H1482" s="44"/>
      <c r="I1482" s="44"/>
      <c r="J1482" s="66"/>
      <c r="K1482" s="66"/>
      <c r="L1482" s="66"/>
      <c r="M1482" s="66"/>
      <c r="N1482" s="66">
        <f>SUM(Prog_23[[#This Row],[TARA]]+Prog_23[[#This Row],[PESO]])</f>
        <v>0</v>
      </c>
      <c r="O1482" s="44"/>
      <c r="P1482" s="66"/>
      <c r="Q1482" s="66"/>
      <c r="R1482" s="66"/>
      <c r="S1482" s="66"/>
      <c r="T1482" s="138" t="str">
        <f>IFERROR(LOOKUP($S1482,MOTORISTAS!$D$3:$D$916,MOTORISTAS!E$3:$E$916),"")</f>
        <v/>
      </c>
      <c r="U1482" s="138" t="str">
        <f>IFERROR(LOOKUP($S1482,MOTORISTAS!$D$3:$D$916,MOTORISTAS!F$3:$F$916),"")</f>
        <v/>
      </c>
      <c r="V1482" s="66"/>
      <c r="W1482" s="66"/>
      <c r="X1482" s="66"/>
      <c r="Y1482" s="66"/>
      <c r="Z1482" s="66"/>
      <c r="AA1482" s="66"/>
      <c r="AB1482" s="66"/>
      <c r="AC1482" s="66"/>
      <c r="AD1482" s="66"/>
      <c r="AE1482" s="66"/>
      <c r="AF1482" s="44"/>
      <c r="AG1482" s="254">
        <f>Prog_23[[#This Row],[SAÍDA DO CLIENTE]]-Prog_23[[#This Row],[PROGRAMAÇÃO CLIENTE]]</f>
        <v>0</v>
      </c>
      <c r="AH1482" s="44"/>
      <c r="AI1482" s="66"/>
      <c r="AJ1482" s="66"/>
      <c r="AK1482" s="66"/>
      <c r="AL1482" s="66"/>
      <c r="AM1482" s="66"/>
      <c r="AN1482" s="83"/>
      <c r="AO1482" s="83"/>
      <c r="AP1482" s="83"/>
      <c r="AQ1482" s="66"/>
      <c r="AR1482" s="66"/>
      <c r="AS1482" s="66"/>
      <c r="AT1482" s="81"/>
      <c r="AU1482" s="81"/>
      <c r="AV1482" s="81"/>
      <c r="AW1482" s="81"/>
      <c r="AX1482" s="83">
        <f>SUM(Prog_23[[#This Row],[ADIANTAMENTO]]+Prog_23[[#This Row],[SALDO]]+Prog_23[[#This Row],[MARGEM]]+Prog_23[[#This Row],[ESTADIA 1]])</f>
        <v>0</v>
      </c>
      <c r="AY14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2" s="81"/>
      <c r="BA1482" s="81"/>
      <c r="BB1482" s="81">
        <f>Prog_23[[#This Row],[VLR NF]]*0.1%</f>
        <v>0</v>
      </c>
      <c r="BC1482" s="81">
        <f>Prog_23[[#This Row],[VLR NF]]*0.05%</f>
        <v>0</v>
      </c>
      <c r="BD1482" s="81"/>
      <c r="BE1482" s="81"/>
      <c r="BF1482" s="81"/>
      <c r="BG1482" s="81"/>
      <c r="BH1482" s="81"/>
      <c r="BI1482" s="81"/>
      <c r="BJ1482" s="81"/>
      <c r="BK1482" s="81"/>
      <c r="BL1482" s="81"/>
      <c r="BM1482" s="81"/>
      <c r="BN1482" s="66"/>
      <c r="BO1482" s="66"/>
      <c r="BP1482" s="66"/>
      <c r="BQ1482" s="66" t="str">
        <f>PROPER(TEXT(Prog_23[[#This Row],[PROGRAMAÇÃO CLIENTE]],"mmm"))</f>
        <v>Jan</v>
      </c>
      <c r="BR1482" s="66">
        <f>YEAR(Prog_23[[#This Row],[PROGRAMAÇÃO CLIENTE]])</f>
        <v>1900</v>
      </c>
    </row>
    <row r="1483" spans="1:70" x14ac:dyDescent="0.25">
      <c r="A1483" s="200">
        <f>Prog_23[[#This Row],[CONTEINER]]</f>
        <v>0</v>
      </c>
      <c r="B1483" s="86"/>
      <c r="C14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83" s="44"/>
      <c r="E1483" s="66"/>
      <c r="F1483" s="66"/>
      <c r="G1483" s="66"/>
      <c r="H1483" s="44"/>
      <c r="I1483" s="44"/>
      <c r="J1483" s="66"/>
      <c r="K1483" s="66"/>
      <c r="L1483" s="66"/>
      <c r="M1483" s="66"/>
      <c r="N1483" s="66">
        <f>SUM(Prog_23[[#This Row],[TARA]]+Prog_23[[#This Row],[PESO]])</f>
        <v>0</v>
      </c>
      <c r="O1483" s="44"/>
      <c r="P1483" s="66"/>
      <c r="Q1483" s="66"/>
      <c r="R1483" s="66"/>
      <c r="S1483" s="66"/>
      <c r="T1483" s="138" t="str">
        <f>IFERROR(LOOKUP($S1483,MOTORISTAS!$D$3:$D$916,MOTORISTAS!E$3:$E$916),"")</f>
        <v/>
      </c>
      <c r="U1483" s="138" t="str">
        <f>IFERROR(LOOKUP($S1483,MOTORISTAS!$D$3:$D$916,MOTORISTAS!F$3:$F$916),"")</f>
        <v/>
      </c>
      <c r="V1483" s="66"/>
      <c r="W1483" s="66"/>
      <c r="X1483" s="66"/>
      <c r="Y1483" s="66"/>
      <c r="Z1483" s="66"/>
      <c r="AA1483" s="66"/>
      <c r="AB1483" s="66"/>
      <c r="AC1483" s="66"/>
      <c r="AD1483" s="66"/>
      <c r="AE1483" s="66"/>
      <c r="AF1483" s="44"/>
      <c r="AG1483" s="254">
        <f>Prog_23[[#This Row],[SAÍDA DO CLIENTE]]-Prog_23[[#This Row],[PROGRAMAÇÃO CLIENTE]]</f>
        <v>0</v>
      </c>
      <c r="AH1483" s="44"/>
      <c r="AI1483" s="66"/>
      <c r="AJ1483" s="66"/>
      <c r="AK1483" s="66"/>
      <c r="AL1483" s="66"/>
      <c r="AM1483" s="66"/>
      <c r="AN1483" s="83"/>
      <c r="AO1483" s="83"/>
      <c r="AP1483" s="83"/>
      <c r="AQ1483" s="66"/>
      <c r="AR1483" s="66"/>
      <c r="AS1483" s="66"/>
      <c r="AT1483" s="81"/>
      <c r="AU1483" s="81"/>
      <c r="AV1483" s="81"/>
      <c r="AW1483" s="81"/>
      <c r="AX1483" s="83">
        <f>SUM(Prog_23[[#This Row],[ADIANTAMENTO]]+Prog_23[[#This Row],[SALDO]]+Prog_23[[#This Row],[MARGEM]]+Prog_23[[#This Row],[ESTADIA 1]])</f>
        <v>0</v>
      </c>
      <c r="AY14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3" s="81"/>
      <c r="BA1483" s="81"/>
      <c r="BB1483" s="81">
        <f>Prog_23[[#This Row],[VLR NF]]*0.1%</f>
        <v>0</v>
      </c>
      <c r="BC1483" s="81">
        <f>Prog_23[[#This Row],[VLR NF]]*0.05%</f>
        <v>0</v>
      </c>
      <c r="BD1483" s="81"/>
      <c r="BE1483" s="81"/>
      <c r="BF1483" s="81"/>
      <c r="BG1483" s="81"/>
      <c r="BH1483" s="81"/>
      <c r="BI1483" s="81"/>
      <c r="BJ1483" s="81"/>
      <c r="BK1483" s="81"/>
      <c r="BL1483" s="81"/>
      <c r="BM1483" s="81"/>
      <c r="BN1483" s="66"/>
      <c r="BO1483" s="66"/>
      <c r="BP1483" s="66"/>
      <c r="BQ1483" s="66" t="str">
        <f>PROPER(TEXT(Prog_23[[#This Row],[PROGRAMAÇÃO CLIENTE]],"mmm"))</f>
        <v>Jan</v>
      </c>
      <c r="BR1483" s="66">
        <f>YEAR(Prog_23[[#This Row],[PROGRAMAÇÃO CLIENTE]])</f>
        <v>1900</v>
      </c>
    </row>
    <row r="1484" spans="1:70" x14ac:dyDescent="0.25">
      <c r="A1484" s="201">
        <f>Prog_23[[#This Row],[CONTEINER]]</f>
        <v>0</v>
      </c>
      <c r="B1484" s="86"/>
      <c r="C14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84" s="44"/>
      <c r="E1484" s="66"/>
      <c r="F1484" s="66"/>
      <c r="G1484" s="66"/>
      <c r="H1484" s="44"/>
      <c r="I1484" s="44"/>
      <c r="J1484" s="66"/>
      <c r="K1484" s="66"/>
      <c r="L1484" s="66"/>
      <c r="M1484" s="66"/>
      <c r="N1484" s="66">
        <f>SUM(Prog_23[[#This Row],[TARA]]+Prog_23[[#This Row],[PESO]])</f>
        <v>0</v>
      </c>
      <c r="O1484" s="44"/>
      <c r="P1484" s="66"/>
      <c r="Q1484" s="66"/>
      <c r="R1484" s="66"/>
      <c r="S1484" s="66"/>
      <c r="T1484" s="138" t="str">
        <f>IFERROR(LOOKUP($S1484,MOTORISTAS!$D$3:$D$916,MOTORISTAS!E$3:$E$916),"")</f>
        <v/>
      </c>
      <c r="U1484" s="138" t="str">
        <f>IFERROR(LOOKUP($S1484,MOTORISTAS!$D$3:$D$916,MOTORISTAS!F$3:$F$916),"")</f>
        <v/>
      </c>
      <c r="V1484" s="66"/>
      <c r="W1484" s="66"/>
      <c r="X1484" s="66"/>
      <c r="Y1484" s="66"/>
      <c r="Z1484" s="66"/>
      <c r="AA1484" s="66"/>
      <c r="AB1484" s="66"/>
      <c r="AC1484" s="66"/>
      <c r="AD1484" s="66"/>
      <c r="AE1484" s="66"/>
      <c r="AF1484" s="44"/>
      <c r="AG1484" s="254">
        <f>Prog_23[[#This Row],[SAÍDA DO CLIENTE]]-Prog_23[[#This Row],[PROGRAMAÇÃO CLIENTE]]</f>
        <v>0</v>
      </c>
      <c r="AH1484" s="44"/>
      <c r="AI1484" s="66"/>
      <c r="AJ1484" s="66"/>
      <c r="AK1484" s="66"/>
      <c r="AL1484" s="66"/>
      <c r="AM1484" s="66"/>
      <c r="AN1484" s="83"/>
      <c r="AO1484" s="83"/>
      <c r="AP1484" s="83"/>
      <c r="AQ1484" s="66"/>
      <c r="AR1484" s="66"/>
      <c r="AS1484" s="66"/>
      <c r="AT1484" s="81"/>
      <c r="AU1484" s="81"/>
      <c r="AV1484" s="81"/>
      <c r="AW1484" s="81"/>
      <c r="AX1484" s="83">
        <f>SUM(Prog_23[[#This Row],[ADIANTAMENTO]]+Prog_23[[#This Row],[SALDO]]+Prog_23[[#This Row],[MARGEM]]+Prog_23[[#This Row],[ESTADIA 1]])</f>
        <v>0</v>
      </c>
      <c r="AY14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4" s="81"/>
      <c r="BA1484" s="81"/>
      <c r="BB1484" s="81">
        <f>Prog_23[[#This Row],[VLR NF]]*0.1%</f>
        <v>0</v>
      </c>
      <c r="BC1484" s="81">
        <f>Prog_23[[#This Row],[VLR NF]]*0.05%</f>
        <v>0</v>
      </c>
      <c r="BD1484" s="81"/>
      <c r="BE1484" s="81"/>
      <c r="BF1484" s="81"/>
      <c r="BG1484" s="81"/>
      <c r="BH1484" s="81"/>
      <c r="BI1484" s="81"/>
      <c r="BJ1484" s="81"/>
      <c r="BK1484" s="81"/>
      <c r="BL1484" s="81"/>
      <c r="BM1484" s="81"/>
      <c r="BN1484" s="66"/>
      <c r="BO1484" s="66"/>
      <c r="BP1484" s="66"/>
      <c r="BQ1484" s="66" t="str">
        <f>PROPER(TEXT(Prog_23[[#This Row],[PROGRAMAÇÃO CLIENTE]],"mmm"))</f>
        <v>Jan</v>
      </c>
      <c r="BR1484" s="66">
        <f>YEAR(Prog_23[[#This Row],[PROGRAMAÇÃO CLIENTE]])</f>
        <v>1900</v>
      </c>
    </row>
    <row r="1485" spans="1:70" x14ac:dyDescent="0.25">
      <c r="A1485" s="200">
        <f>Prog_23[[#This Row],[CONTEINER]]</f>
        <v>0</v>
      </c>
      <c r="B1485" s="86"/>
      <c r="C14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85" s="44"/>
      <c r="E1485" s="66"/>
      <c r="F1485" s="66"/>
      <c r="G1485" s="66"/>
      <c r="H1485" s="44"/>
      <c r="I1485" s="44"/>
      <c r="J1485" s="66"/>
      <c r="K1485" s="66"/>
      <c r="L1485" s="66"/>
      <c r="M1485" s="66"/>
      <c r="N1485" s="66">
        <f>SUM(Prog_23[[#This Row],[TARA]]+Prog_23[[#This Row],[PESO]])</f>
        <v>0</v>
      </c>
      <c r="O1485" s="44"/>
      <c r="P1485" s="66"/>
      <c r="Q1485" s="66"/>
      <c r="R1485" s="66"/>
      <c r="S1485" s="66"/>
      <c r="T1485" s="138" t="str">
        <f>IFERROR(LOOKUP($S1485,MOTORISTAS!$D$3:$D$916,MOTORISTAS!E$3:$E$916),"")</f>
        <v/>
      </c>
      <c r="U1485" s="138" t="str">
        <f>IFERROR(LOOKUP($S1485,MOTORISTAS!$D$3:$D$916,MOTORISTAS!F$3:$F$916),"")</f>
        <v/>
      </c>
      <c r="V1485" s="66"/>
      <c r="W1485" s="66"/>
      <c r="X1485" s="66"/>
      <c r="Y1485" s="66"/>
      <c r="Z1485" s="66"/>
      <c r="AA1485" s="66"/>
      <c r="AB1485" s="66"/>
      <c r="AC1485" s="66"/>
      <c r="AD1485" s="66"/>
      <c r="AE1485" s="66"/>
      <c r="AF1485" s="44"/>
      <c r="AG1485" s="254">
        <f>Prog_23[[#This Row],[SAÍDA DO CLIENTE]]-Prog_23[[#This Row],[PROGRAMAÇÃO CLIENTE]]</f>
        <v>0</v>
      </c>
      <c r="AH1485" s="44"/>
      <c r="AI1485" s="66"/>
      <c r="AJ1485" s="66"/>
      <c r="AK1485" s="66"/>
      <c r="AL1485" s="66"/>
      <c r="AM1485" s="66"/>
      <c r="AN1485" s="83"/>
      <c r="AO1485" s="83"/>
      <c r="AP1485" s="83"/>
      <c r="AQ1485" s="66"/>
      <c r="AR1485" s="66"/>
      <c r="AS1485" s="66"/>
      <c r="AT1485" s="81"/>
      <c r="AU1485" s="81"/>
      <c r="AV1485" s="81"/>
      <c r="AW1485" s="81"/>
      <c r="AX1485" s="83">
        <f>SUM(Prog_23[[#This Row],[ADIANTAMENTO]]+Prog_23[[#This Row],[SALDO]]+Prog_23[[#This Row],[MARGEM]]+Prog_23[[#This Row],[ESTADIA 1]])</f>
        <v>0</v>
      </c>
      <c r="AY14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5" s="81"/>
      <c r="BA1485" s="81"/>
      <c r="BB1485" s="81">
        <f>Prog_23[[#This Row],[VLR NF]]*0.1%</f>
        <v>0</v>
      </c>
      <c r="BC1485" s="81">
        <f>Prog_23[[#This Row],[VLR NF]]*0.05%</f>
        <v>0</v>
      </c>
      <c r="BD1485" s="81"/>
      <c r="BE1485" s="81"/>
      <c r="BF1485" s="81"/>
      <c r="BG1485" s="81"/>
      <c r="BH1485" s="81"/>
      <c r="BI1485" s="81"/>
      <c r="BJ1485" s="81"/>
      <c r="BK1485" s="81"/>
      <c r="BL1485" s="81"/>
      <c r="BM1485" s="81"/>
      <c r="BN1485" s="66"/>
      <c r="BO1485" s="66"/>
      <c r="BP1485" s="66"/>
      <c r="BQ1485" s="66" t="str">
        <f>PROPER(TEXT(Prog_23[[#This Row],[PROGRAMAÇÃO CLIENTE]],"mmm"))</f>
        <v>Jan</v>
      </c>
      <c r="BR1485" s="66">
        <f>YEAR(Prog_23[[#This Row],[PROGRAMAÇÃO CLIENTE]])</f>
        <v>1900</v>
      </c>
    </row>
    <row r="1486" spans="1:70" x14ac:dyDescent="0.25">
      <c r="A1486" s="201">
        <f>Prog_23[[#This Row],[CONTEINER]]</f>
        <v>0</v>
      </c>
      <c r="B1486" s="86"/>
      <c r="C14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86" s="44"/>
      <c r="E1486" s="66"/>
      <c r="F1486" s="66"/>
      <c r="G1486" s="66"/>
      <c r="H1486" s="44"/>
      <c r="I1486" s="44"/>
      <c r="J1486" s="66"/>
      <c r="K1486" s="66"/>
      <c r="L1486" s="66"/>
      <c r="M1486" s="66"/>
      <c r="N1486" s="66">
        <f>SUM(Prog_23[[#This Row],[TARA]]+Prog_23[[#This Row],[PESO]])</f>
        <v>0</v>
      </c>
      <c r="O1486" s="44"/>
      <c r="P1486" s="66"/>
      <c r="Q1486" s="66"/>
      <c r="R1486" s="66"/>
      <c r="S1486" s="66"/>
      <c r="T1486" s="138" t="str">
        <f>IFERROR(LOOKUP($S1486,MOTORISTAS!$D$3:$D$916,MOTORISTAS!E$3:$E$916),"")</f>
        <v/>
      </c>
      <c r="U1486" s="138" t="str">
        <f>IFERROR(LOOKUP($S1486,MOTORISTAS!$D$3:$D$916,MOTORISTAS!F$3:$F$916),"")</f>
        <v/>
      </c>
      <c r="V1486" s="66"/>
      <c r="W1486" s="66"/>
      <c r="X1486" s="66"/>
      <c r="Y1486" s="66"/>
      <c r="Z1486" s="66"/>
      <c r="AA1486" s="66"/>
      <c r="AB1486" s="66"/>
      <c r="AC1486" s="66"/>
      <c r="AD1486" s="66"/>
      <c r="AE1486" s="66"/>
      <c r="AF1486" s="44"/>
      <c r="AG1486" s="254">
        <f>Prog_23[[#This Row],[SAÍDA DO CLIENTE]]-Prog_23[[#This Row],[PROGRAMAÇÃO CLIENTE]]</f>
        <v>0</v>
      </c>
      <c r="AH1486" s="44"/>
      <c r="AI1486" s="66"/>
      <c r="AJ1486" s="66"/>
      <c r="AK1486" s="66"/>
      <c r="AL1486" s="66"/>
      <c r="AM1486" s="66"/>
      <c r="AN1486" s="83"/>
      <c r="AO1486" s="83"/>
      <c r="AP1486" s="83"/>
      <c r="AQ1486" s="66"/>
      <c r="AR1486" s="66"/>
      <c r="AS1486" s="66"/>
      <c r="AT1486" s="81"/>
      <c r="AU1486" s="81"/>
      <c r="AV1486" s="81"/>
      <c r="AW1486" s="81"/>
      <c r="AX1486" s="83">
        <f>SUM(Prog_23[[#This Row],[ADIANTAMENTO]]+Prog_23[[#This Row],[SALDO]]+Prog_23[[#This Row],[MARGEM]]+Prog_23[[#This Row],[ESTADIA 1]])</f>
        <v>0</v>
      </c>
      <c r="AY14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6" s="81"/>
      <c r="BA1486" s="81"/>
      <c r="BB1486" s="81">
        <f>Prog_23[[#This Row],[VLR NF]]*0.1%</f>
        <v>0</v>
      </c>
      <c r="BC1486" s="81">
        <f>Prog_23[[#This Row],[VLR NF]]*0.05%</f>
        <v>0</v>
      </c>
      <c r="BD1486" s="81"/>
      <c r="BE1486" s="81"/>
      <c r="BF1486" s="81"/>
      <c r="BG1486" s="81"/>
      <c r="BH1486" s="81"/>
      <c r="BI1486" s="81"/>
      <c r="BJ1486" s="81"/>
      <c r="BK1486" s="81"/>
      <c r="BL1486" s="81"/>
      <c r="BM1486" s="81"/>
      <c r="BN1486" s="66"/>
      <c r="BO1486" s="66"/>
      <c r="BP1486" s="66"/>
      <c r="BQ1486" s="66" t="str">
        <f>PROPER(TEXT(Prog_23[[#This Row],[PROGRAMAÇÃO CLIENTE]],"mmm"))</f>
        <v>Jan</v>
      </c>
      <c r="BR1486" s="66">
        <f>YEAR(Prog_23[[#This Row],[PROGRAMAÇÃO CLIENTE]])</f>
        <v>1900</v>
      </c>
    </row>
    <row r="1487" spans="1:70" x14ac:dyDescent="0.25">
      <c r="A1487" s="200">
        <f>Prog_23[[#This Row],[CONTEINER]]</f>
        <v>0</v>
      </c>
      <c r="B1487" s="86"/>
      <c r="C14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87" s="44"/>
      <c r="E1487" s="66"/>
      <c r="F1487" s="66"/>
      <c r="G1487" s="66"/>
      <c r="H1487" s="44"/>
      <c r="I1487" s="44"/>
      <c r="J1487" s="66"/>
      <c r="K1487" s="66"/>
      <c r="L1487" s="66"/>
      <c r="M1487" s="66"/>
      <c r="N1487" s="66">
        <f>SUM(Prog_23[[#This Row],[TARA]]+Prog_23[[#This Row],[PESO]])</f>
        <v>0</v>
      </c>
      <c r="O1487" s="44"/>
      <c r="P1487" s="66"/>
      <c r="Q1487" s="66"/>
      <c r="R1487" s="66"/>
      <c r="S1487" s="66"/>
      <c r="T1487" s="138" t="str">
        <f>IFERROR(LOOKUP($S1487,MOTORISTAS!$D$3:$D$916,MOTORISTAS!E$3:$E$916),"")</f>
        <v/>
      </c>
      <c r="U1487" s="138" t="str">
        <f>IFERROR(LOOKUP($S1487,MOTORISTAS!$D$3:$D$916,MOTORISTAS!F$3:$F$916),"")</f>
        <v/>
      </c>
      <c r="V1487" s="66"/>
      <c r="W1487" s="66"/>
      <c r="X1487" s="66"/>
      <c r="Y1487" s="66"/>
      <c r="Z1487" s="66"/>
      <c r="AA1487" s="66"/>
      <c r="AB1487" s="66"/>
      <c r="AC1487" s="66"/>
      <c r="AD1487" s="66"/>
      <c r="AE1487" s="66"/>
      <c r="AF1487" s="44"/>
      <c r="AG1487" s="254">
        <f>Prog_23[[#This Row],[SAÍDA DO CLIENTE]]-Prog_23[[#This Row],[PROGRAMAÇÃO CLIENTE]]</f>
        <v>0</v>
      </c>
      <c r="AH1487" s="44"/>
      <c r="AI1487" s="66"/>
      <c r="AJ1487" s="66"/>
      <c r="AK1487" s="66"/>
      <c r="AL1487" s="66"/>
      <c r="AM1487" s="66"/>
      <c r="AN1487" s="83"/>
      <c r="AO1487" s="83"/>
      <c r="AP1487" s="83"/>
      <c r="AQ1487" s="66"/>
      <c r="AR1487" s="66"/>
      <c r="AS1487" s="66"/>
      <c r="AT1487" s="81"/>
      <c r="AU1487" s="81"/>
      <c r="AV1487" s="81"/>
      <c r="AW1487" s="81"/>
      <c r="AX1487" s="83">
        <f>SUM(Prog_23[[#This Row],[ADIANTAMENTO]]+Prog_23[[#This Row],[SALDO]]+Prog_23[[#This Row],[MARGEM]]+Prog_23[[#This Row],[ESTADIA 1]])</f>
        <v>0</v>
      </c>
      <c r="AY14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7" s="81"/>
      <c r="BA1487" s="81"/>
      <c r="BB1487" s="81">
        <f>Prog_23[[#This Row],[VLR NF]]*0.1%</f>
        <v>0</v>
      </c>
      <c r="BC1487" s="81">
        <f>Prog_23[[#This Row],[VLR NF]]*0.05%</f>
        <v>0</v>
      </c>
      <c r="BD1487" s="81"/>
      <c r="BE1487" s="81"/>
      <c r="BF1487" s="81"/>
      <c r="BG1487" s="81"/>
      <c r="BH1487" s="81"/>
      <c r="BI1487" s="81"/>
      <c r="BJ1487" s="81"/>
      <c r="BK1487" s="81"/>
      <c r="BL1487" s="81"/>
      <c r="BM1487" s="81"/>
      <c r="BN1487" s="66"/>
      <c r="BO1487" s="66"/>
      <c r="BP1487" s="66"/>
      <c r="BQ1487" s="66" t="str">
        <f>PROPER(TEXT(Prog_23[[#This Row],[PROGRAMAÇÃO CLIENTE]],"mmm"))</f>
        <v>Jan</v>
      </c>
      <c r="BR1487" s="66">
        <f>YEAR(Prog_23[[#This Row],[PROGRAMAÇÃO CLIENTE]])</f>
        <v>1900</v>
      </c>
    </row>
    <row r="1488" spans="1:70" x14ac:dyDescent="0.25">
      <c r="A1488" s="201">
        <f>Prog_23[[#This Row],[CONTEINER]]</f>
        <v>0</v>
      </c>
      <c r="B1488" s="86"/>
      <c r="C14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88" s="44"/>
      <c r="E1488" s="66"/>
      <c r="F1488" s="66"/>
      <c r="G1488" s="66"/>
      <c r="H1488" s="44"/>
      <c r="I1488" s="44"/>
      <c r="J1488" s="66"/>
      <c r="K1488" s="66"/>
      <c r="L1488" s="66"/>
      <c r="M1488" s="66"/>
      <c r="N1488" s="66">
        <f>SUM(Prog_23[[#This Row],[TARA]]+Prog_23[[#This Row],[PESO]])</f>
        <v>0</v>
      </c>
      <c r="O1488" s="44"/>
      <c r="P1488" s="66"/>
      <c r="Q1488" s="66"/>
      <c r="R1488" s="66"/>
      <c r="S1488" s="66"/>
      <c r="T1488" s="138" t="str">
        <f>IFERROR(LOOKUP($S1488,MOTORISTAS!$D$3:$D$916,MOTORISTAS!E$3:$E$916),"")</f>
        <v/>
      </c>
      <c r="U1488" s="138" t="str">
        <f>IFERROR(LOOKUP($S1488,MOTORISTAS!$D$3:$D$916,MOTORISTAS!F$3:$F$916),"")</f>
        <v/>
      </c>
      <c r="V1488" s="66"/>
      <c r="W1488" s="66"/>
      <c r="X1488" s="66"/>
      <c r="Y1488" s="66"/>
      <c r="Z1488" s="66"/>
      <c r="AA1488" s="66"/>
      <c r="AB1488" s="66"/>
      <c r="AC1488" s="66"/>
      <c r="AD1488" s="66"/>
      <c r="AE1488" s="66"/>
      <c r="AF1488" s="44"/>
      <c r="AG1488" s="254">
        <f>Prog_23[[#This Row],[SAÍDA DO CLIENTE]]-Prog_23[[#This Row],[PROGRAMAÇÃO CLIENTE]]</f>
        <v>0</v>
      </c>
      <c r="AH1488" s="44"/>
      <c r="AI1488" s="66"/>
      <c r="AJ1488" s="66"/>
      <c r="AK1488" s="66"/>
      <c r="AL1488" s="66"/>
      <c r="AM1488" s="66"/>
      <c r="AN1488" s="83"/>
      <c r="AO1488" s="83"/>
      <c r="AP1488" s="83"/>
      <c r="AQ1488" s="66"/>
      <c r="AR1488" s="66"/>
      <c r="AS1488" s="66"/>
      <c r="AT1488" s="81"/>
      <c r="AU1488" s="81"/>
      <c r="AV1488" s="81"/>
      <c r="AW1488" s="81"/>
      <c r="AX1488" s="83">
        <f>SUM(Prog_23[[#This Row],[ADIANTAMENTO]]+Prog_23[[#This Row],[SALDO]]+Prog_23[[#This Row],[MARGEM]]+Prog_23[[#This Row],[ESTADIA 1]])</f>
        <v>0</v>
      </c>
      <c r="AY14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8" s="81"/>
      <c r="BA1488" s="81"/>
      <c r="BB1488" s="81">
        <f>Prog_23[[#This Row],[VLR NF]]*0.1%</f>
        <v>0</v>
      </c>
      <c r="BC1488" s="81">
        <f>Prog_23[[#This Row],[VLR NF]]*0.05%</f>
        <v>0</v>
      </c>
      <c r="BD1488" s="81"/>
      <c r="BE1488" s="81"/>
      <c r="BF1488" s="81"/>
      <c r="BG1488" s="81"/>
      <c r="BH1488" s="81"/>
      <c r="BI1488" s="81"/>
      <c r="BJ1488" s="81"/>
      <c r="BK1488" s="81"/>
      <c r="BL1488" s="81"/>
      <c r="BM1488" s="81"/>
      <c r="BN1488" s="66"/>
      <c r="BO1488" s="66"/>
      <c r="BP1488" s="66"/>
      <c r="BQ1488" s="66" t="str">
        <f>PROPER(TEXT(Prog_23[[#This Row],[PROGRAMAÇÃO CLIENTE]],"mmm"))</f>
        <v>Jan</v>
      </c>
      <c r="BR1488" s="66">
        <f>YEAR(Prog_23[[#This Row],[PROGRAMAÇÃO CLIENTE]])</f>
        <v>1900</v>
      </c>
    </row>
    <row r="1489" spans="1:70" x14ac:dyDescent="0.25">
      <c r="A1489" s="200">
        <f>Prog_23[[#This Row],[CONTEINER]]</f>
        <v>0</v>
      </c>
      <c r="B1489" s="86"/>
      <c r="C14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89" s="44"/>
      <c r="E1489" s="66"/>
      <c r="F1489" s="66"/>
      <c r="G1489" s="66"/>
      <c r="H1489" s="44"/>
      <c r="I1489" s="44"/>
      <c r="J1489" s="66"/>
      <c r="K1489" s="66"/>
      <c r="L1489" s="66"/>
      <c r="M1489" s="66"/>
      <c r="N1489" s="66">
        <f>SUM(Prog_23[[#This Row],[TARA]]+Prog_23[[#This Row],[PESO]])</f>
        <v>0</v>
      </c>
      <c r="O1489" s="44"/>
      <c r="P1489" s="66"/>
      <c r="Q1489" s="66"/>
      <c r="R1489" s="66"/>
      <c r="S1489" s="66"/>
      <c r="T1489" s="138" t="str">
        <f>IFERROR(LOOKUP($S1489,MOTORISTAS!$D$3:$D$916,MOTORISTAS!E$3:$E$916),"")</f>
        <v/>
      </c>
      <c r="U1489" s="138" t="str">
        <f>IFERROR(LOOKUP($S1489,MOTORISTAS!$D$3:$D$916,MOTORISTAS!F$3:$F$916),"")</f>
        <v/>
      </c>
      <c r="V1489" s="66"/>
      <c r="W1489" s="66"/>
      <c r="X1489" s="66"/>
      <c r="Y1489" s="66"/>
      <c r="Z1489" s="66"/>
      <c r="AA1489" s="66"/>
      <c r="AB1489" s="66"/>
      <c r="AC1489" s="66"/>
      <c r="AD1489" s="66"/>
      <c r="AE1489" s="66"/>
      <c r="AF1489" s="44"/>
      <c r="AG1489" s="254">
        <f>Prog_23[[#This Row],[SAÍDA DO CLIENTE]]-Prog_23[[#This Row],[PROGRAMAÇÃO CLIENTE]]</f>
        <v>0</v>
      </c>
      <c r="AH1489" s="44"/>
      <c r="AI1489" s="66"/>
      <c r="AJ1489" s="66"/>
      <c r="AK1489" s="66"/>
      <c r="AL1489" s="66"/>
      <c r="AM1489" s="66"/>
      <c r="AN1489" s="83"/>
      <c r="AO1489" s="83"/>
      <c r="AP1489" s="83"/>
      <c r="AQ1489" s="66"/>
      <c r="AR1489" s="66"/>
      <c r="AS1489" s="66"/>
      <c r="AT1489" s="81"/>
      <c r="AU1489" s="81"/>
      <c r="AV1489" s="81"/>
      <c r="AW1489" s="81"/>
      <c r="AX1489" s="83">
        <f>SUM(Prog_23[[#This Row],[ADIANTAMENTO]]+Prog_23[[#This Row],[SALDO]]+Prog_23[[#This Row],[MARGEM]]+Prog_23[[#This Row],[ESTADIA 1]])</f>
        <v>0</v>
      </c>
      <c r="AY14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89" s="81"/>
      <c r="BA1489" s="81"/>
      <c r="BB1489" s="81">
        <f>Prog_23[[#This Row],[VLR NF]]*0.1%</f>
        <v>0</v>
      </c>
      <c r="BC1489" s="81">
        <f>Prog_23[[#This Row],[VLR NF]]*0.05%</f>
        <v>0</v>
      </c>
      <c r="BD1489" s="81"/>
      <c r="BE1489" s="81"/>
      <c r="BF1489" s="81"/>
      <c r="BG1489" s="81"/>
      <c r="BH1489" s="81"/>
      <c r="BI1489" s="81"/>
      <c r="BJ1489" s="81"/>
      <c r="BK1489" s="81"/>
      <c r="BL1489" s="81"/>
      <c r="BM1489" s="81"/>
      <c r="BN1489" s="66"/>
      <c r="BO1489" s="66"/>
      <c r="BP1489" s="66"/>
      <c r="BQ1489" s="66" t="str">
        <f>PROPER(TEXT(Prog_23[[#This Row],[PROGRAMAÇÃO CLIENTE]],"mmm"))</f>
        <v>Jan</v>
      </c>
      <c r="BR1489" s="66">
        <f>YEAR(Prog_23[[#This Row],[PROGRAMAÇÃO CLIENTE]])</f>
        <v>1900</v>
      </c>
    </row>
    <row r="1490" spans="1:70" x14ac:dyDescent="0.25">
      <c r="A1490" s="201">
        <f>Prog_23[[#This Row],[CONTEINER]]</f>
        <v>0</v>
      </c>
      <c r="B1490" s="86"/>
      <c r="C14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90" s="44"/>
      <c r="E1490" s="66"/>
      <c r="F1490" s="66"/>
      <c r="G1490" s="66"/>
      <c r="H1490" s="44"/>
      <c r="I1490" s="44"/>
      <c r="J1490" s="66"/>
      <c r="K1490" s="66"/>
      <c r="L1490" s="66"/>
      <c r="M1490" s="66"/>
      <c r="N1490" s="66">
        <f>SUM(Prog_23[[#This Row],[TARA]]+Prog_23[[#This Row],[PESO]])</f>
        <v>0</v>
      </c>
      <c r="O1490" s="44"/>
      <c r="P1490" s="66"/>
      <c r="Q1490" s="66"/>
      <c r="R1490" s="66"/>
      <c r="S1490" s="66"/>
      <c r="T1490" s="138" t="str">
        <f>IFERROR(LOOKUP($S1490,MOTORISTAS!$D$3:$D$916,MOTORISTAS!E$3:$E$916),"")</f>
        <v/>
      </c>
      <c r="U1490" s="138" t="str">
        <f>IFERROR(LOOKUP($S1490,MOTORISTAS!$D$3:$D$916,MOTORISTAS!F$3:$F$916),"")</f>
        <v/>
      </c>
      <c r="V1490" s="66"/>
      <c r="W1490" s="66"/>
      <c r="X1490" s="66"/>
      <c r="Y1490" s="66"/>
      <c r="Z1490" s="66"/>
      <c r="AA1490" s="66"/>
      <c r="AB1490" s="66"/>
      <c r="AC1490" s="66"/>
      <c r="AD1490" s="66"/>
      <c r="AE1490" s="66"/>
      <c r="AF1490" s="44"/>
      <c r="AG1490" s="254">
        <f>Prog_23[[#This Row],[SAÍDA DO CLIENTE]]-Prog_23[[#This Row],[PROGRAMAÇÃO CLIENTE]]</f>
        <v>0</v>
      </c>
      <c r="AH1490" s="44"/>
      <c r="AI1490" s="66"/>
      <c r="AJ1490" s="66"/>
      <c r="AK1490" s="66"/>
      <c r="AL1490" s="66"/>
      <c r="AM1490" s="66"/>
      <c r="AN1490" s="83"/>
      <c r="AO1490" s="83"/>
      <c r="AP1490" s="83"/>
      <c r="AQ1490" s="66"/>
      <c r="AR1490" s="66"/>
      <c r="AS1490" s="66"/>
      <c r="AT1490" s="81"/>
      <c r="AU1490" s="81"/>
      <c r="AV1490" s="81"/>
      <c r="AW1490" s="81"/>
      <c r="AX1490" s="83">
        <f>SUM(Prog_23[[#This Row],[ADIANTAMENTO]]+Prog_23[[#This Row],[SALDO]]+Prog_23[[#This Row],[MARGEM]]+Prog_23[[#This Row],[ESTADIA 1]])</f>
        <v>0</v>
      </c>
      <c r="AY14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0" s="81"/>
      <c r="BA1490" s="81"/>
      <c r="BB1490" s="81">
        <f>Prog_23[[#This Row],[VLR NF]]*0.1%</f>
        <v>0</v>
      </c>
      <c r="BC1490" s="81">
        <f>Prog_23[[#This Row],[VLR NF]]*0.05%</f>
        <v>0</v>
      </c>
      <c r="BD1490" s="81"/>
      <c r="BE1490" s="81"/>
      <c r="BF1490" s="81"/>
      <c r="BG1490" s="81"/>
      <c r="BH1490" s="81"/>
      <c r="BI1490" s="81"/>
      <c r="BJ1490" s="81"/>
      <c r="BK1490" s="81"/>
      <c r="BL1490" s="81"/>
      <c r="BM1490" s="81"/>
      <c r="BN1490" s="66"/>
      <c r="BO1490" s="66"/>
      <c r="BP1490" s="66"/>
      <c r="BQ1490" s="66" t="str">
        <f>PROPER(TEXT(Prog_23[[#This Row],[PROGRAMAÇÃO CLIENTE]],"mmm"))</f>
        <v>Jan</v>
      </c>
      <c r="BR1490" s="66">
        <f>YEAR(Prog_23[[#This Row],[PROGRAMAÇÃO CLIENTE]])</f>
        <v>1900</v>
      </c>
    </row>
    <row r="1491" spans="1:70" x14ac:dyDescent="0.25">
      <c r="A1491" s="200">
        <f>Prog_23[[#This Row],[CONTEINER]]</f>
        <v>0</v>
      </c>
      <c r="B1491" s="86"/>
      <c r="C14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91" s="44"/>
      <c r="E1491" s="66"/>
      <c r="F1491" s="66"/>
      <c r="G1491" s="66"/>
      <c r="H1491" s="44"/>
      <c r="I1491" s="44"/>
      <c r="J1491" s="66"/>
      <c r="K1491" s="66"/>
      <c r="L1491" s="66"/>
      <c r="M1491" s="66"/>
      <c r="N1491" s="66">
        <f>SUM(Prog_23[[#This Row],[TARA]]+Prog_23[[#This Row],[PESO]])</f>
        <v>0</v>
      </c>
      <c r="O1491" s="44"/>
      <c r="P1491" s="66"/>
      <c r="Q1491" s="66"/>
      <c r="R1491" s="66"/>
      <c r="S1491" s="66"/>
      <c r="T1491" s="138" t="str">
        <f>IFERROR(LOOKUP($S1491,MOTORISTAS!$D$3:$D$916,MOTORISTAS!E$3:$E$916),"")</f>
        <v/>
      </c>
      <c r="U1491" s="138" t="str">
        <f>IFERROR(LOOKUP($S1491,MOTORISTAS!$D$3:$D$916,MOTORISTAS!F$3:$F$916),"")</f>
        <v/>
      </c>
      <c r="V1491" s="66"/>
      <c r="W1491" s="66"/>
      <c r="X1491" s="66"/>
      <c r="Y1491" s="66"/>
      <c r="Z1491" s="66"/>
      <c r="AA1491" s="66"/>
      <c r="AB1491" s="66"/>
      <c r="AC1491" s="66"/>
      <c r="AD1491" s="66"/>
      <c r="AE1491" s="66"/>
      <c r="AF1491" s="44"/>
      <c r="AG1491" s="254">
        <f>Prog_23[[#This Row],[SAÍDA DO CLIENTE]]-Prog_23[[#This Row],[PROGRAMAÇÃO CLIENTE]]</f>
        <v>0</v>
      </c>
      <c r="AH1491" s="44"/>
      <c r="AI1491" s="66"/>
      <c r="AJ1491" s="66"/>
      <c r="AK1491" s="66"/>
      <c r="AL1491" s="66"/>
      <c r="AM1491" s="66"/>
      <c r="AN1491" s="83"/>
      <c r="AO1491" s="83"/>
      <c r="AP1491" s="83"/>
      <c r="AQ1491" s="66"/>
      <c r="AR1491" s="66"/>
      <c r="AS1491" s="66"/>
      <c r="AT1491" s="81"/>
      <c r="AU1491" s="81"/>
      <c r="AV1491" s="81"/>
      <c r="AW1491" s="81"/>
      <c r="AX1491" s="83">
        <f>SUM(Prog_23[[#This Row],[ADIANTAMENTO]]+Prog_23[[#This Row],[SALDO]]+Prog_23[[#This Row],[MARGEM]]+Prog_23[[#This Row],[ESTADIA 1]])</f>
        <v>0</v>
      </c>
      <c r="AY14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1" s="81"/>
      <c r="BA1491" s="81"/>
      <c r="BB1491" s="81">
        <f>Prog_23[[#This Row],[VLR NF]]*0.1%</f>
        <v>0</v>
      </c>
      <c r="BC1491" s="81">
        <f>Prog_23[[#This Row],[VLR NF]]*0.05%</f>
        <v>0</v>
      </c>
      <c r="BD1491" s="81"/>
      <c r="BE1491" s="81"/>
      <c r="BF1491" s="81"/>
      <c r="BG1491" s="81"/>
      <c r="BH1491" s="81"/>
      <c r="BI1491" s="81"/>
      <c r="BJ1491" s="81"/>
      <c r="BK1491" s="81"/>
      <c r="BL1491" s="81"/>
      <c r="BM1491" s="81"/>
      <c r="BN1491" s="66"/>
      <c r="BO1491" s="66"/>
      <c r="BP1491" s="66"/>
      <c r="BQ1491" s="66" t="str">
        <f>PROPER(TEXT(Prog_23[[#This Row],[PROGRAMAÇÃO CLIENTE]],"mmm"))</f>
        <v>Jan</v>
      </c>
      <c r="BR1491" s="66">
        <f>YEAR(Prog_23[[#This Row],[PROGRAMAÇÃO CLIENTE]])</f>
        <v>1900</v>
      </c>
    </row>
    <row r="1492" spans="1:70" x14ac:dyDescent="0.25">
      <c r="A1492" s="201">
        <f>Prog_23[[#This Row],[CONTEINER]]</f>
        <v>0</v>
      </c>
      <c r="B1492" s="86"/>
      <c r="C14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92" s="44"/>
      <c r="E1492" s="66"/>
      <c r="F1492" s="66"/>
      <c r="G1492" s="66"/>
      <c r="H1492" s="44"/>
      <c r="I1492" s="44"/>
      <c r="J1492" s="66"/>
      <c r="K1492" s="66"/>
      <c r="L1492" s="66"/>
      <c r="M1492" s="66"/>
      <c r="N1492" s="66">
        <f>SUM(Prog_23[[#This Row],[TARA]]+Prog_23[[#This Row],[PESO]])</f>
        <v>0</v>
      </c>
      <c r="O1492" s="44"/>
      <c r="P1492" s="66"/>
      <c r="Q1492" s="66"/>
      <c r="R1492" s="66"/>
      <c r="S1492" s="66"/>
      <c r="T1492" s="138" t="str">
        <f>IFERROR(LOOKUP($S1492,MOTORISTAS!$D$3:$D$916,MOTORISTAS!E$3:$E$916),"")</f>
        <v/>
      </c>
      <c r="U1492" s="138" t="str">
        <f>IFERROR(LOOKUP($S1492,MOTORISTAS!$D$3:$D$916,MOTORISTAS!F$3:$F$916),"")</f>
        <v/>
      </c>
      <c r="V1492" s="66"/>
      <c r="W1492" s="66"/>
      <c r="X1492" s="66"/>
      <c r="Y1492" s="66"/>
      <c r="Z1492" s="66"/>
      <c r="AA1492" s="66"/>
      <c r="AB1492" s="66"/>
      <c r="AC1492" s="66"/>
      <c r="AD1492" s="66"/>
      <c r="AE1492" s="66"/>
      <c r="AF1492" s="44"/>
      <c r="AG1492" s="254">
        <f>Prog_23[[#This Row],[SAÍDA DO CLIENTE]]-Prog_23[[#This Row],[PROGRAMAÇÃO CLIENTE]]</f>
        <v>0</v>
      </c>
      <c r="AH1492" s="44"/>
      <c r="AI1492" s="66"/>
      <c r="AJ1492" s="66"/>
      <c r="AK1492" s="66"/>
      <c r="AL1492" s="66"/>
      <c r="AM1492" s="66"/>
      <c r="AN1492" s="83"/>
      <c r="AO1492" s="83"/>
      <c r="AP1492" s="83"/>
      <c r="AQ1492" s="66"/>
      <c r="AR1492" s="66"/>
      <c r="AS1492" s="66"/>
      <c r="AT1492" s="81"/>
      <c r="AU1492" s="81"/>
      <c r="AV1492" s="81"/>
      <c r="AW1492" s="81"/>
      <c r="AX1492" s="83">
        <f>SUM(Prog_23[[#This Row],[ADIANTAMENTO]]+Prog_23[[#This Row],[SALDO]]+Prog_23[[#This Row],[MARGEM]]+Prog_23[[#This Row],[ESTADIA 1]])</f>
        <v>0</v>
      </c>
      <c r="AY14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2" s="81"/>
      <c r="BA1492" s="81"/>
      <c r="BB1492" s="81">
        <f>Prog_23[[#This Row],[VLR NF]]*0.1%</f>
        <v>0</v>
      </c>
      <c r="BC1492" s="81">
        <f>Prog_23[[#This Row],[VLR NF]]*0.05%</f>
        <v>0</v>
      </c>
      <c r="BD1492" s="81"/>
      <c r="BE1492" s="81"/>
      <c r="BF1492" s="81"/>
      <c r="BG1492" s="81"/>
      <c r="BH1492" s="81"/>
      <c r="BI1492" s="81"/>
      <c r="BJ1492" s="81"/>
      <c r="BK1492" s="81"/>
      <c r="BL1492" s="81"/>
      <c r="BM1492" s="81"/>
      <c r="BN1492" s="66"/>
      <c r="BO1492" s="66"/>
      <c r="BP1492" s="66"/>
      <c r="BQ1492" s="66" t="str">
        <f>PROPER(TEXT(Prog_23[[#This Row],[PROGRAMAÇÃO CLIENTE]],"mmm"))</f>
        <v>Jan</v>
      </c>
      <c r="BR1492" s="66">
        <f>YEAR(Prog_23[[#This Row],[PROGRAMAÇÃO CLIENTE]])</f>
        <v>1900</v>
      </c>
    </row>
    <row r="1493" spans="1:70" x14ac:dyDescent="0.25">
      <c r="A1493" s="200">
        <f>Prog_23[[#This Row],[CONTEINER]]</f>
        <v>0</v>
      </c>
      <c r="B1493" s="86"/>
      <c r="C14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93" s="44"/>
      <c r="E1493" s="66"/>
      <c r="F1493" s="66"/>
      <c r="G1493" s="66"/>
      <c r="H1493" s="44"/>
      <c r="I1493" s="44"/>
      <c r="J1493" s="66"/>
      <c r="K1493" s="66"/>
      <c r="L1493" s="66"/>
      <c r="M1493" s="66"/>
      <c r="N1493" s="66">
        <f>SUM(Prog_23[[#This Row],[TARA]]+Prog_23[[#This Row],[PESO]])</f>
        <v>0</v>
      </c>
      <c r="O1493" s="44"/>
      <c r="P1493" s="66"/>
      <c r="Q1493" s="66"/>
      <c r="R1493" s="66"/>
      <c r="S1493" s="66"/>
      <c r="T1493" s="138" t="str">
        <f>IFERROR(LOOKUP($S1493,MOTORISTAS!$D$3:$D$916,MOTORISTAS!E$3:$E$916),"")</f>
        <v/>
      </c>
      <c r="U1493" s="138" t="str">
        <f>IFERROR(LOOKUP($S1493,MOTORISTAS!$D$3:$D$916,MOTORISTAS!F$3:$F$916),"")</f>
        <v/>
      </c>
      <c r="V1493" s="66"/>
      <c r="W1493" s="66"/>
      <c r="X1493" s="66"/>
      <c r="Y1493" s="66"/>
      <c r="Z1493" s="66"/>
      <c r="AA1493" s="66"/>
      <c r="AB1493" s="66"/>
      <c r="AC1493" s="66"/>
      <c r="AD1493" s="66"/>
      <c r="AE1493" s="66"/>
      <c r="AF1493" s="44"/>
      <c r="AG1493" s="254">
        <f>Prog_23[[#This Row],[SAÍDA DO CLIENTE]]-Prog_23[[#This Row],[PROGRAMAÇÃO CLIENTE]]</f>
        <v>0</v>
      </c>
      <c r="AH1493" s="44"/>
      <c r="AI1493" s="66"/>
      <c r="AJ1493" s="66"/>
      <c r="AK1493" s="66"/>
      <c r="AL1493" s="66"/>
      <c r="AM1493" s="66"/>
      <c r="AN1493" s="83"/>
      <c r="AO1493" s="83"/>
      <c r="AP1493" s="83"/>
      <c r="AQ1493" s="66"/>
      <c r="AR1493" s="66"/>
      <c r="AS1493" s="66"/>
      <c r="AT1493" s="81"/>
      <c r="AU1493" s="81"/>
      <c r="AV1493" s="81"/>
      <c r="AW1493" s="81"/>
      <c r="AX1493" s="83">
        <f>SUM(Prog_23[[#This Row],[ADIANTAMENTO]]+Prog_23[[#This Row],[SALDO]]+Prog_23[[#This Row],[MARGEM]]+Prog_23[[#This Row],[ESTADIA 1]])</f>
        <v>0</v>
      </c>
      <c r="AY14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3" s="81"/>
      <c r="BA1493" s="81"/>
      <c r="BB1493" s="81">
        <f>Prog_23[[#This Row],[VLR NF]]*0.1%</f>
        <v>0</v>
      </c>
      <c r="BC1493" s="81">
        <f>Prog_23[[#This Row],[VLR NF]]*0.05%</f>
        <v>0</v>
      </c>
      <c r="BD1493" s="81"/>
      <c r="BE1493" s="81"/>
      <c r="BF1493" s="81"/>
      <c r="BG1493" s="81"/>
      <c r="BH1493" s="81"/>
      <c r="BI1493" s="81"/>
      <c r="BJ1493" s="81"/>
      <c r="BK1493" s="81"/>
      <c r="BL1493" s="81"/>
      <c r="BM1493" s="81"/>
      <c r="BN1493" s="66"/>
      <c r="BO1493" s="66"/>
      <c r="BP1493" s="66"/>
      <c r="BQ1493" s="66" t="str">
        <f>PROPER(TEXT(Prog_23[[#This Row],[PROGRAMAÇÃO CLIENTE]],"mmm"))</f>
        <v>Jan</v>
      </c>
      <c r="BR1493" s="66">
        <f>YEAR(Prog_23[[#This Row],[PROGRAMAÇÃO CLIENTE]])</f>
        <v>1900</v>
      </c>
    </row>
    <row r="1494" spans="1:70" x14ac:dyDescent="0.25">
      <c r="A1494" s="201">
        <f>Prog_23[[#This Row],[CONTEINER]]</f>
        <v>0</v>
      </c>
      <c r="B1494" s="86"/>
      <c r="C14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94" s="44"/>
      <c r="E1494" s="66"/>
      <c r="F1494" s="66"/>
      <c r="G1494" s="66"/>
      <c r="H1494" s="44"/>
      <c r="I1494" s="44"/>
      <c r="J1494" s="66"/>
      <c r="K1494" s="66"/>
      <c r="L1494" s="66"/>
      <c r="M1494" s="66"/>
      <c r="N1494" s="66">
        <f>SUM(Prog_23[[#This Row],[TARA]]+Prog_23[[#This Row],[PESO]])</f>
        <v>0</v>
      </c>
      <c r="O1494" s="44"/>
      <c r="P1494" s="66"/>
      <c r="Q1494" s="66"/>
      <c r="R1494" s="66"/>
      <c r="S1494" s="66"/>
      <c r="T1494" s="138" t="str">
        <f>IFERROR(LOOKUP($S1494,MOTORISTAS!$D$3:$D$916,MOTORISTAS!E$3:$E$916),"")</f>
        <v/>
      </c>
      <c r="U1494" s="138" t="str">
        <f>IFERROR(LOOKUP($S1494,MOTORISTAS!$D$3:$D$916,MOTORISTAS!F$3:$F$916),"")</f>
        <v/>
      </c>
      <c r="V1494" s="66"/>
      <c r="W1494" s="66"/>
      <c r="X1494" s="66"/>
      <c r="Y1494" s="66"/>
      <c r="Z1494" s="66"/>
      <c r="AA1494" s="66"/>
      <c r="AB1494" s="66"/>
      <c r="AC1494" s="66"/>
      <c r="AD1494" s="66"/>
      <c r="AE1494" s="66"/>
      <c r="AF1494" s="44"/>
      <c r="AG1494" s="254">
        <f>Prog_23[[#This Row],[SAÍDA DO CLIENTE]]-Prog_23[[#This Row],[PROGRAMAÇÃO CLIENTE]]</f>
        <v>0</v>
      </c>
      <c r="AH1494" s="44"/>
      <c r="AI1494" s="66"/>
      <c r="AJ1494" s="66"/>
      <c r="AK1494" s="66"/>
      <c r="AL1494" s="66"/>
      <c r="AM1494" s="66"/>
      <c r="AN1494" s="83"/>
      <c r="AO1494" s="83"/>
      <c r="AP1494" s="83"/>
      <c r="AQ1494" s="66"/>
      <c r="AR1494" s="66"/>
      <c r="AS1494" s="66"/>
      <c r="AT1494" s="81"/>
      <c r="AU1494" s="81"/>
      <c r="AV1494" s="81"/>
      <c r="AW1494" s="81"/>
      <c r="AX1494" s="83">
        <f>SUM(Prog_23[[#This Row],[ADIANTAMENTO]]+Prog_23[[#This Row],[SALDO]]+Prog_23[[#This Row],[MARGEM]]+Prog_23[[#This Row],[ESTADIA 1]])</f>
        <v>0</v>
      </c>
      <c r="AY14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4" s="81"/>
      <c r="BA1494" s="81"/>
      <c r="BB1494" s="81">
        <f>Prog_23[[#This Row],[VLR NF]]*0.1%</f>
        <v>0</v>
      </c>
      <c r="BC1494" s="81">
        <f>Prog_23[[#This Row],[VLR NF]]*0.05%</f>
        <v>0</v>
      </c>
      <c r="BD1494" s="81"/>
      <c r="BE1494" s="81"/>
      <c r="BF1494" s="81"/>
      <c r="BG1494" s="81"/>
      <c r="BH1494" s="81"/>
      <c r="BI1494" s="81"/>
      <c r="BJ1494" s="81"/>
      <c r="BK1494" s="81"/>
      <c r="BL1494" s="81"/>
      <c r="BM1494" s="81"/>
      <c r="BN1494" s="66"/>
      <c r="BO1494" s="66"/>
      <c r="BP1494" s="66"/>
      <c r="BQ1494" s="66" t="str">
        <f>PROPER(TEXT(Prog_23[[#This Row],[PROGRAMAÇÃO CLIENTE]],"mmm"))</f>
        <v>Jan</v>
      </c>
      <c r="BR1494" s="66">
        <f>YEAR(Prog_23[[#This Row],[PROGRAMAÇÃO CLIENTE]])</f>
        <v>1900</v>
      </c>
    </row>
    <row r="1495" spans="1:70" x14ac:dyDescent="0.25">
      <c r="A1495" s="200">
        <f>Prog_23[[#This Row],[CONTEINER]]</f>
        <v>0</v>
      </c>
      <c r="B1495" s="86"/>
      <c r="C14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95" s="44"/>
      <c r="E1495" s="66"/>
      <c r="F1495" s="66"/>
      <c r="G1495" s="66"/>
      <c r="H1495" s="44"/>
      <c r="I1495" s="44"/>
      <c r="J1495" s="66"/>
      <c r="K1495" s="66"/>
      <c r="L1495" s="66"/>
      <c r="M1495" s="66"/>
      <c r="N1495" s="66">
        <f>SUM(Prog_23[[#This Row],[TARA]]+Prog_23[[#This Row],[PESO]])</f>
        <v>0</v>
      </c>
      <c r="O1495" s="44"/>
      <c r="P1495" s="66"/>
      <c r="Q1495" s="66"/>
      <c r="R1495" s="66"/>
      <c r="S1495" s="66"/>
      <c r="T1495" s="138" t="str">
        <f>IFERROR(LOOKUP($S1495,MOTORISTAS!$D$3:$D$916,MOTORISTAS!E$3:$E$916),"")</f>
        <v/>
      </c>
      <c r="U1495" s="138" t="str">
        <f>IFERROR(LOOKUP($S1495,MOTORISTAS!$D$3:$D$916,MOTORISTAS!F$3:$F$916),"")</f>
        <v/>
      </c>
      <c r="V1495" s="66"/>
      <c r="W1495" s="66"/>
      <c r="X1495" s="66"/>
      <c r="Y1495" s="66"/>
      <c r="Z1495" s="66"/>
      <c r="AA1495" s="66"/>
      <c r="AB1495" s="66"/>
      <c r="AC1495" s="66"/>
      <c r="AD1495" s="66"/>
      <c r="AE1495" s="66"/>
      <c r="AF1495" s="44"/>
      <c r="AG1495" s="254">
        <f>Prog_23[[#This Row],[SAÍDA DO CLIENTE]]-Prog_23[[#This Row],[PROGRAMAÇÃO CLIENTE]]</f>
        <v>0</v>
      </c>
      <c r="AH1495" s="44"/>
      <c r="AI1495" s="66"/>
      <c r="AJ1495" s="66"/>
      <c r="AK1495" s="66"/>
      <c r="AL1495" s="66"/>
      <c r="AM1495" s="66"/>
      <c r="AN1495" s="83"/>
      <c r="AO1495" s="83"/>
      <c r="AP1495" s="83"/>
      <c r="AQ1495" s="66"/>
      <c r="AR1495" s="66"/>
      <c r="AS1495" s="66"/>
      <c r="AT1495" s="81"/>
      <c r="AU1495" s="81"/>
      <c r="AV1495" s="81"/>
      <c r="AW1495" s="81"/>
      <c r="AX1495" s="83">
        <f>SUM(Prog_23[[#This Row],[ADIANTAMENTO]]+Prog_23[[#This Row],[SALDO]]+Prog_23[[#This Row],[MARGEM]]+Prog_23[[#This Row],[ESTADIA 1]])</f>
        <v>0</v>
      </c>
      <c r="AY14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5" s="81"/>
      <c r="BA1495" s="81"/>
      <c r="BB1495" s="81">
        <f>Prog_23[[#This Row],[VLR NF]]*0.1%</f>
        <v>0</v>
      </c>
      <c r="BC1495" s="81">
        <f>Prog_23[[#This Row],[VLR NF]]*0.05%</f>
        <v>0</v>
      </c>
      <c r="BD1495" s="81"/>
      <c r="BE1495" s="81"/>
      <c r="BF1495" s="81"/>
      <c r="BG1495" s="81"/>
      <c r="BH1495" s="81"/>
      <c r="BI1495" s="81"/>
      <c r="BJ1495" s="81"/>
      <c r="BK1495" s="81"/>
      <c r="BL1495" s="81"/>
      <c r="BM1495" s="81"/>
      <c r="BN1495" s="66"/>
      <c r="BO1495" s="66"/>
      <c r="BP1495" s="66"/>
      <c r="BQ1495" s="66" t="str">
        <f>PROPER(TEXT(Prog_23[[#This Row],[PROGRAMAÇÃO CLIENTE]],"mmm"))</f>
        <v>Jan</v>
      </c>
      <c r="BR1495" s="66">
        <f>YEAR(Prog_23[[#This Row],[PROGRAMAÇÃO CLIENTE]])</f>
        <v>1900</v>
      </c>
    </row>
    <row r="1496" spans="1:70" x14ac:dyDescent="0.25">
      <c r="A1496" s="201">
        <f>Prog_23[[#This Row],[CONTEINER]]</f>
        <v>0</v>
      </c>
      <c r="B1496" s="86"/>
      <c r="C14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96" s="44"/>
      <c r="E1496" s="66"/>
      <c r="F1496" s="66"/>
      <c r="G1496" s="66"/>
      <c r="H1496" s="44"/>
      <c r="I1496" s="44"/>
      <c r="J1496" s="66"/>
      <c r="K1496" s="66"/>
      <c r="L1496" s="66"/>
      <c r="M1496" s="66"/>
      <c r="N1496" s="66">
        <f>SUM(Prog_23[[#This Row],[TARA]]+Prog_23[[#This Row],[PESO]])</f>
        <v>0</v>
      </c>
      <c r="O1496" s="44"/>
      <c r="P1496" s="66"/>
      <c r="Q1496" s="66"/>
      <c r="R1496" s="66"/>
      <c r="S1496" s="66"/>
      <c r="T1496" s="138" t="str">
        <f>IFERROR(LOOKUP($S1496,MOTORISTAS!$D$3:$D$916,MOTORISTAS!E$3:$E$916),"")</f>
        <v/>
      </c>
      <c r="U1496" s="138" t="str">
        <f>IFERROR(LOOKUP($S1496,MOTORISTAS!$D$3:$D$916,MOTORISTAS!F$3:$F$916),"")</f>
        <v/>
      </c>
      <c r="V1496" s="66"/>
      <c r="W1496" s="66"/>
      <c r="X1496" s="66"/>
      <c r="Y1496" s="66"/>
      <c r="Z1496" s="66"/>
      <c r="AA1496" s="66"/>
      <c r="AB1496" s="66"/>
      <c r="AC1496" s="66"/>
      <c r="AD1496" s="66"/>
      <c r="AE1496" s="66"/>
      <c r="AF1496" s="44"/>
      <c r="AG1496" s="254">
        <f>Prog_23[[#This Row],[SAÍDA DO CLIENTE]]-Prog_23[[#This Row],[PROGRAMAÇÃO CLIENTE]]</f>
        <v>0</v>
      </c>
      <c r="AH1496" s="44"/>
      <c r="AI1496" s="66"/>
      <c r="AJ1496" s="66"/>
      <c r="AK1496" s="66"/>
      <c r="AL1496" s="66"/>
      <c r="AM1496" s="66"/>
      <c r="AN1496" s="83"/>
      <c r="AO1496" s="83"/>
      <c r="AP1496" s="83"/>
      <c r="AQ1496" s="66"/>
      <c r="AR1496" s="66"/>
      <c r="AS1496" s="66"/>
      <c r="AT1496" s="81"/>
      <c r="AU1496" s="81"/>
      <c r="AV1496" s="81"/>
      <c r="AW1496" s="81"/>
      <c r="AX1496" s="83">
        <f>SUM(Prog_23[[#This Row],[ADIANTAMENTO]]+Prog_23[[#This Row],[SALDO]]+Prog_23[[#This Row],[MARGEM]]+Prog_23[[#This Row],[ESTADIA 1]])</f>
        <v>0</v>
      </c>
      <c r="AY14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6" s="81"/>
      <c r="BA1496" s="81"/>
      <c r="BB1496" s="81">
        <f>Prog_23[[#This Row],[VLR NF]]*0.1%</f>
        <v>0</v>
      </c>
      <c r="BC1496" s="81">
        <f>Prog_23[[#This Row],[VLR NF]]*0.05%</f>
        <v>0</v>
      </c>
      <c r="BD1496" s="81"/>
      <c r="BE1496" s="81"/>
      <c r="BF1496" s="81"/>
      <c r="BG1496" s="81"/>
      <c r="BH1496" s="81"/>
      <c r="BI1496" s="81"/>
      <c r="BJ1496" s="81"/>
      <c r="BK1496" s="81"/>
      <c r="BL1496" s="81"/>
      <c r="BM1496" s="81"/>
      <c r="BN1496" s="66"/>
      <c r="BO1496" s="66"/>
      <c r="BP1496" s="66"/>
      <c r="BQ1496" s="66" t="str">
        <f>PROPER(TEXT(Prog_23[[#This Row],[PROGRAMAÇÃO CLIENTE]],"mmm"))</f>
        <v>Jan</v>
      </c>
      <c r="BR1496" s="66">
        <f>YEAR(Prog_23[[#This Row],[PROGRAMAÇÃO CLIENTE]])</f>
        <v>1900</v>
      </c>
    </row>
    <row r="1497" spans="1:70" x14ac:dyDescent="0.25">
      <c r="A1497" s="200">
        <f>Prog_23[[#This Row],[CONTEINER]]</f>
        <v>0</v>
      </c>
      <c r="B1497" s="86"/>
      <c r="C14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97" s="44"/>
      <c r="E1497" s="66"/>
      <c r="F1497" s="66"/>
      <c r="G1497" s="66"/>
      <c r="H1497" s="44"/>
      <c r="I1497" s="44"/>
      <c r="J1497" s="66"/>
      <c r="K1497" s="66"/>
      <c r="L1497" s="66"/>
      <c r="M1497" s="66"/>
      <c r="N1497" s="66">
        <f>SUM(Prog_23[[#This Row],[TARA]]+Prog_23[[#This Row],[PESO]])</f>
        <v>0</v>
      </c>
      <c r="O1497" s="44"/>
      <c r="P1497" s="66"/>
      <c r="Q1497" s="66"/>
      <c r="R1497" s="66"/>
      <c r="S1497" s="66"/>
      <c r="T1497" s="138" t="str">
        <f>IFERROR(LOOKUP($S1497,MOTORISTAS!$D$3:$D$916,MOTORISTAS!E$3:$E$916),"")</f>
        <v/>
      </c>
      <c r="U1497" s="138" t="str">
        <f>IFERROR(LOOKUP($S1497,MOTORISTAS!$D$3:$D$916,MOTORISTAS!F$3:$F$916),"")</f>
        <v/>
      </c>
      <c r="V1497" s="66"/>
      <c r="W1497" s="66"/>
      <c r="X1497" s="66"/>
      <c r="Y1497" s="66"/>
      <c r="Z1497" s="66"/>
      <c r="AA1497" s="66"/>
      <c r="AB1497" s="66"/>
      <c r="AC1497" s="66"/>
      <c r="AD1497" s="66"/>
      <c r="AE1497" s="66"/>
      <c r="AF1497" s="44"/>
      <c r="AG1497" s="254">
        <f>Prog_23[[#This Row],[SAÍDA DO CLIENTE]]-Prog_23[[#This Row],[PROGRAMAÇÃO CLIENTE]]</f>
        <v>0</v>
      </c>
      <c r="AH1497" s="44"/>
      <c r="AI1497" s="66"/>
      <c r="AJ1497" s="66"/>
      <c r="AK1497" s="66"/>
      <c r="AL1497" s="66"/>
      <c r="AM1497" s="66"/>
      <c r="AN1497" s="83"/>
      <c r="AO1497" s="83"/>
      <c r="AP1497" s="83"/>
      <c r="AQ1497" s="66"/>
      <c r="AR1497" s="66"/>
      <c r="AS1497" s="66"/>
      <c r="AT1497" s="81"/>
      <c r="AU1497" s="81"/>
      <c r="AV1497" s="81"/>
      <c r="AW1497" s="81"/>
      <c r="AX1497" s="83">
        <f>SUM(Prog_23[[#This Row],[ADIANTAMENTO]]+Prog_23[[#This Row],[SALDO]]+Prog_23[[#This Row],[MARGEM]]+Prog_23[[#This Row],[ESTADIA 1]])</f>
        <v>0</v>
      </c>
      <c r="AY14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7" s="81"/>
      <c r="BA1497" s="81"/>
      <c r="BB1497" s="81">
        <f>Prog_23[[#This Row],[VLR NF]]*0.1%</f>
        <v>0</v>
      </c>
      <c r="BC1497" s="81">
        <f>Prog_23[[#This Row],[VLR NF]]*0.05%</f>
        <v>0</v>
      </c>
      <c r="BD1497" s="81"/>
      <c r="BE1497" s="81"/>
      <c r="BF1497" s="81"/>
      <c r="BG1497" s="81"/>
      <c r="BH1497" s="81"/>
      <c r="BI1497" s="81"/>
      <c r="BJ1497" s="81"/>
      <c r="BK1497" s="81"/>
      <c r="BL1497" s="81"/>
      <c r="BM1497" s="81"/>
      <c r="BN1497" s="66"/>
      <c r="BO1497" s="66"/>
      <c r="BP1497" s="66"/>
      <c r="BQ1497" s="66" t="str">
        <f>PROPER(TEXT(Prog_23[[#This Row],[PROGRAMAÇÃO CLIENTE]],"mmm"))</f>
        <v>Jan</v>
      </c>
      <c r="BR1497" s="66">
        <f>YEAR(Prog_23[[#This Row],[PROGRAMAÇÃO CLIENTE]])</f>
        <v>1900</v>
      </c>
    </row>
    <row r="1498" spans="1:70" x14ac:dyDescent="0.25">
      <c r="A1498" s="201">
        <f>Prog_23[[#This Row],[CONTEINER]]</f>
        <v>0</v>
      </c>
      <c r="B1498" s="86"/>
      <c r="C14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98" s="44"/>
      <c r="E1498" s="66"/>
      <c r="F1498" s="66"/>
      <c r="G1498" s="66"/>
      <c r="H1498" s="44"/>
      <c r="I1498" s="44"/>
      <c r="J1498" s="66"/>
      <c r="K1498" s="66"/>
      <c r="L1498" s="66"/>
      <c r="M1498" s="66"/>
      <c r="N1498" s="66">
        <f>SUM(Prog_23[[#This Row],[TARA]]+Prog_23[[#This Row],[PESO]])</f>
        <v>0</v>
      </c>
      <c r="O1498" s="44"/>
      <c r="P1498" s="66"/>
      <c r="Q1498" s="66"/>
      <c r="R1498" s="66"/>
      <c r="S1498" s="66"/>
      <c r="T1498" s="138" t="str">
        <f>IFERROR(LOOKUP($S1498,MOTORISTAS!$D$3:$D$916,MOTORISTAS!E$3:$E$916),"")</f>
        <v/>
      </c>
      <c r="U1498" s="138" t="str">
        <f>IFERROR(LOOKUP($S1498,MOTORISTAS!$D$3:$D$916,MOTORISTAS!F$3:$F$916),"")</f>
        <v/>
      </c>
      <c r="V1498" s="66"/>
      <c r="W1498" s="66"/>
      <c r="X1498" s="66"/>
      <c r="Y1498" s="66"/>
      <c r="Z1498" s="66"/>
      <c r="AA1498" s="66"/>
      <c r="AB1498" s="66"/>
      <c r="AC1498" s="66"/>
      <c r="AD1498" s="66"/>
      <c r="AE1498" s="66"/>
      <c r="AF1498" s="44"/>
      <c r="AG1498" s="254">
        <f>Prog_23[[#This Row],[SAÍDA DO CLIENTE]]-Prog_23[[#This Row],[PROGRAMAÇÃO CLIENTE]]</f>
        <v>0</v>
      </c>
      <c r="AH1498" s="44"/>
      <c r="AI1498" s="66"/>
      <c r="AJ1498" s="66"/>
      <c r="AK1498" s="66"/>
      <c r="AL1498" s="66"/>
      <c r="AM1498" s="66"/>
      <c r="AN1498" s="83"/>
      <c r="AO1498" s="83"/>
      <c r="AP1498" s="83"/>
      <c r="AQ1498" s="66"/>
      <c r="AR1498" s="66"/>
      <c r="AS1498" s="66"/>
      <c r="AT1498" s="81"/>
      <c r="AU1498" s="81"/>
      <c r="AV1498" s="81"/>
      <c r="AW1498" s="81"/>
      <c r="AX1498" s="83">
        <f>SUM(Prog_23[[#This Row],[ADIANTAMENTO]]+Prog_23[[#This Row],[SALDO]]+Prog_23[[#This Row],[MARGEM]]+Prog_23[[#This Row],[ESTADIA 1]])</f>
        <v>0</v>
      </c>
      <c r="AY14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8" s="81"/>
      <c r="BA1498" s="81"/>
      <c r="BB1498" s="81">
        <f>Prog_23[[#This Row],[VLR NF]]*0.1%</f>
        <v>0</v>
      </c>
      <c r="BC1498" s="81">
        <f>Prog_23[[#This Row],[VLR NF]]*0.05%</f>
        <v>0</v>
      </c>
      <c r="BD1498" s="81"/>
      <c r="BE1498" s="81"/>
      <c r="BF1498" s="81"/>
      <c r="BG1498" s="81"/>
      <c r="BH1498" s="81"/>
      <c r="BI1498" s="81"/>
      <c r="BJ1498" s="81"/>
      <c r="BK1498" s="81"/>
      <c r="BL1498" s="81"/>
      <c r="BM1498" s="81"/>
      <c r="BN1498" s="66"/>
      <c r="BO1498" s="66"/>
      <c r="BP1498" s="66"/>
      <c r="BQ1498" s="66" t="str">
        <f>PROPER(TEXT(Prog_23[[#This Row],[PROGRAMAÇÃO CLIENTE]],"mmm"))</f>
        <v>Jan</v>
      </c>
      <c r="BR1498" s="66">
        <f>YEAR(Prog_23[[#This Row],[PROGRAMAÇÃO CLIENTE]])</f>
        <v>1900</v>
      </c>
    </row>
    <row r="1499" spans="1:70" x14ac:dyDescent="0.25">
      <c r="A1499" s="200">
        <f>Prog_23[[#This Row],[CONTEINER]]</f>
        <v>0</v>
      </c>
      <c r="B1499" s="86"/>
      <c r="C14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499" s="44"/>
      <c r="E1499" s="66"/>
      <c r="F1499" s="66"/>
      <c r="G1499" s="66"/>
      <c r="H1499" s="44"/>
      <c r="I1499" s="44"/>
      <c r="J1499" s="66"/>
      <c r="K1499" s="66"/>
      <c r="L1499" s="66"/>
      <c r="M1499" s="66"/>
      <c r="N1499" s="66">
        <f>SUM(Prog_23[[#This Row],[TARA]]+Prog_23[[#This Row],[PESO]])</f>
        <v>0</v>
      </c>
      <c r="O1499" s="44"/>
      <c r="P1499" s="66"/>
      <c r="Q1499" s="66"/>
      <c r="R1499" s="66"/>
      <c r="S1499" s="66"/>
      <c r="T1499" s="138" t="str">
        <f>IFERROR(LOOKUP($S1499,MOTORISTAS!$D$3:$D$916,MOTORISTAS!E$3:$E$916),"")</f>
        <v/>
      </c>
      <c r="U1499" s="138" t="str">
        <f>IFERROR(LOOKUP($S1499,MOTORISTAS!$D$3:$D$916,MOTORISTAS!F$3:$F$916),"")</f>
        <v/>
      </c>
      <c r="V1499" s="66"/>
      <c r="W1499" s="66"/>
      <c r="X1499" s="66"/>
      <c r="Y1499" s="66"/>
      <c r="Z1499" s="66"/>
      <c r="AA1499" s="66"/>
      <c r="AB1499" s="66"/>
      <c r="AC1499" s="66"/>
      <c r="AD1499" s="66"/>
      <c r="AE1499" s="66"/>
      <c r="AF1499" s="44"/>
      <c r="AG1499" s="254">
        <f>Prog_23[[#This Row],[SAÍDA DO CLIENTE]]-Prog_23[[#This Row],[PROGRAMAÇÃO CLIENTE]]</f>
        <v>0</v>
      </c>
      <c r="AH1499" s="44"/>
      <c r="AI1499" s="66"/>
      <c r="AJ1499" s="66"/>
      <c r="AK1499" s="66"/>
      <c r="AL1499" s="66"/>
      <c r="AM1499" s="66"/>
      <c r="AN1499" s="83"/>
      <c r="AO1499" s="83"/>
      <c r="AP1499" s="83"/>
      <c r="AQ1499" s="66"/>
      <c r="AR1499" s="66"/>
      <c r="AS1499" s="66"/>
      <c r="AT1499" s="81"/>
      <c r="AU1499" s="81"/>
      <c r="AV1499" s="81"/>
      <c r="AW1499" s="81"/>
      <c r="AX1499" s="83">
        <f>SUM(Prog_23[[#This Row],[ADIANTAMENTO]]+Prog_23[[#This Row],[SALDO]]+Prog_23[[#This Row],[MARGEM]]+Prog_23[[#This Row],[ESTADIA 1]])</f>
        <v>0</v>
      </c>
      <c r="AY14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499" s="81"/>
      <c r="BA1499" s="81"/>
      <c r="BB1499" s="81">
        <f>Prog_23[[#This Row],[VLR NF]]*0.1%</f>
        <v>0</v>
      </c>
      <c r="BC1499" s="81">
        <f>Prog_23[[#This Row],[VLR NF]]*0.05%</f>
        <v>0</v>
      </c>
      <c r="BD1499" s="81"/>
      <c r="BE1499" s="81"/>
      <c r="BF1499" s="81"/>
      <c r="BG1499" s="81"/>
      <c r="BH1499" s="81"/>
      <c r="BI1499" s="81"/>
      <c r="BJ1499" s="81"/>
      <c r="BK1499" s="81"/>
      <c r="BL1499" s="81"/>
      <c r="BM1499" s="81"/>
      <c r="BN1499" s="66"/>
      <c r="BO1499" s="66"/>
      <c r="BP1499" s="66"/>
      <c r="BQ1499" s="66" t="str">
        <f>PROPER(TEXT(Prog_23[[#This Row],[PROGRAMAÇÃO CLIENTE]],"mmm"))</f>
        <v>Jan</v>
      </c>
      <c r="BR1499" s="66">
        <f>YEAR(Prog_23[[#This Row],[PROGRAMAÇÃO CLIENTE]])</f>
        <v>1900</v>
      </c>
    </row>
    <row r="1500" spans="1:70" x14ac:dyDescent="0.25">
      <c r="A1500" s="201">
        <f>Prog_23[[#This Row],[CONTEINER]]</f>
        <v>0</v>
      </c>
      <c r="B1500" s="86"/>
      <c r="C15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00" s="44"/>
      <c r="E1500" s="66"/>
      <c r="F1500" s="66"/>
      <c r="G1500" s="66"/>
      <c r="H1500" s="44"/>
      <c r="I1500" s="44"/>
      <c r="J1500" s="66"/>
      <c r="K1500" s="66"/>
      <c r="L1500" s="66"/>
      <c r="M1500" s="66"/>
      <c r="N1500" s="66">
        <f>SUM(Prog_23[[#This Row],[TARA]]+Prog_23[[#This Row],[PESO]])</f>
        <v>0</v>
      </c>
      <c r="O1500" s="44"/>
      <c r="P1500" s="66"/>
      <c r="Q1500" s="66"/>
      <c r="R1500" s="66"/>
      <c r="S1500" s="66"/>
      <c r="T1500" s="138" t="str">
        <f>IFERROR(LOOKUP($S1500,MOTORISTAS!$D$3:$D$916,MOTORISTAS!E$3:$E$916),"")</f>
        <v/>
      </c>
      <c r="U1500" s="138" t="str">
        <f>IFERROR(LOOKUP($S1500,MOTORISTAS!$D$3:$D$916,MOTORISTAS!F$3:$F$916),"")</f>
        <v/>
      </c>
      <c r="V1500" s="66"/>
      <c r="W1500" s="66"/>
      <c r="X1500" s="66"/>
      <c r="Y1500" s="66"/>
      <c r="Z1500" s="66"/>
      <c r="AA1500" s="66"/>
      <c r="AB1500" s="66"/>
      <c r="AC1500" s="66"/>
      <c r="AD1500" s="66"/>
      <c r="AE1500" s="66"/>
      <c r="AF1500" s="44"/>
      <c r="AG1500" s="254">
        <f>Prog_23[[#This Row],[SAÍDA DO CLIENTE]]-Prog_23[[#This Row],[PROGRAMAÇÃO CLIENTE]]</f>
        <v>0</v>
      </c>
      <c r="AH1500" s="44"/>
      <c r="AI1500" s="66"/>
      <c r="AJ1500" s="66"/>
      <c r="AK1500" s="66"/>
      <c r="AL1500" s="66"/>
      <c r="AM1500" s="66"/>
      <c r="AN1500" s="83"/>
      <c r="AO1500" s="83"/>
      <c r="AP1500" s="83"/>
      <c r="AQ1500" s="66"/>
      <c r="AR1500" s="66"/>
      <c r="AS1500" s="66"/>
      <c r="AT1500" s="81"/>
      <c r="AU1500" s="81"/>
      <c r="AV1500" s="81"/>
      <c r="AW1500" s="81"/>
      <c r="AX1500" s="83">
        <f>SUM(Prog_23[[#This Row],[ADIANTAMENTO]]+Prog_23[[#This Row],[SALDO]]+Prog_23[[#This Row],[MARGEM]]+Prog_23[[#This Row],[ESTADIA 1]])</f>
        <v>0</v>
      </c>
      <c r="AY15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0" s="81"/>
      <c r="BA1500" s="81"/>
      <c r="BB1500" s="81">
        <f>Prog_23[[#This Row],[VLR NF]]*0.1%</f>
        <v>0</v>
      </c>
      <c r="BC1500" s="81">
        <f>Prog_23[[#This Row],[VLR NF]]*0.05%</f>
        <v>0</v>
      </c>
      <c r="BD1500" s="81"/>
      <c r="BE1500" s="81"/>
      <c r="BF1500" s="81"/>
      <c r="BG1500" s="81"/>
      <c r="BH1500" s="81"/>
      <c r="BI1500" s="81"/>
      <c r="BJ1500" s="81"/>
      <c r="BK1500" s="81"/>
      <c r="BL1500" s="81"/>
      <c r="BM1500" s="81"/>
      <c r="BN1500" s="66"/>
      <c r="BO1500" s="66"/>
      <c r="BP1500" s="66"/>
      <c r="BQ1500" s="66" t="str">
        <f>PROPER(TEXT(Prog_23[[#This Row],[PROGRAMAÇÃO CLIENTE]],"mmm"))</f>
        <v>Jan</v>
      </c>
      <c r="BR1500" s="66">
        <f>YEAR(Prog_23[[#This Row],[PROGRAMAÇÃO CLIENTE]])</f>
        <v>1900</v>
      </c>
    </row>
    <row r="1501" spans="1:70" x14ac:dyDescent="0.25">
      <c r="A1501" s="200">
        <f>Prog_23[[#This Row],[CONTEINER]]</f>
        <v>0</v>
      </c>
      <c r="B1501" s="86"/>
      <c r="C15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01" s="44"/>
      <c r="E1501" s="66"/>
      <c r="F1501" s="66"/>
      <c r="G1501" s="66"/>
      <c r="H1501" s="44"/>
      <c r="I1501" s="44"/>
      <c r="J1501" s="66"/>
      <c r="K1501" s="66"/>
      <c r="L1501" s="66"/>
      <c r="M1501" s="66"/>
      <c r="N1501" s="66">
        <f>SUM(Prog_23[[#This Row],[TARA]]+Prog_23[[#This Row],[PESO]])</f>
        <v>0</v>
      </c>
      <c r="O1501" s="44"/>
      <c r="P1501" s="66"/>
      <c r="Q1501" s="66"/>
      <c r="R1501" s="66"/>
      <c r="S1501" s="66"/>
      <c r="T1501" s="138" t="str">
        <f>IFERROR(LOOKUP($S1501,MOTORISTAS!$D$3:$D$916,MOTORISTAS!E$3:$E$916),"")</f>
        <v/>
      </c>
      <c r="U1501" s="138" t="str">
        <f>IFERROR(LOOKUP($S1501,MOTORISTAS!$D$3:$D$916,MOTORISTAS!F$3:$F$916),"")</f>
        <v/>
      </c>
      <c r="V1501" s="66"/>
      <c r="W1501" s="66"/>
      <c r="X1501" s="66"/>
      <c r="Y1501" s="66"/>
      <c r="Z1501" s="66"/>
      <c r="AA1501" s="66"/>
      <c r="AB1501" s="66"/>
      <c r="AC1501" s="66"/>
      <c r="AD1501" s="66"/>
      <c r="AE1501" s="66"/>
      <c r="AF1501" s="44"/>
      <c r="AG1501" s="254">
        <f>Prog_23[[#This Row],[SAÍDA DO CLIENTE]]-Prog_23[[#This Row],[PROGRAMAÇÃO CLIENTE]]</f>
        <v>0</v>
      </c>
      <c r="AH1501" s="44"/>
      <c r="AI1501" s="66"/>
      <c r="AJ1501" s="66"/>
      <c r="AK1501" s="66"/>
      <c r="AL1501" s="66"/>
      <c r="AM1501" s="66"/>
      <c r="AN1501" s="83"/>
      <c r="AO1501" s="83"/>
      <c r="AP1501" s="83"/>
      <c r="AQ1501" s="66"/>
      <c r="AR1501" s="66"/>
      <c r="AS1501" s="66"/>
      <c r="AT1501" s="81"/>
      <c r="AU1501" s="81"/>
      <c r="AV1501" s="81"/>
      <c r="AW1501" s="81"/>
      <c r="AX1501" s="83">
        <f>SUM(Prog_23[[#This Row],[ADIANTAMENTO]]+Prog_23[[#This Row],[SALDO]]+Prog_23[[#This Row],[MARGEM]]+Prog_23[[#This Row],[ESTADIA 1]])</f>
        <v>0</v>
      </c>
      <c r="AY15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1" s="81"/>
      <c r="BA1501" s="81"/>
      <c r="BB1501" s="81">
        <f>Prog_23[[#This Row],[VLR NF]]*0.1%</f>
        <v>0</v>
      </c>
      <c r="BC1501" s="81">
        <f>Prog_23[[#This Row],[VLR NF]]*0.05%</f>
        <v>0</v>
      </c>
      <c r="BD1501" s="81"/>
      <c r="BE1501" s="81"/>
      <c r="BF1501" s="81"/>
      <c r="BG1501" s="81"/>
      <c r="BH1501" s="81"/>
      <c r="BI1501" s="81"/>
      <c r="BJ1501" s="81"/>
      <c r="BK1501" s="81"/>
      <c r="BL1501" s="81"/>
      <c r="BM1501" s="81"/>
      <c r="BN1501" s="66"/>
      <c r="BO1501" s="66"/>
      <c r="BP1501" s="66"/>
      <c r="BQ1501" s="66" t="str">
        <f>PROPER(TEXT(Prog_23[[#This Row],[PROGRAMAÇÃO CLIENTE]],"mmm"))</f>
        <v>Jan</v>
      </c>
      <c r="BR1501" s="66">
        <f>YEAR(Prog_23[[#This Row],[PROGRAMAÇÃO CLIENTE]])</f>
        <v>1900</v>
      </c>
    </row>
    <row r="1502" spans="1:70" x14ac:dyDescent="0.25">
      <c r="A1502" s="201">
        <f>Prog_23[[#This Row],[CONTEINER]]</f>
        <v>0</v>
      </c>
      <c r="B1502" s="86"/>
      <c r="C15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02" s="44"/>
      <c r="E1502" s="66"/>
      <c r="F1502" s="66"/>
      <c r="G1502" s="66"/>
      <c r="H1502" s="44"/>
      <c r="I1502" s="44"/>
      <c r="J1502" s="66"/>
      <c r="K1502" s="66"/>
      <c r="L1502" s="66"/>
      <c r="M1502" s="66"/>
      <c r="N1502" s="66">
        <f>SUM(Prog_23[[#This Row],[TARA]]+Prog_23[[#This Row],[PESO]])</f>
        <v>0</v>
      </c>
      <c r="O1502" s="44"/>
      <c r="P1502" s="66"/>
      <c r="Q1502" s="66"/>
      <c r="R1502" s="66"/>
      <c r="S1502" s="66"/>
      <c r="T1502" s="138" t="str">
        <f>IFERROR(LOOKUP($S1502,MOTORISTAS!$D$3:$D$916,MOTORISTAS!E$3:$E$916),"")</f>
        <v/>
      </c>
      <c r="U1502" s="138" t="str">
        <f>IFERROR(LOOKUP($S1502,MOTORISTAS!$D$3:$D$916,MOTORISTAS!F$3:$F$916),"")</f>
        <v/>
      </c>
      <c r="V1502" s="66"/>
      <c r="W1502" s="66"/>
      <c r="X1502" s="66"/>
      <c r="Y1502" s="66"/>
      <c r="Z1502" s="66"/>
      <c r="AA1502" s="66"/>
      <c r="AB1502" s="66"/>
      <c r="AC1502" s="66"/>
      <c r="AD1502" s="66"/>
      <c r="AE1502" s="66"/>
      <c r="AF1502" s="44"/>
      <c r="AG1502" s="254">
        <f>Prog_23[[#This Row],[SAÍDA DO CLIENTE]]-Prog_23[[#This Row],[PROGRAMAÇÃO CLIENTE]]</f>
        <v>0</v>
      </c>
      <c r="AH1502" s="44"/>
      <c r="AI1502" s="66"/>
      <c r="AJ1502" s="66"/>
      <c r="AK1502" s="66"/>
      <c r="AL1502" s="66"/>
      <c r="AM1502" s="66"/>
      <c r="AN1502" s="83"/>
      <c r="AO1502" s="83"/>
      <c r="AP1502" s="83"/>
      <c r="AQ1502" s="66"/>
      <c r="AR1502" s="66"/>
      <c r="AS1502" s="66"/>
      <c r="AT1502" s="81"/>
      <c r="AU1502" s="81"/>
      <c r="AV1502" s="81"/>
      <c r="AW1502" s="81"/>
      <c r="AX1502" s="83">
        <f>SUM(Prog_23[[#This Row],[ADIANTAMENTO]]+Prog_23[[#This Row],[SALDO]]+Prog_23[[#This Row],[MARGEM]]+Prog_23[[#This Row],[ESTADIA 1]])</f>
        <v>0</v>
      </c>
      <c r="AY15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2" s="81"/>
      <c r="BA1502" s="81"/>
      <c r="BB1502" s="81">
        <f>Prog_23[[#This Row],[VLR NF]]*0.1%</f>
        <v>0</v>
      </c>
      <c r="BC1502" s="81">
        <f>Prog_23[[#This Row],[VLR NF]]*0.05%</f>
        <v>0</v>
      </c>
      <c r="BD1502" s="81"/>
      <c r="BE1502" s="81"/>
      <c r="BF1502" s="81"/>
      <c r="BG1502" s="81"/>
      <c r="BH1502" s="81"/>
      <c r="BI1502" s="81"/>
      <c r="BJ1502" s="81"/>
      <c r="BK1502" s="81"/>
      <c r="BL1502" s="81"/>
      <c r="BM1502" s="81"/>
      <c r="BN1502" s="66"/>
      <c r="BO1502" s="66"/>
      <c r="BP1502" s="66"/>
      <c r="BQ1502" s="66" t="str">
        <f>PROPER(TEXT(Prog_23[[#This Row],[PROGRAMAÇÃO CLIENTE]],"mmm"))</f>
        <v>Jan</v>
      </c>
      <c r="BR1502" s="66">
        <f>YEAR(Prog_23[[#This Row],[PROGRAMAÇÃO CLIENTE]])</f>
        <v>1900</v>
      </c>
    </row>
    <row r="1503" spans="1:70" x14ac:dyDescent="0.25">
      <c r="A1503" s="200">
        <f>Prog_23[[#This Row],[CONTEINER]]</f>
        <v>0</v>
      </c>
      <c r="B1503" s="86"/>
      <c r="C15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03" s="44"/>
      <c r="E1503" s="66"/>
      <c r="F1503" s="66"/>
      <c r="G1503" s="66"/>
      <c r="H1503" s="44"/>
      <c r="I1503" s="44"/>
      <c r="J1503" s="66"/>
      <c r="K1503" s="66"/>
      <c r="L1503" s="66"/>
      <c r="M1503" s="66"/>
      <c r="N1503" s="66">
        <f>SUM(Prog_23[[#This Row],[TARA]]+Prog_23[[#This Row],[PESO]])</f>
        <v>0</v>
      </c>
      <c r="O1503" s="44"/>
      <c r="P1503" s="66"/>
      <c r="Q1503" s="66"/>
      <c r="R1503" s="66"/>
      <c r="S1503" s="66"/>
      <c r="T1503" s="138" t="str">
        <f>IFERROR(LOOKUP($S1503,MOTORISTAS!$D$3:$D$916,MOTORISTAS!E$3:$E$916),"")</f>
        <v/>
      </c>
      <c r="U1503" s="138" t="str">
        <f>IFERROR(LOOKUP($S1503,MOTORISTAS!$D$3:$D$916,MOTORISTAS!F$3:$F$916),"")</f>
        <v/>
      </c>
      <c r="V1503" s="66"/>
      <c r="W1503" s="66"/>
      <c r="X1503" s="66"/>
      <c r="Y1503" s="66"/>
      <c r="Z1503" s="66"/>
      <c r="AA1503" s="66"/>
      <c r="AB1503" s="66"/>
      <c r="AC1503" s="66"/>
      <c r="AD1503" s="66"/>
      <c r="AE1503" s="66"/>
      <c r="AF1503" s="44"/>
      <c r="AG1503" s="254">
        <f>Prog_23[[#This Row],[SAÍDA DO CLIENTE]]-Prog_23[[#This Row],[PROGRAMAÇÃO CLIENTE]]</f>
        <v>0</v>
      </c>
      <c r="AH1503" s="44"/>
      <c r="AI1503" s="66"/>
      <c r="AJ1503" s="66"/>
      <c r="AK1503" s="66"/>
      <c r="AL1503" s="66"/>
      <c r="AM1503" s="66"/>
      <c r="AN1503" s="83"/>
      <c r="AO1503" s="83"/>
      <c r="AP1503" s="83"/>
      <c r="AQ1503" s="66"/>
      <c r="AR1503" s="66"/>
      <c r="AS1503" s="66"/>
      <c r="AT1503" s="81"/>
      <c r="AU1503" s="81"/>
      <c r="AV1503" s="81"/>
      <c r="AW1503" s="81"/>
      <c r="AX1503" s="83">
        <f>SUM(Prog_23[[#This Row],[ADIANTAMENTO]]+Prog_23[[#This Row],[SALDO]]+Prog_23[[#This Row],[MARGEM]]+Prog_23[[#This Row],[ESTADIA 1]])</f>
        <v>0</v>
      </c>
      <c r="AY15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3" s="81"/>
      <c r="BA1503" s="81"/>
      <c r="BB1503" s="81">
        <f>Prog_23[[#This Row],[VLR NF]]*0.1%</f>
        <v>0</v>
      </c>
      <c r="BC1503" s="81">
        <f>Prog_23[[#This Row],[VLR NF]]*0.05%</f>
        <v>0</v>
      </c>
      <c r="BD1503" s="81"/>
      <c r="BE1503" s="81"/>
      <c r="BF1503" s="81"/>
      <c r="BG1503" s="81"/>
      <c r="BH1503" s="81"/>
      <c r="BI1503" s="81"/>
      <c r="BJ1503" s="81"/>
      <c r="BK1503" s="81"/>
      <c r="BL1503" s="81"/>
      <c r="BM1503" s="81"/>
      <c r="BN1503" s="66"/>
      <c r="BO1503" s="66"/>
      <c r="BP1503" s="66"/>
      <c r="BQ1503" s="66" t="str">
        <f>PROPER(TEXT(Prog_23[[#This Row],[PROGRAMAÇÃO CLIENTE]],"mmm"))</f>
        <v>Jan</v>
      </c>
      <c r="BR1503" s="66">
        <f>YEAR(Prog_23[[#This Row],[PROGRAMAÇÃO CLIENTE]])</f>
        <v>1900</v>
      </c>
    </row>
    <row r="1504" spans="1:70" x14ac:dyDescent="0.25">
      <c r="A1504" s="201">
        <f>Prog_23[[#This Row],[CONTEINER]]</f>
        <v>0</v>
      </c>
      <c r="B1504" s="86"/>
      <c r="C15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04" s="44"/>
      <c r="E1504" s="66"/>
      <c r="F1504" s="66"/>
      <c r="G1504" s="66"/>
      <c r="H1504" s="44"/>
      <c r="I1504" s="44"/>
      <c r="J1504" s="66"/>
      <c r="K1504" s="66"/>
      <c r="L1504" s="66"/>
      <c r="M1504" s="66"/>
      <c r="N1504" s="66">
        <f>SUM(Prog_23[[#This Row],[TARA]]+Prog_23[[#This Row],[PESO]])</f>
        <v>0</v>
      </c>
      <c r="O1504" s="44"/>
      <c r="P1504" s="66"/>
      <c r="Q1504" s="66"/>
      <c r="R1504" s="66"/>
      <c r="S1504" s="66"/>
      <c r="T1504" s="138" t="str">
        <f>IFERROR(LOOKUP($S1504,MOTORISTAS!$D$3:$D$916,MOTORISTAS!E$3:$E$916),"")</f>
        <v/>
      </c>
      <c r="U1504" s="138" t="str">
        <f>IFERROR(LOOKUP($S1504,MOTORISTAS!$D$3:$D$916,MOTORISTAS!F$3:$F$916),"")</f>
        <v/>
      </c>
      <c r="V1504" s="66"/>
      <c r="W1504" s="66"/>
      <c r="X1504" s="66"/>
      <c r="Y1504" s="66"/>
      <c r="Z1504" s="66"/>
      <c r="AA1504" s="66"/>
      <c r="AB1504" s="66"/>
      <c r="AC1504" s="66"/>
      <c r="AD1504" s="66"/>
      <c r="AE1504" s="66"/>
      <c r="AF1504" s="44"/>
      <c r="AG1504" s="254">
        <f>Prog_23[[#This Row],[SAÍDA DO CLIENTE]]-Prog_23[[#This Row],[PROGRAMAÇÃO CLIENTE]]</f>
        <v>0</v>
      </c>
      <c r="AH1504" s="44"/>
      <c r="AI1504" s="66"/>
      <c r="AJ1504" s="66"/>
      <c r="AK1504" s="66"/>
      <c r="AL1504" s="66"/>
      <c r="AM1504" s="66"/>
      <c r="AN1504" s="83"/>
      <c r="AO1504" s="83"/>
      <c r="AP1504" s="83"/>
      <c r="AQ1504" s="66"/>
      <c r="AR1504" s="66"/>
      <c r="AS1504" s="66"/>
      <c r="AT1504" s="81"/>
      <c r="AU1504" s="81"/>
      <c r="AV1504" s="81"/>
      <c r="AW1504" s="81"/>
      <c r="AX1504" s="83">
        <f>SUM(Prog_23[[#This Row],[ADIANTAMENTO]]+Prog_23[[#This Row],[SALDO]]+Prog_23[[#This Row],[MARGEM]]+Prog_23[[#This Row],[ESTADIA 1]])</f>
        <v>0</v>
      </c>
      <c r="AY15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4" s="81"/>
      <c r="BA1504" s="81"/>
      <c r="BB1504" s="81">
        <f>Prog_23[[#This Row],[VLR NF]]*0.1%</f>
        <v>0</v>
      </c>
      <c r="BC1504" s="81">
        <f>Prog_23[[#This Row],[VLR NF]]*0.05%</f>
        <v>0</v>
      </c>
      <c r="BD1504" s="81"/>
      <c r="BE1504" s="81"/>
      <c r="BF1504" s="81"/>
      <c r="BG1504" s="81"/>
      <c r="BH1504" s="81"/>
      <c r="BI1504" s="81"/>
      <c r="BJ1504" s="81"/>
      <c r="BK1504" s="81"/>
      <c r="BL1504" s="81"/>
      <c r="BM1504" s="81"/>
      <c r="BN1504" s="66"/>
      <c r="BO1504" s="66"/>
      <c r="BP1504" s="66"/>
      <c r="BQ1504" s="66" t="str">
        <f>PROPER(TEXT(Prog_23[[#This Row],[PROGRAMAÇÃO CLIENTE]],"mmm"))</f>
        <v>Jan</v>
      </c>
      <c r="BR1504" s="66">
        <f>YEAR(Prog_23[[#This Row],[PROGRAMAÇÃO CLIENTE]])</f>
        <v>1900</v>
      </c>
    </row>
    <row r="1505" spans="1:70" x14ac:dyDescent="0.25">
      <c r="A1505" s="200">
        <f>Prog_23[[#This Row],[CONTEINER]]</f>
        <v>0</v>
      </c>
      <c r="B1505" s="86"/>
      <c r="C15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05" s="44"/>
      <c r="E1505" s="66"/>
      <c r="F1505" s="66"/>
      <c r="G1505" s="66"/>
      <c r="H1505" s="44"/>
      <c r="I1505" s="44"/>
      <c r="J1505" s="66"/>
      <c r="K1505" s="66"/>
      <c r="L1505" s="66"/>
      <c r="M1505" s="66"/>
      <c r="N1505" s="66">
        <f>SUM(Prog_23[[#This Row],[TARA]]+Prog_23[[#This Row],[PESO]])</f>
        <v>0</v>
      </c>
      <c r="O1505" s="44"/>
      <c r="P1505" s="66"/>
      <c r="Q1505" s="66"/>
      <c r="R1505" s="66"/>
      <c r="S1505" s="66"/>
      <c r="T1505" s="138" t="str">
        <f>IFERROR(LOOKUP($S1505,MOTORISTAS!$D$3:$D$916,MOTORISTAS!E$3:$E$916),"")</f>
        <v/>
      </c>
      <c r="U1505" s="138" t="str">
        <f>IFERROR(LOOKUP($S1505,MOTORISTAS!$D$3:$D$916,MOTORISTAS!F$3:$F$916),"")</f>
        <v/>
      </c>
      <c r="V1505" s="66"/>
      <c r="W1505" s="66"/>
      <c r="X1505" s="66"/>
      <c r="Y1505" s="66"/>
      <c r="Z1505" s="66"/>
      <c r="AA1505" s="66"/>
      <c r="AB1505" s="66"/>
      <c r="AC1505" s="66"/>
      <c r="AD1505" s="66"/>
      <c r="AE1505" s="66"/>
      <c r="AF1505" s="44"/>
      <c r="AG1505" s="254">
        <f>Prog_23[[#This Row],[SAÍDA DO CLIENTE]]-Prog_23[[#This Row],[PROGRAMAÇÃO CLIENTE]]</f>
        <v>0</v>
      </c>
      <c r="AH1505" s="44"/>
      <c r="AI1505" s="66"/>
      <c r="AJ1505" s="66"/>
      <c r="AK1505" s="66"/>
      <c r="AL1505" s="66"/>
      <c r="AM1505" s="66"/>
      <c r="AN1505" s="83"/>
      <c r="AO1505" s="83"/>
      <c r="AP1505" s="83"/>
      <c r="AQ1505" s="66"/>
      <c r="AR1505" s="66"/>
      <c r="AS1505" s="66"/>
      <c r="AT1505" s="81"/>
      <c r="AU1505" s="81"/>
      <c r="AV1505" s="81"/>
      <c r="AW1505" s="81"/>
      <c r="AX1505" s="83">
        <f>SUM(Prog_23[[#This Row],[ADIANTAMENTO]]+Prog_23[[#This Row],[SALDO]]+Prog_23[[#This Row],[MARGEM]]+Prog_23[[#This Row],[ESTADIA 1]])</f>
        <v>0</v>
      </c>
      <c r="AY15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5" s="81"/>
      <c r="BA1505" s="81"/>
      <c r="BB1505" s="81">
        <f>Prog_23[[#This Row],[VLR NF]]*0.1%</f>
        <v>0</v>
      </c>
      <c r="BC1505" s="81">
        <f>Prog_23[[#This Row],[VLR NF]]*0.05%</f>
        <v>0</v>
      </c>
      <c r="BD1505" s="81"/>
      <c r="BE1505" s="81"/>
      <c r="BF1505" s="81"/>
      <c r="BG1505" s="81"/>
      <c r="BH1505" s="81"/>
      <c r="BI1505" s="81"/>
      <c r="BJ1505" s="81"/>
      <c r="BK1505" s="81"/>
      <c r="BL1505" s="81"/>
      <c r="BM1505" s="81"/>
      <c r="BN1505" s="66"/>
      <c r="BO1505" s="66"/>
      <c r="BP1505" s="66"/>
      <c r="BQ1505" s="66" t="str">
        <f>PROPER(TEXT(Prog_23[[#This Row],[PROGRAMAÇÃO CLIENTE]],"mmm"))</f>
        <v>Jan</v>
      </c>
      <c r="BR1505" s="66">
        <f>YEAR(Prog_23[[#This Row],[PROGRAMAÇÃO CLIENTE]])</f>
        <v>1900</v>
      </c>
    </row>
    <row r="1506" spans="1:70" x14ac:dyDescent="0.25">
      <c r="A1506" s="201">
        <f>Prog_23[[#This Row],[CONTEINER]]</f>
        <v>0</v>
      </c>
      <c r="B1506" s="86"/>
      <c r="C15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06" s="44"/>
      <c r="E1506" s="66"/>
      <c r="F1506" s="66"/>
      <c r="G1506" s="66"/>
      <c r="H1506" s="44"/>
      <c r="I1506" s="44"/>
      <c r="J1506" s="66"/>
      <c r="K1506" s="66"/>
      <c r="L1506" s="66"/>
      <c r="M1506" s="66"/>
      <c r="N1506" s="66">
        <f>SUM(Prog_23[[#This Row],[TARA]]+Prog_23[[#This Row],[PESO]])</f>
        <v>0</v>
      </c>
      <c r="O1506" s="44"/>
      <c r="P1506" s="66"/>
      <c r="Q1506" s="66"/>
      <c r="R1506" s="66"/>
      <c r="S1506" s="66"/>
      <c r="T1506" s="138" t="str">
        <f>IFERROR(LOOKUP($S1506,MOTORISTAS!$D$3:$D$916,MOTORISTAS!E$3:$E$916),"")</f>
        <v/>
      </c>
      <c r="U1506" s="138" t="str">
        <f>IFERROR(LOOKUP($S1506,MOTORISTAS!$D$3:$D$916,MOTORISTAS!F$3:$F$916),"")</f>
        <v/>
      </c>
      <c r="V1506" s="66"/>
      <c r="W1506" s="66"/>
      <c r="X1506" s="66"/>
      <c r="Y1506" s="66"/>
      <c r="Z1506" s="66"/>
      <c r="AA1506" s="66"/>
      <c r="AB1506" s="66"/>
      <c r="AC1506" s="66"/>
      <c r="AD1506" s="66"/>
      <c r="AE1506" s="66"/>
      <c r="AF1506" s="44"/>
      <c r="AG1506" s="254">
        <f>Prog_23[[#This Row],[SAÍDA DO CLIENTE]]-Prog_23[[#This Row],[PROGRAMAÇÃO CLIENTE]]</f>
        <v>0</v>
      </c>
      <c r="AH1506" s="44"/>
      <c r="AI1506" s="66"/>
      <c r="AJ1506" s="66"/>
      <c r="AK1506" s="66"/>
      <c r="AL1506" s="66"/>
      <c r="AM1506" s="66"/>
      <c r="AN1506" s="83"/>
      <c r="AO1506" s="83"/>
      <c r="AP1506" s="83"/>
      <c r="AQ1506" s="66"/>
      <c r="AR1506" s="66"/>
      <c r="AS1506" s="66"/>
      <c r="AT1506" s="81"/>
      <c r="AU1506" s="81"/>
      <c r="AV1506" s="81"/>
      <c r="AW1506" s="81"/>
      <c r="AX1506" s="83">
        <f>SUM(Prog_23[[#This Row],[ADIANTAMENTO]]+Prog_23[[#This Row],[SALDO]]+Prog_23[[#This Row],[MARGEM]]+Prog_23[[#This Row],[ESTADIA 1]])</f>
        <v>0</v>
      </c>
      <c r="AY15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6" s="81"/>
      <c r="BA1506" s="81"/>
      <c r="BB1506" s="81">
        <f>Prog_23[[#This Row],[VLR NF]]*0.1%</f>
        <v>0</v>
      </c>
      <c r="BC1506" s="81">
        <f>Prog_23[[#This Row],[VLR NF]]*0.05%</f>
        <v>0</v>
      </c>
      <c r="BD1506" s="81"/>
      <c r="BE1506" s="81"/>
      <c r="BF1506" s="81"/>
      <c r="BG1506" s="81"/>
      <c r="BH1506" s="81"/>
      <c r="BI1506" s="81"/>
      <c r="BJ1506" s="81"/>
      <c r="BK1506" s="81"/>
      <c r="BL1506" s="81"/>
      <c r="BM1506" s="81"/>
      <c r="BN1506" s="66"/>
      <c r="BO1506" s="66"/>
      <c r="BP1506" s="66"/>
      <c r="BQ1506" s="66" t="str">
        <f>PROPER(TEXT(Prog_23[[#This Row],[PROGRAMAÇÃO CLIENTE]],"mmm"))</f>
        <v>Jan</v>
      </c>
      <c r="BR1506" s="66">
        <f>YEAR(Prog_23[[#This Row],[PROGRAMAÇÃO CLIENTE]])</f>
        <v>1900</v>
      </c>
    </row>
    <row r="1507" spans="1:70" x14ac:dyDescent="0.25">
      <c r="A1507" s="200">
        <f>Prog_23[[#This Row],[CONTEINER]]</f>
        <v>0</v>
      </c>
      <c r="B1507" s="86"/>
      <c r="C15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07" s="44"/>
      <c r="E1507" s="66"/>
      <c r="F1507" s="66"/>
      <c r="G1507" s="66"/>
      <c r="H1507" s="44"/>
      <c r="I1507" s="44"/>
      <c r="J1507" s="66"/>
      <c r="K1507" s="66"/>
      <c r="L1507" s="66"/>
      <c r="M1507" s="66"/>
      <c r="N1507" s="66">
        <f>SUM(Prog_23[[#This Row],[TARA]]+Prog_23[[#This Row],[PESO]])</f>
        <v>0</v>
      </c>
      <c r="O1507" s="44"/>
      <c r="P1507" s="66"/>
      <c r="Q1507" s="66"/>
      <c r="R1507" s="66"/>
      <c r="S1507" s="66"/>
      <c r="T1507" s="138" t="str">
        <f>IFERROR(LOOKUP($S1507,MOTORISTAS!$D$3:$D$916,MOTORISTAS!E$3:$E$916),"")</f>
        <v/>
      </c>
      <c r="U1507" s="138" t="str">
        <f>IFERROR(LOOKUP($S1507,MOTORISTAS!$D$3:$D$916,MOTORISTAS!F$3:$F$916),"")</f>
        <v/>
      </c>
      <c r="V1507" s="66"/>
      <c r="W1507" s="66"/>
      <c r="X1507" s="66"/>
      <c r="Y1507" s="66"/>
      <c r="Z1507" s="66"/>
      <c r="AA1507" s="66"/>
      <c r="AB1507" s="66"/>
      <c r="AC1507" s="66"/>
      <c r="AD1507" s="66"/>
      <c r="AE1507" s="66"/>
      <c r="AF1507" s="44"/>
      <c r="AG1507" s="254">
        <f>Prog_23[[#This Row],[SAÍDA DO CLIENTE]]-Prog_23[[#This Row],[PROGRAMAÇÃO CLIENTE]]</f>
        <v>0</v>
      </c>
      <c r="AH1507" s="44"/>
      <c r="AI1507" s="66"/>
      <c r="AJ1507" s="66"/>
      <c r="AK1507" s="66"/>
      <c r="AL1507" s="66"/>
      <c r="AM1507" s="66"/>
      <c r="AN1507" s="83"/>
      <c r="AO1507" s="83"/>
      <c r="AP1507" s="83"/>
      <c r="AQ1507" s="66"/>
      <c r="AR1507" s="66"/>
      <c r="AS1507" s="66"/>
      <c r="AT1507" s="81"/>
      <c r="AU1507" s="81"/>
      <c r="AV1507" s="81"/>
      <c r="AW1507" s="81"/>
      <c r="AX1507" s="83">
        <f>SUM(Prog_23[[#This Row],[ADIANTAMENTO]]+Prog_23[[#This Row],[SALDO]]+Prog_23[[#This Row],[MARGEM]]+Prog_23[[#This Row],[ESTADIA 1]])</f>
        <v>0</v>
      </c>
      <c r="AY15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7" s="81"/>
      <c r="BA1507" s="81"/>
      <c r="BB1507" s="81">
        <f>Prog_23[[#This Row],[VLR NF]]*0.1%</f>
        <v>0</v>
      </c>
      <c r="BC1507" s="81">
        <f>Prog_23[[#This Row],[VLR NF]]*0.05%</f>
        <v>0</v>
      </c>
      <c r="BD1507" s="81"/>
      <c r="BE1507" s="81"/>
      <c r="BF1507" s="81"/>
      <c r="BG1507" s="81"/>
      <c r="BH1507" s="81"/>
      <c r="BI1507" s="81"/>
      <c r="BJ1507" s="81"/>
      <c r="BK1507" s="81"/>
      <c r="BL1507" s="81"/>
      <c r="BM1507" s="81"/>
      <c r="BN1507" s="66"/>
      <c r="BO1507" s="66"/>
      <c r="BP1507" s="66"/>
      <c r="BQ1507" s="66" t="str">
        <f>PROPER(TEXT(Prog_23[[#This Row],[PROGRAMAÇÃO CLIENTE]],"mmm"))</f>
        <v>Jan</v>
      </c>
      <c r="BR1507" s="66">
        <f>YEAR(Prog_23[[#This Row],[PROGRAMAÇÃO CLIENTE]])</f>
        <v>1900</v>
      </c>
    </row>
    <row r="1508" spans="1:70" x14ac:dyDescent="0.25">
      <c r="A1508" s="201">
        <f>Prog_23[[#This Row],[CONTEINER]]</f>
        <v>0</v>
      </c>
      <c r="B1508" s="86"/>
      <c r="C15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08" s="44"/>
      <c r="E1508" s="66"/>
      <c r="F1508" s="66"/>
      <c r="G1508" s="66"/>
      <c r="H1508" s="44"/>
      <c r="I1508" s="44"/>
      <c r="J1508" s="66"/>
      <c r="K1508" s="66"/>
      <c r="L1508" s="66"/>
      <c r="M1508" s="66"/>
      <c r="N1508" s="66">
        <f>SUM(Prog_23[[#This Row],[TARA]]+Prog_23[[#This Row],[PESO]])</f>
        <v>0</v>
      </c>
      <c r="O1508" s="44"/>
      <c r="P1508" s="66"/>
      <c r="Q1508" s="66"/>
      <c r="R1508" s="66"/>
      <c r="S1508" s="66"/>
      <c r="T1508" s="138" t="str">
        <f>IFERROR(LOOKUP($S1508,MOTORISTAS!$D$3:$D$916,MOTORISTAS!E$3:$E$916),"")</f>
        <v/>
      </c>
      <c r="U1508" s="138" t="str">
        <f>IFERROR(LOOKUP($S1508,MOTORISTAS!$D$3:$D$916,MOTORISTAS!F$3:$F$916),"")</f>
        <v/>
      </c>
      <c r="V1508" s="66"/>
      <c r="W1508" s="66"/>
      <c r="X1508" s="66"/>
      <c r="Y1508" s="66"/>
      <c r="Z1508" s="66"/>
      <c r="AA1508" s="66"/>
      <c r="AB1508" s="66"/>
      <c r="AC1508" s="66"/>
      <c r="AD1508" s="66"/>
      <c r="AE1508" s="66"/>
      <c r="AF1508" s="44"/>
      <c r="AG1508" s="254">
        <f>Prog_23[[#This Row],[SAÍDA DO CLIENTE]]-Prog_23[[#This Row],[PROGRAMAÇÃO CLIENTE]]</f>
        <v>0</v>
      </c>
      <c r="AH1508" s="44"/>
      <c r="AI1508" s="66"/>
      <c r="AJ1508" s="66"/>
      <c r="AK1508" s="66"/>
      <c r="AL1508" s="66"/>
      <c r="AM1508" s="66"/>
      <c r="AN1508" s="83"/>
      <c r="AO1508" s="83"/>
      <c r="AP1508" s="83"/>
      <c r="AQ1508" s="66"/>
      <c r="AR1508" s="66"/>
      <c r="AS1508" s="66"/>
      <c r="AT1508" s="81"/>
      <c r="AU1508" s="81"/>
      <c r="AV1508" s="81"/>
      <c r="AW1508" s="81"/>
      <c r="AX1508" s="83">
        <f>SUM(Prog_23[[#This Row],[ADIANTAMENTO]]+Prog_23[[#This Row],[SALDO]]+Prog_23[[#This Row],[MARGEM]]+Prog_23[[#This Row],[ESTADIA 1]])</f>
        <v>0</v>
      </c>
      <c r="AY15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8" s="81"/>
      <c r="BA1508" s="81"/>
      <c r="BB1508" s="81">
        <f>Prog_23[[#This Row],[VLR NF]]*0.1%</f>
        <v>0</v>
      </c>
      <c r="BC1508" s="81">
        <f>Prog_23[[#This Row],[VLR NF]]*0.05%</f>
        <v>0</v>
      </c>
      <c r="BD1508" s="81"/>
      <c r="BE1508" s="81"/>
      <c r="BF1508" s="81"/>
      <c r="BG1508" s="81"/>
      <c r="BH1508" s="81"/>
      <c r="BI1508" s="81"/>
      <c r="BJ1508" s="81"/>
      <c r="BK1508" s="81"/>
      <c r="BL1508" s="81"/>
      <c r="BM1508" s="81"/>
      <c r="BN1508" s="66"/>
      <c r="BO1508" s="66"/>
      <c r="BP1508" s="66"/>
      <c r="BQ1508" s="66" t="str">
        <f>PROPER(TEXT(Prog_23[[#This Row],[PROGRAMAÇÃO CLIENTE]],"mmm"))</f>
        <v>Jan</v>
      </c>
      <c r="BR1508" s="66">
        <f>YEAR(Prog_23[[#This Row],[PROGRAMAÇÃO CLIENTE]])</f>
        <v>1900</v>
      </c>
    </row>
    <row r="1509" spans="1:70" x14ac:dyDescent="0.25">
      <c r="A1509" s="200">
        <f>Prog_23[[#This Row],[CONTEINER]]</f>
        <v>0</v>
      </c>
      <c r="B1509" s="86"/>
      <c r="C15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09" s="44"/>
      <c r="E1509" s="66"/>
      <c r="F1509" s="66"/>
      <c r="G1509" s="66"/>
      <c r="H1509" s="44"/>
      <c r="I1509" s="44"/>
      <c r="J1509" s="66"/>
      <c r="K1509" s="66"/>
      <c r="L1509" s="66"/>
      <c r="M1509" s="66"/>
      <c r="N1509" s="66">
        <f>SUM(Prog_23[[#This Row],[TARA]]+Prog_23[[#This Row],[PESO]])</f>
        <v>0</v>
      </c>
      <c r="O1509" s="44"/>
      <c r="P1509" s="66"/>
      <c r="Q1509" s="66"/>
      <c r="R1509" s="66"/>
      <c r="S1509" s="66"/>
      <c r="T1509" s="138" t="str">
        <f>IFERROR(LOOKUP($S1509,MOTORISTAS!$D$3:$D$916,MOTORISTAS!E$3:$E$916),"")</f>
        <v/>
      </c>
      <c r="U1509" s="138" t="str">
        <f>IFERROR(LOOKUP($S1509,MOTORISTAS!$D$3:$D$916,MOTORISTAS!F$3:$F$916),"")</f>
        <v/>
      </c>
      <c r="V1509" s="66"/>
      <c r="W1509" s="66"/>
      <c r="X1509" s="66"/>
      <c r="Y1509" s="66"/>
      <c r="Z1509" s="66"/>
      <c r="AA1509" s="66"/>
      <c r="AB1509" s="66"/>
      <c r="AC1509" s="66"/>
      <c r="AD1509" s="66"/>
      <c r="AE1509" s="66"/>
      <c r="AF1509" s="44"/>
      <c r="AG1509" s="254">
        <f>Prog_23[[#This Row],[SAÍDA DO CLIENTE]]-Prog_23[[#This Row],[PROGRAMAÇÃO CLIENTE]]</f>
        <v>0</v>
      </c>
      <c r="AH1509" s="44"/>
      <c r="AI1509" s="66"/>
      <c r="AJ1509" s="66"/>
      <c r="AK1509" s="66"/>
      <c r="AL1509" s="66"/>
      <c r="AM1509" s="66"/>
      <c r="AN1509" s="83"/>
      <c r="AO1509" s="83"/>
      <c r="AP1509" s="83"/>
      <c r="AQ1509" s="66"/>
      <c r="AR1509" s="66"/>
      <c r="AS1509" s="66"/>
      <c r="AT1509" s="81"/>
      <c r="AU1509" s="81"/>
      <c r="AV1509" s="81"/>
      <c r="AW1509" s="81"/>
      <c r="AX1509" s="83">
        <f>SUM(Prog_23[[#This Row],[ADIANTAMENTO]]+Prog_23[[#This Row],[SALDO]]+Prog_23[[#This Row],[MARGEM]]+Prog_23[[#This Row],[ESTADIA 1]])</f>
        <v>0</v>
      </c>
      <c r="AY15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09" s="81"/>
      <c r="BA1509" s="81"/>
      <c r="BB1509" s="81">
        <f>Prog_23[[#This Row],[VLR NF]]*0.1%</f>
        <v>0</v>
      </c>
      <c r="BC1509" s="81">
        <f>Prog_23[[#This Row],[VLR NF]]*0.05%</f>
        <v>0</v>
      </c>
      <c r="BD1509" s="81"/>
      <c r="BE1509" s="81"/>
      <c r="BF1509" s="81"/>
      <c r="BG1509" s="81"/>
      <c r="BH1509" s="81"/>
      <c r="BI1509" s="81"/>
      <c r="BJ1509" s="81"/>
      <c r="BK1509" s="81"/>
      <c r="BL1509" s="81"/>
      <c r="BM1509" s="81"/>
      <c r="BN1509" s="66"/>
      <c r="BO1509" s="66"/>
      <c r="BP1509" s="66"/>
      <c r="BQ1509" s="66" t="str">
        <f>PROPER(TEXT(Prog_23[[#This Row],[PROGRAMAÇÃO CLIENTE]],"mmm"))</f>
        <v>Jan</v>
      </c>
      <c r="BR1509" s="66">
        <f>YEAR(Prog_23[[#This Row],[PROGRAMAÇÃO CLIENTE]])</f>
        <v>1900</v>
      </c>
    </row>
    <row r="1510" spans="1:70" x14ac:dyDescent="0.25">
      <c r="A1510" s="201">
        <f>Prog_23[[#This Row],[CONTEINER]]</f>
        <v>0</v>
      </c>
      <c r="B1510" s="86"/>
      <c r="C15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10" s="44"/>
      <c r="E1510" s="66"/>
      <c r="F1510" s="66"/>
      <c r="G1510" s="66"/>
      <c r="H1510" s="44"/>
      <c r="I1510" s="44"/>
      <c r="J1510" s="66"/>
      <c r="K1510" s="66"/>
      <c r="L1510" s="66"/>
      <c r="M1510" s="66"/>
      <c r="N1510" s="66">
        <f>SUM(Prog_23[[#This Row],[TARA]]+Prog_23[[#This Row],[PESO]])</f>
        <v>0</v>
      </c>
      <c r="O1510" s="44"/>
      <c r="P1510" s="66"/>
      <c r="Q1510" s="66"/>
      <c r="R1510" s="66"/>
      <c r="S1510" s="66"/>
      <c r="T1510" s="138" t="str">
        <f>IFERROR(LOOKUP($S1510,MOTORISTAS!$D$3:$D$916,MOTORISTAS!E$3:$E$916),"")</f>
        <v/>
      </c>
      <c r="U1510" s="138" t="str">
        <f>IFERROR(LOOKUP($S1510,MOTORISTAS!$D$3:$D$916,MOTORISTAS!F$3:$F$916),"")</f>
        <v/>
      </c>
      <c r="V1510" s="66"/>
      <c r="W1510" s="66"/>
      <c r="X1510" s="66"/>
      <c r="Y1510" s="66"/>
      <c r="Z1510" s="66"/>
      <c r="AA1510" s="66"/>
      <c r="AB1510" s="66"/>
      <c r="AC1510" s="66"/>
      <c r="AD1510" s="66"/>
      <c r="AE1510" s="66"/>
      <c r="AF1510" s="44"/>
      <c r="AG1510" s="254">
        <f>Prog_23[[#This Row],[SAÍDA DO CLIENTE]]-Prog_23[[#This Row],[PROGRAMAÇÃO CLIENTE]]</f>
        <v>0</v>
      </c>
      <c r="AH1510" s="44"/>
      <c r="AI1510" s="66"/>
      <c r="AJ1510" s="66"/>
      <c r="AK1510" s="66"/>
      <c r="AL1510" s="66"/>
      <c r="AM1510" s="66"/>
      <c r="AN1510" s="83"/>
      <c r="AO1510" s="83"/>
      <c r="AP1510" s="83"/>
      <c r="AQ1510" s="66"/>
      <c r="AR1510" s="66"/>
      <c r="AS1510" s="66"/>
      <c r="AT1510" s="81"/>
      <c r="AU1510" s="81"/>
      <c r="AV1510" s="81"/>
      <c r="AW1510" s="81"/>
      <c r="AX1510" s="83">
        <f>SUM(Prog_23[[#This Row],[ADIANTAMENTO]]+Prog_23[[#This Row],[SALDO]]+Prog_23[[#This Row],[MARGEM]]+Prog_23[[#This Row],[ESTADIA 1]])</f>
        <v>0</v>
      </c>
      <c r="AY15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10" s="81"/>
      <c r="BA1510" s="81"/>
      <c r="BB1510" s="81">
        <f>Prog_23[[#This Row],[VLR NF]]*0.1%</f>
        <v>0</v>
      </c>
      <c r="BC1510" s="81">
        <f>Prog_23[[#This Row],[VLR NF]]*0.05%</f>
        <v>0</v>
      </c>
      <c r="BD1510" s="81"/>
      <c r="BE1510" s="81"/>
      <c r="BF1510" s="81"/>
      <c r="BG1510" s="81"/>
      <c r="BH1510" s="81"/>
      <c r="BI1510" s="81"/>
      <c r="BJ1510" s="81"/>
      <c r="BK1510" s="81"/>
      <c r="BL1510" s="81"/>
      <c r="BM1510" s="81"/>
      <c r="BN1510" s="66"/>
      <c r="BO1510" s="66"/>
      <c r="BP1510" s="66"/>
      <c r="BQ1510" s="66" t="str">
        <f>PROPER(TEXT(Prog_23[[#This Row],[PROGRAMAÇÃO CLIENTE]],"mmm"))</f>
        <v>Jan</v>
      </c>
      <c r="BR1510" s="66">
        <f>YEAR(Prog_23[[#This Row],[PROGRAMAÇÃO CLIENTE]])</f>
        <v>1900</v>
      </c>
    </row>
    <row r="1511" spans="1:70" x14ac:dyDescent="0.25">
      <c r="A1511" s="200">
        <f>Prog_23[[#This Row],[CONTEINER]]</f>
        <v>0</v>
      </c>
      <c r="B1511" s="86"/>
      <c r="C15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11" s="44"/>
      <c r="E1511" s="66"/>
      <c r="F1511" s="66"/>
      <c r="G1511" s="66"/>
      <c r="H1511" s="44"/>
      <c r="I1511" s="44"/>
      <c r="J1511" s="66"/>
      <c r="K1511" s="66"/>
      <c r="L1511" s="66"/>
      <c r="M1511" s="66"/>
      <c r="N1511" s="66">
        <f>SUM(Prog_23[[#This Row],[TARA]]+Prog_23[[#This Row],[PESO]])</f>
        <v>0</v>
      </c>
      <c r="O1511" s="44"/>
      <c r="P1511" s="66"/>
      <c r="Q1511" s="66"/>
      <c r="R1511" s="66"/>
      <c r="S1511" s="66"/>
      <c r="T1511" s="138" t="str">
        <f>IFERROR(LOOKUP($S1511,MOTORISTAS!$D$3:$D$916,MOTORISTAS!E$3:$E$916),"")</f>
        <v/>
      </c>
      <c r="U1511" s="138" t="str">
        <f>IFERROR(LOOKUP($S1511,MOTORISTAS!$D$3:$D$916,MOTORISTAS!F$3:$F$916),"")</f>
        <v/>
      </c>
      <c r="V1511" s="66"/>
      <c r="W1511" s="66"/>
      <c r="X1511" s="66"/>
      <c r="Y1511" s="66"/>
      <c r="Z1511" s="66"/>
      <c r="AA1511" s="66"/>
      <c r="AB1511" s="66"/>
      <c r="AC1511" s="66"/>
      <c r="AD1511" s="66"/>
      <c r="AE1511" s="66"/>
      <c r="AF1511" s="44"/>
      <c r="AG1511" s="254">
        <f>Prog_23[[#This Row],[SAÍDA DO CLIENTE]]-Prog_23[[#This Row],[PROGRAMAÇÃO CLIENTE]]</f>
        <v>0</v>
      </c>
      <c r="AH1511" s="44"/>
      <c r="AI1511" s="66"/>
      <c r="AJ1511" s="66"/>
      <c r="AK1511" s="66"/>
      <c r="AL1511" s="66"/>
      <c r="AM1511" s="66"/>
      <c r="AN1511" s="83"/>
      <c r="AO1511" s="83"/>
      <c r="AP1511" s="83"/>
      <c r="AQ1511" s="66"/>
      <c r="AR1511" s="66"/>
      <c r="AS1511" s="66"/>
      <c r="AT1511" s="81"/>
      <c r="AU1511" s="81"/>
      <c r="AV1511" s="81"/>
      <c r="AW1511" s="81"/>
      <c r="AX1511" s="83">
        <f>SUM(Prog_23[[#This Row],[ADIANTAMENTO]]+Prog_23[[#This Row],[SALDO]]+Prog_23[[#This Row],[MARGEM]]+Prog_23[[#This Row],[ESTADIA 1]])</f>
        <v>0</v>
      </c>
      <c r="AY15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11" s="81"/>
      <c r="BA1511" s="81"/>
      <c r="BB1511" s="81">
        <f>Prog_23[[#This Row],[VLR NF]]*0.1%</f>
        <v>0</v>
      </c>
      <c r="BC1511" s="81">
        <f>Prog_23[[#This Row],[VLR NF]]*0.05%</f>
        <v>0</v>
      </c>
      <c r="BD1511" s="81"/>
      <c r="BE1511" s="81"/>
      <c r="BF1511" s="81"/>
      <c r="BG1511" s="81"/>
      <c r="BH1511" s="81"/>
      <c r="BI1511" s="81"/>
      <c r="BJ1511" s="81"/>
      <c r="BK1511" s="81"/>
      <c r="BL1511" s="81"/>
      <c r="BM1511" s="81"/>
      <c r="BN1511" s="66"/>
      <c r="BO1511" s="66"/>
      <c r="BP1511" s="66"/>
      <c r="BQ1511" s="66" t="str">
        <f>PROPER(TEXT(Prog_23[[#This Row],[PROGRAMAÇÃO CLIENTE]],"mmm"))</f>
        <v>Jan</v>
      </c>
      <c r="BR1511" s="66">
        <f>YEAR(Prog_23[[#This Row],[PROGRAMAÇÃO CLIENTE]])</f>
        <v>1900</v>
      </c>
    </row>
    <row r="1512" spans="1:70" x14ac:dyDescent="0.25">
      <c r="A1512" s="201">
        <f>Prog_23[[#This Row],[CONTEINER]]</f>
        <v>0</v>
      </c>
      <c r="B1512" s="86"/>
      <c r="C15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12" s="44"/>
      <c r="E1512" s="66"/>
      <c r="F1512" s="66"/>
      <c r="G1512" s="66"/>
      <c r="H1512" s="44"/>
      <c r="I1512" s="44"/>
      <c r="J1512" s="66"/>
      <c r="K1512" s="66"/>
      <c r="L1512" s="66"/>
      <c r="M1512" s="66"/>
      <c r="N1512" s="66">
        <f>SUM(Prog_23[[#This Row],[TARA]]+Prog_23[[#This Row],[PESO]])</f>
        <v>0</v>
      </c>
      <c r="O1512" s="44"/>
      <c r="P1512" s="66"/>
      <c r="Q1512" s="66"/>
      <c r="R1512" s="66"/>
      <c r="S1512" s="66"/>
      <c r="T1512" s="138" t="str">
        <f>IFERROR(LOOKUP($S1512,MOTORISTAS!$D$3:$D$916,MOTORISTAS!E$3:$E$916),"")</f>
        <v/>
      </c>
      <c r="U1512" s="138" t="str">
        <f>IFERROR(LOOKUP($S1512,MOTORISTAS!$D$3:$D$916,MOTORISTAS!F$3:$F$916),"")</f>
        <v/>
      </c>
      <c r="V1512" s="66"/>
      <c r="W1512" s="66"/>
      <c r="X1512" s="66"/>
      <c r="Y1512" s="66"/>
      <c r="Z1512" s="66"/>
      <c r="AA1512" s="66"/>
      <c r="AB1512" s="66"/>
      <c r="AC1512" s="66"/>
      <c r="AD1512" s="66"/>
      <c r="AE1512" s="66"/>
      <c r="AF1512" s="44"/>
      <c r="AG1512" s="254">
        <f>Prog_23[[#This Row],[SAÍDA DO CLIENTE]]-Prog_23[[#This Row],[PROGRAMAÇÃO CLIENTE]]</f>
        <v>0</v>
      </c>
      <c r="AH1512" s="44"/>
      <c r="AI1512" s="66"/>
      <c r="AJ1512" s="66"/>
      <c r="AK1512" s="66"/>
      <c r="AL1512" s="66"/>
      <c r="AM1512" s="66"/>
      <c r="AN1512" s="83"/>
      <c r="AO1512" s="83"/>
      <c r="AP1512" s="83"/>
      <c r="AQ1512" s="66"/>
      <c r="AR1512" s="66"/>
      <c r="AS1512" s="66"/>
      <c r="AT1512" s="81"/>
      <c r="AU1512" s="81"/>
      <c r="AV1512" s="81"/>
      <c r="AW1512" s="81"/>
      <c r="AX1512" s="83">
        <f>SUM(Prog_23[[#This Row],[ADIANTAMENTO]]+Prog_23[[#This Row],[SALDO]]+Prog_23[[#This Row],[MARGEM]]+Prog_23[[#This Row],[ESTADIA 1]])</f>
        <v>0</v>
      </c>
      <c r="AY15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12" s="81"/>
      <c r="BA1512" s="81"/>
      <c r="BB1512" s="81">
        <f>Prog_23[[#This Row],[VLR NF]]*0.1%</f>
        <v>0</v>
      </c>
      <c r="BC1512" s="81">
        <f>Prog_23[[#This Row],[VLR NF]]*0.05%</f>
        <v>0</v>
      </c>
      <c r="BD1512" s="81"/>
      <c r="BE1512" s="81"/>
      <c r="BF1512" s="81"/>
      <c r="BG1512" s="81"/>
      <c r="BH1512" s="81"/>
      <c r="BI1512" s="81"/>
      <c r="BJ1512" s="81"/>
      <c r="BK1512" s="81"/>
      <c r="BL1512" s="81"/>
      <c r="BM1512" s="81"/>
      <c r="BN1512" s="66"/>
      <c r="BO1512" s="66"/>
      <c r="BP1512" s="66"/>
      <c r="BQ1512" s="66" t="str">
        <f>PROPER(TEXT(Prog_23[[#This Row],[PROGRAMAÇÃO CLIENTE]],"mmm"))</f>
        <v>Jan</v>
      </c>
      <c r="BR1512" s="66">
        <f>YEAR(Prog_23[[#This Row],[PROGRAMAÇÃO CLIENTE]])</f>
        <v>1900</v>
      </c>
    </row>
    <row r="1513" spans="1:70" x14ac:dyDescent="0.25">
      <c r="A1513" s="200">
        <f>Prog_23[[#This Row],[CONTEINER]]</f>
        <v>0</v>
      </c>
      <c r="B1513" s="86"/>
      <c r="C15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13" s="44"/>
      <c r="E1513" s="66"/>
      <c r="F1513" s="66"/>
      <c r="G1513" s="66"/>
      <c r="H1513" s="44"/>
      <c r="I1513" s="44"/>
      <c r="J1513" s="66"/>
      <c r="K1513" s="66"/>
      <c r="L1513" s="66"/>
      <c r="M1513" s="66"/>
      <c r="N1513" s="66">
        <f>SUM(Prog_23[[#This Row],[TARA]]+Prog_23[[#This Row],[PESO]])</f>
        <v>0</v>
      </c>
      <c r="O1513" s="44"/>
      <c r="P1513" s="66"/>
      <c r="Q1513" s="66"/>
      <c r="R1513" s="66"/>
      <c r="S1513" s="66"/>
      <c r="T1513" s="138" t="str">
        <f>IFERROR(LOOKUP($S1513,MOTORISTAS!$D$3:$D$916,MOTORISTAS!E$3:$E$916),"")</f>
        <v/>
      </c>
      <c r="U1513" s="138" t="str">
        <f>IFERROR(LOOKUP($S1513,MOTORISTAS!$D$3:$D$916,MOTORISTAS!F$3:$F$916),"")</f>
        <v/>
      </c>
      <c r="V1513" s="66"/>
      <c r="W1513" s="66"/>
      <c r="X1513" s="66"/>
      <c r="Y1513" s="66"/>
      <c r="Z1513" s="66"/>
      <c r="AA1513" s="66"/>
      <c r="AB1513" s="66"/>
      <c r="AC1513" s="66"/>
      <c r="AD1513" s="66"/>
      <c r="AE1513" s="66"/>
      <c r="AF1513" s="44"/>
      <c r="AG1513" s="254">
        <f>Prog_23[[#This Row],[SAÍDA DO CLIENTE]]-Prog_23[[#This Row],[PROGRAMAÇÃO CLIENTE]]</f>
        <v>0</v>
      </c>
      <c r="AH1513" s="44"/>
      <c r="AI1513" s="66"/>
      <c r="AJ1513" s="66"/>
      <c r="AK1513" s="66"/>
      <c r="AL1513" s="66"/>
      <c r="AM1513" s="66"/>
      <c r="AN1513" s="83"/>
      <c r="AO1513" s="83"/>
      <c r="AP1513" s="83"/>
      <c r="AQ1513" s="66"/>
      <c r="AR1513" s="66"/>
      <c r="AS1513" s="66"/>
      <c r="AT1513" s="81"/>
      <c r="AU1513" s="81"/>
      <c r="AV1513" s="81"/>
      <c r="AW1513" s="81"/>
      <c r="AX1513" s="83">
        <f>SUM(Prog_23[[#This Row],[ADIANTAMENTO]]+Prog_23[[#This Row],[SALDO]]+Prog_23[[#This Row],[MARGEM]]+Prog_23[[#This Row],[ESTADIA 1]])</f>
        <v>0</v>
      </c>
      <c r="AY15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13" s="81"/>
      <c r="BA1513" s="81"/>
      <c r="BB1513" s="81">
        <f>Prog_23[[#This Row],[VLR NF]]*0.1%</f>
        <v>0</v>
      </c>
      <c r="BC1513" s="81">
        <f>Prog_23[[#This Row],[VLR NF]]*0.05%</f>
        <v>0</v>
      </c>
      <c r="BD1513" s="81"/>
      <c r="BE1513" s="81"/>
      <c r="BF1513" s="81"/>
      <c r="BG1513" s="81"/>
      <c r="BH1513" s="81"/>
      <c r="BI1513" s="81"/>
      <c r="BJ1513" s="81"/>
      <c r="BK1513" s="81"/>
      <c r="BL1513" s="81"/>
      <c r="BM1513" s="81"/>
      <c r="BN1513" s="66"/>
      <c r="BO1513" s="66"/>
      <c r="BP1513" s="66"/>
      <c r="BQ1513" s="66" t="str">
        <f>PROPER(TEXT(Prog_23[[#This Row],[PROGRAMAÇÃO CLIENTE]],"mmm"))</f>
        <v>Jan</v>
      </c>
      <c r="BR1513" s="66">
        <f>YEAR(Prog_23[[#This Row],[PROGRAMAÇÃO CLIENTE]])</f>
        <v>1900</v>
      </c>
    </row>
    <row r="1514" spans="1:70" x14ac:dyDescent="0.25">
      <c r="A1514" s="201">
        <f>Prog_23[[#This Row],[CONTEINER]]</f>
        <v>0</v>
      </c>
      <c r="B1514" s="86"/>
      <c r="C15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14" s="44"/>
      <c r="E1514" s="66"/>
      <c r="F1514" s="66"/>
      <c r="G1514" s="66"/>
      <c r="H1514" s="44"/>
      <c r="I1514" s="44"/>
      <c r="J1514" s="66"/>
      <c r="K1514" s="66"/>
      <c r="L1514" s="66"/>
      <c r="M1514" s="66"/>
      <c r="N1514" s="66">
        <f>SUM(Prog_23[[#This Row],[TARA]]+Prog_23[[#This Row],[PESO]])</f>
        <v>0</v>
      </c>
      <c r="O1514" s="44"/>
      <c r="P1514" s="66"/>
      <c r="Q1514" s="66"/>
      <c r="R1514" s="66"/>
      <c r="S1514" s="66"/>
      <c r="T1514" s="138" t="str">
        <f>IFERROR(LOOKUP($S1514,MOTORISTAS!$D$3:$D$916,MOTORISTAS!E$3:$E$916),"")</f>
        <v/>
      </c>
      <c r="U1514" s="138" t="str">
        <f>IFERROR(LOOKUP($S1514,MOTORISTAS!$D$3:$D$916,MOTORISTAS!F$3:$F$916),"")</f>
        <v/>
      </c>
      <c r="V1514" s="66"/>
      <c r="W1514" s="66"/>
      <c r="X1514" s="66"/>
      <c r="Y1514" s="66"/>
      <c r="Z1514" s="66"/>
      <c r="AA1514" s="66"/>
      <c r="AB1514" s="66"/>
      <c r="AC1514" s="66"/>
      <c r="AD1514" s="66"/>
      <c r="AE1514" s="66"/>
      <c r="AF1514" s="44"/>
      <c r="AG1514" s="254">
        <f>Prog_23[[#This Row],[SAÍDA DO CLIENTE]]-Prog_23[[#This Row],[PROGRAMAÇÃO CLIENTE]]</f>
        <v>0</v>
      </c>
      <c r="AH1514" s="44"/>
      <c r="AI1514" s="66"/>
      <c r="AJ1514" s="66"/>
      <c r="AK1514" s="66"/>
      <c r="AL1514" s="66"/>
      <c r="AM1514" s="66"/>
      <c r="AN1514" s="83"/>
      <c r="AO1514" s="83"/>
      <c r="AP1514" s="83"/>
      <c r="AQ1514" s="66"/>
      <c r="AR1514" s="66"/>
      <c r="AS1514" s="66"/>
      <c r="AT1514" s="81"/>
      <c r="AU1514" s="81"/>
      <c r="AV1514" s="81"/>
      <c r="AW1514" s="81"/>
      <c r="AX1514" s="83">
        <f>SUM(Prog_23[[#This Row],[ADIANTAMENTO]]+Prog_23[[#This Row],[SALDO]]+Prog_23[[#This Row],[MARGEM]]+Prog_23[[#This Row],[ESTADIA 1]])</f>
        <v>0</v>
      </c>
      <c r="AY15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14" s="81"/>
      <c r="BA1514" s="81"/>
      <c r="BB1514" s="81">
        <f>Prog_23[[#This Row],[VLR NF]]*0.1%</f>
        <v>0</v>
      </c>
      <c r="BC1514" s="81">
        <f>Prog_23[[#This Row],[VLR NF]]*0.05%</f>
        <v>0</v>
      </c>
      <c r="BD1514" s="81"/>
      <c r="BE1514" s="81"/>
      <c r="BF1514" s="81"/>
      <c r="BG1514" s="81"/>
      <c r="BH1514" s="81"/>
      <c r="BI1514" s="81"/>
      <c r="BJ1514" s="81"/>
      <c r="BK1514" s="81"/>
      <c r="BL1514" s="81"/>
      <c r="BM1514" s="81"/>
      <c r="BN1514" s="66"/>
      <c r="BO1514" s="66"/>
      <c r="BP1514" s="66"/>
      <c r="BQ1514" s="66" t="str">
        <f>PROPER(TEXT(Prog_23[[#This Row],[PROGRAMAÇÃO CLIENTE]],"mmm"))</f>
        <v>Jan</v>
      </c>
      <c r="BR1514" s="66">
        <f>YEAR(Prog_23[[#This Row],[PROGRAMAÇÃO CLIENTE]])</f>
        <v>1900</v>
      </c>
    </row>
    <row r="1515" spans="1:70" x14ac:dyDescent="0.25">
      <c r="A1515" s="200">
        <f>Prog_23[[#This Row],[CONTEINER]]</f>
        <v>0</v>
      </c>
      <c r="B1515" s="86"/>
      <c r="C15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15" s="44"/>
      <c r="E1515" s="66"/>
      <c r="F1515" s="66"/>
      <c r="G1515" s="66"/>
      <c r="H1515" s="44"/>
      <c r="I1515" s="44"/>
      <c r="J1515" s="66"/>
      <c r="K1515" s="66"/>
      <c r="L1515" s="66"/>
      <c r="M1515" s="66"/>
      <c r="N1515" s="66">
        <f>SUM(Prog_23[[#This Row],[TARA]]+Prog_23[[#This Row],[PESO]])</f>
        <v>0</v>
      </c>
      <c r="O1515" s="44"/>
      <c r="P1515" s="66"/>
      <c r="Q1515" s="66"/>
      <c r="R1515" s="66"/>
      <c r="S1515" s="66"/>
      <c r="T1515" s="138" t="str">
        <f>IFERROR(LOOKUP($S1515,MOTORISTAS!$D$3:$D$916,MOTORISTAS!E$3:$E$916),"")</f>
        <v/>
      </c>
      <c r="U1515" s="138" t="str">
        <f>IFERROR(LOOKUP($S1515,MOTORISTAS!$D$3:$D$916,MOTORISTAS!F$3:$F$916),"")</f>
        <v/>
      </c>
      <c r="V1515" s="66"/>
      <c r="W1515" s="66"/>
      <c r="X1515" s="66"/>
      <c r="Y1515" s="66"/>
      <c r="Z1515" s="66"/>
      <c r="AA1515" s="66"/>
      <c r="AB1515" s="66"/>
      <c r="AC1515" s="66"/>
      <c r="AD1515" s="66"/>
      <c r="AE1515" s="66"/>
      <c r="AF1515" s="44"/>
      <c r="AG1515" s="254">
        <f>Prog_23[[#This Row],[SAÍDA DO CLIENTE]]-Prog_23[[#This Row],[PROGRAMAÇÃO CLIENTE]]</f>
        <v>0</v>
      </c>
      <c r="AH1515" s="44"/>
      <c r="AI1515" s="66"/>
      <c r="AJ1515" s="66"/>
      <c r="AK1515" s="66"/>
      <c r="AL1515" s="66"/>
      <c r="AM1515" s="66"/>
      <c r="AN1515" s="83"/>
      <c r="AO1515" s="83"/>
      <c r="AP1515" s="83"/>
      <c r="AQ1515" s="66"/>
      <c r="AR1515" s="66"/>
      <c r="AS1515" s="66"/>
      <c r="AT1515" s="81"/>
      <c r="AU1515" s="81"/>
      <c r="AV1515" s="81"/>
      <c r="AW1515" s="81"/>
      <c r="AX1515" s="83">
        <f>SUM(Prog_23[[#This Row],[ADIANTAMENTO]]+Prog_23[[#This Row],[SALDO]]+Prog_23[[#This Row],[MARGEM]]+Prog_23[[#This Row],[ESTADIA 1]])</f>
        <v>0</v>
      </c>
      <c r="AY15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15" s="81"/>
      <c r="BA1515" s="81"/>
      <c r="BB1515" s="81">
        <f>Prog_23[[#This Row],[VLR NF]]*0.1%</f>
        <v>0</v>
      </c>
      <c r="BC1515" s="81">
        <f>Prog_23[[#This Row],[VLR NF]]*0.05%</f>
        <v>0</v>
      </c>
      <c r="BD1515" s="81"/>
      <c r="BE1515" s="81"/>
      <c r="BF1515" s="81"/>
      <c r="BG1515" s="81"/>
      <c r="BH1515" s="81"/>
      <c r="BI1515" s="81"/>
      <c r="BJ1515" s="81"/>
      <c r="BK1515" s="81"/>
      <c r="BL1515" s="81"/>
      <c r="BM1515" s="81"/>
      <c r="BN1515" s="66"/>
      <c r="BO1515" s="66"/>
      <c r="BP1515" s="66"/>
      <c r="BQ1515" s="66" t="str">
        <f>PROPER(TEXT(Prog_23[[#This Row],[PROGRAMAÇÃO CLIENTE]],"mmm"))</f>
        <v>Jan</v>
      </c>
      <c r="BR1515" s="66">
        <f>YEAR(Prog_23[[#This Row],[PROGRAMAÇÃO CLIENTE]])</f>
        <v>1900</v>
      </c>
    </row>
    <row r="1516" spans="1:70" x14ac:dyDescent="0.25">
      <c r="A1516" s="201">
        <f>Prog_23[[#This Row],[CONTEINER]]</f>
        <v>0</v>
      </c>
      <c r="B1516" s="86"/>
      <c r="C15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16" s="44"/>
      <c r="E1516" s="66"/>
      <c r="F1516" s="66"/>
      <c r="G1516" s="66"/>
      <c r="H1516" s="44"/>
      <c r="I1516" s="44"/>
      <c r="J1516" s="66"/>
      <c r="K1516" s="66"/>
      <c r="L1516" s="66"/>
      <c r="M1516" s="66"/>
      <c r="N1516" s="66">
        <f>SUM(Prog_23[[#This Row],[TARA]]+Prog_23[[#This Row],[PESO]])</f>
        <v>0</v>
      </c>
      <c r="O1516" s="44"/>
      <c r="P1516" s="66"/>
      <c r="Q1516" s="66"/>
      <c r="R1516" s="66"/>
      <c r="S1516" s="66"/>
      <c r="T1516" s="138" t="str">
        <f>IFERROR(LOOKUP($S1516,MOTORISTAS!$D$3:$D$916,MOTORISTAS!E$3:$E$916),"")</f>
        <v/>
      </c>
      <c r="U1516" s="138" t="str">
        <f>IFERROR(LOOKUP($S1516,MOTORISTAS!$D$3:$D$916,MOTORISTAS!F$3:$F$916),"")</f>
        <v/>
      </c>
      <c r="V1516" s="66"/>
      <c r="W1516" s="66"/>
      <c r="X1516" s="66"/>
      <c r="Y1516" s="66"/>
      <c r="Z1516" s="66"/>
      <c r="AA1516" s="66"/>
      <c r="AB1516" s="66"/>
      <c r="AC1516" s="66"/>
      <c r="AD1516" s="66"/>
      <c r="AE1516" s="66"/>
      <c r="AF1516" s="44"/>
      <c r="AG1516" s="254">
        <f>Prog_23[[#This Row],[SAÍDA DO CLIENTE]]-Prog_23[[#This Row],[PROGRAMAÇÃO CLIENTE]]</f>
        <v>0</v>
      </c>
      <c r="AH1516" s="44"/>
      <c r="AI1516" s="66"/>
      <c r="AJ1516" s="66"/>
      <c r="AK1516" s="66"/>
      <c r="AL1516" s="66"/>
      <c r="AM1516" s="66"/>
      <c r="AN1516" s="83"/>
      <c r="AO1516" s="83"/>
      <c r="AP1516" s="83"/>
      <c r="AQ1516" s="66"/>
      <c r="AR1516" s="66"/>
      <c r="AS1516" s="66"/>
      <c r="AT1516" s="81"/>
      <c r="AU1516" s="81"/>
      <c r="AV1516" s="81"/>
      <c r="AW1516" s="81"/>
      <c r="AX1516" s="83">
        <f>SUM(Prog_23[[#This Row],[ADIANTAMENTO]]+Prog_23[[#This Row],[SALDO]]+Prog_23[[#This Row],[MARGEM]]+Prog_23[[#This Row],[ESTADIA 1]])</f>
        <v>0</v>
      </c>
      <c r="AY15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16" s="81"/>
      <c r="BA1516" s="81"/>
      <c r="BB1516" s="81">
        <f>Prog_23[[#This Row],[VLR NF]]*0.1%</f>
        <v>0</v>
      </c>
      <c r="BC1516" s="81">
        <f>Prog_23[[#This Row],[VLR NF]]*0.05%</f>
        <v>0</v>
      </c>
      <c r="BD1516" s="81"/>
      <c r="BE1516" s="81"/>
      <c r="BF1516" s="81"/>
      <c r="BG1516" s="81"/>
      <c r="BH1516" s="81"/>
      <c r="BI1516" s="81"/>
      <c r="BJ1516" s="81"/>
      <c r="BK1516" s="81"/>
      <c r="BL1516" s="81"/>
      <c r="BM1516" s="81"/>
      <c r="BN1516" s="66"/>
      <c r="BO1516" s="66"/>
      <c r="BP1516" s="66"/>
      <c r="BQ1516" s="66" t="str">
        <f>PROPER(TEXT(Prog_23[[#This Row],[PROGRAMAÇÃO CLIENTE]],"mmm"))</f>
        <v>Jan</v>
      </c>
      <c r="BR1516" s="66">
        <f>YEAR(Prog_23[[#This Row],[PROGRAMAÇÃO CLIENTE]])</f>
        <v>1900</v>
      </c>
    </row>
    <row r="1517" spans="1:70" x14ac:dyDescent="0.25">
      <c r="A1517" s="200">
        <f>Prog_23[[#This Row],[CONTEINER]]</f>
        <v>0</v>
      </c>
      <c r="B1517" s="86"/>
      <c r="C15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17" s="44"/>
      <c r="E1517" s="66"/>
      <c r="F1517" s="66"/>
      <c r="G1517" s="66"/>
      <c r="H1517" s="44"/>
      <c r="I1517" s="44"/>
      <c r="J1517" s="66"/>
      <c r="K1517" s="66"/>
      <c r="L1517" s="66"/>
      <c r="M1517" s="66"/>
      <c r="N1517" s="66">
        <f>SUM(Prog_23[[#This Row],[TARA]]+Prog_23[[#This Row],[PESO]])</f>
        <v>0</v>
      </c>
      <c r="O1517" s="44"/>
      <c r="P1517" s="66"/>
      <c r="Q1517" s="66"/>
      <c r="R1517" s="66"/>
      <c r="S1517" s="66"/>
      <c r="T1517" s="138" t="str">
        <f>IFERROR(LOOKUP($S1517,MOTORISTAS!$D$3:$D$916,MOTORISTAS!E$3:$E$916),"")</f>
        <v/>
      </c>
      <c r="U1517" s="138" t="str">
        <f>IFERROR(LOOKUP($S1517,MOTORISTAS!$D$3:$D$916,MOTORISTAS!F$3:$F$916),"")</f>
        <v/>
      </c>
      <c r="V1517" s="66"/>
      <c r="W1517" s="66"/>
      <c r="X1517" s="66"/>
      <c r="Y1517" s="66"/>
      <c r="Z1517" s="66"/>
      <c r="AA1517" s="66"/>
      <c r="AB1517" s="66"/>
      <c r="AC1517" s="66"/>
      <c r="AD1517" s="66"/>
      <c r="AE1517" s="66"/>
      <c r="AF1517" s="44"/>
      <c r="AG1517" s="254">
        <f>Prog_23[[#This Row],[SAÍDA DO CLIENTE]]-Prog_23[[#This Row],[PROGRAMAÇÃO CLIENTE]]</f>
        <v>0</v>
      </c>
      <c r="AH1517" s="44"/>
      <c r="AI1517" s="66"/>
      <c r="AJ1517" s="66"/>
      <c r="AK1517" s="66"/>
      <c r="AL1517" s="66"/>
      <c r="AM1517" s="66"/>
      <c r="AN1517" s="83"/>
      <c r="AO1517" s="83"/>
      <c r="AP1517" s="83"/>
      <c r="AQ1517" s="66"/>
      <c r="AR1517" s="66"/>
      <c r="AS1517" s="66"/>
      <c r="AT1517" s="81"/>
      <c r="AU1517" s="81"/>
      <c r="AV1517" s="81"/>
      <c r="AW1517" s="81"/>
      <c r="AX1517" s="83">
        <f>SUM(Prog_23[[#This Row],[ADIANTAMENTO]]+Prog_23[[#This Row],[SALDO]]+Prog_23[[#This Row],[MARGEM]]+Prog_23[[#This Row],[ESTADIA 1]])</f>
        <v>0</v>
      </c>
      <c r="AY15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17" s="81"/>
      <c r="BA1517" s="81"/>
      <c r="BB1517" s="81">
        <f>Prog_23[[#This Row],[VLR NF]]*0.1%</f>
        <v>0</v>
      </c>
      <c r="BC1517" s="81">
        <f>Prog_23[[#This Row],[VLR NF]]*0.05%</f>
        <v>0</v>
      </c>
      <c r="BD1517" s="81"/>
      <c r="BE1517" s="81"/>
      <c r="BF1517" s="81"/>
      <c r="BG1517" s="81"/>
      <c r="BH1517" s="81"/>
      <c r="BI1517" s="81"/>
      <c r="BJ1517" s="81"/>
      <c r="BK1517" s="81"/>
      <c r="BL1517" s="81"/>
      <c r="BM1517" s="81"/>
      <c r="BN1517" s="66"/>
      <c r="BO1517" s="66"/>
      <c r="BP1517" s="66"/>
      <c r="BQ1517" s="66" t="str">
        <f>PROPER(TEXT(Prog_23[[#This Row],[PROGRAMAÇÃO CLIENTE]],"mmm"))</f>
        <v>Jan</v>
      </c>
      <c r="BR1517" s="66">
        <f>YEAR(Prog_23[[#This Row],[PROGRAMAÇÃO CLIENTE]])</f>
        <v>1900</v>
      </c>
    </row>
    <row r="1518" spans="1:70" x14ac:dyDescent="0.25">
      <c r="A1518" s="201">
        <f>Prog_23[[#This Row],[CONTEINER]]</f>
        <v>0</v>
      </c>
      <c r="B1518" s="86"/>
      <c r="C15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18" s="44"/>
      <c r="E1518" s="66"/>
      <c r="F1518" s="66"/>
      <c r="G1518" s="66"/>
      <c r="H1518" s="44"/>
      <c r="I1518" s="44"/>
      <c r="J1518" s="66"/>
      <c r="K1518" s="66"/>
      <c r="L1518" s="66"/>
      <c r="M1518" s="66"/>
      <c r="N1518" s="66">
        <f>SUM(Prog_23[[#This Row],[TARA]]+Prog_23[[#This Row],[PESO]])</f>
        <v>0</v>
      </c>
      <c r="O1518" s="44"/>
      <c r="P1518" s="66"/>
      <c r="Q1518" s="66"/>
      <c r="R1518" s="66"/>
      <c r="S1518" s="66"/>
      <c r="T1518" s="138" t="str">
        <f>IFERROR(LOOKUP($S1518,MOTORISTAS!$D$3:$D$916,MOTORISTAS!E$3:$E$916),"")</f>
        <v/>
      </c>
      <c r="U1518" s="138" t="str">
        <f>IFERROR(LOOKUP($S1518,MOTORISTAS!$D$3:$D$916,MOTORISTAS!F$3:$F$916),"")</f>
        <v/>
      </c>
      <c r="V1518" s="66"/>
      <c r="W1518" s="66"/>
      <c r="X1518" s="66"/>
      <c r="Y1518" s="66"/>
      <c r="Z1518" s="66"/>
      <c r="AA1518" s="66"/>
      <c r="AB1518" s="66"/>
      <c r="AC1518" s="66"/>
      <c r="AD1518" s="66"/>
      <c r="AE1518" s="66"/>
      <c r="AF1518" s="44"/>
      <c r="AG1518" s="254">
        <f>Prog_23[[#This Row],[SAÍDA DO CLIENTE]]-Prog_23[[#This Row],[PROGRAMAÇÃO CLIENTE]]</f>
        <v>0</v>
      </c>
      <c r="AH1518" s="44"/>
      <c r="AI1518" s="66"/>
      <c r="AJ1518" s="66"/>
      <c r="AK1518" s="66"/>
      <c r="AL1518" s="66"/>
      <c r="AM1518" s="66"/>
      <c r="AN1518" s="83"/>
      <c r="AO1518" s="83"/>
      <c r="AP1518" s="83"/>
      <c r="AQ1518" s="66"/>
      <c r="AR1518" s="66"/>
      <c r="AS1518" s="66"/>
      <c r="AT1518" s="81"/>
      <c r="AU1518" s="81"/>
      <c r="AV1518" s="81"/>
      <c r="AW1518" s="81"/>
      <c r="AX1518" s="83">
        <f>SUM(Prog_23[[#This Row],[ADIANTAMENTO]]+Prog_23[[#This Row],[SALDO]]+Prog_23[[#This Row],[MARGEM]]+Prog_23[[#This Row],[ESTADIA 1]])</f>
        <v>0</v>
      </c>
      <c r="AY15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18" s="81"/>
      <c r="BA1518" s="81"/>
      <c r="BB1518" s="81">
        <f>Prog_23[[#This Row],[VLR NF]]*0.1%</f>
        <v>0</v>
      </c>
      <c r="BC1518" s="81">
        <f>Prog_23[[#This Row],[VLR NF]]*0.05%</f>
        <v>0</v>
      </c>
      <c r="BD1518" s="81"/>
      <c r="BE1518" s="81"/>
      <c r="BF1518" s="81"/>
      <c r="BG1518" s="81"/>
      <c r="BH1518" s="81"/>
      <c r="BI1518" s="81"/>
      <c r="BJ1518" s="81"/>
      <c r="BK1518" s="81"/>
      <c r="BL1518" s="81"/>
      <c r="BM1518" s="81"/>
      <c r="BN1518" s="66"/>
      <c r="BO1518" s="66"/>
      <c r="BP1518" s="66"/>
      <c r="BQ1518" s="66" t="str">
        <f>PROPER(TEXT(Prog_23[[#This Row],[PROGRAMAÇÃO CLIENTE]],"mmm"))</f>
        <v>Jan</v>
      </c>
      <c r="BR1518" s="66">
        <f>YEAR(Prog_23[[#This Row],[PROGRAMAÇÃO CLIENTE]])</f>
        <v>1900</v>
      </c>
    </row>
    <row r="1519" spans="1:70" x14ac:dyDescent="0.25">
      <c r="A1519" s="200">
        <f>Prog_23[[#This Row],[CONTEINER]]</f>
        <v>0</v>
      </c>
      <c r="B1519" s="86"/>
      <c r="C15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19" s="44"/>
      <c r="E1519" s="66"/>
      <c r="F1519" s="66"/>
      <c r="G1519" s="66"/>
      <c r="H1519" s="44"/>
      <c r="I1519" s="44"/>
      <c r="J1519" s="66"/>
      <c r="K1519" s="66"/>
      <c r="L1519" s="66"/>
      <c r="M1519" s="66"/>
      <c r="N1519" s="66">
        <f>SUM(Prog_23[[#This Row],[TARA]]+Prog_23[[#This Row],[PESO]])</f>
        <v>0</v>
      </c>
      <c r="O1519" s="44"/>
      <c r="P1519" s="66"/>
      <c r="Q1519" s="66"/>
      <c r="R1519" s="66"/>
      <c r="S1519" s="66"/>
      <c r="T1519" s="138" t="str">
        <f>IFERROR(LOOKUP($S1519,MOTORISTAS!$D$3:$D$916,MOTORISTAS!E$3:$E$916),"")</f>
        <v/>
      </c>
      <c r="U1519" s="138" t="str">
        <f>IFERROR(LOOKUP($S1519,MOTORISTAS!$D$3:$D$916,MOTORISTAS!F$3:$F$916),"")</f>
        <v/>
      </c>
      <c r="V1519" s="66"/>
      <c r="W1519" s="66"/>
      <c r="X1519" s="66"/>
      <c r="Y1519" s="66"/>
      <c r="Z1519" s="66"/>
      <c r="AA1519" s="66"/>
      <c r="AB1519" s="66"/>
      <c r="AC1519" s="66"/>
      <c r="AD1519" s="66"/>
      <c r="AE1519" s="66"/>
      <c r="AF1519" s="44"/>
      <c r="AG1519" s="254">
        <f>Prog_23[[#This Row],[SAÍDA DO CLIENTE]]-Prog_23[[#This Row],[PROGRAMAÇÃO CLIENTE]]</f>
        <v>0</v>
      </c>
      <c r="AH1519" s="44"/>
      <c r="AI1519" s="66"/>
      <c r="AJ1519" s="66"/>
      <c r="AK1519" s="66"/>
      <c r="AL1519" s="66"/>
      <c r="AM1519" s="66"/>
      <c r="AN1519" s="83"/>
      <c r="AO1519" s="83"/>
      <c r="AP1519" s="83"/>
      <c r="AQ1519" s="66"/>
      <c r="AR1519" s="66"/>
      <c r="AS1519" s="66"/>
      <c r="AT1519" s="81"/>
      <c r="AU1519" s="81"/>
      <c r="AV1519" s="81"/>
      <c r="AW1519" s="81"/>
      <c r="AX1519" s="83">
        <f>SUM(Prog_23[[#This Row],[ADIANTAMENTO]]+Prog_23[[#This Row],[SALDO]]+Prog_23[[#This Row],[MARGEM]]+Prog_23[[#This Row],[ESTADIA 1]])</f>
        <v>0</v>
      </c>
      <c r="AY15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19" s="81"/>
      <c r="BA1519" s="81"/>
      <c r="BB1519" s="81">
        <f>Prog_23[[#This Row],[VLR NF]]*0.1%</f>
        <v>0</v>
      </c>
      <c r="BC1519" s="81">
        <f>Prog_23[[#This Row],[VLR NF]]*0.05%</f>
        <v>0</v>
      </c>
      <c r="BD1519" s="81"/>
      <c r="BE1519" s="81"/>
      <c r="BF1519" s="81"/>
      <c r="BG1519" s="81"/>
      <c r="BH1519" s="81"/>
      <c r="BI1519" s="81"/>
      <c r="BJ1519" s="81"/>
      <c r="BK1519" s="81"/>
      <c r="BL1519" s="81"/>
      <c r="BM1519" s="81"/>
      <c r="BN1519" s="66"/>
      <c r="BO1519" s="66"/>
      <c r="BP1519" s="66"/>
      <c r="BQ1519" s="66" t="str">
        <f>PROPER(TEXT(Prog_23[[#This Row],[PROGRAMAÇÃO CLIENTE]],"mmm"))</f>
        <v>Jan</v>
      </c>
      <c r="BR1519" s="66">
        <f>YEAR(Prog_23[[#This Row],[PROGRAMAÇÃO CLIENTE]])</f>
        <v>1900</v>
      </c>
    </row>
    <row r="1520" spans="1:70" x14ac:dyDescent="0.25">
      <c r="A1520" s="201">
        <f>Prog_23[[#This Row],[CONTEINER]]</f>
        <v>0</v>
      </c>
      <c r="B1520" s="86"/>
      <c r="C15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20" s="44"/>
      <c r="E1520" s="66"/>
      <c r="F1520" s="66"/>
      <c r="G1520" s="66"/>
      <c r="H1520" s="44"/>
      <c r="I1520" s="44"/>
      <c r="J1520" s="66"/>
      <c r="K1520" s="66"/>
      <c r="L1520" s="66"/>
      <c r="M1520" s="66"/>
      <c r="N1520" s="66">
        <f>SUM(Prog_23[[#This Row],[TARA]]+Prog_23[[#This Row],[PESO]])</f>
        <v>0</v>
      </c>
      <c r="O1520" s="44"/>
      <c r="P1520" s="66"/>
      <c r="Q1520" s="66"/>
      <c r="R1520" s="66"/>
      <c r="S1520" s="66"/>
      <c r="T1520" s="138" t="str">
        <f>IFERROR(LOOKUP($S1520,MOTORISTAS!$D$3:$D$916,MOTORISTAS!E$3:$E$916),"")</f>
        <v/>
      </c>
      <c r="U1520" s="138" t="str">
        <f>IFERROR(LOOKUP($S1520,MOTORISTAS!$D$3:$D$916,MOTORISTAS!F$3:$F$916),"")</f>
        <v/>
      </c>
      <c r="V1520" s="66"/>
      <c r="W1520" s="66"/>
      <c r="X1520" s="66"/>
      <c r="Y1520" s="66"/>
      <c r="Z1520" s="66"/>
      <c r="AA1520" s="66"/>
      <c r="AB1520" s="66"/>
      <c r="AC1520" s="66"/>
      <c r="AD1520" s="66"/>
      <c r="AE1520" s="66"/>
      <c r="AF1520" s="44"/>
      <c r="AG1520" s="254">
        <f>Prog_23[[#This Row],[SAÍDA DO CLIENTE]]-Prog_23[[#This Row],[PROGRAMAÇÃO CLIENTE]]</f>
        <v>0</v>
      </c>
      <c r="AH1520" s="44"/>
      <c r="AI1520" s="66"/>
      <c r="AJ1520" s="66"/>
      <c r="AK1520" s="66"/>
      <c r="AL1520" s="66"/>
      <c r="AM1520" s="66"/>
      <c r="AN1520" s="83"/>
      <c r="AO1520" s="83"/>
      <c r="AP1520" s="83"/>
      <c r="AQ1520" s="66"/>
      <c r="AR1520" s="66"/>
      <c r="AS1520" s="66"/>
      <c r="AT1520" s="81"/>
      <c r="AU1520" s="81"/>
      <c r="AV1520" s="81"/>
      <c r="AW1520" s="81"/>
      <c r="AX1520" s="83">
        <f>SUM(Prog_23[[#This Row],[ADIANTAMENTO]]+Prog_23[[#This Row],[SALDO]]+Prog_23[[#This Row],[MARGEM]]+Prog_23[[#This Row],[ESTADIA 1]])</f>
        <v>0</v>
      </c>
      <c r="AY15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20" s="81"/>
      <c r="BA1520" s="81"/>
      <c r="BB1520" s="81">
        <f>Prog_23[[#This Row],[VLR NF]]*0.1%</f>
        <v>0</v>
      </c>
      <c r="BC1520" s="81">
        <f>Prog_23[[#This Row],[VLR NF]]*0.05%</f>
        <v>0</v>
      </c>
      <c r="BD1520" s="81"/>
      <c r="BE1520" s="81"/>
      <c r="BF1520" s="81"/>
      <c r="BG1520" s="81"/>
      <c r="BH1520" s="81"/>
      <c r="BI1520" s="81"/>
      <c r="BJ1520" s="81"/>
      <c r="BK1520" s="81"/>
      <c r="BL1520" s="81"/>
      <c r="BM1520" s="81"/>
      <c r="BN1520" s="66"/>
      <c r="BO1520" s="66"/>
      <c r="BP1520" s="66"/>
      <c r="BQ1520" s="66" t="str">
        <f>PROPER(TEXT(Prog_23[[#This Row],[PROGRAMAÇÃO CLIENTE]],"mmm"))</f>
        <v>Jan</v>
      </c>
      <c r="BR1520" s="66">
        <f>YEAR(Prog_23[[#This Row],[PROGRAMAÇÃO CLIENTE]])</f>
        <v>1900</v>
      </c>
    </row>
    <row r="1521" spans="1:70" x14ac:dyDescent="0.25">
      <c r="A1521" s="200">
        <f>Prog_23[[#This Row],[CONTEINER]]</f>
        <v>0</v>
      </c>
      <c r="B1521" s="86"/>
      <c r="C15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21" s="44"/>
      <c r="E1521" s="66"/>
      <c r="F1521" s="66"/>
      <c r="G1521" s="66"/>
      <c r="H1521" s="44"/>
      <c r="I1521" s="44"/>
      <c r="J1521" s="66"/>
      <c r="K1521" s="66"/>
      <c r="L1521" s="66"/>
      <c r="M1521" s="66"/>
      <c r="N1521" s="66">
        <f>SUM(Prog_23[[#This Row],[TARA]]+Prog_23[[#This Row],[PESO]])</f>
        <v>0</v>
      </c>
      <c r="O1521" s="44"/>
      <c r="P1521" s="66"/>
      <c r="Q1521" s="66"/>
      <c r="R1521" s="66"/>
      <c r="S1521" s="66"/>
      <c r="T1521" s="138" t="str">
        <f>IFERROR(LOOKUP($S1521,MOTORISTAS!$D$3:$D$916,MOTORISTAS!E$3:$E$916),"")</f>
        <v/>
      </c>
      <c r="U1521" s="138" t="str">
        <f>IFERROR(LOOKUP($S1521,MOTORISTAS!$D$3:$D$916,MOTORISTAS!F$3:$F$916),"")</f>
        <v/>
      </c>
      <c r="V1521" s="66"/>
      <c r="W1521" s="66"/>
      <c r="X1521" s="66"/>
      <c r="Y1521" s="66"/>
      <c r="Z1521" s="66"/>
      <c r="AA1521" s="66"/>
      <c r="AB1521" s="66"/>
      <c r="AC1521" s="66"/>
      <c r="AD1521" s="66"/>
      <c r="AE1521" s="66"/>
      <c r="AF1521" s="44"/>
      <c r="AG1521" s="254">
        <f>Prog_23[[#This Row],[SAÍDA DO CLIENTE]]-Prog_23[[#This Row],[PROGRAMAÇÃO CLIENTE]]</f>
        <v>0</v>
      </c>
      <c r="AH1521" s="44"/>
      <c r="AI1521" s="66"/>
      <c r="AJ1521" s="66"/>
      <c r="AK1521" s="66"/>
      <c r="AL1521" s="66"/>
      <c r="AM1521" s="66"/>
      <c r="AN1521" s="83"/>
      <c r="AO1521" s="83"/>
      <c r="AP1521" s="83"/>
      <c r="AQ1521" s="66"/>
      <c r="AR1521" s="66"/>
      <c r="AS1521" s="66"/>
      <c r="AT1521" s="81"/>
      <c r="AU1521" s="81"/>
      <c r="AV1521" s="81"/>
      <c r="AW1521" s="81"/>
      <c r="AX1521" s="83">
        <f>SUM(Prog_23[[#This Row],[ADIANTAMENTO]]+Prog_23[[#This Row],[SALDO]]+Prog_23[[#This Row],[MARGEM]]+Prog_23[[#This Row],[ESTADIA 1]])</f>
        <v>0</v>
      </c>
      <c r="AY15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21" s="81"/>
      <c r="BA1521" s="81"/>
      <c r="BB1521" s="81">
        <f>Prog_23[[#This Row],[VLR NF]]*0.1%</f>
        <v>0</v>
      </c>
      <c r="BC1521" s="81">
        <f>Prog_23[[#This Row],[VLR NF]]*0.05%</f>
        <v>0</v>
      </c>
      <c r="BD1521" s="81"/>
      <c r="BE1521" s="81"/>
      <c r="BF1521" s="81"/>
      <c r="BG1521" s="81"/>
      <c r="BH1521" s="81"/>
      <c r="BI1521" s="81"/>
      <c r="BJ1521" s="81"/>
      <c r="BK1521" s="81"/>
      <c r="BL1521" s="81"/>
      <c r="BM1521" s="81"/>
      <c r="BN1521" s="66"/>
      <c r="BO1521" s="66"/>
      <c r="BP1521" s="66"/>
      <c r="BQ1521" s="66" t="str">
        <f>PROPER(TEXT(Prog_23[[#This Row],[PROGRAMAÇÃO CLIENTE]],"mmm"))</f>
        <v>Jan</v>
      </c>
      <c r="BR1521" s="66">
        <f>YEAR(Prog_23[[#This Row],[PROGRAMAÇÃO CLIENTE]])</f>
        <v>1900</v>
      </c>
    </row>
    <row r="1522" spans="1:70" x14ac:dyDescent="0.25">
      <c r="A1522" s="201">
        <f>Prog_23[[#This Row],[CONTEINER]]</f>
        <v>0</v>
      </c>
      <c r="B1522" s="86"/>
      <c r="C15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22" s="44"/>
      <c r="E1522" s="66"/>
      <c r="F1522" s="66"/>
      <c r="G1522" s="66"/>
      <c r="H1522" s="44"/>
      <c r="I1522" s="44"/>
      <c r="J1522" s="66"/>
      <c r="K1522" s="66"/>
      <c r="L1522" s="66"/>
      <c r="M1522" s="66"/>
      <c r="N1522" s="66">
        <f>SUM(Prog_23[[#This Row],[TARA]]+Prog_23[[#This Row],[PESO]])</f>
        <v>0</v>
      </c>
      <c r="O1522" s="44"/>
      <c r="P1522" s="66"/>
      <c r="Q1522" s="66"/>
      <c r="R1522" s="66"/>
      <c r="S1522" s="66"/>
      <c r="T1522" s="138" t="str">
        <f>IFERROR(LOOKUP($S1522,MOTORISTAS!$D$3:$D$916,MOTORISTAS!E$3:$E$916),"")</f>
        <v/>
      </c>
      <c r="U1522" s="138" t="str">
        <f>IFERROR(LOOKUP($S1522,MOTORISTAS!$D$3:$D$916,MOTORISTAS!F$3:$F$916),"")</f>
        <v/>
      </c>
      <c r="V1522" s="66"/>
      <c r="W1522" s="66"/>
      <c r="X1522" s="66"/>
      <c r="Y1522" s="66"/>
      <c r="Z1522" s="66"/>
      <c r="AA1522" s="66"/>
      <c r="AB1522" s="66"/>
      <c r="AC1522" s="66"/>
      <c r="AD1522" s="66"/>
      <c r="AE1522" s="66"/>
      <c r="AF1522" s="44"/>
      <c r="AG1522" s="254">
        <f>Prog_23[[#This Row],[SAÍDA DO CLIENTE]]-Prog_23[[#This Row],[PROGRAMAÇÃO CLIENTE]]</f>
        <v>0</v>
      </c>
      <c r="AH1522" s="44"/>
      <c r="AI1522" s="66"/>
      <c r="AJ1522" s="66"/>
      <c r="AK1522" s="66"/>
      <c r="AL1522" s="66"/>
      <c r="AM1522" s="66"/>
      <c r="AN1522" s="83"/>
      <c r="AO1522" s="83"/>
      <c r="AP1522" s="83"/>
      <c r="AQ1522" s="66"/>
      <c r="AR1522" s="66"/>
      <c r="AS1522" s="66"/>
      <c r="AT1522" s="81"/>
      <c r="AU1522" s="81"/>
      <c r="AV1522" s="81"/>
      <c r="AW1522" s="81"/>
      <c r="AX1522" s="83">
        <f>SUM(Prog_23[[#This Row],[ADIANTAMENTO]]+Prog_23[[#This Row],[SALDO]]+Prog_23[[#This Row],[MARGEM]]+Prog_23[[#This Row],[ESTADIA 1]])</f>
        <v>0</v>
      </c>
      <c r="AY15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22" s="81"/>
      <c r="BA1522" s="81"/>
      <c r="BB1522" s="81">
        <f>Prog_23[[#This Row],[VLR NF]]*0.1%</f>
        <v>0</v>
      </c>
      <c r="BC1522" s="81">
        <f>Prog_23[[#This Row],[VLR NF]]*0.05%</f>
        <v>0</v>
      </c>
      <c r="BD1522" s="81"/>
      <c r="BE1522" s="81"/>
      <c r="BF1522" s="81"/>
      <c r="BG1522" s="81"/>
      <c r="BH1522" s="81"/>
      <c r="BI1522" s="81"/>
      <c r="BJ1522" s="81"/>
      <c r="BK1522" s="81"/>
      <c r="BL1522" s="81"/>
      <c r="BM1522" s="81"/>
      <c r="BN1522" s="66"/>
      <c r="BO1522" s="66"/>
      <c r="BP1522" s="66"/>
      <c r="BQ1522" s="66" t="str">
        <f>PROPER(TEXT(Prog_23[[#This Row],[PROGRAMAÇÃO CLIENTE]],"mmm"))</f>
        <v>Jan</v>
      </c>
      <c r="BR1522" s="66">
        <f>YEAR(Prog_23[[#This Row],[PROGRAMAÇÃO CLIENTE]])</f>
        <v>1900</v>
      </c>
    </row>
    <row r="1523" spans="1:70" x14ac:dyDescent="0.25">
      <c r="A1523" s="200">
        <f>Prog_23[[#This Row],[CONTEINER]]</f>
        <v>0</v>
      </c>
      <c r="B1523" s="86"/>
      <c r="C15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23" s="44"/>
      <c r="E1523" s="66"/>
      <c r="F1523" s="66"/>
      <c r="G1523" s="66"/>
      <c r="H1523" s="44"/>
      <c r="I1523" s="44"/>
      <c r="J1523" s="66"/>
      <c r="K1523" s="66"/>
      <c r="L1523" s="66"/>
      <c r="M1523" s="66"/>
      <c r="N1523" s="66">
        <f>SUM(Prog_23[[#This Row],[TARA]]+Prog_23[[#This Row],[PESO]])</f>
        <v>0</v>
      </c>
      <c r="O1523" s="44"/>
      <c r="P1523" s="66"/>
      <c r="Q1523" s="66"/>
      <c r="R1523" s="66"/>
      <c r="S1523" s="66"/>
      <c r="T1523" s="138" t="str">
        <f>IFERROR(LOOKUP($S1523,MOTORISTAS!$D$3:$D$916,MOTORISTAS!E$3:$E$916),"")</f>
        <v/>
      </c>
      <c r="U1523" s="138" t="str">
        <f>IFERROR(LOOKUP($S1523,MOTORISTAS!$D$3:$D$916,MOTORISTAS!F$3:$F$916),"")</f>
        <v/>
      </c>
      <c r="V1523" s="66"/>
      <c r="W1523" s="66"/>
      <c r="X1523" s="66"/>
      <c r="Y1523" s="66"/>
      <c r="Z1523" s="66"/>
      <c r="AA1523" s="66"/>
      <c r="AB1523" s="66"/>
      <c r="AC1523" s="66"/>
      <c r="AD1523" s="66"/>
      <c r="AE1523" s="66"/>
      <c r="AF1523" s="44"/>
      <c r="AG1523" s="254">
        <f>Prog_23[[#This Row],[SAÍDA DO CLIENTE]]-Prog_23[[#This Row],[PROGRAMAÇÃO CLIENTE]]</f>
        <v>0</v>
      </c>
      <c r="AH1523" s="44"/>
      <c r="AI1523" s="66"/>
      <c r="AJ1523" s="66"/>
      <c r="AK1523" s="66"/>
      <c r="AL1523" s="66"/>
      <c r="AM1523" s="66"/>
      <c r="AN1523" s="83"/>
      <c r="AO1523" s="83"/>
      <c r="AP1523" s="83"/>
      <c r="AQ1523" s="66"/>
      <c r="AR1523" s="66"/>
      <c r="AS1523" s="66"/>
      <c r="AT1523" s="81"/>
      <c r="AU1523" s="81"/>
      <c r="AV1523" s="81"/>
      <c r="AW1523" s="81"/>
      <c r="AX1523" s="83">
        <f>SUM(Prog_23[[#This Row],[ADIANTAMENTO]]+Prog_23[[#This Row],[SALDO]]+Prog_23[[#This Row],[MARGEM]]+Prog_23[[#This Row],[ESTADIA 1]])</f>
        <v>0</v>
      </c>
      <c r="AY15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23" s="81"/>
      <c r="BA1523" s="81"/>
      <c r="BB1523" s="81">
        <f>Prog_23[[#This Row],[VLR NF]]*0.1%</f>
        <v>0</v>
      </c>
      <c r="BC1523" s="81">
        <f>Prog_23[[#This Row],[VLR NF]]*0.05%</f>
        <v>0</v>
      </c>
      <c r="BD1523" s="81"/>
      <c r="BE1523" s="81"/>
      <c r="BF1523" s="81"/>
      <c r="BG1523" s="81"/>
      <c r="BH1523" s="81"/>
      <c r="BI1523" s="81"/>
      <c r="BJ1523" s="81"/>
      <c r="BK1523" s="81"/>
      <c r="BL1523" s="81"/>
      <c r="BM1523" s="81"/>
      <c r="BN1523" s="66"/>
      <c r="BO1523" s="66"/>
      <c r="BP1523" s="66"/>
      <c r="BQ1523" s="66" t="str">
        <f>PROPER(TEXT(Prog_23[[#This Row],[PROGRAMAÇÃO CLIENTE]],"mmm"))</f>
        <v>Jan</v>
      </c>
      <c r="BR1523" s="66">
        <f>YEAR(Prog_23[[#This Row],[PROGRAMAÇÃO CLIENTE]])</f>
        <v>1900</v>
      </c>
    </row>
    <row r="1524" spans="1:70" x14ac:dyDescent="0.25">
      <c r="A1524" s="201">
        <f>Prog_23[[#This Row],[CONTEINER]]</f>
        <v>0</v>
      </c>
      <c r="B1524" s="86"/>
      <c r="C15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24" s="44"/>
      <c r="E1524" s="66"/>
      <c r="F1524" s="66"/>
      <c r="G1524" s="66"/>
      <c r="H1524" s="44"/>
      <c r="I1524" s="44"/>
      <c r="J1524" s="66"/>
      <c r="K1524" s="66"/>
      <c r="L1524" s="66"/>
      <c r="M1524" s="66"/>
      <c r="N1524" s="66">
        <f>SUM(Prog_23[[#This Row],[TARA]]+Prog_23[[#This Row],[PESO]])</f>
        <v>0</v>
      </c>
      <c r="O1524" s="44"/>
      <c r="P1524" s="66"/>
      <c r="Q1524" s="66"/>
      <c r="R1524" s="66"/>
      <c r="S1524" s="66"/>
      <c r="T1524" s="138" t="str">
        <f>IFERROR(LOOKUP($S1524,MOTORISTAS!$D$3:$D$916,MOTORISTAS!E$3:$E$916),"")</f>
        <v/>
      </c>
      <c r="U1524" s="138" t="str">
        <f>IFERROR(LOOKUP($S1524,MOTORISTAS!$D$3:$D$916,MOTORISTAS!F$3:$F$916),"")</f>
        <v/>
      </c>
      <c r="V1524" s="66"/>
      <c r="W1524" s="66"/>
      <c r="X1524" s="66"/>
      <c r="Y1524" s="66"/>
      <c r="Z1524" s="66"/>
      <c r="AA1524" s="66"/>
      <c r="AB1524" s="66"/>
      <c r="AC1524" s="66"/>
      <c r="AD1524" s="66"/>
      <c r="AE1524" s="66"/>
      <c r="AF1524" s="44"/>
      <c r="AG1524" s="254">
        <f>Prog_23[[#This Row],[SAÍDA DO CLIENTE]]-Prog_23[[#This Row],[PROGRAMAÇÃO CLIENTE]]</f>
        <v>0</v>
      </c>
      <c r="AH1524" s="44"/>
      <c r="AI1524" s="66"/>
      <c r="AJ1524" s="66"/>
      <c r="AK1524" s="66"/>
      <c r="AL1524" s="66"/>
      <c r="AM1524" s="66"/>
      <c r="AN1524" s="83"/>
      <c r="AO1524" s="83"/>
      <c r="AP1524" s="83"/>
      <c r="AQ1524" s="66"/>
      <c r="AR1524" s="66"/>
      <c r="AS1524" s="66"/>
      <c r="AT1524" s="81"/>
      <c r="AU1524" s="81"/>
      <c r="AV1524" s="81"/>
      <c r="AW1524" s="81"/>
      <c r="AX1524" s="83">
        <f>SUM(Prog_23[[#This Row],[ADIANTAMENTO]]+Prog_23[[#This Row],[SALDO]]+Prog_23[[#This Row],[MARGEM]]+Prog_23[[#This Row],[ESTADIA 1]])</f>
        <v>0</v>
      </c>
      <c r="AY15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24" s="81"/>
      <c r="BA1524" s="81"/>
      <c r="BB1524" s="81">
        <f>Prog_23[[#This Row],[VLR NF]]*0.1%</f>
        <v>0</v>
      </c>
      <c r="BC1524" s="81">
        <f>Prog_23[[#This Row],[VLR NF]]*0.05%</f>
        <v>0</v>
      </c>
      <c r="BD1524" s="81"/>
      <c r="BE1524" s="81"/>
      <c r="BF1524" s="81"/>
      <c r="BG1524" s="81"/>
      <c r="BH1524" s="81"/>
      <c r="BI1524" s="81"/>
      <c r="BJ1524" s="81"/>
      <c r="BK1524" s="81"/>
      <c r="BL1524" s="81"/>
      <c r="BM1524" s="81"/>
      <c r="BN1524" s="66"/>
      <c r="BO1524" s="66"/>
      <c r="BP1524" s="66"/>
      <c r="BQ1524" s="66" t="str">
        <f>PROPER(TEXT(Prog_23[[#This Row],[PROGRAMAÇÃO CLIENTE]],"mmm"))</f>
        <v>Jan</v>
      </c>
      <c r="BR1524" s="66">
        <f>YEAR(Prog_23[[#This Row],[PROGRAMAÇÃO CLIENTE]])</f>
        <v>1900</v>
      </c>
    </row>
    <row r="1525" spans="1:70" x14ac:dyDescent="0.25">
      <c r="A1525" s="200">
        <f>Prog_23[[#This Row],[CONTEINER]]</f>
        <v>0</v>
      </c>
      <c r="B1525" s="86"/>
      <c r="C15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25" s="44"/>
      <c r="E1525" s="66"/>
      <c r="F1525" s="66"/>
      <c r="G1525" s="66"/>
      <c r="H1525" s="44"/>
      <c r="I1525" s="44"/>
      <c r="J1525" s="66"/>
      <c r="K1525" s="66"/>
      <c r="L1525" s="66"/>
      <c r="M1525" s="66"/>
      <c r="N1525" s="66">
        <f>SUM(Prog_23[[#This Row],[TARA]]+Prog_23[[#This Row],[PESO]])</f>
        <v>0</v>
      </c>
      <c r="O1525" s="44"/>
      <c r="P1525" s="66"/>
      <c r="Q1525" s="66"/>
      <c r="R1525" s="66"/>
      <c r="S1525" s="66"/>
      <c r="T1525" s="138" t="str">
        <f>IFERROR(LOOKUP($S1525,MOTORISTAS!$D$3:$D$916,MOTORISTAS!E$3:$E$916),"")</f>
        <v/>
      </c>
      <c r="U1525" s="138" t="str">
        <f>IFERROR(LOOKUP($S1525,MOTORISTAS!$D$3:$D$916,MOTORISTAS!F$3:$F$916),"")</f>
        <v/>
      </c>
      <c r="V1525" s="66"/>
      <c r="W1525" s="66"/>
      <c r="X1525" s="66"/>
      <c r="Y1525" s="66"/>
      <c r="Z1525" s="66"/>
      <c r="AA1525" s="66"/>
      <c r="AB1525" s="66"/>
      <c r="AC1525" s="66"/>
      <c r="AD1525" s="66"/>
      <c r="AE1525" s="66"/>
      <c r="AF1525" s="44"/>
      <c r="AG1525" s="254">
        <f>Prog_23[[#This Row],[SAÍDA DO CLIENTE]]-Prog_23[[#This Row],[PROGRAMAÇÃO CLIENTE]]</f>
        <v>0</v>
      </c>
      <c r="AH1525" s="44"/>
      <c r="AI1525" s="66"/>
      <c r="AJ1525" s="66"/>
      <c r="AK1525" s="66"/>
      <c r="AL1525" s="66"/>
      <c r="AM1525" s="66"/>
      <c r="AN1525" s="83"/>
      <c r="AO1525" s="83"/>
      <c r="AP1525" s="83"/>
      <c r="AQ1525" s="66"/>
      <c r="AR1525" s="66"/>
      <c r="AS1525" s="66"/>
      <c r="AT1525" s="81"/>
      <c r="AU1525" s="81"/>
      <c r="AV1525" s="81"/>
      <c r="AW1525" s="81"/>
      <c r="AX1525" s="83">
        <f>SUM(Prog_23[[#This Row],[ADIANTAMENTO]]+Prog_23[[#This Row],[SALDO]]+Prog_23[[#This Row],[MARGEM]]+Prog_23[[#This Row],[ESTADIA 1]])</f>
        <v>0</v>
      </c>
      <c r="AY15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25" s="81"/>
      <c r="BA1525" s="81"/>
      <c r="BB1525" s="81">
        <f>Prog_23[[#This Row],[VLR NF]]*0.1%</f>
        <v>0</v>
      </c>
      <c r="BC1525" s="81">
        <f>Prog_23[[#This Row],[VLR NF]]*0.05%</f>
        <v>0</v>
      </c>
      <c r="BD1525" s="81"/>
      <c r="BE1525" s="81"/>
      <c r="BF1525" s="81"/>
      <c r="BG1525" s="81"/>
      <c r="BH1525" s="81"/>
      <c r="BI1525" s="81"/>
      <c r="BJ1525" s="81"/>
      <c r="BK1525" s="81"/>
      <c r="BL1525" s="81"/>
      <c r="BM1525" s="81"/>
      <c r="BN1525" s="66"/>
      <c r="BO1525" s="66"/>
      <c r="BP1525" s="66"/>
      <c r="BQ1525" s="66" t="str">
        <f>PROPER(TEXT(Prog_23[[#This Row],[PROGRAMAÇÃO CLIENTE]],"mmm"))</f>
        <v>Jan</v>
      </c>
      <c r="BR1525" s="66">
        <f>YEAR(Prog_23[[#This Row],[PROGRAMAÇÃO CLIENTE]])</f>
        <v>1900</v>
      </c>
    </row>
    <row r="1526" spans="1:70" x14ac:dyDescent="0.25">
      <c r="A1526" s="201">
        <f>Prog_23[[#This Row],[CONTEINER]]</f>
        <v>0</v>
      </c>
      <c r="B1526" s="86"/>
      <c r="C15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26" s="44"/>
      <c r="E1526" s="66"/>
      <c r="F1526" s="66"/>
      <c r="G1526" s="66"/>
      <c r="H1526" s="44"/>
      <c r="I1526" s="44"/>
      <c r="J1526" s="66"/>
      <c r="K1526" s="66"/>
      <c r="L1526" s="66"/>
      <c r="M1526" s="66"/>
      <c r="N1526" s="66">
        <f>SUM(Prog_23[[#This Row],[TARA]]+Prog_23[[#This Row],[PESO]])</f>
        <v>0</v>
      </c>
      <c r="O1526" s="44"/>
      <c r="P1526" s="66"/>
      <c r="Q1526" s="66"/>
      <c r="R1526" s="66"/>
      <c r="S1526" s="66"/>
      <c r="T1526" s="138" t="str">
        <f>IFERROR(LOOKUP($S1526,MOTORISTAS!$D$3:$D$916,MOTORISTAS!E$3:$E$916),"")</f>
        <v/>
      </c>
      <c r="U1526" s="138" t="str">
        <f>IFERROR(LOOKUP($S1526,MOTORISTAS!$D$3:$D$916,MOTORISTAS!F$3:$F$916),"")</f>
        <v/>
      </c>
      <c r="V1526" s="66"/>
      <c r="W1526" s="66"/>
      <c r="X1526" s="66"/>
      <c r="Y1526" s="66"/>
      <c r="Z1526" s="66"/>
      <c r="AA1526" s="66"/>
      <c r="AB1526" s="66"/>
      <c r="AC1526" s="66"/>
      <c r="AD1526" s="66"/>
      <c r="AE1526" s="66"/>
      <c r="AF1526" s="44"/>
      <c r="AG1526" s="254">
        <f>Prog_23[[#This Row],[SAÍDA DO CLIENTE]]-Prog_23[[#This Row],[PROGRAMAÇÃO CLIENTE]]</f>
        <v>0</v>
      </c>
      <c r="AH1526" s="44"/>
      <c r="AI1526" s="66"/>
      <c r="AJ1526" s="66"/>
      <c r="AK1526" s="66"/>
      <c r="AL1526" s="66"/>
      <c r="AM1526" s="66"/>
      <c r="AN1526" s="83"/>
      <c r="AO1526" s="83"/>
      <c r="AP1526" s="83"/>
      <c r="AQ1526" s="66"/>
      <c r="AR1526" s="66"/>
      <c r="AS1526" s="66"/>
      <c r="AT1526" s="81"/>
      <c r="AU1526" s="81"/>
      <c r="AV1526" s="81"/>
      <c r="AW1526" s="81"/>
      <c r="AX1526" s="83">
        <f>SUM(Prog_23[[#This Row],[ADIANTAMENTO]]+Prog_23[[#This Row],[SALDO]]+Prog_23[[#This Row],[MARGEM]]+Prog_23[[#This Row],[ESTADIA 1]])</f>
        <v>0</v>
      </c>
      <c r="AY15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26" s="81"/>
      <c r="BA1526" s="81"/>
      <c r="BB1526" s="81">
        <f>Prog_23[[#This Row],[VLR NF]]*0.1%</f>
        <v>0</v>
      </c>
      <c r="BC1526" s="81">
        <f>Prog_23[[#This Row],[VLR NF]]*0.05%</f>
        <v>0</v>
      </c>
      <c r="BD1526" s="81"/>
      <c r="BE1526" s="81"/>
      <c r="BF1526" s="81"/>
      <c r="BG1526" s="81"/>
      <c r="BH1526" s="81"/>
      <c r="BI1526" s="81"/>
      <c r="BJ1526" s="81"/>
      <c r="BK1526" s="81"/>
      <c r="BL1526" s="81"/>
      <c r="BM1526" s="81"/>
      <c r="BN1526" s="66"/>
      <c r="BO1526" s="66"/>
      <c r="BP1526" s="66"/>
      <c r="BQ1526" s="66" t="str">
        <f>PROPER(TEXT(Prog_23[[#This Row],[PROGRAMAÇÃO CLIENTE]],"mmm"))</f>
        <v>Jan</v>
      </c>
      <c r="BR1526" s="66">
        <f>YEAR(Prog_23[[#This Row],[PROGRAMAÇÃO CLIENTE]])</f>
        <v>1900</v>
      </c>
    </row>
    <row r="1527" spans="1:70" x14ac:dyDescent="0.25">
      <c r="A1527" s="200">
        <f>Prog_23[[#This Row],[CONTEINER]]</f>
        <v>0</v>
      </c>
      <c r="B1527" s="86"/>
      <c r="C15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27" s="44"/>
      <c r="E1527" s="66"/>
      <c r="F1527" s="66"/>
      <c r="G1527" s="66"/>
      <c r="H1527" s="44"/>
      <c r="I1527" s="44"/>
      <c r="J1527" s="66"/>
      <c r="K1527" s="66"/>
      <c r="L1527" s="66"/>
      <c r="M1527" s="66"/>
      <c r="N1527" s="66">
        <f>SUM(Prog_23[[#This Row],[TARA]]+Prog_23[[#This Row],[PESO]])</f>
        <v>0</v>
      </c>
      <c r="O1527" s="44"/>
      <c r="P1527" s="66"/>
      <c r="Q1527" s="66"/>
      <c r="R1527" s="66"/>
      <c r="S1527" s="66"/>
      <c r="T1527" s="138" t="str">
        <f>IFERROR(LOOKUP($S1527,MOTORISTAS!$D$3:$D$916,MOTORISTAS!E$3:$E$916),"")</f>
        <v/>
      </c>
      <c r="U1527" s="138" t="str">
        <f>IFERROR(LOOKUP($S1527,MOTORISTAS!$D$3:$D$916,MOTORISTAS!F$3:$F$916),"")</f>
        <v/>
      </c>
      <c r="V1527" s="66"/>
      <c r="W1527" s="66"/>
      <c r="X1527" s="66"/>
      <c r="Y1527" s="66"/>
      <c r="Z1527" s="66"/>
      <c r="AA1527" s="66"/>
      <c r="AB1527" s="66"/>
      <c r="AC1527" s="66"/>
      <c r="AD1527" s="66"/>
      <c r="AE1527" s="66"/>
      <c r="AF1527" s="44"/>
      <c r="AG1527" s="254">
        <f>Prog_23[[#This Row],[SAÍDA DO CLIENTE]]-Prog_23[[#This Row],[PROGRAMAÇÃO CLIENTE]]</f>
        <v>0</v>
      </c>
      <c r="AH1527" s="44"/>
      <c r="AI1527" s="66"/>
      <c r="AJ1527" s="66"/>
      <c r="AK1527" s="66"/>
      <c r="AL1527" s="66"/>
      <c r="AM1527" s="66"/>
      <c r="AN1527" s="83"/>
      <c r="AO1527" s="83"/>
      <c r="AP1527" s="83"/>
      <c r="AQ1527" s="66"/>
      <c r="AR1527" s="66"/>
      <c r="AS1527" s="66"/>
      <c r="AT1527" s="81"/>
      <c r="AU1527" s="81"/>
      <c r="AV1527" s="81"/>
      <c r="AW1527" s="81"/>
      <c r="AX1527" s="83">
        <f>SUM(Prog_23[[#This Row],[ADIANTAMENTO]]+Prog_23[[#This Row],[SALDO]]+Prog_23[[#This Row],[MARGEM]]+Prog_23[[#This Row],[ESTADIA 1]])</f>
        <v>0</v>
      </c>
      <c r="AY15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27" s="81"/>
      <c r="BA1527" s="81"/>
      <c r="BB1527" s="81">
        <f>Prog_23[[#This Row],[VLR NF]]*0.1%</f>
        <v>0</v>
      </c>
      <c r="BC1527" s="81">
        <f>Prog_23[[#This Row],[VLR NF]]*0.05%</f>
        <v>0</v>
      </c>
      <c r="BD1527" s="81"/>
      <c r="BE1527" s="81"/>
      <c r="BF1527" s="81"/>
      <c r="BG1527" s="81"/>
      <c r="BH1527" s="81"/>
      <c r="BI1527" s="81"/>
      <c r="BJ1527" s="81"/>
      <c r="BK1527" s="81"/>
      <c r="BL1527" s="81"/>
      <c r="BM1527" s="81"/>
      <c r="BN1527" s="66"/>
      <c r="BO1527" s="66"/>
      <c r="BP1527" s="66"/>
      <c r="BQ1527" s="66" t="str">
        <f>PROPER(TEXT(Prog_23[[#This Row],[PROGRAMAÇÃO CLIENTE]],"mmm"))</f>
        <v>Jan</v>
      </c>
      <c r="BR1527" s="66">
        <f>YEAR(Prog_23[[#This Row],[PROGRAMAÇÃO CLIENTE]])</f>
        <v>1900</v>
      </c>
    </row>
    <row r="1528" spans="1:70" x14ac:dyDescent="0.25">
      <c r="A1528" s="201">
        <f>Prog_23[[#This Row],[CONTEINER]]</f>
        <v>0</v>
      </c>
      <c r="B1528" s="86"/>
      <c r="C15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28" s="44"/>
      <c r="E1528" s="66"/>
      <c r="F1528" s="66"/>
      <c r="G1528" s="66"/>
      <c r="H1528" s="44"/>
      <c r="I1528" s="44"/>
      <c r="J1528" s="66"/>
      <c r="K1528" s="66"/>
      <c r="L1528" s="66"/>
      <c r="M1528" s="66"/>
      <c r="N1528" s="66">
        <f>SUM(Prog_23[[#This Row],[TARA]]+Prog_23[[#This Row],[PESO]])</f>
        <v>0</v>
      </c>
      <c r="O1528" s="44"/>
      <c r="P1528" s="66"/>
      <c r="Q1528" s="66"/>
      <c r="R1528" s="66"/>
      <c r="S1528" s="66"/>
      <c r="T1528" s="138" t="str">
        <f>IFERROR(LOOKUP($S1528,MOTORISTAS!$D$3:$D$916,MOTORISTAS!E$3:$E$916),"")</f>
        <v/>
      </c>
      <c r="U1528" s="138" t="str">
        <f>IFERROR(LOOKUP($S1528,MOTORISTAS!$D$3:$D$916,MOTORISTAS!F$3:$F$916),"")</f>
        <v/>
      </c>
      <c r="V1528" s="66"/>
      <c r="W1528" s="66"/>
      <c r="X1528" s="66"/>
      <c r="Y1528" s="66"/>
      <c r="Z1528" s="66"/>
      <c r="AA1528" s="66"/>
      <c r="AB1528" s="66"/>
      <c r="AC1528" s="66"/>
      <c r="AD1528" s="66"/>
      <c r="AE1528" s="66"/>
      <c r="AF1528" s="44"/>
      <c r="AG1528" s="254">
        <f>Prog_23[[#This Row],[SAÍDA DO CLIENTE]]-Prog_23[[#This Row],[PROGRAMAÇÃO CLIENTE]]</f>
        <v>0</v>
      </c>
      <c r="AH1528" s="44"/>
      <c r="AI1528" s="66"/>
      <c r="AJ1528" s="66"/>
      <c r="AK1528" s="66"/>
      <c r="AL1528" s="66"/>
      <c r="AM1528" s="66"/>
      <c r="AN1528" s="83"/>
      <c r="AO1528" s="83"/>
      <c r="AP1528" s="83"/>
      <c r="AQ1528" s="66"/>
      <c r="AR1528" s="66"/>
      <c r="AS1528" s="66"/>
      <c r="AT1528" s="81"/>
      <c r="AU1528" s="81"/>
      <c r="AV1528" s="81"/>
      <c r="AW1528" s="81"/>
      <c r="AX1528" s="83">
        <f>SUM(Prog_23[[#This Row],[ADIANTAMENTO]]+Prog_23[[#This Row],[SALDO]]+Prog_23[[#This Row],[MARGEM]]+Prog_23[[#This Row],[ESTADIA 1]])</f>
        <v>0</v>
      </c>
      <c r="AY15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28" s="81"/>
      <c r="BA1528" s="81"/>
      <c r="BB1528" s="81">
        <f>Prog_23[[#This Row],[VLR NF]]*0.1%</f>
        <v>0</v>
      </c>
      <c r="BC1528" s="81">
        <f>Prog_23[[#This Row],[VLR NF]]*0.05%</f>
        <v>0</v>
      </c>
      <c r="BD1528" s="81"/>
      <c r="BE1528" s="81"/>
      <c r="BF1528" s="81"/>
      <c r="BG1528" s="81"/>
      <c r="BH1528" s="81"/>
      <c r="BI1528" s="81"/>
      <c r="BJ1528" s="81"/>
      <c r="BK1528" s="81"/>
      <c r="BL1528" s="81"/>
      <c r="BM1528" s="81"/>
      <c r="BN1528" s="66"/>
      <c r="BO1528" s="66"/>
      <c r="BP1528" s="66"/>
      <c r="BQ1528" s="66" t="str">
        <f>PROPER(TEXT(Prog_23[[#This Row],[PROGRAMAÇÃO CLIENTE]],"mmm"))</f>
        <v>Jan</v>
      </c>
      <c r="BR1528" s="66">
        <f>YEAR(Prog_23[[#This Row],[PROGRAMAÇÃO CLIENTE]])</f>
        <v>1900</v>
      </c>
    </row>
    <row r="1529" spans="1:70" x14ac:dyDescent="0.25">
      <c r="A1529" s="200">
        <f>Prog_23[[#This Row],[CONTEINER]]</f>
        <v>0</v>
      </c>
      <c r="B1529" s="86"/>
      <c r="C15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29" s="44"/>
      <c r="E1529" s="66"/>
      <c r="F1529" s="66"/>
      <c r="G1529" s="66"/>
      <c r="H1529" s="44"/>
      <c r="I1529" s="44"/>
      <c r="J1529" s="66"/>
      <c r="K1529" s="66"/>
      <c r="L1529" s="66"/>
      <c r="M1529" s="66"/>
      <c r="N1529" s="66">
        <f>SUM(Prog_23[[#This Row],[TARA]]+Prog_23[[#This Row],[PESO]])</f>
        <v>0</v>
      </c>
      <c r="O1529" s="44"/>
      <c r="P1529" s="66"/>
      <c r="Q1529" s="66"/>
      <c r="R1529" s="66"/>
      <c r="S1529" s="66"/>
      <c r="T1529" s="138" t="str">
        <f>IFERROR(LOOKUP($S1529,MOTORISTAS!$D$3:$D$916,MOTORISTAS!E$3:$E$916),"")</f>
        <v/>
      </c>
      <c r="U1529" s="138" t="str">
        <f>IFERROR(LOOKUP($S1529,MOTORISTAS!$D$3:$D$916,MOTORISTAS!F$3:$F$916),"")</f>
        <v/>
      </c>
      <c r="V1529" s="66"/>
      <c r="W1529" s="66"/>
      <c r="X1529" s="66"/>
      <c r="Y1529" s="66"/>
      <c r="Z1529" s="66"/>
      <c r="AA1529" s="66"/>
      <c r="AB1529" s="66"/>
      <c r="AC1529" s="66"/>
      <c r="AD1529" s="66"/>
      <c r="AE1529" s="66"/>
      <c r="AF1529" s="44"/>
      <c r="AG1529" s="254">
        <f>Prog_23[[#This Row],[SAÍDA DO CLIENTE]]-Prog_23[[#This Row],[PROGRAMAÇÃO CLIENTE]]</f>
        <v>0</v>
      </c>
      <c r="AH1529" s="44"/>
      <c r="AI1529" s="66"/>
      <c r="AJ1529" s="66"/>
      <c r="AK1529" s="66"/>
      <c r="AL1529" s="66"/>
      <c r="AM1529" s="66"/>
      <c r="AN1529" s="83"/>
      <c r="AO1529" s="83"/>
      <c r="AP1529" s="83"/>
      <c r="AQ1529" s="66"/>
      <c r="AR1529" s="66"/>
      <c r="AS1529" s="66"/>
      <c r="AT1529" s="81"/>
      <c r="AU1529" s="81"/>
      <c r="AV1529" s="81"/>
      <c r="AW1529" s="81"/>
      <c r="AX1529" s="83">
        <f>SUM(Prog_23[[#This Row],[ADIANTAMENTO]]+Prog_23[[#This Row],[SALDO]]+Prog_23[[#This Row],[MARGEM]]+Prog_23[[#This Row],[ESTADIA 1]])</f>
        <v>0</v>
      </c>
      <c r="AY15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29" s="81"/>
      <c r="BA1529" s="81"/>
      <c r="BB1529" s="81">
        <f>Prog_23[[#This Row],[VLR NF]]*0.1%</f>
        <v>0</v>
      </c>
      <c r="BC1529" s="81">
        <f>Prog_23[[#This Row],[VLR NF]]*0.05%</f>
        <v>0</v>
      </c>
      <c r="BD1529" s="81"/>
      <c r="BE1529" s="81"/>
      <c r="BF1529" s="81"/>
      <c r="BG1529" s="81"/>
      <c r="BH1529" s="81"/>
      <c r="BI1529" s="81"/>
      <c r="BJ1529" s="81"/>
      <c r="BK1529" s="81"/>
      <c r="BL1529" s="81"/>
      <c r="BM1529" s="81"/>
      <c r="BN1529" s="66"/>
      <c r="BO1529" s="66"/>
      <c r="BP1529" s="66"/>
      <c r="BQ1529" s="66" t="str">
        <f>PROPER(TEXT(Prog_23[[#This Row],[PROGRAMAÇÃO CLIENTE]],"mmm"))</f>
        <v>Jan</v>
      </c>
      <c r="BR1529" s="66">
        <f>YEAR(Prog_23[[#This Row],[PROGRAMAÇÃO CLIENTE]])</f>
        <v>1900</v>
      </c>
    </row>
    <row r="1530" spans="1:70" x14ac:dyDescent="0.25">
      <c r="A1530" s="201">
        <f>Prog_23[[#This Row],[CONTEINER]]</f>
        <v>0</v>
      </c>
      <c r="B1530" s="86"/>
      <c r="C15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30" s="44"/>
      <c r="E1530" s="66"/>
      <c r="F1530" s="66"/>
      <c r="G1530" s="66"/>
      <c r="H1530" s="44"/>
      <c r="I1530" s="44"/>
      <c r="J1530" s="66"/>
      <c r="K1530" s="66"/>
      <c r="L1530" s="66"/>
      <c r="M1530" s="66"/>
      <c r="N1530" s="66">
        <f>SUM(Prog_23[[#This Row],[TARA]]+Prog_23[[#This Row],[PESO]])</f>
        <v>0</v>
      </c>
      <c r="O1530" s="44"/>
      <c r="P1530" s="66"/>
      <c r="Q1530" s="66"/>
      <c r="R1530" s="66"/>
      <c r="S1530" s="66"/>
      <c r="T1530" s="138" t="str">
        <f>IFERROR(LOOKUP($S1530,MOTORISTAS!$D$3:$D$916,MOTORISTAS!E$3:$E$916),"")</f>
        <v/>
      </c>
      <c r="U1530" s="138" t="str">
        <f>IFERROR(LOOKUP($S1530,MOTORISTAS!$D$3:$D$916,MOTORISTAS!F$3:$F$916),"")</f>
        <v/>
      </c>
      <c r="V1530" s="66"/>
      <c r="W1530" s="66"/>
      <c r="X1530" s="66"/>
      <c r="Y1530" s="66"/>
      <c r="Z1530" s="66"/>
      <c r="AA1530" s="66"/>
      <c r="AB1530" s="66"/>
      <c r="AC1530" s="66"/>
      <c r="AD1530" s="66"/>
      <c r="AE1530" s="66"/>
      <c r="AF1530" s="44"/>
      <c r="AG1530" s="254">
        <f>Prog_23[[#This Row],[SAÍDA DO CLIENTE]]-Prog_23[[#This Row],[PROGRAMAÇÃO CLIENTE]]</f>
        <v>0</v>
      </c>
      <c r="AH1530" s="44"/>
      <c r="AI1530" s="66"/>
      <c r="AJ1530" s="66"/>
      <c r="AK1530" s="66"/>
      <c r="AL1530" s="66"/>
      <c r="AM1530" s="66"/>
      <c r="AN1530" s="83"/>
      <c r="AO1530" s="83"/>
      <c r="AP1530" s="83"/>
      <c r="AQ1530" s="66"/>
      <c r="AR1530" s="66"/>
      <c r="AS1530" s="66"/>
      <c r="AT1530" s="81"/>
      <c r="AU1530" s="81"/>
      <c r="AV1530" s="81"/>
      <c r="AW1530" s="81"/>
      <c r="AX1530" s="83">
        <f>SUM(Prog_23[[#This Row],[ADIANTAMENTO]]+Prog_23[[#This Row],[SALDO]]+Prog_23[[#This Row],[MARGEM]]+Prog_23[[#This Row],[ESTADIA 1]])</f>
        <v>0</v>
      </c>
      <c r="AY15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30" s="81"/>
      <c r="BA1530" s="81"/>
      <c r="BB1530" s="81">
        <f>Prog_23[[#This Row],[VLR NF]]*0.1%</f>
        <v>0</v>
      </c>
      <c r="BC1530" s="81">
        <f>Prog_23[[#This Row],[VLR NF]]*0.05%</f>
        <v>0</v>
      </c>
      <c r="BD1530" s="81"/>
      <c r="BE1530" s="81"/>
      <c r="BF1530" s="81"/>
      <c r="BG1530" s="81"/>
      <c r="BH1530" s="81"/>
      <c r="BI1530" s="81"/>
      <c r="BJ1530" s="81"/>
      <c r="BK1530" s="81"/>
      <c r="BL1530" s="81"/>
      <c r="BM1530" s="81"/>
      <c r="BN1530" s="66"/>
      <c r="BO1530" s="66"/>
      <c r="BP1530" s="66"/>
      <c r="BQ1530" s="66" t="str">
        <f>PROPER(TEXT(Prog_23[[#This Row],[PROGRAMAÇÃO CLIENTE]],"mmm"))</f>
        <v>Jan</v>
      </c>
      <c r="BR1530" s="66">
        <f>YEAR(Prog_23[[#This Row],[PROGRAMAÇÃO CLIENTE]])</f>
        <v>1900</v>
      </c>
    </row>
    <row r="1531" spans="1:70" x14ac:dyDescent="0.25">
      <c r="A1531" s="200">
        <f>Prog_23[[#This Row],[CONTEINER]]</f>
        <v>0</v>
      </c>
      <c r="B1531" s="86"/>
      <c r="C15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31" s="44"/>
      <c r="E1531" s="66"/>
      <c r="F1531" s="66"/>
      <c r="G1531" s="66"/>
      <c r="H1531" s="44"/>
      <c r="I1531" s="44"/>
      <c r="J1531" s="66"/>
      <c r="K1531" s="66"/>
      <c r="L1531" s="66"/>
      <c r="M1531" s="66"/>
      <c r="N1531" s="66">
        <f>SUM(Prog_23[[#This Row],[TARA]]+Prog_23[[#This Row],[PESO]])</f>
        <v>0</v>
      </c>
      <c r="O1531" s="44"/>
      <c r="P1531" s="66"/>
      <c r="Q1531" s="66"/>
      <c r="R1531" s="66"/>
      <c r="S1531" s="66"/>
      <c r="T1531" s="138" t="str">
        <f>IFERROR(LOOKUP($S1531,MOTORISTAS!$D$3:$D$916,MOTORISTAS!E$3:$E$916),"")</f>
        <v/>
      </c>
      <c r="U1531" s="138" t="str">
        <f>IFERROR(LOOKUP($S1531,MOTORISTAS!$D$3:$D$916,MOTORISTAS!F$3:$F$916),"")</f>
        <v/>
      </c>
      <c r="V1531" s="66"/>
      <c r="W1531" s="66"/>
      <c r="X1531" s="66"/>
      <c r="Y1531" s="66"/>
      <c r="Z1531" s="66"/>
      <c r="AA1531" s="66"/>
      <c r="AB1531" s="66"/>
      <c r="AC1531" s="66"/>
      <c r="AD1531" s="66"/>
      <c r="AE1531" s="66"/>
      <c r="AF1531" s="44"/>
      <c r="AG1531" s="254">
        <f>Prog_23[[#This Row],[SAÍDA DO CLIENTE]]-Prog_23[[#This Row],[PROGRAMAÇÃO CLIENTE]]</f>
        <v>0</v>
      </c>
      <c r="AH1531" s="44"/>
      <c r="AI1531" s="66"/>
      <c r="AJ1531" s="66"/>
      <c r="AK1531" s="66"/>
      <c r="AL1531" s="66"/>
      <c r="AM1531" s="66"/>
      <c r="AN1531" s="83"/>
      <c r="AO1531" s="83"/>
      <c r="AP1531" s="83"/>
      <c r="AQ1531" s="66"/>
      <c r="AR1531" s="66"/>
      <c r="AS1531" s="66"/>
      <c r="AT1531" s="81"/>
      <c r="AU1531" s="81"/>
      <c r="AV1531" s="81"/>
      <c r="AW1531" s="81"/>
      <c r="AX1531" s="83">
        <f>SUM(Prog_23[[#This Row],[ADIANTAMENTO]]+Prog_23[[#This Row],[SALDO]]+Prog_23[[#This Row],[MARGEM]]+Prog_23[[#This Row],[ESTADIA 1]])</f>
        <v>0</v>
      </c>
      <c r="AY15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31" s="81"/>
      <c r="BA1531" s="81"/>
      <c r="BB1531" s="81">
        <f>Prog_23[[#This Row],[VLR NF]]*0.1%</f>
        <v>0</v>
      </c>
      <c r="BC1531" s="81">
        <f>Prog_23[[#This Row],[VLR NF]]*0.05%</f>
        <v>0</v>
      </c>
      <c r="BD1531" s="81"/>
      <c r="BE1531" s="81"/>
      <c r="BF1531" s="81"/>
      <c r="BG1531" s="81"/>
      <c r="BH1531" s="81"/>
      <c r="BI1531" s="81"/>
      <c r="BJ1531" s="81"/>
      <c r="BK1531" s="81"/>
      <c r="BL1531" s="81"/>
      <c r="BM1531" s="81"/>
      <c r="BN1531" s="66"/>
      <c r="BO1531" s="66"/>
      <c r="BP1531" s="66"/>
      <c r="BQ1531" s="66" t="str">
        <f>PROPER(TEXT(Prog_23[[#This Row],[PROGRAMAÇÃO CLIENTE]],"mmm"))</f>
        <v>Jan</v>
      </c>
      <c r="BR1531" s="66">
        <f>YEAR(Prog_23[[#This Row],[PROGRAMAÇÃO CLIENTE]])</f>
        <v>1900</v>
      </c>
    </row>
    <row r="1532" spans="1:70" x14ac:dyDescent="0.25">
      <c r="A1532" s="201">
        <f>Prog_23[[#This Row],[CONTEINER]]</f>
        <v>0</v>
      </c>
      <c r="B1532" s="86"/>
      <c r="C15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32" s="44"/>
      <c r="E1532" s="66"/>
      <c r="F1532" s="66"/>
      <c r="G1532" s="66"/>
      <c r="H1532" s="44"/>
      <c r="I1532" s="44"/>
      <c r="J1532" s="66"/>
      <c r="K1532" s="66"/>
      <c r="L1532" s="66"/>
      <c r="M1532" s="66"/>
      <c r="N1532" s="66">
        <f>SUM(Prog_23[[#This Row],[TARA]]+Prog_23[[#This Row],[PESO]])</f>
        <v>0</v>
      </c>
      <c r="O1532" s="44"/>
      <c r="P1532" s="66"/>
      <c r="Q1532" s="66"/>
      <c r="R1532" s="66"/>
      <c r="S1532" s="66"/>
      <c r="T1532" s="138" t="str">
        <f>IFERROR(LOOKUP($S1532,MOTORISTAS!$D$3:$D$916,MOTORISTAS!E$3:$E$916),"")</f>
        <v/>
      </c>
      <c r="U1532" s="138" t="str">
        <f>IFERROR(LOOKUP($S1532,MOTORISTAS!$D$3:$D$916,MOTORISTAS!F$3:$F$916),"")</f>
        <v/>
      </c>
      <c r="V1532" s="66"/>
      <c r="W1532" s="66"/>
      <c r="X1532" s="66"/>
      <c r="Y1532" s="66"/>
      <c r="Z1532" s="66"/>
      <c r="AA1532" s="66"/>
      <c r="AB1532" s="66"/>
      <c r="AC1532" s="66"/>
      <c r="AD1532" s="66"/>
      <c r="AE1532" s="66"/>
      <c r="AF1532" s="44"/>
      <c r="AG1532" s="254">
        <f>Prog_23[[#This Row],[SAÍDA DO CLIENTE]]-Prog_23[[#This Row],[PROGRAMAÇÃO CLIENTE]]</f>
        <v>0</v>
      </c>
      <c r="AH1532" s="44"/>
      <c r="AI1532" s="66"/>
      <c r="AJ1532" s="66"/>
      <c r="AK1532" s="66"/>
      <c r="AL1532" s="66"/>
      <c r="AM1532" s="66"/>
      <c r="AN1532" s="83"/>
      <c r="AO1532" s="83"/>
      <c r="AP1532" s="83"/>
      <c r="AQ1532" s="66"/>
      <c r="AR1532" s="66"/>
      <c r="AS1532" s="66"/>
      <c r="AT1532" s="81"/>
      <c r="AU1532" s="81"/>
      <c r="AV1532" s="81"/>
      <c r="AW1532" s="81"/>
      <c r="AX1532" s="83">
        <f>SUM(Prog_23[[#This Row],[ADIANTAMENTO]]+Prog_23[[#This Row],[SALDO]]+Prog_23[[#This Row],[MARGEM]]+Prog_23[[#This Row],[ESTADIA 1]])</f>
        <v>0</v>
      </c>
      <c r="AY15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32" s="81"/>
      <c r="BA1532" s="81"/>
      <c r="BB1532" s="81">
        <f>Prog_23[[#This Row],[VLR NF]]*0.1%</f>
        <v>0</v>
      </c>
      <c r="BC1532" s="81">
        <f>Prog_23[[#This Row],[VLR NF]]*0.05%</f>
        <v>0</v>
      </c>
      <c r="BD1532" s="81"/>
      <c r="BE1532" s="81"/>
      <c r="BF1532" s="81"/>
      <c r="BG1532" s="81"/>
      <c r="BH1532" s="81"/>
      <c r="BI1532" s="81"/>
      <c r="BJ1532" s="81"/>
      <c r="BK1532" s="81"/>
      <c r="BL1532" s="81"/>
      <c r="BM1532" s="81"/>
      <c r="BN1532" s="66"/>
      <c r="BO1532" s="66"/>
      <c r="BP1532" s="66"/>
      <c r="BQ1532" s="66" t="str">
        <f>PROPER(TEXT(Prog_23[[#This Row],[PROGRAMAÇÃO CLIENTE]],"mmm"))</f>
        <v>Jan</v>
      </c>
      <c r="BR1532" s="66">
        <f>YEAR(Prog_23[[#This Row],[PROGRAMAÇÃO CLIENTE]])</f>
        <v>1900</v>
      </c>
    </row>
    <row r="1533" spans="1:70" x14ac:dyDescent="0.25">
      <c r="A1533" s="200">
        <f>Prog_23[[#This Row],[CONTEINER]]</f>
        <v>0</v>
      </c>
      <c r="B1533" s="86"/>
      <c r="C15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33" s="44"/>
      <c r="E1533" s="66"/>
      <c r="F1533" s="66"/>
      <c r="G1533" s="66"/>
      <c r="H1533" s="44"/>
      <c r="I1533" s="44"/>
      <c r="J1533" s="66"/>
      <c r="K1533" s="66"/>
      <c r="L1533" s="66"/>
      <c r="M1533" s="66"/>
      <c r="N1533" s="66">
        <f>SUM(Prog_23[[#This Row],[TARA]]+Prog_23[[#This Row],[PESO]])</f>
        <v>0</v>
      </c>
      <c r="O1533" s="44"/>
      <c r="P1533" s="66"/>
      <c r="Q1533" s="66"/>
      <c r="R1533" s="66"/>
      <c r="S1533" s="66"/>
      <c r="T1533" s="138" t="str">
        <f>IFERROR(LOOKUP($S1533,MOTORISTAS!$D$3:$D$916,MOTORISTAS!E$3:$E$916),"")</f>
        <v/>
      </c>
      <c r="U1533" s="138" t="str">
        <f>IFERROR(LOOKUP($S1533,MOTORISTAS!$D$3:$D$916,MOTORISTAS!F$3:$F$916),"")</f>
        <v/>
      </c>
      <c r="V1533" s="66"/>
      <c r="W1533" s="66"/>
      <c r="X1533" s="66"/>
      <c r="Y1533" s="66"/>
      <c r="Z1533" s="66"/>
      <c r="AA1533" s="66"/>
      <c r="AB1533" s="66"/>
      <c r="AC1533" s="66"/>
      <c r="AD1533" s="66"/>
      <c r="AE1533" s="66"/>
      <c r="AF1533" s="44"/>
      <c r="AG1533" s="254">
        <f>Prog_23[[#This Row],[SAÍDA DO CLIENTE]]-Prog_23[[#This Row],[PROGRAMAÇÃO CLIENTE]]</f>
        <v>0</v>
      </c>
      <c r="AH1533" s="44"/>
      <c r="AI1533" s="66"/>
      <c r="AJ1533" s="66"/>
      <c r="AK1533" s="66"/>
      <c r="AL1533" s="66"/>
      <c r="AM1533" s="66"/>
      <c r="AN1533" s="83"/>
      <c r="AO1533" s="83"/>
      <c r="AP1533" s="83"/>
      <c r="AQ1533" s="66"/>
      <c r="AR1533" s="66"/>
      <c r="AS1533" s="66"/>
      <c r="AT1533" s="81"/>
      <c r="AU1533" s="81"/>
      <c r="AV1533" s="81"/>
      <c r="AW1533" s="81"/>
      <c r="AX1533" s="83">
        <f>SUM(Prog_23[[#This Row],[ADIANTAMENTO]]+Prog_23[[#This Row],[SALDO]]+Prog_23[[#This Row],[MARGEM]]+Prog_23[[#This Row],[ESTADIA 1]])</f>
        <v>0</v>
      </c>
      <c r="AY15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33" s="81"/>
      <c r="BA1533" s="81"/>
      <c r="BB1533" s="81">
        <f>Prog_23[[#This Row],[VLR NF]]*0.1%</f>
        <v>0</v>
      </c>
      <c r="BC1533" s="81">
        <f>Prog_23[[#This Row],[VLR NF]]*0.05%</f>
        <v>0</v>
      </c>
      <c r="BD1533" s="81"/>
      <c r="BE1533" s="81"/>
      <c r="BF1533" s="81"/>
      <c r="BG1533" s="81"/>
      <c r="BH1533" s="81"/>
      <c r="BI1533" s="81"/>
      <c r="BJ1533" s="81"/>
      <c r="BK1533" s="81"/>
      <c r="BL1533" s="81"/>
      <c r="BM1533" s="81"/>
      <c r="BN1533" s="66"/>
      <c r="BO1533" s="66"/>
      <c r="BP1533" s="66"/>
      <c r="BQ1533" s="66" t="str">
        <f>PROPER(TEXT(Prog_23[[#This Row],[PROGRAMAÇÃO CLIENTE]],"mmm"))</f>
        <v>Jan</v>
      </c>
      <c r="BR1533" s="66">
        <f>YEAR(Prog_23[[#This Row],[PROGRAMAÇÃO CLIENTE]])</f>
        <v>1900</v>
      </c>
    </row>
    <row r="1534" spans="1:70" x14ac:dyDescent="0.25">
      <c r="A1534" s="201">
        <f>Prog_23[[#This Row],[CONTEINER]]</f>
        <v>0</v>
      </c>
      <c r="B1534" s="86"/>
      <c r="C15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34" s="44"/>
      <c r="E1534" s="66"/>
      <c r="F1534" s="66"/>
      <c r="G1534" s="66"/>
      <c r="H1534" s="44"/>
      <c r="I1534" s="44"/>
      <c r="J1534" s="66"/>
      <c r="K1534" s="66"/>
      <c r="L1534" s="66"/>
      <c r="M1534" s="66"/>
      <c r="N1534" s="66">
        <f>SUM(Prog_23[[#This Row],[TARA]]+Prog_23[[#This Row],[PESO]])</f>
        <v>0</v>
      </c>
      <c r="O1534" s="44"/>
      <c r="P1534" s="66"/>
      <c r="Q1534" s="66"/>
      <c r="R1534" s="66"/>
      <c r="S1534" s="66"/>
      <c r="T1534" s="138" t="str">
        <f>IFERROR(LOOKUP($S1534,MOTORISTAS!$D$3:$D$916,MOTORISTAS!E$3:$E$916),"")</f>
        <v/>
      </c>
      <c r="U1534" s="138" t="str">
        <f>IFERROR(LOOKUP($S1534,MOTORISTAS!$D$3:$D$916,MOTORISTAS!F$3:$F$916),"")</f>
        <v/>
      </c>
      <c r="V1534" s="66"/>
      <c r="W1534" s="66"/>
      <c r="X1534" s="66"/>
      <c r="Y1534" s="66"/>
      <c r="Z1534" s="66"/>
      <c r="AA1534" s="66"/>
      <c r="AB1534" s="66"/>
      <c r="AC1534" s="66"/>
      <c r="AD1534" s="66"/>
      <c r="AE1534" s="66"/>
      <c r="AF1534" s="44"/>
      <c r="AG1534" s="254">
        <f>Prog_23[[#This Row],[SAÍDA DO CLIENTE]]-Prog_23[[#This Row],[PROGRAMAÇÃO CLIENTE]]</f>
        <v>0</v>
      </c>
      <c r="AH1534" s="44"/>
      <c r="AI1534" s="66"/>
      <c r="AJ1534" s="66"/>
      <c r="AK1534" s="66"/>
      <c r="AL1534" s="66"/>
      <c r="AM1534" s="66"/>
      <c r="AN1534" s="83"/>
      <c r="AO1534" s="83"/>
      <c r="AP1534" s="83"/>
      <c r="AQ1534" s="66"/>
      <c r="AR1534" s="66"/>
      <c r="AS1534" s="66"/>
      <c r="AT1534" s="81"/>
      <c r="AU1534" s="81"/>
      <c r="AV1534" s="81"/>
      <c r="AW1534" s="81"/>
      <c r="AX1534" s="83">
        <f>SUM(Prog_23[[#This Row],[ADIANTAMENTO]]+Prog_23[[#This Row],[SALDO]]+Prog_23[[#This Row],[MARGEM]]+Prog_23[[#This Row],[ESTADIA 1]])</f>
        <v>0</v>
      </c>
      <c r="AY15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34" s="81"/>
      <c r="BA1534" s="81"/>
      <c r="BB1534" s="81">
        <f>Prog_23[[#This Row],[VLR NF]]*0.1%</f>
        <v>0</v>
      </c>
      <c r="BC1534" s="81">
        <f>Prog_23[[#This Row],[VLR NF]]*0.05%</f>
        <v>0</v>
      </c>
      <c r="BD1534" s="81"/>
      <c r="BE1534" s="81"/>
      <c r="BF1534" s="81"/>
      <c r="BG1534" s="81"/>
      <c r="BH1534" s="81"/>
      <c r="BI1534" s="81"/>
      <c r="BJ1534" s="81"/>
      <c r="BK1534" s="81"/>
      <c r="BL1534" s="81"/>
      <c r="BM1534" s="81"/>
      <c r="BN1534" s="66"/>
      <c r="BO1534" s="66"/>
      <c r="BP1534" s="66"/>
      <c r="BQ1534" s="66" t="str">
        <f>PROPER(TEXT(Prog_23[[#This Row],[PROGRAMAÇÃO CLIENTE]],"mmm"))</f>
        <v>Jan</v>
      </c>
      <c r="BR1534" s="66">
        <f>YEAR(Prog_23[[#This Row],[PROGRAMAÇÃO CLIENTE]])</f>
        <v>1900</v>
      </c>
    </row>
    <row r="1535" spans="1:70" x14ac:dyDescent="0.25">
      <c r="A1535" s="200">
        <f>Prog_23[[#This Row],[CONTEINER]]</f>
        <v>0</v>
      </c>
      <c r="B1535" s="86"/>
      <c r="C15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35" s="44"/>
      <c r="E1535" s="66"/>
      <c r="F1535" s="66"/>
      <c r="G1535" s="66"/>
      <c r="H1535" s="44"/>
      <c r="I1535" s="44"/>
      <c r="J1535" s="66"/>
      <c r="K1535" s="66"/>
      <c r="L1535" s="66"/>
      <c r="M1535" s="66"/>
      <c r="N1535" s="66">
        <f>SUM(Prog_23[[#This Row],[TARA]]+Prog_23[[#This Row],[PESO]])</f>
        <v>0</v>
      </c>
      <c r="O1535" s="44"/>
      <c r="P1535" s="66"/>
      <c r="Q1535" s="66"/>
      <c r="R1535" s="66"/>
      <c r="S1535" s="66"/>
      <c r="T1535" s="138" t="str">
        <f>IFERROR(LOOKUP($S1535,MOTORISTAS!$D$3:$D$916,MOTORISTAS!E$3:$E$916),"")</f>
        <v/>
      </c>
      <c r="U1535" s="138" t="str">
        <f>IFERROR(LOOKUP($S1535,MOTORISTAS!$D$3:$D$916,MOTORISTAS!F$3:$F$916),"")</f>
        <v/>
      </c>
      <c r="V1535" s="66"/>
      <c r="W1535" s="66"/>
      <c r="X1535" s="66"/>
      <c r="Y1535" s="66"/>
      <c r="Z1535" s="66"/>
      <c r="AA1535" s="66"/>
      <c r="AB1535" s="66"/>
      <c r="AC1535" s="66"/>
      <c r="AD1535" s="66"/>
      <c r="AE1535" s="66"/>
      <c r="AF1535" s="44"/>
      <c r="AG1535" s="254">
        <f>Prog_23[[#This Row],[SAÍDA DO CLIENTE]]-Prog_23[[#This Row],[PROGRAMAÇÃO CLIENTE]]</f>
        <v>0</v>
      </c>
      <c r="AH1535" s="44"/>
      <c r="AI1535" s="66"/>
      <c r="AJ1535" s="66"/>
      <c r="AK1535" s="66"/>
      <c r="AL1535" s="66"/>
      <c r="AM1535" s="66"/>
      <c r="AN1535" s="83"/>
      <c r="AO1535" s="83"/>
      <c r="AP1535" s="83"/>
      <c r="AQ1535" s="66"/>
      <c r="AR1535" s="66"/>
      <c r="AS1535" s="66"/>
      <c r="AT1535" s="81"/>
      <c r="AU1535" s="81"/>
      <c r="AV1535" s="81"/>
      <c r="AW1535" s="81"/>
      <c r="AX1535" s="83">
        <f>SUM(Prog_23[[#This Row],[ADIANTAMENTO]]+Prog_23[[#This Row],[SALDO]]+Prog_23[[#This Row],[MARGEM]]+Prog_23[[#This Row],[ESTADIA 1]])</f>
        <v>0</v>
      </c>
      <c r="AY15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35" s="81"/>
      <c r="BA1535" s="81"/>
      <c r="BB1535" s="81">
        <f>Prog_23[[#This Row],[VLR NF]]*0.1%</f>
        <v>0</v>
      </c>
      <c r="BC1535" s="81">
        <f>Prog_23[[#This Row],[VLR NF]]*0.05%</f>
        <v>0</v>
      </c>
      <c r="BD1535" s="81"/>
      <c r="BE1535" s="81"/>
      <c r="BF1535" s="81"/>
      <c r="BG1535" s="81"/>
      <c r="BH1535" s="81"/>
      <c r="BI1535" s="81"/>
      <c r="BJ1535" s="81"/>
      <c r="BK1535" s="81"/>
      <c r="BL1535" s="81"/>
      <c r="BM1535" s="81"/>
      <c r="BN1535" s="66"/>
      <c r="BO1535" s="66"/>
      <c r="BP1535" s="66"/>
      <c r="BQ1535" s="66" t="str">
        <f>PROPER(TEXT(Prog_23[[#This Row],[PROGRAMAÇÃO CLIENTE]],"mmm"))</f>
        <v>Jan</v>
      </c>
      <c r="BR1535" s="66">
        <f>YEAR(Prog_23[[#This Row],[PROGRAMAÇÃO CLIENTE]])</f>
        <v>1900</v>
      </c>
    </row>
    <row r="1536" spans="1:70" x14ac:dyDescent="0.25">
      <c r="A1536" s="201">
        <f>Prog_23[[#This Row],[CONTEINER]]</f>
        <v>0</v>
      </c>
      <c r="B1536" s="86"/>
      <c r="C15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36" s="44"/>
      <c r="E1536" s="66"/>
      <c r="F1536" s="66"/>
      <c r="G1536" s="66"/>
      <c r="H1536" s="44"/>
      <c r="I1536" s="44"/>
      <c r="J1536" s="66"/>
      <c r="K1536" s="66"/>
      <c r="L1536" s="66"/>
      <c r="M1536" s="66"/>
      <c r="N1536" s="66">
        <f>SUM(Prog_23[[#This Row],[TARA]]+Prog_23[[#This Row],[PESO]])</f>
        <v>0</v>
      </c>
      <c r="O1536" s="44"/>
      <c r="P1536" s="66"/>
      <c r="Q1536" s="66"/>
      <c r="R1536" s="66"/>
      <c r="S1536" s="66"/>
      <c r="T1536" s="138" t="str">
        <f>IFERROR(LOOKUP($S1536,MOTORISTAS!$D$3:$D$916,MOTORISTAS!E$3:$E$916),"")</f>
        <v/>
      </c>
      <c r="U1536" s="138" t="str">
        <f>IFERROR(LOOKUP($S1536,MOTORISTAS!$D$3:$D$916,MOTORISTAS!F$3:$F$916),"")</f>
        <v/>
      </c>
      <c r="V1536" s="66"/>
      <c r="W1536" s="66"/>
      <c r="X1536" s="66"/>
      <c r="Y1536" s="66"/>
      <c r="Z1536" s="66"/>
      <c r="AA1536" s="66"/>
      <c r="AB1536" s="66"/>
      <c r="AC1536" s="66"/>
      <c r="AD1536" s="66"/>
      <c r="AE1536" s="66"/>
      <c r="AF1536" s="44"/>
      <c r="AG1536" s="254">
        <f>Prog_23[[#This Row],[SAÍDA DO CLIENTE]]-Prog_23[[#This Row],[PROGRAMAÇÃO CLIENTE]]</f>
        <v>0</v>
      </c>
      <c r="AH1536" s="44"/>
      <c r="AI1536" s="66"/>
      <c r="AJ1536" s="66"/>
      <c r="AK1536" s="66"/>
      <c r="AL1536" s="66"/>
      <c r="AM1536" s="66"/>
      <c r="AN1536" s="83"/>
      <c r="AO1536" s="83"/>
      <c r="AP1536" s="83"/>
      <c r="AQ1536" s="66"/>
      <c r="AR1536" s="66"/>
      <c r="AS1536" s="66"/>
      <c r="AT1536" s="81"/>
      <c r="AU1536" s="81"/>
      <c r="AV1536" s="81"/>
      <c r="AW1536" s="81"/>
      <c r="AX1536" s="83">
        <f>SUM(Prog_23[[#This Row],[ADIANTAMENTO]]+Prog_23[[#This Row],[SALDO]]+Prog_23[[#This Row],[MARGEM]]+Prog_23[[#This Row],[ESTADIA 1]])</f>
        <v>0</v>
      </c>
      <c r="AY15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36" s="81"/>
      <c r="BA1536" s="81"/>
      <c r="BB1536" s="81">
        <f>Prog_23[[#This Row],[VLR NF]]*0.1%</f>
        <v>0</v>
      </c>
      <c r="BC1536" s="81">
        <f>Prog_23[[#This Row],[VLR NF]]*0.05%</f>
        <v>0</v>
      </c>
      <c r="BD1536" s="81"/>
      <c r="BE1536" s="81"/>
      <c r="BF1536" s="81"/>
      <c r="BG1536" s="81"/>
      <c r="BH1536" s="81"/>
      <c r="BI1536" s="81"/>
      <c r="BJ1536" s="81"/>
      <c r="BK1536" s="81"/>
      <c r="BL1536" s="81"/>
      <c r="BM1536" s="81"/>
      <c r="BN1536" s="66"/>
      <c r="BO1536" s="66"/>
      <c r="BP1536" s="66"/>
      <c r="BQ1536" s="66" t="str">
        <f>PROPER(TEXT(Prog_23[[#This Row],[PROGRAMAÇÃO CLIENTE]],"mmm"))</f>
        <v>Jan</v>
      </c>
      <c r="BR1536" s="66">
        <f>YEAR(Prog_23[[#This Row],[PROGRAMAÇÃO CLIENTE]])</f>
        <v>1900</v>
      </c>
    </row>
    <row r="1537" spans="1:70" x14ac:dyDescent="0.25">
      <c r="A1537" s="200">
        <f>Prog_23[[#This Row],[CONTEINER]]</f>
        <v>0</v>
      </c>
      <c r="B1537" s="86"/>
      <c r="C15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37" s="44"/>
      <c r="E1537" s="66"/>
      <c r="F1537" s="66"/>
      <c r="G1537" s="66"/>
      <c r="H1537" s="44"/>
      <c r="I1537" s="44"/>
      <c r="J1537" s="66"/>
      <c r="K1537" s="66"/>
      <c r="L1537" s="66"/>
      <c r="M1537" s="66"/>
      <c r="N1537" s="66">
        <f>SUM(Prog_23[[#This Row],[TARA]]+Prog_23[[#This Row],[PESO]])</f>
        <v>0</v>
      </c>
      <c r="O1537" s="44"/>
      <c r="P1537" s="66"/>
      <c r="Q1537" s="66"/>
      <c r="R1537" s="66"/>
      <c r="S1537" s="66"/>
      <c r="T1537" s="138" t="str">
        <f>IFERROR(LOOKUP($S1537,MOTORISTAS!$D$3:$D$916,MOTORISTAS!E$3:$E$916),"")</f>
        <v/>
      </c>
      <c r="U1537" s="138" t="str">
        <f>IFERROR(LOOKUP($S1537,MOTORISTAS!$D$3:$D$916,MOTORISTAS!F$3:$F$916),"")</f>
        <v/>
      </c>
      <c r="V1537" s="66"/>
      <c r="W1537" s="66"/>
      <c r="X1537" s="66"/>
      <c r="Y1537" s="66"/>
      <c r="Z1537" s="66"/>
      <c r="AA1537" s="66"/>
      <c r="AB1537" s="66"/>
      <c r="AC1537" s="66"/>
      <c r="AD1537" s="66"/>
      <c r="AE1537" s="66"/>
      <c r="AF1537" s="44"/>
      <c r="AG1537" s="254">
        <f>Prog_23[[#This Row],[SAÍDA DO CLIENTE]]-Prog_23[[#This Row],[PROGRAMAÇÃO CLIENTE]]</f>
        <v>0</v>
      </c>
      <c r="AH1537" s="44"/>
      <c r="AI1537" s="66"/>
      <c r="AJ1537" s="66"/>
      <c r="AK1537" s="66"/>
      <c r="AL1537" s="66"/>
      <c r="AM1537" s="66"/>
      <c r="AN1537" s="83"/>
      <c r="AO1537" s="83"/>
      <c r="AP1537" s="83"/>
      <c r="AQ1537" s="66"/>
      <c r="AR1537" s="66"/>
      <c r="AS1537" s="66"/>
      <c r="AT1537" s="81"/>
      <c r="AU1537" s="81"/>
      <c r="AV1537" s="81"/>
      <c r="AW1537" s="81"/>
      <c r="AX1537" s="83">
        <f>SUM(Prog_23[[#This Row],[ADIANTAMENTO]]+Prog_23[[#This Row],[SALDO]]+Prog_23[[#This Row],[MARGEM]]+Prog_23[[#This Row],[ESTADIA 1]])</f>
        <v>0</v>
      </c>
      <c r="AY15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37" s="81"/>
      <c r="BA1537" s="81"/>
      <c r="BB1537" s="81">
        <f>Prog_23[[#This Row],[VLR NF]]*0.1%</f>
        <v>0</v>
      </c>
      <c r="BC1537" s="81">
        <f>Prog_23[[#This Row],[VLR NF]]*0.05%</f>
        <v>0</v>
      </c>
      <c r="BD1537" s="81"/>
      <c r="BE1537" s="81"/>
      <c r="BF1537" s="81"/>
      <c r="BG1537" s="81"/>
      <c r="BH1537" s="81"/>
      <c r="BI1537" s="81"/>
      <c r="BJ1537" s="81"/>
      <c r="BK1537" s="81"/>
      <c r="BL1537" s="81"/>
      <c r="BM1537" s="81"/>
      <c r="BN1537" s="66"/>
      <c r="BO1537" s="66"/>
      <c r="BP1537" s="66"/>
      <c r="BQ1537" s="66" t="str">
        <f>PROPER(TEXT(Prog_23[[#This Row],[PROGRAMAÇÃO CLIENTE]],"mmm"))</f>
        <v>Jan</v>
      </c>
      <c r="BR1537" s="66">
        <f>YEAR(Prog_23[[#This Row],[PROGRAMAÇÃO CLIENTE]])</f>
        <v>1900</v>
      </c>
    </row>
    <row r="1538" spans="1:70" x14ac:dyDescent="0.25">
      <c r="A1538" s="201">
        <f>Prog_23[[#This Row],[CONTEINER]]</f>
        <v>0</v>
      </c>
      <c r="B1538" s="86"/>
      <c r="C15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38" s="44"/>
      <c r="E1538" s="66"/>
      <c r="F1538" s="66"/>
      <c r="G1538" s="66"/>
      <c r="H1538" s="44"/>
      <c r="I1538" s="44"/>
      <c r="J1538" s="66"/>
      <c r="K1538" s="66"/>
      <c r="L1538" s="66"/>
      <c r="M1538" s="66"/>
      <c r="N1538" s="66">
        <f>SUM(Prog_23[[#This Row],[TARA]]+Prog_23[[#This Row],[PESO]])</f>
        <v>0</v>
      </c>
      <c r="O1538" s="44"/>
      <c r="P1538" s="66"/>
      <c r="Q1538" s="66"/>
      <c r="R1538" s="66"/>
      <c r="S1538" s="66"/>
      <c r="T1538" s="138" t="str">
        <f>IFERROR(LOOKUP($S1538,MOTORISTAS!$D$3:$D$916,MOTORISTAS!E$3:$E$916),"")</f>
        <v/>
      </c>
      <c r="U1538" s="138" t="str">
        <f>IFERROR(LOOKUP($S1538,MOTORISTAS!$D$3:$D$916,MOTORISTAS!F$3:$F$916),"")</f>
        <v/>
      </c>
      <c r="V1538" s="66"/>
      <c r="W1538" s="66"/>
      <c r="X1538" s="66"/>
      <c r="Y1538" s="66"/>
      <c r="Z1538" s="66"/>
      <c r="AA1538" s="66"/>
      <c r="AB1538" s="66"/>
      <c r="AC1538" s="66"/>
      <c r="AD1538" s="66"/>
      <c r="AE1538" s="66"/>
      <c r="AF1538" s="44"/>
      <c r="AG1538" s="254">
        <f>Prog_23[[#This Row],[SAÍDA DO CLIENTE]]-Prog_23[[#This Row],[PROGRAMAÇÃO CLIENTE]]</f>
        <v>0</v>
      </c>
      <c r="AH1538" s="44"/>
      <c r="AI1538" s="66"/>
      <c r="AJ1538" s="66"/>
      <c r="AK1538" s="66"/>
      <c r="AL1538" s="66"/>
      <c r="AM1538" s="66"/>
      <c r="AN1538" s="83"/>
      <c r="AO1538" s="83"/>
      <c r="AP1538" s="83"/>
      <c r="AQ1538" s="66"/>
      <c r="AR1538" s="66"/>
      <c r="AS1538" s="66"/>
      <c r="AT1538" s="81"/>
      <c r="AU1538" s="81"/>
      <c r="AV1538" s="81"/>
      <c r="AW1538" s="81"/>
      <c r="AX1538" s="83">
        <f>SUM(Prog_23[[#This Row],[ADIANTAMENTO]]+Prog_23[[#This Row],[SALDO]]+Prog_23[[#This Row],[MARGEM]]+Prog_23[[#This Row],[ESTADIA 1]])</f>
        <v>0</v>
      </c>
      <c r="AY15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38" s="81"/>
      <c r="BA1538" s="81"/>
      <c r="BB1538" s="81">
        <f>Prog_23[[#This Row],[VLR NF]]*0.1%</f>
        <v>0</v>
      </c>
      <c r="BC1538" s="81">
        <f>Prog_23[[#This Row],[VLR NF]]*0.05%</f>
        <v>0</v>
      </c>
      <c r="BD1538" s="81"/>
      <c r="BE1538" s="81"/>
      <c r="BF1538" s="81"/>
      <c r="BG1538" s="81"/>
      <c r="BH1538" s="81"/>
      <c r="BI1538" s="81"/>
      <c r="BJ1538" s="81"/>
      <c r="BK1538" s="81"/>
      <c r="BL1538" s="81"/>
      <c r="BM1538" s="81"/>
      <c r="BN1538" s="66"/>
      <c r="BO1538" s="66"/>
      <c r="BP1538" s="66"/>
      <c r="BQ1538" s="66" t="str">
        <f>PROPER(TEXT(Prog_23[[#This Row],[PROGRAMAÇÃO CLIENTE]],"mmm"))</f>
        <v>Jan</v>
      </c>
      <c r="BR1538" s="66">
        <f>YEAR(Prog_23[[#This Row],[PROGRAMAÇÃO CLIENTE]])</f>
        <v>1900</v>
      </c>
    </row>
    <row r="1539" spans="1:70" x14ac:dyDescent="0.25">
      <c r="A1539" s="200">
        <f>Prog_23[[#This Row],[CONTEINER]]</f>
        <v>0</v>
      </c>
      <c r="B1539" s="86"/>
      <c r="C15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39" s="44"/>
      <c r="E1539" s="66"/>
      <c r="F1539" s="66"/>
      <c r="G1539" s="66"/>
      <c r="H1539" s="44"/>
      <c r="I1539" s="44"/>
      <c r="J1539" s="66"/>
      <c r="K1539" s="66"/>
      <c r="L1539" s="66"/>
      <c r="M1539" s="66"/>
      <c r="N1539" s="66">
        <f>SUM(Prog_23[[#This Row],[TARA]]+Prog_23[[#This Row],[PESO]])</f>
        <v>0</v>
      </c>
      <c r="O1539" s="44"/>
      <c r="P1539" s="66"/>
      <c r="Q1539" s="66"/>
      <c r="R1539" s="66"/>
      <c r="S1539" s="66"/>
      <c r="T1539" s="138" t="str">
        <f>IFERROR(LOOKUP($S1539,MOTORISTAS!$D$3:$D$916,MOTORISTAS!E$3:$E$916),"")</f>
        <v/>
      </c>
      <c r="U1539" s="138" t="str">
        <f>IFERROR(LOOKUP($S1539,MOTORISTAS!$D$3:$D$916,MOTORISTAS!F$3:$F$916),"")</f>
        <v/>
      </c>
      <c r="V1539" s="66"/>
      <c r="W1539" s="66"/>
      <c r="X1539" s="66"/>
      <c r="Y1539" s="66"/>
      <c r="Z1539" s="66"/>
      <c r="AA1539" s="66"/>
      <c r="AB1539" s="66"/>
      <c r="AC1539" s="66"/>
      <c r="AD1539" s="66"/>
      <c r="AE1539" s="66"/>
      <c r="AF1539" s="44"/>
      <c r="AG1539" s="254">
        <f>Prog_23[[#This Row],[SAÍDA DO CLIENTE]]-Prog_23[[#This Row],[PROGRAMAÇÃO CLIENTE]]</f>
        <v>0</v>
      </c>
      <c r="AH1539" s="44"/>
      <c r="AI1539" s="66"/>
      <c r="AJ1539" s="66"/>
      <c r="AK1539" s="66"/>
      <c r="AL1539" s="66"/>
      <c r="AM1539" s="66"/>
      <c r="AN1539" s="83"/>
      <c r="AO1539" s="83"/>
      <c r="AP1539" s="83"/>
      <c r="AQ1539" s="66"/>
      <c r="AR1539" s="66"/>
      <c r="AS1539" s="66"/>
      <c r="AT1539" s="81"/>
      <c r="AU1539" s="81"/>
      <c r="AV1539" s="81"/>
      <c r="AW1539" s="81"/>
      <c r="AX1539" s="83">
        <f>SUM(Prog_23[[#This Row],[ADIANTAMENTO]]+Prog_23[[#This Row],[SALDO]]+Prog_23[[#This Row],[MARGEM]]+Prog_23[[#This Row],[ESTADIA 1]])</f>
        <v>0</v>
      </c>
      <c r="AY15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39" s="81"/>
      <c r="BA1539" s="81"/>
      <c r="BB1539" s="81">
        <f>Prog_23[[#This Row],[VLR NF]]*0.1%</f>
        <v>0</v>
      </c>
      <c r="BC1539" s="81">
        <f>Prog_23[[#This Row],[VLR NF]]*0.05%</f>
        <v>0</v>
      </c>
      <c r="BD1539" s="81"/>
      <c r="BE1539" s="81"/>
      <c r="BF1539" s="81"/>
      <c r="BG1539" s="81"/>
      <c r="BH1539" s="81"/>
      <c r="BI1539" s="81"/>
      <c r="BJ1539" s="81"/>
      <c r="BK1539" s="81"/>
      <c r="BL1539" s="81"/>
      <c r="BM1539" s="81"/>
      <c r="BN1539" s="66"/>
      <c r="BO1539" s="66"/>
      <c r="BP1539" s="66"/>
      <c r="BQ1539" s="66" t="str">
        <f>PROPER(TEXT(Prog_23[[#This Row],[PROGRAMAÇÃO CLIENTE]],"mmm"))</f>
        <v>Jan</v>
      </c>
      <c r="BR1539" s="66">
        <f>YEAR(Prog_23[[#This Row],[PROGRAMAÇÃO CLIENTE]])</f>
        <v>1900</v>
      </c>
    </row>
    <row r="1540" spans="1:70" x14ac:dyDescent="0.25">
      <c r="A1540" s="201">
        <f>Prog_23[[#This Row],[CONTEINER]]</f>
        <v>0</v>
      </c>
      <c r="B1540" s="86"/>
      <c r="C15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40" s="44"/>
      <c r="E1540" s="66"/>
      <c r="F1540" s="66"/>
      <c r="G1540" s="66"/>
      <c r="H1540" s="44"/>
      <c r="I1540" s="44"/>
      <c r="J1540" s="66"/>
      <c r="K1540" s="66"/>
      <c r="L1540" s="66"/>
      <c r="M1540" s="66"/>
      <c r="N1540" s="66">
        <f>SUM(Prog_23[[#This Row],[TARA]]+Prog_23[[#This Row],[PESO]])</f>
        <v>0</v>
      </c>
      <c r="O1540" s="44"/>
      <c r="P1540" s="66"/>
      <c r="Q1540" s="66"/>
      <c r="R1540" s="66"/>
      <c r="S1540" s="66"/>
      <c r="T1540" s="138" t="str">
        <f>IFERROR(LOOKUP($S1540,MOTORISTAS!$D$3:$D$916,MOTORISTAS!E$3:$E$916),"")</f>
        <v/>
      </c>
      <c r="U1540" s="138" t="str">
        <f>IFERROR(LOOKUP($S1540,MOTORISTAS!$D$3:$D$916,MOTORISTAS!F$3:$F$916),"")</f>
        <v/>
      </c>
      <c r="V1540" s="66"/>
      <c r="W1540" s="66"/>
      <c r="X1540" s="66"/>
      <c r="Y1540" s="66"/>
      <c r="Z1540" s="66"/>
      <c r="AA1540" s="66"/>
      <c r="AB1540" s="66"/>
      <c r="AC1540" s="66"/>
      <c r="AD1540" s="66"/>
      <c r="AE1540" s="66"/>
      <c r="AF1540" s="44"/>
      <c r="AG1540" s="254">
        <f>Prog_23[[#This Row],[SAÍDA DO CLIENTE]]-Prog_23[[#This Row],[PROGRAMAÇÃO CLIENTE]]</f>
        <v>0</v>
      </c>
      <c r="AH1540" s="44"/>
      <c r="AI1540" s="66"/>
      <c r="AJ1540" s="66"/>
      <c r="AK1540" s="66"/>
      <c r="AL1540" s="66"/>
      <c r="AM1540" s="66"/>
      <c r="AN1540" s="83"/>
      <c r="AO1540" s="83"/>
      <c r="AP1540" s="83"/>
      <c r="AQ1540" s="66"/>
      <c r="AR1540" s="66"/>
      <c r="AS1540" s="66"/>
      <c r="AT1540" s="81"/>
      <c r="AU1540" s="81"/>
      <c r="AV1540" s="81"/>
      <c r="AW1540" s="81"/>
      <c r="AX1540" s="83">
        <f>SUM(Prog_23[[#This Row],[ADIANTAMENTO]]+Prog_23[[#This Row],[SALDO]]+Prog_23[[#This Row],[MARGEM]]+Prog_23[[#This Row],[ESTADIA 1]])</f>
        <v>0</v>
      </c>
      <c r="AY15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40" s="81"/>
      <c r="BA1540" s="81"/>
      <c r="BB1540" s="81">
        <f>Prog_23[[#This Row],[VLR NF]]*0.1%</f>
        <v>0</v>
      </c>
      <c r="BC1540" s="81">
        <f>Prog_23[[#This Row],[VLR NF]]*0.05%</f>
        <v>0</v>
      </c>
      <c r="BD1540" s="81"/>
      <c r="BE1540" s="81"/>
      <c r="BF1540" s="81"/>
      <c r="BG1540" s="81"/>
      <c r="BH1540" s="81"/>
      <c r="BI1540" s="81"/>
      <c r="BJ1540" s="81"/>
      <c r="BK1540" s="81"/>
      <c r="BL1540" s="81"/>
      <c r="BM1540" s="81"/>
      <c r="BN1540" s="66"/>
      <c r="BO1540" s="66"/>
      <c r="BP1540" s="66"/>
      <c r="BQ1540" s="66" t="str">
        <f>PROPER(TEXT(Prog_23[[#This Row],[PROGRAMAÇÃO CLIENTE]],"mmm"))</f>
        <v>Jan</v>
      </c>
      <c r="BR1540" s="66">
        <f>YEAR(Prog_23[[#This Row],[PROGRAMAÇÃO CLIENTE]])</f>
        <v>1900</v>
      </c>
    </row>
    <row r="1541" spans="1:70" x14ac:dyDescent="0.25">
      <c r="A1541" s="200">
        <f>Prog_23[[#This Row],[CONTEINER]]</f>
        <v>0</v>
      </c>
      <c r="B1541" s="86"/>
      <c r="C15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41" s="44"/>
      <c r="E1541" s="66"/>
      <c r="F1541" s="66"/>
      <c r="G1541" s="66"/>
      <c r="H1541" s="44"/>
      <c r="I1541" s="44"/>
      <c r="J1541" s="66"/>
      <c r="K1541" s="66"/>
      <c r="L1541" s="66"/>
      <c r="M1541" s="66"/>
      <c r="N1541" s="66">
        <f>SUM(Prog_23[[#This Row],[TARA]]+Prog_23[[#This Row],[PESO]])</f>
        <v>0</v>
      </c>
      <c r="O1541" s="44"/>
      <c r="P1541" s="66"/>
      <c r="Q1541" s="66"/>
      <c r="R1541" s="66"/>
      <c r="S1541" s="66"/>
      <c r="T1541" s="138" t="str">
        <f>IFERROR(LOOKUP($S1541,MOTORISTAS!$D$3:$D$916,MOTORISTAS!E$3:$E$916),"")</f>
        <v/>
      </c>
      <c r="U1541" s="138" t="str">
        <f>IFERROR(LOOKUP($S1541,MOTORISTAS!$D$3:$D$916,MOTORISTAS!F$3:$F$916),"")</f>
        <v/>
      </c>
      <c r="V1541" s="66"/>
      <c r="W1541" s="66"/>
      <c r="X1541" s="66"/>
      <c r="Y1541" s="66"/>
      <c r="Z1541" s="66"/>
      <c r="AA1541" s="66"/>
      <c r="AB1541" s="66"/>
      <c r="AC1541" s="66"/>
      <c r="AD1541" s="66"/>
      <c r="AE1541" s="66"/>
      <c r="AF1541" s="44"/>
      <c r="AG1541" s="254">
        <f>Prog_23[[#This Row],[SAÍDA DO CLIENTE]]-Prog_23[[#This Row],[PROGRAMAÇÃO CLIENTE]]</f>
        <v>0</v>
      </c>
      <c r="AH1541" s="44"/>
      <c r="AI1541" s="66"/>
      <c r="AJ1541" s="66"/>
      <c r="AK1541" s="66"/>
      <c r="AL1541" s="66"/>
      <c r="AM1541" s="66"/>
      <c r="AN1541" s="83"/>
      <c r="AO1541" s="83"/>
      <c r="AP1541" s="83"/>
      <c r="AQ1541" s="66"/>
      <c r="AR1541" s="66"/>
      <c r="AS1541" s="66"/>
      <c r="AT1541" s="81"/>
      <c r="AU1541" s="81"/>
      <c r="AV1541" s="81"/>
      <c r="AW1541" s="81"/>
      <c r="AX1541" s="83">
        <f>SUM(Prog_23[[#This Row],[ADIANTAMENTO]]+Prog_23[[#This Row],[SALDO]]+Prog_23[[#This Row],[MARGEM]]+Prog_23[[#This Row],[ESTADIA 1]])</f>
        <v>0</v>
      </c>
      <c r="AY15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41" s="81"/>
      <c r="BA1541" s="81"/>
      <c r="BB1541" s="81">
        <f>Prog_23[[#This Row],[VLR NF]]*0.1%</f>
        <v>0</v>
      </c>
      <c r="BC1541" s="81">
        <f>Prog_23[[#This Row],[VLR NF]]*0.05%</f>
        <v>0</v>
      </c>
      <c r="BD1541" s="81"/>
      <c r="BE1541" s="81"/>
      <c r="BF1541" s="81"/>
      <c r="BG1541" s="81"/>
      <c r="BH1541" s="81"/>
      <c r="BI1541" s="81"/>
      <c r="BJ1541" s="81"/>
      <c r="BK1541" s="81"/>
      <c r="BL1541" s="81"/>
      <c r="BM1541" s="81"/>
      <c r="BN1541" s="66"/>
      <c r="BO1541" s="66"/>
      <c r="BP1541" s="66"/>
      <c r="BQ1541" s="66" t="str">
        <f>PROPER(TEXT(Prog_23[[#This Row],[PROGRAMAÇÃO CLIENTE]],"mmm"))</f>
        <v>Jan</v>
      </c>
      <c r="BR1541" s="66">
        <f>YEAR(Prog_23[[#This Row],[PROGRAMAÇÃO CLIENTE]])</f>
        <v>1900</v>
      </c>
    </row>
    <row r="1542" spans="1:70" x14ac:dyDescent="0.25">
      <c r="A1542" s="201">
        <f>Prog_23[[#This Row],[CONTEINER]]</f>
        <v>0</v>
      </c>
      <c r="B1542" s="86"/>
      <c r="C15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42" s="44"/>
      <c r="E1542" s="66"/>
      <c r="F1542" s="66"/>
      <c r="G1542" s="66"/>
      <c r="H1542" s="44"/>
      <c r="I1542" s="44"/>
      <c r="J1542" s="66"/>
      <c r="K1542" s="66"/>
      <c r="L1542" s="66"/>
      <c r="M1542" s="66"/>
      <c r="N1542" s="66">
        <f>SUM(Prog_23[[#This Row],[TARA]]+Prog_23[[#This Row],[PESO]])</f>
        <v>0</v>
      </c>
      <c r="O1542" s="44"/>
      <c r="P1542" s="66"/>
      <c r="Q1542" s="66"/>
      <c r="R1542" s="66"/>
      <c r="S1542" s="66"/>
      <c r="T1542" s="138" t="str">
        <f>IFERROR(LOOKUP($S1542,MOTORISTAS!$D$3:$D$916,MOTORISTAS!E$3:$E$916),"")</f>
        <v/>
      </c>
      <c r="U1542" s="138" t="str">
        <f>IFERROR(LOOKUP($S1542,MOTORISTAS!$D$3:$D$916,MOTORISTAS!F$3:$F$916),"")</f>
        <v/>
      </c>
      <c r="V1542" s="66"/>
      <c r="W1542" s="66"/>
      <c r="X1542" s="66"/>
      <c r="Y1542" s="66"/>
      <c r="Z1542" s="66"/>
      <c r="AA1542" s="66"/>
      <c r="AB1542" s="66"/>
      <c r="AC1542" s="66"/>
      <c r="AD1542" s="66"/>
      <c r="AE1542" s="66"/>
      <c r="AF1542" s="44"/>
      <c r="AG1542" s="254">
        <f>Prog_23[[#This Row],[SAÍDA DO CLIENTE]]-Prog_23[[#This Row],[PROGRAMAÇÃO CLIENTE]]</f>
        <v>0</v>
      </c>
      <c r="AH1542" s="44"/>
      <c r="AI1542" s="66"/>
      <c r="AJ1542" s="66"/>
      <c r="AK1542" s="66"/>
      <c r="AL1542" s="66"/>
      <c r="AM1542" s="66"/>
      <c r="AN1542" s="83"/>
      <c r="AO1542" s="83"/>
      <c r="AP1542" s="83"/>
      <c r="AQ1542" s="66"/>
      <c r="AR1542" s="66"/>
      <c r="AS1542" s="66"/>
      <c r="AT1542" s="81"/>
      <c r="AU1542" s="81"/>
      <c r="AV1542" s="81"/>
      <c r="AW1542" s="81"/>
      <c r="AX1542" s="83">
        <f>SUM(Prog_23[[#This Row],[ADIANTAMENTO]]+Prog_23[[#This Row],[SALDO]]+Prog_23[[#This Row],[MARGEM]]+Prog_23[[#This Row],[ESTADIA 1]])</f>
        <v>0</v>
      </c>
      <c r="AY15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42" s="81"/>
      <c r="BA1542" s="81"/>
      <c r="BB1542" s="81">
        <f>Prog_23[[#This Row],[VLR NF]]*0.1%</f>
        <v>0</v>
      </c>
      <c r="BC1542" s="81">
        <f>Prog_23[[#This Row],[VLR NF]]*0.05%</f>
        <v>0</v>
      </c>
      <c r="BD1542" s="81"/>
      <c r="BE1542" s="81"/>
      <c r="BF1542" s="81"/>
      <c r="BG1542" s="81"/>
      <c r="BH1542" s="81"/>
      <c r="BI1542" s="81"/>
      <c r="BJ1542" s="81"/>
      <c r="BK1542" s="81"/>
      <c r="BL1542" s="81"/>
      <c r="BM1542" s="81"/>
      <c r="BN1542" s="66"/>
      <c r="BO1542" s="66"/>
      <c r="BP1542" s="66"/>
      <c r="BQ1542" s="66" t="str">
        <f>PROPER(TEXT(Prog_23[[#This Row],[PROGRAMAÇÃO CLIENTE]],"mmm"))</f>
        <v>Jan</v>
      </c>
      <c r="BR1542" s="66">
        <f>YEAR(Prog_23[[#This Row],[PROGRAMAÇÃO CLIENTE]])</f>
        <v>1900</v>
      </c>
    </row>
    <row r="1543" spans="1:70" x14ac:dyDescent="0.25">
      <c r="A1543" s="200">
        <f>Prog_23[[#This Row],[CONTEINER]]</f>
        <v>0</v>
      </c>
      <c r="B1543" s="86"/>
      <c r="C15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43" s="44"/>
      <c r="E1543" s="66"/>
      <c r="F1543" s="66"/>
      <c r="G1543" s="66"/>
      <c r="H1543" s="44"/>
      <c r="I1543" s="44"/>
      <c r="J1543" s="66"/>
      <c r="K1543" s="66"/>
      <c r="L1543" s="66"/>
      <c r="M1543" s="66"/>
      <c r="N1543" s="66">
        <f>SUM(Prog_23[[#This Row],[TARA]]+Prog_23[[#This Row],[PESO]])</f>
        <v>0</v>
      </c>
      <c r="O1543" s="44"/>
      <c r="P1543" s="66"/>
      <c r="Q1543" s="66"/>
      <c r="R1543" s="66"/>
      <c r="S1543" s="66"/>
      <c r="T1543" s="138" t="str">
        <f>IFERROR(LOOKUP($S1543,MOTORISTAS!$D$3:$D$916,MOTORISTAS!E$3:$E$916),"")</f>
        <v/>
      </c>
      <c r="U1543" s="138" t="str">
        <f>IFERROR(LOOKUP($S1543,MOTORISTAS!$D$3:$D$916,MOTORISTAS!F$3:$F$916),"")</f>
        <v/>
      </c>
      <c r="V1543" s="66"/>
      <c r="W1543" s="66"/>
      <c r="X1543" s="66"/>
      <c r="Y1543" s="66"/>
      <c r="Z1543" s="66"/>
      <c r="AA1543" s="66"/>
      <c r="AB1543" s="66"/>
      <c r="AC1543" s="66"/>
      <c r="AD1543" s="66"/>
      <c r="AE1543" s="66"/>
      <c r="AF1543" s="44"/>
      <c r="AG1543" s="254">
        <f>Prog_23[[#This Row],[SAÍDA DO CLIENTE]]-Prog_23[[#This Row],[PROGRAMAÇÃO CLIENTE]]</f>
        <v>0</v>
      </c>
      <c r="AH1543" s="44"/>
      <c r="AI1543" s="66"/>
      <c r="AJ1543" s="66"/>
      <c r="AK1543" s="66"/>
      <c r="AL1543" s="66"/>
      <c r="AM1543" s="66"/>
      <c r="AN1543" s="83"/>
      <c r="AO1543" s="83"/>
      <c r="AP1543" s="83"/>
      <c r="AQ1543" s="66"/>
      <c r="AR1543" s="66"/>
      <c r="AS1543" s="66"/>
      <c r="AT1543" s="81"/>
      <c r="AU1543" s="81"/>
      <c r="AV1543" s="81"/>
      <c r="AW1543" s="81"/>
      <c r="AX1543" s="83">
        <f>SUM(Prog_23[[#This Row],[ADIANTAMENTO]]+Prog_23[[#This Row],[SALDO]]+Prog_23[[#This Row],[MARGEM]]+Prog_23[[#This Row],[ESTADIA 1]])</f>
        <v>0</v>
      </c>
      <c r="AY15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43" s="81"/>
      <c r="BA1543" s="81"/>
      <c r="BB1543" s="81">
        <f>Prog_23[[#This Row],[VLR NF]]*0.1%</f>
        <v>0</v>
      </c>
      <c r="BC1543" s="81">
        <f>Prog_23[[#This Row],[VLR NF]]*0.05%</f>
        <v>0</v>
      </c>
      <c r="BD1543" s="81"/>
      <c r="BE1543" s="81"/>
      <c r="BF1543" s="81"/>
      <c r="BG1543" s="81"/>
      <c r="BH1543" s="81"/>
      <c r="BI1543" s="81"/>
      <c r="BJ1543" s="81"/>
      <c r="BK1543" s="81"/>
      <c r="BL1543" s="81"/>
      <c r="BM1543" s="81"/>
      <c r="BN1543" s="66"/>
      <c r="BO1543" s="66"/>
      <c r="BP1543" s="66"/>
      <c r="BQ1543" s="66" t="str">
        <f>PROPER(TEXT(Prog_23[[#This Row],[PROGRAMAÇÃO CLIENTE]],"mmm"))</f>
        <v>Jan</v>
      </c>
      <c r="BR1543" s="66">
        <f>YEAR(Prog_23[[#This Row],[PROGRAMAÇÃO CLIENTE]])</f>
        <v>1900</v>
      </c>
    </row>
    <row r="1544" spans="1:70" x14ac:dyDescent="0.25">
      <c r="A1544" s="201">
        <f>Prog_23[[#This Row],[CONTEINER]]</f>
        <v>0</v>
      </c>
      <c r="B1544" s="86"/>
      <c r="C15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44" s="44"/>
      <c r="E1544" s="66"/>
      <c r="F1544" s="66"/>
      <c r="G1544" s="66"/>
      <c r="H1544" s="44"/>
      <c r="I1544" s="44"/>
      <c r="J1544" s="66"/>
      <c r="K1544" s="66"/>
      <c r="L1544" s="66"/>
      <c r="M1544" s="66"/>
      <c r="N1544" s="66">
        <f>SUM(Prog_23[[#This Row],[TARA]]+Prog_23[[#This Row],[PESO]])</f>
        <v>0</v>
      </c>
      <c r="O1544" s="44"/>
      <c r="P1544" s="66"/>
      <c r="Q1544" s="66"/>
      <c r="R1544" s="66"/>
      <c r="S1544" s="66"/>
      <c r="T1544" s="138" t="str">
        <f>IFERROR(LOOKUP($S1544,MOTORISTAS!$D$3:$D$916,MOTORISTAS!E$3:$E$916),"")</f>
        <v/>
      </c>
      <c r="U1544" s="138" t="str">
        <f>IFERROR(LOOKUP($S1544,MOTORISTAS!$D$3:$D$916,MOTORISTAS!F$3:$F$916),"")</f>
        <v/>
      </c>
      <c r="V1544" s="66"/>
      <c r="W1544" s="66"/>
      <c r="X1544" s="66"/>
      <c r="Y1544" s="66"/>
      <c r="Z1544" s="66"/>
      <c r="AA1544" s="66"/>
      <c r="AB1544" s="66"/>
      <c r="AC1544" s="66"/>
      <c r="AD1544" s="66"/>
      <c r="AE1544" s="66"/>
      <c r="AF1544" s="44"/>
      <c r="AG1544" s="254">
        <f>Prog_23[[#This Row],[SAÍDA DO CLIENTE]]-Prog_23[[#This Row],[PROGRAMAÇÃO CLIENTE]]</f>
        <v>0</v>
      </c>
      <c r="AH1544" s="44"/>
      <c r="AI1544" s="66"/>
      <c r="AJ1544" s="66"/>
      <c r="AK1544" s="66"/>
      <c r="AL1544" s="66"/>
      <c r="AM1544" s="66"/>
      <c r="AN1544" s="83"/>
      <c r="AO1544" s="83"/>
      <c r="AP1544" s="83"/>
      <c r="AQ1544" s="66"/>
      <c r="AR1544" s="66"/>
      <c r="AS1544" s="66"/>
      <c r="AT1544" s="81"/>
      <c r="AU1544" s="81"/>
      <c r="AV1544" s="81"/>
      <c r="AW1544" s="81"/>
      <c r="AX1544" s="83">
        <f>SUM(Prog_23[[#This Row],[ADIANTAMENTO]]+Prog_23[[#This Row],[SALDO]]+Prog_23[[#This Row],[MARGEM]]+Prog_23[[#This Row],[ESTADIA 1]])</f>
        <v>0</v>
      </c>
      <c r="AY15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44" s="81"/>
      <c r="BA1544" s="81"/>
      <c r="BB1544" s="81">
        <f>Prog_23[[#This Row],[VLR NF]]*0.1%</f>
        <v>0</v>
      </c>
      <c r="BC1544" s="81">
        <f>Prog_23[[#This Row],[VLR NF]]*0.05%</f>
        <v>0</v>
      </c>
      <c r="BD1544" s="81"/>
      <c r="BE1544" s="81"/>
      <c r="BF1544" s="81"/>
      <c r="BG1544" s="81"/>
      <c r="BH1544" s="81"/>
      <c r="BI1544" s="81"/>
      <c r="BJ1544" s="81"/>
      <c r="BK1544" s="81"/>
      <c r="BL1544" s="81"/>
      <c r="BM1544" s="81"/>
      <c r="BN1544" s="66"/>
      <c r="BO1544" s="66"/>
      <c r="BP1544" s="66"/>
      <c r="BQ1544" s="66" t="str">
        <f>PROPER(TEXT(Prog_23[[#This Row],[PROGRAMAÇÃO CLIENTE]],"mmm"))</f>
        <v>Jan</v>
      </c>
      <c r="BR1544" s="66">
        <f>YEAR(Prog_23[[#This Row],[PROGRAMAÇÃO CLIENTE]])</f>
        <v>1900</v>
      </c>
    </row>
    <row r="1545" spans="1:70" x14ac:dyDescent="0.25">
      <c r="A1545" s="200">
        <f>Prog_23[[#This Row],[CONTEINER]]</f>
        <v>0</v>
      </c>
      <c r="B1545" s="86"/>
      <c r="C15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45" s="44"/>
      <c r="E1545" s="66"/>
      <c r="F1545" s="66"/>
      <c r="G1545" s="66"/>
      <c r="H1545" s="44"/>
      <c r="I1545" s="44"/>
      <c r="J1545" s="66"/>
      <c r="K1545" s="66"/>
      <c r="L1545" s="66"/>
      <c r="M1545" s="66"/>
      <c r="N1545" s="66">
        <f>SUM(Prog_23[[#This Row],[TARA]]+Prog_23[[#This Row],[PESO]])</f>
        <v>0</v>
      </c>
      <c r="O1545" s="44"/>
      <c r="P1545" s="66"/>
      <c r="Q1545" s="66"/>
      <c r="R1545" s="66"/>
      <c r="S1545" s="66"/>
      <c r="T1545" s="138" t="str">
        <f>IFERROR(LOOKUP($S1545,MOTORISTAS!$D$3:$D$916,MOTORISTAS!E$3:$E$916),"")</f>
        <v/>
      </c>
      <c r="U1545" s="138" t="str">
        <f>IFERROR(LOOKUP($S1545,MOTORISTAS!$D$3:$D$916,MOTORISTAS!F$3:$F$916),"")</f>
        <v/>
      </c>
      <c r="V1545" s="66"/>
      <c r="W1545" s="66"/>
      <c r="X1545" s="66"/>
      <c r="Y1545" s="66"/>
      <c r="Z1545" s="66"/>
      <c r="AA1545" s="66"/>
      <c r="AB1545" s="66"/>
      <c r="AC1545" s="66"/>
      <c r="AD1545" s="66"/>
      <c r="AE1545" s="66"/>
      <c r="AF1545" s="44"/>
      <c r="AG1545" s="254">
        <f>Prog_23[[#This Row],[SAÍDA DO CLIENTE]]-Prog_23[[#This Row],[PROGRAMAÇÃO CLIENTE]]</f>
        <v>0</v>
      </c>
      <c r="AH1545" s="44"/>
      <c r="AI1545" s="66"/>
      <c r="AJ1545" s="66"/>
      <c r="AK1545" s="66"/>
      <c r="AL1545" s="66"/>
      <c r="AM1545" s="66"/>
      <c r="AN1545" s="83"/>
      <c r="AO1545" s="83"/>
      <c r="AP1545" s="83"/>
      <c r="AQ1545" s="66"/>
      <c r="AR1545" s="66"/>
      <c r="AS1545" s="66"/>
      <c r="AT1545" s="81"/>
      <c r="AU1545" s="81"/>
      <c r="AV1545" s="81"/>
      <c r="AW1545" s="81"/>
      <c r="AX1545" s="83">
        <f>SUM(Prog_23[[#This Row],[ADIANTAMENTO]]+Prog_23[[#This Row],[SALDO]]+Prog_23[[#This Row],[MARGEM]]+Prog_23[[#This Row],[ESTADIA 1]])</f>
        <v>0</v>
      </c>
      <c r="AY15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45" s="81"/>
      <c r="BA1545" s="81"/>
      <c r="BB1545" s="81">
        <f>Prog_23[[#This Row],[VLR NF]]*0.1%</f>
        <v>0</v>
      </c>
      <c r="BC1545" s="81">
        <f>Prog_23[[#This Row],[VLR NF]]*0.05%</f>
        <v>0</v>
      </c>
      <c r="BD1545" s="81"/>
      <c r="BE1545" s="81"/>
      <c r="BF1545" s="81"/>
      <c r="BG1545" s="81"/>
      <c r="BH1545" s="81"/>
      <c r="BI1545" s="81"/>
      <c r="BJ1545" s="81"/>
      <c r="BK1545" s="81"/>
      <c r="BL1545" s="81"/>
      <c r="BM1545" s="81"/>
      <c r="BN1545" s="66"/>
      <c r="BO1545" s="66"/>
      <c r="BP1545" s="66"/>
      <c r="BQ1545" s="66" t="str">
        <f>PROPER(TEXT(Prog_23[[#This Row],[PROGRAMAÇÃO CLIENTE]],"mmm"))</f>
        <v>Jan</v>
      </c>
      <c r="BR1545" s="66">
        <f>YEAR(Prog_23[[#This Row],[PROGRAMAÇÃO CLIENTE]])</f>
        <v>1900</v>
      </c>
    </row>
    <row r="1546" spans="1:70" x14ac:dyDescent="0.25">
      <c r="A1546" s="201">
        <f>Prog_23[[#This Row],[CONTEINER]]</f>
        <v>0</v>
      </c>
      <c r="B1546" s="86"/>
      <c r="C15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46" s="44"/>
      <c r="E1546" s="66"/>
      <c r="F1546" s="66"/>
      <c r="G1546" s="66"/>
      <c r="H1546" s="44"/>
      <c r="I1546" s="44"/>
      <c r="J1546" s="66"/>
      <c r="K1546" s="66"/>
      <c r="L1546" s="66"/>
      <c r="M1546" s="66"/>
      <c r="N1546" s="66">
        <f>SUM(Prog_23[[#This Row],[TARA]]+Prog_23[[#This Row],[PESO]])</f>
        <v>0</v>
      </c>
      <c r="O1546" s="44"/>
      <c r="P1546" s="66"/>
      <c r="Q1546" s="66"/>
      <c r="R1546" s="66"/>
      <c r="S1546" s="66"/>
      <c r="T1546" s="138" t="str">
        <f>IFERROR(LOOKUP($S1546,MOTORISTAS!$D$3:$D$916,MOTORISTAS!E$3:$E$916),"")</f>
        <v/>
      </c>
      <c r="U1546" s="138" t="str">
        <f>IFERROR(LOOKUP($S1546,MOTORISTAS!$D$3:$D$916,MOTORISTAS!F$3:$F$916),"")</f>
        <v/>
      </c>
      <c r="V1546" s="66"/>
      <c r="W1546" s="66"/>
      <c r="X1546" s="66"/>
      <c r="Y1546" s="66"/>
      <c r="Z1546" s="66"/>
      <c r="AA1546" s="66"/>
      <c r="AB1546" s="66"/>
      <c r="AC1546" s="66"/>
      <c r="AD1546" s="66"/>
      <c r="AE1546" s="66"/>
      <c r="AF1546" s="44"/>
      <c r="AG1546" s="254">
        <f>Prog_23[[#This Row],[SAÍDA DO CLIENTE]]-Prog_23[[#This Row],[PROGRAMAÇÃO CLIENTE]]</f>
        <v>0</v>
      </c>
      <c r="AH1546" s="44"/>
      <c r="AI1546" s="66"/>
      <c r="AJ1546" s="66"/>
      <c r="AK1546" s="66"/>
      <c r="AL1546" s="66"/>
      <c r="AM1546" s="66"/>
      <c r="AN1546" s="83"/>
      <c r="AO1546" s="83"/>
      <c r="AP1546" s="83"/>
      <c r="AQ1546" s="66"/>
      <c r="AR1546" s="66"/>
      <c r="AS1546" s="66"/>
      <c r="AT1546" s="81"/>
      <c r="AU1546" s="81"/>
      <c r="AV1546" s="81"/>
      <c r="AW1546" s="81"/>
      <c r="AX1546" s="83">
        <f>SUM(Prog_23[[#This Row],[ADIANTAMENTO]]+Prog_23[[#This Row],[SALDO]]+Prog_23[[#This Row],[MARGEM]]+Prog_23[[#This Row],[ESTADIA 1]])</f>
        <v>0</v>
      </c>
      <c r="AY15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46" s="81"/>
      <c r="BA1546" s="81"/>
      <c r="BB1546" s="81">
        <f>Prog_23[[#This Row],[VLR NF]]*0.1%</f>
        <v>0</v>
      </c>
      <c r="BC1546" s="81">
        <f>Prog_23[[#This Row],[VLR NF]]*0.05%</f>
        <v>0</v>
      </c>
      <c r="BD1546" s="81"/>
      <c r="BE1546" s="81"/>
      <c r="BF1546" s="81"/>
      <c r="BG1546" s="81"/>
      <c r="BH1546" s="81"/>
      <c r="BI1546" s="81"/>
      <c r="BJ1546" s="81"/>
      <c r="BK1546" s="81"/>
      <c r="BL1546" s="81"/>
      <c r="BM1546" s="81"/>
      <c r="BN1546" s="66"/>
      <c r="BO1546" s="66"/>
      <c r="BP1546" s="66"/>
      <c r="BQ1546" s="66" t="str">
        <f>PROPER(TEXT(Prog_23[[#This Row],[PROGRAMAÇÃO CLIENTE]],"mmm"))</f>
        <v>Jan</v>
      </c>
      <c r="BR1546" s="66">
        <f>YEAR(Prog_23[[#This Row],[PROGRAMAÇÃO CLIENTE]])</f>
        <v>1900</v>
      </c>
    </row>
    <row r="1547" spans="1:70" x14ac:dyDescent="0.25">
      <c r="A1547" s="200">
        <f>Prog_23[[#This Row],[CONTEINER]]</f>
        <v>0</v>
      </c>
      <c r="B1547" s="86"/>
      <c r="C15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47" s="44"/>
      <c r="E1547" s="66"/>
      <c r="F1547" s="66"/>
      <c r="G1547" s="66"/>
      <c r="H1547" s="44"/>
      <c r="I1547" s="44"/>
      <c r="J1547" s="66"/>
      <c r="K1547" s="66"/>
      <c r="L1547" s="66"/>
      <c r="M1547" s="66"/>
      <c r="N1547" s="66">
        <f>SUM(Prog_23[[#This Row],[TARA]]+Prog_23[[#This Row],[PESO]])</f>
        <v>0</v>
      </c>
      <c r="O1547" s="44"/>
      <c r="P1547" s="66"/>
      <c r="Q1547" s="66"/>
      <c r="R1547" s="66"/>
      <c r="S1547" s="66"/>
      <c r="T1547" s="138" t="str">
        <f>IFERROR(LOOKUP($S1547,MOTORISTAS!$D$3:$D$916,MOTORISTAS!E$3:$E$916),"")</f>
        <v/>
      </c>
      <c r="U1547" s="138" t="str">
        <f>IFERROR(LOOKUP($S1547,MOTORISTAS!$D$3:$D$916,MOTORISTAS!F$3:$F$916),"")</f>
        <v/>
      </c>
      <c r="V1547" s="66"/>
      <c r="W1547" s="66"/>
      <c r="X1547" s="66"/>
      <c r="Y1547" s="66"/>
      <c r="Z1547" s="66"/>
      <c r="AA1547" s="66"/>
      <c r="AB1547" s="66"/>
      <c r="AC1547" s="66"/>
      <c r="AD1547" s="66"/>
      <c r="AE1547" s="66"/>
      <c r="AF1547" s="44"/>
      <c r="AG1547" s="254">
        <f>Prog_23[[#This Row],[SAÍDA DO CLIENTE]]-Prog_23[[#This Row],[PROGRAMAÇÃO CLIENTE]]</f>
        <v>0</v>
      </c>
      <c r="AH1547" s="44"/>
      <c r="AI1547" s="66"/>
      <c r="AJ1547" s="66"/>
      <c r="AK1547" s="66"/>
      <c r="AL1547" s="66"/>
      <c r="AM1547" s="66"/>
      <c r="AN1547" s="83"/>
      <c r="AO1547" s="83"/>
      <c r="AP1547" s="83"/>
      <c r="AQ1547" s="66"/>
      <c r="AR1547" s="66"/>
      <c r="AS1547" s="66"/>
      <c r="AT1547" s="81"/>
      <c r="AU1547" s="81"/>
      <c r="AV1547" s="81"/>
      <c r="AW1547" s="81"/>
      <c r="AX1547" s="83">
        <f>SUM(Prog_23[[#This Row],[ADIANTAMENTO]]+Prog_23[[#This Row],[SALDO]]+Prog_23[[#This Row],[MARGEM]]+Prog_23[[#This Row],[ESTADIA 1]])</f>
        <v>0</v>
      </c>
      <c r="AY15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47" s="81"/>
      <c r="BA1547" s="81"/>
      <c r="BB1547" s="81">
        <f>Prog_23[[#This Row],[VLR NF]]*0.1%</f>
        <v>0</v>
      </c>
      <c r="BC1547" s="81">
        <f>Prog_23[[#This Row],[VLR NF]]*0.05%</f>
        <v>0</v>
      </c>
      <c r="BD1547" s="81"/>
      <c r="BE1547" s="81"/>
      <c r="BF1547" s="81"/>
      <c r="BG1547" s="81"/>
      <c r="BH1547" s="81"/>
      <c r="BI1547" s="81"/>
      <c r="BJ1547" s="81"/>
      <c r="BK1547" s="81"/>
      <c r="BL1547" s="81"/>
      <c r="BM1547" s="81"/>
      <c r="BN1547" s="66"/>
      <c r="BO1547" s="66"/>
      <c r="BP1547" s="66"/>
      <c r="BQ1547" s="66" t="str">
        <f>PROPER(TEXT(Prog_23[[#This Row],[PROGRAMAÇÃO CLIENTE]],"mmm"))</f>
        <v>Jan</v>
      </c>
      <c r="BR1547" s="66">
        <f>YEAR(Prog_23[[#This Row],[PROGRAMAÇÃO CLIENTE]])</f>
        <v>1900</v>
      </c>
    </row>
    <row r="1548" spans="1:70" x14ac:dyDescent="0.25">
      <c r="A1548" s="201">
        <f>Prog_23[[#This Row],[CONTEINER]]</f>
        <v>0</v>
      </c>
      <c r="B1548" s="86"/>
      <c r="C15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48" s="44"/>
      <c r="E1548" s="66"/>
      <c r="F1548" s="66"/>
      <c r="G1548" s="66"/>
      <c r="H1548" s="44"/>
      <c r="I1548" s="44"/>
      <c r="J1548" s="66"/>
      <c r="K1548" s="66"/>
      <c r="L1548" s="66"/>
      <c r="M1548" s="66"/>
      <c r="N1548" s="66">
        <f>SUM(Prog_23[[#This Row],[TARA]]+Prog_23[[#This Row],[PESO]])</f>
        <v>0</v>
      </c>
      <c r="O1548" s="44"/>
      <c r="P1548" s="66"/>
      <c r="Q1548" s="66"/>
      <c r="R1548" s="66"/>
      <c r="S1548" s="66"/>
      <c r="T1548" s="138" t="str">
        <f>IFERROR(LOOKUP($S1548,MOTORISTAS!$D$3:$D$916,MOTORISTAS!E$3:$E$916),"")</f>
        <v/>
      </c>
      <c r="U1548" s="138" t="str">
        <f>IFERROR(LOOKUP($S1548,MOTORISTAS!$D$3:$D$916,MOTORISTAS!F$3:$F$916),"")</f>
        <v/>
      </c>
      <c r="V1548" s="66"/>
      <c r="W1548" s="66"/>
      <c r="X1548" s="66"/>
      <c r="Y1548" s="66"/>
      <c r="Z1548" s="66"/>
      <c r="AA1548" s="66"/>
      <c r="AB1548" s="66"/>
      <c r="AC1548" s="66"/>
      <c r="AD1548" s="66"/>
      <c r="AE1548" s="66"/>
      <c r="AF1548" s="44"/>
      <c r="AG1548" s="254">
        <f>Prog_23[[#This Row],[SAÍDA DO CLIENTE]]-Prog_23[[#This Row],[PROGRAMAÇÃO CLIENTE]]</f>
        <v>0</v>
      </c>
      <c r="AH1548" s="44"/>
      <c r="AI1548" s="66"/>
      <c r="AJ1548" s="66"/>
      <c r="AK1548" s="66"/>
      <c r="AL1548" s="66"/>
      <c r="AM1548" s="66"/>
      <c r="AN1548" s="83"/>
      <c r="AO1548" s="83"/>
      <c r="AP1548" s="83"/>
      <c r="AQ1548" s="66"/>
      <c r="AR1548" s="66"/>
      <c r="AS1548" s="66"/>
      <c r="AT1548" s="81"/>
      <c r="AU1548" s="81"/>
      <c r="AV1548" s="81"/>
      <c r="AW1548" s="81"/>
      <c r="AX1548" s="83">
        <f>SUM(Prog_23[[#This Row],[ADIANTAMENTO]]+Prog_23[[#This Row],[SALDO]]+Prog_23[[#This Row],[MARGEM]]+Prog_23[[#This Row],[ESTADIA 1]])</f>
        <v>0</v>
      </c>
      <c r="AY15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48" s="81"/>
      <c r="BA1548" s="81"/>
      <c r="BB1548" s="81">
        <f>Prog_23[[#This Row],[VLR NF]]*0.1%</f>
        <v>0</v>
      </c>
      <c r="BC1548" s="81">
        <f>Prog_23[[#This Row],[VLR NF]]*0.05%</f>
        <v>0</v>
      </c>
      <c r="BD1548" s="81"/>
      <c r="BE1548" s="81"/>
      <c r="BF1548" s="81"/>
      <c r="BG1548" s="81"/>
      <c r="BH1548" s="81"/>
      <c r="BI1548" s="81"/>
      <c r="BJ1548" s="81"/>
      <c r="BK1548" s="81"/>
      <c r="BL1548" s="81"/>
      <c r="BM1548" s="81"/>
      <c r="BN1548" s="66"/>
      <c r="BO1548" s="66"/>
      <c r="BP1548" s="66"/>
      <c r="BQ1548" s="66" t="str">
        <f>PROPER(TEXT(Prog_23[[#This Row],[PROGRAMAÇÃO CLIENTE]],"mmm"))</f>
        <v>Jan</v>
      </c>
      <c r="BR1548" s="66">
        <f>YEAR(Prog_23[[#This Row],[PROGRAMAÇÃO CLIENTE]])</f>
        <v>1900</v>
      </c>
    </row>
    <row r="1549" spans="1:70" x14ac:dyDescent="0.25">
      <c r="A1549" s="200">
        <f>Prog_23[[#This Row],[CONTEINER]]</f>
        <v>0</v>
      </c>
      <c r="B1549" s="86"/>
      <c r="C15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49" s="44"/>
      <c r="E1549" s="66"/>
      <c r="F1549" s="66"/>
      <c r="G1549" s="66"/>
      <c r="H1549" s="44"/>
      <c r="I1549" s="44"/>
      <c r="J1549" s="66"/>
      <c r="K1549" s="66"/>
      <c r="L1549" s="66"/>
      <c r="M1549" s="66"/>
      <c r="N1549" s="66">
        <f>SUM(Prog_23[[#This Row],[TARA]]+Prog_23[[#This Row],[PESO]])</f>
        <v>0</v>
      </c>
      <c r="O1549" s="44"/>
      <c r="P1549" s="66"/>
      <c r="Q1549" s="66"/>
      <c r="R1549" s="66"/>
      <c r="S1549" s="66"/>
      <c r="T1549" s="138" t="str">
        <f>IFERROR(LOOKUP($S1549,MOTORISTAS!$D$3:$D$916,MOTORISTAS!E$3:$E$916),"")</f>
        <v/>
      </c>
      <c r="U1549" s="138" t="str">
        <f>IFERROR(LOOKUP($S1549,MOTORISTAS!$D$3:$D$916,MOTORISTAS!F$3:$F$916),"")</f>
        <v/>
      </c>
      <c r="V1549" s="66"/>
      <c r="W1549" s="66"/>
      <c r="X1549" s="66"/>
      <c r="Y1549" s="66"/>
      <c r="Z1549" s="66"/>
      <c r="AA1549" s="66"/>
      <c r="AB1549" s="66"/>
      <c r="AC1549" s="66"/>
      <c r="AD1549" s="66"/>
      <c r="AE1549" s="66"/>
      <c r="AF1549" s="44"/>
      <c r="AG1549" s="254">
        <f>Prog_23[[#This Row],[SAÍDA DO CLIENTE]]-Prog_23[[#This Row],[PROGRAMAÇÃO CLIENTE]]</f>
        <v>0</v>
      </c>
      <c r="AH1549" s="44"/>
      <c r="AI1549" s="66"/>
      <c r="AJ1549" s="66"/>
      <c r="AK1549" s="66"/>
      <c r="AL1549" s="66"/>
      <c r="AM1549" s="66"/>
      <c r="AN1549" s="83"/>
      <c r="AO1549" s="83"/>
      <c r="AP1549" s="83"/>
      <c r="AQ1549" s="66"/>
      <c r="AR1549" s="66"/>
      <c r="AS1549" s="66"/>
      <c r="AT1549" s="81"/>
      <c r="AU1549" s="81"/>
      <c r="AV1549" s="81"/>
      <c r="AW1549" s="81"/>
      <c r="AX1549" s="83">
        <f>SUM(Prog_23[[#This Row],[ADIANTAMENTO]]+Prog_23[[#This Row],[SALDO]]+Prog_23[[#This Row],[MARGEM]]+Prog_23[[#This Row],[ESTADIA 1]])</f>
        <v>0</v>
      </c>
      <c r="AY15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49" s="81"/>
      <c r="BA1549" s="81"/>
      <c r="BB1549" s="81">
        <f>Prog_23[[#This Row],[VLR NF]]*0.1%</f>
        <v>0</v>
      </c>
      <c r="BC1549" s="81">
        <f>Prog_23[[#This Row],[VLR NF]]*0.05%</f>
        <v>0</v>
      </c>
      <c r="BD1549" s="81"/>
      <c r="BE1549" s="81"/>
      <c r="BF1549" s="81"/>
      <c r="BG1549" s="81"/>
      <c r="BH1549" s="81"/>
      <c r="BI1549" s="81"/>
      <c r="BJ1549" s="81"/>
      <c r="BK1549" s="81"/>
      <c r="BL1549" s="81"/>
      <c r="BM1549" s="81"/>
      <c r="BN1549" s="66"/>
      <c r="BO1549" s="66"/>
      <c r="BP1549" s="66"/>
      <c r="BQ1549" s="66" t="str">
        <f>PROPER(TEXT(Prog_23[[#This Row],[PROGRAMAÇÃO CLIENTE]],"mmm"))</f>
        <v>Jan</v>
      </c>
      <c r="BR1549" s="66">
        <f>YEAR(Prog_23[[#This Row],[PROGRAMAÇÃO CLIENTE]])</f>
        <v>1900</v>
      </c>
    </row>
    <row r="1550" spans="1:70" x14ac:dyDescent="0.25">
      <c r="A1550" s="201">
        <f>Prog_23[[#This Row],[CONTEINER]]</f>
        <v>0</v>
      </c>
      <c r="B1550" s="86"/>
      <c r="C15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50" s="44"/>
      <c r="E1550" s="66"/>
      <c r="F1550" s="66"/>
      <c r="G1550" s="66"/>
      <c r="H1550" s="44"/>
      <c r="I1550" s="44"/>
      <c r="J1550" s="66"/>
      <c r="K1550" s="66"/>
      <c r="L1550" s="66"/>
      <c r="M1550" s="66"/>
      <c r="N1550" s="66">
        <f>SUM(Prog_23[[#This Row],[TARA]]+Prog_23[[#This Row],[PESO]])</f>
        <v>0</v>
      </c>
      <c r="O1550" s="44"/>
      <c r="P1550" s="66"/>
      <c r="Q1550" s="66"/>
      <c r="R1550" s="66"/>
      <c r="S1550" s="66"/>
      <c r="T1550" s="138" t="str">
        <f>IFERROR(LOOKUP($S1550,MOTORISTAS!$D$3:$D$916,MOTORISTAS!E$3:$E$916),"")</f>
        <v/>
      </c>
      <c r="U1550" s="138" t="str">
        <f>IFERROR(LOOKUP($S1550,MOTORISTAS!$D$3:$D$916,MOTORISTAS!F$3:$F$916),"")</f>
        <v/>
      </c>
      <c r="V1550" s="66"/>
      <c r="W1550" s="66"/>
      <c r="X1550" s="66"/>
      <c r="Y1550" s="66"/>
      <c r="Z1550" s="66"/>
      <c r="AA1550" s="66"/>
      <c r="AB1550" s="66"/>
      <c r="AC1550" s="66"/>
      <c r="AD1550" s="66"/>
      <c r="AE1550" s="66"/>
      <c r="AF1550" s="44"/>
      <c r="AG1550" s="254">
        <f>Prog_23[[#This Row],[SAÍDA DO CLIENTE]]-Prog_23[[#This Row],[PROGRAMAÇÃO CLIENTE]]</f>
        <v>0</v>
      </c>
      <c r="AH1550" s="44"/>
      <c r="AI1550" s="66"/>
      <c r="AJ1550" s="66"/>
      <c r="AK1550" s="66"/>
      <c r="AL1550" s="66"/>
      <c r="AM1550" s="66"/>
      <c r="AN1550" s="83"/>
      <c r="AO1550" s="83"/>
      <c r="AP1550" s="83"/>
      <c r="AQ1550" s="66"/>
      <c r="AR1550" s="66"/>
      <c r="AS1550" s="66"/>
      <c r="AT1550" s="81"/>
      <c r="AU1550" s="81"/>
      <c r="AV1550" s="81"/>
      <c r="AW1550" s="81"/>
      <c r="AX1550" s="83">
        <f>SUM(Prog_23[[#This Row],[ADIANTAMENTO]]+Prog_23[[#This Row],[SALDO]]+Prog_23[[#This Row],[MARGEM]]+Prog_23[[#This Row],[ESTADIA 1]])</f>
        <v>0</v>
      </c>
      <c r="AY15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50" s="81"/>
      <c r="BA1550" s="81"/>
      <c r="BB1550" s="81">
        <f>Prog_23[[#This Row],[VLR NF]]*0.1%</f>
        <v>0</v>
      </c>
      <c r="BC1550" s="81">
        <f>Prog_23[[#This Row],[VLR NF]]*0.05%</f>
        <v>0</v>
      </c>
      <c r="BD1550" s="81"/>
      <c r="BE1550" s="81"/>
      <c r="BF1550" s="81"/>
      <c r="BG1550" s="81"/>
      <c r="BH1550" s="81"/>
      <c r="BI1550" s="81"/>
      <c r="BJ1550" s="81"/>
      <c r="BK1550" s="81"/>
      <c r="BL1550" s="81"/>
      <c r="BM1550" s="81"/>
      <c r="BN1550" s="66"/>
      <c r="BO1550" s="66"/>
      <c r="BP1550" s="66"/>
      <c r="BQ1550" s="66" t="str">
        <f>PROPER(TEXT(Prog_23[[#This Row],[PROGRAMAÇÃO CLIENTE]],"mmm"))</f>
        <v>Jan</v>
      </c>
      <c r="BR1550" s="66">
        <f>YEAR(Prog_23[[#This Row],[PROGRAMAÇÃO CLIENTE]])</f>
        <v>1900</v>
      </c>
    </row>
    <row r="1551" spans="1:70" x14ac:dyDescent="0.25">
      <c r="A1551" s="200">
        <f>Prog_23[[#This Row],[CONTEINER]]</f>
        <v>0</v>
      </c>
      <c r="B1551" s="86"/>
      <c r="C15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51" s="44"/>
      <c r="E1551" s="66"/>
      <c r="F1551" s="66"/>
      <c r="G1551" s="66"/>
      <c r="H1551" s="44"/>
      <c r="I1551" s="44"/>
      <c r="J1551" s="66"/>
      <c r="K1551" s="66"/>
      <c r="L1551" s="66"/>
      <c r="M1551" s="66"/>
      <c r="N1551" s="66">
        <f>SUM(Prog_23[[#This Row],[TARA]]+Prog_23[[#This Row],[PESO]])</f>
        <v>0</v>
      </c>
      <c r="O1551" s="44"/>
      <c r="P1551" s="66"/>
      <c r="Q1551" s="66"/>
      <c r="R1551" s="66"/>
      <c r="S1551" s="66"/>
      <c r="T1551" s="138" t="str">
        <f>IFERROR(LOOKUP($S1551,MOTORISTAS!$D$3:$D$916,MOTORISTAS!E$3:$E$916),"")</f>
        <v/>
      </c>
      <c r="U1551" s="138" t="str">
        <f>IFERROR(LOOKUP($S1551,MOTORISTAS!$D$3:$D$916,MOTORISTAS!F$3:$F$916),"")</f>
        <v/>
      </c>
      <c r="V1551" s="66"/>
      <c r="W1551" s="66"/>
      <c r="X1551" s="66"/>
      <c r="Y1551" s="66"/>
      <c r="Z1551" s="66"/>
      <c r="AA1551" s="66"/>
      <c r="AB1551" s="66"/>
      <c r="AC1551" s="66"/>
      <c r="AD1551" s="66"/>
      <c r="AE1551" s="66"/>
      <c r="AF1551" s="44"/>
      <c r="AG1551" s="254">
        <f>Prog_23[[#This Row],[SAÍDA DO CLIENTE]]-Prog_23[[#This Row],[PROGRAMAÇÃO CLIENTE]]</f>
        <v>0</v>
      </c>
      <c r="AH1551" s="44"/>
      <c r="AI1551" s="66"/>
      <c r="AJ1551" s="66"/>
      <c r="AK1551" s="66"/>
      <c r="AL1551" s="66"/>
      <c r="AM1551" s="66"/>
      <c r="AN1551" s="83"/>
      <c r="AO1551" s="83"/>
      <c r="AP1551" s="83"/>
      <c r="AQ1551" s="66"/>
      <c r="AR1551" s="66"/>
      <c r="AS1551" s="66"/>
      <c r="AT1551" s="81"/>
      <c r="AU1551" s="81"/>
      <c r="AV1551" s="81"/>
      <c r="AW1551" s="81"/>
      <c r="AX1551" s="83">
        <f>SUM(Prog_23[[#This Row],[ADIANTAMENTO]]+Prog_23[[#This Row],[SALDO]]+Prog_23[[#This Row],[MARGEM]]+Prog_23[[#This Row],[ESTADIA 1]])</f>
        <v>0</v>
      </c>
      <c r="AY15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51" s="81"/>
      <c r="BA1551" s="81"/>
      <c r="BB1551" s="81">
        <f>Prog_23[[#This Row],[VLR NF]]*0.1%</f>
        <v>0</v>
      </c>
      <c r="BC1551" s="81">
        <f>Prog_23[[#This Row],[VLR NF]]*0.05%</f>
        <v>0</v>
      </c>
      <c r="BD1551" s="81"/>
      <c r="BE1551" s="81"/>
      <c r="BF1551" s="81"/>
      <c r="BG1551" s="81"/>
      <c r="BH1551" s="81"/>
      <c r="BI1551" s="81"/>
      <c r="BJ1551" s="81"/>
      <c r="BK1551" s="81"/>
      <c r="BL1551" s="81"/>
      <c r="BM1551" s="81"/>
      <c r="BN1551" s="66"/>
      <c r="BO1551" s="66"/>
      <c r="BP1551" s="66"/>
      <c r="BQ1551" s="66" t="str">
        <f>PROPER(TEXT(Prog_23[[#This Row],[PROGRAMAÇÃO CLIENTE]],"mmm"))</f>
        <v>Jan</v>
      </c>
      <c r="BR1551" s="66">
        <f>YEAR(Prog_23[[#This Row],[PROGRAMAÇÃO CLIENTE]])</f>
        <v>1900</v>
      </c>
    </row>
    <row r="1552" spans="1:70" x14ac:dyDescent="0.25">
      <c r="A1552" s="201">
        <f>Prog_23[[#This Row],[CONTEINER]]</f>
        <v>0</v>
      </c>
      <c r="B1552" s="86"/>
      <c r="C15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52" s="44"/>
      <c r="E1552" s="66"/>
      <c r="F1552" s="66"/>
      <c r="G1552" s="66"/>
      <c r="H1552" s="44"/>
      <c r="I1552" s="44"/>
      <c r="J1552" s="66"/>
      <c r="K1552" s="66"/>
      <c r="L1552" s="66"/>
      <c r="M1552" s="66"/>
      <c r="N1552" s="66">
        <f>SUM(Prog_23[[#This Row],[TARA]]+Prog_23[[#This Row],[PESO]])</f>
        <v>0</v>
      </c>
      <c r="O1552" s="44"/>
      <c r="P1552" s="66"/>
      <c r="Q1552" s="66"/>
      <c r="R1552" s="66"/>
      <c r="S1552" s="66"/>
      <c r="T1552" s="138" t="str">
        <f>IFERROR(LOOKUP($S1552,MOTORISTAS!$D$3:$D$916,MOTORISTAS!E$3:$E$916),"")</f>
        <v/>
      </c>
      <c r="U1552" s="138" t="str">
        <f>IFERROR(LOOKUP($S1552,MOTORISTAS!$D$3:$D$916,MOTORISTAS!F$3:$F$916),"")</f>
        <v/>
      </c>
      <c r="V1552" s="66"/>
      <c r="W1552" s="66"/>
      <c r="X1552" s="66"/>
      <c r="Y1552" s="66"/>
      <c r="Z1552" s="66"/>
      <c r="AA1552" s="66"/>
      <c r="AB1552" s="66"/>
      <c r="AC1552" s="66"/>
      <c r="AD1552" s="66"/>
      <c r="AE1552" s="66"/>
      <c r="AF1552" s="44"/>
      <c r="AG1552" s="254">
        <f>Prog_23[[#This Row],[SAÍDA DO CLIENTE]]-Prog_23[[#This Row],[PROGRAMAÇÃO CLIENTE]]</f>
        <v>0</v>
      </c>
      <c r="AH1552" s="44"/>
      <c r="AI1552" s="66"/>
      <c r="AJ1552" s="66"/>
      <c r="AK1552" s="66"/>
      <c r="AL1552" s="66"/>
      <c r="AM1552" s="66"/>
      <c r="AN1552" s="83"/>
      <c r="AO1552" s="83"/>
      <c r="AP1552" s="83"/>
      <c r="AQ1552" s="66"/>
      <c r="AR1552" s="66"/>
      <c r="AS1552" s="66"/>
      <c r="AT1552" s="81"/>
      <c r="AU1552" s="81"/>
      <c r="AV1552" s="81"/>
      <c r="AW1552" s="81"/>
      <c r="AX1552" s="83">
        <f>SUM(Prog_23[[#This Row],[ADIANTAMENTO]]+Prog_23[[#This Row],[SALDO]]+Prog_23[[#This Row],[MARGEM]]+Prog_23[[#This Row],[ESTADIA 1]])</f>
        <v>0</v>
      </c>
      <c r="AY15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52" s="81"/>
      <c r="BA1552" s="81"/>
      <c r="BB1552" s="81">
        <f>Prog_23[[#This Row],[VLR NF]]*0.1%</f>
        <v>0</v>
      </c>
      <c r="BC1552" s="81">
        <f>Prog_23[[#This Row],[VLR NF]]*0.05%</f>
        <v>0</v>
      </c>
      <c r="BD1552" s="81"/>
      <c r="BE1552" s="81"/>
      <c r="BF1552" s="81"/>
      <c r="BG1552" s="81"/>
      <c r="BH1552" s="81"/>
      <c r="BI1552" s="81"/>
      <c r="BJ1552" s="81"/>
      <c r="BK1552" s="81"/>
      <c r="BL1552" s="81"/>
      <c r="BM1552" s="81"/>
      <c r="BN1552" s="66"/>
      <c r="BO1552" s="66"/>
      <c r="BP1552" s="66"/>
      <c r="BQ1552" s="66" t="str">
        <f>PROPER(TEXT(Prog_23[[#This Row],[PROGRAMAÇÃO CLIENTE]],"mmm"))</f>
        <v>Jan</v>
      </c>
      <c r="BR1552" s="66">
        <f>YEAR(Prog_23[[#This Row],[PROGRAMAÇÃO CLIENTE]])</f>
        <v>1900</v>
      </c>
    </row>
    <row r="1553" spans="1:70" x14ac:dyDescent="0.25">
      <c r="A1553" s="200">
        <f>Prog_23[[#This Row],[CONTEINER]]</f>
        <v>0</v>
      </c>
      <c r="B1553" s="86"/>
      <c r="C15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53" s="44"/>
      <c r="E1553" s="66"/>
      <c r="F1553" s="66"/>
      <c r="G1553" s="66"/>
      <c r="H1553" s="44"/>
      <c r="I1553" s="44"/>
      <c r="J1553" s="66"/>
      <c r="K1553" s="66"/>
      <c r="L1553" s="66"/>
      <c r="M1553" s="66"/>
      <c r="N1553" s="66">
        <f>SUM(Prog_23[[#This Row],[TARA]]+Prog_23[[#This Row],[PESO]])</f>
        <v>0</v>
      </c>
      <c r="O1553" s="44"/>
      <c r="P1553" s="66"/>
      <c r="Q1553" s="66"/>
      <c r="R1553" s="66"/>
      <c r="S1553" s="66"/>
      <c r="T1553" s="138" t="str">
        <f>IFERROR(LOOKUP($S1553,MOTORISTAS!$D$3:$D$916,MOTORISTAS!E$3:$E$916),"")</f>
        <v/>
      </c>
      <c r="U1553" s="138" t="str">
        <f>IFERROR(LOOKUP($S1553,MOTORISTAS!$D$3:$D$916,MOTORISTAS!F$3:$F$916),"")</f>
        <v/>
      </c>
      <c r="V1553" s="66"/>
      <c r="W1553" s="66"/>
      <c r="X1553" s="66"/>
      <c r="Y1553" s="66"/>
      <c r="Z1553" s="66"/>
      <c r="AA1553" s="66"/>
      <c r="AB1553" s="66"/>
      <c r="AC1553" s="66"/>
      <c r="AD1553" s="66"/>
      <c r="AE1553" s="66"/>
      <c r="AF1553" s="44"/>
      <c r="AG1553" s="254">
        <f>Prog_23[[#This Row],[SAÍDA DO CLIENTE]]-Prog_23[[#This Row],[PROGRAMAÇÃO CLIENTE]]</f>
        <v>0</v>
      </c>
      <c r="AH1553" s="44"/>
      <c r="AI1553" s="66"/>
      <c r="AJ1553" s="66"/>
      <c r="AK1553" s="66"/>
      <c r="AL1553" s="66"/>
      <c r="AM1553" s="66"/>
      <c r="AN1553" s="83"/>
      <c r="AO1553" s="83"/>
      <c r="AP1553" s="83"/>
      <c r="AQ1553" s="66"/>
      <c r="AR1553" s="66"/>
      <c r="AS1553" s="66"/>
      <c r="AT1553" s="81"/>
      <c r="AU1553" s="81"/>
      <c r="AV1553" s="81"/>
      <c r="AW1553" s="81"/>
      <c r="AX1553" s="83">
        <f>SUM(Prog_23[[#This Row],[ADIANTAMENTO]]+Prog_23[[#This Row],[SALDO]]+Prog_23[[#This Row],[MARGEM]]+Prog_23[[#This Row],[ESTADIA 1]])</f>
        <v>0</v>
      </c>
      <c r="AY15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53" s="81"/>
      <c r="BA1553" s="81"/>
      <c r="BB1553" s="81">
        <f>Prog_23[[#This Row],[VLR NF]]*0.1%</f>
        <v>0</v>
      </c>
      <c r="BC1553" s="81">
        <f>Prog_23[[#This Row],[VLR NF]]*0.05%</f>
        <v>0</v>
      </c>
      <c r="BD1553" s="81"/>
      <c r="BE1553" s="81"/>
      <c r="BF1553" s="81"/>
      <c r="BG1553" s="81"/>
      <c r="BH1553" s="81"/>
      <c r="BI1553" s="81"/>
      <c r="BJ1553" s="81"/>
      <c r="BK1553" s="81"/>
      <c r="BL1553" s="81"/>
      <c r="BM1553" s="81"/>
      <c r="BN1553" s="66"/>
      <c r="BO1553" s="66"/>
      <c r="BP1553" s="66"/>
      <c r="BQ1553" s="66" t="str">
        <f>PROPER(TEXT(Prog_23[[#This Row],[PROGRAMAÇÃO CLIENTE]],"mmm"))</f>
        <v>Jan</v>
      </c>
      <c r="BR1553" s="66">
        <f>YEAR(Prog_23[[#This Row],[PROGRAMAÇÃO CLIENTE]])</f>
        <v>1900</v>
      </c>
    </row>
    <row r="1554" spans="1:70" x14ac:dyDescent="0.25">
      <c r="A1554" s="201">
        <f>Prog_23[[#This Row],[CONTEINER]]</f>
        <v>0</v>
      </c>
      <c r="B1554" s="86"/>
      <c r="C15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54" s="44"/>
      <c r="E1554" s="66"/>
      <c r="F1554" s="66"/>
      <c r="G1554" s="66"/>
      <c r="H1554" s="44"/>
      <c r="I1554" s="44"/>
      <c r="J1554" s="66"/>
      <c r="K1554" s="66"/>
      <c r="L1554" s="66"/>
      <c r="M1554" s="66"/>
      <c r="N1554" s="66">
        <f>SUM(Prog_23[[#This Row],[TARA]]+Prog_23[[#This Row],[PESO]])</f>
        <v>0</v>
      </c>
      <c r="O1554" s="44"/>
      <c r="P1554" s="66"/>
      <c r="Q1554" s="66"/>
      <c r="R1554" s="66"/>
      <c r="S1554" s="66"/>
      <c r="T1554" s="138" t="str">
        <f>IFERROR(LOOKUP($S1554,MOTORISTAS!$D$3:$D$916,MOTORISTAS!E$3:$E$916),"")</f>
        <v/>
      </c>
      <c r="U1554" s="138" t="str">
        <f>IFERROR(LOOKUP($S1554,MOTORISTAS!$D$3:$D$916,MOTORISTAS!F$3:$F$916),"")</f>
        <v/>
      </c>
      <c r="V1554" s="66"/>
      <c r="W1554" s="66"/>
      <c r="X1554" s="66"/>
      <c r="Y1554" s="66"/>
      <c r="Z1554" s="66"/>
      <c r="AA1554" s="66"/>
      <c r="AB1554" s="66"/>
      <c r="AC1554" s="66"/>
      <c r="AD1554" s="66"/>
      <c r="AE1554" s="66"/>
      <c r="AF1554" s="44"/>
      <c r="AG1554" s="254">
        <f>Prog_23[[#This Row],[SAÍDA DO CLIENTE]]-Prog_23[[#This Row],[PROGRAMAÇÃO CLIENTE]]</f>
        <v>0</v>
      </c>
      <c r="AH1554" s="44"/>
      <c r="AI1554" s="66"/>
      <c r="AJ1554" s="66"/>
      <c r="AK1554" s="66"/>
      <c r="AL1554" s="66"/>
      <c r="AM1554" s="66"/>
      <c r="AN1554" s="83"/>
      <c r="AO1554" s="83"/>
      <c r="AP1554" s="83"/>
      <c r="AQ1554" s="66"/>
      <c r="AR1554" s="66"/>
      <c r="AS1554" s="66"/>
      <c r="AT1554" s="81"/>
      <c r="AU1554" s="81"/>
      <c r="AV1554" s="81"/>
      <c r="AW1554" s="81"/>
      <c r="AX1554" s="83">
        <f>SUM(Prog_23[[#This Row],[ADIANTAMENTO]]+Prog_23[[#This Row],[SALDO]]+Prog_23[[#This Row],[MARGEM]]+Prog_23[[#This Row],[ESTADIA 1]])</f>
        <v>0</v>
      </c>
      <c r="AY15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54" s="81"/>
      <c r="BA1554" s="81"/>
      <c r="BB1554" s="81">
        <f>Prog_23[[#This Row],[VLR NF]]*0.1%</f>
        <v>0</v>
      </c>
      <c r="BC1554" s="81">
        <f>Prog_23[[#This Row],[VLR NF]]*0.05%</f>
        <v>0</v>
      </c>
      <c r="BD1554" s="81"/>
      <c r="BE1554" s="81"/>
      <c r="BF1554" s="81"/>
      <c r="BG1554" s="81"/>
      <c r="BH1554" s="81"/>
      <c r="BI1554" s="81"/>
      <c r="BJ1554" s="81"/>
      <c r="BK1554" s="81"/>
      <c r="BL1554" s="81"/>
      <c r="BM1554" s="81"/>
      <c r="BN1554" s="66"/>
      <c r="BO1554" s="66"/>
      <c r="BP1554" s="66"/>
      <c r="BQ1554" s="66" t="str">
        <f>PROPER(TEXT(Prog_23[[#This Row],[PROGRAMAÇÃO CLIENTE]],"mmm"))</f>
        <v>Jan</v>
      </c>
      <c r="BR1554" s="66">
        <f>YEAR(Prog_23[[#This Row],[PROGRAMAÇÃO CLIENTE]])</f>
        <v>1900</v>
      </c>
    </row>
    <row r="1555" spans="1:70" x14ac:dyDescent="0.25">
      <c r="A1555" s="200">
        <f>Prog_23[[#This Row],[CONTEINER]]</f>
        <v>0</v>
      </c>
      <c r="B1555" s="86"/>
      <c r="C15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55" s="44"/>
      <c r="E1555" s="66"/>
      <c r="F1555" s="66"/>
      <c r="G1555" s="66"/>
      <c r="H1555" s="44"/>
      <c r="I1555" s="44"/>
      <c r="J1555" s="66"/>
      <c r="K1555" s="66"/>
      <c r="L1555" s="66"/>
      <c r="M1555" s="66"/>
      <c r="N1555" s="66">
        <f>SUM(Prog_23[[#This Row],[TARA]]+Prog_23[[#This Row],[PESO]])</f>
        <v>0</v>
      </c>
      <c r="O1555" s="44"/>
      <c r="P1555" s="66"/>
      <c r="Q1555" s="66"/>
      <c r="R1555" s="66"/>
      <c r="S1555" s="66"/>
      <c r="T1555" s="138" t="str">
        <f>IFERROR(LOOKUP($S1555,MOTORISTAS!$D$3:$D$916,MOTORISTAS!E$3:$E$916),"")</f>
        <v/>
      </c>
      <c r="U1555" s="138" t="str">
        <f>IFERROR(LOOKUP($S1555,MOTORISTAS!$D$3:$D$916,MOTORISTAS!F$3:$F$916),"")</f>
        <v/>
      </c>
      <c r="V1555" s="66"/>
      <c r="W1555" s="66"/>
      <c r="X1555" s="66"/>
      <c r="Y1555" s="66"/>
      <c r="Z1555" s="66"/>
      <c r="AA1555" s="66"/>
      <c r="AB1555" s="66"/>
      <c r="AC1555" s="66"/>
      <c r="AD1555" s="66"/>
      <c r="AE1555" s="66"/>
      <c r="AF1555" s="44"/>
      <c r="AG1555" s="254">
        <f>Prog_23[[#This Row],[SAÍDA DO CLIENTE]]-Prog_23[[#This Row],[PROGRAMAÇÃO CLIENTE]]</f>
        <v>0</v>
      </c>
      <c r="AH1555" s="44"/>
      <c r="AI1555" s="66"/>
      <c r="AJ1555" s="66"/>
      <c r="AK1555" s="66"/>
      <c r="AL1555" s="66"/>
      <c r="AM1555" s="66"/>
      <c r="AN1555" s="83"/>
      <c r="AO1555" s="83"/>
      <c r="AP1555" s="83"/>
      <c r="AQ1555" s="66"/>
      <c r="AR1555" s="66"/>
      <c r="AS1555" s="66"/>
      <c r="AT1555" s="81"/>
      <c r="AU1555" s="81"/>
      <c r="AV1555" s="81"/>
      <c r="AW1555" s="81"/>
      <c r="AX1555" s="83">
        <f>SUM(Prog_23[[#This Row],[ADIANTAMENTO]]+Prog_23[[#This Row],[SALDO]]+Prog_23[[#This Row],[MARGEM]]+Prog_23[[#This Row],[ESTADIA 1]])</f>
        <v>0</v>
      </c>
      <c r="AY15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55" s="81"/>
      <c r="BA1555" s="81"/>
      <c r="BB1555" s="81">
        <f>Prog_23[[#This Row],[VLR NF]]*0.1%</f>
        <v>0</v>
      </c>
      <c r="BC1555" s="81">
        <f>Prog_23[[#This Row],[VLR NF]]*0.05%</f>
        <v>0</v>
      </c>
      <c r="BD1555" s="81"/>
      <c r="BE1555" s="81"/>
      <c r="BF1555" s="81"/>
      <c r="BG1555" s="81"/>
      <c r="BH1555" s="81"/>
      <c r="BI1555" s="81"/>
      <c r="BJ1555" s="81"/>
      <c r="BK1555" s="81"/>
      <c r="BL1555" s="81"/>
      <c r="BM1555" s="81"/>
      <c r="BN1555" s="66"/>
      <c r="BO1555" s="66"/>
      <c r="BP1555" s="66"/>
      <c r="BQ1555" s="66" t="str">
        <f>PROPER(TEXT(Prog_23[[#This Row],[PROGRAMAÇÃO CLIENTE]],"mmm"))</f>
        <v>Jan</v>
      </c>
      <c r="BR1555" s="66">
        <f>YEAR(Prog_23[[#This Row],[PROGRAMAÇÃO CLIENTE]])</f>
        <v>1900</v>
      </c>
    </row>
    <row r="1556" spans="1:70" x14ac:dyDescent="0.25">
      <c r="A1556" s="201">
        <f>Prog_23[[#This Row],[CONTEINER]]</f>
        <v>0</v>
      </c>
      <c r="B1556" s="86"/>
      <c r="C15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56" s="44"/>
      <c r="E1556" s="66"/>
      <c r="F1556" s="66"/>
      <c r="G1556" s="66"/>
      <c r="H1556" s="44"/>
      <c r="I1556" s="44"/>
      <c r="J1556" s="66"/>
      <c r="K1556" s="66"/>
      <c r="L1556" s="66"/>
      <c r="M1556" s="66"/>
      <c r="N1556" s="66">
        <f>SUM(Prog_23[[#This Row],[TARA]]+Prog_23[[#This Row],[PESO]])</f>
        <v>0</v>
      </c>
      <c r="O1556" s="44"/>
      <c r="P1556" s="66"/>
      <c r="Q1556" s="66"/>
      <c r="R1556" s="66"/>
      <c r="S1556" s="66"/>
      <c r="T1556" s="138" t="str">
        <f>IFERROR(LOOKUP($S1556,MOTORISTAS!$D$3:$D$916,MOTORISTAS!E$3:$E$916),"")</f>
        <v/>
      </c>
      <c r="U1556" s="138" t="str">
        <f>IFERROR(LOOKUP($S1556,MOTORISTAS!$D$3:$D$916,MOTORISTAS!F$3:$F$916),"")</f>
        <v/>
      </c>
      <c r="V1556" s="66"/>
      <c r="W1556" s="66"/>
      <c r="X1556" s="66"/>
      <c r="Y1556" s="66"/>
      <c r="Z1556" s="66"/>
      <c r="AA1556" s="66"/>
      <c r="AB1556" s="66"/>
      <c r="AC1556" s="66"/>
      <c r="AD1556" s="66"/>
      <c r="AE1556" s="66"/>
      <c r="AF1556" s="44"/>
      <c r="AG1556" s="254">
        <f>Prog_23[[#This Row],[SAÍDA DO CLIENTE]]-Prog_23[[#This Row],[PROGRAMAÇÃO CLIENTE]]</f>
        <v>0</v>
      </c>
      <c r="AH1556" s="44"/>
      <c r="AI1556" s="66"/>
      <c r="AJ1556" s="66"/>
      <c r="AK1556" s="66"/>
      <c r="AL1556" s="66"/>
      <c r="AM1556" s="66"/>
      <c r="AN1556" s="83"/>
      <c r="AO1556" s="83"/>
      <c r="AP1556" s="83"/>
      <c r="AQ1556" s="66"/>
      <c r="AR1556" s="66"/>
      <c r="AS1556" s="66"/>
      <c r="AT1556" s="81"/>
      <c r="AU1556" s="81"/>
      <c r="AV1556" s="81"/>
      <c r="AW1556" s="81"/>
      <c r="AX1556" s="83">
        <f>SUM(Prog_23[[#This Row],[ADIANTAMENTO]]+Prog_23[[#This Row],[SALDO]]+Prog_23[[#This Row],[MARGEM]]+Prog_23[[#This Row],[ESTADIA 1]])</f>
        <v>0</v>
      </c>
      <c r="AY15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56" s="81"/>
      <c r="BA1556" s="81"/>
      <c r="BB1556" s="81">
        <f>Prog_23[[#This Row],[VLR NF]]*0.1%</f>
        <v>0</v>
      </c>
      <c r="BC1556" s="81">
        <f>Prog_23[[#This Row],[VLR NF]]*0.05%</f>
        <v>0</v>
      </c>
      <c r="BD1556" s="81"/>
      <c r="BE1556" s="81"/>
      <c r="BF1556" s="81"/>
      <c r="BG1556" s="81"/>
      <c r="BH1556" s="81"/>
      <c r="BI1556" s="81"/>
      <c r="BJ1556" s="81"/>
      <c r="BK1556" s="81"/>
      <c r="BL1556" s="81"/>
      <c r="BM1556" s="81"/>
      <c r="BN1556" s="66"/>
      <c r="BO1556" s="66"/>
      <c r="BP1556" s="66"/>
      <c r="BQ1556" s="66" t="str">
        <f>PROPER(TEXT(Prog_23[[#This Row],[PROGRAMAÇÃO CLIENTE]],"mmm"))</f>
        <v>Jan</v>
      </c>
      <c r="BR1556" s="66">
        <f>YEAR(Prog_23[[#This Row],[PROGRAMAÇÃO CLIENTE]])</f>
        <v>1900</v>
      </c>
    </row>
    <row r="1557" spans="1:70" x14ac:dyDescent="0.25">
      <c r="A1557" s="200">
        <f>Prog_23[[#This Row],[CONTEINER]]</f>
        <v>0</v>
      </c>
      <c r="B1557" s="86"/>
      <c r="C15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57" s="44"/>
      <c r="E1557" s="66"/>
      <c r="F1557" s="66"/>
      <c r="G1557" s="66"/>
      <c r="H1557" s="44"/>
      <c r="I1557" s="44"/>
      <c r="J1557" s="66"/>
      <c r="K1557" s="66"/>
      <c r="L1557" s="66"/>
      <c r="M1557" s="66"/>
      <c r="N1557" s="66">
        <f>SUM(Prog_23[[#This Row],[TARA]]+Prog_23[[#This Row],[PESO]])</f>
        <v>0</v>
      </c>
      <c r="O1557" s="44"/>
      <c r="P1557" s="66"/>
      <c r="Q1557" s="66"/>
      <c r="R1557" s="66"/>
      <c r="S1557" s="66"/>
      <c r="T1557" s="138" t="str">
        <f>IFERROR(LOOKUP($S1557,MOTORISTAS!$D$3:$D$916,MOTORISTAS!E$3:$E$916),"")</f>
        <v/>
      </c>
      <c r="U1557" s="138" t="str">
        <f>IFERROR(LOOKUP($S1557,MOTORISTAS!$D$3:$D$916,MOTORISTAS!F$3:$F$916),"")</f>
        <v/>
      </c>
      <c r="V1557" s="66"/>
      <c r="W1557" s="66"/>
      <c r="X1557" s="66"/>
      <c r="Y1557" s="66"/>
      <c r="Z1557" s="66"/>
      <c r="AA1557" s="66"/>
      <c r="AB1557" s="66"/>
      <c r="AC1557" s="66"/>
      <c r="AD1557" s="66"/>
      <c r="AE1557" s="66"/>
      <c r="AF1557" s="44"/>
      <c r="AG1557" s="254">
        <f>Prog_23[[#This Row],[SAÍDA DO CLIENTE]]-Prog_23[[#This Row],[PROGRAMAÇÃO CLIENTE]]</f>
        <v>0</v>
      </c>
      <c r="AH1557" s="44"/>
      <c r="AI1557" s="66"/>
      <c r="AJ1557" s="66"/>
      <c r="AK1557" s="66"/>
      <c r="AL1557" s="66"/>
      <c r="AM1557" s="66"/>
      <c r="AN1557" s="83"/>
      <c r="AO1557" s="83"/>
      <c r="AP1557" s="83"/>
      <c r="AQ1557" s="66"/>
      <c r="AR1557" s="66"/>
      <c r="AS1557" s="66"/>
      <c r="AT1557" s="81"/>
      <c r="AU1557" s="81"/>
      <c r="AV1557" s="81"/>
      <c r="AW1557" s="81"/>
      <c r="AX1557" s="83">
        <f>SUM(Prog_23[[#This Row],[ADIANTAMENTO]]+Prog_23[[#This Row],[SALDO]]+Prog_23[[#This Row],[MARGEM]]+Prog_23[[#This Row],[ESTADIA 1]])</f>
        <v>0</v>
      </c>
      <c r="AY15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57" s="81"/>
      <c r="BA1557" s="81"/>
      <c r="BB1557" s="81">
        <f>Prog_23[[#This Row],[VLR NF]]*0.1%</f>
        <v>0</v>
      </c>
      <c r="BC1557" s="81">
        <f>Prog_23[[#This Row],[VLR NF]]*0.05%</f>
        <v>0</v>
      </c>
      <c r="BD1557" s="81"/>
      <c r="BE1557" s="81"/>
      <c r="BF1557" s="81"/>
      <c r="BG1557" s="81"/>
      <c r="BH1557" s="81"/>
      <c r="BI1557" s="81"/>
      <c r="BJ1557" s="81"/>
      <c r="BK1557" s="81"/>
      <c r="BL1557" s="81"/>
      <c r="BM1557" s="81"/>
      <c r="BN1557" s="66"/>
      <c r="BO1557" s="66"/>
      <c r="BP1557" s="66"/>
      <c r="BQ1557" s="66" t="str">
        <f>PROPER(TEXT(Prog_23[[#This Row],[PROGRAMAÇÃO CLIENTE]],"mmm"))</f>
        <v>Jan</v>
      </c>
      <c r="BR1557" s="66">
        <f>YEAR(Prog_23[[#This Row],[PROGRAMAÇÃO CLIENTE]])</f>
        <v>1900</v>
      </c>
    </row>
    <row r="1558" spans="1:70" x14ac:dyDescent="0.25">
      <c r="A1558" s="201">
        <f>Prog_23[[#This Row],[CONTEINER]]</f>
        <v>0</v>
      </c>
      <c r="B1558" s="86"/>
      <c r="C15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58" s="44"/>
      <c r="E1558" s="66"/>
      <c r="F1558" s="66"/>
      <c r="G1558" s="66"/>
      <c r="H1558" s="44"/>
      <c r="I1558" s="44"/>
      <c r="J1558" s="66"/>
      <c r="K1558" s="66"/>
      <c r="L1558" s="66"/>
      <c r="M1558" s="66"/>
      <c r="N1558" s="66">
        <f>SUM(Prog_23[[#This Row],[TARA]]+Prog_23[[#This Row],[PESO]])</f>
        <v>0</v>
      </c>
      <c r="O1558" s="44"/>
      <c r="P1558" s="66"/>
      <c r="Q1558" s="66"/>
      <c r="R1558" s="66"/>
      <c r="S1558" s="66"/>
      <c r="T1558" s="138" t="str">
        <f>IFERROR(LOOKUP($S1558,MOTORISTAS!$D$3:$D$916,MOTORISTAS!E$3:$E$916),"")</f>
        <v/>
      </c>
      <c r="U1558" s="138" t="str">
        <f>IFERROR(LOOKUP($S1558,MOTORISTAS!$D$3:$D$916,MOTORISTAS!F$3:$F$916),"")</f>
        <v/>
      </c>
      <c r="V1558" s="66"/>
      <c r="W1558" s="66"/>
      <c r="X1558" s="66"/>
      <c r="Y1558" s="66"/>
      <c r="Z1558" s="66"/>
      <c r="AA1558" s="66"/>
      <c r="AB1558" s="66"/>
      <c r="AC1558" s="66"/>
      <c r="AD1558" s="66"/>
      <c r="AE1558" s="66"/>
      <c r="AF1558" s="44"/>
      <c r="AG1558" s="254">
        <f>Prog_23[[#This Row],[SAÍDA DO CLIENTE]]-Prog_23[[#This Row],[PROGRAMAÇÃO CLIENTE]]</f>
        <v>0</v>
      </c>
      <c r="AH1558" s="44"/>
      <c r="AI1558" s="66"/>
      <c r="AJ1558" s="66"/>
      <c r="AK1558" s="66"/>
      <c r="AL1558" s="66"/>
      <c r="AM1558" s="66"/>
      <c r="AN1558" s="83"/>
      <c r="AO1558" s="83"/>
      <c r="AP1558" s="83"/>
      <c r="AQ1558" s="66"/>
      <c r="AR1558" s="66"/>
      <c r="AS1558" s="66"/>
      <c r="AT1558" s="81"/>
      <c r="AU1558" s="81"/>
      <c r="AV1558" s="81"/>
      <c r="AW1558" s="81"/>
      <c r="AX1558" s="83">
        <f>SUM(Prog_23[[#This Row],[ADIANTAMENTO]]+Prog_23[[#This Row],[SALDO]]+Prog_23[[#This Row],[MARGEM]]+Prog_23[[#This Row],[ESTADIA 1]])</f>
        <v>0</v>
      </c>
      <c r="AY15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58" s="81"/>
      <c r="BA1558" s="81"/>
      <c r="BB1558" s="81">
        <f>Prog_23[[#This Row],[VLR NF]]*0.1%</f>
        <v>0</v>
      </c>
      <c r="BC1558" s="81">
        <f>Prog_23[[#This Row],[VLR NF]]*0.05%</f>
        <v>0</v>
      </c>
      <c r="BD1558" s="81"/>
      <c r="BE1558" s="81"/>
      <c r="BF1558" s="81"/>
      <c r="BG1558" s="81"/>
      <c r="BH1558" s="81"/>
      <c r="BI1558" s="81"/>
      <c r="BJ1558" s="81"/>
      <c r="BK1558" s="81"/>
      <c r="BL1558" s="81"/>
      <c r="BM1558" s="81"/>
      <c r="BN1558" s="66"/>
      <c r="BO1558" s="66"/>
      <c r="BP1558" s="66"/>
      <c r="BQ1558" s="66" t="str">
        <f>PROPER(TEXT(Prog_23[[#This Row],[PROGRAMAÇÃO CLIENTE]],"mmm"))</f>
        <v>Jan</v>
      </c>
      <c r="BR1558" s="66">
        <f>YEAR(Prog_23[[#This Row],[PROGRAMAÇÃO CLIENTE]])</f>
        <v>1900</v>
      </c>
    </row>
    <row r="1559" spans="1:70" x14ac:dyDescent="0.25">
      <c r="A1559" s="200">
        <f>Prog_23[[#This Row],[CONTEINER]]</f>
        <v>0</v>
      </c>
      <c r="B1559" s="86"/>
      <c r="C15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59" s="44"/>
      <c r="E1559" s="66"/>
      <c r="F1559" s="66"/>
      <c r="G1559" s="66"/>
      <c r="H1559" s="44"/>
      <c r="I1559" s="44"/>
      <c r="J1559" s="66"/>
      <c r="K1559" s="66"/>
      <c r="L1559" s="66"/>
      <c r="M1559" s="66"/>
      <c r="N1559" s="66">
        <f>SUM(Prog_23[[#This Row],[TARA]]+Prog_23[[#This Row],[PESO]])</f>
        <v>0</v>
      </c>
      <c r="O1559" s="44"/>
      <c r="P1559" s="66"/>
      <c r="Q1559" s="66"/>
      <c r="R1559" s="66"/>
      <c r="S1559" s="66"/>
      <c r="T1559" s="138" t="str">
        <f>IFERROR(LOOKUP($S1559,MOTORISTAS!$D$3:$D$916,MOTORISTAS!E$3:$E$916),"")</f>
        <v/>
      </c>
      <c r="U1559" s="138" t="str">
        <f>IFERROR(LOOKUP($S1559,MOTORISTAS!$D$3:$D$916,MOTORISTAS!F$3:$F$916),"")</f>
        <v/>
      </c>
      <c r="V1559" s="66"/>
      <c r="W1559" s="66"/>
      <c r="X1559" s="66"/>
      <c r="Y1559" s="66"/>
      <c r="Z1559" s="66"/>
      <c r="AA1559" s="66"/>
      <c r="AB1559" s="66"/>
      <c r="AC1559" s="66"/>
      <c r="AD1559" s="66"/>
      <c r="AE1559" s="66"/>
      <c r="AF1559" s="44"/>
      <c r="AG1559" s="254">
        <f>Prog_23[[#This Row],[SAÍDA DO CLIENTE]]-Prog_23[[#This Row],[PROGRAMAÇÃO CLIENTE]]</f>
        <v>0</v>
      </c>
      <c r="AH1559" s="44"/>
      <c r="AI1559" s="66"/>
      <c r="AJ1559" s="66"/>
      <c r="AK1559" s="66"/>
      <c r="AL1559" s="66"/>
      <c r="AM1559" s="66"/>
      <c r="AN1559" s="83"/>
      <c r="AO1559" s="83"/>
      <c r="AP1559" s="83"/>
      <c r="AQ1559" s="66"/>
      <c r="AR1559" s="66"/>
      <c r="AS1559" s="66"/>
      <c r="AT1559" s="81"/>
      <c r="AU1559" s="81"/>
      <c r="AV1559" s="81"/>
      <c r="AW1559" s="81"/>
      <c r="AX1559" s="83">
        <f>SUM(Prog_23[[#This Row],[ADIANTAMENTO]]+Prog_23[[#This Row],[SALDO]]+Prog_23[[#This Row],[MARGEM]]+Prog_23[[#This Row],[ESTADIA 1]])</f>
        <v>0</v>
      </c>
      <c r="AY15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59" s="81"/>
      <c r="BA1559" s="81"/>
      <c r="BB1559" s="81">
        <f>Prog_23[[#This Row],[VLR NF]]*0.1%</f>
        <v>0</v>
      </c>
      <c r="BC1559" s="81">
        <f>Prog_23[[#This Row],[VLR NF]]*0.05%</f>
        <v>0</v>
      </c>
      <c r="BD1559" s="81"/>
      <c r="BE1559" s="81"/>
      <c r="BF1559" s="81"/>
      <c r="BG1559" s="81"/>
      <c r="BH1559" s="81"/>
      <c r="BI1559" s="81"/>
      <c r="BJ1559" s="81"/>
      <c r="BK1559" s="81"/>
      <c r="BL1559" s="81"/>
      <c r="BM1559" s="81"/>
      <c r="BN1559" s="66"/>
      <c r="BO1559" s="66"/>
      <c r="BP1559" s="66"/>
      <c r="BQ1559" s="66" t="str">
        <f>PROPER(TEXT(Prog_23[[#This Row],[PROGRAMAÇÃO CLIENTE]],"mmm"))</f>
        <v>Jan</v>
      </c>
      <c r="BR1559" s="66">
        <f>YEAR(Prog_23[[#This Row],[PROGRAMAÇÃO CLIENTE]])</f>
        <v>1900</v>
      </c>
    </row>
    <row r="1560" spans="1:70" x14ac:dyDescent="0.25">
      <c r="A1560" s="201">
        <f>Prog_23[[#This Row],[CONTEINER]]</f>
        <v>0</v>
      </c>
      <c r="B1560" s="86"/>
      <c r="C15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60" s="44"/>
      <c r="E1560" s="66"/>
      <c r="F1560" s="66"/>
      <c r="G1560" s="66"/>
      <c r="H1560" s="44"/>
      <c r="I1560" s="44"/>
      <c r="J1560" s="66"/>
      <c r="K1560" s="66"/>
      <c r="L1560" s="66"/>
      <c r="M1560" s="66"/>
      <c r="N1560" s="66">
        <f>SUM(Prog_23[[#This Row],[TARA]]+Prog_23[[#This Row],[PESO]])</f>
        <v>0</v>
      </c>
      <c r="O1560" s="44"/>
      <c r="P1560" s="66"/>
      <c r="Q1560" s="66"/>
      <c r="R1560" s="66"/>
      <c r="S1560" s="66"/>
      <c r="T1560" s="138" t="str">
        <f>IFERROR(LOOKUP($S1560,MOTORISTAS!$D$3:$D$916,MOTORISTAS!E$3:$E$916),"")</f>
        <v/>
      </c>
      <c r="U1560" s="138" t="str">
        <f>IFERROR(LOOKUP($S1560,MOTORISTAS!$D$3:$D$916,MOTORISTAS!F$3:$F$916),"")</f>
        <v/>
      </c>
      <c r="V1560" s="66"/>
      <c r="W1560" s="66"/>
      <c r="X1560" s="66"/>
      <c r="Y1560" s="66"/>
      <c r="Z1560" s="66"/>
      <c r="AA1560" s="66"/>
      <c r="AB1560" s="66"/>
      <c r="AC1560" s="66"/>
      <c r="AD1560" s="66"/>
      <c r="AE1560" s="66"/>
      <c r="AF1560" s="44"/>
      <c r="AG1560" s="254">
        <f>Prog_23[[#This Row],[SAÍDA DO CLIENTE]]-Prog_23[[#This Row],[PROGRAMAÇÃO CLIENTE]]</f>
        <v>0</v>
      </c>
      <c r="AH1560" s="44"/>
      <c r="AI1560" s="66"/>
      <c r="AJ1560" s="66"/>
      <c r="AK1560" s="66"/>
      <c r="AL1560" s="66"/>
      <c r="AM1560" s="66"/>
      <c r="AN1560" s="83"/>
      <c r="AO1560" s="83"/>
      <c r="AP1560" s="83"/>
      <c r="AQ1560" s="66"/>
      <c r="AR1560" s="66"/>
      <c r="AS1560" s="66"/>
      <c r="AT1560" s="81"/>
      <c r="AU1560" s="81"/>
      <c r="AV1560" s="81"/>
      <c r="AW1560" s="81"/>
      <c r="AX1560" s="83">
        <f>SUM(Prog_23[[#This Row],[ADIANTAMENTO]]+Prog_23[[#This Row],[SALDO]]+Prog_23[[#This Row],[MARGEM]]+Prog_23[[#This Row],[ESTADIA 1]])</f>
        <v>0</v>
      </c>
      <c r="AY15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60" s="81"/>
      <c r="BA1560" s="81"/>
      <c r="BB1560" s="81">
        <f>Prog_23[[#This Row],[VLR NF]]*0.1%</f>
        <v>0</v>
      </c>
      <c r="BC1560" s="81">
        <f>Prog_23[[#This Row],[VLR NF]]*0.05%</f>
        <v>0</v>
      </c>
      <c r="BD1560" s="81"/>
      <c r="BE1560" s="81"/>
      <c r="BF1560" s="81"/>
      <c r="BG1560" s="81"/>
      <c r="BH1560" s="81"/>
      <c r="BI1560" s="81"/>
      <c r="BJ1560" s="81"/>
      <c r="BK1560" s="81"/>
      <c r="BL1560" s="81"/>
      <c r="BM1560" s="81"/>
      <c r="BN1560" s="66"/>
      <c r="BO1560" s="66"/>
      <c r="BP1560" s="66"/>
      <c r="BQ1560" s="66" t="str">
        <f>PROPER(TEXT(Prog_23[[#This Row],[PROGRAMAÇÃO CLIENTE]],"mmm"))</f>
        <v>Jan</v>
      </c>
      <c r="BR1560" s="66">
        <f>YEAR(Prog_23[[#This Row],[PROGRAMAÇÃO CLIENTE]])</f>
        <v>1900</v>
      </c>
    </row>
    <row r="1561" spans="1:70" x14ac:dyDescent="0.25">
      <c r="A1561" s="200">
        <f>Prog_23[[#This Row],[CONTEINER]]</f>
        <v>0</v>
      </c>
      <c r="B1561" s="86"/>
      <c r="C15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61" s="44"/>
      <c r="E1561" s="66"/>
      <c r="F1561" s="66"/>
      <c r="G1561" s="66"/>
      <c r="H1561" s="44"/>
      <c r="I1561" s="44"/>
      <c r="J1561" s="66"/>
      <c r="K1561" s="66"/>
      <c r="L1561" s="66"/>
      <c r="M1561" s="66"/>
      <c r="N1561" s="66">
        <f>SUM(Prog_23[[#This Row],[TARA]]+Prog_23[[#This Row],[PESO]])</f>
        <v>0</v>
      </c>
      <c r="O1561" s="44"/>
      <c r="P1561" s="66"/>
      <c r="Q1561" s="66"/>
      <c r="R1561" s="66"/>
      <c r="S1561" s="66"/>
      <c r="T1561" s="138" t="str">
        <f>IFERROR(LOOKUP($S1561,MOTORISTAS!$D$3:$D$916,MOTORISTAS!E$3:$E$916),"")</f>
        <v/>
      </c>
      <c r="U1561" s="138" t="str">
        <f>IFERROR(LOOKUP($S1561,MOTORISTAS!$D$3:$D$916,MOTORISTAS!F$3:$F$916),"")</f>
        <v/>
      </c>
      <c r="V1561" s="66"/>
      <c r="W1561" s="66"/>
      <c r="X1561" s="66"/>
      <c r="Y1561" s="66"/>
      <c r="Z1561" s="66"/>
      <c r="AA1561" s="66"/>
      <c r="AB1561" s="66"/>
      <c r="AC1561" s="66"/>
      <c r="AD1561" s="66"/>
      <c r="AE1561" s="66"/>
      <c r="AF1561" s="44"/>
      <c r="AG1561" s="254">
        <f>Prog_23[[#This Row],[SAÍDA DO CLIENTE]]-Prog_23[[#This Row],[PROGRAMAÇÃO CLIENTE]]</f>
        <v>0</v>
      </c>
      <c r="AH1561" s="44"/>
      <c r="AI1561" s="66"/>
      <c r="AJ1561" s="66"/>
      <c r="AK1561" s="66"/>
      <c r="AL1561" s="66"/>
      <c r="AM1561" s="66"/>
      <c r="AN1561" s="83"/>
      <c r="AO1561" s="83"/>
      <c r="AP1561" s="83"/>
      <c r="AQ1561" s="66"/>
      <c r="AR1561" s="66"/>
      <c r="AS1561" s="66"/>
      <c r="AT1561" s="81"/>
      <c r="AU1561" s="81"/>
      <c r="AV1561" s="81"/>
      <c r="AW1561" s="81"/>
      <c r="AX1561" s="83">
        <f>SUM(Prog_23[[#This Row],[ADIANTAMENTO]]+Prog_23[[#This Row],[SALDO]]+Prog_23[[#This Row],[MARGEM]]+Prog_23[[#This Row],[ESTADIA 1]])</f>
        <v>0</v>
      </c>
      <c r="AY15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61" s="81"/>
      <c r="BA1561" s="81"/>
      <c r="BB1561" s="81">
        <f>Prog_23[[#This Row],[VLR NF]]*0.1%</f>
        <v>0</v>
      </c>
      <c r="BC1561" s="81">
        <f>Prog_23[[#This Row],[VLR NF]]*0.05%</f>
        <v>0</v>
      </c>
      <c r="BD1561" s="81"/>
      <c r="BE1561" s="81"/>
      <c r="BF1561" s="81"/>
      <c r="BG1561" s="81"/>
      <c r="BH1561" s="81"/>
      <c r="BI1561" s="81"/>
      <c r="BJ1561" s="81"/>
      <c r="BK1561" s="81"/>
      <c r="BL1561" s="81"/>
      <c r="BM1561" s="81"/>
      <c r="BN1561" s="66"/>
      <c r="BO1561" s="66"/>
      <c r="BP1561" s="66"/>
      <c r="BQ1561" s="66" t="str">
        <f>PROPER(TEXT(Prog_23[[#This Row],[PROGRAMAÇÃO CLIENTE]],"mmm"))</f>
        <v>Jan</v>
      </c>
      <c r="BR1561" s="66">
        <f>YEAR(Prog_23[[#This Row],[PROGRAMAÇÃO CLIENTE]])</f>
        <v>1900</v>
      </c>
    </row>
    <row r="1562" spans="1:70" x14ac:dyDescent="0.25">
      <c r="A1562" s="201">
        <f>Prog_23[[#This Row],[CONTEINER]]</f>
        <v>0</v>
      </c>
      <c r="B1562" s="86"/>
      <c r="C15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62" s="44"/>
      <c r="E1562" s="66"/>
      <c r="F1562" s="66"/>
      <c r="G1562" s="66"/>
      <c r="H1562" s="44"/>
      <c r="I1562" s="44"/>
      <c r="J1562" s="66"/>
      <c r="K1562" s="66"/>
      <c r="L1562" s="66"/>
      <c r="M1562" s="66"/>
      <c r="N1562" s="66">
        <f>SUM(Prog_23[[#This Row],[TARA]]+Prog_23[[#This Row],[PESO]])</f>
        <v>0</v>
      </c>
      <c r="O1562" s="44"/>
      <c r="P1562" s="66"/>
      <c r="Q1562" s="66"/>
      <c r="R1562" s="66"/>
      <c r="S1562" s="66"/>
      <c r="T1562" s="138" t="str">
        <f>IFERROR(LOOKUP($S1562,MOTORISTAS!$D$3:$D$916,MOTORISTAS!E$3:$E$916),"")</f>
        <v/>
      </c>
      <c r="U1562" s="138" t="str">
        <f>IFERROR(LOOKUP($S1562,MOTORISTAS!$D$3:$D$916,MOTORISTAS!F$3:$F$916),"")</f>
        <v/>
      </c>
      <c r="V1562" s="66"/>
      <c r="W1562" s="66"/>
      <c r="X1562" s="66"/>
      <c r="Y1562" s="66"/>
      <c r="Z1562" s="66"/>
      <c r="AA1562" s="66"/>
      <c r="AB1562" s="66"/>
      <c r="AC1562" s="66"/>
      <c r="AD1562" s="66"/>
      <c r="AE1562" s="66"/>
      <c r="AF1562" s="44"/>
      <c r="AG1562" s="254">
        <f>Prog_23[[#This Row],[SAÍDA DO CLIENTE]]-Prog_23[[#This Row],[PROGRAMAÇÃO CLIENTE]]</f>
        <v>0</v>
      </c>
      <c r="AH1562" s="44"/>
      <c r="AI1562" s="66"/>
      <c r="AJ1562" s="66"/>
      <c r="AK1562" s="66"/>
      <c r="AL1562" s="66"/>
      <c r="AM1562" s="66"/>
      <c r="AN1562" s="83"/>
      <c r="AO1562" s="83"/>
      <c r="AP1562" s="83"/>
      <c r="AQ1562" s="66"/>
      <c r="AR1562" s="66"/>
      <c r="AS1562" s="66"/>
      <c r="AT1562" s="81"/>
      <c r="AU1562" s="81"/>
      <c r="AV1562" s="81"/>
      <c r="AW1562" s="81"/>
      <c r="AX1562" s="83">
        <f>SUM(Prog_23[[#This Row],[ADIANTAMENTO]]+Prog_23[[#This Row],[SALDO]]+Prog_23[[#This Row],[MARGEM]]+Prog_23[[#This Row],[ESTADIA 1]])</f>
        <v>0</v>
      </c>
      <c r="AY15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62" s="81"/>
      <c r="BA1562" s="81"/>
      <c r="BB1562" s="81">
        <f>Prog_23[[#This Row],[VLR NF]]*0.1%</f>
        <v>0</v>
      </c>
      <c r="BC1562" s="81">
        <f>Prog_23[[#This Row],[VLR NF]]*0.05%</f>
        <v>0</v>
      </c>
      <c r="BD1562" s="81"/>
      <c r="BE1562" s="81"/>
      <c r="BF1562" s="81"/>
      <c r="BG1562" s="81"/>
      <c r="BH1562" s="81"/>
      <c r="BI1562" s="81"/>
      <c r="BJ1562" s="81"/>
      <c r="BK1562" s="81"/>
      <c r="BL1562" s="81"/>
      <c r="BM1562" s="81"/>
      <c r="BN1562" s="66"/>
      <c r="BO1562" s="66"/>
      <c r="BP1562" s="66"/>
      <c r="BQ1562" s="66" t="str">
        <f>PROPER(TEXT(Prog_23[[#This Row],[PROGRAMAÇÃO CLIENTE]],"mmm"))</f>
        <v>Jan</v>
      </c>
      <c r="BR1562" s="66">
        <f>YEAR(Prog_23[[#This Row],[PROGRAMAÇÃO CLIENTE]])</f>
        <v>1900</v>
      </c>
    </row>
    <row r="1563" spans="1:70" x14ac:dyDescent="0.25">
      <c r="A1563" s="200">
        <f>Prog_23[[#This Row],[CONTEINER]]</f>
        <v>0</v>
      </c>
      <c r="B1563" s="86"/>
      <c r="C15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63" s="44"/>
      <c r="E1563" s="66"/>
      <c r="F1563" s="66"/>
      <c r="G1563" s="66"/>
      <c r="H1563" s="44"/>
      <c r="I1563" s="44"/>
      <c r="J1563" s="66"/>
      <c r="K1563" s="66"/>
      <c r="L1563" s="66"/>
      <c r="M1563" s="66"/>
      <c r="N1563" s="66">
        <f>SUM(Prog_23[[#This Row],[TARA]]+Prog_23[[#This Row],[PESO]])</f>
        <v>0</v>
      </c>
      <c r="O1563" s="44"/>
      <c r="P1563" s="66"/>
      <c r="Q1563" s="66"/>
      <c r="R1563" s="66"/>
      <c r="S1563" s="66"/>
      <c r="T1563" s="138" t="str">
        <f>IFERROR(LOOKUP($S1563,MOTORISTAS!$D$3:$D$916,MOTORISTAS!E$3:$E$916),"")</f>
        <v/>
      </c>
      <c r="U1563" s="138" t="str">
        <f>IFERROR(LOOKUP($S1563,MOTORISTAS!$D$3:$D$916,MOTORISTAS!F$3:$F$916),"")</f>
        <v/>
      </c>
      <c r="V1563" s="66"/>
      <c r="W1563" s="66"/>
      <c r="X1563" s="66"/>
      <c r="Y1563" s="66"/>
      <c r="Z1563" s="66"/>
      <c r="AA1563" s="66"/>
      <c r="AB1563" s="66"/>
      <c r="AC1563" s="66"/>
      <c r="AD1563" s="66"/>
      <c r="AE1563" s="66"/>
      <c r="AF1563" s="44"/>
      <c r="AG1563" s="254">
        <f>Prog_23[[#This Row],[SAÍDA DO CLIENTE]]-Prog_23[[#This Row],[PROGRAMAÇÃO CLIENTE]]</f>
        <v>0</v>
      </c>
      <c r="AH1563" s="44"/>
      <c r="AI1563" s="66"/>
      <c r="AJ1563" s="66"/>
      <c r="AK1563" s="66"/>
      <c r="AL1563" s="66"/>
      <c r="AM1563" s="66"/>
      <c r="AN1563" s="83"/>
      <c r="AO1563" s="83"/>
      <c r="AP1563" s="83"/>
      <c r="AQ1563" s="66"/>
      <c r="AR1563" s="66"/>
      <c r="AS1563" s="66"/>
      <c r="AT1563" s="81"/>
      <c r="AU1563" s="81"/>
      <c r="AV1563" s="81"/>
      <c r="AW1563" s="81"/>
      <c r="AX1563" s="83">
        <f>SUM(Prog_23[[#This Row],[ADIANTAMENTO]]+Prog_23[[#This Row],[SALDO]]+Prog_23[[#This Row],[MARGEM]]+Prog_23[[#This Row],[ESTADIA 1]])</f>
        <v>0</v>
      </c>
      <c r="AY15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63" s="81"/>
      <c r="BA1563" s="81"/>
      <c r="BB1563" s="81">
        <f>Prog_23[[#This Row],[VLR NF]]*0.1%</f>
        <v>0</v>
      </c>
      <c r="BC1563" s="81">
        <f>Prog_23[[#This Row],[VLR NF]]*0.05%</f>
        <v>0</v>
      </c>
      <c r="BD1563" s="81"/>
      <c r="BE1563" s="81"/>
      <c r="BF1563" s="81"/>
      <c r="BG1563" s="81"/>
      <c r="BH1563" s="81"/>
      <c r="BI1563" s="81"/>
      <c r="BJ1563" s="81"/>
      <c r="BK1563" s="81"/>
      <c r="BL1563" s="81"/>
      <c r="BM1563" s="81"/>
      <c r="BN1563" s="66"/>
      <c r="BO1563" s="66"/>
      <c r="BP1563" s="66"/>
      <c r="BQ1563" s="66" t="str">
        <f>PROPER(TEXT(Prog_23[[#This Row],[PROGRAMAÇÃO CLIENTE]],"mmm"))</f>
        <v>Jan</v>
      </c>
      <c r="BR1563" s="66">
        <f>YEAR(Prog_23[[#This Row],[PROGRAMAÇÃO CLIENTE]])</f>
        <v>1900</v>
      </c>
    </row>
    <row r="1564" spans="1:70" x14ac:dyDescent="0.25">
      <c r="A1564" s="201">
        <f>Prog_23[[#This Row],[CONTEINER]]</f>
        <v>0</v>
      </c>
      <c r="B1564" s="86"/>
      <c r="C15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64" s="44"/>
      <c r="E1564" s="66"/>
      <c r="F1564" s="66"/>
      <c r="G1564" s="66"/>
      <c r="H1564" s="44"/>
      <c r="I1564" s="44"/>
      <c r="J1564" s="66"/>
      <c r="K1564" s="66"/>
      <c r="L1564" s="66"/>
      <c r="M1564" s="66"/>
      <c r="N1564" s="66">
        <f>SUM(Prog_23[[#This Row],[TARA]]+Prog_23[[#This Row],[PESO]])</f>
        <v>0</v>
      </c>
      <c r="O1564" s="44"/>
      <c r="P1564" s="66"/>
      <c r="Q1564" s="66"/>
      <c r="R1564" s="66"/>
      <c r="S1564" s="66"/>
      <c r="T1564" s="138" t="str">
        <f>IFERROR(LOOKUP($S1564,MOTORISTAS!$D$3:$D$916,MOTORISTAS!E$3:$E$916),"")</f>
        <v/>
      </c>
      <c r="U1564" s="138" t="str">
        <f>IFERROR(LOOKUP($S1564,MOTORISTAS!$D$3:$D$916,MOTORISTAS!F$3:$F$916),"")</f>
        <v/>
      </c>
      <c r="V1564" s="66"/>
      <c r="W1564" s="66"/>
      <c r="X1564" s="66"/>
      <c r="Y1564" s="66"/>
      <c r="Z1564" s="66"/>
      <c r="AA1564" s="66"/>
      <c r="AB1564" s="66"/>
      <c r="AC1564" s="66"/>
      <c r="AD1564" s="66"/>
      <c r="AE1564" s="66"/>
      <c r="AF1564" s="44"/>
      <c r="AG1564" s="254">
        <f>Prog_23[[#This Row],[SAÍDA DO CLIENTE]]-Prog_23[[#This Row],[PROGRAMAÇÃO CLIENTE]]</f>
        <v>0</v>
      </c>
      <c r="AH1564" s="44"/>
      <c r="AI1564" s="66"/>
      <c r="AJ1564" s="66"/>
      <c r="AK1564" s="66"/>
      <c r="AL1564" s="66"/>
      <c r="AM1564" s="66"/>
      <c r="AN1564" s="83"/>
      <c r="AO1564" s="83"/>
      <c r="AP1564" s="83"/>
      <c r="AQ1564" s="66"/>
      <c r="AR1564" s="66"/>
      <c r="AS1564" s="66"/>
      <c r="AT1564" s="81"/>
      <c r="AU1564" s="81"/>
      <c r="AV1564" s="81"/>
      <c r="AW1564" s="81"/>
      <c r="AX1564" s="83">
        <f>SUM(Prog_23[[#This Row],[ADIANTAMENTO]]+Prog_23[[#This Row],[SALDO]]+Prog_23[[#This Row],[MARGEM]]+Prog_23[[#This Row],[ESTADIA 1]])</f>
        <v>0</v>
      </c>
      <c r="AY15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64" s="81"/>
      <c r="BA1564" s="81"/>
      <c r="BB1564" s="81">
        <f>Prog_23[[#This Row],[VLR NF]]*0.1%</f>
        <v>0</v>
      </c>
      <c r="BC1564" s="81">
        <f>Prog_23[[#This Row],[VLR NF]]*0.05%</f>
        <v>0</v>
      </c>
      <c r="BD1564" s="81"/>
      <c r="BE1564" s="81"/>
      <c r="BF1564" s="81"/>
      <c r="BG1564" s="81"/>
      <c r="BH1564" s="81"/>
      <c r="BI1564" s="81"/>
      <c r="BJ1564" s="81"/>
      <c r="BK1564" s="81"/>
      <c r="BL1564" s="81"/>
      <c r="BM1564" s="81"/>
      <c r="BN1564" s="66"/>
      <c r="BO1564" s="66"/>
      <c r="BP1564" s="66"/>
      <c r="BQ1564" s="66" t="str">
        <f>PROPER(TEXT(Prog_23[[#This Row],[PROGRAMAÇÃO CLIENTE]],"mmm"))</f>
        <v>Jan</v>
      </c>
      <c r="BR1564" s="66">
        <f>YEAR(Prog_23[[#This Row],[PROGRAMAÇÃO CLIENTE]])</f>
        <v>1900</v>
      </c>
    </row>
    <row r="1565" spans="1:70" x14ac:dyDescent="0.25">
      <c r="A1565" s="200">
        <f>Prog_23[[#This Row],[CONTEINER]]</f>
        <v>0</v>
      </c>
      <c r="B1565" s="86"/>
      <c r="C15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65" s="44"/>
      <c r="E1565" s="66"/>
      <c r="F1565" s="66"/>
      <c r="G1565" s="66"/>
      <c r="H1565" s="44"/>
      <c r="I1565" s="44"/>
      <c r="J1565" s="66"/>
      <c r="K1565" s="66"/>
      <c r="L1565" s="66"/>
      <c r="M1565" s="66"/>
      <c r="N1565" s="66">
        <f>SUM(Prog_23[[#This Row],[TARA]]+Prog_23[[#This Row],[PESO]])</f>
        <v>0</v>
      </c>
      <c r="O1565" s="44"/>
      <c r="P1565" s="66"/>
      <c r="Q1565" s="66"/>
      <c r="R1565" s="66"/>
      <c r="S1565" s="66"/>
      <c r="T1565" s="138" t="str">
        <f>IFERROR(LOOKUP($S1565,MOTORISTAS!$D$3:$D$916,MOTORISTAS!E$3:$E$916),"")</f>
        <v/>
      </c>
      <c r="U1565" s="138" t="str">
        <f>IFERROR(LOOKUP($S1565,MOTORISTAS!$D$3:$D$916,MOTORISTAS!F$3:$F$916),"")</f>
        <v/>
      </c>
      <c r="V1565" s="66"/>
      <c r="W1565" s="66"/>
      <c r="X1565" s="66"/>
      <c r="Y1565" s="66"/>
      <c r="Z1565" s="66"/>
      <c r="AA1565" s="66"/>
      <c r="AB1565" s="66"/>
      <c r="AC1565" s="66"/>
      <c r="AD1565" s="66"/>
      <c r="AE1565" s="66"/>
      <c r="AF1565" s="44"/>
      <c r="AG1565" s="254">
        <f>Prog_23[[#This Row],[SAÍDA DO CLIENTE]]-Prog_23[[#This Row],[PROGRAMAÇÃO CLIENTE]]</f>
        <v>0</v>
      </c>
      <c r="AH1565" s="44"/>
      <c r="AI1565" s="66"/>
      <c r="AJ1565" s="66"/>
      <c r="AK1565" s="66"/>
      <c r="AL1565" s="66"/>
      <c r="AM1565" s="66"/>
      <c r="AN1565" s="83"/>
      <c r="AO1565" s="83"/>
      <c r="AP1565" s="83"/>
      <c r="AQ1565" s="66"/>
      <c r="AR1565" s="66"/>
      <c r="AS1565" s="66"/>
      <c r="AT1565" s="81"/>
      <c r="AU1565" s="81"/>
      <c r="AV1565" s="81"/>
      <c r="AW1565" s="81"/>
      <c r="AX1565" s="83">
        <f>SUM(Prog_23[[#This Row],[ADIANTAMENTO]]+Prog_23[[#This Row],[SALDO]]+Prog_23[[#This Row],[MARGEM]]+Prog_23[[#This Row],[ESTADIA 1]])</f>
        <v>0</v>
      </c>
      <c r="AY15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65" s="81"/>
      <c r="BA1565" s="81"/>
      <c r="BB1565" s="81">
        <f>Prog_23[[#This Row],[VLR NF]]*0.1%</f>
        <v>0</v>
      </c>
      <c r="BC1565" s="81">
        <f>Prog_23[[#This Row],[VLR NF]]*0.05%</f>
        <v>0</v>
      </c>
      <c r="BD1565" s="81"/>
      <c r="BE1565" s="81"/>
      <c r="BF1565" s="81"/>
      <c r="BG1565" s="81"/>
      <c r="BH1565" s="81"/>
      <c r="BI1565" s="81"/>
      <c r="BJ1565" s="81"/>
      <c r="BK1565" s="81"/>
      <c r="BL1565" s="81"/>
      <c r="BM1565" s="81"/>
      <c r="BN1565" s="66"/>
      <c r="BO1565" s="66"/>
      <c r="BP1565" s="66"/>
      <c r="BQ1565" s="66" t="str">
        <f>PROPER(TEXT(Prog_23[[#This Row],[PROGRAMAÇÃO CLIENTE]],"mmm"))</f>
        <v>Jan</v>
      </c>
      <c r="BR1565" s="66">
        <f>YEAR(Prog_23[[#This Row],[PROGRAMAÇÃO CLIENTE]])</f>
        <v>1900</v>
      </c>
    </row>
    <row r="1566" spans="1:70" x14ac:dyDescent="0.25">
      <c r="A1566" s="201">
        <f>Prog_23[[#This Row],[CONTEINER]]</f>
        <v>0</v>
      </c>
      <c r="B1566" s="86"/>
      <c r="C15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66" s="44"/>
      <c r="E1566" s="66"/>
      <c r="F1566" s="66"/>
      <c r="G1566" s="66"/>
      <c r="H1566" s="44"/>
      <c r="I1566" s="44"/>
      <c r="J1566" s="66"/>
      <c r="K1566" s="66"/>
      <c r="L1566" s="66"/>
      <c r="M1566" s="66"/>
      <c r="N1566" s="66">
        <f>SUM(Prog_23[[#This Row],[TARA]]+Prog_23[[#This Row],[PESO]])</f>
        <v>0</v>
      </c>
      <c r="O1566" s="44"/>
      <c r="P1566" s="66"/>
      <c r="Q1566" s="66"/>
      <c r="R1566" s="66"/>
      <c r="S1566" s="66"/>
      <c r="T1566" s="138" t="str">
        <f>IFERROR(LOOKUP($S1566,MOTORISTAS!$D$3:$D$916,MOTORISTAS!E$3:$E$916),"")</f>
        <v/>
      </c>
      <c r="U1566" s="138" t="str">
        <f>IFERROR(LOOKUP($S1566,MOTORISTAS!$D$3:$D$916,MOTORISTAS!F$3:$F$916),"")</f>
        <v/>
      </c>
      <c r="V1566" s="66"/>
      <c r="W1566" s="66"/>
      <c r="X1566" s="66"/>
      <c r="Y1566" s="66"/>
      <c r="Z1566" s="66"/>
      <c r="AA1566" s="66"/>
      <c r="AB1566" s="66"/>
      <c r="AC1566" s="66"/>
      <c r="AD1566" s="66"/>
      <c r="AE1566" s="66"/>
      <c r="AF1566" s="44"/>
      <c r="AG1566" s="254">
        <f>Prog_23[[#This Row],[SAÍDA DO CLIENTE]]-Prog_23[[#This Row],[PROGRAMAÇÃO CLIENTE]]</f>
        <v>0</v>
      </c>
      <c r="AH1566" s="44"/>
      <c r="AI1566" s="66"/>
      <c r="AJ1566" s="66"/>
      <c r="AK1566" s="66"/>
      <c r="AL1566" s="66"/>
      <c r="AM1566" s="66"/>
      <c r="AN1566" s="83"/>
      <c r="AO1566" s="83"/>
      <c r="AP1566" s="83"/>
      <c r="AQ1566" s="66"/>
      <c r="AR1566" s="66"/>
      <c r="AS1566" s="66"/>
      <c r="AT1566" s="81"/>
      <c r="AU1566" s="81"/>
      <c r="AV1566" s="81"/>
      <c r="AW1566" s="81"/>
      <c r="AX1566" s="83">
        <f>SUM(Prog_23[[#This Row],[ADIANTAMENTO]]+Prog_23[[#This Row],[SALDO]]+Prog_23[[#This Row],[MARGEM]]+Prog_23[[#This Row],[ESTADIA 1]])</f>
        <v>0</v>
      </c>
      <c r="AY15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66" s="81"/>
      <c r="BA1566" s="81"/>
      <c r="BB1566" s="81">
        <f>Prog_23[[#This Row],[VLR NF]]*0.1%</f>
        <v>0</v>
      </c>
      <c r="BC1566" s="81">
        <f>Prog_23[[#This Row],[VLR NF]]*0.05%</f>
        <v>0</v>
      </c>
      <c r="BD1566" s="81"/>
      <c r="BE1566" s="81"/>
      <c r="BF1566" s="81"/>
      <c r="BG1566" s="81"/>
      <c r="BH1566" s="81"/>
      <c r="BI1566" s="81"/>
      <c r="BJ1566" s="81"/>
      <c r="BK1566" s="81"/>
      <c r="BL1566" s="81"/>
      <c r="BM1566" s="81"/>
      <c r="BN1566" s="66"/>
      <c r="BO1566" s="66"/>
      <c r="BP1566" s="66"/>
      <c r="BQ1566" s="66" t="str">
        <f>PROPER(TEXT(Prog_23[[#This Row],[PROGRAMAÇÃO CLIENTE]],"mmm"))</f>
        <v>Jan</v>
      </c>
      <c r="BR1566" s="66">
        <f>YEAR(Prog_23[[#This Row],[PROGRAMAÇÃO CLIENTE]])</f>
        <v>1900</v>
      </c>
    </row>
    <row r="1567" spans="1:70" x14ac:dyDescent="0.25">
      <c r="A1567" s="200">
        <f>Prog_23[[#This Row],[CONTEINER]]</f>
        <v>0</v>
      </c>
      <c r="B1567" s="86"/>
      <c r="C15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67" s="44"/>
      <c r="E1567" s="66"/>
      <c r="F1567" s="66"/>
      <c r="G1567" s="66"/>
      <c r="H1567" s="44"/>
      <c r="I1567" s="44"/>
      <c r="J1567" s="66"/>
      <c r="K1567" s="66"/>
      <c r="L1567" s="66"/>
      <c r="M1567" s="66"/>
      <c r="N1567" s="66">
        <f>SUM(Prog_23[[#This Row],[TARA]]+Prog_23[[#This Row],[PESO]])</f>
        <v>0</v>
      </c>
      <c r="O1567" s="44"/>
      <c r="P1567" s="66"/>
      <c r="Q1567" s="66"/>
      <c r="R1567" s="66"/>
      <c r="S1567" s="66"/>
      <c r="T1567" s="138" t="str">
        <f>IFERROR(LOOKUP($S1567,MOTORISTAS!$D$3:$D$916,MOTORISTAS!E$3:$E$916),"")</f>
        <v/>
      </c>
      <c r="U1567" s="138" t="str">
        <f>IFERROR(LOOKUP($S1567,MOTORISTAS!$D$3:$D$916,MOTORISTAS!F$3:$F$916),"")</f>
        <v/>
      </c>
      <c r="V1567" s="66"/>
      <c r="W1567" s="66"/>
      <c r="X1567" s="66"/>
      <c r="Y1567" s="66"/>
      <c r="Z1567" s="66"/>
      <c r="AA1567" s="66"/>
      <c r="AB1567" s="66"/>
      <c r="AC1567" s="66"/>
      <c r="AD1567" s="66"/>
      <c r="AE1567" s="66"/>
      <c r="AF1567" s="44"/>
      <c r="AG1567" s="254">
        <f>Prog_23[[#This Row],[SAÍDA DO CLIENTE]]-Prog_23[[#This Row],[PROGRAMAÇÃO CLIENTE]]</f>
        <v>0</v>
      </c>
      <c r="AH1567" s="44"/>
      <c r="AI1567" s="66"/>
      <c r="AJ1567" s="66"/>
      <c r="AK1567" s="66"/>
      <c r="AL1567" s="66"/>
      <c r="AM1567" s="66"/>
      <c r="AN1567" s="83"/>
      <c r="AO1567" s="83"/>
      <c r="AP1567" s="83"/>
      <c r="AQ1567" s="66"/>
      <c r="AR1567" s="66"/>
      <c r="AS1567" s="66"/>
      <c r="AT1567" s="81"/>
      <c r="AU1567" s="81"/>
      <c r="AV1567" s="81"/>
      <c r="AW1567" s="81"/>
      <c r="AX1567" s="83">
        <f>SUM(Prog_23[[#This Row],[ADIANTAMENTO]]+Prog_23[[#This Row],[SALDO]]+Prog_23[[#This Row],[MARGEM]]+Prog_23[[#This Row],[ESTADIA 1]])</f>
        <v>0</v>
      </c>
      <c r="AY15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67" s="81"/>
      <c r="BA1567" s="81"/>
      <c r="BB1567" s="81">
        <f>Prog_23[[#This Row],[VLR NF]]*0.1%</f>
        <v>0</v>
      </c>
      <c r="BC1567" s="81">
        <f>Prog_23[[#This Row],[VLR NF]]*0.05%</f>
        <v>0</v>
      </c>
      <c r="BD1567" s="81"/>
      <c r="BE1567" s="81"/>
      <c r="BF1567" s="81"/>
      <c r="BG1567" s="81"/>
      <c r="BH1567" s="81"/>
      <c r="BI1567" s="81"/>
      <c r="BJ1567" s="81"/>
      <c r="BK1567" s="81"/>
      <c r="BL1567" s="81"/>
      <c r="BM1567" s="81"/>
      <c r="BN1567" s="66"/>
      <c r="BO1567" s="66"/>
      <c r="BP1567" s="66"/>
      <c r="BQ1567" s="66" t="str">
        <f>PROPER(TEXT(Prog_23[[#This Row],[PROGRAMAÇÃO CLIENTE]],"mmm"))</f>
        <v>Jan</v>
      </c>
      <c r="BR1567" s="66">
        <f>YEAR(Prog_23[[#This Row],[PROGRAMAÇÃO CLIENTE]])</f>
        <v>1900</v>
      </c>
    </row>
    <row r="1568" spans="1:70" x14ac:dyDescent="0.25">
      <c r="A1568" s="201">
        <f>Prog_23[[#This Row],[CONTEINER]]</f>
        <v>0</v>
      </c>
      <c r="B1568" s="86"/>
      <c r="C15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68" s="44"/>
      <c r="E1568" s="66"/>
      <c r="F1568" s="66"/>
      <c r="G1568" s="66"/>
      <c r="H1568" s="44"/>
      <c r="I1568" s="44"/>
      <c r="J1568" s="66"/>
      <c r="K1568" s="66"/>
      <c r="L1568" s="66"/>
      <c r="M1568" s="66"/>
      <c r="N1568" s="66">
        <f>SUM(Prog_23[[#This Row],[TARA]]+Prog_23[[#This Row],[PESO]])</f>
        <v>0</v>
      </c>
      <c r="O1568" s="44"/>
      <c r="P1568" s="66"/>
      <c r="Q1568" s="66"/>
      <c r="R1568" s="66"/>
      <c r="S1568" s="66"/>
      <c r="T1568" s="138" t="str">
        <f>IFERROR(LOOKUP($S1568,MOTORISTAS!$D$3:$D$916,MOTORISTAS!E$3:$E$916),"")</f>
        <v/>
      </c>
      <c r="U1568" s="138" t="str">
        <f>IFERROR(LOOKUP($S1568,MOTORISTAS!$D$3:$D$916,MOTORISTAS!F$3:$F$916),"")</f>
        <v/>
      </c>
      <c r="V1568" s="66"/>
      <c r="W1568" s="66"/>
      <c r="X1568" s="66"/>
      <c r="Y1568" s="66"/>
      <c r="Z1568" s="66"/>
      <c r="AA1568" s="66"/>
      <c r="AB1568" s="66"/>
      <c r="AC1568" s="66"/>
      <c r="AD1568" s="66"/>
      <c r="AE1568" s="66"/>
      <c r="AF1568" s="44"/>
      <c r="AG1568" s="254">
        <f>Prog_23[[#This Row],[SAÍDA DO CLIENTE]]-Prog_23[[#This Row],[PROGRAMAÇÃO CLIENTE]]</f>
        <v>0</v>
      </c>
      <c r="AH1568" s="44"/>
      <c r="AI1568" s="66"/>
      <c r="AJ1568" s="66"/>
      <c r="AK1568" s="66"/>
      <c r="AL1568" s="66"/>
      <c r="AM1568" s="66"/>
      <c r="AN1568" s="83"/>
      <c r="AO1568" s="83"/>
      <c r="AP1568" s="83"/>
      <c r="AQ1568" s="66"/>
      <c r="AR1568" s="66"/>
      <c r="AS1568" s="66"/>
      <c r="AT1568" s="81"/>
      <c r="AU1568" s="81"/>
      <c r="AV1568" s="81"/>
      <c r="AW1568" s="81"/>
      <c r="AX1568" s="83">
        <f>SUM(Prog_23[[#This Row],[ADIANTAMENTO]]+Prog_23[[#This Row],[SALDO]]+Prog_23[[#This Row],[MARGEM]]+Prog_23[[#This Row],[ESTADIA 1]])</f>
        <v>0</v>
      </c>
      <c r="AY15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68" s="81"/>
      <c r="BA1568" s="81"/>
      <c r="BB1568" s="81">
        <f>Prog_23[[#This Row],[VLR NF]]*0.1%</f>
        <v>0</v>
      </c>
      <c r="BC1568" s="81">
        <f>Prog_23[[#This Row],[VLR NF]]*0.05%</f>
        <v>0</v>
      </c>
      <c r="BD1568" s="81"/>
      <c r="BE1568" s="81"/>
      <c r="BF1568" s="81"/>
      <c r="BG1568" s="81"/>
      <c r="BH1568" s="81"/>
      <c r="BI1568" s="81"/>
      <c r="BJ1568" s="81"/>
      <c r="BK1568" s="81"/>
      <c r="BL1568" s="81"/>
      <c r="BM1568" s="81"/>
      <c r="BN1568" s="66"/>
      <c r="BO1568" s="66"/>
      <c r="BP1568" s="66"/>
      <c r="BQ1568" s="66" t="str">
        <f>PROPER(TEXT(Prog_23[[#This Row],[PROGRAMAÇÃO CLIENTE]],"mmm"))</f>
        <v>Jan</v>
      </c>
      <c r="BR1568" s="66">
        <f>YEAR(Prog_23[[#This Row],[PROGRAMAÇÃO CLIENTE]])</f>
        <v>1900</v>
      </c>
    </row>
    <row r="1569" spans="1:70" x14ac:dyDescent="0.25">
      <c r="A1569" s="200">
        <f>Prog_23[[#This Row],[CONTEINER]]</f>
        <v>0</v>
      </c>
      <c r="B1569" s="86"/>
      <c r="C15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69" s="44"/>
      <c r="E1569" s="66"/>
      <c r="F1569" s="66"/>
      <c r="G1569" s="66"/>
      <c r="H1569" s="44"/>
      <c r="I1569" s="44"/>
      <c r="J1569" s="66"/>
      <c r="K1569" s="66"/>
      <c r="L1569" s="66"/>
      <c r="M1569" s="66"/>
      <c r="N1569" s="66">
        <f>SUM(Prog_23[[#This Row],[TARA]]+Prog_23[[#This Row],[PESO]])</f>
        <v>0</v>
      </c>
      <c r="O1569" s="44"/>
      <c r="P1569" s="66"/>
      <c r="Q1569" s="66"/>
      <c r="R1569" s="66"/>
      <c r="S1569" s="66"/>
      <c r="T1569" s="138" t="str">
        <f>IFERROR(LOOKUP($S1569,MOTORISTAS!$D$3:$D$916,MOTORISTAS!E$3:$E$916),"")</f>
        <v/>
      </c>
      <c r="U1569" s="138" t="str">
        <f>IFERROR(LOOKUP($S1569,MOTORISTAS!$D$3:$D$916,MOTORISTAS!F$3:$F$916),"")</f>
        <v/>
      </c>
      <c r="V1569" s="66"/>
      <c r="W1569" s="66"/>
      <c r="X1569" s="66"/>
      <c r="Y1569" s="66"/>
      <c r="Z1569" s="66"/>
      <c r="AA1569" s="66"/>
      <c r="AB1569" s="66"/>
      <c r="AC1569" s="66"/>
      <c r="AD1569" s="66"/>
      <c r="AE1569" s="66"/>
      <c r="AF1569" s="44"/>
      <c r="AG1569" s="254">
        <f>Prog_23[[#This Row],[SAÍDA DO CLIENTE]]-Prog_23[[#This Row],[PROGRAMAÇÃO CLIENTE]]</f>
        <v>0</v>
      </c>
      <c r="AH1569" s="44"/>
      <c r="AI1569" s="66"/>
      <c r="AJ1569" s="66"/>
      <c r="AK1569" s="66"/>
      <c r="AL1569" s="66"/>
      <c r="AM1569" s="66"/>
      <c r="AN1569" s="83"/>
      <c r="AO1569" s="83"/>
      <c r="AP1569" s="83"/>
      <c r="AQ1569" s="66"/>
      <c r="AR1569" s="66"/>
      <c r="AS1569" s="66"/>
      <c r="AT1569" s="81"/>
      <c r="AU1569" s="81"/>
      <c r="AV1569" s="81"/>
      <c r="AW1569" s="81"/>
      <c r="AX1569" s="83">
        <f>SUM(Prog_23[[#This Row],[ADIANTAMENTO]]+Prog_23[[#This Row],[SALDO]]+Prog_23[[#This Row],[MARGEM]]+Prog_23[[#This Row],[ESTADIA 1]])</f>
        <v>0</v>
      </c>
      <c r="AY15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69" s="81"/>
      <c r="BA1569" s="81"/>
      <c r="BB1569" s="81">
        <f>Prog_23[[#This Row],[VLR NF]]*0.1%</f>
        <v>0</v>
      </c>
      <c r="BC1569" s="81">
        <f>Prog_23[[#This Row],[VLR NF]]*0.05%</f>
        <v>0</v>
      </c>
      <c r="BD1569" s="81"/>
      <c r="BE1569" s="81"/>
      <c r="BF1569" s="81"/>
      <c r="BG1569" s="81"/>
      <c r="BH1569" s="81"/>
      <c r="BI1569" s="81"/>
      <c r="BJ1569" s="81"/>
      <c r="BK1569" s="81"/>
      <c r="BL1569" s="81"/>
      <c r="BM1569" s="81"/>
      <c r="BN1569" s="66"/>
      <c r="BO1569" s="66"/>
      <c r="BP1569" s="66"/>
      <c r="BQ1569" s="66" t="str">
        <f>PROPER(TEXT(Prog_23[[#This Row],[PROGRAMAÇÃO CLIENTE]],"mmm"))</f>
        <v>Jan</v>
      </c>
      <c r="BR1569" s="66">
        <f>YEAR(Prog_23[[#This Row],[PROGRAMAÇÃO CLIENTE]])</f>
        <v>1900</v>
      </c>
    </row>
    <row r="1570" spans="1:70" x14ac:dyDescent="0.25">
      <c r="A1570" s="201">
        <f>Prog_23[[#This Row],[CONTEINER]]</f>
        <v>0</v>
      </c>
      <c r="B1570" s="86"/>
      <c r="C15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70" s="44"/>
      <c r="E1570" s="66"/>
      <c r="F1570" s="66"/>
      <c r="G1570" s="66"/>
      <c r="H1570" s="44"/>
      <c r="I1570" s="44"/>
      <c r="J1570" s="66"/>
      <c r="K1570" s="66"/>
      <c r="L1570" s="66"/>
      <c r="M1570" s="66"/>
      <c r="N1570" s="66">
        <f>SUM(Prog_23[[#This Row],[TARA]]+Prog_23[[#This Row],[PESO]])</f>
        <v>0</v>
      </c>
      <c r="O1570" s="44"/>
      <c r="P1570" s="66"/>
      <c r="Q1570" s="66"/>
      <c r="R1570" s="66"/>
      <c r="S1570" s="66"/>
      <c r="T1570" s="138" t="str">
        <f>IFERROR(LOOKUP($S1570,MOTORISTAS!$D$3:$D$916,MOTORISTAS!E$3:$E$916),"")</f>
        <v/>
      </c>
      <c r="U1570" s="138" t="str">
        <f>IFERROR(LOOKUP($S1570,MOTORISTAS!$D$3:$D$916,MOTORISTAS!F$3:$F$916),"")</f>
        <v/>
      </c>
      <c r="V1570" s="66"/>
      <c r="W1570" s="66"/>
      <c r="X1570" s="66"/>
      <c r="Y1570" s="66"/>
      <c r="Z1570" s="66"/>
      <c r="AA1570" s="66"/>
      <c r="AB1570" s="66"/>
      <c r="AC1570" s="66"/>
      <c r="AD1570" s="66"/>
      <c r="AE1570" s="66"/>
      <c r="AF1570" s="44"/>
      <c r="AG1570" s="254">
        <f>Prog_23[[#This Row],[SAÍDA DO CLIENTE]]-Prog_23[[#This Row],[PROGRAMAÇÃO CLIENTE]]</f>
        <v>0</v>
      </c>
      <c r="AH1570" s="44"/>
      <c r="AI1570" s="66"/>
      <c r="AJ1570" s="66"/>
      <c r="AK1570" s="66"/>
      <c r="AL1570" s="66"/>
      <c r="AM1570" s="66"/>
      <c r="AN1570" s="83"/>
      <c r="AO1570" s="83"/>
      <c r="AP1570" s="83"/>
      <c r="AQ1570" s="66"/>
      <c r="AR1570" s="66"/>
      <c r="AS1570" s="66"/>
      <c r="AT1570" s="81"/>
      <c r="AU1570" s="81"/>
      <c r="AV1570" s="81"/>
      <c r="AW1570" s="81"/>
      <c r="AX1570" s="83">
        <f>SUM(Prog_23[[#This Row],[ADIANTAMENTO]]+Prog_23[[#This Row],[SALDO]]+Prog_23[[#This Row],[MARGEM]]+Prog_23[[#This Row],[ESTADIA 1]])</f>
        <v>0</v>
      </c>
      <c r="AY15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70" s="81"/>
      <c r="BA1570" s="81"/>
      <c r="BB1570" s="81">
        <f>Prog_23[[#This Row],[VLR NF]]*0.1%</f>
        <v>0</v>
      </c>
      <c r="BC1570" s="81">
        <f>Prog_23[[#This Row],[VLR NF]]*0.05%</f>
        <v>0</v>
      </c>
      <c r="BD1570" s="81"/>
      <c r="BE1570" s="81"/>
      <c r="BF1570" s="81"/>
      <c r="BG1570" s="81"/>
      <c r="BH1570" s="81"/>
      <c r="BI1570" s="81"/>
      <c r="BJ1570" s="81"/>
      <c r="BK1570" s="81"/>
      <c r="BL1570" s="81"/>
      <c r="BM1570" s="81"/>
      <c r="BN1570" s="66"/>
      <c r="BO1570" s="66"/>
      <c r="BP1570" s="66"/>
      <c r="BQ1570" s="66" t="str">
        <f>PROPER(TEXT(Prog_23[[#This Row],[PROGRAMAÇÃO CLIENTE]],"mmm"))</f>
        <v>Jan</v>
      </c>
      <c r="BR1570" s="66">
        <f>YEAR(Prog_23[[#This Row],[PROGRAMAÇÃO CLIENTE]])</f>
        <v>1900</v>
      </c>
    </row>
    <row r="1571" spans="1:70" x14ac:dyDescent="0.25">
      <c r="A1571" s="200">
        <f>Prog_23[[#This Row],[CONTEINER]]</f>
        <v>0</v>
      </c>
      <c r="B1571" s="86"/>
      <c r="C15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71" s="44"/>
      <c r="E1571" s="66"/>
      <c r="F1571" s="66"/>
      <c r="G1571" s="66"/>
      <c r="H1571" s="44"/>
      <c r="I1571" s="44"/>
      <c r="J1571" s="66"/>
      <c r="K1571" s="66"/>
      <c r="L1571" s="66"/>
      <c r="M1571" s="66"/>
      <c r="N1571" s="66">
        <f>SUM(Prog_23[[#This Row],[TARA]]+Prog_23[[#This Row],[PESO]])</f>
        <v>0</v>
      </c>
      <c r="O1571" s="44"/>
      <c r="P1571" s="66"/>
      <c r="Q1571" s="66"/>
      <c r="R1571" s="66"/>
      <c r="S1571" s="66"/>
      <c r="T1571" s="138" t="str">
        <f>IFERROR(LOOKUP($S1571,MOTORISTAS!$D$3:$D$916,MOTORISTAS!E$3:$E$916),"")</f>
        <v/>
      </c>
      <c r="U1571" s="138" t="str">
        <f>IFERROR(LOOKUP($S1571,MOTORISTAS!$D$3:$D$916,MOTORISTAS!F$3:$F$916),"")</f>
        <v/>
      </c>
      <c r="V1571" s="66"/>
      <c r="W1571" s="66"/>
      <c r="X1571" s="66"/>
      <c r="Y1571" s="66"/>
      <c r="Z1571" s="66"/>
      <c r="AA1571" s="66"/>
      <c r="AB1571" s="66"/>
      <c r="AC1571" s="66"/>
      <c r="AD1571" s="66"/>
      <c r="AE1571" s="66"/>
      <c r="AF1571" s="44"/>
      <c r="AG1571" s="254">
        <f>Prog_23[[#This Row],[SAÍDA DO CLIENTE]]-Prog_23[[#This Row],[PROGRAMAÇÃO CLIENTE]]</f>
        <v>0</v>
      </c>
      <c r="AH1571" s="44"/>
      <c r="AI1571" s="66"/>
      <c r="AJ1571" s="66"/>
      <c r="AK1571" s="66"/>
      <c r="AL1571" s="66"/>
      <c r="AM1571" s="66"/>
      <c r="AN1571" s="83"/>
      <c r="AO1571" s="83"/>
      <c r="AP1571" s="83"/>
      <c r="AQ1571" s="66"/>
      <c r="AR1571" s="66"/>
      <c r="AS1571" s="66"/>
      <c r="AT1571" s="81"/>
      <c r="AU1571" s="81"/>
      <c r="AV1571" s="81"/>
      <c r="AW1571" s="81"/>
      <c r="AX1571" s="83">
        <f>SUM(Prog_23[[#This Row],[ADIANTAMENTO]]+Prog_23[[#This Row],[SALDO]]+Prog_23[[#This Row],[MARGEM]]+Prog_23[[#This Row],[ESTADIA 1]])</f>
        <v>0</v>
      </c>
      <c r="AY15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71" s="81"/>
      <c r="BA1571" s="81"/>
      <c r="BB1571" s="81">
        <f>Prog_23[[#This Row],[VLR NF]]*0.1%</f>
        <v>0</v>
      </c>
      <c r="BC1571" s="81">
        <f>Prog_23[[#This Row],[VLR NF]]*0.05%</f>
        <v>0</v>
      </c>
      <c r="BD1571" s="81"/>
      <c r="BE1571" s="81"/>
      <c r="BF1571" s="81"/>
      <c r="BG1571" s="81"/>
      <c r="BH1571" s="81"/>
      <c r="BI1571" s="81"/>
      <c r="BJ1571" s="81"/>
      <c r="BK1571" s="81"/>
      <c r="BL1571" s="81"/>
      <c r="BM1571" s="81"/>
      <c r="BN1571" s="66"/>
      <c r="BO1571" s="66"/>
      <c r="BP1571" s="66"/>
      <c r="BQ1571" s="66" t="str">
        <f>PROPER(TEXT(Prog_23[[#This Row],[PROGRAMAÇÃO CLIENTE]],"mmm"))</f>
        <v>Jan</v>
      </c>
      <c r="BR1571" s="66">
        <f>YEAR(Prog_23[[#This Row],[PROGRAMAÇÃO CLIENTE]])</f>
        <v>1900</v>
      </c>
    </row>
    <row r="1572" spans="1:70" x14ac:dyDescent="0.25">
      <c r="A1572" s="201">
        <f>Prog_23[[#This Row],[CONTEINER]]</f>
        <v>0</v>
      </c>
      <c r="B1572" s="86"/>
      <c r="C15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72" s="44"/>
      <c r="E1572" s="66"/>
      <c r="F1572" s="66"/>
      <c r="G1572" s="66"/>
      <c r="H1572" s="44"/>
      <c r="I1572" s="44"/>
      <c r="J1572" s="66"/>
      <c r="K1572" s="66"/>
      <c r="L1572" s="66"/>
      <c r="M1572" s="66"/>
      <c r="N1572" s="66">
        <f>SUM(Prog_23[[#This Row],[TARA]]+Prog_23[[#This Row],[PESO]])</f>
        <v>0</v>
      </c>
      <c r="O1572" s="44"/>
      <c r="P1572" s="66"/>
      <c r="Q1572" s="66"/>
      <c r="R1572" s="66"/>
      <c r="S1572" s="66"/>
      <c r="T1572" s="138" t="str">
        <f>IFERROR(LOOKUP($S1572,MOTORISTAS!$D$3:$D$916,MOTORISTAS!E$3:$E$916),"")</f>
        <v/>
      </c>
      <c r="U1572" s="138" t="str">
        <f>IFERROR(LOOKUP($S1572,MOTORISTAS!$D$3:$D$916,MOTORISTAS!F$3:$F$916),"")</f>
        <v/>
      </c>
      <c r="V1572" s="66"/>
      <c r="W1572" s="66"/>
      <c r="X1572" s="66"/>
      <c r="Y1572" s="66"/>
      <c r="Z1572" s="66"/>
      <c r="AA1572" s="66"/>
      <c r="AB1572" s="66"/>
      <c r="AC1572" s="66"/>
      <c r="AD1572" s="66"/>
      <c r="AE1572" s="66"/>
      <c r="AF1572" s="44"/>
      <c r="AG1572" s="254">
        <f>Prog_23[[#This Row],[SAÍDA DO CLIENTE]]-Prog_23[[#This Row],[PROGRAMAÇÃO CLIENTE]]</f>
        <v>0</v>
      </c>
      <c r="AH1572" s="44"/>
      <c r="AI1572" s="66"/>
      <c r="AJ1572" s="66"/>
      <c r="AK1572" s="66"/>
      <c r="AL1572" s="66"/>
      <c r="AM1572" s="66"/>
      <c r="AN1572" s="83"/>
      <c r="AO1572" s="83"/>
      <c r="AP1572" s="83"/>
      <c r="AQ1572" s="66"/>
      <c r="AR1572" s="66"/>
      <c r="AS1572" s="66"/>
      <c r="AT1572" s="81"/>
      <c r="AU1572" s="81"/>
      <c r="AV1572" s="81"/>
      <c r="AW1572" s="81"/>
      <c r="AX1572" s="83">
        <f>SUM(Prog_23[[#This Row],[ADIANTAMENTO]]+Prog_23[[#This Row],[SALDO]]+Prog_23[[#This Row],[MARGEM]]+Prog_23[[#This Row],[ESTADIA 1]])</f>
        <v>0</v>
      </c>
      <c r="AY15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72" s="81"/>
      <c r="BA1572" s="81"/>
      <c r="BB1572" s="81">
        <f>Prog_23[[#This Row],[VLR NF]]*0.1%</f>
        <v>0</v>
      </c>
      <c r="BC1572" s="81">
        <f>Prog_23[[#This Row],[VLR NF]]*0.05%</f>
        <v>0</v>
      </c>
      <c r="BD1572" s="81"/>
      <c r="BE1572" s="81"/>
      <c r="BF1572" s="81"/>
      <c r="BG1572" s="81"/>
      <c r="BH1572" s="81"/>
      <c r="BI1572" s="81"/>
      <c r="BJ1572" s="81"/>
      <c r="BK1572" s="81"/>
      <c r="BL1572" s="81"/>
      <c r="BM1572" s="81"/>
      <c r="BN1572" s="66"/>
      <c r="BO1572" s="66"/>
      <c r="BP1572" s="66"/>
      <c r="BQ1572" s="66" t="str">
        <f>PROPER(TEXT(Prog_23[[#This Row],[PROGRAMAÇÃO CLIENTE]],"mmm"))</f>
        <v>Jan</v>
      </c>
      <c r="BR1572" s="66">
        <f>YEAR(Prog_23[[#This Row],[PROGRAMAÇÃO CLIENTE]])</f>
        <v>1900</v>
      </c>
    </row>
    <row r="1573" spans="1:70" x14ac:dyDescent="0.25">
      <c r="A1573" s="200">
        <f>Prog_23[[#This Row],[CONTEINER]]</f>
        <v>0</v>
      </c>
      <c r="B1573" s="86"/>
      <c r="C15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73" s="44"/>
      <c r="E1573" s="66"/>
      <c r="F1573" s="66"/>
      <c r="G1573" s="66"/>
      <c r="H1573" s="44"/>
      <c r="I1573" s="44"/>
      <c r="J1573" s="66"/>
      <c r="K1573" s="66"/>
      <c r="L1573" s="66"/>
      <c r="M1573" s="66"/>
      <c r="N1573" s="66">
        <f>SUM(Prog_23[[#This Row],[TARA]]+Prog_23[[#This Row],[PESO]])</f>
        <v>0</v>
      </c>
      <c r="O1573" s="44"/>
      <c r="P1573" s="66"/>
      <c r="Q1573" s="66"/>
      <c r="R1573" s="66"/>
      <c r="S1573" s="66"/>
      <c r="T1573" s="138" t="str">
        <f>IFERROR(LOOKUP($S1573,MOTORISTAS!$D$3:$D$916,MOTORISTAS!E$3:$E$916),"")</f>
        <v/>
      </c>
      <c r="U1573" s="138" t="str">
        <f>IFERROR(LOOKUP($S1573,MOTORISTAS!$D$3:$D$916,MOTORISTAS!F$3:$F$916),"")</f>
        <v/>
      </c>
      <c r="V1573" s="66"/>
      <c r="W1573" s="66"/>
      <c r="X1573" s="66"/>
      <c r="Y1573" s="66"/>
      <c r="Z1573" s="66"/>
      <c r="AA1573" s="66"/>
      <c r="AB1573" s="66"/>
      <c r="AC1573" s="66"/>
      <c r="AD1573" s="66"/>
      <c r="AE1573" s="66"/>
      <c r="AF1573" s="44"/>
      <c r="AG1573" s="254">
        <f>Prog_23[[#This Row],[SAÍDA DO CLIENTE]]-Prog_23[[#This Row],[PROGRAMAÇÃO CLIENTE]]</f>
        <v>0</v>
      </c>
      <c r="AH1573" s="44"/>
      <c r="AI1573" s="66"/>
      <c r="AJ1573" s="66"/>
      <c r="AK1573" s="66"/>
      <c r="AL1573" s="66"/>
      <c r="AM1573" s="66"/>
      <c r="AN1573" s="83"/>
      <c r="AO1573" s="83"/>
      <c r="AP1573" s="83"/>
      <c r="AQ1573" s="66"/>
      <c r="AR1573" s="66"/>
      <c r="AS1573" s="66"/>
      <c r="AT1573" s="81"/>
      <c r="AU1573" s="81"/>
      <c r="AV1573" s="81"/>
      <c r="AW1573" s="81"/>
      <c r="AX1573" s="83">
        <f>SUM(Prog_23[[#This Row],[ADIANTAMENTO]]+Prog_23[[#This Row],[SALDO]]+Prog_23[[#This Row],[MARGEM]]+Prog_23[[#This Row],[ESTADIA 1]])</f>
        <v>0</v>
      </c>
      <c r="AY15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73" s="81"/>
      <c r="BA1573" s="81"/>
      <c r="BB1573" s="81">
        <f>Prog_23[[#This Row],[VLR NF]]*0.1%</f>
        <v>0</v>
      </c>
      <c r="BC1573" s="81">
        <f>Prog_23[[#This Row],[VLR NF]]*0.05%</f>
        <v>0</v>
      </c>
      <c r="BD1573" s="81"/>
      <c r="BE1573" s="81"/>
      <c r="BF1573" s="81"/>
      <c r="BG1573" s="81"/>
      <c r="BH1573" s="81"/>
      <c r="BI1573" s="81"/>
      <c r="BJ1573" s="81"/>
      <c r="BK1573" s="81"/>
      <c r="BL1573" s="81"/>
      <c r="BM1573" s="81"/>
      <c r="BN1573" s="66"/>
      <c r="BO1573" s="66"/>
      <c r="BP1573" s="66"/>
      <c r="BQ1573" s="66" t="str">
        <f>PROPER(TEXT(Prog_23[[#This Row],[PROGRAMAÇÃO CLIENTE]],"mmm"))</f>
        <v>Jan</v>
      </c>
      <c r="BR1573" s="66">
        <f>YEAR(Prog_23[[#This Row],[PROGRAMAÇÃO CLIENTE]])</f>
        <v>1900</v>
      </c>
    </row>
    <row r="1574" spans="1:70" x14ac:dyDescent="0.25">
      <c r="A1574" s="201">
        <f>Prog_23[[#This Row],[CONTEINER]]</f>
        <v>0</v>
      </c>
      <c r="B1574" s="86"/>
      <c r="C15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74" s="44"/>
      <c r="E1574" s="66"/>
      <c r="F1574" s="66"/>
      <c r="G1574" s="66"/>
      <c r="H1574" s="44"/>
      <c r="I1574" s="44"/>
      <c r="J1574" s="66"/>
      <c r="K1574" s="66"/>
      <c r="L1574" s="66"/>
      <c r="M1574" s="66"/>
      <c r="N1574" s="66">
        <f>SUM(Prog_23[[#This Row],[TARA]]+Prog_23[[#This Row],[PESO]])</f>
        <v>0</v>
      </c>
      <c r="O1574" s="44"/>
      <c r="P1574" s="66"/>
      <c r="Q1574" s="66"/>
      <c r="R1574" s="66"/>
      <c r="S1574" s="66"/>
      <c r="T1574" s="138" t="str">
        <f>IFERROR(LOOKUP($S1574,MOTORISTAS!$D$3:$D$916,MOTORISTAS!E$3:$E$916),"")</f>
        <v/>
      </c>
      <c r="U1574" s="138" t="str">
        <f>IFERROR(LOOKUP($S1574,MOTORISTAS!$D$3:$D$916,MOTORISTAS!F$3:$F$916),"")</f>
        <v/>
      </c>
      <c r="V1574" s="66"/>
      <c r="W1574" s="66"/>
      <c r="X1574" s="66"/>
      <c r="Y1574" s="66"/>
      <c r="Z1574" s="66"/>
      <c r="AA1574" s="66"/>
      <c r="AB1574" s="66"/>
      <c r="AC1574" s="66"/>
      <c r="AD1574" s="66"/>
      <c r="AE1574" s="66"/>
      <c r="AF1574" s="44"/>
      <c r="AG1574" s="254">
        <f>Prog_23[[#This Row],[SAÍDA DO CLIENTE]]-Prog_23[[#This Row],[PROGRAMAÇÃO CLIENTE]]</f>
        <v>0</v>
      </c>
      <c r="AH1574" s="44"/>
      <c r="AI1574" s="66"/>
      <c r="AJ1574" s="66"/>
      <c r="AK1574" s="66"/>
      <c r="AL1574" s="66"/>
      <c r="AM1574" s="66"/>
      <c r="AN1574" s="83"/>
      <c r="AO1574" s="83"/>
      <c r="AP1574" s="83"/>
      <c r="AQ1574" s="66"/>
      <c r="AR1574" s="66"/>
      <c r="AS1574" s="66"/>
      <c r="AT1574" s="81"/>
      <c r="AU1574" s="81"/>
      <c r="AV1574" s="81"/>
      <c r="AW1574" s="81"/>
      <c r="AX1574" s="83">
        <f>SUM(Prog_23[[#This Row],[ADIANTAMENTO]]+Prog_23[[#This Row],[SALDO]]+Prog_23[[#This Row],[MARGEM]]+Prog_23[[#This Row],[ESTADIA 1]])</f>
        <v>0</v>
      </c>
      <c r="AY15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74" s="81"/>
      <c r="BA1574" s="81"/>
      <c r="BB1574" s="81">
        <f>Prog_23[[#This Row],[VLR NF]]*0.1%</f>
        <v>0</v>
      </c>
      <c r="BC1574" s="81">
        <f>Prog_23[[#This Row],[VLR NF]]*0.05%</f>
        <v>0</v>
      </c>
      <c r="BD1574" s="81"/>
      <c r="BE1574" s="81"/>
      <c r="BF1574" s="81"/>
      <c r="BG1574" s="81"/>
      <c r="BH1574" s="81"/>
      <c r="BI1574" s="81"/>
      <c r="BJ1574" s="81"/>
      <c r="BK1574" s="81"/>
      <c r="BL1574" s="81"/>
      <c r="BM1574" s="81"/>
      <c r="BN1574" s="66"/>
      <c r="BO1574" s="66"/>
      <c r="BP1574" s="66"/>
      <c r="BQ1574" s="66" t="str">
        <f>PROPER(TEXT(Prog_23[[#This Row],[PROGRAMAÇÃO CLIENTE]],"mmm"))</f>
        <v>Jan</v>
      </c>
      <c r="BR1574" s="66">
        <f>YEAR(Prog_23[[#This Row],[PROGRAMAÇÃO CLIENTE]])</f>
        <v>1900</v>
      </c>
    </row>
    <row r="1575" spans="1:70" x14ac:dyDescent="0.25">
      <c r="A1575" s="200">
        <f>Prog_23[[#This Row],[CONTEINER]]</f>
        <v>0</v>
      </c>
      <c r="B1575" s="86"/>
      <c r="C15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75" s="44"/>
      <c r="E1575" s="66"/>
      <c r="F1575" s="66"/>
      <c r="G1575" s="66"/>
      <c r="H1575" s="44"/>
      <c r="I1575" s="44"/>
      <c r="J1575" s="66"/>
      <c r="K1575" s="66"/>
      <c r="L1575" s="66"/>
      <c r="M1575" s="66"/>
      <c r="N1575" s="66">
        <f>SUM(Prog_23[[#This Row],[TARA]]+Prog_23[[#This Row],[PESO]])</f>
        <v>0</v>
      </c>
      <c r="O1575" s="44"/>
      <c r="P1575" s="66"/>
      <c r="Q1575" s="66"/>
      <c r="R1575" s="66"/>
      <c r="S1575" s="66"/>
      <c r="T1575" s="138" t="str">
        <f>IFERROR(LOOKUP($S1575,MOTORISTAS!$D$3:$D$916,MOTORISTAS!E$3:$E$916),"")</f>
        <v/>
      </c>
      <c r="U1575" s="138" t="str">
        <f>IFERROR(LOOKUP($S1575,MOTORISTAS!$D$3:$D$916,MOTORISTAS!F$3:$F$916),"")</f>
        <v/>
      </c>
      <c r="V1575" s="66"/>
      <c r="W1575" s="66"/>
      <c r="X1575" s="66"/>
      <c r="Y1575" s="66"/>
      <c r="Z1575" s="66"/>
      <c r="AA1575" s="66"/>
      <c r="AB1575" s="66"/>
      <c r="AC1575" s="66"/>
      <c r="AD1575" s="66"/>
      <c r="AE1575" s="66"/>
      <c r="AF1575" s="44"/>
      <c r="AG1575" s="254">
        <f>Prog_23[[#This Row],[SAÍDA DO CLIENTE]]-Prog_23[[#This Row],[PROGRAMAÇÃO CLIENTE]]</f>
        <v>0</v>
      </c>
      <c r="AH1575" s="44"/>
      <c r="AI1575" s="66"/>
      <c r="AJ1575" s="66"/>
      <c r="AK1575" s="66"/>
      <c r="AL1575" s="66"/>
      <c r="AM1575" s="66"/>
      <c r="AN1575" s="83"/>
      <c r="AO1575" s="83"/>
      <c r="AP1575" s="83"/>
      <c r="AQ1575" s="66"/>
      <c r="AR1575" s="66"/>
      <c r="AS1575" s="66"/>
      <c r="AT1575" s="81"/>
      <c r="AU1575" s="81"/>
      <c r="AV1575" s="81"/>
      <c r="AW1575" s="81"/>
      <c r="AX1575" s="83">
        <f>SUM(Prog_23[[#This Row],[ADIANTAMENTO]]+Prog_23[[#This Row],[SALDO]]+Prog_23[[#This Row],[MARGEM]]+Prog_23[[#This Row],[ESTADIA 1]])</f>
        <v>0</v>
      </c>
      <c r="AY15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75" s="81"/>
      <c r="BA1575" s="81"/>
      <c r="BB1575" s="81">
        <f>Prog_23[[#This Row],[VLR NF]]*0.1%</f>
        <v>0</v>
      </c>
      <c r="BC1575" s="81">
        <f>Prog_23[[#This Row],[VLR NF]]*0.05%</f>
        <v>0</v>
      </c>
      <c r="BD1575" s="81"/>
      <c r="BE1575" s="81"/>
      <c r="BF1575" s="81"/>
      <c r="BG1575" s="81"/>
      <c r="BH1575" s="81"/>
      <c r="BI1575" s="81"/>
      <c r="BJ1575" s="81"/>
      <c r="BK1575" s="81"/>
      <c r="BL1575" s="81"/>
      <c r="BM1575" s="81"/>
      <c r="BN1575" s="66"/>
      <c r="BO1575" s="66"/>
      <c r="BP1575" s="66"/>
      <c r="BQ1575" s="66" t="str">
        <f>PROPER(TEXT(Prog_23[[#This Row],[PROGRAMAÇÃO CLIENTE]],"mmm"))</f>
        <v>Jan</v>
      </c>
      <c r="BR1575" s="66">
        <f>YEAR(Prog_23[[#This Row],[PROGRAMAÇÃO CLIENTE]])</f>
        <v>1900</v>
      </c>
    </row>
    <row r="1576" spans="1:70" x14ac:dyDescent="0.25">
      <c r="A1576" s="201">
        <f>Prog_23[[#This Row],[CONTEINER]]</f>
        <v>0</v>
      </c>
      <c r="B1576" s="86"/>
      <c r="C15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76" s="44"/>
      <c r="E1576" s="66"/>
      <c r="F1576" s="66"/>
      <c r="G1576" s="66"/>
      <c r="H1576" s="44"/>
      <c r="I1576" s="44"/>
      <c r="J1576" s="66"/>
      <c r="K1576" s="66"/>
      <c r="L1576" s="66"/>
      <c r="M1576" s="66"/>
      <c r="N1576" s="66">
        <f>SUM(Prog_23[[#This Row],[TARA]]+Prog_23[[#This Row],[PESO]])</f>
        <v>0</v>
      </c>
      <c r="O1576" s="44"/>
      <c r="P1576" s="66"/>
      <c r="Q1576" s="66"/>
      <c r="R1576" s="66"/>
      <c r="S1576" s="66"/>
      <c r="T1576" s="138" t="str">
        <f>IFERROR(LOOKUP($S1576,MOTORISTAS!$D$3:$D$916,MOTORISTAS!E$3:$E$916),"")</f>
        <v/>
      </c>
      <c r="U1576" s="138" t="str">
        <f>IFERROR(LOOKUP($S1576,MOTORISTAS!$D$3:$D$916,MOTORISTAS!F$3:$F$916),"")</f>
        <v/>
      </c>
      <c r="V1576" s="66"/>
      <c r="W1576" s="66"/>
      <c r="X1576" s="66"/>
      <c r="Y1576" s="66"/>
      <c r="Z1576" s="66"/>
      <c r="AA1576" s="66"/>
      <c r="AB1576" s="66"/>
      <c r="AC1576" s="66"/>
      <c r="AD1576" s="66"/>
      <c r="AE1576" s="66"/>
      <c r="AF1576" s="44"/>
      <c r="AG1576" s="254">
        <f>Prog_23[[#This Row],[SAÍDA DO CLIENTE]]-Prog_23[[#This Row],[PROGRAMAÇÃO CLIENTE]]</f>
        <v>0</v>
      </c>
      <c r="AH1576" s="44"/>
      <c r="AI1576" s="66"/>
      <c r="AJ1576" s="66"/>
      <c r="AK1576" s="66"/>
      <c r="AL1576" s="66"/>
      <c r="AM1576" s="66"/>
      <c r="AN1576" s="83"/>
      <c r="AO1576" s="83"/>
      <c r="AP1576" s="83"/>
      <c r="AQ1576" s="66"/>
      <c r="AR1576" s="66"/>
      <c r="AS1576" s="66"/>
      <c r="AT1576" s="81"/>
      <c r="AU1576" s="81"/>
      <c r="AV1576" s="81"/>
      <c r="AW1576" s="81"/>
      <c r="AX1576" s="83">
        <f>SUM(Prog_23[[#This Row],[ADIANTAMENTO]]+Prog_23[[#This Row],[SALDO]]+Prog_23[[#This Row],[MARGEM]]+Prog_23[[#This Row],[ESTADIA 1]])</f>
        <v>0</v>
      </c>
      <c r="AY15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76" s="81"/>
      <c r="BA1576" s="81"/>
      <c r="BB1576" s="81">
        <f>Prog_23[[#This Row],[VLR NF]]*0.1%</f>
        <v>0</v>
      </c>
      <c r="BC1576" s="81">
        <f>Prog_23[[#This Row],[VLR NF]]*0.05%</f>
        <v>0</v>
      </c>
      <c r="BD1576" s="81"/>
      <c r="BE1576" s="81"/>
      <c r="BF1576" s="81"/>
      <c r="BG1576" s="81"/>
      <c r="BH1576" s="81"/>
      <c r="BI1576" s="81"/>
      <c r="BJ1576" s="81"/>
      <c r="BK1576" s="81"/>
      <c r="BL1576" s="81"/>
      <c r="BM1576" s="81"/>
      <c r="BN1576" s="66"/>
      <c r="BO1576" s="66"/>
      <c r="BP1576" s="66"/>
      <c r="BQ1576" s="66" t="str">
        <f>PROPER(TEXT(Prog_23[[#This Row],[PROGRAMAÇÃO CLIENTE]],"mmm"))</f>
        <v>Jan</v>
      </c>
      <c r="BR1576" s="66">
        <f>YEAR(Prog_23[[#This Row],[PROGRAMAÇÃO CLIENTE]])</f>
        <v>1900</v>
      </c>
    </row>
    <row r="1577" spans="1:70" x14ac:dyDescent="0.25">
      <c r="A1577" s="200">
        <f>Prog_23[[#This Row],[CONTEINER]]</f>
        <v>0</v>
      </c>
      <c r="B1577" s="86"/>
      <c r="C15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77" s="44"/>
      <c r="E1577" s="66"/>
      <c r="F1577" s="66"/>
      <c r="G1577" s="66"/>
      <c r="H1577" s="44"/>
      <c r="I1577" s="44"/>
      <c r="J1577" s="66"/>
      <c r="K1577" s="66"/>
      <c r="L1577" s="66"/>
      <c r="M1577" s="66"/>
      <c r="N1577" s="66">
        <f>SUM(Prog_23[[#This Row],[TARA]]+Prog_23[[#This Row],[PESO]])</f>
        <v>0</v>
      </c>
      <c r="O1577" s="44"/>
      <c r="P1577" s="66"/>
      <c r="Q1577" s="66"/>
      <c r="R1577" s="66"/>
      <c r="S1577" s="66"/>
      <c r="T1577" s="138" t="str">
        <f>IFERROR(LOOKUP($S1577,MOTORISTAS!$D$3:$D$916,MOTORISTAS!E$3:$E$916),"")</f>
        <v/>
      </c>
      <c r="U1577" s="138" t="str">
        <f>IFERROR(LOOKUP($S1577,MOTORISTAS!$D$3:$D$916,MOTORISTAS!F$3:$F$916),"")</f>
        <v/>
      </c>
      <c r="V1577" s="66"/>
      <c r="W1577" s="66"/>
      <c r="X1577" s="66"/>
      <c r="Y1577" s="66"/>
      <c r="Z1577" s="66"/>
      <c r="AA1577" s="66"/>
      <c r="AB1577" s="66"/>
      <c r="AC1577" s="66"/>
      <c r="AD1577" s="66"/>
      <c r="AE1577" s="66"/>
      <c r="AF1577" s="44"/>
      <c r="AG1577" s="254">
        <f>Prog_23[[#This Row],[SAÍDA DO CLIENTE]]-Prog_23[[#This Row],[PROGRAMAÇÃO CLIENTE]]</f>
        <v>0</v>
      </c>
      <c r="AH1577" s="44"/>
      <c r="AI1577" s="66"/>
      <c r="AJ1577" s="66"/>
      <c r="AK1577" s="66"/>
      <c r="AL1577" s="66"/>
      <c r="AM1577" s="66"/>
      <c r="AN1577" s="83"/>
      <c r="AO1577" s="83"/>
      <c r="AP1577" s="83"/>
      <c r="AQ1577" s="66"/>
      <c r="AR1577" s="66"/>
      <c r="AS1577" s="66"/>
      <c r="AT1577" s="81"/>
      <c r="AU1577" s="81"/>
      <c r="AV1577" s="81"/>
      <c r="AW1577" s="81"/>
      <c r="AX1577" s="83">
        <f>SUM(Prog_23[[#This Row],[ADIANTAMENTO]]+Prog_23[[#This Row],[SALDO]]+Prog_23[[#This Row],[MARGEM]]+Prog_23[[#This Row],[ESTADIA 1]])</f>
        <v>0</v>
      </c>
      <c r="AY15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77" s="81"/>
      <c r="BA1577" s="81"/>
      <c r="BB1577" s="81">
        <f>Prog_23[[#This Row],[VLR NF]]*0.1%</f>
        <v>0</v>
      </c>
      <c r="BC1577" s="81">
        <f>Prog_23[[#This Row],[VLR NF]]*0.05%</f>
        <v>0</v>
      </c>
      <c r="BD1577" s="81"/>
      <c r="BE1577" s="81"/>
      <c r="BF1577" s="81"/>
      <c r="BG1577" s="81"/>
      <c r="BH1577" s="81"/>
      <c r="BI1577" s="81"/>
      <c r="BJ1577" s="81"/>
      <c r="BK1577" s="81"/>
      <c r="BL1577" s="81"/>
      <c r="BM1577" s="81"/>
      <c r="BN1577" s="66"/>
      <c r="BO1577" s="66"/>
      <c r="BP1577" s="66"/>
      <c r="BQ1577" s="66" t="str">
        <f>PROPER(TEXT(Prog_23[[#This Row],[PROGRAMAÇÃO CLIENTE]],"mmm"))</f>
        <v>Jan</v>
      </c>
      <c r="BR1577" s="66">
        <f>YEAR(Prog_23[[#This Row],[PROGRAMAÇÃO CLIENTE]])</f>
        <v>1900</v>
      </c>
    </row>
    <row r="1578" spans="1:70" x14ac:dyDescent="0.25">
      <c r="A1578" s="201">
        <f>Prog_23[[#This Row],[CONTEINER]]</f>
        <v>0</v>
      </c>
      <c r="B1578" s="86"/>
      <c r="C15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78" s="44"/>
      <c r="E1578" s="66"/>
      <c r="F1578" s="66"/>
      <c r="G1578" s="66"/>
      <c r="H1578" s="44"/>
      <c r="I1578" s="44"/>
      <c r="J1578" s="66"/>
      <c r="K1578" s="66"/>
      <c r="L1578" s="66"/>
      <c r="M1578" s="66"/>
      <c r="N1578" s="66">
        <f>SUM(Prog_23[[#This Row],[TARA]]+Prog_23[[#This Row],[PESO]])</f>
        <v>0</v>
      </c>
      <c r="O1578" s="44"/>
      <c r="P1578" s="66"/>
      <c r="Q1578" s="66"/>
      <c r="R1578" s="66"/>
      <c r="S1578" s="66"/>
      <c r="T1578" s="138" t="str">
        <f>IFERROR(LOOKUP($S1578,MOTORISTAS!$D$3:$D$916,MOTORISTAS!E$3:$E$916),"")</f>
        <v/>
      </c>
      <c r="U1578" s="138" t="str">
        <f>IFERROR(LOOKUP($S1578,MOTORISTAS!$D$3:$D$916,MOTORISTAS!F$3:$F$916),"")</f>
        <v/>
      </c>
      <c r="V1578" s="66"/>
      <c r="W1578" s="66"/>
      <c r="X1578" s="66"/>
      <c r="Y1578" s="66"/>
      <c r="Z1578" s="66"/>
      <c r="AA1578" s="66"/>
      <c r="AB1578" s="66"/>
      <c r="AC1578" s="66"/>
      <c r="AD1578" s="66"/>
      <c r="AE1578" s="66"/>
      <c r="AF1578" s="44"/>
      <c r="AG1578" s="254">
        <f>Prog_23[[#This Row],[SAÍDA DO CLIENTE]]-Prog_23[[#This Row],[PROGRAMAÇÃO CLIENTE]]</f>
        <v>0</v>
      </c>
      <c r="AH1578" s="44"/>
      <c r="AI1578" s="66"/>
      <c r="AJ1578" s="66"/>
      <c r="AK1578" s="66"/>
      <c r="AL1578" s="66"/>
      <c r="AM1578" s="66"/>
      <c r="AN1578" s="83"/>
      <c r="AO1578" s="83"/>
      <c r="AP1578" s="83"/>
      <c r="AQ1578" s="66"/>
      <c r="AR1578" s="66"/>
      <c r="AS1578" s="66"/>
      <c r="AT1578" s="81"/>
      <c r="AU1578" s="81"/>
      <c r="AV1578" s="81"/>
      <c r="AW1578" s="81"/>
      <c r="AX1578" s="83">
        <f>SUM(Prog_23[[#This Row],[ADIANTAMENTO]]+Prog_23[[#This Row],[SALDO]]+Prog_23[[#This Row],[MARGEM]]+Prog_23[[#This Row],[ESTADIA 1]])</f>
        <v>0</v>
      </c>
      <c r="AY15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78" s="81"/>
      <c r="BA1578" s="81"/>
      <c r="BB1578" s="81">
        <f>Prog_23[[#This Row],[VLR NF]]*0.1%</f>
        <v>0</v>
      </c>
      <c r="BC1578" s="81">
        <f>Prog_23[[#This Row],[VLR NF]]*0.05%</f>
        <v>0</v>
      </c>
      <c r="BD1578" s="81"/>
      <c r="BE1578" s="81"/>
      <c r="BF1578" s="81"/>
      <c r="BG1578" s="81"/>
      <c r="BH1578" s="81"/>
      <c r="BI1578" s="81"/>
      <c r="BJ1578" s="81"/>
      <c r="BK1578" s="81"/>
      <c r="BL1578" s="81"/>
      <c r="BM1578" s="81"/>
      <c r="BN1578" s="66"/>
      <c r="BO1578" s="66"/>
      <c r="BP1578" s="66"/>
      <c r="BQ1578" s="66" t="str">
        <f>PROPER(TEXT(Prog_23[[#This Row],[PROGRAMAÇÃO CLIENTE]],"mmm"))</f>
        <v>Jan</v>
      </c>
      <c r="BR1578" s="66">
        <f>YEAR(Prog_23[[#This Row],[PROGRAMAÇÃO CLIENTE]])</f>
        <v>1900</v>
      </c>
    </row>
    <row r="1579" spans="1:70" x14ac:dyDescent="0.25">
      <c r="A1579" s="200">
        <f>Prog_23[[#This Row],[CONTEINER]]</f>
        <v>0</v>
      </c>
      <c r="B1579" s="86"/>
      <c r="C15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79" s="44"/>
      <c r="E1579" s="66"/>
      <c r="F1579" s="66"/>
      <c r="G1579" s="66"/>
      <c r="H1579" s="44"/>
      <c r="I1579" s="44"/>
      <c r="J1579" s="66"/>
      <c r="K1579" s="66"/>
      <c r="L1579" s="66"/>
      <c r="M1579" s="66"/>
      <c r="N1579" s="66">
        <f>SUM(Prog_23[[#This Row],[TARA]]+Prog_23[[#This Row],[PESO]])</f>
        <v>0</v>
      </c>
      <c r="O1579" s="44"/>
      <c r="P1579" s="66"/>
      <c r="Q1579" s="66"/>
      <c r="R1579" s="66"/>
      <c r="S1579" s="66"/>
      <c r="T1579" s="138" t="str">
        <f>IFERROR(LOOKUP($S1579,MOTORISTAS!$D$3:$D$916,MOTORISTAS!E$3:$E$916),"")</f>
        <v/>
      </c>
      <c r="U1579" s="138" t="str">
        <f>IFERROR(LOOKUP($S1579,MOTORISTAS!$D$3:$D$916,MOTORISTAS!F$3:$F$916),"")</f>
        <v/>
      </c>
      <c r="V1579" s="66"/>
      <c r="W1579" s="66"/>
      <c r="X1579" s="66"/>
      <c r="Y1579" s="66"/>
      <c r="Z1579" s="66"/>
      <c r="AA1579" s="66"/>
      <c r="AB1579" s="66"/>
      <c r="AC1579" s="66"/>
      <c r="AD1579" s="66"/>
      <c r="AE1579" s="66"/>
      <c r="AF1579" s="44"/>
      <c r="AG1579" s="254">
        <f>Prog_23[[#This Row],[SAÍDA DO CLIENTE]]-Prog_23[[#This Row],[PROGRAMAÇÃO CLIENTE]]</f>
        <v>0</v>
      </c>
      <c r="AH1579" s="44"/>
      <c r="AI1579" s="66"/>
      <c r="AJ1579" s="66"/>
      <c r="AK1579" s="66"/>
      <c r="AL1579" s="66"/>
      <c r="AM1579" s="66"/>
      <c r="AN1579" s="83"/>
      <c r="AO1579" s="83"/>
      <c r="AP1579" s="83"/>
      <c r="AQ1579" s="66"/>
      <c r="AR1579" s="66"/>
      <c r="AS1579" s="66"/>
      <c r="AT1579" s="81"/>
      <c r="AU1579" s="81"/>
      <c r="AV1579" s="81"/>
      <c r="AW1579" s="81"/>
      <c r="AX1579" s="83">
        <f>SUM(Prog_23[[#This Row],[ADIANTAMENTO]]+Prog_23[[#This Row],[SALDO]]+Prog_23[[#This Row],[MARGEM]]+Prog_23[[#This Row],[ESTADIA 1]])</f>
        <v>0</v>
      </c>
      <c r="AY15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79" s="81"/>
      <c r="BA1579" s="81"/>
      <c r="BB1579" s="81">
        <f>Prog_23[[#This Row],[VLR NF]]*0.1%</f>
        <v>0</v>
      </c>
      <c r="BC1579" s="81">
        <f>Prog_23[[#This Row],[VLR NF]]*0.05%</f>
        <v>0</v>
      </c>
      <c r="BD1579" s="81"/>
      <c r="BE1579" s="81"/>
      <c r="BF1579" s="81"/>
      <c r="BG1579" s="81"/>
      <c r="BH1579" s="81"/>
      <c r="BI1579" s="81"/>
      <c r="BJ1579" s="81"/>
      <c r="BK1579" s="81"/>
      <c r="BL1579" s="81"/>
      <c r="BM1579" s="81"/>
      <c r="BN1579" s="66"/>
      <c r="BO1579" s="66"/>
      <c r="BP1579" s="66"/>
      <c r="BQ1579" s="66" t="str">
        <f>PROPER(TEXT(Prog_23[[#This Row],[PROGRAMAÇÃO CLIENTE]],"mmm"))</f>
        <v>Jan</v>
      </c>
      <c r="BR1579" s="66">
        <f>YEAR(Prog_23[[#This Row],[PROGRAMAÇÃO CLIENTE]])</f>
        <v>1900</v>
      </c>
    </row>
    <row r="1580" spans="1:70" x14ac:dyDescent="0.25">
      <c r="A1580" s="201">
        <f>Prog_23[[#This Row],[CONTEINER]]</f>
        <v>0</v>
      </c>
      <c r="B1580" s="86"/>
      <c r="C15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80" s="44"/>
      <c r="E1580" s="66"/>
      <c r="F1580" s="66"/>
      <c r="G1580" s="66"/>
      <c r="H1580" s="44"/>
      <c r="I1580" s="44"/>
      <c r="J1580" s="66"/>
      <c r="K1580" s="66"/>
      <c r="L1580" s="66"/>
      <c r="M1580" s="66"/>
      <c r="N1580" s="66">
        <f>SUM(Prog_23[[#This Row],[TARA]]+Prog_23[[#This Row],[PESO]])</f>
        <v>0</v>
      </c>
      <c r="O1580" s="44"/>
      <c r="P1580" s="66"/>
      <c r="Q1580" s="66"/>
      <c r="R1580" s="66"/>
      <c r="S1580" s="66"/>
      <c r="T1580" s="138" t="str">
        <f>IFERROR(LOOKUP($S1580,MOTORISTAS!$D$3:$D$916,MOTORISTAS!E$3:$E$916),"")</f>
        <v/>
      </c>
      <c r="U1580" s="138" t="str">
        <f>IFERROR(LOOKUP($S1580,MOTORISTAS!$D$3:$D$916,MOTORISTAS!F$3:$F$916),"")</f>
        <v/>
      </c>
      <c r="V1580" s="66"/>
      <c r="W1580" s="66"/>
      <c r="X1580" s="66"/>
      <c r="Y1580" s="66"/>
      <c r="Z1580" s="66"/>
      <c r="AA1580" s="66"/>
      <c r="AB1580" s="66"/>
      <c r="AC1580" s="66"/>
      <c r="AD1580" s="66"/>
      <c r="AE1580" s="66"/>
      <c r="AF1580" s="44"/>
      <c r="AG1580" s="254">
        <f>Prog_23[[#This Row],[SAÍDA DO CLIENTE]]-Prog_23[[#This Row],[PROGRAMAÇÃO CLIENTE]]</f>
        <v>0</v>
      </c>
      <c r="AH1580" s="44"/>
      <c r="AI1580" s="66"/>
      <c r="AJ1580" s="66"/>
      <c r="AK1580" s="66"/>
      <c r="AL1580" s="66"/>
      <c r="AM1580" s="66"/>
      <c r="AN1580" s="83"/>
      <c r="AO1580" s="83"/>
      <c r="AP1580" s="83"/>
      <c r="AQ1580" s="66"/>
      <c r="AR1580" s="66"/>
      <c r="AS1580" s="66"/>
      <c r="AT1580" s="81"/>
      <c r="AU1580" s="81"/>
      <c r="AV1580" s="81"/>
      <c r="AW1580" s="81"/>
      <c r="AX1580" s="83">
        <f>SUM(Prog_23[[#This Row],[ADIANTAMENTO]]+Prog_23[[#This Row],[SALDO]]+Prog_23[[#This Row],[MARGEM]]+Prog_23[[#This Row],[ESTADIA 1]])</f>
        <v>0</v>
      </c>
      <c r="AY15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80" s="81"/>
      <c r="BA1580" s="81"/>
      <c r="BB1580" s="81">
        <f>Prog_23[[#This Row],[VLR NF]]*0.1%</f>
        <v>0</v>
      </c>
      <c r="BC1580" s="81">
        <f>Prog_23[[#This Row],[VLR NF]]*0.05%</f>
        <v>0</v>
      </c>
      <c r="BD1580" s="81"/>
      <c r="BE1580" s="81"/>
      <c r="BF1580" s="81"/>
      <c r="BG1580" s="81"/>
      <c r="BH1580" s="81"/>
      <c r="BI1580" s="81"/>
      <c r="BJ1580" s="81"/>
      <c r="BK1580" s="81"/>
      <c r="BL1580" s="81"/>
      <c r="BM1580" s="81"/>
      <c r="BN1580" s="66"/>
      <c r="BO1580" s="66"/>
      <c r="BP1580" s="66"/>
      <c r="BQ1580" s="66" t="str">
        <f>PROPER(TEXT(Prog_23[[#This Row],[PROGRAMAÇÃO CLIENTE]],"mmm"))</f>
        <v>Jan</v>
      </c>
      <c r="BR1580" s="66">
        <f>YEAR(Prog_23[[#This Row],[PROGRAMAÇÃO CLIENTE]])</f>
        <v>1900</v>
      </c>
    </row>
    <row r="1581" spans="1:70" x14ac:dyDescent="0.25">
      <c r="A1581" s="200">
        <f>Prog_23[[#This Row],[CONTEINER]]</f>
        <v>0</v>
      </c>
      <c r="B1581" s="86"/>
      <c r="C15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81" s="44"/>
      <c r="E1581" s="66"/>
      <c r="F1581" s="66"/>
      <c r="G1581" s="66"/>
      <c r="H1581" s="44"/>
      <c r="I1581" s="44"/>
      <c r="J1581" s="66"/>
      <c r="K1581" s="66"/>
      <c r="L1581" s="66"/>
      <c r="M1581" s="66"/>
      <c r="N1581" s="66">
        <f>SUM(Prog_23[[#This Row],[TARA]]+Prog_23[[#This Row],[PESO]])</f>
        <v>0</v>
      </c>
      <c r="O1581" s="44"/>
      <c r="P1581" s="66"/>
      <c r="Q1581" s="66"/>
      <c r="R1581" s="66"/>
      <c r="S1581" s="66"/>
      <c r="T1581" s="138" t="str">
        <f>IFERROR(LOOKUP($S1581,MOTORISTAS!$D$3:$D$916,MOTORISTAS!E$3:$E$916),"")</f>
        <v/>
      </c>
      <c r="U1581" s="138" t="str">
        <f>IFERROR(LOOKUP($S1581,MOTORISTAS!$D$3:$D$916,MOTORISTAS!F$3:$F$916),"")</f>
        <v/>
      </c>
      <c r="V1581" s="66"/>
      <c r="W1581" s="66"/>
      <c r="X1581" s="66"/>
      <c r="Y1581" s="66"/>
      <c r="Z1581" s="66"/>
      <c r="AA1581" s="66"/>
      <c r="AB1581" s="66"/>
      <c r="AC1581" s="66"/>
      <c r="AD1581" s="66"/>
      <c r="AE1581" s="66"/>
      <c r="AF1581" s="44"/>
      <c r="AG1581" s="254">
        <f>Prog_23[[#This Row],[SAÍDA DO CLIENTE]]-Prog_23[[#This Row],[PROGRAMAÇÃO CLIENTE]]</f>
        <v>0</v>
      </c>
      <c r="AH1581" s="44"/>
      <c r="AI1581" s="66"/>
      <c r="AJ1581" s="66"/>
      <c r="AK1581" s="66"/>
      <c r="AL1581" s="66"/>
      <c r="AM1581" s="66"/>
      <c r="AN1581" s="83"/>
      <c r="AO1581" s="83"/>
      <c r="AP1581" s="83"/>
      <c r="AQ1581" s="66"/>
      <c r="AR1581" s="66"/>
      <c r="AS1581" s="66"/>
      <c r="AT1581" s="81"/>
      <c r="AU1581" s="81"/>
      <c r="AV1581" s="81"/>
      <c r="AW1581" s="81"/>
      <c r="AX1581" s="83">
        <f>SUM(Prog_23[[#This Row],[ADIANTAMENTO]]+Prog_23[[#This Row],[SALDO]]+Prog_23[[#This Row],[MARGEM]]+Prog_23[[#This Row],[ESTADIA 1]])</f>
        <v>0</v>
      </c>
      <c r="AY15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81" s="81"/>
      <c r="BA1581" s="81"/>
      <c r="BB1581" s="81">
        <f>Prog_23[[#This Row],[VLR NF]]*0.1%</f>
        <v>0</v>
      </c>
      <c r="BC1581" s="81">
        <f>Prog_23[[#This Row],[VLR NF]]*0.05%</f>
        <v>0</v>
      </c>
      <c r="BD1581" s="81"/>
      <c r="BE1581" s="81"/>
      <c r="BF1581" s="81"/>
      <c r="BG1581" s="81"/>
      <c r="BH1581" s="81"/>
      <c r="BI1581" s="81"/>
      <c r="BJ1581" s="81"/>
      <c r="BK1581" s="81"/>
      <c r="BL1581" s="81"/>
      <c r="BM1581" s="81"/>
      <c r="BN1581" s="66"/>
      <c r="BO1581" s="66"/>
      <c r="BP1581" s="66"/>
      <c r="BQ1581" s="66" t="str">
        <f>PROPER(TEXT(Prog_23[[#This Row],[PROGRAMAÇÃO CLIENTE]],"mmm"))</f>
        <v>Jan</v>
      </c>
      <c r="BR1581" s="66">
        <f>YEAR(Prog_23[[#This Row],[PROGRAMAÇÃO CLIENTE]])</f>
        <v>1900</v>
      </c>
    </row>
    <row r="1582" spans="1:70" x14ac:dyDescent="0.25">
      <c r="A1582" s="201">
        <f>Prog_23[[#This Row],[CONTEINER]]</f>
        <v>0</v>
      </c>
      <c r="B1582" s="86"/>
      <c r="C15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82" s="44"/>
      <c r="E1582" s="66"/>
      <c r="F1582" s="66"/>
      <c r="G1582" s="66"/>
      <c r="H1582" s="44"/>
      <c r="I1582" s="44"/>
      <c r="J1582" s="66"/>
      <c r="K1582" s="66"/>
      <c r="L1582" s="66"/>
      <c r="M1582" s="66"/>
      <c r="N1582" s="66">
        <f>SUM(Prog_23[[#This Row],[TARA]]+Prog_23[[#This Row],[PESO]])</f>
        <v>0</v>
      </c>
      <c r="O1582" s="44"/>
      <c r="P1582" s="66"/>
      <c r="Q1582" s="66"/>
      <c r="R1582" s="66"/>
      <c r="S1582" s="66"/>
      <c r="T1582" s="138" t="str">
        <f>IFERROR(LOOKUP($S1582,MOTORISTAS!$D$3:$D$916,MOTORISTAS!E$3:$E$916),"")</f>
        <v/>
      </c>
      <c r="U1582" s="138" t="str">
        <f>IFERROR(LOOKUP($S1582,MOTORISTAS!$D$3:$D$916,MOTORISTAS!F$3:$F$916),"")</f>
        <v/>
      </c>
      <c r="V1582" s="66"/>
      <c r="W1582" s="66"/>
      <c r="X1582" s="66"/>
      <c r="Y1582" s="66"/>
      <c r="Z1582" s="66"/>
      <c r="AA1582" s="66"/>
      <c r="AB1582" s="66"/>
      <c r="AC1582" s="66"/>
      <c r="AD1582" s="66"/>
      <c r="AE1582" s="66"/>
      <c r="AF1582" s="44"/>
      <c r="AG1582" s="254">
        <f>Prog_23[[#This Row],[SAÍDA DO CLIENTE]]-Prog_23[[#This Row],[PROGRAMAÇÃO CLIENTE]]</f>
        <v>0</v>
      </c>
      <c r="AH1582" s="44"/>
      <c r="AI1582" s="66"/>
      <c r="AJ1582" s="66"/>
      <c r="AK1582" s="66"/>
      <c r="AL1582" s="66"/>
      <c r="AM1582" s="66"/>
      <c r="AN1582" s="83"/>
      <c r="AO1582" s="83"/>
      <c r="AP1582" s="83"/>
      <c r="AQ1582" s="66"/>
      <c r="AR1582" s="66"/>
      <c r="AS1582" s="66"/>
      <c r="AT1582" s="81"/>
      <c r="AU1582" s="81"/>
      <c r="AV1582" s="81"/>
      <c r="AW1582" s="81"/>
      <c r="AX1582" s="83">
        <f>SUM(Prog_23[[#This Row],[ADIANTAMENTO]]+Prog_23[[#This Row],[SALDO]]+Prog_23[[#This Row],[MARGEM]]+Prog_23[[#This Row],[ESTADIA 1]])</f>
        <v>0</v>
      </c>
      <c r="AY15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82" s="81"/>
      <c r="BA1582" s="81"/>
      <c r="BB1582" s="81">
        <f>Prog_23[[#This Row],[VLR NF]]*0.1%</f>
        <v>0</v>
      </c>
      <c r="BC1582" s="81">
        <f>Prog_23[[#This Row],[VLR NF]]*0.05%</f>
        <v>0</v>
      </c>
      <c r="BD1582" s="81"/>
      <c r="BE1582" s="81"/>
      <c r="BF1582" s="81"/>
      <c r="BG1582" s="81"/>
      <c r="BH1582" s="81"/>
      <c r="BI1582" s="81"/>
      <c r="BJ1582" s="81"/>
      <c r="BK1582" s="81"/>
      <c r="BL1582" s="81"/>
      <c r="BM1582" s="81"/>
      <c r="BN1582" s="66"/>
      <c r="BO1582" s="66"/>
      <c r="BP1582" s="66"/>
      <c r="BQ1582" s="66" t="str">
        <f>PROPER(TEXT(Prog_23[[#This Row],[PROGRAMAÇÃO CLIENTE]],"mmm"))</f>
        <v>Jan</v>
      </c>
      <c r="BR1582" s="66">
        <f>YEAR(Prog_23[[#This Row],[PROGRAMAÇÃO CLIENTE]])</f>
        <v>1900</v>
      </c>
    </row>
    <row r="1583" spans="1:70" x14ac:dyDescent="0.25">
      <c r="A1583" s="200">
        <f>Prog_23[[#This Row],[CONTEINER]]</f>
        <v>0</v>
      </c>
      <c r="B1583" s="86"/>
      <c r="C15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83" s="44"/>
      <c r="E1583" s="66"/>
      <c r="F1583" s="66"/>
      <c r="G1583" s="66"/>
      <c r="H1583" s="44"/>
      <c r="I1583" s="44"/>
      <c r="J1583" s="66"/>
      <c r="K1583" s="66"/>
      <c r="L1583" s="66"/>
      <c r="M1583" s="66"/>
      <c r="N1583" s="66">
        <f>SUM(Prog_23[[#This Row],[TARA]]+Prog_23[[#This Row],[PESO]])</f>
        <v>0</v>
      </c>
      <c r="O1583" s="44"/>
      <c r="P1583" s="66"/>
      <c r="Q1583" s="66"/>
      <c r="R1583" s="66"/>
      <c r="S1583" s="66"/>
      <c r="T1583" s="138" t="str">
        <f>IFERROR(LOOKUP($S1583,MOTORISTAS!$D$3:$D$916,MOTORISTAS!E$3:$E$916),"")</f>
        <v/>
      </c>
      <c r="U1583" s="138" t="str">
        <f>IFERROR(LOOKUP($S1583,MOTORISTAS!$D$3:$D$916,MOTORISTAS!F$3:$F$916),"")</f>
        <v/>
      </c>
      <c r="V1583" s="66"/>
      <c r="W1583" s="66"/>
      <c r="X1583" s="66"/>
      <c r="Y1583" s="66"/>
      <c r="Z1583" s="66"/>
      <c r="AA1583" s="66"/>
      <c r="AB1583" s="66"/>
      <c r="AC1583" s="66"/>
      <c r="AD1583" s="66"/>
      <c r="AE1583" s="66"/>
      <c r="AF1583" s="44"/>
      <c r="AG1583" s="254">
        <f>Prog_23[[#This Row],[SAÍDA DO CLIENTE]]-Prog_23[[#This Row],[PROGRAMAÇÃO CLIENTE]]</f>
        <v>0</v>
      </c>
      <c r="AH1583" s="44"/>
      <c r="AI1583" s="66"/>
      <c r="AJ1583" s="66"/>
      <c r="AK1583" s="66"/>
      <c r="AL1583" s="66"/>
      <c r="AM1583" s="66"/>
      <c r="AN1583" s="83"/>
      <c r="AO1583" s="83"/>
      <c r="AP1583" s="83"/>
      <c r="AQ1583" s="66"/>
      <c r="AR1583" s="66"/>
      <c r="AS1583" s="66"/>
      <c r="AT1583" s="81"/>
      <c r="AU1583" s="81"/>
      <c r="AV1583" s="81"/>
      <c r="AW1583" s="81"/>
      <c r="AX1583" s="83">
        <f>SUM(Prog_23[[#This Row],[ADIANTAMENTO]]+Prog_23[[#This Row],[SALDO]]+Prog_23[[#This Row],[MARGEM]]+Prog_23[[#This Row],[ESTADIA 1]])</f>
        <v>0</v>
      </c>
      <c r="AY15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83" s="81"/>
      <c r="BA1583" s="81"/>
      <c r="BB1583" s="81">
        <f>Prog_23[[#This Row],[VLR NF]]*0.1%</f>
        <v>0</v>
      </c>
      <c r="BC1583" s="81">
        <f>Prog_23[[#This Row],[VLR NF]]*0.05%</f>
        <v>0</v>
      </c>
      <c r="BD1583" s="81"/>
      <c r="BE1583" s="81"/>
      <c r="BF1583" s="81"/>
      <c r="BG1583" s="81"/>
      <c r="BH1583" s="81"/>
      <c r="BI1583" s="81"/>
      <c r="BJ1583" s="81"/>
      <c r="BK1583" s="81"/>
      <c r="BL1583" s="81"/>
      <c r="BM1583" s="81"/>
      <c r="BN1583" s="66"/>
      <c r="BO1583" s="66"/>
      <c r="BP1583" s="66"/>
      <c r="BQ1583" s="66" t="str">
        <f>PROPER(TEXT(Prog_23[[#This Row],[PROGRAMAÇÃO CLIENTE]],"mmm"))</f>
        <v>Jan</v>
      </c>
      <c r="BR1583" s="66">
        <f>YEAR(Prog_23[[#This Row],[PROGRAMAÇÃO CLIENTE]])</f>
        <v>1900</v>
      </c>
    </row>
    <row r="1584" spans="1:70" x14ac:dyDescent="0.25">
      <c r="A1584" s="201">
        <f>Prog_23[[#This Row],[CONTEINER]]</f>
        <v>0</v>
      </c>
      <c r="B1584" s="86"/>
      <c r="C15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84" s="44"/>
      <c r="E1584" s="66"/>
      <c r="F1584" s="66"/>
      <c r="G1584" s="66"/>
      <c r="H1584" s="44"/>
      <c r="I1584" s="44"/>
      <c r="J1584" s="66"/>
      <c r="K1584" s="66"/>
      <c r="L1584" s="66"/>
      <c r="M1584" s="66"/>
      <c r="N1584" s="66">
        <f>SUM(Prog_23[[#This Row],[TARA]]+Prog_23[[#This Row],[PESO]])</f>
        <v>0</v>
      </c>
      <c r="O1584" s="44"/>
      <c r="P1584" s="66"/>
      <c r="Q1584" s="66"/>
      <c r="R1584" s="66"/>
      <c r="S1584" s="66"/>
      <c r="T1584" s="138" t="str">
        <f>IFERROR(LOOKUP($S1584,MOTORISTAS!$D$3:$D$916,MOTORISTAS!E$3:$E$916),"")</f>
        <v/>
      </c>
      <c r="U1584" s="138" t="str">
        <f>IFERROR(LOOKUP($S1584,MOTORISTAS!$D$3:$D$916,MOTORISTAS!F$3:$F$916),"")</f>
        <v/>
      </c>
      <c r="V1584" s="66"/>
      <c r="W1584" s="66"/>
      <c r="X1584" s="66"/>
      <c r="Y1584" s="66"/>
      <c r="Z1584" s="66"/>
      <c r="AA1584" s="66"/>
      <c r="AB1584" s="66"/>
      <c r="AC1584" s="66"/>
      <c r="AD1584" s="66"/>
      <c r="AE1584" s="66"/>
      <c r="AF1584" s="44"/>
      <c r="AG1584" s="254">
        <f>Prog_23[[#This Row],[SAÍDA DO CLIENTE]]-Prog_23[[#This Row],[PROGRAMAÇÃO CLIENTE]]</f>
        <v>0</v>
      </c>
      <c r="AH1584" s="44"/>
      <c r="AI1584" s="66"/>
      <c r="AJ1584" s="66"/>
      <c r="AK1584" s="66"/>
      <c r="AL1584" s="66"/>
      <c r="AM1584" s="66"/>
      <c r="AN1584" s="83"/>
      <c r="AO1584" s="83"/>
      <c r="AP1584" s="83"/>
      <c r="AQ1584" s="66"/>
      <c r="AR1584" s="66"/>
      <c r="AS1584" s="66"/>
      <c r="AT1584" s="81"/>
      <c r="AU1584" s="81"/>
      <c r="AV1584" s="81"/>
      <c r="AW1584" s="81"/>
      <c r="AX1584" s="83">
        <f>SUM(Prog_23[[#This Row],[ADIANTAMENTO]]+Prog_23[[#This Row],[SALDO]]+Prog_23[[#This Row],[MARGEM]]+Prog_23[[#This Row],[ESTADIA 1]])</f>
        <v>0</v>
      </c>
      <c r="AY15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84" s="81"/>
      <c r="BA1584" s="81"/>
      <c r="BB1584" s="81">
        <f>Prog_23[[#This Row],[VLR NF]]*0.1%</f>
        <v>0</v>
      </c>
      <c r="BC1584" s="81">
        <f>Prog_23[[#This Row],[VLR NF]]*0.05%</f>
        <v>0</v>
      </c>
      <c r="BD1584" s="81"/>
      <c r="BE1584" s="81"/>
      <c r="BF1584" s="81"/>
      <c r="BG1584" s="81"/>
      <c r="BH1584" s="81"/>
      <c r="BI1584" s="81"/>
      <c r="BJ1584" s="81"/>
      <c r="BK1584" s="81"/>
      <c r="BL1584" s="81"/>
      <c r="BM1584" s="81"/>
      <c r="BN1584" s="66"/>
      <c r="BO1584" s="66"/>
      <c r="BP1584" s="66"/>
      <c r="BQ1584" s="66" t="str">
        <f>PROPER(TEXT(Prog_23[[#This Row],[PROGRAMAÇÃO CLIENTE]],"mmm"))</f>
        <v>Jan</v>
      </c>
      <c r="BR1584" s="66">
        <f>YEAR(Prog_23[[#This Row],[PROGRAMAÇÃO CLIENTE]])</f>
        <v>1900</v>
      </c>
    </row>
    <row r="1585" spans="1:70" x14ac:dyDescent="0.25">
      <c r="A1585" s="200">
        <f>Prog_23[[#This Row],[CONTEINER]]</f>
        <v>0</v>
      </c>
      <c r="B1585" s="86"/>
      <c r="C15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85" s="44"/>
      <c r="E1585" s="66"/>
      <c r="F1585" s="66"/>
      <c r="G1585" s="66"/>
      <c r="H1585" s="44"/>
      <c r="I1585" s="44"/>
      <c r="J1585" s="66"/>
      <c r="K1585" s="66"/>
      <c r="L1585" s="66"/>
      <c r="M1585" s="66"/>
      <c r="N1585" s="66">
        <f>SUM(Prog_23[[#This Row],[TARA]]+Prog_23[[#This Row],[PESO]])</f>
        <v>0</v>
      </c>
      <c r="O1585" s="44"/>
      <c r="P1585" s="66"/>
      <c r="Q1585" s="66"/>
      <c r="R1585" s="66"/>
      <c r="S1585" s="66"/>
      <c r="T1585" s="138" t="str">
        <f>IFERROR(LOOKUP($S1585,MOTORISTAS!$D$3:$D$916,MOTORISTAS!E$3:$E$916),"")</f>
        <v/>
      </c>
      <c r="U1585" s="138" t="str">
        <f>IFERROR(LOOKUP($S1585,MOTORISTAS!$D$3:$D$916,MOTORISTAS!F$3:$F$916),"")</f>
        <v/>
      </c>
      <c r="V1585" s="66"/>
      <c r="W1585" s="66"/>
      <c r="X1585" s="66"/>
      <c r="Y1585" s="66"/>
      <c r="Z1585" s="66"/>
      <c r="AA1585" s="66"/>
      <c r="AB1585" s="66"/>
      <c r="AC1585" s="66"/>
      <c r="AD1585" s="66"/>
      <c r="AE1585" s="66"/>
      <c r="AF1585" s="44"/>
      <c r="AG1585" s="254">
        <f>Prog_23[[#This Row],[SAÍDA DO CLIENTE]]-Prog_23[[#This Row],[PROGRAMAÇÃO CLIENTE]]</f>
        <v>0</v>
      </c>
      <c r="AH1585" s="44"/>
      <c r="AI1585" s="66"/>
      <c r="AJ1585" s="66"/>
      <c r="AK1585" s="66"/>
      <c r="AL1585" s="66"/>
      <c r="AM1585" s="66"/>
      <c r="AN1585" s="83"/>
      <c r="AO1585" s="83"/>
      <c r="AP1585" s="83"/>
      <c r="AQ1585" s="66"/>
      <c r="AR1585" s="66"/>
      <c r="AS1585" s="66"/>
      <c r="AT1585" s="81"/>
      <c r="AU1585" s="81"/>
      <c r="AV1585" s="81"/>
      <c r="AW1585" s="81"/>
      <c r="AX1585" s="83">
        <f>SUM(Prog_23[[#This Row],[ADIANTAMENTO]]+Prog_23[[#This Row],[SALDO]]+Prog_23[[#This Row],[MARGEM]]+Prog_23[[#This Row],[ESTADIA 1]])</f>
        <v>0</v>
      </c>
      <c r="AY15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85" s="81"/>
      <c r="BA1585" s="81"/>
      <c r="BB1585" s="81">
        <f>Prog_23[[#This Row],[VLR NF]]*0.1%</f>
        <v>0</v>
      </c>
      <c r="BC1585" s="81">
        <f>Prog_23[[#This Row],[VLR NF]]*0.05%</f>
        <v>0</v>
      </c>
      <c r="BD1585" s="81"/>
      <c r="BE1585" s="81"/>
      <c r="BF1585" s="81"/>
      <c r="BG1585" s="81"/>
      <c r="BH1585" s="81"/>
      <c r="BI1585" s="81"/>
      <c r="BJ1585" s="81"/>
      <c r="BK1585" s="81"/>
      <c r="BL1585" s="81"/>
      <c r="BM1585" s="81"/>
      <c r="BN1585" s="66"/>
      <c r="BO1585" s="66"/>
      <c r="BP1585" s="66"/>
      <c r="BQ1585" s="66" t="str">
        <f>PROPER(TEXT(Prog_23[[#This Row],[PROGRAMAÇÃO CLIENTE]],"mmm"))</f>
        <v>Jan</v>
      </c>
      <c r="BR1585" s="66">
        <f>YEAR(Prog_23[[#This Row],[PROGRAMAÇÃO CLIENTE]])</f>
        <v>1900</v>
      </c>
    </row>
    <row r="1586" spans="1:70" x14ac:dyDescent="0.25">
      <c r="A1586" s="201">
        <f>Prog_23[[#This Row],[CONTEINER]]</f>
        <v>0</v>
      </c>
      <c r="B1586" s="86"/>
      <c r="C15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86" s="44"/>
      <c r="E1586" s="66"/>
      <c r="F1586" s="66"/>
      <c r="G1586" s="66"/>
      <c r="H1586" s="44"/>
      <c r="I1586" s="44"/>
      <c r="J1586" s="66"/>
      <c r="K1586" s="66"/>
      <c r="L1586" s="66"/>
      <c r="M1586" s="66"/>
      <c r="N1586" s="66">
        <f>SUM(Prog_23[[#This Row],[TARA]]+Prog_23[[#This Row],[PESO]])</f>
        <v>0</v>
      </c>
      <c r="O1586" s="44"/>
      <c r="P1586" s="66"/>
      <c r="Q1586" s="66"/>
      <c r="R1586" s="66"/>
      <c r="S1586" s="66"/>
      <c r="T1586" s="138" t="str">
        <f>IFERROR(LOOKUP($S1586,MOTORISTAS!$D$3:$D$916,MOTORISTAS!E$3:$E$916),"")</f>
        <v/>
      </c>
      <c r="U1586" s="138" t="str">
        <f>IFERROR(LOOKUP($S1586,MOTORISTAS!$D$3:$D$916,MOTORISTAS!F$3:$F$916),"")</f>
        <v/>
      </c>
      <c r="V1586" s="66"/>
      <c r="W1586" s="66"/>
      <c r="X1586" s="66"/>
      <c r="Y1586" s="66"/>
      <c r="Z1586" s="66"/>
      <c r="AA1586" s="66"/>
      <c r="AB1586" s="66"/>
      <c r="AC1586" s="66"/>
      <c r="AD1586" s="66"/>
      <c r="AE1586" s="66"/>
      <c r="AF1586" s="44"/>
      <c r="AG1586" s="254">
        <f>Prog_23[[#This Row],[SAÍDA DO CLIENTE]]-Prog_23[[#This Row],[PROGRAMAÇÃO CLIENTE]]</f>
        <v>0</v>
      </c>
      <c r="AH1586" s="44"/>
      <c r="AI1586" s="66"/>
      <c r="AJ1586" s="66"/>
      <c r="AK1586" s="66"/>
      <c r="AL1586" s="66"/>
      <c r="AM1586" s="66"/>
      <c r="AN1586" s="83"/>
      <c r="AO1586" s="83"/>
      <c r="AP1586" s="83"/>
      <c r="AQ1586" s="66"/>
      <c r="AR1586" s="66"/>
      <c r="AS1586" s="66"/>
      <c r="AT1586" s="81"/>
      <c r="AU1586" s="81"/>
      <c r="AV1586" s="81"/>
      <c r="AW1586" s="81"/>
      <c r="AX1586" s="83">
        <f>SUM(Prog_23[[#This Row],[ADIANTAMENTO]]+Prog_23[[#This Row],[SALDO]]+Prog_23[[#This Row],[MARGEM]]+Prog_23[[#This Row],[ESTADIA 1]])</f>
        <v>0</v>
      </c>
      <c r="AY15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86" s="81"/>
      <c r="BA1586" s="81"/>
      <c r="BB1586" s="81">
        <f>Prog_23[[#This Row],[VLR NF]]*0.1%</f>
        <v>0</v>
      </c>
      <c r="BC1586" s="81">
        <f>Prog_23[[#This Row],[VLR NF]]*0.05%</f>
        <v>0</v>
      </c>
      <c r="BD1586" s="81"/>
      <c r="BE1586" s="81"/>
      <c r="BF1586" s="81"/>
      <c r="BG1586" s="81"/>
      <c r="BH1586" s="81"/>
      <c r="BI1586" s="81"/>
      <c r="BJ1586" s="81"/>
      <c r="BK1586" s="81"/>
      <c r="BL1586" s="81"/>
      <c r="BM1586" s="81"/>
      <c r="BN1586" s="66"/>
      <c r="BO1586" s="66"/>
      <c r="BP1586" s="66"/>
      <c r="BQ1586" s="66" t="str">
        <f>PROPER(TEXT(Prog_23[[#This Row],[PROGRAMAÇÃO CLIENTE]],"mmm"))</f>
        <v>Jan</v>
      </c>
      <c r="BR1586" s="66">
        <f>YEAR(Prog_23[[#This Row],[PROGRAMAÇÃO CLIENTE]])</f>
        <v>1900</v>
      </c>
    </row>
    <row r="1587" spans="1:70" x14ac:dyDescent="0.25">
      <c r="A1587" s="200">
        <f>Prog_23[[#This Row],[CONTEINER]]</f>
        <v>0</v>
      </c>
      <c r="B1587" s="86"/>
      <c r="C15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87" s="44"/>
      <c r="E1587" s="66"/>
      <c r="F1587" s="66"/>
      <c r="G1587" s="66"/>
      <c r="H1587" s="44"/>
      <c r="I1587" s="44"/>
      <c r="J1587" s="66"/>
      <c r="K1587" s="66"/>
      <c r="L1587" s="66"/>
      <c r="M1587" s="66"/>
      <c r="N1587" s="66">
        <f>SUM(Prog_23[[#This Row],[TARA]]+Prog_23[[#This Row],[PESO]])</f>
        <v>0</v>
      </c>
      <c r="O1587" s="44"/>
      <c r="P1587" s="66"/>
      <c r="Q1587" s="66"/>
      <c r="R1587" s="66"/>
      <c r="S1587" s="66"/>
      <c r="T1587" s="138" t="str">
        <f>IFERROR(LOOKUP($S1587,MOTORISTAS!$D$3:$D$916,MOTORISTAS!E$3:$E$916),"")</f>
        <v/>
      </c>
      <c r="U1587" s="138" t="str">
        <f>IFERROR(LOOKUP($S1587,MOTORISTAS!$D$3:$D$916,MOTORISTAS!F$3:$F$916),"")</f>
        <v/>
      </c>
      <c r="V1587" s="66"/>
      <c r="W1587" s="66"/>
      <c r="X1587" s="66"/>
      <c r="Y1587" s="66"/>
      <c r="Z1587" s="66"/>
      <c r="AA1587" s="66"/>
      <c r="AB1587" s="66"/>
      <c r="AC1587" s="66"/>
      <c r="AD1587" s="66"/>
      <c r="AE1587" s="66"/>
      <c r="AF1587" s="44"/>
      <c r="AG1587" s="254">
        <f>Prog_23[[#This Row],[SAÍDA DO CLIENTE]]-Prog_23[[#This Row],[PROGRAMAÇÃO CLIENTE]]</f>
        <v>0</v>
      </c>
      <c r="AH1587" s="44"/>
      <c r="AI1587" s="66"/>
      <c r="AJ1587" s="66"/>
      <c r="AK1587" s="66"/>
      <c r="AL1587" s="66"/>
      <c r="AM1587" s="66"/>
      <c r="AN1587" s="83"/>
      <c r="AO1587" s="83"/>
      <c r="AP1587" s="83"/>
      <c r="AQ1587" s="66"/>
      <c r="AR1587" s="66"/>
      <c r="AS1587" s="66"/>
      <c r="AT1587" s="81"/>
      <c r="AU1587" s="81"/>
      <c r="AV1587" s="81"/>
      <c r="AW1587" s="81"/>
      <c r="AX1587" s="83">
        <f>SUM(Prog_23[[#This Row],[ADIANTAMENTO]]+Prog_23[[#This Row],[SALDO]]+Prog_23[[#This Row],[MARGEM]]+Prog_23[[#This Row],[ESTADIA 1]])</f>
        <v>0</v>
      </c>
      <c r="AY15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87" s="81"/>
      <c r="BA1587" s="81"/>
      <c r="BB1587" s="81">
        <f>Prog_23[[#This Row],[VLR NF]]*0.1%</f>
        <v>0</v>
      </c>
      <c r="BC1587" s="81">
        <f>Prog_23[[#This Row],[VLR NF]]*0.05%</f>
        <v>0</v>
      </c>
      <c r="BD1587" s="81"/>
      <c r="BE1587" s="81"/>
      <c r="BF1587" s="81"/>
      <c r="BG1587" s="81"/>
      <c r="BH1587" s="81"/>
      <c r="BI1587" s="81"/>
      <c r="BJ1587" s="81"/>
      <c r="BK1587" s="81"/>
      <c r="BL1587" s="81"/>
      <c r="BM1587" s="81"/>
      <c r="BN1587" s="66"/>
      <c r="BO1587" s="66"/>
      <c r="BP1587" s="66"/>
      <c r="BQ1587" s="66" t="str">
        <f>PROPER(TEXT(Prog_23[[#This Row],[PROGRAMAÇÃO CLIENTE]],"mmm"))</f>
        <v>Jan</v>
      </c>
      <c r="BR1587" s="66">
        <f>YEAR(Prog_23[[#This Row],[PROGRAMAÇÃO CLIENTE]])</f>
        <v>1900</v>
      </c>
    </row>
    <row r="1588" spans="1:70" x14ac:dyDescent="0.25">
      <c r="A1588" s="201">
        <f>Prog_23[[#This Row],[CONTEINER]]</f>
        <v>0</v>
      </c>
      <c r="B1588" s="86"/>
      <c r="C15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88" s="44"/>
      <c r="E1588" s="66"/>
      <c r="F1588" s="66"/>
      <c r="G1588" s="66"/>
      <c r="H1588" s="44"/>
      <c r="I1588" s="44"/>
      <c r="J1588" s="66"/>
      <c r="K1588" s="66"/>
      <c r="L1588" s="66"/>
      <c r="M1588" s="66"/>
      <c r="N1588" s="66">
        <f>SUM(Prog_23[[#This Row],[TARA]]+Prog_23[[#This Row],[PESO]])</f>
        <v>0</v>
      </c>
      <c r="O1588" s="44"/>
      <c r="P1588" s="66"/>
      <c r="Q1588" s="66"/>
      <c r="R1588" s="66"/>
      <c r="S1588" s="66"/>
      <c r="T1588" s="138" t="str">
        <f>IFERROR(LOOKUP($S1588,MOTORISTAS!$D$3:$D$916,MOTORISTAS!E$3:$E$916),"")</f>
        <v/>
      </c>
      <c r="U1588" s="138" t="str">
        <f>IFERROR(LOOKUP($S1588,MOTORISTAS!$D$3:$D$916,MOTORISTAS!F$3:$F$916),"")</f>
        <v/>
      </c>
      <c r="V1588" s="66"/>
      <c r="W1588" s="66"/>
      <c r="X1588" s="66"/>
      <c r="Y1588" s="66"/>
      <c r="Z1588" s="66"/>
      <c r="AA1588" s="66"/>
      <c r="AB1588" s="66"/>
      <c r="AC1588" s="66"/>
      <c r="AD1588" s="66"/>
      <c r="AE1588" s="66"/>
      <c r="AF1588" s="44"/>
      <c r="AG1588" s="254">
        <f>Prog_23[[#This Row],[SAÍDA DO CLIENTE]]-Prog_23[[#This Row],[PROGRAMAÇÃO CLIENTE]]</f>
        <v>0</v>
      </c>
      <c r="AH1588" s="44"/>
      <c r="AI1588" s="66"/>
      <c r="AJ1588" s="66"/>
      <c r="AK1588" s="66"/>
      <c r="AL1588" s="66"/>
      <c r="AM1588" s="66"/>
      <c r="AN1588" s="83"/>
      <c r="AO1588" s="83"/>
      <c r="AP1588" s="83"/>
      <c r="AQ1588" s="66"/>
      <c r="AR1588" s="66"/>
      <c r="AS1588" s="66"/>
      <c r="AT1588" s="81"/>
      <c r="AU1588" s="81"/>
      <c r="AV1588" s="81"/>
      <c r="AW1588" s="81"/>
      <c r="AX1588" s="83">
        <f>SUM(Prog_23[[#This Row],[ADIANTAMENTO]]+Prog_23[[#This Row],[SALDO]]+Prog_23[[#This Row],[MARGEM]]+Prog_23[[#This Row],[ESTADIA 1]])</f>
        <v>0</v>
      </c>
      <c r="AY15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88" s="81"/>
      <c r="BA1588" s="81"/>
      <c r="BB1588" s="81">
        <f>Prog_23[[#This Row],[VLR NF]]*0.1%</f>
        <v>0</v>
      </c>
      <c r="BC1588" s="81">
        <f>Prog_23[[#This Row],[VLR NF]]*0.05%</f>
        <v>0</v>
      </c>
      <c r="BD1588" s="81"/>
      <c r="BE1588" s="81"/>
      <c r="BF1588" s="81"/>
      <c r="BG1588" s="81"/>
      <c r="BH1588" s="81"/>
      <c r="BI1588" s="81"/>
      <c r="BJ1588" s="81"/>
      <c r="BK1588" s="81"/>
      <c r="BL1588" s="81"/>
      <c r="BM1588" s="81"/>
      <c r="BN1588" s="66"/>
      <c r="BO1588" s="66"/>
      <c r="BP1588" s="66"/>
      <c r="BQ1588" s="66" t="str">
        <f>PROPER(TEXT(Prog_23[[#This Row],[PROGRAMAÇÃO CLIENTE]],"mmm"))</f>
        <v>Jan</v>
      </c>
      <c r="BR1588" s="66">
        <f>YEAR(Prog_23[[#This Row],[PROGRAMAÇÃO CLIENTE]])</f>
        <v>1900</v>
      </c>
    </row>
    <row r="1589" spans="1:70" x14ac:dyDescent="0.25">
      <c r="A1589" s="200">
        <f>Prog_23[[#This Row],[CONTEINER]]</f>
        <v>0</v>
      </c>
      <c r="B1589" s="86"/>
      <c r="C15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89" s="44"/>
      <c r="E1589" s="66"/>
      <c r="F1589" s="66"/>
      <c r="G1589" s="66"/>
      <c r="H1589" s="44"/>
      <c r="I1589" s="44"/>
      <c r="J1589" s="66"/>
      <c r="K1589" s="66"/>
      <c r="L1589" s="66"/>
      <c r="M1589" s="66"/>
      <c r="N1589" s="66">
        <f>SUM(Prog_23[[#This Row],[TARA]]+Prog_23[[#This Row],[PESO]])</f>
        <v>0</v>
      </c>
      <c r="O1589" s="44"/>
      <c r="P1589" s="66"/>
      <c r="Q1589" s="66"/>
      <c r="R1589" s="66"/>
      <c r="S1589" s="66"/>
      <c r="T1589" s="138" t="str">
        <f>IFERROR(LOOKUP($S1589,MOTORISTAS!$D$3:$D$916,MOTORISTAS!E$3:$E$916),"")</f>
        <v/>
      </c>
      <c r="U1589" s="138" t="str">
        <f>IFERROR(LOOKUP($S1589,MOTORISTAS!$D$3:$D$916,MOTORISTAS!F$3:$F$916),"")</f>
        <v/>
      </c>
      <c r="V1589" s="66"/>
      <c r="W1589" s="66"/>
      <c r="X1589" s="66"/>
      <c r="Y1589" s="66"/>
      <c r="Z1589" s="66"/>
      <c r="AA1589" s="66"/>
      <c r="AB1589" s="66"/>
      <c r="AC1589" s="66"/>
      <c r="AD1589" s="66"/>
      <c r="AE1589" s="66"/>
      <c r="AF1589" s="44"/>
      <c r="AG1589" s="254">
        <f>Prog_23[[#This Row],[SAÍDA DO CLIENTE]]-Prog_23[[#This Row],[PROGRAMAÇÃO CLIENTE]]</f>
        <v>0</v>
      </c>
      <c r="AH1589" s="44"/>
      <c r="AI1589" s="66"/>
      <c r="AJ1589" s="66"/>
      <c r="AK1589" s="66"/>
      <c r="AL1589" s="66"/>
      <c r="AM1589" s="66"/>
      <c r="AN1589" s="83"/>
      <c r="AO1589" s="83"/>
      <c r="AP1589" s="83"/>
      <c r="AQ1589" s="66"/>
      <c r="AR1589" s="66"/>
      <c r="AS1589" s="66"/>
      <c r="AT1589" s="81"/>
      <c r="AU1589" s="81"/>
      <c r="AV1589" s="81"/>
      <c r="AW1589" s="81"/>
      <c r="AX1589" s="83">
        <f>SUM(Prog_23[[#This Row],[ADIANTAMENTO]]+Prog_23[[#This Row],[SALDO]]+Prog_23[[#This Row],[MARGEM]]+Prog_23[[#This Row],[ESTADIA 1]])</f>
        <v>0</v>
      </c>
      <c r="AY15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89" s="81"/>
      <c r="BA1589" s="81"/>
      <c r="BB1589" s="81">
        <f>Prog_23[[#This Row],[VLR NF]]*0.1%</f>
        <v>0</v>
      </c>
      <c r="BC1589" s="81">
        <f>Prog_23[[#This Row],[VLR NF]]*0.05%</f>
        <v>0</v>
      </c>
      <c r="BD1589" s="81"/>
      <c r="BE1589" s="81"/>
      <c r="BF1589" s="81"/>
      <c r="BG1589" s="81"/>
      <c r="BH1589" s="81"/>
      <c r="BI1589" s="81"/>
      <c r="BJ1589" s="81"/>
      <c r="BK1589" s="81"/>
      <c r="BL1589" s="81"/>
      <c r="BM1589" s="81"/>
      <c r="BN1589" s="66"/>
      <c r="BO1589" s="66"/>
      <c r="BP1589" s="66"/>
      <c r="BQ1589" s="66" t="str">
        <f>PROPER(TEXT(Prog_23[[#This Row],[PROGRAMAÇÃO CLIENTE]],"mmm"))</f>
        <v>Jan</v>
      </c>
      <c r="BR1589" s="66">
        <f>YEAR(Prog_23[[#This Row],[PROGRAMAÇÃO CLIENTE]])</f>
        <v>1900</v>
      </c>
    </row>
    <row r="1590" spans="1:70" x14ac:dyDescent="0.25">
      <c r="A1590" s="201">
        <f>Prog_23[[#This Row],[CONTEINER]]</f>
        <v>0</v>
      </c>
      <c r="B1590" s="86"/>
      <c r="C15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90" s="44"/>
      <c r="E1590" s="66"/>
      <c r="F1590" s="66"/>
      <c r="G1590" s="66"/>
      <c r="H1590" s="44"/>
      <c r="I1590" s="44"/>
      <c r="J1590" s="66"/>
      <c r="K1590" s="66"/>
      <c r="L1590" s="66"/>
      <c r="M1590" s="66"/>
      <c r="N1590" s="66">
        <f>SUM(Prog_23[[#This Row],[TARA]]+Prog_23[[#This Row],[PESO]])</f>
        <v>0</v>
      </c>
      <c r="O1590" s="44"/>
      <c r="P1590" s="66"/>
      <c r="Q1590" s="66"/>
      <c r="R1590" s="66"/>
      <c r="S1590" s="66"/>
      <c r="T1590" s="138" t="str">
        <f>IFERROR(LOOKUP($S1590,MOTORISTAS!$D$3:$D$916,MOTORISTAS!E$3:$E$916),"")</f>
        <v/>
      </c>
      <c r="U1590" s="138" t="str">
        <f>IFERROR(LOOKUP($S1590,MOTORISTAS!$D$3:$D$916,MOTORISTAS!F$3:$F$916),"")</f>
        <v/>
      </c>
      <c r="V1590" s="66"/>
      <c r="W1590" s="66"/>
      <c r="X1590" s="66"/>
      <c r="Y1590" s="66"/>
      <c r="Z1590" s="66"/>
      <c r="AA1590" s="66"/>
      <c r="AB1590" s="66"/>
      <c r="AC1590" s="66"/>
      <c r="AD1590" s="66"/>
      <c r="AE1590" s="66"/>
      <c r="AF1590" s="44"/>
      <c r="AG1590" s="254">
        <f>Prog_23[[#This Row],[SAÍDA DO CLIENTE]]-Prog_23[[#This Row],[PROGRAMAÇÃO CLIENTE]]</f>
        <v>0</v>
      </c>
      <c r="AH1590" s="44"/>
      <c r="AI1590" s="66"/>
      <c r="AJ1590" s="66"/>
      <c r="AK1590" s="66"/>
      <c r="AL1590" s="66"/>
      <c r="AM1590" s="66"/>
      <c r="AN1590" s="83"/>
      <c r="AO1590" s="83"/>
      <c r="AP1590" s="83"/>
      <c r="AQ1590" s="66"/>
      <c r="AR1590" s="66"/>
      <c r="AS1590" s="66"/>
      <c r="AT1590" s="81"/>
      <c r="AU1590" s="81"/>
      <c r="AV1590" s="81"/>
      <c r="AW1590" s="81"/>
      <c r="AX1590" s="83">
        <f>SUM(Prog_23[[#This Row],[ADIANTAMENTO]]+Prog_23[[#This Row],[SALDO]]+Prog_23[[#This Row],[MARGEM]]+Prog_23[[#This Row],[ESTADIA 1]])</f>
        <v>0</v>
      </c>
      <c r="AY15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90" s="81"/>
      <c r="BA1590" s="81"/>
      <c r="BB1590" s="81">
        <f>Prog_23[[#This Row],[VLR NF]]*0.1%</f>
        <v>0</v>
      </c>
      <c r="BC1590" s="81">
        <f>Prog_23[[#This Row],[VLR NF]]*0.05%</f>
        <v>0</v>
      </c>
      <c r="BD1590" s="81"/>
      <c r="BE1590" s="81"/>
      <c r="BF1590" s="81"/>
      <c r="BG1590" s="81"/>
      <c r="BH1590" s="81"/>
      <c r="BI1590" s="81"/>
      <c r="BJ1590" s="81"/>
      <c r="BK1590" s="81"/>
      <c r="BL1590" s="81"/>
      <c r="BM1590" s="81"/>
      <c r="BN1590" s="66"/>
      <c r="BO1590" s="66"/>
      <c r="BP1590" s="66"/>
      <c r="BQ1590" s="66" t="str">
        <f>PROPER(TEXT(Prog_23[[#This Row],[PROGRAMAÇÃO CLIENTE]],"mmm"))</f>
        <v>Jan</v>
      </c>
      <c r="BR1590" s="66">
        <f>YEAR(Prog_23[[#This Row],[PROGRAMAÇÃO CLIENTE]])</f>
        <v>1900</v>
      </c>
    </row>
    <row r="1591" spans="1:70" x14ac:dyDescent="0.25">
      <c r="A1591" s="200">
        <f>Prog_23[[#This Row],[CONTEINER]]</f>
        <v>0</v>
      </c>
      <c r="B1591" s="86"/>
      <c r="C15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91" s="44"/>
      <c r="E1591" s="66"/>
      <c r="F1591" s="66"/>
      <c r="G1591" s="66"/>
      <c r="H1591" s="44"/>
      <c r="I1591" s="44"/>
      <c r="J1591" s="66"/>
      <c r="K1591" s="66"/>
      <c r="L1591" s="66"/>
      <c r="M1591" s="66"/>
      <c r="N1591" s="66">
        <f>SUM(Prog_23[[#This Row],[TARA]]+Prog_23[[#This Row],[PESO]])</f>
        <v>0</v>
      </c>
      <c r="O1591" s="44"/>
      <c r="P1591" s="66"/>
      <c r="Q1591" s="66"/>
      <c r="R1591" s="66"/>
      <c r="S1591" s="66"/>
      <c r="T1591" s="138" t="str">
        <f>IFERROR(LOOKUP($S1591,MOTORISTAS!$D$3:$D$916,MOTORISTAS!E$3:$E$916),"")</f>
        <v/>
      </c>
      <c r="U1591" s="138" t="str">
        <f>IFERROR(LOOKUP($S1591,MOTORISTAS!$D$3:$D$916,MOTORISTAS!F$3:$F$916),"")</f>
        <v/>
      </c>
      <c r="V1591" s="66"/>
      <c r="W1591" s="66"/>
      <c r="X1591" s="66"/>
      <c r="Y1591" s="66"/>
      <c r="Z1591" s="66"/>
      <c r="AA1591" s="66"/>
      <c r="AB1591" s="66"/>
      <c r="AC1591" s="66"/>
      <c r="AD1591" s="66"/>
      <c r="AE1591" s="66"/>
      <c r="AF1591" s="44"/>
      <c r="AG1591" s="254">
        <f>Prog_23[[#This Row],[SAÍDA DO CLIENTE]]-Prog_23[[#This Row],[PROGRAMAÇÃO CLIENTE]]</f>
        <v>0</v>
      </c>
      <c r="AH1591" s="44"/>
      <c r="AI1591" s="66"/>
      <c r="AJ1591" s="66"/>
      <c r="AK1591" s="66"/>
      <c r="AL1591" s="66"/>
      <c r="AM1591" s="66"/>
      <c r="AN1591" s="83"/>
      <c r="AO1591" s="83"/>
      <c r="AP1591" s="83"/>
      <c r="AQ1591" s="66"/>
      <c r="AR1591" s="66"/>
      <c r="AS1591" s="66"/>
      <c r="AT1591" s="81"/>
      <c r="AU1591" s="81"/>
      <c r="AV1591" s="81"/>
      <c r="AW1591" s="81"/>
      <c r="AX1591" s="83">
        <f>SUM(Prog_23[[#This Row],[ADIANTAMENTO]]+Prog_23[[#This Row],[SALDO]]+Prog_23[[#This Row],[MARGEM]]+Prog_23[[#This Row],[ESTADIA 1]])</f>
        <v>0</v>
      </c>
      <c r="AY15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91" s="81"/>
      <c r="BA1591" s="81"/>
      <c r="BB1591" s="81">
        <f>Prog_23[[#This Row],[VLR NF]]*0.1%</f>
        <v>0</v>
      </c>
      <c r="BC1591" s="81">
        <f>Prog_23[[#This Row],[VLR NF]]*0.05%</f>
        <v>0</v>
      </c>
      <c r="BD1591" s="81"/>
      <c r="BE1591" s="81"/>
      <c r="BF1591" s="81"/>
      <c r="BG1591" s="81"/>
      <c r="BH1591" s="81"/>
      <c r="BI1591" s="81"/>
      <c r="BJ1591" s="81"/>
      <c r="BK1591" s="81"/>
      <c r="BL1591" s="81"/>
      <c r="BM1591" s="81"/>
      <c r="BN1591" s="66"/>
      <c r="BO1591" s="66"/>
      <c r="BP1591" s="66"/>
      <c r="BQ1591" s="66" t="str">
        <f>PROPER(TEXT(Prog_23[[#This Row],[PROGRAMAÇÃO CLIENTE]],"mmm"))</f>
        <v>Jan</v>
      </c>
      <c r="BR1591" s="66">
        <f>YEAR(Prog_23[[#This Row],[PROGRAMAÇÃO CLIENTE]])</f>
        <v>1900</v>
      </c>
    </row>
    <row r="1592" spans="1:70" x14ac:dyDescent="0.25">
      <c r="A1592" s="201">
        <f>Prog_23[[#This Row],[CONTEINER]]</f>
        <v>0</v>
      </c>
      <c r="B1592" s="86"/>
      <c r="C15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92" s="44"/>
      <c r="E1592" s="66"/>
      <c r="F1592" s="66"/>
      <c r="G1592" s="66"/>
      <c r="H1592" s="44"/>
      <c r="I1592" s="44"/>
      <c r="J1592" s="66"/>
      <c r="K1592" s="66"/>
      <c r="L1592" s="66"/>
      <c r="M1592" s="66"/>
      <c r="N1592" s="66">
        <f>SUM(Prog_23[[#This Row],[TARA]]+Prog_23[[#This Row],[PESO]])</f>
        <v>0</v>
      </c>
      <c r="O1592" s="44"/>
      <c r="P1592" s="66"/>
      <c r="Q1592" s="66"/>
      <c r="R1592" s="66"/>
      <c r="S1592" s="66"/>
      <c r="T1592" s="138" t="str">
        <f>IFERROR(LOOKUP($S1592,MOTORISTAS!$D$3:$D$916,MOTORISTAS!E$3:$E$916),"")</f>
        <v/>
      </c>
      <c r="U1592" s="138" t="str">
        <f>IFERROR(LOOKUP($S1592,MOTORISTAS!$D$3:$D$916,MOTORISTAS!F$3:$F$916),"")</f>
        <v/>
      </c>
      <c r="V1592" s="66"/>
      <c r="W1592" s="66"/>
      <c r="X1592" s="66"/>
      <c r="Y1592" s="66"/>
      <c r="Z1592" s="66"/>
      <c r="AA1592" s="66"/>
      <c r="AB1592" s="66"/>
      <c r="AC1592" s="66"/>
      <c r="AD1592" s="66"/>
      <c r="AE1592" s="66"/>
      <c r="AF1592" s="44"/>
      <c r="AG1592" s="254">
        <f>Prog_23[[#This Row],[SAÍDA DO CLIENTE]]-Prog_23[[#This Row],[PROGRAMAÇÃO CLIENTE]]</f>
        <v>0</v>
      </c>
      <c r="AH1592" s="44"/>
      <c r="AI1592" s="66"/>
      <c r="AJ1592" s="66"/>
      <c r="AK1592" s="66"/>
      <c r="AL1592" s="66"/>
      <c r="AM1592" s="66"/>
      <c r="AN1592" s="83"/>
      <c r="AO1592" s="83"/>
      <c r="AP1592" s="83"/>
      <c r="AQ1592" s="66"/>
      <c r="AR1592" s="66"/>
      <c r="AS1592" s="66"/>
      <c r="AT1592" s="81"/>
      <c r="AU1592" s="81"/>
      <c r="AV1592" s="81"/>
      <c r="AW1592" s="81"/>
      <c r="AX1592" s="83">
        <f>SUM(Prog_23[[#This Row],[ADIANTAMENTO]]+Prog_23[[#This Row],[SALDO]]+Prog_23[[#This Row],[MARGEM]]+Prog_23[[#This Row],[ESTADIA 1]])</f>
        <v>0</v>
      </c>
      <c r="AY15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92" s="81"/>
      <c r="BA1592" s="81"/>
      <c r="BB1592" s="81">
        <f>Prog_23[[#This Row],[VLR NF]]*0.1%</f>
        <v>0</v>
      </c>
      <c r="BC1592" s="81">
        <f>Prog_23[[#This Row],[VLR NF]]*0.05%</f>
        <v>0</v>
      </c>
      <c r="BD1592" s="81"/>
      <c r="BE1592" s="81"/>
      <c r="BF1592" s="81"/>
      <c r="BG1592" s="81"/>
      <c r="BH1592" s="81"/>
      <c r="BI1592" s="81"/>
      <c r="BJ1592" s="81"/>
      <c r="BK1592" s="81"/>
      <c r="BL1592" s="81"/>
      <c r="BM1592" s="81"/>
      <c r="BN1592" s="66"/>
      <c r="BO1592" s="66"/>
      <c r="BP1592" s="66"/>
      <c r="BQ1592" s="66" t="str">
        <f>PROPER(TEXT(Prog_23[[#This Row],[PROGRAMAÇÃO CLIENTE]],"mmm"))</f>
        <v>Jan</v>
      </c>
      <c r="BR1592" s="66">
        <f>YEAR(Prog_23[[#This Row],[PROGRAMAÇÃO CLIENTE]])</f>
        <v>1900</v>
      </c>
    </row>
    <row r="1593" spans="1:70" x14ac:dyDescent="0.25">
      <c r="A1593" s="200">
        <f>Prog_23[[#This Row],[CONTEINER]]</f>
        <v>0</v>
      </c>
      <c r="B1593" s="86"/>
      <c r="C15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93" s="44"/>
      <c r="E1593" s="66"/>
      <c r="F1593" s="66"/>
      <c r="G1593" s="66"/>
      <c r="H1593" s="44"/>
      <c r="I1593" s="44"/>
      <c r="J1593" s="66"/>
      <c r="K1593" s="66"/>
      <c r="L1593" s="66"/>
      <c r="M1593" s="66"/>
      <c r="N1593" s="66">
        <f>SUM(Prog_23[[#This Row],[TARA]]+Prog_23[[#This Row],[PESO]])</f>
        <v>0</v>
      </c>
      <c r="O1593" s="44"/>
      <c r="P1593" s="66"/>
      <c r="Q1593" s="66"/>
      <c r="R1593" s="66"/>
      <c r="S1593" s="66"/>
      <c r="T1593" s="138" t="str">
        <f>IFERROR(LOOKUP($S1593,MOTORISTAS!$D$3:$D$916,MOTORISTAS!E$3:$E$916),"")</f>
        <v/>
      </c>
      <c r="U1593" s="138" t="str">
        <f>IFERROR(LOOKUP($S1593,MOTORISTAS!$D$3:$D$916,MOTORISTAS!F$3:$F$916),"")</f>
        <v/>
      </c>
      <c r="V1593" s="66"/>
      <c r="W1593" s="66"/>
      <c r="X1593" s="66"/>
      <c r="Y1593" s="66"/>
      <c r="Z1593" s="66"/>
      <c r="AA1593" s="66"/>
      <c r="AB1593" s="66"/>
      <c r="AC1593" s="66"/>
      <c r="AD1593" s="66"/>
      <c r="AE1593" s="66"/>
      <c r="AF1593" s="44"/>
      <c r="AG1593" s="254">
        <f>Prog_23[[#This Row],[SAÍDA DO CLIENTE]]-Prog_23[[#This Row],[PROGRAMAÇÃO CLIENTE]]</f>
        <v>0</v>
      </c>
      <c r="AH1593" s="44"/>
      <c r="AI1593" s="66"/>
      <c r="AJ1593" s="66"/>
      <c r="AK1593" s="66"/>
      <c r="AL1593" s="66"/>
      <c r="AM1593" s="66"/>
      <c r="AN1593" s="83"/>
      <c r="AO1593" s="83"/>
      <c r="AP1593" s="83"/>
      <c r="AQ1593" s="66"/>
      <c r="AR1593" s="66"/>
      <c r="AS1593" s="66"/>
      <c r="AT1593" s="81"/>
      <c r="AU1593" s="81"/>
      <c r="AV1593" s="81"/>
      <c r="AW1593" s="81"/>
      <c r="AX1593" s="83">
        <f>SUM(Prog_23[[#This Row],[ADIANTAMENTO]]+Prog_23[[#This Row],[SALDO]]+Prog_23[[#This Row],[MARGEM]]+Prog_23[[#This Row],[ESTADIA 1]])</f>
        <v>0</v>
      </c>
      <c r="AY15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93" s="81"/>
      <c r="BA1593" s="81"/>
      <c r="BB1593" s="81">
        <f>Prog_23[[#This Row],[VLR NF]]*0.1%</f>
        <v>0</v>
      </c>
      <c r="BC1593" s="81">
        <f>Prog_23[[#This Row],[VLR NF]]*0.05%</f>
        <v>0</v>
      </c>
      <c r="BD1593" s="81"/>
      <c r="BE1593" s="81"/>
      <c r="BF1593" s="81"/>
      <c r="BG1593" s="81"/>
      <c r="BH1593" s="81"/>
      <c r="BI1593" s="81"/>
      <c r="BJ1593" s="81"/>
      <c r="BK1593" s="81"/>
      <c r="BL1593" s="81"/>
      <c r="BM1593" s="81"/>
      <c r="BN1593" s="66"/>
      <c r="BO1593" s="66"/>
      <c r="BP1593" s="66"/>
      <c r="BQ1593" s="66" t="str">
        <f>PROPER(TEXT(Prog_23[[#This Row],[PROGRAMAÇÃO CLIENTE]],"mmm"))</f>
        <v>Jan</v>
      </c>
      <c r="BR1593" s="66">
        <f>YEAR(Prog_23[[#This Row],[PROGRAMAÇÃO CLIENTE]])</f>
        <v>1900</v>
      </c>
    </row>
    <row r="1594" spans="1:70" x14ac:dyDescent="0.25">
      <c r="A1594" s="201">
        <f>Prog_23[[#This Row],[CONTEINER]]</f>
        <v>0</v>
      </c>
      <c r="B1594" s="86"/>
      <c r="C15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94" s="44"/>
      <c r="E1594" s="66"/>
      <c r="F1594" s="66"/>
      <c r="G1594" s="66"/>
      <c r="H1594" s="44"/>
      <c r="I1594" s="44"/>
      <c r="J1594" s="66"/>
      <c r="K1594" s="66"/>
      <c r="L1594" s="66"/>
      <c r="M1594" s="66"/>
      <c r="N1594" s="66">
        <f>SUM(Prog_23[[#This Row],[TARA]]+Prog_23[[#This Row],[PESO]])</f>
        <v>0</v>
      </c>
      <c r="O1594" s="44"/>
      <c r="P1594" s="66"/>
      <c r="Q1594" s="66"/>
      <c r="R1594" s="66"/>
      <c r="S1594" s="66"/>
      <c r="T1594" s="138" t="str">
        <f>IFERROR(LOOKUP($S1594,MOTORISTAS!$D$3:$D$916,MOTORISTAS!E$3:$E$916),"")</f>
        <v/>
      </c>
      <c r="U1594" s="138" t="str">
        <f>IFERROR(LOOKUP($S1594,MOTORISTAS!$D$3:$D$916,MOTORISTAS!F$3:$F$916),"")</f>
        <v/>
      </c>
      <c r="V1594" s="66"/>
      <c r="W1594" s="66"/>
      <c r="X1594" s="66"/>
      <c r="Y1594" s="66"/>
      <c r="Z1594" s="66"/>
      <c r="AA1594" s="66"/>
      <c r="AB1594" s="66"/>
      <c r="AC1594" s="66"/>
      <c r="AD1594" s="66"/>
      <c r="AE1594" s="66"/>
      <c r="AF1594" s="44"/>
      <c r="AG1594" s="254">
        <f>Prog_23[[#This Row],[SAÍDA DO CLIENTE]]-Prog_23[[#This Row],[PROGRAMAÇÃO CLIENTE]]</f>
        <v>0</v>
      </c>
      <c r="AH1594" s="44"/>
      <c r="AI1594" s="66"/>
      <c r="AJ1594" s="66"/>
      <c r="AK1594" s="66"/>
      <c r="AL1594" s="66"/>
      <c r="AM1594" s="66"/>
      <c r="AN1594" s="83"/>
      <c r="AO1594" s="83"/>
      <c r="AP1594" s="83"/>
      <c r="AQ1594" s="66"/>
      <c r="AR1594" s="66"/>
      <c r="AS1594" s="66"/>
      <c r="AT1594" s="81"/>
      <c r="AU1594" s="81"/>
      <c r="AV1594" s="81"/>
      <c r="AW1594" s="81"/>
      <c r="AX1594" s="83">
        <f>SUM(Prog_23[[#This Row],[ADIANTAMENTO]]+Prog_23[[#This Row],[SALDO]]+Prog_23[[#This Row],[MARGEM]]+Prog_23[[#This Row],[ESTADIA 1]])</f>
        <v>0</v>
      </c>
      <c r="AY15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94" s="81"/>
      <c r="BA1594" s="81"/>
      <c r="BB1594" s="81">
        <f>Prog_23[[#This Row],[VLR NF]]*0.1%</f>
        <v>0</v>
      </c>
      <c r="BC1594" s="81">
        <f>Prog_23[[#This Row],[VLR NF]]*0.05%</f>
        <v>0</v>
      </c>
      <c r="BD1594" s="81"/>
      <c r="BE1594" s="81"/>
      <c r="BF1594" s="81"/>
      <c r="BG1594" s="81"/>
      <c r="BH1594" s="81"/>
      <c r="BI1594" s="81"/>
      <c r="BJ1594" s="81"/>
      <c r="BK1594" s="81"/>
      <c r="BL1594" s="81"/>
      <c r="BM1594" s="81"/>
      <c r="BN1594" s="66"/>
      <c r="BO1594" s="66"/>
      <c r="BP1594" s="66"/>
      <c r="BQ1594" s="66" t="str">
        <f>PROPER(TEXT(Prog_23[[#This Row],[PROGRAMAÇÃO CLIENTE]],"mmm"))</f>
        <v>Jan</v>
      </c>
      <c r="BR1594" s="66">
        <f>YEAR(Prog_23[[#This Row],[PROGRAMAÇÃO CLIENTE]])</f>
        <v>1900</v>
      </c>
    </row>
    <row r="1595" spans="1:70" x14ac:dyDescent="0.25">
      <c r="A1595" s="200">
        <f>Prog_23[[#This Row],[CONTEINER]]</f>
        <v>0</v>
      </c>
      <c r="B1595" s="86"/>
      <c r="C15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95" s="44"/>
      <c r="E1595" s="66"/>
      <c r="F1595" s="66"/>
      <c r="G1595" s="66"/>
      <c r="H1595" s="44"/>
      <c r="I1595" s="44"/>
      <c r="J1595" s="66"/>
      <c r="K1595" s="66"/>
      <c r="L1595" s="66"/>
      <c r="M1595" s="66"/>
      <c r="N1595" s="66">
        <f>SUM(Prog_23[[#This Row],[TARA]]+Prog_23[[#This Row],[PESO]])</f>
        <v>0</v>
      </c>
      <c r="O1595" s="44"/>
      <c r="P1595" s="66"/>
      <c r="Q1595" s="66"/>
      <c r="R1595" s="66"/>
      <c r="S1595" s="66"/>
      <c r="T1595" s="138" t="str">
        <f>IFERROR(LOOKUP($S1595,MOTORISTAS!$D$3:$D$916,MOTORISTAS!E$3:$E$916),"")</f>
        <v/>
      </c>
      <c r="U1595" s="138" t="str">
        <f>IFERROR(LOOKUP($S1595,MOTORISTAS!$D$3:$D$916,MOTORISTAS!F$3:$F$916),"")</f>
        <v/>
      </c>
      <c r="V1595" s="66"/>
      <c r="W1595" s="66"/>
      <c r="X1595" s="66"/>
      <c r="Y1595" s="66"/>
      <c r="Z1595" s="66"/>
      <c r="AA1595" s="66"/>
      <c r="AB1595" s="66"/>
      <c r="AC1595" s="66"/>
      <c r="AD1595" s="66"/>
      <c r="AE1595" s="66"/>
      <c r="AF1595" s="44"/>
      <c r="AG1595" s="254">
        <f>Prog_23[[#This Row],[SAÍDA DO CLIENTE]]-Prog_23[[#This Row],[PROGRAMAÇÃO CLIENTE]]</f>
        <v>0</v>
      </c>
      <c r="AH1595" s="44"/>
      <c r="AI1595" s="66"/>
      <c r="AJ1595" s="66"/>
      <c r="AK1595" s="66"/>
      <c r="AL1595" s="66"/>
      <c r="AM1595" s="66"/>
      <c r="AN1595" s="83"/>
      <c r="AO1595" s="83"/>
      <c r="AP1595" s="83"/>
      <c r="AQ1595" s="66"/>
      <c r="AR1595" s="66"/>
      <c r="AS1595" s="66"/>
      <c r="AT1595" s="81"/>
      <c r="AU1595" s="81"/>
      <c r="AV1595" s="81"/>
      <c r="AW1595" s="81"/>
      <c r="AX1595" s="83">
        <f>SUM(Prog_23[[#This Row],[ADIANTAMENTO]]+Prog_23[[#This Row],[SALDO]]+Prog_23[[#This Row],[MARGEM]]+Prog_23[[#This Row],[ESTADIA 1]])</f>
        <v>0</v>
      </c>
      <c r="AY15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95" s="81"/>
      <c r="BA1595" s="81"/>
      <c r="BB1595" s="81">
        <f>Prog_23[[#This Row],[VLR NF]]*0.1%</f>
        <v>0</v>
      </c>
      <c r="BC1595" s="81">
        <f>Prog_23[[#This Row],[VLR NF]]*0.05%</f>
        <v>0</v>
      </c>
      <c r="BD1595" s="81"/>
      <c r="BE1595" s="81"/>
      <c r="BF1595" s="81"/>
      <c r="BG1595" s="81"/>
      <c r="BH1595" s="81"/>
      <c r="BI1595" s="81"/>
      <c r="BJ1595" s="81"/>
      <c r="BK1595" s="81"/>
      <c r="BL1595" s="81"/>
      <c r="BM1595" s="81"/>
      <c r="BN1595" s="66"/>
      <c r="BO1595" s="66"/>
      <c r="BP1595" s="66"/>
      <c r="BQ1595" s="66" t="str">
        <f>PROPER(TEXT(Prog_23[[#This Row],[PROGRAMAÇÃO CLIENTE]],"mmm"))</f>
        <v>Jan</v>
      </c>
      <c r="BR1595" s="66">
        <f>YEAR(Prog_23[[#This Row],[PROGRAMAÇÃO CLIENTE]])</f>
        <v>1900</v>
      </c>
    </row>
    <row r="1596" spans="1:70" x14ac:dyDescent="0.25">
      <c r="A1596" s="201">
        <f>Prog_23[[#This Row],[CONTEINER]]</f>
        <v>0</v>
      </c>
      <c r="B1596" s="86"/>
      <c r="C15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96" s="44"/>
      <c r="E1596" s="66"/>
      <c r="F1596" s="66"/>
      <c r="G1596" s="66"/>
      <c r="H1596" s="44"/>
      <c r="I1596" s="44"/>
      <c r="J1596" s="66"/>
      <c r="K1596" s="66"/>
      <c r="L1596" s="66"/>
      <c r="M1596" s="66"/>
      <c r="N1596" s="66">
        <f>SUM(Prog_23[[#This Row],[TARA]]+Prog_23[[#This Row],[PESO]])</f>
        <v>0</v>
      </c>
      <c r="O1596" s="44"/>
      <c r="P1596" s="66"/>
      <c r="Q1596" s="66"/>
      <c r="R1596" s="66"/>
      <c r="S1596" s="66"/>
      <c r="T1596" s="138" t="str">
        <f>IFERROR(LOOKUP($S1596,MOTORISTAS!$D$3:$D$916,MOTORISTAS!E$3:$E$916),"")</f>
        <v/>
      </c>
      <c r="U1596" s="138" t="str">
        <f>IFERROR(LOOKUP($S1596,MOTORISTAS!$D$3:$D$916,MOTORISTAS!F$3:$F$916),"")</f>
        <v/>
      </c>
      <c r="V1596" s="66"/>
      <c r="W1596" s="66"/>
      <c r="X1596" s="66"/>
      <c r="Y1596" s="66"/>
      <c r="Z1596" s="66"/>
      <c r="AA1596" s="66"/>
      <c r="AB1596" s="66"/>
      <c r="AC1596" s="66"/>
      <c r="AD1596" s="66"/>
      <c r="AE1596" s="66"/>
      <c r="AF1596" s="44"/>
      <c r="AG1596" s="254">
        <f>Prog_23[[#This Row],[SAÍDA DO CLIENTE]]-Prog_23[[#This Row],[PROGRAMAÇÃO CLIENTE]]</f>
        <v>0</v>
      </c>
      <c r="AH1596" s="44"/>
      <c r="AI1596" s="66"/>
      <c r="AJ1596" s="66"/>
      <c r="AK1596" s="66"/>
      <c r="AL1596" s="66"/>
      <c r="AM1596" s="66"/>
      <c r="AN1596" s="83"/>
      <c r="AO1596" s="83"/>
      <c r="AP1596" s="83"/>
      <c r="AQ1596" s="66"/>
      <c r="AR1596" s="66"/>
      <c r="AS1596" s="66"/>
      <c r="AT1596" s="81"/>
      <c r="AU1596" s="81"/>
      <c r="AV1596" s="81"/>
      <c r="AW1596" s="81"/>
      <c r="AX1596" s="83">
        <f>SUM(Prog_23[[#This Row],[ADIANTAMENTO]]+Prog_23[[#This Row],[SALDO]]+Prog_23[[#This Row],[MARGEM]]+Prog_23[[#This Row],[ESTADIA 1]])</f>
        <v>0</v>
      </c>
      <c r="AY15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96" s="81"/>
      <c r="BA1596" s="81"/>
      <c r="BB1596" s="81">
        <f>Prog_23[[#This Row],[VLR NF]]*0.1%</f>
        <v>0</v>
      </c>
      <c r="BC1596" s="81">
        <f>Prog_23[[#This Row],[VLR NF]]*0.05%</f>
        <v>0</v>
      </c>
      <c r="BD1596" s="81"/>
      <c r="BE1596" s="81"/>
      <c r="BF1596" s="81"/>
      <c r="BG1596" s="81"/>
      <c r="BH1596" s="81"/>
      <c r="BI1596" s="81"/>
      <c r="BJ1596" s="81"/>
      <c r="BK1596" s="81"/>
      <c r="BL1596" s="81"/>
      <c r="BM1596" s="81"/>
      <c r="BN1596" s="66"/>
      <c r="BO1596" s="66"/>
      <c r="BP1596" s="66"/>
      <c r="BQ1596" s="66" t="str">
        <f>PROPER(TEXT(Prog_23[[#This Row],[PROGRAMAÇÃO CLIENTE]],"mmm"))</f>
        <v>Jan</v>
      </c>
      <c r="BR1596" s="66">
        <f>YEAR(Prog_23[[#This Row],[PROGRAMAÇÃO CLIENTE]])</f>
        <v>1900</v>
      </c>
    </row>
    <row r="1597" spans="1:70" x14ac:dyDescent="0.25">
      <c r="A1597" s="200">
        <f>Prog_23[[#This Row],[CONTEINER]]</f>
        <v>0</v>
      </c>
      <c r="B1597" s="86"/>
      <c r="C15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97" s="44"/>
      <c r="E1597" s="66"/>
      <c r="F1597" s="66"/>
      <c r="G1597" s="66"/>
      <c r="H1597" s="44"/>
      <c r="I1597" s="44"/>
      <c r="J1597" s="66"/>
      <c r="K1597" s="66"/>
      <c r="L1597" s="66"/>
      <c r="M1597" s="66"/>
      <c r="N1597" s="66">
        <f>SUM(Prog_23[[#This Row],[TARA]]+Prog_23[[#This Row],[PESO]])</f>
        <v>0</v>
      </c>
      <c r="O1597" s="44"/>
      <c r="P1597" s="66"/>
      <c r="Q1597" s="66"/>
      <c r="R1597" s="66"/>
      <c r="S1597" s="66"/>
      <c r="T1597" s="138" t="str">
        <f>IFERROR(LOOKUP($S1597,MOTORISTAS!$D$3:$D$916,MOTORISTAS!E$3:$E$916),"")</f>
        <v/>
      </c>
      <c r="U1597" s="138" t="str">
        <f>IFERROR(LOOKUP($S1597,MOTORISTAS!$D$3:$D$916,MOTORISTAS!F$3:$F$916),"")</f>
        <v/>
      </c>
      <c r="V1597" s="66"/>
      <c r="W1597" s="66"/>
      <c r="X1597" s="66"/>
      <c r="Y1597" s="66"/>
      <c r="Z1597" s="66"/>
      <c r="AA1597" s="66"/>
      <c r="AB1597" s="66"/>
      <c r="AC1597" s="66"/>
      <c r="AD1597" s="66"/>
      <c r="AE1597" s="66"/>
      <c r="AF1597" s="44"/>
      <c r="AG1597" s="254">
        <f>Prog_23[[#This Row],[SAÍDA DO CLIENTE]]-Prog_23[[#This Row],[PROGRAMAÇÃO CLIENTE]]</f>
        <v>0</v>
      </c>
      <c r="AH1597" s="44"/>
      <c r="AI1597" s="66"/>
      <c r="AJ1597" s="66"/>
      <c r="AK1597" s="66"/>
      <c r="AL1597" s="66"/>
      <c r="AM1597" s="66"/>
      <c r="AN1597" s="83"/>
      <c r="AO1597" s="83"/>
      <c r="AP1597" s="83"/>
      <c r="AQ1597" s="66"/>
      <c r="AR1597" s="66"/>
      <c r="AS1597" s="66"/>
      <c r="AT1597" s="81"/>
      <c r="AU1597" s="81"/>
      <c r="AV1597" s="81"/>
      <c r="AW1597" s="81"/>
      <c r="AX1597" s="83">
        <f>SUM(Prog_23[[#This Row],[ADIANTAMENTO]]+Prog_23[[#This Row],[SALDO]]+Prog_23[[#This Row],[MARGEM]]+Prog_23[[#This Row],[ESTADIA 1]])</f>
        <v>0</v>
      </c>
      <c r="AY15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97" s="81"/>
      <c r="BA1597" s="81"/>
      <c r="BB1597" s="81">
        <f>Prog_23[[#This Row],[VLR NF]]*0.1%</f>
        <v>0</v>
      </c>
      <c r="BC1597" s="81">
        <f>Prog_23[[#This Row],[VLR NF]]*0.05%</f>
        <v>0</v>
      </c>
      <c r="BD1597" s="81"/>
      <c r="BE1597" s="81"/>
      <c r="BF1597" s="81"/>
      <c r="BG1597" s="81"/>
      <c r="BH1597" s="81"/>
      <c r="BI1597" s="81"/>
      <c r="BJ1597" s="81"/>
      <c r="BK1597" s="81"/>
      <c r="BL1597" s="81"/>
      <c r="BM1597" s="81"/>
      <c r="BN1597" s="66"/>
      <c r="BO1597" s="66"/>
      <c r="BP1597" s="66"/>
      <c r="BQ1597" s="66" t="str">
        <f>PROPER(TEXT(Prog_23[[#This Row],[PROGRAMAÇÃO CLIENTE]],"mmm"))</f>
        <v>Jan</v>
      </c>
      <c r="BR1597" s="66">
        <f>YEAR(Prog_23[[#This Row],[PROGRAMAÇÃO CLIENTE]])</f>
        <v>1900</v>
      </c>
    </row>
    <row r="1598" spans="1:70" x14ac:dyDescent="0.25">
      <c r="A1598" s="201">
        <f>Prog_23[[#This Row],[CONTEINER]]</f>
        <v>0</v>
      </c>
      <c r="B1598" s="86"/>
      <c r="C15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98" s="44"/>
      <c r="E1598" s="66"/>
      <c r="F1598" s="66"/>
      <c r="G1598" s="66"/>
      <c r="H1598" s="44"/>
      <c r="I1598" s="44"/>
      <c r="J1598" s="66"/>
      <c r="K1598" s="66"/>
      <c r="L1598" s="66"/>
      <c r="M1598" s="66"/>
      <c r="N1598" s="66">
        <f>SUM(Prog_23[[#This Row],[TARA]]+Prog_23[[#This Row],[PESO]])</f>
        <v>0</v>
      </c>
      <c r="O1598" s="44"/>
      <c r="P1598" s="66"/>
      <c r="Q1598" s="66"/>
      <c r="R1598" s="66"/>
      <c r="S1598" s="66"/>
      <c r="T1598" s="138" t="str">
        <f>IFERROR(LOOKUP($S1598,MOTORISTAS!$D$3:$D$916,MOTORISTAS!E$3:$E$916),"")</f>
        <v/>
      </c>
      <c r="U1598" s="138" t="str">
        <f>IFERROR(LOOKUP($S1598,MOTORISTAS!$D$3:$D$916,MOTORISTAS!F$3:$F$916),"")</f>
        <v/>
      </c>
      <c r="V1598" s="66"/>
      <c r="W1598" s="66"/>
      <c r="X1598" s="66"/>
      <c r="Y1598" s="66"/>
      <c r="Z1598" s="66"/>
      <c r="AA1598" s="66"/>
      <c r="AB1598" s="66"/>
      <c r="AC1598" s="66"/>
      <c r="AD1598" s="66"/>
      <c r="AE1598" s="66"/>
      <c r="AF1598" s="44"/>
      <c r="AG1598" s="254">
        <f>Prog_23[[#This Row],[SAÍDA DO CLIENTE]]-Prog_23[[#This Row],[PROGRAMAÇÃO CLIENTE]]</f>
        <v>0</v>
      </c>
      <c r="AH1598" s="44"/>
      <c r="AI1598" s="66"/>
      <c r="AJ1598" s="66"/>
      <c r="AK1598" s="66"/>
      <c r="AL1598" s="66"/>
      <c r="AM1598" s="66"/>
      <c r="AN1598" s="83"/>
      <c r="AO1598" s="83"/>
      <c r="AP1598" s="83"/>
      <c r="AQ1598" s="66"/>
      <c r="AR1598" s="66"/>
      <c r="AS1598" s="66"/>
      <c r="AT1598" s="81"/>
      <c r="AU1598" s="81"/>
      <c r="AV1598" s="81"/>
      <c r="AW1598" s="81"/>
      <c r="AX1598" s="83">
        <f>SUM(Prog_23[[#This Row],[ADIANTAMENTO]]+Prog_23[[#This Row],[SALDO]]+Prog_23[[#This Row],[MARGEM]]+Prog_23[[#This Row],[ESTADIA 1]])</f>
        <v>0</v>
      </c>
      <c r="AY15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98" s="81"/>
      <c r="BA1598" s="81"/>
      <c r="BB1598" s="81">
        <f>Prog_23[[#This Row],[VLR NF]]*0.1%</f>
        <v>0</v>
      </c>
      <c r="BC1598" s="81">
        <f>Prog_23[[#This Row],[VLR NF]]*0.05%</f>
        <v>0</v>
      </c>
      <c r="BD1598" s="81"/>
      <c r="BE1598" s="81"/>
      <c r="BF1598" s="81"/>
      <c r="BG1598" s="81"/>
      <c r="BH1598" s="81"/>
      <c r="BI1598" s="81"/>
      <c r="BJ1598" s="81"/>
      <c r="BK1598" s="81"/>
      <c r="BL1598" s="81"/>
      <c r="BM1598" s="81"/>
      <c r="BN1598" s="66"/>
      <c r="BO1598" s="66"/>
      <c r="BP1598" s="66"/>
      <c r="BQ1598" s="66" t="str">
        <f>PROPER(TEXT(Prog_23[[#This Row],[PROGRAMAÇÃO CLIENTE]],"mmm"))</f>
        <v>Jan</v>
      </c>
      <c r="BR1598" s="66">
        <f>YEAR(Prog_23[[#This Row],[PROGRAMAÇÃO CLIENTE]])</f>
        <v>1900</v>
      </c>
    </row>
    <row r="1599" spans="1:70" x14ac:dyDescent="0.25">
      <c r="A1599" s="200">
        <f>Prog_23[[#This Row],[CONTEINER]]</f>
        <v>0</v>
      </c>
      <c r="B1599" s="86"/>
      <c r="C15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599" s="44"/>
      <c r="E1599" s="66"/>
      <c r="F1599" s="66"/>
      <c r="G1599" s="66"/>
      <c r="H1599" s="44"/>
      <c r="I1599" s="44"/>
      <c r="J1599" s="66"/>
      <c r="K1599" s="66"/>
      <c r="L1599" s="66"/>
      <c r="M1599" s="66"/>
      <c r="N1599" s="66">
        <f>SUM(Prog_23[[#This Row],[TARA]]+Prog_23[[#This Row],[PESO]])</f>
        <v>0</v>
      </c>
      <c r="O1599" s="44"/>
      <c r="P1599" s="66"/>
      <c r="Q1599" s="66"/>
      <c r="R1599" s="66"/>
      <c r="S1599" s="66"/>
      <c r="T1599" s="138" t="str">
        <f>IFERROR(LOOKUP($S1599,MOTORISTAS!$D$3:$D$916,MOTORISTAS!E$3:$E$916),"")</f>
        <v/>
      </c>
      <c r="U1599" s="138" t="str">
        <f>IFERROR(LOOKUP($S1599,MOTORISTAS!$D$3:$D$916,MOTORISTAS!F$3:$F$916),"")</f>
        <v/>
      </c>
      <c r="V1599" s="66"/>
      <c r="W1599" s="66"/>
      <c r="X1599" s="66"/>
      <c r="Y1599" s="66"/>
      <c r="Z1599" s="66"/>
      <c r="AA1599" s="66"/>
      <c r="AB1599" s="66"/>
      <c r="AC1599" s="66"/>
      <c r="AD1599" s="66"/>
      <c r="AE1599" s="66"/>
      <c r="AF1599" s="44"/>
      <c r="AG1599" s="254">
        <f>Prog_23[[#This Row],[SAÍDA DO CLIENTE]]-Prog_23[[#This Row],[PROGRAMAÇÃO CLIENTE]]</f>
        <v>0</v>
      </c>
      <c r="AH1599" s="44"/>
      <c r="AI1599" s="66"/>
      <c r="AJ1599" s="66"/>
      <c r="AK1599" s="66"/>
      <c r="AL1599" s="66"/>
      <c r="AM1599" s="66"/>
      <c r="AN1599" s="83"/>
      <c r="AO1599" s="83"/>
      <c r="AP1599" s="83"/>
      <c r="AQ1599" s="66"/>
      <c r="AR1599" s="66"/>
      <c r="AS1599" s="66"/>
      <c r="AT1599" s="81"/>
      <c r="AU1599" s="81"/>
      <c r="AV1599" s="81"/>
      <c r="AW1599" s="81"/>
      <c r="AX1599" s="83">
        <f>SUM(Prog_23[[#This Row],[ADIANTAMENTO]]+Prog_23[[#This Row],[SALDO]]+Prog_23[[#This Row],[MARGEM]]+Prog_23[[#This Row],[ESTADIA 1]])</f>
        <v>0</v>
      </c>
      <c r="AY15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599" s="81"/>
      <c r="BA1599" s="81"/>
      <c r="BB1599" s="81">
        <f>Prog_23[[#This Row],[VLR NF]]*0.1%</f>
        <v>0</v>
      </c>
      <c r="BC1599" s="81">
        <f>Prog_23[[#This Row],[VLR NF]]*0.05%</f>
        <v>0</v>
      </c>
      <c r="BD1599" s="81"/>
      <c r="BE1599" s="81"/>
      <c r="BF1599" s="81"/>
      <c r="BG1599" s="81"/>
      <c r="BH1599" s="81"/>
      <c r="BI1599" s="81"/>
      <c r="BJ1599" s="81"/>
      <c r="BK1599" s="81"/>
      <c r="BL1599" s="81"/>
      <c r="BM1599" s="81"/>
      <c r="BN1599" s="66"/>
      <c r="BO1599" s="66"/>
      <c r="BP1599" s="66"/>
      <c r="BQ1599" s="66" t="str">
        <f>PROPER(TEXT(Prog_23[[#This Row],[PROGRAMAÇÃO CLIENTE]],"mmm"))</f>
        <v>Jan</v>
      </c>
      <c r="BR1599" s="66">
        <f>YEAR(Prog_23[[#This Row],[PROGRAMAÇÃO CLIENTE]])</f>
        <v>1900</v>
      </c>
    </row>
    <row r="1600" spans="1:70" x14ac:dyDescent="0.25">
      <c r="A1600" s="201">
        <f>Prog_23[[#This Row],[CONTEINER]]</f>
        <v>0</v>
      </c>
      <c r="B1600" s="86"/>
      <c r="C16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00" s="44"/>
      <c r="E1600" s="66"/>
      <c r="F1600" s="66"/>
      <c r="G1600" s="66"/>
      <c r="H1600" s="44"/>
      <c r="I1600" s="44"/>
      <c r="J1600" s="66"/>
      <c r="K1600" s="66"/>
      <c r="L1600" s="66"/>
      <c r="M1600" s="66"/>
      <c r="N1600" s="66">
        <f>SUM(Prog_23[[#This Row],[TARA]]+Prog_23[[#This Row],[PESO]])</f>
        <v>0</v>
      </c>
      <c r="O1600" s="44"/>
      <c r="P1600" s="66"/>
      <c r="Q1600" s="66"/>
      <c r="R1600" s="66"/>
      <c r="S1600" s="66"/>
      <c r="T1600" s="138" t="str">
        <f>IFERROR(LOOKUP($S1600,MOTORISTAS!$D$3:$D$916,MOTORISTAS!E$3:$E$916),"")</f>
        <v/>
      </c>
      <c r="U1600" s="138" t="str">
        <f>IFERROR(LOOKUP($S1600,MOTORISTAS!$D$3:$D$916,MOTORISTAS!F$3:$F$916),"")</f>
        <v/>
      </c>
      <c r="V1600" s="66"/>
      <c r="W1600" s="66"/>
      <c r="X1600" s="66"/>
      <c r="Y1600" s="66"/>
      <c r="Z1600" s="66"/>
      <c r="AA1600" s="66"/>
      <c r="AB1600" s="66"/>
      <c r="AC1600" s="66"/>
      <c r="AD1600" s="66"/>
      <c r="AE1600" s="66"/>
      <c r="AF1600" s="44"/>
      <c r="AG1600" s="254">
        <f>Prog_23[[#This Row],[SAÍDA DO CLIENTE]]-Prog_23[[#This Row],[PROGRAMAÇÃO CLIENTE]]</f>
        <v>0</v>
      </c>
      <c r="AH1600" s="44"/>
      <c r="AI1600" s="66"/>
      <c r="AJ1600" s="66"/>
      <c r="AK1600" s="66"/>
      <c r="AL1600" s="66"/>
      <c r="AM1600" s="66"/>
      <c r="AN1600" s="83"/>
      <c r="AO1600" s="83"/>
      <c r="AP1600" s="83"/>
      <c r="AQ1600" s="66"/>
      <c r="AR1600" s="66"/>
      <c r="AS1600" s="66"/>
      <c r="AT1600" s="81"/>
      <c r="AU1600" s="81"/>
      <c r="AV1600" s="81"/>
      <c r="AW1600" s="81"/>
      <c r="AX1600" s="83">
        <f>SUM(Prog_23[[#This Row],[ADIANTAMENTO]]+Prog_23[[#This Row],[SALDO]]+Prog_23[[#This Row],[MARGEM]]+Prog_23[[#This Row],[ESTADIA 1]])</f>
        <v>0</v>
      </c>
      <c r="AY16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00" s="81"/>
      <c r="BA1600" s="81"/>
      <c r="BB1600" s="81">
        <f>Prog_23[[#This Row],[VLR NF]]*0.1%</f>
        <v>0</v>
      </c>
      <c r="BC1600" s="81">
        <f>Prog_23[[#This Row],[VLR NF]]*0.05%</f>
        <v>0</v>
      </c>
      <c r="BD1600" s="81"/>
      <c r="BE1600" s="81"/>
      <c r="BF1600" s="81"/>
      <c r="BG1600" s="81"/>
      <c r="BH1600" s="81"/>
      <c r="BI1600" s="81"/>
      <c r="BJ1600" s="81"/>
      <c r="BK1600" s="81"/>
      <c r="BL1600" s="81"/>
      <c r="BM1600" s="81"/>
      <c r="BN1600" s="66"/>
      <c r="BO1600" s="66"/>
      <c r="BP1600" s="66"/>
      <c r="BQ1600" s="66" t="str">
        <f>PROPER(TEXT(Prog_23[[#This Row],[PROGRAMAÇÃO CLIENTE]],"mmm"))</f>
        <v>Jan</v>
      </c>
      <c r="BR1600" s="66">
        <f>YEAR(Prog_23[[#This Row],[PROGRAMAÇÃO CLIENTE]])</f>
        <v>1900</v>
      </c>
    </row>
    <row r="1601" spans="1:70" x14ac:dyDescent="0.25">
      <c r="A1601" s="200">
        <f>Prog_23[[#This Row],[CONTEINER]]</f>
        <v>0</v>
      </c>
      <c r="B1601" s="86"/>
      <c r="C16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01" s="44"/>
      <c r="E1601" s="66"/>
      <c r="F1601" s="66"/>
      <c r="G1601" s="66"/>
      <c r="H1601" s="44"/>
      <c r="I1601" s="44"/>
      <c r="J1601" s="66"/>
      <c r="K1601" s="66"/>
      <c r="L1601" s="66"/>
      <c r="M1601" s="66"/>
      <c r="N1601" s="66">
        <f>SUM(Prog_23[[#This Row],[TARA]]+Prog_23[[#This Row],[PESO]])</f>
        <v>0</v>
      </c>
      <c r="O1601" s="44"/>
      <c r="P1601" s="66"/>
      <c r="Q1601" s="66"/>
      <c r="R1601" s="66"/>
      <c r="S1601" s="66"/>
      <c r="T1601" s="138" t="str">
        <f>IFERROR(LOOKUP($S1601,MOTORISTAS!$D$3:$D$916,MOTORISTAS!E$3:$E$916),"")</f>
        <v/>
      </c>
      <c r="U1601" s="138" t="str">
        <f>IFERROR(LOOKUP($S1601,MOTORISTAS!$D$3:$D$916,MOTORISTAS!F$3:$F$916),"")</f>
        <v/>
      </c>
      <c r="V1601" s="66"/>
      <c r="W1601" s="66"/>
      <c r="X1601" s="66"/>
      <c r="Y1601" s="66"/>
      <c r="Z1601" s="66"/>
      <c r="AA1601" s="66"/>
      <c r="AB1601" s="66"/>
      <c r="AC1601" s="66"/>
      <c r="AD1601" s="66"/>
      <c r="AE1601" s="66"/>
      <c r="AF1601" s="44"/>
      <c r="AG1601" s="254">
        <f>Prog_23[[#This Row],[SAÍDA DO CLIENTE]]-Prog_23[[#This Row],[PROGRAMAÇÃO CLIENTE]]</f>
        <v>0</v>
      </c>
      <c r="AH1601" s="44"/>
      <c r="AI1601" s="66"/>
      <c r="AJ1601" s="66"/>
      <c r="AK1601" s="66"/>
      <c r="AL1601" s="66"/>
      <c r="AM1601" s="66"/>
      <c r="AN1601" s="83"/>
      <c r="AO1601" s="83"/>
      <c r="AP1601" s="83"/>
      <c r="AQ1601" s="66"/>
      <c r="AR1601" s="66"/>
      <c r="AS1601" s="66"/>
      <c r="AT1601" s="81"/>
      <c r="AU1601" s="81"/>
      <c r="AV1601" s="81"/>
      <c r="AW1601" s="81"/>
      <c r="AX1601" s="83">
        <f>SUM(Prog_23[[#This Row],[ADIANTAMENTO]]+Prog_23[[#This Row],[SALDO]]+Prog_23[[#This Row],[MARGEM]]+Prog_23[[#This Row],[ESTADIA 1]])</f>
        <v>0</v>
      </c>
      <c r="AY16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01" s="81"/>
      <c r="BA1601" s="81"/>
      <c r="BB1601" s="81">
        <f>Prog_23[[#This Row],[VLR NF]]*0.1%</f>
        <v>0</v>
      </c>
      <c r="BC1601" s="81">
        <f>Prog_23[[#This Row],[VLR NF]]*0.05%</f>
        <v>0</v>
      </c>
      <c r="BD1601" s="81"/>
      <c r="BE1601" s="81"/>
      <c r="BF1601" s="81"/>
      <c r="BG1601" s="81"/>
      <c r="BH1601" s="81"/>
      <c r="BI1601" s="81"/>
      <c r="BJ1601" s="81"/>
      <c r="BK1601" s="81"/>
      <c r="BL1601" s="81"/>
      <c r="BM1601" s="81"/>
      <c r="BN1601" s="66"/>
      <c r="BO1601" s="66"/>
      <c r="BP1601" s="66"/>
      <c r="BQ1601" s="66" t="str">
        <f>PROPER(TEXT(Prog_23[[#This Row],[PROGRAMAÇÃO CLIENTE]],"mmm"))</f>
        <v>Jan</v>
      </c>
      <c r="BR1601" s="66">
        <f>YEAR(Prog_23[[#This Row],[PROGRAMAÇÃO CLIENTE]])</f>
        <v>1900</v>
      </c>
    </row>
    <row r="1602" spans="1:70" x14ac:dyDescent="0.25">
      <c r="A1602" s="201">
        <f>Prog_23[[#This Row],[CONTEINER]]</f>
        <v>0</v>
      </c>
      <c r="B1602" s="86"/>
      <c r="C16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02" s="44"/>
      <c r="E1602" s="66"/>
      <c r="F1602" s="66"/>
      <c r="G1602" s="66"/>
      <c r="H1602" s="44"/>
      <c r="I1602" s="44"/>
      <c r="J1602" s="66"/>
      <c r="K1602" s="66"/>
      <c r="L1602" s="66"/>
      <c r="M1602" s="66"/>
      <c r="N1602" s="66">
        <f>SUM(Prog_23[[#This Row],[TARA]]+Prog_23[[#This Row],[PESO]])</f>
        <v>0</v>
      </c>
      <c r="O1602" s="44"/>
      <c r="P1602" s="66"/>
      <c r="Q1602" s="66"/>
      <c r="R1602" s="66"/>
      <c r="S1602" s="66"/>
      <c r="T1602" s="138" t="str">
        <f>IFERROR(LOOKUP($S1602,MOTORISTAS!$D$3:$D$916,MOTORISTAS!E$3:$E$916),"")</f>
        <v/>
      </c>
      <c r="U1602" s="138" t="str">
        <f>IFERROR(LOOKUP($S1602,MOTORISTAS!$D$3:$D$916,MOTORISTAS!F$3:$F$916),"")</f>
        <v/>
      </c>
      <c r="V1602" s="66"/>
      <c r="W1602" s="66"/>
      <c r="X1602" s="66"/>
      <c r="Y1602" s="66"/>
      <c r="Z1602" s="66"/>
      <c r="AA1602" s="66"/>
      <c r="AB1602" s="66"/>
      <c r="AC1602" s="66"/>
      <c r="AD1602" s="66"/>
      <c r="AE1602" s="66"/>
      <c r="AF1602" s="44"/>
      <c r="AG1602" s="254">
        <f>Prog_23[[#This Row],[SAÍDA DO CLIENTE]]-Prog_23[[#This Row],[PROGRAMAÇÃO CLIENTE]]</f>
        <v>0</v>
      </c>
      <c r="AH1602" s="44"/>
      <c r="AI1602" s="66"/>
      <c r="AJ1602" s="66"/>
      <c r="AK1602" s="66"/>
      <c r="AL1602" s="66"/>
      <c r="AM1602" s="66"/>
      <c r="AN1602" s="83"/>
      <c r="AO1602" s="83"/>
      <c r="AP1602" s="83"/>
      <c r="AQ1602" s="66"/>
      <c r="AR1602" s="66"/>
      <c r="AS1602" s="66"/>
      <c r="AT1602" s="81"/>
      <c r="AU1602" s="81"/>
      <c r="AV1602" s="81"/>
      <c r="AW1602" s="81"/>
      <c r="AX1602" s="83">
        <f>SUM(Prog_23[[#This Row],[ADIANTAMENTO]]+Prog_23[[#This Row],[SALDO]]+Prog_23[[#This Row],[MARGEM]]+Prog_23[[#This Row],[ESTADIA 1]])</f>
        <v>0</v>
      </c>
      <c r="AY16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02" s="81"/>
      <c r="BA1602" s="81"/>
      <c r="BB1602" s="81">
        <f>Prog_23[[#This Row],[VLR NF]]*0.1%</f>
        <v>0</v>
      </c>
      <c r="BC1602" s="81">
        <f>Prog_23[[#This Row],[VLR NF]]*0.05%</f>
        <v>0</v>
      </c>
      <c r="BD1602" s="81"/>
      <c r="BE1602" s="81"/>
      <c r="BF1602" s="81"/>
      <c r="BG1602" s="81"/>
      <c r="BH1602" s="81"/>
      <c r="BI1602" s="81"/>
      <c r="BJ1602" s="81"/>
      <c r="BK1602" s="81"/>
      <c r="BL1602" s="81"/>
      <c r="BM1602" s="81"/>
      <c r="BN1602" s="66"/>
      <c r="BO1602" s="66"/>
      <c r="BP1602" s="66"/>
      <c r="BQ1602" s="66" t="str">
        <f>PROPER(TEXT(Prog_23[[#This Row],[PROGRAMAÇÃO CLIENTE]],"mmm"))</f>
        <v>Jan</v>
      </c>
      <c r="BR1602" s="66">
        <f>YEAR(Prog_23[[#This Row],[PROGRAMAÇÃO CLIENTE]])</f>
        <v>1900</v>
      </c>
    </row>
    <row r="1603" spans="1:70" x14ac:dyDescent="0.25">
      <c r="A1603" s="200">
        <f>Prog_23[[#This Row],[CONTEINER]]</f>
        <v>0</v>
      </c>
      <c r="B1603" s="86"/>
      <c r="C16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03" s="44"/>
      <c r="E1603" s="66"/>
      <c r="F1603" s="66"/>
      <c r="G1603" s="66"/>
      <c r="H1603" s="44"/>
      <c r="I1603" s="44"/>
      <c r="J1603" s="66"/>
      <c r="K1603" s="66"/>
      <c r="L1603" s="66"/>
      <c r="M1603" s="66"/>
      <c r="N1603" s="66">
        <f>SUM(Prog_23[[#This Row],[TARA]]+Prog_23[[#This Row],[PESO]])</f>
        <v>0</v>
      </c>
      <c r="O1603" s="44"/>
      <c r="P1603" s="66"/>
      <c r="Q1603" s="66"/>
      <c r="R1603" s="66"/>
      <c r="S1603" s="66"/>
      <c r="T1603" s="138" t="str">
        <f>IFERROR(LOOKUP($S1603,MOTORISTAS!$D$3:$D$916,MOTORISTAS!E$3:$E$916),"")</f>
        <v/>
      </c>
      <c r="U1603" s="138" t="str">
        <f>IFERROR(LOOKUP($S1603,MOTORISTAS!$D$3:$D$916,MOTORISTAS!F$3:$F$916),"")</f>
        <v/>
      </c>
      <c r="V1603" s="66"/>
      <c r="W1603" s="66"/>
      <c r="X1603" s="66"/>
      <c r="Y1603" s="66"/>
      <c r="Z1603" s="66"/>
      <c r="AA1603" s="66"/>
      <c r="AB1603" s="66"/>
      <c r="AC1603" s="66"/>
      <c r="AD1603" s="66"/>
      <c r="AE1603" s="66"/>
      <c r="AF1603" s="44"/>
      <c r="AG1603" s="254">
        <f>Prog_23[[#This Row],[SAÍDA DO CLIENTE]]-Prog_23[[#This Row],[PROGRAMAÇÃO CLIENTE]]</f>
        <v>0</v>
      </c>
      <c r="AH1603" s="44"/>
      <c r="AI1603" s="66"/>
      <c r="AJ1603" s="66"/>
      <c r="AK1603" s="66"/>
      <c r="AL1603" s="66"/>
      <c r="AM1603" s="66"/>
      <c r="AN1603" s="83"/>
      <c r="AO1603" s="83"/>
      <c r="AP1603" s="83"/>
      <c r="AQ1603" s="66"/>
      <c r="AR1603" s="66"/>
      <c r="AS1603" s="66"/>
      <c r="AT1603" s="81"/>
      <c r="AU1603" s="81"/>
      <c r="AV1603" s="81"/>
      <c r="AW1603" s="81"/>
      <c r="AX1603" s="83">
        <f>SUM(Prog_23[[#This Row],[ADIANTAMENTO]]+Prog_23[[#This Row],[SALDO]]+Prog_23[[#This Row],[MARGEM]]+Prog_23[[#This Row],[ESTADIA 1]])</f>
        <v>0</v>
      </c>
      <c r="AY16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03" s="81"/>
      <c r="BA1603" s="81"/>
      <c r="BB1603" s="81">
        <f>Prog_23[[#This Row],[VLR NF]]*0.1%</f>
        <v>0</v>
      </c>
      <c r="BC1603" s="81">
        <f>Prog_23[[#This Row],[VLR NF]]*0.05%</f>
        <v>0</v>
      </c>
      <c r="BD1603" s="81"/>
      <c r="BE1603" s="81"/>
      <c r="BF1603" s="81"/>
      <c r="BG1603" s="81"/>
      <c r="BH1603" s="81"/>
      <c r="BI1603" s="81"/>
      <c r="BJ1603" s="81"/>
      <c r="BK1603" s="81"/>
      <c r="BL1603" s="81"/>
      <c r="BM1603" s="81"/>
      <c r="BN1603" s="66"/>
      <c r="BO1603" s="66"/>
      <c r="BP1603" s="66"/>
      <c r="BQ1603" s="66" t="str">
        <f>PROPER(TEXT(Prog_23[[#This Row],[PROGRAMAÇÃO CLIENTE]],"mmm"))</f>
        <v>Jan</v>
      </c>
      <c r="BR1603" s="66">
        <f>YEAR(Prog_23[[#This Row],[PROGRAMAÇÃO CLIENTE]])</f>
        <v>1900</v>
      </c>
    </row>
    <row r="1604" spans="1:70" x14ac:dyDescent="0.25">
      <c r="A1604" s="201">
        <f>Prog_23[[#This Row],[CONTEINER]]</f>
        <v>0</v>
      </c>
      <c r="B1604" s="86"/>
      <c r="C16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04" s="44"/>
      <c r="E1604" s="66"/>
      <c r="F1604" s="66"/>
      <c r="G1604" s="66"/>
      <c r="H1604" s="44"/>
      <c r="I1604" s="44"/>
      <c r="J1604" s="66"/>
      <c r="K1604" s="66"/>
      <c r="L1604" s="66"/>
      <c r="M1604" s="66"/>
      <c r="N1604" s="66">
        <f>SUM(Prog_23[[#This Row],[TARA]]+Prog_23[[#This Row],[PESO]])</f>
        <v>0</v>
      </c>
      <c r="O1604" s="44"/>
      <c r="P1604" s="66"/>
      <c r="Q1604" s="66"/>
      <c r="R1604" s="66"/>
      <c r="S1604" s="66"/>
      <c r="T1604" s="138" t="str">
        <f>IFERROR(LOOKUP($S1604,MOTORISTAS!$D$3:$D$916,MOTORISTAS!E$3:$E$916),"")</f>
        <v/>
      </c>
      <c r="U1604" s="138" t="str">
        <f>IFERROR(LOOKUP($S1604,MOTORISTAS!$D$3:$D$916,MOTORISTAS!F$3:$F$916),"")</f>
        <v/>
      </c>
      <c r="V1604" s="66"/>
      <c r="W1604" s="66"/>
      <c r="X1604" s="66"/>
      <c r="Y1604" s="66"/>
      <c r="Z1604" s="66"/>
      <c r="AA1604" s="66"/>
      <c r="AB1604" s="66"/>
      <c r="AC1604" s="66"/>
      <c r="AD1604" s="66"/>
      <c r="AE1604" s="66"/>
      <c r="AF1604" s="44"/>
      <c r="AG1604" s="254">
        <f>Prog_23[[#This Row],[SAÍDA DO CLIENTE]]-Prog_23[[#This Row],[PROGRAMAÇÃO CLIENTE]]</f>
        <v>0</v>
      </c>
      <c r="AH1604" s="44"/>
      <c r="AI1604" s="66"/>
      <c r="AJ1604" s="66"/>
      <c r="AK1604" s="66"/>
      <c r="AL1604" s="66"/>
      <c r="AM1604" s="66"/>
      <c r="AN1604" s="83"/>
      <c r="AO1604" s="83"/>
      <c r="AP1604" s="83"/>
      <c r="AQ1604" s="66"/>
      <c r="AR1604" s="66"/>
      <c r="AS1604" s="66"/>
      <c r="AT1604" s="81"/>
      <c r="AU1604" s="81"/>
      <c r="AV1604" s="81"/>
      <c r="AW1604" s="81"/>
      <c r="AX1604" s="83">
        <f>SUM(Prog_23[[#This Row],[ADIANTAMENTO]]+Prog_23[[#This Row],[SALDO]]+Prog_23[[#This Row],[MARGEM]]+Prog_23[[#This Row],[ESTADIA 1]])</f>
        <v>0</v>
      </c>
      <c r="AY16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04" s="81"/>
      <c r="BA1604" s="81"/>
      <c r="BB1604" s="81">
        <f>Prog_23[[#This Row],[VLR NF]]*0.1%</f>
        <v>0</v>
      </c>
      <c r="BC1604" s="81">
        <f>Prog_23[[#This Row],[VLR NF]]*0.05%</f>
        <v>0</v>
      </c>
      <c r="BD1604" s="81"/>
      <c r="BE1604" s="81"/>
      <c r="BF1604" s="81"/>
      <c r="BG1604" s="81"/>
      <c r="BH1604" s="81"/>
      <c r="BI1604" s="81"/>
      <c r="BJ1604" s="81"/>
      <c r="BK1604" s="81"/>
      <c r="BL1604" s="81"/>
      <c r="BM1604" s="81"/>
      <c r="BN1604" s="66"/>
      <c r="BO1604" s="66"/>
      <c r="BP1604" s="66"/>
      <c r="BQ1604" s="66" t="str">
        <f>PROPER(TEXT(Prog_23[[#This Row],[PROGRAMAÇÃO CLIENTE]],"mmm"))</f>
        <v>Jan</v>
      </c>
      <c r="BR1604" s="66">
        <f>YEAR(Prog_23[[#This Row],[PROGRAMAÇÃO CLIENTE]])</f>
        <v>1900</v>
      </c>
    </row>
    <row r="1605" spans="1:70" x14ac:dyDescent="0.25">
      <c r="A1605" s="200">
        <f>Prog_23[[#This Row],[CONTEINER]]</f>
        <v>0</v>
      </c>
      <c r="B1605" s="86"/>
      <c r="C16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05" s="44"/>
      <c r="E1605" s="66"/>
      <c r="F1605" s="66"/>
      <c r="G1605" s="66"/>
      <c r="H1605" s="44"/>
      <c r="I1605" s="44"/>
      <c r="J1605" s="66"/>
      <c r="K1605" s="66"/>
      <c r="L1605" s="66"/>
      <c r="M1605" s="66"/>
      <c r="N1605" s="66">
        <f>SUM(Prog_23[[#This Row],[TARA]]+Prog_23[[#This Row],[PESO]])</f>
        <v>0</v>
      </c>
      <c r="O1605" s="44"/>
      <c r="P1605" s="66"/>
      <c r="Q1605" s="66"/>
      <c r="R1605" s="66"/>
      <c r="S1605" s="66"/>
      <c r="T1605" s="138" t="str">
        <f>IFERROR(LOOKUP($S1605,MOTORISTAS!$D$3:$D$916,MOTORISTAS!E$3:$E$916),"")</f>
        <v/>
      </c>
      <c r="U1605" s="138" t="str">
        <f>IFERROR(LOOKUP($S1605,MOTORISTAS!$D$3:$D$916,MOTORISTAS!F$3:$F$916),"")</f>
        <v/>
      </c>
      <c r="V1605" s="66"/>
      <c r="W1605" s="66"/>
      <c r="X1605" s="66"/>
      <c r="Y1605" s="66"/>
      <c r="Z1605" s="66"/>
      <c r="AA1605" s="66"/>
      <c r="AB1605" s="66"/>
      <c r="AC1605" s="66"/>
      <c r="AD1605" s="66"/>
      <c r="AE1605" s="66"/>
      <c r="AF1605" s="44"/>
      <c r="AG1605" s="254">
        <f>Prog_23[[#This Row],[SAÍDA DO CLIENTE]]-Prog_23[[#This Row],[PROGRAMAÇÃO CLIENTE]]</f>
        <v>0</v>
      </c>
      <c r="AH1605" s="44"/>
      <c r="AI1605" s="66"/>
      <c r="AJ1605" s="66"/>
      <c r="AK1605" s="66"/>
      <c r="AL1605" s="66"/>
      <c r="AM1605" s="66"/>
      <c r="AN1605" s="83"/>
      <c r="AO1605" s="83"/>
      <c r="AP1605" s="83"/>
      <c r="AQ1605" s="66"/>
      <c r="AR1605" s="66"/>
      <c r="AS1605" s="66"/>
      <c r="AT1605" s="81"/>
      <c r="AU1605" s="81"/>
      <c r="AV1605" s="81"/>
      <c r="AW1605" s="81"/>
      <c r="AX1605" s="83">
        <f>SUM(Prog_23[[#This Row],[ADIANTAMENTO]]+Prog_23[[#This Row],[SALDO]]+Prog_23[[#This Row],[MARGEM]]+Prog_23[[#This Row],[ESTADIA 1]])</f>
        <v>0</v>
      </c>
      <c r="AY16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05" s="81"/>
      <c r="BA1605" s="81"/>
      <c r="BB1605" s="81">
        <f>Prog_23[[#This Row],[VLR NF]]*0.1%</f>
        <v>0</v>
      </c>
      <c r="BC1605" s="81">
        <f>Prog_23[[#This Row],[VLR NF]]*0.05%</f>
        <v>0</v>
      </c>
      <c r="BD1605" s="81"/>
      <c r="BE1605" s="81"/>
      <c r="BF1605" s="81"/>
      <c r="BG1605" s="81"/>
      <c r="BH1605" s="81"/>
      <c r="BI1605" s="81"/>
      <c r="BJ1605" s="81"/>
      <c r="BK1605" s="81"/>
      <c r="BL1605" s="81"/>
      <c r="BM1605" s="81"/>
      <c r="BN1605" s="66"/>
      <c r="BO1605" s="66"/>
      <c r="BP1605" s="66"/>
      <c r="BQ1605" s="66" t="str">
        <f>PROPER(TEXT(Prog_23[[#This Row],[PROGRAMAÇÃO CLIENTE]],"mmm"))</f>
        <v>Jan</v>
      </c>
      <c r="BR1605" s="66">
        <f>YEAR(Prog_23[[#This Row],[PROGRAMAÇÃO CLIENTE]])</f>
        <v>1900</v>
      </c>
    </row>
    <row r="1606" spans="1:70" x14ac:dyDescent="0.25">
      <c r="A1606" s="201">
        <f>Prog_23[[#This Row],[CONTEINER]]</f>
        <v>0</v>
      </c>
      <c r="B1606" s="86"/>
      <c r="C16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06" s="44"/>
      <c r="E1606" s="66"/>
      <c r="F1606" s="66"/>
      <c r="G1606" s="66"/>
      <c r="H1606" s="44"/>
      <c r="I1606" s="44"/>
      <c r="J1606" s="66"/>
      <c r="K1606" s="66"/>
      <c r="L1606" s="66"/>
      <c r="M1606" s="66"/>
      <c r="N1606" s="66">
        <f>SUM(Prog_23[[#This Row],[TARA]]+Prog_23[[#This Row],[PESO]])</f>
        <v>0</v>
      </c>
      <c r="O1606" s="44"/>
      <c r="P1606" s="66"/>
      <c r="Q1606" s="66"/>
      <c r="R1606" s="66"/>
      <c r="S1606" s="66"/>
      <c r="T1606" s="138" t="str">
        <f>IFERROR(LOOKUP($S1606,MOTORISTAS!$D$3:$D$916,MOTORISTAS!E$3:$E$916),"")</f>
        <v/>
      </c>
      <c r="U1606" s="138" t="str">
        <f>IFERROR(LOOKUP($S1606,MOTORISTAS!$D$3:$D$916,MOTORISTAS!F$3:$F$916),"")</f>
        <v/>
      </c>
      <c r="V1606" s="66"/>
      <c r="W1606" s="66"/>
      <c r="X1606" s="66"/>
      <c r="Y1606" s="66"/>
      <c r="Z1606" s="66"/>
      <c r="AA1606" s="66"/>
      <c r="AB1606" s="66"/>
      <c r="AC1606" s="66"/>
      <c r="AD1606" s="66"/>
      <c r="AE1606" s="66"/>
      <c r="AF1606" s="44"/>
      <c r="AG1606" s="254">
        <f>Prog_23[[#This Row],[SAÍDA DO CLIENTE]]-Prog_23[[#This Row],[PROGRAMAÇÃO CLIENTE]]</f>
        <v>0</v>
      </c>
      <c r="AH1606" s="44"/>
      <c r="AI1606" s="66"/>
      <c r="AJ1606" s="66"/>
      <c r="AK1606" s="66"/>
      <c r="AL1606" s="66"/>
      <c r="AM1606" s="66"/>
      <c r="AN1606" s="83"/>
      <c r="AO1606" s="83"/>
      <c r="AP1606" s="83"/>
      <c r="AQ1606" s="66"/>
      <c r="AR1606" s="66"/>
      <c r="AS1606" s="66"/>
      <c r="AT1606" s="81"/>
      <c r="AU1606" s="81"/>
      <c r="AV1606" s="81"/>
      <c r="AW1606" s="81"/>
      <c r="AX1606" s="83">
        <f>SUM(Prog_23[[#This Row],[ADIANTAMENTO]]+Prog_23[[#This Row],[SALDO]]+Prog_23[[#This Row],[MARGEM]]+Prog_23[[#This Row],[ESTADIA 1]])</f>
        <v>0</v>
      </c>
      <c r="AY16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06" s="81"/>
      <c r="BA1606" s="81"/>
      <c r="BB1606" s="81">
        <f>Prog_23[[#This Row],[VLR NF]]*0.1%</f>
        <v>0</v>
      </c>
      <c r="BC1606" s="81">
        <f>Prog_23[[#This Row],[VLR NF]]*0.05%</f>
        <v>0</v>
      </c>
      <c r="BD1606" s="81"/>
      <c r="BE1606" s="81"/>
      <c r="BF1606" s="81"/>
      <c r="BG1606" s="81"/>
      <c r="BH1606" s="81"/>
      <c r="BI1606" s="81"/>
      <c r="BJ1606" s="81"/>
      <c r="BK1606" s="81"/>
      <c r="BL1606" s="81"/>
      <c r="BM1606" s="81"/>
      <c r="BN1606" s="66"/>
      <c r="BO1606" s="66"/>
      <c r="BP1606" s="66"/>
      <c r="BQ1606" s="66" t="str">
        <f>PROPER(TEXT(Prog_23[[#This Row],[PROGRAMAÇÃO CLIENTE]],"mmm"))</f>
        <v>Jan</v>
      </c>
      <c r="BR1606" s="66">
        <f>YEAR(Prog_23[[#This Row],[PROGRAMAÇÃO CLIENTE]])</f>
        <v>1900</v>
      </c>
    </row>
    <row r="1607" spans="1:70" x14ac:dyDescent="0.25">
      <c r="A1607" s="200">
        <f>Prog_23[[#This Row],[CONTEINER]]</f>
        <v>0</v>
      </c>
      <c r="B1607" s="86"/>
      <c r="C16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07" s="44"/>
      <c r="E1607" s="66"/>
      <c r="F1607" s="66"/>
      <c r="G1607" s="66"/>
      <c r="H1607" s="44"/>
      <c r="I1607" s="44"/>
      <c r="J1607" s="66"/>
      <c r="K1607" s="66"/>
      <c r="L1607" s="66"/>
      <c r="M1607" s="66"/>
      <c r="N1607" s="66">
        <f>SUM(Prog_23[[#This Row],[TARA]]+Prog_23[[#This Row],[PESO]])</f>
        <v>0</v>
      </c>
      <c r="O1607" s="44"/>
      <c r="P1607" s="66"/>
      <c r="Q1607" s="66"/>
      <c r="R1607" s="66"/>
      <c r="S1607" s="66"/>
      <c r="T1607" s="138" t="str">
        <f>IFERROR(LOOKUP($S1607,MOTORISTAS!$D$3:$D$916,MOTORISTAS!E$3:$E$916),"")</f>
        <v/>
      </c>
      <c r="U1607" s="138" t="str">
        <f>IFERROR(LOOKUP($S1607,MOTORISTAS!$D$3:$D$916,MOTORISTAS!F$3:$F$916),"")</f>
        <v/>
      </c>
      <c r="V1607" s="66"/>
      <c r="W1607" s="66"/>
      <c r="X1607" s="66"/>
      <c r="Y1607" s="66"/>
      <c r="Z1607" s="66"/>
      <c r="AA1607" s="66"/>
      <c r="AB1607" s="66"/>
      <c r="AC1607" s="66"/>
      <c r="AD1607" s="66"/>
      <c r="AE1607" s="66"/>
      <c r="AF1607" s="44"/>
      <c r="AG1607" s="254">
        <f>Prog_23[[#This Row],[SAÍDA DO CLIENTE]]-Prog_23[[#This Row],[PROGRAMAÇÃO CLIENTE]]</f>
        <v>0</v>
      </c>
      <c r="AH1607" s="44"/>
      <c r="AI1607" s="66"/>
      <c r="AJ1607" s="66"/>
      <c r="AK1607" s="66"/>
      <c r="AL1607" s="66"/>
      <c r="AM1607" s="66"/>
      <c r="AN1607" s="83"/>
      <c r="AO1607" s="83"/>
      <c r="AP1607" s="83"/>
      <c r="AQ1607" s="66"/>
      <c r="AR1607" s="66"/>
      <c r="AS1607" s="66"/>
      <c r="AT1607" s="81"/>
      <c r="AU1607" s="81"/>
      <c r="AV1607" s="81"/>
      <c r="AW1607" s="81"/>
      <c r="AX1607" s="83">
        <f>SUM(Prog_23[[#This Row],[ADIANTAMENTO]]+Prog_23[[#This Row],[SALDO]]+Prog_23[[#This Row],[MARGEM]]+Prog_23[[#This Row],[ESTADIA 1]])</f>
        <v>0</v>
      </c>
      <c r="AY16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07" s="81"/>
      <c r="BA1607" s="81"/>
      <c r="BB1607" s="81">
        <f>Prog_23[[#This Row],[VLR NF]]*0.1%</f>
        <v>0</v>
      </c>
      <c r="BC1607" s="81">
        <f>Prog_23[[#This Row],[VLR NF]]*0.05%</f>
        <v>0</v>
      </c>
      <c r="BD1607" s="81"/>
      <c r="BE1607" s="81"/>
      <c r="BF1607" s="81"/>
      <c r="BG1607" s="81"/>
      <c r="BH1607" s="81"/>
      <c r="BI1607" s="81"/>
      <c r="BJ1607" s="81"/>
      <c r="BK1607" s="81"/>
      <c r="BL1607" s="81"/>
      <c r="BM1607" s="81"/>
      <c r="BN1607" s="66"/>
      <c r="BO1607" s="66"/>
      <c r="BP1607" s="66"/>
      <c r="BQ1607" s="66" t="str">
        <f>PROPER(TEXT(Prog_23[[#This Row],[PROGRAMAÇÃO CLIENTE]],"mmm"))</f>
        <v>Jan</v>
      </c>
      <c r="BR1607" s="66">
        <f>YEAR(Prog_23[[#This Row],[PROGRAMAÇÃO CLIENTE]])</f>
        <v>1900</v>
      </c>
    </row>
    <row r="1608" spans="1:70" x14ac:dyDescent="0.25">
      <c r="A1608" s="201">
        <f>Prog_23[[#This Row],[CONTEINER]]</f>
        <v>0</v>
      </c>
      <c r="B1608" s="86"/>
      <c r="C16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08" s="44"/>
      <c r="E1608" s="66"/>
      <c r="F1608" s="66"/>
      <c r="G1608" s="66"/>
      <c r="H1608" s="44"/>
      <c r="I1608" s="44"/>
      <c r="J1608" s="66"/>
      <c r="K1608" s="66"/>
      <c r="L1608" s="66"/>
      <c r="M1608" s="66"/>
      <c r="N1608" s="66">
        <f>SUM(Prog_23[[#This Row],[TARA]]+Prog_23[[#This Row],[PESO]])</f>
        <v>0</v>
      </c>
      <c r="O1608" s="44"/>
      <c r="P1608" s="66"/>
      <c r="Q1608" s="66"/>
      <c r="R1608" s="66"/>
      <c r="S1608" s="66"/>
      <c r="T1608" s="138" t="str">
        <f>IFERROR(LOOKUP($S1608,MOTORISTAS!$D$3:$D$916,MOTORISTAS!E$3:$E$916),"")</f>
        <v/>
      </c>
      <c r="U1608" s="138" t="str">
        <f>IFERROR(LOOKUP($S1608,MOTORISTAS!$D$3:$D$916,MOTORISTAS!F$3:$F$916),"")</f>
        <v/>
      </c>
      <c r="V1608" s="66"/>
      <c r="W1608" s="66"/>
      <c r="X1608" s="66"/>
      <c r="Y1608" s="66"/>
      <c r="Z1608" s="66"/>
      <c r="AA1608" s="66"/>
      <c r="AB1608" s="66"/>
      <c r="AC1608" s="66"/>
      <c r="AD1608" s="66"/>
      <c r="AE1608" s="66"/>
      <c r="AF1608" s="44"/>
      <c r="AG1608" s="254">
        <f>Prog_23[[#This Row],[SAÍDA DO CLIENTE]]-Prog_23[[#This Row],[PROGRAMAÇÃO CLIENTE]]</f>
        <v>0</v>
      </c>
      <c r="AH1608" s="44"/>
      <c r="AI1608" s="66"/>
      <c r="AJ1608" s="66"/>
      <c r="AK1608" s="66"/>
      <c r="AL1608" s="66"/>
      <c r="AM1608" s="66"/>
      <c r="AN1608" s="83"/>
      <c r="AO1608" s="83"/>
      <c r="AP1608" s="83"/>
      <c r="AQ1608" s="66"/>
      <c r="AR1608" s="66"/>
      <c r="AS1608" s="66"/>
      <c r="AT1608" s="81"/>
      <c r="AU1608" s="81"/>
      <c r="AV1608" s="81"/>
      <c r="AW1608" s="81"/>
      <c r="AX1608" s="83">
        <f>SUM(Prog_23[[#This Row],[ADIANTAMENTO]]+Prog_23[[#This Row],[SALDO]]+Prog_23[[#This Row],[MARGEM]]+Prog_23[[#This Row],[ESTADIA 1]])</f>
        <v>0</v>
      </c>
      <c r="AY16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08" s="81"/>
      <c r="BA1608" s="81"/>
      <c r="BB1608" s="81">
        <f>Prog_23[[#This Row],[VLR NF]]*0.1%</f>
        <v>0</v>
      </c>
      <c r="BC1608" s="81">
        <f>Prog_23[[#This Row],[VLR NF]]*0.05%</f>
        <v>0</v>
      </c>
      <c r="BD1608" s="81"/>
      <c r="BE1608" s="81"/>
      <c r="BF1608" s="81"/>
      <c r="BG1608" s="81"/>
      <c r="BH1608" s="81"/>
      <c r="BI1608" s="81"/>
      <c r="BJ1608" s="81"/>
      <c r="BK1608" s="81"/>
      <c r="BL1608" s="81"/>
      <c r="BM1608" s="81"/>
      <c r="BN1608" s="66"/>
      <c r="BO1608" s="66"/>
      <c r="BP1608" s="66"/>
      <c r="BQ1608" s="66" t="str">
        <f>PROPER(TEXT(Prog_23[[#This Row],[PROGRAMAÇÃO CLIENTE]],"mmm"))</f>
        <v>Jan</v>
      </c>
      <c r="BR1608" s="66">
        <f>YEAR(Prog_23[[#This Row],[PROGRAMAÇÃO CLIENTE]])</f>
        <v>1900</v>
      </c>
    </row>
    <row r="1609" spans="1:70" x14ac:dyDescent="0.25">
      <c r="A1609" s="200">
        <f>Prog_23[[#This Row],[CONTEINER]]</f>
        <v>0</v>
      </c>
      <c r="B1609" s="86"/>
      <c r="C16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09" s="44"/>
      <c r="E1609" s="66"/>
      <c r="F1609" s="66"/>
      <c r="G1609" s="66"/>
      <c r="H1609" s="44"/>
      <c r="I1609" s="44"/>
      <c r="J1609" s="66"/>
      <c r="K1609" s="66"/>
      <c r="L1609" s="66"/>
      <c r="M1609" s="66"/>
      <c r="N1609" s="66">
        <f>SUM(Prog_23[[#This Row],[TARA]]+Prog_23[[#This Row],[PESO]])</f>
        <v>0</v>
      </c>
      <c r="O1609" s="44"/>
      <c r="P1609" s="66"/>
      <c r="Q1609" s="66"/>
      <c r="R1609" s="66"/>
      <c r="S1609" s="66"/>
      <c r="T1609" s="138" t="str">
        <f>IFERROR(LOOKUP($S1609,MOTORISTAS!$D$3:$D$916,MOTORISTAS!E$3:$E$916),"")</f>
        <v/>
      </c>
      <c r="U1609" s="138" t="str">
        <f>IFERROR(LOOKUP($S1609,MOTORISTAS!$D$3:$D$916,MOTORISTAS!F$3:$F$916),"")</f>
        <v/>
      </c>
      <c r="V1609" s="66"/>
      <c r="W1609" s="66"/>
      <c r="X1609" s="66"/>
      <c r="Y1609" s="66"/>
      <c r="Z1609" s="66"/>
      <c r="AA1609" s="66"/>
      <c r="AB1609" s="66"/>
      <c r="AC1609" s="66"/>
      <c r="AD1609" s="66"/>
      <c r="AE1609" s="66"/>
      <c r="AF1609" s="44"/>
      <c r="AG1609" s="254">
        <f>Prog_23[[#This Row],[SAÍDA DO CLIENTE]]-Prog_23[[#This Row],[PROGRAMAÇÃO CLIENTE]]</f>
        <v>0</v>
      </c>
      <c r="AH1609" s="44"/>
      <c r="AI1609" s="66"/>
      <c r="AJ1609" s="66"/>
      <c r="AK1609" s="66"/>
      <c r="AL1609" s="66"/>
      <c r="AM1609" s="66"/>
      <c r="AN1609" s="83"/>
      <c r="AO1609" s="83"/>
      <c r="AP1609" s="83"/>
      <c r="AQ1609" s="66"/>
      <c r="AR1609" s="66"/>
      <c r="AS1609" s="66"/>
      <c r="AT1609" s="81"/>
      <c r="AU1609" s="81"/>
      <c r="AV1609" s="81"/>
      <c r="AW1609" s="81"/>
      <c r="AX1609" s="83">
        <f>SUM(Prog_23[[#This Row],[ADIANTAMENTO]]+Prog_23[[#This Row],[SALDO]]+Prog_23[[#This Row],[MARGEM]]+Prog_23[[#This Row],[ESTADIA 1]])</f>
        <v>0</v>
      </c>
      <c r="AY16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09" s="81"/>
      <c r="BA1609" s="81"/>
      <c r="BB1609" s="81">
        <f>Prog_23[[#This Row],[VLR NF]]*0.1%</f>
        <v>0</v>
      </c>
      <c r="BC1609" s="81">
        <f>Prog_23[[#This Row],[VLR NF]]*0.05%</f>
        <v>0</v>
      </c>
      <c r="BD1609" s="81"/>
      <c r="BE1609" s="81"/>
      <c r="BF1609" s="81"/>
      <c r="BG1609" s="81"/>
      <c r="BH1609" s="81"/>
      <c r="BI1609" s="81"/>
      <c r="BJ1609" s="81"/>
      <c r="BK1609" s="81"/>
      <c r="BL1609" s="81"/>
      <c r="BM1609" s="81"/>
      <c r="BN1609" s="66"/>
      <c r="BO1609" s="66"/>
      <c r="BP1609" s="66"/>
      <c r="BQ1609" s="66" t="str">
        <f>PROPER(TEXT(Prog_23[[#This Row],[PROGRAMAÇÃO CLIENTE]],"mmm"))</f>
        <v>Jan</v>
      </c>
      <c r="BR1609" s="66">
        <f>YEAR(Prog_23[[#This Row],[PROGRAMAÇÃO CLIENTE]])</f>
        <v>1900</v>
      </c>
    </row>
    <row r="1610" spans="1:70" x14ac:dyDescent="0.25">
      <c r="A1610" s="201">
        <f>Prog_23[[#This Row],[CONTEINER]]</f>
        <v>0</v>
      </c>
      <c r="B1610" s="86"/>
      <c r="C16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10" s="44"/>
      <c r="E1610" s="66"/>
      <c r="F1610" s="66"/>
      <c r="G1610" s="66"/>
      <c r="H1610" s="44"/>
      <c r="I1610" s="44"/>
      <c r="J1610" s="66"/>
      <c r="K1610" s="66"/>
      <c r="L1610" s="66"/>
      <c r="M1610" s="66"/>
      <c r="N1610" s="66">
        <f>SUM(Prog_23[[#This Row],[TARA]]+Prog_23[[#This Row],[PESO]])</f>
        <v>0</v>
      </c>
      <c r="O1610" s="44"/>
      <c r="P1610" s="66"/>
      <c r="Q1610" s="66"/>
      <c r="R1610" s="66"/>
      <c r="S1610" s="66"/>
      <c r="T1610" s="138" t="str">
        <f>IFERROR(LOOKUP($S1610,MOTORISTAS!$D$3:$D$916,MOTORISTAS!E$3:$E$916),"")</f>
        <v/>
      </c>
      <c r="U1610" s="138" t="str">
        <f>IFERROR(LOOKUP($S1610,MOTORISTAS!$D$3:$D$916,MOTORISTAS!F$3:$F$916),"")</f>
        <v/>
      </c>
      <c r="V1610" s="66"/>
      <c r="W1610" s="66"/>
      <c r="X1610" s="66"/>
      <c r="Y1610" s="66"/>
      <c r="Z1610" s="66"/>
      <c r="AA1610" s="66"/>
      <c r="AB1610" s="66"/>
      <c r="AC1610" s="66"/>
      <c r="AD1610" s="66"/>
      <c r="AE1610" s="66"/>
      <c r="AF1610" s="44"/>
      <c r="AG1610" s="254">
        <f>Prog_23[[#This Row],[SAÍDA DO CLIENTE]]-Prog_23[[#This Row],[PROGRAMAÇÃO CLIENTE]]</f>
        <v>0</v>
      </c>
      <c r="AH1610" s="44"/>
      <c r="AI1610" s="66"/>
      <c r="AJ1610" s="66"/>
      <c r="AK1610" s="66"/>
      <c r="AL1610" s="66"/>
      <c r="AM1610" s="66"/>
      <c r="AN1610" s="83"/>
      <c r="AO1610" s="83"/>
      <c r="AP1610" s="83"/>
      <c r="AQ1610" s="66"/>
      <c r="AR1610" s="66"/>
      <c r="AS1610" s="66"/>
      <c r="AT1610" s="81"/>
      <c r="AU1610" s="81"/>
      <c r="AV1610" s="81"/>
      <c r="AW1610" s="81"/>
      <c r="AX1610" s="83">
        <f>SUM(Prog_23[[#This Row],[ADIANTAMENTO]]+Prog_23[[#This Row],[SALDO]]+Prog_23[[#This Row],[MARGEM]]+Prog_23[[#This Row],[ESTADIA 1]])</f>
        <v>0</v>
      </c>
      <c r="AY16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10" s="81"/>
      <c r="BA1610" s="81"/>
      <c r="BB1610" s="81">
        <f>Prog_23[[#This Row],[VLR NF]]*0.1%</f>
        <v>0</v>
      </c>
      <c r="BC1610" s="81">
        <f>Prog_23[[#This Row],[VLR NF]]*0.05%</f>
        <v>0</v>
      </c>
      <c r="BD1610" s="81"/>
      <c r="BE1610" s="81"/>
      <c r="BF1610" s="81"/>
      <c r="BG1610" s="81"/>
      <c r="BH1610" s="81"/>
      <c r="BI1610" s="81"/>
      <c r="BJ1610" s="81"/>
      <c r="BK1610" s="81"/>
      <c r="BL1610" s="81"/>
      <c r="BM1610" s="81"/>
      <c r="BN1610" s="66"/>
      <c r="BO1610" s="66"/>
      <c r="BP1610" s="66"/>
      <c r="BQ1610" s="66" t="str">
        <f>PROPER(TEXT(Prog_23[[#This Row],[PROGRAMAÇÃO CLIENTE]],"mmm"))</f>
        <v>Jan</v>
      </c>
      <c r="BR1610" s="66">
        <f>YEAR(Prog_23[[#This Row],[PROGRAMAÇÃO CLIENTE]])</f>
        <v>1900</v>
      </c>
    </row>
    <row r="1611" spans="1:70" x14ac:dyDescent="0.25">
      <c r="A1611" s="200">
        <f>Prog_23[[#This Row],[CONTEINER]]</f>
        <v>0</v>
      </c>
      <c r="B1611" s="86"/>
      <c r="C16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11" s="44"/>
      <c r="E1611" s="66"/>
      <c r="F1611" s="66"/>
      <c r="G1611" s="66"/>
      <c r="H1611" s="44"/>
      <c r="I1611" s="44"/>
      <c r="J1611" s="66"/>
      <c r="K1611" s="66"/>
      <c r="L1611" s="66"/>
      <c r="M1611" s="66"/>
      <c r="N1611" s="66">
        <f>SUM(Prog_23[[#This Row],[TARA]]+Prog_23[[#This Row],[PESO]])</f>
        <v>0</v>
      </c>
      <c r="O1611" s="44"/>
      <c r="P1611" s="66"/>
      <c r="Q1611" s="66"/>
      <c r="R1611" s="66"/>
      <c r="S1611" s="66"/>
      <c r="T1611" s="138" t="str">
        <f>IFERROR(LOOKUP($S1611,MOTORISTAS!$D$3:$D$916,MOTORISTAS!E$3:$E$916),"")</f>
        <v/>
      </c>
      <c r="U1611" s="138" t="str">
        <f>IFERROR(LOOKUP($S1611,MOTORISTAS!$D$3:$D$916,MOTORISTAS!F$3:$F$916),"")</f>
        <v/>
      </c>
      <c r="V1611" s="66"/>
      <c r="W1611" s="66"/>
      <c r="X1611" s="66"/>
      <c r="Y1611" s="66"/>
      <c r="Z1611" s="66"/>
      <c r="AA1611" s="66"/>
      <c r="AB1611" s="66"/>
      <c r="AC1611" s="66"/>
      <c r="AD1611" s="66"/>
      <c r="AE1611" s="66"/>
      <c r="AF1611" s="44"/>
      <c r="AG1611" s="254">
        <f>Prog_23[[#This Row],[SAÍDA DO CLIENTE]]-Prog_23[[#This Row],[PROGRAMAÇÃO CLIENTE]]</f>
        <v>0</v>
      </c>
      <c r="AH1611" s="44"/>
      <c r="AI1611" s="66"/>
      <c r="AJ1611" s="66"/>
      <c r="AK1611" s="66"/>
      <c r="AL1611" s="66"/>
      <c r="AM1611" s="66"/>
      <c r="AN1611" s="83"/>
      <c r="AO1611" s="83"/>
      <c r="AP1611" s="83"/>
      <c r="AQ1611" s="66"/>
      <c r="AR1611" s="66"/>
      <c r="AS1611" s="66"/>
      <c r="AT1611" s="81"/>
      <c r="AU1611" s="81"/>
      <c r="AV1611" s="81"/>
      <c r="AW1611" s="81"/>
      <c r="AX1611" s="83">
        <f>SUM(Prog_23[[#This Row],[ADIANTAMENTO]]+Prog_23[[#This Row],[SALDO]]+Prog_23[[#This Row],[MARGEM]]+Prog_23[[#This Row],[ESTADIA 1]])</f>
        <v>0</v>
      </c>
      <c r="AY16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11" s="81"/>
      <c r="BA1611" s="81"/>
      <c r="BB1611" s="81">
        <f>Prog_23[[#This Row],[VLR NF]]*0.1%</f>
        <v>0</v>
      </c>
      <c r="BC1611" s="81">
        <f>Prog_23[[#This Row],[VLR NF]]*0.05%</f>
        <v>0</v>
      </c>
      <c r="BD1611" s="81"/>
      <c r="BE1611" s="81"/>
      <c r="BF1611" s="81"/>
      <c r="BG1611" s="81"/>
      <c r="BH1611" s="81"/>
      <c r="BI1611" s="81"/>
      <c r="BJ1611" s="81"/>
      <c r="BK1611" s="81"/>
      <c r="BL1611" s="81"/>
      <c r="BM1611" s="81"/>
      <c r="BN1611" s="66"/>
      <c r="BO1611" s="66"/>
      <c r="BP1611" s="66"/>
      <c r="BQ1611" s="66" t="str">
        <f>PROPER(TEXT(Prog_23[[#This Row],[PROGRAMAÇÃO CLIENTE]],"mmm"))</f>
        <v>Jan</v>
      </c>
      <c r="BR1611" s="66">
        <f>YEAR(Prog_23[[#This Row],[PROGRAMAÇÃO CLIENTE]])</f>
        <v>1900</v>
      </c>
    </row>
    <row r="1612" spans="1:70" x14ac:dyDescent="0.25">
      <c r="A1612" s="201">
        <f>Prog_23[[#This Row],[CONTEINER]]</f>
        <v>0</v>
      </c>
      <c r="B1612" s="86"/>
      <c r="C16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12" s="44"/>
      <c r="E1612" s="66"/>
      <c r="F1612" s="66"/>
      <c r="G1612" s="66"/>
      <c r="H1612" s="44"/>
      <c r="I1612" s="44"/>
      <c r="J1612" s="66"/>
      <c r="K1612" s="66"/>
      <c r="L1612" s="66"/>
      <c r="M1612" s="66"/>
      <c r="N1612" s="66">
        <f>SUM(Prog_23[[#This Row],[TARA]]+Prog_23[[#This Row],[PESO]])</f>
        <v>0</v>
      </c>
      <c r="O1612" s="44"/>
      <c r="P1612" s="66"/>
      <c r="Q1612" s="66"/>
      <c r="R1612" s="66"/>
      <c r="S1612" s="66"/>
      <c r="T1612" s="138" t="str">
        <f>IFERROR(LOOKUP($S1612,MOTORISTAS!$D$3:$D$916,MOTORISTAS!E$3:$E$916),"")</f>
        <v/>
      </c>
      <c r="U1612" s="138" t="str">
        <f>IFERROR(LOOKUP($S1612,MOTORISTAS!$D$3:$D$916,MOTORISTAS!F$3:$F$916),"")</f>
        <v/>
      </c>
      <c r="V1612" s="66"/>
      <c r="W1612" s="66"/>
      <c r="X1612" s="66"/>
      <c r="Y1612" s="66"/>
      <c r="Z1612" s="66"/>
      <c r="AA1612" s="66"/>
      <c r="AB1612" s="66"/>
      <c r="AC1612" s="66"/>
      <c r="AD1612" s="66"/>
      <c r="AE1612" s="66"/>
      <c r="AF1612" s="44"/>
      <c r="AG1612" s="254">
        <f>Prog_23[[#This Row],[SAÍDA DO CLIENTE]]-Prog_23[[#This Row],[PROGRAMAÇÃO CLIENTE]]</f>
        <v>0</v>
      </c>
      <c r="AH1612" s="44"/>
      <c r="AI1612" s="66"/>
      <c r="AJ1612" s="66"/>
      <c r="AK1612" s="66"/>
      <c r="AL1612" s="66"/>
      <c r="AM1612" s="66"/>
      <c r="AN1612" s="83"/>
      <c r="AO1612" s="83"/>
      <c r="AP1612" s="83"/>
      <c r="AQ1612" s="66"/>
      <c r="AR1612" s="66"/>
      <c r="AS1612" s="66"/>
      <c r="AT1612" s="81"/>
      <c r="AU1612" s="81"/>
      <c r="AV1612" s="81"/>
      <c r="AW1612" s="81"/>
      <c r="AX1612" s="83">
        <f>SUM(Prog_23[[#This Row],[ADIANTAMENTO]]+Prog_23[[#This Row],[SALDO]]+Prog_23[[#This Row],[MARGEM]]+Prog_23[[#This Row],[ESTADIA 1]])</f>
        <v>0</v>
      </c>
      <c r="AY16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12" s="81"/>
      <c r="BA1612" s="81"/>
      <c r="BB1612" s="81">
        <f>Prog_23[[#This Row],[VLR NF]]*0.1%</f>
        <v>0</v>
      </c>
      <c r="BC1612" s="81">
        <f>Prog_23[[#This Row],[VLR NF]]*0.05%</f>
        <v>0</v>
      </c>
      <c r="BD1612" s="81"/>
      <c r="BE1612" s="81"/>
      <c r="BF1612" s="81"/>
      <c r="BG1612" s="81"/>
      <c r="BH1612" s="81"/>
      <c r="BI1612" s="81"/>
      <c r="BJ1612" s="81"/>
      <c r="BK1612" s="81"/>
      <c r="BL1612" s="81"/>
      <c r="BM1612" s="81"/>
      <c r="BN1612" s="66"/>
      <c r="BO1612" s="66"/>
      <c r="BP1612" s="66"/>
      <c r="BQ1612" s="66" t="str">
        <f>PROPER(TEXT(Prog_23[[#This Row],[PROGRAMAÇÃO CLIENTE]],"mmm"))</f>
        <v>Jan</v>
      </c>
      <c r="BR1612" s="66">
        <f>YEAR(Prog_23[[#This Row],[PROGRAMAÇÃO CLIENTE]])</f>
        <v>1900</v>
      </c>
    </row>
    <row r="1613" spans="1:70" x14ac:dyDescent="0.25">
      <c r="A1613" s="200">
        <f>Prog_23[[#This Row],[CONTEINER]]</f>
        <v>0</v>
      </c>
      <c r="B1613" s="86"/>
      <c r="C16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13" s="44"/>
      <c r="E1613" s="66"/>
      <c r="F1613" s="66"/>
      <c r="G1613" s="66"/>
      <c r="H1613" s="44"/>
      <c r="I1613" s="44"/>
      <c r="J1613" s="66"/>
      <c r="K1613" s="66"/>
      <c r="L1613" s="66"/>
      <c r="M1613" s="66"/>
      <c r="N1613" s="66">
        <f>SUM(Prog_23[[#This Row],[TARA]]+Prog_23[[#This Row],[PESO]])</f>
        <v>0</v>
      </c>
      <c r="O1613" s="44"/>
      <c r="P1613" s="66"/>
      <c r="Q1613" s="66"/>
      <c r="R1613" s="66"/>
      <c r="S1613" s="66"/>
      <c r="T1613" s="138" t="str">
        <f>IFERROR(LOOKUP($S1613,MOTORISTAS!$D$3:$D$916,MOTORISTAS!E$3:$E$916),"")</f>
        <v/>
      </c>
      <c r="U1613" s="138" t="str">
        <f>IFERROR(LOOKUP($S1613,MOTORISTAS!$D$3:$D$916,MOTORISTAS!F$3:$F$916),"")</f>
        <v/>
      </c>
      <c r="V1613" s="66"/>
      <c r="W1613" s="66"/>
      <c r="X1613" s="66"/>
      <c r="Y1613" s="66"/>
      <c r="Z1613" s="66"/>
      <c r="AA1613" s="66"/>
      <c r="AB1613" s="66"/>
      <c r="AC1613" s="66"/>
      <c r="AD1613" s="66"/>
      <c r="AE1613" s="66"/>
      <c r="AF1613" s="44"/>
      <c r="AG1613" s="254">
        <f>Prog_23[[#This Row],[SAÍDA DO CLIENTE]]-Prog_23[[#This Row],[PROGRAMAÇÃO CLIENTE]]</f>
        <v>0</v>
      </c>
      <c r="AH1613" s="44"/>
      <c r="AI1613" s="66"/>
      <c r="AJ1613" s="66"/>
      <c r="AK1613" s="66"/>
      <c r="AL1613" s="66"/>
      <c r="AM1613" s="66"/>
      <c r="AN1613" s="83"/>
      <c r="AO1613" s="83"/>
      <c r="AP1613" s="83"/>
      <c r="AQ1613" s="66"/>
      <c r="AR1613" s="66"/>
      <c r="AS1613" s="66"/>
      <c r="AT1613" s="81"/>
      <c r="AU1613" s="81"/>
      <c r="AV1613" s="81"/>
      <c r="AW1613" s="81"/>
      <c r="AX1613" s="83">
        <f>SUM(Prog_23[[#This Row],[ADIANTAMENTO]]+Prog_23[[#This Row],[SALDO]]+Prog_23[[#This Row],[MARGEM]]+Prog_23[[#This Row],[ESTADIA 1]])</f>
        <v>0</v>
      </c>
      <c r="AY16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13" s="81"/>
      <c r="BA1613" s="81"/>
      <c r="BB1613" s="81">
        <f>Prog_23[[#This Row],[VLR NF]]*0.1%</f>
        <v>0</v>
      </c>
      <c r="BC1613" s="81">
        <f>Prog_23[[#This Row],[VLR NF]]*0.05%</f>
        <v>0</v>
      </c>
      <c r="BD1613" s="81"/>
      <c r="BE1613" s="81"/>
      <c r="BF1613" s="81"/>
      <c r="BG1613" s="81"/>
      <c r="BH1613" s="81"/>
      <c r="BI1613" s="81"/>
      <c r="BJ1613" s="81"/>
      <c r="BK1613" s="81"/>
      <c r="BL1613" s="81"/>
      <c r="BM1613" s="81"/>
      <c r="BN1613" s="66"/>
      <c r="BO1613" s="66"/>
      <c r="BP1613" s="66"/>
      <c r="BQ1613" s="66" t="str">
        <f>PROPER(TEXT(Prog_23[[#This Row],[PROGRAMAÇÃO CLIENTE]],"mmm"))</f>
        <v>Jan</v>
      </c>
      <c r="BR1613" s="66">
        <f>YEAR(Prog_23[[#This Row],[PROGRAMAÇÃO CLIENTE]])</f>
        <v>1900</v>
      </c>
    </row>
    <row r="1614" spans="1:70" x14ac:dyDescent="0.25">
      <c r="A1614" s="201">
        <f>Prog_23[[#This Row],[CONTEINER]]</f>
        <v>0</v>
      </c>
      <c r="B1614" s="86"/>
      <c r="C16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14" s="44"/>
      <c r="E1614" s="66"/>
      <c r="F1614" s="66"/>
      <c r="G1614" s="66"/>
      <c r="H1614" s="44"/>
      <c r="I1614" s="44"/>
      <c r="J1614" s="66"/>
      <c r="K1614" s="66"/>
      <c r="L1614" s="66"/>
      <c r="M1614" s="66"/>
      <c r="N1614" s="66">
        <f>SUM(Prog_23[[#This Row],[TARA]]+Prog_23[[#This Row],[PESO]])</f>
        <v>0</v>
      </c>
      <c r="O1614" s="44"/>
      <c r="P1614" s="66"/>
      <c r="Q1614" s="66"/>
      <c r="R1614" s="66"/>
      <c r="S1614" s="66"/>
      <c r="T1614" s="138" t="str">
        <f>IFERROR(LOOKUP($S1614,MOTORISTAS!$D$3:$D$916,MOTORISTAS!E$3:$E$916),"")</f>
        <v/>
      </c>
      <c r="U1614" s="138" t="str">
        <f>IFERROR(LOOKUP($S1614,MOTORISTAS!$D$3:$D$916,MOTORISTAS!F$3:$F$916),"")</f>
        <v/>
      </c>
      <c r="V1614" s="66"/>
      <c r="W1614" s="66"/>
      <c r="X1614" s="66"/>
      <c r="Y1614" s="66"/>
      <c r="Z1614" s="66"/>
      <c r="AA1614" s="66"/>
      <c r="AB1614" s="66"/>
      <c r="AC1614" s="66"/>
      <c r="AD1614" s="66"/>
      <c r="AE1614" s="66"/>
      <c r="AF1614" s="44"/>
      <c r="AG1614" s="254">
        <f>Prog_23[[#This Row],[SAÍDA DO CLIENTE]]-Prog_23[[#This Row],[PROGRAMAÇÃO CLIENTE]]</f>
        <v>0</v>
      </c>
      <c r="AH1614" s="44"/>
      <c r="AI1614" s="66"/>
      <c r="AJ1614" s="66"/>
      <c r="AK1614" s="66"/>
      <c r="AL1614" s="66"/>
      <c r="AM1614" s="66"/>
      <c r="AN1614" s="83"/>
      <c r="AO1614" s="83"/>
      <c r="AP1614" s="83"/>
      <c r="AQ1614" s="66"/>
      <c r="AR1614" s="66"/>
      <c r="AS1614" s="66"/>
      <c r="AT1614" s="81"/>
      <c r="AU1614" s="81"/>
      <c r="AV1614" s="81"/>
      <c r="AW1614" s="81"/>
      <c r="AX1614" s="83">
        <f>SUM(Prog_23[[#This Row],[ADIANTAMENTO]]+Prog_23[[#This Row],[SALDO]]+Prog_23[[#This Row],[MARGEM]]+Prog_23[[#This Row],[ESTADIA 1]])</f>
        <v>0</v>
      </c>
      <c r="AY16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14" s="81"/>
      <c r="BA1614" s="81"/>
      <c r="BB1614" s="81">
        <f>Prog_23[[#This Row],[VLR NF]]*0.1%</f>
        <v>0</v>
      </c>
      <c r="BC1614" s="81">
        <f>Prog_23[[#This Row],[VLR NF]]*0.05%</f>
        <v>0</v>
      </c>
      <c r="BD1614" s="81"/>
      <c r="BE1614" s="81"/>
      <c r="BF1614" s="81"/>
      <c r="BG1614" s="81"/>
      <c r="BH1614" s="81"/>
      <c r="BI1614" s="81"/>
      <c r="BJ1614" s="81"/>
      <c r="BK1614" s="81"/>
      <c r="BL1614" s="81"/>
      <c r="BM1614" s="81"/>
      <c r="BN1614" s="66"/>
      <c r="BO1614" s="66"/>
      <c r="BP1614" s="66"/>
      <c r="BQ1614" s="66" t="str">
        <f>PROPER(TEXT(Prog_23[[#This Row],[PROGRAMAÇÃO CLIENTE]],"mmm"))</f>
        <v>Jan</v>
      </c>
      <c r="BR1614" s="66">
        <f>YEAR(Prog_23[[#This Row],[PROGRAMAÇÃO CLIENTE]])</f>
        <v>1900</v>
      </c>
    </row>
    <row r="1615" spans="1:70" x14ac:dyDescent="0.25">
      <c r="A1615" s="200">
        <f>Prog_23[[#This Row],[CONTEINER]]</f>
        <v>0</v>
      </c>
      <c r="B1615" s="86"/>
      <c r="C16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15" s="44"/>
      <c r="E1615" s="66"/>
      <c r="F1615" s="66"/>
      <c r="G1615" s="66"/>
      <c r="H1615" s="44"/>
      <c r="I1615" s="44"/>
      <c r="J1615" s="66"/>
      <c r="K1615" s="66"/>
      <c r="L1615" s="66"/>
      <c r="M1615" s="66"/>
      <c r="N1615" s="66">
        <f>SUM(Prog_23[[#This Row],[TARA]]+Prog_23[[#This Row],[PESO]])</f>
        <v>0</v>
      </c>
      <c r="O1615" s="44"/>
      <c r="P1615" s="66"/>
      <c r="Q1615" s="66"/>
      <c r="R1615" s="66"/>
      <c r="S1615" s="66"/>
      <c r="T1615" s="138" t="str">
        <f>IFERROR(LOOKUP($S1615,MOTORISTAS!$D$3:$D$916,MOTORISTAS!E$3:$E$916),"")</f>
        <v/>
      </c>
      <c r="U1615" s="138" t="str">
        <f>IFERROR(LOOKUP($S1615,MOTORISTAS!$D$3:$D$916,MOTORISTAS!F$3:$F$916),"")</f>
        <v/>
      </c>
      <c r="V1615" s="66"/>
      <c r="W1615" s="66"/>
      <c r="X1615" s="66"/>
      <c r="Y1615" s="66"/>
      <c r="Z1615" s="66"/>
      <c r="AA1615" s="66"/>
      <c r="AB1615" s="66"/>
      <c r="AC1615" s="66"/>
      <c r="AD1615" s="66"/>
      <c r="AE1615" s="66"/>
      <c r="AF1615" s="44"/>
      <c r="AG1615" s="254">
        <f>Prog_23[[#This Row],[SAÍDA DO CLIENTE]]-Prog_23[[#This Row],[PROGRAMAÇÃO CLIENTE]]</f>
        <v>0</v>
      </c>
      <c r="AH1615" s="44"/>
      <c r="AI1615" s="66"/>
      <c r="AJ1615" s="66"/>
      <c r="AK1615" s="66"/>
      <c r="AL1615" s="66"/>
      <c r="AM1615" s="66"/>
      <c r="AN1615" s="83"/>
      <c r="AO1615" s="83"/>
      <c r="AP1615" s="83"/>
      <c r="AQ1615" s="66"/>
      <c r="AR1615" s="66"/>
      <c r="AS1615" s="66"/>
      <c r="AT1615" s="81"/>
      <c r="AU1615" s="81"/>
      <c r="AV1615" s="81"/>
      <c r="AW1615" s="81"/>
      <c r="AX1615" s="83">
        <f>SUM(Prog_23[[#This Row],[ADIANTAMENTO]]+Prog_23[[#This Row],[SALDO]]+Prog_23[[#This Row],[MARGEM]]+Prog_23[[#This Row],[ESTADIA 1]])</f>
        <v>0</v>
      </c>
      <c r="AY16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15" s="81"/>
      <c r="BA1615" s="81"/>
      <c r="BB1615" s="81">
        <f>Prog_23[[#This Row],[VLR NF]]*0.1%</f>
        <v>0</v>
      </c>
      <c r="BC1615" s="81">
        <f>Prog_23[[#This Row],[VLR NF]]*0.05%</f>
        <v>0</v>
      </c>
      <c r="BD1615" s="81"/>
      <c r="BE1615" s="81"/>
      <c r="BF1615" s="81"/>
      <c r="BG1615" s="81"/>
      <c r="BH1615" s="81"/>
      <c r="BI1615" s="81"/>
      <c r="BJ1615" s="81"/>
      <c r="BK1615" s="81"/>
      <c r="BL1615" s="81"/>
      <c r="BM1615" s="81"/>
      <c r="BN1615" s="66"/>
      <c r="BO1615" s="66"/>
      <c r="BP1615" s="66"/>
      <c r="BQ1615" s="66" t="str">
        <f>PROPER(TEXT(Prog_23[[#This Row],[PROGRAMAÇÃO CLIENTE]],"mmm"))</f>
        <v>Jan</v>
      </c>
      <c r="BR1615" s="66">
        <f>YEAR(Prog_23[[#This Row],[PROGRAMAÇÃO CLIENTE]])</f>
        <v>1900</v>
      </c>
    </row>
    <row r="1616" spans="1:70" x14ac:dyDescent="0.25">
      <c r="A1616" s="201">
        <f>Prog_23[[#This Row],[CONTEINER]]</f>
        <v>0</v>
      </c>
      <c r="B1616" s="86"/>
      <c r="C16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16" s="44"/>
      <c r="E1616" s="66"/>
      <c r="F1616" s="66"/>
      <c r="G1616" s="66"/>
      <c r="H1616" s="44"/>
      <c r="I1616" s="44"/>
      <c r="J1616" s="66"/>
      <c r="K1616" s="66"/>
      <c r="L1616" s="66"/>
      <c r="M1616" s="66"/>
      <c r="N1616" s="66">
        <f>SUM(Prog_23[[#This Row],[TARA]]+Prog_23[[#This Row],[PESO]])</f>
        <v>0</v>
      </c>
      <c r="O1616" s="44"/>
      <c r="P1616" s="66"/>
      <c r="Q1616" s="66"/>
      <c r="R1616" s="66"/>
      <c r="S1616" s="66"/>
      <c r="T1616" s="138" t="str">
        <f>IFERROR(LOOKUP($S1616,MOTORISTAS!$D$3:$D$916,MOTORISTAS!E$3:$E$916),"")</f>
        <v/>
      </c>
      <c r="U1616" s="138" t="str">
        <f>IFERROR(LOOKUP($S1616,MOTORISTAS!$D$3:$D$916,MOTORISTAS!F$3:$F$916),"")</f>
        <v/>
      </c>
      <c r="V1616" s="66"/>
      <c r="W1616" s="66"/>
      <c r="X1616" s="66"/>
      <c r="Y1616" s="66"/>
      <c r="Z1616" s="66"/>
      <c r="AA1616" s="66"/>
      <c r="AB1616" s="66"/>
      <c r="AC1616" s="66"/>
      <c r="AD1616" s="66"/>
      <c r="AE1616" s="66"/>
      <c r="AF1616" s="44"/>
      <c r="AG1616" s="254">
        <f>Prog_23[[#This Row],[SAÍDA DO CLIENTE]]-Prog_23[[#This Row],[PROGRAMAÇÃO CLIENTE]]</f>
        <v>0</v>
      </c>
      <c r="AH1616" s="44"/>
      <c r="AI1616" s="66"/>
      <c r="AJ1616" s="66"/>
      <c r="AK1616" s="66"/>
      <c r="AL1616" s="66"/>
      <c r="AM1616" s="66"/>
      <c r="AN1616" s="83"/>
      <c r="AO1616" s="83"/>
      <c r="AP1616" s="83"/>
      <c r="AQ1616" s="66"/>
      <c r="AR1616" s="66"/>
      <c r="AS1616" s="66"/>
      <c r="AT1616" s="81"/>
      <c r="AU1616" s="81"/>
      <c r="AV1616" s="81"/>
      <c r="AW1616" s="81"/>
      <c r="AX1616" s="83">
        <f>SUM(Prog_23[[#This Row],[ADIANTAMENTO]]+Prog_23[[#This Row],[SALDO]]+Prog_23[[#This Row],[MARGEM]]+Prog_23[[#This Row],[ESTADIA 1]])</f>
        <v>0</v>
      </c>
      <c r="AY16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16" s="81"/>
      <c r="BA1616" s="81"/>
      <c r="BB1616" s="81">
        <f>Prog_23[[#This Row],[VLR NF]]*0.1%</f>
        <v>0</v>
      </c>
      <c r="BC1616" s="81">
        <f>Prog_23[[#This Row],[VLR NF]]*0.05%</f>
        <v>0</v>
      </c>
      <c r="BD1616" s="81"/>
      <c r="BE1616" s="81"/>
      <c r="BF1616" s="81"/>
      <c r="BG1616" s="81"/>
      <c r="BH1616" s="81"/>
      <c r="BI1616" s="81"/>
      <c r="BJ1616" s="81"/>
      <c r="BK1616" s="81"/>
      <c r="BL1616" s="81"/>
      <c r="BM1616" s="81"/>
      <c r="BN1616" s="66"/>
      <c r="BO1616" s="66"/>
      <c r="BP1616" s="66"/>
      <c r="BQ1616" s="66" t="str">
        <f>PROPER(TEXT(Prog_23[[#This Row],[PROGRAMAÇÃO CLIENTE]],"mmm"))</f>
        <v>Jan</v>
      </c>
      <c r="BR1616" s="66">
        <f>YEAR(Prog_23[[#This Row],[PROGRAMAÇÃO CLIENTE]])</f>
        <v>1900</v>
      </c>
    </row>
    <row r="1617" spans="1:70" x14ac:dyDescent="0.25">
      <c r="A1617" s="200">
        <f>Prog_23[[#This Row],[CONTEINER]]</f>
        <v>0</v>
      </c>
      <c r="B1617" s="86"/>
      <c r="C16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17" s="44"/>
      <c r="E1617" s="66"/>
      <c r="F1617" s="66"/>
      <c r="G1617" s="66"/>
      <c r="H1617" s="44"/>
      <c r="I1617" s="44"/>
      <c r="J1617" s="66"/>
      <c r="K1617" s="66"/>
      <c r="L1617" s="66"/>
      <c r="M1617" s="66"/>
      <c r="N1617" s="66">
        <f>SUM(Prog_23[[#This Row],[TARA]]+Prog_23[[#This Row],[PESO]])</f>
        <v>0</v>
      </c>
      <c r="O1617" s="44"/>
      <c r="P1617" s="66"/>
      <c r="Q1617" s="66"/>
      <c r="R1617" s="66"/>
      <c r="S1617" s="66"/>
      <c r="T1617" s="138" t="str">
        <f>IFERROR(LOOKUP($S1617,MOTORISTAS!$D$3:$D$916,MOTORISTAS!E$3:$E$916),"")</f>
        <v/>
      </c>
      <c r="U1617" s="138" t="str">
        <f>IFERROR(LOOKUP($S1617,MOTORISTAS!$D$3:$D$916,MOTORISTAS!F$3:$F$916),"")</f>
        <v/>
      </c>
      <c r="V1617" s="66"/>
      <c r="W1617" s="66"/>
      <c r="X1617" s="66"/>
      <c r="Y1617" s="66"/>
      <c r="Z1617" s="66"/>
      <c r="AA1617" s="66"/>
      <c r="AB1617" s="66"/>
      <c r="AC1617" s="66"/>
      <c r="AD1617" s="66"/>
      <c r="AE1617" s="66"/>
      <c r="AF1617" s="44"/>
      <c r="AG1617" s="254">
        <f>Prog_23[[#This Row],[SAÍDA DO CLIENTE]]-Prog_23[[#This Row],[PROGRAMAÇÃO CLIENTE]]</f>
        <v>0</v>
      </c>
      <c r="AH1617" s="44"/>
      <c r="AI1617" s="66"/>
      <c r="AJ1617" s="66"/>
      <c r="AK1617" s="66"/>
      <c r="AL1617" s="66"/>
      <c r="AM1617" s="66"/>
      <c r="AN1617" s="83"/>
      <c r="AO1617" s="83"/>
      <c r="AP1617" s="83"/>
      <c r="AQ1617" s="66"/>
      <c r="AR1617" s="66"/>
      <c r="AS1617" s="66"/>
      <c r="AT1617" s="81"/>
      <c r="AU1617" s="81"/>
      <c r="AV1617" s="81"/>
      <c r="AW1617" s="81"/>
      <c r="AX1617" s="83">
        <f>SUM(Prog_23[[#This Row],[ADIANTAMENTO]]+Prog_23[[#This Row],[SALDO]]+Prog_23[[#This Row],[MARGEM]]+Prog_23[[#This Row],[ESTADIA 1]])</f>
        <v>0</v>
      </c>
      <c r="AY16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17" s="81"/>
      <c r="BA1617" s="81"/>
      <c r="BB1617" s="81">
        <f>Prog_23[[#This Row],[VLR NF]]*0.1%</f>
        <v>0</v>
      </c>
      <c r="BC1617" s="81">
        <f>Prog_23[[#This Row],[VLR NF]]*0.05%</f>
        <v>0</v>
      </c>
      <c r="BD1617" s="81"/>
      <c r="BE1617" s="81"/>
      <c r="BF1617" s="81"/>
      <c r="BG1617" s="81"/>
      <c r="BH1617" s="81"/>
      <c r="BI1617" s="81"/>
      <c r="BJ1617" s="81"/>
      <c r="BK1617" s="81"/>
      <c r="BL1617" s="81"/>
      <c r="BM1617" s="81"/>
      <c r="BN1617" s="66"/>
      <c r="BO1617" s="66"/>
      <c r="BP1617" s="66"/>
      <c r="BQ1617" s="66" t="str">
        <f>PROPER(TEXT(Prog_23[[#This Row],[PROGRAMAÇÃO CLIENTE]],"mmm"))</f>
        <v>Jan</v>
      </c>
      <c r="BR1617" s="66">
        <f>YEAR(Prog_23[[#This Row],[PROGRAMAÇÃO CLIENTE]])</f>
        <v>1900</v>
      </c>
    </row>
    <row r="1618" spans="1:70" x14ac:dyDescent="0.25">
      <c r="A1618" s="201">
        <f>Prog_23[[#This Row],[CONTEINER]]</f>
        <v>0</v>
      </c>
      <c r="B1618" s="86"/>
      <c r="C16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18" s="44"/>
      <c r="E1618" s="66"/>
      <c r="F1618" s="66"/>
      <c r="G1618" s="66"/>
      <c r="H1618" s="44"/>
      <c r="I1618" s="44"/>
      <c r="J1618" s="66"/>
      <c r="K1618" s="66"/>
      <c r="L1618" s="66"/>
      <c r="M1618" s="66"/>
      <c r="N1618" s="66">
        <f>SUM(Prog_23[[#This Row],[TARA]]+Prog_23[[#This Row],[PESO]])</f>
        <v>0</v>
      </c>
      <c r="O1618" s="44"/>
      <c r="P1618" s="66"/>
      <c r="Q1618" s="66"/>
      <c r="R1618" s="66"/>
      <c r="S1618" s="66"/>
      <c r="T1618" s="138" t="str">
        <f>IFERROR(LOOKUP($S1618,MOTORISTAS!$D$3:$D$916,MOTORISTAS!E$3:$E$916),"")</f>
        <v/>
      </c>
      <c r="U1618" s="138" t="str">
        <f>IFERROR(LOOKUP($S1618,MOTORISTAS!$D$3:$D$916,MOTORISTAS!F$3:$F$916),"")</f>
        <v/>
      </c>
      <c r="V1618" s="66"/>
      <c r="W1618" s="66"/>
      <c r="X1618" s="66"/>
      <c r="Y1618" s="66"/>
      <c r="Z1618" s="66"/>
      <c r="AA1618" s="66"/>
      <c r="AB1618" s="66"/>
      <c r="AC1618" s="66"/>
      <c r="AD1618" s="66"/>
      <c r="AE1618" s="66"/>
      <c r="AF1618" s="44"/>
      <c r="AG1618" s="254">
        <f>Prog_23[[#This Row],[SAÍDA DO CLIENTE]]-Prog_23[[#This Row],[PROGRAMAÇÃO CLIENTE]]</f>
        <v>0</v>
      </c>
      <c r="AH1618" s="44"/>
      <c r="AI1618" s="66"/>
      <c r="AJ1618" s="66"/>
      <c r="AK1618" s="66"/>
      <c r="AL1618" s="66"/>
      <c r="AM1618" s="66"/>
      <c r="AN1618" s="83"/>
      <c r="AO1618" s="83"/>
      <c r="AP1618" s="83"/>
      <c r="AQ1618" s="66"/>
      <c r="AR1618" s="66"/>
      <c r="AS1618" s="66"/>
      <c r="AT1618" s="81"/>
      <c r="AU1618" s="81"/>
      <c r="AV1618" s="81"/>
      <c r="AW1618" s="81"/>
      <c r="AX1618" s="83">
        <f>SUM(Prog_23[[#This Row],[ADIANTAMENTO]]+Prog_23[[#This Row],[SALDO]]+Prog_23[[#This Row],[MARGEM]]+Prog_23[[#This Row],[ESTADIA 1]])</f>
        <v>0</v>
      </c>
      <c r="AY16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18" s="81"/>
      <c r="BA1618" s="81"/>
      <c r="BB1618" s="81">
        <f>Prog_23[[#This Row],[VLR NF]]*0.1%</f>
        <v>0</v>
      </c>
      <c r="BC1618" s="81">
        <f>Prog_23[[#This Row],[VLR NF]]*0.05%</f>
        <v>0</v>
      </c>
      <c r="BD1618" s="81"/>
      <c r="BE1618" s="81"/>
      <c r="BF1618" s="81"/>
      <c r="BG1618" s="81"/>
      <c r="BH1618" s="81"/>
      <c r="BI1618" s="81"/>
      <c r="BJ1618" s="81"/>
      <c r="BK1618" s="81"/>
      <c r="BL1618" s="81"/>
      <c r="BM1618" s="81"/>
      <c r="BN1618" s="66"/>
      <c r="BO1618" s="66"/>
      <c r="BP1618" s="66"/>
      <c r="BQ1618" s="66" t="str">
        <f>PROPER(TEXT(Prog_23[[#This Row],[PROGRAMAÇÃO CLIENTE]],"mmm"))</f>
        <v>Jan</v>
      </c>
      <c r="BR1618" s="66">
        <f>YEAR(Prog_23[[#This Row],[PROGRAMAÇÃO CLIENTE]])</f>
        <v>1900</v>
      </c>
    </row>
    <row r="1619" spans="1:70" x14ac:dyDescent="0.25">
      <c r="A1619" s="200">
        <f>Prog_23[[#This Row],[CONTEINER]]</f>
        <v>0</v>
      </c>
      <c r="B1619" s="86"/>
      <c r="C16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19" s="44"/>
      <c r="E1619" s="66"/>
      <c r="F1619" s="66"/>
      <c r="G1619" s="66"/>
      <c r="H1619" s="44"/>
      <c r="I1619" s="44"/>
      <c r="J1619" s="66"/>
      <c r="K1619" s="66"/>
      <c r="L1619" s="66"/>
      <c r="M1619" s="66"/>
      <c r="N1619" s="66">
        <f>SUM(Prog_23[[#This Row],[TARA]]+Prog_23[[#This Row],[PESO]])</f>
        <v>0</v>
      </c>
      <c r="O1619" s="44"/>
      <c r="P1619" s="66"/>
      <c r="Q1619" s="66"/>
      <c r="R1619" s="66"/>
      <c r="S1619" s="66"/>
      <c r="T1619" s="138" t="str">
        <f>IFERROR(LOOKUP($S1619,MOTORISTAS!$D$3:$D$916,MOTORISTAS!E$3:$E$916),"")</f>
        <v/>
      </c>
      <c r="U1619" s="138" t="str">
        <f>IFERROR(LOOKUP($S1619,MOTORISTAS!$D$3:$D$916,MOTORISTAS!F$3:$F$916),"")</f>
        <v/>
      </c>
      <c r="V1619" s="66"/>
      <c r="W1619" s="66"/>
      <c r="X1619" s="66"/>
      <c r="Y1619" s="66"/>
      <c r="Z1619" s="66"/>
      <c r="AA1619" s="66"/>
      <c r="AB1619" s="66"/>
      <c r="AC1619" s="66"/>
      <c r="AD1619" s="66"/>
      <c r="AE1619" s="66"/>
      <c r="AF1619" s="44"/>
      <c r="AG1619" s="254">
        <f>Prog_23[[#This Row],[SAÍDA DO CLIENTE]]-Prog_23[[#This Row],[PROGRAMAÇÃO CLIENTE]]</f>
        <v>0</v>
      </c>
      <c r="AH1619" s="44"/>
      <c r="AI1619" s="66"/>
      <c r="AJ1619" s="66"/>
      <c r="AK1619" s="66"/>
      <c r="AL1619" s="66"/>
      <c r="AM1619" s="66"/>
      <c r="AN1619" s="83"/>
      <c r="AO1619" s="83"/>
      <c r="AP1619" s="83"/>
      <c r="AQ1619" s="66"/>
      <c r="AR1619" s="66"/>
      <c r="AS1619" s="66"/>
      <c r="AT1619" s="81"/>
      <c r="AU1619" s="81"/>
      <c r="AV1619" s="81"/>
      <c r="AW1619" s="81"/>
      <c r="AX1619" s="83">
        <f>SUM(Prog_23[[#This Row],[ADIANTAMENTO]]+Prog_23[[#This Row],[SALDO]]+Prog_23[[#This Row],[MARGEM]]+Prog_23[[#This Row],[ESTADIA 1]])</f>
        <v>0</v>
      </c>
      <c r="AY16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19" s="81"/>
      <c r="BA1619" s="81"/>
      <c r="BB1619" s="81">
        <f>Prog_23[[#This Row],[VLR NF]]*0.1%</f>
        <v>0</v>
      </c>
      <c r="BC1619" s="81">
        <f>Prog_23[[#This Row],[VLR NF]]*0.05%</f>
        <v>0</v>
      </c>
      <c r="BD1619" s="81"/>
      <c r="BE1619" s="81"/>
      <c r="BF1619" s="81"/>
      <c r="BG1619" s="81"/>
      <c r="BH1619" s="81"/>
      <c r="BI1619" s="81"/>
      <c r="BJ1619" s="81"/>
      <c r="BK1619" s="81"/>
      <c r="BL1619" s="81"/>
      <c r="BM1619" s="81"/>
      <c r="BN1619" s="66"/>
      <c r="BO1619" s="66"/>
      <c r="BP1619" s="66"/>
      <c r="BQ1619" s="66" t="str">
        <f>PROPER(TEXT(Prog_23[[#This Row],[PROGRAMAÇÃO CLIENTE]],"mmm"))</f>
        <v>Jan</v>
      </c>
      <c r="BR1619" s="66">
        <f>YEAR(Prog_23[[#This Row],[PROGRAMAÇÃO CLIENTE]])</f>
        <v>1900</v>
      </c>
    </row>
    <row r="1620" spans="1:70" x14ac:dyDescent="0.25">
      <c r="A1620" s="201">
        <f>Prog_23[[#This Row],[CONTEINER]]</f>
        <v>0</v>
      </c>
      <c r="B1620" s="86"/>
      <c r="C16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20" s="44"/>
      <c r="E1620" s="66"/>
      <c r="F1620" s="66"/>
      <c r="G1620" s="66"/>
      <c r="H1620" s="44"/>
      <c r="I1620" s="44"/>
      <c r="J1620" s="66"/>
      <c r="K1620" s="66"/>
      <c r="L1620" s="66"/>
      <c r="M1620" s="66"/>
      <c r="N1620" s="66">
        <f>SUM(Prog_23[[#This Row],[TARA]]+Prog_23[[#This Row],[PESO]])</f>
        <v>0</v>
      </c>
      <c r="O1620" s="44"/>
      <c r="P1620" s="66"/>
      <c r="Q1620" s="66"/>
      <c r="R1620" s="66"/>
      <c r="S1620" s="66"/>
      <c r="T1620" s="138" t="str">
        <f>IFERROR(LOOKUP($S1620,MOTORISTAS!$D$3:$D$916,MOTORISTAS!E$3:$E$916),"")</f>
        <v/>
      </c>
      <c r="U1620" s="138" t="str">
        <f>IFERROR(LOOKUP($S1620,MOTORISTAS!$D$3:$D$916,MOTORISTAS!F$3:$F$916),"")</f>
        <v/>
      </c>
      <c r="V1620" s="66"/>
      <c r="W1620" s="66"/>
      <c r="X1620" s="66"/>
      <c r="Y1620" s="66"/>
      <c r="Z1620" s="66"/>
      <c r="AA1620" s="66"/>
      <c r="AB1620" s="66"/>
      <c r="AC1620" s="66"/>
      <c r="AD1620" s="66"/>
      <c r="AE1620" s="66"/>
      <c r="AF1620" s="44"/>
      <c r="AG1620" s="254">
        <f>Prog_23[[#This Row],[SAÍDA DO CLIENTE]]-Prog_23[[#This Row],[PROGRAMAÇÃO CLIENTE]]</f>
        <v>0</v>
      </c>
      <c r="AH1620" s="44"/>
      <c r="AI1620" s="66"/>
      <c r="AJ1620" s="66"/>
      <c r="AK1620" s="66"/>
      <c r="AL1620" s="66"/>
      <c r="AM1620" s="66"/>
      <c r="AN1620" s="83"/>
      <c r="AO1620" s="83"/>
      <c r="AP1620" s="83"/>
      <c r="AQ1620" s="66"/>
      <c r="AR1620" s="66"/>
      <c r="AS1620" s="66"/>
      <c r="AT1620" s="81"/>
      <c r="AU1620" s="81"/>
      <c r="AV1620" s="81"/>
      <c r="AW1620" s="81"/>
      <c r="AX1620" s="83">
        <f>SUM(Prog_23[[#This Row],[ADIANTAMENTO]]+Prog_23[[#This Row],[SALDO]]+Prog_23[[#This Row],[MARGEM]]+Prog_23[[#This Row],[ESTADIA 1]])</f>
        <v>0</v>
      </c>
      <c r="AY16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20" s="81"/>
      <c r="BA1620" s="81"/>
      <c r="BB1620" s="81">
        <f>Prog_23[[#This Row],[VLR NF]]*0.1%</f>
        <v>0</v>
      </c>
      <c r="BC1620" s="81">
        <f>Prog_23[[#This Row],[VLR NF]]*0.05%</f>
        <v>0</v>
      </c>
      <c r="BD1620" s="81"/>
      <c r="BE1620" s="81"/>
      <c r="BF1620" s="81"/>
      <c r="BG1620" s="81"/>
      <c r="BH1620" s="81"/>
      <c r="BI1620" s="81"/>
      <c r="BJ1620" s="81"/>
      <c r="BK1620" s="81"/>
      <c r="BL1620" s="81"/>
      <c r="BM1620" s="81"/>
      <c r="BN1620" s="66"/>
      <c r="BO1620" s="66"/>
      <c r="BP1620" s="66"/>
      <c r="BQ1620" s="66" t="str">
        <f>PROPER(TEXT(Prog_23[[#This Row],[PROGRAMAÇÃO CLIENTE]],"mmm"))</f>
        <v>Jan</v>
      </c>
      <c r="BR1620" s="66">
        <f>YEAR(Prog_23[[#This Row],[PROGRAMAÇÃO CLIENTE]])</f>
        <v>1900</v>
      </c>
    </row>
    <row r="1621" spans="1:70" x14ac:dyDescent="0.25">
      <c r="A1621" s="200">
        <f>Prog_23[[#This Row],[CONTEINER]]</f>
        <v>0</v>
      </c>
      <c r="B1621" s="86"/>
      <c r="C16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21" s="44"/>
      <c r="E1621" s="66"/>
      <c r="F1621" s="66"/>
      <c r="G1621" s="66"/>
      <c r="H1621" s="44"/>
      <c r="I1621" s="44"/>
      <c r="J1621" s="66"/>
      <c r="K1621" s="66"/>
      <c r="L1621" s="66"/>
      <c r="M1621" s="66"/>
      <c r="N1621" s="66">
        <f>SUM(Prog_23[[#This Row],[TARA]]+Prog_23[[#This Row],[PESO]])</f>
        <v>0</v>
      </c>
      <c r="O1621" s="44"/>
      <c r="P1621" s="66"/>
      <c r="Q1621" s="66"/>
      <c r="R1621" s="66"/>
      <c r="S1621" s="66"/>
      <c r="T1621" s="138" t="str">
        <f>IFERROR(LOOKUP($S1621,MOTORISTAS!$D$3:$D$916,MOTORISTAS!E$3:$E$916),"")</f>
        <v/>
      </c>
      <c r="U1621" s="138" t="str">
        <f>IFERROR(LOOKUP($S1621,MOTORISTAS!$D$3:$D$916,MOTORISTAS!F$3:$F$916),"")</f>
        <v/>
      </c>
      <c r="V1621" s="66"/>
      <c r="W1621" s="66"/>
      <c r="X1621" s="66"/>
      <c r="Y1621" s="66"/>
      <c r="Z1621" s="66"/>
      <c r="AA1621" s="66"/>
      <c r="AB1621" s="66"/>
      <c r="AC1621" s="66"/>
      <c r="AD1621" s="66"/>
      <c r="AE1621" s="66"/>
      <c r="AF1621" s="44"/>
      <c r="AG1621" s="254">
        <f>Prog_23[[#This Row],[SAÍDA DO CLIENTE]]-Prog_23[[#This Row],[PROGRAMAÇÃO CLIENTE]]</f>
        <v>0</v>
      </c>
      <c r="AH1621" s="44"/>
      <c r="AI1621" s="66"/>
      <c r="AJ1621" s="66"/>
      <c r="AK1621" s="66"/>
      <c r="AL1621" s="66"/>
      <c r="AM1621" s="66"/>
      <c r="AN1621" s="83"/>
      <c r="AO1621" s="83"/>
      <c r="AP1621" s="83"/>
      <c r="AQ1621" s="66"/>
      <c r="AR1621" s="66"/>
      <c r="AS1621" s="66"/>
      <c r="AT1621" s="81"/>
      <c r="AU1621" s="81"/>
      <c r="AV1621" s="81"/>
      <c r="AW1621" s="81"/>
      <c r="AX1621" s="83">
        <f>SUM(Prog_23[[#This Row],[ADIANTAMENTO]]+Prog_23[[#This Row],[SALDO]]+Prog_23[[#This Row],[MARGEM]]+Prog_23[[#This Row],[ESTADIA 1]])</f>
        <v>0</v>
      </c>
      <c r="AY16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21" s="81"/>
      <c r="BA1621" s="81"/>
      <c r="BB1621" s="81">
        <f>Prog_23[[#This Row],[VLR NF]]*0.1%</f>
        <v>0</v>
      </c>
      <c r="BC1621" s="81">
        <f>Prog_23[[#This Row],[VLR NF]]*0.05%</f>
        <v>0</v>
      </c>
      <c r="BD1621" s="81"/>
      <c r="BE1621" s="81"/>
      <c r="BF1621" s="81"/>
      <c r="BG1621" s="81"/>
      <c r="BH1621" s="81"/>
      <c r="BI1621" s="81"/>
      <c r="BJ1621" s="81"/>
      <c r="BK1621" s="81"/>
      <c r="BL1621" s="81"/>
      <c r="BM1621" s="81"/>
      <c r="BN1621" s="66"/>
      <c r="BO1621" s="66"/>
      <c r="BP1621" s="66"/>
      <c r="BQ1621" s="66" t="str">
        <f>PROPER(TEXT(Prog_23[[#This Row],[PROGRAMAÇÃO CLIENTE]],"mmm"))</f>
        <v>Jan</v>
      </c>
      <c r="BR1621" s="66">
        <f>YEAR(Prog_23[[#This Row],[PROGRAMAÇÃO CLIENTE]])</f>
        <v>1900</v>
      </c>
    </row>
    <row r="1622" spans="1:70" x14ac:dyDescent="0.25">
      <c r="A1622" s="201">
        <f>Prog_23[[#This Row],[CONTEINER]]</f>
        <v>0</v>
      </c>
      <c r="B1622" s="86"/>
      <c r="C16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22" s="44"/>
      <c r="E1622" s="66"/>
      <c r="F1622" s="66"/>
      <c r="G1622" s="66"/>
      <c r="H1622" s="44"/>
      <c r="I1622" s="44"/>
      <c r="J1622" s="66"/>
      <c r="K1622" s="66"/>
      <c r="L1622" s="66"/>
      <c r="M1622" s="66"/>
      <c r="N1622" s="66">
        <f>SUM(Prog_23[[#This Row],[TARA]]+Prog_23[[#This Row],[PESO]])</f>
        <v>0</v>
      </c>
      <c r="O1622" s="44"/>
      <c r="P1622" s="66"/>
      <c r="Q1622" s="66"/>
      <c r="R1622" s="66"/>
      <c r="S1622" s="66"/>
      <c r="T1622" s="138" t="str">
        <f>IFERROR(LOOKUP($S1622,MOTORISTAS!$D$3:$D$916,MOTORISTAS!E$3:$E$916),"")</f>
        <v/>
      </c>
      <c r="U1622" s="138" t="str">
        <f>IFERROR(LOOKUP($S1622,MOTORISTAS!$D$3:$D$916,MOTORISTAS!F$3:$F$916),"")</f>
        <v/>
      </c>
      <c r="V1622" s="66"/>
      <c r="W1622" s="66"/>
      <c r="X1622" s="66"/>
      <c r="Y1622" s="66"/>
      <c r="Z1622" s="66"/>
      <c r="AA1622" s="66"/>
      <c r="AB1622" s="66"/>
      <c r="AC1622" s="66"/>
      <c r="AD1622" s="66"/>
      <c r="AE1622" s="66"/>
      <c r="AF1622" s="44"/>
      <c r="AG1622" s="254">
        <f>Prog_23[[#This Row],[SAÍDA DO CLIENTE]]-Prog_23[[#This Row],[PROGRAMAÇÃO CLIENTE]]</f>
        <v>0</v>
      </c>
      <c r="AH1622" s="44"/>
      <c r="AI1622" s="66"/>
      <c r="AJ1622" s="66"/>
      <c r="AK1622" s="66"/>
      <c r="AL1622" s="66"/>
      <c r="AM1622" s="66"/>
      <c r="AN1622" s="83"/>
      <c r="AO1622" s="83"/>
      <c r="AP1622" s="83"/>
      <c r="AQ1622" s="66"/>
      <c r="AR1622" s="66"/>
      <c r="AS1622" s="66"/>
      <c r="AT1622" s="81"/>
      <c r="AU1622" s="81"/>
      <c r="AV1622" s="81"/>
      <c r="AW1622" s="81"/>
      <c r="AX1622" s="83">
        <f>SUM(Prog_23[[#This Row],[ADIANTAMENTO]]+Prog_23[[#This Row],[SALDO]]+Prog_23[[#This Row],[MARGEM]]+Prog_23[[#This Row],[ESTADIA 1]])</f>
        <v>0</v>
      </c>
      <c r="AY16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22" s="81"/>
      <c r="BA1622" s="81"/>
      <c r="BB1622" s="81">
        <f>Prog_23[[#This Row],[VLR NF]]*0.1%</f>
        <v>0</v>
      </c>
      <c r="BC1622" s="81">
        <f>Prog_23[[#This Row],[VLR NF]]*0.05%</f>
        <v>0</v>
      </c>
      <c r="BD1622" s="81"/>
      <c r="BE1622" s="81"/>
      <c r="BF1622" s="81"/>
      <c r="BG1622" s="81"/>
      <c r="BH1622" s="81"/>
      <c r="BI1622" s="81"/>
      <c r="BJ1622" s="81"/>
      <c r="BK1622" s="81"/>
      <c r="BL1622" s="81"/>
      <c r="BM1622" s="81"/>
      <c r="BN1622" s="66"/>
      <c r="BO1622" s="66"/>
      <c r="BP1622" s="66"/>
      <c r="BQ1622" s="66" t="str">
        <f>PROPER(TEXT(Prog_23[[#This Row],[PROGRAMAÇÃO CLIENTE]],"mmm"))</f>
        <v>Jan</v>
      </c>
      <c r="BR1622" s="66">
        <f>YEAR(Prog_23[[#This Row],[PROGRAMAÇÃO CLIENTE]])</f>
        <v>1900</v>
      </c>
    </row>
    <row r="1623" spans="1:70" x14ac:dyDescent="0.25">
      <c r="A1623" s="200">
        <f>Prog_23[[#This Row],[CONTEINER]]</f>
        <v>0</v>
      </c>
      <c r="B1623" s="86"/>
      <c r="C16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23" s="44"/>
      <c r="E1623" s="66"/>
      <c r="F1623" s="66"/>
      <c r="G1623" s="66"/>
      <c r="H1623" s="44"/>
      <c r="I1623" s="44"/>
      <c r="J1623" s="66"/>
      <c r="K1623" s="66"/>
      <c r="L1623" s="66"/>
      <c r="M1623" s="66"/>
      <c r="N1623" s="66">
        <f>SUM(Prog_23[[#This Row],[TARA]]+Prog_23[[#This Row],[PESO]])</f>
        <v>0</v>
      </c>
      <c r="O1623" s="44"/>
      <c r="P1623" s="66"/>
      <c r="Q1623" s="66"/>
      <c r="R1623" s="66"/>
      <c r="S1623" s="66"/>
      <c r="T1623" s="138" t="str">
        <f>IFERROR(LOOKUP($S1623,MOTORISTAS!$D$3:$D$916,MOTORISTAS!E$3:$E$916),"")</f>
        <v/>
      </c>
      <c r="U1623" s="138" t="str">
        <f>IFERROR(LOOKUP($S1623,MOTORISTAS!$D$3:$D$916,MOTORISTAS!F$3:$F$916),"")</f>
        <v/>
      </c>
      <c r="V1623" s="66"/>
      <c r="W1623" s="66"/>
      <c r="X1623" s="66"/>
      <c r="Y1623" s="66"/>
      <c r="Z1623" s="66"/>
      <c r="AA1623" s="66"/>
      <c r="AB1623" s="66"/>
      <c r="AC1623" s="66"/>
      <c r="AD1623" s="66"/>
      <c r="AE1623" s="66"/>
      <c r="AF1623" s="44"/>
      <c r="AG1623" s="254">
        <f>Prog_23[[#This Row],[SAÍDA DO CLIENTE]]-Prog_23[[#This Row],[PROGRAMAÇÃO CLIENTE]]</f>
        <v>0</v>
      </c>
      <c r="AH1623" s="44"/>
      <c r="AI1623" s="66"/>
      <c r="AJ1623" s="66"/>
      <c r="AK1623" s="66"/>
      <c r="AL1623" s="66"/>
      <c r="AM1623" s="66"/>
      <c r="AN1623" s="83"/>
      <c r="AO1623" s="83"/>
      <c r="AP1623" s="83"/>
      <c r="AQ1623" s="66"/>
      <c r="AR1623" s="66"/>
      <c r="AS1623" s="66"/>
      <c r="AT1623" s="81"/>
      <c r="AU1623" s="81"/>
      <c r="AV1623" s="81"/>
      <c r="AW1623" s="81"/>
      <c r="AX1623" s="83">
        <f>SUM(Prog_23[[#This Row],[ADIANTAMENTO]]+Prog_23[[#This Row],[SALDO]]+Prog_23[[#This Row],[MARGEM]]+Prog_23[[#This Row],[ESTADIA 1]])</f>
        <v>0</v>
      </c>
      <c r="AY16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23" s="81"/>
      <c r="BA1623" s="81"/>
      <c r="BB1623" s="81">
        <f>Prog_23[[#This Row],[VLR NF]]*0.1%</f>
        <v>0</v>
      </c>
      <c r="BC1623" s="81">
        <f>Prog_23[[#This Row],[VLR NF]]*0.05%</f>
        <v>0</v>
      </c>
      <c r="BD1623" s="81"/>
      <c r="BE1623" s="81"/>
      <c r="BF1623" s="81"/>
      <c r="BG1623" s="81"/>
      <c r="BH1623" s="81"/>
      <c r="BI1623" s="81"/>
      <c r="BJ1623" s="81"/>
      <c r="BK1623" s="81"/>
      <c r="BL1623" s="81"/>
      <c r="BM1623" s="81"/>
      <c r="BN1623" s="66"/>
      <c r="BO1623" s="66"/>
      <c r="BP1623" s="66"/>
      <c r="BQ1623" s="66" t="str">
        <f>PROPER(TEXT(Prog_23[[#This Row],[PROGRAMAÇÃO CLIENTE]],"mmm"))</f>
        <v>Jan</v>
      </c>
      <c r="BR1623" s="66">
        <f>YEAR(Prog_23[[#This Row],[PROGRAMAÇÃO CLIENTE]])</f>
        <v>1900</v>
      </c>
    </row>
    <row r="1624" spans="1:70" x14ac:dyDescent="0.25">
      <c r="A1624" s="201">
        <f>Prog_23[[#This Row],[CONTEINER]]</f>
        <v>0</v>
      </c>
      <c r="B1624" s="86"/>
      <c r="C16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24" s="44"/>
      <c r="E1624" s="66"/>
      <c r="F1624" s="66"/>
      <c r="G1624" s="66"/>
      <c r="H1624" s="44"/>
      <c r="I1624" s="44"/>
      <c r="J1624" s="66"/>
      <c r="K1624" s="66"/>
      <c r="L1624" s="66"/>
      <c r="M1624" s="66"/>
      <c r="N1624" s="66">
        <f>SUM(Prog_23[[#This Row],[TARA]]+Prog_23[[#This Row],[PESO]])</f>
        <v>0</v>
      </c>
      <c r="O1624" s="44"/>
      <c r="P1624" s="66"/>
      <c r="Q1624" s="66"/>
      <c r="R1624" s="66"/>
      <c r="S1624" s="66"/>
      <c r="T1624" s="138" t="str">
        <f>IFERROR(LOOKUP($S1624,MOTORISTAS!$D$3:$D$916,MOTORISTAS!E$3:$E$916),"")</f>
        <v/>
      </c>
      <c r="U1624" s="138" t="str">
        <f>IFERROR(LOOKUP($S1624,MOTORISTAS!$D$3:$D$916,MOTORISTAS!F$3:$F$916),"")</f>
        <v/>
      </c>
      <c r="V1624" s="66"/>
      <c r="W1624" s="66"/>
      <c r="X1624" s="66"/>
      <c r="Y1624" s="66"/>
      <c r="Z1624" s="66"/>
      <c r="AA1624" s="66"/>
      <c r="AB1624" s="66"/>
      <c r="AC1624" s="66"/>
      <c r="AD1624" s="66"/>
      <c r="AE1624" s="66"/>
      <c r="AF1624" s="44"/>
      <c r="AG1624" s="254">
        <f>Prog_23[[#This Row],[SAÍDA DO CLIENTE]]-Prog_23[[#This Row],[PROGRAMAÇÃO CLIENTE]]</f>
        <v>0</v>
      </c>
      <c r="AH1624" s="44"/>
      <c r="AI1624" s="66"/>
      <c r="AJ1624" s="66"/>
      <c r="AK1624" s="66"/>
      <c r="AL1624" s="66"/>
      <c r="AM1624" s="66"/>
      <c r="AN1624" s="83"/>
      <c r="AO1624" s="83"/>
      <c r="AP1624" s="83"/>
      <c r="AQ1624" s="66"/>
      <c r="AR1624" s="66"/>
      <c r="AS1624" s="66"/>
      <c r="AT1624" s="81"/>
      <c r="AU1624" s="81"/>
      <c r="AV1624" s="81"/>
      <c r="AW1624" s="81"/>
      <c r="AX1624" s="83">
        <f>SUM(Prog_23[[#This Row],[ADIANTAMENTO]]+Prog_23[[#This Row],[SALDO]]+Prog_23[[#This Row],[MARGEM]]+Prog_23[[#This Row],[ESTADIA 1]])</f>
        <v>0</v>
      </c>
      <c r="AY16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24" s="81"/>
      <c r="BA1624" s="81"/>
      <c r="BB1624" s="81">
        <f>Prog_23[[#This Row],[VLR NF]]*0.1%</f>
        <v>0</v>
      </c>
      <c r="BC1624" s="81">
        <f>Prog_23[[#This Row],[VLR NF]]*0.05%</f>
        <v>0</v>
      </c>
      <c r="BD1624" s="81"/>
      <c r="BE1624" s="81"/>
      <c r="BF1624" s="81"/>
      <c r="BG1624" s="81"/>
      <c r="BH1624" s="81"/>
      <c r="BI1624" s="81"/>
      <c r="BJ1624" s="81"/>
      <c r="BK1624" s="81"/>
      <c r="BL1624" s="81"/>
      <c r="BM1624" s="81"/>
      <c r="BN1624" s="66"/>
      <c r="BO1624" s="66"/>
      <c r="BP1624" s="66"/>
      <c r="BQ1624" s="66" t="str">
        <f>PROPER(TEXT(Prog_23[[#This Row],[PROGRAMAÇÃO CLIENTE]],"mmm"))</f>
        <v>Jan</v>
      </c>
      <c r="BR1624" s="66">
        <f>YEAR(Prog_23[[#This Row],[PROGRAMAÇÃO CLIENTE]])</f>
        <v>1900</v>
      </c>
    </row>
    <row r="1625" spans="1:70" x14ac:dyDescent="0.25">
      <c r="A1625" s="200">
        <f>Prog_23[[#This Row],[CONTEINER]]</f>
        <v>0</v>
      </c>
      <c r="B1625" s="86"/>
      <c r="C16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25" s="44"/>
      <c r="E1625" s="66"/>
      <c r="F1625" s="66"/>
      <c r="G1625" s="66"/>
      <c r="H1625" s="44"/>
      <c r="I1625" s="44"/>
      <c r="J1625" s="66"/>
      <c r="K1625" s="66"/>
      <c r="L1625" s="66"/>
      <c r="M1625" s="66"/>
      <c r="N1625" s="66">
        <f>SUM(Prog_23[[#This Row],[TARA]]+Prog_23[[#This Row],[PESO]])</f>
        <v>0</v>
      </c>
      <c r="O1625" s="44"/>
      <c r="P1625" s="66"/>
      <c r="Q1625" s="66"/>
      <c r="R1625" s="66"/>
      <c r="S1625" s="66"/>
      <c r="T1625" s="138" t="str">
        <f>IFERROR(LOOKUP($S1625,MOTORISTAS!$D$3:$D$916,MOTORISTAS!E$3:$E$916),"")</f>
        <v/>
      </c>
      <c r="U1625" s="138" t="str">
        <f>IFERROR(LOOKUP($S1625,MOTORISTAS!$D$3:$D$916,MOTORISTAS!F$3:$F$916),"")</f>
        <v/>
      </c>
      <c r="V1625" s="66"/>
      <c r="W1625" s="66"/>
      <c r="X1625" s="66"/>
      <c r="Y1625" s="66"/>
      <c r="Z1625" s="66"/>
      <c r="AA1625" s="66"/>
      <c r="AB1625" s="66"/>
      <c r="AC1625" s="66"/>
      <c r="AD1625" s="66"/>
      <c r="AE1625" s="66"/>
      <c r="AF1625" s="44"/>
      <c r="AG1625" s="254">
        <f>Prog_23[[#This Row],[SAÍDA DO CLIENTE]]-Prog_23[[#This Row],[PROGRAMAÇÃO CLIENTE]]</f>
        <v>0</v>
      </c>
      <c r="AH1625" s="44"/>
      <c r="AI1625" s="66"/>
      <c r="AJ1625" s="66"/>
      <c r="AK1625" s="66"/>
      <c r="AL1625" s="66"/>
      <c r="AM1625" s="66"/>
      <c r="AN1625" s="83"/>
      <c r="AO1625" s="83"/>
      <c r="AP1625" s="83"/>
      <c r="AQ1625" s="66"/>
      <c r="AR1625" s="66"/>
      <c r="AS1625" s="66"/>
      <c r="AT1625" s="81"/>
      <c r="AU1625" s="81"/>
      <c r="AV1625" s="81"/>
      <c r="AW1625" s="81"/>
      <c r="AX1625" s="83">
        <f>SUM(Prog_23[[#This Row],[ADIANTAMENTO]]+Prog_23[[#This Row],[SALDO]]+Prog_23[[#This Row],[MARGEM]]+Prog_23[[#This Row],[ESTADIA 1]])</f>
        <v>0</v>
      </c>
      <c r="AY16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25" s="81"/>
      <c r="BA1625" s="81"/>
      <c r="BB1625" s="81">
        <f>Prog_23[[#This Row],[VLR NF]]*0.1%</f>
        <v>0</v>
      </c>
      <c r="BC1625" s="81">
        <f>Prog_23[[#This Row],[VLR NF]]*0.05%</f>
        <v>0</v>
      </c>
      <c r="BD1625" s="81"/>
      <c r="BE1625" s="81"/>
      <c r="BF1625" s="81"/>
      <c r="BG1625" s="81"/>
      <c r="BH1625" s="81"/>
      <c r="BI1625" s="81"/>
      <c r="BJ1625" s="81"/>
      <c r="BK1625" s="81"/>
      <c r="BL1625" s="81"/>
      <c r="BM1625" s="81"/>
      <c r="BN1625" s="66"/>
      <c r="BO1625" s="66"/>
      <c r="BP1625" s="66"/>
      <c r="BQ1625" s="66" t="str">
        <f>PROPER(TEXT(Prog_23[[#This Row],[PROGRAMAÇÃO CLIENTE]],"mmm"))</f>
        <v>Jan</v>
      </c>
      <c r="BR1625" s="66">
        <f>YEAR(Prog_23[[#This Row],[PROGRAMAÇÃO CLIENTE]])</f>
        <v>1900</v>
      </c>
    </row>
    <row r="1626" spans="1:70" x14ac:dyDescent="0.25">
      <c r="A1626" s="201">
        <f>Prog_23[[#This Row],[CONTEINER]]</f>
        <v>0</v>
      </c>
      <c r="B1626" s="86"/>
      <c r="C16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26" s="44"/>
      <c r="E1626" s="66"/>
      <c r="F1626" s="66"/>
      <c r="G1626" s="66"/>
      <c r="H1626" s="44"/>
      <c r="I1626" s="44"/>
      <c r="J1626" s="66"/>
      <c r="K1626" s="66"/>
      <c r="L1626" s="66"/>
      <c r="M1626" s="66"/>
      <c r="N1626" s="66">
        <f>SUM(Prog_23[[#This Row],[TARA]]+Prog_23[[#This Row],[PESO]])</f>
        <v>0</v>
      </c>
      <c r="O1626" s="44"/>
      <c r="P1626" s="66"/>
      <c r="Q1626" s="66"/>
      <c r="R1626" s="66"/>
      <c r="S1626" s="66"/>
      <c r="T1626" s="138" t="str">
        <f>IFERROR(LOOKUP($S1626,MOTORISTAS!$D$3:$D$916,MOTORISTAS!E$3:$E$916),"")</f>
        <v/>
      </c>
      <c r="U1626" s="138" t="str">
        <f>IFERROR(LOOKUP($S1626,MOTORISTAS!$D$3:$D$916,MOTORISTAS!F$3:$F$916),"")</f>
        <v/>
      </c>
      <c r="V1626" s="66"/>
      <c r="W1626" s="66"/>
      <c r="X1626" s="66"/>
      <c r="Y1626" s="66"/>
      <c r="Z1626" s="66"/>
      <c r="AA1626" s="66"/>
      <c r="AB1626" s="66"/>
      <c r="AC1626" s="66"/>
      <c r="AD1626" s="66"/>
      <c r="AE1626" s="66"/>
      <c r="AF1626" s="44"/>
      <c r="AG1626" s="254">
        <f>Prog_23[[#This Row],[SAÍDA DO CLIENTE]]-Prog_23[[#This Row],[PROGRAMAÇÃO CLIENTE]]</f>
        <v>0</v>
      </c>
      <c r="AH1626" s="44"/>
      <c r="AI1626" s="66"/>
      <c r="AJ1626" s="66"/>
      <c r="AK1626" s="66"/>
      <c r="AL1626" s="66"/>
      <c r="AM1626" s="66"/>
      <c r="AN1626" s="83"/>
      <c r="AO1626" s="83"/>
      <c r="AP1626" s="83"/>
      <c r="AQ1626" s="66"/>
      <c r="AR1626" s="66"/>
      <c r="AS1626" s="66"/>
      <c r="AT1626" s="81"/>
      <c r="AU1626" s="81"/>
      <c r="AV1626" s="81"/>
      <c r="AW1626" s="81"/>
      <c r="AX1626" s="83">
        <f>SUM(Prog_23[[#This Row],[ADIANTAMENTO]]+Prog_23[[#This Row],[SALDO]]+Prog_23[[#This Row],[MARGEM]]+Prog_23[[#This Row],[ESTADIA 1]])</f>
        <v>0</v>
      </c>
      <c r="AY16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26" s="81"/>
      <c r="BA1626" s="81"/>
      <c r="BB1626" s="81">
        <f>Prog_23[[#This Row],[VLR NF]]*0.1%</f>
        <v>0</v>
      </c>
      <c r="BC1626" s="81">
        <f>Prog_23[[#This Row],[VLR NF]]*0.05%</f>
        <v>0</v>
      </c>
      <c r="BD1626" s="81"/>
      <c r="BE1626" s="81"/>
      <c r="BF1626" s="81"/>
      <c r="BG1626" s="81"/>
      <c r="BH1626" s="81"/>
      <c r="BI1626" s="81"/>
      <c r="BJ1626" s="81"/>
      <c r="BK1626" s="81"/>
      <c r="BL1626" s="81"/>
      <c r="BM1626" s="81"/>
      <c r="BN1626" s="66"/>
      <c r="BO1626" s="66"/>
      <c r="BP1626" s="66"/>
      <c r="BQ1626" s="66" t="str">
        <f>PROPER(TEXT(Prog_23[[#This Row],[PROGRAMAÇÃO CLIENTE]],"mmm"))</f>
        <v>Jan</v>
      </c>
      <c r="BR1626" s="66">
        <f>YEAR(Prog_23[[#This Row],[PROGRAMAÇÃO CLIENTE]])</f>
        <v>1900</v>
      </c>
    </row>
    <row r="1627" spans="1:70" x14ac:dyDescent="0.25">
      <c r="A1627" s="200">
        <f>Prog_23[[#This Row],[CONTEINER]]</f>
        <v>0</v>
      </c>
      <c r="B1627" s="86"/>
      <c r="C16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27" s="44"/>
      <c r="E1627" s="66"/>
      <c r="F1627" s="66"/>
      <c r="G1627" s="66"/>
      <c r="H1627" s="44"/>
      <c r="I1627" s="44"/>
      <c r="J1627" s="66"/>
      <c r="K1627" s="66"/>
      <c r="L1627" s="66"/>
      <c r="M1627" s="66"/>
      <c r="N1627" s="66">
        <f>SUM(Prog_23[[#This Row],[TARA]]+Prog_23[[#This Row],[PESO]])</f>
        <v>0</v>
      </c>
      <c r="O1627" s="44"/>
      <c r="P1627" s="66"/>
      <c r="Q1627" s="66"/>
      <c r="R1627" s="66"/>
      <c r="S1627" s="66"/>
      <c r="T1627" s="138" t="str">
        <f>IFERROR(LOOKUP($S1627,MOTORISTAS!$D$3:$D$916,MOTORISTAS!E$3:$E$916),"")</f>
        <v/>
      </c>
      <c r="U1627" s="138" t="str">
        <f>IFERROR(LOOKUP($S1627,MOTORISTAS!$D$3:$D$916,MOTORISTAS!F$3:$F$916),"")</f>
        <v/>
      </c>
      <c r="V1627" s="66"/>
      <c r="W1627" s="66"/>
      <c r="X1627" s="66"/>
      <c r="Y1627" s="66"/>
      <c r="Z1627" s="66"/>
      <c r="AA1627" s="66"/>
      <c r="AB1627" s="66"/>
      <c r="AC1627" s="66"/>
      <c r="AD1627" s="66"/>
      <c r="AE1627" s="66"/>
      <c r="AF1627" s="44"/>
      <c r="AG1627" s="254">
        <f>Prog_23[[#This Row],[SAÍDA DO CLIENTE]]-Prog_23[[#This Row],[PROGRAMAÇÃO CLIENTE]]</f>
        <v>0</v>
      </c>
      <c r="AH1627" s="44"/>
      <c r="AI1627" s="66"/>
      <c r="AJ1627" s="66"/>
      <c r="AK1627" s="66"/>
      <c r="AL1627" s="66"/>
      <c r="AM1627" s="66"/>
      <c r="AN1627" s="83"/>
      <c r="AO1627" s="83"/>
      <c r="AP1627" s="83"/>
      <c r="AQ1627" s="66"/>
      <c r="AR1627" s="66"/>
      <c r="AS1627" s="66"/>
      <c r="AT1627" s="81"/>
      <c r="AU1627" s="81"/>
      <c r="AV1627" s="81"/>
      <c r="AW1627" s="81"/>
      <c r="AX1627" s="83">
        <f>SUM(Prog_23[[#This Row],[ADIANTAMENTO]]+Prog_23[[#This Row],[SALDO]]+Prog_23[[#This Row],[MARGEM]]+Prog_23[[#This Row],[ESTADIA 1]])</f>
        <v>0</v>
      </c>
      <c r="AY16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27" s="81"/>
      <c r="BA1627" s="81"/>
      <c r="BB1627" s="81">
        <f>Prog_23[[#This Row],[VLR NF]]*0.1%</f>
        <v>0</v>
      </c>
      <c r="BC1627" s="81">
        <f>Prog_23[[#This Row],[VLR NF]]*0.05%</f>
        <v>0</v>
      </c>
      <c r="BD1627" s="81"/>
      <c r="BE1627" s="81"/>
      <c r="BF1627" s="81"/>
      <c r="BG1627" s="81"/>
      <c r="BH1627" s="81"/>
      <c r="BI1627" s="81"/>
      <c r="BJ1627" s="81"/>
      <c r="BK1627" s="81"/>
      <c r="BL1627" s="81"/>
      <c r="BM1627" s="81"/>
      <c r="BN1627" s="66"/>
      <c r="BO1627" s="66"/>
      <c r="BP1627" s="66"/>
      <c r="BQ1627" s="66" t="str">
        <f>PROPER(TEXT(Prog_23[[#This Row],[PROGRAMAÇÃO CLIENTE]],"mmm"))</f>
        <v>Jan</v>
      </c>
      <c r="BR1627" s="66">
        <f>YEAR(Prog_23[[#This Row],[PROGRAMAÇÃO CLIENTE]])</f>
        <v>1900</v>
      </c>
    </row>
    <row r="1628" spans="1:70" x14ac:dyDescent="0.25">
      <c r="A1628" s="201">
        <f>Prog_23[[#This Row],[CONTEINER]]</f>
        <v>0</v>
      </c>
      <c r="B1628" s="86"/>
      <c r="C16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28" s="44"/>
      <c r="E1628" s="66"/>
      <c r="F1628" s="66"/>
      <c r="G1628" s="66"/>
      <c r="H1628" s="44"/>
      <c r="I1628" s="44"/>
      <c r="J1628" s="66"/>
      <c r="K1628" s="66"/>
      <c r="L1628" s="66"/>
      <c r="M1628" s="66"/>
      <c r="N1628" s="66">
        <f>SUM(Prog_23[[#This Row],[TARA]]+Prog_23[[#This Row],[PESO]])</f>
        <v>0</v>
      </c>
      <c r="O1628" s="44"/>
      <c r="P1628" s="66"/>
      <c r="Q1628" s="66"/>
      <c r="R1628" s="66"/>
      <c r="S1628" s="66"/>
      <c r="T1628" s="138" t="str">
        <f>IFERROR(LOOKUP($S1628,MOTORISTAS!$D$3:$D$916,MOTORISTAS!E$3:$E$916),"")</f>
        <v/>
      </c>
      <c r="U1628" s="138" t="str">
        <f>IFERROR(LOOKUP($S1628,MOTORISTAS!$D$3:$D$916,MOTORISTAS!F$3:$F$916),"")</f>
        <v/>
      </c>
      <c r="V1628" s="66"/>
      <c r="W1628" s="66"/>
      <c r="X1628" s="66"/>
      <c r="Y1628" s="66"/>
      <c r="Z1628" s="66"/>
      <c r="AA1628" s="66"/>
      <c r="AB1628" s="66"/>
      <c r="AC1628" s="66"/>
      <c r="AD1628" s="66"/>
      <c r="AE1628" s="66"/>
      <c r="AF1628" s="44"/>
      <c r="AG1628" s="254">
        <f>Prog_23[[#This Row],[SAÍDA DO CLIENTE]]-Prog_23[[#This Row],[PROGRAMAÇÃO CLIENTE]]</f>
        <v>0</v>
      </c>
      <c r="AH1628" s="44"/>
      <c r="AI1628" s="66"/>
      <c r="AJ1628" s="66"/>
      <c r="AK1628" s="66"/>
      <c r="AL1628" s="66"/>
      <c r="AM1628" s="66"/>
      <c r="AN1628" s="83"/>
      <c r="AO1628" s="83"/>
      <c r="AP1628" s="83"/>
      <c r="AQ1628" s="66"/>
      <c r="AR1628" s="66"/>
      <c r="AS1628" s="66"/>
      <c r="AT1628" s="81"/>
      <c r="AU1628" s="81"/>
      <c r="AV1628" s="81"/>
      <c r="AW1628" s="81"/>
      <c r="AX1628" s="83">
        <f>SUM(Prog_23[[#This Row],[ADIANTAMENTO]]+Prog_23[[#This Row],[SALDO]]+Prog_23[[#This Row],[MARGEM]]+Prog_23[[#This Row],[ESTADIA 1]])</f>
        <v>0</v>
      </c>
      <c r="AY16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28" s="81"/>
      <c r="BA1628" s="81"/>
      <c r="BB1628" s="81">
        <f>Prog_23[[#This Row],[VLR NF]]*0.1%</f>
        <v>0</v>
      </c>
      <c r="BC1628" s="81">
        <f>Prog_23[[#This Row],[VLR NF]]*0.05%</f>
        <v>0</v>
      </c>
      <c r="BD1628" s="81"/>
      <c r="BE1628" s="81"/>
      <c r="BF1628" s="81"/>
      <c r="BG1628" s="81"/>
      <c r="BH1628" s="81"/>
      <c r="BI1628" s="81"/>
      <c r="BJ1628" s="81"/>
      <c r="BK1628" s="81"/>
      <c r="BL1628" s="81"/>
      <c r="BM1628" s="81"/>
      <c r="BN1628" s="66"/>
      <c r="BO1628" s="66"/>
      <c r="BP1628" s="66"/>
      <c r="BQ1628" s="66" t="str">
        <f>PROPER(TEXT(Prog_23[[#This Row],[PROGRAMAÇÃO CLIENTE]],"mmm"))</f>
        <v>Jan</v>
      </c>
      <c r="BR1628" s="66">
        <f>YEAR(Prog_23[[#This Row],[PROGRAMAÇÃO CLIENTE]])</f>
        <v>1900</v>
      </c>
    </row>
    <row r="1629" spans="1:70" x14ac:dyDescent="0.25">
      <c r="A1629" s="200">
        <f>Prog_23[[#This Row],[CONTEINER]]</f>
        <v>0</v>
      </c>
      <c r="B1629" s="86"/>
      <c r="C16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29" s="44"/>
      <c r="E1629" s="66"/>
      <c r="F1629" s="66"/>
      <c r="G1629" s="66"/>
      <c r="H1629" s="44"/>
      <c r="I1629" s="44"/>
      <c r="J1629" s="66"/>
      <c r="K1629" s="66"/>
      <c r="L1629" s="66"/>
      <c r="M1629" s="66"/>
      <c r="N1629" s="66">
        <f>SUM(Prog_23[[#This Row],[TARA]]+Prog_23[[#This Row],[PESO]])</f>
        <v>0</v>
      </c>
      <c r="O1629" s="44"/>
      <c r="P1629" s="66"/>
      <c r="Q1629" s="66"/>
      <c r="R1629" s="66"/>
      <c r="S1629" s="66"/>
      <c r="T1629" s="138" t="str">
        <f>IFERROR(LOOKUP($S1629,MOTORISTAS!$D$3:$D$916,MOTORISTAS!E$3:$E$916),"")</f>
        <v/>
      </c>
      <c r="U1629" s="138" t="str">
        <f>IFERROR(LOOKUP($S1629,MOTORISTAS!$D$3:$D$916,MOTORISTAS!F$3:$F$916),"")</f>
        <v/>
      </c>
      <c r="V1629" s="66"/>
      <c r="W1629" s="66"/>
      <c r="X1629" s="66"/>
      <c r="Y1629" s="66"/>
      <c r="Z1629" s="66"/>
      <c r="AA1629" s="66"/>
      <c r="AB1629" s="66"/>
      <c r="AC1629" s="66"/>
      <c r="AD1629" s="66"/>
      <c r="AE1629" s="66"/>
      <c r="AF1629" s="44"/>
      <c r="AG1629" s="254">
        <f>Prog_23[[#This Row],[SAÍDA DO CLIENTE]]-Prog_23[[#This Row],[PROGRAMAÇÃO CLIENTE]]</f>
        <v>0</v>
      </c>
      <c r="AH1629" s="44"/>
      <c r="AI1629" s="66"/>
      <c r="AJ1629" s="66"/>
      <c r="AK1629" s="66"/>
      <c r="AL1629" s="66"/>
      <c r="AM1629" s="66"/>
      <c r="AN1629" s="83"/>
      <c r="AO1629" s="83"/>
      <c r="AP1629" s="83"/>
      <c r="AQ1629" s="66"/>
      <c r="AR1629" s="66"/>
      <c r="AS1629" s="66"/>
      <c r="AT1629" s="81"/>
      <c r="AU1629" s="81"/>
      <c r="AV1629" s="81"/>
      <c r="AW1629" s="81"/>
      <c r="AX1629" s="83">
        <f>SUM(Prog_23[[#This Row],[ADIANTAMENTO]]+Prog_23[[#This Row],[SALDO]]+Prog_23[[#This Row],[MARGEM]]+Prog_23[[#This Row],[ESTADIA 1]])</f>
        <v>0</v>
      </c>
      <c r="AY16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29" s="81"/>
      <c r="BA1629" s="81"/>
      <c r="BB1629" s="81">
        <f>Prog_23[[#This Row],[VLR NF]]*0.1%</f>
        <v>0</v>
      </c>
      <c r="BC1629" s="81">
        <f>Prog_23[[#This Row],[VLR NF]]*0.05%</f>
        <v>0</v>
      </c>
      <c r="BD1629" s="81"/>
      <c r="BE1629" s="81"/>
      <c r="BF1629" s="81"/>
      <c r="BG1629" s="81"/>
      <c r="BH1629" s="81"/>
      <c r="BI1629" s="81"/>
      <c r="BJ1629" s="81"/>
      <c r="BK1629" s="81"/>
      <c r="BL1629" s="81"/>
      <c r="BM1629" s="81"/>
      <c r="BN1629" s="66"/>
      <c r="BO1629" s="66"/>
      <c r="BP1629" s="66"/>
      <c r="BQ1629" s="66" t="str">
        <f>PROPER(TEXT(Prog_23[[#This Row],[PROGRAMAÇÃO CLIENTE]],"mmm"))</f>
        <v>Jan</v>
      </c>
      <c r="BR1629" s="66">
        <f>YEAR(Prog_23[[#This Row],[PROGRAMAÇÃO CLIENTE]])</f>
        <v>1900</v>
      </c>
    </row>
    <row r="1630" spans="1:70" x14ac:dyDescent="0.25">
      <c r="A1630" s="201">
        <f>Prog_23[[#This Row],[CONTEINER]]</f>
        <v>0</v>
      </c>
      <c r="B1630" s="86"/>
      <c r="C16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30" s="44"/>
      <c r="E1630" s="66"/>
      <c r="F1630" s="66"/>
      <c r="G1630" s="66"/>
      <c r="H1630" s="44"/>
      <c r="I1630" s="44"/>
      <c r="J1630" s="66"/>
      <c r="K1630" s="66"/>
      <c r="L1630" s="66"/>
      <c r="M1630" s="66"/>
      <c r="N1630" s="66">
        <f>SUM(Prog_23[[#This Row],[TARA]]+Prog_23[[#This Row],[PESO]])</f>
        <v>0</v>
      </c>
      <c r="O1630" s="44"/>
      <c r="P1630" s="66"/>
      <c r="Q1630" s="66"/>
      <c r="R1630" s="66"/>
      <c r="S1630" s="66"/>
      <c r="T1630" s="138" t="str">
        <f>IFERROR(LOOKUP($S1630,MOTORISTAS!$D$3:$D$916,MOTORISTAS!E$3:$E$916),"")</f>
        <v/>
      </c>
      <c r="U1630" s="138" t="str">
        <f>IFERROR(LOOKUP($S1630,MOTORISTAS!$D$3:$D$916,MOTORISTAS!F$3:$F$916),"")</f>
        <v/>
      </c>
      <c r="V1630" s="66"/>
      <c r="W1630" s="66"/>
      <c r="X1630" s="66"/>
      <c r="Y1630" s="66"/>
      <c r="Z1630" s="66"/>
      <c r="AA1630" s="66"/>
      <c r="AB1630" s="66"/>
      <c r="AC1630" s="66"/>
      <c r="AD1630" s="66"/>
      <c r="AE1630" s="66"/>
      <c r="AF1630" s="44"/>
      <c r="AG1630" s="254">
        <f>Prog_23[[#This Row],[SAÍDA DO CLIENTE]]-Prog_23[[#This Row],[PROGRAMAÇÃO CLIENTE]]</f>
        <v>0</v>
      </c>
      <c r="AH1630" s="44"/>
      <c r="AI1630" s="66"/>
      <c r="AJ1630" s="66"/>
      <c r="AK1630" s="66"/>
      <c r="AL1630" s="66"/>
      <c r="AM1630" s="66"/>
      <c r="AN1630" s="83"/>
      <c r="AO1630" s="83"/>
      <c r="AP1630" s="83"/>
      <c r="AQ1630" s="66"/>
      <c r="AR1630" s="66"/>
      <c r="AS1630" s="66"/>
      <c r="AT1630" s="81"/>
      <c r="AU1630" s="81"/>
      <c r="AV1630" s="81"/>
      <c r="AW1630" s="81"/>
      <c r="AX1630" s="83">
        <f>SUM(Prog_23[[#This Row],[ADIANTAMENTO]]+Prog_23[[#This Row],[SALDO]]+Prog_23[[#This Row],[MARGEM]]+Prog_23[[#This Row],[ESTADIA 1]])</f>
        <v>0</v>
      </c>
      <c r="AY16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30" s="81"/>
      <c r="BA1630" s="81"/>
      <c r="BB1630" s="81">
        <f>Prog_23[[#This Row],[VLR NF]]*0.1%</f>
        <v>0</v>
      </c>
      <c r="BC1630" s="81">
        <f>Prog_23[[#This Row],[VLR NF]]*0.05%</f>
        <v>0</v>
      </c>
      <c r="BD1630" s="81"/>
      <c r="BE1630" s="81"/>
      <c r="BF1630" s="81"/>
      <c r="BG1630" s="81"/>
      <c r="BH1630" s="81"/>
      <c r="BI1630" s="81"/>
      <c r="BJ1630" s="81"/>
      <c r="BK1630" s="81"/>
      <c r="BL1630" s="81"/>
      <c r="BM1630" s="81"/>
      <c r="BN1630" s="66"/>
      <c r="BO1630" s="66"/>
      <c r="BP1630" s="66"/>
      <c r="BQ1630" s="66" t="str">
        <f>PROPER(TEXT(Prog_23[[#This Row],[PROGRAMAÇÃO CLIENTE]],"mmm"))</f>
        <v>Jan</v>
      </c>
      <c r="BR1630" s="66">
        <f>YEAR(Prog_23[[#This Row],[PROGRAMAÇÃO CLIENTE]])</f>
        <v>1900</v>
      </c>
    </row>
    <row r="1631" spans="1:70" x14ac:dyDescent="0.25">
      <c r="A1631" s="200">
        <f>Prog_23[[#This Row],[CONTEINER]]</f>
        <v>0</v>
      </c>
      <c r="B1631" s="86"/>
      <c r="C16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31" s="44"/>
      <c r="E1631" s="66"/>
      <c r="F1631" s="66"/>
      <c r="G1631" s="66"/>
      <c r="H1631" s="44"/>
      <c r="I1631" s="44"/>
      <c r="J1631" s="66"/>
      <c r="K1631" s="66"/>
      <c r="L1631" s="66"/>
      <c r="M1631" s="66"/>
      <c r="N1631" s="66">
        <f>SUM(Prog_23[[#This Row],[TARA]]+Prog_23[[#This Row],[PESO]])</f>
        <v>0</v>
      </c>
      <c r="O1631" s="44"/>
      <c r="P1631" s="66"/>
      <c r="Q1631" s="66"/>
      <c r="R1631" s="66"/>
      <c r="S1631" s="66"/>
      <c r="T1631" s="138" t="str">
        <f>IFERROR(LOOKUP($S1631,MOTORISTAS!$D$3:$D$916,MOTORISTAS!E$3:$E$916),"")</f>
        <v/>
      </c>
      <c r="U1631" s="138" t="str">
        <f>IFERROR(LOOKUP($S1631,MOTORISTAS!$D$3:$D$916,MOTORISTAS!F$3:$F$916),"")</f>
        <v/>
      </c>
      <c r="V1631" s="66"/>
      <c r="W1631" s="66"/>
      <c r="X1631" s="66"/>
      <c r="Y1631" s="66"/>
      <c r="Z1631" s="66"/>
      <c r="AA1631" s="66"/>
      <c r="AB1631" s="66"/>
      <c r="AC1631" s="66"/>
      <c r="AD1631" s="66"/>
      <c r="AE1631" s="66"/>
      <c r="AF1631" s="44"/>
      <c r="AG1631" s="254">
        <f>Prog_23[[#This Row],[SAÍDA DO CLIENTE]]-Prog_23[[#This Row],[PROGRAMAÇÃO CLIENTE]]</f>
        <v>0</v>
      </c>
      <c r="AH1631" s="44"/>
      <c r="AI1631" s="66"/>
      <c r="AJ1631" s="66"/>
      <c r="AK1631" s="66"/>
      <c r="AL1631" s="66"/>
      <c r="AM1631" s="66"/>
      <c r="AN1631" s="83"/>
      <c r="AO1631" s="83"/>
      <c r="AP1631" s="83"/>
      <c r="AQ1631" s="66"/>
      <c r="AR1631" s="66"/>
      <c r="AS1631" s="66"/>
      <c r="AT1631" s="81"/>
      <c r="AU1631" s="81"/>
      <c r="AV1631" s="81"/>
      <c r="AW1631" s="81"/>
      <c r="AX1631" s="83">
        <f>SUM(Prog_23[[#This Row],[ADIANTAMENTO]]+Prog_23[[#This Row],[SALDO]]+Prog_23[[#This Row],[MARGEM]]+Prog_23[[#This Row],[ESTADIA 1]])</f>
        <v>0</v>
      </c>
      <c r="AY16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31" s="81"/>
      <c r="BA1631" s="81"/>
      <c r="BB1631" s="81">
        <f>Prog_23[[#This Row],[VLR NF]]*0.1%</f>
        <v>0</v>
      </c>
      <c r="BC1631" s="81">
        <f>Prog_23[[#This Row],[VLR NF]]*0.05%</f>
        <v>0</v>
      </c>
      <c r="BD1631" s="81"/>
      <c r="BE1631" s="81"/>
      <c r="BF1631" s="81"/>
      <c r="BG1631" s="81"/>
      <c r="BH1631" s="81"/>
      <c r="BI1631" s="81"/>
      <c r="BJ1631" s="81"/>
      <c r="BK1631" s="81"/>
      <c r="BL1631" s="81"/>
      <c r="BM1631" s="81"/>
      <c r="BN1631" s="66"/>
      <c r="BO1631" s="66"/>
      <c r="BP1631" s="66"/>
      <c r="BQ1631" s="66" t="str">
        <f>PROPER(TEXT(Prog_23[[#This Row],[PROGRAMAÇÃO CLIENTE]],"mmm"))</f>
        <v>Jan</v>
      </c>
      <c r="BR1631" s="66">
        <f>YEAR(Prog_23[[#This Row],[PROGRAMAÇÃO CLIENTE]])</f>
        <v>1900</v>
      </c>
    </row>
    <row r="1632" spans="1:70" x14ac:dyDescent="0.25">
      <c r="A1632" s="201">
        <f>Prog_23[[#This Row],[CONTEINER]]</f>
        <v>0</v>
      </c>
      <c r="B1632" s="86"/>
      <c r="C16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32" s="44"/>
      <c r="E1632" s="66"/>
      <c r="F1632" s="66"/>
      <c r="G1632" s="66"/>
      <c r="H1632" s="44"/>
      <c r="I1632" s="44"/>
      <c r="J1632" s="66"/>
      <c r="K1632" s="66"/>
      <c r="L1632" s="66"/>
      <c r="M1632" s="66"/>
      <c r="N1632" s="66">
        <f>SUM(Prog_23[[#This Row],[TARA]]+Prog_23[[#This Row],[PESO]])</f>
        <v>0</v>
      </c>
      <c r="O1632" s="44"/>
      <c r="P1632" s="66"/>
      <c r="Q1632" s="66"/>
      <c r="R1632" s="66"/>
      <c r="S1632" s="66"/>
      <c r="T1632" s="138" t="str">
        <f>IFERROR(LOOKUP($S1632,MOTORISTAS!$D$3:$D$916,MOTORISTAS!E$3:$E$916),"")</f>
        <v/>
      </c>
      <c r="U1632" s="138" t="str">
        <f>IFERROR(LOOKUP($S1632,MOTORISTAS!$D$3:$D$916,MOTORISTAS!F$3:$F$916),"")</f>
        <v/>
      </c>
      <c r="V1632" s="66"/>
      <c r="W1632" s="66"/>
      <c r="X1632" s="66"/>
      <c r="Y1632" s="66"/>
      <c r="Z1632" s="66"/>
      <c r="AA1632" s="66"/>
      <c r="AB1632" s="66"/>
      <c r="AC1632" s="66"/>
      <c r="AD1632" s="66"/>
      <c r="AE1632" s="66"/>
      <c r="AF1632" s="44"/>
      <c r="AG1632" s="254">
        <f>Prog_23[[#This Row],[SAÍDA DO CLIENTE]]-Prog_23[[#This Row],[PROGRAMAÇÃO CLIENTE]]</f>
        <v>0</v>
      </c>
      <c r="AH1632" s="44"/>
      <c r="AI1632" s="66"/>
      <c r="AJ1632" s="66"/>
      <c r="AK1632" s="66"/>
      <c r="AL1632" s="66"/>
      <c r="AM1632" s="66"/>
      <c r="AN1632" s="83"/>
      <c r="AO1632" s="83"/>
      <c r="AP1632" s="83"/>
      <c r="AQ1632" s="66"/>
      <c r="AR1632" s="66"/>
      <c r="AS1632" s="66"/>
      <c r="AT1632" s="81"/>
      <c r="AU1632" s="81"/>
      <c r="AV1632" s="81"/>
      <c r="AW1632" s="81"/>
      <c r="AX1632" s="83">
        <f>SUM(Prog_23[[#This Row],[ADIANTAMENTO]]+Prog_23[[#This Row],[SALDO]]+Prog_23[[#This Row],[MARGEM]]+Prog_23[[#This Row],[ESTADIA 1]])</f>
        <v>0</v>
      </c>
      <c r="AY16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32" s="81"/>
      <c r="BA1632" s="81"/>
      <c r="BB1632" s="81">
        <f>Prog_23[[#This Row],[VLR NF]]*0.1%</f>
        <v>0</v>
      </c>
      <c r="BC1632" s="81">
        <f>Prog_23[[#This Row],[VLR NF]]*0.05%</f>
        <v>0</v>
      </c>
      <c r="BD1632" s="81"/>
      <c r="BE1632" s="81"/>
      <c r="BF1632" s="81"/>
      <c r="BG1632" s="81"/>
      <c r="BH1632" s="81"/>
      <c r="BI1632" s="81"/>
      <c r="BJ1632" s="81"/>
      <c r="BK1632" s="81"/>
      <c r="BL1632" s="81"/>
      <c r="BM1632" s="81"/>
      <c r="BN1632" s="66"/>
      <c r="BO1632" s="66"/>
      <c r="BP1632" s="66"/>
      <c r="BQ1632" s="66" t="str">
        <f>PROPER(TEXT(Prog_23[[#This Row],[PROGRAMAÇÃO CLIENTE]],"mmm"))</f>
        <v>Jan</v>
      </c>
      <c r="BR1632" s="66">
        <f>YEAR(Prog_23[[#This Row],[PROGRAMAÇÃO CLIENTE]])</f>
        <v>1900</v>
      </c>
    </row>
    <row r="1633" spans="1:70" x14ac:dyDescent="0.25">
      <c r="A1633" s="200">
        <f>Prog_23[[#This Row],[CONTEINER]]</f>
        <v>0</v>
      </c>
      <c r="B1633" s="86"/>
      <c r="C16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33" s="44"/>
      <c r="E1633" s="66"/>
      <c r="F1633" s="66"/>
      <c r="G1633" s="66"/>
      <c r="H1633" s="44"/>
      <c r="I1633" s="44"/>
      <c r="J1633" s="66"/>
      <c r="K1633" s="66"/>
      <c r="L1633" s="66"/>
      <c r="M1633" s="66"/>
      <c r="N1633" s="66">
        <f>SUM(Prog_23[[#This Row],[TARA]]+Prog_23[[#This Row],[PESO]])</f>
        <v>0</v>
      </c>
      <c r="O1633" s="44"/>
      <c r="P1633" s="66"/>
      <c r="Q1633" s="66"/>
      <c r="R1633" s="66"/>
      <c r="S1633" s="66"/>
      <c r="T1633" s="138" t="str">
        <f>IFERROR(LOOKUP($S1633,MOTORISTAS!$D$3:$D$916,MOTORISTAS!E$3:$E$916),"")</f>
        <v/>
      </c>
      <c r="U1633" s="138" t="str">
        <f>IFERROR(LOOKUP($S1633,MOTORISTAS!$D$3:$D$916,MOTORISTAS!F$3:$F$916),"")</f>
        <v/>
      </c>
      <c r="V1633" s="66"/>
      <c r="W1633" s="66"/>
      <c r="X1633" s="66"/>
      <c r="Y1633" s="66"/>
      <c r="Z1633" s="66"/>
      <c r="AA1633" s="66"/>
      <c r="AB1633" s="66"/>
      <c r="AC1633" s="66"/>
      <c r="AD1633" s="66"/>
      <c r="AE1633" s="66"/>
      <c r="AF1633" s="44"/>
      <c r="AG1633" s="254">
        <f>Prog_23[[#This Row],[SAÍDA DO CLIENTE]]-Prog_23[[#This Row],[PROGRAMAÇÃO CLIENTE]]</f>
        <v>0</v>
      </c>
      <c r="AH1633" s="44"/>
      <c r="AI1633" s="66"/>
      <c r="AJ1633" s="66"/>
      <c r="AK1633" s="66"/>
      <c r="AL1633" s="66"/>
      <c r="AM1633" s="66"/>
      <c r="AN1633" s="83"/>
      <c r="AO1633" s="83"/>
      <c r="AP1633" s="83"/>
      <c r="AQ1633" s="66"/>
      <c r="AR1633" s="66"/>
      <c r="AS1633" s="66"/>
      <c r="AT1633" s="81"/>
      <c r="AU1633" s="81"/>
      <c r="AV1633" s="81"/>
      <c r="AW1633" s="81"/>
      <c r="AX1633" s="83">
        <f>SUM(Prog_23[[#This Row],[ADIANTAMENTO]]+Prog_23[[#This Row],[SALDO]]+Prog_23[[#This Row],[MARGEM]]+Prog_23[[#This Row],[ESTADIA 1]])</f>
        <v>0</v>
      </c>
      <c r="AY16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33" s="81"/>
      <c r="BA1633" s="81"/>
      <c r="BB1633" s="81">
        <f>Prog_23[[#This Row],[VLR NF]]*0.1%</f>
        <v>0</v>
      </c>
      <c r="BC1633" s="81">
        <f>Prog_23[[#This Row],[VLR NF]]*0.05%</f>
        <v>0</v>
      </c>
      <c r="BD1633" s="81"/>
      <c r="BE1633" s="81"/>
      <c r="BF1633" s="81"/>
      <c r="BG1633" s="81"/>
      <c r="BH1633" s="81"/>
      <c r="BI1633" s="81"/>
      <c r="BJ1633" s="81"/>
      <c r="BK1633" s="81"/>
      <c r="BL1633" s="81"/>
      <c r="BM1633" s="81"/>
      <c r="BN1633" s="66"/>
      <c r="BO1633" s="66"/>
      <c r="BP1633" s="66"/>
      <c r="BQ1633" s="66" t="str">
        <f>PROPER(TEXT(Prog_23[[#This Row],[PROGRAMAÇÃO CLIENTE]],"mmm"))</f>
        <v>Jan</v>
      </c>
      <c r="BR1633" s="66">
        <f>YEAR(Prog_23[[#This Row],[PROGRAMAÇÃO CLIENTE]])</f>
        <v>1900</v>
      </c>
    </row>
    <row r="1634" spans="1:70" x14ac:dyDescent="0.25">
      <c r="A1634" s="201">
        <f>Prog_23[[#This Row],[CONTEINER]]</f>
        <v>0</v>
      </c>
      <c r="B1634" s="86"/>
      <c r="C16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34" s="44"/>
      <c r="E1634" s="66"/>
      <c r="F1634" s="66"/>
      <c r="G1634" s="66"/>
      <c r="H1634" s="44"/>
      <c r="I1634" s="44"/>
      <c r="J1634" s="66"/>
      <c r="K1634" s="66"/>
      <c r="L1634" s="66"/>
      <c r="M1634" s="66"/>
      <c r="N1634" s="66">
        <f>SUM(Prog_23[[#This Row],[TARA]]+Prog_23[[#This Row],[PESO]])</f>
        <v>0</v>
      </c>
      <c r="O1634" s="44"/>
      <c r="P1634" s="66"/>
      <c r="Q1634" s="66"/>
      <c r="R1634" s="66"/>
      <c r="S1634" s="66"/>
      <c r="T1634" s="138" t="str">
        <f>IFERROR(LOOKUP($S1634,MOTORISTAS!$D$3:$D$916,MOTORISTAS!E$3:$E$916),"")</f>
        <v/>
      </c>
      <c r="U1634" s="138" t="str">
        <f>IFERROR(LOOKUP($S1634,MOTORISTAS!$D$3:$D$916,MOTORISTAS!F$3:$F$916),"")</f>
        <v/>
      </c>
      <c r="V1634" s="66"/>
      <c r="W1634" s="66"/>
      <c r="X1634" s="66"/>
      <c r="Y1634" s="66"/>
      <c r="Z1634" s="66"/>
      <c r="AA1634" s="66"/>
      <c r="AB1634" s="66"/>
      <c r="AC1634" s="66"/>
      <c r="AD1634" s="66"/>
      <c r="AE1634" s="66"/>
      <c r="AF1634" s="44"/>
      <c r="AG1634" s="254">
        <f>Prog_23[[#This Row],[SAÍDA DO CLIENTE]]-Prog_23[[#This Row],[PROGRAMAÇÃO CLIENTE]]</f>
        <v>0</v>
      </c>
      <c r="AH1634" s="44"/>
      <c r="AI1634" s="66"/>
      <c r="AJ1634" s="66"/>
      <c r="AK1634" s="66"/>
      <c r="AL1634" s="66"/>
      <c r="AM1634" s="66"/>
      <c r="AN1634" s="83"/>
      <c r="AO1634" s="83"/>
      <c r="AP1634" s="83"/>
      <c r="AQ1634" s="66"/>
      <c r="AR1634" s="66"/>
      <c r="AS1634" s="66"/>
      <c r="AT1634" s="81"/>
      <c r="AU1634" s="81"/>
      <c r="AV1634" s="81"/>
      <c r="AW1634" s="81"/>
      <c r="AX1634" s="83">
        <f>SUM(Prog_23[[#This Row],[ADIANTAMENTO]]+Prog_23[[#This Row],[SALDO]]+Prog_23[[#This Row],[MARGEM]]+Prog_23[[#This Row],[ESTADIA 1]])</f>
        <v>0</v>
      </c>
      <c r="AY16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34" s="81"/>
      <c r="BA1634" s="81"/>
      <c r="BB1634" s="81">
        <f>Prog_23[[#This Row],[VLR NF]]*0.1%</f>
        <v>0</v>
      </c>
      <c r="BC1634" s="81">
        <f>Prog_23[[#This Row],[VLR NF]]*0.05%</f>
        <v>0</v>
      </c>
      <c r="BD1634" s="81"/>
      <c r="BE1634" s="81"/>
      <c r="BF1634" s="81"/>
      <c r="BG1634" s="81"/>
      <c r="BH1634" s="81"/>
      <c r="BI1634" s="81"/>
      <c r="BJ1634" s="81"/>
      <c r="BK1634" s="81"/>
      <c r="BL1634" s="81"/>
      <c r="BM1634" s="81"/>
      <c r="BN1634" s="66"/>
      <c r="BO1634" s="66"/>
      <c r="BP1634" s="66"/>
      <c r="BQ1634" s="66" t="str">
        <f>PROPER(TEXT(Prog_23[[#This Row],[PROGRAMAÇÃO CLIENTE]],"mmm"))</f>
        <v>Jan</v>
      </c>
      <c r="BR1634" s="66">
        <f>YEAR(Prog_23[[#This Row],[PROGRAMAÇÃO CLIENTE]])</f>
        <v>1900</v>
      </c>
    </row>
    <row r="1635" spans="1:70" x14ac:dyDescent="0.25">
      <c r="A1635" s="200">
        <f>Prog_23[[#This Row],[CONTEINER]]</f>
        <v>0</v>
      </c>
      <c r="B1635" s="86"/>
      <c r="C16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35" s="44"/>
      <c r="E1635" s="66"/>
      <c r="F1635" s="66"/>
      <c r="G1635" s="66"/>
      <c r="H1635" s="44"/>
      <c r="I1635" s="44"/>
      <c r="J1635" s="66"/>
      <c r="K1635" s="66"/>
      <c r="L1635" s="66"/>
      <c r="M1635" s="66"/>
      <c r="N1635" s="66">
        <f>SUM(Prog_23[[#This Row],[TARA]]+Prog_23[[#This Row],[PESO]])</f>
        <v>0</v>
      </c>
      <c r="O1635" s="44"/>
      <c r="P1635" s="66"/>
      <c r="Q1635" s="66"/>
      <c r="R1635" s="66"/>
      <c r="S1635" s="66"/>
      <c r="T1635" s="138" t="str">
        <f>IFERROR(LOOKUP($S1635,MOTORISTAS!$D$3:$D$916,MOTORISTAS!E$3:$E$916),"")</f>
        <v/>
      </c>
      <c r="U1635" s="138" t="str">
        <f>IFERROR(LOOKUP($S1635,MOTORISTAS!$D$3:$D$916,MOTORISTAS!F$3:$F$916),"")</f>
        <v/>
      </c>
      <c r="V1635" s="66"/>
      <c r="W1635" s="66"/>
      <c r="X1635" s="66"/>
      <c r="Y1635" s="66"/>
      <c r="Z1635" s="66"/>
      <c r="AA1635" s="66"/>
      <c r="AB1635" s="66"/>
      <c r="AC1635" s="66"/>
      <c r="AD1635" s="66"/>
      <c r="AE1635" s="66"/>
      <c r="AF1635" s="44"/>
      <c r="AG1635" s="254">
        <f>Prog_23[[#This Row],[SAÍDA DO CLIENTE]]-Prog_23[[#This Row],[PROGRAMAÇÃO CLIENTE]]</f>
        <v>0</v>
      </c>
      <c r="AH1635" s="44"/>
      <c r="AI1635" s="66"/>
      <c r="AJ1635" s="66"/>
      <c r="AK1635" s="66"/>
      <c r="AL1635" s="66"/>
      <c r="AM1635" s="66"/>
      <c r="AN1635" s="83"/>
      <c r="AO1635" s="83"/>
      <c r="AP1635" s="83"/>
      <c r="AQ1635" s="66"/>
      <c r="AR1635" s="66"/>
      <c r="AS1635" s="66"/>
      <c r="AT1635" s="81"/>
      <c r="AU1635" s="81"/>
      <c r="AV1635" s="81"/>
      <c r="AW1635" s="81"/>
      <c r="AX1635" s="83">
        <f>SUM(Prog_23[[#This Row],[ADIANTAMENTO]]+Prog_23[[#This Row],[SALDO]]+Prog_23[[#This Row],[MARGEM]]+Prog_23[[#This Row],[ESTADIA 1]])</f>
        <v>0</v>
      </c>
      <c r="AY16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35" s="81"/>
      <c r="BA1635" s="81"/>
      <c r="BB1635" s="81">
        <f>Prog_23[[#This Row],[VLR NF]]*0.1%</f>
        <v>0</v>
      </c>
      <c r="BC1635" s="81">
        <f>Prog_23[[#This Row],[VLR NF]]*0.05%</f>
        <v>0</v>
      </c>
      <c r="BD1635" s="81"/>
      <c r="BE1635" s="81"/>
      <c r="BF1635" s="81"/>
      <c r="BG1635" s="81"/>
      <c r="BH1635" s="81"/>
      <c r="BI1635" s="81"/>
      <c r="BJ1635" s="81"/>
      <c r="BK1635" s="81"/>
      <c r="BL1635" s="81"/>
      <c r="BM1635" s="81"/>
      <c r="BN1635" s="66"/>
      <c r="BO1635" s="66"/>
      <c r="BP1635" s="66"/>
      <c r="BQ1635" s="66" t="str">
        <f>PROPER(TEXT(Prog_23[[#This Row],[PROGRAMAÇÃO CLIENTE]],"mmm"))</f>
        <v>Jan</v>
      </c>
      <c r="BR1635" s="66">
        <f>YEAR(Prog_23[[#This Row],[PROGRAMAÇÃO CLIENTE]])</f>
        <v>1900</v>
      </c>
    </row>
    <row r="1636" spans="1:70" x14ac:dyDescent="0.25">
      <c r="A1636" s="201">
        <f>Prog_23[[#This Row],[CONTEINER]]</f>
        <v>0</v>
      </c>
      <c r="B1636" s="86"/>
      <c r="C16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36" s="44"/>
      <c r="E1636" s="66"/>
      <c r="F1636" s="66"/>
      <c r="G1636" s="66"/>
      <c r="H1636" s="44"/>
      <c r="I1636" s="44"/>
      <c r="J1636" s="66"/>
      <c r="K1636" s="66"/>
      <c r="L1636" s="66"/>
      <c r="M1636" s="66"/>
      <c r="N1636" s="66">
        <f>SUM(Prog_23[[#This Row],[TARA]]+Prog_23[[#This Row],[PESO]])</f>
        <v>0</v>
      </c>
      <c r="O1636" s="44"/>
      <c r="P1636" s="66"/>
      <c r="Q1636" s="66"/>
      <c r="R1636" s="66"/>
      <c r="S1636" s="66"/>
      <c r="T1636" s="138" t="str">
        <f>IFERROR(LOOKUP($S1636,MOTORISTAS!$D$3:$D$916,MOTORISTAS!E$3:$E$916),"")</f>
        <v/>
      </c>
      <c r="U1636" s="138" t="str">
        <f>IFERROR(LOOKUP($S1636,MOTORISTAS!$D$3:$D$916,MOTORISTAS!F$3:$F$916),"")</f>
        <v/>
      </c>
      <c r="V1636" s="66"/>
      <c r="W1636" s="66"/>
      <c r="X1636" s="66"/>
      <c r="Y1636" s="66"/>
      <c r="Z1636" s="66"/>
      <c r="AA1636" s="66"/>
      <c r="AB1636" s="66"/>
      <c r="AC1636" s="66"/>
      <c r="AD1636" s="66"/>
      <c r="AE1636" s="66"/>
      <c r="AF1636" s="44"/>
      <c r="AG1636" s="254">
        <f>Prog_23[[#This Row],[SAÍDA DO CLIENTE]]-Prog_23[[#This Row],[PROGRAMAÇÃO CLIENTE]]</f>
        <v>0</v>
      </c>
      <c r="AH1636" s="44"/>
      <c r="AI1636" s="66"/>
      <c r="AJ1636" s="66"/>
      <c r="AK1636" s="66"/>
      <c r="AL1636" s="66"/>
      <c r="AM1636" s="66"/>
      <c r="AN1636" s="83"/>
      <c r="AO1636" s="83"/>
      <c r="AP1636" s="83"/>
      <c r="AQ1636" s="66"/>
      <c r="AR1636" s="66"/>
      <c r="AS1636" s="66"/>
      <c r="AT1636" s="81"/>
      <c r="AU1636" s="81"/>
      <c r="AV1636" s="81"/>
      <c r="AW1636" s="81"/>
      <c r="AX1636" s="83">
        <f>SUM(Prog_23[[#This Row],[ADIANTAMENTO]]+Prog_23[[#This Row],[SALDO]]+Prog_23[[#This Row],[MARGEM]]+Prog_23[[#This Row],[ESTADIA 1]])</f>
        <v>0</v>
      </c>
      <c r="AY16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36" s="81"/>
      <c r="BA1636" s="81"/>
      <c r="BB1636" s="81">
        <f>Prog_23[[#This Row],[VLR NF]]*0.1%</f>
        <v>0</v>
      </c>
      <c r="BC1636" s="81">
        <f>Prog_23[[#This Row],[VLR NF]]*0.05%</f>
        <v>0</v>
      </c>
      <c r="BD1636" s="81"/>
      <c r="BE1636" s="81"/>
      <c r="BF1636" s="81"/>
      <c r="BG1636" s="81"/>
      <c r="BH1636" s="81"/>
      <c r="BI1636" s="81"/>
      <c r="BJ1636" s="81"/>
      <c r="BK1636" s="81"/>
      <c r="BL1636" s="81"/>
      <c r="BM1636" s="81"/>
      <c r="BN1636" s="66"/>
      <c r="BO1636" s="66"/>
      <c r="BP1636" s="66"/>
      <c r="BQ1636" s="66" t="str">
        <f>PROPER(TEXT(Prog_23[[#This Row],[PROGRAMAÇÃO CLIENTE]],"mmm"))</f>
        <v>Jan</v>
      </c>
      <c r="BR1636" s="66">
        <f>YEAR(Prog_23[[#This Row],[PROGRAMAÇÃO CLIENTE]])</f>
        <v>1900</v>
      </c>
    </row>
    <row r="1637" spans="1:70" x14ac:dyDescent="0.25">
      <c r="A1637" s="200">
        <f>Prog_23[[#This Row],[CONTEINER]]</f>
        <v>0</v>
      </c>
      <c r="B1637" s="86"/>
      <c r="C16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37" s="44"/>
      <c r="E1637" s="66"/>
      <c r="F1637" s="66"/>
      <c r="G1637" s="66"/>
      <c r="H1637" s="44"/>
      <c r="I1637" s="44"/>
      <c r="J1637" s="66"/>
      <c r="K1637" s="66"/>
      <c r="L1637" s="66"/>
      <c r="M1637" s="66"/>
      <c r="N1637" s="66">
        <f>SUM(Prog_23[[#This Row],[TARA]]+Prog_23[[#This Row],[PESO]])</f>
        <v>0</v>
      </c>
      <c r="O1637" s="44"/>
      <c r="P1637" s="66"/>
      <c r="Q1637" s="66"/>
      <c r="R1637" s="66"/>
      <c r="S1637" s="66"/>
      <c r="T1637" s="138" t="str">
        <f>IFERROR(LOOKUP($S1637,MOTORISTAS!$D$3:$D$916,MOTORISTAS!E$3:$E$916),"")</f>
        <v/>
      </c>
      <c r="U1637" s="138" t="str">
        <f>IFERROR(LOOKUP($S1637,MOTORISTAS!$D$3:$D$916,MOTORISTAS!F$3:$F$916),"")</f>
        <v/>
      </c>
      <c r="V1637" s="66"/>
      <c r="W1637" s="66"/>
      <c r="X1637" s="66"/>
      <c r="Y1637" s="66"/>
      <c r="Z1637" s="66"/>
      <c r="AA1637" s="66"/>
      <c r="AB1637" s="66"/>
      <c r="AC1637" s="66"/>
      <c r="AD1637" s="66"/>
      <c r="AE1637" s="66"/>
      <c r="AF1637" s="44"/>
      <c r="AG1637" s="254">
        <f>Prog_23[[#This Row],[SAÍDA DO CLIENTE]]-Prog_23[[#This Row],[PROGRAMAÇÃO CLIENTE]]</f>
        <v>0</v>
      </c>
      <c r="AH1637" s="44"/>
      <c r="AI1637" s="66"/>
      <c r="AJ1637" s="66"/>
      <c r="AK1637" s="66"/>
      <c r="AL1637" s="66"/>
      <c r="AM1637" s="66"/>
      <c r="AN1637" s="83"/>
      <c r="AO1637" s="83"/>
      <c r="AP1637" s="83"/>
      <c r="AQ1637" s="66"/>
      <c r="AR1637" s="66"/>
      <c r="AS1637" s="66"/>
      <c r="AT1637" s="81"/>
      <c r="AU1637" s="81"/>
      <c r="AV1637" s="81"/>
      <c r="AW1637" s="81"/>
      <c r="AX1637" s="83">
        <f>SUM(Prog_23[[#This Row],[ADIANTAMENTO]]+Prog_23[[#This Row],[SALDO]]+Prog_23[[#This Row],[MARGEM]]+Prog_23[[#This Row],[ESTADIA 1]])</f>
        <v>0</v>
      </c>
      <c r="AY16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37" s="81"/>
      <c r="BA1637" s="81"/>
      <c r="BB1637" s="81">
        <f>Prog_23[[#This Row],[VLR NF]]*0.1%</f>
        <v>0</v>
      </c>
      <c r="BC1637" s="81">
        <f>Prog_23[[#This Row],[VLR NF]]*0.05%</f>
        <v>0</v>
      </c>
      <c r="BD1637" s="81"/>
      <c r="BE1637" s="81"/>
      <c r="BF1637" s="81"/>
      <c r="BG1637" s="81"/>
      <c r="BH1637" s="81"/>
      <c r="BI1637" s="81"/>
      <c r="BJ1637" s="81"/>
      <c r="BK1637" s="81"/>
      <c r="BL1637" s="81"/>
      <c r="BM1637" s="81"/>
      <c r="BN1637" s="66"/>
      <c r="BO1637" s="66"/>
      <c r="BP1637" s="66"/>
      <c r="BQ1637" s="66" t="str">
        <f>PROPER(TEXT(Prog_23[[#This Row],[PROGRAMAÇÃO CLIENTE]],"mmm"))</f>
        <v>Jan</v>
      </c>
      <c r="BR1637" s="66">
        <f>YEAR(Prog_23[[#This Row],[PROGRAMAÇÃO CLIENTE]])</f>
        <v>1900</v>
      </c>
    </row>
    <row r="1638" spans="1:70" x14ac:dyDescent="0.25">
      <c r="A1638" s="201">
        <f>Prog_23[[#This Row],[CONTEINER]]</f>
        <v>0</v>
      </c>
      <c r="B1638" s="86"/>
      <c r="C16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38" s="44"/>
      <c r="E1638" s="66"/>
      <c r="F1638" s="66"/>
      <c r="G1638" s="66"/>
      <c r="H1638" s="44"/>
      <c r="I1638" s="44"/>
      <c r="J1638" s="66"/>
      <c r="K1638" s="66"/>
      <c r="L1638" s="66"/>
      <c r="M1638" s="66"/>
      <c r="N1638" s="66">
        <f>SUM(Prog_23[[#This Row],[TARA]]+Prog_23[[#This Row],[PESO]])</f>
        <v>0</v>
      </c>
      <c r="O1638" s="44"/>
      <c r="P1638" s="66"/>
      <c r="Q1638" s="66"/>
      <c r="R1638" s="66"/>
      <c r="S1638" s="66"/>
      <c r="T1638" s="138" t="str">
        <f>IFERROR(LOOKUP($S1638,MOTORISTAS!$D$3:$D$916,MOTORISTAS!E$3:$E$916),"")</f>
        <v/>
      </c>
      <c r="U1638" s="138" t="str">
        <f>IFERROR(LOOKUP($S1638,MOTORISTAS!$D$3:$D$916,MOTORISTAS!F$3:$F$916),"")</f>
        <v/>
      </c>
      <c r="V1638" s="66"/>
      <c r="W1638" s="66"/>
      <c r="X1638" s="66"/>
      <c r="Y1638" s="66"/>
      <c r="Z1638" s="66"/>
      <c r="AA1638" s="66"/>
      <c r="AB1638" s="66"/>
      <c r="AC1638" s="66"/>
      <c r="AD1638" s="66"/>
      <c r="AE1638" s="66"/>
      <c r="AF1638" s="44"/>
      <c r="AG1638" s="254">
        <f>Prog_23[[#This Row],[SAÍDA DO CLIENTE]]-Prog_23[[#This Row],[PROGRAMAÇÃO CLIENTE]]</f>
        <v>0</v>
      </c>
      <c r="AH1638" s="44"/>
      <c r="AI1638" s="66"/>
      <c r="AJ1638" s="66"/>
      <c r="AK1638" s="66"/>
      <c r="AL1638" s="66"/>
      <c r="AM1638" s="66"/>
      <c r="AN1638" s="83"/>
      <c r="AO1638" s="83"/>
      <c r="AP1638" s="83"/>
      <c r="AQ1638" s="66"/>
      <c r="AR1638" s="66"/>
      <c r="AS1638" s="66"/>
      <c r="AT1638" s="81"/>
      <c r="AU1638" s="81"/>
      <c r="AV1638" s="81"/>
      <c r="AW1638" s="81"/>
      <c r="AX1638" s="83">
        <f>SUM(Prog_23[[#This Row],[ADIANTAMENTO]]+Prog_23[[#This Row],[SALDO]]+Prog_23[[#This Row],[MARGEM]]+Prog_23[[#This Row],[ESTADIA 1]])</f>
        <v>0</v>
      </c>
      <c r="AY16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38" s="81"/>
      <c r="BA1638" s="81"/>
      <c r="BB1638" s="81">
        <f>Prog_23[[#This Row],[VLR NF]]*0.1%</f>
        <v>0</v>
      </c>
      <c r="BC1638" s="81">
        <f>Prog_23[[#This Row],[VLR NF]]*0.05%</f>
        <v>0</v>
      </c>
      <c r="BD1638" s="81"/>
      <c r="BE1638" s="81"/>
      <c r="BF1638" s="81"/>
      <c r="BG1638" s="81"/>
      <c r="BH1638" s="81"/>
      <c r="BI1638" s="81"/>
      <c r="BJ1638" s="81"/>
      <c r="BK1638" s="81"/>
      <c r="BL1638" s="81"/>
      <c r="BM1638" s="81"/>
      <c r="BN1638" s="66"/>
      <c r="BO1638" s="66"/>
      <c r="BP1638" s="66"/>
      <c r="BQ1638" s="66" t="str">
        <f>PROPER(TEXT(Prog_23[[#This Row],[PROGRAMAÇÃO CLIENTE]],"mmm"))</f>
        <v>Jan</v>
      </c>
      <c r="BR1638" s="66">
        <f>YEAR(Prog_23[[#This Row],[PROGRAMAÇÃO CLIENTE]])</f>
        <v>1900</v>
      </c>
    </row>
    <row r="1639" spans="1:70" x14ac:dyDescent="0.25">
      <c r="A1639" s="200">
        <f>Prog_23[[#This Row],[CONTEINER]]</f>
        <v>0</v>
      </c>
      <c r="B1639" s="86"/>
      <c r="C16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39" s="44"/>
      <c r="E1639" s="66"/>
      <c r="F1639" s="66"/>
      <c r="G1639" s="66"/>
      <c r="H1639" s="44"/>
      <c r="I1639" s="44"/>
      <c r="J1639" s="66"/>
      <c r="K1639" s="66"/>
      <c r="L1639" s="66"/>
      <c r="M1639" s="66"/>
      <c r="N1639" s="66">
        <f>SUM(Prog_23[[#This Row],[TARA]]+Prog_23[[#This Row],[PESO]])</f>
        <v>0</v>
      </c>
      <c r="O1639" s="44"/>
      <c r="P1639" s="66"/>
      <c r="Q1639" s="66"/>
      <c r="R1639" s="66"/>
      <c r="S1639" s="66"/>
      <c r="T1639" s="138" t="str">
        <f>IFERROR(LOOKUP($S1639,MOTORISTAS!$D$3:$D$916,MOTORISTAS!E$3:$E$916),"")</f>
        <v/>
      </c>
      <c r="U1639" s="138" t="str">
        <f>IFERROR(LOOKUP($S1639,MOTORISTAS!$D$3:$D$916,MOTORISTAS!F$3:$F$916),"")</f>
        <v/>
      </c>
      <c r="V1639" s="66"/>
      <c r="W1639" s="66"/>
      <c r="X1639" s="66"/>
      <c r="Y1639" s="66"/>
      <c r="Z1639" s="66"/>
      <c r="AA1639" s="66"/>
      <c r="AB1639" s="66"/>
      <c r="AC1639" s="66"/>
      <c r="AD1639" s="66"/>
      <c r="AE1639" s="66"/>
      <c r="AF1639" s="44"/>
      <c r="AG1639" s="254">
        <f>Prog_23[[#This Row],[SAÍDA DO CLIENTE]]-Prog_23[[#This Row],[PROGRAMAÇÃO CLIENTE]]</f>
        <v>0</v>
      </c>
      <c r="AH1639" s="44"/>
      <c r="AI1639" s="66"/>
      <c r="AJ1639" s="66"/>
      <c r="AK1639" s="66"/>
      <c r="AL1639" s="66"/>
      <c r="AM1639" s="66"/>
      <c r="AN1639" s="83"/>
      <c r="AO1639" s="83"/>
      <c r="AP1639" s="83"/>
      <c r="AQ1639" s="66"/>
      <c r="AR1639" s="66"/>
      <c r="AS1639" s="66"/>
      <c r="AT1639" s="81"/>
      <c r="AU1639" s="81"/>
      <c r="AV1639" s="81"/>
      <c r="AW1639" s="81"/>
      <c r="AX1639" s="83">
        <f>SUM(Prog_23[[#This Row],[ADIANTAMENTO]]+Prog_23[[#This Row],[SALDO]]+Prog_23[[#This Row],[MARGEM]]+Prog_23[[#This Row],[ESTADIA 1]])</f>
        <v>0</v>
      </c>
      <c r="AY16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39" s="81"/>
      <c r="BA1639" s="81"/>
      <c r="BB1639" s="81">
        <f>Prog_23[[#This Row],[VLR NF]]*0.1%</f>
        <v>0</v>
      </c>
      <c r="BC1639" s="81">
        <f>Prog_23[[#This Row],[VLR NF]]*0.05%</f>
        <v>0</v>
      </c>
      <c r="BD1639" s="81"/>
      <c r="BE1639" s="81"/>
      <c r="BF1639" s="81"/>
      <c r="BG1639" s="81"/>
      <c r="BH1639" s="81"/>
      <c r="BI1639" s="81"/>
      <c r="BJ1639" s="81"/>
      <c r="BK1639" s="81"/>
      <c r="BL1639" s="81"/>
      <c r="BM1639" s="81"/>
      <c r="BN1639" s="66"/>
      <c r="BO1639" s="66"/>
      <c r="BP1639" s="66"/>
      <c r="BQ1639" s="66" t="str">
        <f>PROPER(TEXT(Prog_23[[#This Row],[PROGRAMAÇÃO CLIENTE]],"mmm"))</f>
        <v>Jan</v>
      </c>
      <c r="BR1639" s="66">
        <f>YEAR(Prog_23[[#This Row],[PROGRAMAÇÃO CLIENTE]])</f>
        <v>1900</v>
      </c>
    </row>
    <row r="1640" spans="1:70" x14ac:dyDescent="0.25">
      <c r="A1640" s="201">
        <f>Prog_23[[#This Row],[CONTEINER]]</f>
        <v>0</v>
      </c>
      <c r="B1640" s="86"/>
      <c r="C16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40" s="44"/>
      <c r="E1640" s="66"/>
      <c r="F1640" s="66"/>
      <c r="G1640" s="66"/>
      <c r="H1640" s="44"/>
      <c r="I1640" s="44"/>
      <c r="J1640" s="66"/>
      <c r="K1640" s="66"/>
      <c r="L1640" s="66"/>
      <c r="M1640" s="66"/>
      <c r="N1640" s="66">
        <f>SUM(Prog_23[[#This Row],[TARA]]+Prog_23[[#This Row],[PESO]])</f>
        <v>0</v>
      </c>
      <c r="O1640" s="44"/>
      <c r="P1640" s="66"/>
      <c r="Q1640" s="66"/>
      <c r="R1640" s="66"/>
      <c r="S1640" s="66"/>
      <c r="T1640" s="138" t="str">
        <f>IFERROR(LOOKUP($S1640,MOTORISTAS!$D$3:$D$916,MOTORISTAS!E$3:$E$916),"")</f>
        <v/>
      </c>
      <c r="U1640" s="138" t="str">
        <f>IFERROR(LOOKUP($S1640,MOTORISTAS!$D$3:$D$916,MOTORISTAS!F$3:$F$916),"")</f>
        <v/>
      </c>
      <c r="V1640" s="66"/>
      <c r="W1640" s="66"/>
      <c r="X1640" s="66"/>
      <c r="Y1640" s="66"/>
      <c r="Z1640" s="66"/>
      <c r="AA1640" s="66"/>
      <c r="AB1640" s="66"/>
      <c r="AC1640" s="66"/>
      <c r="AD1640" s="66"/>
      <c r="AE1640" s="66"/>
      <c r="AF1640" s="44"/>
      <c r="AG1640" s="254">
        <f>Prog_23[[#This Row],[SAÍDA DO CLIENTE]]-Prog_23[[#This Row],[PROGRAMAÇÃO CLIENTE]]</f>
        <v>0</v>
      </c>
      <c r="AH1640" s="44"/>
      <c r="AI1640" s="66"/>
      <c r="AJ1640" s="66"/>
      <c r="AK1640" s="66"/>
      <c r="AL1640" s="66"/>
      <c r="AM1640" s="66"/>
      <c r="AN1640" s="83"/>
      <c r="AO1640" s="83"/>
      <c r="AP1640" s="83"/>
      <c r="AQ1640" s="66"/>
      <c r="AR1640" s="66"/>
      <c r="AS1640" s="66"/>
      <c r="AT1640" s="81"/>
      <c r="AU1640" s="81"/>
      <c r="AV1640" s="81"/>
      <c r="AW1640" s="81"/>
      <c r="AX1640" s="83">
        <f>SUM(Prog_23[[#This Row],[ADIANTAMENTO]]+Prog_23[[#This Row],[SALDO]]+Prog_23[[#This Row],[MARGEM]]+Prog_23[[#This Row],[ESTADIA 1]])</f>
        <v>0</v>
      </c>
      <c r="AY16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40" s="81"/>
      <c r="BA1640" s="81"/>
      <c r="BB1640" s="81">
        <f>Prog_23[[#This Row],[VLR NF]]*0.1%</f>
        <v>0</v>
      </c>
      <c r="BC1640" s="81">
        <f>Prog_23[[#This Row],[VLR NF]]*0.05%</f>
        <v>0</v>
      </c>
      <c r="BD1640" s="81"/>
      <c r="BE1640" s="81"/>
      <c r="BF1640" s="81"/>
      <c r="BG1640" s="81"/>
      <c r="BH1640" s="81"/>
      <c r="BI1640" s="81"/>
      <c r="BJ1640" s="81"/>
      <c r="BK1640" s="81"/>
      <c r="BL1640" s="81"/>
      <c r="BM1640" s="81"/>
      <c r="BN1640" s="66"/>
      <c r="BO1640" s="66"/>
      <c r="BP1640" s="66"/>
      <c r="BQ1640" s="66" t="str">
        <f>PROPER(TEXT(Prog_23[[#This Row],[PROGRAMAÇÃO CLIENTE]],"mmm"))</f>
        <v>Jan</v>
      </c>
      <c r="BR1640" s="66">
        <f>YEAR(Prog_23[[#This Row],[PROGRAMAÇÃO CLIENTE]])</f>
        <v>1900</v>
      </c>
    </row>
    <row r="1641" spans="1:70" x14ac:dyDescent="0.25">
      <c r="A1641" s="200">
        <f>Prog_23[[#This Row],[CONTEINER]]</f>
        <v>0</v>
      </c>
      <c r="B1641" s="86"/>
      <c r="C16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41" s="44"/>
      <c r="E1641" s="66"/>
      <c r="F1641" s="66"/>
      <c r="G1641" s="66"/>
      <c r="H1641" s="44"/>
      <c r="I1641" s="44"/>
      <c r="J1641" s="66"/>
      <c r="K1641" s="66"/>
      <c r="L1641" s="66"/>
      <c r="M1641" s="66"/>
      <c r="N1641" s="66">
        <f>SUM(Prog_23[[#This Row],[TARA]]+Prog_23[[#This Row],[PESO]])</f>
        <v>0</v>
      </c>
      <c r="O1641" s="44"/>
      <c r="P1641" s="66"/>
      <c r="Q1641" s="66"/>
      <c r="R1641" s="66"/>
      <c r="S1641" s="66"/>
      <c r="T1641" s="138" t="str">
        <f>IFERROR(LOOKUP($S1641,MOTORISTAS!$D$3:$D$916,MOTORISTAS!E$3:$E$916),"")</f>
        <v/>
      </c>
      <c r="U1641" s="138" t="str">
        <f>IFERROR(LOOKUP($S1641,MOTORISTAS!$D$3:$D$916,MOTORISTAS!F$3:$F$916),"")</f>
        <v/>
      </c>
      <c r="V1641" s="66"/>
      <c r="W1641" s="66"/>
      <c r="X1641" s="66"/>
      <c r="Y1641" s="66"/>
      <c r="Z1641" s="66"/>
      <c r="AA1641" s="66"/>
      <c r="AB1641" s="66"/>
      <c r="AC1641" s="66"/>
      <c r="AD1641" s="66"/>
      <c r="AE1641" s="66"/>
      <c r="AF1641" s="44"/>
      <c r="AG1641" s="254">
        <f>Prog_23[[#This Row],[SAÍDA DO CLIENTE]]-Prog_23[[#This Row],[PROGRAMAÇÃO CLIENTE]]</f>
        <v>0</v>
      </c>
      <c r="AH1641" s="44"/>
      <c r="AI1641" s="66"/>
      <c r="AJ1641" s="66"/>
      <c r="AK1641" s="66"/>
      <c r="AL1641" s="66"/>
      <c r="AM1641" s="66"/>
      <c r="AN1641" s="83"/>
      <c r="AO1641" s="83"/>
      <c r="AP1641" s="83"/>
      <c r="AQ1641" s="66"/>
      <c r="AR1641" s="66"/>
      <c r="AS1641" s="66"/>
      <c r="AT1641" s="81"/>
      <c r="AU1641" s="81"/>
      <c r="AV1641" s="81"/>
      <c r="AW1641" s="81"/>
      <c r="AX1641" s="83">
        <f>SUM(Prog_23[[#This Row],[ADIANTAMENTO]]+Prog_23[[#This Row],[SALDO]]+Prog_23[[#This Row],[MARGEM]]+Prog_23[[#This Row],[ESTADIA 1]])</f>
        <v>0</v>
      </c>
      <c r="AY16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41" s="81"/>
      <c r="BA1641" s="81"/>
      <c r="BB1641" s="81">
        <f>Prog_23[[#This Row],[VLR NF]]*0.1%</f>
        <v>0</v>
      </c>
      <c r="BC1641" s="81">
        <f>Prog_23[[#This Row],[VLR NF]]*0.05%</f>
        <v>0</v>
      </c>
      <c r="BD1641" s="81"/>
      <c r="BE1641" s="81"/>
      <c r="BF1641" s="81"/>
      <c r="BG1641" s="81"/>
      <c r="BH1641" s="81"/>
      <c r="BI1641" s="81"/>
      <c r="BJ1641" s="81"/>
      <c r="BK1641" s="81"/>
      <c r="BL1641" s="81"/>
      <c r="BM1641" s="81"/>
      <c r="BN1641" s="66"/>
      <c r="BO1641" s="66"/>
      <c r="BP1641" s="66"/>
      <c r="BQ1641" s="66" t="str">
        <f>PROPER(TEXT(Prog_23[[#This Row],[PROGRAMAÇÃO CLIENTE]],"mmm"))</f>
        <v>Jan</v>
      </c>
      <c r="BR1641" s="66">
        <f>YEAR(Prog_23[[#This Row],[PROGRAMAÇÃO CLIENTE]])</f>
        <v>1900</v>
      </c>
    </row>
    <row r="1642" spans="1:70" x14ac:dyDescent="0.25">
      <c r="A1642" s="201">
        <f>Prog_23[[#This Row],[CONTEINER]]</f>
        <v>0</v>
      </c>
      <c r="B1642" s="86"/>
      <c r="C16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42" s="44"/>
      <c r="E1642" s="66"/>
      <c r="F1642" s="66"/>
      <c r="G1642" s="66"/>
      <c r="H1642" s="44"/>
      <c r="I1642" s="44"/>
      <c r="J1642" s="66"/>
      <c r="K1642" s="66"/>
      <c r="L1642" s="66"/>
      <c r="M1642" s="66"/>
      <c r="N1642" s="66">
        <f>SUM(Prog_23[[#This Row],[TARA]]+Prog_23[[#This Row],[PESO]])</f>
        <v>0</v>
      </c>
      <c r="O1642" s="44"/>
      <c r="P1642" s="66"/>
      <c r="Q1642" s="66"/>
      <c r="R1642" s="66"/>
      <c r="S1642" s="66"/>
      <c r="T1642" s="138" t="str">
        <f>IFERROR(LOOKUP($S1642,MOTORISTAS!$D$3:$D$916,MOTORISTAS!E$3:$E$916),"")</f>
        <v/>
      </c>
      <c r="U1642" s="138" t="str">
        <f>IFERROR(LOOKUP($S1642,MOTORISTAS!$D$3:$D$916,MOTORISTAS!F$3:$F$916),"")</f>
        <v/>
      </c>
      <c r="V1642" s="66"/>
      <c r="W1642" s="66"/>
      <c r="X1642" s="66"/>
      <c r="Y1642" s="66"/>
      <c r="Z1642" s="66"/>
      <c r="AA1642" s="66"/>
      <c r="AB1642" s="66"/>
      <c r="AC1642" s="66"/>
      <c r="AD1642" s="66"/>
      <c r="AE1642" s="66"/>
      <c r="AF1642" s="44"/>
      <c r="AG1642" s="254">
        <f>Prog_23[[#This Row],[SAÍDA DO CLIENTE]]-Prog_23[[#This Row],[PROGRAMAÇÃO CLIENTE]]</f>
        <v>0</v>
      </c>
      <c r="AH1642" s="44"/>
      <c r="AI1642" s="66"/>
      <c r="AJ1642" s="66"/>
      <c r="AK1642" s="66"/>
      <c r="AL1642" s="66"/>
      <c r="AM1642" s="66"/>
      <c r="AN1642" s="83"/>
      <c r="AO1642" s="83"/>
      <c r="AP1642" s="83"/>
      <c r="AQ1642" s="66"/>
      <c r="AR1642" s="66"/>
      <c r="AS1642" s="66"/>
      <c r="AT1642" s="81"/>
      <c r="AU1642" s="81"/>
      <c r="AV1642" s="81"/>
      <c r="AW1642" s="81"/>
      <c r="AX1642" s="83">
        <f>SUM(Prog_23[[#This Row],[ADIANTAMENTO]]+Prog_23[[#This Row],[SALDO]]+Prog_23[[#This Row],[MARGEM]]+Prog_23[[#This Row],[ESTADIA 1]])</f>
        <v>0</v>
      </c>
      <c r="AY16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42" s="81"/>
      <c r="BA1642" s="81"/>
      <c r="BB1642" s="81">
        <f>Prog_23[[#This Row],[VLR NF]]*0.1%</f>
        <v>0</v>
      </c>
      <c r="BC1642" s="81">
        <f>Prog_23[[#This Row],[VLR NF]]*0.05%</f>
        <v>0</v>
      </c>
      <c r="BD1642" s="81"/>
      <c r="BE1642" s="81"/>
      <c r="BF1642" s="81"/>
      <c r="BG1642" s="81"/>
      <c r="BH1642" s="81"/>
      <c r="BI1642" s="81"/>
      <c r="BJ1642" s="81"/>
      <c r="BK1642" s="81"/>
      <c r="BL1642" s="81"/>
      <c r="BM1642" s="81"/>
      <c r="BN1642" s="66"/>
      <c r="BO1642" s="66"/>
      <c r="BP1642" s="66"/>
      <c r="BQ1642" s="66" t="str">
        <f>PROPER(TEXT(Prog_23[[#This Row],[PROGRAMAÇÃO CLIENTE]],"mmm"))</f>
        <v>Jan</v>
      </c>
      <c r="BR1642" s="66">
        <f>YEAR(Prog_23[[#This Row],[PROGRAMAÇÃO CLIENTE]])</f>
        <v>1900</v>
      </c>
    </row>
    <row r="1643" spans="1:70" x14ac:dyDescent="0.25">
      <c r="A1643" s="200">
        <f>Prog_23[[#This Row],[CONTEINER]]</f>
        <v>0</v>
      </c>
      <c r="B1643" s="86"/>
      <c r="C16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43" s="44"/>
      <c r="E1643" s="66"/>
      <c r="F1643" s="66"/>
      <c r="G1643" s="66"/>
      <c r="H1643" s="44"/>
      <c r="I1643" s="44"/>
      <c r="J1643" s="66"/>
      <c r="K1643" s="66"/>
      <c r="L1643" s="66"/>
      <c r="M1643" s="66"/>
      <c r="N1643" s="66">
        <f>SUM(Prog_23[[#This Row],[TARA]]+Prog_23[[#This Row],[PESO]])</f>
        <v>0</v>
      </c>
      <c r="O1643" s="44"/>
      <c r="P1643" s="66"/>
      <c r="Q1643" s="66"/>
      <c r="R1643" s="66"/>
      <c r="S1643" s="66"/>
      <c r="T1643" s="138" t="str">
        <f>IFERROR(LOOKUP($S1643,MOTORISTAS!$D$3:$D$916,MOTORISTAS!E$3:$E$916),"")</f>
        <v/>
      </c>
      <c r="U1643" s="138" t="str">
        <f>IFERROR(LOOKUP($S1643,MOTORISTAS!$D$3:$D$916,MOTORISTAS!F$3:$F$916),"")</f>
        <v/>
      </c>
      <c r="V1643" s="66"/>
      <c r="W1643" s="66"/>
      <c r="X1643" s="66"/>
      <c r="Y1643" s="66"/>
      <c r="Z1643" s="66"/>
      <c r="AA1643" s="66"/>
      <c r="AB1643" s="66"/>
      <c r="AC1643" s="66"/>
      <c r="AD1643" s="66"/>
      <c r="AE1643" s="66"/>
      <c r="AF1643" s="44"/>
      <c r="AG1643" s="254">
        <f>Prog_23[[#This Row],[SAÍDA DO CLIENTE]]-Prog_23[[#This Row],[PROGRAMAÇÃO CLIENTE]]</f>
        <v>0</v>
      </c>
      <c r="AH1643" s="44"/>
      <c r="AI1643" s="66"/>
      <c r="AJ1643" s="66"/>
      <c r="AK1643" s="66"/>
      <c r="AL1643" s="66"/>
      <c r="AM1643" s="66"/>
      <c r="AN1643" s="83"/>
      <c r="AO1643" s="83"/>
      <c r="AP1643" s="83"/>
      <c r="AQ1643" s="66"/>
      <c r="AR1643" s="66"/>
      <c r="AS1643" s="66"/>
      <c r="AT1643" s="81"/>
      <c r="AU1643" s="81"/>
      <c r="AV1643" s="81"/>
      <c r="AW1643" s="81"/>
      <c r="AX1643" s="83">
        <f>SUM(Prog_23[[#This Row],[ADIANTAMENTO]]+Prog_23[[#This Row],[SALDO]]+Prog_23[[#This Row],[MARGEM]]+Prog_23[[#This Row],[ESTADIA 1]])</f>
        <v>0</v>
      </c>
      <c r="AY16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43" s="81"/>
      <c r="BA1643" s="81"/>
      <c r="BB1643" s="81">
        <f>Prog_23[[#This Row],[VLR NF]]*0.1%</f>
        <v>0</v>
      </c>
      <c r="BC1643" s="81">
        <f>Prog_23[[#This Row],[VLR NF]]*0.05%</f>
        <v>0</v>
      </c>
      <c r="BD1643" s="81"/>
      <c r="BE1643" s="81"/>
      <c r="BF1643" s="81"/>
      <c r="BG1643" s="81"/>
      <c r="BH1643" s="81"/>
      <c r="BI1643" s="81"/>
      <c r="BJ1643" s="81"/>
      <c r="BK1643" s="81"/>
      <c r="BL1643" s="81"/>
      <c r="BM1643" s="81"/>
      <c r="BN1643" s="66"/>
      <c r="BO1643" s="66"/>
      <c r="BP1643" s="66"/>
      <c r="BQ1643" s="66" t="str">
        <f>PROPER(TEXT(Prog_23[[#This Row],[PROGRAMAÇÃO CLIENTE]],"mmm"))</f>
        <v>Jan</v>
      </c>
      <c r="BR1643" s="66">
        <f>YEAR(Prog_23[[#This Row],[PROGRAMAÇÃO CLIENTE]])</f>
        <v>1900</v>
      </c>
    </row>
    <row r="1644" spans="1:70" x14ac:dyDescent="0.25">
      <c r="A1644" s="201">
        <f>Prog_23[[#This Row],[CONTEINER]]</f>
        <v>0</v>
      </c>
      <c r="B1644" s="86"/>
      <c r="C16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44" s="44"/>
      <c r="E1644" s="66"/>
      <c r="F1644" s="66"/>
      <c r="G1644" s="66"/>
      <c r="H1644" s="44"/>
      <c r="I1644" s="44"/>
      <c r="J1644" s="66"/>
      <c r="K1644" s="66"/>
      <c r="L1644" s="66"/>
      <c r="M1644" s="66"/>
      <c r="N1644" s="66">
        <f>SUM(Prog_23[[#This Row],[TARA]]+Prog_23[[#This Row],[PESO]])</f>
        <v>0</v>
      </c>
      <c r="O1644" s="44"/>
      <c r="P1644" s="66"/>
      <c r="Q1644" s="66"/>
      <c r="R1644" s="66"/>
      <c r="S1644" s="66"/>
      <c r="T1644" s="138" t="str">
        <f>IFERROR(LOOKUP($S1644,MOTORISTAS!$D$3:$D$916,MOTORISTAS!E$3:$E$916),"")</f>
        <v/>
      </c>
      <c r="U1644" s="138" t="str">
        <f>IFERROR(LOOKUP($S1644,MOTORISTAS!$D$3:$D$916,MOTORISTAS!F$3:$F$916),"")</f>
        <v/>
      </c>
      <c r="V1644" s="66"/>
      <c r="W1644" s="66"/>
      <c r="X1644" s="66"/>
      <c r="Y1644" s="66"/>
      <c r="Z1644" s="66"/>
      <c r="AA1644" s="66"/>
      <c r="AB1644" s="66"/>
      <c r="AC1644" s="66"/>
      <c r="AD1644" s="66"/>
      <c r="AE1644" s="66"/>
      <c r="AF1644" s="44"/>
      <c r="AG1644" s="254">
        <f>Prog_23[[#This Row],[SAÍDA DO CLIENTE]]-Prog_23[[#This Row],[PROGRAMAÇÃO CLIENTE]]</f>
        <v>0</v>
      </c>
      <c r="AH1644" s="44"/>
      <c r="AI1644" s="66"/>
      <c r="AJ1644" s="66"/>
      <c r="AK1644" s="66"/>
      <c r="AL1644" s="66"/>
      <c r="AM1644" s="66"/>
      <c r="AN1644" s="83"/>
      <c r="AO1644" s="83"/>
      <c r="AP1644" s="83"/>
      <c r="AQ1644" s="66"/>
      <c r="AR1644" s="66"/>
      <c r="AS1644" s="66"/>
      <c r="AT1644" s="81"/>
      <c r="AU1644" s="81"/>
      <c r="AV1644" s="81"/>
      <c r="AW1644" s="81"/>
      <c r="AX1644" s="83">
        <f>SUM(Prog_23[[#This Row],[ADIANTAMENTO]]+Prog_23[[#This Row],[SALDO]]+Prog_23[[#This Row],[MARGEM]]+Prog_23[[#This Row],[ESTADIA 1]])</f>
        <v>0</v>
      </c>
      <c r="AY16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44" s="81"/>
      <c r="BA1644" s="81"/>
      <c r="BB1644" s="81">
        <f>Prog_23[[#This Row],[VLR NF]]*0.1%</f>
        <v>0</v>
      </c>
      <c r="BC1644" s="81">
        <f>Prog_23[[#This Row],[VLR NF]]*0.05%</f>
        <v>0</v>
      </c>
      <c r="BD1644" s="81"/>
      <c r="BE1644" s="81"/>
      <c r="BF1644" s="81"/>
      <c r="BG1644" s="81"/>
      <c r="BH1644" s="81"/>
      <c r="BI1644" s="81"/>
      <c r="BJ1644" s="81"/>
      <c r="BK1644" s="81"/>
      <c r="BL1644" s="81"/>
      <c r="BM1644" s="81"/>
      <c r="BN1644" s="66"/>
      <c r="BO1644" s="66"/>
      <c r="BP1644" s="66"/>
      <c r="BQ1644" s="66" t="str">
        <f>PROPER(TEXT(Prog_23[[#This Row],[PROGRAMAÇÃO CLIENTE]],"mmm"))</f>
        <v>Jan</v>
      </c>
      <c r="BR1644" s="66">
        <f>YEAR(Prog_23[[#This Row],[PROGRAMAÇÃO CLIENTE]])</f>
        <v>1900</v>
      </c>
    </row>
    <row r="1645" spans="1:70" x14ac:dyDescent="0.25">
      <c r="A1645" s="200">
        <f>Prog_23[[#This Row],[CONTEINER]]</f>
        <v>0</v>
      </c>
      <c r="B1645" s="86"/>
      <c r="C16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45" s="44"/>
      <c r="E1645" s="66"/>
      <c r="F1645" s="66"/>
      <c r="G1645" s="66"/>
      <c r="H1645" s="44"/>
      <c r="I1645" s="44"/>
      <c r="J1645" s="66"/>
      <c r="K1645" s="66"/>
      <c r="L1645" s="66"/>
      <c r="M1645" s="66"/>
      <c r="N1645" s="66">
        <f>SUM(Prog_23[[#This Row],[TARA]]+Prog_23[[#This Row],[PESO]])</f>
        <v>0</v>
      </c>
      <c r="O1645" s="44"/>
      <c r="P1645" s="66"/>
      <c r="Q1645" s="66"/>
      <c r="R1645" s="66"/>
      <c r="S1645" s="66"/>
      <c r="T1645" s="138" t="str">
        <f>IFERROR(LOOKUP($S1645,MOTORISTAS!$D$3:$D$916,MOTORISTAS!E$3:$E$916),"")</f>
        <v/>
      </c>
      <c r="U1645" s="138" t="str">
        <f>IFERROR(LOOKUP($S1645,MOTORISTAS!$D$3:$D$916,MOTORISTAS!F$3:$F$916),"")</f>
        <v/>
      </c>
      <c r="V1645" s="66"/>
      <c r="W1645" s="66"/>
      <c r="X1645" s="66"/>
      <c r="Y1645" s="66"/>
      <c r="Z1645" s="66"/>
      <c r="AA1645" s="66"/>
      <c r="AB1645" s="66"/>
      <c r="AC1645" s="66"/>
      <c r="AD1645" s="66"/>
      <c r="AE1645" s="66"/>
      <c r="AF1645" s="44"/>
      <c r="AG1645" s="254">
        <f>Prog_23[[#This Row],[SAÍDA DO CLIENTE]]-Prog_23[[#This Row],[PROGRAMAÇÃO CLIENTE]]</f>
        <v>0</v>
      </c>
      <c r="AH1645" s="44"/>
      <c r="AI1645" s="66"/>
      <c r="AJ1645" s="66"/>
      <c r="AK1645" s="66"/>
      <c r="AL1645" s="66"/>
      <c r="AM1645" s="66"/>
      <c r="AN1645" s="83"/>
      <c r="AO1645" s="83"/>
      <c r="AP1645" s="83"/>
      <c r="AQ1645" s="66"/>
      <c r="AR1645" s="66"/>
      <c r="AS1645" s="66"/>
      <c r="AT1645" s="81"/>
      <c r="AU1645" s="81"/>
      <c r="AV1645" s="81"/>
      <c r="AW1645" s="81"/>
      <c r="AX1645" s="83">
        <f>SUM(Prog_23[[#This Row],[ADIANTAMENTO]]+Prog_23[[#This Row],[SALDO]]+Prog_23[[#This Row],[MARGEM]]+Prog_23[[#This Row],[ESTADIA 1]])</f>
        <v>0</v>
      </c>
      <c r="AY16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45" s="81"/>
      <c r="BA1645" s="81"/>
      <c r="BB1645" s="81">
        <f>Prog_23[[#This Row],[VLR NF]]*0.1%</f>
        <v>0</v>
      </c>
      <c r="BC1645" s="81">
        <f>Prog_23[[#This Row],[VLR NF]]*0.05%</f>
        <v>0</v>
      </c>
      <c r="BD1645" s="81"/>
      <c r="BE1645" s="81"/>
      <c r="BF1645" s="81"/>
      <c r="BG1645" s="81"/>
      <c r="BH1645" s="81"/>
      <c r="BI1645" s="81"/>
      <c r="BJ1645" s="81"/>
      <c r="BK1645" s="81"/>
      <c r="BL1645" s="81"/>
      <c r="BM1645" s="81"/>
      <c r="BN1645" s="66"/>
      <c r="BO1645" s="66"/>
      <c r="BP1645" s="66"/>
      <c r="BQ1645" s="66" t="str">
        <f>PROPER(TEXT(Prog_23[[#This Row],[PROGRAMAÇÃO CLIENTE]],"mmm"))</f>
        <v>Jan</v>
      </c>
      <c r="BR1645" s="66">
        <f>YEAR(Prog_23[[#This Row],[PROGRAMAÇÃO CLIENTE]])</f>
        <v>1900</v>
      </c>
    </row>
    <row r="1646" spans="1:70" x14ac:dyDescent="0.25">
      <c r="A1646" s="201">
        <f>Prog_23[[#This Row],[CONTEINER]]</f>
        <v>0</v>
      </c>
      <c r="B1646" s="86"/>
      <c r="C16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46" s="44"/>
      <c r="E1646" s="66"/>
      <c r="F1646" s="66"/>
      <c r="G1646" s="66"/>
      <c r="H1646" s="44"/>
      <c r="I1646" s="44"/>
      <c r="J1646" s="66"/>
      <c r="K1646" s="66"/>
      <c r="L1646" s="66"/>
      <c r="M1646" s="66"/>
      <c r="N1646" s="66">
        <f>SUM(Prog_23[[#This Row],[TARA]]+Prog_23[[#This Row],[PESO]])</f>
        <v>0</v>
      </c>
      <c r="O1646" s="44"/>
      <c r="P1646" s="66"/>
      <c r="Q1646" s="66"/>
      <c r="R1646" s="66"/>
      <c r="S1646" s="66"/>
      <c r="T1646" s="138" t="str">
        <f>IFERROR(LOOKUP($S1646,MOTORISTAS!$D$3:$D$916,MOTORISTAS!E$3:$E$916),"")</f>
        <v/>
      </c>
      <c r="U1646" s="138" t="str">
        <f>IFERROR(LOOKUP($S1646,MOTORISTAS!$D$3:$D$916,MOTORISTAS!F$3:$F$916),"")</f>
        <v/>
      </c>
      <c r="V1646" s="66"/>
      <c r="W1646" s="66"/>
      <c r="X1646" s="66"/>
      <c r="Y1646" s="66"/>
      <c r="Z1646" s="66"/>
      <c r="AA1646" s="66"/>
      <c r="AB1646" s="66"/>
      <c r="AC1646" s="66"/>
      <c r="AD1646" s="66"/>
      <c r="AE1646" s="66"/>
      <c r="AF1646" s="44"/>
      <c r="AG1646" s="254">
        <f>Prog_23[[#This Row],[SAÍDA DO CLIENTE]]-Prog_23[[#This Row],[PROGRAMAÇÃO CLIENTE]]</f>
        <v>0</v>
      </c>
      <c r="AH1646" s="44"/>
      <c r="AI1646" s="66"/>
      <c r="AJ1646" s="66"/>
      <c r="AK1646" s="66"/>
      <c r="AL1646" s="66"/>
      <c r="AM1646" s="66"/>
      <c r="AN1646" s="83"/>
      <c r="AO1646" s="83"/>
      <c r="AP1646" s="83"/>
      <c r="AQ1646" s="66"/>
      <c r="AR1646" s="66"/>
      <c r="AS1646" s="66"/>
      <c r="AT1646" s="81"/>
      <c r="AU1646" s="81"/>
      <c r="AV1646" s="81"/>
      <c r="AW1646" s="81"/>
      <c r="AX1646" s="83">
        <f>SUM(Prog_23[[#This Row],[ADIANTAMENTO]]+Prog_23[[#This Row],[SALDO]]+Prog_23[[#This Row],[MARGEM]]+Prog_23[[#This Row],[ESTADIA 1]])</f>
        <v>0</v>
      </c>
      <c r="AY16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46" s="81"/>
      <c r="BA1646" s="81"/>
      <c r="BB1646" s="81">
        <f>Prog_23[[#This Row],[VLR NF]]*0.1%</f>
        <v>0</v>
      </c>
      <c r="BC1646" s="81">
        <f>Prog_23[[#This Row],[VLR NF]]*0.05%</f>
        <v>0</v>
      </c>
      <c r="BD1646" s="81"/>
      <c r="BE1646" s="81"/>
      <c r="BF1646" s="81"/>
      <c r="BG1646" s="81"/>
      <c r="BH1646" s="81"/>
      <c r="BI1646" s="81"/>
      <c r="BJ1646" s="81"/>
      <c r="BK1646" s="81"/>
      <c r="BL1646" s="81"/>
      <c r="BM1646" s="81"/>
      <c r="BN1646" s="66"/>
      <c r="BO1646" s="66"/>
      <c r="BP1646" s="66"/>
      <c r="BQ1646" s="66" t="str">
        <f>PROPER(TEXT(Prog_23[[#This Row],[PROGRAMAÇÃO CLIENTE]],"mmm"))</f>
        <v>Jan</v>
      </c>
      <c r="BR1646" s="66">
        <f>YEAR(Prog_23[[#This Row],[PROGRAMAÇÃO CLIENTE]])</f>
        <v>1900</v>
      </c>
    </row>
    <row r="1647" spans="1:70" x14ac:dyDescent="0.25">
      <c r="A1647" s="200">
        <f>Prog_23[[#This Row],[CONTEINER]]</f>
        <v>0</v>
      </c>
      <c r="B1647" s="86"/>
      <c r="C16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47" s="44"/>
      <c r="E1647" s="66"/>
      <c r="F1647" s="66"/>
      <c r="G1647" s="66"/>
      <c r="H1647" s="44"/>
      <c r="I1647" s="44"/>
      <c r="J1647" s="66"/>
      <c r="K1647" s="66"/>
      <c r="L1647" s="66"/>
      <c r="M1647" s="66"/>
      <c r="N1647" s="66">
        <f>SUM(Prog_23[[#This Row],[TARA]]+Prog_23[[#This Row],[PESO]])</f>
        <v>0</v>
      </c>
      <c r="O1647" s="44"/>
      <c r="P1647" s="66"/>
      <c r="Q1647" s="66"/>
      <c r="R1647" s="66"/>
      <c r="S1647" s="66"/>
      <c r="T1647" s="138" t="str">
        <f>IFERROR(LOOKUP($S1647,MOTORISTAS!$D$3:$D$916,MOTORISTAS!E$3:$E$916),"")</f>
        <v/>
      </c>
      <c r="U1647" s="138" t="str">
        <f>IFERROR(LOOKUP($S1647,MOTORISTAS!$D$3:$D$916,MOTORISTAS!F$3:$F$916),"")</f>
        <v/>
      </c>
      <c r="V1647" s="66"/>
      <c r="W1647" s="66"/>
      <c r="X1647" s="66"/>
      <c r="Y1647" s="66"/>
      <c r="Z1647" s="66"/>
      <c r="AA1647" s="66"/>
      <c r="AB1647" s="66"/>
      <c r="AC1647" s="66"/>
      <c r="AD1647" s="66"/>
      <c r="AE1647" s="66"/>
      <c r="AF1647" s="44"/>
      <c r="AG1647" s="254">
        <f>Prog_23[[#This Row],[SAÍDA DO CLIENTE]]-Prog_23[[#This Row],[PROGRAMAÇÃO CLIENTE]]</f>
        <v>0</v>
      </c>
      <c r="AH1647" s="44"/>
      <c r="AI1647" s="66"/>
      <c r="AJ1647" s="66"/>
      <c r="AK1647" s="66"/>
      <c r="AL1647" s="66"/>
      <c r="AM1647" s="66"/>
      <c r="AN1647" s="83"/>
      <c r="AO1647" s="83"/>
      <c r="AP1647" s="83"/>
      <c r="AQ1647" s="66"/>
      <c r="AR1647" s="66"/>
      <c r="AS1647" s="66"/>
      <c r="AT1647" s="81"/>
      <c r="AU1647" s="81"/>
      <c r="AV1647" s="81"/>
      <c r="AW1647" s="81"/>
      <c r="AX1647" s="83">
        <f>SUM(Prog_23[[#This Row],[ADIANTAMENTO]]+Prog_23[[#This Row],[SALDO]]+Prog_23[[#This Row],[MARGEM]]+Prog_23[[#This Row],[ESTADIA 1]])</f>
        <v>0</v>
      </c>
      <c r="AY16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47" s="81"/>
      <c r="BA1647" s="81"/>
      <c r="BB1647" s="81">
        <f>Prog_23[[#This Row],[VLR NF]]*0.1%</f>
        <v>0</v>
      </c>
      <c r="BC1647" s="81">
        <f>Prog_23[[#This Row],[VLR NF]]*0.05%</f>
        <v>0</v>
      </c>
      <c r="BD1647" s="81"/>
      <c r="BE1647" s="81"/>
      <c r="BF1647" s="81"/>
      <c r="BG1647" s="81"/>
      <c r="BH1647" s="81"/>
      <c r="BI1647" s="81"/>
      <c r="BJ1647" s="81"/>
      <c r="BK1647" s="81"/>
      <c r="BL1647" s="81"/>
      <c r="BM1647" s="81"/>
      <c r="BN1647" s="66"/>
      <c r="BO1647" s="66"/>
      <c r="BP1647" s="66"/>
      <c r="BQ1647" s="66" t="str">
        <f>PROPER(TEXT(Prog_23[[#This Row],[PROGRAMAÇÃO CLIENTE]],"mmm"))</f>
        <v>Jan</v>
      </c>
      <c r="BR1647" s="66">
        <f>YEAR(Prog_23[[#This Row],[PROGRAMAÇÃO CLIENTE]])</f>
        <v>1900</v>
      </c>
    </row>
    <row r="1648" spans="1:70" x14ac:dyDescent="0.25">
      <c r="A1648" s="201">
        <f>Prog_23[[#This Row],[CONTEINER]]</f>
        <v>0</v>
      </c>
      <c r="B1648" s="86"/>
      <c r="C16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48" s="44"/>
      <c r="E1648" s="66"/>
      <c r="F1648" s="66"/>
      <c r="G1648" s="66"/>
      <c r="H1648" s="44"/>
      <c r="I1648" s="44"/>
      <c r="J1648" s="66"/>
      <c r="K1648" s="66"/>
      <c r="L1648" s="66"/>
      <c r="M1648" s="66"/>
      <c r="N1648" s="66">
        <f>SUM(Prog_23[[#This Row],[TARA]]+Prog_23[[#This Row],[PESO]])</f>
        <v>0</v>
      </c>
      <c r="O1648" s="44"/>
      <c r="P1648" s="66"/>
      <c r="Q1648" s="66"/>
      <c r="R1648" s="66"/>
      <c r="S1648" s="66"/>
      <c r="T1648" s="138" t="str">
        <f>IFERROR(LOOKUP($S1648,MOTORISTAS!$D$3:$D$916,MOTORISTAS!E$3:$E$916),"")</f>
        <v/>
      </c>
      <c r="U1648" s="138" t="str">
        <f>IFERROR(LOOKUP($S1648,MOTORISTAS!$D$3:$D$916,MOTORISTAS!F$3:$F$916),"")</f>
        <v/>
      </c>
      <c r="V1648" s="66"/>
      <c r="W1648" s="66"/>
      <c r="X1648" s="66"/>
      <c r="Y1648" s="66"/>
      <c r="Z1648" s="66"/>
      <c r="AA1648" s="66"/>
      <c r="AB1648" s="66"/>
      <c r="AC1648" s="66"/>
      <c r="AD1648" s="66"/>
      <c r="AE1648" s="66"/>
      <c r="AF1648" s="44"/>
      <c r="AG1648" s="254">
        <f>Prog_23[[#This Row],[SAÍDA DO CLIENTE]]-Prog_23[[#This Row],[PROGRAMAÇÃO CLIENTE]]</f>
        <v>0</v>
      </c>
      <c r="AH1648" s="44"/>
      <c r="AI1648" s="66"/>
      <c r="AJ1648" s="66"/>
      <c r="AK1648" s="66"/>
      <c r="AL1648" s="66"/>
      <c r="AM1648" s="66"/>
      <c r="AN1648" s="83"/>
      <c r="AO1648" s="83"/>
      <c r="AP1648" s="83"/>
      <c r="AQ1648" s="66"/>
      <c r="AR1648" s="66"/>
      <c r="AS1648" s="66"/>
      <c r="AT1648" s="81"/>
      <c r="AU1648" s="81"/>
      <c r="AV1648" s="81"/>
      <c r="AW1648" s="81"/>
      <c r="AX1648" s="83">
        <f>SUM(Prog_23[[#This Row],[ADIANTAMENTO]]+Prog_23[[#This Row],[SALDO]]+Prog_23[[#This Row],[MARGEM]]+Prog_23[[#This Row],[ESTADIA 1]])</f>
        <v>0</v>
      </c>
      <c r="AY16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48" s="81"/>
      <c r="BA1648" s="81"/>
      <c r="BB1648" s="81">
        <f>Prog_23[[#This Row],[VLR NF]]*0.1%</f>
        <v>0</v>
      </c>
      <c r="BC1648" s="81">
        <f>Prog_23[[#This Row],[VLR NF]]*0.05%</f>
        <v>0</v>
      </c>
      <c r="BD1648" s="81"/>
      <c r="BE1648" s="81"/>
      <c r="BF1648" s="81"/>
      <c r="BG1648" s="81"/>
      <c r="BH1648" s="81"/>
      <c r="BI1648" s="81"/>
      <c r="BJ1648" s="81"/>
      <c r="BK1648" s="81"/>
      <c r="BL1648" s="81"/>
      <c r="BM1648" s="81"/>
      <c r="BN1648" s="66"/>
      <c r="BO1648" s="66"/>
      <c r="BP1648" s="66"/>
      <c r="BQ1648" s="66" t="str">
        <f>PROPER(TEXT(Prog_23[[#This Row],[PROGRAMAÇÃO CLIENTE]],"mmm"))</f>
        <v>Jan</v>
      </c>
      <c r="BR1648" s="66">
        <f>YEAR(Prog_23[[#This Row],[PROGRAMAÇÃO CLIENTE]])</f>
        <v>1900</v>
      </c>
    </row>
    <row r="1649" spans="1:70" x14ac:dyDescent="0.25">
      <c r="A1649" s="200">
        <f>Prog_23[[#This Row],[CONTEINER]]</f>
        <v>0</v>
      </c>
      <c r="B1649" s="86"/>
      <c r="C16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49" s="44"/>
      <c r="E1649" s="66"/>
      <c r="F1649" s="66"/>
      <c r="G1649" s="66"/>
      <c r="H1649" s="44"/>
      <c r="I1649" s="44"/>
      <c r="J1649" s="66"/>
      <c r="K1649" s="66"/>
      <c r="L1649" s="66"/>
      <c r="M1649" s="66"/>
      <c r="N1649" s="66">
        <f>SUM(Prog_23[[#This Row],[TARA]]+Prog_23[[#This Row],[PESO]])</f>
        <v>0</v>
      </c>
      <c r="O1649" s="44"/>
      <c r="P1649" s="66"/>
      <c r="Q1649" s="66"/>
      <c r="R1649" s="66"/>
      <c r="S1649" s="66"/>
      <c r="T1649" s="138" t="str">
        <f>IFERROR(LOOKUP($S1649,MOTORISTAS!$D$3:$D$916,MOTORISTAS!E$3:$E$916),"")</f>
        <v/>
      </c>
      <c r="U1649" s="138" t="str">
        <f>IFERROR(LOOKUP($S1649,MOTORISTAS!$D$3:$D$916,MOTORISTAS!F$3:$F$916),"")</f>
        <v/>
      </c>
      <c r="V1649" s="66"/>
      <c r="W1649" s="66"/>
      <c r="X1649" s="66"/>
      <c r="Y1649" s="66"/>
      <c r="Z1649" s="66"/>
      <c r="AA1649" s="66"/>
      <c r="AB1649" s="66"/>
      <c r="AC1649" s="66"/>
      <c r="AD1649" s="66"/>
      <c r="AE1649" s="66"/>
      <c r="AF1649" s="44"/>
      <c r="AG1649" s="254">
        <f>Prog_23[[#This Row],[SAÍDA DO CLIENTE]]-Prog_23[[#This Row],[PROGRAMAÇÃO CLIENTE]]</f>
        <v>0</v>
      </c>
      <c r="AH1649" s="44"/>
      <c r="AI1649" s="66"/>
      <c r="AJ1649" s="66"/>
      <c r="AK1649" s="66"/>
      <c r="AL1649" s="66"/>
      <c r="AM1649" s="66"/>
      <c r="AN1649" s="83"/>
      <c r="AO1649" s="83"/>
      <c r="AP1649" s="83"/>
      <c r="AQ1649" s="66"/>
      <c r="AR1649" s="66"/>
      <c r="AS1649" s="66"/>
      <c r="AT1649" s="81"/>
      <c r="AU1649" s="81"/>
      <c r="AV1649" s="81"/>
      <c r="AW1649" s="81"/>
      <c r="AX1649" s="83">
        <f>SUM(Prog_23[[#This Row],[ADIANTAMENTO]]+Prog_23[[#This Row],[SALDO]]+Prog_23[[#This Row],[MARGEM]]+Prog_23[[#This Row],[ESTADIA 1]])</f>
        <v>0</v>
      </c>
      <c r="AY16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49" s="81"/>
      <c r="BA1649" s="81"/>
      <c r="BB1649" s="81">
        <f>Prog_23[[#This Row],[VLR NF]]*0.1%</f>
        <v>0</v>
      </c>
      <c r="BC1649" s="81">
        <f>Prog_23[[#This Row],[VLR NF]]*0.05%</f>
        <v>0</v>
      </c>
      <c r="BD1649" s="81"/>
      <c r="BE1649" s="81"/>
      <c r="BF1649" s="81"/>
      <c r="BG1649" s="81"/>
      <c r="BH1649" s="81"/>
      <c r="BI1649" s="81"/>
      <c r="BJ1649" s="81"/>
      <c r="BK1649" s="81"/>
      <c r="BL1649" s="81"/>
      <c r="BM1649" s="81"/>
      <c r="BN1649" s="66"/>
      <c r="BO1649" s="66"/>
      <c r="BP1649" s="66"/>
      <c r="BQ1649" s="66" t="str">
        <f>PROPER(TEXT(Prog_23[[#This Row],[PROGRAMAÇÃO CLIENTE]],"mmm"))</f>
        <v>Jan</v>
      </c>
      <c r="BR1649" s="66">
        <f>YEAR(Prog_23[[#This Row],[PROGRAMAÇÃO CLIENTE]])</f>
        <v>1900</v>
      </c>
    </row>
    <row r="1650" spans="1:70" x14ac:dyDescent="0.25">
      <c r="A1650" s="201">
        <f>Prog_23[[#This Row],[CONTEINER]]</f>
        <v>0</v>
      </c>
      <c r="B1650" s="86"/>
      <c r="C16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50" s="44"/>
      <c r="E1650" s="66"/>
      <c r="F1650" s="66"/>
      <c r="G1650" s="66"/>
      <c r="H1650" s="44"/>
      <c r="I1650" s="44"/>
      <c r="J1650" s="66"/>
      <c r="K1650" s="66"/>
      <c r="L1650" s="66"/>
      <c r="M1650" s="66"/>
      <c r="N1650" s="66">
        <f>SUM(Prog_23[[#This Row],[TARA]]+Prog_23[[#This Row],[PESO]])</f>
        <v>0</v>
      </c>
      <c r="O1650" s="44"/>
      <c r="P1650" s="66"/>
      <c r="Q1650" s="66"/>
      <c r="R1650" s="66"/>
      <c r="S1650" s="66"/>
      <c r="T1650" s="138" t="str">
        <f>IFERROR(LOOKUP($S1650,MOTORISTAS!$D$3:$D$916,MOTORISTAS!E$3:$E$916),"")</f>
        <v/>
      </c>
      <c r="U1650" s="138" t="str">
        <f>IFERROR(LOOKUP($S1650,MOTORISTAS!$D$3:$D$916,MOTORISTAS!F$3:$F$916),"")</f>
        <v/>
      </c>
      <c r="V1650" s="66"/>
      <c r="W1650" s="66"/>
      <c r="X1650" s="66"/>
      <c r="Y1650" s="66"/>
      <c r="Z1650" s="66"/>
      <c r="AA1650" s="66"/>
      <c r="AB1650" s="66"/>
      <c r="AC1650" s="66"/>
      <c r="AD1650" s="66"/>
      <c r="AE1650" s="66"/>
      <c r="AF1650" s="44"/>
      <c r="AG1650" s="254">
        <f>Prog_23[[#This Row],[SAÍDA DO CLIENTE]]-Prog_23[[#This Row],[PROGRAMAÇÃO CLIENTE]]</f>
        <v>0</v>
      </c>
      <c r="AH1650" s="44"/>
      <c r="AI1650" s="66"/>
      <c r="AJ1650" s="66"/>
      <c r="AK1650" s="66"/>
      <c r="AL1650" s="66"/>
      <c r="AM1650" s="66"/>
      <c r="AN1650" s="83"/>
      <c r="AO1650" s="83"/>
      <c r="AP1650" s="83"/>
      <c r="AQ1650" s="66"/>
      <c r="AR1650" s="66"/>
      <c r="AS1650" s="66"/>
      <c r="AT1650" s="81"/>
      <c r="AU1650" s="81"/>
      <c r="AV1650" s="81"/>
      <c r="AW1650" s="81"/>
      <c r="AX1650" s="83">
        <f>SUM(Prog_23[[#This Row],[ADIANTAMENTO]]+Prog_23[[#This Row],[SALDO]]+Prog_23[[#This Row],[MARGEM]]+Prog_23[[#This Row],[ESTADIA 1]])</f>
        <v>0</v>
      </c>
      <c r="AY16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50" s="81"/>
      <c r="BA1650" s="81"/>
      <c r="BB1650" s="81">
        <f>Prog_23[[#This Row],[VLR NF]]*0.1%</f>
        <v>0</v>
      </c>
      <c r="BC1650" s="81">
        <f>Prog_23[[#This Row],[VLR NF]]*0.05%</f>
        <v>0</v>
      </c>
      <c r="BD1650" s="81"/>
      <c r="BE1650" s="81"/>
      <c r="BF1650" s="81"/>
      <c r="BG1650" s="81"/>
      <c r="BH1650" s="81"/>
      <c r="BI1650" s="81"/>
      <c r="BJ1650" s="81"/>
      <c r="BK1650" s="81"/>
      <c r="BL1650" s="81"/>
      <c r="BM1650" s="81"/>
      <c r="BN1650" s="66"/>
      <c r="BO1650" s="66"/>
      <c r="BP1650" s="66"/>
      <c r="BQ1650" s="66" t="str">
        <f>PROPER(TEXT(Prog_23[[#This Row],[PROGRAMAÇÃO CLIENTE]],"mmm"))</f>
        <v>Jan</v>
      </c>
      <c r="BR1650" s="66">
        <f>YEAR(Prog_23[[#This Row],[PROGRAMAÇÃO CLIENTE]])</f>
        <v>1900</v>
      </c>
    </row>
    <row r="1651" spans="1:70" x14ac:dyDescent="0.25">
      <c r="A1651" s="200">
        <f>Prog_23[[#This Row],[CONTEINER]]</f>
        <v>0</v>
      </c>
      <c r="B1651" s="86"/>
      <c r="C16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51" s="44"/>
      <c r="E1651" s="66"/>
      <c r="F1651" s="66"/>
      <c r="G1651" s="66"/>
      <c r="H1651" s="44"/>
      <c r="I1651" s="44"/>
      <c r="J1651" s="66"/>
      <c r="K1651" s="66"/>
      <c r="L1651" s="66"/>
      <c r="M1651" s="66"/>
      <c r="N1651" s="66">
        <f>SUM(Prog_23[[#This Row],[TARA]]+Prog_23[[#This Row],[PESO]])</f>
        <v>0</v>
      </c>
      <c r="O1651" s="44"/>
      <c r="P1651" s="66"/>
      <c r="Q1651" s="66"/>
      <c r="R1651" s="66"/>
      <c r="S1651" s="66"/>
      <c r="T1651" s="138" t="str">
        <f>IFERROR(LOOKUP($S1651,MOTORISTAS!$D$3:$D$916,MOTORISTAS!E$3:$E$916),"")</f>
        <v/>
      </c>
      <c r="U1651" s="138" t="str">
        <f>IFERROR(LOOKUP($S1651,MOTORISTAS!$D$3:$D$916,MOTORISTAS!F$3:$F$916),"")</f>
        <v/>
      </c>
      <c r="V1651" s="66"/>
      <c r="W1651" s="66"/>
      <c r="X1651" s="66"/>
      <c r="Y1651" s="66"/>
      <c r="Z1651" s="66"/>
      <c r="AA1651" s="66"/>
      <c r="AB1651" s="66"/>
      <c r="AC1651" s="66"/>
      <c r="AD1651" s="66"/>
      <c r="AE1651" s="66"/>
      <c r="AF1651" s="44"/>
      <c r="AG1651" s="254">
        <f>Prog_23[[#This Row],[SAÍDA DO CLIENTE]]-Prog_23[[#This Row],[PROGRAMAÇÃO CLIENTE]]</f>
        <v>0</v>
      </c>
      <c r="AH1651" s="44"/>
      <c r="AI1651" s="66"/>
      <c r="AJ1651" s="66"/>
      <c r="AK1651" s="66"/>
      <c r="AL1651" s="66"/>
      <c r="AM1651" s="66"/>
      <c r="AN1651" s="83"/>
      <c r="AO1651" s="83"/>
      <c r="AP1651" s="83"/>
      <c r="AQ1651" s="66"/>
      <c r="AR1651" s="66"/>
      <c r="AS1651" s="66"/>
      <c r="AT1651" s="81"/>
      <c r="AU1651" s="81"/>
      <c r="AV1651" s="81"/>
      <c r="AW1651" s="81"/>
      <c r="AX1651" s="83">
        <f>SUM(Prog_23[[#This Row],[ADIANTAMENTO]]+Prog_23[[#This Row],[SALDO]]+Prog_23[[#This Row],[MARGEM]]+Prog_23[[#This Row],[ESTADIA 1]])</f>
        <v>0</v>
      </c>
      <c r="AY16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51" s="81"/>
      <c r="BA1651" s="81"/>
      <c r="BB1651" s="81">
        <f>Prog_23[[#This Row],[VLR NF]]*0.1%</f>
        <v>0</v>
      </c>
      <c r="BC1651" s="81">
        <f>Prog_23[[#This Row],[VLR NF]]*0.05%</f>
        <v>0</v>
      </c>
      <c r="BD1651" s="81"/>
      <c r="BE1651" s="81"/>
      <c r="BF1651" s="81"/>
      <c r="BG1651" s="81"/>
      <c r="BH1651" s="81"/>
      <c r="BI1651" s="81"/>
      <c r="BJ1651" s="81"/>
      <c r="BK1651" s="81"/>
      <c r="BL1651" s="81"/>
      <c r="BM1651" s="81"/>
      <c r="BN1651" s="66"/>
      <c r="BO1651" s="66"/>
      <c r="BP1651" s="66"/>
      <c r="BQ1651" s="66" t="str">
        <f>PROPER(TEXT(Prog_23[[#This Row],[PROGRAMAÇÃO CLIENTE]],"mmm"))</f>
        <v>Jan</v>
      </c>
      <c r="BR1651" s="66">
        <f>YEAR(Prog_23[[#This Row],[PROGRAMAÇÃO CLIENTE]])</f>
        <v>1900</v>
      </c>
    </row>
    <row r="1652" spans="1:70" x14ac:dyDescent="0.25">
      <c r="A1652" s="201">
        <f>Prog_23[[#This Row],[CONTEINER]]</f>
        <v>0</v>
      </c>
      <c r="B1652" s="86"/>
      <c r="C16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52" s="44"/>
      <c r="E1652" s="66"/>
      <c r="F1652" s="66"/>
      <c r="G1652" s="66"/>
      <c r="H1652" s="44"/>
      <c r="I1652" s="44"/>
      <c r="J1652" s="66"/>
      <c r="K1652" s="66"/>
      <c r="L1652" s="66"/>
      <c r="M1652" s="66"/>
      <c r="N1652" s="66">
        <f>SUM(Prog_23[[#This Row],[TARA]]+Prog_23[[#This Row],[PESO]])</f>
        <v>0</v>
      </c>
      <c r="O1652" s="44"/>
      <c r="P1652" s="66"/>
      <c r="Q1652" s="66"/>
      <c r="R1652" s="66"/>
      <c r="S1652" s="66"/>
      <c r="T1652" s="138" t="str">
        <f>IFERROR(LOOKUP($S1652,MOTORISTAS!$D$3:$D$916,MOTORISTAS!E$3:$E$916),"")</f>
        <v/>
      </c>
      <c r="U1652" s="138" t="str">
        <f>IFERROR(LOOKUP($S1652,MOTORISTAS!$D$3:$D$916,MOTORISTAS!F$3:$F$916),"")</f>
        <v/>
      </c>
      <c r="V1652" s="66"/>
      <c r="W1652" s="66"/>
      <c r="X1652" s="66"/>
      <c r="Y1652" s="66"/>
      <c r="Z1652" s="66"/>
      <c r="AA1652" s="66"/>
      <c r="AB1652" s="66"/>
      <c r="AC1652" s="66"/>
      <c r="AD1652" s="66"/>
      <c r="AE1652" s="66"/>
      <c r="AF1652" s="44"/>
      <c r="AG1652" s="254">
        <f>Prog_23[[#This Row],[SAÍDA DO CLIENTE]]-Prog_23[[#This Row],[PROGRAMAÇÃO CLIENTE]]</f>
        <v>0</v>
      </c>
      <c r="AH1652" s="44"/>
      <c r="AI1652" s="66"/>
      <c r="AJ1652" s="66"/>
      <c r="AK1652" s="66"/>
      <c r="AL1652" s="66"/>
      <c r="AM1652" s="66"/>
      <c r="AN1652" s="83"/>
      <c r="AO1652" s="83"/>
      <c r="AP1652" s="83"/>
      <c r="AQ1652" s="66"/>
      <c r="AR1652" s="66"/>
      <c r="AS1652" s="66"/>
      <c r="AT1652" s="81"/>
      <c r="AU1652" s="81"/>
      <c r="AV1652" s="81"/>
      <c r="AW1652" s="81"/>
      <c r="AX1652" s="83">
        <f>SUM(Prog_23[[#This Row],[ADIANTAMENTO]]+Prog_23[[#This Row],[SALDO]]+Prog_23[[#This Row],[MARGEM]]+Prog_23[[#This Row],[ESTADIA 1]])</f>
        <v>0</v>
      </c>
      <c r="AY16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52" s="81"/>
      <c r="BA1652" s="81"/>
      <c r="BB1652" s="81">
        <f>Prog_23[[#This Row],[VLR NF]]*0.1%</f>
        <v>0</v>
      </c>
      <c r="BC1652" s="81">
        <f>Prog_23[[#This Row],[VLR NF]]*0.05%</f>
        <v>0</v>
      </c>
      <c r="BD1652" s="81"/>
      <c r="BE1652" s="81"/>
      <c r="BF1652" s="81"/>
      <c r="BG1652" s="81"/>
      <c r="BH1652" s="81"/>
      <c r="BI1652" s="81"/>
      <c r="BJ1652" s="81"/>
      <c r="BK1652" s="81"/>
      <c r="BL1652" s="81"/>
      <c r="BM1652" s="81"/>
      <c r="BN1652" s="66"/>
      <c r="BO1652" s="66"/>
      <c r="BP1652" s="66"/>
      <c r="BQ1652" s="66" t="str">
        <f>PROPER(TEXT(Prog_23[[#This Row],[PROGRAMAÇÃO CLIENTE]],"mmm"))</f>
        <v>Jan</v>
      </c>
      <c r="BR1652" s="66">
        <f>YEAR(Prog_23[[#This Row],[PROGRAMAÇÃO CLIENTE]])</f>
        <v>1900</v>
      </c>
    </row>
    <row r="1653" spans="1:70" x14ac:dyDescent="0.25">
      <c r="A1653" s="200">
        <f>Prog_23[[#This Row],[CONTEINER]]</f>
        <v>0</v>
      </c>
      <c r="B1653" s="86"/>
      <c r="C16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53" s="44"/>
      <c r="E1653" s="66"/>
      <c r="F1653" s="66"/>
      <c r="G1653" s="66"/>
      <c r="H1653" s="44"/>
      <c r="I1653" s="44"/>
      <c r="J1653" s="66"/>
      <c r="K1653" s="66"/>
      <c r="L1653" s="66"/>
      <c r="M1653" s="66"/>
      <c r="N1653" s="66">
        <f>SUM(Prog_23[[#This Row],[TARA]]+Prog_23[[#This Row],[PESO]])</f>
        <v>0</v>
      </c>
      <c r="O1653" s="44"/>
      <c r="P1653" s="66"/>
      <c r="Q1653" s="66"/>
      <c r="R1653" s="66"/>
      <c r="S1653" s="66"/>
      <c r="T1653" s="138" t="str">
        <f>IFERROR(LOOKUP($S1653,MOTORISTAS!$D$3:$D$916,MOTORISTAS!E$3:$E$916),"")</f>
        <v/>
      </c>
      <c r="U1653" s="138" t="str">
        <f>IFERROR(LOOKUP($S1653,MOTORISTAS!$D$3:$D$916,MOTORISTAS!F$3:$F$916),"")</f>
        <v/>
      </c>
      <c r="V1653" s="66"/>
      <c r="W1653" s="66"/>
      <c r="X1653" s="66"/>
      <c r="Y1653" s="66"/>
      <c r="Z1653" s="66"/>
      <c r="AA1653" s="66"/>
      <c r="AB1653" s="66"/>
      <c r="AC1653" s="66"/>
      <c r="AD1653" s="66"/>
      <c r="AE1653" s="66"/>
      <c r="AF1653" s="44"/>
      <c r="AG1653" s="254">
        <f>Prog_23[[#This Row],[SAÍDA DO CLIENTE]]-Prog_23[[#This Row],[PROGRAMAÇÃO CLIENTE]]</f>
        <v>0</v>
      </c>
      <c r="AH1653" s="44"/>
      <c r="AI1653" s="66"/>
      <c r="AJ1653" s="66"/>
      <c r="AK1653" s="66"/>
      <c r="AL1653" s="66"/>
      <c r="AM1653" s="66"/>
      <c r="AN1653" s="83"/>
      <c r="AO1653" s="83"/>
      <c r="AP1653" s="83"/>
      <c r="AQ1653" s="66"/>
      <c r="AR1653" s="66"/>
      <c r="AS1653" s="66"/>
      <c r="AT1653" s="81"/>
      <c r="AU1653" s="81"/>
      <c r="AV1653" s="81"/>
      <c r="AW1653" s="81"/>
      <c r="AX1653" s="83">
        <f>SUM(Prog_23[[#This Row],[ADIANTAMENTO]]+Prog_23[[#This Row],[SALDO]]+Prog_23[[#This Row],[MARGEM]]+Prog_23[[#This Row],[ESTADIA 1]])</f>
        <v>0</v>
      </c>
      <c r="AY16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53" s="81"/>
      <c r="BA1653" s="81"/>
      <c r="BB1653" s="81">
        <f>Prog_23[[#This Row],[VLR NF]]*0.1%</f>
        <v>0</v>
      </c>
      <c r="BC1653" s="81">
        <f>Prog_23[[#This Row],[VLR NF]]*0.05%</f>
        <v>0</v>
      </c>
      <c r="BD1653" s="81"/>
      <c r="BE1653" s="81"/>
      <c r="BF1653" s="81"/>
      <c r="BG1653" s="81"/>
      <c r="BH1653" s="81"/>
      <c r="BI1653" s="81"/>
      <c r="BJ1653" s="81"/>
      <c r="BK1653" s="81"/>
      <c r="BL1653" s="81"/>
      <c r="BM1653" s="81"/>
      <c r="BN1653" s="66"/>
      <c r="BO1653" s="66"/>
      <c r="BP1653" s="66"/>
      <c r="BQ1653" s="66" t="str">
        <f>PROPER(TEXT(Prog_23[[#This Row],[PROGRAMAÇÃO CLIENTE]],"mmm"))</f>
        <v>Jan</v>
      </c>
      <c r="BR1653" s="66">
        <f>YEAR(Prog_23[[#This Row],[PROGRAMAÇÃO CLIENTE]])</f>
        <v>1900</v>
      </c>
    </row>
    <row r="1654" spans="1:70" x14ac:dyDescent="0.25">
      <c r="A1654" s="201">
        <f>Prog_23[[#This Row],[CONTEINER]]</f>
        <v>0</v>
      </c>
      <c r="B1654" s="86"/>
      <c r="C16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54" s="44"/>
      <c r="E1654" s="66"/>
      <c r="F1654" s="66"/>
      <c r="G1654" s="66"/>
      <c r="H1654" s="44"/>
      <c r="I1654" s="44"/>
      <c r="J1654" s="66"/>
      <c r="K1654" s="66"/>
      <c r="L1654" s="66"/>
      <c r="M1654" s="66"/>
      <c r="N1654" s="66">
        <f>SUM(Prog_23[[#This Row],[TARA]]+Prog_23[[#This Row],[PESO]])</f>
        <v>0</v>
      </c>
      <c r="O1654" s="44"/>
      <c r="P1654" s="66"/>
      <c r="Q1654" s="66"/>
      <c r="R1654" s="66"/>
      <c r="S1654" s="66"/>
      <c r="T1654" s="138" t="str">
        <f>IFERROR(LOOKUP($S1654,MOTORISTAS!$D$3:$D$916,MOTORISTAS!E$3:$E$916),"")</f>
        <v/>
      </c>
      <c r="U1654" s="138" t="str">
        <f>IFERROR(LOOKUP($S1654,MOTORISTAS!$D$3:$D$916,MOTORISTAS!F$3:$F$916),"")</f>
        <v/>
      </c>
      <c r="V1654" s="66"/>
      <c r="W1654" s="66"/>
      <c r="X1654" s="66"/>
      <c r="Y1654" s="66"/>
      <c r="Z1654" s="66"/>
      <c r="AA1654" s="66"/>
      <c r="AB1654" s="66"/>
      <c r="AC1654" s="66"/>
      <c r="AD1654" s="66"/>
      <c r="AE1654" s="66"/>
      <c r="AF1654" s="44"/>
      <c r="AG1654" s="254">
        <f>Prog_23[[#This Row],[SAÍDA DO CLIENTE]]-Prog_23[[#This Row],[PROGRAMAÇÃO CLIENTE]]</f>
        <v>0</v>
      </c>
      <c r="AH1654" s="44"/>
      <c r="AI1654" s="66"/>
      <c r="AJ1654" s="66"/>
      <c r="AK1654" s="66"/>
      <c r="AL1654" s="66"/>
      <c r="AM1654" s="66"/>
      <c r="AN1654" s="83"/>
      <c r="AO1654" s="83"/>
      <c r="AP1654" s="83"/>
      <c r="AQ1654" s="66"/>
      <c r="AR1654" s="66"/>
      <c r="AS1654" s="66"/>
      <c r="AT1654" s="81"/>
      <c r="AU1654" s="81"/>
      <c r="AV1654" s="81"/>
      <c r="AW1654" s="81"/>
      <c r="AX1654" s="83">
        <f>SUM(Prog_23[[#This Row],[ADIANTAMENTO]]+Prog_23[[#This Row],[SALDO]]+Prog_23[[#This Row],[MARGEM]]+Prog_23[[#This Row],[ESTADIA 1]])</f>
        <v>0</v>
      </c>
      <c r="AY16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54" s="81"/>
      <c r="BA1654" s="81"/>
      <c r="BB1654" s="81">
        <f>Prog_23[[#This Row],[VLR NF]]*0.1%</f>
        <v>0</v>
      </c>
      <c r="BC1654" s="81">
        <f>Prog_23[[#This Row],[VLR NF]]*0.05%</f>
        <v>0</v>
      </c>
      <c r="BD1654" s="81"/>
      <c r="BE1654" s="81"/>
      <c r="BF1654" s="81"/>
      <c r="BG1654" s="81"/>
      <c r="BH1654" s="81"/>
      <c r="BI1654" s="81"/>
      <c r="BJ1654" s="81"/>
      <c r="BK1654" s="81"/>
      <c r="BL1654" s="81"/>
      <c r="BM1654" s="81"/>
      <c r="BN1654" s="66"/>
      <c r="BO1654" s="66"/>
      <c r="BP1654" s="66"/>
      <c r="BQ1654" s="66" t="str">
        <f>PROPER(TEXT(Prog_23[[#This Row],[PROGRAMAÇÃO CLIENTE]],"mmm"))</f>
        <v>Jan</v>
      </c>
      <c r="BR1654" s="66">
        <f>YEAR(Prog_23[[#This Row],[PROGRAMAÇÃO CLIENTE]])</f>
        <v>1900</v>
      </c>
    </row>
    <row r="1655" spans="1:70" x14ac:dyDescent="0.25">
      <c r="A1655" s="200">
        <f>Prog_23[[#This Row],[CONTEINER]]</f>
        <v>0</v>
      </c>
      <c r="B1655" s="86"/>
      <c r="C16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55" s="44"/>
      <c r="E1655" s="66"/>
      <c r="F1655" s="66"/>
      <c r="G1655" s="66"/>
      <c r="H1655" s="44"/>
      <c r="I1655" s="44"/>
      <c r="J1655" s="66"/>
      <c r="K1655" s="66"/>
      <c r="L1655" s="66"/>
      <c r="M1655" s="66"/>
      <c r="N1655" s="66">
        <f>SUM(Prog_23[[#This Row],[TARA]]+Prog_23[[#This Row],[PESO]])</f>
        <v>0</v>
      </c>
      <c r="O1655" s="44"/>
      <c r="P1655" s="66"/>
      <c r="Q1655" s="66"/>
      <c r="R1655" s="66"/>
      <c r="S1655" s="66"/>
      <c r="T1655" s="138" t="str">
        <f>IFERROR(LOOKUP($S1655,MOTORISTAS!$D$3:$D$916,MOTORISTAS!E$3:$E$916),"")</f>
        <v/>
      </c>
      <c r="U1655" s="138" t="str">
        <f>IFERROR(LOOKUP($S1655,MOTORISTAS!$D$3:$D$916,MOTORISTAS!F$3:$F$916),"")</f>
        <v/>
      </c>
      <c r="V1655" s="66"/>
      <c r="W1655" s="66"/>
      <c r="X1655" s="66"/>
      <c r="Y1655" s="66"/>
      <c r="Z1655" s="66"/>
      <c r="AA1655" s="66"/>
      <c r="AB1655" s="66"/>
      <c r="AC1655" s="66"/>
      <c r="AD1655" s="66"/>
      <c r="AE1655" s="66"/>
      <c r="AF1655" s="44"/>
      <c r="AG1655" s="254">
        <f>Prog_23[[#This Row],[SAÍDA DO CLIENTE]]-Prog_23[[#This Row],[PROGRAMAÇÃO CLIENTE]]</f>
        <v>0</v>
      </c>
      <c r="AH1655" s="44"/>
      <c r="AI1655" s="66"/>
      <c r="AJ1655" s="66"/>
      <c r="AK1655" s="66"/>
      <c r="AL1655" s="66"/>
      <c r="AM1655" s="66"/>
      <c r="AN1655" s="83"/>
      <c r="AO1655" s="83"/>
      <c r="AP1655" s="83"/>
      <c r="AQ1655" s="66"/>
      <c r="AR1655" s="66"/>
      <c r="AS1655" s="66"/>
      <c r="AT1655" s="81"/>
      <c r="AU1655" s="81"/>
      <c r="AV1655" s="81"/>
      <c r="AW1655" s="81"/>
      <c r="AX1655" s="83">
        <f>SUM(Prog_23[[#This Row],[ADIANTAMENTO]]+Prog_23[[#This Row],[SALDO]]+Prog_23[[#This Row],[MARGEM]]+Prog_23[[#This Row],[ESTADIA 1]])</f>
        <v>0</v>
      </c>
      <c r="AY16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55" s="81"/>
      <c r="BA1655" s="81"/>
      <c r="BB1655" s="81">
        <f>Prog_23[[#This Row],[VLR NF]]*0.1%</f>
        <v>0</v>
      </c>
      <c r="BC1655" s="81">
        <f>Prog_23[[#This Row],[VLR NF]]*0.05%</f>
        <v>0</v>
      </c>
      <c r="BD1655" s="81"/>
      <c r="BE1655" s="81"/>
      <c r="BF1655" s="81"/>
      <c r="BG1655" s="81"/>
      <c r="BH1655" s="81"/>
      <c r="BI1655" s="81"/>
      <c r="BJ1655" s="81"/>
      <c r="BK1655" s="81"/>
      <c r="BL1655" s="81"/>
      <c r="BM1655" s="81"/>
      <c r="BN1655" s="66"/>
      <c r="BO1655" s="66"/>
      <c r="BP1655" s="66"/>
      <c r="BQ1655" s="66" t="str">
        <f>PROPER(TEXT(Prog_23[[#This Row],[PROGRAMAÇÃO CLIENTE]],"mmm"))</f>
        <v>Jan</v>
      </c>
      <c r="BR1655" s="66">
        <f>YEAR(Prog_23[[#This Row],[PROGRAMAÇÃO CLIENTE]])</f>
        <v>1900</v>
      </c>
    </row>
    <row r="1656" spans="1:70" x14ac:dyDescent="0.25">
      <c r="A1656" s="201">
        <f>Prog_23[[#This Row],[CONTEINER]]</f>
        <v>0</v>
      </c>
      <c r="B1656" s="86"/>
      <c r="C16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56" s="44"/>
      <c r="E1656" s="66"/>
      <c r="F1656" s="66"/>
      <c r="G1656" s="66"/>
      <c r="H1656" s="44"/>
      <c r="I1656" s="44"/>
      <c r="J1656" s="66"/>
      <c r="K1656" s="66"/>
      <c r="L1656" s="66"/>
      <c r="M1656" s="66"/>
      <c r="N1656" s="66">
        <f>SUM(Prog_23[[#This Row],[TARA]]+Prog_23[[#This Row],[PESO]])</f>
        <v>0</v>
      </c>
      <c r="O1656" s="44"/>
      <c r="P1656" s="66"/>
      <c r="Q1656" s="66"/>
      <c r="R1656" s="66"/>
      <c r="S1656" s="66"/>
      <c r="T1656" s="138" t="str">
        <f>IFERROR(LOOKUP($S1656,MOTORISTAS!$D$3:$D$916,MOTORISTAS!E$3:$E$916),"")</f>
        <v/>
      </c>
      <c r="U1656" s="138" t="str">
        <f>IFERROR(LOOKUP($S1656,MOTORISTAS!$D$3:$D$916,MOTORISTAS!F$3:$F$916),"")</f>
        <v/>
      </c>
      <c r="V1656" s="66"/>
      <c r="W1656" s="66"/>
      <c r="X1656" s="66"/>
      <c r="Y1656" s="66"/>
      <c r="Z1656" s="66"/>
      <c r="AA1656" s="66"/>
      <c r="AB1656" s="66"/>
      <c r="AC1656" s="66"/>
      <c r="AD1656" s="66"/>
      <c r="AE1656" s="66"/>
      <c r="AF1656" s="44"/>
      <c r="AG1656" s="254">
        <f>Prog_23[[#This Row],[SAÍDA DO CLIENTE]]-Prog_23[[#This Row],[PROGRAMAÇÃO CLIENTE]]</f>
        <v>0</v>
      </c>
      <c r="AH1656" s="44"/>
      <c r="AI1656" s="66"/>
      <c r="AJ1656" s="66"/>
      <c r="AK1656" s="66"/>
      <c r="AL1656" s="66"/>
      <c r="AM1656" s="66"/>
      <c r="AN1656" s="83"/>
      <c r="AO1656" s="83"/>
      <c r="AP1656" s="83"/>
      <c r="AQ1656" s="66"/>
      <c r="AR1656" s="66"/>
      <c r="AS1656" s="66"/>
      <c r="AT1656" s="81"/>
      <c r="AU1656" s="81"/>
      <c r="AV1656" s="81"/>
      <c r="AW1656" s="81"/>
      <c r="AX1656" s="83">
        <f>SUM(Prog_23[[#This Row],[ADIANTAMENTO]]+Prog_23[[#This Row],[SALDO]]+Prog_23[[#This Row],[MARGEM]]+Prog_23[[#This Row],[ESTADIA 1]])</f>
        <v>0</v>
      </c>
      <c r="AY16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56" s="81"/>
      <c r="BA1656" s="81"/>
      <c r="BB1656" s="81">
        <f>Prog_23[[#This Row],[VLR NF]]*0.1%</f>
        <v>0</v>
      </c>
      <c r="BC1656" s="81">
        <f>Prog_23[[#This Row],[VLR NF]]*0.05%</f>
        <v>0</v>
      </c>
      <c r="BD1656" s="81"/>
      <c r="BE1656" s="81"/>
      <c r="BF1656" s="81"/>
      <c r="BG1656" s="81"/>
      <c r="BH1656" s="81"/>
      <c r="BI1656" s="81"/>
      <c r="BJ1656" s="81"/>
      <c r="BK1656" s="81"/>
      <c r="BL1656" s="81"/>
      <c r="BM1656" s="81"/>
      <c r="BN1656" s="66"/>
      <c r="BO1656" s="66"/>
      <c r="BP1656" s="66"/>
      <c r="BQ1656" s="66" t="str">
        <f>PROPER(TEXT(Prog_23[[#This Row],[PROGRAMAÇÃO CLIENTE]],"mmm"))</f>
        <v>Jan</v>
      </c>
      <c r="BR1656" s="66">
        <f>YEAR(Prog_23[[#This Row],[PROGRAMAÇÃO CLIENTE]])</f>
        <v>1900</v>
      </c>
    </row>
    <row r="1657" spans="1:70" x14ac:dyDescent="0.25">
      <c r="A1657" s="200">
        <f>Prog_23[[#This Row],[CONTEINER]]</f>
        <v>0</v>
      </c>
      <c r="B1657" s="86"/>
      <c r="C16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57" s="44"/>
      <c r="E1657" s="66"/>
      <c r="F1657" s="66"/>
      <c r="G1657" s="66"/>
      <c r="H1657" s="44"/>
      <c r="I1657" s="44"/>
      <c r="J1657" s="66"/>
      <c r="K1657" s="66"/>
      <c r="L1657" s="66"/>
      <c r="M1657" s="66"/>
      <c r="N1657" s="66">
        <f>SUM(Prog_23[[#This Row],[TARA]]+Prog_23[[#This Row],[PESO]])</f>
        <v>0</v>
      </c>
      <c r="O1657" s="44"/>
      <c r="P1657" s="66"/>
      <c r="Q1657" s="66"/>
      <c r="R1657" s="66"/>
      <c r="S1657" s="66"/>
      <c r="T1657" s="138" t="str">
        <f>IFERROR(LOOKUP($S1657,MOTORISTAS!$D$3:$D$916,MOTORISTAS!E$3:$E$916),"")</f>
        <v/>
      </c>
      <c r="U1657" s="138" t="str">
        <f>IFERROR(LOOKUP($S1657,MOTORISTAS!$D$3:$D$916,MOTORISTAS!F$3:$F$916),"")</f>
        <v/>
      </c>
      <c r="V1657" s="66"/>
      <c r="W1657" s="66"/>
      <c r="X1657" s="66"/>
      <c r="Y1657" s="66"/>
      <c r="Z1657" s="66"/>
      <c r="AA1657" s="66"/>
      <c r="AB1657" s="66"/>
      <c r="AC1657" s="66"/>
      <c r="AD1657" s="66"/>
      <c r="AE1657" s="66"/>
      <c r="AF1657" s="44"/>
      <c r="AG1657" s="254">
        <f>Prog_23[[#This Row],[SAÍDA DO CLIENTE]]-Prog_23[[#This Row],[PROGRAMAÇÃO CLIENTE]]</f>
        <v>0</v>
      </c>
      <c r="AH1657" s="44"/>
      <c r="AI1657" s="66"/>
      <c r="AJ1657" s="66"/>
      <c r="AK1657" s="66"/>
      <c r="AL1657" s="66"/>
      <c r="AM1657" s="66"/>
      <c r="AN1657" s="83"/>
      <c r="AO1657" s="83"/>
      <c r="AP1657" s="83"/>
      <c r="AQ1657" s="66"/>
      <c r="AR1657" s="66"/>
      <c r="AS1657" s="66"/>
      <c r="AT1657" s="81"/>
      <c r="AU1657" s="81"/>
      <c r="AV1657" s="81"/>
      <c r="AW1657" s="81"/>
      <c r="AX1657" s="83">
        <f>SUM(Prog_23[[#This Row],[ADIANTAMENTO]]+Prog_23[[#This Row],[SALDO]]+Prog_23[[#This Row],[MARGEM]]+Prog_23[[#This Row],[ESTADIA 1]])</f>
        <v>0</v>
      </c>
      <c r="AY16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57" s="81"/>
      <c r="BA1657" s="81"/>
      <c r="BB1657" s="81">
        <f>Prog_23[[#This Row],[VLR NF]]*0.1%</f>
        <v>0</v>
      </c>
      <c r="BC1657" s="81">
        <f>Prog_23[[#This Row],[VLR NF]]*0.05%</f>
        <v>0</v>
      </c>
      <c r="BD1657" s="81"/>
      <c r="BE1657" s="81"/>
      <c r="BF1657" s="81"/>
      <c r="BG1657" s="81"/>
      <c r="BH1657" s="81"/>
      <c r="BI1657" s="81"/>
      <c r="BJ1657" s="81"/>
      <c r="BK1657" s="81"/>
      <c r="BL1657" s="81"/>
      <c r="BM1657" s="81"/>
      <c r="BN1657" s="66"/>
      <c r="BO1657" s="66"/>
      <c r="BP1657" s="66"/>
      <c r="BQ1657" s="66" t="str">
        <f>PROPER(TEXT(Prog_23[[#This Row],[PROGRAMAÇÃO CLIENTE]],"mmm"))</f>
        <v>Jan</v>
      </c>
      <c r="BR1657" s="66">
        <f>YEAR(Prog_23[[#This Row],[PROGRAMAÇÃO CLIENTE]])</f>
        <v>1900</v>
      </c>
    </row>
    <row r="1658" spans="1:70" x14ac:dyDescent="0.25">
      <c r="A1658" s="201">
        <f>Prog_23[[#This Row],[CONTEINER]]</f>
        <v>0</v>
      </c>
      <c r="B1658" s="86"/>
      <c r="C16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58" s="44"/>
      <c r="E1658" s="66"/>
      <c r="F1658" s="66"/>
      <c r="G1658" s="66"/>
      <c r="H1658" s="44"/>
      <c r="I1658" s="44"/>
      <c r="J1658" s="66"/>
      <c r="K1658" s="66"/>
      <c r="L1658" s="66"/>
      <c r="M1658" s="66"/>
      <c r="N1658" s="66">
        <f>SUM(Prog_23[[#This Row],[TARA]]+Prog_23[[#This Row],[PESO]])</f>
        <v>0</v>
      </c>
      <c r="O1658" s="44"/>
      <c r="P1658" s="66"/>
      <c r="Q1658" s="66"/>
      <c r="R1658" s="66"/>
      <c r="S1658" s="66"/>
      <c r="T1658" s="138" t="str">
        <f>IFERROR(LOOKUP($S1658,MOTORISTAS!$D$3:$D$916,MOTORISTAS!E$3:$E$916),"")</f>
        <v/>
      </c>
      <c r="U1658" s="138" t="str">
        <f>IFERROR(LOOKUP($S1658,MOTORISTAS!$D$3:$D$916,MOTORISTAS!F$3:$F$916),"")</f>
        <v/>
      </c>
      <c r="V1658" s="66"/>
      <c r="W1658" s="66"/>
      <c r="X1658" s="66"/>
      <c r="Y1658" s="66"/>
      <c r="Z1658" s="66"/>
      <c r="AA1658" s="66"/>
      <c r="AB1658" s="66"/>
      <c r="AC1658" s="66"/>
      <c r="AD1658" s="66"/>
      <c r="AE1658" s="66"/>
      <c r="AF1658" s="44"/>
      <c r="AG1658" s="254">
        <f>Prog_23[[#This Row],[SAÍDA DO CLIENTE]]-Prog_23[[#This Row],[PROGRAMAÇÃO CLIENTE]]</f>
        <v>0</v>
      </c>
      <c r="AH1658" s="44"/>
      <c r="AI1658" s="66"/>
      <c r="AJ1658" s="66"/>
      <c r="AK1658" s="66"/>
      <c r="AL1658" s="66"/>
      <c r="AM1658" s="66"/>
      <c r="AN1658" s="83"/>
      <c r="AO1658" s="83"/>
      <c r="AP1658" s="83"/>
      <c r="AQ1658" s="66"/>
      <c r="AR1658" s="66"/>
      <c r="AS1658" s="66"/>
      <c r="AT1658" s="81"/>
      <c r="AU1658" s="81"/>
      <c r="AV1658" s="81"/>
      <c r="AW1658" s="81"/>
      <c r="AX1658" s="83">
        <f>SUM(Prog_23[[#This Row],[ADIANTAMENTO]]+Prog_23[[#This Row],[SALDO]]+Prog_23[[#This Row],[MARGEM]]+Prog_23[[#This Row],[ESTADIA 1]])</f>
        <v>0</v>
      </c>
      <c r="AY16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58" s="81"/>
      <c r="BA1658" s="81"/>
      <c r="BB1658" s="81">
        <f>Prog_23[[#This Row],[VLR NF]]*0.1%</f>
        <v>0</v>
      </c>
      <c r="BC1658" s="81">
        <f>Prog_23[[#This Row],[VLR NF]]*0.05%</f>
        <v>0</v>
      </c>
      <c r="BD1658" s="81"/>
      <c r="BE1658" s="81"/>
      <c r="BF1658" s="81"/>
      <c r="BG1658" s="81"/>
      <c r="BH1658" s="81"/>
      <c r="BI1658" s="81"/>
      <c r="BJ1658" s="81"/>
      <c r="BK1658" s="81"/>
      <c r="BL1658" s="81"/>
      <c r="BM1658" s="81"/>
      <c r="BN1658" s="66"/>
      <c r="BO1658" s="66"/>
      <c r="BP1658" s="66"/>
      <c r="BQ1658" s="66" t="str">
        <f>PROPER(TEXT(Prog_23[[#This Row],[PROGRAMAÇÃO CLIENTE]],"mmm"))</f>
        <v>Jan</v>
      </c>
      <c r="BR1658" s="66">
        <f>YEAR(Prog_23[[#This Row],[PROGRAMAÇÃO CLIENTE]])</f>
        <v>1900</v>
      </c>
    </row>
    <row r="1659" spans="1:70" x14ac:dyDescent="0.25">
      <c r="A1659" s="200">
        <f>Prog_23[[#This Row],[CONTEINER]]</f>
        <v>0</v>
      </c>
      <c r="B1659" s="86"/>
      <c r="C16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59" s="44"/>
      <c r="E1659" s="66"/>
      <c r="F1659" s="66"/>
      <c r="G1659" s="66"/>
      <c r="H1659" s="44"/>
      <c r="I1659" s="44"/>
      <c r="J1659" s="66"/>
      <c r="K1659" s="66"/>
      <c r="L1659" s="66"/>
      <c r="M1659" s="66"/>
      <c r="N1659" s="66">
        <f>SUM(Prog_23[[#This Row],[TARA]]+Prog_23[[#This Row],[PESO]])</f>
        <v>0</v>
      </c>
      <c r="O1659" s="44"/>
      <c r="P1659" s="66"/>
      <c r="Q1659" s="66"/>
      <c r="R1659" s="66"/>
      <c r="S1659" s="66"/>
      <c r="T1659" s="138" t="str">
        <f>IFERROR(LOOKUP($S1659,MOTORISTAS!$D$3:$D$916,MOTORISTAS!E$3:$E$916),"")</f>
        <v/>
      </c>
      <c r="U1659" s="138" t="str">
        <f>IFERROR(LOOKUP($S1659,MOTORISTAS!$D$3:$D$916,MOTORISTAS!F$3:$F$916),"")</f>
        <v/>
      </c>
      <c r="V1659" s="66"/>
      <c r="W1659" s="66"/>
      <c r="X1659" s="66"/>
      <c r="Y1659" s="66"/>
      <c r="Z1659" s="66"/>
      <c r="AA1659" s="66"/>
      <c r="AB1659" s="66"/>
      <c r="AC1659" s="66"/>
      <c r="AD1659" s="66"/>
      <c r="AE1659" s="66"/>
      <c r="AF1659" s="44"/>
      <c r="AG1659" s="254">
        <f>Prog_23[[#This Row],[SAÍDA DO CLIENTE]]-Prog_23[[#This Row],[PROGRAMAÇÃO CLIENTE]]</f>
        <v>0</v>
      </c>
      <c r="AH1659" s="44"/>
      <c r="AI1659" s="66"/>
      <c r="AJ1659" s="66"/>
      <c r="AK1659" s="66"/>
      <c r="AL1659" s="66"/>
      <c r="AM1659" s="66"/>
      <c r="AN1659" s="83"/>
      <c r="AO1659" s="83"/>
      <c r="AP1659" s="83"/>
      <c r="AQ1659" s="66"/>
      <c r="AR1659" s="66"/>
      <c r="AS1659" s="66"/>
      <c r="AT1659" s="81"/>
      <c r="AU1659" s="81"/>
      <c r="AV1659" s="81"/>
      <c r="AW1659" s="81"/>
      <c r="AX1659" s="83">
        <f>SUM(Prog_23[[#This Row],[ADIANTAMENTO]]+Prog_23[[#This Row],[SALDO]]+Prog_23[[#This Row],[MARGEM]]+Prog_23[[#This Row],[ESTADIA 1]])</f>
        <v>0</v>
      </c>
      <c r="AY16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59" s="81"/>
      <c r="BA1659" s="81"/>
      <c r="BB1659" s="81">
        <f>Prog_23[[#This Row],[VLR NF]]*0.1%</f>
        <v>0</v>
      </c>
      <c r="BC1659" s="81">
        <f>Prog_23[[#This Row],[VLR NF]]*0.05%</f>
        <v>0</v>
      </c>
      <c r="BD1659" s="81"/>
      <c r="BE1659" s="81"/>
      <c r="BF1659" s="81"/>
      <c r="BG1659" s="81"/>
      <c r="BH1659" s="81"/>
      <c r="BI1659" s="81"/>
      <c r="BJ1659" s="81"/>
      <c r="BK1659" s="81"/>
      <c r="BL1659" s="81"/>
      <c r="BM1659" s="81"/>
      <c r="BN1659" s="66"/>
      <c r="BO1659" s="66"/>
      <c r="BP1659" s="66"/>
      <c r="BQ1659" s="66" t="str">
        <f>PROPER(TEXT(Prog_23[[#This Row],[PROGRAMAÇÃO CLIENTE]],"mmm"))</f>
        <v>Jan</v>
      </c>
      <c r="BR1659" s="66">
        <f>YEAR(Prog_23[[#This Row],[PROGRAMAÇÃO CLIENTE]])</f>
        <v>1900</v>
      </c>
    </row>
    <row r="1660" spans="1:70" x14ac:dyDescent="0.25">
      <c r="A1660" s="201">
        <f>Prog_23[[#This Row],[CONTEINER]]</f>
        <v>0</v>
      </c>
      <c r="B1660" s="86"/>
      <c r="C16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60" s="44"/>
      <c r="E1660" s="66"/>
      <c r="F1660" s="66"/>
      <c r="G1660" s="66"/>
      <c r="H1660" s="44"/>
      <c r="I1660" s="44"/>
      <c r="J1660" s="66"/>
      <c r="K1660" s="66"/>
      <c r="L1660" s="66"/>
      <c r="M1660" s="66"/>
      <c r="N1660" s="66">
        <f>SUM(Prog_23[[#This Row],[TARA]]+Prog_23[[#This Row],[PESO]])</f>
        <v>0</v>
      </c>
      <c r="O1660" s="44"/>
      <c r="P1660" s="66"/>
      <c r="Q1660" s="66"/>
      <c r="R1660" s="66"/>
      <c r="S1660" s="66"/>
      <c r="T1660" s="138" t="str">
        <f>IFERROR(LOOKUP($S1660,MOTORISTAS!$D$3:$D$916,MOTORISTAS!E$3:$E$916),"")</f>
        <v/>
      </c>
      <c r="U1660" s="138" t="str">
        <f>IFERROR(LOOKUP($S1660,MOTORISTAS!$D$3:$D$916,MOTORISTAS!F$3:$F$916),"")</f>
        <v/>
      </c>
      <c r="V1660" s="66"/>
      <c r="W1660" s="66"/>
      <c r="X1660" s="66"/>
      <c r="Y1660" s="66"/>
      <c r="Z1660" s="66"/>
      <c r="AA1660" s="66"/>
      <c r="AB1660" s="66"/>
      <c r="AC1660" s="66"/>
      <c r="AD1660" s="66"/>
      <c r="AE1660" s="66"/>
      <c r="AF1660" s="44"/>
      <c r="AG1660" s="254">
        <f>Prog_23[[#This Row],[SAÍDA DO CLIENTE]]-Prog_23[[#This Row],[PROGRAMAÇÃO CLIENTE]]</f>
        <v>0</v>
      </c>
      <c r="AH1660" s="44"/>
      <c r="AI1660" s="66"/>
      <c r="AJ1660" s="66"/>
      <c r="AK1660" s="66"/>
      <c r="AL1660" s="66"/>
      <c r="AM1660" s="66"/>
      <c r="AN1660" s="83"/>
      <c r="AO1660" s="83"/>
      <c r="AP1660" s="83"/>
      <c r="AQ1660" s="66"/>
      <c r="AR1660" s="66"/>
      <c r="AS1660" s="66"/>
      <c r="AT1660" s="81"/>
      <c r="AU1660" s="81"/>
      <c r="AV1660" s="81"/>
      <c r="AW1660" s="81"/>
      <c r="AX1660" s="83">
        <f>SUM(Prog_23[[#This Row],[ADIANTAMENTO]]+Prog_23[[#This Row],[SALDO]]+Prog_23[[#This Row],[MARGEM]]+Prog_23[[#This Row],[ESTADIA 1]])</f>
        <v>0</v>
      </c>
      <c r="AY16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60" s="81"/>
      <c r="BA1660" s="81"/>
      <c r="BB1660" s="81">
        <f>Prog_23[[#This Row],[VLR NF]]*0.1%</f>
        <v>0</v>
      </c>
      <c r="BC1660" s="81">
        <f>Prog_23[[#This Row],[VLR NF]]*0.05%</f>
        <v>0</v>
      </c>
      <c r="BD1660" s="81"/>
      <c r="BE1660" s="81"/>
      <c r="BF1660" s="81"/>
      <c r="BG1660" s="81"/>
      <c r="BH1660" s="81"/>
      <c r="BI1660" s="81"/>
      <c r="BJ1660" s="81"/>
      <c r="BK1660" s="81"/>
      <c r="BL1660" s="81"/>
      <c r="BM1660" s="81"/>
      <c r="BN1660" s="66"/>
      <c r="BO1660" s="66"/>
      <c r="BP1660" s="66"/>
      <c r="BQ1660" s="66" t="str">
        <f>PROPER(TEXT(Prog_23[[#This Row],[PROGRAMAÇÃO CLIENTE]],"mmm"))</f>
        <v>Jan</v>
      </c>
      <c r="BR1660" s="66">
        <f>YEAR(Prog_23[[#This Row],[PROGRAMAÇÃO CLIENTE]])</f>
        <v>1900</v>
      </c>
    </row>
    <row r="1661" spans="1:70" x14ac:dyDescent="0.25">
      <c r="A1661" s="200">
        <f>Prog_23[[#This Row],[CONTEINER]]</f>
        <v>0</v>
      </c>
      <c r="B1661" s="86"/>
      <c r="C16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61" s="44"/>
      <c r="E1661" s="66"/>
      <c r="F1661" s="66"/>
      <c r="G1661" s="66"/>
      <c r="H1661" s="44"/>
      <c r="I1661" s="44"/>
      <c r="J1661" s="66"/>
      <c r="K1661" s="66"/>
      <c r="L1661" s="66"/>
      <c r="M1661" s="66"/>
      <c r="N1661" s="66">
        <f>SUM(Prog_23[[#This Row],[TARA]]+Prog_23[[#This Row],[PESO]])</f>
        <v>0</v>
      </c>
      <c r="O1661" s="44"/>
      <c r="P1661" s="66"/>
      <c r="Q1661" s="66"/>
      <c r="R1661" s="66"/>
      <c r="S1661" s="66"/>
      <c r="T1661" s="138" t="str">
        <f>IFERROR(LOOKUP($S1661,MOTORISTAS!$D$3:$D$916,MOTORISTAS!E$3:$E$916),"")</f>
        <v/>
      </c>
      <c r="U1661" s="138" t="str">
        <f>IFERROR(LOOKUP($S1661,MOTORISTAS!$D$3:$D$916,MOTORISTAS!F$3:$F$916),"")</f>
        <v/>
      </c>
      <c r="V1661" s="66"/>
      <c r="W1661" s="66"/>
      <c r="X1661" s="66"/>
      <c r="Y1661" s="66"/>
      <c r="Z1661" s="66"/>
      <c r="AA1661" s="66"/>
      <c r="AB1661" s="66"/>
      <c r="AC1661" s="66"/>
      <c r="AD1661" s="66"/>
      <c r="AE1661" s="66"/>
      <c r="AF1661" s="44"/>
      <c r="AG1661" s="254">
        <f>Prog_23[[#This Row],[SAÍDA DO CLIENTE]]-Prog_23[[#This Row],[PROGRAMAÇÃO CLIENTE]]</f>
        <v>0</v>
      </c>
      <c r="AH1661" s="44"/>
      <c r="AI1661" s="66"/>
      <c r="AJ1661" s="66"/>
      <c r="AK1661" s="66"/>
      <c r="AL1661" s="66"/>
      <c r="AM1661" s="66"/>
      <c r="AN1661" s="83"/>
      <c r="AO1661" s="83"/>
      <c r="AP1661" s="83"/>
      <c r="AQ1661" s="66"/>
      <c r="AR1661" s="66"/>
      <c r="AS1661" s="66"/>
      <c r="AT1661" s="81"/>
      <c r="AU1661" s="81"/>
      <c r="AV1661" s="81"/>
      <c r="AW1661" s="81"/>
      <c r="AX1661" s="83">
        <f>SUM(Prog_23[[#This Row],[ADIANTAMENTO]]+Prog_23[[#This Row],[SALDO]]+Prog_23[[#This Row],[MARGEM]]+Prog_23[[#This Row],[ESTADIA 1]])</f>
        <v>0</v>
      </c>
      <c r="AY16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61" s="81"/>
      <c r="BA1661" s="81"/>
      <c r="BB1661" s="81">
        <f>Prog_23[[#This Row],[VLR NF]]*0.1%</f>
        <v>0</v>
      </c>
      <c r="BC1661" s="81">
        <f>Prog_23[[#This Row],[VLR NF]]*0.05%</f>
        <v>0</v>
      </c>
      <c r="BD1661" s="81"/>
      <c r="BE1661" s="81"/>
      <c r="BF1661" s="81"/>
      <c r="BG1661" s="81"/>
      <c r="BH1661" s="81"/>
      <c r="BI1661" s="81"/>
      <c r="BJ1661" s="81"/>
      <c r="BK1661" s="81"/>
      <c r="BL1661" s="81"/>
      <c r="BM1661" s="81"/>
      <c r="BN1661" s="66"/>
      <c r="BO1661" s="66"/>
      <c r="BP1661" s="66"/>
      <c r="BQ1661" s="66" t="str">
        <f>PROPER(TEXT(Prog_23[[#This Row],[PROGRAMAÇÃO CLIENTE]],"mmm"))</f>
        <v>Jan</v>
      </c>
      <c r="BR1661" s="66">
        <f>YEAR(Prog_23[[#This Row],[PROGRAMAÇÃO CLIENTE]])</f>
        <v>1900</v>
      </c>
    </row>
    <row r="1662" spans="1:70" x14ac:dyDescent="0.25">
      <c r="A1662" s="201">
        <f>Prog_23[[#This Row],[CONTEINER]]</f>
        <v>0</v>
      </c>
      <c r="B1662" s="86"/>
      <c r="C16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62" s="44"/>
      <c r="E1662" s="66"/>
      <c r="F1662" s="66"/>
      <c r="G1662" s="66"/>
      <c r="H1662" s="44"/>
      <c r="I1662" s="44"/>
      <c r="J1662" s="66"/>
      <c r="K1662" s="66"/>
      <c r="L1662" s="66"/>
      <c r="M1662" s="66"/>
      <c r="N1662" s="66">
        <f>SUM(Prog_23[[#This Row],[TARA]]+Prog_23[[#This Row],[PESO]])</f>
        <v>0</v>
      </c>
      <c r="O1662" s="44"/>
      <c r="P1662" s="66"/>
      <c r="Q1662" s="66"/>
      <c r="R1662" s="66"/>
      <c r="S1662" s="66"/>
      <c r="T1662" s="138" t="str">
        <f>IFERROR(LOOKUP($S1662,MOTORISTAS!$D$3:$D$916,MOTORISTAS!E$3:$E$916),"")</f>
        <v/>
      </c>
      <c r="U1662" s="138" t="str">
        <f>IFERROR(LOOKUP($S1662,MOTORISTAS!$D$3:$D$916,MOTORISTAS!F$3:$F$916),"")</f>
        <v/>
      </c>
      <c r="V1662" s="66"/>
      <c r="W1662" s="66"/>
      <c r="X1662" s="66"/>
      <c r="Y1662" s="66"/>
      <c r="Z1662" s="66"/>
      <c r="AA1662" s="66"/>
      <c r="AB1662" s="66"/>
      <c r="AC1662" s="66"/>
      <c r="AD1662" s="66"/>
      <c r="AE1662" s="66"/>
      <c r="AF1662" s="44"/>
      <c r="AG1662" s="254">
        <f>Prog_23[[#This Row],[SAÍDA DO CLIENTE]]-Prog_23[[#This Row],[PROGRAMAÇÃO CLIENTE]]</f>
        <v>0</v>
      </c>
      <c r="AH1662" s="44"/>
      <c r="AI1662" s="66"/>
      <c r="AJ1662" s="66"/>
      <c r="AK1662" s="66"/>
      <c r="AL1662" s="66"/>
      <c r="AM1662" s="66"/>
      <c r="AN1662" s="83"/>
      <c r="AO1662" s="83"/>
      <c r="AP1662" s="83"/>
      <c r="AQ1662" s="66"/>
      <c r="AR1662" s="66"/>
      <c r="AS1662" s="66"/>
      <c r="AT1662" s="81"/>
      <c r="AU1662" s="81"/>
      <c r="AV1662" s="81"/>
      <c r="AW1662" s="81"/>
      <c r="AX1662" s="83">
        <f>SUM(Prog_23[[#This Row],[ADIANTAMENTO]]+Prog_23[[#This Row],[SALDO]]+Prog_23[[#This Row],[MARGEM]]+Prog_23[[#This Row],[ESTADIA 1]])</f>
        <v>0</v>
      </c>
      <c r="AY16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62" s="81"/>
      <c r="BA1662" s="81"/>
      <c r="BB1662" s="81">
        <f>Prog_23[[#This Row],[VLR NF]]*0.1%</f>
        <v>0</v>
      </c>
      <c r="BC1662" s="81">
        <f>Prog_23[[#This Row],[VLR NF]]*0.05%</f>
        <v>0</v>
      </c>
      <c r="BD1662" s="81"/>
      <c r="BE1662" s="81"/>
      <c r="BF1662" s="81"/>
      <c r="BG1662" s="81"/>
      <c r="BH1662" s="81"/>
      <c r="BI1662" s="81"/>
      <c r="BJ1662" s="81"/>
      <c r="BK1662" s="81"/>
      <c r="BL1662" s="81"/>
      <c r="BM1662" s="81"/>
      <c r="BN1662" s="66"/>
      <c r="BO1662" s="66"/>
      <c r="BP1662" s="66"/>
      <c r="BQ1662" s="66" t="str">
        <f>PROPER(TEXT(Prog_23[[#This Row],[PROGRAMAÇÃO CLIENTE]],"mmm"))</f>
        <v>Jan</v>
      </c>
      <c r="BR1662" s="66">
        <f>YEAR(Prog_23[[#This Row],[PROGRAMAÇÃO CLIENTE]])</f>
        <v>1900</v>
      </c>
    </row>
    <row r="1663" spans="1:70" x14ac:dyDescent="0.25">
      <c r="A1663" s="200">
        <f>Prog_23[[#This Row],[CONTEINER]]</f>
        <v>0</v>
      </c>
      <c r="B1663" s="86"/>
      <c r="C16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63" s="44"/>
      <c r="E1663" s="66"/>
      <c r="F1663" s="66"/>
      <c r="G1663" s="66"/>
      <c r="H1663" s="44"/>
      <c r="I1663" s="44"/>
      <c r="J1663" s="66"/>
      <c r="K1663" s="66"/>
      <c r="L1663" s="66"/>
      <c r="M1663" s="66"/>
      <c r="N1663" s="66">
        <f>SUM(Prog_23[[#This Row],[TARA]]+Prog_23[[#This Row],[PESO]])</f>
        <v>0</v>
      </c>
      <c r="O1663" s="44"/>
      <c r="P1663" s="66"/>
      <c r="Q1663" s="66"/>
      <c r="R1663" s="66"/>
      <c r="S1663" s="66"/>
      <c r="T1663" s="138" t="str">
        <f>IFERROR(LOOKUP($S1663,MOTORISTAS!$D$3:$D$916,MOTORISTAS!E$3:$E$916),"")</f>
        <v/>
      </c>
      <c r="U1663" s="138" t="str">
        <f>IFERROR(LOOKUP($S1663,MOTORISTAS!$D$3:$D$916,MOTORISTAS!F$3:$F$916),"")</f>
        <v/>
      </c>
      <c r="V1663" s="66"/>
      <c r="W1663" s="66"/>
      <c r="X1663" s="66"/>
      <c r="Y1663" s="66"/>
      <c r="Z1663" s="66"/>
      <c r="AA1663" s="66"/>
      <c r="AB1663" s="66"/>
      <c r="AC1663" s="66"/>
      <c r="AD1663" s="66"/>
      <c r="AE1663" s="66"/>
      <c r="AF1663" s="44"/>
      <c r="AG1663" s="254">
        <f>Prog_23[[#This Row],[SAÍDA DO CLIENTE]]-Prog_23[[#This Row],[PROGRAMAÇÃO CLIENTE]]</f>
        <v>0</v>
      </c>
      <c r="AH1663" s="44"/>
      <c r="AI1663" s="66"/>
      <c r="AJ1663" s="66"/>
      <c r="AK1663" s="66"/>
      <c r="AL1663" s="66"/>
      <c r="AM1663" s="66"/>
      <c r="AN1663" s="83"/>
      <c r="AO1663" s="83"/>
      <c r="AP1663" s="83"/>
      <c r="AQ1663" s="66"/>
      <c r="AR1663" s="66"/>
      <c r="AS1663" s="66"/>
      <c r="AT1663" s="81"/>
      <c r="AU1663" s="81"/>
      <c r="AV1663" s="81"/>
      <c r="AW1663" s="81"/>
      <c r="AX1663" s="83">
        <f>SUM(Prog_23[[#This Row],[ADIANTAMENTO]]+Prog_23[[#This Row],[SALDO]]+Prog_23[[#This Row],[MARGEM]]+Prog_23[[#This Row],[ESTADIA 1]])</f>
        <v>0</v>
      </c>
      <c r="AY16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63" s="81"/>
      <c r="BA1663" s="81"/>
      <c r="BB1663" s="81">
        <f>Prog_23[[#This Row],[VLR NF]]*0.1%</f>
        <v>0</v>
      </c>
      <c r="BC1663" s="81">
        <f>Prog_23[[#This Row],[VLR NF]]*0.05%</f>
        <v>0</v>
      </c>
      <c r="BD1663" s="81"/>
      <c r="BE1663" s="81"/>
      <c r="BF1663" s="81"/>
      <c r="BG1663" s="81"/>
      <c r="BH1663" s="81"/>
      <c r="BI1663" s="81"/>
      <c r="BJ1663" s="81"/>
      <c r="BK1663" s="81"/>
      <c r="BL1663" s="81"/>
      <c r="BM1663" s="81"/>
      <c r="BN1663" s="66"/>
      <c r="BO1663" s="66"/>
      <c r="BP1663" s="66"/>
      <c r="BQ1663" s="66" t="str">
        <f>PROPER(TEXT(Prog_23[[#This Row],[PROGRAMAÇÃO CLIENTE]],"mmm"))</f>
        <v>Jan</v>
      </c>
      <c r="BR1663" s="66">
        <f>YEAR(Prog_23[[#This Row],[PROGRAMAÇÃO CLIENTE]])</f>
        <v>1900</v>
      </c>
    </row>
    <row r="1664" spans="1:70" x14ac:dyDescent="0.25">
      <c r="A1664" s="201">
        <f>Prog_23[[#This Row],[CONTEINER]]</f>
        <v>0</v>
      </c>
      <c r="B1664" s="86"/>
      <c r="C16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64" s="44"/>
      <c r="E1664" s="66"/>
      <c r="F1664" s="66"/>
      <c r="G1664" s="66"/>
      <c r="H1664" s="44"/>
      <c r="I1664" s="44"/>
      <c r="J1664" s="66"/>
      <c r="K1664" s="66"/>
      <c r="L1664" s="66"/>
      <c r="M1664" s="66"/>
      <c r="N1664" s="66">
        <f>SUM(Prog_23[[#This Row],[TARA]]+Prog_23[[#This Row],[PESO]])</f>
        <v>0</v>
      </c>
      <c r="O1664" s="44"/>
      <c r="P1664" s="66"/>
      <c r="Q1664" s="66"/>
      <c r="R1664" s="66"/>
      <c r="S1664" s="66"/>
      <c r="T1664" s="138" t="str">
        <f>IFERROR(LOOKUP($S1664,MOTORISTAS!$D$3:$D$916,MOTORISTAS!E$3:$E$916),"")</f>
        <v/>
      </c>
      <c r="U1664" s="138" t="str">
        <f>IFERROR(LOOKUP($S1664,MOTORISTAS!$D$3:$D$916,MOTORISTAS!F$3:$F$916),"")</f>
        <v/>
      </c>
      <c r="V1664" s="66"/>
      <c r="W1664" s="66"/>
      <c r="X1664" s="66"/>
      <c r="Y1664" s="66"/>
      <c r="Z1664" s="66"/>
      <c r="AA1664" s="66"/>
      <c r="AB1664" s="66"/>
      <c r="AC1664" s="66"/>
      <c r="AD1664" s="66"/>
      <c r="AE1664" s="66"/>
      <c r="AF1664" s="44"/>
      <c r="AG1664" s="254">
        <f>Prog_23[[#This Row],[SAÍDA DO CLIENTE]]-Prog_23[[#This Row],[PROGRAMAÇÃO CLIENTE]]</f>
        <v>0</v>
      </c>
      <c r="AH1664" s="44"/>
      <c r="AI1664" s="66"/>
      <c r="AJ1664" s="66"/>
      <c r="AK1664" s="66"/>
      <c r="AL1664" s="66"/>
      <c r="AM1664" s="66"/>
      <c r="AN1664" s="83"/>
      <c r="AO1664" s="83"/>
      <c r="AP1664" s="83"/>
      <c r="AQ1664" s="66"/>
      <c r="AR1664" s="66"/>
      <c r="AS1664" s="66"/>
      <c r="AT1664" s="81"/>
      <c r="AU1664" s="81"/>
      <c r="AV1664" s="81"/>
      <c r="AW1664" s="81"/>
      <c r="AX1664" s="83">
        <f>SUM(Prog_23[[#This Row],[ADIANTAMENTO]]+Prog_23[[#This Row],[SALDO]]+Prog_23[[#This Row],[MARGEM]]+Prog_23[[#This Row],[ESTADIA 1]])</f>
        <v>0</v>
      </c>
      <c r="AY16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64" s="81"/>
      <c r="BA1664" s="81"/>
      <c r="BB1664" s="81">
        <f>Prog_23[[#This Row],[VLR NF]]*0.1%</f>
        <v>0</v>
      </c>
      <c r="BC1664" s="81">
        <f>Prog_23[[#This Row],[VLR NF]]*0.05%</f>
        <v>0</v>
      </c>
      <c r="BD1664" s="81"/>
      <c r="BE1664" s="81"/>
      <c r="BF1664" s="81"/>
      <c r="BG1664" s="81"/>
      <c r="BH1664" s="81"/>
      <c r="BI1664" s="81"/>
      <c r="BJ1664" s="81"/>
      <c r="BK1664" s="81"/>
      <c r="BL1664" s="81"/>
      <c r="BM1664" s="81"/>
      <c r="BN1664" s="66"/>
      <c r="BO1664" s="66"/>
      <c r="BP1664" s="66"/>
      <c r="BQ1664" s="66" t="str">
        <f>PROPER(TEXT(Prog_23[[#This Row],[PROGRAMAÇÃO CLIENTE]],"mmm"))</f>
        <v>Jan</v>
      </c>
      <c r="BR1664" s="66">
        <f>YEAR(Prog_23[[#This Row],[PROGRAMAÇÃO CLIENTE]])</f>
        <v>1900</v>
      </c>
    </row>
    <row r="1665" spans="1:70" x14ac:dyDescent="0.25">
      <c r="A1665" s="200">
        <f>Prog_23[[#This Row],[CONTEINER]]</f>
        <v>0</v>
      </c>
      <c r="B1665" s="86"/>
      <c r="C16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65" s="44"/>
      <c r="E1665" s="66"/>
      <c r="F1665" s="66"/>
      <c r="G1665" s="66"/>
      <c r="H1665" s="44"/>
      <c r="I1665" s="44"/>
      <c r="J1665" s="66"/>
      <c r="K1665" s="66"/>
      <c r="L1665" s="66"/>
      <c r="M1665" s="66"/>
      <c r="N1665" s="66">
        <f>SUM(Prog_23[[#This Row],[TARA]]+Prog_23[[#This Row],[PESO]])</f>
        <v>0</v>
      </c>
      <c r="O1665" s="44"/>
      <c r="P1665" s="66"/>
      <c r="Q1665" s="66"/>
      <c r="R1665" s="66"/>
      <c r="S1665" s="66"/>
      <c r="T1665" s="138" t="str">
        <f>IFERROR(LOOKUP($S1665,MOTORISTAS!$D$3:$D$916,MOTORISTAS!E$3:$E$916),"")</f>
        <v/>
      </c>
      <c r="U1665" s="138" t="str">
        <f>IFERROR(LOOKUP($S1665,MOTORISTAS!$D$3:$D$916,MOTORISTAS!F$3:$F$916),"")</f>
        <v/>
      </c>
      <c r="V1665" s="66"/>
      <c r="W1665" s="66"/>
      <c r="X1665" s="66"/>
      <c r="Y1665" s="66"/>
      <c r="Z1665" s="66"/>
      <c r="AA1665" s="66"/>
      <c r="AB1665" s="66"/>
      <c r="AC1665" s="66"/>
      <c r="AD1665" s="66"/>
      <c r="AE1665" s="66"/>
      <c r="AF1665" s="44"/>
      <c r="AG1665" s="254">
        <f>Prog_23[[#This Row],[SAÍDA DO CLIENTE]]-Prog_23[[#This Row],[PROGRAMAÇÃO CLIENTE]]</f>
        <v>0</v>
      </c>
      <c r="AH1665" s="44"/>
      <c r="AI1665" s="66"/>
      <c r="AJ1665" s="66"/>
      <c r="AK1665" s="66"/>
      <c r="AL1665" s="66"/>
      <c r="AM1665" s="66"/>
      <c r="AN1665" s="83"/>
      <c r="AO1665" s="83"/>
      <c r="AP1665" s="83"/>
      <c r="AQ1665" s="66"/>
      <c r="AR1665" s="66"/>
      <c r="AS1665" s="66"/>
      <c r="AT1665" s="81"/>
      <c r="AU1665" s="81"/>
      <c r="AV1665" s="81"/>
      <c r="AW1665" s="81"/>
      <c r="AX1665" s="83">
        <f>SUM(Prog_23[[#This Row],[ADIANTAMENTO]]+Prog_23[[#This Row],[SALDO]]+Prog_23[[#This Row],[MARGEM]]+Prog_23[[#This Row],[ESTADIA 1]])</f>
        <v>0</v>
      </c>
      <c r="AY16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65" s="81"/>
      <c r="BA1665" s="81"/>
      <c r="BB1665" s="81">
        <f>Prog_23[[#This Row],[VLR NF]]*0.1%</f>
        <v>0</v>
      </c>
      <c r="BC1665" s="81">
        <f>Prog_23[[#This Row],[VLR NF]]*0.05%</f>
        <v>0</v>
      </c>
      <c r="BD1665" s="81"/>
      <c r="BE1665" s="81"/>
      <c r="BF1665" s="81"/>
      <c r="BG1665" s="81"/>
      <c r="BH1665" s="81"/>
      <c r="BI1665" s="81"/>
      <c r="BJ1665" s="81"/>
      <c r="BK1665" s="81"/>
      <c r="BL1665" s="81"/>
      <c r="BM1665" s="81"/>
      <c r="BN1665" s="66"/>
      <c r="BO1665" s="66"/>
      <c r="BP1665" s="66"/>
      <c r="BQ1665" s="66" t="str">
        <f>PROPER(TEXT(Prog_23[[#This Row],[PROGRAMAÇÃO CLIENTE]],"mmm"))</f>
        <v>Jan</v>
      </c>
      <c r="BR1665" s="66">
        <f>YEAR(Prog_23[[#This Row],[PROGRAMAÇÃO CLIENTE]])</f>
        <v>1900</v>
      </c>
    </row>
    <row r="1666" spans="1:70" x14ac:dyDescent="0.25">
      <c r="A1666" s="201">
        <f>Prog_23[[#This Row],[CONTEINER]]</f>
        <v>0</v>
      </c>
      <c r="B1666" s="86"/>
      <c r="C16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66" s="44"/>
      <c r="E1666" s="66"/>
      <c r="F1666" s="66"/>
      <c r="G1666" s="66"/>
      <c r="H1666" s="44"/>
      <c r="I1666" s="44"/>
      <c r="J1666" s="66"/>
      <c r="K1666" s="66"/>
      <c r="L1666" s="66"/>
      <c r="M1666" s="66"/>
      <c r="N1666" s="66">
        <f>SUM(Prog_23[[#This Row],[TARA]]+Prog_23[[#This Row],[PESO]])</f>
        <v>0</v>
      </c>
      <c r="O1666" s="44"/>
      <c r="P1666" s="66"/>
      <c r="Q1666" s="66"/>
      <c r="R1666" s="66"/>
      <c r="S1666" s="66"/>
      <c r="T1666" s="138" t="str">
        <f>IFERROR(LOOKUP($S1666,MOTORISTAS!$D$3:$D$916,MOTORISTAS!E$3:$E$916),"")</f>
        <v/>
      </c>
      <c r="U1666" s="138" t="str">
        <f>IFERROR(LOOKUP($S1666,MOTORISTAS!$D$3:$D$916,MOTORISTAS!F$3:$F$916),"")</f>
        <v/>
      </c>
      <c r="V1666" s="66"/>
      <c r="W1666" s="66"/>
      <c r="X1666" s="66"/>
      <c r="Y1666" s="66"/>
      <c r="Z1666" s="66"/>
      <c r="AA1666" s="66"/>
      <c r="AB1666" s="66"/>
      <c r="AC1666" s="66"/>
      <c r="AD1666" s="66"/>
      <c r="AE1666" s="66"/>
      <c r="AF1666" s="44"/>
      <c r="AG1666" s="254">
        <f>Prog_23[[#This Row],[SAÍDA DO CLIENTE]]-Prog_23[[#This Row],[PROGRAMAÇÃO CLIENTE]]</f>
        <v>0</v>
      </c>
      <c r="AH1666" s="44"/>
      <c r="AI1666" s="66"/>
      <c r="AJ1666" s="66"/>
      <c r="AK1666" s="66"/>
      <c r="AL1666" s="66"/>
      <c r="AM1666" s="66"/>
      <c r="AN1666" s="83"/>
      <c r="AO1666" s="83"/>
      <c r="AP1666" s="83"/>
      <c r="AQ1666" s="66"/>
      <c r="AR1666" s="66"/>
      <c r="AS1666" s="66"/>
      <c r="AT1666" s="81"/>
      <c r="AU1666" s="81"/>
      <c r="AV1666" s="81"/>
      <c r="AW1666" s="81"/>
      <c r="AX1666" s="83">
        <f>SUM(Prog_23[[#This Row],[ADIANTAMENTO]]+Prog_23[[#This Row],[SALDO]]+Prog_23[[#This Row],[MARGEM]]+Prog_23[[#This Row],[ESTADIA 1]])</f>
        <v>0</v>
      </c>
      <c r="AY16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66" s="81"/>
      <c r="BA1666" s="81"/>
      <c r="BB1666" s="81">
        <f>Prog_23[[#This Row],[VLR NF]]*0.1%</f>
        <v>0</v>
      </c>
      <c r="BC1666" s="81">
        <f>Prog_23[[#This Row],[VLR NF]]*0.05%</f>
        <v>0</v>
      </c>
      <c r="BD1666" s="81"/>
      <c r="BE1666" s="81"/>
      <c r="BF1666" s="81"/>
      <c r="BG1666" s="81"/>
      <c r="BH1666" s="81"/>
      <c r="BI1666" s="81"/>
      <c r="BJ1666" s="81"/>
      <c r="BK1666" s="81"/>
      <c r="BL1666" s="81"/>
      <c r="BM1666" s="81"/>
      <c r="BN1666" s="66"/>
      <c r="BO1666" s="66"/>
      <c r="BP1666" s="66"/>
      <c r="BQ1666" s="66" t="str">
        <f>PROPER(TEXT(Prog_23[[#This Row],[PROGRAMAÇÃO CLIENTE]],"mmm"))</f>
        <v>Jan</v>
      </c>
      <c r="BR1666" s="66">
        <f>YEAR(Prog_23[[#This Row],[PROGRAMAÇÃO CLIENTE]])</f>
        <v>1900</v>
      </c>
    </row>
    <row r="1667" spans="1:70" x14ac:dyDescent="0.25">
      <c r="A1667" s="200">
        <f>Prog_23[[#This Row],[CONTEINER]]</f>
        <v>0</v>
      </c>
      <c r="B1667" s="86"/>
      <c r="C16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67" s="44"/>
      <c r="E1667" s="66"/>
      <c r="F1667" s="66"/>
      <c r="G1667" s="66"/>
      <c r="H1667" s="44"/>
      <c r="I1667" s="44"/>
      <c r="J1667" s="66"/>
      <c r="K1667" s="66"/>
      <c r="L1667" s="66"/>
      <c r="M1667" s="66"/>
      <c r="N1667" s="66">
        <f>SUM(Prog_23[[#This Row],[TARA]]+Prog_23[[#This Row],[PESO]])</f>
        <v>0</v>
      </c>
      <c r="O1667" s="44"/>
      <c r="P1667" s="66"/>
      <c r="Q1667" s="66"/>
      <c r="R1667" s="66"/>
      <c r="S1667" s="66"/>
      <c r="T1667" s="138" t="str">
        <f>IFERROR(LOOKUP($S1667,MOTORISTAS!$D$3:$D$916,MOTORISTAS!E$3:$E$916),"")</f>
        <v/>
      </c>
      <c r="U1667" s="138" t="str">
        <f>IFERROR(LOOKUP($S1667,MOTORISTAS!$D$3:$D$916,MOTORISTAS!F$3:$F$916),"")</f>
        <v/>
      </c>
      <c r="V1667" s="66"/>
      <c r="W1667" s="66"/>
      <c r="X1667" s="66"/>
      <c r="Y1667" s="66"/>
      <c r="Z1667" s="66"/>
      <c r="AA1667" s="66"/>
      <c r="AB1667" s="66"/>
      <c r="AC1667" s="66"/>
      <c r="AD1667" s="66"/>
      <c r="AE1667" s="66"/>
      <c r="AF1667" s="44"/>
      <c r="AG1667" s="254">
        <f>Prog_23[[#This Row],[SAÍDA DO CLIENTE]]-Prog_23[[#This Row],[PROGRAMAÇÃO CLIENTE]]</f>
        <v>0</v>
      </c>
      <c r="AH1667" s="44"/>
      <c r="AI1667" s="66"/>
      <c r="AJ1667" s="66"/>
      <c r="AK1667" s="66"/>
      <c r="AL1667" s="66"/>
      <c r="AM1667" s="66"/>
      <c r="AN1667" s="83"/>
      <c r="AO1667" s="83"/>
      <c r="AP1667" s="83"/>
      <c r="AQ1667" s="66"/>
      <c r="AR1667" s="66"/>
      <c r="AS1667" s="66"/>
      <c r="AT1667" s="81"/>
      <c r="AU1667" s="81"/>
      <c r="AV1667" s="81"/>
      <c r="AW1667" s="81"/>
      <c r="AX1667" s="83">
        <f>SUM(Prog_23[[#This Row],[ADIANTAMENTO]]+Prog_23[[#This Row],[SALDO]]+Prog_23[[#This Row],[MARGEM]]+Prog_23[[#This Row],[ESTADIA 1]])</f>
        <v>0</v>
      </c>
      <c r="AY16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67" s="81"/>
      <c r="BA1667" s="81"/>
      <c r="BB1667" s="81">
        <f>Prog_23[[#This Row],[VLR NF]]*0.1%</f>
        <v>0</v>
      </c>
      <c r="BC1667" s="81">
        <f>Prog_23[[#This Row],[VLR NF]]*0.05%</f>
        <v>0</v>
      </c>
      <c r="BD1667" s="81"/>
      <c r="BE1667" s="81"/>
      <c r="BF1667" s="81"/>
      <c r="BG1667" s="81"/>
      <c r="BH1667" s="81"/>
      <c r="BI1667" s="81"/>
      <c r="BJ1667" s="81"/>
      <c r="BK1667" s="81"/>
      <c r="BL1667" s="81"/>
      <c r="BM1667" s="81"/>
      <c r="BN1667" s="66"/>
      <c r="BO1667" s="66"/>
      <c r="BP1667" s="66"/>
      <c r="BQ1667" s="66" t="str">
        <f>PROPER(TEXT(Prog_23[[#This Row],[PROGRAMAÇÃO CLIENTE]],"mmm"))</f>
        <v>Jan</v>
      </c>
      <c r="BR1667" s="66">
        <f>YEAR(Prog_23[[#This Row],[PROGRAMAÇÃO CLIENTE]])</f>
        <v>1900</v>
      </c>
    </row>
    <row r="1668" spans="1:70" x14ac:dyDescent="0.25">
      <c r="A1668" s="201">
        <f>Prog_23[[#This Row],[CONTEINER]]</f>
        <v>0</v>
      </c>
      <c r="B1668" s="86"/>
      <c r="C16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68" s="44"/>
      <c r="E1668" s="66"/>
      <c r="F1668" s="66"/>
      <c r="G1668" s="66"/>
      <c r="H1668" s="44"/>
      <c r="I1668" s="44"/>
      <c r="J1668" s="66"/>
      <c r="K1668" s="66"/>
      <c r="L1668" s="66"/>
      <c r="M1668" s="66"/>
      <c r="N1668" s="66">
        <f>SUM(Prog_23[[#This Row],[TARA]]+Prog_23[[#This Row],[PESO]])</f>
        <v>0</v>
      </c>
      <c r="O1668" s="44"/>
      <c r="P1668" s="66"/>
      <c r="Q1668" s="66"/>
      <c r="R1668" s="66"/>
      <c r="S1668" s="66"/>
      <c r="T1668" s="138" t="str">
        <f>IFERROR(LOOKUP($S1668,MOTORISTAS!$D$3:$D$916,MOTORISTAS!E$3:$E$916),"")</f>
        <v/>
      </c>
      <c r="U1668" s="138" t="str">
        <f>IFERROR(LOOKUP($S1668,MOTORISTAS!$D$3:$D$916,MOTORISTAS!F$3:$F$916),"")</f>
        <v/>
      </c>
      <c r="V1668" s="66"/>
      <c r="W1668" s="66"/>
      <c r="X1668" s="66"/>
      <c r="Y1668" s="66"/>
      <c r="Z1668" s="66"/>
      <c r="AA1668" s="66"/>
      <c r="AB1668" s="66"/>
      <c r="AC1668" s="66"/>
      <c r="AD1668" s="66"/>
      <c r="AE1668" s="66"/>
      <c r="AF1668" s="44"/>
      <c r="AG1668" s="254">
        <f>Prog_23[[#This Row],[SAÍDA DO CLIENTE]]-Prog_23[[#This Row],[PROGRAMAÇÃO CLIENTE]]</f>
        <v>0</v>
      </c>
      <c r="AH1668" s="44"/>
      <c r="AI1668" s="66"/>
      <c r="AJ1668" s="66"/>
      <c r="AK1668" s="66"/>
      <c r="AL1668" s="66"/>
      <c r="AM1668" s="66"/>
      <c r="AN1668" s="83"/>
      <c r="AO1668" s="83"/>
      <c r="AP1668" s="83"/>
      <c r="AQ1668" s="66"/>
      <c r="AR1668" s="66"/>
      <c r="AS1668" s="66"/>
      <c r="AT1668" s="81"/>
      <c r="AU1668" s="81"/>
      <c r="AV1668" s="81"/>
      <c r="AW1668" s="81"/>
      <c r="AX1668" s="83">
        <f>SUM(Prog_23[[#This Row],[ADIANTAMENTO]]+Prog_23[[#This Row],[SALDO]]+Prog_23[[#This Row],[MARGEM]]+Prog_23[[#This Row],[ESTADIA 1]])</f>
        <v>0</v>
      </c>
      <c r="AY16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68" s="81"/>
      <c r="BA1668" s="81"/>
      <c r="BB1668" s="81">
        <f>Prog_23[[#This Row],[VLR NF]]*0.1%</f>
        <v>0</v>
      </c>
      <c r="BC1668" s="81">
        <f>Prog_23[[#This Row],[VLR NF]]*0.05%</f>
        <v>0</v>
      </c>
      <c r="BD1668" s="81"/>
      <c r="BE1668" s="81"/>
      <c r="BF1668" s="81"/>
      <c r="BG1668" s="81"/>
      <c r="BH1668" s="81"/>
      <c r="BI1668" s="81"/>
      <c r="BJ1668" s="81"/>
      <c r="BK1668" s="81"/>
      <c r="BL1668" s="81"/>
      <c r="BM1668" s="81"/>
      <c r="BN1668" s="66"/>
      <c r="BO1668" s="66"/>
      <c r="BP1668" s="66"/>
      <c r="BQ1668" s="66" t="str">
        <f>PROPER(TEXT(Prog_23[[#This Row],[PROGRAMAÇÃO CLIENTE]],"mmm"))</f>
        <v>Jan</v>
      </c>
      <c r="BR1668" s="66">
        <f>YEAR(Prog_23[[#This Row],[PROGRAMAÇÃO CLIENTE]])</f>
        <v>1900</v>
      </c>
    </row>
    <row r="1669" spans="1:70" x14ac:dyDescent="0.25">
      <c r="A1669" s="200">
        <f>Prog_23[[#This Row],[CONTEINER]]</f>
        <v>0</v>
      </c>
      <c r="B1669" s="86"/>
      <c r="C16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69" s="44"/>
      <c r="E1669" s="66"/>
      <c r="F1669" s="66"/>
      <c r="G1669" s="66"/>
      <c r="H1669" s="44"/>
      <c r="I1669" s="44"/>
      <c r="J1669" s="66"/>
      <c r="K1669" s="66"/>
      <c r="L1669" s="66"/>
      <c r="M1669" s="66"/>
      <c r="N1669" s="66">
        <f>SUM(Prog_23[[#This Row],[TARA]]+Prog_23[[#This Row],[PESO]])</f>
        <v>0</v>
      </c>
      <c r="O1669" s="44"/>
      <c r="P1669" s="66"/>
      <c r="Q1669" s="66"/>
      <c r="R1669" s="66"/>
      <c r="S1669" s="66"/>
      <c r="T1669" s="138" t="str">
        <f>IFERROR(LOOKUP($S1669,MOTORISTAS!$D$3:$D$916,MOTORISTAS!E$3:$E$916),"")</f>
        <v/>
      </c>
      <c r="U1669" s="138" t="str">
        <f>IFERROR(LOOKUP($S1669,MOTORISTAS!$D$3:$D$916,MOTORISTAS!F$3:$F$916),"")</f>
        <v/>
      </c>
      <c r="V1669" s="66"/>
      <c r="W1669" s="66"/>
      <c r="X1669" s="66"/>
      <c r="Y1669" s="66"/>
      <c r="Z1669" s="66"/>
      <c r="AA1669" s="66"/>
      <c r="AB1669" s="66"/>
      <c r="AC1669" s="66"/>
      <c r="AD1669" s="66"/>
      <c r="AE1669" s="66"/>
      <c r="AF1669" s="44"/>
      <c r="AG1669" s="254">
        <f>Prog_23[[#This Row],[SAÍDA DO CLIENTE]]-Prog_23[[#This Row],[PROGRAMAÇÃO CLIENTE]]</f>
        <v>0</v>
      </c>
      <c r="AH1669" s="44"/>
      <c r="AI1669" s="66"/>
      <c r="AJ1669" s="66"/>
      <c r="AK1669" s="66"/>
      <c r="AL1669" s="66"/>
      <c r="AM1669" s="66"/>
      <c r="AN1669" s="83"/>
      <c r="AO1669" s="83"/>
      <c r="AP1669" s="83"/>
      <c r="AQ1669" s="66"/>
      <c r="AR1669" s="66"/>
      <c r="AS1669" s="66"/>
      <c r="AT1669" s="81"/>
      <c r="AU1669" s="81"/>
      <c r="AV1669" s="81"/>
      <c r="AW1669" s="81"/>
      <c r="AX1669" s="83">
        <f>SUM(Prog_23[[#This Row],[ADIANTAMENTO]]+Prog_23[[#This Row],[SALDO]]+Prog_23[[#This Row],[MARGEM]]+Prog_23[[#This Row],[ESTADIA 1]])</f>
        <v>0</v>
      </c>
      <c r="AY16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69" s="81"/>
      <c r="BA1669" s="81"/>
      <c r="BB1669" s="81">
        <f>Prog_23[[#This Row],[VLR NF]]*0.1%</f>
        <v>0</v>
      </c>
      <c r="BC1669" s="81">
        <f>Prog_23[[#This Row],[VLR NF]]*0.05%</f>
        <v>0</v>
      </c>
      <c r="BD1669" s="81"/>
      <c r="BE1669" s="81"/>
      <c r="BF1669" s="81"/>
      <c r="BG1669" s="81"/>
      <c r="BH1669" s="81"/>
      <c r="BI1669" s="81"/>
      <c r="BJ1669" s="81"/>
      <c r="BK1669" s="81"/>
      <c r="BL1669" s="81"/>
      <c r="BM1669" s="81"/>
      <c r="BN1669" s="66"/>
      <c r="BO1669" s="66"/>
      <c r="BP1669" s="66"/>
      <c r="BQ1669" s="66" t="str">
        <f>PROPER(TEXT(Prog_23[[#This Row],[PROGRAMAÇÃO CLIENTE]],"mmm"))</f>
        <v>Jan</v>
      </c>
      <c r="BR1669" s="66">
        <f>YEAR(Prog_23[[#This Row],[PROGRAMAÇÃO CLIENTE]])</f>
        <v>1900</v>
      </c>
    </row>
    <row r="1670" spans="1:70" x14ac:dyDescent="0.25">
      <c r="A1670" s="201">
        <f>Prog_23[[#This Row],[CONTEINER]]</f>
        <v>0</v>
      </c>
      <c r="B1670" s="86"/>
      <c r="C16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70" s="44"/>
      <c r="E1670" s="66"/>
      <c r="F1670" s="66"/>
      <c r="G1670" s="66"/>
      <c r="H1670" s="44"/>
      <c r="I1670" s="44"/>
      <c r="J1670" s="66"/>
      <c r="K1670" s="66"/>
      <c r="L1670" s="66"/>
      <c r="M1670" s="66"/>
      <c r="N1670" s="66">
        <f>SUM(Prog_23[[#This Row],[TARA]]+Prog_23[[#This Row],[PESO]])</f>
        <v>0</v>
      </c>
      <c r="O1670" s="44"/>
      <c r="P1670" s="66"/>
      <c r="Q1670" s="66"/>
      <c r="R1670" s="66"/>
      <c r="S1670" s="66"/>
      <c r="T1670" s="138" t="str">
        <f>IFERROR(LOOKUP($S1670,MOTORISTAS!$D$3:$D$916,MOTORISTAS!E$3:$E$916),"")</f>
        <v/>
      </c>
      <c r="U1670" s="138" t="str">
        <f>IFERROR(LOOKUP($S1670,MOTORISTAS!$D$3:$D$916,MOTORISTAS!F$3:$F$916),"")</f>
        <v/>
      </c>
      <c r="V1670" s="66"/>
      <c r="W1670" s="66"/>
      <c r="X1670" s="66"/>
      <c r="Y1670" s="66"/>
      <c r="Z1670" s="66"/>
      <c r="AA1670" s="66"/>
      <c r="AB1670" s="66"/>
      <c r="AC1670" s="66"/>
      <c r="AD1670" s="66"/>
      <c r="AE1670" s="66"/>
      <c r="AF1670" s="44"/>
      <c r="AG1670" s="254">
        <f>Prog_23[[#This Row],[SAÍDA DO CLIENTE]]-Prog_23[[#This Row],[PROGRAMAÇÃO CLIENTE]]</f>
        <v>0</v>
      </c>
      <c r="AH1670" s="44"/>
      <c r="AI1670" s="66"/>
      <c r="AJ1670" s="66"/>
      <c r="AK1670" s="66"/>
      <c r="AL1670" s="66"/>
      <c r="AM1670" s="66"/>
      <c r="AN1670" s="83"/>
      <c r="AO1670" s="83"/>
      <c r="AP1670" s="83"/>
      <c r="AQ1670" s="66"/>
      <c r="AR1670" s="66"/>
      <c r="AS1670" s="66"/>
      <c r="AT1670" s="81"/>
      <c r="AU1670" s="81"/>
      <c r="AV1670" s="81"/>
      <c r="AW1670" s="81"/>
      <c r="AX1670" s="83">
        <f>SUM(Prog_23[[#This Row],[ADIANTAMENTO]]+Prog_23[[#This Row],[SALDO]]+Prog_23[[#This Row],[MARGEM]]+Prog_23[[#This Row],[ESTADIA 1]])</f>
        <v>0</v>
      </c>
      <c r="AY16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70" s="81"/>
      <c r="BA1670" s="81"/>
      <c r="BB1670" s="81">
        <f>Prog_23[[#This Row],[VLR NF]]*0.1%</f>
        <v>0</v>
      </c>
      <c r="BC1670" s="81">
        <f>Prog_23[[#This Row],[VLR NF]]*0.05%</f>
        <v>0</v>
      </c>
      <c r="BD1670" s="81"/>
      <c r="BE1670" s="81"/>
      <c r="BF1670" s="81"/>
      <c r="BG1670" s="81"/>
      <c r="BH1670" s="81"/>
      <c r="BI1670" s="81"/>
      <c r="BJ1670" s="81"/>
      <c r="BK1670" s="81"/>
      <c r="BL1670" s="81"/>
      <c r="BM1670" s="81"/>
      <c r="BN1670" s="66"/>
      <c r="BO1670" s="66"/>
      <c r="BP1670" s="66"/>
      <c r="BQ1670" s="66" t="str">
        <f>PROPER(TEXT(Prog_23[[#This Row],[PROGRAMAÇÃO CLIENTE]],"mmm"))</f>
        <v>Jan</v>
      </c>
      <c r="BR1670" s="66">
        <f>YEAR(Prog_23[[#This Row],[PROGRAMAÇÃO CLIENTE]])</f>
        <v>1900</v>
      </c>
    </row>
    <row r="1671" spans="1:70" x14ac:dyDescent="0.25">
      <c r="A1671" s="200">
        <f>Prog_23[[#This Row],[CONTEINER]]</f>
        <v>0</v>
      </c>
      <c r="B1671" s="86"/>
      <c r="C16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71" s="44"/>
      <c r="E1671" s="66"/>
      <c r="F1671" s="66"/>
      <c r="G1671" s="66"/>
      <c r="H1671" s="44"/>
      <c r="I1671" s="44"/>
      <c r="J1671" s="66"/>
      <c r="K1671" s="66"/>
      <c r="L1671" s="66"/>
      <c r="M1671" s="66"/>
      <c r="N1671" s="66">
        <f>SUM(Prog_23[[#This Row],[TARA]]+Prog_23[[#This Row],[PESO]])</f>
        <v>0</v>
      </c>
      <c r="O1671" s="44"/>
      <c r="P1671" s="66"/>
      <c r="Q1671" s="66"/>
      <c r="R1671" s="66"/>
      <c r="S1671" s="66"/>
      <c r="T1671" s="138" t="str">
        <f>IFERROR(LOOKUP($S1671,MOTORISTAS!$D$3:$D$916,MOTORISTAS!E$3:$E$916),"")</f>
        <v/>
      </c>
      <c r="U1671" s="138" t="str">
        <f>IFERROR(LOOKUP($S1671,MOTORISTAS!$D$3:$D$916,MOTORISTAS!F$3:$F$916),"")</f>
        <v/>
      </c>
      <c r="V1671" s="66"/>
      <c r="W1671" s="66"/>
      <c r="X1671" s="66"/>
      <c r="Y1671" s="66"/>
      <c r="Z1671" s="66"/>
      <c r="AA1671" s="66"/>
      <c r="AB1671" s="66"/>
      <c r="AC1671" s="66"/>
      <c r="AD1671" s="66"/>
      <c r="AE1671" s="66"/>
      <c r="AF1671" s="44"/>
      <c r="AG1671" s="254">
        <f>Prog_23[[#This Row],[SAÍDA DO CLIENTE]]-Prog_23[[#This Row],[PROGRAMAÇÃO CLIENTE]]</f>
        <v>0</v>
      </c>
      <c r="AH1671" s="44"/>
      <c r="AI1671" s="66"/>
      <c r="AJ1671" s="66"/>
      <c r="AK1671" s="66"/>
      <c r="AL1671" s="66"/>
      <c r="AM1671" s="66"/>
      <c r="AN1671" s="83"/>
      <c r="AO1671" s="83"/>
      <c r="AP1671" s="83"/>
      <c r="AQ1671" s="66"/>
      <c r="AR1671" s="66"/>
      <c r="AS1671" s="66"/>
      <c r="AT1671" s="81"/>
      <c r="AU1671" s="81"/>
      <c r="AV1671" s="81"/>
      <c r="AW1671" s="81"/>
      <c r="AX1671" s="83">
        <f>SUM(Prog_23[[#This Row],[ADIANTAMENTO]]+Prog_23[[#This Row],[SALDO]]+Prog_23[[#This Row],[MARGEM]]+Prog_23[[#This Row],[ESTADIA 1]])</f>
        <v>0</v>
      </c>
      <c r="AY16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71" s="81"/>
      <c r="BA1671" s="81"/>
      <c r="BB1671" s="81">
        <f>Prog_23[[#This Row],[VLR NF]]*0.1%</f>
        <v>0</v>
      </c>
      <c r="BC1671" s="81">
        <f>Prog_23[[#This Row],[VLR NF]]*0.05%</f>
        <v>0</v>
      </c>
      <c r="BD1671" s="81"/>
      <c r="BE1671" s="81"/>
      <c r="BF1671" s="81"/>
      <c r="BG1671" s="81"/>
      <c r="BH1671" s="81"/>
      <c r="BI1671" s="81"/>
      <c r="BJ1671" s="81"/>
      <c r="BK1671" s="81"/>
      <c r="BL1671" s="81"/>
      <c r="BM1671" s="81"/>
      <c r="BN1671" s="66"/>
      <c r="BO1671" s="66"/>
      <c r="BP1671" s="66"/>
      <c r="BQ1671" s="66" t="str">
        <f>PROPER(TEXT(Prog_23[[#This Row],[PROGRAMAÇÃO CLIENTE]],"mmm"))</f>
        <v>Jan</v>
      </c>
      <c r="BR1671" s="66">
        <f>YEAR(Prog_23[[#This Row],[PROGRAMAÇÃO CLIENTE]])</f>
        <v>1900</v>
      </c>
    </row>
    <row r="1672" spans="1:70" x14ac:dyDescent="0.25">
      <c r="A1672" s="201">
        <f>Prog_23[[#This Row],[CONTEINER]]</f>
        <v>0</v>
      </c>
      <c r="B1672" s="86"/>
      <c r="C16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72" s="44"/>
      <c r="E1672" s="66"/>
      <c r="F1672" s="66"/>
      <c r="G1672" s="66"/>
      <c r="H1672" s="44"/>
      <c r="I1672" s="44"/>
      <c r="J1672" s="66"/>
      <c r="K1672" s="66"/>
      <c r="L1672" s="66"/>
      <c r="M1672" s="66"/>
      <c r="N1672" s="66">
        <f>SUM(Prog_23[[#This Row],[TARA]]+Prog_23[[#This Row],[PESO]])</f>
        <v>0</v>
      </c>
      <c r="O1672" s="44"/>
      <c r="P1672" s="66"/>
      <c r="Q1672" s="66"/>
      <c r="R1672" s="66"/>
      <c r="S1672" s="66"/>
      <c r="T1672" s="138" t="str">
        <f>IFERROR(LOOKUP($S1672,MOTORISTAS!$D$3:$D$916,MOTORISTAS!E$3:$E$916),"")</f>
        <v/>
      </c>
      <c r="U1672" s="138" t="str">
        <f>IFERROR(LOOKUP($S1672,MOTORISTAS!$D$3:$D$916,MOTORISTAS!F$3:$F$916),"")</f>
        <v/>
      </c>
      <c r="V1672" s="66"/>
      <c r="W1672" s="66"/>
      <c r="X1672" s="66"/>
      <c r="Y1672" s="66"/>
      <c r="Z1672" s="66"/>
      <c r="AA1672" s="66"/>
      <c r="AB1672" s="66"/>
      <c r="AC1672" s="66"/>
      <c r="AD1672" s="66"/>
      <c r="AE1672" s="66"/>
      <c r="AF1672" s="44"/>
      <c r="AG1672" s="254">
        <f>Prog_23[[#This Row],[SAÍDA DO CLIENTE]]-Prog_23[[#This Row],[PROGRAMAÇÃO CLIENTE]]</f>
        <v>0</v>
      </c>
      <c r="AH1672" s="44"/>
      <c r="AI1672" s="66"/>
      <c r="AJ1672" s="66"/>
      <c r="AK1672" s="66"/>
      <c r="AL1672" s="66"/>
      <c r="AM1672" s="66"/>
      <c r="AN1672" s="83"/>
      <c r="AO1672" s="83"/>
      <c r="AP1672" s="83"/>
      <c r="AQ1672" s="66"/>
      <c r="AR1672" s="66"/>
      <c r="AS1672" s="66"/>
      <c r="AT1672" s="81"/>
      <c r="AU1672" s="81"/>
      <c r="AV1672" s="81"/>
      <c r="AW1672" s="81"/>
      <c r="AX1672" s="83">
        <f>SUM(Prog_23[[#This Row],[ADIANTAMENTO]]+Prog_23[[#This Row],[SALDO]]+Prog_23[[#This Row],[MARGEM]]+Prog_23[[#This Row],[ESTADIA 1]])</f>
        <v>0</v>
      </c>
      <c r="AY16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72" s="81"/>
      <c r="BA1672" s="81"/>
      <c r="BB1672" s="81">
        <f>Prog_23[[#This Row],[VLR NF]]*0.1%</f>
        <v>0</v>
      </c>
      <c r="BC1672" s="81">
        <f>Prog_23[[#This Row],[VLR NF]]*0.05%</f>
        <v>0</v>
      </c>
      <c r="BD1672" s="81"/>
      <c r="BE1672" s="81"/>
      <c r="BF1672" s="81"/>
      <c r="BG1672" s="81"/>
      <c r="BH1672" s="81"/>
      <c r="BI1672" s="81"/>
      <c r="BJ1672" s="81"/>
      <c r="BK1672" s="81"/>
      <c r="BL1672" s="81"/>
      <c r="BM1672" s="81"/>
      <c r="BN1672" s="66"/>
      <c r="BO1672" s="66"/>
      <c r="BP1672" s="66"/>
      <c r="BQ1672" s="66" t="str">
        <f>PROPER(TEXT(Prog_23[[#This Row],[PROGRAMAÇÃO CLIENTE]],"mmm"))</f>
        <v>Jan</v>
      </c>
      <c r="BR1672" s="66">
        <f>YEAR(Prog_23[[#This Row],[PROGRAMAÇÃO CLIENTE]])</f>
        <v>1900</v>
      </c>
    </row>
    <row r="1673" spans="1:70" x14ac:dyDescent="0.25">
      <c r="A1673" s="200">
        <f>Prog_23[[#This Row],[CONTEINER]]</f>
        <v>0</v>
      </c>
      <c r="B1673" s="86"/>
      <c r="C16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73" s="44"/>
      <c r="E1673" s="66"/>
      <c r="F1673" s="66"/>
      <c r="G1673" s="66"/>
      <c r="H1673" s="44"/>
      <c r="I1673" s="44"/>
      <c r="J1673" s="66"/>
      <c r="K1673" s="66"/>
      <c r="L1673" s="66"/>
      <c r="M1673" s="66"/>
      <c r="N1673" s="66">
        <f>SUM(Prog_23[[#This Row],[TARA]]+Prog_23[[#This Row],[PESO]])</f>
        <v>0</v>
      </c>
      <c r="O1673" s="44"/>
      <c r="P1673" s="66"/>
      <c r="Q1673" s="66"/>
      <c r="R1673" s="66"/>
      <c r="S1673" s="66"/>
      <c r="T1673" s="138" t="str">
        <f>IFERROR(LOOKUP($S1673,MOTORISTAS!$D$3:$D$916,MOTORISTAS!E$3:$E$916),"")</f>
        <v/>
      </c>
      <c r="U1673" s="138" t="str">
        <f>IFERROR(LOOKUP($S1673,MOTORISTAS!$D$3:$D$916,MOTORISTAS!F$3:$F$916),"")</f>
        <v/>
      </c>
      <c r="V1673" s="66"/>
      <c r="W1673" s="66"/>
      <c r="X1673" s="66"/>
      <c r="Y1673" s="66"/>
      <c r="Z1673" s="66"/>
      <c r="AA1673" s="66"/>
      <c r="AB1673" s="66"/>
      <c r="AC1673" s="66"/>
      <c r="AD1673" s="66"/>
      <c r="AE1673" s="66"/>
      <c r="AF1673" s="44"/>
      <c r="AG1673" s="254">
        <f>Prog_23[[#This Row],[SAÍDA DO CLIENTE]]-Prog_23[[#This Row],[PROGRAMAÇÃO CLIENTE]]</f>
        <v>0</v>
      </c>
      <c r="AH1673" s="44"/>
      <c r="AI1673" s="66"/>
      <c r="AJ1673" s="66"/>
      <c r="AK1673" s="66"/>
      <c r="AL1673" s="66"/>
      <c r="AM1673" s="66"/>
      <c r="AN1673" s="83"/>
      <c r="AO1673" s="83"/>
      <c r="AP1673" s="83"/>
      <c r="AQ1673" s="66"/>
      <c r="AR1673" s="66"/>
      <c r="AS1673" s="66"/>
      <c r="AT1673" s="81"/>
      <c r="AU1673" s="81"/>
      <c r="AV1673" s="81"/>
      <c r="AW1673" s="81"/>
      <c r="AX1673" s="83">
        <f>SUM(Prog_23[[#This Row],[ADIANTAMENTO]]+Prog_23[[#This Row],[SALDO]]+Prog_23[[#This Row],[MARGEM]]+Prog_23[[#This Row],[ESTADIA 1]])</f>
        <v>0</v>
      </c>
      <c r="AY16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73" s="81"/>
      <c r="BA1673" s="81"/>
      <c r="BB1673" s="81">
        <f>Prog_23[[#This Row],[VLR NF]]*0.1%</f>
        <v>0</v>
      </c>
      <c r="BC1673" s="81">
        <f>Prog_23[[#This Row],[VLR NF]]*0.05%</f>
        <v>0</v>
      </c>
      <c r="BD1673" s="81"/>
      <c r="BE1673" s="81"/>
      <c r="BF1673" s="81"/>
      <c r="BG1673" s="81"/>
      <c r="BH1673" s="81"/>
      <c r="BI1673" s="81"/>
      <c r="BJ1673" s="81"/>
      <c r="BK1673" s="81"/>
      <c r="BL1673" s="81"/>
      <c r="BM1673" s="81"/>
      <c r="BN1673" s="66"/>
      <c r="BO1673" s="66"/>
      <c r="BP1673" s="66"/>
      <c r="BQ1673" s="66" t="str">
        <f>PROPER(TEXT(Prog_23[[#This Row],[PROGRAMAÇÃO CLIENTE]],"mmm"))</f>
        <v>Jan</v>
      </c>
      <c r="BR1673" s="66">
        <f>YEAR(Prog_23[[#This Row],[PROGRAMAÇÃO CLIENTE]])</f>
        <v>1900</v>
      </c>
    </row>
    <row r="1674" spans="1:70" x14ac:dyDescent="0.25">
      <c r="A1674" s="201">
        <f>Prog_23[[#This Row],[CONTEINER]]</f>
        <v>0</v>
      </c>
      <c r="B1674" s="86"/>
      <c r="C16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74" s="44"/>
      <c r="E1674" s="66"/>
      <c r="F1674" s="66"/>
      <c r="G1674" s="66"/>
      <c r="H1674" s="44"/>
      <c r="I1674" s="44"/>
      <c r="J1674" s="66"/>
      <c r="K1674" s="66"/>
      <c r="L1674" s="66"/>
      <c r="M1674" s="66"/>
      <c r="N1674" s="66">
        <f>SUM(Prog_23[[#This Row],[TARA]]+Prog_23[[#This Row],[PESO]])</f>
        <v>0</v>
      </c>
      <c r="O1674" s="44"/>
      <c r="P1674" s="66"/>
      <c r="Q1674" s="66"/>
      <c r="R1674" s="66"/>
      <c r="S1674" s="66"/>
      <c r="T1674" s="138" t="str">
        <f>IFERROR(LOOKUP($S1674,MOTORISTAS!$D$3:$D$916,MOTORISTAS!E$3:$E$916),"")</f>
        <v/>
      </c>
      <c r="U1674" s="138" t="str">
        <f>IFERROR(LOOKUP($S1674,MOTORISTAS!$D$3:$D$916,MOTORISTAS!F$3:$F$916),"")</f>
        <v/>
      </c>
      <c r="V1674" s="66"/>
      <c r="W1674" s="66"/>
      <c r="X1674" s="66"/>
      <c r="Y1674" s="66"/>
      <c r="Z1674" s="66"/>
      <c r="AA1674" s="66"/>
      <c r="AB1674" s="66"/>
      <c r="AC1674" s="66"/>
      <c r="AD1674" s="66"/>
      <c r="AE1674" s="66"/>
      <c r="AF1674" s="44"/>
      <c r="AG1674" s="254">
        <f>Prog_23[[#This Row],[SAÍDA DO CLIENTE]]-Prog_23[[#This Row],[PROGRAMAÇÃO CLIENTE]]</f>
        <v>0</v>
      </c>
      <c r="AH1674" s="44"/>
      <c r="AI1674" s="66"/>
      <c r="AJ1674" s="66"/>
      <c r="AK1674" s="66"/>
      <c r="AL1674" s="66"/>
      <c r="AM1674" s="66"/>
      <c r="AN1674" s="83"/>
      <c r="AO1674" s="83"/>
      <c r="AP1674" s="83"/>
      <c r="AQ1674" s="66"/>
      <c r="AR1674" s="66"/>
      <c r="AS1674" s="66"/>
      <c r="AT1674" s="81"/>
      <c r="AU1674" s="81"/>
      <c r="AV1674" s="81"/>
      <c r="AW1674" s="81"/>
      <c r="AX1674" s="83">
        <f>SUM(Prog_23[[#This Row],[ADIANTAMENTO]]+Prog_23[[#This Row],[SALDO]]+Prog_23[[#This Row],[MARGEM]]+Prog_23[[#This Row],[ESTADIA 1]])</f>
        <v>0</v>
      </c>
      <c r="AY16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74" s="81"/>
      <c r="BA1674" s="81"/>
      <c r="BB1674" s="81">
        <f>Prog_23[[#This Row],[VLR NF]]*0.1%</f>
        <v>0</v>
      </c>
      <c r="BC1674" s="81">
        <f>Prog_23[[#This Row],[VLR NF]]*0.05%</f>
        <v>0</v>
      </c>
      <c r="BD1674" s="81"/>
      <c r="BE1674" s="81"/>
      <c r="BF1674" s="81"/>
      <c r="BG1674" s="81"/>
      <c r="BH1674" s="81"/>
      <c r="BI1674" s="81"/>
      <c r="BJ1674" s="81"/>
      <c r="BK1674" s="81"/>
      <c r="BL1674" s="81"/>
      <c r="BM1674" s="81"/>
      <c r="BN1674" s="66"/>
      <c r="BO1674" s="66"/>
      <c r="BP1674" s="66"/>
      <c r="BQ1674" s="66" t="str">
        <f>PROPER(TEXT(Prog_23[[#This Row],[PROGRAMAÇÃO CLIENTE]],"mmm"))</f>
        <v>Jan</v>
      </c>
      <c r="BR1674" s="66">
        <f>YEAR(Prog_23[[#This Row],[PROGRAMAÇÃO CLIENTE]])</f>
        <v>1900</v>
      </c>
    </row>
    <row r="1675" spans="1:70" x14ac:dyDescent="0.25">
      <c r="A1675" s="200">
        <f>Prog_23[[#This Row],[CONTEINER]]</f>
        <v>0</v>
      </c>
      <c r="B1675" s="86"/>
      <c r="C16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75" s="44"/>
      <c r="E1675" s="66"/>
      <c r="F1675" s="66"/>
      <c r="G1675" s="66"/>
      <c r="H1675" s="44"/>
      <c r="I1675" s="44"/>
      <c r="J1675" s="66"/>
      <c r="K1675" s="66"/>
      <c r="L1675" s="66"/>
      <c r="M1675" s="66"/>
      <c r="N1675" s="66">
        <f>SUM(Prog_23[[#This Row],[TARA]]+Prog_23[[#This Row],[PESO]])</f>
        <v>0</v>
      </c>
      <c r="O1675" s="44"/>
      <c r="P1675" s="66"/>
      <c r="Q1675" s="66"/>
      <c r="R1675" s="66"/>
      <c r="S1675" s="66"/>
      <c r="T1675" s="138" t="str">
        <f>IFERROR(LOOKUP($S1675,MOTORISTAS!$D$3:$D$916,MOTORISTAS!E$3:$E$916),"")</f>
        <v/>
      </c>
      <c r="U1675" s="138" t="str">
        <f>IFERROR(LOOKUP($S1675,MOTORISTAS!$D$3:$D$916,MOTORISTAS!F$3:$F$916),"")</f>
        <v/>
      </c>
      <c r="V1675" s="66"/>
      <c r="W1675" s="66"/>
      <c r="X1675" s="66"/>
      <c r="Y1675" s="66"/>
      <c r="Z1675" s="66"/>
      <c r="AA1675" s="66"/>
      <c r="AB1675" s="66"/>
      <c r="AC1675" s="66"/>
      <c r="AD1675" s="66"/>
      <c r="AE1675" s="66"/>
      <c r="AF1675" s="44"/>
      <c r="AG1675" s="254">
        <f>Prog_23[[#This Row],[SAÍDA DO CLIENTE]]-Prog_23[[#This Row],[PROGRAMAÇÃO CLIENTE]]</f>
        <v>0</v>
      </c>
      <c r="AH1675" s="44"/>
      <c r="AI1675" s="66"/>
      <c r="AJ1675" s="66"/>
      <c r="AK1675" s="66"/>
      <c r="AL1675" s="66"/>
      <c r="AM1675" s="66"/>
      <c r="AN1675" s="83"/>
      <c r="AO1675" s="83"/>
      <c r="AP1675" s="83"/>
      <c r="AQ1675" s="66"/>
      <c r="AR1675" s="66"/>
      <c r="AS1675" s="66"/>
      <c r="AT1675" s="81"/>
      <c r="AU1675" s="81"/>
      <c r="AV1675" s="81"/>
      <c r="AW1675" s="81"/>
      <c r="AX1675" s="83">
        <f>SUM(Prog_23[[#This Row],[ADIANTAMENTO]]+Prog_23[[#This Row],[SALDO]]+Prog_23[[#This Row],[MARGEM]]+Prog_23[[#This Row],[ESTADIA 1]])</f>
        <v>0</v>
      </c>
      <c r="AY16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75" s="81"/>
      <c r="BA1675" s="81"/>
      <c r="BB1675" s="81">
        <f>Prog_23[[#This Row],[VLR NF]]*0.1%</f>
        <v>0</v>
      </c>
      <c r="BC1675" s="81">
        <f>Prog_23[[#This Row],[VLR NF]]*0.05%</f>
        <v>0</v>
      </c>
      <c r="BD1675" s="81"/>
      <c r="BE1675" s="81"/>
      <c r="BF1675" s="81"/>
      <c r="BG1675" s="81"/>
      <c r="BH1675" s="81"/>
      <c r="BI1675" s="81"/>
      <c r="BJ1675" s="81"/>
      <c r="BK1675" s="81"/>
      <c r="BL1675" s="81"/>
      <c r="BM1675" s="81"/>
      <c r="BN1675" s="66"/>
      <c r="BO1675" s="66"/>
      <c r="BP1675" s="66"/>
      <c r="BQ1675" s="66" t="str">
        <f>PROPER(TEXT(Prog_23[[#This Row],[PROGRAMAÇÃO CLIENTE]],"mmm"))</f>
        <v>Jan</v>
      </c>
      <c r="BR1675" s="66">
        <f>YEAR(Prog_23[[#This Row],[PROGRAMAÇÃO CLIENTE]])</f>
        <v>1900</v>
      </c>
    </row>
    <row r="1676" spans="1:70" x14ac:dyDescent="0.25">
      <c r="A1676" s="201">
        <f>Prog_23[[#This Row],[CONTEINER]]</f>
        <v>0</v>
      </c>
      <c r="B1676" s="86"/>
      <c r="C16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76" s="44"/>
      <c r="E1676" s="66"/>
      <c r="F1676" s="66"/>
      <c r="G1676" s="66"/>
      <c r="H1676" s="44"/>
      <c r="I1676" s="44"/>
      <c r="J1676" s="66"/>
      <c r="K1676" s="66"/>
      <c r="L1676" s="66"/>
      <c r="M1676" s="66"/>
      <c r="N1676" s="66">
        <f>SUM(Prog_23[[#This Row],[TARA]]+Prog_23[[#This Row],[PESO]])</f>
        <v>0</v>
      </c>
      <c r="O1676" s="44"/>
      <c r="P1676" s="66"/>
      <c r="Q1676" s="66"/>
      <c r="R1676" s="66"/>
      <c r="S1676" s="66"/>
      <c r="T1676" s="138" t="str">
        <f>IFERROR(LOOKUP($S1676,MOTORISTAS!$D$3:$D$916,MOTORISTAS!E$3:$E$916),"")</f>
        <v/>
      </c>
      <c r="U1676" s="138" t="str">
        <f>IFERROR(LOOKUP($S1676,MOTORISTAS!$D$3:$D$916,MOTORISTAS!F$3:$F$916),"")</f>
        <v/>
      </c>
      <c r="V1676" s="66"/>
      <c r="W1676" s="66"/>
      <c r="X1676" s="66"/>
      <c r="Y1676" s="66"/>
      <c r="Z1676" s="66"/>
      <c r="AA1676" s="66"/>
      <c r="AB1676" s="66"/>
      <c r="AC1676" s="66"/>
      <c r="AD1676" s="66"/>
      <c r="AE1676" s="66"/>
      <c r="AF1676" s="44"/>
      <c r="AG1676" s="254">
        <f>Prog_23[[#This Row],[SAÍDA DO CLIENTE]]-Prog_23[[#This Row],[PROGRAMAÇÃO CLIENTE]]</f>
        <v>0</v>
      </c>
      <c r="AH1676" s="44"/>
      <c r="AI1676" s="66"/>
      <c r="AJ1676" s="66"/>
      <c r="AK1676" s="66"/>
      <c r="AL1676" s="66"/>
      <c r="AM1676" s="66"/>
      <c r="AN1676" s="83"/>
      <c r="AO1676" s="83"/>
      <c r="AP1676" s="83"/>
      <c r="AQ1676" s="66"/>
      <c r="AR1676" s="66"/>
      <c r="AS1676" s="66"/>
      <c r="AT1676" s="81"/>
      <c r="AU1676" s="81"/>
      <c r="AV1676" s="81"/>
      <c r="AW1676" s="81"/>
      <c r="AX1676" s="83">
        <f>SUM(Prog_23[[#This Row],[ADIANTAMENTO]]+Prog_23[[#This Row],[SALDO]]+Prog_23[[#This Row],[MARGEM]]+Prog_23[[#This Row],[ESTADIA 1]])</f>
        <v>0</v>
      </c>
      <c r="AY16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76" s="81"/>
      <c r="BA1676" s="81"/>
      <c r="BB1676" s="81">
        <f>Prog_23[[#This Row],[VLR NF]]*0.1%</f>
        <v>0</v>
      </c>
      <c r="BC1676" s="81">
        <f>Prog_23[[#This Row],[VLR NF]]*0.05%</f>
        <v>0</v>
      </c>
      <c r="BD1676" s="81"/>
      <c r="BE1676" s="81"/>
      <c r="BF1676" s="81"/>
      <c r="BG1676" s="81"/>
      <c r="BH1676" s="81"/>
      <c r="BI1676" s="81"/>
      <c r="BJ1676" s="81"/>
      <c r="BK1676" s="81"/>
      <c r="BL1676" s="81"/>
      <c r="BM1676" s="81"/>
      <c r="BN1676" s="66"/>
      <c r="BO1676" s="66"/>
      <c r="BP1676" s="66"/>
      <c r="BQ1676" s="66" t="str">
        <f>PROPER(TEXT(Prog_23[[#This Row],[PROGRAMAÇÃO CLIENTE]],"mmm"))</f>
        <v>Jan</v>
      </c>
      <c r="BR1676" s="66">
        <f>YEAR(Prog_23[[#This Row],[PROGRAMAÇÃO CLIENTE]])</f>
        <v>1900</v>
      </c>
    </row>
    <row r="1677" spans="1:70" x14ac:dyDescent="0.25">
      <c r="A1677" s="200">
        <f>Prog_23[[#This Row],[CONTEINER]]</f>
        <v>0</v>
      </c>
      <c r="B1677" s="86"/>
      <c r="C16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77" s="44"/>
      <c r="E1677" s="66"/>
      <c r="F1677" s="66"/>
      <c r="G1677" s="66"/>
      <c r="H1677" s="44"/>
      <c r="I1677" s="44"/>
      <c r="J1677" s="66"/>
      <c r="K1677" s="66"/>
      <c r="L1677" s="66"/>
      <c r="M1677" s="66"/>
      <c r="N1677" s="66">
        <f>SUM(Prog_23[[#This Row],[TARA]]+Prog_23[[#This Row],[PESO]])</f>
        <v>0</v>
      </c>
      <c r="O1677" s="44"/>
      <c r="P1677" s="66"/>
      <c r="Q1677" s="66"/>
      <c r="R1677" s="66"/>
      <c r="S1677" s="66"/>
      <c r="T1677" s="138" t="str">
        <f>IFERROR(LOOKUP($S1677,MOTORISTAS!$D$3:$D$916,MOTORISTAS!E$3:$E$916),"")</f>
        <v/>
      </c>
      <c r="U1677" s="138" t="str">
        <f>IFERROR(LOOKUP($S1677,MOTORISTAS!$D$3:$D$916,MOTORISTAS!F$3:$F$916),"")</f>
        <v/>
      </c>
      <c r="V1677" s="66"/>
      <c r="W1677" s="66"/>
      <c r="X1677" s="66"/>
      <c r="Y1677" s="66"/>
      <c r="Z1677" s="66"/>
      <c r="AA1677" s="66"/>
      <c r="AB1677" s="66"/>
      <c r="AC1677" s="66"/>
      <c r="AD1677" s="66"/>
      <c r="AE1677" s="66"/>
      <c r="AF1677" s="44"/>
      <c r="AG1677" s="254">
        <f>Prog_23[[#This Row],[SAÍDA DO CLIENTE]]-Prog_23[[#This Row],[PROGRAMAÇÃO CLIENTE]]</f>
        <v>0</v>
      </c>
      <c r="AH1677" s="44"/>
      <c r="AI1677" s="66"/>
      <c r="AJ1677" s="66"/>
      <c r="AK1677" s="66"/>
      <c r="AL1677" s="66"/>
      <c r="AM1677" s="66"/>
      <c r="AN1677" s="83"/>
      <c r="AO1677" s="83"/>
      <c r="AP1677" s="83"/>
      <c r="AQ1677" s="66"/>
      <c r="AR1677" s="66"/>
      <c r="AS1677" s="66"/>
      <c r="AT1677" s="81"/>
      <c r="AU1677" s="81"/>
      <c r="AV1677" s="81"/>
      <c r="AW1677" s="81"/>
      <c r="AX1677" s="83">
        <f>SUM(Prog_23[[#This Row],[ADIANTAMENTO]]+Prog_23[[#This Row],[SALDO]]+Prog_23[[#This Row],[MARGEM]]+Prog_23[[#This Row],[ESTADIA 1]])</f>
        <v>0</v>
      </c>
      <c r="AY16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77" s="81"/>
      <c r="BA1677" s="81"/>
      <c r="BB1677" s="81">
        <f>Prog_23[[#This Row],[VLR NF]]*0.1%</f>
        <v>0</v>
      </c>
      <c r="BC1677" s="81">
        <f>Prog_23[[#This Row],[VLR NF]]*0.05%</f>
        <v>0</v>
      </c>
      <c r="BD1677" s="81"/>
      <c r="BE1677" s="81"/>
      <c r="BF1677" s="81"/>
      <c r="BG1677" s="81"/>
      <c r="BH1677" s="81"/>
      <c r="BI1677" s="81"/>
      <c r="BJ1677" s="81"/>
      <c r="BK1677" s="81"/>
      <c r="BL1677" s="81"/>
      <c r="BM1677" s="81"/>
      <c r="BN1677" s="66"/>
      <c r="BO1677" s="66"/>
      <c r="BP1677" s="66"/>
      <c r="BQ1677" s="66" t="str">
        <f>PROPER(TEXT(Prog_23[[#This Row],[PROGRAMAÇÃO CLIENTE]],"mmm"))</f>
        <v>Jan</v>
      </c>
      <c r="BR1677" s="66">
        <f>YEAR(Prog_23[[#This Row],[PROGRAMAÇÃO CLIENTE]])</f>
        <v>1900</v>
      </c>
    </row>
    <row r="1678" spans="1:70" x14ac:dyDescent="0.25">
      <c r="A1678" s="201">
        <f>Prog_23[[#This Row],[CONTEINER]]</f>
        <v>0</v>
      </c>
      <c r="B1678" s="86"/>
      <c r="C16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78" s="44"/>
      <c r="E1678" s="66"/>
      <c r="F1678" s="66"/>
      <c r="G1678" s="66"/>
      <c r="H1678" s="44"/>
      <c r="I1678" s="44"/>
      <c r="J1678" s="66"/>
      <c r="K1678" s="66"/>
      <c r="L1678" s="66"/>
      <c r="M1678" s="66"/>
      <c r="N1678" s="66">
        <f>SUM(Prog_23[[#This Row],[TARA]]+Prog_23[[#This Row],[PESO]])</f>
        <v>0</v>
      </c>
      <c r="O1678" s="44"/>
      <c r="P1678" s="66"/>
      <c r="Q1678" s="66"/>
      <c r="R1678" s="66"/>
      <c r="S1678" s="66"/>
      <c r="T1678" s="138" t="str">
        <f>IFERROR(LOOKUP($S1678,MOTORISTAS!$D$3:$D$916,MOTORISTAS!E$3:$E$916),"")</f>
        <v/>
      </c>
      <c r="U1678" s="138" t="str">
        <f>IFERROR(LOOKUP($S1678,MOTORISTAS!$D$3:$D$916,MOTORISTAS!F$3:$F$916),"")</f>
        <v/>
      </c>
      <c r="V1678" s="66"/>
      <c r="W1678" s="66"/>
      <c r="X1678" s="66"/>
      <c r="Y1678" s="66"/>
      <c r="Z1678" s="66"/>
      <c r="AA1678" s="66"/>
      <c r="AB1678" s="66"/>
      <c r="AC1678" s="66"/>
      <c r="AD1678" s="66"/>
      <c r="AE1678" s="66"/>
      <c r="AF1678" s="44"/>
      <c r="AG1678" s="254">
        <f>Prog_23[[#This Row],[SAÍDA DO CLIENTE]]-Prog_23[[#This Row],[PROGRAMAÇÃO CLIENTE]]</f>
        <v>0</v>
      </c>
      <c r="AH1678" s="44"/>
      <c r="AI1678" s="66"/>
      <c r="AJ1678" s="66"/>
      <c r="AK1678" s="66"/>
      <c r="AL1678" s="66"/>
      <c r="AM1678" s="66"/>
      <c r="AN1678" s="83"/>
      <c r="AO1678" s="83"/>
      <c r="AP1678" s="83"/>
      <c r="AQ1678" s="66"/>
      <c r="AR1678" s="66"/>
      <c r="AS1678" s="66"/>
      <c r="AT1678" s="81"/>
      <c r="AU1678" s="81"/>
      <c r="AV1678" s="81"/>
      <c r="AW1678" s="81"/>
      <c r="AX1678" s="83">
        <f>SUM(Prog_23[[#This Row],[ADIANTAMENTO]]+Prog_23[[#This Row],[SALDO]]+Prog_23[[#This Row],[MARGEM]]+Prog_23[[#This Row],[ESTADIA 1]])</f>
        <v>0</v>
      </c>
      <c r="AY16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78" s="81"/>
      <c r="BA1678" s="81"/>
      <c r="BB1678" s="81">
        <f>Prog_23[[#This Row],[VLR NF]]*0.1%</f>
        <v>0</v>
      </c>
      <c r="BC1678" s="81">
        <f>Prog_23[[#This Row],[VLR NF]]*0.05%</f>
        <v>0</v>
      </c>
      <c r="BD1678" s="81"/>
      <c r="BE1678" s="81"/>
      <c r="BF1678" s="81"/>
      <c r="BG1678" s="81"/>
      <c r="BH1678" s="81"/>
      <c r="BI1678" s="81"/>
      <c r="BJ1678" s="81"/>
      <c r="BK1678" s="81"/>
      <c r="BL1678" s="81"/>
      <c r="BM1678" s="81"/>
      <c r="BN1678" s="66"/>
      <c r="BO1678" s="66"/>
      <c r="BP1678" s="66"/>
      <c r="BQ1678" s="66" t="str">
        <f>PROPER(TEXT(Prog_23[[#This Row],[PROGRAMAÇÃO CLIENTE]],"mmm"))</f>
        <v>Jan</v>
      </c>
      <c r="BR1678" s="66">
        <f>YEAR(Prog_23[[#This Row],[PROGRAMAÇÃO CLIENTE]])</f>
        <v>1900</v>
      </c>
    </row>
    <row r="1679" spans="1:70" x14ac:dyDescent="0.25">
      <c r="A1679" s="200">
        <f>Prog_23[[#This Row],[CONTEINER]]</f>
        <v>0</v>
      </c>
      <c r="B1679" s="86"/>
      <c r="C16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79" s="44"/>
      <c r="E1679" s="66"/>
      <c r="F1679" s="66"/>
      <c r="G1679" s="66"/>
      <c r="H1679" s="44"/>
      <c r="I1679" s="44"/>
      <c r="J1679" s="66"/>
      <c r="K1679" s="66"/>
      <c r="L1679" s="66"/>
      <c r="M1679" s="66"/>
      <c r="N1679" s="66">
        <f>SUM(Prog_23[[#This Row],[TARA]]+Prog_23[[#This Row],[PESO]])</f>
        <v>0</v>
      </c>
      <c r="O1679" s="44"/>
      <c r="P1679" s="66"/>
      <c r="Q1679" s="66"/>
      <c r="R1679" s="66"/>
      <c r="S1679" s="66"/>
      <c r="T1679" s="138" t="str">
        <f>IFERROR(LOOKUP($S1679,MOTORISTAS!$D$3:$D$916,MOTORISTAS!E$3:$E$916),"")</f>
        <v/>
      </c>
      <c r="U1679" s="138" t="str">
        <f>IFERROR(LOOKUP($S1679,MOTORISTAS!$D$3:$D$916,MOTORISTAS!F$3:$F$916),"")</f>
        <v/>
      </c>
      <c r="V1679" s="66"/>
      <c r="W1679" s="66"/>
      <c r="X1679" s="66"/>
      <c r="Y1679" s="66"/>
      <c r="Z1679" s="66"/>
      <c r="AA1679" s="66"/>
      <c r="AB1679" s="66"/>
      <c r="AC1679" s="66"/>
      <c r="AD1679" s="66"/>
      <c r="AE1679" s="66"/>
      <c r="AF1679" s="44"/>
      <c r="AG1679" s="254">
        <f>Prog_23[[#This Row],[SAÍDA DO CLIENTE]]-Prog_23[[#This Row],[PROGRAMAÇÃO CLIENTE]]</f>
        <v>0</v>
      </c>
      <c r="AH1679" s="44"/>
      <c r="AI1679" s="66"/>
      <c r="AJ1679" s="66"/>
      <c r="AK1679" s="66"/>
      <c r="AL1679" s="66"/>
      <c r="AM1679" s="66"/>
      <c r="AN1679" s="83"/>
      <c r="AO1679" s="83"/>
      <c r="AP1679" s="83"/>
      <c r="AQ1679" s="66"/>
      <c r="AR1679" s="66"/>
      <c r="AS1679" s="66"/>
      <c r="AT1679" s="81"/>
      <c r="AU1679" s="81"/>
      <c r="AV1679" s="81"/>
      <c r="AW1679" s="81"/>
      <c r="AX1679" s="83">
        <f>SUM(Prog_23[[#This Row],[ADIANTAMENTO]]+Prog_23[[#This Row],[SALDO]]+Prog_23[[#This Row],[MARGEM]]+Prog_23[[#This Row],[ESTADIA 1]])</f>
        <v>0</v>
      </c>
      <c r="AY16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79" s="81"/>
      <c r="BA1679" s="81"/>
      <c r="BB1679" s="81">
        <f>Prog_23[[#This Row],[VLR NF]]*0.1%</f>
        <v>0</v>
      </c>
      <c r="BC1679" s="81">
        <f>Prog_23[[#This Row],[VLR NF]]*0.05%</f>
        <v>0</v>
      </c>
      <c r="BD1679" s="81"/>
      <c r="BE1679" s="81"/>
      <c r="BF1679" s="81"/>
      <c r="BG1679" s="81"/>
      <c r="BH1679" s="81"/>
      <c r="BI1679" s="81"/>
      <c r="BJ1679" s="81"/>
      <c r="BK1679" s="81"/>
      <c r="BL1679" s="81"/>
      <c r="BM1679" s="81"/>
      <c r="BN1679" s="66"/>
      <c r="BO1679" s="66"/>
      <c r="BP1679" s="66"/>
      <c r="BQ1679" s="66" t="str">
        <f>PROPER(TEXT(Prog_23[[#This Row],[PROGRAMAÇÃO CLIENTE]],"mmm"))</f>
        <v>Jan</v>
      </c>
      <c r="BR1679" s="66">
        <f>YEAR(Prog_23[[#This Row],[PROGRAMAÇÃO CLIENTE]])</f>
        <v>1900</v>
      </c>
    </row>
    <row r="1680" spans="1:70" x14ac:dyDescent="0.25">
      <c r="A1680" s="201">
        <f>Prog_23[[#This Row],[CONTEINER]]</f>
        <v>0</v>
      </c>
      <c r="B1680" s="86"/>
      <c r="C16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80" s="44"/>
      <c r="E1680" s="66"/>
      <c r="F1680" s="66"/>
      <c r="G1680" s="66"/>
      <c r="H1680" s="44"/>
      <c r="I1680" s="44"/>
      <c r="J1680" s="66"/>
      <c r="K1680" s="66"/>
      <c r="L1680" s="66"/>
      <c r="M1680" s="66"/>
      <c r="N1680" s="66">
        <f>SUM(Prog_23[[#This Row],[TARA]]+Prog_23[[#This Row],[PESO]])</f>
        <v>0</v>
      </c>
      <c r="O1680" s="44"/>
      <c r="P1680" s="66"/>
      <c r="Q1680" s="66"/>
      <c r="R1680" s="66"/>
      <c r="S1680" s="66"/>
      <c r="T1680" s="138" t="str">
        <f>IFERROR(LOOKUP($S1680,MOTORISTAS!$D$3:$D$916,MOTORISTAS!E$3:$E$916),"")</f>
        <v/>
      </c>
      <c r="U1680" s="138" t="str">
        <f>IFERROR(LOOKUP($S1680,MOTORISTAS!$D$3:$D$916,MOTORISTAS!F$3:$F$916),"")</f>
        <v/>
      </c>
      <c r="V1680" s="66"/>
      <c r="W1680" s="66"/>
      <c r="X1680" s="66"/>
      <c r="Y1680" s="66"/>
      <c r="Z1680" s="66"/>
      <c r="AA1680" s="66"/>
      <c r="AB1680" s="66"/>
      <c r="AC1680" s="66"/>
      <c r="AD1680" s="66"/>
      <c r="AE1680" s="66"/>
      <c r="AF1680" s="44"/>
      <c r="AG1680" s="254">
        <f>Prog_23[[#This Row],[SAÍDA DO CLIENTE]]-Prog_23[[#This Row],[PROGRAMAÇÃO CLIENTE]]</f>
        <v>0</v>
      </c>
      <c r="AH1680" s="44"/>
      <c r="AI1680" s="66"/>
      <c r="AJ1680" s="66"/>
      <c r="AK1680" s="66"/>
      <c r="AL1680" s="66"/>
      <c r="AM1680" s="66"/>
      <c r="AN1680" s="83"/>
      <c r="AO1680" s="83"/>
      <c r="AP1680" s="83"/>
      <c r="AQ1680" s="66"/>
      <c r="AR1680" s="66"/>
      <c r="AS1680" s="66"/>
      <c r="AT1680" s="81"/>
      <c r="AU1680" s="81"/>
      <c r="AV1680" s="81"/>
      <c r="AW1680" s="81"/>
      <c r="AX1680" s="83">
        <f>SUM(Prog_23[[#This Row],[ADIANTAMENTO]]+Prog_23[[#This Row],[SALDO]]+Prog_23[[#This Row],[MARGEM]]+Prog_23[[#This Row],[ESTADIA 1]])</f>
        <v>0</v>
      </c>
      <c r="AY16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80" s="81"/>
      <c r="BA1680" s="81"/>
      <c r="BB1680" s="81">
        <f>Prog_23[[#This Row],[VLR NF]]*0.1%</f>
        <v>0</v>
      </c>
      <c r="BC1680" s="81">
        <f>Prog_23[[#This Row],[VLR NF]]*0.05%</f>
        <v>0</v>
      </c>
      <c r="BD1680" s="81"/>
      <c r="BE1680" s="81"/>
      <c r="BF1680" s="81"/>
      <c r="BG1680" s="81"/>
      <c r="BH1680" s="81"/>
      <c r="BI1680" s="81"/>
      <c r="BJ1680" s="81"/>
      <c r="BK1680" s="81"/>
      <c r="BL1680" s="81"/>
      <c r="BM1680" s="81"/>
      <c r="BN1680" s="66"/>
      <c r="BO1680" s="66"/>
      <c r="BP1680" s="66"/>
      <c r="BQ1680" s="66" t="str">
        <f>PROPER(TEXT(Prog_23[[#This Row],[PROGRAMAÇÃO CLIENTE]],"mmm"))</f>
        <v>Jan</v>
      </c>
      <c r="BR1680" s="66">
        <f>YEAR(Prog_23[[#This Row],[PROGRAMAÇÃO CLIENTE]])</f>
        <v>1900</v>
      </c>
    </row>
    <row r="1681" spans="1:70" x14ac:dyDescent="0.25">
      <c r="A1681" s="200">
        <f>Prog_23[[#This Row],[CONTEINER]]</f>
        <v>0</v>
      </c>
      <c r="B1681" s="86"/>
      <c r="C16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81" s="44"/>
      <c r="E1681" s="66"/>
      <c r="F1681" s="66"/>
      <c r="G1681" s="66"/>
      <c r="H1681" s="44"/>
      <c r="I1681" s="44"/>
      <c r="J1681" s="66"/>
      <c r="K1681" s="66"/>
      <c r="L1681" s="66"/>
      <c r="M1681" s="66"/>
      <c r="N1681" s="66">
        <f>SUM(Prog_23[[#This Row],[TARA]]+Prog_23[[#This Row],[PESO]])</f>
        <v>0</v>
      </c>
      <c r="O1681" s="44"/>
      <c r="P1681" s="66"/>
      <c r="Q1681" s="66"/>
      <c r="R1681" s="66"/>
      <c r="S1681" s="66"/>
      <c r="T1681" s="138" t="str">
        <f>IFERROR(LOOKUP($S1681,MOTORISTAS!$D$3:$D$916,MOTORISTAS!E$3:$E$916),"")</f>
        <v/>
      </c>
      <c r="U1681" s="138" t="str">
        <f>IFERROR(LOOKUP($S1681,MOTORISTAS!$D$3:$D$916,MOTORISTAS!F$3:$F$916),"")</f>
        <v/>
      </c>
      <c r="V1681" s="66"/>
      <c r="W1681" s="66"/>
      <c r="X1681" s="66"/>
      <c r="Y1681" s="66"/>
      <c r="Z1681" s="66"/>
      <c r="AA1681" s="66"/>
      <c r="AB1681" s="66"/>
      <c r="AC1681" s="66"/>
      <c r="AD1681" s="66"/>
      <c r="AE1681" s="66"/>
      <c r="AF1681" s="44"/>
      <c r="AG1681" s="254">
        <f>Prog_23[[#This Row],[SAÍDA DO CLIENTE]]-Prog_23[[#This Row],[PROGRAMAÇÃO CLIENTE]]</f>
        <v>0</v>
      </c>
      <c r="AH1681" s="44"/>
      <c r="AI1681" s="66"/>
      <c r="AJ1681" s="66"/>
      <c r="AK1681" s="66"/>
      <c r="AL1681" s="66"/>
      <c r="AM1681" s="66"/>
      <c r="AN1681" s="83"/>
      <c r="AO1681" s="83"/>
      <c r="AP1681" s="83"/>
      <c r="AQ1681" s="66"/>
      <c r="AR1681" s="66"/>
      <c r="AS1681" s="66"/>
      <c r="AT1681" s="81"/>
      <c r="AU1681" s="81"/>
      <c r="AV1681" s="81"/>
      <c r="AW1681" s="81"/>
      <c r="AX1681" s="83">
        <f>SUM(Prog_23[[#This Row],[ADIANTAMENTO]]+Prog_23[[#This Row],[SALDO]]+Prog_23[[#This Row],[MARGEM]]+Prog_23[[#This Row],[ESTADIA 1]])</f>
        <v>0</v>
      </c>
      <c r="AY16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81" s="81"/>
      <c r="BA1681" s="81"/>
      <c r="BB1681" s="81">
        <f>Prog_23[[#This Row],[VLR NF]]*0.1%</f>
        <v>0</v>
      </c>
      <c r="BC1681" s="81">
        <f>Prog_23[[#This Row],[VLR NF]]*0.05%</f>
        <v>0</v>
      </c>
      <c r="BD1681" s="81"/>
      <c r="BE1681" s="81"/>
      <c r="BF1681" s="81"/>
      <c r="BG1681" s="81"/>
      <c r="BH1681" s="81"/>
      <c r="BI1681" s="81"/>
      <c r="BJ1681" s="81"/>
      <c r="BK1681" s="81"/>
      <c r="BL1681" s="81"/>
      <c r="BM1681" s="81"/>
      <c r="BN1681" s="66"/>
      <c r="BO1681" s="66"/>
      <c r="BP1681" s="66"/>
      <c r="BQ1681" s="66" t="str">
        <f>PROPER(TEXT(Prog_23[[#This Row],[PROGRAMAÇÃO CLIENTE]],"mmm"))</f>
        <v>Jan</v>
      </c>
      <c r="BR1681" s="66">
        <f>YEAR(Prog_23[[#This Row],[PROGRAMAÇÃO CLIENTE]])</f>
        <v>1900</v>
      </c>
    </row>
    <row r="1682" spans="1:70" x14ac:dyDescent="0.25">
      <c r="A1682" s="201">
        <f>Prog_23[[#This Row],[CONTEINER]]</f>
        <v>0</v>
      </c>
      <c r="B1682" s="86"/>
      <c r="C16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82" s="44"/>
      <c r="E1682" s="66"/>
      <c r="F1682" s="66"/>
      <c r="G1682" s="66"/>
      <c r="H1682" s="44"/>
      <c r="I1682" s="44"/>
      <c r="J1682" s="66"/>
      <c r="K1682" s="66"/>
      <c r="L1682" s="66"/>
      <c r="M1682" s="66"/>
      <c r="N1682" s="66">
        <f>SUM(Prog_23[[#This Row],[TARA]]+Prog_23[[#This Row],[PESO]])</f>
        <v>0</v>
      </c>
      <c r="O1682" s="44"/>
      <c r="P1682" s="66"/>
      <c r="Q1682" s="66"/>
      <c r="R1682" s="66"/>
      <c r="S1682" s="66"/>
      <c r="T1682" s="138" t="str">
        <f>IFERROR(LOOKUP($S1682,MOTORISTAS!$D$3:$D$916,MOTORISTAS!E$3:$E$916),"")</f>
        <v/>
      </c>
      <c r="U1682" s="138" t="str">
        <f>IFERROR(LOOKUP($S1682,MOTORISTAS!$D$3:$D$916,MOTORISTAS!F$3:$F$916),"")</f>
        <v/>
      </c>
      <c r="V1682" s="66"/>
      <c r="W1682" s="66"/>
      <c r="X1682" s="66"/>
      <c r="Y1682" s="66"/>
      <c r="Z1682" s="66"/>
      <c r="AA1682" s="66"/>
      <c r="AB1682" s="66"/>
      <c r="AC1682" s="66"/>
      <c r="AD1682" s="66"/>
      <c r="AE1682" s="66"/>
      <c r="AF1682" s="44"/>
      <c r="AG1682" s="254">
        <f>Prog_23[[#This Row],[SAÍDA DO CLIENTE]]-Prog_23[[#This Row],[PROGRAMAÇÃO CLIENTE]]</f>
        <v>0</v>
      </c>
      <c r="AH1682" s="44"/>
      <c r="AI1682" s="66"/>
      <c r="AJ1682" s="66"/>
      <c r="AK1682" s="66"/>
      <c r="AL1682" s="66"/>
      <c r="AM1682" s="66"/>
      <c r="AN1682" s="83"/>
      <c r="AO1682" s="83"/>
      <c r="AP1682" s="83"/>
      <c r="AQ1682" s="66"/>
      <c r="AR1682" s="66"/>
      <c r="AS1682" s="66"/>
      <c r="AT1682" s="81"/>
      <c r="AU1682" s="81"/>
      <c r="AV1682" s="81"/>
      <c r="AW1682" s="81"/>
      <c r="AX1682" s="83">
        <f>SUM(Prog_23[[#This Row],[ADIANTAMENTO]]+Prog_23[[#This Row],[SALDO]]+Prog_23[[#This Row],[MARGEM]]+Prog_23[[#This Row],[ESTADIA 1]])</f>
        <v>0</v>
      </c>
      <c r="AY16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82" s="81"/>
      <c r="BA1682" s="81"/>
      <c r="BB1682" s="81">
        <f>Prog_23[[#This Row],[VLR NF]]*0.1%</f>
        <v>0</v>
      </c>
      <c r="BC1682" s="81">
        <f>Prog_23[[#This Row],[VLR NF]]*0.05%</f>
        <v>0</v>
      </c>
      <c r="BD1682" s="81"/>
      <c r="BE1682" s="81"/>
      <c r="BF1682" s="81"/>
      <c r="BG1682" s="81"/>
      <c r="BH1682" s="81"/>
      <c r="BI1682" s="81"/>
      <c r="BJ1682" s="81"/>
      <c r="BK1682" s="81"/>
      <c r="BL1682" s="81"/>
      <c r="BM1682" s="81"/>
      <c r="BN1682" s="66"/>
      <c r="BO1682" s="66"/>
      <c r="BP1682" s="66"/>
      <c r="BQ1682" s="66" t="str">
        <f>PROPER(TEXT(Prog_23[[#This Row],[PROGRAMAÇÃO CLIENTE]],"mmm"))</f>
        <v>Jan</v>
      </c>
      <c r="BR1682" s="66">
        <f>YEAR(Prog_23[[#This Row],[PROGRAMAÇÃO CLIENTE]])</f>
        <v>1900</v>
      </c>
    </row>
    <row r="1683" spans="1:70" x14ac:dyDescent="0.25">
      <c r="A1683" s="200">
        <f>Prog_23[[#This Row],[CONTEINER]]</f>
        <v>0</v>
      </c>
      <c r="B1683" s="86"/>
      <c r="C16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83" s="44"/>
      <c r="E1683" s="66"/>
      <c r="F1683" s="66"/>
      <c r="G1683" s="66"/>
      <c r="H1683" s="44"/>
      <c r="I1683" s="44"/>
      <c r="J1683" s="66"/>
      <c r="K1683" s="66"/>
      <c r="L1683" s="66"/>
      <c r="M1683" s="66"/>
      <c r="N1683" s="66">
        <f>SUM(Prog_23[[#This Row],[TARA]]+Prog_23[[#This Row],[PESO]])</f>
        <v>0</v>
      </c>
      <c r="O1683" s="44"/>
      <c r="P1683" s="66"/>
      <c r="Q1683" s="66"/>
      <c r="R1683" s="66"/>
      <c r="S1683" s="66"/>
      <c r="T1683" s="138" t="str">
        <f>IFERROR(LOOKUP($S1683,MOTORISTAS!$D$3:$D$916,MOTORISTAS!E$3:$E$916),"")</f>
        <v/>
      </c>
      <c r="U1683" s="138" t="str">
        <f>IFERROR(LOOKUP($S1683,MOTORISTAS!$D$3:$D$916,MOTORISTAS!F$3:$F$916),"")</f>
        <v/>
      </c>
      <c r="V1683" s="66"/>
      <c r="W1683" s="66"/>
      <c r="X1683" s="66"/>
      <c r="Y1683" s="66"/>
      <c r="Z1683" s="66"/>
      <c r="AA1683" s="66"/>
      <c r="AB1683" s="66"/>
      <c r="AC1683" s="66"/>
      <c r="AD1683" s="66"/>
      <c r="AE1683" s="66"/>
      <c r="AF1683" s="44"/>
      <c r="AG1683" s="254">
        <f>Prog_23[[#This Row],[SAÍDA DO CLIENTE]]-Prog_23[[#This Row],[PROGRAMAÇÃO CLIENTE]]</f>
        <v>0</v>
      </c>
      <c r="AH1683" s="44"/>
      <c r="AI1683" s="66"/>
      <c r="AJ1683" s="66"/>
      <c r="AK1683" s="66"/>
      <c r="AL1683" s="66"/>
      <c r="AM1683" s="66"/>
      <c r="AN1683" s="83"/>
      <c r="AO1683" s="83"/>
      <c r="AP1683" s="83"/>
      <c r="AQ1683" s="66"/>
      <c r="AR1683" s="66"/>
      <c r="AS1683" s="66"/>
      <c r="AT1683" s="81"/>
      <c r="AU1683" s="81"/>
      <c r="AV1683" s="81"/>
      <c r="AW1683" s="81"/>
      <c r="AX1683" s="83">
        <f>SUM(Prog_23[[#This Row],[ADIANTAMENTO]]+Prog_23[[#This Row],[SALDO]]+Prog_23[[#This Row],[MARGEM]]+Prog_23[[#This Row],[ESTADIA 1]])</f>
        <v>0</v>
      </c>
      <c r="AY16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83" s="81"/>
      <c r="BA1683" s="81"/>
      <c r="BB1683" s="81">
        <f>Prog_23[[#This Row],[VLR NF]]*0.1%</f>
        <v>0</v>
      </c>
      <c r="BC1683" s="81">
        <f>Prog_23[[#This Row],[VLR NF]]*0.05%</f>
        <v>0</v>
      </c>
      <c r="BD1683" s="81"/>
      <c r="BE1683" s="81"/>
      <c r="BF1683" s="81"/>
      <c r="BG1683" s="81"/>
      <c r="BH1683" s="81"/>
      <c r="BI1683" s="81"/>
      <c r="BJ1683" s="81"/>
      <c r="BK1683" s="81"/>
      <c r="BL1683" s="81"/>
      <c r="BM1683" s="81"/>
      <c r="BN1683" s="66"/>
      <c r="BO1683" s="66"/>
      <c r="BP1683" s="66"/>
      <c r="BQ1683" s="66" t="str">
        <f>PROPER(TEXT(Prog_23[[#This Row],[PROGRAMAÇÃO CLIENTE]],"mmm"))</f>
        <v>Jan</v>
      </c>
      <c r="BR1683" s="66">
        <f>YEAR(Prog_23[[#This Row],[PROGRAMAÇÃO CLIENTE]])</f>
        <v>1900</v>
      </c>
    </row>
    <row r="1684" spans="1:70" x14ac:dyDescent="0.25">
      <c r="A1684" s="201">
        <f>Prog_23[[#This Row],[CONTEINER]]</f>
        <v>0</v>
      </c>
      <c r="B1684" s="86"/>
      <c r="C16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84" s="44"/>
      <c r="E1684" s="66"/>
      <c r="F1684" s="66"/>
      <c r="G1684" s="66"/>
      <c r="H1684" s="44"/>
      <c r="I1684" s="44"/>
      <c r="J1684" s="66"/>
      <c r="K1684" s="66"/>
      <c r="L1684" s="66"/>
      <c r="M1684" s="66"/>
      <c r="N1684" s="66">
        <f>SUM(Prog_23[[#This Row],[TARA]]+Prog_23[[#This Row],[PESO]])</f>
        <v>0</v>
      </c>
      <c r="O1684" s="44"/>
      <c r="P1684" s="66"/>
      <c r="Q1684" s="66"/>
      <c r="R1684" s="66"/>
      <c r="S1684" s="66"/>
      <c r="T1684" s="138" t="str">
        <f>IFERROR(LOOKUP($S1684,MOTORISTAS!$D$3:$D$916,MOTORISTAS!E$3:$E$916),"")</f>
        <v/>
      </c>
      <c r="U1684" s="138" t="str">
        <f>IFERROR(LOOKUP($S1684,MOTORISTAS!$D$3:$D$916,MOTORISTAS!F$3:$F$916),"")</f>
        <v/>
      </c>
      <c r="V1684" s="66"/>
      <c r="W1684" s="66"/>
      <c r="X1684" s="66"/>
      <c r="Y1684" s="66"/>
      <c r="Z1684" s="66"/>
      <c r="AA1684" s="66"/>
      <c r="AB1684" s="66"/>
      <c r="AC1684" s="66"/>
      <c r="AD1684" s="66"/>
      <c r="AE1684" s="66"/>
      <c r="AF1684" s="44"/>
      <c r="AG1684" s="254">
        <f>Prog_23[[#This Row],[SAÍDA DO CLIENTE]]-Prog_23[[#This Row],[PROGRAMAÇÃO CLIENTE]]</f>
        <v>0</v>
      </c>
      <c r="AH1684" s="44"/>
      <c r="AI1684" s="66"/>
      <c r="AJ1684" s="66"/>
      <c r="AK1684" s="66"/>
      <c r="AL1684" s="66"/>
      <c r="AM1684" s="66"/>
      <c r="AN1684" s="83"/>
      <c r="AO1684" s="83"/>
      <c r="AP1684" s="83"/>
      <c r="AQ1684" s="66"/>
      <c r="AR1684" s="66"/>
      <c r="AS1684" s="66"/>
      <c r="AT1684" s="81"/>
      <c r="AU1684" s="81"/>
      <c r="AV1684" s="81"/>
      <c r="AW1684" s="81"/>
      <c r="AX1684" s="83">
        <f>SUM(Prog_23[[#This Row],[ADIANTAMENTO]]+Prog_23[[#This Row],[SALDO]]+Prog_23[[#This Row],[MARGEM]]+Prog_23[[#This Row],[ESTADIA 1]])</f>
        <v>0</v>
      </c>
      <c r="AY16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84" s="81"/>
      <c r="BA1684" s="81"/>
      <c r="BB1684" s="81">
        <f>Prog_23[[#This Row],[VLR NF]]*0.1%</f>
        <v>0</v>
      </c>
      <c r="BC1684" s="81">
        <f>Prog_23[[#This Row],[VLR NF]]*0.05%</f>
        <v>0</v>
      </c>
      <c r="BD1684" s="81"/>
      <c r="BE1684" s="81"/>
      <c r="BF1684" s="81"/>
      <c r="BG1684" s="81"/>
      <c r="BH1684" s="81"/>
      <c r="BI1684" s="81"/>
      <c r="BJ1684" s="81"/>
      <c r="BK1684" s="81"/>
      <c r="BL1684" s="81"/>
      <c r="BM1684" s="81"/>
      <c r="BN1684" s="66"/>
      <c r="BO1684" s="66"/>
      <c r="BP1684" s="66"/>
      <c r="BQ1684" s="66" t="str">
        <f>PROPER(TEXT(Prog_23[[#This Row],[PROGRAMAÇÃO CLIENTE]],"mmm"))</f>
        <v>Jan</v>
      </c>
      <c r="BR1684" s="66">
        <f>YEAR(Prog_23[[#This Row],[PROGRAMAÇÃO CLIENTE]])</f>
        <v>1900</v>
      </c>
    </row>
    <row r="1685" spans="1:70" x14ac:dyDescent="0.25">
      <c r="A1685" s="200">
        <f>Prog_23[[#This Row],[CONTEINER]]</f>
        <v>0</v>
      </c>
      <c r="B1685" s="86"/>
      <c r="C16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85" s="44"/>
      <c r="E1685" s="66"/>
      <c r="F1685" s="66"/>
      <c r="G1685" s="66"/>
      <c r="H1685" s="44"/>
      <c r="I1685" s="44"/>
      <c r="J1685" s="66"/>
      <c r="K1685" s="66"/>
      <c r="L1685" s="66"/>
      <c r="M1685" s="66"/>
      <c r="N1685" s="66">
        <f>SUM(Prog_23[[#This Row],[TARA]]+Prog_23[[#This Row],[PESO]])</f>
        <v>0</v>
      </c>
      <c r="O1685" s="44"/>
      <c r="P1685" s="66"/>
      <c r="Q1685" s="66"/>
      <c r="R1685" s="66"/>
      <c r="S1685" s="66"/>
      <c r="T1685" s="138" t="str">
        <f>IFERROR(LOOKUP($S1685,MOTORISTAS!$D$3:$D$916,MOTORISTAS!E$3:$E$916),"")</f>
        <v/>
      </c>
      <c r="U1685" s="138" t="str">
        <f>IFERROR(LOOKUP($S1685,MOTORISTAS!$D$3:$D$916,MOTORISTAS!F$3:$F$916),"")</f>
        <v/>
      </c>
      <c r="V1685" s="66"/>
      <c r="W1685" s="66"/>
      <c r="X1685" s="66"/>
      <c r="Y1685" s="66"/>
      <c r="Z1685" s="66"/>
      <c r="AA1685" s="66"/>
      <c r="AB1685" s="66"/>
      <c r="AC1685" s="66"/>
      <c r="AD1685" s="66"/>
      <c r="AE1685" s="66"/>
      <c r="AF1685" s="44"/>
      <c r="AG1685" s="254">
        <f>Prog_23[[#This Row],[SAÍDA DO CLIENTE]]-Prog_23[[#This Row],[PROGRAMAÇÃO CLIENTE]]</f>
        <v>0</v>
      </c>
      <c r="AH1685" s="44"/>
      <c r="AI1685" s="66"/>
      <c r="AJ1685" s="66"/>
      <c r="AK1685" s="66"/>
      <c r="AL1685" s="66"/>
      <c r="AM1685" s="66"/>
      <c r="AN1685" s="83"/>
      <c r="AO1685" s="83"/>
      <c r="AP1685" s="83"/>
      <c r="AQ1685" s="66"/>
      <c r="AR1685" s="66"/>
      <c r="AS1685" s="66"/>
      <c r="AT1685" s="81"/>
      <c r="AU1685" s="81"/>
      <c r="AV1685" s="81"/>
      <c r="AW1685" s="81"/>
      <c r="AX1685" s="83">
        <f>SUM(Prog_23[[#This Row],[ADIANTAMENTO]]+Prog_23[[#This Row],[SALDO]]+Prog_23[[#This Row],[MARGEM]]+Prog_23[[#This Row],[ESTADIA 1]])</f>
        <v>0</v>
      </c>
      <c r="AY16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85" s="81"/>
      <c r="BA1685" s="81"/>
      <c r="BB1685" s="81">
        <f>Prog_23[[#This Row],[VLR NF]]*0.1%</f>
        <v>0</v>
      </c>
      <c r="BC1685" s="81">
        <f>Prog_23[[#This Row],[VLR NF]]*0.05%</f>
        <v>0</v>
      </c>
      <c r="BD1685" s="81"/>
      <c r="BE1685" s="81"/>
      <c r="BF1685" s="81"/>
      <c r="BG1685" s="81"/>
      <c r="BH1685" s="81"/>
      <c r="BI1685" s="81"/>
      <c r="BJ1685" s="81"/>
      <c r="BK1685" s="81"/>
      <c r="BL1685" s="81"/>
      <c r="BM1685" s="81"/>
      <c r="BN1685" s="66"/>
      <c r="BO1685" s="66"/>
      <c r="BP1685" s="66"/>
      <c r="BQ1685" s="66" t="str">
        <f>PROPER(TEXT(Prog_23[[#This Row],[PROGRAMAÇÃO CLIENTE]],"mmm"))</f>
        <v>Jan</v>
      </c>
      <c r="BR1685" s="66">
        <f>YEAR(Prog_23[[#This Row],[PROGRAMAÇÃO CLIENTE]])</f>
        <v>1900</v>
      </c>
    </row>
    <row r="1686" spans="1:70" x14ac:dyDescent="0.25">
      <c r="A1686" s="201">
        <f>Prog_23[[#This Row],[CONTEINER]]</f>
        <v>0</v>
      </c>
      <c r="B1686" s="86"/>
      <c r="C16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86" s="44"/>
      <c r="E1686" s="66"/>
      <c r="F1686" s="66"/>
      <c r="G1686" s="66"/>
      <c r="H1686" s="44"/>
      <c r="I1686" s="44"/>
      <c r="J1686" s="66"/>
      <c r="K1686" s="66"/>
      <c r="L1686" s="66"/>
      <c r="M1686" s="66"/>
      <c r="N1686" s="66">
        <f>SUM(Prog_23[[#This Row],[TARA]]+Prog_23[[#This Row],[PESO]])</f>
        <v>0</v>
      </c>
      <c r="O1686" s="44"/>
      <c r="P1686" s="66"/>
      <c r="Q1686" s="66"/>
      <c r="R1686" s="66"/>
      <c r="S1686" s="66"/>
      <c r="T1686" s="138" t="str">
        <f>IFERROR(LOOKUP($S1686,MOTORISTAS!$D$3:$D$916,MOTORISTAS!E$3:$E$916),"")</f>
        <v/>
      </c>
      <c r="U1686" s="138" t="str">
        <f>IFERROR(LOOKUP($S1686,MOTORISTAS!$D$3:$D$916,MOTORISTAS!F$3:$F$916),"")</f>
        <v/>
      </c>
      <c r="V1686" s="66"/>
      <c r="W1686" s="66"/>
      <c r="X1686" s="66"/>
      <c r="Y1686" s="66"/>
      <c r="Z1686" s="66"/>
      <c r="AA1686" s="66"/>
      <c r="AB1686" s="66"/>
      <c r="AC1686" s="66"/>
      <c r="AD1686" s="66"/>
      <c r="AE1686" s="66"/>
      <c r="AF1686" s="44"/>
      <c r="AG1686" s="254">
        <f>Prog_23[[#This Row],[SAÍDA DO CLIENTE]]-Prog_23[[#This Row],[PROGRAMAÇÃO CLIENTE]]</f>
        <v>0</v>
      </c>
      <c r="AH1686" s="44"/>
      <c r="AI1686" s="66"/>
      <c r="AJ1686" s="66"/>
      <c r="AK1686" s="66"/>
      <c r="AL1686" s="66"/>
      <c r="AM1686" s="66"/>
      <c r="AN1686" s="83"/>
      <c r="AO1686" s="83"/>
      <c r="AP1686" s="83"/>
      <c r="AQ1686" s="66"/>
      <c r="AR1686" s="66"/>
      <c r="AS1686" s="66"/>
      <c r="AT1686" s="81"/>
      <c r="AU1686" s="81"/>
      <c r="AV1686" s="81"/>
      <c r="AW1686" s="81"/>
      <c r="AX1686" s="83">
        <f>SUM(Prog_23[[#This Row],[ADIANTAMENTO]]+Prog_23[[#This Row],[SALDO]]+Prog_23[[#This Row],[MARGEM]]+Prog_23[[#This Row],[ESTADIA 1]])</f>
        <v>0</v>
      </c>
      <c r="AY16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86" s="81"/>
      <c r="BA1686" s="81"/>
      <c r="BB1686" s="81">
        <f>Prog_23[[#This Row],[VLR NF]]*0.1%</f>
        <v>0</v>
      </c>
      <c r="BC1686" s="81">
        <f>Prog_23[[#This Row],[VLR NF]]*0.05%</f>
        <v>0</v>
      </c>
      <c r="BD1686" s="81"/>
      <c r="BE1686" s="81"/>
      <c r="BF1686" s="81"/>
      <c r="BG1686" s="81"/>
      <c r="BH1686" s="81"/>
      <c r="BI1686" s="81"/>
      <c r="BJ1686" s="81"/>
      <c r="BK1686" s="81"/>
      <c r="BL1686" s="81"/>
      <c r="BM1686" s="81"/>
      <c r="BN1686" s="66"/>
      <c r="BO1686" s="66"/>
      <c r="BP1686" s="66"/>
      <c r="BQ1686" s="66" t="str">
        <f>PROPER(TEXT(Prog_23[[#This Row],[PROGRAMAÇÃO CLIENTE]],"mmm"))</f>
        <v>Jan</v>
      </c>
      <c r="BR1686" s="66">
        <f>YEAR(Prog_23[[#This Row],[PROGRAMAÇÃO CLIENTE]])</f>
        <v>1900</v>
      </c>
    </row>
    <row r="1687" spans="1:70" x14ac:dyDescent="0.25">
      <c r="A1687" s="200">
        <f>Prog_23[[#This Row],[CONTEINER]]</f>
        <v>0</v>
      </c>
      <c r="B1687" s="86"/>
      <c r="C16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87" s="44"/>
      <c r="E1687" s="66"/>
      <c r="F1687" s="66"/>
      <c r="G1687" s="66"/>
      <c r="H1687" s="44"/>
      <c r="I1687" s="44"/>
      <c r="J1687" s="66"/>
      <c r="K1687" s="66"/>
      <c r="L1687" s="66"/>
      <c r="M1687" s="66"/>
      <c r="N1687" s="66">
        <f>SUM(Prog_23[[#This Row],[TARA]]+Prog_23[[#This Row],[PESO]])</f>
        <v>0</v>
      </c>
      <c r="O1687" s="44"/>
      <c r="P1687" s="66"/>
      <c r="Q1687" s="66"/>
      <c r="R1687" s="66"/>
      <c r="S1687" s="66"/>
      <c r="T1687" s="138" t="str">
        <f>IFERROR(LOOKUP($S1687,MOTORISTAS!$D$3:$D$916,MOTORISTAS!E$3:$E$916),"")</f>
        <v/>
      </c>
      <c r="U1687" s="138" t="str">
        <f>IFERROR(LOOKUP($S1687,MOTORISTAS!$D$3:$D$916,MOTORISTAS!F$3:$F$916),"")</f>
        <v/>
      </c>
      <c r="V1687" s="66"/>
      <c r="W1687" s="66"/>
      <c r="X1687" s="66"/>
      <c r="Y1687" s="66"/>
      <c r="Z1687" s="66"/>
      <c r="AA1687" s="66"/>
      <c r="AB1687" s="66"/>
      <c r="AC1687" s="66"/>
      <c r="AD1687" s="66"/>
      <c r="AE1687" s="66"/>
      <c r="AF1687" s="44"/>
      <c r="AG1687" s="254">
        <f>Prog_23[[#This Row],[SAÍDA DO CLIENTE]]-Prog_23[[#This Row],[PROGRAMAÇÃO CLIENTE]]</f>
        <v>0</v>
      </c>
      <c r="AH1687" s="44"/>
      <c r="AI1687" s="66"/>
      <c r="AJ1687" s="66"/>
      <c r="AK1687" s="66"/>
      <c r="AL1687" s="66"/>
      <c r="AM1687" s="66"/>
      <c r="AN1687" s="83"/>
      <c r="AO1687" s="83"/>
      <c r="AP1687" s="83"/>
      <c r="AQ1687" s="66"/>
      <c r="AR1687" s="66"/>
      <c r="AS1687" s="66"/>
      <c r="AT1687" s="81"/>
      <c r="AU1687" s="81"/>
      <c r="AV1687" s="81"/>
      <c r="AW1687" s="81"/>
      <c r="AX1687" s="83">
        <f>SUM(Prog_23[[#This Row],[ADIANTAMENTO]]+Prog_23[[#This Row],[SALDO]]+Prog_23[[#This Row],[MARGEM]]+Prog_23[[#This Row],[ESTADIA 1]])</f>
        <v>0</v>
      </c>
      <c r="AY16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87" s="81"/>
      <c r="BA1687" s="81"/>
      <c r="BB1687" s="81">
        <f>Prog_23[[#This Row],[VLR NF]]*0.1%</f>
        <v>0</v>
      </c>
      <c r="BC1687" s="81">
        <f>Prog_23[[#This Row],[VLR NF]]*0.05%</f>
        <v>0</v>
      </c>
      <c r="BD1687" s="81"/>
      <c r="BE1687" s="81"/>
      <c r="BF1687" s="81"/>
      <c r="BG1687" s="81"/>
      <c r="BH1687" s="81"/>
      <c r="BI1687" s="81"/>
      <c r="BJ1687" s="81"/>
      <c r="BK1687" s="81"/>
      <c r="BL1687" s="81"/>
      <c r="BM1687" s="81"/>
      <c r="BN1687" s="66"/>
      <c r="BO1687" s="66"/>
      <c r="BP1687" s="66"/>
      <c r="BQ1687" s="66" t="str">
        <f>PROPER(TEXT(Prog_23[[#This Row],[PROGRAMAÇÃO CLIENTE]],"mmm"))</f>
        <v>Jan</v>
      </c>
      <c r="BR1687" s="66">
        <f>YEAR(Prog_23[[#This Row],[PROGRAMAÇÃO CLIENTE]])</f>
        <v>1900</v>
      </c>
    </row>
    <row r="1688" spans="1:70" x14ac:dyDescent="0.25">
      <c r="A1688" s="201">
        <f>Prog_23[[#This Row],[CONTEINER]]</f>
        <v>0</v>
      </c>
      <c r="B1688" s="86"/>
      <c r="C16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88" s="44"/>
      <c r="E1688" s="66"/>
      <c r="F1688" s="66"/>
      <c r="G1688" s="66"/>
      <c r="H1688" s="44"/>
      <c r="I1688" s="44"/>
      <c r="J1688" s="66"/>
      <c r="K1688" s="66"/>
      <c r="L1688" s="66"/>
      <c r="M1688" s="66"/>
      <c r="N1688" s="66">
        <f>SUM(Prog_23[[#This Row],[TARA]]+Prog_23[[#This Row],[PESO]])</f>
        <v>0</v>
      </c>
      <c r="O1688" s="44"/>
      <c r="P1688" s="66"/>
      <c r="Q1688" s="66"/>
      <c r="R1688" s="66"/>
      <c r="S1688" s="66"/>
      <c r="T1688" s="138" t="str">
        <f>IFERROR(LOOKUP($S1688,MOTORISTAS!$D$3:$D$916,MOTORISTAS!E$3:$E$916),"")</f>
        <v/>
      </c>
      <c r="U1688" s="138" t="str">
        <f>IFERROR(LOOKUP($S1688,MOTORISTAS!$D$3:$D$916,MOTORISTAS!F$3:$F$916),"")</f>
        <v/>
      </c>
      <c r="V1688" s="66"/>
      <c r="W1688" s="66"/>
      <c r="X1688" s="66"/>
      <c r="Y1688" s="66"/>
      <c r="Z1688" s="66"/>
      <c r="AA1688" s="66"/>
      <c r="AB1688" s="66"/>
      <c r="AC1688" s="66"/>
      <c r="AD1688" s="66"/>
      <c r="AE1688" s="66"/>
      <c r="AF1688" s="44"/>
      <c r="AG1688" s="254">
        <f>Prog_23[[#This Row],[SAÍDA DO CLIENTE]]-Prog_23[[#This Row],[PROGRAMAÇÃO CLIENTE]]</f>
        <v>0</v>
      </c>
      <c r="AH1688" s="44"/>
      <c r="AI1688" s="66"/>
      <c r="AJ1688" s="66"/>
      <c r="AK1688" s="66"/>
      <c r="AL1688" s="66"/>
      <c r="AM1688" s="66"/>
      <c r="AN1688" s="83"/>
      <c r="AO1688" s="83"/>
      <c r="AP1688" s="83"/>
      <c r="AQ1688" s="66"/>
      <c r="AR1688" s="66"/>
      <c r="AS1688" s="66"/>
      <c r="AT1688" s="81"/>
      <c r="AU1688" s="81"/>
      <c r="AV1688" s="81"/>
      <c r="AW1688" s="81"/>
      <c r="AX1688" s="83">
        <f>SUM(Prog_23[[#This Row],[ADIANTAMENTO]]+Prog_23[[#This Row],[SALDO]]+Prog_23[[#This Row],[MARGEM]]+Prog_23[[#This Row],[ESTADIA 1]])</f>
        <v>0</v>
      </c>
      <c r="AY16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88" s="81"/>
      <c r="BA1688" s="81"/>
      <c r="BB1688" s="81">
        <f>Prog_23[[#This Row],[VLR NF]]*0.1%</f>
        <v>0</v>
      </c>
      <c r="BC1688" s="81">
        <f>Prog_23[[#This Row],[VLR NF]]*0.05%</f>
        <v>0</v>
      </c>
      <c r="BD1688" s="81"/>
      <c r="BE1688" s="81"/>
      <c r="BF1688" s="81"/>
      <c r="BG1688" s="81"/>
      <c r="BH1688" s="81"/>
      <c r="BI1688" s="81"/>
      <c r="BJ1688" s="81"/>
      <c r="BK1688" s="81"/>
      <c r="BL1688" s="81"/>
      <c r="BM1688" s="81"/>
      <c r="BN1688" s="66"/>
      <c r="BO1688" s="66"/>
      <c r="BP1688" s="66"/>
      <c r="BQ1688" s="66" t="str">
        <f>PROPER(TEXT(Prog_23[[#This Row],[PROGRAMAÇÃO CLIENTE]],"mmm"))</f>
        <v>Jan</v>
      </c>
      <c r="BR1688" s="66">
        <f>YEAR(Prog_23[[#This Row],[PROGRAMAÇÃO CLIENTE]])</f>
        <v>1900</v>
      </c>
    </row>
    <row r="1689" spans="1:70" x14ac:dyDescent="0.25">
      <c r="A1689" s="200">
        <f>Prog_23[[#This Row],[CONTEINER]]</f>
        <v>0</v>
      </c>
      <c r="B1689" s="86"/>
      <c r="C16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89" s="44"/>
      <c r="E1689" s="66"/>
      <c r="F1689" s="66"/>
      <c r="G1689" s="66"/>
      <c r="H1689" s="44"/>
      <c r="I1689" s="44"/>
      <c r="J1689" s="66"/>
      <c r="K1689" s="66"/>
      <c r="L1689" s="66"/>
      <c r="M1689" s="66"/>
      <c r="N1689" s="66">
        <f>SUM(Prog_23[[#This Row],[TARA]]+Prog_23[[#This Row],[PESO]])</f>
        <v>0</v>
      </c>
      <c r="O1689" s="44"/>
      <c r="P1689" s="66"/>
      <c r="Q1689" s="66"/>
      <c r="R1689" s="66"/>
      <c r="S1689" s="66"/>
      <c r="T1689" s="138" t="str">
        <f>IFERROR(LOOKUP($S1689,MOTORISTAS!$D$3:$D$916,MOTORISTAS!E$3:$E$916),"")</f>
        <v/>
      </c>
      <c r="U1689" s="138" t="str">
        <f>IFERROR(LOOKUP($S1689,MOTORISTAS!$D$3:$D$916,MOTORISTAS!F$3:$F$916),"")</f>
        <v/>
      </c>
      <c r="V1689" s="66"/>
      <c r="W1689" s="66"/>
      <c r="X1689" s="66"/>
      <c r="Y1689" s="66"/>
      <c r="Z1689" s="66"/>
      <c r="AA1689" s="66"/>
      <c r="AB1689" s="66"/>
      <c r="AC1689" s="66"/>
      <c r="AD1689" s="66"/>
      <c r="AE1689" s="66"/>
      <c r="AF1689" s="44"/>
      <c r="AG1689" s="254">
        <f>Prog_23[[#This Row],[SAÍDA DO CLIENTE]]-Prog_23[[#This Row],[PROGRAMAÇÃO CLIENTE]]</f>
        <v>0</v>
      </c>
      <c r="AH1689" s="44"/>
      <c r="AI1689" s="66"/>
      <c r="AJ1689" s="66"/>
      <c r="AK1689" s="66"/>
      <c r="AL1689" s="66"/>
      <c r="AM1689" s="66"/>
      <c r="AN1689" s="83"/>
      <c r="AO1689" s="83"/>
      <c r="AP1689" s="83"/>
      <c r="AQ1689" s="66"/>
      <c r="AR1689" s="66"/>
      <c r="AS1689" s="66"/>
      <c r="AT1689" s="81"/>
      <c r="AU1689" s="81"/>
      <c r="AV1689" s="81"/>
      <c r="AW1689" s="81"/>
      <c r="AX1689" s="83">
        <f>SUM(Prog_23[[#This Row],[ADIANTAMENTO]]+Prog_23[[#This Row],[SALDO]]+Prog_23[[#This Row],[MARGEM]]+Prog_23[[#This Row],[ESTADIA 1]])</f>
        <v>0</v>
      </c>
      <c r="AY16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89" s="81"/>
      <c r="BA1689" s="81"/>
      <c r="BB1689" s="81">
        <f>Prog_23[[#This Row],[VLR NF]]*0.1%</f>
        <v>0</v>
      </c>
      <c r="BC1689" s="81">
        <f>Prog_23[[#This Row],[VLR NF]]*0.05%</f>
        <v>0</v>
      </c>
      <c r="BD1689" s="81"/>
      <c r="BE1689" s="81"/>
      <c r="BF1689" s="81"/>
      <c r="BG1689" s="81"/>
      <c r="BH1689" s="81"/>
      <c r="BI1689" s="81"/>
      <c r="BJ1689" s="81"/>
      <c r="BK1689" s="81"/>
      <c r="BL1689" s="81"/>
      <c r="BM1689" s="81"/>
      <c r="BN1689" s="66"/>
      <c r="BO1689" s="66"/>
      <c r="BP1689" s="66"/>
      <c r="BQ1689" s="66" t="str">
        <f>PROPER(TEXT(Prog_23[[#This Row],[PROGRAMAÇÃO CLIENTE]],"mmm"))</f>
        <v>Jan</v>
      </c>
      <c r="BR1689" s="66">
        <f>YEAR(Prog_23[[#This Row],[PROGRAMAÇÃO CLIENTE]])</f>
        <v>1900</v>
      </c>
    </row>
    <row r="1690" spans="1:70" x14ac:dyDescent="0.25">
      <c r="A1690" s="201">
        <f>Prog_23[[#This Row],[CONTEINER]]</f>
        <v>0</v>
      </c>
      <c r="B1690" s="86"/>
      <c r="C16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90" s="44"/>
      <c r="E1690" s="66"/>
      <c r="F1690" s="66"/>
      <c r="G1690" s="66"/>
      <c r="H1690" s="44"/>
      <c r="I1690" s="44"/>
      <c r="J1690" s="66"/>
      <c r="K1690" s="66"/>
      <c r="L1690" s="66"/>
      <c r="M1690" s="66"/>
      <c r="N1690" s="66">
        <f>SUM(Prog_23[[#This Row],[TARA]]+Prog_23[[#This Row],[PESO]])</f>
        <v>0</v>
      </c>
      <c r="O1690" s="44"/>
      <c r="P1690" s="66"/>
      <c r="Q1690" s="66"/>
      <c r="R1690" s="66"/>
      <c r="S1690" s="66"/>
      <c r="T1690" s="138" t="str">
        <f>IFERROR(LOOKUP($S1690,MOTORISTAS!$D$3:$D$916,MOTORISTAS!E$3:$E$916),"")</f>
        <v/>
      </c>
      <c r="U1690" s="138" t="str">
        <f>IFERROR(LOOKUP($S1690,MOTORISTAS!$D$3:$D$916,MOTORISTAS!F$3:$F$916),"")</f>
        <v/>
      </c>
      <c r="V1690" s="66"/>
      <c r="W1690" s="66"/>
      <c r="X1690" s="66"/>
      <c r="Y1690" s="66"/>
      <c r="Z1690" s="66"/>
      <c r="AA1690" s="66"/>
      <c r="AB1690" s="66"/>
      <c r="AC1690" s="66"/>
      <c r="AD1690" s="66"/>
      <c r="AE1690" s="66"/>
      <c r="AF1690" s="44"/>
      <c r="AG1690" s="254">
        <f>Prog_23[[#This Row],[SAÍDA DO CLIENTE]]-Prog_23[[#This Row],[PROGRAMAÇÃO CLIENTE]]</f>
        <v>0</v>
      </c>
      <c r="AH1690" s="44"/>
      <c r="AI1690" s="66"/>
      <c r="AJ1690" s="66"/>
      <c r="AK1690" s="66"/>
      <c r="AL1690" s="66"/>
      <c r="AM1690" s="66"/>
      <c r="AN1690" s="83"/>
      <c r="AO1690" s="83"/>
      <c r="AP1690" s="83"/>
      <c r="AQ1690" s="66"/>
      <c r="AR1690" s="66"/>
      <c r="AS1690" s="66"/>
      <c r="AT1690" s="81"/>
      <c r="AU1690" s="81"/>
      <c r="AV1690" s="81"/>
      <c r="AW1690" s="81"/>
      <c r="AX1690" s="83">
        <f>SUM(Prog_23[[#This Row],[ADIANTAMENTO]]+Prog_23[[#This Row],[SALDO]]+Prog_23[[#This Row],[MARGEM]]+Prog_23[[#This Row],[ESTADIA 1]])</f>
        <v>0</v>
      </c>
      <c r="AY16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90" s="81"/>
      <c r="BA1690" s="81"/>
      <c r="BB1690" s="81">
        <f>Prog_23[[#This Row],[VLR NF]]*0.1%</f>
        <v>0</v>
      </c>
      <c r="BC1690" s="81">
        <f>Prog_23[[#This Row],[VLR NF]]*0.05%</f>
        <v>0</v>
      </c>
      <c r="BD1690" s="81"/>
      <c r="BE1690" s="81"/>
      <c r="BF1690" s="81"/>
      <c r="BG1690" s="81"/>
      <c r="BH1690" s="81"/>
      <c r="BI1690" s="81"/>
      <c r="BJ1690" s="81"/>
      <c r="BK1690" s="81"/>
      <c r="BL1690" s="81"/>
      <c r="BM1690" s="81"/>
      <c r="BN1690" s="66"/>
      <c r="BO1690" s="66"/>
      <c r="BP1690" s="66"/>
      <c r="BQ1690" s="66" t="str">
        <f>PROPER(TEXT(Prog_23[[#This Row],[PROGRAMAÇÃO CLIENTE]],"mmm"))</f>
        <v>Jan</v>
      </c>
      <c r="BR1690" s="66">
        <f>YEAR(Prog_23[[#This Row],[PROGRAMAÇÃO CLIENTE]])</f>
        <v>1900</v>
      </c>
    </row>
    <row r="1691" spans="1:70" x14ac:dyDescent="0.25">
      <c r="A1691" s="200">
        <f>Prog_23[[#This Row],[CONTEINER]]</f>
        <v>0</v>
      </c>
      <c r="B1691" s="86"/>
      <c r="C16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91" s="44"/>
      <c r="E1691" s="66"/>
      <c r="F1691" s="66"/>
      <c r="G1691" s="66"/>
      <c r="H1691" s="44"/>
      <c r="I1691" s="44"/>
      <c r="J1691" s="66"/>
      <c r="K1691" s="66"/>
      <c r="L1691" s="66"/>
      <c r="M1691" s="66"/>
      <c r="N1691" s="66">
        <f>SUM(Prog_23[[#This Row],[TARA]]+Prog_23[[#This Row],[PESO]])</f>
        <v>0</v>
      </c>
      <c r="O1691" s="44"/>
      <c r="P1691" s="66"/>
      <c r="Q1691" s="66"/>
      <c r="R1691" s="66"/>
      <c r="S1691" s="66"/>
      <c r="T1691" s="138" t="str">
        <f>IFERROR(LOOKUP($S1691,MOTORISTAS!$D$3:$D$916,MOTORISTAS!E$3:$E$916),"")</f>
        <v/>
      </c>
      <c r="U1691" s="138" t="str">
        <f>IFERROR(LOOKUP($S1691,MOTORISTAS!$D$3:$D$916,MOTORISTAS!F$3:$F$916),"")</f>
        <v/>
      </c>
      <c r="V1691" s="66"/>
      <c r="W1691" s="66"/>
      <c r="X1691" s="66"/>
      <c r="Y1691" s="66"/>
      <c r="Z1691" s="66"/>
      <c r="AA1691" s="66"/>
      <c r="AB1691" s="66"/>
      <c r="AC1691" s="66"/>
      <c r="AD1691" s="66"/>
      <c r="AE1691" s="66"/>
      <c r="AF1691" s="44"/>
      <c r="AG1691" s="254">
        <f>Prog_23[[#This Row],[SAÍDA DO CLIENTE]]-Prog_23[[#This Row],[PROGRAMAÇÃO CLIENTE]]</f>
        <v>0</v>
      </c>
      <c r="AH1691" s="44"/>
      <c r="AI1691" s="66"/>
      <c r="AJ1691" s="66"/>
      <c r="AK1691" s="66"/>
      <c r="AL1691" s="66"/>
      <c r="AM1691" s="66"/>
      <c r="AN1691" s="83"/>
      <c r="AO1691" s="83"/>
      <c r="AP1691" s="83"/>
      <c r="AQ1691" s="66"/>
      <c r="AR1691" s="66"/>
      <c r="AS1691" s="66"/>
      <c r="AT1691" s="81"/>
      <c r="AU1691" s="81"/>
      <c r="AV1691" s="81"/>
      <c r="AW1691" s="81"/>
      <c r="AX1691" s="83">
        <f>SUM(Prog_23[[#This Row],[ADIANTAMENTO]]+Prog_23[[#This Row],[SALDO]]+Prog_23[[#This Row],[MARGEM]]+Prog_23[[#This Row],[ESTADIA 1]])</f>
        <v>0</v>
      </c>
      <c r="AY16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91" s="81"/>
      <c r="BA1691" s="81"/>
      <c r="BB1691" s="81">
        <f>Prog_23[[#This Row],[VLR NF]]*0.1%</f>
        <v>0</v>
      </c>
      <c r="BC1691" s="81">
        <f>Prog_23[[#This Row],[VLR NF]]*0.05%</f>
        <v>0</v>
      </c>
      <c r="BD1691" s="81"/>
      <c r="BE1691" s="81"/>
      <c r="BF1691" s="81"/>
      <c r="BG1691" s="81"/>
      <c r="BH1691" s="81"/>
      <c r="BI1691" s="81"/>
      <c r="BJ1691" s="81"/>
      <c r="BK1691" s="81"/>
      <c r="BL1691" s="81"/>
      <c r="BM1691" s="81"/>
      <c r="BN1691" s="66"/>
      <c r="BO1691" s="66"/>
      <c r="BP1691" s="66"/>
      <c r="BQ1691" s="66" t="str">
        <f>PROPER(TEXT(Prog_23[[#This Row],[PROGRAMAÇÃO CLIENTE]],"mmm"))</f>
        <v>Jan</v>
      </c>
      <c r="BR1691" s="66">
        <f>YEAR(Prog_23[[#This Row],[PROGRAMAÇÃO CLIENTE]])</f>
        <v>1900</v>
      </c>
    </row>
    <row r="1692" spans="1:70" x14ac:dyDescent="0.25">
      <c r="A1692" s="201">
        <f>Prog_23[[#This Row],[CONTEINER]]</f>
        <v>0</v>
      </c>
      <c r="B1692" s="86"/>
      <c r="C16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92" s="44"/>
      <c r="E1692" s="66"/>
      <c r="F1692" s="66"/>
      <c r="G1692" s="66"/>
      <c r="H1692" s="44"/>
      <c r="I1692" s="44"/>
      <c r="J1692" s="66"/>
      <c r="K1692" s="66"/>
      <c r="L1692" s="66"/>
      <c r="M1692" s="66"/>
      <c r="N1692" s="66">
        <f>SUM(Prog_23[[#This Row],[TARA]]+Prog_23[[#This Row],[PESO]])</f>
        <v>0</v>
      </c>
      <c r="O1692" s="44"/>
      <c r="P1692" s="66"/>
      <c r="Q1692" s="66"/>
      <c r="R1692" s="66"/>
      <c r="S1692" s="66"/>
      <c r="T1692" s="138" t="str">
        <f>IFERROR(LOOKUP($S1692,MOTORISTAS!$D$3:$D$916,MOTORISTAS!E$3:$E$916),"")</f>
        <v/>
      </c>
      <c r="U1692" s="138" t="str">
        <f>IFERROR(LOOKUP($S1692,MOTORISTAS!$D$3:$D$916,MOTORISTAS!F$3:$F$916),"")</f>
        <v/>
      </c>
      <c r="V1692" s="66"/>
      <c r="W1692" s="66"/>
      <c r="X1692" s="66"/>
      <c r="Y1692" s="66"/>
      <c r="Z1692" s="66"/>
      <c r="AA1692" s="66"/>
      <c r="AB1692" s="66"/>
      <c r="AC1692" s="66"/>
      <c r="AD1692" s="66"/>
      <c r="AE1692" s="66"/>
      <c r="AF1692" s="44"/>
      <c r="AG1692" s="254">
        <f>Prog_23[[#This Row],[SAÍDA DO CLIENTE]]-Prog_23[[#This Row],[PROGRAMAÇÃO CLIENTE]]</f>
        <v>0</v>
      </c>
      <c r="AH1692" s="44"/>
      <c r="AI1692" s="66"/>
      <c r="AJ1692" s="66"/>
      <c r="AK1692" s="66"/>
      <c r="AL1692" s="66"/>
      <c r="AM1692" s="66"/>
      <c r="AN1692" s="83"/>
      <c r="AO1692" s="83"/>
      <c r="AP1692" s="83"/>
      <c r="AQ1692" s="66"/>
      <c r="AR1692" s="66"/>
      <c r="AS1692" s="66"/>
      <c r="AT1692" s="81"/>
      <c r="AU1692" s="81"/>
      <c r="AV1692" s="81"/>
      <c r="AW1692" s="81"/>
      <c r="AX1692" s="83">
        <f>SUM(Prog_23[[#This Row],[ADIANTAMENTO]]+Prog_23[[#This Row],[SALDO]]+Prog_23[[#This Row],[MARGEM]]+Prog_23[[#This Row],[ESTADIA 1]])</f>
        <v>0</v>
      </c>
      <c r="AY16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92" s="81"/>
      <c r="BA1692" s="81"/>
      <c r="BB1692" s="81">
        <f>Prog_23[[#This Row],[VLR NF]]*0.1%</f>
        <v>0</v>
      </c>
      <c r="BC1692" s="81">
        <f>Prog_23[[#This Row],[VLR NF]]*0.05%</f>
        <v>0</v>
      </c>
      <c r="BD1692" s="81"/>
      <c r="BE1692" s="81"/>
      <c r="BF1692" s="81"/>
      <c r="BG1692" s="81"/>
      <c r="BH1692" s="81"/>
      <c r="BI1692" s="81"/>
      <c r="BJ1692" s="81"/>
      <c r="BK1692" s="81"/>
      <c r="BL1692" s="81"/>
      <c r="BM1692" s="81"/>
      <c r="BN1692" s="66"/>
      <c r="BO1692" s="66"/>
      <c r="BP1692" s="66"/>
      <c r="BQ1692" s="66" t="str">
        <f>PROPER(TEXT(Prog_23[[#This Row],[PROGRAMAÇÃO CLIENTE]],"mmm"))</f>
        <v>Jan</v>
      </c>
      <c r="BR1692" s="66">
        <f>YEAR(Prog_23[[#This Row],[PROGRAMAÇÃO CLIENTE]])</f>
        <v>1900</v>
      </c>
    </row>
    <row r="1693" spans="1:70" x14ac:dyDescent="0.25">
      <c r="A1693" s="200">
        <f>Prog_23[[#This Row],[CONTEINER]]</f>
        <v>0</v>
      </c>
      <c r="B1693" s="86"/>
      <c r="C16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93" s="44"/>
      <c r="E1693" s="66"/>
      <c r="F1693" s="66"/>
      <c r="G1693" s="66"/>
      <c r="H1693" s="44"/>
      <c r="I1693" s="44"/>
      <c r="J1693" s="66"/>
      <c r="K1693" s="66"/>
      <c r="L1693" s="66"/>
      <c r="M1693" s="66"/>
      <c r="N1693" s="66">
        <f>SUM(Prog_23[[#This Row],[TARA]]+Prog_23[[#This Row],[PESO]])</f>
        <v>0</v>
      </c>
      <c r="O1693" s="44"/>
      <c r="P1693" s="66"/>
      <c r="Q1693" s="66"/>
      <c r="R1693" s="66"/>
      <c r="S1693" s="66"/>
      <c r="T1693" s="138" t="str">
        <f>IFERROR(LOOKUP($S1693,MOTORISTAS!$D$3:$D$916,MOTORISTAS!E$3:$E$916),"")</f>
        <v/>
      </c>
      <c r="U1693" s="138" t="str">
        <f>IFERROR(LOOKUP($S1693,MOTORISTAS!$D$3:$D$916,MOTORISTAS!F$3:$F$916),"")</f>
        <v/>
      </c>
      <c r="V1693" s="66"/>
      <c r="W1693" s="66"/>
      <c r="X1693" s="66"/>
      <c r="Y1693" s="66"/>
      <c r="Z1693" s="66"/>
      <c r="AA1693" s="66"/>
      <c r="AB1693" s="66"/>
      <c r="AC1693" s="66"/>
      <c r="AD1693" s="66"/>
      <c r="AE1693" s="66"/>
      <c r="AF1693" s="44"/>
      <c r="AG1693" s="254">
        <f>Prog_23[[#This Row],[SAÍDA DO CLIENTE]]-Prog_23[[#This Row],[PROGRAMAÇÃO CLIENTE]]</f>
        <v>0</v>
      </c>
      <c r="AH1693" s="44"/>
      <c r="AI1693" s="66"/>
      <c r="AJ1693" s="66"/>
      <c r="AK1693" s="66"/>
      <c r="AL1693" s="66"/>
      <c r="AM1693" s="66"/>
      <c r="AN1693" s="83"/>
      <c r="AO1693" s="83"/>
      <c r="AP1693" s="83"/>
      <c r="AQ1693" s="66"/>
      <c r="AR1693" s="66"/>
      <c r="AS1693" s="66"/>
      <c r="AT1693" s="81"/>
      <c r="AU1693" s="81"/>
      <c r="AV1693" s="81"/>
      <c r="AW1693" s="81"/>
      <c r="AX1693" s="83">
        <f>SUM(Prog_23[[#This Row],[ADIANTAMENTO]]+Prog_23[[#This Row],[SALDO]]+Prog_23[[#This Row],[MARGEM]]+Prog_23[[#This Row],[ESTADIA 1]])</f>
        <v>0</v>
      </c>
      <c r="AY16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93" s="81"/>
      <c r="BA1693" s="81"/>
      <c r="BB1693" s="81">
        <f>Prog_23[[#This Row],[VLR NF]]*0.1%</f>
        <v>0</v>
      </c>
      <c r="BC1693" s="81">
        <f>Prog_23[[#This Row],[VLR NF]]*0.05%</f>
        <v>0</v>
      </c>
      <c r="BD1693" s="81"/>
      <c r="BE1693" s="81"/>
      <c r="BF1693" s="81"/>
      <c r="BG1693" s="81"/>
      <c r="BH1693" s="81"/>
      <c r="BI1693" s="81"/>
      <c r="BJ1693" s="81"/>
      <c r="BK1693" s="81"/>
      <c r="BL1693" s="81"/>
      <c r="BM1693" s="81"/>
      <c r="BN1693" s="66"/>
      <c r="BO1693" s="66"/>
      <c r="BP1693" s="66"/>
      <c r="BQ1693" s="66" t="str">
        <f>PROPER(TEXT(Prog_23[[#This Row],[PROGRAMAÇÃO CLIENTE]],"mmm"))</f>
        <v>Jan</v>
      </c>
      <c r="BR1693" s="66">
        <f>YEAR(Prog_23[[#This Row],[PROGRAMAÇÃO CLIENTE]])</f>
        <v>1900</v>
      </c>
    </row>
    <row r="1694" spans="1:70" x14ac:dyDescent="0.25">
      <c r="A1694" s="201">
        <f>Prog_23[[#This Row],[CONTEINER]]</f>
        <v>0</v>
      </c>
      <c r="B1694" s="86"/>
      <c r="C16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94" s="44"/>
      <c r="E1694" s="66"/>
      <c r="F1694" s="66"/>
      <c r="G1694" s="66"/>
      <c r="H1694" s="44"/>
      <c r="I1694" s="44"/>
      <c r="J1694" s="66"/>
      <c r="K1694" s="66"/>
      <c r="L1694" s="66"/>
      <c r="M1694" s="66"/>
      <c r="N1694" s="66">
        <f>SUM(Prog_23[[#This Row],[TARA]]+Prog_23[[#This Row],[PESO]])</f>
        <v>0</v>
      </c>
      <c r="O1694" s="44"/>
      <c r="P1694" s="66"/>
      <c r="Q1694" s="66"/>
      <c r="R1694" s="66"/>
      <c r="S1694" s="66"/>
      <c r="T1694" s="138" t="str">
        <f>IFERROR(LOOKUP($S1694,MOTORISTAS!$D$3:$D$916,MOTORISTAS!E$3:$E$916),"")</f>
        <v/>
      </c>
      <c r="U1694" s="138" t="str">
        <f>IFERROR(LOOKUP($S1694,MOTORISTAS!$D$3:$D$916,MOTORISTAS!F$3:$F$916),"")</f>
        <v/>
      </c>
      <c r="V1694" s="66"/>
      <c r="W1694" s="66"/>
      <c r="X1694" s="66"/>
      <c r="Y1694" s="66"/>
      <c r="Z1694" s="66"/>
      <c r="AA1694" s="66"/>
      <c r="AB1694" s="66"/>
      <c r="AC1694" s="66"/>
      <c r="AD1694" s="66"/>
      <c r="AE1694" s="66"/>
      <c r="AF1694" s="44"/>
      <c r="AG1694" s="254">
        <f>Prog_23[[#This Row],[SAÍDA DO CLIENTE]]-Prog_23[[#This Row],[PROGRAMAÇÃO CLIENTE]]</f>
        <v>0</v>
      </c>
      <c r="AH1694" s="44"/>
      <c r="AI1694" s="66"/>
      <c r="AJ1694" s="66"/>
      <c r="AK1694" s="66"/>
      <c r="AL1694" s="66"/>
      <c r="AM1694" s="66"/>
      <c r="AN1694" s="83"/>
      <c r="AO1694" s="83"/>
      <c r="AP1694" s="83"/>
      <c r="AQ1694" s="66"/>
      <c r="AR1694" s="66"/>
      <c r="AS1694" s="66"/>
      <c r="AT1694" s="81"/>
      <c r="AU1694" s="81"/>
      <c r="AV1694" s="81"/>
      <c r="AW1694" s="81"/>
      <c r="AX1694" s="83">
        <f>SUM(Prog_23[[#This Row],[ADIANTAMENTO]]+Prog_23[[#This Row],[SALDO]]+Prog_23[[#This Row],[MARGEM]]+Prog_23[[#This Row],[ESTADIA 1]])</f>
        <v>0</v>
      </c>
      <c r="AY16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94" s="81"/>
      <c r="BA1694" s="81"/>
      <c r="BB1694" s="81">
        <f>Prog_23[[#This Row],[VLR NF]]*0.1%</f>
        <v>0</v>
      </c>
      <c r="BC1694" s="81">
        <f>Prog_23[[#This Row],[VLR NF]]*0.05%</f>
        <v>0</v>
      </c>
      <c r="BD1694" s="81"/>
      <c r="BE1694" s="81"/>
      <c r="BF1694" s="81"/>
      <c r="BG1694" s="81"/>
      <c r="BH1694" s="81"/>
      <c r="BI1694" s="81"/>
      <c r="BJ1694" s="81"/>
      <c r="BK1694" s="81"/>
      <c r="BL1694" s="81"/>
      <c r="BM1694" s="81"/>
      <c r="BN1694" s="66"/>
      <c r="BO1694" s="66"/>
      <c r="BP1694" s="66"/>
      <c r="BQ1694" s="66" t="str">
        <f>PROPER(TEXT(Prog_23[[#This Row],[PROGRAMAÇÃO CLIENTE]],"mmm"))</f>
        <v>Jan</v>
      </c>
      <c r="BR1694" s="66">
        <f>YEAR(Prog_23[[#This Row],[PROGRAMAÇÃO CLIENTE]])</f>
        <v>1900</v>
      </c>
    </row>
    <row r="1695" spans="1:70" x14ac:dyDescent="0.25">
      <c r="A1695" s="200">
        <f>Prog_23[[#This Row],[CONTEINER]]</f>
        <v>0</v>
      </c>
      <c r="B1695" s="86"/>
      <c r="C16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95" s="44"/>
      <c r="E1695" s="66"/>
      <c r="F1695" s="66"/>
      <c r="G1695" s="66"/>
      <c r="H1695" s="44"/>
      <c r="I1695" s="44"/>
      <c r="J1695" s="66"/>
      <c r="K1695" s="66"/>
      <c r="L1695" s="66"/>
      <c r="M1695" s="66"/>
      <c r="N1695" s="66">
        <f>SUM(Prog_23[[#This Row],[TARA]]+Prog_23[[#This Row],[PESO]])</f>
        <v>0</v>
      </c>
      <c r="O1695" s="44"/>
      <c r="P1695" s="66"/>
      <c r="Q1695" s="66"/>
      <c r="R1695" s="66"/>
      <c r="S1695" s="66"/>
      <c r="T1695" s="138" t="str">
        <f>IFERROR(LOOKUP($S1695,MOTORISTAS!$D$3:$D$916,MOTORISTAS!E$3:$E$916),"")</f>
        <v/>
      </c>
      <c r="U1695" s="138" t="str">
        <f>IFERROR(LOOKUP($S1695,MOTORISTAS!$D$3:$D$916,MOTORISTAS!F$3:$F$916),"")</f>
        <v/>
      </c>
      <c r="V1695" s="66"/>
      <c r="W1695" s="66"/>
      <c r="X1695" s="66"/>
      <c r="Y1695" s="66"/>
      <c r="Z1695" s="66"/>
      <c r="AA1695" s="66"/>
      <c r="AB1695" s="66"/>
      <c r="AC1695" s="66"/>
      <c r="AD1695" s="66"/>
      <c r="AE1695" s="66"/>
      <c r="AF1695" s="44"/>
      <c r="AG1695" s="254">
        <f>Prog_23[[#This Row],[SAÍDA DO CLIENTE]]-Prog_23[[#This Row],[PROGRAMAÇÃO CLIENTE]]</f>
        <v>0</v>
      </c>
      <c r="AH1695" s="44"/>
      <c r="AI1695" s="66"/>
      <c r="AJ1695" s="66"/>
      <c r="AK1695" s="66"/>
      <c r="AL1695" s="66"/>
      <c r="AM1695" s="66"/>
      <c r="AN1695" s="83"/>
      <c r="AO1695" s="83"/>
      <c r="AP1695" s="83"/>
      <c r="AQ1695" s="66"/>
      <c r="AR1695" s="66"/>
      <c r="AS1695" s="66"/>
      <c r="AT1695" s="81"/>
      <c r="AU1695" s="81"/>
      <c r="AV1695" s="81"/>
      <c r="AW1695" s="81"/>
      <c r="AX1695" s="83">
        <f>SUM(Prog_23[[#This Row],[ADIANTAMENTO]]+Prog_23[[#This Row],[SALDO]]+Prog_23[[#This Row],[MARGEM]]+Prog_23[[#This Row],[ESTADIA 1]])</f>
        <v>0</v>
      </c>
      <c r="AY16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95" s="81"/>
      <c r="BA1695" s="81"/>
      <c r="BB1695" s="81">
        <f>Prog_23[[#This Row],[VLR NF]]*0.1%</f>
        <v>0</v>
      </c>
      <c r="BC1695" s="81">
        <f>Prog_23[[#This Row],[VLR NF]]*0.05%</f>
        <v>0</v>
      </c>
      <c r="BD1695" s="81"/>
      <c r="BE1695" s="81"/>
      <c r="BF1695" s="81"/>
      <c r="BG1695" s="81"/>
      <c r="BH1695" s="81"/>
      <c r="BI1695" s="81"/>
      <c r="BJ1695" s="81"/>
      <c r="BK1695" s="81"/>
      <c r="BL1695" s="81"/>
      <c r="BM1695" s="81"/>
      <c r="BN1695" s="66"/>
      <c r="BO1695" s="66"/>
      <c r="BP1695" s="66"/>
      <c r="BQ1695" s="66" t="str">
        <f>PROPER(TEXT(Prog_23[[#This Row],[PROGRAMAÇÃO CLIENTE]],"mmm"))</f>
        <v>Jan</v>
      </c>
      <c r="BR1695" s="66">
        <f>YEAR(Prog_23[[#This Row],[PROGRAMAÇÃO CLIENTE]])</f>
        <v>1900</v>
      </c>
    </row>
    <row r="1696" spans="1:70" x14ac:dyDescent="0.25">
      <c r="A1696" s="201">
        <f>Prog_23[[#This Row],[CONTEINER]]</f>
        <v>0</v>
      </c>
      <c r="B1696" s="86"/>
      <c r="C16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96" s="44"/>
      <c r="E1696" s="66"/>
      <c r="F1696" s="66"/>
      <c r="G1696" s="66"/>
      <c r="H1696" s="44"/>
      <c r="I1696" s="44"/>
      <c r="J1696" s="66"/>
      <c r="K1696" s="66"/>
      <c r="L1696" s="66"/>
      <c r="M1696" s="66"/>
      <c r="N1696" s="66">
        <f>SUM(Prog_23[[#This Row],[TARA]]+Prog_23[[#This Row],[PESO]])</f>
        <v>0</v>
      </c>
      <c r="O1696" s="44"/>
      <c r="P1696" s="66"/>
      <c r="Q1696" s="66"/>
      <c r="R1696" s="66"/>
      <c r="S1696" s="66"/>
      <c r="T1696" s="138" t="str">
        <f>IFERROR(LOOKUP($S1696,MOTORISTAS!$D$3:$D$916,MOTORISTAS!E$3:$E$916),"")</f>
        <v/>
      </c>
      <c r="U1696" s="138" t="str">
        <f>IFERROR(LOOKUP($S1696,MOTORISTAS!$D$3:$D$916,MOTORISTAS!F$3:$F$916),"")</f>
        <v/>
      </c>
      <c r="V1696" s="66"/>
      <c r="W1696" s="66"/>
      <c r="X1696" s="66"/>
      <c r="Y1696" s="66"/>
      <c r="Z1696" s="66"/>
      <c r="AA1696" s="66"/>
      <c r="AB1696" s="66"/>
      <c r="AC1696" s="66"/>
      <c r="AD1696" s="66"/>
      <c r="AE1696" s="66"/>
      <c r="AF1696" s="44"/>
      <c r="AG1696" s="254">
        <f>Prog_23[[#This Row],[SAÍDA DO CLIENTE]]-Prog_23[[#This Row],[PROGRAMAÇÃO CLIENTE]]</f>
        <v>0</v>
      </c>
      <c r="AH1696" s="44"/>
      <c r="AI1696" s="66"/>
      <c r="AJ1696" s="66"/>
      <c r="AK1696" s="66"/>
      <c r="AL1696" s="66"/>
      <c r="AM1696" s="66"/>
      <c r="AN1696" s="83"/>
      <c r="AO1696" s="83"/>
      <c r="AP1696" s="83"/>
      <c r="AQ1696" s="66"/>
      <c r="AR1696" s="66"/>
      <c r="AS1696" s="66"/>
      <c r="AT1696" s="81"/>
      <c r="AU1696" s="81"/>
      <c r="AV1696" s="81"/>
      <c r="AW1696" s="81"/>
      <c r="AX1696" s="83">
        <f>SUM(Prog_23[[#This Row],[ADIANTAMENTO]]+Prog_23[[#This Row],[SALDO]]+Prog_23[[#This Row],[MARGEM]]+Prog_23[[#This Row],[ESTADIA 1]])</f>
        <v>0</v>
      </c>
      <c r="AY16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96" s="81"/>
      <c r="BA1696" s="81"/>
      <c r="BB1696" s="81">
        <f>Prog_23[[#This Row],[VLR NF]]*0.1%</f>
        <v>0</v>
      </c>
      <c r="BC1696" s="81">
        <f>Prog_23[[#This Row],[VLR NF]]*0.05%</f>
        <v>0</v>
      </c>
      <c r="BD1696" s="81"/>
      <c r="BE1696" s="81"/>
      <c r="BF1696" s="81"/>
      <c r="BG1696" s="81"/>
      <c r="BH1696" s="81"/>
      <c r="BI1696" s="81"/>
      <c r="BJ1696" s="81"/>
      <c r="BK1696" s="81"/>
      <c r="BL1696" s="81"/>
      <c r="BM1696" s="81"/>
      <c r="BN1696" s="66"/>
      <c r="BO1696" s="66"/>
      <c r="BP1696" s="66"/>
      <c r="BQ1696" s="66" t="str">
        <f>PROPER(TEXT(Prog_23[[#This Row],[PROGRAMAÇÃO CLIENTE]],"mmm"))</f>
        <v>Jan</v>
      </c>
      <c r="BR1696" s="66">
        <f>YEAR(Prog_23[[#This Row],[PROGRAMAÇÃO CLIENTE]])</f>
        <v>1900</v>
      </c>
    </row>
    <row r="1697" spans="1:70" x14ac:dyDescent="0.25">
      <c r="A1697" s="200">
        <f>Prog_23[[#This Row],[CONTEINER]]</f>
        <v>0</v>
      </c>
      <c r="B1697" s="86"/>
      <c r="C16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97" s="44"/>
      <c r="E1697" s="66"/>
      <c r="F1697" s="66"/>
      <c r="G1697" s="66"/>
      <c r="H1697" s="44"/>
      <c r="I1697" s="44"/>
      <c r="J1697" s="66"/>
      <c r="K1697" s="66"/>
      <c r="L1697" s="66"/>
      <c r="M1697" s="66"/>
      <c r="N1697" s="66">
        <f>SUM(Prog_23[[#This Row],[TARA]]+Prog_23[[#This Row],[PESO]])</f>
        <v>0</v>
      </c>
      <c r="O1697" s="44"/>
      <c r="P1697" s="66"/>
      <c r="Q1697" s="66"/>
      <c r="R1697" s="66"/>
      <c r="S1697" s="66"/>
      <c r="T1697" s="138" t="str">
        <f>IFERROR(LOOKUP($S1697,MOTORISTAS!$D$3:$D$916,MOTORISTAS!E$3:$E$916),"")</f>
        <v/>
      </c>
      <c r="U1697" s="138" t="str">
        <f>IFERROR(LOOKUP($S1697,MOTORISTAS!$D$3:$D$916,MOTORISTAS!F$3:$F$916),"")</f>
        <v/>
      </c>
      <c r="V1697" s="66"/>
      <c r="W1697" s="66"/>
      <c r="X1697" s="66"/>
      <c r="Y1697" s="66"/>
      <c r="Z1697" s="66"/>
      <c r="AA1697" s="66"/>
      <c r="AB1697" s="66"/>
      <c r="AC1697" s="66"/>
      <c r="AD1697" s="66"/>
      <c r="AE1697" s="66"/>
      <c r="AF1697" s="44"/>
      <c r="AG1697" s="254">
        <f>Prog_23[[#This Row],[SAÍDA DO CLIENTE]]-Prog_23[[#This Row],[PROGRAMAÇÃO CLIENTE]]</f>
        <v>0</v>
      </c>
      <c r="AH1697" s="44"/>
      <c r="AI1697" s="66"/>
      <c r="AJ1697" s="66"/>
      <c r="AK1697" s="66"/>
      <c r="AL1697" s="66"/>
      <c r="AM1697" s="66"/>
      <c r="AN1697" s="83"/>
      <c r="AO1697" s="83"/>
      <c r="AP1697" s="83"/>
      <c r="AQ1697" s="66"/>
      <c r="AR1697" s="66"/>
      <c r="AS1697" s="66"/>
      <c r="AT1697" s="81"/>
      <c r="AU1697" s="81"/>
      <c r="AV1697" s="81"/>
      <c r="AW1697" s="81"/>
      <c r="AX1697" s="83">
        <f>SUM(Prog_23[[#This Row],[ADIANTAMENTO]]+Prog_23[[#This Row],[SALDO]]+Prog_23[[#This Row],[MARGEM]]+Prog_23[[#This Row],[ESTADIA 1]])</f>
        <v>0</v>
      </c>
      <c r="AY16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97" s="81"/>
      <c r="BA1697" s="81"/>
      <c r="BB1697" s="81">
        <f>Prog_23[[#This Row],[VLR NF]]*0.1%</f>
        <v>0</v>
      </c>
      <c r="BC1697" s="81">
        <f>Prog_23[[#This Row],[VLR NF]]*0.05%</f>
        <v>0</v>
      </c>
      <c r="BD1697" s="81"/>
      <c r="BE1697" s="81"/>
      <c r="BF1697" s="81"/>
      <c r="BG1697" s="81"/>
      <c r="BH1697" s="81"/>
      <c r="BI1697" s="81"/>
      <c r="BJ1697" s="81"/>
      <c r="BK1697" s="81"/>
      <c r="BL1697" s="81"/>
      <c r="BM1697" s="81"/>
      <c r="BN1697" s="66"/>
      <c r="BO1697" s="66"/>
      <c r="BP1697" s="66"/>
      <c r="BQ1697" s="66" t="str">
        <f>PROPER(TEXT(Prog_23[[#This Row],[PROGRAMAÇÃO CLIENTE]],"mmm"))</f>
        <v>Jan</v>
      </c>
      <c r="BR1697" s="66">
        <f>YEAR(Prog_23[[#This Row],[PROGRAMAÇÃO CLIENTE]])</f>
        <v>1900</v>
      </c>
    </row>
    <row r="1698" spans="1:70" x14ac:dyDescent="0.25">
      <c r="A1698" s="201">
        <f>Prog_23[[#This Row],[CONTEINER]]</f>
        <v>0</v>
      </c>
      <c r="B1698" s="86"/>
      <c r="C16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98" s="44"/>
      <c r="E1698" s="66"/>
      <c r="F1698" s="66"/>
      <c r="G1698" s="66"/>
      <c r="H1698" s="44"/>
      <c r="I1698" s="44"/>
      <c r="J1698" s="66"/>
      <c r="K1698" s="66"/>
      <c r="L1698" s="66"/>
      <c r="M1698" s="66"/>
      <c r="N1698" s="66">
        <f>SUM(Prog_23[[#This Row],[TARA]]+Prog_23[[#This Row],[PESO]])</f>
        <v>0</v>
      </c>
      <c r="O1698" s="44"/>
      <c r="P1698" s="66"/>
      <c r="Q1698" s="66"/>
      <c r="R1698" s="66"/>
      <c r="S1698" s="66"/>
      <c r="T1698" s="138" t="str">
        <f>IFERROR(LOOKUP($S1698,MOTORISTAS!$D$3:$D$916,MOTORISTAS!E$3:$E$916),"")</f>
        <v/>
      </c>
      <c r="U1698" s="138" t="str">
        <f>IFERROR(LOOKUP($S1698,MOTORISTAS!$D$3:$D$916,MOTORISTAS!F$3:$F$916),"")</f>
        <v/>
      </c>
      <c r="V1698" s="66"/>
      <c r="W1698" s="66"/>
      <c r="X1698" s="66"/>
      <c r="Y1698" s="66"/>
      <c r="Z1698" s="66"/>
      <c r="AA1698" s="66"/>
      <c r="AB1698" s="66"/>
      <c r="AC1698" s="66"/>
      <c r="AD1698" s="66"/>
      <c r="AE1698" s="66"/>
      <c r="AF1698" s="44"/>
      <c r="AG1698" s="254">
        <f>Prog_23[[#This Row],[SAÍDA DO CLIENTE]]-Prog_23[[#This Row],[PROGRAMAÇÃO CLIENTE]]</f>
        <v>0</v>
      </c>
      <c r="AH1698" s="44"/>
      <c r="AI1698" s="66"/>
      <c r="AJ1698" s="66"/>
      <c r="AK1698" s="66"/>
      <c r="AL1698" s="66"/>
      <c r="AM1698" s="66"/>
      <c r="AN1698" s="83"/>
      <c r="AO1698" s="83"/>
      <c r="AP1698" s="83"/>
      <c r="AQ1698" s="66"/>
      <c r="AR1698" s="66"/>
      <c r="AS1698" s="66"/>
      <c r="AT1698" s="81"/>
      <c r="AU1698" s="81"/>
      <c r="AV1698" s="81"/>
      <c r="AW1698" s="81"/>
      <c r="AX1698" s="83">
        <f>SUM(Prog_23[[#This Row],[ADIANTAMENTO]]+Prog_23[[#This Row],[SALDO]]+Prog_23[[#This Row],[MARGEM]]+Prog_23[[#This Row],[ESTADIA 1]])</f>
        <v>0</v>
      </c>
      <c r="AY16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98" s="81"/>
      <c r="BA1698" s="81"/>
      <c r="BB1698" s="81">
        <f>Prog_23[[#This Row],[VLR NF]]*0.1%</f>
        <v>0</v>
      </c>
      <c r="BC1698" s="81">
        <f>Prog_23[[#This Row],[VLR NF]]*0.05%</f>
        <v>0</v>
      </c>
      <c r="BD1698" s="81"/>
      <c r="BE1698" s="81"/>
      <c r="BF1698" s="81"/>
      <c r="BG1698" s="81"/>
      <c r="BH1698" s="81"/>
      <c r="BI1698" s="81"/>
      <c r="BJ1698" s="81"/>
      <c r="BK1698" s="81"/>
      <c r="BL1698" s="81"/>
      <c r="BM1698" s="81"/>
      <c r="BN1698" s="66"/>
      <c r="BO1698" s="66"/>
      <c r="BP1698" s="66"/>
      <c r="BQ1698" s="66" t="str">
        <f>PROPER(TEXT(Prog_23[[#This Row],[PROGRAMAÇÃO CLIENTE]],"mmm"))</f>
        <v>Jan</v>
      </c>
      <c r="BR1698" s="66">
        <f>YEAR(Prog_23[[#This Row],[PROGRAMAÇÃO CLIENTE]])</f>
        <v>1900</v>
      </c>
    </row>
    <row r="1699" spans="1:70" x14ac:dyDescent="0.25">
      <c r="A1699" s="200">
        <f>Prog_23[[#This Row],[CONTEINER]]</f>
        <v>0</v>
      </c>
      <c r="B1699" s="86"/>
      <c r="C16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699" s="44"/>
      <c r="E1699" s="66"/>
      <c r="F1699" s="66"/>
      <c r="G1699" s="66"/>
      <c r="H1699" s="44"/>
      <c r="I1699" s="44"/>
      <c r="J1699" s="66"/>
      <c r="K1699" s="66"/>
      <c r="L1699" s="66"/>
      <c r="M1699" s="66"/>
      <c r="N1699" s="66">
        <f>SUM(Prog_23[[#This Row],[TARA]]+Prog_23[[#This Row],[PESO]])</f>
        <v>0</v>
      </c>
      <c r="O1699" s="44"/>
      <c r="P1699" s="66"/>
      <c r="Q1699" s="66"/>
      <c r="R1699" s="66"/>
      <c r="S1699" s="66"/>
      <c r="T1699" s="138" t="str">
        <f>IFERROR(LOOKUP($S1699,MOTORISTAS!$D$3:$D$916,MOTORISTAS!E$3:$E$916),"")</f>
        <v/>
      </c>
      <c r="U1699" s="138" t="str">
        <f>IFERROR(LOOKUP($S1699,MOTORISTAS!$D$3:$D$916,MOTORISTAS!F$3:$F$916),"")</f>
        <v/>
      </c>
      <c r="V1699" s="66"/>
      <c r="W1699" s="66"/>
      <c r="X1699" s="66"/>
      <c r="Y1699" s="66"/>
      <c r="Z1699" s="66"/>
      <c r="AA1699" s="66"/>
      <c r="AB1699" s="66"/>
      <c r="AC1699" s="66"/>
      <c r="AD1699" s="66"/>
      <c r="AE1699" s="66"/>
      <c r="AF1699" s="44"/>
      <c r="AG1699" s="254">
        <f>Prog_23[[#This Row],[SAÍDA DO CLIENTE]]-Prog_23[[#This Row],[PROGRAMAÇÃO CLIENTE]]</f>
        <v>0</v>
      </c>
      <c r="AH1699" s="44"/>
      <c r="AI1699" s="66"/>
      <c r="AJ1699" s="66"/>
      <c r="AK1699" s="66"/>
      <c r="AL1699" s="66"/>
      <c r="AM1699" s="66"/>
      <c r="AN1699" s="83"/>
      <c r="AO1699" s="83"/>
      <c r="AP1699" s="83"/>
      <c r="AQ1699" s="66"/>
      <c r="AR1699" s="66"/>
      <c r="AS1699" s="66"/>
      <c r="AT1699" s="81"/>
      <c r="AU1699" s="81"/>
      <c r="AV1699" s="81"/>
      <c r="AW1699" s="81"/>
      <c r="AX1699" s="83">
        <f>SUM(Prog_23[[#This Row],[ADIANTAMENTO]]+Prog_23[[#This Row],[SALDO]]+Prog_23[[#This Row],[MARGEM]]+Prog_23[[#This Row],[ESTADIA 1]])</f>
        <v>0</v>
      </c>
      <c r="AY16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699" s="81"/>
      <c r="BA1699" s="81"/>
      <c r="BB1699" s="81">
        <f>Prog_23[[#This Row],[VLR NF]]*0.1%</f>
        <v>0</v>
      </c>
      <c r="BC1699" s="81">
        <f>Prog_23[[#This Row],[VLR NF]]*0.05%</f>
        <v>0</v>
      </c>
      <c r="BD1699" s="81"/>
      <c r="BE1699" s="81"/>
      <c r="BF1699" s="81"/>
      <c r="BG1699" s="81"/>
      <c r="BH1699" s="81"/>
      <c r="BI1699" s="81"/>
      <c r="BJ1699" s="81"/>
      <c r="BK1699" s="81"/>
      <c r="BL1699" s="81"/>
      <c r="BM1699" s="81"/>
      <c r="BN1699" s="66"/>
      <c r="BO1699" s="66"/>
      <c r="BP1699" s="66"/>
      <c r="BQ1699" s="66" t="str">
        <f>PROPER(TEXT(Prog_23[[#This Row],[PROGRAMAÇÃO CLIENTE]],"mmm"))</f>
        <v>Jan</v>
      </c>
      <c r="BR1699" s="66">
        <f>YEAR(Prog_23[[#This Row],[PROGRAMAÇÃO CLIENTE]])</f>
        <v>1900</v>
      </c>
    </row>
    <row r="1700" spans="1:70" x14ac:dyDescent="0.25">
      <c r="A1700" s="201">
        <f>Prog_23[[#This Row],[CONTEINER]]</f>
        <v>0</v>
      </c>
      <c r="B1700" s="86"/>
      <c r="C17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00" s="44"/>
      <c r="E1700" s="66"/>
      <c r="F1700" s="66"/>
      <c r="G1700" s="66"/>
      <c r="H1700" s="44"/>
      <c r="I1700" s="44"/>
      <c r="J1700" s="66"/>
      <c r="K1700" s="66"/>
      <c r="L1700" s="66"/>
      <c r="M1700" s="66"/>
      <c r="N1700" s="66">
        <f>SUM(Prog_23[[#This Row],[TARA]]+Prog_23[[#This Row],[PESO]])</f>
        <v>0</v>
      </c>
      <c r="O1700" s="44"/>
      <c r="P1700" s="66"/>
      <c r="Q1700" s="66"/>
      <c r="R1700" s="66"/>
      <c r="S1700" s="66"/>
      <c r="T1700" s="138" t="str">
        <f>IFERROR(LOOKUP($S1700,MOTORISTAS!$D$3:$D$916,MOTORISTAS!E$3:$E$916),"")</f>
        <v/>
      </c>
      <c r="U1700" s="138" t="str">
        <f>IFERROR(LOOKUP($S1700,MOTORISTAS!$D$3:$D$916,MOTORISTAS!F$3:$F$916),"")</f>
        <v/>
      </c>
      <c r="V1700" s="66"/>
      <c r="W1700" s="66"/>
      <c r="X1700" s="66"/>
      <c r="Y1700" s="66"/>
      <c r="Z1700" s="66"/>
      <c r="AA1700" s="66"/>
      <c r="AB1700" s="66"/>
      <c r="AC1700" s="66"/>
      <c r="AD1700" s="66"/>
      <c r="AE1700" s="66"/>
      <c r="AF1700" s="44"/>
      <c r="AG1700" s="254">
        <f>Prog_23[[#This Row],[SAÍDA DO CLIENTE]]-Prog_23[[#This Row],[PROGRAMAÇÃO CLIENTE]]</f>
        <v>0</v>
      </c>
      <c r="AH1700" s="44"/>
      <c r="AI1700" s="66"/>
      <c r="AJ1700" s="66"/>
      <c r="AK1700" s="66"/>
      <c r="AL1700" s="66"/>
      <c r="AM1700" s="66"/>
      <c r="AN1700" s="83"/>
      <c r="AO1700" s="83"/>
      <c r="AP1700" s="83"/>
      <c r="AQ1700" s="66"/>
      <c r="AR1700" s="66"/>
      <c r="AS1700" s="66"/>
      <c r="AT1700" s="81"/>
      <c r="AU1700" s="81"/>
      <c r="AV1700" s="81"/>
      <c r="AW1700" s="81"/>
      <c r="AX1700" s="83">
        <f>SUM(Prog_23[[#This Row],[ADIANTAMENTO]]+Prog_23[[#This Row],[SALDO]]+Prog_23[[#This Row],[MARGEM]]+Prog_23[[#This Row],[ESTADIA 1]])</f>
        <v>0</v>
      </c>
      <c r="AY17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00" s="81"/>
      <c r="BA1700" s="81"/>
      <c r="BB1700" s="81">
        <f>Prog_23[[#This Row],[VLR NF]]*0.1%</f>
        <v>0</v>
      </c>
      <c r="BC1700" s="81">
        <f>Prog_23[[#This Row],[VLR NF]]*0.05%</f>
        <v>0</v>
      </c>
      <c r="BD1700" s="81"/>
      <c r="BE1700" s="81"/>
      <c r="BF1700" s="81"/>
      <c r="BG1700" s="81"/>
      <c r="BH1700" s="81"/>
      <c r="BI1700" s="81"/>
      <c r="BJ1700" s="81"/>
      <c r="BK1700" s="81"/>
      <c r="BL1700" s="81"/>
      <c r="BM1700" s="81"/>
      <c r="BN1700" s="66"/>
      <c r="BO1700" s="66"/>
      <c r="BP1700" s="66"/>
      <c r="BQ1700" s="66" t="str">
        <f>PROPER(TEXT(Prog_23[[#This Row],[PROGRAMAÇÃO CLIENTE]],"mmm"))</f>
        <v>Jan</v>
      </c>
      <c r="BR1700" s="66">
        <f>YEAR(Prog_23[[#This Row],[PROGRAMAÇÃO CLIENTE]])</f>
        <v>1900</v>
      </c>
    </row>
    <row r="1701" spans="1:70" x14ac:dyDescent="0.25">
      <c r="A1701" s="200">
        <f>Prog_23[[#This Row],[CONTEINER]]</f>
        <v>0</v>
      </c>
      <c r="B1701" s="86"/>
      <c r="C17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01" s="44"/>
      <c r="E1701" s="66"/>
      <c r="F1701" s="66"/>
      <c r="G1701" s="66"/>
      <c r="H1701" s="44"/>
      <c r="I1701" s="44"/>
      <c r="J1701" s="66"/>
      <c r="K1701" s="66"/>
      <c r="L1701" s="66"/>
      <c r="M1701" s="66"/>
      <c r="N1701" s="66">
        <f>SUM(Prog_23[[#This Row],[TARA]]+Prog_23[[#This Row],[PESO]])</f>
        <v>0</v>
      </c>
      <c r="O1701" s="44"/>
      <c r="P1701" s="66"/>
      <c r="Q1701" s="66"/>
      <c r="R1701" s="66"/>
      <c r="S1701" s="66"/>
      <c r="T1701" s="138" t="str">
        <f>IFERROR(LOOKUP($S1701,MOTORISTAS!$D$3:$D$916,MOTORISTAS!E$3:$E$916),"")</f>
        <v/>
      </c>
      <c r="U1701" s="138" t="str">
        <f>IFERROR(LOOKUP($S1701,MOTORISTAS!$D$3:$D$916,MOTORISTAS!F$3:$F$916),"")</f>
        <v/>
      </c>
      <c r="V1701" s="66"/>
      <c r="W1701" s="66"/>
      <c r="X1701" s="66"/>
      <c r="Y1701" s="66"/>
      <c r="Z1701" s="66"/>
      <c r="AA1701" s="66"/>
      <c r="AB1701" s="66"/>
      <c r="AC1701" s="66"/>
      <c r="AD1701" s="66"/>
      <c r="AE1701" s="66"/>
      <c r="AF1701" s="44"/>
      <c r="AG1701" s="254">
        <f>Prog_23[[#This Row],[SAÍDA DO CLIENTE]]-Prog_23[[#This Row],[PROGRAMAÇÃO CLIENTE]]</f>
        <v>0</v>
      </c>
      <c r="AH1701" s="44"/>
      <c r="AI1701" s="66"/>
      <c r="AJ1701" s="66"/>
      <c r="AK1701" s="66"/>
      <c r="AL1701" s="66"/>
      <c r="AM1701" s="66"/>
      <c r="AN1701" s="83"/>
      <c r="AO1701" s="83"/>
      <c r="AP1701" s="83"/>
      <c r="AQ1701" s="66"/>
      <c r="AR1701" s="66"/>
      <c r="AS1701" s="66"/>
      <c r="AT1701" s="81"/>
      <c r="AU1701" s="81"/>
      <c r="AV1701" s="81"/>
      <c r="AW1701" s="81"/>
      <c r="AX1701" s="83">
        <f>SUM(Prog_23[[#This Row],[ADIANTAMENTO]]+Prog_23[[#This Row],[SALDO]]+Prog_23[[#This Row],[MARGEM]]+Prog_23[[#This Row],[ESTADIA 1]])</f>
        <v>0</v>
      </c>
      <c r="AY17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01" s="81"/>
      <c r="BA1701" s="81"/>
      <c r="BB1701" s="81">
        <f>Prog_23[[#This Row],[VLR NF]]*0.1%</f>
        <v>0</v>
      </c>
      <c r="BC1701" s="81">
        <f>Prog_23[[#This Row],[VLR NF]]*0.05%</f>
        <v>0</v>
      </c>
      <c r="BD1701" s="81"/>
      <c r="BE1701" s="81"/>
      <c r="BF1701" s="81"/>
      <c r="BG1701" s="81"/>
      <c r="BH1701" s="81"/>
      <c r="BI1701" s="81"/>
      <c r="BJ1701" s="81"/>
      <c r="BK1701" s="81"/>
      <c r="BL1701" s="81"/>
      <c r="BM1701" s="81"/>
      <c r="BN1701" s="66"/>
      <c r="BO1701" s="66"/>
      <c r="BP1701" s="66"/>
      <c r="BQ1701" s="66" t="str">
        <f>PROPER(TEXT(Prog_23[[#This Row],[PROGRAMAÇÃO CLIENTE]],"mmm"))</f>
        <v>Jan</v>
      </c>
      <c r="BR1701" s="66">
        <f>YEAR(Prog_23[[#This Row],[PROGRAMAÇÃO CLIENTE]])</f>
        <v>1900</v>
      </c>
    </row>
    <row r="1702" spans="1:70" x14ac:dyDescent="0.25">
      <c r="A1702" s="201">
        <f>Prog_23[[#This Row],[CONTEINER]]</f>
        <v>0</v>
      </c>
      <c r="B1702" s="86"/>
      <c r="C17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02" s="44"/>
      <c r="E1702" s="66"/>
      <c r="F1702" s="66"/>
      <c r="G1702" s="66"/>
      <c r="H1702" s="44"/>
      <c r="I1702" s="44"/>
      <c r="J1702" s="66"/>
      <c r="K1702" s="66"/>
      <c r="L1702" s="66"/>
      <c r="M1702" s="66"/>
      <c r="N1702" s="66">
        <f>SUM(Prog_23[[#This Row],[TARA]]+Prog_23[[#This Row],[PESO]])</f>
        <v>0</v>
      </c>
      <c r="O1702" s="44"/>
      <c r="P1702" s="66"/>
      <c r="Q1702" s="66"/>
      <c r="R1702" s="66"/>
      <c r="S1702" s="66"/>
      <c r="T1702" s="138" t="str">
        <f>IFERROR(LOOKUP($S1702,MOTORISTAS!$D$3:$D$916,MOTORISTAS!E$3:$E$916),"")</f>
        <v/>
      </c>
      <c r="U1702" s="138" t="str">
        <f>IFERROR(LOOKUP($S1702,MOTORISTAS!$D$3:$D$916,MOTORISTAS!F$3:$F$916),"")</f>
        <v/>
      </c>
      <c r="V1702" s="66"/>
      <c r="W1702" s="66"/>
      <c r="X1702" s="66"/>
      <c r="Y1702" s="66"/>
      <c r="Z1702" s="66"/>
      <c r="AA1702" s="66"/>
      <c r="AB1702" s="66"/>
      <c r="AC1702" s="66"/>
      <c r="AD1702" s="66"/>
      <c r="AE1702" s="66"/>
      <c r="AF1702" s="44"/>
      <c r="AG1702" s="254">
        <f>Prog_23[[#This Row],[SAÍDA DO CLIENTE]]-Prog_23[[#This Row],[PROGRAMAÇÃO CLIENTE]]</f>
        <v>0</v>
      </c>
      <c r="AH1702" s="44"/>
      <c r="AI1702" s="66"/>
      <c r="AJ1702" s="66"/>
      <c r="AK1702" s="66"/>
      <c r="AL1702" s="66"/>
      <c r="AM1702" s="66"/>
      <c r="AN1702" s="83"/>
      <c r="AO1702" s="83"/>
      <c r="AP1702" s="83"/>
      <c r="AQ1702" s="66"/>
      <c r="AR1702" s="66"/>
      <c r="AS1702" s="66"/>
      <c r="AT1702" s="81"/>
      <c r="AU1702" s="81"/>
      <c r="AV1702" s="81"/>
      <c r="AW1702" s="81"/>
      <c r="AX1702" s="83">
        <f>SUM(Prog_23[[#This Row],[ADIANTAMENTO]]+Prog_23[[#This Row],[SALDO]]+Prog_23[[#This Row],[MARGEM]]+Prog_23[[#This Row],[ESTADIA 1]])</f>
        <v>0</v>
      </c>
      <c r="AY17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02" s="81"/>
      <c r="BA1702" s="81"/>
      <c r="BB1702" s="81">
        <f>Prog_23[[#This Row],[VLR NF]]*0.1%</f>
        <v>0</v>
      </c>
      <c r="BC1702" s="81">
        <f>Prog_23[[#This Row],[VLR NF]]*0.05%</f>
        <v>0</v>
      </c>
      <c r="BD1702" s="81"/>
      <c r="BE1702" s="81"/>
      <c r="BF1702" s="81"/>
      <c r="BG1702" s="81"/>
      <c r="BH1702" s="81"/>
      <c r="BI1702" s="81"/>
      <c r="BJ1702" s="81"/>
      <c r="BK1702" s="81"/>
      <c r="BL1702" s="81"/>
      <c r="BM1702" s="81"/>
      <c r="BN1702" s="66"/>
      <c r="BO1702" s="66"/>
      <c r="BP1702" s="66"/>
      <c r="BQ1702" s="66" t="str">
        <f>PROPER(TEXT(Prog_23[[#This Row],[PROGRAMAÇÃO CLIENTE]],"mmm"))</f>
        <v>Jan</v>
      </c>
      <c r="BR1702" s="66">
        <f>YEAR(Prog_23[[#This Row],[PROGRAMAÇÃO CLIENTE]])</f>
        <v>1900</v>
      </c>
    </row>
    <row r="1703" spans="1:70" x14ac:dyDescent="0.25">
      <c r="A1703" s="200">
        <f>Prog_23[[#This Row],[CONTEINER]]</f>
        <v>0</v>
      </c>
      <c r="B1703" s="86"/>
      <c r="C17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03" s="44"/>
      <c r="E1703" s="66"/>
      <c r="F1703" s="66"/>
      <c r="G1703" s="66"/>
      <c r="H1703" s="44"/>
      <c r="I1703" s="44"/>
      <c r="J1703" s="66"/>
      <c r="K1703" s="66"/>
      <c r="L1703" s="66"/>
      <c r="M1703" s="66"/>
      <c r="N1703" s="66">
        <f>SUM(Prog_23[[#This Row],[TARA]]+Prog_23[[#This Row],[PESO]])</f>
        <v>0</v>
      </c>
      <c r="O1703" s="44"/>
      <c r="P1703" s="66"/>
      <c r="Q1703" s="66"/>
      <c r="R1703" s="66"/>
      <c r="S1703" s="66"/>
      <c r="T1703" s="138" t="str">
        <f>IFERROR(LOOKUP($S1703,MOTORISTAS!$D$3:$D$916,MOTORISTAS!E$3:$E$916),"")</f>
        <v/>
      </c>
      <c r="U1703" s="138" t="str">
        <f>IFERROR(LOOKUP($S1703,MOTORISTAS!$D$3:$D$916,MOTORISTAS!F$3:$F$916),"")</f>
        <v/>
      </c>
      <c r="V1703" s="66"/>
      <c r="W1703" s="66"/>
      <c r="X1703" s="66"/>
      <c r="Y1703" s="66"/>
      <c r="Z1703" s="66"/>
      <c r="AA1703" s="66"/>
      <c r="AB1703" s="66"/>
      <c r="AC1703" s="66"/>
      <c r="AD1703" s="66"/>
      <c r="AE1703" s="66"/>
      <c r="AF1703" s="44"/>
      <c r="AG1703" s="254">
        <f>Prog_23[[#This Row],[SAÍDA DO CLIENTE]]-Prog_23[[#This Row],[PROGRAMAÇÃO CLIENTE]]</f>
        <v>0</v>
      </c>
      <c r="AH1703" s="44"/>
      <c r="AI1703" s="66"/>
      <c r="AJ1703" s="66"/>
      <c r="AK1703" s="66"/>
      <c r="AL1703" s="66"/>
      <c r="AM1703" s="66"/>
      <c r="AN1703" s="83"/>
      <c r="AO1703" s="83"/>
      <c r="AP1703" s="83"/>
      <c r="AQ1703" s="66"/>
      <c r="AR1703" s="66"/>
      <c r="AS1703" s="66"/>
      <c r="AT1703" s="81"/>
      <c r="AU1703" s="81"/>
      <c r="AV1703" s="81"/>
      <c r="AW1703" s="81"/>
      <c r="AX1703" s="83">
        <f>SUM(Prog_23[[#This Row],[ADIANTAMENTO]]+Prog_23[[#This Row],[SALDO]]+Prog_23[[#This Row],[MARGEM]]+Prog_23[[#This Row],[ESTADIA 1]])</f>
        <v>0</v>
      </c>
      <c r="AY17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03" s="81"/>
      <c r="BA1703" s="81"/>
      <c r="BB1703" s="81">
        <f>Prog_23[[#This Row],[VLR NF]]*0.1%</f>
        <v>0</v>
      </c>
      <c r="BC1703" s="81">
        <f>Prog_23[[#This Row],[VLR NF]]*0.05%</f>
        <v>0</v>
      </c>
      <c r="BD1703" s="81"/>
      <c r="BE1703" s="81"/>
      <c r="BF1703" s="81"/>
      <c r="BG1703" s="81"/>
      <c r="BH1703" s="81"/>
      <c r="BI1703" s="81"/>
      <c r="BJ1703" s="81"/>
      <c r="BK1703" s="81"/>
      <c r="BL1703" s="81"/>
      <c r="BM1703" s="81"/>
      <c r="BN1703" s="66"/>
      <c r="BO1703" s="66"/>
      <c r="BP1703" s="66"/>
      <c r="BQ1703" s="66" t="str">
        <f>PROPER(TEXT(Prog_23[[#This Row],[PROGRAMAÇÃO CLIENTE]],"mmm"))</f>
        <v>Jan</v>
      </c>
      <c r="BR1703" s="66">
        <f>YEAR(Prog_23[[#This Row],[PROGRAMAÇÃO CLIENTE]])</f>
        <v>1900</v>
      </c>
    </row>
    <row r="1704" spans="1:70" x14ac:dyDescent="0.25">
      <c r="A1704" s="201">
        <f>Prog_23[[#This Row],[CONTEINER]]</f>
        <v>0</v>
      </c>
      <c r="B1704" s="86"/>
      <c r="C17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04" s="44"/>
      <c r="E1704" s="66"/>
      <c r="F1704" s="66"/>
      <c r="G1704" s="66"/>
      <c r="H1704" s="44"/>
      <c r="I1704" s="44"/>
      <c r="J1704" s="66"/>
      <c r="K1704" s="66"/>
      <c r="L1704" s="66"/>
      <c r="M1704" s="66"/>
      <c r="N1704" s="66">
        <f>SUM(Prog_23[[#This Row],[TARA]]+Prog_23[[#This Row],[PESO]])</f>
        <v>0</v>
      </c>
      <c r="O1704" s="44"/>
      <c r="P1704" s="66"/>
      <c r="Q1704" s="66"/>
      <c r="R1704" s="66"/>
      <c r="S1704" s="66"/>
      <c r="T1704" s="138" t="str">
        <f>IFERROR(LOOKUP($S1704,MOTORISTAS!$D$3:$D$916,MOTORISTAS!E$3:$E$916),"")</f>
        <v/>
      </c>
      <c r="U1704" s="138" t="str">
        <f>IFERROR(LOOKUP($S1704,MOTORISTAS!$D$3:$D$916,MOTORISTAS!F$3:$F$916),"")</f>
        <v/>
      </c>
      <c r="V1704" s="66"/>
      <c r="W1704" s="66"/>
      <c r="X1704" s="66"/>
      <c r="Y1704" s="66"/>
      <c r="Z1704" s="66"/>
      <c r="AA1704" s="66"/>
      <c r="AB1704" s="66"/>
      <c r="AC1704" s="66"/>
      <c r="AD1704" s="66"/>
      <c r="AE1704" s="66"/>
      <c r="AF1704" s="44"/>
      <c r="AG1704" s="254">
        <f>Prog_23[[#This Row],[SAÍDA DO CLIENTE]]-Prog_23[[#This Row],[PROGRAMAÇÃO CLIENTE]]</f>
        <v>0</v>
      </c>
      <c r="AH1704" s="44"/>
      <c r="AI1704" s="66"/>
      <c r="AJ1704" s="66"/>
      <c r="AK1704" s="66"/>
      <c r="AL1704" s="66"/>
      <c r="AM1704" s="66"/>
      <c r="AN1704" s="83"/>
      <c r="AO1704" s="83"/>
      <c r="AP1704" s="83"/>
      <c r="AQ1704" s="66"/>
      <c r="AR1704" s="66"/>
      <c r="AS1704" s="66"/>
      <c r="AT1704" s="81"/>
      <c r="AU1704" s="81"/>
      <c r="AV1704" s="81"/>
      <c r="AW1704" s="81"/>
      <c r="AX1704" s="83">
        <f>SUM(Prog_23[[#This Row],[ADIANTAMENTO]]+Prog_23[[#This Row],[SALDO]]+Prog_23[[#This Row],[MARGEM]]+Prog_23[[#This Row],[ESTADIA 1]])</f>
        <v>0</v>
      </c>
      <c r="AY17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04" s="81"/>
      <c r="BA1704" s="81"/>
      <c r="BB1704" s="81">
        <f>Prog_23[[#This Row],[VLR NF]]*0.1%</f>
        <v>0</v>
      </c>
      <c r="BC1704" s="81">
        <f>Prog_23[[#This Row],[VLR NF]]*0.05%</f>
        <v>0</v>
      </c>
      <c r="BD1704" s="81"/>
      <c r="BE1704" s="81"/>
      <c r="BF1704" s="81"/>
      <c r="BG1704" s="81"/>
      <c r="BH1704" s="81"/>
      <c r="BI1704" s="81"/>
      <c r="BJ1704" s="81"/>
      <c r="BK1704" s="81"/>
      <c r="BL1704" s="81"/>
      <c r="BM1704" s="81"/>
      <c r="BN1704" s="66"/>
      <c r="BO1704" s="66"/>
      <c r="BP1704" s="66"/>
      <c r="BQ1704" s="66" t="str">
        <f>PROPER(TEXT(Prog_23[[#This Row],[PROGRAMAÇÃO CLIENTE]],"mmm"))</f>
        <v>Jan</v>
      </c>
      <c r="BR1704" s="66">
        <f>YEAR(Prog_23[[#This Row],[PROGRAMAÇÃO CLIENTE]])</f>
        <v>1900</v>
      </c>
    </row>
    <row r="1705" spans="1:70" x14ac:dyDescent="0.25">
      <c r="A1705" s="200">
        <f>Prog_23[[#This Row],[CONTEINER]]</f>
        <v>0</v>
      </c>
      <c r="B1705" s="86"/>
      <c r="C17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05" s="44"/>
      <c r="E1705" s="66"/>
      <c r="F1705" s="66"/>
      <c r="G1705" s="66"/>
      <c r="H1705" s="44"/>
      <c r="I1705" s="44"/>
      <c r="J1705" s="66"/>
      <c r="K1705" s="66"/>
      <c r="L1705" s="66"/>
      <c r="M1705" s="66"/>
      <c r="N1705" s="66">
        <f>SUM(Prog_23[[#This Row],[TARA]]+Prog_23[[#This Row],[PESO]])</f>
        <v>0</v>
      </c>
      <c r="O1705" s="44"/>
      <c r="P1705" s="66"/>
      <c r="Q1705" s="66"/>
      <c r="R1705" s="66"/>
      <c r="S1705" s="66"/>
      <c r="T1705" s="138" t="str">
        <f>IFERROR(LOOKUP($S1705,MOTORISTAS!$D$3:$D$916,MOTORISTAS!E$3:$E$916),"")</f>
        <v/>
      </c>
      <c r="U1705" s="138" t="str">
        <f>IFERROR(LOOKUP($S1705,MOTORISTAS!$D$3:$D$916,MOTORISTAS!F$3:$F$916),"")</f>
        <v/>
      </c>
      <c r="V1705" s="66"/>
      <c r="W1705" s="66"/>
      <c r="X1705" s="66"/>
      <c r="Y1705" s="66"/>
      <c r="Z1705" s="66"/>
      <c r="AA1705" s="66"/>
      <c r="AB1705" s="66"/>
      <c r="AC1705" s="66"/>
      <c r="AD1705" s="66"/>
      <c r="AE1705" s="66"/>
      <c r="AF1705" s="44"/>
      <c r="AG1705" s="254">
        <f>Prog_23[[#This Row],[SAÍDA DO CLIENTE]]-Prog_23[[#This Row],[PROGRAMAÇÃO CLIENTE]]</f>
        <v>0</v>
      </c>
      <c r="AH1705" s="44"/>
      <c r="AI1705" s="66"/>
      <c r="AJ1705" s="66"/>
      <c r="AK1705" s="66"/>
      <c r="AL1705" s="66"/>
      <c r="AM1705" s="66"/>
      <c r="AN1705" s="83"/>
      <c r="AO1705" s="83"/>
      <c r="AP1705" s="83"/>
      <c r="AQ1705" s="66"/>
      <c r="AR1705" s="66"/>
      <c r="AS1705" s="66"/>
      <c r="AT1705" s="81"/>
      <c r="AU1705" s="81"/>
      <c r="AV1705" s="81"/>
      <c r="AW1705" s="81"/>
      <c r="AX1705" s="83">
        <f>SUM(Prog_23[[#This Row],[ADIANTAMENTO]]+Prog_23[[#This Row],[SALDO]]+Prog_23[[#This Row],[MARGEM]]+Prog_23[[#This Row],[ESTADIA 1]])</f>
        <v>0</v>
      </c>
      <c r="AY17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05" s="81"/>
      <c r="BA1705" s="81"/>
      <c r="BB1705" s="81">
        <f>Prog_23[[#This Row],[VLR NF]]*0.1%</f>
        <v>0</v>
      </c>
      <c r="BC1705" s="81">
        <f>Prog_23[[#This Row],[VLR NF]]*0.05%</f>
        <v>0</v>
      </c>
      <c r="BD1705" s="81"/>
      <c r="BE1705" s="81"/>
      <c r="BF1705" s="81"/>
      <c r="BG1705" s="81"/>
      <c r="BH1705" s="81"/>
      <c r="BI1705" s="81"/>
      <c r="BJ1705" s="81"/>
      <c r="BK1705" s="81"/>
      <c r="BL1705" s="81"/>
      <c r="BM1705" s="81"/>
      <c r="BN1705" s="66"/>
      <c r="BO1705" s="66"/>
      <c r="BP1705" s="66"/>
      <c r="BQ1705" s="66" t="str">
        <f>PROPER(TEXT(Prog_23[[#This Row],[PROGRAMAÇÃO CLIENTE]],"mmm"))</f>
        <v>Jan</v>
      </c>
      <c r="BR1705" s="66">
        <f>YEAR(Prog_23[[#This Row],[PROGRAMAÇÃO CLIENTE]])</f>
        <v>1900</v>
      </c>
    </row>
    <row r="1706" spans="1:70" x14ac:dyDescent="0.25">
      <c r="A1706" s="201">
        <f>Prog_23[[#This Row],[CONTEINER]]</f>
        <v>0</v>
      </c>
      <c r="B1706" s="86"/>
      <c r="C17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06" s="44"/>
      <c r="E1706" s="66"/>
      <c r="F1706" s="66"/>
      <c r="G1706" s="66"/>
      <c r="H1706" s="44"/>
      <c r="I1706" s="44"/>
      <c r="J1706" s="66"/>
      <c r="K1706" s="66"/>
      <c r="L1706" s="66"/>
      <c r="M1706" s="66"/>
      <c r="N1706" s="66">
        <f>SUM(Prog_23[[#This Row],[TARA]]+Prog_23[[#This Row],[PESO]])</f>
        <v>0</v>
      </c>
      <c r="O1706" s="44"/>
      <c r="P1706" s="66"/>
      <c r="Q1706" s="66"/>
      <c r="R1706" s="66"/>
      <c r="S1706" s="66"/>
      <c r="T1706" s="138" t="str">
        <f>IFERROR(LOOKUP($S1706,MOTORISTAS!$D$3:$D$916,MOTORISTAS!E$3:$E$916),"")</f>
        <v/>
      </c>
      <c r="U1706" s="138" t="str">
        <f>IFERROR(LOOKUP($S1706,MOTORISTAS!$D$3:$D$916,MOTORISTAS!F$3:$F$916),"")</f>
        <v/>
      </c>
      <c r="V1706" s="66"/>
      <c r="W1706" s="66"/>
      <c r="X1706" s="66"/>
      <c r="Y1706" s="66"/>
      <c r="Z1706" s="66"/>
      <c r="AA1706" s="66"/>
      <c r="AB1706" s="66"/>
      <c r="AC1706" s="66"/>
      <c r="AD1706" s="66"/>
      <c r="AE1706" s="66"/>
      <c r="AF1706" s="44"/>
      <c r="AG1706" s="254">
        <f>Prog_23[[#This Row],[SAÍDA DO CLIENTE]]-Prog_23[[#This Row],[PROGRAMAÇÃO CLIENTE]]</f>
        <v>0</v>
      </c>
      <c r="AH1706" s="44"/>
      <c r="AI1706" s="66"/>
      <c r="AJ1706" s="66"/>
      <c r="AK1706" s="66"/>
      <c r="AL1706" s="66"/>
      <c r="AM1706" s="66"/>
      <c r="AN1706" s="83"/>
      <c r="AO1706" s="83"/>
      <c r="AP1706" s="83"/>
      <c r="AQ1706" s="66"/>
      <c r="AR1706" s="66"/>
      <c r="AS1706" s="66"/>
      <c r="AT1706" s="81"/>
      <c r="AU1706" s="81"/>
      <c r="AV1706" s="81"/>
      <c r="AW1706" s="81"/>
      <c r="AX1706" s="83">
        <f>SUM(Prog_23[[#This Row],[ADIANTAMENTO]]+Prog_23[[#This Row],[SALDO]]+Prog_23[[#This Row],[MARGEM]]+Prog_23[[#This Row],[ESTADIA 1]])</f>
        <v>0</v>
      </c>
      <c r="AY17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06" s="81"/>
      <c r="BA1706" s="81"/>
      <c r="BB1706" s="81">
        <f>Prog_23[[#This Row],[VLR NF]]*0.1%</f>
        <v>0</v>
      </c>
      <c r="BC1706" s="81">
        <f>Prog_23[[#This Row],[VLR NF]]*0.05%</f>
        <v>0</v>
      </c>
      <c r="BD1706" s="81"/>
      <c r="BE1706" s="81"/>
      <c r="BF1706" s="81"/>
      <c r="BG1706" s="81"/>
      <c r="BH1706" s="81"/>
      <c r="BI1706" s="81"/>
      <c r="BJ1706" s="81"/>
      <c r="BK1706" s="81"/>
      <c r="BL1706" s="81"/>
      <c r="BM1706" s="81"/>
      <c r="BN1706" s="66"/>
      <c r="BO1706" s="66"/>
      <c r="BP1706" s="66"/>
      <c r="BQ1706" s="66" t="str">
        <f>PROPER(TEXT(Prog_23[[#This Row],[PROGRAMAÇÃO CLIENTE]],"mmm"))</f>
        <v>Jan</v>
      </c>
      <c r="BR1706" s="66">
        <f>YEAR(Prog_23[[#This Row],[PROGRAMAÇÃO CLIENTE]])</f>
        <v>1900</v>
      </c>
    </row>
    <row r="1707" spans="1:70" x14ac:dyDescent="0.25">
      <c r="A1707" s="200">
        <f>Prog_23[[#This Row],[CONTEINER]]</f>
        <v>0</v>
      </c>
      <c r="B1707" s="86"/>
      <c r="C17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07" s="44"/>
      <c r="E1707" s="66"/>
      <c r="F1707" s="66"/>
      <c r="G1707" s="66"/>
      <c r="H1707" s="44"/>
      <c r="I1707" s="44"/>
      <c r="J1707" s="66"/>
      <c r="K1707" s="66"/>
      <c r="L1707" s="66"/>
      <c r="M1707" s="66"/>
      <c r="N1707" s="66">
        <f>SUM(Prog_23[[#This Row],[TARA]]+Prog_23[[#This Row],[PESO]])</f>
        <v>0</v>
      </c>
      <c r="O1707" s="44"/>
      <c r="P1707" s="66"/>
      <c r="Q1707" s="66"/>
      <c r="R1707" s="66"/>
      <c r="S1707" s="66"/>
      <c r="T1707" s="138" t="str">
        <f>IFERROR(LOOKUP($S1707,MOTORISTAS!$D$3:$D$916,MOTORISTAS!E$3:$E$916),"")</f>
        <v/>
      </c>
      <c r="U1707" s="138" t="str">
        <f>IFERROR(LOOKUP($S1707,MOTORISTAS!$D$3:$D$916,MOTORISTAS!F$3:$F$916),"")</f>
        <v/>
      </c>
      <c r="V1707" s="66"/>
      <c r="W1707" s="66"/>
      <c r="X1707" s="66"/>
      <c r="Y1707" s="66"/>
      <c r="Z1707" s="66"/>
      <c r="AA1707" s="66"/>
      <c r="AB1707" s="66"/>
      <c r="AC1707" s="66"/>
      <c r="AD1707" s="66"/>
      <c r="AE1707" s="66"/>
      <c r="AF1707" s="44"/>
      <c r="AG1707" s="254">
        <f>Prog_23[[#This Row],[SAÍDA DO CLIENTE]]-Prog_23[[#This Row],[PROGRAMAÇÃO CLIENTE]]</f>
        <v>0</v>
      </c>
      <c r="AH1707" s="44"/>
      <c r="AI1707" s="66"/>
      <c r="AJ1707" s="66"/>
      <c r="AK1707" s="66"/>
      <c r="AL1707" s="66"/>
      <c r="AM1707" s="66"/>
      <c r="AN1707" s="83"/>
      <c r="AO1707" s="83"/>
      <c r="AP1707" s="83"/>
      <c r="AQ1707" s="66"/>
      <c r="AR1707" s="66"/>
      <c r="AS1707" s="66"/>
      <c r="AT1707" s="81"/>
      <c r="AU1707" s="81"/>
      <c r="AV1707" s="81"/>
      <c r="AW1707" s="81"/>
      <c r="AX1707" s="83">
        <f>SUM(Prog_23[[#This Row],[ADIANTAMENTO]]+Prog_23[[#This Row],[SALDO]]+Prog_23[[#This Row],[MARGEM]]+Prog_23[[#This Row],[ESTADIA 1]])</f>
        <v>0</v>
      </c>
      <c r="AY17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07" s="81"/>
      <c r="BA1707" s="81"/>
      <c r="BB1707" s="81">
        <f>Prog_23[[#This Row],[VLR NF]]*0.1%</f>
        <v>0</v>
      </c>
      <c r="BC1707" s="81">
        <f>Prog_23[[#This Row],[VLR NF]]*0.05%</f>
        <v>0</v>
      </c>
      <c r="BD1707" s="81"/>
      <c r="BE1707" s="81"/>
      <c r="BF1707" s="81"/>
      <c r="BG1707" s="81"/>
      <c r="BH1707" s="81"/>
      <c r="BI1707" s="81"/>
      <c r="BJ1707" s="81"/>
      <c r="BK1707" s="81"/>
      <c r="BL1707" s="81"/>
      <c r="BM1707" s="81"/>
      <c r="BN1707" s="66"/>
      <c r="BO1707" s="66"/>
      <c r="BP1707" s="66"/>
      <c r="BQ1707" s="66" t="str">
        <f>PROPER(TEXT(Prog_23[[#This Row],[PROGRAMAÇÃO CLIENTE]],"mmm"))</f>
        <v>Jan</v>
      </c>
      <c r="BR1707" s="66">
        <f>YEAR(Prog_23[[#This Row],[PROGRAMAÇÃO CLIENTE]])</f>
        <v>1900</v>
      </c>
    </row>
    <row r="1708" spans="1:70" x14ac:dyDescent="0.25">
      <c r="A1708" s="201">
        <f>Prog_23[[#This Row],[CONTEINER]]</f>
        <v>0</v>
      </c>
      <c r="B1708" s="86"/>
      <c r="C17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08" s="44"/>
      <c r="E1708" s="66"/>
      <c r="F1708" s="66"/>
      <c r="G1708" s="66"/>
      <c r="H1708" s="44"/>
      <c r="I1708" s="44"/>
      <c r="J1708" s="66"/>
      <c r="K1708" s="66"/>
      <c r="L1708" s="66"/>
      <c r="M1708" s="66"/>
      <c r="N1708" s="66">
        <f>SUM(Prog_23[[#This Row],[TARA]]+Prog_23[[#This Row],[PESO]])</f>
        <v>0</v>
      </c>
      <c r="O1708" s="44"/>
      <c r="P1708" s="66"/>
      <c r="Q1708" s="66"/>
      <c r="R1708" s="66"/>
      <c r="S1708" s="66"/>
      <c r="T1708" s="138" t="str">
        <f>IFERROR(LOOKUP($S1708,MOTORISTAS!$D$3:$D$916,MOTORISTAS!E$3:$E$916),"")</f>
        <v/>
      </c>
      <c r="U1708" s="138" t="str">
        <f>IFERROR(LOOKUP($S1708,MOTORISTAS!$D$3:$D$916,MOTORISTAS!F$3:$F$916),"")</f>
        <v/>
      </c>
      <c r="V1708" s="66"/>
      <c r="W1708" s="66"/>
      <c r="X1708" s="66"/>
      <c r="Y1708" s="66"/>
      <c r="Z1708" s="66"/>
      <c r="AA1708" s="66"/>
      <c r="AB1708" s="66"/>
      <c r="AC1708" s="66"/>
      <c r="AD1708" s="66"/>
      <c r="AE1708" s="66"/>
      <c r="AF1708" s="44"/>
      <c r="AG1708" s="254">
        <f>Prog_23[[#This Row],[SAÍDA DO CLIENTE]]-Prog_23[[#This Row],[PROGRAMAÇÃO CLIENTE]]</f>
        <v>0</v>
      </c>
      <c r="AH1708" s="44"/>
      <c r="AI1708" s="66"/>
      <c r="AJ1708" s="66"/>
      <c r="AK1708" s="66"/>
      <c r="AL1708" s="66"/>
      <c r="AM1708" s="66"/>
      <c r="AN1708" s="83"/>
      <c r="AO1708" s="83"/>
      <c r="AP1708" s="83"/>
      <c r="AQ1708" s="66"/>
      <c r="AR1708" s="66"/>
      <c r="AS1708" s="66"/>
      <c r="AT1708" s="81"/>
      <c r="AU1708" s="81"/>
      <c r="AV1708" s="81"/>
      <c r="AW1708" s="81"/>
      <c r="AX1708" s="83">
        <f>SUM(Prog_23[[#This Row],[ADIANTAMENTO]]+Prog_23[[#This Row],[SALDO]]+Prog_23[[#This Row],[MARGEM]]+Prog_23[[#This Row],[ESTADIA 1]])</f>
        <v>0</v>
      </c>
      <c r="AY17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08" s="81"/>
      <c r="BA1708" s="81"/>
      <c r="BB1708" s="81">
        <f>Prog_23[[#This Row],[VLR NF]]*0.1%</f>
        <v>0</v>
      </c>
      <c r="BC1708" s="81">
        <f>Prog_23[[#This Row],[VLR NF]]*0.05%</f>
        <v>0</v>
      </c>
      <c r="BD1708" s="81"/>
      <c r="BE1708" s="81"/>
      <c r="BF1708" s="81"/>
      <c r="BG1708" s="81"/>
      <c r="BH1708" s="81"/>
      <c r="BI1708" s="81"/>
      <c r="BJ1708" s="81"/>
      <c r="BK1708" s="81"/>
      <c r="BL1708" s="81"/>
      <c r="BM1708" s="81"/>
      <c r="BN1708" s="66"/>
      <c r="BO1708" s="66"/>
      <c r="BP1708" s="66"/>
      <c r="BQ1708" s="66" t="str">
        <f>PROPER(TEXT(Prog_23[[#This Row],[PROGRAMAÇÃO CLIENTE]],"mmm"))</f>
        <v>Jan</v>
      </c>
      <c r="BR1708" s="66">
        <f>YEAR(Prog_23[[#This Row],[PROGRAMAÇÃO CLIENTE]])</f>
        <v>1900</v>
      </c>
    </row>
    <row r="1709" spans="1:70" x14ac:dyDescent="0.25">
      <c r="A1709" s="200">
        <f>Prog_23[[#This Row],[CONTEINER]]</f>
        <v>0</v>
      </c>
      <c r="B1709" s="86"/>
      <c r="C17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09" s="44"/>
      <c r="E1709" s="66"/>
      <c r="F1709" s="66"/>
      <c r="G1709" s="66"/>
      <c r="H1709" s="44"/>
      <c r="I1709" s="44"/>
      <c r="J1709" s="66"/>
      <c r="K1709" s="66"/>
      <c r="L1709" s="66"/>
      <c r="M1709" s="66"/>
      <c r="N1709" s="66">
        <f>SUM(Prog_23[[#This Row],[TARA]]+Prog_23[[#This Row],[PESO]])</f>
        <v>0</v>
      </c>
      <c r="O1709" s="44"/>
      <c r="P1709" s="66"/>
      <c r="Q1709" s="66"/>
      <c r="R1709" s="66"/>
      <c r="S1709" s="66"/>
      <c r="T1709" s="138" t="str">
        <f>IFERROR(LOOKUP($S1709,MOTORISTAS!$D$3:$D$916,MOTORISTAS!E$3:$E$916),"")</f>
        <v/>
      </c>
      <c r="U1709" s="138" t="str">
        <f>IFERROR(LOOKUP($S1709,MOTORISTAS!$D$3:$D$916,MOTORISTAS!F$3:$F$916),"")</f>
        <v/>
      </c>
      <c r="V1709" s="66"/>
      <c r="W1709" s="66"/>
      <c r="X1709" s="66"/>
      <c r="Y1709" s="66"/>
      <c r="Z1709" s="66"/>
      <c r="AA1709" s="66"/>
      <c r="AB1709" s="66"/>
      <c r="AC1709" s="66"/>
      <c r="AD1709" s="66"/>
      <c r="AE1709" s="66"/>
      <c r="AF1709" s="44"/>
      <c r="AG1709" s="254">
        <f>Prog_23[[#This Row],[SAÍDA DO CLIENTE]]-Prog_23[[#This Row],[PROGRAMAÇÃO CLIENTE]]</f>
        <v>0</v>
      </c>
      <c r="AH1709" s="44"/>
      <c r="AI1709" s="66"/>
      <c r="AJ1709" s="66"/>
      <c r="AK1709" s="66"/>
      <c r="AL1709" s="66"/>
      <c r="AM1709" s="66"/>
      <c r="AN1709" s="83"/>
      <c r="AO1709" s="83"/>
      <c r="AP1709" s="83"/>
      <c r="AQ1709" s="66"/>
      <c r="AR1709" s="66"/>
      <c r="AS1709" s="66"/>
      <c r="AT1709" s="81"/>
      <c r="AU1709" s="81"/>
      <c r="AV1709" s="81"/>
      <c r="AW1709" s="81"/>
      <c r="AX1709" s="83">
        <f>SUM(Prog_23[[#This Row],[ADIANTAMENTO]]+Prog_23[[#This Row],[SALDO]]+Prog_23[[#This Row],[MARGEM]]+Prog_23[[#This Row],[ESTADIA 1]])</f>
        <v>0</v>
      </c>
      <c r="AY17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09" s="81"/>
      <c r="BA1709" s="81"/>
      <c r="BB1709" s="81">
        <f>Prog_23[[#This Row],[VLR NF]]*0.1%</f>
        <v>0</v>
      </c>
      <c r="BC1709" s="81">
        <f>Prog_23[[#This Row],[VLR NF]]*0.05%</f>
        <v>0</v>
      </c>
      <c r="BD1709" s="81"/>
      <c r="BE1709" s="81"/>
      <c r="BF1709" s="81"/>
      <c r="BG1709" s="81"/>
      <c r="BH1709" s="81"/>
      <c r="BI1709" s="81"/>
      <c r="BJ1709" s="81"/>
      <c r="BK1709" s="81"/>
      <c r="BL1709" s="81"/>
      <c r="BM1709" s="81"/>
      <c r="BN1709" s="66"/>
      <c r="BO1709" s="66"/>
      <c r="BP1709" s="66"/>
      <c r="BQ1709" s="66" t="str">
        <f>PROPER(TEXT(Prog_23[[#This Row],[PROGRAMAÇÃO CLIENTE]],"mmm"))</f>
        <v>Jan</v>
      </c>
      <c r="BR1709" s="66">
        <f>YEAR(Prog_23[[#This Row],[PROGRAMAÇÃO CLIENTE]])</f>
        <v>1900</v>
      </c>
    </row>
    <row r="1710" spans="1:70" x14ac:dyDescent="0.25">
      <c r="A1710" s="201">
        <f>Prog_23[[#This Row],[CONTEINER]]</f>
        <v>0</v>
      </c>
      <c r="B1710" s="86"/>
      <c r="C17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10" s="44"/>
      <c r="E1710" s="66"/>
      <c r="F1710" s="66"/>
      <c r="G1710" s="66"/>
      <c r="H1710" s="44"/>
      <c r="I1710" s="44"/>
      <c r="J1710" s="66"/>
      <c r="K1710" s="66"/>
      <c r="L1710" s="66"/>
      <c r="M1710" s="66"/>
      <c r="N1710" s="66">
        <f>SUM(Prog_23[[#This Row],[TARA]]+Prog_23[[#This Row],[PESO]])</f>
        <v>0</v>
      </c>
      <c r="O1710" s="44"/>
      <c r="P1710" s="66"/>
      <c r="Q1710" s="66"/>
      <c r="R1710" s="66"/>
      <c r="S1710" s="66"/>
      <c r="T1710" s="138" t="str">
        <f>IFERROR(LOOKUP($S1710,MOTORISTAS!$D$3:$D$916,MOTORISTAS!E$3:$E$916),"")</f>
        <v/>
      </c>
      <c r="U1710" s="138" t="str">
        <f>IFERROR(LOOKUP($S1710,MOTORISTAS!$D$3:$D$916,MOTORISTAS!F$3:$F$916),"")</f>
        <v/>
      </c>
      <c r="V1710" s="66"/>
      <c r="W1710" s="66"/>
      <c r="X1710" s="66"/>
      <c r="Y1710" s="66"/>
      <c r="Z1710" s="66"/>
      <c r="AA1710" s="66"/>
      <c r="AB1710" s="66"/>
      <c r="AC1710" s="66"/>
      <c r="AD1710" s="66"/>
      <c r="AE1710" s="66"/>
      <c r="AF1710" s="44"/>
      <c r="AG1710" s="254">
        <f>Prog_23[[#This Row],[SAÍDA DO CLIENTE]]-Prog_23[[#This Row],[PROGRAMAÇÃO CLIENTE]]</f>
        <v>0</v>
      </c>
      <c r="AH1710" s="44"/>
      <c r="AI1710" s="66"/>
      <c r="AJ1710" s="66"/>
      <c r="AK1710" s="66"/>
      <c r="AL1710" s="66"/>
      <c r="AM1710" s="66"/>
      <c r="AN1710" s="83"/>
      <c r="AO1710" s="83"/>
      <c r="AP1710" s="83"/>
      <c r="AQ1710" s="66"/>
      <c r="AR1710" s="66"/>
      <c r="AS1710" s="66"/>
      <c r="AT1710" s="81"/>
      <c r="AU1710" s="81"/>
      <c r="AV1710" s="81"/>
      <c r="AW1710" s="81"/>
      <c r="AX1710" s="83">
        <f>SUM(Prog_23[[#This Row],[ADIANTAMENTO]]+Prog_23[[#This Row],[SALDO]]+Prog_23[[#This Row],[MARGEM]]+Prog_23[[#This Row],[ESTADIA 1]])</f>
        <v>0</v>
      </c>
      <c r="AY17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10" s="81"/>
      <c r="BA1710" s="81"/>
      <c r="BB1710" s="81">
        <f>Prog_23[[#This Row],[VLR NF]]*0.1%</f>
        <v>0</v>
      </c>
      <c r="BC1710" s="81">
        <f>Prog_23[[#This Row],[VLR NF]]*0.05%</f>
        <v>0</v>
      </c>
      <c r="BD1710" s="81"/>
      <c r="BE1710" s="81"/>
      <c r="BF1710" s="81"/>
      <c r="BG1710" s="81"/>
      <c r="BH1710" s="81"/>
      <c r="BI1710" s="81"/>
      <c r="BJ1710" s="81"/>
      <c r="BK1710" s="81"/>
      <c r="BL1710" s="81"/>
      <c r="BM1710" s="81"/>
      <c r="BN1710" s="66"/>
      <c r="BO1710" s="66"/>
      <c r="BP1710" s="66"/>
      <c r="BQ1710" s="66" t="str">
        <f>PROPER(TEXT(Prog_23[[#This Row],[PROGRAMAÇÃO CLIENTE]],"mmm"))</f>
        <v>Jan</v>
      </c>
      <c r="BR1710" s="66">
        <f>YEAR(Prog_23[[#This Row],[PROGRAMAÇÃO CLIENTE]])</f>
        <v>1900</v>
      </c>
    </row>
    <row r="1711" spans="1:70" x14ac:dyDescent="0.25">
      <c r="A1711" s="200">
        <f>Prog_23[[#This Row],[CONTEINER]]</f>
        <v>0</v>
      </c>
      <c r="B1711" s="86"/>
      <c r="C17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11" s="44"/>
      <c r="E1711" s="66"/>
      <c r="F1711" s="66"/>
      <c r="G1711" s="66"/>
      <c r="H1711" s="44"/>
      <c r="I1711" s="44"/>
      <c r="J1711" s="66"/>
      <c r="K1711" s="66"/>
      <c r="L1711" s="66"/>
      <c r="M1711" s="66"/>
      <c r="N1711" s="66">
        <f>SUM(Prog_23[[#This Row],[TARA]]+Prog_23[[#This Row],[PESO]])</f>
        <v>0</v>
      </c>
      <c r="O1711" s="44"/>
      <c r="P1711" s="66"/>
      <c r="Q1711" s="66"/>
      <c r="R1711" s="66"/>
      <c r="S1711" s="66"/>
      <c r="T1711" s="138" t="str">
        <f>IFERROR(LOOKUP($S1711,MOTORISTAS!$D$3:$D$916,MOTORISTAS!E$3:$E$916),"")</f>
        <v/>
      </c>
      <c r="U1711" s="138" t="str">
        <f>IFERROR(LOOKUP($S1711,MOTORISTAS!$D$3:$D$916,MOTORISTAS!F$3:$F$916),"")</f>
        <v/>
      </c>
      <c r="V1711" s="66"/>
      <c r="W1711" s="66"/>
      <c r="X1711" s="66"/>
      <c r="Y1711" s="66"/>
      <c r="Z1711" s="66"/>
      <c r="AA1711" s="66"/>
      <c r="AB1711" s="66"/>
      <c r="AC1711" s="66"/>
      <c r="AD1711" s="66"/>
      <c r="AE1711" s="66"/>
      <c r="AF1711" s="44"/>
      <c r="AG1711" s="254">
        <f>Prog_23[[#This Row],[SAÍDA DO CLIENTE]]-Prog_23[[#This Row],[PROGRAMAÇÃO CLIENTE]]</f>
        <v>0</v>
      </c>
      <c r="AH1711" s="44"/>
      <c r="AI1711" s="66"/>
      <c r="AJ1711" s="66"/>
      <c r="AK1711" s="66"/>
      <c r="AL1711" s="66"/>
      <c r="AM1711" s="66"/>
      <c r="AN1711" s="83"/>
      <c r="AO1711" s="83"/>
      <c r="AP1711" s="83"/>
      <c r="AQ1711" s="66"/>
      <c r="AR1711" s="66"/>
      <c r="AS1711" s="66"/>
      <c r="AT1711" s="81"/>
      <c r="AU1711" s="81"/>
      <c r="AV1711" s="81"/>
      <c r="AW1711" s="81"/>
      <c r="AX1711" s="83">
        <f>SUM(Prog_23[[#This Row],[ADIANTAMENTO]]+Prog_23[[#This Row],[SALDO]]+Prog_23[[#This Row],[MARGEM]]+Prog_23[[#This Row],[ESTADIA 1]])</f>
        <v>0</v>
      </c>
      <c r="AY17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11" s="81"/>
      <c r="BA1711" s="81"/>
      <c r="BB1711" s="81">
        <f>Prog_23[[#This Row],[VLR NF]]*0.1%</f>
        <v>0</v>
      </c>
      <c r="BC1711" s="81">
        <f>Prog_23[[#This Row],[VLR NF]]*0.05%</f>
        <v>0</v>
      </c>
      <c r="BD1711" s="81"/>
      <c r="BE1711" s="81"/>
      <c r="BF1711" s="81"/>
      <c r="BG1711" s="81"/>
      <c r="BH1711" s="81"/>
      <c r="BI1711" s="81"/>
      <c r="BJ1711" s="81"/>
      <c r="BK1711" s="81"/>
      <c r="BL1711" s="81"/>
      <c r="BM1711" s="81"/>
      <c r="BN1711" s="66"/>
      <c r="BO1711" s="66"/>
      <c r="BP1711" s="66"/>
      <c r="BQ1711" s="66" t="str">
        <f>PROPER(TEXT(Prog_23[[#This Row],[PROGRAMAÇÃO CLIENTE]],"mmm"))</f>
        <v>Jan</v>
      </c>
      <c r="BR1711" s="66">
        <f>YEAR(Prog_23[[#This Row],[PROGRAMAÇÃO CLIENTE]])</f>
        <v>1900</v>
      </c>
    </row>
    <row r="1712" spans="1:70" x14ac:dyDescent="0.25">
      <c r="A1712" s="201">
        <f>Prog_23[[#This Row],[CONTEINER]]</f>
        <v>0</v>
      </c>
      <c r="B1712" s="86"/>
      <c r="C17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12" s="44"/>
      <c r="E1712" s="66"/>
      <c r="F1712" s="66"/>
      <c r="G1712" s="66"/>
      <c r="H1712" s="44"/>
      <c r="I1712" s="44"/>
      <c r="J1712" s="66"/>
      <c r="K1712" s="66"/>
      <c r="L1712" s="66"/>
      <c r="M1712" s="66"/>
      <c r="N1712" s="66">
        <f>SUM(Prog_23[[#This Row],[TARA]]+Prog_23[[#This Row],[PESO]])</f>
        <v>0</v>
      </c>
      <c r="O1712" s="44"/>
      <c r="P1712" s="66"/>
      <c r="Q1712" s="66"/>
      <c r="R1712" s="66"/>
      <c r="S1712" s="66"/>
      <c r="T1712" s="138" t="str">
        <f>IFERROR(LOOKUP($S1712,MOTORISTAS!$D$3:$D$916,MOTORISTAS!E$3:$E$916),"")</f>
        <v/>
      </c>
      <c r="U1712" s="138" t="str">
        <f>IFERROR(LOOKUP($S1712,MOTORISTAS!$D$3:$D$916,MOTORISTAS!F$3:$F$916),"")</f>
        <v/>
      </c>
      <c r="V1712" s="66"/>
      <c r="W1712" s="66"/>
      <c r="X1712" s="66"/>
      <c r="Y1712" s="66"/>
      <c r="Z1712" s="66"/>
      <c r="AA1712" s="66"/>
      <c r="AB1712" s="66"/>
      <c r="AC1712" s="66"/>
      <c r="AD1712" s="66"/>
      <c r="AE1712" s="66"/>
      <c r="AF1712" s="44"/>
      <c r="AG1712" s="254">
        <f>Prog_23[[#This Row],[SAÍDA DO CLIENTE]]-Prog_23[[#This Row],[PROGRAMAÇÃO CLIENTE]]</f>
        <v>0</v>
      </c>
      <c r="AH1712" s="44"/>
      <c r="AI1712" s="66"/>
      <c r="AJ1712" s="66"/>
      <c r="AK1712" s="66"/>
      <c r="AL1712" s="66"/>
      <c r="AM1712" s="66"/>
      <c r="AN1712" s="83"/>
      <c r="AO1712" s="83"/>
      <c r="AP1712" s="83"/>
      <c r="AQ1712" s="66"/>
      <c r="AR1712" s="66"/>
      <c r="AS1712" s="66"/>
      <c r="AT1712" s="81"/>
      <c r="AU1712" s="81"/>
      <c r="AV1712" s="81"/>
      <c r="AW1712" s="81"/>
      <c r="AX1712" s="83">
        <f>SUM(Prog_23[[#This Row],[ADIANTAMENTO]]+Prog_23[[#This Row],[SALDO]]+Prog_23[[#This Row],[MARGEM]]+Prog_23[[#This Row],[ESTADIA 1]])</f>
        <v>0</v>
      </c>
      <c r="AY17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12" s="81"/>
      <c r="BA1712" s="81"/>
      <c r="BB1712" s="81">
        <f>Prog_23[[#This Row],[VLR NF]]*0.1%</f>
        <v>0</v>
      </c>
      <c r="BC1712" s="81">
        <f>Prog_23[[#This Row],[VLR NF]]*0.05%</f>
        <v>0</v>
      </c>
      <c r="BD1712" s="81"/>
      <c r="BE1712" s="81"/>
      <c r="BF1712" s="81"/>
      <c r="BG1712" s="81"/>
      <c r="BH1712" s="81"/>
      <c r="BI1712" s="81"/>
      <c r="BJ1712" s="81"/>
      <c r="BK1712" s="81"/>
      <c r="BL1712" s="81"/>
      <c r="BM1712" s="81"/>
      <c r="BN1712" s="66"/>
      <c r="BO1712" s="66"/>
      <c r="BP1712" s="66"/>
      <c r="BQ1712" s="66" t="str">
        <f>PROPER(TEXT(Prog_23[[#This Row],[PROGRAMAÇÃO CLIENTE]],"mmm"))</f>
        <v>Jan</v>
      </c>
      <c r="BR1712" s="66">
        <f>YEAR(Prog_23[[#This Row],[PROGRAMAÇÃO CLIENTE]])</f>
        <v>1900</v>
      </c>
    </row>
    <row r="1713" spans="1:70" x14ac:dyDescent="0.25">
      <c r="A1713" s="200">
        <f>Prog_23[[#This Row],[CONTEINER]]</f>
        <v>0</v>
      </c>
      <c r="B1713" s="86"/>
      <c r="C17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13" s="44"/>
      <c r="E1713" s="66"/>
      <c r="F1713" s="66"/>
      <c r="G1713" s="66"/>
      <c r="H1713" s="44"/>
      <c r="I1713" s="44"/>
      <c r="J1713" s="66"/>
      <c r="K1713" s="66"/>
      <c r="L1713" s="66"/>
      <c r="M1713" s="66"/>
      <c r="N1713" s="66">
        <f>SUM(Prog_23[[#This Row],[TARA]]+Prog_23[[#This Row],[PESO]])</f>
        <v>0</v>
      </c>
      <c r="O1713" s="44"/>
      <c r="P1713" s="66"/>
      <c r="Q1713" s="66"/>
      <c r="R1713" s="66"/>
      <c r="S1713" s="66"/>
      <c r="T1713" s="138" t="str">
        <f>IFERROR(LOOKUP($S1713,MOTORISTAS!$D$3:$D$916,MOTORISTAS!E$3:$E$916),"")</f>
        <v/>
      </c>
      <c r="U1713" s="138" t="str">
        <f>IFERROR(LOOKUP($S1713,MOTORISTAS!$D$3:$D$916,MOTORISTAS!F$3:$F$916),"")</f>
        <v/>
      </c>
      <c r="V1713" s="66"/>
      <c r="W1713" s="66"/>
      <c r="X1713" s="66"/>
      <c r="Y1713" s="66"/>
      <c r="Z1713" s="66"/>
      <c r="AA1713" s="66"/>
      <c r="AB1713" s="66"/>
      <c r="AC1713" s="66"/>
      <c r="AD1713" s="66"/>
      <c r="AE1713" s="66"/>
      <c r="AF1713" s="44"/>
      <c r="AG1713" s="254">
        <f>Prog_23[[#This Row],[SAÍDA DO CLIENTE]]-Prog_23[[#This Row],[PROGRAMAÇÃO CLIENTE]]</f>
        <v>0</v>
      </c>
      <c r="AH1713" s="44"/>
      <c r="AI1713" s="66"/>
      <c r="AJ1713" s="66"/>
      <c r="AK1713" s="66"/>
      <c r="AL1713" s="66"/>
      <c r="AM1713" s="66"/>
      <c r="AN1713" s="83"/>
      <c r="AO1713" s="83"/>
      <c r="AP1713" s="83"/>
      <c r="AQ1713" s="66"/>
      <c r="AR1713" s="66"/>
      <c r="AS1713" s="66"/>
      <c r="AT1713" s="81"/>
      <c r="AU1713" s="81"/>
      <c r="AV1713" s="81"/>
      <c r="AW1713" s="81"/>
      <c r="AX1713" s="83">
        <f>SUM(Prog_23[[#This Row],[ADIANTAMENTO]]+Prog_23[[#This Row],[SALDO]]+Prog_23[[#This Row],[MARGEM]]+Prog_23[[#This Row],[ESTADIA 1]])</f>
        <v>0</v>
      </c>
      <c r="AY17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13" s="81"/>
      <c r="BA1713" s="81"/>
      <c r="BB1713" s="81">
        <f>Prog_23[[#This Row],[VLR NF]]*0.1%</f>
        <v>0</v>
      </c>
      <c r="BC1713" s="81">
        <f>Prog_23[[#This Row],[VLR NF]]*0.05%</f>
        <v>0</v>
      </c>
      <c r="BD1713" s="81"/>
      <c r="BE1713" s="81"/>
      <c r="BF1713" s="81"/>
      <c r="BG1713" s="81"/>
      <c r="BH1713" s="81"/>
      <c r="BI1713" s="81"/>
      <c r="BJ1713" s="81"/>
      <c r="BK1713" s="81"/>
      <c r="BL1713" s="81"/>
      <c r="BM1713" s="81"/>
      <c r="BN1713" s="66"/>
      <c r="BO1713" s="66"/>
      <c r="BP1713" s="66"/>
      <c r="BQ1713" s="66" t="str">
        <f>PROPER(TEXT(Prog_23[[#This Row],[PROGRAMAÇÃO CLIENTE]],"mmm"))</f>
        <v>Jan</v>
      </c>
      <c r="BR1713" s="66">
        <f>YEAR(Prog_23[[#This Row],[PROGRAMAÇÃO CLIENTE]])</f>
        <v>1900</v>
      </c>
    </row>
    <row r="1714" spans="1:70" x14ac:dyDescent="0.25">
      <c r="A1714" s="201">
        <f>Prog_23[[#This Row],[CONTEINER]]</f>
        <v>0</v>
      </c>
      <c r="B1714" s="86"/>
      <c r="C17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14" s="44"/>
      <c r="E1714" s="66"/>
      <c r="F1714" s="66"/>
      <c r="G1714" s="66"/>
      <c r="H1714" s="44"/>
      <c r="I1714" s="44"/>
      <c r="J1714" s="66"/>
      <c r="K1714" s="66"/>
      <c r="L1714" s="66"/>
      <c r="M1714" s="66"/>
      <c r="N1714" s="66">
        <f>SUM(Prog_23[[#This Row],[TARA]]+Prog_23[[#This Row],[PESO]])</f>
        <v>0</v>
      </c>
      <c r="O1714" s="44"/>
      <c r="P1714" s="66"/>
      <c r="Q1714" s="66"/>
      <c r="R1714" s="66"/>
      <c r="S1714" s="66"/>
      <c r="T1714" s="138" t="str">
        <f>IFERROR(LOOKUP($S1714,MOTORISTAS!$D$3:$D$916,MOTORISTAS!E$3:$E$916),"")</f>
        <v/>
      </c>
      <c r="U1714" s="138" t="str">
        <f>IFERROR(LOOKUP($S1714,MOTORISTAS!$D$3:$D$916,MOTORISTAS!F$3:$F$916),"")</f>
        <v/>
      </c>
      <c r="V1714" s="66"/>
      <c r="W1714" s="66"/>
      <c r="X1714" s="66"/>
      <c r="Y1714" s="66"/>
      <c r="Z1714" s="66"/>
      <c r="AA1714" s="66"/>
      <c r="AB1714" s="66"/>
      <c r="AC1714" s="66"/>
      <c r="AD1714" s="66"/>
      <c r="AE1714" s="66"/>
      <c r="AF1714" s="44"/>
      <c r="AG1714" s="254">
        <f>Prog_23[[#This Row],[SAÍDA DO CLIENTE]]-Prog_23[[#This Row],[PROGRAMAÇÃO CLIENTE]]</f>
        <v>0</v>
      </c>
      <c r="AH1714" s="44"/>
      <c r="AI1714" s="66"/>
      <c r="AJ1714" s="66"/>
      <c r="AK1714" s="66"/>
      <c r="AL1714" s="66"/>
      <c r="AM1714" s="66"/>
      <c r="AN1714" s="83"/>
      <c r="AO1714" s="83"/>
      <c r="AP1714" s="83"/>
      <c r="AQ1714" s="66"/>
      <c r="AR1714" s="66"/>
      <c r="AS1714" s="66"/>
      <c r="AT1714" s="81"/>
      <c r="AU1714" s="81"/>
      <c r="AV1714" s="81"/>
      <c r="AW1714" s="81"/>
      <c r="AX1714" s="83">
        <f>SUM(Prog_23[[#This Row],[ADIANTAMENTO]]+Prog_23[[#This Row],[SALDO]]+Prog_23[[#This Row],[MARGEM]]+Prog_23[[#This Row],[ESTADIA 1]])</f>
        <v>0</v>
      </c>
      <c r="AY17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14" s="81"/>
      <c r="BA1714" s="81"/>
      <c r="BB1714" s="81">
        <f>Prog_23[[#This Row],[VLR NF]]*0.1%</f>
        <v>0</v>
      </c>
      <c r="BC1714" s="81">
        <f>Prog_23[[#This Row],[VLR NF]]*0.05%</f>
        <v>0</v>
      </c>
      <c r="BD1714" s="81"/>
      <c r="BE1714" s="81"/>
      <c r="BF1714" s="81"/>
      <c r="BG1714" s="81"/>
      <c r="BH1714" s="81"/>
      <c r="BI1714" s="81"/>
      <c r="BJ1714" s="81"/>
      <c r="BK1714" s="81"/>
      <c r="BL1714" s="81"/>
      <c r="BM1714" s="81"/>
      <c r="BN1714" s="66"/>
      <c r="BO1714" s="66"/>
      <c r="BP1714" s="66"/>
      <c r="BQ1714" s="66" t="str">
        <f>PROPER(TEXT(Prog_23[[#This Row],[PROGRAMAÇÃO CLIENTE]],"mmm"))</f>
        <v>Jan</v>
      </c>
      <c r="BR1714" s="66">
        <f>YEAR(Prog_23[[#This Row],[PROGRAMAÇÃO CLIENTE]])</f>
        <v>1900</v>
      </c>
    </row>
    <row r="1715" spans="1:70" x14ac:dyDescent="0.25">
      <c r="A1715" s="200">
        <f>Prog_23[[#This Row],[CONTEINER]]</f>
        <v>0</v>
      </c>
      <c r="B1715" s="86"/>
      <c r="C17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15" s="44"/>
      <c r="E1715" s="66"/>
      <c r="F1715" s="66"/>
      <c r="G1715" s="66"/>
      <c r="H1715" s="44"/>
      <c r="I1715" s="44"/>
      <c r="J1715" s="66"/>
      <c r="K1715" s="66"/>
      <c r="L1715" s="66"/>
      <c r="M1715" s="66"/>
      <c r="N1715" s="66">
        <f>SUM(Prog_23[[#This Row],[TARA]]+Prog_23[[#This Row],[PESO]])</f>
        <v>0</v>
      </c>
      <c r="O1715" s="44"/>
      <c r="P1715" s="66"/>
      <c r="Q1715" s="66"/>
      <c r="R1715" s="66"/>
      <c r="S1715" s="66"/>
      <c r="T1715" s="138" t="str">
        <f>IFERROR(LOOKUP($S1715,MOTORISTAS!$D$3:$D$916,MOTORISTAS!E$3:$E$916),"")</f>
        <v/>
      </c>
      <c r="U1715" s="138" t="str">
        <f>IFERROR(LOOKUP($S1715,MOTORISTAS!$D$3:$D$916,MOTORISTAS!F$3:$F$916),"")</f>
        <v/>
      </c>
      <c r="V1715" s="66"/>
      <c r="W1715" s="66"/>
      <c r="X1715" s="66"/>
      <c r="Y1715" s="66"/>
      <c r="Z1715" s="66"/>
      <c r="AA1715" s="66"/>
      <c r="AB1715" s="66"/>
      <c r="AC1715" s="66"/>
      <c r="AD1715" s="66"/>
      <c r="AE1715" s="66"/>
      <c r="AF1715" s="44"/>
      <c r="AG1715" s="254">
        <f>Prog_23[[#This Row],[SAÍDA DO CLIENTE]]-Prog_23[[#This Row],[PROGRAMAÇÃO CLIENTE]]</f>
        <v>0</v>
      </c>
      <c r="AH1715" s="44"/>
      <c r="AI1715" s="66"/>
      <c r="AJ1715" s="66"/>
      <c r="AK1715" s="66"/>
      <c r="AL1715" s="66"/>
      <c r="AM1715" s="66"/>
      <c r="AN1715" s="83"/>
      <c r="AO1715" s="83"/>
      <c r="AP1715" s="83"/>
      <c r="AQ1715" s="66"/>
      <c r="AR1715" s="66"/>
      <c r="AS1715" s="66"/>
      <c r="AT1715" s="81"/>
      <c r="AU1715" s="81"/>
      <c r="AV1715" s="81"/>
      <c r="AW1715" s="81"/>
      <c r="AX1715" s="83">
        <f>SUM(Prog_23[[#This Row],[ADIANTAMENTO]]+Prog_23[[#This Row],[SALDO]]+Prog_23[[#This Row],[MARGEM]]+Prog_23[[#This Row],[ESTADIA 1]])</f>
        <v>0</v>
      </c>
      <c r="AY17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15" s="81"/>
      <c r="BA1715" s="81"/>
      <c r="BB1715" s="81">
        <f>Prog_23[[#This Row],[VLR NF]]*0.1%</f>
        <v>0</v>
      </c>
      <c r="BC1715" s="81">
        <f>Prog_23[[#This Row],[VLR NF]]*0.05%</f>
        <v>0</v>
      </c>
      <c r="BD1715" s="81"/>
      <c r="BE1715" s="81"/>
      <c r="BF1715" s="81"/>
      <c r="BG1715" s="81"/>
      <c r="BH1715" s="81"/>
      <c r="BI1715" s="81"/>
      <c r="BJ1715" s="81"/>
      <c r="BK1715" s="81"/>
      <c r="BL1715" s="81"/>
      <c r="BM1715" s="81"/>
      <c r="BN1715" s="66"/>
      <c r="BO1715" s="66"/>
      <c r="BP1715" s="66"/>
      <c r="BQ1715" s="66" t="str">
        <f>PROPER(TEXT(Prog_23[[#This Row],[PROGRAMAÇÃO CLIENTE]],"mmm"))</f>
        <v>Jan</v>
      </c>
      <c r="BR1715" s="66">
        <f>YEAR(Prog_23[[#This Row],[PROGRAMAÇÃO CLIENTE]])</f>
        <v>1900</v>
      </c>
    </row>
    <row r="1716" spans="1:70" x14ac:dyDescent="0.25">
      <c r="A1716" s="201">
        <f>Prog_23[[#This Row],[CONTEINER]]</f>
        <v>0</v>
      </c>
      <c r="B1716" s="86"/>
      <c r="C17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16" s="44"/>
      <c r="E1716" s="66"/>
      <c r="F1716" s="66"/>
      <c r="G1716" s="66"/>
      <c r="H1716" s="44"/>
      <c r="I1716" s="44"/>
      <c r="J1716" s="66"/>
      <c r="K1716" s="66"/>
      <c r="L1716" s="66"/>
      <c r="M1716" s="66"/>
      <c r="N1716" s="66">
        <f>SUM(Prog_23[[#This Row],[TARA]]+Prog_23[[#This Row],[PESO]])</f>
        <v>0</v>
      </c>
      <c r="O1716" s="44"/>
      <c r="P1716" s="66"/>
      <c r="Q1716" s="66"/>
      <c r="R1716" s="66"/>
      <c r="S1716" s="66"/>
      <c r="T1716" s="138" t="str">
        <f>IFERROR(LOOKUP($S1716,MOTORISTAS!$D$3:$D$916,MOTORISTAS!E$3:$E$916),"")</f>
        <v/>
      </c>
      <c r="U1716" s="138" t="str">
        <f>IFERROR(LOOKUP($S1716,MOTORISTAS!$D$3:$D$916,MOTORISTAS!F$3:$F$916),"")</f>
        <v/>
      </c>
      <c r="V1716" s="66"/>
      <c r="W1716" s="66"/>
      <c r="X1716" s="66"/>
      <c r="Y1716" s="66"/>
      <c r="Z1716" s="66"/>
      <c r="AA1716" s="66"/>
      <c r="AB1716" s="66"/>
      <c r="AC1716" s="66"/>
      <c r="AD1716" s="66"/>
      <c r="AE1716" s="66"/>
      <c r="AF1716" s="44"/>
      <c r="AG1716" s="254">
        <f>Prog_23[[#This Row],[SAÍDA DO CLIENTE]]-Prog_23[[#This Row],[PROGRAMAÇÃO CLIENTE]]</f>
        <v>0</v>
      </c>
      <c r="AH1716" s="44"/>
      <c r="AI1716" s="66"/>
      <c r="AJ1716" s="66"/>
      <c r="AK1716" s="66"/>
      <c r="AL1716" s="66"/>
      <c r="AM1716" s="66"/>
      <c r="AN1716" s="83"/>
      <c r="AO1716" s="83"/>
      <c r="AP1716" s="83"/>
      <c r="AQ1716" s="66"/>
      <c r="AR1716" s="66"/>
      <c r="AS1716" s="66"/>
      <c r="AT1716" s="81"/>
      <c r="AU1716" s="81"/>
      <c r="AV1716" s="81"/>
      <c r="AW1716" s="81"/>
      <c r="AX1716" s="83">
        <f>SUM(Prog_23[[#This Row],[ADIANTAMENTO]]+Prog_23[[#This Row],[SALDO]]+Prog_23[[#This Row],[MARGEM]]+Prog_23[[#This Row],[ESTADIA 1]])</f>
        <v>0</v>
      </c>
      <c r="AY17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16" s="81"/>
      <c r="BA1716" s="81"/>
      <c r="BB1716" s="81">
        <f>Prog_23[[#This Row],[VLR NF]]*0.1%</f>
        <v>0</v>
      </c>
      <c r="BC1716" s="81">
        <f>Prog_23[[#This Row],[VLR NF]]*0.05%</f>
        <v>0</v>
      </c>
      <c r="BD1716" s="81"/>
      <c r="BE1716" s="81"/>
      <c r="BF1716" s="81"/>
      <c r="BG1716" s="81"/>
      <c r="BH1716" s="81"/>
      <c r="BI1716" s="81"/>
      <c r="BJ1716" s="81"/>
      <c r="BK1716" s="81"/>
      <c r="BL1716" s="81"/>
      <c r="BM1716" s="81"/>
      <c r="BN1716" s="66"/>
      <c r="BO1716" s="66"/>
      <c r="BP1716" s="66"/>
      <c r="BQ1716" s="66" t="str">
        <f>PROPER(TEXT(Prog_23[[#This Row],[PROGRAMAÇÃO CLIENTE]],"mmm"))</f>
        <v>Jan</v>
      </c>
      <c r="BR1716" s="66">
        <f>YEAR(Prog_23[[#This Row],[PROGRAMAÇÃO CLIENTE]])</f>
        <v>1900</v>
      </c>
    </row>
    <row r="1717" spans="1:70" x14ac:dyDescent="0.25">
      <c r="A1717" s="200">
        <f>Prog_23[[#This Row],[CONTEINER]]</f>
        <v>0</v>
      </c>
      <c r="B1717" s="86"/>
      <c r="C17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17" s="44"/>
      <c r="E1717" s="66"/>
      <c r="F1717" s="66"/>
      <c r="G1717" s="66"/>
      <c r="H1717" s="44"/>
      <c r="I1717" s="44"/>
      <c r="J1717" s="66"/>
      <c r="K1717" s="66"/>
      <c r="L1717" s="66"/>
      <c r="M1717" s="66"/>
      <c r="N1717" s="66">
        <f>SUM(Prog_23[[#This Row],[TARA]]+Prog_23[[#This Row],[PESO]])</f>
        <v>0</v>
      </c>
      <c r="O1717" s="44"/>
      <c r="P1717" s="66"/>
      <c r="Q1717" s="66"/>
      <c r="R1717" s="66"/>
      <c r="S1717" s="66"/>
      <c r="T1717" s="138" t="str">
        <f>IFERROR(LOOKUP($S1717,MOTORISTAS!$D$3:$D$916,MOTORISTAS!E$3:$E$916),"")</f>
        <v/>
      </c>
      <c r="U1717" s="138" t="str">
        <f>IFERROR(LOOKUP($S1717,MOTORISTAS!$D$3:$D$916,MOTORISTAS!F$3:$F$916),"")</f>
        <v/>
      </c>
      <c r="V1717" s="66"/>
      <c r="W1717" s="66"/>
      <c r="X1717" s="66"/>
      <c r="Y1717" s="66"/>
      <c r="Z1717" s="66"/>
      <c r="AA1717" s="66"/>
      <c r="AB1717" s="66"/>
      <c r="AC1717" s="66"/>
      <c r="AD1717" s="66"/>
      <c r="AE1717" s="66"/>
      <c r="AF1717" s="44"/>
      <c r="AG1717" s="254">
        <f>Prog_23[[#This Row],[SAÍDA DO CLIENTE]]-Prog_23[[#This Row],[PROGRAMAÇÃO CLIENTE]]</f>
        <v>0</v>
      </c>
      <c r="AH1717" s="44"/>
      <c r="AI1717" s="66"/>
      <c r="AJ1717" s="66"/>
      <c r="AK1717" s="66"/>
      <c r="AL1717" s="66"/>
      <c r="AM1717" s="66"/>
      <c r="AN1717" s="83"/>
      <c r="AO1717" s="83"/>
      <c r="AP1717" s="83"/>
      <c r="AQ1717" s="66"/>
      <c r="AR1717" s="66"/>
      <c r="AS1717" s="66"/>
      <c r="AT1717" s="81"/>
      <c r="AU1717" s="81"/>
      <c r="AV1717" s="81"/>
      <c r="AW1717" s="81"/>
      <c r="AX1717" s="83">
        <f>SUM(Prog_23[[#This Row],[ADIANTAMENTO]]+Prog_23[[#This Row],[SALDO]]+Prog_23[[#This Row],[MARGEM]]+Prog_23[[#This Row],[ESTADIA 1]])</f>
        <v>0</v>
      </c>
      <c r="AY17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17" s="81"/>
      <c r="BA1717" s="81"/>
      <c r="BB1717" s="81">
        <f>Prog_23[[#This Row],[VLR NF]]*0.1%</f>
        <v>0</v>
      </c>
      <c r="BC1717" s="81">
        <f>Prog_23[[#This Row],[VLR NF]]*0.05%</f>
        <v>0</v>
      </c>
      <c r="BD1717" s="81"/>
      <c r="BE1717" s="81"/>
      <c r="BF1717" s="81"/>
      <c r="BG1717" s="81"/>
      <c r="BH1717" s="81"/>
      <c r="BI1717" s="81"/>
      <c r="BJ1717" s="81"/>
      <c r="BK1717" s="81"/>
      <c r="BL1717" s="81"/>
      <c r="BM1717" s="81"/>
      <c r="BN1717" s="66"/>
      <c r="BO1717" s="66"/>
      <c r="BP1717" s="66"/>
      <c r="BQ1717" s="66" t="str">
        <f>PROPER(TEXT(Prog_23[[#This Row],[PROGRAMAÇÃO CLIENTE]],"mmm"))</f>
        <v>Jan</v>
      </c>
      <c r="BR1717" s="66">
        <f>YEAR(Prog_23[[#This Row],[PROGRAMAÇÃO CLIENTE]])</f>
        <v>1900</v>
      </c>
    </row>
    <row r="1718" spans="1:70" x14ac:dyDescent="0.25">
      <c r="A1718" s="201">
        <f>Prog_23[[#This Row],[CONTEINER]]</f>
        <v>0</v>
      </c>
      <c r="B1718" s="86"/>
      <c r="C17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18" s="44"/>
      <c r="E1718" s="66"/>
      <c r="F1718" s="66"/>
      <c r="G1718" s="66"/>
      <c r="H1718" s="44"/>
      <c r="I1718" s="44"/>
      <c r="J1718" s="66"/>
      <c r="K1718" s="66"/>
      <c r="L1718" s="66"/>
      <c r="M1718" s="66"/>
      <c r="N1718" s="66">
        <f>SUM(Prog_23[[#This Row],[TARA]]+Prog_23[[#This Row],[PESO]])</f>
        <v>0</v>
      </c>
      <c r="O1718" s="44"/>
      <c r="P1718" s="66"/>
      <c r="Q1718" s="66"/>
      <c r="R1718" s="66"/>
      <c r="S1718" s="66"/>
      <c r="T1718" s="138" t="str">
        <f>IFERROR(LOOKUP($S1718,MOTORISTAS!$D$3:$D$916,MOTORISTAS!E$3:$E$916),"")</f>
        <v/>
      </c>
      <c r="U1718" s="138" t="str">
        <f>IFERROR(LOOKUP($S1718,MOTORISTAS!$D$3:$D$916,MOTORISTAS!F$3:$F$916),"")</f>
        <v/>
      </c>
      <c r="V1718" s="66"/>
      <c r="W1718" s="66"/>
      <c r="X1718" s="66"/>
      <c r="Y1718" s="66"/>
      <c r="Z1718" s="66"/>
      <c r="AA1718" s="66"/>
      <c r="AB1718" s="66"/>
      <c r="AC1718" s="66"/>
      <c r="AD1718" s="66"/>
      <c r="AE1718" s="66"/>
      <c r="AF1718" s="44"/>
      <c r="AG1718" s="254">
        <f>Prog_23[[#This Row],[SAÍDA DO CLIENTE]]-Prog_23[[#This Row],[PROGRAMAÇÃO CLIENTE]]</f>
        <v>0</v>
      </c>
      <c r="AH1718" s="44"/>
      <c r="AI1718" s="66"/>
      <c r="AJ1718" s="66"/>
      <c r="AK1718" s="66"/>
      <c r="AL1718" s="66"/>
      <c r="AM1718" s="66"/>
      <c r="AN1718" s="83"/>
      <c r="AO1718" s="83"/>
      <c r="AP1718" s="83"/>
      <c r="AQ1718" s="66"/>
      <c r="AR1718" s="66"/>
      <c r="AS1718" s="66"/>
      <c r="AT1718" s="81"/>
      <c r="AU1718" s="81"/>
      <c r="AV1718" s="81"/>
      <c r="AW1718" s="81"/>
      <c r="AX1718" s="83">
        <f>SUM(Prog_23[[#This Row],[ADIANTAMENTO]]+Prog_23[[#This Row],[SALDO]]+Prog_23[[#This Row],[MARGEM]]+Prog_23[[#This Row],[ESTADIA 1]])</f>
        <v>0</v>
      </c>
      <c r="AY17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18" s="81"/>
      <c r="BA1718" s="81"/>
      <c r="BB1718" s="81">
        <f>Prog_23[[#This Row],[VLR NF]]*0.1%</f>
        <v>0</v>
      </c>
      <c r="BC1718" s="81">
        <f>Prog_23[[#This Row],[VLR NF]]*0.05%</f>
        <v>0</v>
      </c>
      <c r="BD1718" s="81"/>
      <c r="BE1718" s="81"/>
      <c r="BF1718" s="81"/>
      <c r="BG1718" s="81"/>
      <c r="BH1718" s="81"/>
      <c r="BI1718" s="81"/>
      <c r="BJ1718" s="81"/>
      <c r="BK1718" s="81"/>
      <c r="BL1718" s="81"/>
      <c r="BM1718" s="81"/>
      <c r="BN1718" s="66"/>
      <c r="BO1718" s="66"/>
      <c r="BP1718" s="66"/>
      <c r="BQ1718" s="66" t="str">
        <f>PROPER(TEXT(Prog_23[[#This Row],[PROGRAMAÇÃO CLIENTE]],"mmm"))</f>
        <v>Jan</v>
      </c>
      <c r="BR1718" s="66">
        <f>YEAR(Prog_23[[#This Row],[PROGRAMAÇÃO CLIENTE]])</f>
        <v>1900</v>
      </c>
    </row>
    <row r="1719" spans="1:70" x14ac:dyDescent="0.25">
      <c r="A1719" s="200">
        <f>Prog_23[[#This Row],[CONTEINER]]</f>
        <v>0</v>
      </c>
      <c r="B1719" s="86"/>
      <c r="C17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19" s="44"/>
      <c r="E1719" s="66"/>
      <c r="F1719" s="66"/>
      <c r="G1719" s="66"/>
      <c r="H1719" s="44"/>
      <c r="I1719" s="44"/>
      <c r="J1719" s="66"/>
      <c r="K1719" s="66"/>
      <c r="L1719" s="66"/>
      <c r="M1719" s="66"/>
      <c r="N1719" s="66">
        <f>SUM(Prog_23[[#This Row],[TARA]]+Prog_23[[#This Row],[PESO]])</f>
        <v>0</v>
      </c>
      <c r="O1719" s="44"/>
      <c r="P1719" s="66"/>
      <c r="Q1719" s="66"/>
      <c r="R1719" s="66"/>
      <c r="S1719" s="66"/>
      <c r="T1719" s="138" t="str">
        <f>IFERROR(LOOKUP($S1719,MOTORISTAS!$D$3:$D$916,MOTORISTAS!E$3:$E$916),"")</f>
        <v/>
      </c>
      <c r="U1719" s="138" t="str">
        <f>IFERROR(LOOKUP($S1719,MOTORISTAS!$D$3:$D$916,MOTORISTAS!F$3:$F$916),"")</f>
        <v/>
      </c>
      <c r="V1719" s="66"/>
      <c r="W1719" s="66"/>
      <c r="X1719" s="66"/>
      <c r="Y1719" s="66"/>
      <c r="Z1719" s="66"/>
      <c r="AA1719" s="66"/>
      <c r="AB1719" s="66"/>
      <c r="AC1719" s="66"/>
      <c r="AD1719" s="66"/>
      <c r="AE1719" s="66"/>
      <c r="AF1719" s="44"/>
      <c r="AG1719" s="254">
        <f>Prog_23[[#This Row],[SAÍDA DO CLIENTE]]-Prog_23[[#This Row],[PROGRAMAÇÃO CLIENTE]]</f>
        <v>0</v>
      </c>
      <c r="AH1719" s="44"/>
      <c r="AI1719" s="66"/>
      <c r="AJ1719" s="66"/>
      <c r="AK1719" s="66"/>
      <c r="AL1719" s="66"/>
      <c r="AM1719" s="66"/>
      <c r="AN1719" s="83"/>
      <c r="AO1719" s="83"/>
      <c r="AP1719" s="83"/>
      <c r="AQ1719" s="66"/>
      <c r="AR1719" s="66"/>
      <c r="AS1719" s="66"/>
      <c r="AT1719" s="81"/>
      <c r="AU1719" s="81"/>
      <c r="AV1719" s="81"/>
      <c r="AW1719" s="81"/>
      <c r="AX1719" s="83">
        <f>SUM(Prog_23[[#This Row],[ADIANTAMENTO]]+Prog_23[[#This Row],[SALDO]]+Prog_23[[#This Row],[MARGEM]]+Prog_23[[#This Row],[ESTADIA 1]])</f>
        <v>0</v>
      </c>
      <c r="AY17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19" s="81"/>
      <c r="BA1719" s="81"/>
      <c r="BB1719" s="81">
        <f>Prog_23[[#This Row],[VLR NF]]*0.1%</f>
        <v>0</v>
      </c>
      <c r="BC1719" s="81">
        <f>Prog_23[[#This Row],[VLR NF]]*0.05%</f>
        <v>0</v>
      </c>
      <c r="BD1719" s="81"/>
      <c r="BE1719" s="81"/>
      <c r="BF1719" s="81"/>
      <c r="BG1719" s="81"/>
      <c r="BH1719" s="81"/>
      <c r="BI1719" s="81"/>
      <c r="BJ1719" s="81"/>
      <c r="BK1719" s="81"/>
      <c r="BL1719" s="81"/>
      <c r="BM1719" s="81"/>
      <c r="BN1719" s="66"/>
      <c r="BO1719" s="66"/>
      <c r="BP1719" s="66"/>
      <c r="BQ1719" s="66" t="str">
        <f>PROPER(TEXT(Prog_23[[#This Row],[PROGRAMAÇÃO CLIENTE]],"mmm"))</f>
        <v>Jan</v>
      </c>
      <c r="BR1719" s="66">
        <f>YEAR(Prog_23[[#This Row],[PROGRAMAÇÃO CLIENTE]])</f>
        <v>1900</v>
      </c>
    </row>
    <row r="1720" spans="1:70" x14ac:dyDescent="0.25">
      <c r="A1720" s="201">
        <f>Prog_23[[#This Row],[CONTEINER]]</f>
        <v>0</v>
      </c>
      <c r="B1720" s="86"/>
      <c r="C17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20" s="44"/>
      <c r="E1720" s="66"/>
      <c r="F1720" s="66"/>
      <c r="G1720" s="66"/>
      <c r="H1720" s="44"/>
      <c r="I1720" s="44"/>
      <c r="J1720" s="66"/>
      <c r="K1720" s="66"/>
      <c r="L1720" s="66"/>
      <c r="M1720" s="66"/>
      <c r="N1720" s="66">
        <f>SUM(Prog_23[[#This Row],[TARA]]+Prog_23[[#This Row],[PESO]])</f>
        <v>0</v>
      </c>
      <c r="O1720" s="44"/>
      <c r="P1720" s="66"/>
      <c r="Q1720" s="66"/>
      <c r="R1720" s="66"/>
      <c r="S1720" s="66"/>
      <c r="T1720" s="138" t="str">
        <f>IFERROR(LOOKUP($S1720,MOTORISTAS!$D$3:$D$916,MOTORISTAS!E$3:$E$916),"")</f>
        <v/>
      </c>
      <c r="U1720" s="138" t="str">
        <f>IFERROR(LOOKUP($S1720,MOTORISTAS!$D$3:$D$916,MOTORISTAS!F$3:$F$916),"")</f>
        <v/>
      </c>
      <c r="V1720" s="66"/>
      <c r="W1720" s="66"/>
      <c r="X1720" s="66"/>
      <c r="Y1720" s="66"/>
      <c r="Z1720" s="66"/>
      <c r="AA1720" s="66"/>
      <c r="AB1720" s="66"/>
      <c r="AC1720" s="66"/>
      <c r="AD1720" s="66"/>
      <c r="AE1720" s="66"/>
      <c r="AF1720" s="44"/>
      <c r="AG1720" s="254">
        <f>Prog_23[[#This Row],[SAÍDA DO CLIENTE]]-Prog_23[[#This Row],[PROGRAMAÇÃO CLIENTE]]</f>
        <v>0</v>
      </c>
      <c r="AH1720" s="44"/>
      <c r="AI1720" s="66"/>
      <c r="AJ1720" s="66"/>
      <c r="AK1720" s="66"/>
      <c r="AL1720" s="66"/>
      <c r="AM1720" s="66"/>
      <c r="AN1720" s="83"/>
      <c r="AO1720" s="83"/>
      <c r="AP1720" s="83"/>
      <c r="AQ1720" s="66"/>
      <c r="AR1720" s="66"/>
      <c r="AS1720" s="66"/>
      <c r="AT1720" s="81"/>
      <c r="AU1720" s="81"/>
      <c r="AV1720" s="81"/>
      <c r="AW1720" s="81"/>
      <c r="AX1720" s="83">
        <f>SUM(Prog_23[[#This Row],[ADIANTAMENTO]]+Prog_23[[#This Row],[SALDO]]+Prog_23[[#This Row],[MARGEM]]+Prog_23[[#This Row],[ESTADIA 1]])</f>
        <v>0</v>
      </c>
      <c r="AY17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20" s="81"/>
      <c r="BA1720" s="81"/>
      <c r="BB1720" s="81">
        <f>Prog_23[[#This Row],[VLR NF]]*0.1%</f>
        <v>0</v>
      </c>
      <c r="BC1720" s="81">
        <f>Prog_23[[#This Row],[VLR NF]]*0.05%</f>
        <v>0</v>
      </c>
      <c r="BD1720" s="81"/>
      <c r="BE1720" s="81"/>
      <c r="BF1720" s="81"/>
      <c r="BG1720" s="81"/>
      <c r="BH1720" s="81"/>
      <c r="BI1720" s="81"/>
      <c r="BJ1720" s="81"/>
      <c r="BK1720" s="81"/>
      <c r="BL1720" s="81"/>
      <c r="BM1720" s="81"/>
      <c r="BN1720" s="66"/>
      <c r="BO1720" s="66"/>
      <c r="BP1720" s="66"/>
      <c r="BQ1720" s="66" t="str">
        <f>PROPER(TEXT(Prog_23[[#This Row],[PROGRAMAÇÃO CLIENTE]],"mmm"))</f>
        <v>Jan</v>
      </c>
      <c r="BR1720" s="66">
        <f>YEAR(Prog_23[[#This Row],[PROGRAMAÇÃO CLIENTE]])</f>
        <v>1900</v>
      </c>
    </row>
    <row r="1721" spans="1:70" x14ac:dyDescent="0.25">
      <c r="A1721" s="200">
        <f>Prog_23[[#This Row],[CONTEINER]]</f>
        <v>0</v>
      </c>
      <c r="B1721" s="86"/>
      <c r="C17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21" s="44"/>
      <c r="E1721" s="66"/>
      <c r="F1721" s="66"/>
      <c r="G1721" s="66"/>
      <c r="H1721" s="44"/>
      <c r="I1721" s="44"/>
      <c r="J1721" s="66"/>
      <c r="K1721" s="66"/>
      <c r="L1721" s="66"/>
      <c r="M1721" s="66"/>
      <c r="N1721" s="66">
        <f>SUM(Prog_23[[#This Row],[TARA]]+Prog_23[[#This Row],[PESO]])</f>
        <v>0</v>
      </c>
      <c r="O1721" s="44"/>
      <c r="P1721" s="66"/>
      <c r="Q1721" s="66"/>
      <c r="R1721" s="66"/>
      <c r="S1721" s="66"/>
      <c r="T1721" s="138" t="str">
        <f>IFERROR(LOOKUP($S1721,MOTORISTAS!$D$3:$D$916,MOTORISTAS!E$3:$E$916),"")</f>
        <v/>
      </c>
      <c r="U1721" s="138" t="str">
        <f>IFERROR(LOOKUP($S1721,MOTORISTAS!$D$3:$D$916,MOTORISTAS!F$3:$F$916),"")</f>
        <v/>
      </c>
      <c r="V1721" s="66"/>
      <c r="W1721" s="66"/>
      <c r="X1721" s="66"/>
      <c r="Y1721" s="66"/>
      <c r="Z1721" s="66"/>
      <c r="AA1721" s="66"/>
      <c r="AB1721" s="66"/>
      <c r="AC1721" s="66"/>
      <c r="AD1721" s="66"/>
      <c r="AE1721" s="66"/>
      <c r="AF1721" s="44"/>
      <c r="AG1721" s="254">
        <f>Prog_23[[#This Row],[SAÍDA DO CLIENTE]]-Prog_23[[#This Row],[PROGRAMAÇÃO CLIENTE]]</f>
        <v>0</v>
      </c>
      <c r="AH1721" s="44"/>
      <c r="AI1721" s="66"/>
      <c r="AJ1721" s="66"/>
      <c r="AK1721" s="66"/>
      <c r="AL1721" s="66"/>
      <c r="AM1721" s="66"/>
      <c r="AN1721" s="83"/>
      <c r="AO1721" s="83"/>
      <c r="AP1721" s="83"/>
      <c r="AQ1721" s="66"/>
      <c r="AR1721" s="66"/>
      <c r="AS1721" s="66"/>
      <c r="AT1721" s="81"/>
      <c r="AU1721" s="81"/>
      <c r="AV1721" s="81"/>
      <c r="AW1721" s="81"/>
      <c r="AX1721" s="83">
        <f>SUM(Prog_23[[#This Row],[ADIANTAMENTO]]+Prog_23[[#This Row],[SALDO]]+Prog_23[[#This Row],[MARGEM]]+Prog_23[[#This Row],[ESTADIA 1]])</f>
        <v>0</v>
      </c>
      <c r="AY17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21" s="81"/>
      <c r="BA1721" s="81"/>
      <c r="BB1721" s="81">
        <f>Prog_23[[#This Row],[VLR NF]]*0.1%</f>
        <v>0</v>
      </c>
      <c r="BC1721" s="81">
        <f>Prog_23[[#This Row],[VLR NF]]*0.05%</f>
        <v>0</v>
      </c>
      <c r="BD1721" s="81"/>
      <c r="BE1721" s="81"/>
      <c r="BF1721" s="81"/>
      <c r="BG1721" s="81"/>
      <c r="BH1721" s="81"/>
      <c r="BI1721" s="81"/>
      <c r="BJ1721" s="81"/>
      <c r="BK1721" s="81"/>
      <c r="BL1721" s="81"/>
      <c r="BM1721" s="81"/>
      <c r="BN1721" s="66"/>
      <c r="BO1721" s="66"/>
      <c r="BP1721" s="66"/>
      <c r="BQ1721" s="66" t="str">
        <f>PROPER(TEXT(Prog_23[[#This Row],[PROGRAMAÇÃO CLIENTE]],"mmm"))</f>
        <v>Jan</v>
      </c>
      <c r="BR1721" s="66">
        <f>YEAR(Prog_23[[#This Row],[PROGRAMAÇÃO CLIENTE]])</f>
        <v>1900</v>
      </c>
    </row>
    <row r="1722" spans="1:70" x14ac:dyDescent="0.25">
      <c r="A1722" s="201">
        <f>Prog_23[[#This Row],[CONTEINER]]</f>
        <v>0</v>
      </c>
      <c r="B1722" s="86"/>
      <c r="C17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22" s="44"/>
      <c r="E1722" s="66"/>
      <c r="F1722" s="66"/>
      <c r="G1722" s="66"/>
      <c r="H1722" s="44"/>
      <c r="I1722" s="44"/>
      <c r="J1722" s="66"/>
      <c r="K1722" s="66"/>
      <c r="L1722" s="66"/>
      <c r="M1722" s="66"/>
      <c r="N1722" s="66">
        <f>SUM(Prog_23[[#This Row],[TARA]]+Prog_23[[#This Row],[PESO]])</f>
        <v>0</v>
      </c>
      <c r="O1722" s="44"/>
      <c r="P1722" s="66"/>
      <c r="Q1722" s="66"/>
      <c r="R1722" s="66"/>
      <c r="S1722" s="66"/>
      <c r="T1722" s="138" t="str">
        <f>IFERROR(LOOKUP($S1722,MOTORISTAS!$D$3:$D$916,MOTORISTAS!E$3:$E$916),"")</f>
        <v/>
      </c>
      <c r="U1722" s="138" t="str">
        <f>IFERROR(LOOKUP($S1722,MOTORISTAS!$D$3:$D$916,MOTORISTAS!F$3:$F$916),"")</f>
        <v/>
      </c>
      <c r="V1722" s="66"/>
      <c r="W1722" s="66"/>
      <c r="X1722" s="66"/>
      <c r="Y1722" s="66"/>
      <c r="Z1722" s="66"/>
      <c r="AA1722" s="66"/>
      <c r="AB1722" s="66"/>
      <c r="AC1722" s="66"/>
      <c r="AD1722" s="66"/>
      <c r="AE1722" s="66"/>
      <c r="AF1722" s="44"/>
      <c r="AG1722" s="254">
        <f>Prog_23[[#This Row],[SAÍDA DO CLIENTE]]-Prog_23[[#This Row],[PROGRAMAÇÃO CLIENTE]]</f>
        <v>0</v>
      </c>
      <c r="AH1722" s="44"/>
      <c r="AI1722" s="66"/>
      <c r="AJ1722" s="66"/>
      <c r="AK1722" s="66"/>
      <c r="AL1722" s="66"/>
      <c r="AM1722" s="66"/>
      <c r="AN1722" s="83"/>
      <c r="AO1722" s="83"/>
      <c r="AP1722" s="83"/>
      <c r="AQ1722" s="66"/>
      <c r="AR1722" s="66"/>
      <c r="AS1722" s="66"/>
      <c r="AT1722" s="81"/>
      <c r="AU1722" s="81"/>
      <c r="AV1722" s="81"/>
      <c r="AW1722" s="81"/>
      <c r="AX1722" s="83">
        <f>SUM(Prog_23[[#This Row],[ADIANTAMENTO]]+Prog_23[[#This Row],[SALDO]]+Prog_23[[#This Row],[MARGEM]]+Prog_23[[#This Row],[ESTADIA 1]])</f>
        <v>0</v>
      </c>
      <c r="AY17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22" s="81"/>
      <c r="BA1722" s="81"/>
      <c r="BB1722" s="81">
        <f>Prog_23[[#This Row],[VLR NF]]*0.1%</f>
        <v>0</v>
      </c>
      <c r="BC1722" s="81">
        <f>Prog_23[[#This Row],[VLR NF]]*0.05%</f>
        <v>0</v>
      </c>
      <c r="BD1722" s="81"/>
      <c r="BE1722" s="81"/>
      <c r="BF1722" s="81"/>
      <c r="BG1722" s="81"/>
      <c r="BH1722" s="81"/>
      <c r="BI1722" s="81"/>
      <c r="BJ1722" s="81"/>
      <c r="BK1722" s="81"/>
      <c r="BL1722" s="81"/>
      <c r="BM1722" s="81"/>
      <c r="BN1722" s="66"/>
      <c r="BO1722" s="66"/>
      <c r="BP1722" s="66"/>
      <c r="BQ1722" s="66" t="str">
        <f>PROPER(TEXT(Prog_23[[#This Row],[PROGRAMAÇÃO CLIENTE]],"mmm"))</f>
        <v>Jan</v>
      </c>
      <c r="BR1722" s="66">
        <f>YEAR(Prog_23[[#This Row],[PROGRAMAÇÃO CLIENTE]])</f>
        <v>1900</v>
      </c>
    </row>
    <row r="1723" spans="1:70" x14ac:dyDescent="0.25">
      <c r="A1723" s="200">
        <f>Prog_23[[#This Row],[CONTEINER]]</f>
        <v>0</v>
      </c>
      <c r="B1723" s="86"/>
      <c r="C17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23" s="44"/>
      <c r="E1723" s="66"/>
      <c r="F1723" s="66"/>
      <c r="G1723" s="66"/>
      <c r="H1723" s="44"/>
      <c r="I1723" s="44"/>
      <c r="J1723" s="66"/>
      <c r="K1723" s="66"/>
      <c r="L1723" s="66"/>
      <c r="M1723" s="66"/>
      <c r="N1723" s="66">
        <f>SUM(Prog_23[[#This Row],[TARA]]+Prog_23[[#This Row],[PESO]])</f>
        <v>0</v>
      </c>
      <c r="O1723" s="44"/>
      <c r="P1723" s="66"/>
      <c r="Q1723" s="66"/>
      <c r="R1723" s="66"/>
      <c r="S1723" s="66"/>
      <c r="T1723" s="138" t="str">
        <f>IFERROR(LOOKUP($S1723,MOTORISTAS!$D$3:$D$916,MOTORISTAS!E$3:$E$916),"")</f>
        <v/>
      </c>
      <c r="U1723" s="138" t="str">
        <f>IFERROR(LOOKUP($S1723,MOTORISTAS!$D$3:$D$916,MOTORISTAS!F$3:$F$916),"")</f>
        <v/>
      </c>
      <c r="V1723" s="66"/>
      <c r="W1723" s="66"/>
      <c r="X1723" s="66"/>
      <c r="Y1723" s="66"/>
      <c r="Z1723" s="66"/>
      <c r="AA1723" s="66"/>
      <c r="AB1723" s="66"/>
      <c r="AC1723" s="66"/>
      <c r="AD1723" s="66"/>
      <c r="AE1723" s="66"/>
      <c r="AF1723" s="44"/>
      <c r="AG1723" s="254">
        <f>Prog_23[[#This Row],[SAÍDA DO CLIENTE]]-Prog_23[[#This Row],[PROGRAMAÇÃO CLIENTE]]</f>
        <v>0</v>
      </c>
      <c r="AH1723" s="44"/>
      <c r="AI1723" s="66"/>
      <c r="AJ1723" s="66"/>
      <c r="AK1723" s="66"/>
      <c r="AL1723" s="66"/>
      <c r="AM1723" s="66"/>
      <c r="AN1723" s="83"/>
      <c r="AO1723" s="83"/>
      <c r="AP1723" s="83"/>
      <c r="AQ1723" s="66"/>
      <c r="AR1723" s="66"/>
      <c r="AS1723" s="66"/>
      <c r="AT1723" s="81"/>
      <c r="AU1723" s="81"/>
      <c r="AV1723" s="81"/>
      <c r="AW1723" s="81"/>
      <c r="AX1723" s="83">
        <f>SUM(Prog_23[[#This Row],[ADIANTAMENTO]]+Prog_23[[#This Row],[SALDO]]+Prog_23[[#This Row],[MARGEM]]+Prog_23[[#This Row],[ESTADIA 1]])</f>
        <v>0</v>
      </c>
      <c r="AY17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23" s="81"/>
      <c r="BA1723" s="81"/>
      <c r="BB1723" s="81">
        <f>Prog_23[[#This Row],[VLR NF]]*0.1%</f>
        <v>0</v>
      </c>
      <c r="BC1723" s="81">
        <f>Prog_23[[#This Row],[VLR NF]]*0.05%</f>
        <v>0</v>
      </c>
      <c r="BD1723" s="81"/>
      <c r="BE1723" s="81"/>
      <c r="BF1723" s="81"/>
      <c r="BG1723" s="81"/>
      <c r="BH1723" s="81"/>
      <c r="BI1723" s="81"/>
      <c r="BJ1723" s="81"/>
      <c r="BK1723" s="81"/>
      <c r="BL1723" s="81"/>
      <c r="BM1723" s="81"/>
      <c r="BN1723" s="66"/>
      <c r="BO1723" s="66"/>
      <c r="BP1723" s="66"/>
      <c r="BQ1723" s="66" t="str">
        <f>PROPER(TEXT(Prog_23[[#This Row],[PROGRAMAÇÃO CLIENTE]],"mmm"))</f>
        <v>Jan</v>
      </c>
      <c r="BR1723" s="66">
        <f>YEAR(Prog_23[[#This Row],[PROGRAMAÇÃO CLIENTE]])</f>
        <v>1900</v>
      </c>
    </row>
    <row r="1724" spans="1:70" x14ac:dyDescent="0.25">
      <c r="A1724" s="201">
        <f>Prog_23[[#This Row],[CONTEINER]]</f>
        <v>0</v>
      </c>
      <c r="B1724" s="86"/>
      <c r="C17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24" s="44"/>
      <c r="E1724" s="66"/>
      <c r="F1724" s="66"/>
      <c r="G1724" s="66"/>
      <c r="H1724" s="44"/>
      <c r="I1724" s="44"/>
      <c r="J1724" s="66"/>
      <c r="K1724" s="66"/>
      <c r="L1724" s="66"/>
      <c r="M1724" s="66"/>
      <c r="N1724" s="66">
        <f>SUM(Prog_23[[#This Row],[TARA]]+Prog_23[[#This Row],[PESO]])</f>
        <v>0</v>
      </c>
      <c r="O1724" s="44"/>
      <c r="P1724" s="66"/>
      <c r="Q1724" s="66"/>
      <c r="R1724" s="66"/>
      <c r="S1724" s="66"/>
      <c r="T1724" s="138" t="str">
        <f>IFERROR(LOOKUP($S1724,MOTORISTAS!$D$3:$D$916,MOTORISTAS!E$3:$E$916),"")</f>
        <v/>
      </c>
      <c r="U1724" s="138" t="str">
        <f>IFERROR(LOOKUP($S1724,MOTORISTAS!$D$3:$D$916,MOTORISTAS!F$3:$F$916),"")</f>
        <v/>
      </c>
      <c r="V1724" s="66"/>
      <c r="W1724" s="66"/>
      <c r="X1724" s="66"/>
      <c r="Y1724" s="66"/>
      <c r="Z1724" s="66"/>
      <c r="AA1724" s="66"/>
      <c r="AB1724" s="66"/>
      <c r="AC1724" s="66"/>
      <c r="AD1724" s="66"/>
      <c r="AE1724" s="66"/>
      <c r="AF1724" s="44"/>
      <c r="AG1724" s="254">
        <f>Prog_23[[#This Row],[SAÍDA DO CLIENTE]]-Prog_23[[#This Row],[PROGRAMAÇÃO CLIENTE]]</f>
        <v>0</v>
      </c>
      <c r="AH1724" s="44"/>
      <c r="AI1724" s="66"/>
      <c r="AJ1724" s="66"/>
      <c r="AK1724" s="66"/>
      <c r="AL1724" s="66"/>
      <c r="AM1724" s="66"/>
      <c r="AN1724" s="83"/>
      <c r="AO1724" s="83"/>
      <c r="AP1724" s="83"/>
      <c r="AQ1724" s="66"/>
      <c r="AR1724" s="66"/>
      <c r="AS1724" s="66"/>
      <c r="AT1724" s="81"/>
      <c r="AU1724" s="81"/>
      <c r="AV1724" s="81"/>
      <c r="AW1724" s="81"/>
      <c r="AX1724" s="83">
        <f>SUM(Prog_23[[#This Row],[ADIANTAMENTO]]+Prog_23[[#This Row],[SALDO]]+Prog_23[[#This Row],[MARGEM]]+Prog_23[[#This Row],[ESTADIA 1]])</f>
        <v>0</v>
      </c>
      <c r="AY17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24" s="81"/>
      <c r="BA1724" s="81"/>
      <c r="BB1724" s="81">
        <f>Prog_23[[#This Row],[VLR NF]]*0.1%</f>
        <v>0</v>
      </c>
      <c r="BC1724" s="81">
        <f>Prog_23[[#This Row],[VLR NF]]*0.05%</f>
        <v>0</v>
      </c>
      <c r="BD1724" s="81"/>
      <c r="BE1724" s="81"/>
      <c r="BF1724" s="81"/>
      <c r="BG1724" s="81"/>
      <c r="BH1724" s="81"/>
      <c r="BI1724" s="81"/>
      <c r="BJ1724" s="81"/>
      <c r="BK1724" s="81"/>
      <c r="BL1724" s="81"/>
      <c r="BM1724" s="81"/>
      <c r="BN1724" s="66"/>
      <c r="BO1724" s="66"/>
      <c r="BP1724" s="66"/>
      <c r="BQ1724" s="66" t="str">
        <f>PROPER(TEXT(Prog_23[[#This Row],[PROGRAMAÇÃO CLIENTE]],"mmm"))</f>
        <v>Jan</v>
      </c>
      <c r="BR1724" s="66">
        <f>YEAR(Prog_23[[#This Row],[PROGRAMAÇÃO CLIENTE]])</f>
        <v>1900</v>
      </c>
    </row>
    <row r="1725" spans="1:70" x14ac:dyDescent="0.25">
      <c r="A1725" s="200">
        <f>Prog_23[[#This Row],[CONTEINER]]</f>
        <v>0</v>
      </c>
      <c r="B1725" s="86"/>
      <c r="C17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25" s="44"/>
      <c r="E1725" s="66"/>
      <c r="F1725" s="66"/>
      <c r="G1725" s="66"/>
      <c r="H1725" s="44"/>
      <c r="I1725" s="44"/>
      <c r="J1725" s="66"/>
      <c r="K1725" s="66"/>
      <c r="L1725" s="66"/>
      <c r="M1725" s="66"/>
      <c r="N1725" s="66">
        <f>SUM(Prog_23[[#This Row],[TARA]]+Prog_23[[#This Row],[PESO]])</f>
        <v>0</v>
      </c>
      <c r="O1725" s="44"/>
      <c r="P1725" s="66"/>
      <c r="Q1725" s="66"/>
      <c r="R1725" s="66"/>
      <c r="S1725" s="66"/>
      <c r="T1725" s="138" t="str">
        <f>IFERROR(LOOKUP($S1725,MOTORISTAS!$D$3:$D$916,MOTORISTAS!E$3:$E$916),"")</f>
        <v/>
      </c>
      <c r="U1725" s="138" t="str">
        <f>IFERROR(LOOKUP($S1725,MOTORISTAS!$D$3:$D$916,MOTORISTAS!F$3:$F$916),"")</f>
        <v/>
      </c>
      <c r="V1725" s="66"/>
      <c r="W1725" s="66"/>
      <c r="X1725" s="66"/>
      <c r="Y1725" s="66"/>
      <c r="Z1725" s="66"/>
      <c r="AA1725" s="66"/>
      <c r="AB1725" s="66"/>
      <c r="AC1725" s="66"/>
      <c r="AD1725" s="66"/>
      <c r="AE1725" s="66"/>
      <c r="AF1725" s="44"/>
      <c r="AG1725" s="254">
        <f>Prog_23[[#This Row],[SAÍDA DO CLIENTE]]-Prog_23[[#This Row],[PROGRAMAÇÃO CLIENTE]]</f>
        <v>0</v>
      </c>
      <c r="AH1725" s="44"/>
      <c r="AI1725" s="66"/>
      <c r="AJ1725" s="66"/>
      <c r="AK1725" s="66"/>
      <c r="AL1725" s="66"/>
      <c r="AM1725" s="66"/>
      <c r="AN1725" s="83"/>
      <c r="AO1725" s="83"/>
      <c r="AP1725" s="83"/>
      <c r="AQ1725" s="66"/>
      <c r="AR1725" s="66"/>
      <c r="AS1725" s="66"/>
      <c r="AT1725" s="81"/>
      <c r="AU1725" s="81"/>
      <c r="AV1725" s="81"/>
      <c r="AW1725" s="81"/>
      <c r="AX1725" s="83">
        <f>SUM(Prog_23[[#This Row],[ADIANTAMENTO]]+Prog_23[[#This Row],[SALDO]]+Prog_23[[#This Row],[MARGEM]]+Prog_23[[#This Row],[ESTADIA 1]])</f>
        <v>0</v>
      </c>
      <c r="AY17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25" s="81"/>
      <c r="BA1725" s="81"/>
      <c r="BB1725" s="81">
        <f>Prog_23[[#This Row],[VLR NF]]*0.1%</f>
        <v>0</v>
      </c>
      <c r="BC1725" s="81">
        <f>Prog_23[[#This Row],[VLR NF]]*0.05%</f>
        <v>0</v>
      </c>
      <c r="BD1725" s="81"/>
      <c r="BE1725" s="81"/>
      <c r="BF1725" s="81"/>
      <c r="BG1725" s="81"/>
      <c r="BH1725" s="81"/>
      <c r="BI1725" s="81"/>
      <c r="BJ1725" s="81"/>
      <c r="BK1725" s="81"/>
      <c r="BL1725" s="81"/>
      <c r="BM1725" s="81"/>
      <c r="BN1725" s="66"/>
      <c r="BO1725" s="66"/>
      <c r="BP1725" s="66"/>
      <c r="BQ1725" s="66" t="str">
        <f>PROPER(TEXT(Prog_23[[#This Row],[PROGRAMAÇÃO CLIENTE]],"mmm"))</f>
        <v>Jan</v>
      </c>
      <c r="BR1725" s="66">
        <f>YEAR(Prog_23[[#This Row],[PROGRAMAÇÃO CLIENTE]])</f>
        <v>1900</v>
      </c>
    </row>
    <row r="1726" spans="1:70" x14ac:dyDescent="0.25">
      <c r="A1726" s="201">
        <f>Prog_23[[#This Row],[CONTEINER]]</f>
        <v>0</v>
      </c>
      <c r="B1726" s="86"/>
      <c r="C17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26" s="44"/>
      <c r="E1726" s="66"/>
      <c r="F1726" s="66"/>
      <c r="G1726" s="66"/>
      <c r="H1726" s="44"/>
      <c r="I1726" s="44"/>
      <c r="J1726" s="66"/>
      <c r="K1726" s="66"/>
      <c r="L1726" s="66"/>
      <c r="M1726" s="66"/>
      <c r="N1726" s="66">
        <f>SUM(Prog_23[[#This Row],[TARA]]+Prog_23[[#This Row],[PESO]])</f>
        <v>0</v>
      </c>
      <c r="O1726" s="44"/>
      <c r="P1726" s="66"/>
      <c r="Q1726" s="66"/>
      <c r="R1726" s="66"/>
      <c r="S1726" s="66"/>
      <c r="T1726" s="138" t="str">
        <f>IFERROR(LOOKUP($S1726,MOTORISTAS!$D$3:$D$916,MOTORISTAS!E$3:$E$916),"")</f>
        <v/>
      </c>
      <c r="U1726" s="138" t="str">
        <f>IFERROR(LOOKUP($S1726,MOTORISTAS!$D$3:$D$916,MOTORISTAS!F$3:$F$916),"")</f>
        <v/>
      </c>
      <c r="V1726" s="66"/>
      <c r="W1726" s="66"/>
      <c r="X1726" s="66"/>
      <c r="Y1726" s="66"/>
      <c r="Z1726" s="66"/>
      <c r="AA1726" s="66"/>
      <c r="AB1726" s="66"/>
      <c r="AC1726" s="66"/>
      <c r="AD1726" s="66"/>
      <c r="AE1726" s="66"/>
      <c r="AF1726" s="44"/>
      <c r="AG1726" s="254">
        <f>Prog_23[[#This Row],[SAÍDA DO CLIENTE]]-Prog_23[[#This Row],[PROGRAMAÇÃO CLIENTE]]</f>
        <v>0</v>
      </c>
      <c r="AH1726" s="44"/>
      <c r="AI1726" s="66"/>
      <c r="AJ1726" s="66"/>
      <c r="AK1726" s="66"/>
      <c r="AL1726" s="66"/>
      <c r="AM1726" s="66"/>
      <c r="AN1726" s="83"/>
      <c r="AO1726" s="83"/>
      <c r="AP1726" s="83"/>
      <c r="AQ1726" s="66"/>
      <c r="AR1726" s="66"/>
      <c r="AS1726" s="66"/>
      <c r="AT1726" s="81"/>
      <c r="AU1726" s="81"/>
      <c r="AV1726" s="81"/>
      <c r="AW1726" s="81"/>
      <c r="AX1726" s="83">
        <f>SUM(Prog_23[[#This Row],[ADIANTAMENTO]]+Prog_23[[#This Row],[SALDO]]+Prog_23[[#This Row],[MARGEM]]+Prog_23[[#This Row],[ESTADIA 1]])</f>
        <v>0</v>
      </c>
      <c r="AY17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26" s="81"/>
      <c r="BA1726" s="81"/>
      <c r="BB1726" s="81">
        <f>Prog_23[[#This Row],[VLR NF]]*0.1%</f>
        <v>0</v>
      </c>
      <c r="BC1726" s="81">
        <f>Prog_23[[#This Row],[VLR NF]]*0.05%</f>
        <v>0</v>
      </c>
      <c r="BD1726" s="81"/>
      <c r="BE1726" s="81"/>
      <c r="BF1726" s="81"/>
      <c r="BG1726" s="81"/>
      <c r="BH1726" s="81"/>
      <c r="BI1726" s="81"/>
      <c r="BJ1726" s="81"/>
      <c r="BK1726" s="81"/>
      <c r="BL1726" s="81"/>
      <c r="BM1726" s="81"/>
      <c r="BN1726" s="66"/>
      <c r="BO1726" s="66"/>
      <c r="BP1726" s="66"/>
      <c r="BQ1726" s="66" t="str">
        <f>PROPER(TEXT(Prog_23[[#This Row],[PROGRAMAÇÃO CLIENTE]],"mmm"))</f>
        <v>Jan</v>
      </c>
      <c r="BR1726" s="66">
        <f>YEAR(Prog_23[[#This Row],[PROGRAMAÇÃO CLIENTE]])</f>
        <v>1900</v>
      </c>
    </row>
    <row r="1727" spans="1:70" x14ac:dyDescent="0.25">
      <c r="A1727" s="200">
        <f>Prog_23[[#This Row],[CONTEINER]]</f>
        <v>0</v>
      </c>
      <c r="B1727" s="86"/>
      <c r="C17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27" s="44"/>
      <c r="E1727" s="66"/>
      <c r="F1727" s="66"/>
      <c r="G1727" s="66"/>
      <c r="H1727" s="44"/>
      <c r="I1727" s="44"/>
      <c r="J1727" s="66"/>
      <c r="K1727" s="66"/>
      <c r="L1727" s="66"/>
      <c r="M1727" s="66"/>
      <c r="N1727" s="66">
        <f>SUM(Prog_23[[#This Row],[TARA]]+Prog_23[[#This Row],[PESO]])</f>
        <v>0</v>
      </c>
      <c r="O1727" s="44"/>
      <c r="P1727" s="66"/>
      <c r="Q1727" s="66"/>
      <c r="R1727" s="66"/>
      <c r="S1727" s="66"/>
      <c r="T1727" s="138" t="str">
        <f>IFERROR(LOOKUP($S1727,MOTORISTAS!$D$3:$D$916,MOTORISTAS!E$3:$E$916),"")</f>
        <v/>
      </c>
      <c r="U1727" s="138" t="str">
        <f>IFERROR(LOOKUP($S1727,MOTORISTAS!$D$3:$D$916,MOTORISTAS!F$3:$F$916),"")</f>
        <v/>
      </c>
      <c r="V1727" s="66"/>
      <c r="W1727" s="66"/>
      <c r="X1727" s="66"/>
      <c r="Y1727" s="66"/>
      <c r="Z1727" s="66"/>
      <c r="AA1727" s="66"/>
      <c r="AB1727" s="66"/>
      <c r="AC1727" s="66"/>
      <c r="AD1727" s="66"/>
      <c r="AE1727" s="66"/>
      <c r="AF1727" s="44"/>
      <c r="AG1727" s="254">
        <f>Prog_23[[#This Row],[SAÍDA DO CLIENTE]]-Prog_23[[#This Row],[PROGRAMAÇÃO CLIENTE]]</f>
        <v>0</v>
      </c>
      <c r="AH1727" s="44"/>
      <c r="AI1727" s="66"/>
      <c r="AJ1727" s="66"/>
      <c r="AK1727" s="66"/>
      <c r="AL1727" s="66"/>
      <c r="AM1727" s="66"/>
      <c r="AN1727" s="83"/>
      <c r="AO1727" s="83"/>
      <c r="AP1727" s="83"/>
      <c r="AQ1727" s="66"/>
      <c r="AR1727" s="66"/>
      <c r="AS1727" s="66"/>
      <c r="AT1727" s="81"/>
      <c r="AU1727" s="81"/>
      <c r="AV1727" s="81"/>
      <c r="AW1727" s="81"/>
      <c r="AX1727" s="83">
        <f>SUM(Prog_23[[#This Row],[ADIANTAMENTO]]+Prog_23[[#This Row],[SALDO]]+Prog_23[[#This Row],[MARGEM]]+Prog_23[[#This Row],[ESTADIA 1]])</f>
        <v>0</v>
      </c>
      <c r="AY17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27" s="81"/>
      <c r="BA1727" s="81"/>
      <c r="BB1727" s="81">
        <f>Prog_23[[#This Row],[VLR NF]]*0.1%</f>
        <v>0</v>
      </c>
      <c r="BC1727" s="81">
        <f>Prog_23[[#This Row],[VLR NF]]*0.05%</f>
        <v>0</v>
      </c>
      <c r="BD1727" s="81"/>
      <c r="BE1727" s="81"/>
      <c r="BF1727" s="81"/>
      <c r="BG1727" s="81"/>
      <c r="BH1727" s="81"/>
      <c r="BI1727" s="81"/>
      <c r="BJ1727" s="81"/>
      <c r="BK1727" s="81"/>
      <c r="BL1727" s="81"/>
      <c r="BM1727" s="81"/>
      <c r="BN1727" s="66"/>
      <c r="BO1727" s="66"/>
      <c r="BP1727" s="66"/>
      <c r="BQ1727" s="66" t="str">
        <f>PROPER(TEXT(Prog_23[[#This Row],[PROGRAMAÇÃO CLIENTE]],"mmm"))</f>
        <v>Jan</v>
      </c>
      <c r="BR1727" s="66">
        <f>YEAR(Prog_23[[#This Row],[PROGRAMAÇÃO CLIENTE]])</f>
        <v>1900</v>
      </c>
    </row>
    <row r="1728" spans="1:70" x14ac:dyDescent="0.25">
      <c r="A1728" s="201">
        <f>Prog_23[[#This Row],[CONTEINER]]</f>
        <v>0</v>
      </c>
      <c r="B1728" s="86"/>
      <c r="C17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28" s="44"/>
      <c r="E1728" s="66"/>
      <c r="F1728" s="66"/>
      <c r="G1728" s="66"/>
      <c r="H1728" s="44"/>
      <c r="I1728" s="44"/>
      <c r="J1728" s="66"/>
      <c r="K1728" s="66"/>
      <c r="L1728" s="66"/>
      <c r="M1728" s="66"/>
      <c r="N1728" s="66">
        <f>SUM(Prog_23[[#This Row],[TARA]]+Prog_23[[#This Row],[PESO]])</f>
        <v>0</v>
      </c>
      <c r="O1728" s="44"/>
      <c r="P1728" s="66"/>
      <c r="Q1728" s="66"/>
      <c r="R1728" s="66"/>
      <c r="S1728" s="66"/>
      <c r="T1728" s="138" t="str">
        <f>IFERROR(LOOKUP($S1728,MOTORISTAS!$D$3:$D$916,MOTORISTAS!E$3:$E$916),"")</f>
        <v/>
      </c>
      <c r="U1728" s="138" t="str">
        <f>IFERROR(LOOKUP($S1728,MOTORISTAS!$D$3:$D$916,MOTORISTAS!F$3:$F$916),"")</f>
        <v/>
      </c>
      <c r="V1728" s="66"/>
      <c r="W1728" s="66"/>
      <c r="X1728" s="66"/>
      <c r="Y1728" s="66"/>
      <c r="Z1728" s="66"/>
      <c r="AA1728" s="66"/>
      <c r="AB1728" s="66"/>
      <c r="AC1728" s="66"/>
      <c r="AD1728" s="66"/>
      <c r="AE1728" s="66"/>
      <c r="AF1728" s="44"/>
      <c r="AG1728" s="254">
        <f>Prog_23[[#This Row],[SAÍDA DO CLIENTE]]-Prog_23[[#This Row],[PROGRAMAÇÃO CLIENTE]]</f>
        <v>0</v>
      </c>
      <c r="AH1728" s="44"/>
      <c r="AI1728" s="66"/>
      <c r="AJ1728" s="66"/>
      <c r="AK1728" s="66"/>
      <c r="AL1728" s="66"/>
      <c r="AM1728" s="66"/>
      <c r="AN1728" s="83"/>
      <c r="AO1728" s="83"/>
      <c r="AP1728" s="83"/>
      <c r="AQ1728" s="66"/>
      <c r="AR1728" s="66"/>
      <c r="AS1728" s="66"/>
      <c r="AT1728" s="81"/>
      <c r="AU1728" s="81"/>
      <c r="AV1728" s="81"/>
      <c r="AW1728" s="81"/>
      <c r="AX1728" s="83">
        <f>SUM(Prog_23[[#This Row],[ADIANTAMENTO]]+Prog_23[[#This Row],[SALDO]]+Prog_23[[#This Row],[MARGEM]]+Prog_23[[#This Row],[ESTADIA 1]])</f>
        <v>0</v>
      </c>
      <c r="AY17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28" s="81"/>
      <c r="BA1728" s="81"/>
      <c r="BB1728" s="81">
        <f>Prog_23[[#This Row],[VLR NF]]*0.1%</f>
        <v>0</v>
      </c>
      <c r="BC1728" s="81">
        <f>Prog_23[[#This Row],[VLR NF]]*0.05%</f>
        <v>0</v>
      </c>
      <c r="BD1728" s="81"/>
      <c r="BE1728" s="81"/>
      <c r="BF1728" s="81"/>
      <c r="BG1728" s="81"/>
      <c r="BH1728" s="81"/>
      <c r="BI1728" s="81"/>
      <c r="BJ1728" s="81"/>
      <c r="BK1728" s="81"/>
      <c r="BL1728" s="81"/>
      <c r="BM1728" s="81"/>
      <c r="BN1728" s="66"/>
      <c r="BO1728" s="66"/>
      <c r="BP1728" s="66"/>
      <c r="BQ1728" s="66" t="str">
        <f>PROPER(TEXT(Prog_23[[#This Row],[PROGRAMAÇÃO CLIENTE]],"mmm"))</f>
        <v>Jan</v>
      </c>
      <c r="BR1728" s="66">
        <f>YEAR(Prog_23[[#This Row],[PROGRAMAÇÃO CLIENTE]])</f>
        <v>1900</v>
      </c>
    </row>
    <row r="1729" spans="1:70" x14ac:dyDescent="0.25">
      <c r="A1729" s="200">
        <f>Prog_23[[#This Row],[CONTEINER]]</f>
        <v>0</v>
      </c>
      <c r="B1729" s="86"/>
      <c r="C17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29" s="44"/>
      <c r="E1729" s="66"/>
      <c r="F1729" s="66"/>
      <c r="G1729" s="66"/>
      <c r="H1729" s="44"/>
      <c r="I1729" s="44"/>
      <c r="J1729" s="66"/>
      <c r="K1729" s="66"/>
      <c r="L1729" s="66"/>
      <c r="M1729" s="66"/>
      <c r="N1729" s="66">
        <f>SUM(Prog_23[[#This Row],[TARA]]+Prog_23[[#This Row],[PESO]])</f>
        <v>0</v>
      </c>
      <c r="O1729" s="44"/>
      <c r="P1729" s="66"/>
      <c r="Q1729" s="66"/>
      <c r="R1729" s="66"/>
      <c r="S1729" s="66"/>
      <c r="T1729" s="138" t="str">
        <f>IFERROR(LOOKUP($S1729,MOTORISTAS!$D$3:$D$916,MOTORISTAS!E$3:$E$916),"")</f>
        <v/>
      </c>
      <c r="U1729" s="138" t="str">
        <f>IFERROR(LOOKUP($S1729,MOTORISTAS!$D$3:$D$916,MOTORISTAS!F$3:$F$916),"")</f>
        <v/>
      </c>
      <c r="V1729" s="66"/>
      <c r="W1729" s="66"/>
      <c r="X1729" s="66"/>
      <c r="Y1729" s="66"/>
      <c r="Z1729" s="66"/>
      <c r="AA1729" s="66"/>
      <c r="AB1729" s="66"/>
      <c r="AC1729" s="66"/>
      <c r="AD1729" s="66"/>
      <c r="AE1729" s="66"/>
      <c r="AF1729" s="44"/>
      <c r="AG1729" s="254">
        <f>Prog_23[[#This Row],[SAÍDA DO CLIENTE]]-Prog_23[[#This Row],[PROGRAMAÇÃO CLIENTE]]</f>
        <v>0</v>
      </c>
      <c r="AH1729" s="44"/>
      <c r="AI1729" s="66"/>
      <c r="AJ1729" s="66"/>
      <c r="AK1729" s="66"/>
      <c r="AL1729" s="66"/>
      <c r="AM1729" s="66"/>
      <c r="AN1729" s="83"/>
      <c r="AO1729" s="83"/>
      <c r="AP1729" s="83"/>
      <c r="AQ1729" s="66"/>
      <c r="AR1729" s="66"/>
      <c r="AS1729" s="66"/>
      <c r="AT1729" s="81"/>
      <c r="AU1729" s="81"/>
      <c r="AV1729" s="81"/>
      <c r="AW1729" s="81"/>
      <c r="AX1729" s="83">
        <f>SUM(Prog_23[[#This Row],[ADIANTAMENTO]]+Prog_23[[#This Row],[SALDO]]+Prog_23[[#This Row],[MARGEM]]+Prog_23[[#This Row],[ESTADIA 1]])</f>
        <v>0</v>
      </c>
      <c r="AY17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29" s="81"/>
      <c r="BA1729" s="81"/>
      <c r="BB1729" s="81">
        <f>Prog_23[[#This Row],[VLR NF]]*0.1%</f>
        <v>0</v>
      </c>
      <c r="BC1729" s="81">
        <f>Prog_23[[#This Row],[VLR NF]]*0.05%</f>
        <v>0</v>
      </c>
      <c r="BD1729" s="81"/>
      <c r="BE1729" s="81"/>
      <c r="BF1729" s="81"/>
      <c r="BG1729" s="81"/>
      <c r="BH1729" s="81"/>
      <c r="BI1729" s="81"/>
      <c r="BJ1729" s="81"/>
      <c r="BK1729" s="81"/>
      <c r="BL1729" s="81"/>
      <c r="BM1729" s="81"/>
      <c r="BN1729" s="66"/>
      <c r="BO1729" s="66"/>
      <c r="BP1729" s="66"/>
      <c r="BQ1729" s="66" t="str">
        <f>PROPER(TEXT(Prog_23[[#This Row],[PROGRAMAÇÃO CLIENTE]],"mmm"))</f>
        <v>Jan</v>
      </c>
      <c r="BR1729" s="66">
        <f>YEAR(Prog_23[[#This Row],[PROGRAMAÇÃO CLIENTE]])</f>
        <v>1900</v>
      </c>
    </row>
    <row r="1730" spans="1:70" x14ac:dyDescent="0.25">
      <c r="A1730" s="201">
        <f>Prog_23[[#This Row],[CONTEINER]]</f>
        <v>0</v>
      </c>
      <c r="B1730" s="86"/>
      <c r="C17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30" s="44"/>
      <c r="E1730" s="66"/>
      <c r="F1730" s="66"/>
      <c r="G1730" s="66"/>
      <c r="H1730" s="44"/>
      <c r="I1730" s="44"/>
      <c r="J1730" s="66"/>
      <c r="K1730" s="66"/>
      <c r="L1730" s="66"/>
      <c r="M1730" s="66"/>
      <c r="N1730" s="66">
        <f>SUM(Prog_23[[#This Row],[TARA]]+Prog_23[[#This Row],[PESO]])</f>
        <v>0</v>
      </c>
      <c r="O1730" s="44"/>
      <c r="P1730" s="66"/>
      <c r="Q1730" s="66"/>
      <c r="R1730" s="66"/>
      <c r="S1730" s="66"/>
      <c r="T1730" s="138" t="str">
        <f>IFERROR(LOOKUP($S1730,MOTORISTAS!$D$3:$D$916,MOTORISTAS!E$3:$E$916),"")</f>
        <v/>
      </c>
      <c r="U1730" s="138" t="str">
        <f>IFERROR(LOOKUP($S1730,MOTORISTAS!$D$3:$D$916,MOTORISTAS!F$3:$F$916),"")</f>
        <v/>
      </c>
      <c r="V1730" s="66"/>
      <c r="W1730" s="66"/>
      <c r="X1730" s="66"/>
      <c r="Y1730" s="66"/>
      <c r="Z1730" s="66"/>
      <c r="AA1730" s="66"/>
      <c r="AB1730" s="66"/>
      <c r="AC1730" s="66"/>
      <c r="AD1730" s="66"/>
      <c r="AE1730" s="66"/>
      <c r="AF1730" s="44"/>
      <c r="AG1730" s="254">
        <f>Prog_23[[#This Row],[SAÍDA DO CLIENTE]]-Prog_23[[#This Row],[PROGRAMAÇÃO CLIENTE]]</f>
        <v>0</v>
      </c>
      <c r="AH1730" s="44"/>
      <c r="AI1730" s="66"/>
      <c r="AJ1730" s="66"/>
      <c r="AK1730" s="66"/>
      <c r="AL1730" s="66"/>
      <c r="AM1730" s="66"/>
      <c r="AN1730" s="83"/>
      <c r="AO1730" s="83"/>
      <c r="AP1730" s="83"/>
      <c r="AQ1730" s="66"/>
      <c r="AR1730" s="66"/>
      <c r="AS1730" s="66"/>
      <c r="AT1730" s="81"/>
      <c r="AU1730" s="81"/>
      <c r="AV1730" s="81"/>
      <c r="AW1730" s="81"/>
      <c r="AX1730" s="83">
        <f>SUM(Prog_23[[#This Row],[ADIANTAMENTO]]+Prog_23[[#This Row],[SALDO]]+Prog_23[[#This Row],[MARGEM]]+Prog_23[[#This Row],[ESTADIA 1]])</f>
        <v>0</v>
      </c>
      <c r="AY17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30" s="81"/>
      <c r="BA1730" s="81"/>
      <c r="BB1730" s="81">
        <f>Prog_23[[#This Row],[VLR NF]]*0.1%</f>
        <v>0</v>
      </c>
      <c r="BC1730" s="81">
        <f>Prog_23[[#This Row],[VLR NF]]*0.05%</f>
        <v>0</v>
      </c>
      <c r="BD1730" s="81"/>
      <c r="BE1730" s="81"/>
      <c r="BF1730" s="81"/>
      <c r="BG1730" s="81"/>
      <c r="BH1730" s="81"/>
      <c r="BI1730" s="81"/>
      <c r="BJ1730" s="81"/>
      <c r="BK1730" s="81"/>
      <c r="BL1730" s="81"/>
      <c r="BM1730" s="81"/>
      <c r="BN1730" s="66"/>
      <c r="BO1730" s="66"/>
      <c r="BP1730" s="66"/>
      <c r="BQ1730" s="66" t="str">
        <f>PROPER(TEXT(Prog_23[[#This Row],[PROGRAMAÇÃO CLIENTE]],"mmm"))</f>
        <v>Jan</v>
      </c>
      <c r="BR1730" s="66">
        <f>YEAR(Prog_23[[#This Row],[PROGRAMAÇÃO CLIENTE]])</f>
        <v>1900</v>
      </c>
    </row>
    <row r="1731" spans="1:70" x14ac:dyDescent="0.25">
      <c r="A1731" s="200">
        <f>Prog_23[[#This Row],[CONTEINER]]</f>
        <v>0</v>
      </c>
      <c r="B1731" s="86"/>
      <c r="C17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31" s="44"/>
      <c r="E1731" s="66"/>
      <c r="F1731" s="66"/>
      <c r="G1731" s="66"/>
      <c r="H1731" s="44"/>
      <c r="I1731" s="44"/>
      <c r="J1731" s="66"/>
      <c r="K1731" s="66"/>
      <c r="L1731" s="66"/>
      <c r="M1731" s="66"/>
      <c r="N1731" s="66">
        <f>SUM(Prog_23[[#This Row],[TARA]]+Prog_23[[#This Row],[PESO]])</f>
        <v>0</v>
      </c>
      <c r="O1731" s="44"/>
      <c r="P1731" s="66"/>
      <c r="Q1731" s="66"/>
      <c r="R1731" s="66"/>
      <c r="S1731" s="66"/>
      <c r="T1731" s="138" t="str">
        <f>IFERROR(LOOKUP($S1731,MOTORISTAS!$D$3:$D$916,MOTORISTAS!E$3:$E$916),"")</f>
        <v/>
      </c>
      <c r="U1731" s="138" t="str">
        <f>IFERROR(LOOKUP($S1731,MOTORISTAS!$D$3:$D$916,MOTORISTAS!F$3:$F$916),"")</f>
        <v/>
      </c>
      <c r="V1731" s="66"/>
      <c r="W1731" s="66"/>
      <c r="X1731" s="66"/>
      <c r="Y1731" s="66"/>
      <c r="Z1731" s="66"/>
      <c r="AA1731" s="66"/>
      <c r="AB1731" s="66"/>
      <c r="AC1731" s="66"/>
      <c r="AD1731" s="66"/>
      <c r="AE1731" s="66"/>
      <c r="AF1731" s="44"/>
      <c r="AG1731" s="254">
        <f>Prog_23[[#This Row],[SAÍDA DO CLIENTE]]-Prog_23[[#This Row],[PROGRAMAÇÃO CLIENTE]]</f>
        <v>0</v>
      </c>
      <c r="AH1731" s="44"/>
      <c r="AI1731" s="66"/>
      <c r="AJ1731" s="66"/>
      <c r="AK1731" s="66"/>
      <c r="AL1731" s="66"/>
      <c r="AM1731" s="66"/>
      <c r="AN1731" s="83"/>
      <c r="AO1731" s="83"/>
      <c r="AP1731" s="83"/>
      <c r="AQ1731" s="66"/>
      <c r="AR1731" s="66"/>
      <c r="AS1731" s="66"/>
      <c r="AT1731" s="81"/>
      <c r="AU1731" s="81"/>
      <c r="AV1731" s="81"/>
      <c r="AW1731" s="81"/>
      <c r="AX1731" s="83">
        <f>SUM(Prog_23[[#This Row],[ADIANTAMENTO]]+Prog_23[[#This Row],[SALDO]]+Prog_23[[#This Row],[MARGEM]]+Prog_23[[#This Row],[ESTADIA 1]])</f>
        <v>0</v>
      </c>
      <c r="AY17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31" s="81"/>
      <c r="BA1731" s="81"/>
      <c r="BB1731" s="81">
        <f>Prog_23[[#This Row],[VLR NF]]*0.1%</f>
        <v>0</v>
      </c>
      <c r="BC1731" s="81">
        <f>Prog_23[[#This Row],[VLR NF]]*0.05%</f>
        <v>0</v>
      </c>
      <c r="BD1731" s="81"/>
      <c r="BE1731" s="81"/>
      <c r="BF1731" s="81"/>
      <c r="BG1731" s="81"/>
      <c r="BH1731" s="81"/>
      <c r="BI1731" s="81"/>
      <c r="BJ1731" s="81"/>
      <c r="BK1731" s="81"/>
      <c r="BL1731" s="81"/>
      <c r="BM1731" s="81"/>
      <c r="BN1731" s="66"/>
      <c r="BO1731" s="66"/>
      <c r="BP1731" s="66"/>
      <c r="BQ1731" s="66" t="str">
        <f>PROPER(TEXT(Prog_23[[#This Row],[PROGRAMAÇÃO CLIENTE]],"mmm"))</f>
        <v>Jan</v>
      </c>
      <c r="BR1731" s="66">
        <f>YEAR(Prog_23[[#This Row],[PROGRAMAÇÃO CLIENTE]])</f>
        <v>1900</v>
      </c>
    </row>
    <row r="1732" spans="1:70" x14ac:dyDescent="0.25">
      <c r="A1732" s="201">
        <f>Prog_23[[#This Row],[CONTEINER]]</f>
        <v>0</v>
      </c>
      <c r="B1732" s="86"/>
      <c r="C17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32" s="44"/>
      <c r="E1732" s="66"/>
      <c r="F1732" s="66"/>
      <c r="G1732" s="66"/>
      <c r="H1732" s="44"/>
      <c r="I1732" s="44"/>
      <c r="J1732" s="66"/>
      <c r="K1732" s="66"/>
      <c r="L1732" s="66"/>
      <c r="M1732" s="66"/>
      <c r="N1732" s="66">
        <f>SUM(Prog_23[[#This Row],[TARA]]+Prog_23[[#This Row],[PESO]])</f>
        <v>0</v>
      </c>
      <c r="O1732" s="44"/>
      <c r="P1732" s="66"/>
      <c r="Q1732" s="66"/>
      <c r="R1732" s="66"/>
      <c r="S1732" s="66"/>
      <c r="T1732" s="138" t="str">
        <f>IFERROR(LOOKUP($S1732,MOTORISTAS!$D$3:$D$916,MOTORISTAS!E$3:$E$916),"")</f>
        <v/>
      </c>
      <c r="U1732" s="138" t="str">
        <f>IFERROR(LOOKUP($S1732,MOTORISTAS!$D$3:$D$916,MOTORISTAS!F$3:$F$916),"")</f>
        <v/>
      </c>
      <c r="V1732" s="66"/>
      <c r="W1732" s="66"/>
      <c r="X1732" s="66"/>
      <c r="Y1732" s="66"/>
      <c r="Z1732" s="66"/>
      <c r="AA1732" s="66"/>
      <c r="AB1732" s="66"/>
      <c r="AC1732" s="66"/>
      <c r="AD1732" s="66"/>
      <c r="AE1732" s="66"/>
      <c r="AF1732" s="44"/>
      <c r="AG1732" s="254">
        <f>Prog_23[[#This Row],[SAÍDA DO CLIENTE]]-Prog_23[[#This Row],[PROGRAMAÇÃO CLIENTE]]</f>
        <v>0</v>
      </c>
      <c r="AH1732" s="44"/>
      <c r="AI1732" s="66"/>
      <c r="AJ1732" s="66"/>
      <c r="AK1732" s="66"/>
      <c r="AL1732" s="66"/>
      <c r="AM1732" s="66"/>
      <c r="AN1732" s="83"/>
      <c r="AO1732" s="83"/>
      <c r="AP1732" s="83"/>
      <c r="AQ1732" s="66"/>
      <c r="AR1732" s="66"/>
      <c r="AS1732" s="66"/>
      <c r="AT1732" s="81"/>
      <c r="AU1732" s="81"/>
      <c r="AV1732" s="81"/>
      <c r="AW1732" s="81"/>
      <c r="AX1732" s="83">
        <f>SUM(Prog_23[[#This Row],[ADIANTAMENTO]]+Prog_23[[#This Row],[SALDO]]+Prog_23[[#This Row],[MARGEM]]+Prog_23[[#This Row],[ESTADIA 1]])</f>
        <v>0</v>
      </c>
      <c r="AY17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32" s="81"/>
      <c r="BA1732" s="81"/>
      <c r="BB1732" s="81">
        <f>Prog_23[[#This Row],[VLR NF]]*0.1%</f>
        <v>0</v>
      </c>
      <c r="BC1732" s="81">
        <f>Prog_23[[#This Row],[VLR NF]]*0.05%</f>
        <v>0</v>
      </c>
      <c r="BD1732" s="81"/>
      <c r="BE1732" s="81"/>
      <c r="BF1732" s="81"/>
      <c r="BG1732" s="81"/>
      <c r="BH1732" s="81"/>
      <c r="BI1732" s="81"/>
      <c r="BJ1732" s="81"/>
      <c r="BK1732" s="81"/>
      <c r="BL1732" s="81"/>
      <c r="BM1732" s="81"/>
      <c r="BN1732" s="66"/>
      <c r="BO1732" s="66"/>
      <c r="BP1732" s="66"/>
      <c r="BQ1732" s="66" t="str">
        <f>PROPER(TEXT(Prog_23[[#This Row],[PROGRAMAÇÃO CLIENTE]],"mmm"))</f>
        <v>Jan</v>
      </c>
      <c r="BR1732" s="66">
        <f>YEAR(Prog_23[[#This Row],[PROGRAMAÇÃO CLIENTE]])</f>
        <v>1900</v>
      </c>
    </row>
    <row r="1733" spans="1:70" x14ac:dyDescent="0.25">
      <c r="A1733" s="200">
        <f>Prog_23[[#This Row],[CONTEINER]]</f>
        <v>0</v>
      </c>
      <c r="B1733" s="86"/>
      <c r="C17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33" s="44"/>
      <c r="E1733" s="66"/>
      <c r="F1733" s="66"/>
      <c r="G1733" s="66"/>
      <c r="H1733" s="44"/>
      <c r="I1733" s="44"/>
      <c r="J1733" s="66"/>
      <c r="K1733" s="66"/>
      <c r="L1733" s="66"/>
      <c r="M1733" s="66"/>
      <c r="N1733" s="66">
        <f>SUM(Prog_23[[#This Row],[TARA]]+Prog_23[[#This Row],[PESO]])</f>
        <v>0</v>
      </c>
      <c r="O1733" s="44"/>
      <c r="P1733" s="66"/>
      <c r="Q1733" s="66"/>
      <c r="R1733" s="66"/>
      <c r="S1733" s="66"/>
      <c r="T1733" s="138" t="str">
        <f>IFERROR(LOOKUP($S1733,MOTORISTAS!$D$3:$D$916,MOTORISTAS!E$3:$E$916),"")</f>
        <v/>
      </c>
      <c r="U1733" s="138" t="str">
        <f>IFERROR(LOOKUP($S1733,MOTORISTAS!$D$3:$D$916,MOTORISTAS!F$3:$F$916),"")</f>
        <v/>
      </c>
      <c r="V1733" s="66"/>
      <c r="W1733" s="66"/>
      <c r="X1733" s="66"/>
      <c r="Y1733" s="66"/>
      <c r="Z1733" s="66"/>
      <c r="AA1733" s="66"/>
      <c r="AB1733" s="66"/>
      <c r="AC1733" s="66"/>
      <c r="AD1733" s="66"/>
      <c r="AE1733" s="66"/>
      <c r="AF1733" s="44"/>
      <c r="AG1733" s="254">
        <f>Prog_23[[#This Row],[SAÍDA DO CLIENTE]]-Prog_23[[#This Row],[PROGRAMAÇÃO CLIENTE]]</f>
        <v>0</v>
      </c>
      <c r="AH1733" s="44"/>
      <c r="AI1733" s="66"/>
      <c r="AJ1733" s="66"/>
      <c r="AK1733" s="66"/>
      <c r="AL1733" s="66"/>
      <c r="AM1733" s="66"/>
      <c r="AN1733" s="83"/>
      <c r="AO1733" s="83"/>
      <c r="AP1733" s="83"/>
      <c r="AQ1733" s="66"/>
      <c r="AR1733" s="66"/>
      <c r="AS1733" s="66"/>
      <c r="AT1733" s="81"/>
      <c r="AU1733" s="81"/>
      <c r="AV1733" s="81"/>
      <c r="AW1733" s="81"/>
      <c r="AX1733" s="83">
        <f>SUM(Prog_23[[#This Row],[ADIANTAMENTO]]+Prog_23[[#This Row],[SALDO]]+Prog_23[[#This Row],[MARGEM]]+Prog_23[[#This Row],[ESTADIA 1]])</f>
        <v>0</v>
      </c>
      <c r="AY17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33" s="81"/>
      <c r="BA1733" s="81"/>
      <c r="BB1733" s="81">
        <f>Prog_23[[#This Row],[VLR NF]]*0.1%</f>
        <v>0</v>
      </c>
      <c r="BC1733" s="81">
        <f>Prog_23[[#This Row],[VLR NF]]*0.05%</f>
        <v>0</v>
      </c>
      <c r="BD1733" s="81"/>
      <c r="BE1733" s="81"/>
      <c r="BF1733" s="81"/>
      <c r="BG1733" s="81"/>
      <c r="BH1733" s="81"/>
      <c r="BI1733" s="81"/>
      <c r="BJ1733" s="81"/>
      <c r="BK1733" s="81"/>
      <c r="BL1733" s="81"/>
      <c r="BM1733" s="81"/>
      <c r="BN1733" s="66"/>
      <c r="BO1733" s="66"/>
      <c r="BP1733" s="66"/>
      <c r="BQ1733" s="66" t="str">
        <f>PROPER(TEXT(Prog_23[[#This Row],[PROGRAMAÇÃO CLIENTE]],"mmm"))</f>
        <v>Jan</v>
      </c>
      <c r="BR1733" s="66">
        <f>YEAR(Prog_23[[#This Row],[PROGRAMAÇÃO CLIENTE]])</f>
        <v>1900</v>
      </c>
    </row>
    <row r="1734" spans="1:70" x14ac:dyDescent="0.25">
      <c r="A1734" s="201">
        <f>Prog_23[[#This Row],[CONTEINER]]</f>
        <v>0</v>
      </c>
      <c r="B1734" s="86"/>
      <c r="C17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34" s="44"/>
      <c r="E1734" s="66"/>
      <c r="F1734" s="66"/>
      <c r="G1734" s="66"/>
      <c r="H1734" s="44"/>
      <c r="I1734" s="44"/>
      <c r="J1734" s="66"/>
      <c r="K1734" s="66"/>
      <c r="L1734" s="66"/>
      <c r="M1734" s="66"/>
      <c r="N1734" s="66">
        <f>SUM(Prog_23[[#This Row],[TARA]]+Prog_23[[#This Row],[PESO]])</f>
        <v>0</v>
      </c>
      <c r="O1734" s="44"/>
      <c r="P1734" s="66"/>
      <c r="Q1734" s="66"/>
      <c r="R1734" s="66"/>
      <c r="S1734" s="66"/>
      <c r="T1734" s="138" t="str">
        <f>IFERROR(LOOKUP($S1734,MOTORISTAS!$D$3:$D$916,MOTORISTAS!E$3:$E$916),"")</f>
        <v/>
      </c>
      <c r="U1734" s="138" t="str">
        <f>IFERROR(LOOKUP($S1734,MOTORISTAS!$D$3:$D$916,MOTORISTAS!F$3:$F$916),"")</f>
        <v/>
      </c>
      <c r="V1734" s="66"/>
      <c r="W1734" s="66"/>
      <c r="X1734" s="66"/>
      <c r="Y1734" s="66"/>
      <c r="Z1734" s="66"/>
      <c r="AA1734" s="66"/>
      <c r="AB1734" s="66"/>
      <c r="AC1734" s="66"/>
      <c r="AD1734" s="66"/>
      <c r="AE1734" s="66"/>
      <c r="AF1734" s="44"/>
      <c r="AG1734" s="254">
        <f>Prog_23[[#This Row],[SAÍDA DO CLIENTE]]-Prog_23[[#This Row],[PROGRAMAÇÃO CLIENTE]]</f>
        <v>0</v>
      </c>
      <c r="AH1734" s="44"/>
      <c r="AI1734" s="66"/>
      <c r="AJ1734" s="66"/>
      <c r="AK1734" s="66"/>
      <c r="AL1734" s="66"/>
      <c r="AM1734" s="66"/>
      <c r="AN1734" s="83"/>
      <c r="AO1734" s="83"/>
      <c r="AP1734" s="83"/>
      <c r="AQ1734" s="66"/>
      <c r="AR1734" s="66"/>
      <c r="AS1734" s="66"/>
      <c r="AT1734" s="81"/>
      <c r="AU1734" s="81"/>
      <c r="AV1734" s="81"/>
      <c r="AW1734" s="81"/>
      <c r="AX1734" s="83">
        <f>SUM(Prog_23[[#This Row],[ADIANTAMENTO]]+Prog_23[[#This Row],[SALDO]]+Prog_23[[#This Row],[MARGEM]]+Prog_23[[#This Row],[ESTADIA 1]])</f>
        <v>0</v>
      </c>
      <c r="AY17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34" s="81"/>
      <c r="BA1734" s="81"/>
      <c r="BB1734" s="81">
        <f>Prog_23[[#This Row],[VLR NF]]*0.1%</f>
        <v>0</v>
      </c>
      <c r="BC1734" s="81">
        <f>Prog_23[[#This Row],[VLR NF]]*0.05%</f>
        <v>0</v>
      </c>
      <c r="BD1734" s="81"/>
      <c r="BE1734" s="81"/>
      <c r="BF1734" s="81"/>
      <c r="BG1734" s="81"/>
      <c r="BH1734" s="81"/>
      <c r="BI1734" s="81"/>
      <c r="BJ1734" s="81"/>
      <c r="BK1734" s="81"/>
      <c r="BL1734" s="81"/>
      <c r="BM1734" s="81"/>
      <c r="BN1734" s="66"/>
      <c r="BO1734" s="66"/>
      <c r="BP1734" s="66"/>
      <c r="BQ1734" s="66" t="str">
        <f>PROPER(TEXT(Prog_23[[#This Row],[PROGRAMAÇÃO CLIENTE]],"mmm"))</f>
        <v>Jan</v>
      </c>
      <c r="BR1734" s="66">
        <f>YEAR(Prog_23[[#This Row],[PROGRAMAÇÃO CLIENTE]])</f>
        <v>1900</v>
      </c>
    </row>
    <row r="1735" spans="1:70" x14ac:dyDescent="0.25">
      <c r="A1735" s="200">
        <f>Prog_23[[#This Row],[CONTEINER]]</f>
        <v>0</v>
      </c>
      <c r="B1735" s="86"/>
      <c r="C17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35" s="44"/>
      <c r="E1735" s="66"/>
      <c r="F1735" s="66"/>
      <c r="G1735" s="66"/>
      <c r="H1735" s="44"/>
      <c r="I1735" s="44"/>
      <c r="J1735" s="66"/>
      <c r="K1735" s="66"/>
      <c r="L1735" s="66"/>
      <c r="M1735" s="66"/>
      <c r="N1735" s="66">
        <f>SUM(Prog_23[[#This Row],[TARA]]+Prog_23[[#This Row],[PESO]])</f>
        <v>0</v>
      </c>
      <c r="O1735" s="44"/>
      <c r="P1735" s="66"/>
      <c r="Q1735" s="66"/>
      <c r="R1735" s="66"/>
      <c r="S1735" s="66"/>
      <c r="T1735" s="138" t="str">
        <f>IFERROR(LOOKUP($S1735,MOTORISTAS!$D$3:$D$916,MOTORISTAS!E$3:$E$916),"")</f>
        <v/>
      </c>
      <c r="U1735" s="138" t="str">
        <f>IFERROR(LOOKUP($S1735,MOTORISTAS!$D$3:$D$916,MOTORISTAS!F$3:$F$916),"")</f>
        <v/>
      </c>
      <c r="V1735" s="66"/>
      <c r="W1735" s="66"/>
      <c r="X1735" s="66"/>
      <c r="Y1735" s="66"/>
      <c r="Z1735" s="66"/>
      <c r="AA1735" s="66"/>
      <c r="AB1735" s="66"/>
      <c r="AC1735" s="66"/>
      <c r="AD1735" s="66"/>
      <c r="AE1735" s="66"/>
      <c r="AF1735" s="44"/>
      <c r="AG1735" s="254">
        <f>Prog_23[[#This Row],[SAÍDA DO CLIENTE]]-Prog_23[[#This Row],[PROGRAMAÇÃO CLIENTE]]</f>
        <v>0</v>
      </c>
      <c r="AH1735" s="44"/>
      <c r="AI1735" s="66"/>
      <c r="AJ1735" s="66"/>
      <c r="AK1735" s="66"/>
      <c r="AL1735" s="66"/>
      <c r="AM1735" s="66"/>
      <c r="AN1735" s="83"/>
      <c r="AO1735" s="83"/>
      <c r="AP1735" s="83"/>
      <c r="AQ1735" s="66"/>
      <c r="AR1735" s="66"/>
      <c r="AS1735" s="66"/>
      <c r="AT1735" s="81"/>
      <c r="AU1735" s="81"/>
      <c r="AV1735" s="81"/>
      <c r="AW1735" s="81"/>
      <c r="AX1735" s="83">
        <f>SUM(Prog_23[[#This Row],[ADIANTAMENTO]]+Prog_23[[#This Row],[SALDO]]+Prog_23[[#This Row],[MARGEM]]+Prog_23[[#This Row],[ESTADIA 1]])</f>
        <v>0</v>
      </c>
      <c r="AY17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35" s="81"/>
      <c r="BA1735" s="81"/>
      <c r="BB1735" s="81">
        <f>Prog_23[[#This Row],[VLR NF]]*0.1%</f>
        <v>0</v>
      </c>
      <c r="BC1735" s="81">
        <f>Prog_23[[#This Row],[VLR NF]]*0.05%</f>
        <v>0</v>
      </c>
      <c r="BD1735" s="81"/>
      <c r="BE1735" s="81"/>
      <c r="BF1735" s="81"/>
      <c r="BG1735" s="81"/>
      <c r="BH1735" s="81"/>
      <c r="BI1735" s="81"/>
      <c r="BJ1735" s="81"/>
      <c r="BK1735" s="81"/>
      <c r="BL1735" s="81"/>
      <c r="BM1735" s="81"/>
      <c r="BN1735" s="66"/>
      <c r="BO1735" s="66"/>
      <c r="BP1735" s="66"/>
      <c r="BQ1735" s="66" t="str">
        <f>PROPER(TEXT(Prog_23[[#This Row],[PROGRAMAÇÃO CLIENTE]],"mmm"))</f>
        <v>Jan</v>
      </c>
      <c r="BR1735" s="66">
        <f>YEAR(Prog_23[[#This Row],[PROGRAMAÇÃO CLIENTE]])</f>
        <v>1900</v>
      </c>
    </row>
    <row r="1736" spans="1:70" x14ac:dyDescent="0.25">
      <c r="A1736" s="201">
        <f>Prog_23[[#This Row],[CONTEINER]]</f>
        <v>0</v>
      </c>
      <c r="B1736" s="86"/>
      <c r="C17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36" s="44"/>
      <c r="E1736" s="66"/>
      <c r="F1736" s="66"/>
      <c r="G1736" s="66"/>
      <c r="H1736" s="44"/>
      <c r="I1736" s="44"/>
      <c r="J1736" s="66"/>
      <c r="K1736" s="66"/>
      <c r="L1736" s="66"/>
      <c r="M1736" s="66"/>
      <c r="N1736" s="66">
        <f>SUM(Prog_23[[#This Row],[TARA]]+Prog_23[[#This Row],[PESO]])</f>
        <v>0</v>
      </c>
      <c r="O1736" s="44"/>
      <c r="P1736" s="66"/>
      <c r="Q1736" s="66"/>
      <c r="R1736" s="66"/>
      <c r="S1736" s="66"/>
      <c r="T1736" s="138" t="str">
        <f>IFERROR(LOOKUP($S1736,MOTORISTAS!$D$3:$D$916,MOTORISTAS!E$3:$E$916),"")</f>
        <v/>
      </c>
      <c r="U1736" s="138" t="str">
        <f>IFERROR(LOOKUP($S1736,MOTORISTAS!$D$3:$D$916,MOTORISTAS!F$3:$F$916),"")</f>
        <v/>
      </c>
      <c r="V1736" s="66"/>
      <c r="W1736" s="66"/>
      <c r="X1736" s="66"/>
      <c r="Y1736" s="66"/>
      <c r="Z1736" s="66"/>
      <c r="AA1736" s="66"/>
      <c r="AB1736" s="66"/>
      <c r="AC1736" s="66"/>
      <c r="AD1736" s="66"/>
      <c r="AE1736" s="66"/>
      <c r="AF1736" s="44"/>
      <c r="AG1736" s="254">
        <f>Prog_23[[#This Row],[SAÍDA DO CLIENTE]]-Prog_23[[#This Row],[PROGRAMAÇÃO CLIENTE]]</f>
        <v>0</v>
      </c>
      <c r="AH1736" s="44"/>
      <c r="AI1736" s="66"/>
      <c r="AJ1736" s="66"/>
      <c r="AK1736" s="66"/>
      <c r="AL1736" s="66"/>
      <c r="AM1736" s="66"/>
      <c r="AN1736" s="83"/>
      <c r="AO1736" s="83"/>
      <c r="AP1736" s="83"/>
      <c r="AQ1736" s="66"/>
      <c r="AR1736" s="66"/>
      <c r="AS1736" s="66"/>
      <c r="AT1736" s="81"/>
      <c r="AU1736" s="81"/>
      <c r="AV1736" s="81"/>
      <c r="AW1736" s="81"/>
      <c r="AX1736" s="83">
        <f>SUM(Prog_23[[#This Row],[ADIANTAMENTO]]+Prog_23[[#This Row],[SALDO]]+Prog_23[[#This Row],[MARGEM]]+Prog_23[[#This Row],[ESTADIA 1]])</f>
        <v>0</v>
      </c>
      <c r="AY17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36" s="81"/>
      <c r="BA1736" s="81"/>
      <c r="BB1736" s="81">
        <f>Prog_23[[#This Row],[VLR NF]]*0.1%</f>
        <v>0</v>
      </c>
      <c r="BC1736" s="81">
        <f>Prog_23[[#This Row],[VLR NF]]*0.05%</f>
        <v>0</v>
      </c>
      <c r="BD1736" s="81"/>
      <c r="BE1736" s="81"/>
      <c r="BF1736" s="81"/>
      <c r="BG1736" s="81"/>
      <c r="BH1736" s="81"/>
      <c r="BI1736" s="81"/>
      <c r="BJ1736" s="81"/>
      <c r="BK1736" s="81"/>
      <c r="BL1736" s="81"/>
      <c r="BM1736" s="81"/>
      <c r="BN1736" s="66"/>
      <c r="BO1736" s="66"/>
      <c r="BP1736" s="66"/>
      <c r="BQ1736" s="66" t="str">
        <f>PROPER(TEXT(Prog_23[[#This Row],[PROGRAMAÇÃO CLIENTE]],"mmm"))</f>
        <v>Jan</v>
      </c>
      <c r="BR1736" s="66">
        <f>YEAR(Prog_23[[#This Row],[PROGRAMAÇÃO CLIENTE]])</f>
        <v>1900</v>
      </c>
    </row>
    <row r="1737" spans="1:70" x14ac:dyDescent="0.25">
      <c r="A1737" s="200">
        <f>Prog_23[[#This Row],[CONTEINER]]</f>
        <v>0</v>
      </c>
      <c r="B1737" s="86"/>
      <c r="C17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37" s="44"/>
      <c r="E1737" s="66"/>
      <c r="F1737" s="66"/>
      <c r="G1737" s="66"/>
      <c r="H1737" s="44"/>
      <c r="I1737" s="44"/>
      <c r="J1737" s="66"/>
      <c r="K1737" s="66"/>
      <c r="L1737" s="66"/>
      <c r="M1737" s="66"/>
      <c r="N1737" s="66">
        <f>SUM(Prog_23[[#This Row],[TARA]]+Prog_23[[#This Row],[PESO]])</f>
        <v>0</v>
      </c>
      <c r="O1737" s="44"/>
      <c r="P1737" s="66"/>
      <c r="Q1737" s="66"/>
      <c r="R1737" s="66"/>
      <c r="S1737" s="66"/>
      <c r="T1737" s="138" t="str">
        <f>IFERROR(LOOKUP($S1737,MOTORISTAS!$D$3:$D$916,MOTORISTAS!E$3:$E$916),"")</f>
        <v/>
      </c>
      <c r="U1737" s="138" t="str">
        <f>IFERROR(LOOKUP($S1737,MOTORISTAS!$D$3:$D$916,MOTORISTAS!F$3:$F$916),"")</f>
        <v/>
      </c>
      <c r="V1737" s="66"/>
      <c r="W1737" s="66"/>
      <c r="X1737" s="66"/>
      <c r="Y1737" s="66"/>
      <c r="Z1737" s="66"/>
      <c r="AA1737" s="66"/>
      <c r="AB1737" s="66"/>
      <c r="AC1737" s="66"/>
      <c r="AD1737" s="66"/>
      <c r="AE1737" s="66"/>
      <c r="AF1737" s="44"/>
      <c r="AG1737" s="254">
        <f>Prog_23[[#This Row],[SAÍDA DO CLIENTE]]-Prog_23[[#This Row],[PROGRAMAÇÃO CLIENTE]]</f>
        <v>0</v>
      </c>
      <c r="AH1737" s="44"/>
      <c r="AI1737" s="66"/>
      <c r="AJ1737" s="66"/>
      <c r="AK1737" s="66"/>
      <c r="AL1737" s="66"/>
      <c r="AM1737" s="66"/>
      <c r="AN1737" s="83"/>
      <c r="AO1737" s="83"/>
      <c r="AP1737" s="83"/>
      <c r="AQ1737" s="66"/>
      <c r="AR1737" s="66"/>
      <c r="AS1737" s="66"/>
      <c r="AT1737" s="81"/>
      <c r="AU1737" s="81"/>
      <c r="AV1737" s="81"/>
      <c r="AW1737" s="81"/>
      <c r="AX1737" s="83">
        <f>SUM(Prog_23[[#This Row],[ADIANTAMENTO]]+Prog_23[[#This Row],[SALDO]]+Prog_23[[#This Row],[MARGEM]]+Prog_23[[#This Row],[ESTADIA 1]])</f>
        <v>0</v>
      </c>
      <c r="AY17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37" s="81"/>
      <c r="BA1737" s="81"/>
      <c r="BB1737" s="81">
        <f>Prog_23[[#This Row],[VLR NF]]*0.1%</f>
        <v>0</v>
      </c>
      <c r="BC1737" s="81">
        <f>Prog_23[[#This Row],[VLR NF]]*0.05%</f>
        <v>0</v>
      </c>
      <c r="BD1737" s="81"/>
      <c r="BE1737" s="81"/>
      <c r="BF1737" s="81"/>
      <c r="BG1737" s="81"/>
      <c r="BH1737" s="81"/>
      <c r="BI1737" s="81"/>
      <c r="BJ1737" s="81"/>
      <c r="BK1737" s="81"/>
      <c r="BL1737" s="81"/>
      <c r="BM1737" s="81"/>
      <c r="BN1737" s="66"/>
      <c r="BO1737" s="66"/>
      <c r="BP1737" s="66"/>
      <c r="BQ1737" s="66" t="str">
        <f>PROPER(TEXT(Prog_23[[#This Row],[PROGRAMAÇÃO CLIENTE]],"mmm"))</f>
        <v>Jan</v>
      </c>
      <c r="BR1737" s="66">
        <f>YEAR(Prog_23[[#This Row],[PROGRAMAÇÃO CLIENTE]])</f>
        <v>1900</v>
      </c>
    </row>
    <row r="1738" spans="1:70" x14ac:dyDescent="0.25">
      <c r="A1738" s="201">
        <f>Prog_23[[#This Row],[CONTEINER]]</f>
        <v>0</v>
      </c>
      <c r="B1738" s="86"/>
      <c r="C17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38" s="44"/>
      <c r="E1738" s="66"/>
      <c r="F1738" s="66"/>
      <c r="G1738" s="66"/>
      <c r="H1738" s="44"/>
      <c r="I1738" s="44"/>
      <c r="J1738" s="66"/>
      <c r="K1738" s="66"/>
      <c r="L1738" s="66"/>
      <c r="M1738" s="66"/>
      <c r="N1738" s="66">
        <f>SUM(Prog_23[[#This Row],[TARA]]+Prog_23[[#This Row],[PESO]])</f>
        <v>0</v>
      </c>
      <c r="O1738" s="44"/>
      <c r="P1738" s="66"/>
      <c r="Q1738" s="66"/>
      <c r="R1738" s="66"/>
      <c r="S1738" s="66"/>
      <c r="T1738" s="138" t="str">
        <f>IFERROR(LOOKUP($S1738,MOTORISTAS!$D$3:$D$916,MOTORISTAS!E$3:$E$916),"")</f>
        <v/>
      </c>
      <c r="U1738" s="138" t="str">
        <f>IFERROR(LOOKUP($S1738,MOTORISTAS!$D$3:$D$916,MOTORISTAS!F$3:$F$916),"")</f>
        <v/>
      </c>
      <c r="V1738" s="66"/>
      <c r="W1738" s="66"/>
      <c r="X1738" s="66"/>
      <c r="Y1738" s="66"/>
      <c r="Z1738" s="66"/>
      <c r="AA1738" s="66"/>
      <c r="AB1738" s="66"/>
      <c r="AC1738" s="66"/>
      <c r="AD1738" s="66"/>
      <c r="AE1738" s="66"/>
      <c r="AF1738" s="44"/>
      <c r="AG1738" s="254">
        <f>Prog_23[[#This Row],[SAÍDA DO CLIENTE]]-Prog_23[[#This Row],[PROGRAMAÇÃO CLIENTE]]</f>
        <v>0</v>
      </c>
      <c r="AH1738" s="44"/>
      <c r="AI1738" s="66"/>
      <c r="AJ1738" s="66"/>
      <c r="AK1738" s="66"/>
      <c r="AL1738" s="66"/>
      <c r="AM1738" s="66"/>
      <c r="AN1738" s="83"/>
      <c r="AO1738" s="83"/>
      <c r="AP1738" s="83"/>
      <c r="AQ1738" s="66"/>
      <c r="AR1738" s="66"/>
      <c r="AS1738" s="66"/>
      <c r="AT1738" s="81"/>
      <c r="AU1738" s="81"/>
      <c r="AV1738" s="81"/>
      <c r="AW1738" s="81"/>
      <c r="AX1738" s="83">
        <f>SUM(Prog_23[[#This Row],[ADIANTAMENTO]]+Prog_23[[#This Row],[SALDO]]+Prog_23[[#This Row],[MARGEM]]+Prog_23[[#This Row],[ESTADIA 1]])</f>
        <v>0</v>
      </c>
      <c r="AY17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38" s="81"/>
      <c r="BA1738" s="81"/>
      <c r="BB1738" s="81">
        <f>Prog_23[[#This Row],[VLR NF]]*0.1%</f>
        <v>0</v>
      </c>
      <c r="BC1738" s="81">
        <f>Prog_23[[#This Row],[VLR NF]]*0.05%</f>
        <v>0</v>
      </c>
      <c r="BD1738" s="81"/>
      <c r="BE1738" s="81"/>
      <c r="BF1738" s="81"/>
      <c r="BG1738" s="81"/>
      <c r="BH1738" s="81"/>
      <c r="BI1738" s="81"/>
      <c r="BJ1738" s="81"/>
      <c r="BK1738" s="81"/>
      <c r="BL1738" s="81"/>
      <c r="BM1738" s="81"/>
      <c r="BN1738" s="66"/>
      <c r="BO1738" s="66"/>
      <c r="BP1738" s="66"/>
      <c r="BQ1738" s="66" t="str">
        <f>PROPER(TEXT(Prog_23[[#This Row],[PROGRAMAÇÃO CLIENTE]],"mmm"))</f>
        <v>Jan</v>
      </c>
      <c r="BR1738" s="66">
        <f>YEAR(Prog_23[[#This Row],[PROGRAMAÇÃO CLIENTE]])</f>
        <v>1900</v>
      </c>
    </row>
    <row r="1739" spans="1:70" x14ac:dyDescent="0.25">
      <c r="A1739" s="200">
        <f>Prog_23[[#This Row],[CONTEINER]]</f>
        <v>0</v>
      </c>
      <c r="B1739" s="86"/>
      <c r="C17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39" s="44"/>
      <c r="E1739" s="66"/>
      <c r="F1739" s="66"/>
      <c r="G1739" s="66"/>
      <c r="H1739" s="44"/>
      <c r="I1739" s="44"/>
      <c r="J1739" s="66"/>
      <c r="K1739" s="66"/>
      <c r="L1739" s="66"/>
      <c r="M1739" s="66"/>
      <c r="N1739" s="66">
        <f>SUM(Prog_23[[#This Row],[TARA]]+Prog_23[[#This Row],[PESO]])</f>
        <v>0</v>
      </c>
      <c r="O1739" s="44"/>
      <c r="P1739" s="66"/>
      <c r="Q1739" s="66"/>
      <c r="R1739" s="66"/>
      <c r="S1739" s="66"/>
      <c r="T1739" s="138" t="str">
        <f>IFERROR(LOOKUP($S1739,MOTORISTAS!$D$3:$D$916,MOTORISTAS!E$3:$E$916),"")</f>
        <v/>
      </c>
      <c r="U1739" s="138" t="str">
        <f>IFERROR(LOOKUP($S1739,MOTORISTAS!$D$3:$D$916,MOTORISTAS!F$3:$F$916),"")</f>
        <v/>
      </c>
      <c r="V1739" s="66"/>
      <c r="W1739" s="66"/>
      <c r="X1739" s="66"/>
      <c r="Y1739" s="66"/>
      <c r="Z1739" s="66"/>
      <c r="AA1739" s="66"/>
      <c r="AB1739" s="66"/>
      <c r="AC1739" s="66"/>
      <c r="AD1739" s="66"/>
      <c r="AE1739" s="66"/>
      <c r="AF1739" s="44"/>
      <c r="AG1739" s="254">
        <f>Prog_23[[#This Row],[SAÍDA DO CLIENTE]]-Prog_23[[#This Row],[PROGRAMAÇÃO CLIENTE]]</f>
        <v>0</v>
      </c>
      <c r="AH1739" s="44"/>
      <c r="AI1739" s="66"/>
      <c r="AJ1739" s="66"/>
      <c r="AK1739" s="66"/>
      <c r="AL1739" s="66"/>
      <c r="AM1739" s="66"/>
      <c r="AN1739" s="83"/>
      <c r="AO1739" s="83"/>
      <c r="AP1739" s="83"/>
      <c r="AQ1739" s="66"/>
      <c r="AR1739" s="66"/>
      <c r="AS1739" s="66"/>
      <c r="AT1739" s="81"/>
      <c r="AU1739" s="81"/>
      <c r="AV1739" s="81"/>
      <c r="AW1739" s="81"/>
      <c r="AX1739" s="83">
        <f>SUM(Prog_23[[#This Row],[ADIANTAMENTO]]+Prog_23[[#This Row],[SALDO]]+Prog_23[[#This Row],[MARGEM]]+Prog_23[[#This Row],[ESTADIA 1]])</f>
        <v>0</v>
      </c>
      <c r="AY17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39" s="81"/>
      <c r="BA1739" s="81"/>
      <c r="BB1739" s="81">
        <f>Prog_23[[#This Row],[VLR NF]]*0.1%</f>
        <v>0</v>
      </c>
      <c r="BC1739" s="81">
        <f>Prog_23[[#This Row],[VLR NF]]*0.05%</f>
        <v>0</v>
      </c>
      <c r="BD1739" s="81"/>
      <c r="BE1739" s="81"/>
      <c r="BF1739" s="81"/>
      <c r="BG1739" s="81"/>
      <c r="BH1739" s="81"/>
      <c r="BI1739" s="81"/>
      <c r="BJ1739" s="81"/>
      <c r="BK1739" s="81"/>
      <c r="BL1739" s="81"/>
      <c r="BM1739" s="81"/>
      <c r="BN1739" s="66"/>
      <c r="BO1739" s="66"/>
      <c r="BP1739" s="66"/>
      <c r="BQ1739" s="66" t="str">
        <f>PROPER(TEXT(Prog_23[[#This Row],[PROGRAMAÇÃO CLIENTE]],"mmm"))</f>
        <v>Jan</v>
      </c>
      <c r="BR1739" s="66">
        <f>YEAR(Prog_23[[#This Row],[PROGRAMAÇÃO CLIENTE]])</f>
        <v>1900</v>
      </c>
    </row>
    <row r="1740" spans="1:70" x14ac:dyDescent="0.25">
      <c r="A1740" s="201">
        <f>Prog_23[[#This Row],[CONTEINER]]</f>
        <v>0</v>
      </c>
      <c r="B1740" s="86"/>
      <c r="C17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40" s="44"/>
      <c r="E1740" s="66"/>
      <c r="F1740" s="66"/>
      <c r="G1740" s="66"/>
      <c r="H1740" s="44"/>
      <c r="I1740" s="44"/>
      <c r="J1740" s="66"/>
      <c r="K1740" s="66"/>
      <c r="L1740" s="66"/>
      <c r="M1740" s="66"/>
      <c r="N1740" s="66">
        <f>SUM(Prog_23[[#This Row],[TARA]]+Prog_23[[#This Row],[PESO]])</f>
        <v>0</v>
      </c>
      <c r="O1740" s="44"/>
      <c r="P1740" s="66"/>
      <c r="Q1740" s="66"/>
      <c r="R1740" s="66"/>
      <c r="S1740" s="66"/>
      <c r="T1740" s="138" t="str">
        <f>IFERROR(LOOKUP($S1740,MOTORISTAS!$D$3:$D$916,MOTORISTAS!E$3:$E$916),"")</f>
        <v/>
      </c>
      <c r="U1740" s="138" t="str">
        <f>IFERROR(LOOKUP($S1740,MOTORISTAS!$D$3:$D$916,MOTORISTAS!F$3:$F$916),"")</f>
        <v/>
      </c>
      <c r="V1740" s="66"/>
      <c r="W1740" s="66"/>
      <c r="X1740" s="66"/>
      <c r="Y1740" s="66"/>
      <c r="Z1740" s="66"/>
      <c r="AA1740" s="66"/>
      <c r="AB1740" s="66"/>
      <c r="AC1740" s="66"/>
      <c r="AD1740" s="66"/>
      <c r="AE1740" s="66"/>
      <c r="AF1740" s="44"/>
      <c r="AG1740" s="254">
        <f>Prog_23[[#This Row],[SAÍDA DO CLIENTE]]-Prog_23[[#This Row],[PROGRAMAÇÃO CLIENTE]]</f>
        <v>0</v>
      </c>
      <c r="AH1740" s="44"/>
      <c r="AI1740" s="66"/>
      <c r="AJ1740" s="66"/>
      <c r="AK1740" s="66"/>
      <c r="AL1740" s="66"/>
      <c r="AM1740" s="66"/>
      <c r="AN1740" s="83"/>
      <c r="AO1740" s="83"/>
      <c r="AP1740" s="83"/>
      <c r="AQ1740" s="66"/>
      <c r="AR1740" s="66"/>
      <c r="AS1740" s="66"/>
      <c r="AT1740" s="81"/>
      <c r="AU1740" s="81"/>
      <c r="AV1740" s="81"/>
      <c r="AW1740" s="81"/>
      <c r="AX1740" s="83">
        <f>SUM(Prog_23[[#This Row],[ADIANTAMENTO]]+Prog_23[[#This Row],[SALDO]]+Prog_23[[#This Row],[MARGEM]]+Prog_23[[#This Row],[ESTADIA 1]])</f>
        <v>0</v>
      </c>
      <c r="AY17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40" s="81"/>
      <c r="BA1740" s="81"/>
      <c r="BB1740" s="81">
        <f>Prog_23[[#This Row],[VLR NF]]*0.1%</f>
        <v>0</v>
      </c>
      <c r="BC1740" s="81">
        <f>Prog_23[[#This Row],[VLR NF]]*0.05%</f>
        <v>0</v>
      </c>
      <c r="BD1740" s="81"/>
      <c r="BE1740" s="81"/>
      <c r="BF1740" s="81"/>
      <c r="BG1740" s="81"/>
      <c r="BH1740" s="81"/>
      <c r="BI1740" s="81"/>
      <c r="BJ1740" s="81"/>
      <c r="BK1740" s="81"/>
      <c r="BL1740" s="81"/>
      <c r="BM1740" s="81"/>
      <c r="BN1740" s="66"/>
      <c r="BO1740" s="66"/>
      <c r="BP1740" s="66"/>
      <c r="BQ1740" s="66" t="str">
        <f>PROPER(TEXT(Prog_23[[#This Row],[PROGRAMAÇÃO CLIENTE]],"mmm"))</f>
        <v>Jan</v>
      </c>
      <c r="BR1740" s="66">
        <f>YEAR(Prog_23[[#This Row],[PROGRAMAÇÃO CLIENTE]])</f>
        <v>1900</v>
      </c>
    </row>
    <row r="1741" spans="1:70" x14ac:dyDescent="0.25">
      <c r="A1741" s="200">
        <f>Prog_23[[#This Row],[CONTEINER]]</f>
        <v>0</v>
      </c>
      <c r="B1741" s="86"/>
      <c r="C17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41" s="44"/>
      <c r="E1741" s="66"/>
      <c r="F1741" s="66"/>
      <c r="G1741" s="66"/>
      <c r="H1741" s="44"/>
      <c r="I1741" s="44"/>
      <c r="J1741" s="66"/>
      <c r="K1741" s="66"/>
      <c r="L1741" s="66"/>
      <c r="M1741" s="66"/>
      <c r="N1741" s="66">
        <f>SUM(Prog_23[[#This Row],[TARA]]+Prog_23[[#This Row],[PESO]])</f>
        <v>0</v>
      </c>
      <c r="O1741" s="44"/>
      <c r="P1741" s="66"/>
      <c r="Q1741" s="66"/>
      <c r="R1741" s="66"/>
      <c r="S1741" s="66"/>
      <c r="T1741" s="138" t="str">
        <f>IFERROR(LOOKUP($S1741,MOTORISTAS!$D$3:$D$916,MOTORISTAS!E$3:$E$916),"")</f>
        <v/>
      </c>
      <c r="U1741" s="138" t="str">
        <f>IFERROR(LOOKUP($S1741,MOTORISTAS!$D$3:$D$916,MOTORISTAS!F$3:$F$916),"")</f>
        <v/>
      </c>
      <c r="V1741" s="66"/>
      <c r="W1741" s="66"/>
      <c r="X1741" s="66"/>
      <c r="Y1741" s="66"/>
      <c r="Z1741" s="66"/>
      <c r="AA1741" s="66"/>
      <c r="AB1741" s="66"/>
      <c r="AC1741" s="66"/>
      <c r="AD1741" s="66"/>
      <c r="AE1741" s="66"/>
      <c r="AF1741" s="44"/>
      <c r="AG1741" s="254">
        <f>Prog_23[[#This Row],[SAÍDA DO CLIENTE]]-Prog_23[[#This Row],[PROGRAMAÇÃO CLIENTE]]</f>
        <v>0</v>
      </c>
      <c r="AH1741" s="44"/>
      <c r="AI1741" s="66"/>
      <c r="AJ1741" s="66"/>
      <c r="AK1741" s="66"/>
      <c r="AL1741" s="66"/>
      <c r="AM1741" s="66"/>
      <c r="AN1741" s="83"/>
      <c r="AO1741" s="83"/>
      <c r="AP1741" s="83"/>
      <c r="AQ1741" s="66"/>
      <c r="AR1741" s="66"/>
      <c r="AS1741" s="66"/>
      <c r="AT1741" s="81"/>
      <c r="AU1741" s="81"/>
      <c r="AV1741" s="81"/>
      <c r="AW1741" s="81"/>
      <c r="AX1741" s="83">
        <f>SUM(Prog_23[[#This Row],[ADIANTAMENTO]]+Prog_23[[#This Row],[SALDO]]+Prog_23[[#This Row],[MARGEM]]+Prog_23[[#This Row],[ESTADIA 1]])</f>
        <v>0</v>
      </c>
      <c r="AY17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41" s="81"/>
      <c r="BA1741" s="81"/>
      <c r="BB1741" s="81">
        <f>Prog_23[[#This Row],[VLR NF]]*0.1%</f>
        <v>0</v>
      </c>
      <c r="BC1741" s="81">
        <f>Prog_23[[#This Row],[VLR NF]]*0.05%</f>
        <v>0</v>
      </c>
      <c r="BD1741" s="81"/>
      <c r="BE1741" s="81"/>
      <c r="BF1741" s="81"/>
      <c r="BG1741" s="81"/>
      <c r="BH1741" s="81"/>
      <c r="BI1741" s="81"/>
      <c r="BJ1741" s="81"/>
      <c r="BK1741" s="81"/>
      <c r="BL1741" s="81"/>
      <c r="BM1741" s="81"/>
      <c r="BN1741" s="66"/>
      <c r="BO1741" s="66"/>
      <c r="BP1741" s="66"/>
      <c r="BQ1741" s="66" t="str">
        <f>PROPER(TEXT(Prog_23[[#This Row],[PROGRAMAÇÃO CLIENTE]],"mmm"))</f>
        <v>Jan</v>
      </c>
      <c r="BR1741" s="66">
        <f>YEAR(Prog_23[[#This Row],[PROGRAMAÇÃO CLIENTE]])</f>
        <v>1900</v>
      </c>
    </row>
    <row r="1742" spans="1:70" x14ac:dyDescent="0.25">
      <c r="A1742" s="201">
        <f>Prog_23[[#This Row],[CONTEINER]]</f>
        <v>0</v>
      </c>
      <c r="B1742" s="86"/>
      <c r="C17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42" s="44"/>
      <c r="E1742" s="66"/>
      <c r="F1742" s="66"/>
      <c r="G1742" s="66"/>
      <c r="H1742" s="44"/>
      <c r="I1742" s="44"/>
      <c r="J1742" s="66"/>
      <c r="K1742" s="66"/>
      <c r="L1742" s="66"/>
      <c r="M1742" s="66"/>
      <c r="N1742" s="66">
        <f>SUM(Prog_23[[#This Row],[TARA]]+Prog_23[[#This Row],[PESO]])</f>
        <v>0</v>
      </c>
      <c r="O1742" s="44"/>
      <c r="P1742" s="66"/>
      <c r="Q1742" s="66"/>
      <c r="R1742" s="66"/>
      <c r="S1742" s="66"/>
      <c r="T1742" s="138" t="str">
        <f>IFERROR(LOOKUP($S1742,MOTORISTAS!$D$3:$D$916,MOTORISTAS!E$3:$E$916),"")</f>
        <v/>
      </c>
      <c r="U1742" s="138" t="str">
        <f>IFERROR(LOOKUP($S1742,MOTORISTAS!$D$3:$D$916,MOTORISTAS!F$3:$F$916),"")</f>
        <v/>
      </c>
      <c r="V1742" s="66"/>
      <c r="W1742" s="66"/>
      <c r="X1742" s="66"/>
      <c r="Y1742" s="66"/>
      <c r="Z1742" s="66"/>
      <c r="AA1742" s="66"/>
      <c r="AB1742" s="66"/>
      <c r="AC1742" s="66"/>
      <c r="AD1742" s="66"/>
      <c r="AE1742" s="66"/>
      <c r="AF1742" s="44"/>
      <c r="AG1742" s="254">
        <f>Prog_23[[#This Row],[SAÍDA DO CLIENTE]]-Prog_23[[#This Row],[PROGRAMAÇÃO CLIENTE]]</f>
        <v>0</v>
      </c>
      <c r="AH1742" s="44"/>
      <c r="AI1742" s="66"/>
      <c r="AJ1742" s="66"/>
      <c r="AK1742" s="66"/>
      <c r="AL1742" s="66"/>
      <c r="AM1742" s="66"/>
      <c r="AN1742" s="83"/>
      <c r="AO1742" s="83"/>
      <c r="AP1742" s="83"/>
      <c r="AQ1742" s="66"/>
      <c r="AR1742" s="66"/>
      <c r="AS1742" s="66"/>
      <c r="AT1742" s="81"/>
      <c r="AU1742" s="81"/>
      <c r="AV1742" s="81"/>
      <c r="AW1742" s="81"/>
      <c r="AX1742" s="83">
        <f>SUM(Prog_23[[#This Row],[ADIANTAMENTO]]+Prog_23[[#This Row],[SALDO]]+Prog_23[[#This Row],[MARGEM]]+Prog_23[[#This Row],[ESTADIA 1]])</f>
        <v>0</v>
      </c>
      <c r="AY17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42" s="81"/>
      <c r="BA1742" s="81"/>
      <c r="BB1742" s="81">
        <f>Prog_23[[#This Row],[VLR NF]]*0.1%</f>
        <v>0</v>
      </c>
      <c r="BC1742" s="81">
        <f>Prog_23[[#This Row],[VLR NF]]*0.05%</f>
        <v>0</v>
      </c>
      <c r="BD1742" s="81"/>
      <c r="BE1742" s="81"/>
      <c r="BF1742" s="81"/>
      <c r="BG1742" s="81"/>
      <c r="BH1742" s="81"/>
      <c r="BI1742" s="81"/>
      <c r="BJ1742" s="81"/>
      <c r="BK1742" s="81"/>
      <c r="BL1742" s="81"/>
      <c r="BM1742" s="81"/>
      <c r="BN1742" s="66"/>
      <c r="BO1742" s="66"/>
      <c r="BP1742" s="66"/>
      <c r="BQ1742" s="66" t="str">
        <f>PROPER(TEXT(Prog_23[[#This Row],[PROGRAMAÇÃO CLIENTE]],"mmm"))</f>
        <v>Jan</v>
      </c>
      <c r="BR1742" s="66">
        <f>YEAR(Prog_23[[#This Row],[PROGRAMAÇÃO CLIENTE]])</f>
        <v>1900</v>
      </c>
    </row>
    <row r="1743" spans="1:70" x14ac:dyDescent="0.25">
      <c r="A1743" s="200">
        <f>Prog_23[[#This Row],[CONTEINER]]</f>
        <v>0</v>
      </c>
      <c r="B1743" s="86"/>
      <c r="C17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43" s="44"/>
      <c r="E1743" s="66"/>
      <c r="F1743" s="66"/>
      <c r="G1743" s="66"/>
      <c r="H1743" s="44"/>
      <c r="I1743" s="44"/>
      <c r="J1743" s="66"/>
      <c r="K1743" s="66"/>
      <c r="L1743" s="66"/>
      <c r="M1743" s="66"/>
      <c r="N1743" s="66">
        <f>SUM(Prog_23[[#This Row],[TARA]]+Prog_23[[#This Row],[PESO]])</f>
        <v>0</v>
      </c>
      <c r="O1743" s="44"/>
      <c r="P1743" s="66"/>
      <c r="Q1743" s="66"/>
      <c r="R1743" s="66"/>
      <c r="S1743" s="66"/>
      <c r="T1743" s="138" t="str">
        <f>IFERROR(LOOKUP($S1743,MOTORISTAS!$D$3:$D$916,MOTORISTAS!E$3:$E$916),"")</f>
        <v/>
      </c>
      <c r="U1743" s="138" t="str">
        <f>IFERROR(LOOKUP($S1743,MOTORISTAS!$D$3:$D$916,MOTORISTAS!F$3:$F$916),"")</f>
        <v/>
      </c>
      <c r="V1743" s="66"/>
      <c r="W1743" s="66"/>
      <c r="X1743" s="66"/>
      <c r="Y1743" s="66"/>
      <c r="Z1743" s="66"/>
      <c r="AA1743" s="66"/>
      <c r="AB1743" s="66"/>
      <c r="AC1743" s="66"/>
      <c r="AD1743" s="66"/>
      <c r="AE1743" s="66"/>
      <c r="AF1743" s="44"/>
      <c r="AG1743" s="254">
        <f>Prog_23[[#This Row],[SAÍDA DO CLIENTE]]-Prog_23[[#This Row],[PROGRAMAÇÃO CLIENTE]]</f>
        <v>0</v>
      </c>
      <c r="AH1743" s="44"/>
      <c r="AI1743" s="66"/>
      <c r="AJ1743" s="66"/>
      <c r="AK1743" s="66"/>
      <c r="AL1743" s="66"/>
      <c r="AM1743" s="66"/>
      <c r="AN1743" s="83"/>
      <c r="AO1743" s="83"/>
      <c r="AP1743" s="83"/>
      <c r="AQ1743" s="66"/>
      <c r="AR1743" s="66"/>
      <c r="AS1743" s="66"/>
      <c r="AT1743" s="81"/>
      <c r="AU1743" s="81"/>
      <c r="AV1743" s="81"/>
      <c r="AW1743" s="81"/>
      <c r="AX1743" s="83">
        <f>SUM(Prog_23[[#This Row],[ADIANTAMENTO]]+Prog_23[[#This Row],[SALDO]]+Prog_23[[#This Row],[MARGEM]]+Prog_23[[#This Row],[ESTADIA 1]])</f>
        <v>0</v>
      </c>
      <c r="AY17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43" s="81"/>
      <c r="BA1743" s="81"/>
      <c r="BB1743" s="81">
        <f>Prog_23[[#This Row],[VLR NF]]*0.1%</f>
        <v>0</v>
      </c>
      <c r="BC1743" s="81">
        <f>Prog_23[[#This Row],[VLR NF]]*0.05%</f>
        <v>0</v>
      </c>
      <c r="BD1743" s="81"/>
      <c r="BE1743" s="81"/>
      <c r="BF1743" s="81"/>
      <c r="BG1743" s="81"/>
      <c r="BH1743" s="81"/>
      <c r="BI1743" s="81"/>
      <c r="BJ1743" s="81"/>
      <c r="BK1743" s="81"/>
      <c r="BL1743" s="81"/>
      <c r="BM1743" s="81"/>
      <c r="BN1743" s="66"/>
      <c r="BO1743" s="66"/>
      <c r="BP1743" s="66"/>
      <c r="BQ1743" s="66" t="str">
        <f>PROPER(TEXT(Prog_23[[#This Row],[PROGRAMAÇÃO CLIENTE]],"mmm"))</f>
        <v>Jan</v>
      </c>
      <c r="BR1743" s="66">
        <f>YEAR(Prog_23[[#This Row],[PROGRAMAÇÃO CLIENTE]])</f>
        <v>1900</v>
      </c>
    </row>
    <row r="1744" spans="1:70" x14ac:dyDescent="0.25">
      <c r="A1744" s="201">
        <f>Prog_23[[#This Row],[CONTEINER]]</f>
        <v>0</v>
      </c>
      <c r="B1744" s="86"/>
      <c r="C17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44" s="44"/>
      <c r="E1744" s="66"/>
      <c r="F1744" s="66"/>
      <c r="G1744" s="66"/>
      <c r="H1744" s="44"/>
      <c r="I1744" s="44"/>
      <c r="J1744" s="66"/>
      <c r="K1744" s="66"/>
      <c r="L1744" s="66"/>
      <c r="M1744" s="66"/>
      <c r="N1744" s="66">
        <f>SUM(Prog_23[[#This Row],[TARA]]+Prog_23[[#This Row],[PESO]])</f>
        <v>0</v>
      </c>
      <c r="O1744" s="44"/>
      <c r="P1744" s="66"/>
      <c r="Q1744" s="66"/>
      <c r="R1744" s="66"/>
      <c r="S1744" s="66"/>
      <c r="T1744" s="138" t="str">
        <f>IFERROR(LOOKUP($S1744,MOTORISTAS!$D$3:$D$916,MOTORISTAS!E$3:$E$916),"")</f>
        <v/>
      </c>
      <c r="U1744" s="138" t="str">
        <f>IFERROR(LOOKUP($S1744,MOTORISTAS!$D$3:$D$916,MOTORISTAS!F$3:$F$916),"")</f>
        <v/>
      </c>
      <c r="V1744" s="66"/>
      <c r="W1744" s="66"/>
      <c r="X1744" s="66"/>
      <c r="Y1744" s="66"/>
      <c r="Z1744" s="66"/>
      <c r="AA1744" s="66"/>
      <c r="AB1744" s="66"/>
      <c r="AC1744" s="66"/>
      <c r="AD1744" s="66"/>
      <c r="AE1744" s="66"/>
      <c r="AF1744" s="44"/>
      <c r="AG1744" s="254">
        <f>Prog_23[[#This Row],[SAÍDA DO CLIENTE]]-Prog_23[[#This Row],[PROGRAMAÇÃO CLIENTE]]</f>
        <v>0</v>
      </c>
      <c r="AH1744" s="44"/>
      <c r="AI1744" s="66"/>
      <c r="AJ1744" s="66"/>
      <c r="AK1744" s="66"/>
      <c r="AL1744" s="66"/>
      <c r="AM1744" s="66"/>
      <c r="AN1744" s="83"/>
      <c r="AO1744" s="83"/>
      <c r="AP1744" s="83"/>
      <c r="AQ1744" s="66"/>
      <c r="AR1744" s="66"/>
      <c r="AS1744" s="66"/>
      <c r="AT1744" s="81"/>
      <c r="AU1744" s="81"/>
      <c r="AV1744" s="81"/>
      <c r="AW1744" s="81"/>
      <c r="AX1744" s="83">
        <f>SUM(Prog_23[[#This Row],[ADIANTAMENTO]]+Prog_23[[#This Row],[SALDO]]+Prog_23[[#This Row],[MARGEM]]+Prog_23[[#This Row],[ESTADIA 1]])</f>
        <v>0</v>
      </c>
      <c r="AY17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44" s="81"/>
      <c r="BA1744" s="81"/>
      <c r="BB1744" s="81">
        <f>Prog_23[[#This Row],[VLR NF]]*0.1%</f>
        <v>0</v>
      </c>
      <c r="BC1744" s="81">
        <f>Prog_23[[#This Row],[VLR NF]]*0.05%</f>
        <v>0</v>
      </c>
      <c r="BD1744" s="81"/>
      <c r="BE1744" s="81"/>
      <c r="BF1744" s="81"/>
      <c r="BG1744" s="81"/>
      <c r="BH1744" s="81"/>
      <c r="BI1744" s="81"/>
      <c r="BJ1744" s="81"/>
      <c r="BK1744" s="81"/>
      <c r="BL1744" s="81"/>
      <c r="BM1744" s="81"/>
      <c r="BN1744" s="66"/>
      <c r="BO1744" s="66"/>
      <c r="BP1744" s="66"/>
      <c r="BQ1744" s="66" t="str">
        <f>PROPER(TEXT(Prog_23[[#This Row],[PROGRAMAÇÃO CLIENTE]],"mmm"))</f>
        <v>Jan</v>
      </c>
      <c r="BR1744" s="66">
        <f>YEAR(Prog_23[[#This Row],[PROGRAMAÇÃO CLIENTE]])</f>
        <v>1900</v>
      </c>
    </row>
    <row r="1745" spans="1:70" x14ac:dyDescent="0.25">
      <c r="A1745" s="200">
        <f>Prog_23[[#This Row],[CONTEINER]]</f>
        <v>0</v>
      </c>
      <c r="B1745" s="86"/>
      <c r="C17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45" s="44"/>
      <c r="E1745" s="66"/>
      <c r="F1745" s="66"/>
      <c r="G1745" s="66"/>
      <c r="H1745" s="44"/>
      <c r="I1745" s="44"/>
      <c r="J1745" s="66"/>
      <c r="K1745" s="66"/>
      <c r="L1745" s="66"/>
      <c r="M1745" s="66"/>
      <c r="N1745" s="66">
        <f>SUM(Prog_23[[#This Row],[TARA]]+Prog_23[[#This Row],[PESO]])</f>
        <v>0</v>
      </c>
      <c r="O1745" s="44"/>
      <c r="P1745" s="66"/>
      <c r="Q1745" s="66"/>
      <c r="R1745" s="66"/>
      <c r="S1745" s="66"/>
      <c r="T1745" s="138" t="str">
        <f>IFERROR(LOOKUP($S1745,MOTORISTAS!$D$3:$D$916,MOTORISTAS!E$3:$E$916),"")</f>
        <v/>
      </c>
      <c r="U1745" s="138" t="str">
        <f>IFERROR(LOOKUP($S1745,MOTORISTAS!$D$3:$D$916,MOTORISTAS!F$3:$F$916),"")</f>
        <v/>
      </c>
      <c r="V1745" s="66"/>
      <c r="W1745" s="66"/>
      <c r="X1745" s="66"/>
      <c r="Y1745" s="66"/>
      <c r="Z1745" s="66"/>
      <c r="AA1745" s="66"/>
      <c r="AB1745" s="66"/>
      <c r="AC1745" s="66"/>
      <c r="AD1745" s="66"/>
      <c r="AE1745" s="66"/>
      <c r="AF1745" s="44"/>
      <c r="AG1745" s="254">
        <f>Prog_23[[#This Row],[SAÍDA DO CLIENTE]]-Prog_23[[#This Row],[PROGRAMAÇÃO CLIENTE]]</f>
        <v>0</v>
      </c>
      <c r="AH1745" s="44"/>
      <c r="AI1745" s="66"/>
      <c r="AJ1745" s="66"/>
      <c r="AK1745" s="66"/>
      <c r="AL1745" s="66"/>
      <c r="AM1745" s="66"/>
      <c r="AN1745" s="83"/>
      <c r="AO1745" s="83"/>
      <c r="AP1745" s="83"/>
      <c r="AQ1745" s="66"/>
      <c r="AR1745" s="66"/>
      <c r="AS1745" s="66"/>
      <c r="AT1745" s="81"/>
      <c r="AU1745" s="81"/>
      <c r="AV1745" s="81"/>
      <c r="AW1745" s="81"/>
      <c r="AX1745" s="83">
        <f>SUM(Prog_23[[#This Row],[ADIANTAMENTO]]+Prog_23[[#This Row],[SALDO]]+Prog_23[[#This Row],[MARGEM]]+Prog_23[[#This Row],[ESTADIA 1]])</f>
        <v>0</v>
      </c>
      <c r="AY17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45" s="81"/>
      <c r="BA1745" s="81"/>
      <c r="BB1745" s="81">
        <f>Prog_23[[#This Row],[VLR NF]]*0.1%</f>
        <v>0</v>
      </c>
      <c r="BC1745" s="81">
        <f>Prog_23[[#This Row],[VLR NF]]*0.05%</f>
        <v>0</v>
      </c>
      <c r="BD1745" s="81"/>
      <c r="BE1745" s="81"/>
      <c r="BF1745" s="81"/>
      <c r="BG1745" s="81"/>
      <c r="BH1745" s="81"/>
      <c r="BI1745" s="81"/>
      <c r="BJ1745" s="81"/>
      <c r="BK1745" s="81"/>
      <c r="BL1745" s="81"/>
      <c r="BM1745" s="81"/>
      <c r="BN1745" s="66"/>
      <c r="BO1745" s="66"/>
      <c r="BP1745" s="66"/>
      <c r="BQ1745" s="66" t="str">
        <f>PROPER(TEXT(Prog_23[[#This Row],[PROGRAMAÇÃO CLIENTE]],"mmm"))</f>
        <v>Jan</v>
      </c>
      <c r="BR1745" s="66">
        <f>YEAR(Prog_23[[#This Row],[PROGRAMAÇÃO CLIENTE]])</f>
        <v>1900</v>
      </c>
    </row>
    <row r="1746" spans="1:70" x14ac:dyDescent="0.25">
      <c r="A1746" s="201">
        <f>Prog_23[[#This Row],[CONTEINER]]</f>
        <v>0</v>
      </c>
      <c r="B1746" s="86"/>
      <c r="C17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46" s="44"/>
      <c r="E1746" s="66"/>
      <c r="F1746" s="66"/>
      <c r="G1746" s="66"/>
      <c r="H1746" s="44"/>
      <c r="I1746" s="44"/>
      <c r="J1746" s="66"/>
      <c r="K1746" s="66"/>
      <c r="L1746" s="66"/>
      <c r="M1746" s="66"/>
      <c r="N1746" s="66">
        <f>SUM(Prog_23[[#This Row],[TARA]]+Prog_23[[#This Row],[PESO]])</f>
        <v>0</v>
      </c>
      <c r="O1746" s="44"/>
      <c r="P1746" s="66"/>
      <c r="Q1746" s="66"/>
      <c r="R1746" s="66"/>
      <c r="S1746" s="66"/>
      <c r="T1746" s="138" t="str">
        <f>IFERROR(LOOKUP($S1746,MOTORISTAS!$D$3:$D$916,MOTORISTAS!E$3:$E$916),"")</f>
        <v/>
      </c>
      <c r="U1746" s="138" t="str">
        <f>IFERROR(LOOKUP($S1746,MOTORISTAS!$D$3:$D$916,MOTORISTAS!F$3:$F$916),"")</f>
        <v/>
      </c>
      <c r="V1746" s="66"/>
      <c r="W1746" s="66"/>
      <c r="X1746" s="66"/>
      <c r="Y1746" s="66"/>
      <c r="Z1746" s="66"/>
      <c r="AA1746" s="66"/>
      <c r="AB1746" s="66"/>
      <c r="AC1746" s="66"/>
      <c r="AD1746" s="66"/>
      <c r="AE1746" s="66"/>
      <c r="AF1746" s="44"/>
      <c r="AG1746" s="254">
        <f>Prog_23[[#This Row],[SAÍDA DO CLIENTE]]-Prog_23[[#This Row],[PROGRAMAÇÃO CLIENTE]]</f>
        <v>0</v>
      </c>
      <c r="AH1746" s="44"/>
      <c r="AI1746" s="66"/>
      <c r="AJ1746" s="66"/>
      <c r="AK1746" s="66"/>
      <c r="AL1746" s="66"/>
      <c r="AM1746" s="66"/>
      <c r="AN1746" s="83"/>
      <c r="AO1746" s="83"/>
      <c r="AP1746" s="83"/>
      <c r="AQ1746" s="66"/>
      <c r="AR1746" s="66"/>
      <c r="AS1746" s="66"/>
      <c r="AT1746" s="81"/>
      <c r="AU1746" s="81"/>
      <c r="AV1746" s="81"/>
      <c r="AW1746" s="81"/>
      <c r="AX1746" s="83">
        <f>SUM(Prog_23[[#This Row],[ADIANTAMENTO]]+Prog_23[[#This Row],[SALDO]]+Prog_23[[#This Row],[MARGEM]]+Prog_23[[#This Row],[ESTADIA 1]])</f>
        <v>0</v>
      </c>
      <c r="AY17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46" s="81"/>
      <c r="BA1746" s="81"/>
      <c r="BB1746" s="81">
        <f>Prog_23[[#This Row],[VLR NF]]*0.1%</f>
        <v>0</v>
      </c>
      <c r="BC1746" s="81">
        <f>Prog_23[[#This Row],[VLR NF]]*0.05%</f>
        <v>0</v>
      </c>
      <c r="BD1746" s="81"/>
      <c r="BE1746" s="81"/>
      <c r="BF1746" s="81"/>
      <c r="BG1746" s="81"/>
      <c r="BH1746" s="81"/>
      <c r="BI1746" s="81"/>
      <c r="BJ1746" s="81"/>
      <c r="BK1746" s="81"/>
      <c r="BL1746" s="81"/>
      <c r="BM1746" s="81"/>
      <c r="BN1746" s="66"/>
      <c r="BO1746" s="66"/>
      <c r="BP1746" s="66"/>
      <c r="BQ1746" s="66" t="str">
        <f>PROPER(TEXT(Prog_23[[#This Row],[PROGRAMAÇÃO CLIENTE]],"mmm"))</f>
        <v>Jan</v>
      </c>
      <c r="BR1746" s="66">
        <f>YEAR(Prog_23[[#This Row],[PROGRAMAÇÃO CLIENTE]])</f>
        <v>1900</v>
      </c>
    </row>
    <row r="1747" spans="1:70" x14ac:dyDescent="0.25">
      <c r="A1747" s="200">
        <f>Prog_23[[#This Row],[CONTEINER]]</f>
        <v>0</v>
      </c>
      <c r="B1747" s="86"/>
      <c r="C17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47" s="44"/>
      <c r="E1747" s="66"/>
      <c r="F1747" s="66"/>
      <c r="G1747" s="66"/>
      <c r="H1747" s="44"/>
      <c r="I1747" s="44"/>
      <c r="J1747" s="66"/>
      <c r="K1747" s="66"/>
      <c r="L1747" s="66"/>
      <c r="M1747" s="66"/>
      <c r="N1747" s="66">
        <f>SUM(Prog_23[[#This Row],[TARA]]+Prog_23[[#This Row],[PESO]])</f>
        <v>0</v>
      </c>
      <c r="O1747" s="44"/>
      <c r="P1747" s="66"/>
      <c r="Q1747" s="66"/>
      <c r="R1747" s="66"/>
      <c r="S1747" s="66"/>
      <c r="T1747" s="138" t="str">
        <f>IFERROR(LOOKUP($S1747,MOTORISTAS!$D$3:$D$916,MOTORISTAS!E$3:$E$916),"")</f>
        <v/>
      </c>
      <c r="U1747" s="138" t="str">
        <f>IFERROR(LOOKUP($S1747,MOTORISTAS!$D$3:$D$916,MOTORISTAS!F$3:$F$916),"")</f>
        <v/>
      </c>
      <c r="V1747" s="66"/>
      <c r="W1747" s="66"/>
      <c r="X1747" s="66"/>
      <c r="Y1747" s="66"/>
      <c r="Z1747" s="66"/>
      <c r="AA1747" s="66"/>
      <c r="AB1747" s="66"/>
      <c r="AC1747" s="66"/>
      <c r="AD1747" s="66"/>
      <c r="AE1747" s="66"/>
      <c r="AF1747" s="44"/>
      <c r="AG1747" s="254">
        <f>Prog_23[[#This Row],[SAÍDA DO CLIENTE]]-Prog_23[[#This Row],[PROGRAMAÇÃO CLIENTE]]</f>
        <v>0</v>
      </c>
      <c r="AH1747" s="44"/>
      <c r="AI1747" s="66"/>
      <c r="AJ1747" s="66"/>
      <c r="AK1747" s="66"/>
      <c r="AL1747" s="66"/>
      <c r="AM1747" s="66"/>
      <c r="AN1747" s="83"/>
      <c r="AO1747" s="83"/>
      <c r="AP1747" s="83"/>
      <c r="AQ1747" s="66"/>
      <c r="AR1747" s="66"/>
      <c r="AS1747" s="66"/>
      <c r="AT1747" s="81"/>
      <c r="AU1747" s="81"/>
      <c r="AV1747" s="81"/>
      <c r="AW1747" s="81"/>
      <c r="AX1747" s="83">
        <f>SUM(Prog_23[[#This Row],[ADIANTAMENTO]]+Prog_23[[#This Row],[SALDO]]+Prog_23[[#This Row],[MARGEM]]+Prog_23[[#This Row],[ESTADIA 1]])</f>
        <v>0</v>
      </c>
      <c r="AY17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47" s="81"/>
      <c r="BA1747" s="81"/>
      <c r="BB1747" s="81">
        <f>Prog_23[[#This Row],[VLR NF]]*0.1%</f>
        <v>0</v>
      </c>
      <c r="BC1747" s="81">
        <f>Prog_23[[#This Row],[VLR NF]]*0.05%</f>
        <v>0</v>
      </c>
      <c r="BD1747" s="81"/>
      <c r="BE1747" s="81"/>
      <c r="BF1747" s="81"/>
      <c r="BG1747" s="81"/>
      <c r="BH1747" s="81"/>
      <c r="BI1747" s="81"/>
      <c r="BJ1747" s="81"/>
      <c r="BK1747" s="81"/>
      <c r="BL1747" s="81"/>
      <c r="BM1747" s="81"/>
      <c r="BN1747" s="66"/>
      <c r="BO1747" s="66"/>
      <c r="BP1747" s="66"/>
      <c r="BQ1747" s="66" t="str">
        <f>PROPER(TEXT(Prog_23[[#This Row],[PROGRAMAÇÃO CLIENTE]],"mmm"))</f>
        <v>Jan</v>
      </c>
      <c r="BR1747" s="66">
        <f>YEAR(Prog_23[[#This Row],[PROGRAMAÇÃO CLIENTE]])</f>
        <v>1900</v>
      </c>
    </row>
    <row r="1748" spans="1:70" x14ac:dyDescent="0.25">
      <c r="A1748" s="201">
        <f>Prog_23[[#This Row],[CONTEINER]]</f>
        <v>0</v>
      </c>
      <c r="B1748" s="86"/>
      <c r="C17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48" s="44"/>
      <c r="E1748" s="66"/>
      <c r="F1748" s="66"/>
      <c r="G1748" s="66"/>
      <c r="H1748" s="44"/>
      <c r="I1748" s="44"/>
      <c r="J1748" s="66"/>
      <c r="K1748" s="66"/>
      <c r="L1748" s="66"/>
      <c r="M1748" s="66"/>
      <c r="N1748" s="66">
        <f>SUM(Prog_23[[#This Row],[TARA]]+Prog_23[[#This Row],[PESO]])</f>
        <v>0</v>
      </c>
      <c r="O1748" s="44"/>
      <c r="P1748" s="66"/>
      <c r="Q1748" s="66"/>
      <c r="R1748" s="66"/>
      <c r="S1748" s="66"/>
      <c r="T1748" s="138" t="str">
        <f>IFERROR(LOOKUP($S1748,MOTORISTAS!$D$3:$D$916,MOTORISTAS!E$3:$E$916),"")</f>
        <v/>
      </c>
      <c r="U1748" s="138" t="str">
        <f>IFERROR(LOOKUP($S1748,MOTORISTAS!$D$3:$D$916,MOTORISTAS!F$3:$F$916),"")</f>
        <v/>
      </c>
      <c r="V1748" s="66"/>
      <c r="W1748" s="66"/>
      <c r="X1748" s="66"/>
      <c r="Y1748" s="66"/>
      <c r="Z1748" s="66"/>
      <c r="AA1748" s="66"/>
      <c r="AB1748" s="66"/>
      <c r="AC1748" s="66"/>
      <c r="AD1748" s="66"/>
      <c r="AE1748" s="66"/>
      <c r="AF1748" s="44"/>
      <c r="AG1748" s="254">
        <f>Prog_23[[#This Row],[SAÍDA DO CLIENTE]]-Prog_23[[#This Row],[PROGRAMAÇÃO CLIENTE]]</f>
        <v>0</v>
      </c>
      <c r="AH1748" s="44"/>
      <c r="AI1748" s="66"/>
      <c r="AJ1748" s="66"/>
      <c r="AK1748" s="66"/>
      <c r="AL1748" s="66"/>
      <c r="AM1748" s="66"/>
      <c r="AN1748" s="83"/>
      <c r="AO1748" s="83"/>
      <c r="AP1748" s="83"/>
      <c r="AQ1748" s="66"/>
      <c r="AR1748" s="66"/>
      <c r="AS1748" s="66"/>
      <c r="AT1748" s="81"/>
      <c r="AU1748" s="81"/>
      <c r="AV1748" s="81"/>
      <c r="AW1748" s="81"/>
      <c r="AX1748" s="83">
        <f>SUM(Prog_23[[#This Row],[ADIANTAMENTO]]+Prog_23[[#This Row],[SALDO]]+Prog_23[[#This Row],[MARGEM]]+Prog_23[[#This Row],[ESTADIA 1]])</f>
        <v>0</v>
      </c>
      <c r="AY17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48" s="81"/>
      <c r="BA1748" s="81"/>
      <c r="BB1748" s="81">
        <f>Prog_23[[#This Row],[VLR NF]]*0.1%</f>
        <v>0</v>
      </c>
      <c r="BC1748" s="81">
        <f>Prog_23[[#This Row],[VLR NF]]*0.05%</f>
        <v>0</v>
      </c>
      <c r="BD1748" s="81"/>
      <c r="BE1748" s="81"/>
      <c r="BF1748" s="81"/>
      <c r="BG1748" s="81"/>
      <c r="BH1748" s="81"/>
      <c r="BI1748" s="81"/>
      <c r="BJ1748" s="81"/>
      <c r="BK1748" s="81"/>
      <c r="BL1748" s="81"/>
      <c r="BM1748" s="81"/>
      <c r="BN1748" s="66"/>
      <c r="BO1748" s="66"/>
      <c r="BP1748" s="66"/>
      <c r="BQ1748" s="66" t="str">
        <f>PROPER(TEXT(Prog_23[[#This Row],[PROGRAMAÇÃO CLIENTE]],"mmm"))</f>
        <v>Jan</v>
      </c>
      <c r="BR1748" s="66">
        <f>YEAR(Prog_23[[#This Row],[PROGRAMAÇÃO CLIENTE]])</f>
        <v>1900</v>
      </c>
    </row>
    <row r="1749" spans="1:70" x14ac:dyDescent="0.25">
      <c r="A1749" s="200">
        <f>Prog_23[[#This Row],[CONTEINER]]</f>
        <v>0</v>
      </c>
      <c r="B1749" s="86"/>
      <c r="C17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49" s="44"/>
      <c r="E1749" s="66"/>
      <c r="F1749" s="66"/>
      <c r="G1749" s="66"/>
      <c r="H1749" s="44"/>
      <c r="I1749" s="44"/>
      <c r="J1749" s="66"/>
      <c r="K1749" s="66"/>
      <c r="L1749" s="66"/>
      <c r="M1749" s="66"/>
      <c r="N1749" s="66">
        <f>SUM(Prog_23[[#This Row],[TARA]]+Prog_23[[#This Row],[PESO]])</f>
        <v>0</v>
      </c>
      <c r="O1749" s="44"/>
      <c r="P1749" s="66"/>
      <c r="Q1749" s="66"/>
      <c r="R1749" s="66"/>
      <c r="S1749" s="66"/>
      <c r="T1749" s="138" t="str">
        <f>IFERROR(LOOKUP($S1749,MOTORISTAS!$D$3:$D$916,MOTORISTAS!E$3:$E$916),"")</f>
        <v/>
      </c>
      <c r="U1749" s="138" t="str">
        <f>IFERROR(LOOKUP($S1749,MOTORISTAS!$D$3:$D$916,MOTORISTAS!F$3:$F$916),"")</f>
        <v/>
      </c>
      <c r="V1749" s="66"/>
      <c r="W1749" s="66"/>
      <c r="X1749" s="66"/>
      <c r="Y1749" s="66"/>
      <c r="Z1749" s="66"/>
      <c r="AA1749" s="66"/>
      <c r="AB1749" s="66"/>
      <c r="AC1749" s="66"/>
      <c r="AD1749" s="66"/>
      <c r="AE1749" s="66"/>
      <c r="AF1749" s="44"/>
      <c r="AG1749" s="254">
        <f>Prog_23[[#This Row],[SAÍDA DO CLIENTE]]-Prog_23[[#This Row],[PROGRAMAÇÃO CLIENTE]]</f>
        <v>0</v>
      </c>
      <c r="AH1749" s="44"/>
      <c r="AI1749" s="66"/>
      <c r="AJ1749" s="66"/>
      <c r="AK1749" s="66"/>
      <c r="AL1749" s="66"/>
      <c r="AM1749" s="66"/>
      <c r="AN1749" s="83"/>
      <c r="AO1749" s="83"/>
      <c r="AP1749" s="83"/>
      <c r="AQ1749" s="66"/>
      <c r="AR1749" s="66"/>
      <c r="AS1749" s="66"/>
      <c r="AT1749" s="81"/>
      <c r="AU1749" s="81"/>
      <c r="AV1749" s="81"/>
      <c r="AW1749" s="81"/>
      <c r="AX1749" s="83">
        <f>SUM(Prog_23[[#This Row],[ADIANTAMENTO]]+Prog_23[[#This Row],[SALDO]]+Prog_23[[#This Row],[MARGEM]]+Prog_23[[#This Row],[ESTADIA 1]])</f>
        <v>0</v>
      </c>
      <c r="AY17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49" s="81"/>
      <c r="BA1749" s="81"/>
      <c r="BB1749" s="81">
        <f>Prog_23[[#This Row],[VLR NF]]*0.1%</f>
        <v>0</v>
      </c>
      <c r="BC1749" s="81">
        <f>Prog_23[[#This Row],[VLR NF]]*0.05%</f>
        <v>0</v>
      </c>
      <c r="BD1749" s="81"/>
      <c r="BE1749" s="81"/>
      <c r="BF1749" s="81"/>
      <c r="BG1749" s="81"/>
      <c r="BH1749" s="81"/>
      <c r="BI1749" s="81"/>
      <c r="BJ1749" s="81"/>
      <c r="BK1749" s="81"/>
      <c r="BL1749" s="81"/>
      <c r="BM1749" s="81"/>
      <c r="BN1749" s="66"/>
      <c r="BO1749" s="66"/>
      <c r="BP1749" s="66"/>
      <c r="BQ1749" s="66" t="str">
        <f>PROPER(TEXT(Prog_23[[#This Row],[PROGRAMAÇÃO CLIENTE]],"mmm"))</f>
        <v>Jan</v>
      </c>
      <c r="BR1749" s="66">
        <f>YEAR(Prog_23[[#This Row],[PROGRAMAÇÃO CLIENTE]])</f>
        <v>1900</v>
      </c>
    </row>
    <row r="1750" spans="1:70" x14ac:dyDescent="0.25">
      <c r="A1750" s="201">
        <f>Prog_23[[#This Row],[CONTEINER]]</f>
        <v>0</v>
      </c>
      <c r="B1750" s="86"/>
      <c r="C17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50" s="44"/>
      <c r="E1750" s="66"/>
      <c r="F1750" s="66"/>
      <c r="G1750" s="66"/>
      <c r="H1750" s="44"/>
      <c r="I1750" s="44"/>
      <c r="J1750" s="66"/>
      <c r="K1750" s="66"/>
      <c r="L1750" s="66"/>
      <c r="M1750" s="66"/>
      <c r="N1750" s="66">
        <f>SUM(Prog_23[[#This Row],[TARA]]+Prog_23[[#This Row],[PESO]])</f>
        <v>0</v>
      </c>
      <c r="O1750" s="44"/>
      <c r="P1750" s="66"/>
      <c r="Q1750" s="66"/>
      <c r="R1750" s="66"/>
      <c r="S1750" s="66"/>
      <c r="T1750" s="138" t="str">
        <f>IFERROR(LOOKUP($S1750,MOTORISTAS!$D$3:$D$916,MOTORISTAS!E$3:$E$916),"")</f>
        <v/>
      </c>
      <c r="U1750" s="138" t="str">
        <f>IFERROR(LOOKUP($S1750,MOTORISTAS!$D$3:$D$916,MOTORISTAS!F$3:$F$916),"")</f>
        <v/>
      </c>
      <c r="V1750" s="66"/>
      <c r="W1750" s="66"/>
      <c r="X1750" s="66"/>
      <c r="Y1750" s="66"/>
      <c r="Z1750" s="66"/>
      <c r="AA1750" s="66"/>
      <c r="AB1750" s="66"/>
      <c r="AC1750" s="66"/>
      <c r="AD1750" s="66"/>
      <c r="AE1750" s="66"/>
      <c r="AF1750" s="44"/>
      <c r="AG1750" s="254">
        <f>Prog_23[[#This Row],[SAÍDA DO CLIENTE]]-Prog_23[[#This Row],[PROGRAMAÇÃO CLIENTE]]</f>
        <v>0</v>
      </c>
      <c r="AH1750" s="44"/>
      <c r="AI1750" s="66"/>
      <c r="AJ1750" s="66"/>
      <c r="AK1750" s="66"/>
      <c r="AL1750" s="66"/>
      <c r="AM1750" s="66"/>
      <c r="AN1750" s="83"/>
      <c r="AO1750" s="83"/>
      <c r="AP1750" s="83"/>
      <c r="AQ1750" s="66"/>
      <c r="AR1750" s="66"/>
      <c r="AS1750" s="66"/>
      <c r="AT1750" s="81"/>
      <c r="AU1750" s="81"/>
      <c r="AV1750" s="81"/>
      <c r="AW1750" s="81"/>
      <c r="AX1750" s="83">
        <f>SUM(Prog_23[[#This Row],[ADIANTAMENTO]]+Prog_23[[#This Row],[SALDO]]+Prog_23[[#This Row],[MARGEM]]+Prog_23[[#This Row],[ESTADIA 1]])</f>
        <v>0</v>
      </c>
      <c r="AY17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50" s="81"/>
      <c r="BA1750" s="81"/>
      <c r="BB1750" s="81">
        <f>Prog_23[[#This Row],[VLR NF]]*0.1%</f>
        <v>0</v>
      </c>
      <c r="BC1750" s="81">
        <f>Prog_23[[#This Row],[VLR NF]]*0.05%</f>
        <v>0</v>
      </c>
      <c r="BD1750" s="81"/>
      <c r="BE1750" s="81"/>
      <c r="BF1750" s="81"/>
      <c r="BG1750" s="81"/>
      <c r="BH1750" s="81"/>
      <c r="BI1750" s="81"/>
      <c r="BJ1750" s="81"/>
      <c r="BK1750" s="81"/>
      <c r="BL1750" s="81"/>
      <c r="BM1750" s="81"/>
      <c r="BN1750" s="66"/>
      <c r="BO1750" s="66"/>
      <c r="BP1750" s="66"/>
      <c r="BQ1750" s="66" t="str">
        <f>PROPER(TEXT(Prog_23[[#This Row],[PROGRAMAÇÃO CLIENTE]],"mmm"))</f>
        <v>Jan</v>
      </c>
      <c r="BR1750" s="66">
        <f>YEAR(Prog_23[[#This Row],[PROGRAMAÇÃO CLIENTE]])</f>
        <v>1900</v>
      </c>
    </row>
    <row r="1751" spans="1:70" x14ac:dyDescent="0.25">
      <c r="A1751" s="200">
        <f>Prog_23[[#This Row],[CONTEINER]]</f>
        <v>0</v>
      </c>
      <c r="B1751" s="86"/>
      <c r="C17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51" s="44"/>
      <c r="E1751" s="66"/>
      <c r="F1751" s="66"/>
      <c r="G1751" s="66"/>
      <c r="H1751" s="44"/>
      <c r="I1751" s="44"/>
      <c r="J1751" s="66"/>
      <c r="K1751" s="66"/>
      <c r="L1751" s="66"/>
      <c r="M1751" s="66"/>
      <c r="N1751" s="66">
        <f>SUM(Prog_23[[#This Row],[TARA]]+Prog_23[[#This Row],[PESO]])</f>
        <v>0</v>
      </c>
      <c r="O1751" s="44"/>
      <c r="P1751" s="66"/>
      <c r="Q1751" s="66"/>
      <c r="R1751" s="66"/>
      <c r="S1751" s="66"/>
      <c r="T1751" s="138" t="str">
        <f>IFERROR(LOOKUP($S1751,MOTORISTAS!$D$3:$D$916,MOTORISTAS!E$3:$E$916),"")</f>
        <v/>
      </c>
      <c r="U1751" s="138" t="str">
        <f>IFERROR(LOOKUP($S1751,MOTORISTAS!$D$3:$D$916,MOTORISTAS!F$3:$F$916),"")</f>
        <v/>
      </c>
      <c r="V1751" s="66"/>
      <c r="W1751" s="66"/>
      <c r="X1751" s="66"/>
      <c r="Y1751" s="66"/>
      <c r="Z1751" s="66"/>
      <c r="AA1751" s="66"/>
      <c r="AB1751" s="66"/>
      <c r="AC1751" s="66"/>
      <c r="AD1751" s="66"/>
      <c r="AE1751" s="66"/>
      <c r="AF1751" s="44"/>
      <c r="AG1751" s="254">
        <f>Prog_23[[#This Row],[SAÍDA DO CLIENTE]]-Prog_23[[#This Row],[PROGRAMAÇÃO CLIENTE]]</f>
        <v>0</v>
      </c>
      <c r="AH1751" s="44"/>
      <c r="AI1751" s="66"/>
      <c r="AJ1751" s="66"/>
      <c r="AK1751" s="66"/>
      <c r="AL1751" s="66"/>
      <c r="AM1751" s="66"/>
      <c r="AN1751" s="83"/>
      <c r="AO1751" s="83"/>
      <c r="AP1751" s="83"/>
      <c r="AQ1751" s="66"/>
      <c r="AR1751" s="66"/>
      <c r="AS1751" s="66"/>
      <c r="AT1751" s="81"/>
      <c r="AU1751" s="81"/>
      <c r="AV1751" s="81"/>
      <c r="AW1751" s="81"/>
      <c r="AX1751" s="83">
        <f>SUM(Prog_23[[#This Row],[ADIANTAMENTO]]+Prog_23[[#This Row],[SALDO]]+Prog_23[[#This Row],[MARGEM]]+Prog_23[[#This Row],[ESTADIA 1]])</f>
        <v>0</v>
      </c>
      <c r="AY17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51" s="81"/>
      <c r="BA1751" s="81"/>
      <c r="BB1751" s="81">
        <f>Prog_23[[#This Row],[VLR NF]]*0.1%</f>
        <v>0</v>
      </c>
      <c r="BC1751" s="81">
        <f>Prog_23[[#This Row],[VLR NF]]*0.05%</f>
        <v>0</v>
      </c>
      <c r="BD1751" s="81"/>
      <c r="BE1751" s="81"/>
      <c r="BF1751" s="81"/>
      <c r="BG1751" s="81"/>
      <c r="BH1751" s="81"/>
      <c r="BI1751" s="81"/>
      <c r="BJ1751" s="81"/>
      <c r="BK1751" s="81"/>
      <c r="BL1751" s="81"/>
      <c r="BM1751" s="81"/>
      <c r="BN1751" s="66"/>
      <c r="BO1751" s="66"/>
      <c r="BP1751" s="66"/>
      <c r="BQ1751" s="66" t="str">
        <f>PROPER(TEXT(Prog_23[[#This Row],[PROGRAMAÇÃO CLIENTE]],"mmm"))</f>
        <v>Jan</v>
      </c>
      <c r="BR1751" s="66">
        <f>YEAR(Prog_23[[#This Row],[PROGRAMAÇÃO CLIENTE]])</f>
        <v>1900</v>
      </c>
    </row>
    <row r="1752" spans="1:70" x14ac:dyDescent="0.25">
      <c r="A1752" s="201">
        <f>Prog_23[[#This Row],[CONTEINER]]</f>
        <v>0</v>
      </c>
      <c r="B1752" s="86"/>
      <c r="C17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52" s="44"/>
      <c r="E1752" s="66"/>
      <c r="F1752" s="66"/>
      <c r="G1752" s="66"/>
      <c r="H1752" s="44"/>
      <c r="I1752" s="44"/>
      <c r="J1752" s="66"/>
      <c r="K1752" s="66"/>
      <c r="L1752" s="66"/>
      <c r="M1752" s="66"/>
      <c r="N1752" s="66">
        <f>SUM(Prog_23[[#This Row],[TARA]]+Prog_23[[#This Row],[PESO]])</f>
        <v>0</v>
      </c>
      <c r="O1752" s="44"/>
      <c r="P1752" s="66"/>
      <c r="Q1752" s="66"/>
      <c r="R1752" s="66"/>
      <c r="S1752" s="66"/>
      <c r="T1752" s="138" t="str">
        <f>IFERROR(LOOKUP($S1752,MOTORISTAS!$D$3:$D$916,MOTORISTAS!E$3:$E$916),"")</f>
        <v/>
      </c>
      <c r="U1752" s="138" t="str">
        <f>IFERROR(LOOKUP($S1752,MOTORISTAS!$D$3:$D$916,MOTORISTAS!F$3:$F$916),"")</f>
        <v/>
      </c>
      <c r="V1752" s="66"/>
      <c r="W1752" s="66"/>
      <c r="X1752" s="66"/>
      <c r="Y1752" s="66"/>
      <c r="Z1752" s="66"/>
      <c r="AA1752" s="66"/>
      <c r="AB1752" s="66"/>
      <c r="AC1752" s="66"/>
      <c r="AD1752" s="66"/>
      <c r="AE1752" s="66"/>
      <c r="AF1752" s="44"/>
      <c r="AG1752" s="254">
        <f>Prog_23[[#This Row],[SAÍDA DO CLIENTE]]-Prog_23[[#This Row],[PROGRAMAÇÃO CLIENTE]]</f>
        <v>0</v>
      </c>
      <c r="AH1752" s="44"/>
      <c r="AI1752" s="66"/>
      <c r="AJ1752" s="66"/>
      <c r="AK1752" s="66"/>
      <c r="AL1752" s="66"/>
      <c r="AM1752" s="66"/>
      <c r="AN1752" s="83"/>
      <c r="AO1752" s="83"/>
      <c r="AP1752" s="83"/>
      <c r="AQ1752" s="66"/>
      <c r="AR1752" s="66"/>
      <c r="AS1752" s="66"/>
      <c r="AT1752" s="81"/>
      <c r="AU1752" s="81"/>
      <c r="AV1752" s="81"/>
      <c r="AW1752" s="81"/>
      <c r="AX1752" s="83">
        <f>SUM(Prog_23[[#This Row],[ADIANTAMENTO]]+Prog_23[[#This Row],[SALDO]]+Prog_23[[#This Row],[MARGEM]]+Prog_23[[#This Row],[ESTADIA 1]])</f>
        <v>0</v>
      </c>
      <c r="AY17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52" s="81"/>
      <c r="BA1752" s="81"/>
      <c r="BB1752" s="81">
        <f>Prog_23[[#This Row],[VLR NF]]*0.1%</f>
        <v>0</v>
      </c>
      <c r="BC1752" s="81">
        <f>Prog_23[[#This Row],[VLR NF]]*0.05%</f>
        <v>0</v>
      </c>
      <c r="BD1752" s="81"/>
      <c r="BE1752" s="81"/>
      <c r="BF1752" s="81"/>
      <c r="BG1752" s="81"/>
      <c r="BH1752" s="81"/>
      <c r="BI1752" s="81"/>
      <c r="BJ1752" s="81"/>
      <c r="BK1752" s="81"/>
      <c r="BL1752" s="81"/>
      <c r="BM1752" s="81"/>
      <c r="BN1752" s="66"/>
      <c r="BO1752" s="66"/>
      <c r="BP1752" s="66"/>
      <c r="BQ1752" s="66" t="str">
        <f>PROPER(TEXT(Prog_23[[#This Row],[PROGRAMAÇÃO CLIENTE]],"mmm"))</f>
        <v>Jan</v>
      </c>
      <c r="BR1752" s="66">
        <f>YEAR(Prog_23[[#This Row],[PROGRAMAÇÃO CLIENTE]])</f>
        <v>1900</v>
      </c>
    </row>
    <row r="1753" spans="1:70" x14ac:dyDescent="0.25">
      <c r="A1753" s="200">
        <f>Prog_23[[#This Row],[CONTEINER]]</f>
        <v>0</v>
      </c>
      <c r="B1753" s="86"/>
      <c r="C17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53" s="44"/>
      <c r="E1753" s="66"/>
      <c r="F1753" s="66"/>
      <c r="G1753" s="66"/>
      <c r="H1753" s="44"/>
      <c r="I1753" s="44"/>
      <c r="J1753" s="66"/>
      <c r="K1753" s="66"/>
      <c r="L1753" s="66"/>
      <c r="M1753" s="66"/>
      <c r="N1753" s="66">
        <f>SUM(Prog_23[[#This Row],[TARA]]+Prog_23[[#This Row],[PESO]])</f>
        <v>0</v>
      </c>
      <c r="O1753" s="44"/>
      <c r="P1753" s="66"/>
      <c r="Q1753" s="66"/>
      <c r="R1753" s="66"/>
      <c r="S1753" s="66"/>
      <c r="T1753" s="138" t="str">
        <f>IFERROR(LOOKUP($S1753,MOTORISTAS!$D$3:$D$916,MOTORISTAS!E$3:$E$916),"")</f>
        <v/>
      </c>
      <c r="U1753" s="138" t="str">
        <f>IFERROR(LOOKUP($S1753,MOTORISTAS!$D$3:$D$916,MOTORISTAS!F$3:$F$916),"")</f>
        <v/>
      </c>
      <c r="V1753" s="66"/>
      <c r="W1753" s="66"/>
      <c r="X1753" s="66"/>
      <c r="Y1753" s="66"/>
      <c r="Z1753" s="66"/>
      <c r="AA1753" s="66"/>
      <c r="AB1753" s="66"/>
      <c r="AC1753" s="66"/>
      <c r="AD1753" s="66"/>
      <c r="AE1753" s="66"/>
      <c r="AF1753" s="44"/>
      <c r="AG1753" s="254">
        <f>Prog_23[[#This Row],[SAÍDA DO CLIENTE]]-Prog_23[[#This Row],[PROGRAMAÇÃO CLIENTE]]</f>
        <v>0</v>
      </c>
      <c r="AH1753" s="44"/>
      <c r="AI1753" s="66"/>
      <c r="AJ1753" s="66"/>
      <c r="AK1753" s="66"/>
      <c r="AL1753" s="66"/>
      <c r="AM1753" s="66"/>
      <c r="AN1753" s="83"/>
      <c r="AO1753" s="83"/>
      <c r="AP1753" s="83"/>
      <c r="AQ1753" s="66"/>
      <c r="AR1753" s="66"/>
      <c r="AS1753" s="66"/>
      <c r="AT1753" s="81"/>
      <c r="AU1753" s="81"/>
      <c r="AV1753" s="81"/>
      <c r="AW1753" s="81"/>
      <c r="AX1753" s="83">
        <f>SUM(Prog_23[[#This Row],[ADIANTAMENTO]]+Prog_23[[#This Row],[SALDO]]+Prog_23[[#This Row],[MARGEM]]+Prog_23[[#This Row],[ESTADIA 1]])</f>
        <v>0</v>
      </c>
      <c r="AY17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53" s="81"/>
      <c r="BA1753" s="81"/>
      <c r="BB1753" s="81">
        <f>Prog_23[[#This Row],[VLR NF]]*0.1%</f>
        <v>0</v>
      </c>
      <c r="BC1753" s="81">
        <f>Prog_23[[#This Row],[VLR NF]]*0.05%</f>
        <v>0</v>
      </c>
      <c r="BD1753" s="81"/>
      <c r="BE1753" s="81"/>
      <c r="BF1753" s="81"/>
      <c r="BG1753" s="81"/>
      <c r="BH1753" s="81"/>
      <c r="BI1753" s="81"/>
      <c r="BJ1753" s="81"/>
      <c r="BK1753" s="81"/>
      <c r="BL1753" s="81"/>
      <c r="BM1753" s="81"/>
      <c r="BN1753" s="66"/>
      <c r="BO1753" s="66"/>
      <c r="BP1753" s="66"/>
      <c r="BQ1753" s="66" t="str">
        <f>PROPER(TEXT(Prog_23[[#This Row],[PROGRAMAÇÃO CLIENTE]],"mmm"))</f>
        <v>Jan</v>
      </c>
      <c r="BR1753" s="66">
        <f>YEAR(Prog_23[[#This Row],[PROGRAMAÇÃO CLIENTE]])</f>
        <v>1900</v>
      </c>
    </row>
    <row r="1754" spans="1:70" x14ac:dyDescent="0.25">
      <c r="A1754" s="201">
        <f>Prog_23[[#This Row],[CONTEINER]]</f>
        <v>0</v>
      </c>
      <c r="B1754" s="86"/>
      <c r="C17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54" s="44"/>
      <c r="E1754" s="66"/>
      <c r="F1754" s="66"/>
      <c r="G1754" s="66"/>
      <c r="H1754" s="44"/>
      <c r="I1754" s="44"/>
      <c r="J1754" s="66"/>
      <c r="K1754" s="66"/>
      <c r="L1754" s="66"/>
      <c r="M1754" s="66"/>
      <c r="N1754" s="66">
        <f>SUM(Prog_23[[#This Row],[TARA]]+Prog_23[[#This Row],[PESO]])</f>
        <v>0</v>
      </c>
      <c r="O1754" s="44"/>
      <c r="P1754" s="66"/>
      <c r="Q1754" s="66"/>
      <c r="R1754" s="66"/>
      <c r="S1754" s="66"/>
      <c r="T1754" s="138" t="str">
        <f>IFERROR(LOOKUP($S1754,MOTORISTAS!$D$3:$D$916,MOTORISTAS!E$3:$E$916),"")</f>
        <v/>
      </c>
      <c r="U1754" s="138" t="str">
        <f>IFERROR(LOOKUP($S1754,MOTORISTAS!$D$3:$D$916,MOTORISTAS!F$3:$F$916),"")</f>
        <v/>
      </c>
      <c r="V1754" s="66"/>
      <c r="W1754" s="66"/>
      <c r="X1754" s="66"/>
      <c r="Y1754" s="66"/>
      <c r="Z1754" s="66"/>
      <c r="AA1754" s="66"/>
      <c r="AB1754" s="66"/>
      <c r="AC1754" s="66"/>
      <c r="AD1754" s="66"/>
      <c r="AE1754" s="66"/>
      <c r="AF1754" s="44"/>
      <c r="AG1754" s="254">
        <f>Prog_23[[#This Row],[SAÍDA DO CLIENTE]]-Prog_23[[#This Row],[PROGRAMAÇÃO CLIENTE]]</f>
        <v>0</v>
      </c>
      <c r="AH1754" s="44"/>
      <c r="AI1754" s="66"/>
      <c r="AJ1754" s="66"/>
      <c r="AK1754" s="66"/>
      <c r="AL1754" s="66"/>
      <c r="AM1754" s="66"/>
      <c r="AN1754" s="83"/>
      <c r="AO1754" s="83"/>
      <c r="AP1754" s="83"/>
      <c r="AQ1754" s="66"/>
      <c r="AR1754" s="66"/>
      <c r="AS1754" s="66"/>
      <c r="AT1754" s="81"/>
      <c r="AU1754" s="81"/>
      <c r="AV1754" s="81"/>
      <c r="AW1754" s="81"/>
      <c r="AX1754" s="83">
        <f>SUM(Prog_23[[#This Row],[ADIANTAMENTO]]+Prog_23[[#This Row],[SALDO]]+Prog_23[[#This Row],[MARGEM]]+Prog_23[[#This Row],[ESTADIA 1]])</f>
        <v>0</v>
      </c>
      <c r="AY17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54" s="81"/>
      <c r="BA1754" s="81"/>
      <c r="BB1754" s="81">
        <f>Prog_23[[#This Row],[VLR NF]]*0.1%</f>
        <v>0</v>
      </c>
      <c r="BC1754" s="81">
        <f>Prog_23[[#This Row],[VLR NF]]*0.05%</f>
        <v>0</v>
      </c>
      <c r="BD1754" s="81"/>
      <c r="BE1754" s="81"/>
      <c r="BF1754" s="81"/>
      <c r="BG1754" s="81"/>
      <c r="BH1754" s="81"/>
      <c r="BI1754" s="81"/>
      <c r="BJ1754" s="81"/>
      <c r="BK1754" s="81"/>
      <c r="BL1754" s="81"/>
      <c r="BM1754" s="81"/>
      <c r="BN1754" s="66"/>
      <c r="BO1754" s="66"/>
      <c r="BP1754" s="66"/>
      <c r="BQ1754" s="66" t="str">
        <f>PROPER(TEXT(Prog_23[[#This Row],[PROGRAMAÇÃO CLIENTE]],"mmm"))</f>
        <v>Jan</v>
      </c>
      <c r="BR1754" s="66">
        <f>YEAR(Prog_23[[#This Row],[PROGRAMAÇÃO CLIENTE]])</f>
        <v>1900</v>
      </c>
    </row>
    <row r="1755" spans="1:70" x14ac:dyDescent="0.25">
      <c r="A1755" s="200">
        <f>Prog_23[[#This Row],[CONTEINER]]</f>
        <v>0</v>
      </c>
      <c r="B1755" s="86"/>
      <c r="C17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55" s="44"/>
      <c r="E1755" s="66"/>
      <c r="F1755" s="66"/>
      <c r="G1755" s="66"/>
      <c r="H1755" s="44"/>
      <c r="I1755" s="44"/>
      <c r="J1755" s="66"/>
      <c r="K1755" s="66"/>
      <c r="L1755" s="66"/>
      <c r="M1755" s="66"/>
      <c r="N1755" s="66">
        <f>SUM(Prog_23[[#This Row],[TARA]]+Prog_23[[#This Row],[PESO]])</f>
        <v>0</v>
      </c>
      <c r="O1755" s="44"/>
      <c r="P1755" s="66"/>
      <c r="Q1755" s="66"/>
      <c r="R1755" s="66"/>
      <c r="S1755" s="66"/>
      <c r="T1755" s="138" t="str">
        <f>IFERROR(LOOKUP($S1755,MOTORISTAS!$D$3:$D$916,MOTORISTAS!E$3:$E$916),"")</f>
        <v/>
      </c>
      <c r="U1755" s="138" t="str">
        <f>IFERROR(LOOKUP($S1755,MOTORISTAS!$D$3:$D$916,MOTORISTAS!F$3:$F$916),"")</f>
        <v/>
      </c>
      <c r="V1755" s="66"/>
      <c r="W1755" s="66"/>
      <c r="X1755" s="66"/>
      <c r="Y1755" s="66"/>
      <c r="Z1755" s="66"/>
      <c r="AA1755" s="66"/>
      <c r="AB1755" s="66"/>
      <c r="AC1755" s="66"/>
      <c r="AD1755" s="66"/>
      <c r="AE1755" s="66"/>
      <c r="AF1755" s="44"/>
      <c r="AG1755" s="254">
        <f>Prog_23[[#This Row],[SAÍDA DO CLIENTE]]-Prog_23[[#This Row],[PROGRAMAÇÃO CLIENTE]]</f>
        <v>0</v>
      </c>
      <c r="AH1755" s="44"/>
      <c r="AI1755" s="66"/>
      <c r="AJ1755" s="66"/>
      <c r="AK1755" s="66"/>
      <c r="AL1755" s="66"/>
      <c r="AM1755" s="66"/>
      <c r="AN1755" s="83"/>
      <c r="AO1755" s="83"/>
      <c r="AP1755" s="83"/>
      <c r="AQ1755" s="66"/>
      <c r="AR1755" s="66"/>
      <c r="AS1755" s="66"/>
      <c r="AT1755" s="81"/>
      <c r="AU1755" s="81"/>
      <c r="AV1755" s="81"/>
      <c r="AW1755" s="81"/>
      <c r="AX1755" s="83">
        <f>SUM(Prog_23[[#This Row],[ADIANTAMENTO]]+Prog_23[[#This Row],[SALDO]]+Prog_23[[#This Row],[MARGEM]]+Prog_23[[#This Row],[ESTADIA 1]])</f>
        <v>0</v>
      </c>
      <c r="AY17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55" s="81"/>
      <c r="BA1755" s="81"/>
      <c r="BB1755" s="81">
        <f>Prog_23[[#This Row],[VLR NF]]*0.1%</f>
        <v>0</v>
      </c>
      <c r="BC1755" s="81">
        <f>Prog_23[[#This Row],[VLR NF]]*0.05%</f>
        <v>0</v>
      </c>
      <c r="BD1755" s="81"/>
      <c r="BE1755" s="81"/>
      <c r="BF1755" s="81"/>
      <c r="BG1755" s="81"/>
      <c r="BH1755" s="81"/>
      <c r="BI1755" s="81"/>
      <c r="BJ1755" s="81"/>
      <c r="BK1755" s="81"/>
      <c r="BL1755" s="81"/>
      <c r="BM1755" s="81"/>
      <c r="BN1755" s="66"/>
      <c r="BO1755" s="66"/>
      <c r="BP1755" s="66"/>
      <c r="BQ1755" s="66" t="str">
        <f>PROPER(TEXT(Prog_23[[#This Row],[PROGRAMAÇÃO CLIENTE]],"mmm"))</f>
        <v>Jan</v>
      </c>
      <c r="BR1755" s="66">
        <f>YEAR(Prog_23[[#This Row],[PROGRAMAÇÃO CLIENTE]])</f>
        <v>1900</v>
      </c>
    </row>
    <row r="1756" spans="1:70" x14ac:dyDescent="0.25">
      <c r="A1756" s="201">
        <f>Prog_23[[#This Row],[CONTEINER]]</f>
        <v>0</v>
      </c>
      <c r="B1756" s="86"/>
      <c r="C17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56" s="44"/>
      <c r="E1756" s="66"/>
      <c r="F1756" s="66"/>
      <c r="G1756" s="66"/>
      <c r="H1756" s="44"/>
      <c r="I1756" s="44"/>
      <c r="J1756" s="66"/>
      <c r="K1756" s="66"/>
      <c r="L1756" s="66"/>
      <c r="M1756" s="66"/>
      <c r="N1756" s="66">
        <f>SUM(Prog_23[[#This Row],[TARA]]+Prog_23[[#This Row],[PESO]])</f>
        <v>0</v>
      </c>
      <c r="O1756" s="44"/>
      <c r="P1756" s="66"/>
      <c r="Q1756" s="66"/>
      <c r="R1756" s="66"/>
      <c r="S1756" s="66"/>
      <c r="T1756" s="138" t="str">
        <f>IFERROR(LOOKUP($S1756,MOTORISTAS!$D$3:$D$916,MOTORISTAS!E$3:$E$916),"")</f>
        <v/>
      </c>
      <c r="U1756" s="138" t="str">
        <f>IFERROR(LOOKUP($S1756,MOTORISTAS!$D$3:$D$916,MOTORISTAS!F$3:$F$916),"")</f>
        <v/>
      </c>
      <c r="V1756" s="66"/>
      <c r="W1756" s="66"/>
      <c r="X1756" s="66"/>
      <c r="Y1756" s="66"/>
      <c r="Z1756" s="66"/>
      <c r="AA1756" s="66"/>
      <c r="AB1756" s="66"/>
      <c r="AC1756" s="66"/>
      <c r="AD1756" s="66"/>
      <c r="AE1756" s="66"/>
      <c r="AF1756" s="44"/>
      <c r="AG1756" s="254">
        <f>Prog_23[[#This Row],[SAÍDA DO CLIENTE]]-Prog_23[[#This Row],[PROGRAMAÇÃO CLIENTE]]</f>
        <v>0</v>
      </c>
      <c r="AH1756" s="44"/>
      <c r="AI1756" s="66"/>
      <c r="AJ1756" s="66"/>
      <c r="AK1756" s="66"/>
      <c r="AL1756" s="66"/>
      <c r="AM1756" s="66"/>
      <c r="AN1756" s="83"/>
      <c r="AO1756" s="83"/>
      <c r="AP1756" s="83"/>
      <c r="AQ1756" s="66"/>
      <c r="AR1756" s="66"/>
      <c r="AS1756" s="66"/>
      <c r="AT1756" s="81"/>
      <c r="AU1756" s="81"/>
      <c r="AV1756" s="81"/>
      <c r="AW1756" s="81"/>
      <c r="AX1756" s="83">
        <f>SUM(Prog_23[[#This Row],[ADIANTAMENTO]]+Prog_23[[#This Row],[SALDO]]+Prog_23[[#This Row],[MARGEM]]+Prog_23[[#This Row],[ESTADIA 1]])</f>
        <v>0</v>
      </c>
      <c r="AY17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56" s="81"/>
      <c r="BA1756" s="81"/>
      <c r="BB1756" s="81">
        <f>Prog_23[[#This Row],[VLR NF]]*0.1%</f>
        <v>0</v>
      </c>
      <c r="BC1756" s="81">
        <f>Prog_23[[#This Row],[VLR NF]]*0.05%</f>
        <v>0</v>
      </c>
      <c r="BD1756" s="81"/>
      <c r="BE1756" s="81"/>
      <c r="BF1756" s="81"/>
      <c r="BG1756" s="81"/>
      <c r="BH1756" s="81"/>
      <c r="BI1756" s="81"/>
      <c r="BJ1756" s="81"/>
      <c r="BK1756" s="81"/>
      <c r="BL1756" s="81"/>
      <c r="BM1756" s="81"/>
      <c r="BN1756" s="66"/>
      <c r="BO1756" s="66"/>
      <c r="BP1756" s="66"/>
      <c r="BQ1756" s="66" t="str">
        <f>PROPER(TEXT(Prog_23[[#This Row],[PROGRAMAÇÃO CLIENTE]],"mmm"))</f>
        <v>Jan</v>
      </c>
      <c r="BR1756" s="66">
        <f>YEAR(Prog_23[[#This Row],[PROGRAMAÇÃO CLIENTE]])</f>
        <v>1900</v>
      </c>
    </row>
    <row r="1757" spans="1:70" x14ac:dyDescent="0.25">
      <c r="A1757" s="200">
        <f>Prog_23[[#This Row],[CONTEINER]]</f>
        <v>0</v>
      </c>
      <c r="B1757" s="86"/>
      <c r="C17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57" s="44"/>
      <c r="E1757" s="66"/>
      <c r="F1757" s="66"/>
      <c r="G1757" s="66"/>
      <c r="H1757" s="44"/>
      <c r="I1757" s="44"/>
      <c r="J1757" s="66"/>
      <c r="K1757" s="66"/>
      <c r="L1757" s="66"/>
      <c r="M1757" s="66"/>
      <c r="N1757" s="66">
        <f>SUM(Prog_23[[#This Row],[TARA]]+Prog_23[[#This Row],[PESO]])</f>
        <v>0</v>
      </c>
      <c r="O1757" s="44"/>
      <c r="P1757" s="66"/>
      <c r="Q1757" s="66"/>
      <c r="R1757" s="66"/>
      <c r="S1757" s="66"/>
      <c r="T1757" s="138" t="str">
        <f>IFERROR(LOOKUP($S1757,MOTORISTAS!$D$3:$D$916,MOTORISTAS!E$3:$E$916),"")</f>
        <v/>
      </c>
      <c r="U1757" s="138" t="str">
        <f>IFERROR(LOOKUP($S1757,MOTORISTAS!$D$3:$D$916,MOTORISTAS!F$3:$F$916),"")</f>
        <v/>
      </c>
      <c r="V1757" s="66"/>
      <c r="W1757" s="66"/>
      <c r="X1757" s="66"/>
      <c r="Y1757" s="66"/>
      <c r="Z1757" s="66"/>
      <c r="AA1757" s="66"/>
      <c r="AB1757" s="66"/>
      <c r="AC1757" s="66"/>
      <c r="AD1757" s="66"/>
      <c r="AE1757" s="66"/>
      <c r="AF1757" s="44"/>
      <c r="AG1757" s="254">
        <f>Prog_23[[#This Row],[SAÍDA DO CLIENTE]]-Prog_23[[#This Row],[PROGRAMAÇÃO CLIENTE]]</f>
        <v>0</v>
      </c>
      <c r="AH1757" s="44"/>
      <c r="AI1757" s="66"/>
      <c r="AJ1757" s="66"/>
      <c r="AK1757" s="66"/>
      <c r="AL1757" s="66"/>
      <c r="AM1757" s="66"/>
      <c r="AN1757" s="83"/>
      <c r="AO1757" s="83"/>
      <c r="AP1757" s="83"/>
      <c r="AQ1757" s="66"/>
      <c r="AR1757" s="66"/>
      <c r="AS1757" s="66"/>
      <c r="AT1757" s="81"/>
      <c r="AU1757" s="81"/>
      <c r="AV1757" s="81"/>
      <c r="AW1757" s="81"/>
      <c r="AX1757" s="83">
        <f>SUM(Prog_23[[#This Row],[ADIANTAMENTO]]+Prog_23[[#This Row],[SALDO]]+Prog_23[[#This Row],[MARGEM]]+Prog_23[[#This Row],[ESTADIA 1]])</f>
        <v>0</v>
      </c>
      <c r="AY17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57" s="81"/>
      <c r="BA1757" s="81"/>
      <c r="BB1757" s="81">
        <f>Prog_23[[#This Row],[VLR NF]]*0.1%</f>
        <v>0</v>
      </c>
      <c r="BC1757" s="81">
        <f>Prog_23[[#This Row],[VLR NF]]*0.05%</f>
        <v>0</v>
      </c>
      <c r="BD1757" s="81"/>
      <c r="BE1757" s="81"/>
      <c r="BF1757" s="81"/>
      <c r="BG1757" s="81"/>
      <c r="BH1757" s="81"/>
      <c r="BI1757" s="81"/>
      <c r="BJ1757" s="81"/>
      <c r="BK1757" s="81"/>
      <c r="BL1757" s="81"/>
      <c r="BM1757" s="81"/>
      <c r="BN1757" s="66"/>
      <c r="BO1757" s="66"/>
      <c r="BP1757" s="66"/>
      <c r="BQ1757" s="66" t="str">
        <f>PROPER(TEXT(Prog_23[[#This Row],[PROGRAMAÇÃO CLIENTE]],"mmm"))</f>
        <v>Jan</v>
      </c>
      <c r="BR1757" s="66">
        <f>YEAR(Prog_23[[#This Row],[PROGRAMAÇÃO CLIENTE]])</f>
        <v>1900</v>
      </c>
    </row>
    <row r="1758" spans="1:70" x14ac:dyDescent="0.25">
      <c r="A1758" s="201">
        <f>Prog_23[[#This Row],[CONTEINER]]</f>
        <v>0</v>
      </c>
      <c r="B1758" s="86"/>
      <c r="C17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58" s="44"/>
      <c r="E1758" s="66"/>
      <c r="F1758" s="66"/>
      <c r="G1758" s="66"/>
      <c r="H1758" s="44"/>
      <c r="I1758" s="44"/>
      <c r="J1758" s="66"/>
      <c r="K1758" s="66"/>
      <c r="L1758" s="66"/>
      <c r="M1758" s="66"/>
      <c r="N1758" s="66">
        <f>SUM(Prog_23[[#This Row],[TARA]]+Prog_23[[#This Row],[PESO]])</f>
        <v>0</v>
      </c>
      <c r="O1758" s="44"/>
      <c r="P1758" s="66"/>
      <c r="Q1758" s="66"/>
      <c r="R1758" s="66"/>
      <c r="S1758" s="66"/>
      <c r="T1758" s="138" t="str">
        <f>IFERROR(LOOKUP($S1758,MOTORISTAS!$D$3:$D$916,MOTORISTAS!E$3:$E$916),"")</f>
        <v/>
      </c>
      <c r="U1758" s="138" t="str">
        <f>IFERROR(LOOKUP($S1758,MOTORISTAS!$D$3:$D$916,MOTORISTAS!F$3:$F$916),"")</f>
        <v/>
      </c>
      <c r="V1758" s="66"/>
      <c r="W1758" s="66"/>
      <c r="X1758" s="66"/>
      <c r="Y1758" s="66"/>
      <c r="Z1758" s="66"/>
      <c r="AA1758" s="66"/>
      <c r="AB1758" s="66"/>
      <c r="AC1758" s="66"/>
      <c r="AD1758" s="66"/>
      <c r="AE1758" s="66"/>
      <c r="AF1758" s="44"/>
      <c r="AG1758" s="254">
        <f>Prog_23[[#This Row],[SAÍDA DO CLIENTE]]-Prog_23[[#This Row],[PROGRAMAÇÃO CLIENTE]]</f>
        <v>0</v>
      </c>
      <c r="AH1758" s="44"/>
      <c r="AI1758" s="66"/>
      <c r="AJ1758" s="66"/>
      <c r="AK1758" s="66"/>
      <c r="AL1758" s="66"/>
      <c r="AM1758" s="66"/>
      <c r="AN1758" s="83"/>
      <c r="AO1758" s="83"/>
      <c r="AP1758" s="83"/>
      <c r="AQ1758" s="66"/>
      <c r="AR1758" s="66"/>
      <c r="AS1758" s="66"/>
      <c r="AT1758" s="81"/>
      <c r="AU1758" s="81"/>
      <c r="AV1758" s="81"/>
      <c r="AW1758" s="81"/>
      <c r="AX1758" s="83">
        <f>SUM(Prog_23[[#This Row],[ADIANTAMENTO]]+Prog_23[[#This Row],[SALDO]]+Prog_23[[#This Row],[MARGEM]]+Prog_23[[#This Row],[ESTADIA 1]])</f>
        <v>0</v>
      </c>
      <c r="AY17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58" s="81"/>
      <c r="BA1758" s="81"/>
      <c r="BB1758" s="81">
        <f>Prog_23[[#This Row],[VLR NF]]*0.1%</f>
        <v>0</v>
      </c>
      <c r="BC1758" s="81">
        <f>Prog_23[[#This Row],[VLR NF]]*0.05%</f>
        <v>0</v>
      </c>
      <c r="BD1758" s="81"/>
      <c r="BE1758" s="81"/>
      <c r="BF1758" s="81"/>
      <c r="BG1758" s="81"/>
      <c r="BH1758" s="81"/>
      <c r="BI1758" s="81"/>
      <c r="BJ1758" s="81"/>
      <c r="BK1758" s="81"/>
      <c r="BL1758" s="81"/>
      <c r="BM1758" s="81"/>
      <c r="BN1758" s="66"/>
      <c r="BO1758" s="66"/>
      <c r="BP1758" s="66"/>
      <c r="BQ1758" s="66" t="str">
        <f>PROPER(TEXT(Prog_23[[#This Row],[PROGRAMAÇÃO CLIENTE]],"mmm"))</f>
        <v>Jan</v>
      </c>
      <c r="BR1758" s="66">
        <f>YEAR(Prog_23[[#This Row],[PROGRAMAÇÃO CLIENTE]])</f>
        <v>1900</v>
      </c>
    </row>
    <row r="1759" spans="1:70" x14ac:dyDescent="0.25">
      <c r="A1759" s="200">
        <f>Prog_23[[#This Row],[CONTEINER]]</f>
        <v>0</v>
      </c>
      <c r="B1759" s="86"/>
      <c r="C17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59" s="44"/>
      <c r="E1759" s="66"/>
      <c r="F1759" s="66"/>
      <c r="G1759" s="66"/>
      <c r="H1759" s="44"/>
      <c r="I1759" s="44"/>
      <c r="J1759" s="66"/>
      <c r="K1759" s="66"/>
      <c r="L1759" s="66"/>
      <c r="M1759" s="66"/>
      <c r="N1759" s="66">
        <f>SUM(Prog_23[[#This Row],[TARA]]+Prog_23[[#This Row],[PESO]])</f>
        <v>0</v>
      </c>
      <c r="O1759" s="44"/>
      <c r="P1759" s="66"/>
      <c r="Q1759" s="66"/>
      <c r="R1759" s="66"/>
      <c r="S1759" s="66"/>
      <c r="T1759" s="138" t="str">
        <f>IFERROR(LOOKUP($S1759,MOTORISTAS!$D$3:$D$916,MOTORISTAS!E$3:$E$916),"")</f>
        <v/>
      </c>
      <c r="U1759" s="138" t="str">
        <f>IFERROR(LOOKUP($S1759,MOTORISTAS!$D$3:$D$916,MOTORISTAS!F$3:$F$916),"")</f>
        <v/>
      </c>
      <c r="V1759" s="66"/>
      <c r="W1759" s="66"/>
      <c r="X1759" s="66"/>
      <c r="Y1759" s="66"/>
      <c r="Z1759" s="66"/>
      <c r="AA1759" s="66"/>
      <c r="AB1759" s="66"/>
      <c r="AC1759" s="66"/>
      <c r="AD1759" s="66"/>
      <c r="AE1759" s="66"/>
      <c r="AF1759" s="44"/>
      <c r="AG1759" s="254">
        <f>Prog_23[[#This Row],[SAÍDA DO CLIENTE]]-Prog_23[[#This Row],[PROGRAMAÇÃO CLIENTE]]</f>
        <v>0</v>
      </c>
      <c r="AH1759" s="44"/>
      <c r="AI1759" s="66"/>
      <c r="AJ1759" s="66"/>
      <c r="AK1759" s="66"/>
      <c r="AL1759" s="66"/>
      <c r="AM1759" s="66"/>
      <c r="AN1759" s="83"/>
      <c r="AO1759" s="83"/>
      <c r="AP1759" s="83"/>
      <c r="AQ1759" s="66"/>
      <c r="AR1759" s="66"/>
      <c r="AS1759" s="66"/>
      <c r="AT1759" s="81"/>
      <c r="AU1759" s="81"/>
      <c r="AV1759" s="81"/>
      <c r="AW1759" s="81"/>
      <c r="AX1759" s="83">
        <f>SUM(Prog_23[[#This Row],[ADIANTAMENTO]]+Prog_23[[#This Row],[SALDO]]+Prog_23[[#This Row],[MARGEM]]+Prog_23[[#This Row],[ESTADIA 1]])</f>
        <v>0</v>
      </c>
      <c r="AY17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59" s="81"/>
      <c r="BA1759" s="81"/>
      <c r="BB1759" s="81">
        <f>Prog_23[[#This Row],[VLR NF]]*0.1%</f>
        <v>0</v>
      </c>
      <c r="BC1759" s="81">
        <f>Prog_23[[#This Row],[VLR NF]]*0.05%</f>
        <v>0</v>
      </c>
      <c r="BD1759" s="81"/>
      <c r="BE1759" s="81"/>
      <c r="BF1759" s="81"/>
      <c r="BG1759" s="81"/>
      <c r="BH1759" s="81"/>
      <c r="BI1759" s="81"/>
      <c r="BJ1759" s="81"/>
      <c r="BK1759" s="81"/>
      <c r="BL1759" s="81"/>
      <c r="BM1759" s="81"/>
      <c r="BN1759" s="66"/>
      <c r="BO1759" s="66"/>
      <c r="BP1759" s="66"/>
      <c r="BQ1759" s="66" t="str">
        <f>PROPER(TEXT(Prog_23[[#This Row],[PROGRAMAÇÃO CLIENTE]],"mmm"))</f>
        <v>Jan</v>
      </c>
      <c r="BR1759" s="66">
        <f>YEAR(Prog_23[[#This Row],[PROGRAMAÇÃO CLIENTE]])</f>
        <v>1900</v>
      </c>
    </row>
    <row r="1760" spans="1:70" x14ac:dyDescent="0.25">
      <c r="A1760" s="201">
        <f>Prog_23[[#This Row],[CONTEINER]]</f>
        <v>0</v>
      </c>
      <c r="B1760" s="86"/>
      <c r="C17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60" s="44"/>
      <c r="E1760" s="66"/>
      <c r="F1760" s="66"/>
      <c r="G1760" s="66"/>
      <c r="H1760" s="44"/>
      <c r="I1760" s="44"/>
      <c r="J1760" s="66"/>
      <c r="K1760" s="66"/>
      <c r="L1760" s="66"/>
      <c r="M1760" s="66"/>
      <c r="N1760" s="66">
        <f>SUM(Prog_23[[#This Row],[TARA]]+Prog_23[[#This Row],[PESO]])</f>
        <v>0</v>
      </c>
      <c r="O1760" s="44"/>
      <c r="P1760" s="66"/>
      <c r="Q1760" s="66"/>
      <c r="R1760" s="66"/>
      <c r="S1760" s="66"/>
      <c r="T1760" s="138" t="str">
        <f>IFERROR(LOOKUP($S1760,MOTORISTAS!$D$3:$D$916,MOTORISTAS!E$3:$E$916),"")</f>
        <v/>
      </c>
      <c r="U1760" s="138" t="str">
        <f>IFERROR(LOOKUP($S1760,MOTORISTAS!$D$3:$D$916,MOTORISTAS!F$3:$F$916),"")</f>
        <v/>
      </c>
      <c r="V1760" s="66"/>
      <c r="W1760" s="66"/>
      <c r="X1760" s="66"/>
      <c r="Y1760" s="66"/>
      <c r="Z1760" s="66"/>
      <c r="AA1760" s="66"/>
      <c r="AB1760" s="66"/>
      <c r="AC1760" s="66"/>
      <c r="AD1760" s="66"/>
      <c r="AE1760" s="66"/>
      <c r="AF1760" s="44"/>
      <c r="AG1760" s="254">
        <f>Prog_23[[#This Row],[SAÍDA DO CLIENTE]]-Prog_23[[#This Row],[PROGRAMAÇÃO CLIENTE]]</f>
        <v>0</v>
      </c>
      <c r="AH1760" s="44"/>
      <c r="AI1760" s="66"/>
      <c r="AJ1760" s="66"/>
      <c r="AK1760" s="66"/>
      <c r="AL1760" s="66"/>
      <c r="AM1760" s="66"/>
      <c r="AN1760" s="83"/>
      <c r="AO1760" s="83"/>
      <c r="AP1760" s="83"/>
      <c r="AQ1760" s="66"/>
      <c r="AR1760" s="66"/>
      <c r="AS1760" s="66"/>
      <c r="AT1760" s="81"/>
      <c r="AU1760" s="81"/>
      <c r="AV1760" s="81"/>
      <c r="AW1760" s="81"/>
      <c r="AX1760" s="83">
        <f>SUM(Prog_23[[#This Row],[ADIANTAMENTO]]+Prog_23[[#This Row],[SALDO]]+Prog_23[[#This Row],[MARGEM]]+Prog_23[[#This Row],[ESTADIA 1]])</f>
        <v>0</v>
      </c>
      <c r="AY17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60" s="81"/>
      <c r="BA1760" s="81"/>
      <c r="BB1760" s="81">
        <f>Prog_23[[#This Row],[VLR NF]]*0.1%</f>
        <v>0</v>
      </c>
      <c r="BC1760" s="81">
        <f>Prog_23[[#This Row],[VLR NF]]*0.05%</f>
        <v>0</v>
      </c>
      <c r="BD1760" s="81"/>
      <c r="BE1760" s="81"/>
      <c r="BF1760" s="81"/>
      <c r="BG1760" s="81"/>
      <c r="BH1760" s="81"/>
      <c r="BI1760" s="81"/>
      <c r="BJ1760" s="81"/>
      <c r="BK1760" s="81"/>
      <c r="BL1760" s="81"/>
      <c r="BM1760" s="81"/>
      <c r="BN1760" s="66"/>
      <c r="BO1760" s="66"/>
      <c r="BP1760" s="66"/>
      <c r="BQ1760" s="66" t="str">
        <f>PROPER(TEXT(Prog_23[[#This Row],[PROGRAMAÇÃO CLIENTE]],"mmm"))</f>
        <v>Jan</v>
      </c>
      <c r="BR1760" s="66">
        <f>YEAR(Prog_23[[#This Row],[PROGRAMAÇÃO CLIENTE]])</f>
        <v>1900</v>
      </c>
    </row>
    <row r="1761" spans="1:70" x14ac:dyDescent="0.25">
      <c r="A1761" s="200">
        <f>Prog_23[[#This Row],[CONTEINER]]</f>
        <v>0</v>
      </c>
      <c r="B1761" s="86"/>
      <c r="C17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61" s="44"/>
      <c r="E1761" s="66"/>
      <c r="F1761" s="66"/>
      <c r="G1761" s="66"/>
      <c r="H1761" s="44"/>
      <c r="I1761" s="44"/>
      <c r="J1761" s="66"/>
      <c r="K1761" s="66"/>
      <c r="L1761" s="66"/>
      <c r="M1761" s="66"/>
      <c r="N1761" s="66">
        <f>SUM(Prog_23[[#This Row],[TARA]]+Prog_23[[#This Row],[PESO]])</f>
        <v>0</v>
      </c>
      <c r="O1761" s="44"/>
      <c r="P1761" s="66"/>
      <c r="Q1761" s="66"/>
      <c r="R1761" s="66"/>
      <c r="S1761" s="66"/>
      <c r="T1761" s="138" t="str">
        <f>IFERROR(LOOKUP($S1761,MOTORISTAS!$D$3:$D$916,MOTORISTAS!E$3:$E$916),"")</f>
        <v/>
      </c>
      <c r="U1761" s="138" t="str">
        <f>IFERROR(LOOKUP($S1761,MOTORISTAS!$D$3:$D$916,MOTORISTAS!F$3:$F$916),"")</f>
        <v/>
      </c>
      <c r="V1761" s="66"/>
      <c r="W1761" s="66"/>
      <c r="X1761" s="66"/>
      <c r="Y1761" s="66"/>
      <c r="Z1761" s="66"/>
      <c r="AA1761" s="66"/>
      <c r="AB1761" s="66"/>
      <c r="AC1761" s="66"/>
      <c r="AD1761" s="66"/>
      <c r="AE1761" s="66"/>
      <c r="AF1761" s="44"/>
      <c r="AG1761" s="254">
        <f>Prog_23[[#This Row],[SAÍDA DO CLIENTE]]-Prog_23[[#This Row],[PROGRAMAÇÃO CLIENTE]]</f>
        <v>0</v>
      </c>
      <c r="AH1761" s="44"/>
      <c r="AI1761" s="66"/>
      <c r="AJ1761" s="66"/>
      <c r="AK1761" s="66"/>
      <c r="AL1761" s="66"/>
      <c r="AM1761" s="66"/>
      <c r="AN1761" s="83"/>
      <c r="AO1761" s="83"/>
      <c r="AP1761" s="83"/>
      <c r="AQ1761" s="66"/>
      <c r="AR1761" s="66"/>
      <c r="AS1761" s="66"/>
      <c r="AT1761" s="81"/>
      <c r="AU1761" s="81"/>
      <c r="AV1761" s="81"/>
      <c r="AW1761" s="81"/>
      <c r="AX1761" s="83">
        <f>SUM(Prog_23[[#This Row],[ADIANTAMENTO]]+Prog_23[[#This Row],[SALDO]]+Prog_23[[#This Row],[MARGEM]]+Prog_23[[#This Row],[ESTADIA 1]])</f>
        <v>0</v>
      </c>
      <c r="AY17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61" s="81"/>
      <c r="BA1761" s="81"/>
      <c r="BB1761" s="81">
        <f>Prog_23[[#This Row],[VLR NF]]*0.1%</f>
        <v>0</v>
      </c>
      <c r="BC1761" s="81">
        <f>Prog_23[[#This Row],[VLR NF]]*0.05%</f>
        <v>0</v>
      </c>
      <c r="BD1761" s="81"/>
      <c r="BE1761" s="81"/>
      <c r="BF1761" s="81"/>
      <c r="BG1761" s="81"/>
      <c r="BH1761" s="81"/>
      <c r="BI1761" s="81"/>
      <c r="BJ1761" s="81"/>
      <c r="BK1761" s="81"/>
      <c r="BL1761" s="81"/>
      <c r="BM1761" s="81"/>
      <c r="BN1761" s="66"/>
      <c r="BO1761" s="66"/>
      <c r="BP1761" s="66"/>
      <c r="BQ1761" s="66" t="str">
        <f>PROPER(TEXT(Prog_23[[#This Row],[PROGRAMAÇÃO CLIENTE]],"mmm"))</f>
        <v>Jan</v>
      </c>
      <c r="BR1761" s="66">
        <f>YEAR(Prog_23[[#This Row],[PROGRAMAÇÃO CLIENTE]])</f>
        <v>1900</v>
      </c>
    </row>
    <row r="1762" spans="1:70" x14ac:dyDescent="0.25">
      <c r="A1762" s="201">
        <f>Prog_23[[#This Row],[CONTEINER]]</f>
        <v>0</v>
      </c>
      <c r="B1762" s="86"/>
      <c r="C17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62" s="44"/>
      <c r="E1762" s="66"/>
      <c r="F1762" s="66"/>
      <c r="G1762" s="66"/>
      <c r="H1762" s="44"/>
      <c r="I1762" s="44"/>
      <c r="J1762" s="66"/>
      <c r="K1762" s="66"/>
      <c r="L1762" s="66"/>
      <c r="M1762" s="66"/>
      <c r="N1762" s="66">
        <f>SUM(Prog_23[[#This Row],[TARA]]+Prog_23[[#This Row],[PESO]])</f>
        <v>0</v>
      </c>
      <c r="O1762" s="44"/>
      <c r="P1762" s="66"/>
      <c r="Q1762" s="66"/>
      <c r="R1762" s="66"/>
      <c r="S1762" s="66"/>
      <c r="T1762" s="138" t="str">
        <f>IFERROR(LOOKUP($S1762,MOTORISTAS!$D$3:$D$916,MOTORISTAS!E$3:$E$916),"")</f>
        <v/>
      </c>
      <c r="U1762" s="138" t="str">
        <f>IFERROR(LOOKUP($S1762,MOTORISTAS!$D$3:$D$916,MOTORISTAS!F$3:$F$916),"")</f>
        <v/>
      </c>
      <c r="V1762" s="66"/>
      <c r="W1762" s="66"/>
      <c r="X1762" s="66"/>
      <c r="Y1762" s="66"/>
      <c r="Z1762" s="66"/>
      <c r="AA1762" s="66"/>
      <c r="AB1762" s="66"/>
      <c r="AC1762" s="66"/>
      <c r="AD1762" s="66"/>
      <c r="AE1762" s="66"/>
      <c r="AF1762" s="44"/>
      <c r="AG1762" s="254">
        <f>Prog_23[[#This Row],[SAÍDA DO CLIENTE]]-Prog_23[[#This Row],[PROGRAMAÇÃO CLIENTE]]</f>
        <v>0</v>
      </c>
      <c r="AH1762" s="44"/>
      <c r="AI1762" s="66"/>
      <c r="AJ1762" s="66"/>
      <c r="AK1762" s="66"/>
      <c r="AL1762" s="66"/>
      <c r="AM1762" s="66"/>
      <c r="AN1762" s="83"/>
      <c r="AO1762" s="83"/>
      <c r="AP1762" s="83"/>
      <c r="AQ1762" s="66"/>
      <c r="AR1762" s="66"/>
      <c r="AS1762" s="66"/>
      <c r="AT1762" s="81"/>
      <c r="AU1762" s="81"/>
      <c r="AV1762" s="81"/>
      <c r="AW1762" s="81"/>
      <c r="AX1762" s="83">
        <f>SUM(Prog_23[[#This Row],[ADIANTAMENTO]]+Prog_23[[#This Row],[SALDO]]+Prog_23[[#This Row],[MARGEM]]+Prog_23[[#This Row],[ESTADIA 1]])</f>
        <v>0</v>
      </c>
      <c r="AY17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62" s="81"/>
      <c r="BA1762" s="81"/>
      <c r="BB1762" s="81">
        <f>Prog_23[[#This Row],[VLR NF]]*0.1%</f>
        <v>0</v>
      </c>
      <c r="BC1762" s="81">
        <f>Prog_23[[#This Row],[VLR NF]]*0.05%</f>
        <v>0</v>
      </c>
      <c r="BD1762" s="81"/>
      <c r="BE1762" s="81"/>
      <c r="BF1762" s="81"/>
      <c r="BG1762" s="81"/>
      <c r="BH1762" s="81"/>
      <c r="BI1762" s="81"/>
      <c r="BJ1762" s="81"/>
      <c r="BK1762" s="81"/>
      <c r="BL1762" s="81"/>
      <c r="BM1762" s="81"/>
      <c r="BN1762" s="66"/>
      <c r="BO1762" s="66"/>
      <c r="BP1762" s="66"/>
      <c r="BQ1762" s="66" t="str">
        <f>PROPER(TEXT(Prog_23[[#This Row],[PROGRAMAÇÃO CLIENTE]],"mmm"))</f>
        <v>Jan</v>
      </c>
      <c r="BR1762" s="66">
        <f>YEAR(Prog_23[[#This Row],[PROGRAMAÇÃO CLIENTE]])</f>
        <v>1900</v>
      </c>
    </row>
    <row r="1763" spans="1:70" x14ac:dyDescent="0.25">
      <c r="A1763" s="200">
        <f>Prog_23[[#This Row],[CONTEINER]]</f>
        <v>0</v>
      </c>
      <c r="B1763" s="86"/>
      <c r="C17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63" s="44"/>
      <c r="E1763" s="66"/>
      <c r="F1763" s="66"/>
      <c r="G1763" s="66"/>
      <c r="H1763" s="44"/>
      <c r="I1763" s="44"/>
      <c r="J1763" s="66"/>
      <c r="K1763" s="66"/>
      <c r="L1763" s="66"/>
      <c r="M1763" s="66"/>
      <c r="N1763" s="66">
        <f>SUM(Prog_23[[#This Row],[TARA]]+Prog_23[[#This Row],[PESO]])</f>
        <v>0</v>
      </c>
      <c r="O1763" s="44"/>
      <c r="P1763" s="66"/>
      <c r="Q1763" s="66"/>
      <c r="R1763" s="66"/>
      <c r="S1763" s="66"/>
      <c r="T1763" s="138" t="str">
        <f>IFERROR(LOOKUP($S1763,MOTORISTAS!$D$3:$D$916,MOTORISTAS!E$3:$E$916),"")</f>
        <v/>
      </c>
      <c r="U1763" s="138" t="str">
        <f>IFERROR(LOOKUP($S1763,MOTORISTAS!$D$3:$D$916,MOTORISTAS!F$3:$F$916),"")</f>
        <v/>
      </c>
      <c r="V1763" s="66"/>
      <c r="W1763" s="66"/>
      <c r="X1763" s="66"/>
      <c r="Y1763" s="66"/>
      <c r="Z1763" s="66"/>
      <c r="AA1763" s="66"/>
      <c r="AB1763" s="66"/>
      <c r="AC1763" s="66"/>
      <c r="AD1763" s="66"/>
      <c r="AE1763" s="66"/>
      <c r="AF1763" s="44"/>
      <c r="AG1763" s="254">
        <f>Prog_23[[#This Row],[SAÍDA DO CLIENTE]]-Prog_23[[#This Row],[PROGRAMAÇÃO CLIENTE]]</f>
        <v>0</v>
      </c>
      <c r="AH1763" s="44"/>
      <c r="AI1763" s="66"/>
      <c r="AJ1763" s="66"/>
      <c r="AK1763" s="66"/>
      <c r="AL1763" s="66"/>
      <c r="AM1763" s="66"/>
      <c r="AN1763" s="83"/>
      <c r="AO1763" s="83"/>
      <c r="AP1763" s="83"/>
      <c r="AQ1763" s="66"/>
      <c r="AR1763" s="66"/>
      <c r="AS1763" s="66"/>
      <c r="AT1763" s="81"/>
      <c r="AU1763" s="81"/>
      <c r="AV1763" s="81"/>
      <c r="AW1763" s="81"/>
      <c r="AX1763" s="83">
        <f>SUM(Prog_23[[#This Row],[ADIANTAMENTO]]+Prog_23[[#This Row],[SALDO]]+Prog_23[[#This Row],[MARGEM]]+Prog_23[[#This Row],[ESTADIA 1]])</f>
        <v>0</v>
      </c>
      <c r="AY17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63" s="81"/>
      <c r="BA1763" s="81"/>
      <c r="BB1763" s="81">
        <f>Prog_23[[#This Row],[VLR NF]]*0.1%</f>
        <v>0</v>
      </c>
      <c r="BC1763" s="81">
        <f>Prog_23[[#This Row],[VLR NF]]*0.05%</f>
        <v>0</v>
      </c>
      <c r="BD1763" s="81"/>
      <c r="BE1763" s="81"/>
      <c r="BF1763" s="81"/>
      <c r="BG1763" s="81"/>
      <c r="BH1763" s="81"/>
      <c r="BI1763" s="81"/>
      <c r="BJ1763" s="81"/>
      <c r="BK1763" s="81"/>
      <c r="BL1763" s="81"/>
      <c r="BM1763" s="81"/>
      <c r="BN1763" s="66"/>
      <c r="BO1763" s="66"/>
      <c r="BP1763" s="66"/>
      <c r="BQ1763" s="66" t="str">
        <f>PROPER(TEXT(Prog_23[[#This Row],[PROGRAMAÇÃO CLIENTE]],"mmm"))</f>
        <v>Jan</v>
      </c>
      <c r="BR1763" s="66">
        <f>YEAR(Prog_23[[#This Row],[PROGRAMAÇÃO CLIENTE]])</f>
        <v>1900</v>
      </c>
    </row>
    <row r="1764" spans="1:70" x14ac:dyDescent="0.25">
      <c r="A1764" s="201">
        <f>Prog_23[[#This Row],[CONTEINER]]</f>
        <v>0</v>
      </c>
      <c r="B1764" s="86"/>
      <c r="C17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64" s="44"/>
      <c r="E1764" s="66"/>
      <c r="F1764" s="66"/>
      <c r="G1764" s="66"/>
      <c r="H1764" s="44"/>
      <c r="I1764" s="44"/>
      <c r="J1764" s="66"/>
      <c r="K1764" s="66"/>
      <c r="L1764" s="66"/>
      <c r="M1764" s="66"/>
      <c r="N1764" s="66">
        <f>SUM(Prog_23[[#This Row],[TARA]]+Prog_23[[#This Row],[PESO]])</f>
        <v>0</v>
      </c>
      <c r="O1764" s="44"/>
      <c r="P1764" s="66"/>
      <c r="Q1764" s="66"/>
      <c r="R1764" s="66"/>
      <c r="S1764" s="66"/>
      <c r="T1764" s="138" t="str">
        <f>IFERROR(LOOKUP($S1764,MOTORISTAS!$D$3:$D$916,MOTORISTAS!E$3:$E$916),"")</f>
        <v/>
      </c>
      <c r="U1764" s="138" t="str">
        <f>IFERROR(LOOKUP($S1764,MOTORISTAS!$D$3:$D$916,MOTORISTAS!F$3:$F$916),"")</f>
        <v/>
      </c>
      <c r="V1764" s="66"/>
      <c r="W1764" s="66"/>
      <c r="X1764" s="66"/>
      <c r="Y1764" s="66"/>
      <c r="Z1764" s="66"/>
      <c r="AA1764" s="66"/>
      <c r="AB1764" s="66"/>
      <c r="AC1764" s="66"/>
      <c r="AD1764" s="66"/>
      <c r="AE1764" s="66"/>
      <c r="AF1764" s="44"/>
      <c r="AG1764" s="254">
        <f>Prog_23[[#This Row],[SAÍDA DO CLIENTE]]-Prog_23[[#This Row],[PROGRAMAÇÃO CLIENTE]]</f>
        <v>0</v>
      </c>
      <c r="AH1764" s="44"/>
      <c r="AI1764" s="66"/>
      <c r="AJ1764" s="66"/>
      <c r="AK1764" s="66"/>
      <c r="AL1764" s="66"/>
      <c r="AM1764" s="66"/>
      <c r="AN1764" s="83"/>
      <c r="AO1764" s="83"/>
      <c r="AP1764" s="83"/>
      <c r="AQ1764" s="66"/>
      <c r="AR1764" s="66"/>
      <c r="AS1764" s="66"/>
      <c r="AT1764" s="81"/>
      <c r="AU1764" s="81"/>
      <c r="AV1764" s="81"/>
      <c r="AW1764" s="81"/>
      <c r="AX1764" s="83">
        <f>SUM(Prog_23[[#This Row],[ADIANTAMENTO]]+Prog_23[[#This Row],[SALDO]]+Prog_23[[#This Row],[MARGEM]]+Prog_23[[#This Row],[ESTADIA 1]])</f>
        <v>0</v>
      </c>
      <c r="AY17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64" s="81"/>
      <c r="BA1764" s="81"/>
      <c r="BB1764" s="81">
        <f>Prog_23[[#This Row],[VLR NF]]*0.1%</f>
        <v>0</v>
      </c>
      <c r="BC1764" s="81">
        <f>Prog_23[[#This Row],[VLR NF]]*0.05%</f>
        <v>0</v>
      </c>
      <c r="BD1764" s="81"/>
      <c r="BE1764" s="81"/>
      <c r="BF1764" s="81"/>
      <c r="BG1764" s="81"/>
      <c r="BH1764" s="81"/>
      <c r="BI1764" s="81"/>
      <c r="BJ1764" s="81"/>
      <c r="BK1764" s="81"/>
      <c r="BL1764" s="81"/>
      <c r="BM1764" s="81"/>
      <c r="BN1764" s="66"/>
      <c r="BO1764" s="66"/>
      <c r="BP1764" s="66"/>
      <c r="BQ1764" s="66" t="str">
        <f>PROPER(TEXT(Prog_23[[#This Row],[PROGRAMAÇÃO CLIENTE]],"mmm"))</f>
        <v>Jan</v>
      </c>
      <c r="BR1764" s="66">
        <f>YEAR(Prog_23[[#This Row],[PROGRAMAÇÃO CLIENTE]])</f>
        <v>1900</v>
      </c>
    </row>
    <row r="1765" spans="1:70" x14ac:dyDescent="0.25">
      <c r="A1765" s="200">
        <f>Prog_23[[#This Row],[CONTEINER]]</f>
        <v>0</v>
      </c>
      <c r="B1765" s="86"/>
      <c r="C17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65" s="44"/>
      <c r="E1765" s="66"/>
      <c r="F1765" s="66"/>
      <c r="G1765" s="66"/>
      <c r="H1765" s="44"/>
      <c r="I1765" s="44"/>
      <c r="J1765" s="66"/>
      <c r="K1765" s="66"/>
      <c r="L1765" s="66"/>
      <c r="M1765" s="66"/>
      <c r="N1765" s="66">
        <f>SUM(Prog_23[[#This Row],[TARA]]+Prog_23[[#This Row],[PESO]])</f>
        <v>0</v>
      </c>
      <c r="O1765" s="44"/>
      <c r="P1765" s="66"/>
      <c r="Q1765" s="66"/>
      <c r="R1765" s="66"/>
      <c r="S1765" s="66"/>
      <c r="T1765" s="138" t="str">
        <f>IFERROR(LOOKUP($S1765,MOTORISTAS!$D$3:$D$916,MOTORISTAS!E$3:$E$916),"")</f>
        <v/>
      </c>
      <c r="U1765" s="138" t="str">
        <f>IFERROR(LOOKUP($S1765,MOTORISTAS!$D$3:$D$916,MOTORISTAS!F$3:$F$916),"")</f>
        <v/>
      </c>
      <c r="V1765" s="66"/>
      <c r="W1765" s="66"/>
      <c r="X1765" s="66"/>
      <c r="Y1765" s="66"/>
      <c r="Z1765" s="66"/>
      <c r="AA1765" s="66"/>
      <c r="AB1765" s="66"/>
      <c r="AC1765" s="66"/>
      <c r="AD1765" s="66"/>
      <c r="AE1765" s="66"/>
      <c r="AF1765" s="44"/>
      <c r="AG1765" s="254">
        <f>Prog_23[[#This Row],[SAÍDA DO CLIENTE]]-Prog_23[[#This Row],[PROGRAMAÇÃO CLIENTE]]</f>
        <v>0</v>
      </c>
      <c r="AH1765" s="44"/>
      <c r="AI1765" s="66"/>
      <c r="AJ1765" s="66"/>
      <c r="AK1765" s="66"/>
      <c r="AL1765" s="66"/>
      <c r="AM1765" s="66"/>
      <c r="AN1765" s="83"/>
      <c r="AO1765" s="83"/>
      <c r="AP1765" s="83"/>
      <c r="AQ1765" s="66"/>
      <c r="AR1765" s="66"/>
      <c r="AS1765" s="66"/>
      <c r="AT1765" s="81"/>
      <c r="AU1765" s="81"/>
      <c r="AV1765" s="81"/>
      <c r="AW1765" s="81"/>
      <c r="AX1765" s="83">
        <f>SUM(Prog_23[[#This Row],[ADIANTAMENTO]]+Prog_23[[#This Row],[SALDO]]+Prog_23[[#This Row],[MARGEM]]+Prog_23[[#This Row],[ESTADIA 1]])</f>
        <v>0</v>
      </c>
      <c r="AY17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65" s="81"/>
      <c r="BA1765" s="81"/>
      <c r="BB1765" s="81">
        <f>Prog_23[[#This Row],[VLR NF]]*0.1%</f>
        <v>0</v>
      </c>
      <c r="BC1765" s="81">
        <f>Prog_23[[#This Row],[VLR NF]]*0.05%</f>
        <v>0</v>
      </c>
      <c r="BD1765" s="81"/>
      <c r="BE1765" s="81"/>
      <c r="BF1765" s="81"/>
      <c r="BG1765" s="81"/>
      <c r="BH1765" s="81"/>
      <c r="BI1765" s="81"/>
      <c r="BJ1765" s="81"/>
      <c r="BK1765" s="81"/>
      <c r="BL1765" s="81"/>
      <c r="BM1765" s="81"/>
      <c r="BN1765" s="66"/>
      <c r="BO1765" s="66"/>
      <c r="BP1765" s="66"/>
      <c r="BQ1765" s="66" t="str">
        <f>PROPER(TEXT(Prog_23[[#This Row],[PROGRAMAÇÃO CLIENTE]],"mmm"))</f>
        <v>Jan</v>
      </c>
      <c r="BR1765" s="66">
        <f>YEAR(Prog_23[[#This Row],[PROGRAMAÇÃO CLIENTE]])</f>
        <v>1900</v>
      </c>
    </row>
    <row r="1766" spans="1:70" x14ac:dyDescent="0.25">
      <c r="A1766" s="201">
        <f>Prog_23[[#This Row],[CONTEINER]]</f>
        <v>0</v>
      </c>
      <c r="B1766" s="86"/>
      <c r="C17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66" s="44"/>
      <c r="E1766" s="66"/>
      <c r="F1766" s="66"/>
      <c r="G1766" s="66"/>
      <c r="H1766" s="44"/>
      <c r="I1766" s="44"/>
      <c r="J1766" s="66"/>
      <c r="K1766" s="66"/>
      <c r="L1766" s="66"/>
      <c r="M1766" s="66"/>
      <c r="N1766" s="66">
        <f>SUM(Prog_23[[#This Row],[TARA]]+Prog_23[[#This Row],[PESO]])</f>
        <v>0</v>
      </c>
      <c r="O1766" s="44"/>
      <c r="P1766" s="66"/>
      <c r="Q1766" s="66"/>
      <c r="R1766" s="66"/>
      <c r="S1766" s="66"/>
      <c r="T1766" s="138" t="str">
        <f>IFERROR(LOOKUP($S1766,MOTORISTAS!$D$3:$D$916,MOTORISTAS!E$3:$E$916),"")</f>
        <v/>
      </c>
      <c r="U1766" s="138" t="str">
        <f>IFERROR(LOOKUP($S1766,MOTORISTAS!$D$3:$D$916,MOTORISTAS!F$3:$F$916),"")</f>
        <v/>
      </c>
      <c r="V1766" s="66"/>
      <c r="W1766" s="66"/>
      <c r="X1766" s="66"/>
      <c r="Y1766" s="66"/>
      <c r="Z1766" s="66"/>
      <c r="AA1766" s="66"/>
      <c r="AB1766" s="66"/>
      <c r="AC1766" s="66"/>
      <c r="AD1766" s="66"/>
      <c r="AE1766" s="66"/>
      <c r="AF1766" s="44"/>
      <c r="AG1766" s="254">
        <f>Prog_23[[#This Row],[SAÍDA DO CLIENTE]]-Prog_23[[#This Row],[PROGRAMAÇÃO CLIENTE]]</f>
        <v>0</v>
      </c>
      <c r="AH1766" s="44"/>
      <c r="AI1766" s="66"/>
      <c r="AJ1766" s="66"/>
      <c r="AK1766" s="66"/>
      <c r="AL1766" s="66"/>
      <c r="AM1766" s="66"/>
      <c r="AN1766" s="83"/>
      <c r="AO1766" s="83"/>
      <c r="AP1766" s="83"/>
      <c r="AQ1766" s="66"/>
      <c r="AR1766" s="66"/>
      <c r="AS1766" s="66"/>
      <c r="AT1766" s="81"/>
      <c r="AU1766" s="81"/>
      <c r="AV1766" s="81"/>
      <c r="AW1766" s="81"/>
      <c r="AX1766" s="83">
        <f>SUM(Prog_23[[#This Row],[ADIANTAMENTO]]+Prog_23[[#This Row],[SALDO]]+Prog_23[[#This Row],[MARGEM]]+Prog_23[[#This Row],[ESTADIA 1]])</f>
        <v>0</v>
      </c>
      <c r="AY17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66" s="81"/>
      <c r="BA1766" s="81"/>
      <c r="BB1766" s="81">
        <f>Prog_23[[#This Row],[VLR NF]]*0.1%</f>
        <v>0</v>
      </c>
      <c r="BC1766" s="81">
        <f>Prog_23[[#This Row],[VLR NF]]*0.05%</f>
        <v>0</v>
      </c>
      <c r="BD1766" s="81"/>
      <c r="BE1766" s="81"/>
      <c r="BF1766" s="81"/>
      <c r="BG1766" s="81"/>
      <c r="BH1766" s="81"/>
      <c r="BI1766" s="81"/>
      <c r="BJ1766" s="81"/>
      <c r="BK1766" s="81"/>
      <c r="BL1766" s="81"/>
      <c r="BM1766" s="81"/>
      <c r="BN1766" s="66"/>
      <c r="BO1766" s="66"/>
      <c r="BP1766" s="66"/>
      <c r="BQ1766" s="66" t="str">
        <f>PROPER(TEXT(Prog_23[[#This Row],[PROGRAMAÇÃO CLIENTE]],"mmm"))</f>
        <v>Jan</v>
      </c>
      <c r="BR1766" s="66">
        <f>YEAR(Prog_23[[#This Row],[PROGRAMAÇÃO CLIENTE]])</f>
        <v>1900</v>
      </c>
    </row>
    <row r="1767" spans="1:70" x14ac:dyDescent="0.25">
      <c r="A1767" s="200">
        <f>Prog_23[[#This Row],[CONTEINER]]</f>
        <v>0</v>
      </c>
      <c r="B1767" s="86"/>
      <c r="C17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67" s="44"/>
      <c r="E1767" s="66"/>
      <c r="F1767" s="66"/>
      <c r="G1767" s="66"/>
      <c r="H1767" s="44"/>
      <c r="I1767" s="44"/>
      <c r="J1767" s="66"/>
      <c r="K1767" s="66"/>
      <c r="L1767" s="66"/>
      <c r="M1767" s="66"/>
      <c r="N1767" s="66">
        <f>SUM(Prog_23[[#This Row],[TARA]]+Prog_23[[#This Row],[PESO]])</f>
        <v>0</v>
      </c>
      <c r="O1767" s="44"/>
      <c r="P1767" s="66"/>
      <c r="Q1767" s="66"/>
      <c r="R1767" s="66"/>
      <c r="S1767" s="66"/>
      <c r="T1767" s="138" t="str">
        <f>IFERROR(LOOKUP($S1767,MOTORISTAS!$D$3:$D$916,MOTORISTAS!E$3:$E$916),"")</f>
        <v/>
      </c>
      <c r="U1767" s="138" t="str">
        <f>IFERROR(LOOKUP($S1767,MOTORISTAS!$D$3:$D$916,MOTORISTAS!F$3:$F$916),"")</f>
        <v/>
      </c>
      <c r="V1767" s="66"/>
      <c r="W1767" s="66"/>
      <c r="X1767" s="66"/>
      <c r="Y1767" s="66"/>
      <c r="Z1767" s="66"/>
      <c r="AA1767" s="66"/>
      <c r="AB1767" s="66"/>
      <c r="AC1767" s="66"/>
      <c r="AD1767" s="66"/>
      <c r="AE1767" s="66"/>
      <c r="AF1767" s="44"/>
      <c r="AG1767" s="254">
        <f>Prog_23[[#This Row],[SAÍDA DO CLIENTE]]-Prog_23[[#This Row],[PROGRAMAÇÃO CLIENTE]]</f>
        <v>0</v>
      </c>
      <c r="AH1767" s="44"/>
      <c r="AI1767" s="66"/>
      <c r="AJ1767" s="66"/>
      <c r="AK1767" s="66"/>
      <c r="AL1767" s="66"/>
      <c r="AM1767" s="66"/>
      <c r="AN1767" s="83"/>
      <c r="AO1767" s="83"/>
      <c r="AP1767" s="83"/>
      <c r="AQ1767" s="66"/>
      <c r="AR1767" s="66"/>
      <c r="AS1767" s="66"/>
      <c r="AT1767" s="81"/>
      <c r="AU1767" s="81"/>
      <c r="AV1767" s="81"/>
      <c r="AW1767" s="81"/>
      <c r="AX1767" s="83">
        <f>SUM(Prog_23[[#This Row],[ADIANTAMENTO]]+Prog_23[[#This Row],[SALDO]]+Prog_23[[#This Row],[MARGEM]]+Prog_23[[#This Row],[ESTADIA 1]])</f>
        <v>0</v>
      </c>
      <c r="AY17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67" s="81"/>
      <c r="BA1767" s="81"/>
      <c r="BB1767" s="81">
        <f>Prog_23[[#This Row],[VLR NF]]*0.1%</f>
        <v>0</v>
      </c>
      <c r="BC1767" s="81">
        <f>Prog_23[[#This Row],[VLR NF]]*0.05%</f>
        <v>0</v>
      </c>
      <c r="BD1767" s="81"/>
      <c r="BE1767" s="81"/>
      <c r="BF1767" s="81"/>
      <c r="BG1767" s="81"/>
      <c r="BH1767" s="81"/>
      <c r="BI1767" s="81"/>
      <c r="BJ1767" s="81"/>
      <c r="BK1767" s="81"/>
      <c r="BL1767" s="81"/>
      <c r="BM1767" s="81"/>
      <c r="BN1767" s="66"/>
      <c r="BO1767" s="66"/>
      <c r="BP1767" s="66"/>
      <c r="BQ1767" s="66" t="str">
        <f>PROPER(TEXT(Prog_23[[#This Row],[PROGRAMAÇÃO CLIENTE]],"mmm"))</f>
        <v>Jan</v>
      </c>
      <c r="BR1767" s="66">
        <f>YEAR(Prog_23[[#This Row],[PROGRAMAÇÃO CLIENTE]])</f>
        <v>1900</v>
      </c>
    </row>
    <row r="1768" spans="1:70" x14ac:dyDescent="0.25">
      <c r="A1768" s="201">
        <f>Prog_23[[#This Row],[CONTEINER]]</f>
        <v>0</v>
      </c>
      <c r="B1768" s="86"/>
      <c r="C17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68" s="44"/>
      <c r="E1768" s="66"/>
      <c r="F1768" s="66"/>
      <c r="G1768" s="66"/>
      <c r="H1768" s="44"/>
      <c r="I1768" s="44"/>
      <c r="J1768" s="66"/>
      <c r="K1768" s="66"/>
      <c r="L1768" s="66"/>
      <c r="M1768" s="66"/>
      <c r="N1768" s="66">
        <f>SUM(Prog_23[[#This Row],[TARA]]+Prog_23[[#This Row],[PESO]])</f>
        <v>0</v>
      </c>
      <c r="O1768" s="44"/>
      <c r="P1768" s="66"/>
      <c r="Q1768" s="66"/>
      <c r="R1768" s="66"/>
      <c r="S1768" s="66"/>
      <c r="T1768" s="138" t="str">
        <f>IFERROR(LOOKUP($S1768,MOTORISTAS!$D$3:$D$916,MOTORISTAS!E$3:$E$916),"")</f>
        <v/>
      </c>
      <c r="U1768" s="138" t="str">
        <f>IFERROR(LOOKUP($S1768,MOTORISTAS!$D$3:$D$916,MOTORISTAS!F$3:$F$916),"")</f>
        <v/>
      </c>
      <c r="V1768" s="66"/>
      <c r="W1768" s="66"/>
      <c r="X1768" s="66"/>
      <c r="Y1768" s="66"/>
      <c r="Z1768" s="66"/>
      <c r="AA1768" s="66"/>
      <c r="AB1768" s="66"/>
      <c r="AC1768" s="66"/>
      <c r="AD1768" s="66"/>
      <c r="AE1768" s="66"/>
      <c r="AF1768" s="44"/>
      <c r="AG1768" s="254">
        <f>Prog_23[[#This Row],[SAÍDA DO CLIENTE]]-Prog_23[[#This Row],[PROGRAMAÇÃO CLIENTE]]</f>
        <v>0</v>
      </c>
      <c r="AH1768" s="44"/>
      <c r="AI1768" s="66"/>
      <c r="AJ1768" s="66"/>
      <c r="AK1768" s="66"/>
      <c r="AL1768" s="66"/>
      <c r="AM1768" s="66"/>
      <c r="AN1768" s="83"/>
      <c r="AO1768" s="83"/>
      <c r="AP1768" s="83"/>
      <c r="AQ1768" s="66"/>
      <c r="AR1768" s="66"/>
      <c r="AS1768" s="66"/>
      <c r="AT1768" s="81"/>
      <c r="AU1768" s="81"/>
      <c r="AV1768" s="81"/>
      <c r="AW1768" s="81"/>
      <c r="AX1768" s="83">
        <f>SUM(Prog_23[[#This Row],[ADIANTAMENTO]]+Prog_23[[#This Row],[SALDO]]+Prog_23[[#This Row],[MARGEM]]+Prog_23[[#This Row],[ESTADIA 1]])</f>
        <v>0</v>
      </c>
      <c r="AY17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68" s="81"/>
      <c r="BA1768" s="81"/>
      <c r="BB1768" s="81">
        <f>Prog_23[[#This Row],[VLR NF]]*0.1%</f>
        <v>0</v>
      </c>
      <c r="BC1768" s="81">
        <f>Prog_23[[#This Row],[VLR NF]]*0.05%</f>
        <v>0</v>
      </c>
      <c r="BD1768" s="81"/>
      <c r="BE1768" s="81"/>
      <c r="BF1768" s="81"/>
      <c r="BG1768" s="81"/>
      <c r="BH1768" s="81"/>
      <c r="BI1768" s="81"/>
      <c r="BJ1768" s="81"/>
      <c r="BK1768" s="81"/>
      <c r="BL1768" s="81"/>
      <c r="BM1768" s="81"/>
      <c r="BN1768" s="66"/>
      <c r="BO1768" s="66"/>
      <c r="BP1768" s="66"/>
      <c r="BQ1768" s="66" t="str">
        <f>PROPER(TEXT(Prog_23[[#This Row],[PROGRAMAÇÃO CLIENTE]],"mmm"))</f>
        <v>Jan</v>
      </c>
      <c r="BR1768" s="66">
        <f>YEAR(Prog_23[[#This Row],[PROGRAMAÇÃO CLIENTE]])</f>
        <v>1900</v>
      </c>
    </row>
    <row r="1769" spans="1:70" x14ac:dyDescent="0.25">
      <c r="A1769" s="200">
        <f>Prog_23[[#This Row],[CONTEINER]]</f>
        <v>0</v>
      </c>
      <c r="B1769" s="86"/>
      <c r="C17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69" s="44"/>
      <c r="E1769" s="66"/>
      <c r="F1769" s="66"/>
      <c r="G1769" s="66"/>
      <c r="H1769" s="44"/>
      <c r="I1769" s="44"/>
      <c r="J1769" s="66"/>
      <c r="K1769" s="66"/>
      <c r="L1769" s="66"/>
      <c r="M1769" s="66"/>
      <c r="N1769" s="66">
        <f>SUM(Prog_23[[#This Row],[TARA]]+Prog_23[[#This Row],[PESO]])</f>
        <v>0</v>
      </c>
      <c r="O1769" s="44"/>
      <c r="P1769" s="66"/>
      <c r="Q1769" s="66"/>
      <c r="R1769" s="66"/>
      <c r="S1769" s="66"/>
      <c r="T1769" s="138" t="str">
        <f>IFERROR(LOOKUP($S1769,MOTORISTAS!$D$3:$D$916,MOTORISTAS!E$3:$E$916),"")</f>
        <v/>
      </c>
      <c r="U1769" s="138" t="str">
        <f>IFERROR(LOOKUP($S1769,MOTORISTAS!$D$3:$D$916,MOTORISTAS!F$3:$F$916),"")</f>
        <v/>
      </c>
      <c r="V1769" s="66"/>
      <c r="W1769" s="66"/>
      <c r="X1769" s="66"/>
      <c r="Y1769" s="66"/>
      <c r="Z1769" s="66"/>
      <c r="AA1769" s="66"/>
      <c r="AB1769" s="66"/>
      <c r="AC1769" s="66"/>
      <c r="AD1769" s="66"/>
      <c r="AE1769" s="66"/>
      <c r="AF1769" s="44"/>
      <c r="AG1769" s="254">
        <f>Prog_23[[#This Row],[SAÍDA DO CLIENTE]]-Prog_23[[#This Row],[PROGRAMAÇÃO CLIENTE]]</f>
        <v>0</v>
      </c>
      <c r="AH1769" s="44"/>
      <c r="AI1769" s="66"/>
      <c r="AJ1769" s="66"/>
      <c r="AK1769" s="66"/>
      <c r="AL1769" s="66"/>
      <c r="AM1769" s="66"/>
      <c r="AN1769" s="83"/>
      <c r="AO1769" s="83"/>
      <c r="AP1769" s="83"/>
      <c r="AQ1769" s="66"/>
      <c r="AR1769" s="66"/>
      <c r="AS1769" s="66"/>
      <c r="AT1769" s="81"/>
      <c r="AU1769" s="81"/>
      <c r="AV1769" s="81"/>
      <c r="AW1769" s="81"/>
      <c r="AX1769" s="83">
        <f>SUM(Prog_23[[#This Row],[ADIANTAMENTO]]+Prog_23[[#This Row],[SALDO]]+Prog_23[[#This Row],[MARGEM]]+Prog_23[[#This Row],[ESTADIA 1]])</f>
        <v>0</v>
      </c>
      <c r="AY17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69" s="81"/>
      <c r="BA1769" s="81"/>
      <c r="BB1769" s="81">
        <f>Prog_23[[#This Row],[VLR NF]]*0.1%</f>
        <v>0</v>
      </c>
      <c r="BC1769" s="81">
        <f>Prog_23[[#This Row],[VLR NF]]*0.05%</f>
        <v>0</v>
      </c>
      <c r="BD1769" s="81"/>
      <c r="BE1769" s="81"/>
      <c r="BF1769" s="81"/>
      <c r="BG1769" s="81"/>
      <c r="BH1769" s="81"/>
      <c r="BI1769" s="81"/>
      <c r="BJ1769" s="81"/>
      <c r="BK1769" s="81"/>
      <c r="BL1769" s="81"/>
      <c r="BM1769" s="81"/>
      <c r="BN1769" s="66"/>
      <c r="BO1769" s="66"/>
      <c r="BP1769" s="66"/>
      <c r="BQ1769" s="66" t="str">
        <f>PROPER(TEXT(Prog_23[[#This Row],[PROGRAMAÇÃO CLIENTE]],"mmm"))</f>
        <v>Jan</v>
      </c>
      <c r="BR1769" s="66">
        <f>YEAR(Prog_23[[#This Row],[PROGRAMAÇÃO CLIENTE]])</f>
        <v>1900</v>
      </c>
    </row>
    <row r="1770" spans="1:70" x14ac:dyDescent="0.25">
      <c r="A1770" s="201">
        <f>Prog_23[[#This Row],[CONTEINER]]</f>
        <v>0</v>
      </c>
      <c r="B1770" s="86"/>
      <c r="C17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70" s="44"/>
      <c r="E1770" s="66"/>
      <c r="F1770" s="66"/>
      <c r="G1770" s="66"/>
      <c r="H1770" s="44"/>
      <c r="I1770" s="44"/>
      <c r="J1770" s="66"/>
      <c r="K1770" s="66"/>
      <c r="L1770" s="66"/>
      <c r="M1770" s="66"/>
      <c r="N1770" s="66">
        <f>SUM(Prog_23[[#This Row],[TARA]]+Prog_23[[#This Row],[PESO]])</f>
        <v>0</v>
      </c>
      <c r="O1770" s="44"/>
      <c r="P1770" s="66"/>
      <c r="Q1770" s="66"/>
      <c r="R1770" s="66"/>
      <c r="S1770" s="66"/>
      <c r="T1770" s="138" t="str">
        <f>IFERROR(LOOKUP($S1770,MOTORISTAS!$D$3:$D$916,MOTORISTAS!E$3:$E$916),"")</f>
        <v/>
      </c>
      <c r="U1770" s="138" t="str">
        <f>IFERROR(LOOKUP($S1770,MOTORISTAS!$D$3:$D$916,MOTORISTAS!F$3:$F$916),"")</f>
        <v/>
      </c>
      <c r="V1770" s="66"/>
      <c r="W1770" s="66"/>
      <c r="X1770" s="66"/>
      <c r="Y1770" s="66"/>
      <c r="Z1770" s="66"/>
      <c r="AA1770" s="66"/>
      <c r="AB1770" s="66"/>
      <c r="AC1770" s="66"/>
      <c r="AD1770" s="66"/>
      <c r="AE1770" s="66"/>
      <c r="AF1770" s="44"/>
      <c r="AG1770" s="254">
        <f>Prog_23[[#This Row],[SAÍDA DO CLIENTE]]-Prog_23[[#This Row],[PROGRAMAÇÃO CLIENTE]]</f>
        <v>0</v>
      </c>
      <c r="AH1770" s="44"/>
      <c r="AI1770" s="66"/>
      <c r="AJ1770" s="66"/>
      <c r="AK1770" s="66"/>
      <c r="AL1770" s="66"/>
      <c r="AM1770" s="66"/>
      <c r="AN1770" s="83"/>
      <c r="AO1770" s="83"/>
      <c r="AP1770" s="83"/>
      <c r="AQ1770" s="66"/>
      <c r="AR1770" s="66"/>
      <c r="AS1770" s="66"/>
      <c r="AT1770" s="81"/>
      <c r="AU1770" s="81"/>
      <c r="AV1770" s="81"/>
      <c r="AW1770" s="81"/>
      <c r="AX1770" s="83">
        <f>SUM(Prog_23[[#This Row],[ADIANTAMENTO]]+Prog_23[[#This Row],[SALDO]]+Prog_23[[#This Row],[MARGEM]]+Prog_23[[#This Row],[ESTADIA 1]])</f>
        <v>0</v>
      </c>
      <c r="AY17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70" s="81"/>
      <c r="BA1770" s="81"/>
      <c r="BB1770" s="81">
        <f>Prog_23[[#This Row],[VLR NF]]*0.1%</f>
        <v>0</v>
      </c>
      <c r="BC1770" s="81">
        <f>Prog_23[[#This Row],[VLR NF]]*0.05%</f>
        <v>0</v>
      </c>
      <c r="BD1770" s="81"/>
      <c r="BE1770" s="81"/>
      <c r="BF1770" s="81"/>
      <c r="BG1770" s="81"/>
      <c r="BH1770" s="81"/>
      <c r="BI1770" s="81"/>
      <c r="BJ1770" s="81"/>
      <c r="BK1770" s="81"/>
      <c r="BL1770" s="81"/>
      <c r="BM1770" s="81"/>
      <c r="BN1770" s="66"/>
      <c r="BO1770" s="66"/>
      <c r="BP1770" s="66"/>
      <c r="BQ1770" s="66" t="str">
        <f>PROPER(TEXT(Prog_23[[#This Row],[PROGRAMAÇÃO CLIENTE]],"mmm"))</f>
        <v>Jan</v>
      </c>
      <c r="BR1770" s="66">
        <f>YEAR(Prog_23[[#This Row],[PROGRAMAÇÃO CLIENTE]])</f>
        <v>1900</v>
      </c>
    </row>
    <row r="1771" spans="1:70" x14ac:dyDescent="0.25">
      <c r="A1771" s="200">
        <f>Prog_23[[#This Row],[CONTEINER]]</f>
        <v>0</v>
      </c>
      <c r="B1771" s="86"/>
      <c r="C17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71" s="44"/>
      <c r="E1771" s="66"/>
      <c r="F1771" s="66"/>
      <c r="G1771" s="66"/>
      <c r="H1771" s="44"/>
      <c r="I1771" s="44"/>
      <c r="J1771" s="66"/>
      <c r="K1771" s="66"/>
      <c r="L1771" s="66"/>
      <c r="M1771" s="66"/>
      <c r="N1771" s="66">
        <f>SUM(Prog_23[[#This Row],[TARA]]+Prog_23[[#This Row],[PESO]])</f>
        <v>0</v>
      </c>
      <c r="O1771" s="44"/>
      <c r="P1771" s="66"/>
      <c r="Q1771" s="66"/>
      <c r="R1771" s="66"/>
      <c r="S1771" s="66"/>
      <c r="T1771" s="138" t="str">
        <f>IFERROR(LOOKUP($S1771,MOTORISTAS!$D$3:$D$916,MOTORISTAS!E$3:$E$916),"")</f>
        <v/>
      </c>
      <c r="U1771" s="138" t="str">
        <f>IFERROR(LOOKUP($S1771,MOTORISTAS!$D$3:$D$916,MOTORISTAS!F$3:$F$916),"")</f>
        <v/>
      </c>
      <c r="V1771" s="66"/>
      <c r="W1771" s="66"/>
      <c r="X1771" s="66"/>
      <c r="Y1771" s="66"/>
      <c r="Z1771" s="66"/>
      <c r="AA1771" s="66"/>
      <c r="AB1771" s="66"/>
      <c r="AC1771" s="66"/>
      <c r="AD1771" s="66"/>
      <c r="AE1771" s="66"/>
      <c r="AF1771" s="44"/>
      <c r="AG1771" s="254">
        <f>Prog_23[[#This Row],[SAÍDA DO CLIENTE]]-Prog_23[[#This Row],[PROGRAMAÇÃO CLIENTE]]</f>
        <v>0</v>
      </c>
      <c r="AH1771" s="44"/>
      <c r="AI1771" s="66"/>
      <c r="AJ1771" s="66"/>
      <c r="AK1771" s="66"/>
      <c r="AL1771" s="66"/>
      <c r="AM1771" s="66"/>
      <c r="AN1771" s="83"/>
      <c r="AO1771" s="83"/>
      <c r="AP1771" s="83"/>
      <c r="AQ1771" s="66"/>
      <c r="AR1771" s="66"/>
      <c r="AS1771" s="66"/>
      <c r="AT1771" s="81"/>
      <c r="AU1771" s="81"/>
      <c r="AV1771" s="81"/>
      <c r="AW1771" s="81"/>
      <c r="AX1771" s="83">
        <f>SUM(Prog_23[[#This Row],[ADIANTAMENTO]]+Prog_23[[#This Row],[SALDO]]+Prog_23[[#This Row],[MARGEM]]+Prog_23[[#This Row],[ESTADIA 1]])</f>
        <v>0</v>
      </c>
      <c r="AY17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71" s="81"/>
      <c r="BA1771" s="81"/>
      <c r="BB1771" s="81">
        <f>Prog_23[[#This Row],[VLR NF]]*0.1%</f>
        <v>0</v>
      </c>
      <c r="BC1771" s="81">
        <f>Prog_23[[#This Row],[VLR NF]]*0.05%</f>
        <v>0</v>
      </c>
      <c r="BD1771" s="81"/>
      <c r="BE1771" s="81"/>
      <c r="BF1771" s="81"/>
      <c r="BG1771" s="81"/>
      <c r="BH1771" s="81"/>
      <c r="BI1771" s="81"/>
      <c r="BJ1771" s="81"/>
      <c r="BK1771" s="81"/>
      <c r="BL1771" s="81"/>
      <c r="BM1771" s="81"/>
      <c r="BN1771" s="66"/>
      <c r="BO1771" s="66"/>
      <c r="BP1771" s="66"/>
      <c r="BQ1771" s="66" t="str">
        <f>PROPER(TEXT(Prog_23[[#This Row],[PROGRAMAÇÃO CLIENTE]],"mmm"))</f>
        <v>Jan</v>
      </c>
      <c r="BR1771" s="66">
        <f>YEAR(Prog_23[[#This Row],[PROGRAMAÇÃO CLIENTE]])</f>
        <v>1900</v>
      </c>
    </row>
    <row r="1772" spans="1:70" x14ac:dyDescent="0.25">
      <c r="A1772" s="201">
        <f>Prog_23[[#This Row],[CONTEINER]]</f>
        <v>0</v>
      </c>
      <c r="B1772" s="86"/>
      <c r="C17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72" s="44"/>
      <c r="E1772" s="66"/>
      <c r="F1772" s="66"/>
      <c r="G1772" s="66"/>
      <c r="H1772" s="44"/>
      <c r="I1772" s="44"/>
      <c r="J1772" s="66"/>
      <c r="K1772" s="66"/>
      <c r="L1772" s="66"/>
      <c r="M1772" s="66"/>
      <c r="N1772" s="66">
        <f>SUM(Prog_23[[#This Row],[TARA]]+Prog_23[[#This Row],[PESO]])</f>
        <v>0</v>
      </c>
      <c r="O1772" s="44"/>
      <c r="P1772" s="66"/>
      <c r="Q1772" s="66"/>
      <c r="R1772" s="66"/>
      <c r="S1772" s="66"/>
      <c r="T1772" s="138" t="str">
        <f>IFERROR(LOOKUP($S1772,MOTORISTAS!$D$3:$D$916,MOTORISTAS!E$3:$E$916),"")</f>
        <v/>
      </c>
      <c r="U1772" s="138" t="str">
        <f>IFERROR(LOOKUP($S1772,MOTORISTAS!$D$3:$D$916,MOTORISTAS!F$3:$F$916),"")</f>
        <v/>
      </c>
      <c r="V1772" s="66"/>
      <c r="W1772" s="66"/>
      <c r="X1772" s="66"/>
      <c r="Y1772" s="66"/>
      <c r="Z1772" s="66"/>
      <c r="AA1772" s="66"/>
      <c r="AB1772" s="66"/>
      <c r="AC1772" s="66"/>
      <c r="AD1772" s="66"/>
      <c r="AE1772" s="66"/>
      <c r="AF1772" s="44"/>
      <c r="AG1772" s="254">
        <f>Prog_23[[#This Row],[SAÍDA DO CLIENTE]]-Prog_23[[#This Row],[PROGRAMAÇÃO CLIENTE]]</f>
        <v>0</v>
      </c>
      <c r="AH1772" s="44"/>
      <c r="AI1772" s="66"/>
      <c r="AJ1772" s="66"/>
      <c r="AK1772" s="66"/>
      <c r="AL1772" s="66"/>
      <c r="AM1772" s="66"/>
      <c r="AN1772" s="83"/>
      <c r="AO1772" s="83"/>
      <c r="AP1772" s="83"/>
      <c r="AQ1772" s="66"/>
      <c r="AR1772" s="66"/>
      <c r="AS1772" s="66"/>
      <c r="AT1772" s="81"/>
      <c r="AU1772" s="81"/>
      <c r="AV1772" s="81"/>
      <c r="AW1772" s="81"/>
      <c r="AX1772" s="83">
        <f>SUM(Prog_23[[#This Row],[ADIANTAMENTO]]+Prog_23[[#This Row],[SALDO]]+Prog_23[[#This Row],[MARGEM]]+Prog_23[[#This Row],[ESTADIA 1]])</f>
        <v>0</v>
      </c>
      <c r="AY17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72" s="81"/>
      <c r="BA1772" s="81"/>
      <c r="BB1772" s="81">
        <f>Prog_23[[#This Row],[VLR NF]]*0.1%</f>
        <v>0</v>
      </c>
      <c r="BC1772" s="81">
        <f>Prog_23[[#This Row],[VLR NF]]*0.05%</f>
        <v>0</v>
      </c>
      <c r="BD1772" s="81"/>
      <c r="BE1772" s="81"/>
      <c r="BF1772" s="81"/>
      <c r="BG1772" s="81"/>
      <c r="BH1772" s="81"/>
      <c r="BI1772" s="81"/>
      <c r="BJ1772" s="81"/>
      <c r="BK1772" s="81"/>
      <c r="BL1772" s="81"/>
      <c r="BM1772" s="81"/>
      <c r="BN1772" s="66"/>
      <c r="BO1772" s="66"/>
      <c r="BP1772" s="66"/>
      <c r="BQ1772" s="66" t="str">
        <f>PROPER(TEXT(Prog_23[[#This Row],[PROGRAMAÇÃO CLIENTE]],"mmm"))</f>
        <v>Jan</v>
      </c>
      <c r="BR1772" s="66">
        <f>YEAR(Prog_23[[#This Row],[PROGRAMAÇÃO CLIENTE]])</f>
        <v>1900</v>
      </c>
    </row>
    <row r="1773" spans="1:70" x14ac:dyDescent="0.25">
      <c r="A1773" s="200">
        <f>Prog_23[[#This Row],[CONTEINER]]</f>
        <v>0</v>
      </c>
      <c r="B1773" s="86"/>
      <c r="C17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73" s="44"/>
      <c r="E1773" s="66"/>
      <c r="F1773" s="66"/>
      <c r="G1773" s="66"/>
      <c r="H1773" s="44"/>
      <c r="I1773" s="44"/>
      <c r="J1773" s="66"/>
      <c r="K1773" s="66"/>
      <c r="L1773" s="66"/>
      <c r="M1773" s="66"/>
      <c r="N1773" s="66">
        <f>SUM(Prog_23[[#This Row],[TARA]]+Prog_23[[#This Row],[PESO]])</f>
        <v>0</v>
      </c>
      <c r="O1773" s="44"/>
      <c r="P1773" s="66"/>
      <c r="Q1773" s="66"/>
      <c r="R1773" s="66"/>
      <c r="S1773" s="66"/>
      <c r="T1773" s="138" t="str">
        <f>IFERROR(LOOKUP($S1773,MOTORISTAS!$D$3:$D$916,MOTORISTAS!E$3:$E$916),"")</f>
        <v/>
      </c>
      <c r="U1773" s="138" t="str">
        <f>IFERROR(LOOKUP($S1773,MOTORISTAS!$D$3:$D$916,MOTORISTAS!F$3:$F$916),"")</f>
        <v/>
      </c>
      <c r="V1773" s="66"/>
      <c r="W1773" s="66"/>
      <c r="X1773" s="66"/>
      <c r="Y1773" s="66"/>
      <c r="Z1773" s="66"/>
      <c r="AA1773" s="66"/>
      <c r="AB1773" s="66"/>
      <c r="AC1773" s="66"/>
      <c r="AD1773" s="66"/>
      <c r="AE1773" s="66"/>
      <c r="AF1773" s="44"/>
      <c r="AG1773" s="254">
        <f>Prog_23[[#This Row],[SAÍDA DO CLIENTE]]-Prog_23[[#This Row],[PROGRAMAÇÃO CLIENTE]]</f>
        <v>0</v>
      </c>
      <c r="AH1773" s="44"/>
      <c r="AI1773" s="66"/>
      <c r="AJ1773" s="66"/>
      <c r="AK1773" s="66"/>
      <c r="AL1773" s="66"/>
      <c r="AM1773" s="66"/>
      <c r="AN1773" s="83"/>
      <c r="AO1773" s="83"/>
      <c r="AP1773" s="83"/>
      <c r="AQ1773" s="66"/>
      <c r="AR1773" s="66"/>
      <c r="AS1773" s="66"/>
      <c r="AT1773" s="81"/>
      <c r="AU1773" s="81"/>
      <c r="AV1773" s="81"/>
      <c r="AW1773" s="81"/>
      <c r="AX1773" s="83">
        <f>SUM(Prog_23[[#This Row],[ADIANTAMENTO]]+Prog_23[[#This Row],[SALDO]]+Prog_23[[#This Row],[MARGEM]]+Prog_23[[#This Row],[ESTADIA 1]])</f>
        <v>0</v>
      </c>
      <c r="AY17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73" s="81"/>
      <c r="BA1773" s="81"/>
      <c r="BB1773" s="81">
        <f>Prog_23[[#This Row],[VLR NF]]*0.1%</f>
        <v>0</v>
      </c>
      <c r="BC1773" s="81">
        <f>Prog_23[[#This Row],[VLR NF]]*0.05%</f>
        <v>0</v>
      </c>
      <c r="BD1773" s="81"/>
      <c r="BE1773" s="81"/>
      <c r="BF1773" s="81"/>
      <c r="BG1773" s="81"/>
      <c r="BH1773" s="81"/>
      <c r="BI1773" s="81"/>
      <c r="BJ1773" s="81"/>
      <c r="BK1773" s="81"/>
      <c r="BL1773" s="81"/>
      <c r="BM1773" s="81"/>
      <c r="BN1773" s="66"/>
      <c r="BO1773" s="66"/>
      <c r="BP1773" s="66"/>
      <c r="BQ1773" s="66" t="str">
        <f>PROPER(TEXT(Prog_23[[#This Row],[PROGRAMAÇÃO CLIENTE]],"mmm"))</f>
        <v>Jan</v>
      </c>
      <c r="BR1773" s="66">
        <f>YEAR(Prog_23[[#This Row],[PROGRAMAÇÃO CLIENTE]])</f>
        <v>1900</v>
      </c>
    </row>
    <row r="1774" spans="1:70" x14ac:dyDescent="0.25">
      <c r="A1774" s="201">
        <f>Prog_23[[#This Row],[CONTEINER]]</f>
        <v>0</v>
      </c>
      <c r="B1774" s="86"/>
      <c r="C17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74" s="44"/>
      <c r="E1774" s="66"/>
      <c r="F1774" s="66"/>
      <c r="G1774" s="66"/>
      <c r="H1774" s="44"/>
      <c r="I1774" s="44"/>
      <c r="J1774" s="66"/>
      <c r="K1774" s="66"/>
      <c r="L1774" s="66"/>
      <c r="M1774" s="66"/>
      <c r="N1774" s="66">
        <f>SUM(Prog_23[[#This Row],[TARA]]+Prog_23[[#This Row],[PESO]])</f>
        <v>0</v>
      </c>
      <c r="O1774" s="44"/>
      <c r="P1774" s="66"/>
      <c r="Q1774" s="66"/>
      <c r="R1774" s="66"/>
      <c r="S1774" s="66"/>
      <c r="T1774" s="138" t="str">
        <f>IFERROR(LOOKUP($S1774,MOTORISTAS!$D$3:$D$916,MOTORISTAS!E$3:$E$916),"")</f>
        <v/>
      </c>
      <c r="U1774" s="138" t="str">
        <f>IFERROR(LOOKUP($S1774,MOTORISTAS!$D$3:$D$916,MOTORISTAS!F$3:$F$916),"")</f>
        <v/>
      </c>
      <c r="V1774" s="66"/>
      <c r="W1774" s="66"/>
      <c r="X1774" s="66"/>
      <c r="Y1774" s="66"/>
      <c r="Z1774" s="66"/>
      <c r="AA1774" s="66"/>
      <c r="AB1774" s="66"/>
      <c r="AC1774" s="66"/>
      <c r="AD1774" s="66"/>
      <c r="AE1774" s="66"/>
      <c r="AF1774" s="44"/>
      <c r="AG1774" s="254">
        <f>Prog_23[[#This Row],[SAÍDA DO CLIENTE]]-Prog_23[[#This Row],[PROGRAMAÇÃO CLIENTE]]</f>
        <v>0</v>
      </c>
      <c r="AH1774" s="44"/>
      <c r="AI1774" s="66"/>
      <c r="AJ1774" s="66"/>
      <c r="AK1774" s="66"/>
      <c r="AL1774" s="66"/>
      <c r="AM1774" s="66"/>
      <c r="AN1774" s="83"/>
      <c r="AO1774" s="83"/>
      <c r="AP1774" s="83"/>
      <c r="AQ1774" s="66"/>
      <c r="AR1774" s="66"/>
      <c r="AS1774" s="66"/>
      <c r="AT1774" s="81"/>
      <c r="AU1774" s="81"/>
      <c r="AV1774" s="81"/>
      <c r="AW1774" s="81"/>
      <c r="AX1774" s="83">
        <f>SUM(Prog_23[[#This Row],[ADIANTAMENTO]]+Prog_23[[#This Row],[SALDO]]+Prog_23[[#This Row],[MARGEM]]+Prog_23[[#This Row],[ESTADIA 1]])</f>
        <v>0</v>
      </c>
      <c r="AY17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74" s="81"/>
      <c r="BA1774" s="81"/>
      <c r="BB1774" s="81">
        <f>Prog_23[[#This Row],[VLR NF]]*0.1%</f>
        <v>0</v>
      </c>
      <c r="BC1774" s="81">
        <f>Prog_23[[#This Row],[VLR NF]]*0.05%</f>
        <v>0</v>
      </c>
      <c r="BD1774" s="81"/>
      <c r="BE1774" s="81"/>
      <c r="BF1774" s="81"/>
      <c r="BG1774" s="81"/>
      <c r="BH1774" s="81"/>
      <c r="BI1774" s="81"/>
      <c r="BJ1774" s="81"/>
      <c r="BK1774" s="81"/>
      <c r="BL1774" s="81"/>
      <c r="BM1774" s="81"/>
      <c r="BN1774" s="66"/>
      <c r="BO1774" s="66"/>
      <c r="BP1774" s="66"/>
      <c r="BQ1774" s="66" t="str">
        <f>PROPER(TEXT(Prog_23[[#This Row],[PROGRAMAÇÃO CLIENTE]],"mmm"))</f>
        <v>Jan</v>
      </c>
      <c r="BR1774" s="66">
        <f>YEAR(Prog_23[[#This Row],[PROGRAMAÇÃO CLIENTE]])</f>
        <v>1900</v>
      </c>
    </row>
    <row r="1775" spans="1:70" x14ac:dyDescent="0.25">
      <c r="A1775" s="200">
        <f>Prog_23[[#This Row],[CONTEINER]]</f>
        <v>0</v>
      </c>
      <c r="B1775" s="86"/>
      <c r="C17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75" s="44"/>
      <c r="E1775" s="66"/>
      <c r="F1775" s="66"/>
      <c r="G1775" s="66"/>
      <c r="H1775" s="44"/>
      <c r="I1775" s="44"/>
      <c r="J1775" s="66"/>
      <c r="K1775" s="66"/>
      <c r="L1775" s="66"/>
      <c r="M1775" s="66"/>
      <c r="N1775" s="66">
        <f>SUM(Prog_23[[#This Row],[TARA]]+Prog_23[[#This Row],[PESO]])</f>
        <v>0</v>
      </c>
      <c r="O1775" s="44"/>
      <c r="P1775" s="66"/>
      <c r="Q1775" s="66"/>
      <c r="R1775" s="66"/>
      <c r="S1775" s="66"/>
      <c r="T1775" s="138" t="str">
        <f>IFERROR(LOOKUP($S1775,MOTORISTAS!$D$3:$D$916,MOTORISTAS!E$3:$E$916),"")</f>
        <v/>
      </c>
      <c r="U1775" s="138" t="str">
        <f>IFERROR(LOOKUP($S1775,MOTORISTAS!$D$3:$D$916,MOTORISTAS!F$3:$F$916),"")</f>
        <v/>
      </c>
      <c r="V1775" s="66"/>
      <c r="W1775" s="66"/>
      <c r="X1775" s="66"/>
      <c r="Y1775" s="66"/>
      <c r="Z1775" s="66"/>
      <c r="AA1775" s="66"/>
      <c r="AB1775" s="66"/>
      <c r="AC1775" s="66"/>
      <c r="AD1775" s="66"/>
      <c r="AE1775" s="66"/>
      <c r="AF1775" s="44"/>
      <c r="AG1775" s="254">
        <f>Prog_23[[#This Row],[SAÍDA DO CLIENTE]]-Prog_23[[#This Row],[PROGRAMAÇÃO CLIENTE]]</f>
        <v>0</v>
      </c>
      <c r="AH1775" s="44"/>
      <c r="AI1775" s="66"/>
      <c r="AJ1775" s="66"/>
      <c r="AK1775" s="66"/>
      <c r="AL1775" s="66"/>
      <c r="AM1775" s="66"/>
      <c r="AN1775" s="83"/>
      <c r="AO1775" s="83"/>
      <c r="AP1775" s="83"/>
      <c r="AQ1775" s="66"/>
      <c r="AR1775" s="66"/>
      <c r="AS1775" s="66"/>
      <c r="AT1775" s="81"/>
      <c r="AU1775" s="81"/>
      <c r="AV1775" s="81"/>
      <c r="AW1775" s="81"/>
      <c r="AX1775" s="83">
        <f>SUM(Prog_23[[#This Row],[ADIANTAMENTO]]+Prog_23[[#This Row],[SALDO]]+Prog_23[[#This Row],[MARGEM]]+Prog_23[[#This Row],[ESTADIA 1]])</f>
        <v>0</v>
      </c>
      <c r="AY17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75" s="81"/>
      <c r="BA1775" s="81"/>
      <c r="BB1775" s="81">
        <f>Prog_23[[#This Row],[VLR NF]]*0.1%</f>
        <v>0</v>
      </c>
      <c r="BC1775" s="81">
        <f>Prog_23[[#This Row],[VLR NF]]*0.05%</f>
        <v>0</v>
      </c>
      <c r="BD1775" s="81"/>
      <c r="BE1775" s="81"/>
      <c r="BF1775" s="81"/>
      <c r="BG1775" s="81"/>
      <c r="BH1775" s="81"/>
      <c r="BI1775" s="81"/>
      <c r="BJ1775" s="81"/>
      <c r="BK1775" s="81"/>
      <c r="BL1775" s="81"/>
      <c r="BM1775" s="81"/>
      <c r="BN1775" s="66"/>
      <c r="BO1775" s="66"/>
      <c r="BP1775" s="66"/>
      <c r="BQ1775" s="66" t="str">
        <f>PROPER(TEXT(Prog_23[[#This Row],[PROGRAMAÇÃO CLIENTE]],"mmm"))</f>
        <v>Jan</v>
      </c>
      <c r="BR1775" s="66">
        <f>YEAR(Prog_23[[#This Row],[PROGRAMAÇÃO CLIENTE]])</f>
        <v>1900</v>
      </c>
    </row>
    <row r="1776" spans="1:70" x14ac:dyDescent="0.25">
      <c r="A1776" s="201">
        <f>Prog_23[[#This Row],[CONTEINER]]</f>
        <v>0</v>
      </c>
      <c r="B1776" s="86"/>
      <c r="C17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76" s="44"/>
      <c r="E1776" s="66"/>
      <c r="F1776" s="66"/>
      <c r="G1776" s="66"/>
      <c r="H1776" s="44"/>
      <c r="I1776" s="44"/>
      <c r="J1776" s="66"/>
      <c r="K1776" s="66"/>
      <c r="L1776" s="66"/>
      <c r="M1776" s="66"/>
      <c r="N1776" s="66">
        <f>SUM(Prog_23[[#This Row],[TARA]]+Prog_23[[#This Row],[PESO]])</f>
        <v>0</v>
      </c>
      <c r="O1776" s="44"/>
      <c r="P1776" s="66"/>
      <c r="Q1776" s="66"/>
      <c r="R1776" s="66"/>
      <c r="S1776" s="66"/>
      <c r="T1776" s="138" t="str">
        <f>IFERROR(LOOKUP($S1776,MOTORISTAS!$D$3:$D$916,MOTORISTAS!E$3:$E$916),"")</f>
        <v/>
      </c>
      <c r="U1776" s="138" t="str">
        <f>IFERROR(LOOKUP($S1776,MOTORISTAS!$D$3:$D$916,MOTORISTAS!F$3:$F$916),"")</f>
        <v/>
      </c>
      <c r="V1776" s="66"/>
      <c r="W1776" s="66"/>
      <c r="X1776" s="66"/>
      <c r="Y1776" s="66"/>
      <c r="Z1776" s="66"/>
      <c r="AA1776" s="66"/>
      <c r="AB1776" s="66"/>
      <c r="AC1776" s="66"/>
      <c r="AD1776" s="66"/>
      <c r="AE1776" s="66"/>
      <c r="AF1776" s="44"/>
      <c r="AG1776" s="254">
        <f>Prog_23[[#This Row],[SAÍDA DO CLIENTE]]-Prog_23[[#This Row],[PROGRAMAÇÃO CLIENTE]]</f>
        <v>0</v>
      </c>
      <c r="AH1776" s="44"/>
      <c r="AI1776" s="66"/>
      <c r="AJ1776" s="66"/>
      <c r="AK1776" s="66"/>
      <c r="AL1776" s="66"/>
      <c r="AM1776" s="66"/>
      <c r="AN1776" s="83"/>
      <c r="AO1776" s="83"/>
      <c r="AP1776" s="83"/>
      <c r="AQ1776" s="66"/>
      <c r="AR1776" s="66"/>
      <c r="AS1776" s="66"/>
      <c r="AT1776" s="81"/>
      <c r="AU1776" s="81"/>
      <c r="AV1776" s="81"/>
      <c r="AW1776" s="81"/>
      <c r="AX1776" s="83">
        <f>SUM(Prog_23[[#This Row],[ADIANTAMENTO]]+Prog_23[[#This Row],[SALDO]]+Prog_23[[#This Row],[MARGEM]]+Prog_23[[#This Row],[ESTADIA 1]])</f>
        <v>0</v>
      </c>
      <c r="AY17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76" s="81"/>
      <c r="BA1776" s="81"/>
      <c r="BB1776" s="81">
        <f>Prog_23[[#This Row],[VLR NF]]*0.1%</f>
        <v>0</v>
      </c>
      <c r="BC1776" s="81">
        <f>Prog_23[[#This Row],[VLR NF]]*0.05%</f>
        <v>0</v>
      </c>
      <c r="BD1776" s="81"/>
      <c r="BE1776" s="81"/>
      <c r="BF1776" s="81"/>
      <c r="BG1776" s="81"/>
      <c r="BH1776" s="81"/>
      <c r="BI1776" s="81"/>
      <c r="BJ1776" s="81"/>
      <c r="BK1776" s="81"/>
      <c r="BL1776" s="81"/>
      <c r="BM1776" s="81"/>
      <c r="BN1776" s="66"/>
      <c r="BO1776" s="66"/>
      <c r="BP1776" s="66"/>
      <c r="BQ1776" s="66" t="str">
        <f>PROPER(TEXT(Prog_23[[#This Row],[PROGRAMAÇÃO CLIENTE]],"mmm"))</f>
        <v>Jan</v>
      </c>
      <c r="BR1776" s="66">
        <f>YEAR(Prog_23[[#This Row],[PROGRAMAÇÃO CLIENTE]])</f>
        <v>1900</v>
      </c>
    </row>
    <row r="1777" spans="1:70" x14ac:dyDescent="0.25">
      <c r="A1777" s="200">
        <f>Prog_23[[#This Row],[CONTEINER]]</f>
        <v>0</v>
      </c>
      <c r="B1777" s="86"/>
      <c r="C17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77" s="44"/>
      <c r="E1777" s="66"/>
      <c r="F1777" s="66"/>
      <c r="G1777" s="66"/>
      <c r="H1777" s="44"/>
      <c r="I1777" s="44"/>
      <c r="J1777" s="66"/>
      <c r="K1777" s="66"/>
      <c r="L1777" s="66"/>
      <c r="M1777" s="66"/>
      <c r="N1777" s="66">
        <f>SUM(Prog_23[[#This Row],[TARA]]+Prog_23[[#This Row],[PESO]])</f>
        <v>0</v>
      </c>
      <c r="O1777" s="44"/>
      <c r="P1777" s="66"/>
      <c r="Q1777" s="66"/>
      <c r="R1777" s="66"/>
      <c r="S1777" s="66"/>
      <c r="T1777" s="138" t="str">
        <f>IFERROR(LOOKUP($S1777,MOTORISTAS!$D$3:$D$916,MOTORISTAS!E$3:$E$916),"")</f>
        <v/>
      </c>
      <c r="U1777" s="138" t="str">
        <f>IFERROR(LOOKUP($S1777,MOTORISTAS!$D$3:$D$916,MOTORISTAS!F$3:$F$916),"")</f>
        <v/>
      </c>
      <c r="V1777" s="66"/>
      <c r="W1777" s="66"/>
      <c r="X1777" s="66"/>
      <c r="Y1777" s="66"/>
      <c r="Z1777" s="66"/>
      <c r="AA1777" s="66"/>
      <c r="AB1777" s="66"/>
      <c r="AC1777" s="66"/>
      <c r="AD1777" s="66"/>
      <c r="AE1777" s="66"/>
      <c r="AF1777" s="44"/>
      <c r="AG1777" s="254">
        <f>Prog_23[[#This Row],[SAÍDA DO CLIENTE]]-Prog_23[[#This Row],[PROGRAMAÇÃO CLIENTE]]</f>
        <v>0</v>
      </c>
      <c r="AH1777" s="44"/>
      <c r="AI1777" s="66"/>
      <c r="AJ1777" s="66"/>
      <c r="AK1777" s="66"/>
      <c r="AL1777" s="66"/>
      <c r="AM1777" s="66"/>
      <c r="AN1777" s="83"/>
      <c r="AO1777" s="83"/>
      <c r="AP1777" s="83"/>
      <c r="AQ1777" s="66"/>
      <c r="AR1777" s="66"/>
      <c r="AS1777" s="66"/>
      <c r="AT1777" s="81"/>
      <c r="AU1777" s="81"/>
      <c r="AV1777" s="81"/>
      <c r="AW1777" s="81"/>
      <c r="AX1777" s="83">
        <f>SUM(Prog_23[[#This Row],[ADIANTAMENTO]]+Prog_23[[#This Row],[SALDO]]+Prog_23[[#This Row],[MARGEM]]+Prog_23[[#This Row],[ESTADIA 1]])</f>
        <v>0</v>
      </c>
      <c r="AY17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77" s="81"/>
      <c r="BA1777" s="81"/>
      <c r="BB1777" s="81">
        <f>Prog_23[[#This Row],[VLR NF]]*0.1%</f>
        <v>0</v>
      </c>
      <c r="BC1777" s="81">
        <f>Prog_23[[#This Row],[VLR NF]]*0.05%</f>
        <v>0</v>
      </c>
      <c r="BD1777" s="81"/>
      <c r="BE1777" s="81"/>
      <c r="BF1777" s="81"/>
      <c r="BG1777" s="81"/>
      <c r="BH1777" s="81"/>
      <c r="BI1777" s="81"/>
      <c r="BJ1777" s="81"/>
      <c r="BK1777" s="81"/>
      <c r="BL1777" s="81"/>
      <c r="BM1777" s="81"/>
      <c r="BN1777" s="66"/>
      <c r="BO1777" s="66"/>
      <c r="BP1777" s="66"/>
      <c r="BQ1777" s="66" t="str">
        <f>PROPER(TEXT(Prog_23[[#This Row],[PROGRAMAÇÃO CLIENTE]],"mmm"))</f>
        <v>Jan</v>
      </c>
      <c r="BR1777" s="66">
        <f>YEAR(Prog_23[[#This Row],[PROGRAMAÇÃO CLIENTE]])</f>
        <v>1900</v>
      </c>
    </row>
    <row r="1778" spans="1:70" x14ac:dyDescent="0.25">
      <c r="A1778" s="201">
        <f>Prog_23[[#This Row],[CONTEINER]]</f>
        <v>0</v>
      </c>
      <c r="B1778" s="86"/>
      <c r="C17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78" s="44"/>
      <c r="E1778" s="66"/>
      <c r="F1778" s="66"/>
      <c r="G1778" s="66"/>
      <c r="H1778" s="44"/>
      <c r="I1778" s="44"/>
      <c r="J1778" s="66"/>
      <c r="K1778" s="66"/>
      <c r="L1778" s="66"/>
      <c r="M1778" s="66"/>
      <c r="N1778" s="66">
        <f>SUM(Prog_23[[#This Row],[TARA]]+Prog_23[[#This Row],[PESO]])</f>
        <v>0</v>
      </c>
      <c r="O1778" s="44"/>
      <c r="P1778" s="66"/>
      <c r="Q1778" s="66"/>
      <c r="R1778" s="66"/>
      <c r="S1778" s="66"/>
      <c r="T1778" s="138" t="str">
        <f>IFERROR(LOOKUP($S1778,MOTORISTAS!$D$3:$D$916,MOTORISTAS!E$3:$E$916),"")</f>
        <v/>
      </c>
      <c r="U1778" s="138" t="str">
        <f>IFERROR(LOOKUP($S1778,MOTORISTAS!$D$3:$D$916,MOTORISTAS!F$3:$F$916),"")</f>
        <v/>
      </c>
      <c r="V1778" s="66"/>
      <c r="W1778" s="66"/>
      <c r="X1778" s="66"/>
      <c r="Y1778" s="66"/>
      <c r="Z1778" s="66"/>
      <c r="AA1778" s="66"/>
      <c r="AB1778" s="66"/>
      <c r="AC1778" s="66"/>
      <c r="AD1778" s="66"/>
      <c r="AE1778" s="66"/>
      <c r="AF1778" s="44"/>
      <c r="AG1778" s="254">
        <f>Prog_23[[#This Row],[SAÍDA DO CLIENTE]]-Prog_23[[#This Row],[PROGRAMAÇÃO CLIENTE]]</f>
        <v>0</v>
      </c>
      <c r="AH1778" s="44"/>
      <c r="AI1778" s="66"/>
      <c r="AJ1778" s="66"/>
      <c r="AK1778" s="66"/>
      <c r="AL1778" s="66"/>
      <c r="AM1778" s="66"/>
      <c r="AN1778" s="83"/>
      <c r="AO1778" s="83"/>
      <c r="AP1778" s="83"/>
      <c r="AQ1778" s="66"/>
      <c r="AR1778" s="66"/>
      <c r="AS1778" s="66"/>
      <c r="AT1778" s="81"/>
      <c r="AU1778" s="81"/>
      <c r="AV1778" s="81"/>
      <c r="AW1778" s="81"/>
      <c r="AX1778" s="83">
        <f>SUM(Prog_23[[#This Row],[ADIANTAMENTO]]+Prog_23[[#This Row],[SALDO]]+Prog_23[[#This Row],[MARGEM]]+Prog_23[[#This Row],[ESTADIA 1]])</f>
        <v>0</v>
      </c>
      <c r="AY17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78" s="81"/>
      <c r="BA1778" s="81"/>
      <c r="BB1778" s="81">
        <f>Prog_23[[#This Row],[VLR NF]]*0.1%</f>
        <v>0</v>
      </c>
      <c r="BC1778" s="81">
        <f>Prog_23[[#This Row],[VLR NF]]*0.05%</f>
        <v>0</v>
      </c>
      <c r="BD1778" s="81"/>
      <c r="BE1778" s="81"/>
      <c r="BF1778" s="81"/>
      <c r="BG1778" s="81"/>
      <c r="BH1778" s="81"/>
      <c r="BI1778" s="81"/>
      <c r="BJ1778" s="81"/>
      <c r="BK1778" s="81"/>
      <c r="BL1778" s="81"/>
      <c r="BM1778" s="81"/>
      <c r="BN1778" s="66"/>
      <c r="BO1778" s="66"/>
      <c r="BP1778" s="66"/>
      <c r="BQ1778" s="66" t="str">
        <f>PROPER(TEXT(Prog_23[[#This Row],[PROGRAMAÇÃO CLIENTE]],"mmm"))</f>
        <v>Jan</v>
      </c>
      <c r="BR1778" s="66">
        <f>YEAR(Prog_23[[#This Row],[PROGRAMAÇÃO CLIENTE]])</f>
        <v>1900</v>
      </c>
    </row>
    <row r="1779" spans="1:70" x14ac:dyDescent="0.25">
      <c r="A1779" s="200">
        <f>Prog_23[[#This Row],[CONTEINER]]</f>
        <v>0</v>
      </c>
      <c r="B1779" s="86"/>
      <c r="C17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79" s="44"/>
      <c r="E1779" s="66"/>
      <c r="F1779" s="66"/>
      <c r="G1779" s="66"/>
      <c r="H1779" s="44"/>
      <c r="I1779" s="44"/>
      <c r="J1779" s="66"/>
      <c r="K1779" s="66"/>
      <c r="L1779" s="66"/>
      <c r="M1779" s="66"/>
      <c r="N1779" s="66">
        <f>SUM(Prog_23[[#This Row],[TARA]]+Prog_23[[#This Row],[PESO]])</f>
        <v>0</v>
      </c>
      <c r="O1779" s="44"/>
      <c r="P1779" s="66"/>
      <c r="Q1779" s="66"/>
      <c r="R1779" s="66"/>
      <c r="S1779" s="66"/>
      <c r="T1779" s="138" t="str">
        <f>IFERROR(LOOKUP($S1779,MOTORISTAS!$D$3:$D$916,MOTORISTAS!E$3:$E$916),"")</f>
        <v/>
      </c>
      <c r="U1779" s="138" t="str">
        <f>IFERROR(LOOKUP($S1779,MOTORISTAS!$D$3:$D$916,MOTORISTAS!F$3:$F$916),"")</f>
        <v/>
      </c>
      <c r="V1779" s="66"/>
      <c r="W1779" s="66"/>
      <c r="X1779" s="66"/>
      <c r="Y1779" s="66"/>
      <c r="Z1779" s="66"/>
      <c r="AA1779" s="66"/>
      <c r="AB1779" s="66"/>
      <c r="AC1779" s="66"/>
      <c r="AD1779" s="66"/>
      <c r="AE1779" s="66"/>
      <c r="AF1779" s="44"/>
      <c r="AG1779" s="254">
        <f>Prog_23[[#This Row],[SAÍDA DO CLIENTE]]-Prog_23[[#This Row],[PROGRAMAÇÃO CLIENTE]]</f>
        <v>0</v>
      </c>
      <c r="AH1779" s="44"/>
      <c r="AI1779" s="66"/>
      <c r="AJ1779" s="66"/>
      <c r="AK1779" s="66"/>
      <c r="AL1779" s="66"/>
      <c r="AM1779" s="66"/>
      <c r="AN1779" s="83"/>
      <c r="AO1779" s="83"/>
      <c r="AP1779" s="83"/>
      <c r="AQ1779" s="66"/>
      <c r="AR1779" s="66"/>
      <c r="AS1779" s="66"/>
      <c r="AT1779" s="81"/>
      <c r="AU1779" s="81"/>
      <c r="AV1779" s="81"/>
      <c r="AW1779" s="81"/>
      <c r="AX1779" s="83">
        <f>SUM(Prog_23[[#This Row],[ADIANTAMENTO]]+Prog_23[[#This Row],[SALDO]]+Prog_23[[#This Row],[MARGEM]]+Prog_23[[#This Row],[ESTADIA 1]])</f>
        <v>0</v>
      </c>
      <c r="AY17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79" s="81"/>
      <c r="BA1779" s="81"/>
      <c r="BB1779" s="81">
        <f>Prog_23[[#This Row],[VLR NF]]*0.1%</f>
        <v>0</v>
      </c>
      <c r="BC1779" s="81">
        <f>Prog_23[[#This Row],[VLR NF]]*0.05%</f>
        <v>0</v>
      </c>
      <c r="BD1779" s="81"/>
      <c r="BE1779" s="81"/>
      <c r="BF1779" s="81"/>
      <c r="BG1779" s="81"/>
      <c r="BH1779" s="81"/>
      <c r="BI1779" s="81"/>
      <c r="BJ1779" s="81"/>
      <c r="BK1779" s="81"/>
      <c r="BL1779" s="81"/>
      <c r="BM1779" s="81"/>
      <c r="BN1779" s="66"/>
      <c r="BO1779" s="66"/>
      <c r="BP1779" s="66"/>
      <c r="BQ1779" s="66" t="str">
        <f>PROPER(TEXT(Prog_23[[#This Row],[PROGRAMAÇÃO CLIENTE]],"mmm"))</f>
        <v>Jan</v>
      </c>
      <c r="BR1779" s="66">
        <f>YEAR(Prog_23[[#This Row],[PROGRAMAÇÃO CLIENTE]])</f>
        <v>1900</v>
      </c>
    </row>
    <row r="1780" spans="1:70" x14ac:dyDescent="0.25">
      <c r="A1780" s="201">
        <f>Prog_23[[#This Row],[CONTEINER]]</f>
        <v>0</v>
      </c>
      <c r="B1780" s="86"/>
      <c r="C17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80" s="44"/>
      <c r="E1780" s="66"/>
      <c r="F1780" s="66"/>
      <c r="G1780" s="66"/>
      <c r="H1780" s="44"/>
      <c r="I1780" s="44"/>
      <c r="J1780" s="66"/>
      <c r="K1780" s="66"/>
      <c r="L1780" s="66"/>
      <c r="M1780" s="66"/>
      <c r="N1780" s="66">
        <f>SUM(Prog_23[[#This Row],[TARA]]+Prog_23[[#This Row],[PESO]])</f>
        <v>0</v>
      </c>
      <c r="O1780" s="44"/>
      <c r="P1780" s="66"/>
      <c r="Q1780" s="66"/>
      <c r="R1780" s="66"/>
      <c r="S1780" s="66"/>
      <c r="T1780" s="138" t="str">
        <f>IFERROR(LOOKUP($S1780,MOTORISTAS!$D$3:$D$916,MOTORISTAS!E$3:$E$916),"")</f>
        <v/>
      </c>
      <c r="U1780" s="138" t="str">
        <f>IFERROR(LOOKUP($S1780,MOTORISTAS!$D$3:$D$916,MOTORISTAS!F$3:$F$916),"")</f>
        <v/>
      </c>
      <c r="V1780" s="66"/>
      <c r="W1780" s="66"/>
      <c r="X1780" s="66"/>
      <c r="Y1780" s="66"/>
      <c r="Z1780" s="66"/>
      <c r="AA1780" s="66"/>
      <c r="AB1780" s="66"/>
      <c r="AC1780" s="66"/>
      <c r="AD1780" s="66"/>
      <c r="AE1780" s="66"/>
      <c r="AF1780" s="44"/>
      <c r="AG1780" s="254">
        <f>Prog_23[[#This Row],[SAÍDA DO CLIENTE]]-Prog_23[[#This Row],[PROGRAMAÇÃO CLIENTE]]</f>
        <v>0</v>
      </c>
      <c r="AH1780" s="44"/>
      <c r="AI1780" s="66"/>
      <c r="AJ1780" s="66"/>
      <c r="AK1780" s="66"/>
      <c r="AL1780" s="66"/>
      <c r="AM1780" s="66"/>
      <c r="AN1780" s="83"/>
      <c r="AO1780" s="83"/>
      <c r="AP1780" s="83"/>
      <c r="AQ1780" s="66"/>
      <c r="AR1780" s="66"/>
      <c r="AS1780" s="66"/>
      <c r="AT1780" s="81"/>
      <c r="AU1780" s="81"/>
      <c r="AV1780" s="81"/>
      <c r="AW1780" s="81"/>
      <c r="AX1780" s="83">
        <f>SUM(Prog_23[[#This Row],[ADIANTAMENTO]]+Prog_23[[#This Row],[SALDO]]+Prog_23[[#This Row],[MARGEM]]+Prog_23[[#This Row],[ESTADIA 1]])</f>
        <v>0</v>
      </c>
      <c r="AY17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80" s="81"/>
      <c r="BA1780" s="81"/>
      <c r="BB1780" s="81">
        <f>Prog_23[[#This Row],[VLR NF]]*0.1%</f>
        <v>0</v>
      </c>
      <c r="BC1780" s="81">
        <f>Prog_23[[#This Row],[VLR NF]]*0.05%</f>
        <v>0</v>
      </c>
      <c r="BD1780" s="81"/>
      <c r="BE1780" s="81"/>
      <c r="BF1780" s="81"/>
      <c r="BG1780" s="81"/>
      <c r="BH1780" s="81"/>
      <c r="BI1780" s="81"/>
      <c r="BJ1780" s="81"/>
      <c r="BK1780" s="81"/>
      <c r="BL1780" s="81"/>
      <c r="BM1780" s="81"/>
      <c r="BN1780" s="66"/>
      <c r="BO1780" s="66"/>
      <c r="BP1780" s="66"/>
      <c r="BQ1780" s="66" t="str">
        <f>PROPER(TEXT(Prog_23[[#This Row],[PROGRAMAÇÃO CLIENTE]],"mmm"))</f>
        <v>Jan</v>
      </c>
      <c r="BR1780" s="66">
        <f>YEAR(Prog_23[[#This Row],[PROGRAMAÇÃO CLIENTE]])</f>
        <v>1900</v>
      </c>
    </row>
    <row r="1781" spans="1:70" x14ac:dyDescent="0.25">
      <c r="A1781" s="200">
        <f>Prog_23[[#This Row],[CONTEINER]]</f>
        <v>0</v>
      </c>
      <c r="B1781" s="86"/>
      <c r="C17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81" s="44"/>
      <c r="E1781" s="66"/>
      <c r="F1781" s="66"/>
      <c r="G1781" s="66"/>
      <c r="H1781" s="44"/>
      <c r="I1781" s="44"/>
      <c r="J1781" s="66"/>
      <c r="K1781" s="66"/>
      <c r="L1781" s="66"/>
      <c r="M1781" s="66"/>
      <c r="N1781" s="66">
        <f>SUM(Prog_23[[#This Row],[TARA]]+Prog_23[[#This Row],[PESO]])</f>
        <v>0</v>
      </c>
      <c r="O1781" s="44"/>
      <c r="P1781" s="66"/>
      <c r="Q1781" s="66"/>
      <c r="R1781" s="66"/>
      <c r="S1781" s="66"/>
      <c r="T1781" s="138" t="str">
        <f>IFERROR(LOOKUP($S1781,MOTORISTAS!$D$3:$D$916,MOTORISTAS!E$3:$E$916),"")</f>
        <v/>
      </c>
      <c r="U1781" s="138" t="str">
        <f>IFERROR(LOOKUP($S1781,MOTORISTAS!$D$3:$D$916,MOTORISTAS!F$3:$F$916),"")</f>
        <v/>
      </c>
      <c r="V1781" s="66"/>
      <c r="W1781" s="66"/>
      <c r="X1781" s="66"/>
      <c r="Y1781" s="66"/>
      <c r="Z1781" s="66"/>
      <c r="AA1781" s="66"/>
      <c r="AB1781" s="66"/>
      <c r="AC1781" s="66"/>
      <c r="AD1781" s="66"/>
      <c r="AE1781" s="66"/>
      <c r="AF1781" s="44"/>
      <c r="AG1781" s="254">
        <f>Prog_23[[#This Row],[SAÍDA DO CLIENTE]]-Prog_23[[#This Row],[PROGRAMAÇÃO CLIENTE]]</f>
        <v>0</v>
      </c>
      <c r="AH1781" s="44"/>
      <c r="AI1781" s="66"/>
      <c r="AJ1781" s="66"/>
      <c r="AK1781" s="66"/>
      <c r="AL1781" s="66"/>
      <c r="AM1781" s="66"/>
      <c r="AN1781" s="83"/>
      <c r="AO1781" s="83"/>
      <c r="AP1781" s="83"/>
      <c r="AQ1781" s="66"/>
      <c r="AR1781" s="66"/>
      <c r="AS1781" s="66"/>
      <c r="AT1781" s="81"/>
      <c r="AU1781" s="81"/>
      <c r="AV1781" s="81"/>
      <c r="AW1781" s="81"/>
      <c r="AX1781" s="83">
        <f>SUM(Prog_23[[#This Row],[ADIANTAMENTO]]+Prog_23[[#This Row],[SALDO]]+Prog_23[[#This Row],[MARGEM]]+Prog_23[[#This Row],[ESTADIA 1]])</f>
        <v>0</v>
      </c>
      <c r="AY17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81" s="81"/>
      <c r="BA1781" s="81"/>
      <c r="BB1781" s="81">
        <f>Prog_23[[#This Row],[VLR NF]]*0.1%</f>
        <v>0</v>
      </c>
      <c r="BC1781" s="81">
        <f>Prog_23[[#This Row],[VLR NF]]*0.05%</f>
        <v>0</v>
      </c>
      <c r="BD1781" s="81"/>
      <c r="BE1781" s="81"/>
      <c r="BF1781" s="81"/>
      <c r="BG1781" s="81"/>
      <c r="BH1781" s="81"/>
      <c r="BI1781" s="81"/>
      <c r="BJ1781" s="81"/>
      <c r="BK1781" s="81"/>
      <c r="BL1781" s="81"/>
      <c r="BM1781" s="81"/>
      <c r="BN1781" s="66"/>
      <c r="BO1781" s="66"/>
      <c r="BP1781" s="66"/>
      <c r="BQ1781" s="66" t="str">
        <f>PROPER(TEXT(Prog_23[[#This Row],[PROGRAMAÇÃO CLIENTE]],"mmm"))</f>
        <v>Jan</v>
      </c>
      <c r="BR1781" s="66">
        <f>YEAR(Prog_23[[#This Row],[PROGRAMAÇÃO CLIENTE]])</f>
        <v>1900</v>
      </c>
    </row>
    <row r="1782" spans="1:70" x14ac:dyDescent="0.25">
      <c r="A1782" s="201">
        <f>Prog_23[[#This Row],[CONTEINER]]</f>
        <v>0</v>
      </c>
      <c r="B1782" s="86"/>
      <c r="C17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82" s="44"/>
      <c r="E1782" s="66"/>
      <c r="F1782" s="66"/>
      <c r="G1782" s="66"/>
      <c r="H1782" s="44"/>
      <c r="I1782" s="44"/>
      <c r="J1782" s="66"/>
      <c r="K1782" s="66"/>
      <c r="L1782" s="66"/>
      <c r="M1782" s="66"/>
      <c r="N1782" s="66">
        <f>SUM(Prog_23[[#This Row],[TARA]]+Prog_23[[#This Row],[PESO]])</f>
        <v>0</v>
      </c>
      <c r="O1782" s="44"/>
      <c r="P1782" s="66"/>
      <c r="Q1782" s="66"/>
      <c r="R1782" s="66"/>
      <c r="S1782" s="66"/>
      <c r="T1782" s="138" t="str">
        <f>IFERROR(LOOKUP($S1782,MOTORISTAS!$D$3:$D$916,MOTORISTAS!E$3:$E$916),"")</f>
        <v/>
      </c>
      <c r="U1782" s="138" t="str">
        <f>IFERROR(LOOKUP($S1782,MOTORISTAS!$D$3:$D$916,MOTORISTAS!F$3:$F$916),"")</f>
        <v/>
      </c>
      <c r="V1782" s="66"/>
      <c r="W1782" s="66"/>
      <c r="X1782" s="66"/>
      <c r="Y1782" s="66"/>
      <c r="Z1782" s="66"/>
      <c r="AA1782" s="66"/>
      <c r="AB1782" s="66"/>
      <c r="AC1782" s="66"/>
      <c r="AD1782" s="66"/>
      <c r="AE1782" s="66"/>
      <c r="AF1782" s="44"/>
      <c r="AG1782" s="254">
        <f>Prog_23[[#This Row],[SAÍDA DO CLIENTE]]-Prog_23[[#This Row],[PROGRAMAÇÃO CLIENTE]]</f>
        <v>0</v>
      </c>
      <c r="AH1782" s="44"/>
      <c r="AI1782" s="66"/>
      <c r="AJ1782" s="66"/>
      <c r="AK1782" s="66"/>
      <c r="AL1782" s="66"/>
      <c r="AM1782" s="66"/>
      <c r="AN1782" s="83"/>
      <c r="AO1782" s="83"/>
      <c r="AP1782" s="83"/>
      <c r="AQ1782" s="66"/>
      <c r="AR1782" s="66"/>
      <c r="AS1782" s="66"/>
      <c r="AT1782" s="81"/>
      <c r="AU1782" s="81"/>
      <c r="AV1782" s="81"/>
      <c r="AW1782" s="81"/>
      <c r="AX1782" s="83">
        <f>SUM(Prog_23[[#This Row],[ADIANTAMENTO]]+Prog_23[[#This Row],[SALDO]]+Prog_23[[#This Row],[MARGEM]]+Prog_23[[#This Row],[ESTADIA 1]])</f>
        <v>0</v>
      </c>
      <c r="AY17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82" s="81"/>
      <c r="BA1782" s="81"/>
      <c r="BB1782" s="81">
        <f>Prog_23[[#This Row],[VLR NF]]*0.1%</f>
        <v>0</v>
      </c>
      <c r="BC1782" s="81">
        <f>Prog_23[[#This Row],[VLR NF]]*0.05%</f>
        <v>0</v>
      </c>
      <c r="BD1782" s="81"/>
      <c r="BE1782" s="81"/>
      <c r="BF1782" s="81"/>
      <c r="BG1782" s="81"/>
      <c r="BH1782" s="81"/>
      <c r="BI1782" s="81"/>
      <c r="BJ1782" s="81"/>
      <c r="BK1782" s="81"/>
      <c r="BL1782" s="81"/>
      <c r="BM1782" s="81"/>
      <c r="BN1782" s="66"/>
      <c r="BO1782" s="66"/>
      <c r="BP1782" s="66"/>
      <c r="BQ1782" s="66" t="str">
        <f>PROPER(TEXT(Prog_23[[#This Row],[PROGRAMAÇÃO CLIENTE]],"mmm"))</f>
        <v>Jan</v>
      </c>
      <c r="BR1782" s="66">
        <f>YEAR(Prog_23[[#This Row],[PROGRAMAÇÃO CLIENTE]])</f>
        <v>1900</v>
      </c>
    </row>
    <row r="1783" spans="1:70" x14ac:dyDescent="0.25">
      <c r="A1783" s="200">
        <f>Prog_23[[#This Row],[CONTEINER]]</f>
        <v>0</v>
      </c>
      <c r="B1783" s="86"/>
      <c r="C17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83" s="44"/>
      <c r="E1783" s="66"/>
      <c r="F1783" s="66"/>
      <c r="G1783" s="66"/>
      <c r="H1783" s="44"/>
      <c r="I1783" s="44"/>
      <c r="J1783" s="66"/>
      <c r="K1783" s="66"/>
      <c r="L1783" s="66"/>
      <c r="M1783" s="66"/>
      <c r="N1783" s="66">
        <f>SUM(Prog_23[[#This Row],[TARA]]+Prog_23[[#This Row],[PESO]])</f>
        <v>0</v>
      </c>
      <c r="O1783" s="44"/>
      <c r="P1783" s="66"/>
      <c r="Q1783" s="66"/>
      <c r="R1783" s="66"/>
      <c r="S1783" s="66"/>
      <c r="T1783" s="138" t="str">
        <f>IFERROR(LOOKUP($S1783,MOTORISTAS!$D$3:$D$916,MOTORISTAS!E$3:$E$916),"")</f>
        <v/>
      </c>
      <c r="U1783" s="138" t="str">
        <f>IFERROR(LOOKUP($S1783,MOTORISTAS!$D$3:$D$916,MOTORISTAS!F$3:$F$916),"")</f>
        <v/>
      </c>
      <c r="V1783" s="66"/>
      <c r="W1783" s="66"/>
      <c r="X1783" s="66"/>
      <c r="Y1783" s="66"/>
      <c r="Z1783" s="66"/>
      <c r="AA1783" s="66"/>
      <c r="AB1783" s="66"/>
      <c r="AC1783" s="66"/>
      <c r="AD1783" s="66"/>
      <c r="AE1783" s="66"/>
      <c r="AF1783" s="44"/>
      <c r="AG1783" s="254">
        <f>Prog_23[[#This Row],[SAÍDA DO CLIENTE]]-Prog_23[[#This Row],[PROGRAMAÇÃO CLIENTE]]</f>
        <v>0</v>
      </c>
      <c r="AH1783" s="44"/>
      <c r="AI1783" s="66"/>
      <c r="AJ1783" s="66"/>
      <c r="AK1783" s="66"/>
      <c r="AL1783" s="66"/>
      <c r="AM1783" s="66"/>
      <c r="AN1783" s="83"/>
      <c r="AO1783" s="83"/>
      <c r="AP1783" s="83"/>
      <c r="AQ1783" s="66"/>
      <c r="AR1783" s="66"/>
      <c r="AS1783" s="66"/>
      <c r="AT1783" s="81"/>
      <c r="AU1783" s="81"/>
      <c r="AV1783" s="81"/>
      <c r="AW1783" s="81"/>
      <c r="AX1783" s="83">
        <f>SUM(Prog_23[[#This Row],[ADIANTAMENTO]]+Prog_23[[#This Row],[SALDO]]+Prog_23[[#This Row],[MARGEM]]+Prog_23[[#This Row],[ESTADIA 1]])</f>
        <v>0</v>
      </c>
      <c r="AY17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83" s="81"/>
      <c r="BA1783" s="81"/>
      <c r="BB1783" s="81">
        <f>Prog_23[[#This Row],[VLR NF]]*0.1%</f>
        <v>0</v>
      </c>
      <c r="BC1783" s="81">
        <f>Prog_23[[#This Row],[VLR NF]]*0.05%</f>
        <v>0</v>
      </c>
      <c r="BD1783" s="81"/>
      <c r="BE1783" s="81"/>
      <c r="BF1783" s="81"/>
      <c r="BG1783" s="81"/>
      <c r="BH1783" s="81"/>
      <c r="BI1783" s="81"/>
      <c r="BJ1783" s="81"/>
      <c r="BK1783" s="81"/>
      <c r="BL1783" s="81"/>
      <c r="BM1783" s="81"/>
      <c r="BN1783" s="66"/>
      <c r="BO1783" s="66"/>
      <c r="BP1783" s="66"/>
      <c r="BQ1783" s="66" t="str">
        <f>PROPER(TEXT(Prog_23[[#This Row],[PROGRAMAÇÃO CLIENTE]],"mmm"))</f>
        <v>Jan</v>
      </c>
      <c r="BR1783" s="66">
        <f>YEAR(Prog_23[[#This Row],[PROGRAMAÇÃO CLIENTE]])</f>
        <v>1900</v>
      </c>
    </row>
    <row r="1784" spans="1:70" x14ac:dyDescent="0.25">
      <c r="A1784" s="201">
        <f>Prog_23[[#This Row],[CONTEINER]]</f>
        <v>0</v>
      </c>
      <c r="B1784" s="86"/>
      <c r="C17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84" s="44"/>
      <c r="E1784" s="66"/>
      <c r="F1784" s="66"/>
      <c r="G1784" s="66"/>
      <c r="H1784" s="44"/>
      <c r="I1784" s="44"/>
      <c r="J1784" s="66"/>
      <c r="K1784" s="66"/>
      <c r="L1784" s="66"/>
      <c r="M1784" s="66"/>
      <c r="N1784" s="66">
        <f>SUM(Prog_23[[#This Row],[TARA]]+Prog_23[[#This Row],[PESO]])</f>
        <v>0</v>
      </c>
      <c r="O1784" s="44"/>
      <c r="P1784" s="66"/>
      <c r="Q1784" s="66"/>
      <c r="R1784" s="66"/>
      <c r="S1784" s="66"/>
      <c r="T1784" s="138" t="str">
        <f>IFERROR(LOOKUP($S1784,MOTORISTAS!$D$3:$D$916,MOTORISTAS!E$3:$E$916),"")</f>
        <v/>
      </c>
      <c r="U1784" s="138" t="str">
        <f>IFERROR(LOOKUP($S1784,MOTORISTAS!$D$3:$D$916,MOTORISTAS!F$3:$F$916),"")</f>
        <v/>
      </c>
      <c r="V1784" s="66"/>
      <c r="W1784" s="66"/>
      <c r="X1784" s="66"/>
      <c r="Y1784" s="66"/>
      <c r="Z1784" s="66"/>
      <c r="AA1784" s="66"/>
      <c r="AB1784" s="66"/>
      <c r="AC1784" s="66"/>
      <c r="AD1784" s="66"/>
      <c r="AE1784" s="66"/>
      <c r="AF1784" s="44"/>
      <c r="AG1784" s="254">
        <f>Prog_23[[#This Row],[SAÍDA DO CLIENTE]]-Prog_23[[#This Row],[PROGRAMAÇÃO CLIENTE]]</f>
        <v>0</v>
      </c>
      <c r="AH1784" s="44"/>
      <c r="AI1784" s="66"/>
      <c r="AJ1784" s="66"/>
      <c r="AK1784" s="66"/>
      <c r="AL1784" s="66"/>
      <c r="AM1784" s="66"/>
      <c r="AN1784" s="83"/>
      <c r="AO1784" s="83"/>
      <c r="AP1784" s="83"/>
      <c r="AQ1784" s="66"/>
      <c r="AR1784" s="66"/>
      <c r="AS1784" s="66"/>
      <c r="AT1784" s="81"/>
      <c r="AU1784" s="81"/>
      <c r="AV1784" s="81"/>
      <c r="AW1784" s="81"/>
      <c r="AX1784" s="83">
        <f>SUM(Prog_23[[#This Row],[ADIANTAMENTO]]+Prog_23[[#This Row],[SALDO]]+Prog_23[[#This Row],[MARGEM]]+Prog_23[[#This Row],[ESTADIA 1]])</f>
        <v>0</v>
      </c>
      <c r="AY17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84" s="81"/>
      <c r="BA1784" s="81"/>
      <c r="BB1784" s="81">
        <f>Prog_23[[#This Row],[VLR NF]]*0.1%</f>
        <v>0</v>
      </c>
      <c r="BC1784" s="81">
        <f>Prog_23[[#This Row],[VLR NF]]*0.05%</f>
        <v>0</v>
      </c>
      <c r="BD1784" s="81"/>
      <c r="BE1784" s="81"/>
      <c r="BF1784" s="81"/>
      <c r="BG1784" s="81"/>
      <c r="BH1784" s="81"/>
      <c r="BI1784" s="81"/>
      <c r="BJ1784" s="81"/>
      <c r="BK1784" s="81"/>
      <c r="BL1784" s="81"/>
      <c r="BM1784" s="81"/>
      <c r="BN1784" s="66"/>
      <c r="BO1784" s="66"/>
      <c r="BP1784" s="66"/>
      <c r="BQ1784" s="66" t="str">
        <f>PROPER(TEXT(Prog_23[[#This Row],[PROGRAMAÇÃO CLIENTE]],"mmm"))</f>
        <v>Jan</v>
      </c>
      <c r="BR1784" s="66">
        <f>YEAR(Prog_23[[#This Row],[PROGRAMAÇÃO CLIENTE]])</f>
        <v>1900</v>
      </c>
    </row>
    <row r="1785" spans="1:70" x14ac:dyDescent="0.25">
      <c r="A1785" s="200">
        <f>Prog_23[[#This Row],[CONTEINER]]</f>
        <v>0</v>
      </c>
      <c r="B1785" s="86"/>
      <c r="C17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85" s="44"/>
      <c r="E1785" s="66"/>
      <c r="F1785" s="66"/>
      <c r="G1785" s="66"/>
      <c r="H1785" s="44"/>
      <c r="I1785" s="44"/>
      <c r="J1785" s="66"/>
      <c r="K1785" s="66"/>
      <c r="L1785" s="66"/>
      <c r="M1785" s="66"/>
      <c r="N1785" s="66">
        <f>SUM(Prog_23[[#This Row],[TARA]]+Prog_23[[#This Row],[PESO]])</f>
        <v>0</v>
      </c>
      <c r="O1785" s="44"/>
      <c r="P1785" s="66"/>
      <c r="Q1785" s="66"/>
      <c r="R1785" s="66"/>
      <c r="S1785" s="66"/>
      <c r="T1785" s="138" t="str">
        <f>IFERROR(LOOKUP($S1785,MOTORISTAS!$D$3:$D$916,MOTORISTAS!E$3:$E$916),"")</f>
        <v/>
      </c>
      <c r="U1785" s="138" t="str">
        <f>IFERROR(LOOKUP($S1785,MOTORISTAS!$D$3:$D$916,MOTORISTAS!F$3:$F$916),"")</f>
        <v/>
      </c>
      <c r="V1785" s="66"/>
      <c r="W1785" s="66"/>
      <c r="X1785" s="66"/>
      <c r="Y1785" s="66"/>
      <c r="Z1785" s="66"/>
      <c r="AA1785" s="66"/>
      <c r="AB1785" s="66"/>
      <c r="AC1785" s="66"/>
      <c r="AD1785" s="66"/>
      <c r="AE1785" s="66"/>
      <c r="AF1785" s="44"/>
      <c r="AG1785" s="254">
        <f>Prog_23[[#This Row],[SAÍDA DO CLIENTE]]-Prog_23[[#This Row],[PROGRAMAÇÃO CLIENTE]]</f>
        <v>0</v>
      </c>
      <c r="AH1785" s="44"/>
      <c r="AI1785" s="66"/>
      <c r="AJ1785" s="66"/>
      <c r="AK1785" s="66"/>
      <c r="AL1785" s="66"/>
      <c r="AM1785" s="66"/>
      <c r="AN1785" s="83"/>
      <c r="AO1785" s="83"/>
      <c r="AP1785" s="83"/>
      <c r="AQ1785" s="66"/>
      <c r="AR1785" s="66"/>
      <c r="AS1785" s="66"/>
      <c r="AT1785" s="81"/>
      <c r="AU1785" s="81"/>
      <c r="AV1785" s="81"/>
      <c r="AW1785" s="81"/>
      <c r="AX1785" s="83">
        <f>SUM(Prog_23[[#This Row],[ADIANTAMENTO]]+Prog_23[[#This Row],[SALDO]]+Prog_23[[#This Row],[MARGEM]]+Prog_23[[#This Row],[ESTADIA 1]])</f>
        <v>0</v>
      </c>
      <c r="AY17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85" s="81"/>
      <c r="BA1785" s="81"/>
      <c r="BB1785" s="81">
        <f>Prog_23[[#This Row],[VLR NF]]*0.1%</f>
        <v>0</v>
      </c>
      <c r="BC1785" s="81">
        <f>Prog_23[[#This Row],[VLR NF]]*0.05%</f>
        <v>0</v>
      </c>
      <c r="BD1785" s="81"/>
      <c r="BE1785" s="81"/>
      <c r="BF1785" s="81"/>
      <c r="BG1785" s="81"/>
      <c r="BH1785" s="81"/>
      <c r="BI1785" s="81"/>
      <c r="BJ1785" s="81"/>
      <c r="BK1785" s="81"/>
      <c r="BL1785" s="81"/>
      <c r="BM1785" s="81"/>
      <c r="BN1785" s="66"/>
      <c r="BO1785" s="66"/>
      <c r="BP1785" s="66"/>
      <c r="BQ1785" s="66" t="str">
        <f>PROPER(TEXT(Prog_23[[#This Row],[PROGRAMAÇÃO CLIENTE]],"mmm"))</f>
        <v>Jan</v>
      </c>
      <c r="BR1785" s="66">
        <f>YEAR(Prog_23[[#This Row],[PROGRAMAÇÃO CLIENTE]])</f>
        <v>1900</v>
      </c>
    </row>
    <row r="1786" spans="1:70" x14ac:dyDescent="0.25">
      <c r="A1786" s="201">
        <f>Prog_23[[#This Row],[CONTEINER]]</f>
        <v>0</v>
      </c>
      <c r="B1786" s="86"/>
      <c r="C17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86" s="44"/>
      <c r="E1786" s="66"/>
      <c r="F1786" s="66"/>
      <c r="G1786" s="66"/>
      <c r="H1786" s="44"/>
      <c r="I1786" s="44"/>
      <c r="J1786" s="66"/>
      <c r="K1786" s="66"/>
      <c r="L1786" s="66"/>
      <c r="M1786" s="66"/>
      <c r="N1786" s="66">
        <f>SUM(Prog_23[[#This Row],[TARA]]+Prog_23[[#This Row],[PESO]])</f>
        <v>0</v>
      </c>
      <c r="O1786" s="44"/>
      <c r="P1786" s="66"/>
      <c r="Q1786" s="66"/>
      <c r="R1786" s="66"/>
      <c r="S1786" s="66"/>
      <c r="T1786" s="138" t="str">
        <f>IFERROR(LOOKUP($S1786,MOTORISTAS!$D$3:$D$916,MOTORISTAS!E$3:$E$916),"")</f>
        <v/>
      </c>
      <c r="U1786" s="138" t="str">
        <f>IFERROR(LOOKUP($S1786,MOTORISTAS!$D$3:$D$916,MOTORISTAS!F$3:$F$916),"")</f>
        <v/>
      </c>
      <c r="V1786" s="66"/>
      <c r="W1786" s="66"/>
      <c r="X1786" s="66"/>
      <c r="Y1786" s="66"/>
      <c r="Z1786" s="66"/>
      <c r="AA1786" s="66"/>
      <c r="AB1786" s="66"/>
      <c r="AC1786" s="66"/>
      <c r="AD1786" s="66"/>
      <c r="AE1786" s="66"/>
      <c r="AF1786" s="44"/>
      <c r="AG1786" s="254">
        <f>Prog_23[[#This Row],[SAÍDA DO CLIENTE]]-Prog_23[[#This Row],[PROGRAMAÇÃO CLIENTE]]</f>
        <v>0</v>
      </c>
      <c r="AH1786" s="44"/>
      <c r="AI1786" s="66"/>
      <c r="AJ1786" s="66"/>
      <c r="AK1786" s="66"/>
      <c r="AL1786" s="66"/>
      <c r="AM1786" s="66"/>
      <c r="AN1786" s="83"/>
      <c r="AO1786" s="83"/>
      <c r="AP1786" s="83"/>
      <c r="AQ1786" s="66"/>
      <c r="AR1786" s="66"/>
      <c r="AS1786" s="66"/>
      <c r="AT1786" s="81"/>
      <c r="AU1786" s="81"/>
      <c r="AV1786" s="81"/>
      <c r="AW1786" s="81"/>
      <c r="AX1786" s="83">
        <f>SUM(Prog_23[[#This Row],[ADIANTAMENTO]]+Prog_23[[#This Row],[SALDO]]+Prog_23[[#This Row],[MARGEM]]+Prog_23[[#This Row],[ESTADIA 1]])</f>
        <v>0</v>
      </c>
      <c r="AY17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86" s="81"/>
      <c r="BA1786" s="81"/>
      <c r="BB1786" s="81">
        <f>Prog_23[[#This Row],[VLR NF]]*0.1%</f>
        <v>0</v>
      </c>
      <c r="BC1786" s="81">
        <f>Prog_23[[#This Row],[VLR NF]]*0.05%</f>
        <v>0</v>
      </c>
      <c r="BD1786" s="81"/>
      <c r="BE1786" s="81"/>
      <c r="BF1786" s="81"/>
      <c r="BG1786" s="81"/>
      <c r="BH1786" s="81"/>
      <c r="BI1786" s="81"/>
      <c r="BJ1786" s="81"/>
      <c r="BK1786" s="81"/>
      <c r="BL1786" s="81"/>
      <c r="BM1786" s="81"/>
      <c r="BN1786" s="66"/>
      <c r="BO1786" s="66"/>
      <c r="BP1786" s="66"/>
      <c r="BQ1786" s="66" t="str">
        <f>PROPER(TEXT(Prog_23[[#This Row],[PROGRAMAÇÃO CLIENTE]],"mmm"))</f>
        <v>Jan</v>
      </c>
      <c r="BR1786" s="66">
        <f>YEAR(Prog_23[[#This Row],[PROGRAMAÇÃO CLIENTE]])</f>
        <v>1900</v>
      </c>
    </row>
    <row r="1787" spans="1:70" x14ac:dyDescent="0.25">
      <c r="A1787" s="200">
        <f>Prog_23[[#This Row],[CONTEINER]]</f>
        <v>0</v>
      </c>
      <c r="B1787" s="86"/>
      <c r="C17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87" s="44"/>
      <c r="E1787" s="66"/>
      <c r="F1787" s="66"/>
      <c r="G1787" s="66"/>
      <c r="H1787" s="44"/>
      <c r="I1787" s="44"/>
      <c r="J1787" s="66"/>
      <c r="K1787" s="66"/>
      <c r="L1787" s="66"/>
      <c r="M1787" s="66"/>
      <c r="N1787" s="66">
        <f>SUM(Prog_23[[#This Row],[TARA]]+Prog_23[[#This Row],[PESO]])</f>
        <v>0</v>
      </c>
      <c r="O1787" s="44"/>
      <c r="P1787" s="66"/>
      <c r="Q1787" s="66"/>
      <c r="R1787" s="66"/>
      <c r="S1787" s="66"/>
      <c r="T1787" s="138" t="str">
        <f>IFERROR(LOOKUP($S1787,MOTORISTAS!$D$3:$D$916,MOTORISTAS!E$3:$E$916),"")</f>
        <v/>
      </c>
      <c r="U1787" s="138" t="str">
        <f>IFERROR(LOOKUP($S1787,MOTORISTAS!$D$3:$D$916,MOTORISTAS!F$3:$F$916),"")</f>
        <v/>
      </c>
      <c r="V1787" s="66"/>
      <c r="W1787" s="66"/>
      <c r="X1787" s="66"/>
      <c r="Y1787" s="66"/>
      <c r="Z1787" s="66"/>
      <c r="AA1787" s="66"/>
      <c r="AB1787" s="66"/>
      <c r="AC1787" s="66"/>
      <c r="AD1787" s="66"/>
      <c r="AE1787" s="66"/>
      <c r="AF1787" s="44"/>
      <c r="AG1787" s="254">
        <f>Prog_23[[#This Row],[SAÍDA DO CLIENTE]]-Prog_23[[#This Row],[PROGRAMAÇÃO CLIENTE]]</f>
        <v>0</v>
      </c>
      <c r="AH1787" s="44"/>
      <c r="AI1787" s="66"/>
      <c r="AJ1787" s="66"/>
      <c r="AK1787" s="66"/>
      <c r="AL1787" s="66"/>
      <c r="AM1787" s="66"/>
      <c r="AN1787" s="83"/>
      <c r="AO1787" s="83"/>
      <c r="AP1787" s="83"/>
      <c r="AQ1787" s="66"/>
      <c r="AR1787" s="66"/>
      <c r="AS1787" s="66"/>
      <c r="AT1787" s="81"/>
      <c r="AU1787" s="81"/>
      <c r="AV1787" s="81"/>
      <c r="AW1787" s="81"/>
      <c r="AX1787" s="83">
        <f>SUM(Prog_23[[#This Row],[ADIANTAMENTO]]+Prog_23[[#This Row],[SALDO]]+Prog_23[[#This Row],[MARGEM]]+Prog_23[[#This Row],[ESTADIA 1]])</f>
        <v>0</v>
      </c>
      <c r="AY17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87" s="81"/>
      <c r="BA1787" s="81"/>
      <c r="BB1787" s="81">
        <f>Prog_23[[#This Row],[VLR NF]]*0.1%</f>
        <v>0</v>
      </c>
      <c r="BC1787" s="81">
        <f>Prog_23[[#This Row],[VLR NF]]*0.05%</f>
        <v>0</v>
      </c>
      <c r="BD1787" s="81"/>
      <c r="BE1787" s="81"/>
      <c r="BF1787" s="81"/>
      <c r="BG1787" s="81"/>
      <c r="BH1787" s="81"/>
      <c r="BI1787" s="81"/>
      <c r="BJ1787" s="81"/>
      <c r="BK1787" s="81"/>
      <c r="BL1787" s="81"/>
      <c r="BM1787" s="81"/>
      <c r="BN1787" s="66"/>
      <c r="BO1787" s="66"/>
      <c r="BP1787" s="66"/>
      <c r="BQ1787" s="66" t="str">
        <f>PROPER(TEXT(Prog_23[[#This Row],[PROGRAMAÇÃO CLIENTE]],"mmm"))</f>
        <v>Jan</v>
      </c>
      <c r="BR1787" s="66">
        <f>YEAR(Prog_23[[#This Row],[PROGRAMAÇÃO CLIENTE]])</f>
        <v>1900</v>
      </c>
    </row>
    <row r="1788" spans="1:70" x14ac:dyDescent="0.25">
      <c r="A1788" s="201">
        <f>Prog_23[[#This Row],[CONTEINER]]</f>
        <v>0</v>
      </c>
      <c r="B1788" s="86"/>
      <c r="C17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88" s="44"/>
      <c r="E1788" s="66"/>
      <c r="F1788" s="66"/>
      <c r="G1788" s="66"/>
      <c r="H1788" s="44"/>
      <c r="I1788" s="44"/>
      <c r="J1788" s="66"/>
      <c r="K1788" s="66"/>
      <c r="L1788" s="66"/>
      <c r="M1788" s="66"/>
      <c r="N1788" s="66">
        <f>SUM(Prog_23[[#This Row],[TARA]]+Prog_23[[#This Row],[PESO]])</f>
        <v>0</v>
      </c>
      <c r="O1788" s="44"/>
      <c r="P1788" s="66"/>
      <c r="Q1788" s="66"/>
      <c r="R1788" s="66"/>
      <c r="S1788" s="66"/>
      <c r="T1788" s="138" t="str">
        <f>IFERROR(LOOKUP($S1788,MOTORISTAS!$D$3:$D$916,MOTORISTAS!E$3:$E$916),"")</f>
        <v/>
      </c>
      <c r="U1788" s="138" t="str">
        <f>IFERROR(LOOKUP($S1788,MOTORISTAS!$D$3:$D$916,MOTORISTAS!F$3:$F$916),"")</f>
        <v/>
      </c>
      <c r="V1788" s="66"/>
      <c r="W1788" s="66"/>
      <c r="X1788" s="66"/>
      <c r="Y1788" s="66"/>
      <c r="Z1788" s="66"/>
      <c r="AA1788" s="66"/>
      <c r="AB1788" s="66"/>
      <c r="AC1788" s="66"/>
      <c r="AD1788" s="66"/>
      <c r="AE1788" s="66"/>
      <c r="AF1788" s="44"/>
      <c r="AG1788" s="254">
        <f>Prog_23[[#This Row],[SAÍDA DO CLIENTE]]-Prog_23[[#This Row],[PROGRAMAÇÃO CLIENTE]]</f>
        <v>0</v>
      </c>
      <c r="AH1788" s="44"/>
      <c r="AI1788" s="66"/>
      <c r="AJ1788" s="66"/>
      <c r="AK1788" s="66"/>
      <c r="AL1788" s="66"/>
      <c r="AM1788" s="66"/>
      <c r="AN1788" s="83"/>
      <c r="AO1788" s="83"/>
      <c r="AP1788" s="83"/>
      <c r="AQ1788" s="66"/>
      <c r="AR1788" s="66"/>
      <c r="AS1788" s="66"/>
      <c r="AT1788" s="81"/>
      <c r="AU1788" s="81"/>
      <c r="AV1788" s="81"/>
      <c r="AW1788" s="81"/>
      <c r="AX1788" s="83">
        <f>SUM(Prog_23[[#This Row],[ADIANTAMENTO]]+Prog_23[[#This Row],[SALDO]]+Prog_23[[#This Row],[MARGEM]]+Prog_23[[#This Row],[ESTADIA 1]])</f>
        <v>0</v>
      </c>
      <c r="AY17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88" s="81"/>
      <c r="BA1788" s="81"/>
      <c r="BB1788" s="81">
        <f>Prog_23[[#This Row],[VLR NF]]*0.1%</f>
        <v>0</v>
      </c>
      <c r="BC1788" s="81">
        <f>Prog_23[[#This Row],[VLR NF]]*0.05%</f>
        <v>0</v>
      </c>
      <c r="BD1788" s="81"/>
      <c r="BE1788" s="81"/>
      <c r="BF1788" s="81"/>
      <c r="BG1788" s="81"/>
      <c r="BH1788" s="81"/>
      <c r="BI1788" s="81"/>
      <c r="BJ1788" s="81"/>
      <c r="BK1788" s="81"/>
      <c r="BL1788" s="81"/>
      <c r="BM1788" s="81"/>
      <c r="BN1788" s="66"/>
      <c r="BO1788" s="66"/>
      <c r="BP1788" s="66"/>
      <c r="BQ1788" s="66" t="str">
        <f>PROPER(TEXT(Prog_23[[#This Row],[PROGRAMAÇÃO CLIENTE]],"mmm"))</f>
        <v>Jan</v>
      </c>
      <c r="BR1788" s="66">
        <f>YEAR(Prog_23[[#This Row],[PROGRAMAÇÃO CLIENTE]])</f>
        <v>1900</v>
      </c>
    </row>
    <row r="1789" spans="1:70" x14ac:dyDescent="0.25">
      <c r="A1789" s="200">
        <f>Prog_23[[#This Row],[CONTEINER]]</f>
        <v>0</v>
      </c>
      <c r="B1789" s="86"/>
      <c r="C17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89" s="44"/>
      <c r="E1789" s="66"/>
      <c r="F1789" s="66"/>
      <c r="G1789" s="66"/>
      <c r="H1789" s="44"/>
      <c r="I1789" s="44"/>
      <c r="J1789" s="66"/>
      <c r="K1789" s="66"/>
      <c r="L1789" s="66"/>
      <c r="M1789" s="66"/>
      <c r="N1789" s="66">
        <f>SUM(Prog_23[[#This Row],[TARA]]+Prog_23[[#This Row],[PESO]])</f>
        <v>0</v>
      </c>
      <c r="O1789" s="44"/>
      <c r="P1789" s="66"/>
      <c r="Q1789" s="66"/>
      <c r="R1789" s="66"/>
      <c r="S1789" s="66"/>
      <c r="T1789" s="138" t="str">
        <f>IFERROR(LOOKUP($S1789,MOTORISTAS!$D$3:$D$916,MOTORISTAS!E$3:$E$916),"")</f>
        <v/>
      </c>
      <c r="U1789" s="138" t="str">
        <f>IFERROR(LOOKUP($S1789,MOTORISTAS!$D$3:$D$916,MOTORISTAS!F$3:$F$916),"")</f>
        <v/>
      </c>
      <c r="V1789" s="66"/>
      <c r="W1789" s="66"/>
      <c r="X1789" s="66"/>
      <c r="Y1789" s="66"/>
      <c r="Z1789" s="66"/>
      <c r="AA1789" s="66"/>
      <c r="AB1789" s="66"/>
      <c r="AC1789" s="66"/>
      <c r="AD1789" s="66"/>
      <c r="AE1789" s="66"/>
      <c r="AF1789" s="44"/>
      <c r="AG1789" s="254">
        <f>Prog_23[[#This Row],[SAÍDA DO CLIENTE]]-Prog_23[[#This Row],[PROGRAMAÇÃO CLIENTE]]</f>
        <v>0</v>
      </c>
      <c r="AH1789" s="44"/>
      <c r="AI1789" s="66"/>
      <c r="AJ1789" s="66"/>
      <c r="AK1789" s="66"/>
      <c r="AL1789" s="66"/>
      <c r="AM1789" s="66"/>
      <c r="AN1789" s="83"/>
      <c r="AO1789" s="83"/>
      <c r="AP1789" s="83"/>
      <c r="AQ1789" s="66"/>
      <c r="AR1789" s="66"/>
      <c r="AS1789" s="66"/>
      <c r="AT1789" s="81"/>
      <c r="AU1789" s="81"/>
      <c r="AV1789" s="81"/>
      <c r="AW1789" s="81"/>
      <c r="AX1789" s="83">
        <f>SUM(Prog_23[[#This Row],[ADIANTAMENTO]]+Prog_23[[#This Row],[SALDO]]+Prog_23[[#This Row],[MARGEM]]+Prog_23[[#This Row],[ESTADIA 1]])</f>
        <v>0</v>
      </c>
      <c r="AY17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89" s="81"/>
      <c r="BA1789" s="81"/>
      <c r="BB1789" s="81">
        <f>Prog_23[[#This Row],[VLR NF]]*0.1%</f>
        <v>0</v>
      </c>
      <c r="BC1789" s="81">
        <f>Prog_23[[#This Row],[VLR NF]]*0.05%</f>
        <v>0</v>
      </c>
      <c r="BD1789" s="81"/>
      <c r="BE1789" s="81"/>
      <c r="BF1789" s="81"/>
      <c r="BG1789" s="81"/>
      <c r="BH1789" s="81"/>
      <c r="BI1789" s="81"/>
      <c r="BJ1789" s="81"/>
      <c r="BK1789" s="81"/>
      <c r="BL1789" s="81"/>
      <c r="BM1789" s="81"/>
      <c r="BN1789" s="66"/>
      <c r="BO1789" s="66"/>
      <c r="BP1789" s="66"/>
      <c r="BQ1789" s="66" t="str">
        <f>PROPER(TEXT(Prog_23[[#This Row],[PROGRAMAÇÃO CLIENTE]],"mmm"))</f>
        <v>Jan</v>
      </c>
      <c r="BR1789" s="66">
        <f>YEAR(Prog_23[[#This Row],[PROGRAMAÇÃO CLIENTE]])</f>
        <v>1900</v>
      </c>
    </row>
    <row r="1790" spans="1:70" x14ac:dyDescent="0.25">
      <c r="A1790" s="201">
        <f>Prog_23[[#This Row],[CONTEINER]]</f>
        <v>0</v>
      </c>
      <c r="B1790" s="86"/>
      <c r="C17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90" s="44"/>
      <c r="E1790" s="66"/>
      <c r="F1790" s="66"/>
      <c r="G1790" s="66"/>
      <c r="H1790" s="44"/>
      <c r="I1790" s="44"/>
      <c r="J1790" s="66"/>
      <c r="K1790" s="66"/>
      <c r="L1790" s="66"/>
      <c r="M1790" s="66"/>
      <c r="N1790" s="66">
        <f>SUM(Prog_23[[#This Row],[TARA]]+Prog_23[[#This Row],[PESO]])</f>
        <v>0</v>
      </c>
      <c r="O1790" s="44"/>
      <c r="P1790" s="66"/>
      <c r="Q1790" s="66"/>
      <c r="R1790" s="66"/>
      <c r="S1790" s="66"/>
      <c r="T1790" s="138" t="str">
        <f>IFERROR(LOOKUP($S1790,MOTORISTAS!$D$3:$D$916,MOTORISTAS!E$3:$E$916),"")</f>
        <v/>
      </c>
      <c r="U1790" s="138" t="str">
        <f>IFERROR(LOOKUP($S1790,MOTORISTAS!$D$3:$D$916,MOTORISTAS!F$3:$F$916),"")</f>
        <v/>
      </c>
      <c r="V1790" s="66"/>
      <c r="W1790" s="66"/>
      <c r="X1790" s="66"/>
      <c r="Y1790" s="66"/>
      <c r="Z1790" s="66"/>
      <c r="AA1790" s="66"/>
      <c r="AB1790" s="66"/>
      <c r="AC1790" s="66"/>
      <c r="AD1790" s="66"/>
      <c r="AE1790" s="66"/>
      <c r="AF1790" s="44"/>
      <c r="AG1790" s="254">
        <f>Prog_23[[#This Row],[SAÍDA DO CLIENTE]]-Prog_23[[#This Row],[PROGRAMAÇÃO CLIENTE]]</f>
        <v>0</v>
      </c>
      <c r="AH1790" s="44"/>
      <c r="AI1790" s="66"/>
      <c r="AJ1790" s="66"/>
      <c r="AK1790" s="66"/>
      <c r="AL1790" s="66"/>
      <c r="AM1790" s="66"/>
      <c r="AN1790" s="83"/>
      <c r="AO1790" s="83"/>
      <c r="AP1790" s="83"/>
      <c r="AQ1790" s="66"/>
      <c r="AR1790" s="66"/>
      <c r="AS1790" s="66"/>
      <c r="AT1790" s="81"/>
      <c r="AU1790" s="81"/>
      <c r="AV1790" s="81"/>
      <c r="AW1790" s="81"/>
      <c r="AX1790" s="83">
        <f>SUM(Prog_23[[#This Row],[ADIANTAMENTO]]+Prog_23[[#This Row],[SALDO]]+Prog_23[[#This Row],[MARGEM]]+Prog_23[[#This Row],[ESTADIA 1]])</f>
        <v>0</v>
      </c>
      <c r="AY17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90" s="81"/>
      <c r="BA1790" s="81"/>
      <c r="BB1790" s="81">
        <f>Prog_23[[#This Row],[VLR NF]]*0.1%</f>
        <v>0</v>
      </c>
      <c r="BC1790" s="81">
        <f>Prog_23[[#This Row],[VLR NF]]*0.05%</f>
        <v>0</v>
      </c>
      <c r="BD1790" s="81"/>
      <c r="BE1790" s="81"/>
      <c r="BF1790" s="81"/>
      <c r="BG1790" s="81"/>
      <c r="BH1790" s="81"/>
      <c r="BI1790" s="81"/>
      <c r="BJ1790" s="81"/>
      <c r="BK1790" s="81"/>
      <c r="BL1790" s="81"/>
      <c r="BM1790" s="81"/>
      <c r="BN1790" s="66"/>
      <c r="BO1790" s="66"/>
      <c r="BP1790" s="66"/>
      <c r="BQ1790" s="66" t="str">
        <f>PROPER(TEXT(Prog_23[[#This Row],[PROGRAMAÇÃO CLIENTE]],"mmm"))</f>
        <v>Jan</v>
      </c>
      <c r="BR1790" s="66">
        <f>YEAR(Prog_23[[#This Row],[PROGRAMAÇÃO CLIENTE]])</f>
        <v>1900</v>
      </c>
    </row>
    <row r="1791" spans="1:70" x14ac:dyDescent="0.25">
      <c r="A1791" s="200">
        <f>Prog_23[[#This Row],[CONTEINER]]</f>
        <v>0</v>
      </c>
      <c r="B1791" s="86"/>
      <c r="C17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91" s="44"/>
      <c r="E1791" s="66"/>
      <c r="F1791" s="66"/>
      <c r="G1791" s="66"/>
      <c r="H1791" s="44"/>
      <c r="I1791" s="44"/>
      <c r="J1791" s="66"/>
      <c r="K1791" s="66"/>
      <c r="L1791" s="66"/>
      <c r="M1791" s="66"/>
      <c r="N1791" s="66">
        <f>SUM(Prog_23[[#This Row],[TARA]]+Prog_23[[#This Row],[PESO]])</f>
        <v>0</v>
      </c>
      <c r="O1791" s="44"/>
      <c r="P1791" s="66"/>
      <c r="Q1791" s="66"/>
      <c r="R1791" s="66"/>
      <c r="S1791" s="66"/>
      <c r="T1791" s="138" t="str">
        <f>IFERROR(LOOKUP($S1791,MOTORISTAS!$D$3:$D$916,MOTORISTAS!E$3:$E$916),"")</f>
        <v/>
      </c>
      <c r="U1791" s="138" t="str">
        <f>IFERROR(LOOKUP($S1791,MOTORISTAS!$D$3:$D$916,MOTORISTAS!F$3:$F$916),"")</f>
        <v/>
      </c>
      <c r="V1791" s="66"/>
      <c r="W1791" s="66"/>
      <c r="X1791" s="66"/>
      <c r="Y1791" s="66"/>
      <c r="Z1791" s="66"/>
      <c r="AA1791" s="66"/>
      <c r="AB1791" s="66"/>
      <c r="AC1791" s="66"/>
      <c r="AD1791" s="66"/>
      <c r="AE1791" s="66"/>
      <c r="AF1791" s="44"/>
      <c r="AG1791" s="254">
        <f>Prog_23[[#This Row],[SAÍDA DO CLIENTE]]-Prog_23[[#This Row],[PROGRAMAÇÃO CLIENTE]]</f>
        <v>0</v>
      </c>
      <c r="AH1791" s="44"/>
      <c r="AI1791" s="66"/>
      <c r="AJ1791" s="66"/>
      <c r="AK1791" s="66"/>
      <c r="AL1791" s="66"/>
      <c r="AM1791" s="66"/>
      <c r="AN1791" s="83"/>
      <c r="AO1791" s="83"/>
      <c r="AP1791" s="83"/>
      <c r="AQ1791" s="66"/>
      <c r="AR1791" s="66"/>
      <c r="AS1791" s="66"/>
      <c r="AT1791" s="81"/>
      <c r="AU1791" s="81"/>
      <c r="AV1791" s="81"/>
      <c r="AW1791" s="81"/>
      <c r="AX1791" s="83">
        <f>SUM(Prog_23[[#This Row],[ADIANTAMENTO]]+Prog_23[[#This Row],[SALDO]]+Prog_23[[#This Row],[MARGEM]]+Prog_23[[#This Row],[ESTADIA 1]])</f>
        <v>0</v>
      </c>
      <c r="AY17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91" s="81"/>
      <c r="BA1791" s="81"/>
      <c r="BB1791" s="81">
        <f>Prog_23[[#This Row],[VLR NF]]*0.1%</f>
        <v>0</v>
      </c>
      <c r="BC1791" s="81">
        <f>Prog_23[[#This Row],[VLR NF]]*0.05%</f>
        <v>0</v>
      </c>
      <c r="BD1791" s="81"/>
      <c r="BE1791" s="81"/>
      <c r="BF1791" s="81"/>
      <c r="BG1791" s="81"/>
      <c r="BH1791" s="81"/>
      <c r="BI1791" s="81"/>
      <c r="BJ1791" s="81"/>
      <c r="BK1791" s="81"/>
      <c r="BL1791" s="81"/>
      <c r="BM1791" s="81"/>
      <c r="BN1791" s="66"/>
      <c r="BO1791" s="66"/>
      <c r="BP1791" s="66"/>
      <c r="BQ1791" s="66" t="str">
        <f>PROPER(TEXT(Prog_23[[#This Row],[PROGRAMAÇÃO CLIENTE]],"mmm"))</f>
        <v>Jan</v>
      </c>
      <c r="BR1791" s="66">
        <f>YEAR(Prog_23[[#This Row],[PROGRAMAÇÃO CLIENTE]])</f>
        <v>1900</v>
      </c>
    </row>
    <row r="1792" spans="1:70" x14ac:dyDescent="0.25">
      <c r="A1792" s="201">
        <f>Prog_23[[#This Row],[CONTEINER]]</f>
        <v>0</v>
      </c>
      <c r="B1792" s="86"/>
      <c r="C17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92" s="44"/>
      <c r="E1792" s="66"/>
      <c r="F1792" s="66"/>
      <c r="G1792" s="66"/>
      <c r="H1792" s="44"/>
      <c r="I1792" s="44"/>
      <c r="J1792" s="66"/>
      <c r="K1792" s="66"/>
      <c r="L1792" s="66"/>
      <c r="M1792" s="66"/>
      <c r="N1792" s="66">
        <f>SUM(Prog_23[[#This Row],[TARA]]+Prog_23[[#This Row],[PESO]])</f>
        <v>0</v>
      </c>
      <c r="O1792" s="44"/>
      <c r="P1792" s="66"/>
      <c r="Q1792" s="66"/>
      <c r="R1792" s="66"/>
      <c r="S1792" s="66"/>
      <c r="T1792" s="138" t="str">
        <f>IFERROR(LOOKUP($S1792,MOTORISTAS!$D$3:$D$916,MOTORISTAS!E$3:$E$916),"")</f>
        <v/>
      </c>
      <c r="U1792" s="138" t="str">
        <f>IFERROR(LOOKUP($S1792,MOTORISTAS!$D$3:$D$916,MOTORISTAS!F$3:$F$916),"")</f>
        <v/>
      </c>
      <c r="V1792" s="66"/>
      <c r="W1792" s="66"/>
      <c r="X1792" s="66"/>
      <c r="Y1792" s="66"/>
      <c r="Z1792" s="66"/>
      <c r="AA1792" s="66"/>
      <c r="AB1792" s="66"/>
      <c r="AC1792" s="66"/>
      <c r="AD1792" s="66"/>
      <c r="AE1792" s="66"/>
      <c r="AF1792" s="44"/>
      <c r="AG1792" s="254">
        <f>Prog_23[[#This Row],[SAÍDA DO CLIENTE]]-Prog_23[[#This Row],[PROGRAMAÇÃO CLIENTE]]</f>
        <v>0</v>
      </c>
      <c r="AH1792" s="44"/>
      <c r="AI1792" s="66"/>
      <c r="AJ1792" s="66"/>
      <c r="AK1792" s="66"/>
      <c r="AL1792" s="66"/>
      <c r="AM1792" s="66"/>
      <c r="AN1792" s="83"/>
      <c r="AO1792" s="83"/>
      <c r="AP1792" s="83"/>
      <c r="AQ1792" s="66"/>
      <c r="AR1792" s="66"/>
      <c r="AS1792" s="66"/>
      <c r="AT1792" s="81"/>
      <c r="AU1792" s="81"/>
      <c r="AV1792" s="81"/>
      <c r="AW1792" s="81"/>
      <c r="AX1792" s="83">
        <f>SUM(Prog_23[[#This Row],[ADIANTAMENTO]]+Prog_23[[#This Row],[SALDO]]+Prog_23[[#This Row],[MARGEM]]+Prog_23[[#This Row],[ESTADIA 1]])</f>
        <v>0</v>
      </c>
      <c r="AY17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92" s="81"/>
      <c r="BA1792" s="81"/>
      <c r="BB1792" s="81">
        <f>Prog_23[[#This Row],[VLR NF]]*0.1%</f>
        <v>0</v>
      </c>
      <c r="BC1792" s="81">
        <f>Prog_23[[#This Row],[VLR NF]]*0.05%</f>
        <v>0</v>
      </c>
      <c r="BD1792" s="81"/>
      <c r="BE1792" s="81"/>
      <c r="BF1792" s="81"/>
      <c r="BG1792" s="81"/>
      <c r="BH1792" s="81"/>
      <c r="BI1792" s="81"/>
      <c r="BJ1792" s="81"/>
      <c r="BK1792" s="81"/>
      <c r="BL1792" s="81"/>
      <c r="BM1792" s="81"/>
      <c r="BN1792" s="66"/>
      <c r="BO1792" s="66"/>
      <c r="BP1792" s="66"/>
      <c r="BQ1792" s="66" t="str">
        <f>PROPER(TEXT(Prog_23[[#This Row],[PROGRAMAÇÃO CLIENTE]],"mmm"))</f>
        <v>Jan</v>
      </c>
      <c r="BR1792" s="66">
        <f>YEAR(Prog_23[[#This Row],[PROGRAMAÇÃO CLIENTE]])</f>
        <v>1900</v>
      </c>
    </row>
    <row r="1793" spans="1:70" x14ac:dyDescent="0.25">
      <c r="A1793" s="200">
        <f>Prog_23[[#This Row],[CONTEINER]]</f>
        <v>0</v>
      </c>
      <c r="B1793" s="86"/>
      <c r="C17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93" s="44"/>
      <c r="E1793" s="66"/>
      <c r="F1793" s="66"/>
      <c r="G1793" s="66"/>
      <c r="H1793" s="44"/>
      <c r="I1793" s="44"/>
      <c r="J1793" s="66"/>
      <c r="K1793" s="66"/>
      <c r="L1793" s="66"/>
      <c r="M1793" s="66"/>
      <c r="N1793" s="66">
        <f>SUM(Prog_23[[#This Row],[TARA]]+Prog_23[[#This Row],[PESO]])</f>
        <v>0</v>
      </c>
      <c r="O1793" s="44"/>
      <c r="P1793" s="66"/>
      <c r="Q1793" s="66"/>
      <c r="R1793" s="66"/>
      <c r="S1793" s="66"/>
      <c r="T1793" s="138" t="str">
        <f>IFERROR(LOOKUP($S1793,MOTORISTAS!$D$3:$D$916,MOTORISTAS!E$3:$E$916),"")</f>
        <v/>
      </c>
      <c r="U1793" s="138" t="str">
        <f>IFERROR(LOOKUP($S1793,MOTORISTAS!$D$3:$D$916,MOTORISTAS!F$3:$F$916),"")</f>
        <v/>
      </c>
      <c r="V1793" s="66"/>
      <c r="W1793" s="66"/>
      <c r="X1793" s="66"/>
      <c r="Y1793" s="66"/>
      <c r="Z1793" s="66"/>
      <c r="AA1793" s="66"/>
      <c r="AB1793" s="66"/>
      <c r="AC1793" s="66"/>
      <c r="AD1793" s="66"/>
      <c r="AE1793" s="66"/>
      <c r="AF1793" s="44"/>
      <c r="AG1793" s="254">
        <f>Prog_23[[#This Row],[SAÍDA DO CLIENTE]]-Prog_23[[#This Row],[PROGRAMAÇÃO CLIENTE]]</f>
        <v>0</v>
      </c>
      <c r="AH1793" s="44"/>
      <c r="AI1793" s="66"/>
      <c r="AJ1793" s="66"/>
      <c r="AK1793" s="66"/>
      <c r="AL1793" s="66"/>
      <c r="AM1793" s="66"/>
      <c r="AN1793" s="83"/>
      <c r="AO1793" s="83"/>
      <c r="AP1793" s="83"/>
      <c r="AQ1793" s="66"/>
      <c r="AR1793" s="66"/>
      <c r="AS1793" s="66"/>
      <c r="AT1793" s="81"/>
      <c r="AU1793" s="81"/>
      <c r="AV1793" s="81"/>
      <c r="AW1793" s="81"/>
      <c r="AX1793" s="83">
        <f>SUM(Prog_23[[#This Row],[ADIANTAMENTO]]+Prog_23[[#This Row],[SALDO]]+Prog_23[[#This Row],[MARGEM]]+Prog_23[[#This Row],[ESTADIA 1]])</f>
        <v>0</v>
      </c>
      <c r="AY17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93" s="81"/>
      <c r="BA1793" s="81"/>
      <c r="BB1793" s="81">
        <f>Prog_23[[#This Row],[VLR NF]]*0.1%</f>
        <v>0</v>
      </c>
      <c r="BC1793" s="81">
        <f>Prog_23[[#This Row],[VLR NF]]*0.05%</f>
        <v>0</v>
      </c>
      <c r="BD1793" s="81"/>
      <c r="BE1793" s="81"/>
      <c r="BF1793" s="81"/>
      <c r="BG1793" s="81"/>
      <c r="BH1793" s="81"/>
      <c r="BI1793" s="81"/>
      <c r="BJ1793" s="81"/>
      <c r="BK1793" s="81"/>
      <c r="BL1793" s="81"/>
      <c r="BM1793" s="81"/>
      <c r="BN1793" s="66"/>
      <c r="BO1793" s="66"/>
      <c r="BP1793" s="66"/>
      <c r="BQ1793" s="66" t="str">
        <f>PROPER(TEXT(Prog_23[[#This Row],[PROGRAMAÇÃO CLIENTE]],"mmm"))</f>
        <v>Jan</v>
      </c>
      <c r="BR1793" s="66">
        <f>YEAR(Prog_23[[#This Row],[PROGRAMAÇÃO CLIENTE]])</f>
        <v>1900</v>
      </c>
    </row>
    <row r="1794" spans="1:70" x14ac:dyDescent="0.25">
      <c r="A1794" s="201">
        <f>Prog_23[[#This Row],[CONTEINER]]</f>
        <v>0</v>
      </c>
      <c r="B1794" s="86"/>
      <c r="C17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94" s="44"/>
      <c r="E1794" s="66"/>
      <c r="F1794" s="66"/>
      <c r="G1794" s="66"/>
      <c r="H1794" s="44"/>
      <c r="I1794" s="44"/>
      <c r="J1794" s="66"/>
      <c r="K1794" s="66"/>
      <c r="L1794" s="66"/>
      <c r="M1794" s="66"/>
      <c r="N1794" s="66">
        <f>SUM(Prog_23[[#This Row],[TARA]]+Prog_23[[#This Row],[PESO]])</f>
        <v>0</v>
      </c>
      <c r="O1794" s="44"/>
      <c r="P1794" s="66"/>
      <c r="Q1794" s="66"/>
      <c r="R1794" s="66"/>
      <c r="S1794" s="66"/>
      <c r="T1794" s="138" t="str">
        <f>IFERROR(LOOKUP($S1794,MOTORISTAS!$D$3:$D$916,MOTORISTAS!E$3:$E$916),"")</f>
        <v/>
      </c>
      <c r="U1794" s="138" t="str">
        <f>IFERROR(LOOKUP($S1794,MOTORISTAS!$D$3:$D$916,MOTORISTAS!F$3:$F$916),"")</f>
        <v/>
      </c>
      <c r="V1794" s="66"/>
      <c r="W1794" s="66"/>
      <c r="X1794" s="66"/>
      <c r="Y1794" s="66"/>
      <c r="Z1794" s="66"/>
      <c r="AA1794" s="66"/>
      <c r="AB1794" s="66"/>
      <c r="AC1794" s="66"/>
      <c r="AD1794" s="66"/>
      <c r="AE1794" s="66"/>
      <c r="AF1794" s="44"/>
      <c r="AG1794" s="254">
        <f>Prog_23[[#This Row],[SAÍDA DO CLIENTE]]-Prog_23[[#This Row],[PROGRAMAÇÃO CLIENTE]]</f>
        <v>0</v>
      </c>
      <c r="AH1794" s="44"/>
      <c r="AI1794" s="66"/>
      <c r="AJ1794" s="66"/>
      <c r="AK1794" s="66"/>
      <c r="AL1794" s="66"/>
      <c r="AM1794" s="66"/>
      <c r="AN1794" s="83"/>
      <c r="AO1794" s="83"/>
      <c r="AP1794" s="83"/>
      <c r="AQ1794" s="66"/>
      <c r="AR1794" s="66"/>
      <c r="AS1794" s="66"/>
      <c r="AT1794" s="81"/>
      <c r="AU1794" s="81"/>
      <c r="AV1794" s="81"/>
      <c r="AW1794" s="81"/>
      <c r="AX1794" s="83">
        <f>SUM(Prog_23[[#This Row],[ADIANTAMENTO]]+Prog_23[[#This Row],[SALDO]]+Prog_23[[#This Row],[MARGEM]]+Prog_23[[#This Row],[ESTADIA 1]])</f>
        <v>0</v>
      </c>
      <c r="AY17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94" s="81"/>
      <c r="BA1794" s="81"/>
      <c r="BB1794" s="81">
        <f>Prog_23[[#This Row],[VLR NF]]*0.1%</f>
        <v>0</v>
      </c>
      <c r="BC1794" s="81">
        <f>Prog_23[[#This Row],[VLR NF]]*0.05%</f>
        <v>0</v>
      </c>
      <c r="BD1794" s="81"/>
      <c r="BE1794" s="81"/>
      <c r="BF1794" s="81"/>
      <c r="BG1794" s="81"/>
      <c r="BH1794" s="81"/>
      <c r="BI1794" s="81"/>
      <c r="BJ1794" s="81"/>
      <c r="BK1794" s="81"/>
      <c r="BL1794" s="81"/>
      <c r="BM1794" s="81"/>
      <c r="BN1794" s="66"/>
      <c r="BO1794" s="66"/>
      <c r="BP1794" s="66"/>
      <c r="BQ1794" s="66" t="str">
        <f>PROPER(TEXT(Prog_23[[#This Row],[PROGRAMAÇÃO CLIENTE]],"mmm"))</f>
        <v>Jan</v>
      </c>
      <c r="BR1794" s="66">
        <f>YEAR(Prog_23[[#This Row],[PROGRAMAÇÃO CLIENTE]])</f>
        <v>1900</v>
      </c>
    </row>
    <row r="1795" spans="1:70" x14ac:dyDescent="0.25">
      <c r="A1795" s="200">
        <f>Prog_23[[#This Row],[CONTEINER]]</f>
        <v>0</v>
      </c>
      <c r="B1795" s="86"/>
      <c r="C17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95" s="44"/>
      <c r="E1795" s="66"/>
      <c r="F1795" s="66"/>
      <c r="G1795" s="66"/>
      <c r="H1795" s="44"/>
      <c r="I1795" s="44"/>
      <c r="J1795" s="66"/>
      <c r="K1795" s="66"/>
      <c r="L1795" s="66"/>
      <c r="M1795" s="66"/>
      <c r="N1795" s="66">
        <f>SUM(Prog_23[[#This Row],[TARA]]+Prog_23[[#This Row],[PESO]])</f>
        <v>0</v>
      </c>
      <c r="O1795" s="44"/>
      <c r="P1795" s="66"/>
      <c r="Q1795" s="66"/>
      <c r="R1795" s="66"/>
      <c r="S1795" s="66"/>
      <c r="T1795" s="138" t="str">
        <f>IFERROR(LOOKUP($S1795,MOTORISTAS!$D$3:$D$916,MOTORISTAS!E$3:$E$916),"")</f>
        <v/>
      </c>
      <c r="U1795" s="138" t="str">
        <f>IFERROR(LOOKUP($S1795,MOTORISTAS!$D$3:$D$916,MOTORISTAS!F$3:$F$916),"")</f>
        <v/>
      </c>
      <c r="V1795" s="66"/>
      <c r="W1795" s="66"/>
      <c r="X1795" s="66"/>
      <c r="Y1795" s="66"/>
      <c r="Z1795" s="66"/>
      <c r="AA1795" s="66"/>
      <c r="AB1795" s="66"/>
      <c r="AC1795" s="66"/>
      <c r="AD1795" s="66"/>
      <c r="AE1795" s="66"/>
      <c r="AF1795" s="44"/>
      <c r="AG1795" s="254">
        <f>Prog_23[[#This Row],[SAÍDA DO CLIENTE]]-Prog_23[[#This Row],[PROGRAMAÇÃO CLIENTE]]</f>
        <v>0</v>
      </c>
      <c r="AH1795" s="44"/>
      <c r="AI1795" s="66"/>
      <c r="AJ1795" s="66"/>
      <c r="AK1795" s="66"/>
      <c r="AL1795" s="66"/>
      <c r="AM1795" s="66"/>
      <c r="AN1795" s="83"/>
      <c r="AO1795" s="83"/>
      <c r="AP1795" s="83"/>
      <c r="AQ1795" s="66"/>
      <c r="AR1795" s="66"/>
      <c r="AS1795" s="66"/>
      <c r="AT1795" s="81"/>
      <c r="AU1795" s="81"/>
      <c r="AV1795" s="81"/>
      <c r="AW1795" s="81"/>
      <c r="AX1795" s="83">
        <f>SUM(Prog_23[[#This Row],[ADIANTAMENTO]]+Prog_23[[#This Row],[SALDO]]+Prog_23[[#This Row],[MARGEM]]+Prog_23[[#This Row],[ESTADIA 1]])</f>
        <v>0</v>
      </c>
      <c r="AY17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95" s="81"/>
      <c r="BA1795" s="81"/>
      <c r="BB1795" s="81">
        <f>Prog_23[[#This Row],[VLR NF]]*0.1%</f>
        <v>0</v>
      </c>
      <c r="BC1795" s="81">
        <f>Prog_23[[#This Row],[VLR NF]]*0.05%</f>
        <v>0</v>
      </c>
      <c r="BD1795" s="81"/>
      <c r="BE1795" s="81"/>
      <c r="BF1795" s="81"/>
      <c r="BG1795" s="81"/>
      <c r="BH1795" s="81"/>
      <c r="BI1795" s="81"/>
      <c r="BJ1795" s="81"/>
      <c r="BK1795" s="81"/>
      <c r="BL1795" s="81"/>
      <c r="BM1795" s="81"/>
      <c r="BN1795" s="66"/>
      <c r="BO1795" s="66"/>
      <c r="BP1795" s="66"/>
      <c r="BQ1795" s="66" t="str">
        <f>PROPER(TEXT(Prog_23[[#This Row],[PROGRAMAÇÃO CLIENTE]],"mmm"))</f>
        <v>Jan</v>
      </c>
      <c r="BR1795" s="66">
        <f>YEAR(Prog_23[[#This Row],[PROGRAMAÇÃO CLIENTE]])</f>
        <v>1900</v>
      </c>
    </row>
    <row r="1796" spans="1:70" x14ac:dyDescent="0.25">
      <c r="A1796" s="201">
        <f>Prog_23[[#This Row],[CONTEINER]]</f>
        <v>0</v>
      </c>
      <c r="B1796" s="86"/>
      <c r="C17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96" s="44"/>
      <c r="E1796" s="66"/>
      <c r="F1796" s="66"/>
      <c r="G1796" s="66"/>
      <c r="H1796" s="44"/>
      <c r="I1796" s="44"/>
      <c r="J1796" s="66"/>
      <c r="K1796" s="66"/>
      <c r="L1796" s="66"/>
      <c r="M1796" s="66"/>
      <c r="N1796" s="66">
        <f>SUM(Prog_23[[#This Row],[TARA]]+Prog_23[[#This Row],[PESO]])</f>
        <v>0</v>
      </c>
      <c r="O1796" s="44"/>
      <c r="P1796" s="66"/>
      <c r="Q1796" s="66"/>
      <c r="R1796" s="66"/>
      <c r="S1796" s="66"/>
      <c r="T1796" s="138" t="str">
        <f>IFERROR(LOOKUP($S1796,MOTORISTAS!$D$3:$D$916,MOTORISTAS!E$3:$E$916),"")</f>
        <v/>
      </c>
      <c r="U1796" s="138" t="str">
        <f>IFERROR(LOOKUP($S1796,MOTORISTAS!$D$3:$D$916,MOTORISTAS!F$3:$F$916),"")</f>
        <v/>
      </c>
      <c r="V1796" s="66"/>
      <c r="W1796" s="66"/>
      <c r="X1796" s="66"/>
      <c r="Y1796" s="66"/>
      <c r="Z1796" s="66"/>
      <c r="AA1796" s="66"/>
      <c r="AB1796" s="66"/>
      <c r="AC1796" s="66"/>
      <c r="AD1796" s="66"/>
      <c r="AE1796" s="66"/>
      <c r="AF1796" s="44"/>
      <c r="AG1796" s="254">
        <f>Prog_23[[#This Row],[SAÍDA DO CLIENTE]]-Prog_23[[#This Row],[PROGRAMAÇÃO CLIENTE]]</f>
        <v>0</v>
      </c>
      <c r="AH1796" s="44"/>
      <c r="AI1796" s="66"/>
      <c r="AJ1796" s="66"/>
      <c r="AK1796" s="66"/>
      <c r="AL1796" s="66"/>
      <c r="AM1796" s="66"/>
      <c r="AN1796" s="83"/>
      <c r="AO1796" s="83"/>
      <c r="AP1796" s="83"/>
      <c r="AQ1796" s="66"/>
      <c r="AR1796" s="66"/>
      <c r="AS1796" s="66"/>
      <c r="AT1796" s="81"/>
      <c r="AU1796" s="81"/>
      <c r="AV1796" s="81"/>
      <c r="AW1796" s="81"/>
      <c r="AX1796" s="83">
        <f>SUM(Prog_23[[#This Row],[ADIANTAMENTO]]+Prog_23[[#This Row],[SALDO]]+Prog_23[[#This Row],[MARGEM]]+Prog_23[[#This Row],[ESTADIA 1]])</f>
        <v>0</v>
      </c>
      <c r="AY17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96" s="81"/>
      <c r="BA1796" s="81"/>
      <c r="BB1796" s="81">
        <f>Prog_23[[#This Row],[VLR NF]]*0.1%</f>
        <v>0</v>
      </c>
      <c r="BC1796" s="81">
        <f>Prog_23[[#This Row],[VLR NF]]*0.05%</f>
        <v>0</v>
      </c>
      <c r="BD1796" s="81"/>
      <c r="BE1796" s="81"/>
      <c r="BF1796" s="81"/>
      <c r="BG1796" s="81"/>
      <c r="BH1796" s="81"/>
      <c r="BI1796" s="81"/>
      <c r="BJ1796" s="81"/>
      <c r="BK1796" s="81"/>
      <c r="BL1796" s="81"/>
      <c r="BM1796" s="81"/>
      <c r="BN1796" s="66"/>
      <c r="BO1796" s="66"/>
      <c r="BP1796" s="66"/>
      <c r="BQ1796" s="66" t="str">
        <f>PROPER(TEXT(Prog_23[[#This Row],[PROGRAMAÇÃO CLIENTE]],"mmm"))</f>
        <v>Jan</v>
      </c>
      <c r="BR1796" s="66">
        <f>YEAR(Prog_23[[#This Row],[PROGRAMAÇÃO CLIENTE]])</f>
        <v>1900</v>
      </c>
    </row>
    <row r="1797" spans="1:70" x14ac:dyDescent="0.25">
      <c r="A1797" s="200">
        <f>Prog_23[[#This Row],[CONTEINER]]</f>
        <v>0</v>
      </c>
      <c r="B1797" s="86"/>
      <c r="C17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97" s="44"/>
      <c r="E1797" s="66"/>
      <c r="F1797" s="66"/>
      <c r="G1797" s="66"/>
      <c r="H1797" s="44"/>
      <c r="I1797" s="44"/>
      <c r="J1797" s="66"/>
      <c r="K1797" s="66"/>
      <c r="L1797" s="66"/>
      <c r="M1797" s="66"/>
      <c r="N1797" s="66">
        <f>SUM(Prog_23[[#This Row],[TARA]]+Prog_23[[#This Row],[PESO]])</f>
        <v>0</v>
      </c>
      <c r="O1797" s="44"/>
      <c r="P1797" s="66"/>
      <c r="Q1797" s="66"/>
      <c r="R1797" s="66"/>
      <c r="S1797" s="66"/>
      <c r="T1797" s="138" t="str">
        <f>IFERROR(LOOKUP($S1797,MOTORISTAS!$D$3:$D$916,MOTORISTAS!E$3:$E$916),"")</f>
        <v/>
      </c>
      <c r="U1797" s="138" t="str">
        <f>IFERROR(LOOKUP($S1797,MOTORISTAS!$D$3:$D$916,MOTORISTAS!F$3:$F$916),"")</f>
        <v/>
      </c>
      <c r="V1797" s="66"/>
      <c r="W1797" s="66"/>
      <c r="X1797" s="66"/>
      <c r="Y1797" s="66"/>
      <c r="Z1797" s="66"/>
      <c r="AA1797" s="66"/>
      <c r="AB1797" s="66"/>
      <c r="AC1797" s="66"/>
      <c r="AD1797" s="66"/>
      <c r="AE1797" s="66"/>
      <c r="AF1797" s="44"/>
      <c r="AG1797" s="254">
        <f>Prog_23[[#This Row],[SAÍDA DO CLIENTE]]-Prog_23[[#This Row],[PROGRAMAÇÃO CLIENTE]]</f>
        <v>0</v>
      </c>
      <c r="AH1797" s="44"/>
      <c r="AI1797" s="66"/>
      <c r="AJ1797" s="66"/>
      <c r="AK1797" s="66"/>
      <c r="AL1797" s="66"/>
      <c r="AM1797" s="66"/>
      <c r="AN1797" s="83"/>
      <c r="AO1797" s="83"/>
      <c r="AP1797" s="83"/>
      <c r="AQ1797" s="66"/>
      <c r="AR1797" s="66"/>
      <c r="AS1797" s="66"/>
      <c r="AT1797" s="81"/>
      <c r="AU1797" s="81"/>
      <c r="AV1797" s="81"/>
      <c r="AW1797" s="81"/>
      <c r="AX1797" s="83">
        <f>SUM(Prog_23[[#This Row],[ADIANTAMENTO]]+Prog_23[[#This Row],[SALDO]]+Prog_23[[#This Row],[MARGEM]]+Prog_23[[#This Row],[ESTADIA 1]])</f>
        <v>0</v>
      </c>
      <c r="AY17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97" s="81"/>
      <c r="BA1797" s="81"/>
      <c r="BB1797" s="81">
        <f>Prog_23[[#This Row],[VLR NF]]*0.1%</f>
        <v>0</v>
      </c>
      <c r="BC1797" s="81">
        <f>Prog_23[[#This Row],[VLR NF]]*0.05%</f>
        <v>0</v>
      </c>
      <c r="BD1797" s="81"/>
      <c r="BE1797" s="81"/>
      <c r="BF1797" s="81"/>
      <c r="BG1797" s="81"/>
      <c r="BH1797" s="81"/>
      <c r="BI1797" s="81"/>
      <c r="BJ1797" s="81"/>
      <c r="BK1797" s="81"/>
      <c r="BL1797" s="81"/>
      <c r="BM1797" s="81"/>
      <c r="BN1797" s="66"/>
      <c r="BO1797" s="66"/>
      <c r="BP1797" s="66"/>
      <c r="BQ1797" s="66" t="str">
        <f>PROPER(TEXT(Prog_23[[#This Row],[PROGRAMAÇÃO CLIENTE]],"mmm"))</f>
        <v>Jan</v>
      </c>
      <c r="BR1797" s="66">
        <f>YEAR(Prog_23[[#This Row],[PROGRAMAÇÃO CLIENTE]])</f>
        <v>1900</v>
      </c>
    </row>
    <row r="1798" spans="1:70" x14ac:dyDescent="0.25">
      <c r="A1798" s="201">
        <f>Prog_23[[#This Row],[CONTEINER]]</f>
        <v>0</v>
      </c>
      <c r="B1798" s="86"/>
      <c r="C17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98" s="44"/>
      <c r="E1798" s="66"/>
      <c r="F1798" s="66"/>
      <c r="G1798" s="66"/>
      <c r="H1798" s="44"/>
      <c r="I1798" s="44"/>
      <c r="J1798" s="66"/>
      <c r="K1798" s="66"/>
      <c r="L1798" s="66"/>
      <c r="M1798" s="66"/>
      <c r="N1798" s="66">
        <f>SUM(Prog_23[[#This Row],[TARA]]+Prog_23[[#This Row],[PESO]])</f>
        <v>0</v>
      </c>
      <c r="O1798" s="44"/>
      <c r="P1798" s="66"/>
      <c r="Q1798" s="66"/>
      <c r="R1798" s="66"/>
      <c r="S1798" s="66"/>
      <c r="T1798" s="138" t="str">
        <f>IFERROR(LOOKUP($S1798,MOTORISTAS!$D$3:$D$916,MOTORISTAS!E$3:$E$916),"")</f>
        <v/>
      </c>
      <c r="U1798" s="138" t="str">
        <f>IFERROR(LOOKUP($S1798,MOTORISTAS!$D$3:$D$916,MOTORISTAS!F$3:$F$916),"")</f>
        <v/>
      </c>
      <c r="V1798" s="66"/>
      <c r="W1798" s="66"/>
      <c r="X1798" s="66"/>
      <c r="Y1798" s="66"/>
      <c r="Z1798" s="66"/>
      <c r="AA1798" s="66"/>
      <c r="AB1798" s="66"/>
      <c r="AC1798" s="66"/>
      <c r="AD1798" s="66"/>
      <c r="AE1798" s="66"/>
      <c r="AF1798" s="44"/>
      <c r="AG1798" s="254">
        <f>Prog_23[[#This Row],[SAÍDA DO CLIENTE]]-Prog_23[[#This Row],[PROGRAMAÇÃO CLIENTE]]</f>
        <v>0</v>
      </c>
      <c r="AH1798" s="44"/>
      <c r="AI1798" s="66"/>
      <c r="AJ1798" s="66"/>
      <c r="AK1798" s="66"/>
      <c r="AL1798" s="66"/>
      <c r="AM1798" s="66"/>
      <c r="AN1798" s="83"/>
      <c r="AO1798" s="83"/>
      <c r="AP1798" s="83"/>
      <c r="AQ1798" s="66"/>
      <c r="AR1798" s="66"/>
      <c r="AS1798" s="66"/>
      <c r="AT1798" s="81"/>
      <c r="AU1798" s="81"/>
      <c r="AV1798" s="81"/>
      <c r="AW1798" s="81"/>
      <c r="AX1798" s="83">
        <f>SUM(Prog_23[[#This Row],[ADIANTAMENTO]]+Prog_23[[#This Row],[SALDO]]+Prog_23[[#This Row],[MARGEM]]+Prog_23[[#This Row],[ESTADIA 1]])</f>
        <v>0</v>
      </c>
      <c r="AY17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98" s="81"/>
      <c r="BA1798" s="81"/>
      <c r="BB1798" s="81">
        <f>Prog_23[[#This Row],[VLR NF]]*0.1%</f>
        <v>0</v>
      </c>
      <c r="BC1798" s="81">
        <f>Prog_23[[#This Row],[VLR NF]]*0.05%</f>
        <v>0</v>
      </c>
      <c r="BD1798" s="81"/>
      <c r="BE1798" s="81"/>
      <c r="BF1798" s="81"/>
      <c r="BG1798" s="81"/>
      <c r="BH1798" s="81"/>
      <c r="BI1798" s="81"/>
      <c r="BJ1798" s="81"/>
      <c r="BK1798" s="81"/>
      <c r="BL1798" s="81"/>
      <c r="BM1798" s="81"/>
      <c r="BN1798" s="66"/>
      <c r="BO1798" s="66"/>
      <c r="BP1798" s="66"/>
      <c r="BQ1798" s="66" t="str">
        <f>PROPER(TEXT(Prog_23[[#This Row],[PROGRAMAÇÃO CLIENTE]],"mmm"))</f>
        <v>Jan</v>
      </c>
      <c r="BR1798" s="66">
        <f>YEAR(Prog_23[[#This Row],[PROGRAMAÇÃO CLIENTE]])</f>
        <v>1900</v>
      </c>
    </row>
    <row r="1799" spans="1:70" x14ac:dyDescent="0.25">
      <c r="A1799" s="200">
        <f>Prog_23[[#This Row],[CONTEINER]]</f>
        <v>0</v>
      </c>
      <c r="B1799" s="86"/>
      <c r="C17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799" s="44"/>
      <c r="E1799" s="66"/>
      <c r="F1799" s="66"/>
      <c r="G1799" s="66"/>
      <c r="H1799" s="44"/>
      <c r="I1799" s="44"/>
      <c r="J1799" s="66"/>
      <c r="K1799" s="66"/>
      <c r="L1799" s="66"/>
      <c r="M1799" s="66"/>
      <c r="N1799" s="66">
        <f>SUM(Prog_23[[#This Row],[TARA]]+Prog_23[[#This Row],[PESO]])</f>
        <v>0</v>
      </c>
      <c r="O1799" s="44"/>
      <c r="P1799" s="66"/>
      <c r="Q1799" s="66"/>
      <c r="R1799" s="66"/>
      <c r="S1799" s="66"/>
      <c r="T1799" s="138" t="str">
        <f>IFERROR(LOOKUP($S1799,MOTORISTAS!$D$3:$D$916,MOTORISTAS!E$3:$E$916),"")</f>
        <v/>
      </c>
      <c r="U1799" s="138" t="str">
        <f>IFERROR(LOOKUP($S1799,MOTORISTAS!$D$3:$D$916,MOTORISTAS!F$3:$F$916),"")</f>
        <v/>
      </c>
      <c r="V1799" s="66"/>
      <c r="W1799" s="66"/>
      <c r="X1799" s="66"/>
      <c r="Y1799" s="66"/>
      <c r="Z1799" s="66"/>
      <c r="AA1799" s="66"/>
      <c r="AB1799" s="66"/>
      <c r="AC1799" s="66"/>
      <c r="AD1799" s="66"/>
      <c r="AE1799" s="66"/>
      <c r="AF1799" s="44"/>
      <c r="AG1799" s="254">
        <f>Prog_23[[#This Row],[SAÍDA DO CLIENTE]]-Prog_23[[#This Row],[PROGRAMAÇÃO CLIENTE]]</f>
        <v>0</v>
      </c>
      <c r="AH1799" s="44"/>
      <c r="AI1799" s="66"/>
      <c r="AJ1799" s="66"/>
      <c r="AK1799" s="66"/>
      <c r="AL1799" s="66"/>
      <c r="AM1799" s="66"/>
      <c r="AN1799" s="83"/>
      <c r="AO1799" s="83"/>
      <c r="AP1799" s="83"/>
      <c r="AQ1799" s="66"/>
      <c r="AR1799" s="66"/>
      <c r="AS1799" s="66"/>
      <c r="AT1799" s="81"/>
      <c r="AU1799" s="81"/>
      <c r="AV1799" s="81"/>
      <c r="AW1799" s="81"/>
      <c r="AX1799" s="83">
        <f>SUM(Prog_23[[#This Row],[ADIANTAMENTO]]+Prog_23[[#This Row],[SALDO]]+Prog_23[[#This Row],[MARGEM]]+Prog_23[[#This Row],[ESTADIA 1]])</f>
        <v>0</v>
      </c>
      <c r="AY17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799" s="81"/>
      <c r="BA1799" s="81"/>
      <c r="BB1799" s="81">
        <f>Prog_23[[#This Row],[VLR NF]]*0.1%</f>
        <v>0</v>
      </c>
      <c r="BC1799" s="81">
        <f>Prog_23[[#This Row],[VLR NF]]*0.05%</f>
        <v>0</v>
      </c>
      <c r="BD1799" s="81"/>
      <c r="BE1799" s="81"/>
      <c r="BF1799" s="81"/>
      <c r="BG1799" s="81"/>
      <c r="BH1799" s="81"/>
      <c r="BI1799" s="81"/>
      <c r="BJ1799" s="81"/>
      <c r="BK1799" s="81"/>
      <c r="BL1799" s="81"/>
      <c r="BM1799" s="81"/>
      <c r="BN1799" s="66"/>
      <c r="BO1799" s="66"/>
      <c r="BP1799" s="66"/>
      <c r="BQ1799" s="66" t="str">
        <f>PROPER(TEXT(Prog_23[[#This Row],[PROGRAMAÇÃO CLIENTE]],"mmm"))</f>
        <v>Jan</v>
      </c>
      <c r="BR1799" s="66">
        <f>YEAR(Prog_23[[#This Row],[PROGRAMAÇÃO CLIENTE]])</f>
        <v>1900</v>
      </c>
    </row>
    <row r="1800" spans="1:70" x14ac:dyDescent="0.25">
      <c r="A1800" s="201">
        <f>Prog_23[[#This Row],[CONTEINER]]</f>
        <v>0</v>
      </c>
      <c r="B1800" s="86"/>
      <c r="C18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00" s="44"/>
      <c r="E1800" s="66"/>
      <c r="F1800" s="66"/>
      <c r="G1800" s="66"/>
      <c r="H1800" s="44"/>
      <c r="I1800" s="44"/>
      <c r="J1800" s="66"/>
      <c r="K1800" s="66"/>
      <c r="L1800" s="66"/>
      <c r="M1800" s="66"/>
      <c r="N1800" s="66">
        <f>SUM(Prog_23[[#This Row],[TARA]]+Prog_23[[#This Row],[PESO]])</f>
        <v>0</v>
      </c>
      <c r="O1800" s="44"/>
      <c r="P1800" s="66"/>
      <c r="Q1800" s="66"/>
      <c r="R1800" s="66"/>
      <c r="S1800" s="66"/>
      <c r="T1800" s="138" t="str">
        <f>IFERROR(LOOKUP($S1800,MOTORISTAS!$D$3:$D$916,MOTORISTAS!E$3:$E$916),"")</f>
        <v/>
      </c>
      <c r="U1800" s="138" t="str">
        <f>IFERROR(LOOKUP($S1800,MOTORISTAS!$D$3:$D$916,MOTORISTAS!F$3:$F$916),"")</f>
        <v/>
      </c>
      <c r="V1800" s="66"/>
      <c r="W1800" s="66"/>
      <c r="X1800" s="66"/>
      <c r="Y1800" s="66"/>
      <c r="Z1800" s="66"/>
      <c r="AA1800" s="66"/>
      <c r="AB1800" s="66"/>
      <c r="AC1800" s="66"/>
      <c r="AD1800" s="66"/>
      <c r="AE1800" s="66"/>
      <c r="AF1800" s="44"/>
      <c r="AG1800" s="254">
        <f>Prog_23[[#This Row],[SAÍDA DO CLIENTE]]-Prog_23[[#This Row],[PROGRAMAÇÃO CLIENTE]]</f>
        <v>0</v>
      </c>
      <c r="AH1800" s="44"/>
      <c r="AI1800" s="66"/>
      <c r="AJ1800" s="66"/>
      <c r="AK1800" s="66"/>
      <c r="AL1800" s="66"/>
      <c r="AM1800" s="66"/>
      <c r="AN1800" s="83"/>
      <c r="AO1800" s="83"/>
      <c r="AP1800" s="83"/>
      <c r="AQ1800" s="66"/>
      <c r="AR1800" s="66"/>
      <c r="AS1800" s="66"/>
      <c r="AT1800" s="81"/>
      <c r="AU1800" s="81"/>
      <c r="AV1800" s="81"/>
      <c r="AW1800" s="81"/>
      <c r="AX1800" s="83">
        <f>SUM(Prog_23[[#This Row],[ADIANTAMENTO]]+Prog_23[[#This Row],[SALDO]]+Prog_23[[#This Row],[MARGEM]]+Prog_23[[#This Row],[ESTADIA 1]])</f>
        <v>0</v>
      </c>
      <c r="AY18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00" s="81"/>
      <c r="BA1800" s="81"/>
      <c r="BB1800" s="81">
        <f>Prog_23[[#This Row],[VLR NF]]*0.1%</f>
        <v>0</v>
      </c>
      <c r="BC1800" s="81">
        <f>Prog_23[[#This Row],[VLR NF]]*0.05%</f>
        <v>0</v>
      </c>
      <c r="BD1800" s="81"/>
      <c r="BE1800" s="81"/>
      <c r="BF1800" s="81"/>
      <c r="BG1800" s="81"/>
      <c r="BH1800" s="81"/>
      <c r="BI1800" s="81"/>
      <c r="BJ1800" s="81"/>
      <c r="BK1800" s="81"/>
      <c r="BL1800" s="81"/>
      <c r="BM1800" s="81"/>
      <c r="BN1800" s="66"/>
      <c r="BO1800" s="66"/>
      <c r="BP1800" s="66"/>
      <c r="BQ1800" s="66" t="str">
        <f>PROPER(TEXT(Prog_23[[#This Row],[PROGRAMAÇÃO CLIENTE]],"mmm"))</f>
        <v>Jan</v>
      </c>
      <c r="BR1800" s="66">
        <f>YEAR(Prog_23[[#This Row],[PROGRAMAÇÃO CLIENTE]])</f>
        <v>1900</v>
      </c>
    </row>
    <row r="1801" spans="1:70" x14ac:dyDescent="0.25">
      <c r="A1801" s="200">
        <f>Prog_23[[#This Row],[CONTEINER]]</f>
        <v>0</v>
      </c>
      <c r="B1801" s="86"/>
      <c r="C18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01" s="44"/>
      <c r="E1801" s="66"/>
      <c r="F1801" s="66"/>
      <c r="G1801" s="66"/>
      <c r="H1801" s="44"/>
      <c r="I1801" s="44"/>
      <c r="J1801" s="66"/>
      <c r="K1801" s="66"/>
      <c r="L1801" s="66"/>
      <c r="M1801" s="66"/>
      <c r="N1801" s="66">
        <f>SUM(Prog_23[[#This Row],[TARA]]+Prog_23[[#This Row],[PESO]])</f>
        <v>0</v>
      </c>
      <c r="O1801" s="44"/>
      <c r="P1801" s="66"/>
      <c r="Q1801" s="66"/>
      <c r="R1801" s="66"/>
      <c r="S1801" s="66"/>
      <c r="T1801" s="138" t="str">
        <f>IFERROR(LOOKUP($S1801,MOTORISTAS!$D$3:$D$916,MOTORISTAS!E$3:$E$916),"")</f>
        <v/>
      </c>
      <c r="U1801" s="138" t="str">
        <f>IFERROR(LOOKUP($S1801,MOTORISTAS!$D$3:$D$916,MOTORISTAS!F$3:$F$916),"")</f>
        <v/>
      </c>
      <c r="V1801" s="66"/>
      <c r="W1801" s="66"/>
      <c r="X1801" s="66"/>
      <c r="Y1801" s="66"/>
      <c r="Z1801" s="66"/>
      <c r="AA1801" s="66"/>
      <c r="AB1801" s="66"/>
      <c r="AC1801" s="66"/>
      <c r="AD1801" s="66"/>
      <c r="AE1801" s="66"/>
      <c r="AF1801" s="44"/>
      <c r="AG1801" s="254">
        <f>Prog_23[[#This Row],[SAÍDA DO CLIENTE]]-Prog_23[[#This Row],[PROGRAMAÇÃO CLIENTE]]</f>
        <v>0</v>
      </c>
      <c r="AH1801" s="44"/>
      <c r="AI1801" s="66"/>
      <c r="AJ1801" s="66"/>
      <c r="AK1801" s="66"/>
      <c r="AL1801" s="66"/>
      <c r="AM1801" s="66"/>
      <c r="AN1801" s="83"/>
      <c r="AO1801" s="83"/>
      <c r="AP1801" s="83"/>
      <c r="AQ1801" s="66"/>
      <c r="AR1801" s="66"/>
      <c r="AS1801" s="66"/>
      <c r="AT1801" s="81"/>
      <c r="AU1801" s="81"/>
      <c r="AV1801" s="81"/>
      <c r="AW1801" s="81"/>
      <c r="AX1801" s="83">
        <f>SUM(Prog_23[[#This Row],[ADIANTAMENTO]]+Prog_23[[#This Row],[SALDO]]+Prog_23[[#This Row],[MARGEM]]+Prog_23[[#This Row],[ESTADIA 1]])</f>
        <v>0</v>
      </c>
      <c r="AY18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01" s="81"/>
      <c r="BA1801" s="81"/>
      <c r="BB1801" s="81">
        <f>Prog_23[[#This Row],[VLR NF]]*0.1%</f>
        <v>0</v>
      </c>
      <c r="BC1801" s="81">
        <f>Prog_23[[#This Row],[VLR NF]]*0.05%</f>
        <v>0</v>
      </c>
      <c r="BD1801" s="81"/>
      <c r="BE1801" s="81"/>
      <c r="BF1801" s="81"/>
      <c r="BG1801" s="81"/>
      <c r="BH1801" s="81"/>
      <c r="BI1801" s="81"/>
      <c r="BJ1801" s="81"/>
      <c r="BK1801" s="81"/>
      <c r="BL1801" s="81"/>
      <c r="BM1801" s="81"/>
      <c r="BN1801" s="66"/>
      <c r="BO1801" s="66"/>
      <c r="BP1801" s="66"/>
      <c r="BQ1801" s="66" t="str">
        <f>PROPER(TEXT(Prog_23[[#This Row],[PROGRAMAÇÃO CLIENTE]],"mmm"))</f>
        <v>Jan</v>
      </c>
      <c r="BR1801" s="66">
        <f>YEAR(Prog_23[[#This Row],[PROGRAMAÇÃO CLIENTE]])</f>
        <v>1900</v>
      </c>
    </row>
    <row r="1802" spans="1:70" x14ac:dyDescent="0.25">
      <c r="A1802" s="201">
        <f>Prog_23[[#This Row],[CONTEINER]]</f>
        <v>0</v>
      </c>
      <c r="B1802" s="86"/>
      <c r="C18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02" s="44"/>
      <c r="E1802" s="66"/>
      <c r="F1802" s="66"/>
      <c r="G1802" s="66"/>
      <c r="H1802" s="44"/>
      <c r="I1802" s="44"/>
      <c r="J1802" s="66"/>
      <c r="K1802" s="66"/>
      <c r="L1802" s="66"/>
      <c r="M1802" s="66"/>
      <c r="N1802" s="66">
        <f>SUM(Prog_23[[#This Row],[TARA]]+Prog_23[[#This Row],[PESO]])</f>
        <v>0</v>
      </c>
      <c r="O1802" s="44"/>
      <c r="P1802" s="66"/>
      <c r="Q1802" s="66"/>
      <c r="R1802" s="66"/>
      <c r="S1802" s="66"/>
      <c r="T1802" s="138" t="str">
        <f>IFERROR(LOOKUP($S1802,MOTORISTAS!$D$3:$D$916,MOTORISTAS!E$3:$E$916),"")</f>
        <v/>
      </c>
      <c r="U1802" s="138" t="str">
        <f>IFERROR(LOOKUP($S1802,MOTORISTAS!$D$3:$D$916,MOTORISTAS!F$3:$F$916),"")</f>
        <v/>
      </c>
      <c r="V1802" s="66"/>
      <c r="W1802" s="66"/>
      <c r="X1802" s="66"/>
      <c r="Y1802" s="66"/>
      <c r="Z1802" s="66"/>
      <c r="AA1802" s="66"/>
      <c r="AB1802" s="66"/>
      <c r="AC1802" s="66"/>
      <c r="AD1802" s="66"/>
      <c r="AE1802" s="66"/>
      <c r="AF1802" s="44"/>
      <c r="AG1802" s="254">
        <f>Prog_23[[#This Row],[SAÍDA DO CLIENTE]]-Prog_23[[#This Row],[PROGRAMAÇÃO CLIENTE]]</f>
        <v>0</v>
      </c>
      <c r="AH1802" s="44"/>
      <c r="AI1802" s="66"/>
      <c r="AJ1802" s="66"/>
      <c r="AK1802" s="66"/>
      <c r="AL1802" s="66"/>
      <c r="AM1802" s="66"/>
      <c r="AN1802" s="83"/>
      <c r="AO1802" s="83"/>
      <c r="AP1802" s="83"/>
      <c r="AQ1802" s="66"/>
      <c r="AR1802" s="66"/>
      <c r="AS1802" s="66"/>
      <c r="AT1802" s="81"/>
      <c r="AU1802" s="81"/>
      <c r="AV1802" s="81"/>
      <c r="AW1802" s="81"/>
      <c r="AX1802" s="83">
        <f>SUM(Prog_23[[#This Row],[ADIANTAMENTO]]+Prog_23[[#This Row],[SALDO]]+Prog_23[[#This Row],[MARGEM]]+Prog_23[[#This Row],[ESTADIA 1]])</f>
        <v>0</v>
      </c>
      <c r="AY18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02" s="81"/>
      <c r="BA1802" s="81"/>
      <c r="BB1802" s="81">
        <f>Prog_23[[#This Row],[VLR NF]]*0.1%</f>
        <v>0</v>
      </c>
      <c r="BC1802" s="81">
        <f>Prog_23[[#This Row],[VLR NF]]*0.05%</f>
        <v>0</v>
      </c>
      <c r="BD1802" s="81"/>
      <c r="BE1802" s="81"/>
      <c r="BF1802" s="81"/>
      <c r="BG1802" s="81"/>
      <c r="BH1802" s="81"/>
      <c r="BI1802" s="81"/>
      <c r="BJ1802" s="81"/>
      <c r="BK1802" s="81"/>
      <c r="BL1802" s="81"/>
      <c r="BM1802" s="81"/>
      <c r="BN1802" s="66"/>
      <c r="BO1802" s="66"/>
      <c r="BP1802" s="66"/>
      <c r="BQ1802" s="66" t="str">
        <f>PROPER(TEXT(Prog_23[[#This Row],[PROGRAMAÇÃO CLIENTE]],"mmm"))</f>
        <v>Jan</v>
      </c>
      <c r="BR1802" s="66">
        <f>YEAR(Prog_23[[#This Row],[PROGRAMAÇÃO CLIENTE]])</f>
        <v>1900</v>
      </c>
    </row>
    <row r="1803" spans="1:70" x14ac:dyDescent="0.25">
      <c r="A1803" s="200">
        <f>Prog_23[[#This Row],[CONTEINER]]</f>
        <v>0</v>
      </c>
      <c r="B1803" s="86"/>
      <c r="C18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03" s="44"/>
      <c r="E1803" s="66"/>
      <c r="F1803" s="66"/>
      <c r="G1803" s="66"/>
      <c r="H1803" s="44"/>
      <c r="I1803" s="44"/>
      <c r="J1803" s="66"/>
      <c r="K1803" s="66"/>
      <c r="L1803" s="66"/>
      <c r="M1803" s="66"/>
      <c r="N1803" s="66">
        <f>SUM(Prog_23[[#This Row],[TARA]]+Prog_23[[#This Row],[PESO]])</f>
        <v>0</v>
      </c>
      <c r="O1803" s="44"/>
      <c r="P1803" s="66"/>
      <c r="Q1803" s="66"/>
      <c r="R1803" s="66"/>
      <c r="S1803" s="66"/>
      <c r="T1803" s="138" t="str">
        <f>IFERROR(LOOKUP($S1803,MOTORISTAS!$D$3:$D$916,MOTORISTAS!E$3:$E$916),"")</f>
        <v/>
      </c>
      <c r="U1803" s="138" t="str">
        <f>IFERROR(LOOKUP($S1803,MOTORISTAS!$D$3:$D$916,MOTORISTAS!F$3:$F$916),"")</f>
        <v/>
      </c>
      <c r="V1803" s="66"/>
      <c r="W1803" s="66"/>
      <c r="X1803" s="66"/>
      <c r="Y1803" s="66"/>
      <c r="Z1803" s="66"/>
      <c r="AA1803" s="66"/>
      <c r="AB1803" s="66"/>
      <c r="AC1803" s="66"/>
      <c r="AD1803" s="66"/>
      <c r="AE1803" s="66"/>
      <c r="AF1803" s="44"/>
      <c r="AG1803" s="254">
        <f>Prog_23[[#This Row],[SAÍDA DO CLIENTE]]-Prog_23[[#This Row],[PROGRAMAÇÃO CLIENTE]]</f>
        <v>0</v>
      </c>
      <c r="AH1803" s="44"/>
      <c r="AI1803" s="66"/>
      <c r="AJ1803" s="66"/>
      <c r="AK1803" s="66"/>
      <c r="AL1803" s="66"/>
      <c r="AM1803" s="66"/>
      <c r="AN1803" s="83"/>
      <c r="AO1803" s="83"/>
      <c r="AP1803" s="83"/>
      <c r="AQ1803" s="66"/>
      <c r="AR1803" s="66"/>
      <c r="AS1803" s="66"/>
      <c r="AT1803" s="81"/>
      <c r="AU1803" s="81"/>
      <c r="AV1803" s="81"/>
      <c r="AW1803" s="81"/>
      <c r="AX1803" s="83">
        <f>SUM(Prog_23[[#This Row],[ADIANTAMENTO]]+Prog_23[[#This Row],[SALDO]]+Prog_23[[#This Row],[MARGEM]]+Prog_23[[#This Row],[ESTADIA 1]])</f>
        <v>0</v>
      </c>
      <c r="AY18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03" s="81"/>
      <c r="BA1803" s="81"/>
      <c r="BB1803" s="81">
        <f>Prog_23[[#This Row],[VLR NF]]*0.1%</f>
        <v>0</v>
      </c>
      <c r="BC1803" s="81">
        <f>Prog_23[[#This Row],[VLR NF]]*0.05%</f>
        <v>0</v>
      </c>
      <c r="BD1803" s="81"/>
      <c r="BE1803" s="81"/>
      <c r="BF1803" s="81"/>
      <c r="BG1803" s="81"/>
      <c r="BH1803" s="81"/>
      <c r="BI1803" s="81"/>
      <c r="BJ1803" s="81"/>
      <c r="BK1803" s="81"/>
      <c r="BL1803" s="81"/>
      <c r="BM1803" s="81"/>
      <c r="BN1803" s="66"/>
      <c r="BO1803" s="66"/>
      <c r="BP1803" s="66"/>
      <c r="BQ1803" s="66" t="str">
        <f>PROPER(TEXT(Prog_23[[#This Row],[PROGRAMAÇÃO CLIENTE]],"mmm"))</f>
        <v>Jan</v>
      </c>
      <c r="BR1803" s="66">
        <f>YEAR(Prog_23[[#This Row],[PROGRAMAÇÃO CLIENTE]])</f>
        <v>1900</v>
      </c>
    </row>
    <row r="1804" spans="1:70" x14ac:dyDescent="0.25">
      <c r="A1804" s="201">
        <f>Prog_23[[#This Row],[CONTEINER]]</f>
        <v>0</v>
      </c>
      <c r="B1804" s="86"/>
      <c r="C18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04" s="44"/>
      <c r="E1804" s="66"/>
      <c r="F1804" s="66"/>
      <c r="G1804" s="66"/>
      <c r="H1804" s="44"/>
      <c r="I1804" s="44"/>
      <c r="J1804" s="66"/>
      <c r="K1804" s="66"/>
      <c r="L1804" s="66"/>
      <c r="M1804" s="66"/>
      <c r="N1804" s="66">
        <f>SUM(Prog_23[[#This Row],[TARA]]+Prog_23[[#This Row],[PESO]])</f>
        <v>0</v>
      </c>
      <c r="O1804" s="44"/>
      <c r="P1804" s="66"/>
      <c r="Q1804" s="66"/>
      <c r="R1804" s="66"/>
      <c r="S1804" s="66"/>
      <c r="T1804" s="138" t="str">
        <f>IFERROR(LOOKUP($S1804,MOTORISTAS!$D$3:$D$916,MOTORISTAS!E$3:$E$916),"")</f>
        <v/>
      </c>
      <c r="U1804" s="138" t="str">
        <f>IFERROR(LOOKUP($S1804,MOTORISTAS!$D$3:$D$916,MOTORISTAS!F$3:$F$916),"")</f>
        <v/>
      </c>
      <c r="V1804" s="66"/>
      <c r="W1804" s="66"/>
      <c r="X1804" s="66"/>
      <c r="Y1804" s="66"/>
      <c r="Z1804" s="66"/>
      <c r="AA1804" s="66"/>
      <c r="AB1804" s="66"/>
      <c r="AC1804" s="66"/>
      <c r="AD1804" s="66"/>
      <c r="AE1804" s="66"/>
      <c r="AF1804" s="44"/>
      <c r="AG1804" s="254">
        <f>Prog_23[[#This Row],[SAÍDA DO CLIENTE]]-Prog_23[[#This Row],[PROGRAMAÇÃO CLIENTE]]</f>
        <v>0</v>
      </c>
      <c r="AH1804" s="44"/>
      <c r="AI1804" s="66"/>
      <c r="AJ1804" s="66"/>
      <c r="AK1804" s="66"/>
      <c r="AL1804" s="66"/>
      <c r="AM1804" s="66"/>
      <c r="AN1804" s="83"/>
      <c r="AO1804" s="83"/>
      <c r="AP1804" s="83"/>
      <c r="AQ1804" s="66"/>
      <c r="AR1804" s="66"/>
      <c r="AS1804" s="66"/>
      <c r="AT1804" s="81"/>
      <c r="AU1804" s="81"/>
      <c r="AV1804" s="81"/>
      <c r="AW1804" s="81"/>
      <c r="AX1804" s="83">
        <f>SUM(Prog_23[[#This Row],[ADIANTAMENTO]]+Prog_23[[#This Row],[SALDO]]+Prog_23[[#This Row],[MARGEM]]+Prog_23[[#This Row],[ESTADIA 1]])</f>
        <v>0</v>
      </c>
      <c r="AY18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04" s="81"/>
      <c r="BA1804" s="81"/>
      <c r="BB1804" s="81">
        <f>Prog_23[[#This Row],[VLR NF]]*0.1%</f>
        <v>0</v>
      </c>
      <c r="BC1804" s="81">
        <f>Prog_23[[#This Row],[VLR NF]]*0.05%</f>
        <v>0</v>
      </c>
      <c r="BD1804" s="81"/>
      <c r="BE1804" s="81"/>
      <c r="BF1804" s="81"/>
      <c r="BG1804" s="81"/>
      <c r="BH1804" s="81"/>
      <c r="BI1804" s="81"/>
      <c r="BJ1804" s="81"/>
      <c r="BK1804" s="81"/>
      <c r="BL1804" s="81"/>
      <c r="BM1804" s="81"/>
      <c r="BN1804" s="66"/>
      <c r="BO1804" s="66"/>
      <c r="BP1804" s="66"/>
      <c r="BQ1804" s="66" t="str">
        <f>PROPER(TEXT(Prog_23[[#This Row],[PROGRAMAÇÃO CLIENTE]],"mmm"))</f>
        <v>Jan</v>
      </c>
      <c r="BR1804" s="66">
        <f>YEAR(Prog_23[[#This Row],[PROGRAMAÇÃO CLIENTE]])</f>
        <v>1900</v>
      </c>
    </row>
    <row r="1805" spans="1:70" x14ac:dyDescent="0.25">
      <c r="A1805" s="200">
        <f>Prog_23[[#This Row],[CONTEINER]]</f>
        <v>0</v>
      </c>
      <c r="B1805" s="86"/>
      <c r="C18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05" s="44"/>
      <c r="E1805" s="66"/>
      <c r="F1805" s="66"/>
      <c r="G1805" s="66"/>
      <c r="H1805" s="44"/>
      <c r="I1805" s="44"/>
      <c r="J1805" s="66"/>
      <c r="K1805" s="66"/>
      <c r="L1805" s="66"/>
      <c r="M1805" s="66"/>
      <c r="N1805" s="66">
        <f>SUM(Prog_23[[#This Row],[TARA]]+Prog_23[[#This Row],[PESO]])</f>
        <v>0</v>
      </c>
      <c r="O1805" s="44"/>
      <c r="P1805" s="66"/>
      <c r="Q1805" s="66"/>
      <c r="R1805" s="66"/>
      <c r="S1805" s="66"/>
      <c r="T1805" s="138" t="str">
        <f>IFERROR(LOOKUP($S1805,MOTORISTAS!$D$3:$D$916,MOTORISTAS!E$3:$E$916),"")</f>
        <v/>
      </c>
      <c r="U1805" s="138" t="str">
        <f>IFERROR(LOOKUP($S1805,MOTORISTAS!$D$3:$D$916,MOTORISTAS!F$3:$F$916),"")</f>
        <v/>
      </c>
      <c r="V1805" s="66"/>
      <c r="W1805" s="66"/>
      <c r="X1805" s="66"/>
      <c r="Y1805" s="66"/>
      <c r="Z1805" s="66"/>
      <c r="AA1805" s="66"/>
      <c r="AB1805" s="66"/>
      <c r="AC1805" s="66"/>
      <c r="AD1805" s="66"/>
      <c r="AE1805" s="66"/>
      <c r="AF1805" s="44"/>
      <c r="AG1805" s="254">
        <f>Prog_23[[#This Row],[SAÍDA DO CLIENTE]]-Prog_23[[#This Row],[PROGRAMAÇÃO CLIENTE]]</f>
        <v>0</v>
      </c>
      <c r="AH1805" s="44"/>
      <c r="AI1805" s="66"/>
      <c r="AJ1805" s="66"/>
      <c r="AK1805" s="66"/>
      <c r="AL1805" s="66"/>
      <c r="AM1805" s="66"/>
      <c r="AN1805" s="83"/>
      <c r="AO1805" s="83"/>
      <c r="AP1805" s="83"/>
      <c r="AQ1805" s="66"/>
      <c r="AR1805" s="66"/>
      <c r="AS1805" s="66"/>
      <c r="AT1805" s="81"/>
      <c r="AU1805" s="81"/>
      <c r="AV1805" s="81"/>
      <c r="AW1805" s="81"/>
      <c r="AX1805" s="83">
        <f>SUM(Prog_23[[#This Row],[ADIANTAMENTO]]+Prog_23[[#This Row],[SALDO]]+Prog_23[[#This Row],[MARGEM]]+Prog_23[[#This Row],[ESTADIA 1]])</f>
        <v>0</v>
      </c>
      <c r="AY18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05" s="81"/>
      <c r="BA1805" s="81"/>
      <c r="BB1805" s="81">
        <f>Prog_23[[#This Row],[VLR NF]]*0.1%</f>
        <v>0</v>
      </c>
      <c r="BC1805" s="81">
        <f>Prog_23[[#This Row],[VLR NF]]*0.05%</f>
        <v>0</v>
      </c>
      <c r="BD1805" s="81"/>
      <c r="BE1805" s="81"/>
      <c r="BF1805" s="81"/>
      <c r="BG1805" s="81"/>
      <c r="BH1805" s="81"/>
      <c r="BI1805" s="81"/>
      <c r="BJ1805" s="81"/>
      <c r="BK1805" s="81"/>
      <c r="BL1805" s="81"/>
      <c r="BM1805" s="81"/>
      <c r="BN1805" s="66"/>
      <c r="BO1805" s="66"/>
      <c r="BP1805" s="66"/>
      <c r="BQ1805" s="66" t="str">
        <f>PROPER(TEXT(Prog_23[[#This Row],[PROGRAMAÇÃO CLIENTE]],"mmm"))</f>
        <v>Jan</v>
      </c>
      <c r="BR1805" s="66">
        <f>YEAR(Prog_23[[#This Row],[PROGRAMAÇÃO CLIENTE]])</f>
        <v>1900</v>
      </c>
    </row>
    <row r="1806" spans="1:70" x14ac:dyDescent="0.25">
      <c r="A1806" s="201">
        <f>Prog_23[[#This Row],[CONTEINER]]</f>
        <v>0</v>
      </c>
      <c r="B1806" s="86"/>
      <c r="C18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06" s="44"/>
      <c r="E1806" s="66"/>
      <c r="F1806" s="66"/>
      <c r="G1806" s="66"/>
      <c r="H1806" s="44"/>
      <c r="I1806" s="44"/>
      <c r="J1806" s="66"/>
      <c r="K1806" s="66"/>
      <c r="L1806" s="66"/>
      <c r="M1806" s="66"/>
      <c r="N1806" s="66">
        <f>SUM(Prog_23[[#This Row],[TARA]]+Prog_23[[#This Row],[PESO]])</f>
        <v>0</v>
      </c>
      <c r="O1806" s="44"/>
      <c r="P1806" s="66"/>
      <c r="Q1806" s="66"/>
      <c r="R1806" s="66"/>
      <c r="S1806" s="66"/>
      <c r="T1806" s="138" t="str">
        <f>IFERROR(LOOKUP($S1806,MOTORISTAS!$D$3:$D$916,MOTORISTAS!E$3:$E$916),"")</f>
        <v/>
      </c>
      <c r="U1806" s="138" t="str">
        <f>IFERROR(LOOKUP($S1806,MOTORISTAS!$D$3:$D$916,MOTORISTAS!F$3:$F$916),"")</f>
        <v/>
      </c>
      <c r="V1806" s="66"/>
      <c r="W1806" s="66"/>
      <c r="X1806" s="66"/>
      <c r="Y1806" s="66"/>
      <c r="Z1806" s="66"/>
      <c r="AA1806" s="66"/>
      <c r="AB1806" s="66"/>
      <c r="AC1806" s="66"/>
      <c r="AD1806" s="66"/>
      <c r="AE1806" s="66"/>
      <c r="AF1806" s="44"/>
      <c r="AG1806" s="254">
        <f>Prog_23[[#This Row],[SAÍDA DO CLIENTE]]-Prog_23[[#This Row],[PROGRAMAÇÃO CLIENTE]]</f>
        <v>0</v>
      </c>
      <c r="AH1806" s="44"/>
      <c r="AI1806" s="66"/>
      <c r="AJ1806" s="66"/>
      <c r="AK1806" s="66"/>
      <c r="AL1806" s="66"/>
      <c r="AM1806" s="66"/>
      <c r="AN1806" s="83"/>
      <c r="AO1806" s="83"/>
      <c r="AP1806" s="83"/>
      <c r="AQ1806" s="66"/>
      <c r="AR1806" s="66"/>
      <c r="AS1806" s="66"/>
      <c r="AT1806" s="81"/>
      <c r="AU1806" s="81"/>
      <c r="AV1806" s="81"/>
      <c r="AW1806" s="81"/>
      <c r="AX1806" s="83">
        <f>SUM(Prog_23[[#This Row],[ADIANTAMENTO]]+Prog_23[[#This Row],[SALDO]]+Prog_23[[#This Row],[MARGEM]]+Prog_23[[#This Row],[ESTADIA 1]])</f>
        <v>0</v>
      </c>
      <c r="AY18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06" s="81"/>
      <c r="BA1806" s="81"/>
      <c r="BB1806" s="81">
        <f>Prog_23[[#This Row],[VLR NF]]*0.1%</f>
        <v>0</v>
      </c>
      <c r="BC1806" s="81">
        <f>Prog_23[[#This Row],[VLR NF]]*0.05%</f>
        <v>0</v>
      </c>
      <c r="BD1806" s="81"/>
      <c r="BE1806" s="81"/>
      <c r="BF1806" s="81"/>
      <c r="BG1806" s="81"/>
      <c r="BH1806" s="81"/>
      <c r="BI1806" s="81"/>
      <c r="BJ1806" s="81"/>
      <c r="BK1806" s="81"/>
      <c r="BL1806" s="81"/>
      <c r="BM1806" s="81"/>
      <c r="BN1806" s="66"/>
      <c r="BO1806" s="66"/>
      <c r="BP1806" s="66"/>
      <c r="BQ1806" s="66" t="str">
        <f>PROPER(TEXT(Prog_23[[#This Row],[PROGRAMAÇÃO CLIENTE]],"mmm"))</f>
        <v>Jan</v>
      </c>
      <c r="BR1806" s="66">
        <f>YEAR(Prog_23[[#This Row],[PROGRAMAÇÃO CLIENTE]])</f>
        <v>1900</v>
      </c>
    </row>
    <row r="1807" spans="1:70" x14ac:dyDescent="0.25">
      <c r="A1807" s="200">
        <f>Prog_23[[#This Row],[CONTEINER]]</f>
        <v>0</v>
      </c>
      <c r="B1807" s="86"/>
      <c r="C18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07" s="44"/>
      <c r="E1807" s="66"/>
      <c r="F1807" s="66"/>
      <c r="G1807" s="66"/>
      <c r="H1807" s="44"/>
      <c r="I1807" s="44"/>
      <c r="J1807" s="66"/>
      <c r="K1807" s="66"/>
      <c r="L1807" s="66"/>
      <c r="M1807" s="66"/>
      <c r="N1807" s="66">
        <f>SUM(Prog_23[[#This Row],[TARA]]+Prog_23[[#This Row],[PESO]])</f>
        <v>0</v>
      </c>
      <c r="O1807" s="44"/>
      <c r="P1807" s="66"/>
      <c r="Q1807" s="66"/>
      <c r="R1807" s="66"/>
      <c r="S1807" s="66"/>
      <c r="T1807" s="138" t="str">
        <f>IFERROR(LOOKUP($S1807,MOTORISTAS!$D$3:$D$916,MOTORISTAS!E$3:$E$916),"")</f>
        <v/>
      </c>
      <c r="U1807" s="138" t="str">
        <f>IFERROR(LOOKUP($S1807,MOTORISTAS!$D$3:$D$916,MOTORISTAS!F$3:$F$916),"")</f>
        <v/>
      </c>
      <c r="V1807" s="66"/>
      <c r="W1807" s="66"/>
      <c r="X1807" s="66"/>
      <c r="Y1807" s="66"/>
      <c r="Z1807" s="66"/>
      <c r="AA1807" s="66"/>
      <c r="AB1807" s="66"/>
      <c r="AC1807" s="66"/>
      <c r="AD1807" s="66"/>
      <c r="AE1807" s="66"/>
      <c r="AF1807" s="44"/>
      <c r="AG1807" s="254">
        <f>Prog_23[[#This Row],[SAÍDA DO CLIENTE]]-Prog_23[[#This Row],[PROGRAMAÇÃO CLIENTE]]</f>
        <v>0</v>
      </c>
      <c r="AH1807" s="44"/>
      <c r="AI1807" s="66"/>
      <c r="AJ1807" s="66"/>
      <c r="AK1807" s="66"/>
      <c r="AL1807" s="66"/>
      <c r="AM1807" s="66"/>
      <c r="AN1807" s="83"/>
      <c r="AO1807" s="83"/>
      <c r="AP1807" s="83"/>
      <c r="AQ1807" s="66"/>
      <c r="AR1807" s="66"/>
      <c r="AS1807" s="66"/>
      <c r="AT1807" s="81"/>
      <c r="AU1807" s="81"/>
      <c r="AV1807" s="81"/>
      <c r="AW1807" s="81"/>
      <c r="AX1807" s="83">
        <f>SUM(Prog_23[[#This Row],[ADIANTAMENTO]]+Prog_23[[#This Row],[SALDO]]+Prog_23[[#This Row],[MARGEM]]+Prog_23[[#This Row],[ESTADIA 1]])</f>
        <v>0</v>
      </c>
      <c r="AY18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07" s="81"/>
      <c r="BA1807" s="81"/>
      <c r="BB1807" s="81">
        <f>Prog_23[[#This Row],[VLR NF]]*0.1%</f>
        <v>0</v>
      </c>
      <c r="BC1807" s="81">
        <f>Prog_23[[#This Row],[VLR NF]]*0.05%</f>
        <v>0</v>
      </c>
      <c r="BD1807" s="81"/>
      <c r="BE1807" s="81"/>
      <c r="BF1807" s="81"/>
      <c r="BG1807" s="81"/>
      <c r="BH1807" s="81"/>
      <c r="BI1807" s="81"/>
      <c r="BJ1807" s="81"/>
      <c r="BK1807" s="81"/>
      <c r="BL1807" s="81"/>
      <c r="BM1807" s="81"/>
      <c r="BN1807" s="66"/>
      <c r="BO1807" s="66"/>
      <c r="BP1807" s="66"/>
      <c r="BQ1807" s="66" t="str">
        <f>PROPER(TEXT(Prog_23[[#This Row],[PROGRAMAÇÃO CLIENTE]],"mmm"))</f>
        <v>Jan</v>
      </c>
      <c r="BR1807" s="66">
        <f>YEAR(Prog_23[[#This Row],[PROGRAMAÇÃO CLIENTE]])</f>
        <v>1900</v>
      </c>
    </row>
    <row r="1808" spans="1:70" x14ac:dyDescent="0.25">
      <c r="A1808" s="201">
        <f>Prog_23[[#This Row],[CONTEINER]]</f>
        <v>0</v>
      </c>
      <c r="B1808" s="86"/>
      <c r="C18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08" s="44"/>
      <c r="E1808" s="66"/>
      <c r="F1808" s="66"/>
      <c r="G1808" s="66"/>
      <c r="H1808" s="44"/>
      <c r="I1808" s="44"/>
      <c r="J1808" s="66"/>
      <c r="K1808" s="66"/>
      <c r="L1808" s="66"/>
      <c r="M1808" s="66"/>
      <c r="N1808" s="66">
        <f>SUM(Prog_23[[#This Row],[TARA]]+Prog_23[[#This Row],[PESO]])</f>
        <v>0</v>
      </c>
      <c r="O1808" s="44"/>
      <c r="P1808" s="66"/>
      <c r="Q1808" s="66"/>
      <c r="R1808" s="66"/>
      <c r="S1808" s="66"/>
      <c r="T1808" s="138" t="str">
        <f>IFERROR(LOOKUP($S1808,MOTORISTAS!$D$3:$D$916,MOTORISTAS!E$3:$E$916),"")</f>
        <v/>
      </c>
      <c r="U1808" s="138" t="str">
        <f>IFERROR(LOOKUP($S1808,MOTORISTAS!$D$3:$D$916,MOTORISTAS!F$3:$F$916),"")</f>
        <v/>
      </c>
      <c r="V1808" s="66"/>
      <c r="W1808" s="66"/>
      <c r="X1808" s="66"/>
      <c r="Y1808" s="66"/>
      <c r="Z1808" s="66"/>
      <c r="AA1808" s="66"/>
      <c r="AB1808" s="66"/>
      <c r="AC1808" s="66"/>
      <c r="AD1808" s="66"/>
      <c r="AE1808" s="66"/>
      <c r="AF1808" s="44"/>
      <c r="AG1808" s="254">
        <f>Prog_23[[#This Row],[SAÍDA DO CLIENTE]]-Prog_23[[#This Row],[PROGRAMAÇÃO CLIENTE]]</f>
        <v>0</v>
      </c>
      <c r="AH1808" s="44"/>
      <c r="AI1808" s="66"/>
      <c r="AJ1808" s="66"/>
      <c r="AK1808" s="66"/>
      <c r="AL1808" s="66"/>
      <c r="AM1808" s="66"/>
      <c r="AN1808" s="83"/>
      <c r="AO1808" s="83"/>
      <c r="AP1808" s="83"/>
      <c r="AQ1808" s="66"/>
      <c r="AR1808" s="66"/>
      <c r="AS1808" s="66"/>
      <c r="AT1808" s="81"/>
      <c r="AU1808" s="81"/>
      <c r="AV1808" s="81"/>
      <c r="AW1808" s="81"/>
      <c r="AX1808" s="83">
        <f>SUM(Prog_23[[#This Row],[ADIANTAMENTO]]+Prog_23[[#This Row],[SALDO]]+Prog_23[[#This Row],[MARGEM]]+Prog_23[[#This Row],[ESTADIA 1]])</f>
        <v>0</v>
      </c>
      <c r="AY18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08" s="81"/>
      <c r="BA1808" s="81"/>
      <c r="BB1808" s="81">
        <f>Prog_23[[#This Row],[VLR NF]]*0.1%</f>
        <v>0</v>
      </c>
      <c r="BC1808" s="81">
        <f>Prog_23[[#This Row],[VLR NF]]*0.05%</f>
        <v>0</v>
      </c>
      <c r="BD1808" s="81"/>
      <c r="BE1808" s="81"/>
      <c r="BF1808" s="81"/>
      <c r="BG1808" s="81"/>
      <c r="BH1808" s="81"/>
      <c r="BI1808" s="81"/>
      <c r="BJ1808" s="81"/>
      <c r="BK1808" s="81"/>
      <c r="BL1808" s="81"/>
      <c r="BM1808" s="81"/>
      <c r="BN1808" s="66"/>
      <c r="BO1808" s="66"/>
      <c r="BP1808" s="66"/>
      <c r="BQ1808" s="66" t="str">
        <f>PROPER(TEXT(Prog_23[[#This Row],[PROGRAMAÇÃO CLIENTE]],"mmm"))</f>
        <v>Jan</v>
      </c>
      <c r="BR1808" s="66">
        <f>YEAR(Prog_23[[#This Row],[PROGRAMAÇÃO CLIENTE]])</f>
        <v>1900</v>
      </c>
    </row>
    <row r="1809" spans="1:70" x14ac:dyDescent="0.25">
      <c r="A1809" s="200">
        <f>Prog_23[[#This Row],[CONTEINER]]</f>
        <v>0</v>
      </c>
      <c r="B1809" s="86"/>
      <c r="C18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09" s="44"/>
      <c r="E1809" s="66"/>
      <c r="F1809" s="66"/>
      <c r="G1809" s="66"/>
      <c r="H1809" s="44"/>
      <c r="I1809" s="44"/>
      <c r="J1809" s="66"/>
      <c r="K1809" s="66"/>
      <c r="L1809" s="66"/>
      <c r="M1809" s="66"/>
      <c r="N1809" s="66">
        <f>SUM(Prog_23[[#This Row],[TARA]]+Prog_23[[#This Row],[PESO]])</f>
        <v>0</v>
      </c>
      <c r="O1809" s="44"/>
      <c r="P1809" s="66"/>
      <c r="Q1809" s="66"/>
      <c r="R1809" s="66"/>
      <c r="S1809" s="66"/>
      <c r="T1809" s="138" t="str">
        <f>IFERROR(LOOKUP($S1809,MOTORISTAS!$D$3:$D$916,MOTORISTAS!E$3:$E$916),"")</f>
        <v/>
      </c>
      <c r="U1809" s="138" t="str">
        <f>IFERROR(LOOKUP($S1809,MOTORISTAS!$D$3:$D$916,MOTORISTAS!F$3:$F$916),"")</f>
        <v/>
      </c>
      <c r="V1809" s="66"/>
      <c r="W1809" s="66"/>
      <c r="X1809" s="66"/>
      <c r="Y1809" s="66"/>
      <c r="Z1809" s="66"/>
      <c r="AA1809" s="66"/>
      <c r="AB1809" s="66"/>
      <c r="AC1809" s="66"/>
      <c r="AD1809" s="66"/>
      <c r="AE1809" s="66"/>
      <c r="AF1809" s="44"/>
      <c r="AG1809" s="254">
        <f>Prog_23[[#This Row],[SAÍDA DO CLIENTE]]-Prog_23[[#This Row],[PROGRAMAÇÃO CLIENTE]]</f>
        <v>0</v>
      </c>
      <c r="AH1809" s="44"/>
      <c r="AI1809" s="66"/>
      <c r="AJ1809" s="66"/>
      <c r="AK1809" s="66"/>
      <c r="AL1809" s="66"/>
      <c r="AM1809" s="66"/>
      <c r="AN1809" s="83"/>
      <c r="AO1809" s="83"/>
      <c r="AP1809" s="83"/>
      <c r="AQ1809" s="66"/>
      <c r="AR1809" s="66"/>
      <c r="AS1809" s="66"/>
      <c r="AT1809" s="81"/>
      <c r="AU1809" s="81"/>
      <c r="AV1809" s="81"/>
      <c r="AW1809" s="81"/>
      <c r="AX1809" s="83">
        <f>SUM(Prog_23[[#This Row],[ADIANTAMENTO]]+Prog_23[[#This Row],[SALDO]]+Prog_23[[#This Row],[MARGEM]]+Prog_23[[#This Row],[ESTADIA 1]])</f>
        <v>0</v>
      </c>
      <c r="AY18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09" s="81"/>
      <c r="BA1809" s="81"/>
      <c r="BB1809" s="81">
        <f>Prog_23[[#This Row],[VLR NF]]*0.1%</f>
        <v>0</v>
      </c>
      <c r="BC1809" s="81">
        <f>Prog_23[[#This Row],[VLR NF]]*0.05%</f>
        <v>0</v>
      </c>
      <c r="BD1809" s="81"/>
      <c r="BE1809" s="81"/>
      <c r="BF1809" s="81"/>
      <c r="BG1809" s="81"/>
      <c r="BH1809" s="81"/>
      <c r="BI1809" s="81"/>
      <c r="BJ1809" s="81"/>
      <c r="BK1809" s="81"/>
      <c r="BL1809" s="81"/>
      <c r="BM1809" s="81"/>
      <c r="BN1809" s="66"/>
      <c r="BO1809" s="66"/>
      <c r="BP1809" s="66"/>
      <c r="BQ1809" s="66" t="str">
        <f>PROPER(TEXT(Prog_23[[#This Row],[PROGRAMAÇÃO CLIENTE]],"mmm"))</f>
        <v>Jan</v>
      </c>
      <c r="BR1809" s="66">
        <f>YEAR(Prog_23[[#This Row],[PROGRAMAÇÃO CLIENTE]])</f>
        <v>1900</v>
      </c>
    </row>
    <row r="1810" spans="1:70" x14ac:dyDescent="0.25">
      <c r="A1810" s="201">
        <f>Prog_23[[#This Row],[CONTEINER]]</f>
        <v>0</v>
      </c>
      <c r="B1810" s="86"/>
      <c r="C18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10" s="44"/>
      <c r="E1810" s="66"/>
      <c r="F1810" s="66"/>
      <c r="G1810" s="66"/>
      <c r="H1810" s="44"/>
      <c r="I1810" s="44"/>
      <c r="J1810" s="66"/>
      <c r="K1810" s="66"/>
      <c r="L1810" s="66"/>
      <c r="M1810" s="66"/>
      <c r="N1810" s="66">
        <f>SUM(Prog_23[[#This Row],[TARA]]+Prog_23[[#This Row],[PESO]])</f>
        <v>0</v>
      </c>
      <c r="O1810" s="44"/>
      <c r="P1810" s="66"/>
      <c r="Q1810" s="66"/>
      <c r="R1810" s="66"/>
      <c r="S1810" s="66"/>
      <c r="T1810" s="138" t="str">
        <f>IFERROR(LOOKUP($S1810,MOTORISTAS!$D$3:$D$916,MOTORISTAS!E$3:$E$916),"")</f>
        <v/>
      </c>
      <c r="U1810" s="138" t="str">
        <f>IFERROR(LOOKUP($S1810,MOTORISTAS!$D$3:$D$916,MOTORISTAS!F$3:$F$916),"")</f>
        <v/>
      </c>
      <c r="V1810" s="66"/>
      <c r="W1810" s="66"/>
      <c r="X1810" s="66"/>
      <c r="Y1810" s="66"/>
      <c r="Z1810" s="66"/>
      <c r="AA1810" s="66"/>
      <c r="AB1810" s="66"/>
      <c r="AC1810" s="66"/>
      <c r="AD1810" s="66"/>
      <c r="AE1810" s="66"/>
      <c r="AF1810" s="44"/>
      <c r="AG1810" s="254">
        <f>Prog_23[[#This Row],[SAÍDA DO CLIENTE]]-Prog_23[[#This Row],[PROGRAMAÇÃO CLIENTE]]</f>
        <v>0</v>
      </c>
      <c r="AH1810" s="44"/>
      <c r="AI1810" s="66"/>
      <c r="AJ1810" s="66"/>
      <c r="AK1810" s="66"/>
      <c r="AL1810" s="66"/>
      <c r="AM1810" s="66"/>
      <c r="AN1810" s="83"/>
      <c r="AO1810" s="83"/>
      <c r="AP1810" s="83"/>
      <c r="AQ1810" s="66"/>
      <c r="AR1810" s="66"/>
      <c r="AS1810" s="66"/>
      <c r="AT1810" s="81"/>
      <c r="AU1810" s="81"/>
      <c r="AV1810" s="81"/>
      <c r="AW1810" s="81"/>
      <c r="AX1810" s="83">
        <f>SUM(Prog_23[[#This Row],[ADIANTAMENTO]]+Prog_23[[#This Row],[SALDO]]+Prog_23[[#This Row],[MARGEM]]+Prog_23[[#This Row],[ESTADIA 1]])</f>
        <v>0</v>
      </c>
      <c r="AY18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10" s="81"/>
      <c r="BA1810" s="81"/>
      <c r="BB1810" s="81">
        <f>Prog_23[[#This Row],[VLR NF]]*0.1%</f>
        <v>0</v>
      </c>
      <c r="BC1810" s="81">
        <f>Prog_23[[#This Row],[VLR NF]]*0.05%</f>
        <v>0</v>
      </c>
      <c r="BD1810" s="81"/>
      <c r="BE1810" s="81"/>
      <c r="BF1810" s="81"/>
      <c r="BG1810" s="81"/>
      <c r="BH1810" s="81"/>
      <c r="BI1810" s="81"/>
      <c r="BJ1810" s="81"/>
      <c r="BK1810" s="81"/>
      <c r="BL1810" s="81"/>
      <c r="BM1810" s="81"/>
      <c r="BN1810" s="66"/>
      <c r="BO1810" s="66"/>
      <c r="BP1810" s="66"/>
      <c r="BQ1810" s="66" t="str">
        <f>PROPER(TEXT(Prog_23[[#This Row],[PROGRAMAÇÃO CLIENTE]],"mmm"))</f>
        <v>Jan</v>
      </c>
      <c r="BR1810" s="66">
        <f>YEAR(Prog_23[[#This Row],[PROGRAMAÇÃO CLIENTE]])</f>
        <v>1900</v>
      </c>
    </row>
    <row r="1811" spans="1:70" x14ac:dyDescent="0.25">
      <c r="A1811" s="200">
        <f>Prog_23[[#This Row],[CONTEINER]]</f>
        <v>0</v>
      </c>
      <c r="B1811" s="86"/>
      <c r="C18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11" s="44"/>
      <c r="E1811" s="66"/>
      <c r="F1811" s="66"/>
      <c r="G1811" s="66"/>
      <c r="H1811" s="44"/>
      <c r="I1811" s="44"/>
      <c r="J1811" s="66"/>
      <c r="K1811" s="66"/>
      <c r="L1811" s="66"/>
      <c r="M1811" s="66"/>
      <c r="N1811" s="66">
        <f>SUM(Prog_23[[#This Row],[TARA]]+Prog_23[[#This Row],[PESO]])</f>
        <v>0</v>
      </c>
      <c r="O1811" s="44"/>
      <c r="P1811" s="66"/>
      <c r="Q1811" s="66"/>
      <c r="R1811" s="66"/>
      <c r="S1811" s="66"/>
      <c r="T1811" s="138" t="str">
        <f>IFERROR(LOOKUP($S1811,MOTORISTAS!$D$3:$D$916,MOTORISTAS!E$3:$E$916),"")</f>
        <v/>
      </c>
      <c r="U1811" s="138" t="str">
        <f>IFERROR(LOOKUP($S1811,MOTORISTAS!$D$3:$D$916,MOTORISTAS!F$3:$F$916),"")</f>
        <v/>
      </c>
      <c r="V1811" s="66"/>
      <c r="W1811" s="66"/>
      <c r="X1811" s="66"/>
      <c r="Y1811" s="66"/>
      <c r="Z1811" s="66"/>
      <c r="AA1811" s="66"/>
      <c r="AB1811" s="66"/>
      <c r="AC1811" s="66"/>
      <c r="AD1811" s="66"/>
      <c r="AE1811" s="66"/>
      <c r="AF1811" s="44"/>
      <c r="AG1811" s="254">
        <f>Prog_23[[#This Row],[SAÍDA DO CLIENTE]]-Prog_23[[#This Row],[PROGRAMAÇÃO CLIENTE]]</f>
        <v>0</v>
      </c>
      <c r="AH1811" s="44"/>
      <c r="AI1811" s="66"/>
      <c r="AJ1811" s="66"/>
      <c r="AK1811" s="66"/>
      <c r="AL1811" s="66"/>
      <c r="AM1811" s="66"/>
      <c r="AN1811" s="83"/>
      <c r="AO1811" s="83"/>
      <c r="AP1811" s="83"/>
      <c r="AQ1811" s="66"/>
      <c r="AR1811" s="66"/>
      <c r="AS1811" s="66"/>
      <c r="AT1811" s="81"/>
      <c r="AU1811" s="81"/>
      <c r="AV1811" s="81"/>
      <c r="AW1811" s="81"/>
      <c r="AX1811" s="83">
        <f>SUM(Prog_23[[#This Row],[ADIANTAMENTO]]+Prog_23[[#This Row],[SALDO]]+Prog_23[[#This Row],[MARGEM]]+Prog_23[[#This Row],[ESTADIA 1]])</f>
        <v>0</v>
      </c>
      <c r="AY18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11" s="81"/>
      <c r="BA1811" s="81"/>
      <c r="BB1811" s="81">
        <f>Prog_23[[#This Row],[VLR NF]]*0.1%</f>
        <v>0</v>
      </c>
      <c r="BC1811" s="81">
        <f>Prog_23[[#This Row],[VLR NF]]*0.05%</f>
        <v>0</v>
      </c>
      <c r="BD1811" s="81"/>
      <c r="BE1811" s="81"/>
      <c r="BF1811" s="81"/>
      <c r="BG1811" s="81"/>
      <c r="BH1811" s="81"/>
      <c r="BI1811" s="81"/>
      <c r="BJ1811" s="81"/>
      <c r="BK1811" s="81"/>
      <c r="BL1811" s="81"/>
      <c r="BM1811" s="81"/>
      <c r="BN1811" s="66"/>
      <c r="BO1811" s="66"/>
      <c r="BP1811" s="66"/>
      <c r="BQ1811" s="66" t="str">
        <f>PROPER(TEXT(Prog_23[[#This Row],[PROGRAMAÇÃO CLIENTE]],"mmm"))</f>
        <v>Jan</v>
      </c>
      <c r="BR1811" s="66">
        <f>YEAR(Prog_23[[#This Row],[PROGRAMAÇÃO CLIENTE]])</f>
        <v>1900</v>
      </c>
    </row>
    <row r="1812" spans="1:70" x14ac:dyDescent="0.25">
      <c r="A1812" s="201">
        <f>Prog_23[[#This Row],[CONTEINER]]</f>
        <v>0</v>
      </c>
      <c r="B1812" s="86"/>
      <c r="C18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12" s="44"/>
      <c r="E1812" s="66"/>
      <c r="F1812" s="66"/>
      <c r="G1812" s="66"/>
      <c r="H1812" s="44"/>
      <c r="I1812" s="44"/>
      <c r="J1812" s="66"/>
      <c r="K1812" s="66"/>
      <c r="L1812" s="66"/>
      <c r="M1812" s="66"/>
      <c r="N1812" s="66">
        <f>SUM(Prog_23[[#This Row],[TARA]]+Prog_23[[#This Row],[PESO]])</f>
        <v>0</v>
      </c>
      <c r="O1812" s="44"/>
      <c r="P1812" s="66"/>
      <c r="Q1812" s="66"/>
      <c r="R1812" s="66"/>
      <c r="S1812" s="66"/>
      <c r="T1812" s="138" t="str">
        <f>IFERROR(LOOKUP($S1812,MOTORISTAS!$D$3:$D$916,MOTORISTAS!E$3:$E$916),"")</f>
        <v/>
      </c>
      <c r="U1812" s="138" t="str">
        <f>IFERROR(LOOKUP($S1812,MOTORISTAS!$D$3:$D$916,MOTORISTAS!F$3:$F$916),"")</f>
        <v/>
      </c>
      <c r="V1812" s="66"/>
      <c r="W1812" s="66"/>
      <c r="X1812" s="66"/>
      <c r="Y1812" s="66"/>
      <c r="Z1812" s="66"/>
      <c r="AA1812" s="66"/>
      <c r="AB1812" s="66"/>
      <c r="AC1812" s="66"/>
      <c r="AD1812" s="66"/>
      <c r="AE1812" s="66"/>
      <c r="AF1812" s="44"/>
      <c r="AG1812" s="254">
        <f>Prog_23[[#This Row],[SAÍDA DO CLIENTE]]-Prog_23[[#This Row],[PROGRAMAÇÃO CLIENTE]]</f>
        <v>0</v>
      </c>
      <c r="AH1812" s="44"/>
      <c r="AI1812" s="66"/>
      <c r="AJ1812" s="66"/>
      <c r="AK1812" s="66"/>
      <c r="AL1812" s="66"/>
      <c r="AM1812" s="66"/>
      <c r="AN1812" s="83"/>
      <c r="AO1812" s="83"/>
      <c r="AP1812" s="83"/>
      <c r="AQ1812" s="66"/>
      <c r="AR1812" s="66"/>
      <c r="AS1812" s="66"/>
      <c r="AT1812" s="81"/>
      <c r="AU1812" s="81"/>
      <c r="AV1812" s="81"/>
      <c r="AW1812" s="81"/>
      <c r="AX1812" s="83">
        <f>SUM(Prog_23[[#This Row],[ADIANTAMENTO]]+Prog_23[[#This Row],[SALDO]]+Prog_23[[#This Row],[MARGEM]]+Prog_23[[#This Row],[ESTADIA 1]])</f>
        <v>0</v>
      </c>
      <c r="AY18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12" s="81"/>
      <c r="BA1812" s="81"/>
      <c r="BB1812" s="81">
        <f>Prog_23[[#This Row],[VLR NF]]*0.1%</f>
        <v>0</v>
      </c>
      <c r="BC1812" s="81">
        <f>Prog_23[[#This Row],[VLR NF]]*0.05%</f>
        <v>0</v>
      </c>
      <c r="BD1812" s="81"/>
      <c r="BE1812" s="81"/>
      <c r="BF1812" s="81"/>
      <c r="BG1812" s="81"/>
      <c r="BH1812" s="81"/>
      <c r="BI1812" s="81"/>
      <c r="BJ1812" s="81"/>
      <c r="BK1812" s="81"/>
      <c r="BL1812" s="81"/>
      <c r="BM1812" s="81"/>
      <c r="BN1812" s="66"/>
      <c r="BO1812" s="66"/>
      <c r="BP1812" s="66"/>
      <c r="BQ1812" s="66" t="str">
        <f>PROPER(TEXT(Prog_23[[#This Row],[PROGRAMAÇÃO CLIENTE]],"mmm"))</f>
        <v>Jan</v>
      </c>
      <c r="BR1812" s="66">
        <f>YEAR(Prog_23[[#This Row],[PROGRAMAÇÃO CLIENTE]])</f>
        <v>1900</v>
      </c>
    </row>
    <row r="1813" spans="1:70" x14ac:dyDescent="0.25">
      <c r="A1813" s="200">
        <f>Prog_23[[#This Row],[CONTEINER]]</f>
        <v>0</v>
      </c>
      <c r="B1813" s="86"/>
      <c r="C18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13" s="44"/>
      <c r="E1813" s="66"/>
      <c r="F1813" s="66"/>
      <c r="G1813" s="66"/>
      <c r="H1813" s="44"/>
      <c r="I1813" s="44"/>
      <c r="J1813" s="66"/>
      <c r="K1813" s="66"/>
      <c r="L1813" s="66"/>
      <c r="M1813" s="66"/>
      <c r="N1813" s="66">
        <f>SUM(Prog_23[[#This Row],[TARA]]+Prog_23[[#This Row],[PESO]])</f>
        <v>0</v>
      </c>
      <c r="O1813" s="44"/>
      <c r="P1813" s="66"/>
      <c r="Q1813" s="66"/>
      <c r="R1813" s="66"/>
      <c r="S1813" s="66"/>
      <c r="T1813" s="138" t="str">
        <f>IFERROR(LOOKUP($S1813,MOTORISTAS!$D$3:$D$916,MOTORISTAS!E$3:$E$916),"")</f>
        <v/>
      </c>
      <c r="U1813" s="138" t="str">
        <f>IFERROR(LOOKUP($S1813,MOTORISTAS!$D$3:$D$916,MOTORISTAS!F$3:$F$916),"")</f>
        <v/>
      </c>
      <c r="V1813" s="66"/>
      <c r="W1813" s="66"/>
      <c r="X1813" s="66"/>
      <c r="Y1813" s="66"/>
      <c r="Z1813" s="66"/>
      <c r="AA1813" s="66"/>
      <c r="AB1813" s="66"/>
      <c r="AC1813" s="66"/>
      <c r="AD1813" s="66"/>
      <c r="AE1813" s="66"/>
      <c r="AF1813" s="44"/>
      <c r="AG1813" s="254">
        <f>Prog_23[[#This Row],[SAÍDA DO CLIENTE]]-Prog_23[[#This Row],[PROGRAMAÇÃO CLIENTE]]</f>
        <v>0</v>
      </c>
      <c r="AH1813" s="44"/>
      <c r="AI1813" s="66"/>
      <c r="AJ1813" s="66"/>
      <c r="AK1813" s="66"/>
      <c r="AL1813" s="66"/>
      <c r="AM1813" s="66"/>
      <c r="AN1813" s="83"/>
      <c r="AO1813" s="83"/>
      <c r="AP1813" s="83"/>
      <c r="AQ1813" s="66"/>
      <c r="AR1813" s="66"/>
      <c r="AS1813" s="66"/>
      <c r="AT1813" s="81"/>
      <c r="AU1813" s="81"/>
      <c r="AV1813" s="81"/>
      <c r="AW1813" s="81"/>
      <c r="AX1813" s="83">
        <f>SUM(Prog_23[[#This Row],[ADIANTAMENTO]]+Prog_23[[#This Row],[SALDO]]+Prog_23[[#This Row],[MARGEM]]+Prog_23[[#This Row],[ESTADIA 1]])</f>
        <v>0</v>
      </c>
      <c r="AY18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13" s="81"/>
      <c r="BA1813" s="81"/>
      <c r="BB1813" s="81">
        <f>Prog_23[[#This Row],[VLR NF]]*0.1%</f>
        <v>0</v>
      </c>
      <c r="BC1813" s="81">
        <f>Prog_23[[#This Row],[VLR NF]]*0.05%</f>
        <v>0</v>
      </c>
      <c r="BD1813" s="81"/>
      <c r="BE1813" s="81"/>
      <c r="BF1813" s="81"/>
      <c r="BG1813" s="81"/>
      <c r="BH1813" s="81"/>
      <c r="BI1813" s="81"/>
      <c r="BJ1813" s="81"/>
      <c r="BK1813" s="81"/>
      <c r="BL1813" s="81"/>
      <c r="BM1813" s="81"/>
      <c r="BN1813" s="66"/>
      <c r="BO1813" s="66"/>
      <c r="BP1813" s="66"/>
      <c r="BQ1813" s="66" t="str">
        <f>PROPER(TEXT(Prog_23[[#This Row],[PROGRAMAÇÃO CLIENTE]],"mmm"))</f>
        <v>Jan</v>
      </c>
      <c r="BR1813" s="66">
        <f>YEAR(Prog_23[[#This Row],[PROGRAMAÇÃO CLIENTE]])</f>
        <v>1900</v>
      </c>
    </row>
    <row r="1814" spans="1:70" x14ac:dyDescent="0.25">
      <c r="A1814" s="201">
        <f>Prog_23[[#This Row],[CONTEINER]]</f>
        <v>0</v>
      </c>
      <c r="B1814" s="86"/>
      <c r="C18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14" s="44"/>
      <c r="E1814" s="66"/>
      <c r="F1814" s="66"/>
      <c r="G1814" s="66"/>
      <c r="H1814" s="44"/>
      <c r="I1814" s="44"/>
      <c r="J1814" s="66"/>
      <c r="K1814" s="66"/>
      <c r="L1814" s="66"/>
      <c r="M1814" s="66"/>
      <c r="N1814" s="66">
        <f>SUM(Prog_23[[#This Row],[TARA]]+Prog_23[[#This Row],[PESO]])</f>
        <v>0</v>
      </c>
      <c r="O1814" s="44"/>
      <c r="P1814" s="66"/>
      <c r="Q1814" s="66"/>
      <c r="R1814" s="66"/>
      <c r="S1814" s="66"/>
      <c r="T1814" s="138" t="str">
        <f>IFERROR(LOOKUP($S1814,MOTORISTAS!$D$3:$D$916,MOTORISTAS!E$3:$E$916),"")</f>
        <v/>
      </c>
      <c r="U1814" s="138" t="str">
        <f>IFERROR(LOOKUP($S1814,MOTORISTAS!$D$3:$D$916,MOTORISTAS!F$3:$F$916),"")</f>
        <v/>
      </c>
      <c r="V1814" s="66"/>
      <c r="W1814" s="66"/>
      <c r="X1814" s="66"/>
      <c r="Y1814" s="66"/>
      <c r="Z1814" s="66"/>
      <c r="AA1814" s="66"/>
      <c r="AB1814" s="66"/>
      <c r="AC1814" s="66"/>
      <c r="AD1814" s="66"/>
      <c r="AE1814" s="66"/>
      <c r="AF1814" s="44"/>
      <c r="AG1814" s="254">
        <f>Prog_23[[#This Row],[SAÍDA DO CLIENTE]]-Prog_23[[#This Row],[PROGRAMAÇÃO CLIENTE]]</f>
        <v>0</v>
      </c>
      <c r="AH1814" s="44"/>
      <c r="AI1814" s="66"/>
      <c r="AJ1814" s="66"/>
      <c r="AK1814" s="66"/>
      <c r="AL1814" s="66"/>
      <c r="AM1814" s="66"/>
      <c r="AN1814" s="83"/>
      <c r="AO1814" s="83"/>
      <c r="AP1814" s="83"/>
      <c r="AQ1814" s="66"/>
      <c r="AR1814" s="66"/>
      <c r="AS1814" s="66"/>
      <c r="AT1814" s="81"/>
      <c r="AU1814" s="81"/>
      <c r="AV1814" s="81"/>
      <c r="AW1814" s="81"/>
      <c r="AX1814" s="83">
        <f>SUM(Prog_23[[#This Row],[ADIANTAMENTO]]+Prog_23[[#This Row],[SALDO]]+Prog_23[[#This Row],[MARGEM]]+Prog_23[[#This Row],[ESTADIA 1]])</f>
        <v>0</v>
      </c>
      <c r="AY18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14" s="81"/>
      <c r="BA1814" s="81"/>
      <c r="BB1814" s="81">
        <f>Prog_23[[#This Row],[VLR NF]]*0.1%</f>
        <v>0</v>
      </c>
      <c r="BC1814" s="81">
        <f>Prog_23[[#This Row],[VLR NF]]*0.05%</f>
        <v>0</v>
      </c>
      <c r="BD1814" s="81"/>
      <c r="BE1814" s="81"/>
      <c r="BF1814" s="81"/>
      <c r="BG1814" s="81"/>
      <c r="BH1814" s="81"/>
      <c r="BI1814" s="81"/>
      <c r="BJ1814" s="81"/>
      <c r="BK1814" s="81"/>
      <c r="BL1814" s="81"/>
      <c r="BM1814" s="81"/>
      <c r="BN1814" s="66"/>
      <c r="BO1814" s="66"/>
      <c r="BP1814" s="66"/>
      <c r="BQ1814" s="66" t="str">
        <f>PROPER(TEXT(Prog_23[[#This Row],[PROGRAMAÇÃO CLIENTE]],"mmm"))</f>
        <v>Jan</v>
      </c>
      <c r="BR1814" s="66">
        <f>YEAR(Prog_23[[#This Row],[PROGRAMAÇÃO CLIENTE]])</f>
        <v>1900</v>
      </c>
    </row>
    <row r="1815" spans="1:70" x14ac:dyDescent="0.25">
      <c r="A1815" s="200">
        <f>Prog_23[[#This Row],[CONTEINER]]</f>
        <v>0</v>
      </c>
      <c r="B1815" s="86"/>
      <c r="C18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15" s="44"/>
      <c r="E1815" s="66"/>
      <c r="F1815" s="66"/>
      <c r="G1815" s="66"/>
      <c r="H1815" s="44"/>
      <c r="I1815" s="44"/>
      <c r="J1815" s="66"/>
      <c r="K1815" s="66"/>
      <c r="L1815" s="66"/>
      <c r="M1815" s="66"/>
      <c r="N1815" s="66">
        <f>SUM(Prog_23[[#This Row],[TARA]]+Prog_23[[#This Row],[PESO]])</f>
        <v>0</v>
      </c>
      <c r="O1815" s="44"/>
      <c r="P1815" s="66"/>
      <c r="Q1815" s="66"/>
      <c r="R1815" s="66"/>
      <c r="S1815" s="66"/>
      <c r="T1815" s="138" t="str">
        <f>IFERROR(LOOKUP($S1815,MOTORISTAS!$D$3:$D$916,MOTORISTAS!E$3:$E$916),"")</f>
        <v/>
      </c>
      <c r="U1815" s="138" t="str">
        <f>IFERROR(LOOKUP($S1815,MOTORISTAS!$D$3:$D$916,MOTORISTAS!F$3:$F$916),"")</f>
        <v/>
      </c>
      <c r="V1815" s="66"/>
      <c r="W1815" s="66"/>
      <c r="X1815" s="66"/>
      <c r="Y1815" s="66"/>
      <c r="Z1815" s="66"/>
      <c r="AA1815" s="66"/>
      <c r="AB1815" s="66"/>
      <c r="AC1815" s="66"/>
      <c r="AD1815" s="66"/>
      <c r="AE1815" s="66"/>
      <c r="AF1815" s="44"/>
      <c r="AG1815" s="254">
        <f>Prog_23[[#This Row],[SAÍDA DO CLIENTE]]-Prog_23[[#This Row],[PROGRAMAÇÃO CLIENTE]]</f>
        <v>0</v>
      </c>
      <c r="AH1815" s="44"/>
      <c r="AI1815" s="66"/>
      <c r="AJ1815" s="66"/>
      <c r="AK1815" s="66"/>
      <c r="AL1815" s="66"/>
      <c r="AM1815" s="66"/>
      <c r="AN1815" s="83"/>
      <c r="AO1815" s="83"/>
      <c r="AP1815" s="83"/>
      <c r="AQ1815" s="66"/>
      <c r="AR1815" s="66"/>
      <c r="AS1815" s="66"/>
      <c r="AT1815" s="81"/>
      <c r="AU1815" s="81"/>
      <c r="AV1815" s="81"/>
      <c r="AW1815" s="81"/>
      <c r="AX1815" s="83">
        <f>SUM(Prog_23[[#This Row],[ADIANTAMENTO]]+Prog_23[[#This Row],[SALDO]]+Prog_23[[#This Row],[MARGEM]]+Prog_23[[#This Row],[ESTADIA 1]])</f>
        <v>0</v>
      </c>
      <c r="AY18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15" s="81"/>
      <c r="BA1815" s="81"/>
      <c r="BB1815" s="81">
        <f>Prog_23[[#This Row],[VLR NF]]*0.1%</f>
        <v>0</v>
      </c>
      <c r="BC1815" s="81">
        <f>Prog_23[[#This Row],[VLR NF]]*0.05%</f>
        <v>0</v>
      </c>
      <c r="BD1815" s="81"/>
      <c r="BE1815" s="81"/>
      <c r="BF1815" s="81"/>
      <c r="BG1815" s="81"/>
      <c r="BH1815" s="81"/>
      <c r="BI1815" s="81"/>
      <c r="BJ1815" s="81"/>
      <c r="BK1815" s="81"/>
      <c r="BL1815" s="81"/>
      <c r="BM1815" s="81"/>
      <c r="BN1815" s="66"/>
      <c r="BO1815" s="66"/>
      <c r="BP1815" s="66"/>
      <c r="BQ1815" s="66" t="str">
        <f>PROPER(TEXT(Prog_23[[#This Row],[PROGRAMAÇÃO CLIENTE]],"mmm"))</f>
        <v>Jan</v>
      </c>
      <c r="BR1815" s="66">
        <f>YEAR(Prog_23[[#This Row],[PROGRAMAÇÃO CLIENTE]])</f>
        <v>1900</v>
      </c>
    </row>
    <row r="1816" spans="1:70" x14ac:dyDescent="0.25">
      <c r="A1816" s="201">
        <f>Prog_23[[#This Row],[CONTEINER]]</f>
        <v>0</v>
      </c>
      <c r="B1816" s="86"/>
      <c r="C18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16" s="44"/>
      <c r="E1816" s="66"/>
      <c r="F1816" s="66"/>
      <c r="G1816" s="66"/>
      <c r="H1816" s="44"/>
      <c r="I1816" s="44"/>
      <c r="J1816" s="66"/>
      <c r="K1816" s="66"/>
      <c r="L1816" s="66"/>
      <c r="M1816" s="66"/>
      <c r="N1816" s="66">
        <f>SUM(Prog_23[[#This Row],[TARA]]+Prog_23[[#This Row],[PESO]])</f>
        <v>0</v>
      </c>
      <c r="O1816" s="44"/>
      <c r="P1816" s="66"/>
      <c r="Q1816" s="66"/>
      <c r="R1816" s="66"/>
      <c r="S1816" s="66"/>
      <c r="T1816" s="138" t="str">
        <f>IFERROR(LOOKUP($S1816,MOTORISTAS!$D$3:$D$916,MOTORISTAS!E$3:$E$916),"")</f>
        <v/>
      </c>
      <c r="U1816" s="138" t="str">
        <f>IFERROR(LOOKUP($S1816,MOTORISTAS!$D$3:$D$916,MOTORISTAS!F$3:$F$916),"")</f>
        <v/>
      </c>
      <c r="V1816" s="66"/>
      <c r="W1816" s="66"/>
      <c r="X1816" s="66"/>
      <c r="Y1816" s="66"/>
      <c r="Z1816" s="66"/>
      <c r="AA1816" s="66"/>
      <c r="AB1816" s="66"/>
      <c r="AC1816" s="66"/>
      <c r="AD1816" s="66"/>
      <c r="AE1816" s="66"/>
      <c r="AF1816" s="44"/>
      <c r="AG1816" s="254">
        <f>Prog_23[[#This Row],[SAÍDA DO CLIENTE]]-Prog_23[[#This Row],[PROGRAMAÇÃO CLIENTE]]</f>
        <v>0</v>
      </c>
      <c r="AH1816" s="44"/>
      <c r="AI1816" s="66"/>
      <c r="AJ1816" s="66"/>
      <c r="AK1816" s="66"/>
      <c r="AL1816" s="66"/>
      <c r="AM1816" s="66"/>
      <c r="AN1816" s="83"/>
      <c r="AO1816" s="83"/>
      <c r="AP1816" s="83"/>
      <c r="AQ1816" s="66"/>
      <c r="AR1816" s="66"/>
      <c r="AS1816" s="66"/>
      <c r="AT1816" s="81"/>
      <c r="AU1816" s="81"/>
      <c r="AV1816" s="81"/>
      <c r="AW1816" s="81"/>
      <c r="AX1816" s="83">
        <f>SUM(Prog_23[[#This Row],[ADIANTAMENTO]]+Prog_23[[#This Row],[SALDO]]+Prog_23[[#This Row],[MARGEM]]+Prog_23[[#This Row],[ESTADIA 1]])</f>
        <v>0</v>
      </c>
      <c r="AY18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16" s="81"/>
      <c r="BA1816" s="81"/>
      <c r="BB1816" s="81">
        <f>Prog_23[[#This Row],[VLR NF]]*0.1%</f>
        <v>0</v>
      </c>
      <c r="BC1816" s="81">
        <f>Prog_23[[#This Row],[VLR NF]]*0.05%</f>
        <v>0</v>
      </c>
      <c r="BD1816" s="81"/>
      <c r="BE1816" s="81"/>
      <c r="BF1816" s="81"/>
      <c r="BG1816" s="81"/>
      <c r="BH1816" s="81"/>
      <c r="BI1816" s="81"/>
      <c r="BJ1816" s="81"/>
      <c r="BK1816" s="81"/>
      <c r="BL1816" s="81"/>
      <c r="BM1816" s="81"/>
      <c r="BN1816" s="66"/>
      <c r="BO1816" s="66"/>
      <c r="BP1816" s="66"/>
      <c r="BQ1816" s="66" t="str">
        <f>PROPER(TEXT(Prog_23[[#This Row],[PROGRAMAÇÃO CLIENTE]],"mmm"))</f>
        <v>Jan</v>
      </c>
      <c r="BR1816" s="66">
        <f>YEAR(Prog_23[[#This Row],[PROGRAMAÇÃO CLIENTE]])</f>
        <v>1900</v>
      </c>
    </row>
    <row r="1817" spans="1:70" x14ac:dyDescent="0.25">
      <c r="A1817" s="200">
        <f>Prog_23[[#This Row],[CONTEINER]]</f>
        <v>0</v>
      </c>
      <c r="B1817" s="86"/>
      <c r="C18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17" s="44"/>
      <c r="E1817" s="66"/>
      <c r="F1817" s="66"/>
      <c r="G1817" s="66"/>
      <c r="H1817" s="44"/>
      <c r="I1817" s="44"/>
      <c r="J1817" s="66"/>
      <c r="K1817" s="66"/>
      <c r="L1817" s="66"/>
      <c r="M1817" s="66"/>
      <c r="N1817" s="66">
        <f>SUM(Prog_23[[#This Row],[TARA]]+Prog_23[[#This Row],[PESO]])</f>
        <v>0</v>
      </c>
      <c r="O1817" s="44"/>
      <c r="P1817" s="66"/>
      <c r="Q1817" s="66"/>
      <c r="R1817" s="66"/>
      <c r="S1817" s="66"/>
      <c r="T1817" s="138" t="str">
        <f>IFERROR(LOOKUP($S1817,MOTORISTAS!$D$3:$D$916,MOTORISTAS!E$3:$E$916),"")</f>
        <v/>
      </c>
      <c r="U1817" s="138" t="str">
        <f>IFERROR(LOOKUP($S1817,MOTORISTAS!$D$3:$D$916,MOTORISTAS!F$3:$F$916),"")</f>
        <v/>
      </c>
      <c r="V1817" s="66"/>
      <c r="W1817" s="66"/>
      <c r="X1817" s="66"/>
      <c r="Y1817" s="66"/>
      <c r="Z1817" s="66"/>
      <c r="AA1817" s="66"/>
      <c r="AB1817" s="66"/>
      <c r="AC1817" s="66"/>
      <c r="AD1817" s="66"/>
      <c r="AE1817" s="66"/>
      <c r="AF1817" s="44"/>
      <c r="AG1817" s="254">
        <f>Prog_23[[#This Row],[SAÍDA DO CLIENTE]]-Prog_23[[#This Row],[PROGRAMAÇÃO CLIENTE]]</f>
        <v>0</v>
      </c>
      <c r="AH1817" s="44"/>
      <c r="AI1817" s="66"/>
      <c r="AJ1817" s="66"/>
      <c r="AK1817" s="66"/>
      <c r="AL1817" s="66"/>
      <c r="AM1817" s="66"/>
      <c r="AN1817" s="83"/>
      <c r="AO1817" s="83"/>
      <c r="AP1817" s="83"/>
      <c r="AQ1817" s="66"/>
      <c r="AR1817" s="66"/>
      <c r="AS1817" s="66"/>
      <c r="AT1817" s="81"/>
      <c r="AU1817" s="81"/>
      <c r="AV1817" s="81"/>
      <c r="AW1817" s="81"/>
      <c r="AX1817" s="83">
        <f>SUM(Prog_23[[#This Row],[ADIANTAMENTO]]+Prog_23[[#This Row],[SALDO]]+Prog_23[[#This Row],[MARGEM]]+Prog_23[[#This Row],[ESTADIA 1]])</f>
        <v>0</v>
      </c>
      <c r="AY18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17" s="81"/>
      <c r="BA1817" s="81"/>
      <c r="BB1817" s="81">
        <f>Prog_23[[#This Row],[VLR NF]]*0.1%</f>
        <v>0</v>
      </c>
      <c r="BC1817" s="81">
        <f>Prog_23[[#This Row],[VLR NF]]*0.05%</f>
        <v>0</v>
      </c>
      <c r="BD1817" s="81"/>
      <c r="BE1817" s="81"/>
      <c r="BF1817" s="81"/>
      <c r="BG1817" s="81"/>
      <c r="BH1817" s="81"/>
      <c r="BI1817" s="81"/>
      <c r="BJ1817" s="81"/>
      <c r="BK1817" s="81"/>
      <c r="BL1817" s="81"/>
      <c r="BM1817" s="81"/>
      <c r="BN1817" s="66"/>
      <c r="BO1817" s="66"/>
      <c r="BP1817" s="66"/>
      <c r="BQ1817" s="66" t="str">
        <f>PROPER(TEXT(Prog_23[[#This Row],[PROGRAMAÇÃO CLIENTE]],"mmm"))</f>
        <v>Jan</v>
      </c>
      <c r="BR1817" s="66">
        <f>YEAR(Prog_23[[#This Row],[PROGRAMAÇÃO CLIENTE]])</f>
        <v>1900</v>
      </c>
    </row>
    <row r="1818" spans="1:70" x14ac:dyDescent="0.25">
      <c r="A1818" s="201">
        <f>Prog_23[[#This Row],[CONTEINER]]</f>
        <v>0</v>
      </c>
      <c r="B1818" s="86"/>
      <c r="C18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18" s="44"/>
      <c r="E1818" s="66"/>
      <c r="F1818" s="66"/>
      <c r="G1818" s="66"/>
      <c r="H1818" s="44"/>
      <c r="I1818" s="44"/>
      <c r="J1818" s="66"/>
      <c r="K1818" s="66"/>
      <c r="L1818" s="66"/>
      <c r="M1818" s="66"/>
      <c r="N1818" s="66">
        <f>SUM(Prog_23[[#This Row],[TARA]]+Prog_23[[#This Row],[PESO]])</f>
        <v>0</v>
      </c>
      <c r="O1818" s="44"/>
      <c r="P1818" s="66"/>
      <c r="Q1818" s="66"/>
      <c r="R1818" s="66"/>
      <c r="S1818" s="66"/>
      <c r="T1818" s="138" t="str">
        <f>IFERROR(LOOKUP($S1818,MOTORISTAS!$D$3:$D$916,MOTORISTAS!E$3:$E$916),"")</f>
        <v/>
      </c>
      <c r="U1818" s="138" t="str">
        <f>IFERROR(LOOKUP($S1818,MOTORISTAS!$D$3:$D$916,MOTORISTAS!F$3:$F$916),"")</f>
        <v/>
      </c>
      <c r="V1818" s="66"/>
      <c r="W1818" s="66"/>
      <c r="X1818" s="66"/>
      <c r="Y1818" s="66"/>
      <c r="Z1818" s="66"/>
      <c r="AA1818" s="66"/>
      <c r="AB1818" s="66"/>
      <c r="AC1818" s="66"/>
      <c r="AD1818" s="66"/>
      <c r="AE1818" s="66"/>
      <c r="AF1818" s="44"/>
      <c r="AG1818" s="254">
        <f>Prog_23[[#This Row],[SAÍDA DO CLIENTE]]-Prog_23[[#This Row],[PROGRAMAÇÃO CLIENTE]]</f>
        <v>0</v>
      </c>
      <c r="AH1818" s="44"/>
      <c r="AI1818" s="66"/>
      <c r="AJ1818" s="66"/>
      <c r="AK1818" s="66"/>
      <c r="AL1818" s="66"/>
      <c r="AM1818" s="66"/>
      <c r="AN1818" s="83"/>
      <c r="AO1818" s="83"/>
      <c r="AP1818" s="83"/>
      <c r="AQ1818" s="66"/>
      <c r="AR1818" s="66"/>
      <c r="AS1818" s="66"/>
      <c r="AT1818" s="81"/>
      <c r="AU1818" s="81"/>
      <c r="AV1818" s="81"/>
      <c r="AW1818" s="81"/>
      <c r="AX1818" s="83">
        <f>SUM(Prog_23[[#This Row],[ADIANTAMENTO]]+Prog_23[[#This Row],[SALDO]]+Prog_23[[#This Row],[MARGEM]]+Prog_23[[#This Row],[ESTADIA 1]])</f>
        <v>0</v>
      </c>
      <c r="AY18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18" s="81"/>
      <c r="BA1818" s="81"/>
      <c r="BB1818" s="81">
        <f>Prog_23[[#This Row],[VLR NF]]*0.1%</f>
        <v>0</v>
      </c>
      <c r="BC1818" s="81">
        <f>Prog_23[[#This Row],[VLR NF]]*0.05%</f>
        <v>0</v>
      </c>
      <c r="BD1818" s="81"/>
      <c r="BE1818" s="81"/>
      <c r="BF1818" s="81"/>
      <c r="BG1818" s="81"/>
      <c r="BH1818" s="81"/>
      <c r="BI1818" s="81"/>
      <c r="BJ1818" s="81"/>
      <c r="BK1818" s="81"/>
      <c r="BL1818" s="81"/>
      <c r="BM1818" s="81"/>
      <c r="BN1818" s="66"/>
      <c r="BO1818" s="66"/>
      <c r="BP1818" s="66"/>
      <c r="BQ1818" s="66" t="str">
        <f>PROPER(TEXT(Prog_23[[#This Row],[PROGRAMAÇÃO CLIENTE]],"mmm"))</f>
        <v>Jan</v>
      </c>
      <c r="BR1818" s="66">
        <f>YEAR(Prog_23[[#This Row],[PROGRAMAÇÃO CLIENTE]])</f>
        <v>1900</v>
      </c>
    </row>
    <row r="1819" spans="1:70" x14ac:dyDescent="0.25">
      <c r="A1819" s="200">
        <f>Prog_23[[#This Row],[CONTEINER]]</f>
        <v>0</v>
      </c>
      <c r="B1819" s="86"/>
      <c r="C18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19" s="44"/>
      <c r="E1819" s="66"/>
      <c r="F1819" s="66"/>
      <c r="G1819" s="66"/>
      <c r="H1819" s="44"/>
      <c r="I1819" s="44"/>
      <c r="J1819" s="66"/>
      <c r="K1819" s="66"/>
      <c r="L1819" s="66"/>
      <c r="M1819" s="66"/>
      <c r="N1819" s="66">
        <f>SUM(Prog_23[[#This Row],[TARA]]+Prog_23[[#This Row],[PESO]])</f>
        <v>0</v>
      </c>
      <c r="O1819" s="44"/>
      <c r="P1819" s="66"/>
      <c r="Q1819" s="66"/>
      <c r="R1819" s="66"/>
      <c r="S1819" s="66"/>
      <c r="T1819" s="138" t="str">
        <f>IFERROR(LOOKUP($S1819,MOTORISTAS!$D$3:$D$916,MOTORISTAS!E$3:$E$916),"")</f>
        <v/>
      </c>
      <c r="U1819" s="138" t="str">
        <f>IFERROR(LOOKUP($S1819,MOTORISTAS!$D$3:$D$916,MOTORISTAS!F$3:$F$916),"")</f>
        <v/>
      </c>
      <c r="V1819" s="66"/>
      <c r="W1819" s="66"/>
      <c r="X1819" s="66"/>
      <c r="Y1819" s="66"/>
      <c r="Z1819" s="66"/>
      <c r="AA1819" s="66"/>
      <c r="AB1819" s="66"/>
      <c r="AC1819" s="66"/>
      <c r="AD1819" s="66"/>
      <c r="AE1819" s="66"/>
      <c r="AF1819" s="44"/>
      <c r="AG1819" s="254">
        <f>Prog_23[[#This Row],[SAÍDA DO CLIENTE]]-Prog_23[[#This Row],[PROGRAMAÇÃO CLIENTE]]</f>
        <v>0</v>
      </c>
      <c r="AH1819" s="44"/>
      <c r="AI1819" s="66"/>
      <c r="AJ1819" s="66"/>
      <c r="AK1819" s="66"/>
      <c r="AL1819" s="66"/>
      <c r="AM1819" s="66"/>
      <c r="AN1819" s="83"/>
      <c r="AO1819" s="83"/>
      <c r="AP1819" s="83"/>
      <c r="AQ1819" s="66"/>
      <c r="AR1819" s="66"/>
      <c r="AS1819" s="66"/>
      <c r="AT1819" s="81"/>
      <c r="AU1819" s="81"/>
      <c r="AV1819" s="81"/>
      <c r="AW1819" s="81"/>
      <c r="AX1819" s="83">
        <f>SUM(Prog_23[[#This Row],[ADIANTAMENTO]]+Prog_23[[#This Row],[SALDO]]+Prog_23[[#This Row],[MARGEM]]+Prog_23[[#This Row],[ESTADIA 1]])</f>
        <v>0</v>
      </c>
      <c r="AY18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19" s="81"/>
      <c r="BA1819" s="81"/>
      <c r="BB1819" s="81">
        <f>Prog_23[[#This Row],[VLR NF]]*0.1%</f>
        <v>0</v>
      </c>
      <c r="BC1819" s="81">
        <f>Prog_23[[#This Row],[VLR NF]]*0.05%</f>
        <v>0</v>
      </c>
      <c r="BD1819" s="81"/>
      <c r="BE1819" s="81"/>
      <c r="BF1819" s="81"/>
      <c r="BG1819" s="81"/>
      <c r="BH1819" s="81"/>
      <c r="BI1819" s="81"/>
      <c r="BJ1819" s="81"/>
      <c r="BK1819" s="81"/>
      <c r="BL1819" s="81"/>
      <c r="BM1819" s="81"/>
      <c r="BN1819" s="66"/>
      <c r="BO1819" s="66"/>
      <c r="BP1819" s="66"/>
      <c r="BQ1819" s="66" t="str">
        <f>PROPER(TEXT(Prog_23[[#This Row],[PROGRAMAÇÃO CLIENTE]],"mmm"))</f>
        <v>Jan</v>
      </c>
      <c r="BR1819" s="66">
        <f>YEAR(Prog_23[[#This Row],[PROGRAMAÇÃO CLIENTE]])</f>
        <v>1900</v>
      </c>
    </row>
    <row r="1820" spans="1:70" x14ac:dyDescent="0.25">
      <c r="A1820" s="201">
        <f>Prog_23[[#This Row],[CONTEINER]]</f>
        <v>0</v>
      </c>
      <c r="B1820" s="86"/>
      <c r="C18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20" s="44"/>
      <c r="E1820" s="66"/>
      <c r="F1820" s="66"/>
      <c r="G1820" s="66"/>
      <c r="H1820" s="44"/>
      <c r="I1820" s="44"/>
      <c r="J1820" s="66"/>
      <c r="K1820" s="66"/>
      <c r="L1820" s="66"/>
      <c r="M1820" s="66"/>
      <c r="N1820" s="66">
        <f>SUM(Prog_23[[#This Row],[TARA]]+Prog_23[[#This Row],[PESO]])</f>
        <v>0</v>
      </c>
      <c r="O1820" s="44"/>
      <c r="P1820" s="66"/>
      <c r="Q1820" s="66"/>
      <c r="R1820" s="66"/>
      <c r="S1820" s="66"/>
      <c r="T1820" s="138" t="str">
        <f>IFERROR(LOOKUP($S1820,MOTORISTAS!$D$3:$D$916,MOTORISTAS!E$3:$E$916),"")</f>
        <v/>
      </c>
      <c r="U1820" s="138" t="str">
        <f>IFERROR(LOOKUP($S1820,MOTORISTAS!$D$3:$D$916,MOTORISTAS!F$3:$F$916),"")</f>
        <v/>
      </c>
      <c r="V1820" s="66"/>
      <c r="W1820" s="66"/>
      <c r="X1820" s="66"/>
      <c r="Y1820" s="66"/>
      <c r="Z1820" s="66"/>
      <c r="AA1820" s="66"/>
      <c r="AB1820" s="66"/>
      <c r="AC1820" s="66"/>
      <c r="AD1820" s="66"/>
      <c r="AE1820" s="66"/>
      <c r="AF1820" s="44"/>
      <c r="AG1820" s="254">
        <f>Prog_23[[#This Row],[SAÍDA DO CLIENTE]]-Prog_23[[#This Row],[PROGRAMAÇÃO CLIENTE]]</f>
        <v>0</v>
      </c>
      <c r="AH1820" s="44"/>
      <c r="AI1820" s="66"/>
      <c r="AJ1820" s="66"/>
      <c r="AK1820" s="66"/>
      <c r="AL1820" s="66"/>
      <c r="AM1820" s="66"/>
      <c r="AN1820" s="83"/>
      <c r="AO1820" s="83"/>
      <c r="AP1820" s="83"/>
      <c r="AQ1820" s="66"/>
      <c r="AR1820" s="66"/>
      <c r="AS1820" s="66"/>
      <c r="AT1820" s="81"/>
      <c r="AU1820" s="81"/>
      <c r="AV1820" s="81"/>
      <c r="AW1820" s="81"/>
      <c r="AX1820" s="83">
        <f>SUM(Prog_23[[#This Row],[ADIANTAMENTO]]+Prog_23[[#This Row],[SALDO]]+Prog_23[[#This Row],[MARGEM]]+Prog_23[[#This Row],[ESTADIA 1]])</f>
        <v>0</v>
      </c>
      <c r="AY18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20" s="81"/>
      <c r="BA1820" s="81"/>
      <c r="BB1820" s="81">
        <f>Prog_23[[#This Row],[VLR NF]]*0.1%</f>
        <v>0</v>
      </c>
      <c r="BC1820" s="81">
        <f>Prog_23[[#This Row],[VLR NF]]*0.05%</f>
        <v>0</v>
      </c>
      <c r="BD1820" s="81"/>
      <c r="BE1820" s="81"/>
      <c r="BF1820" s="81"/>
      <c r="BG1820" s="81"/>
      <c r="BH1820" s="81"/>
      <c r="BI1820" s="81"/>
      <c r="BJ1820" s="81"/>
      <c r="BK1820" s="81"/>
      <c r="BL1820" s="81"/>
      <c r="BM1820" s="81"/>
      <c r="BN1820" s="66"/>
      <c r="BO1820" s="66"/>
      <c r="BP1820" s="66"/>
      <c r="BQ1820" s="66" t="str">
        <f>PROPER(TEXT(Prog_23[[#This Row],[PROGRAMAÇÃO CLIENTE]],"mmm"))</f>
        <v>Jan</v>
      </c>
      <c r="BR1820" s="66">
        <f>YEAR(Prog_23[[#This Row],[PROGRAMAÇÃO CLIENTE]])</f>
        <v>1900</v>
      </c>
    </row>
    <row r="1821" spans="1:70" x14ac:dyDescent="0.25">
      <c r="A1821" s="200">
        <f>Prog_23[[#This Row],[CONTEINER]]</f>
        <v>0</v>
      </c>
      <c r="B1821" s="86"/>
      <c r="C18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21" s="44"/>
      <c r="E1821" s="66"/>
      <c r="F1821" s="66"/>
      <c r="G1821" s="66"/>
      <c r="H1821" s="44"/>
      <c r="I1821" s="44"/>
      <c r="J1821" s="66"/>
      <c r="K1821" s="66"/>
      <c r="L1821" s="66"/>
      <c r="M1821" s="66"/>
      <c r="N1821" s="66">
        <f>SUM(Prog_23[[#This Row],[TARA]]+Prog_23[[#This Row],[PESO]])</f>
        <v>0</v>
      </c>
      <c r="O1821" s="44"/>
      <c r="P1821" s="66"/>
      <c r="Q1821" s="66"/>
      <c r="R1821" s="66"/>
      <c r="S1821" s="66"/>
      <c r="T1821" s="138" t="str">
        <f>IFERROR(LOOKUP($S1821,MOTORISTAS!$D$3:$D$916,MOTORISTAS!E$3:$E$916),"")</f>
        <v/>
      </c>
      <c r="U1821" s="138" t="str">
        <f>IFERROR(LOOKUP($S1821,MOTORISTAS!$D$3:$D$916,MOTORISTAS!F$3:$F$916),"")</f>
        <v/>
      </c>
      <c r="V1821" s="66"/>
      <c r="W1821" s="66"/>
      <c r="X1821" s="66"/>
      <c r="Y1821" s="66"/>
      <c r="Z1821" s="66"/>
      <c r="AA1821" s="66"/>
      <c r="AB1821" s="66"/>
      <c r="AC1821" s="66"/>
      <c r="AD1821" s="66"/>
      <c r="AE1821" s="66"/>
      <c r="AF1821" s="44"/>
      <c r="AG1821" s="254">
        <f>Prog_23[[#This Row],[SAÍDA DO CLIENTE]]-Prog_23[[#This Row],[PROGRAMAÇÃO CLIENTE]]</f>
        <v>0</v>
      </c>
      <c r="AH1821" s="44"/>
      <c r="AI1821" s="66"/>
      <c r="AJ1821" s="66"/>
      <c r="AK1821" s="66"/>
      <c r="AL1821" s="66"/>
      <c r="AM1821" s="66"/>
      <c r="AN1821" s="83"/>
      <c r="AO1821" s="83"/>
      <c r="AP1821" s="83"/>
      <c r="AQ1821" s="66"/>
      <c r="AR1821" s="66"/>
      <c r="AS1821" s="66"/>
      <c r="AT1821" s="81"/>
      <c r="AU1821" s="81"/>
      <c r="AV1821" s="81"/>
      <c r="AW1821" s="81"/>
      <c r="AX1821" s="83">
        <f>SUM(Prog_23[[#This Row],[ADIANTAMENTO]]+Prog_23[[#This Row],[SALDO]]+Prog_23[[#This Row],[MARGEM]]+Prog_23[[#This Row],[ESTADIA 1]])</f>
        <v>0</v>
      </c>
      <c r="AY18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21" s="81"/>
      <c r="BA1821" s="81"/>
      <c r="BB1821" s="81">
        <f>Prog_23[[#This Row],[VLR NF]]*0.1%</f>
        <v>0</v>
      </c>
      <c r="BC1821" s="81">
        <f>Prog_23[[#This Row],[VLR NF]]*0.05%</f>
        <v>0</v>
      </c>
      <c r="BD1821" s="81"/>
      <c r="BE1821" s="81"/>
      <c r="BF1821" s="81"/>
      <c r="BG1821" s="81"/>
      <c r="BH1821" s="81"/>
      <c r="BI1821" s="81"/>
      <c r="BJ1821" s="81"/>
      <c r="BK1821" s="81"/>
      <c r="BL1821" s="81"/>
      <c r="BM1821" s="81"/>
      <c r="BN1821" s="66"/>
      <c r="BO1821" s="66"/>
      <c r="BP1821" s="66"/>
      <c r="BQ1821" s="66" t="str">
        <f>PROPER(TEXT(Prog_23[[#This Row],[PROGRAMAÇÃO CLIENTE]],"mmm"))</f>
        <v>Jan</v>
      </c>
      <c r="BR1821" s="66">
        <f>YEAR(Prog_23[[#This Row],[PROGRAMAÇÃO CLIENTE]])</f>
        <v>1900</v>
      </c>
    </row>
    <row r="1822" spans="1:70" x14ac:dyDescent="0.25">
      <c r="A1822" s="201">
        <f>Prog_23[[#This Row],[CONTEINER]]</f>
        <v>0</v>
      </c>
      <c r="B1822" s="86"/>
      <c r="C18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22" s="44"/>
      <c r="E1822" s="66"/>
      <c r="F1822" s="66"/>
      <c r="G1822" s="66"/>
      <c r="H1822" s="44"/>
      <c r="I1822" s="44"/>
      <c r="J1822" s="66"/>
      <c r="K1822" s="66"/>
      <c r="L1822" s="66"/>
      <c r="M1822" s="66"/>
      <c r="N1822" s="66">
        <f>SUM(Prog_23[[#This Row],[TARA]]+Prog_23[[#This Row],[PESO]])</f>
        <v>0</v>
      </c>
      <c r="O1822" s="44"/>
      <c r="P1822" s="66"/>
      <c r="Q1822" s="66"/>
      <c r="R1822" s="66"/>
      <c r="S1822" s="66"/>
      <c r="T1822" s="138" t="str">
        <f>IFERROR(LOOKUP($S1822,MOTORISTAS!$D$3:$D$916,MOTORISTAS!E$3:$E$916),"")</f>
        <v/>
      </c>
      <c r="U1822" s="138" t="str">
        <f>IFERROR(LOOKUP($S1822,MOTORISTAS!$D$3:$D$916,MOTORISTAS!F$3:$F$916),"")</f>
        <v/>
      </c>
      <c r="V1822" s="66"/>
      <c r="W1822" s="66"/>
      <c r="X1822" s="66"/>
      <c r="Y1822" s="66"/>
      <c r="Z1822" s="66"/>
      <c r="AA1822" s="66"/>
      <c r="AB1822" s="66"/>
      <c r="AC1822" s="66"/>
      <c r="AD1822" s="66"/>
      <c r="AE1822" s="66"/>
      <c r="AF1822" s="44"/>
      <c r="AG1822" s="254">
        <f>Prog_23[[#This Row],[SAÍDA DO CLIENTE]]-Prog_23[[#This Row],[PROGRAMAÇÃO CLIENTE]]</f>
        <v>0</v>
      </c>
      <c r="AH1822" s="44"/>
      <c r="AI1822" s="66"/>
      <c r="AJ1822" s="66"/>
      <c r="AK1822" s="66"/>
      <c r="AL1822" s="66"/>
      <c r="AM1822" s="66"/>
      <c r="AN1822" s="83"/>
      <c r="AO1822" s="83"/>
      <c r="AP1822" s="83"/>
      <c r="AQ1822" s="66"/>
      <c r="AR1822" s="66"/>
      <c r="AS1822" s="66"/>
      <c r="AT1822" s="81"/>
      <c r="AU1822" s="81"/>
      <c r="AV1822" s="81"/>
      <c r="AW1822" s="81"/>
      <c r="AX1822" s="83">
        <f>SUM(Prog_23[[#This Row],[ADIANTAMENTO]]+Prog_23[[#This Row],[SALDO]]+Prog_23[[#This Row],[MARGEM]]+Prog_23[[#This Row],[ESTADIA 1]])</f>
        <v>0</v>
      </c>
      <c r="AY18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22" s="81"/>
      <c r="BA1822" s="81"/>
      <c r="BB1822" s="81">
        <f>Prog_23[[#This Row],[VLR NF]]*0.1%</f>
        <v>0</v>
      </c>
      <c r="BC1822" s="81">
        <f>Prog_23[[#This Row],[VLR NF]]*0.05%</f>
        <v>0</v>
      </c>
      <c r="BD1822" s="81"/>
      <c r="BE1822" s="81"/>
      <c r="BF1822" s="81"/>
      <c r="BG1822" s="81"/>
      <c r="BH1822" s="81"/>
      <c r="BI1822" s="81"/>
      <c r="BJ1822" s="81"/>
      <c r="BK1822" s="81"/>
      <c r="BL1822" s="81"/>
      <c r="BM1822" s="81"/>
      <c r="BN1822" s="66"/>
      <c r="BO1822" s="66"/>
      <c r="BP1822" s="66"/>
      <c r="BQ1822" s="66" t="str">
        <f>PROPER(TEXT(Prog_23[[#This Row],[PROGRAMAÇÃO CLIENTE]],"mmm"))</f>
        <v>Jan</v>
      </c>
      <c r="BR1822" s="66">
        <f>YEAR(Prog_23[[#This Row],[PROGRAMAÇÃO CLIENTE]])</f>
        <v>1900</v>
      </c>
    </row>
    <row r="1823" spans="1:70" x14ac:dyDescent="0.25">
      <c r="A1823" s="200">
        <f>Prog_23[[#This Row],[CONTEINER]]</f>
        <v>0</v>
      </c>
      <c r="B1823" s="86"/>
      <c r="C18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23" s="44"/>
      <c r="E1823" s="66"/>
      <c r="F1823" s="66"/>
      <c r="G1823" s="66"/>
      <c r="H1823" s="44"/>
      <c r="I1823" s="44"/>
      <c r="J1823" s="66"/>
      <c r="K1823" s="66"/>
      <c r="L1823" s="66"/>
      <c r="M1823" s="66"/>
      <c r="N1823" s="66">
        <f>SUM(Prog_23[[#This Row],[TARA]]+Prog_23[[#This Row],[PESO]])</f>
        <v>0</v>
      </c>
      <c r="O1823" s="44"/>
      <c r="P1823" s="66"/>
      <c r="Q1823" s="66"/>
      <c r="R1823" s="66"/>
      <c r="S1823" s="66"/>
      <c r="T1823" s="138" t="str">
        <f>IFERROR(LOOKUP($S1823,MOTORISTAS!$D$3:$D$916,MOTORISTAS!E$3:$E$916),"")</f>
        <v/>
      </c>
      <c r="U1823" s="138" t="str">
        <f>IFERROR(LOOKUP($S1823,MOTORISTAS!$D$3:$D$916,MOTORISTAS!F$3:$F$916),"")</f>
        <v/>
      </c>
      <c r="V1823" s="66"/>
      <c r="W1823" s="66"/>
      <c r="X1823" s="66"/>
      <c r="Y1823" s="66"/>
      <c r="Z1823" s="66"/>
      <c r="AA1823" s="66"/>
      <c r="AB1823" s="66"/>
      <c r="AC1823" s="66"/>
      <c r="AD1823" s="66"/>
      <c r="AE1823" s="66"/>
      <c r="AF1823" s="44"/>
      <c r="AG1823" s="254">
        <f>Prog_23[[#This Row],[SAÍDA DO CLIENTE]]-Prog_23[[#This Row],[PROGRAMAÇÃO CLIENTE]]</f>
        <v>0</v>
      </c>
      <c r="AH1823" s="44"/>
      <c r="AI1823" s="66"/>
      <c r="AJ1823" s="66"/>
      <c r="AK1823" s="66"/>
      <c r="AL1823" s="66"/>
      <c r="AM1823" s="66"/>
      <c r="AN1823" s="83"/>
      <c r="AO1823" s="83"/>
      <c r="AP1823" s="83"/>
      <c r="AQ1823" s="66"/>
      <c r="AR1823" s="66"/>
      <c r="AS1823" s="66"/>
      <c r="AT1823" s="81"/>
      <c r="AU1823" s="81"/>
      <c r="AV1823" s="81"/>
      <c r="AW1823" s="81"/>
      <c r="AX1823" s="83">
        <f>SUM(Prog_23[[#This Row],[ADIANTAMENTO]]+Prog_23[[#This Row],[SALDO]]+Prog_23[[#This Row],[MARGEM]]+Prog_23[[#This Row],[ESTADIA 1]])</f>
        <v>0</v>
      </c>
      <c r="AY18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23" s="81"/>
      <c r="BA1823" s="81"/>
      <c r="BB1823" s="81">
        <f>Prog_23[[#This Row],[VLR NF]]*0.1%</f>
        <v>0</v>
      </c>
      <c r="BC1823" s="81">
        <f>Prog_23[[#This Row],[VLR NF]]*0.05%</f>
        <v>0</v>
      </c>
      <c r="BD1823" s="81"/>
      <c r="BE1823" s="81"/>
      <c r="BF1823" s="81"/>
      <c r="BG1823" s="81"/>
      <c r="BH1823" s="81"/>
      <c r="BI1823" s="81"/>
      <c r="BJ1823" s="81"/>
      <c r="BK1823" s="81"/>
      <c r="BL1823" s="81"/>
      <c r="BM1823" s="81"/>
      <c r="BN1823" s="66"/>
      <c r="BO1823" s="66"/>
      <c r="BP1823" s="66"/>
      <c r="BQ1823" s="66" t="str">
        <f>PROPER(TEXT(Prog_23[[#This Row],[PROGRAMAÇÃO CLIENTE]],"mmm"))</f>
        <v>Jan</v>
      </c>
      <c r="BR1823" s="66">
        <f>YEAR(Prog_23[[#This Row],[PROGRAMAÇÃO CLIENTE]])</f>
        <v>1900</v>
      </c>
    </row>
    <row r="1824" spans="1:70" x14ac:dyDescent="0.25">
      <c r="A1824" s="201">
        <f>Prog_23[[#This Row],[CONTEINER]]</f>
        <v>0</v>
      </c>
      <c r="B1824" s="86"/>
      <c r="C18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24" s="44"/>
      <c r="E1824" s="66"/>
      <c r="F1824" s="66"/>
      <c r="G1824" s="66"/>
      <c r="H1824" s="44"/>
      <c r="I1824" s="44"/>
      <c r="J1824" s="66"/>
      <c r="K1824" s="66"/>
      <c r="L1824" s="66"/>
      <c r="M1824" s="66"/>
      <c r="N1824" s="66">
        <f>SUM(Prog_23[[#This Row],[TARA]]+Prog_23[[#This Row],[PESO]])</f>
        <v>0</v>
      </c>
      <c r="O1824" s="44"/>
      <c r="P1824" s="66"/>
      <c r="Q1824" s="66"/>
      <c r="R1824" s="66"/>
      <c r="S1824" s="66"/>
      <c r="T1824" s="138" t="str">
        <f>IFERROR(LOOKUP($S1824,MOTORISTAS!$D$3:$D$916,MOTORISTAS!E$3:$E$916),"")</f>
        <v/>
      </c>
      <c r="U1824" s="138" t="str">
        <f>IFERROR(LOOKUP($S1824,MOTORISTAS!$D$3:$D$916,MOTORISTAS!F$3:$F$916),"")</f>
        <v/>
      </c>
      <c r="V1824" s="66"/>
      <c r="W1824" s="66"/>
      <c r="X1824" s="66"/>
      <c r="Y1824" s="66"/>
      <c r="Z1824" s="66"/>
      <c r="AA1824" s="66"/>
      <c r="AB1824" s="66"/>
      <c r="AC1824" s="66"/>
      <c r="AD1824" s="66"/>
      <c r="AE1824" s="66"/>
      <c r="AF1824" s="44"/>
      <c r="AG1824" s="254">
        <f>Prog_23[[#This Row],[SAÍDA DO CLIENTE]]-Prog_23[[#This Row],[PROGRAMAÇÃO CLIENTE]]</f>
        <v>0</v>
      </c>
      <c r="AH1824" s="44"/>
      <c r="AI1824" s="66"/>
      <c r="AJ1824" s="66"/>
      <c r="AK1824" s="66"/>
      <c r="AL1824" s="66"/>
      <c r="AM1824" s="66"/>
      <c r="AN1824" s="83"/>
      <c r="AO1824" s="83"/>
      <c r="AP1824" s="83"/>
      <c r="AQ1824" s="66"/>
      <c r="AR1824" s="66"/>
      <c r="AS1824" s="66"/>
      <c r="AT1824" s="81"/>
      <c r="AU1824" s="81"/>
      <c r="AV1824" s="81"/>
      <c r="AW1824" s="81"/>
      <c r="AX1824" s="83">
        <f>SUM(Prog_23[[#This Row],[ADIANTAMENTO]]+Prog_23[[#This Row],[SALDO]]+Prog_23[[#This Row],[MARGEM]]+Prog_23[[#This Row],[ESTADIA 1]])</f>
        <v>0</v>
      </c>
      <c r="AY18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24" s="81"/>
      <c r="BA1824" s="81"/>
      <c r="BB1824" s="81">
        <f>Prog_23[[#This Row],[VLR NF]]*0.1%</f>
        <v>0</v>
      </c>
      <c r="BC1824" s="81">
        <f>Prog_23[[#This Row],[VLR NF]]*0.05%</f>
        <v>0</v>
      </c>
      <c r="BD1824" s="81"/>
      <c r="BE1824" s="81"/>
      <c r="BF1824" s="81"/>
      <c r="BG1824" s="81"/>
      <c r="BH1824" s="81"/>
      <c r="BI1824" s="81"/>
      <c r="BJ1824" s="81"/>
      <c r="BK1824" s="81"/>
      <c r="BL1824" s="81"/>
      <c r="BM1824" s="81"/>
      <c r="BN1824" s="66"/>
      <c r="BO1824" s="66"/>
      <c r="BP1824" s="66"/>
      <c r="BQ1824" s="66" t="str">
        <f>PROPER(TEXT(Prog_23[[#This Row],[PROGRAMAÇÃO CLIENTE]],"mmm"))</f>
        <v>Jan</v>
      </c>
      <c r="BR1824" s="66">
        <f>YEAR(Prog_23[[#This Row],[PROGRAMAÇÃO CLIENTE]])</f>
        <v>1900</v>
      </c>
    </row>
    <row r="1825" spans="1:70" x14ac:dyDescent="0.25">
      <c r="A1825" s="200">
        <f>Prog_23[[#This Row],[CONTEINER]]</f>
        <v>0</v>
      </c>
      <c r="B1825" s="86"/>
      <c r="C18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25" s="44"/>
      <c r="E1825" s="66"/>
      <c r="F1825" s="66"/>
      <c r="G1825" s="66"/>
      <c r="H1825" s="44"/>
      <c r="I1825" s="44"/>
      <c r="J1825" s="66"/>
      <c r="K1825" s="66"/>
      <c r="L1825" s="66"/>
      <c r="M1825" s="66"/>
      <c r="N1825" s="66">
        <f>SUM(Prog_23[[#This Row],[TARA]]+Prog_23[[#This Row],[PESO]])</f>
        <v>0</v>
      </c>
      <c r="O1825" s="44"/>
      <c r="P1825" s="66"/>
      <c r="Q1825" s="66"/>
      <c r="R1825" s="66"/>
      <c r="S1825" s="66"/>
      <c r="T1825" s="138" t="str">
        <f>IFERROR(LOOKUP($S1825,MOTORISTAS!$D$3:$D$916,MOTORISTAS!E$3:$E$916),"")</f>
        <v/>
      </c>
      <c r="U1825" s="138" t="str">
        <f>IFERROR(LOOKUP($S1825,MOTORISTAS!$D$3:$D$916,MOTORISTAS!F$3:$F$916),"")</f>
        <v/>
      </c>
      <c r="V1825" s="66"/>
      <c r="W1825" s="66"/>
      <c r="X1825" s="66"/>
      <c r="Y1825" s="66"/>
      <c r="Z1825" s="66"/>
      <c r="AA1825" s="66"/>
      <c r="AB1825" s="66"/>
      <c r="AC1825" s="66"/>
      <c r="AD1825" s="66"/>
      <c r="AE1825" s="66"/>
      <c r="AF1825" s="44"/>
      <c r="AG1825" s="254">
        <f>Prog_23[[#This Row],[SAÍDA DO CLIENTE]]-Prog_23[[#This Row],[PROGRAMAÇÃO CLIENTE]]</f>
        <v>0</v>
      </c>
      <c r="AH1825" s="44"/>
      <c r="AI1825" s="66"/>
      <c r="AJ1825" s="66"/>
      <c r="AK1825" s="66"/>
      <c r="AL1825" s="66"/>
      <c r="AM1825" s="66"/>
      <c r="AN1825" s="83"/>
      <c r="AO1825" s="83"/>
      <c r="AP1825" s="83"/>
      <c r="AQ1825" s="66"/>
      <c r="AR1825" s="66"/>
      <c r="AS1825" s="66"/>
      <c r="AT1825" s="81"/>
      <c r="AU1825" s="81"/>
      <c r="AV1825" s="81"/>
      <c r="AW1825" s="81"/>
      <c r="AX1825" s="83">
        <f>SUM(Prog_23[[#This Row],[ADIANTAMENTO]]+Prog_23[[#This Row],[SALDO]]+Prog_23[[#This Row],[MARGEM]]+Prog_23[[#This Row],[ESTADIA 1]])</f>
        <v>0</v>
      </c>
      <c r="AY18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25" s="81"/>
      <c r="BA1825" s="81"/>
      <c r="BB1825" s="81">
        <f>Prog_23[[#This Row],[VLR NF]]*0.1%</f>
        <v>0</v>
      </c>
      <c r="BC1825" s="81">
        <f>Prog_23[[#This Row],[VLR NF]]*0.05%</f>
        <v>0</v>
      </c>
      <c r="BD1825" s="81"/>
      <c r="BE1825" s="81"/>
      <c r="BF1825" s="81"/>
      <c r="BG1825" s="81"/>
      <c r="BH1825" s="81"/>
      <c r="BI1825" s="81"/>
      <c r="BJ1825" s="81"/>
      <c r="BK1825" s="81"/>
      <c r="BL1825" s="81"/>
      <c r="BM1825" s="81"/>
      <c r="BN1825" s="66"/>
      <c r="BO1825" s="66"/>
      <c r="BP1825" s="66"/>
      <c r="BQ1825" s="66" t="str">
        <f>PROPER(TEXT(Prog_23[[#This Row],[PROGRAMAÇÃO CLIENTE]],"mmm"))</f>
        <v>Jan</v>
      </c>
      <c r="BR1825" s="66">
        <f>YEAR(Prog_23[[#This Row],[PROGRAMAÇÃO CLIENTE]])</f>
        <v>1900</v>
      </c>
    </row>
    <row r="1826" spans="1:70" x14ac:dyDescent="0.25">
      <c r="A1826" s="201">
        <f>Prog_23[[#This Row],[CONTEINER]]</f>
        <v>0</v>
      </c>
      <c r="B1826" s="86"/>
      <c r="C18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26" s="44"/>
      <c r="E1826" s="66"/>
      <c r="F1826" s="66"/>
      <c r="G1826" s="66"/>
      <c r="H1826" s="44"/>
      <c r="I1826" s="44"/>
      <c r="J1826" s="66"/>
      <c r="K1826" s="66"/>
      <c r="L1826" s="66"/>
      <c r="M1826" s="66"/>
      <c r="N1826" s="66">
        <f>SUM(Prog_23[[#This Row],[TARA]]+Prog_23[[#This Row],[PESO]])</f>
        <v>0</v>
      </c>
      <c r="O1826" s="44"/>
      <c r="P1826" s="66"/>
      <c r="Q1826" s="66"/>
      <c r="R1826" s="66"/>
      <c r="S1826" s="66"/>
      <c r="T1826" s="138" t="str">
        <f>IFERROR(LOOKUP($S1826,MOTORISTAS!$D$3:$D$916,MOTORISTAS!E$3:$E$916),"")</f>
        <v/>
      </c>
      <c r="U1826" s="138" t="str">
        <f>IFERROR(LOOKUP($S1826,MOTORISTAS!$D$3:$D$916,MOTORISTAS!F$3:$F$916),"")</f>
        <v/>
      </c>
      <c r="V1826" s="66"/>
      <c r="W1826" s="66"/>
      <c r="X1826" s="66"/>
      <c r="Y1826" s="66"/>
      <c r="Z1826" s="66"/>
      <c r="AA1826" s="66"/>
      <c r="AB1826" s="66"/>
      <c r="AC1826" s="66"/>
      <c r="AD1826" s="66"/>
      <c r="AE1826" s="66"/>
      <c r="AF1826" s="44"/>
      <c r="AG1826" s="254">
        <f>Prog_23[[#This Row],[SAÍDA DO CLIENTE]]-Prog_23[[#This Row],[PROGRAMAÇÃO CLIENTE]]</f>
        <v>0</v>
      </c>
      <c r="AH1826" s="44"/>
      <c r="AI1826" s="66"/>
      <c r="AJ1826" s="66"/>
      <c r="AK1826" s="66"/>
      <c r="AL1826" s="66"/>
      <c r="AM1826" s="66"/>
      <c r="AN1826" s="83"/>
      <c r="AO1826" s="83"/>
      <c r="AP1826" s="83"/>
      <c r="AQ1826" s="66"/>
      <c r="AR1826" s="66"/>
      <c r="AS1826" s="66"/>
      <c r="AT1826" s="81"/>
      <c r="AU1826" s="81"/>
      <c r="AV1826" s="81"/>
      <c r="AW1826" s="81"/>
      <c r="AX1826" s="83">
        <f>SUM(Prog_23[[#This Row],[ADIANTAMENTO]]+Prog_23[[#This Row],[SALDO]]+Prog_23[[#This Row],[MARGEM]]+Prog_23[[#This Row],[ESTADIA 1]])</f>
        <v>0</v>
      </c>
      <c r="AY18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26" s="81"/>
      <c r="BA1826" s="81"/>
      <c r="BB1826" s="81">
        <f>Prog_23[[#This Row],[VLR NF]]*0.1%</f>
        <v>0</v>
      </c>
      <c r="BC1826" s="81">
        <f>Prog_23[[#This Row],[VLR NF]]*0.05%</f>
        <v>0</v>
      </c>
      <c r="BD1826" s="81"/>
      <c r="BE1826" s="81"/>
      <c r="BF1826" s="81"/>
      <c r="BG1826" s="81"/>
      <c r="BH1826" s="81"/>
      <c r="BI1826" s="81"/>
      <c r="BJ1826" s="81"/>
      <c r="BK1826" s="81"/>
      <c r="BL1826" s="81"/>
      <c r="BM1826" s="81"/>
      <c r="BN1826" s="66"/>
      <c r="BO1826" s="66"/>
      <c r="BP1826" s="66"/>
      <c r="BQ1826" s="66" t="str">
        <f>PROPER(TEXT(Prog_23[[#This Row],[PROGRAMAÇÃO CLIENTE]],"mmm"))</f>
        <v>Jan</v>
      </c>
      <c r="BR1826" s="66">
        <f>YEAR(Prog_23[[#This Row],[PROGRAMAÇÃO CLIENTE]])</f>
        <v>1900</v>
      </c>
    </row>
    <row r="1827" spans="1:70" x14ac:dyDescent="0.25">
      <c r="A1827" s="200">
        <f>Prog_23[[#This Row],[CONTEINER]]</f>
        <v>0</v>
      </c>
      <c r="B1827" s="86"/>
      <c r="C18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27" s="44"/>
      <c r="E1827" s="66"/>
      <c r="F1827" s="66"/>
      <c r="G1827" s="66"/>
      <c r="H1827" s="44"/>
      <c r="I1827" s="44"/>
      <c r="J1827" s="66"/>
      <c r="K1827" s="66"/>
      <c r="L1827" s="66"/>
      <c r="M1827" s="66"/>
      <c r="N1827" s="66">
        <f>SUM(Prog_23[[#This Row],[TARA]]+Prog_23[[#This Row],[PESO]])</f>
        <v>0</v>
      </c>
      <c r="O1827" s="44"/>
      <c r="P1827" s="66"/>
      <c r="Q1827" s="66"/>
      <c r="R1827" s="66"/>
      <c r="S1827" s="66"/>
      <c r="T1827" s="138" t="str">
        <f>IFERROR(LOOKUP($S1827,MOTORISTAS!$D$3:$D$916,MOTORISTAS!E$3:$E$916),"")</f>
        <v/>
      </c>
      <c r="U1827" s="138" t="str">
        <f>IFERROR(LOOKUP($S1827,MOTORISTAS!$D$3:$D$916,MOTORISTAS!F$3:$F$916),"")</f>
        <v/>
      </c>
      <c r="V1827" s="66"/>
      <c r="W1827" s="66"/>
      <c r="X1827" s="66"/>
      <c r="Y1827" s="66"/>
      <c r="Z1827" s="66"/>
      <c r="AA1827" s="66"/>
      <c r="AB1827" s="66"/>
      <c r="AC1827" s="66"/>
      <c r="AD1827" s="66"/>
      <c r="AE1827" s="66"/>
      <c r="AF1827" s="44"/>
      <c r="AG1827" s="254">
        <f>Prog_23[[#This Row],[SAÍDA DO CLIENTE]]-Prog_23[[#This Row],[PROGRAMAÇÃO CLIENTE]]</f>
        <v>0</v>
      </c>
      <c r="AH1827" s="44"/>
      <c r="AI1827" s="66"/>
      <c r="AJ1827" s="66"/>
      <c r="AK1827" s="66"/>
      <c r="AL1827" s="66"/>
      <c r="AM1827" s="66"/>
      <c r="AN1827" s="83"/>
      <c r="AO1827" s="83"/>
      <c r="AP1827" s="83"/>
      <c r="AQ1827" s="66"/>
      <c r="AR1827" s="66"/>
      <c r="AS1827" s="66"/>
      <c r="AT1827" s="81"/>
      <c r="AU1827" s="81"/>
      <c r="AV1827" s="81"/>
      <c r="AW1827" s="81"/>
      <c r="AX1827" s="83">
        <f>SUM(Prog_23[[#This Row],[ADIANTAMENTO]]+Prog_23[[#This Row],[SALDO]]+Prog_23[[#This Row],[MARGEM]]+Prog_23[[#This Row],[ESTADIA 1]])</f>
        <v>0</v>
      </c>
      <c r="AY18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27" s="81"/>
      <c r="BA1827" s="81"/>
      <c r="BB1827" s="81">
        <f>Prog_23[[#This Row],[VLR NF]]*0.1%</f>
        <v>0</v>
      </c>
      <c r="BC1827" s="81">
        <f>Prog_23[[#This Row],[VLR NF]]*0.05%</f>
        <v>0</v>
      </c>
      <c r="BD1827" s="81"/>
      <c r="BE1827" s="81"/>
      <c r="BF1827" s="81"/>
      <c r="BG1827" s="81"/>
      <c r="BH1827" s="81"/>
      <c r="BI1827" s="81"/>
      <c r="BJ1827" s="81"/>
      <c r="BK1827" s="81"/>
      <c r="BL1827" s="81"/>
      <c r="BM1827" s="81"/>
      <c r="BN1827" s="66"/>
      <c r="BO1827" s="66"/>
      <c r="BP1827" s="66"/>
      <c r="BQ1827" s="66" t="str">
        <f>PROPER(TEXT(Prog_23[[#This Row],[PROGRAMAÇÃO CLIENTE]],"mmm"))</f>
        <v>Jan</v>
      </c>
      <c r="BR1827" s="66">
        <f>YEAR(Prog_23[[#This Row],[PROGRAMAÇÃO CLIENTE]])</f>
        <v>1900</v>
      </c>
    </row>
    <row r="1828" spans="1:70" x14ac:dyDescent="0.25">
      <c r="A1828" s="201">
        <f>Prog_23[[#This Row],[CONTEINER]]</f>
        <v>0</v>
      </c>
      <c r="B1828" s="86"/>
      <c r="C18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28" s="44"/>
      <c r="E1828" s="66"/>
      <c r="F1828" s="66"/>
      <c r="G1828" s="66"/>
      <c r="H1828" s="44"/>
      <c r="I1828" s="44"/>
      <c r="J1828" s="66"/>
      <c r="K1828" s="66"/>
      <c r="L1828" s="66"/>
      <c r="M1828" s="66"/>
      <c r="N1828" s="66">
        <f>SUM(Prog_23[[#This Row],[TARA]]+Prog_23[[#This Row],[PESO]])</f>
        <v>0</v>
      </c>
      <c r="O1828" s="44"/>
      <c r="P1828" s="66"/>
      <c r="Q1828" s="66"/>
      <c r="R1828" s="66"/>
      <c r="S1828" s="66"/>
      <c r="T1828" s="138" t="str">
        <f>IFERROR(LOOKUP($S1828,MOTORISTAS!$D$3:$D$916,MOTORISTAS!E$3:$E$916),"")</f>
        <v/>
      </c>
      <c r="U1828" s="138" t="str">
        <f>IFERROR(LOOKUP($S1828,MOTORISTAS!$D$3:$D$916,MOTORISTAS!F$3:$F$916),"")</f>
        <v/>
      </c>
      <c r="V1828" s="66"/>
      <c r="W1828" s="66"/>
      <c r="X1828" s="66"/>
      <c r="Y1828" s="66"/>
      <c r="Z1828" s="66"/>
      <c r="AA1828" s="66"/>
      <c r="AB1828" s="66"/>
      <c r="AC1828" s="66"/>
      <c r="AD1828" s="66"/>
      <c r="AE1828" s="66"/>
      <c r="AF1828" s="44"/>
      <c r="AG1828" s="254">
        <f>Prog_23[[#This Row],[SAÍDA DO CLIENTE]]-Prog_23[[#This Row],[PROGRAMAÇÃO CLIENTE]]</f>
        <v>0</v>
      </c>
      <c r="AH1828" s="44"/>
      <c r="AI1828" s="66"/>
      <c r="AJ1828" s="66"/>
      <c r="AK1828" s="66"/>
      <c r="AL1828" s="66"/>
      <c r="AM1828" s="66"/>
      <c r="AN1828" s="83"/>
      <c r="AO1828" s="83"/>
      <c r="AP1828" s="83"/>
      <c r="AQ1828" s="66"/>
      <c r="AR1828" s="66"/>
      <c r="AS1828" s="66"/>
      <c r="AT1828" s="81"/>
      <c r="AU1828" s="81"/>
      <c r="AV1828" s="81"/>
      <c r="AW1828" s="81"/>
      <c r="AX1828" s="83">
        <f>SUM(Prog_23[[#This Row],[ADIANTAMENTO]]+Prog_23[[#This Row],[SALDO]]+Prog_23[[#This Row],[MARGEM]]+Prog_23[[#This Row],[ESTADIA 1]])</f>
        <v>0</v>
      </c>
      <c r="AY18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28" s="81"/>
      <c r="BA1828" s="81"/>
      <c r="BB1828" s="81">
        <f>Prog_23[[#This Row],[VLR NF]]*0.1%</f>
        <v>0</v>
      </c>
      <c r="BC1828" s="81">
        <f>Prog_23[[#This Row],[VLR NF]]*0.05%</f>
        <v>0</v>
      </c>
      <c r="BD1828" s="81"/>
      <c r="BE1828" s="81"/>
      <c r="BF1828" s="81"/>
      <c r="BG1828" s="81"/>
      <c r="BH1828" s="81"/>
      <c r="BI1828" s="81"/>
      <c r="BJ1828" s="81"/>
      <c r="BK1828" s="81"/>
      <c r="BL1828" s="81"/>
      <c r="BM1828" s="81"/>
      <c r="BN1828" s="66"/>
      <c r="BO1828" s="66"/>
      <c r="BP1828" s="66"/>
      <c r="BQ1828" s="66" t="str">
        <f>PROPER(TEXT(Prog_23[[#This Row],[PROGRAMAÇÃO CLIENTE]],"mmm"))</f>
        <v>Jan</v>
      </c>
      <c r="BR1828" s="66">
        <f>YEAR(Prog_23[[#This Row],[PROGRAMAÇÃO CLIENTE]])</f>
        <v>1900</v>
      </c>
    </row>
    <row r="1829" spans="1:70" x14ac:dyDescent="0.25">
      <c r="A1829" s="200">
        <f>Prog_23[[#This Row],[CONTEINER]]</f>
        <v>0</v>
      </c>
      <c r="B1829" s="86"/>
      <c r="C18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29" s="44"/>
      <c r="E1829" s="66"/>
      <c r="F1829" s="66"/>
      <c r="G1829" s="66"/>
      <c r="H1829" s="44"/>
      <c r="I1829" s="44"/>
      <c r="J1829" s="66"/>
      <c r="K1829" s="66"/>
      <c r="L1829" s="66"/>
      <c r="M1829" s="66"/>
      <c r="N1829" s="66">
        <f>SUM(Prog_23[[#This Row],[TARA]]+Prog_23[[#This Row],[PESO]])</f>
        <v>0</v>
      </c>
      <c r="O1829" s="44"/>
      <c r="P1829" s="66"/>
      <c r="Q1829" s="66"/>
      <c r="R1829" s="66"/>
      <c r="S1829" s="66"/>
      <c r="T1829" s="138" t="str">
        <f>IFERROR(LOOKUP($S1829,MOTORISTAS!$D$3:$D$916,MOTORISTAS!E$3:$E$916),"")</f>
        <v/>
      </c>
      <c r="U1829" s="138" t="str">
        <f>IFERROR(LOOKUP($S1829,MOTORISTAS!$D$3:$D$916,MOTORISTAS!F$3:$F$916),"")</f>
        <v/>
      </c>
      <c r="V1829" s="66"/>
      <c r="W1829" s="66"/>
      <c r="X1829" s="66"/>
      <c r="Y1829" s="66"/>
      <c r="Z1829" s="66"/>
      <c r="AA1829" s="66"/>
      <c r="AB1829" s="66"/>
      <c r="AC1829" s="66"/>
      <c r="AD1829" s="66"/>
      <c r="AE1829" s="66"/>
      <c r="AF1829" s="44"/>
      <c r="AG1829" s="254">
        <f>Prog_23[[#This Row],[SAÍDA DO CLIENTE]]-Prog_23[[#This Row],[PROGRAMAÇÃO CLIENTE]]</f>
        <v>0</v>
      </c>
      <c r="AH1829" s="44"/>
      <c r="AI1829" s="66"/>
      <c r="AJ1829" s="66"/>
      <c r="AK1829" s="66"/>
      <c r="AL1829" s="66"/>
      <c r="AM1829" s="66"/>
      <c r="AN1829" s="83"/>
      <c r="AO1829" s="83"/>
      <c r="AP1829" s="83"/>
      <c r="AQ1829" s="66"/>
      <c r="AR1829" s="66"/>
      <c r="AS1829" s="66"/>
      <c r="AT1829" s="81"/>
      <c r="AU1829" s="81"/>
      <c r="AV1829" s="81"/>
      <c r="AW1829" s="81"/>
      <c r="AX1829" s="83">
        <f>SUM(Prog_23[[#This Row],[ADIANTAMENTO]]+Prog_23[[#This Row],[SALDO]]+Prog_23[[#This Row],[MARGEM]]+Prog_23[[#This Row],[ESTADIA 1]])</f>
        <v>0</v>
      </c>
      <c r="AY18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29" s="81"/>
      <c r="BA1829" s="81"/>
      <c r="BB1829" s="81">
        <f>Prog_23[[#This Row],[VLR NF]]*0.1%</f>
        <v>0</v>
      </c>
      <c r="BC1829" s="81">
        <f>Prog_23[[#This Row],[VLR NF]]*0.05%</f>
        <v>0</v>
      </c>
      <c r="BD1829" s="81"/>
      <c r="BE1829" s="81"/>
      <c r="BF1829" s="81"/>
      <c r="BG1829" s="81"/>
      <c r="BH1829" s="81"/>
      <c r="BI1829" s="81"/>
      <c r="BJ1829" s="81"/>
      <c r="BK1829" s="81"/>
      <c r="BL1829" s="81"/>
      <c r="BM1829" s="81"/>
      <c r="BN1829" s="66"/>
      <c r="BO1829" s="66"/>
      <c r="BP1829" s="66"/>
      <c r="BQ1829" s="66" t="str">
        <f>PROPER(TEXT(Prog_23[[#This Row],[PROGRAMAÇÃO CLIENTE]],"mmm"))</f>
        <v>Jan</v>
      </c>
      <c r="BR1829" s="66">
        <f>YEAR(Prog_23[[#This Row],[PROGRAMAÇÃO CLIENTE]])</f>
        <v>1900</v>
      </c>
    </row>
    <row r="1830" spans="1:70" x14ac:dyDescent="0.25">
      <c r="A1830" s="201">
        <f>Prog_23[[#This Row],[CONTEINER]]</f>
        <v>0</v>
      </c>
      <c r="B1830" s="86"/>
      <c r="C18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30" s="44"/>
      <c r="E1830" s="66"/>
      <c r="F1830" s="66"/>
      <c r="G1830" s="66"/>
      <c r="H1830" s="44"/>
      <c r="I1830" s="44"/>
      <c r="J1830" s="66"/>
      <c r="K1830" s="66"/>
      <c r="L1830" s="66"/>
      <c r="M1830" s="66"/>
      <c r="N1830" s="66">
        <f>SUM(Prog_23[[#This Row],[TARA]]+Prog_23[[#This Row],[PESO]])</f>
        <v>0</v>
      </c>
      <c r="O1830" s="44"/>
      <c r="P1830" s="66"/>
      <c r="Q1830" s="66"/>
      <c r="R1830" s="66"/>
      <c r="S1830" s="66"/>
      <c r="T1830" s="138" t="str">
        <f>IFERROR(LOOKUP($S1830,MOTORISTAS!$D$3:$D$916,MOTORISTAS!E$3:$E$916),"")</f>
        <v/>
      </c>
      <c r="U1830" s="138" t="str">
        <f>IFERROR(LOOKUP($S1830,MOTORISTAS!$D$3:$D$916,MOTORISTAS!F$3:$F$916),"")</f>
        <v/>
      </c>
      <c r="V1830" s="66"/>
      <c r="W1830" s="66"/>
      <c r="X1830" s="66"/>
      <c r="Y1830" s="66"/>
      <c r="Z1830" s="66"/>
      <c r="AA1830" s="66"/>
      <c r="AB1830" s="66"/>
      <c r="AC1830" s="66"/>
      <c r="AD1830" s="66"/>
      <c r="AE1830" s="66"/>
      <c r="AF1830" s="44"/>
      <c r="AG1830" s="254">
        <f>Prog_23[[#This Row],[SAÍDA DO CLIENTE]]-Prog_23[[#This Row],[PROGRAMAÇÃO CLIENTE]]</f>
        <v>0</v>
      </c>
      <c r="AH1830" s="44"/>
      <c r="AI1830" s="66"/>
      <c r="AJ1830" s="66"/>
      <c r="AK1830" s="66"/>
      <c r="AL1830" s="66"/>
      <c r="AM1830" s="66"/>
      <c r="AN1830" s="83"/>
      <c r="AO1830" s="83"/>
      <c r="AP1830" s="83"/>
      <c r="AQ1830" s="66"/>
      <c r="AR1830" s="66"/>
      <c r="AS1830" s="66"/>
      <c r="AT1830" s="81"/>
      <c r="AU1830" s="81"/>
      <c r="AV1830" s="81"/>
      <c r="AW1830" s="81"/>
      <c r="AX1830" s="83">
        <f>SUM(Prog_23[[#This Row],[ADIANTAMENTO]]+Prog_23[[#This Row],[SALDO]]+Prog_23[[#This Row],[MARGEM]]+Prog_23[[#This Row],[ESTADIA 1]])</f>
        <v>0</v>
      </c>
      <c r="AY18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30" s="81"/>
      <c r="BA1830" s="81"/>
      <c r="BB1830" s="81">
        <f>Prog_23[[#This Row],[VLR NF]]*0.1%</f>
        <v>0</v>
      </c>
      <c r="BC1830" s="81">
        <f>Prog_23[[#This Row],[VLR NF]]*0.05%</f>
        <v>0</v>
      </c>
      <c r="BD1830" s="81"/>
      <c r="BE1830" s="81"/>
      <c r="BF1830" s="81"/>
      <c r="BG1830" s="81"/>
      <c r="BH1830" s="81"/>
      <c r="BI1830" s="81"/>
      <c r="BJ1830" s="81"/>
      <c r="BK1830" s="81"/>
      <c r="BL1830" s="81"/>
      <c r="BM1830" s="81"/>
      <c r="BN1830" s="66"/>
      <c r="BO1830" s="66"/>
      <c r="BP1830" s="66"/>
      <c r="BQ1830" s="66" t="str">
        <f>PROPER(TEXT(Prog_23[[#This Row],[PROGRAMAÇÃO CLIENTE]],"mmm"))</f>
        <v>Jan</v>
      </c>
      <c r="BR1830" s="66">
        <f>YEAR(Prog_23[[#This Row],[PROGRAMAÇÃO CLIENTE]])</f>
        <v>1900</v>
      </c>
    </row>
    <row r="1831" spans="1:70" x14ac:dyDescent="0.25">
      <c r="A1831" s="200">
        <f>Prog_23[[#This Row],[CONTEINER]]</f>
        <v>0</v>
      </c>
      <c r="B1831" s="86"/>
      <c r="C18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31" s="44"/>
      <c r="E1831" s="66"/>
      <c r="F1831" s="66"/>
      <c r="G1831" s="66"/>
      <c r="H1831" s="44"/>
      <c r="I1831" s="44"/>
      <c r="J1831" s="66"/>
      <c r="K1831" s="66"/>
      <c r="L1831" s="66"/>
      <c r="M1831" s="66"/>
      <c r="N1831" s="66">
        <f>SUM(Prog_23[[#This Row],[TARA]]+Prog_23[[#This Row],[PESO]])</f>
        <v>0</v>
      </c>
      <c r="O1831" s="44"/>
      <c r="P1831" s="66"/>
      <c r="Q1831" s="66"/>
      <c r="R1831" s="66"/>
      <c r="S1831" s="66"/>
      <c r="T1831" s="138" t="str">
        <f>IFERROR(LOOKUP($S1831,MOTORISTAS!$D$3:$D$916,MOTORISTAS!E$3:$E$916),"")</f>
        <v/>
      </c>
      <c r="U1831" s="138" t="str">
        <f>IFERROR(LOOKUP($S1831,MOTORISTAS!$D$3:$D$916,MOTORISTAS!F$3:$F$916),"")</f>
        <v/>
      </c>
      <c r="V1831" s="66"/>
      <c r="W1831" s="66"/>
      <c r="X1831" s="66"/>
      <c r="Y1831" s="66"/>
      <c r="Z1831" s="66"/>
      <c r="AA1831" s="66"/>
      <c r="AB1831" s="66"/>
      <c r="AC1831" s="66"/>
      <c r="AD1831" s="66"/>
      <c r="AE1831" s="66"/>
      <c r="AF1831" s="44"/>
      <c r="AG1831" s="254">
        <f>Prog_23[[#This Row],[SAÍDA DO CLIENTE]]-Prog_23[[#This Row],[PROGRAMAÇÃO CLIENTE]]</f>
        <v>0</v>
      </c>
      <c r="AH1831" s="44"/>
      <c r="AI1831" s="66"/>
      <c r="AJ1831" s="66"/>
      <c r="AK1831" s="66"/>
      <c r="AL1831" s="66"/>
      <c r="AM1831" s="66"/>
      <c r="AN1831" s="83"/>
      <c r="AO1831" s="83"/>
      <c r="AP1831" s="83"/>
      <c r="AQ1831" s="66"/>
      <c r="AR1831" s="66"/>
      <c r="AS1831" s="66"/>
      <c r="AT1831" s="81"/>
      <c r="AU1831" s="81"/>
      <c r="AV1831" s="81"/>
      <c r="AW1831" s="81"/>
      <c r="AX1831" s="83">
        <f>SUM(Prog_23[[#This Row],[ADIANTAMENTO]]+Prog_23[[#This Row],[SALDO]]+Prog_23[[#This Row],[MARGEM]]+Prog_23[[#This Row],[ESTADIA 1]])</f>
        <v>0</v>
      </c>
      <c r="AY18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31" s="81"/>
      <c r="BA1831" s="81"/>
      <c r="BB1831" s="81">
        <f>Prog_23[[#This Row],[VLR NF]]*0.1%</f>
        <v>0</v>
      </c>
      <c r="BC1831" s="81">
        <f>Prog_23[[#This Row],[VLR NF]]*0.05%</f>
        <v>0</v>
      </c>
      <c r="BD1831" s="81"/>
      <c r="BE1831" s="81"/>
      <c r="BF1831" s="81"/>
      <c r="BG1831" s="81"/>
      <c r="BH1831" s="81"/>
      <c r="BI1831" s="81"/>
      <c r="BJ1831" s="81"/>
      <c r="BK1831" s="81"/>
      <c r="BL1831" s="81"/>
      <c r="BM1831" s="81"/>
      <c r="BN1831" s="66"/>
      <c r="BO1831" s="66"/>
      <c r="BP1831" s="66"/>
      <c r="BQ1831" s="66" t="str">
        <f>PROPER(TEXT(Prog_23[[#This Row],[PROGRAMAÇÃO CLIENTE]],"mmm"))</f>
        <v>Jan</v>
      </c>
      <c r="BR1831" s="66">
        <f>YEAR(Prog_23[[#This Row],[PROGRAMAÇÃO CLIENTE]])</f>
        <v>1900</v>
      </c>
    </row>
    <row r="1832" spans="1:70" x14ac:dyDescent="0.25">
      <c r="A1832" s="201">
        <f>Prog_23[[#This Row],[CONTEINER]]</f>
        <v>0</v>
      </c>
      <c r="B1832" s="86"/>
      <c r="C18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32" s="44"/>
      <c r="E1832" s="66"/>
      <c r="F1832" s="66"/>
      <c r="G1832" s="66"/>
      <c r="H1832" s="44"/>
      <c r="I1832" s="44"/>
      <c r="J1832" s="66"/>
      <c r="K1832" s="66"/>
      <c r="L1832" s="66"/>
      <c r="M1832" s="66"/>
      <c r="N1832" s="66">
        <f>SUM(Prog_23[[#This Row],[TARA]]+Prog_23[[#This Row],[PESO]])</f>
        <v>0</v>
      </c>
      <c r="O1832" s="44"/>
      <c r="P1832" s="66"/>
      <c r="Q1832" s="66"/>
      <c r="R1832" s="66"/>
      <c r="S1832" s="66"/>
      <c r="T1832" s="138" t="str">
        <f>IFERROR(LOOKUP($S1832,MOTORISTAS!$D$3:$D$916,MOTORISTAS!E$3:$E$916),"")</f>
        <v/>
      </c>
      <c r="U1832" s="138" t="str">
        <f>IFERROR(LOOKUP($S1832,MOTORISTAS!$D$3:$D$916,MOTORISTAS!F$3:$F$916),"")</f>
        <v/>
      </c>
      <c r="V1832" s="66"/>
      <c r="W1832" s="66"/>
      <c r="X1832" s="66"/>
      <c r="Y1832" s="66"/>
      <c r="Z1832" s="66"/>
      <c r="AA1832" s="66"/>
      <c r="AB1832" s="66"/>
      <c r="AC1832" s="66"/>
      <c r="AD1832" s="66"/>
      <c r="AE1832" s="66"/>
      <c r="AF1832" s="44"/>
      <c r="AG1832" s="254">
        <f>Prog_23[[#This Row],[SAÍDA DO CLIENTE]]-Prog_23[[#This Row],[PROGRAMAÇÃO CLIENTE]]</f>
        <v>0</v>
      </c>
      <c r="AH1832" s="44"/>
      <c r="AI1832" s="66"/>
      <c r="AJ1832" s="66"/>
      <c r="AK1832" s="66"/>
      <c r="AL1832" s="66"/>
      <c r="AM1832" s="66"/>
      <c r="AN1832" s="83"/>
      <c r="AO1832" s="83"/>
      <c r="AP1832" s="83"/>
      <c r="AQ1832" s="66"/>
      <c r="AR1832" s="66"/>
      <c r="AS1832" s="66"/>
      <c r="AT1832" s="81"/>
      <c r="AU1832" s="81"/>
      <c r="AV1832" s="81"/>
      <c r="AW1832" s="81"/>
      <c r="AX1832" s="83">
        <f>SUM(Prog_23[[#This Row],[ADIANTAMENTO]]+Prog_23[[#This Row],[SALDO]]+Prog_23[[#This Row],[MARGEM]]+Prog_23[[#This Row],[ESTADIA 1]])</f>
        <v>0</v>
      </c>
      <c r="AY18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32" s="81"/>
      <c r="BA1832" s="81"/>
      <c r="BB1832" s="81">
        <f>Prog_23[[#This Row],[VLR NF]]*0.1%</f>
        <v>0</v>
      </c>
      <c r="BC1832" s="81">
        <f>Prog_23[[#This Row],[VLR NF]]*0.05%</f>
        <v>0</v>
      </c>
      <c r="BD1832" s="81"/>
      <c r="BE1832" s="81"/>
      <c r="BF1832" s="81"/>
      <c r="BG1832" s="81"/>
      <c r="BH1832" s="81"/>
      <c r="BI1832" s="81"/>
      <c r="BJ1832" s="81"/>
      <c r="BK1832" s="81"/>
      <c r="BL1832" s="81"/>
      <c r="BM1832" s="81"/>
      <c r="BN1832" s="66"/>
      <c r="BO1832" s="66"/>
      <c r="BP1832" s="66"/>
      <c r="BQ1832" s="66" t="str">
        <f>PROPER(TEXT(Prog_23[[#This Row],[PROGRAMAÇÃO CLIENTE]],"mmm"))</f>
        <v>Jan</v>
      </c>
      <c r="BR1832" s="66">
        <f>YEAR(Prog_23[[#This Row],[PROGRAMAÇÃO CLIENTE]])</f>
        <v>1900</v>
      </c>
    </row>
    <row r="1833" spans="1:70" x14ac:dyDescent="0.25">
      <c r="A1833" s="200">
        <f>Prog_23[[#This Row],[CONTEINER]]</f>
        <v>0</v>
      </c>
      <c r="B1833" s="86"/>
      <c r="C18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33" s="44"/>
      <c r="E1833" s="66"/>
      <c r="F1833" s="66"/>
      <c r="G1833" s="66"/>
      <c r="H1833" s="44"/>
      <c r="I1833" s="44"/>
      <c r="J1833" s="66"/>
      <c r="K1833" s="66"/>
      <c r="L1833" s="66"/>
      <c r="M1833" s="66"/>
      <c r="N1833" s="66">
        <f>SUM(Prog_23[[#This Row],[TARA]]+Prog_23[[#This Row],[PESO]])</f>
        <v>0</v>
      </c>
      <c r="O1833" s="44"/>
      <c r="P1833" s="66"/>
      <c r="Q1833" s="66"/>
      <c r="R1833" s="66"/>
      <c r="S1833" s="66"/>
      <c r="T1833" s="138" t="str">
        <f>IFERROR(LOOKUP($S1833,MOTORISTAS!$D$3:$D$916,MOTORISTAS!E$3:$E$916),"")</f>
        <v/>
      </c>
      <c r="U1833" s="138" t="str">
        <f>IFERROR(LOOKUP($S1833,MOTORISTAS!$D$3:$D$916,MOTORISTAS!F$3:$F$916),"")</f>
        <v/>
      </c>
      <c r="V1833" s="66"/>
      <c r="W1833" s="66"/>
      <c r="X1833" s="66"/>
      <c r="Y1833" s="66"/>
      <c r="Z1833" s="66"/>
      <c r="AA1833" s="66"/>
      <c r="AB1833" s="66"/>
      <c r="AC1833" s="66"/>
      <c r="AD1833" s="66"/>
      <c r="AE1833" s="66"/>
      <c r="AF1833" s="44"/>
      <c r="AG1833" s="254">
        <f>Prog_23[[#This Row],[SAÍDA DO CLIENTE]]-Prog_23[[#This Row],[PROGRAMAÇÃO CLIENTE]]</f>
        <v>0</v>
      </c>
      <c r="AH1833" s="44"/>
      <c r="AI1833" s="66"/>
      <c r="AJ1833" s="66"/>
      <c r="AK1833" s="66"/>
      <c r="AL1833" s="66"/>
      <c r="AM1833" s="66"/>
      <c r="AN1833" s="83"/>
      <c r="AO1833" s="83"/>
      <c r="AP1833" s="83"/>
      <c r="AQ1833" s="66"/>
      <c r="AR1833" s="66"/>
      <c r="AS1833" s="66"/>
      <c r="AT1833" s="81"/>
      <c r="AU1833" s="81"/>
      <c r="AV1833" s="81"/>
      <c r="AW1833" s="81"/>
      <c r="AX1833" s="83">
        <f>SUM(Prog_23[[#This Row],[ADIANTAMENTO]]+Prog_23[[#This Row],[SALDO]]+Prog_23[[#This Row],[MARGEM]]+Prog_23[[#This Row],[ESTADIA 1]])</f>
        <v>0</v>
      </c>
      <c r="AY18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33" s="81"/>
      <c r="BA1833" s="81"/>
      <c r="BB1833" s="81">
        <f>Prog_23[[#This Row],[VLR NF]]*0.1%</f>
        <v>0</v>
      </c>
      <c r="BC1833" s="81">
        <f>Prog_23[[#This Row],[VLR NF]]*0.05%</f>
        <v>0</v>
      </c>
      <c r="BD1833" s="81"/>
      <c r="BE1833" s="81"/>
      <c r="BF1833" s="81"/>
      <c r="BG1833" s="81"/>
      <c r="BH1833" s="81"/>
      <c r="BI1833" s="81"/>
      <c r="BJ1833" s="81"/>
      <c r="BK1833" s="81"/>
      <c r="BL1833" s="81"/>
      <c r="BM1833" s="81"/>
      <c r="BN1833" s="66"/>
      <c r="BO1833" s="66"/>
      <c r="BP1833" s="66"/>
      <c r="BQ1833" s="66" t="str">
        <f>PROPER(TEXT(Prog_23[[#This Row],[PROGRAMAÇÃO CLIENTE]],"mmm"))</f>
        <v>Jan</v>
      </c>
      <c r="BR1833" s="66">
        <f>YEAR(Prog_23[[#This Row],[PROGRAMAÇÃO CLIENTE]])</f>
        <v>1900</v>
      </c>
    </row>
    <row r="1834" spans="1:70" x14ac:dyDescent="0.25">
      <c r="A1834" s="201">
        <f>Prog_23[[#This Row],[CONTEINER]]</f>
        <v>0</v>
      </c>
      <c r="B1834" s="86"/>
      <c r="C18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34" s="44"/>
      <c r="E1834" s="66"/>
      <c r="F1834" s="66"/>
      <c r="G1834" s="66"/>
      <c r="H1834" s="44"/>
      <c r="I1834" s="44"/>
      <c r="J1834" s="66"/>
      <c r="K1834" s="66"/>
      <c r="L1834" s="66"/>
      <c r="M1834" s="66"/>
      <c r="N1834" s="66">
        <f>SUM(Prog_23[[#This Row],[TARA]]+Prog_23[[#This Row],[PESO]])</f>
        <v>0</v>
      </c>
      <c r="O1834" s="44"/>
      <c r="P1834" s="66"/>
      <c r="Q1834" s="66"/>
      <c r="R1834" s="66"/>
      <c r="S1834" s="66"/>
      <c r="T1834" s="138" t="str">
        <f>IFERROR(LOOKUP($S1834,MOTORISTAS!$D$3:$D$916,MOTORISTAS!E$3:$E$916),"")</f>
        <v/>
      </c>
      <c r="U1834" s="138" t="str">
        <f>IFERROR(LOOKUP($S1834,MOTORISTAS!$D$3:$D$916,MOTORISTAS!F$3:$F$916),"")</f>
        <v/>
      </c>
      <c r="V1834" s="66"/>
      <c r="W1834" s="66"/>
      <c r="X1834" s="66"/>
      <c r="Y1834" s="66"/>
      <c r="Z1834" s="66"/>
      <c r="AA1834" s="66"/>
      <c r="AB1834" s="66"/>
      <c r="AC1834" s="66"/>
      <c r="AD1834" s="66"/>
      <c r="AE1834" s="66"/>
      <c r="AF1834" s="44"/>
      <c r="AG1834" s="254">
        <f>Prog_23[[#This Row],[SAÍDA DO CLIENTE]]-Prog_23[[#This Row],[PROGRAMAÇÃO CLIENTE]]</f>
        <v>0</v>
      </c>
      <c r="AH1834" s="44"/>
      <c r="AI1834" s="66"/>
      <c r="AJ1834" s="66"/>
      <c r="AK1834" s="66"/>
      <c r="AL1834" s="66"/>
      <c r="AM1834" s="66"/>
      <c r="AN1834" s="83"/>
      <c r="AO1834" s="83"/>
      <c r="AP1834" s="83"/>
      <c r="AQ1834" s="66"/>
      <c r="AR1834" s="66"/>
      <c r="AS1834" s="66"/>
      <c r="AT1834" s="81"/>
      <c r="AU1834" s="81"/>
      <c r="AV1834" s="81"/>
      <c r="AW1834" s="81"/>
      <c r="AX1834" s="83">
        <f>SUM(Prog_23[[#This Row],[ADIANTAMENTO]]+Prog_23[[#This Row],[SALDO]]+Prog_23[[#This Row],[MARGEM]]+Prog_23[[#This Row],[ESTADIA 1]])</f>
        <v>0</v>
      </c>
      <c r="AY18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34" s="81"/>
      <c r="BA1834" s="81"/>
      <c r="BB1834" s="81">
        <f>Prog_23[[#This Row],[VLR NF]]*0.1%</f>
        <v>0</v>
      </c>
      <c r="BC1834" s="81">
        <f>Prog_23[[#This Row],[VLR NF]]*0.05%</f>
        <v>0</v>
      </c>
      <c r="BD1834" s="81"/>
      <c r="BE1834" s="81"/>
      <c r="BF1834" s="81"/>
      <c r="BG1834" s="81"/>
      <c r="BH1834" s="81"/>
      <c r="BI1834" s="81"/>
      <c r="BJ1834" s="81"/>
      <c r="BK1834" s="81"/>
      <c r="BL1834" s="81"/>
      <c r="BM1834" s="81"/>
      <c r="BN1834" s="66"/>
      <c r="BO1834" s="66"/>
      <c r="BP1834" s="66"/>
      <c r="BQ1834" s="66" t="str">
        <f>PROPER(TEXT(Prog_23[[#This Row],[PROGRAMAÇÃO CLIENTE]],"mmm"))</f>
        <v>Jan</v>
      </c>
      <c r="BR1834" s="66">
        <f>YEAR(Prog_23[[#This Row],[PROGRAMAÇÃO CLIENTE]])</f>
        <v>1900</v>
      </c>
    </row>
    <row r="1835" spans="1:70" x14ac:dyDescent="0.25">
      <c r="A1835" s="200">
        <f>Prog_23[[#This Row],[CONTEINER]]</f>
        <v>0</v>
      </c>
      <c r="B1835" s="86"/>
      <c r="C18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35" s="44"/>
      <c r="E1835" s="66"/>
      <c r="F1835" s="66"/>
      <c r="G1835" s="66"/>
      <c r="H1835" s="44"/>
      <c r="I1835" s="44"/>
      <c r="J1835" s="66"/>
      <c r="K1835" s="66"/>
      <c r="L1835" s="66"/>
      <c r="M1835" s="66"/>
      <c r="N1835" s="66">
        <f>SUM(Prog_23[[#This Row],[TARA]]+Prog_23[[#This Row],[PESO]])</f>
        <v>0</v>
      </c>
      <c r="O1835" s="44"/>
      <c r="P1835" s="66"/>
      <c r="Q1835" s="66"/>
      <c r="R1835" s="66"/>
      <c r="S1835" s="66"/>
      <c r="T1835" s="138" t="str">
        <f>IFERROR(LOOKUP($S1835,MOTORISTAS!$D$3:$D$916,MOTORISTAS!E$3:$E$916),"")</f>
        <v/>
      </c>
      <c r="U1835" s="138" t="str">
        <f>IFERROR(LOOKUP($S1835,MOTORISTAS!$D$3:$D$916,MOTORISTAS!F$3:$F$916),"")</f>
        <v/>
      </c>
      <c r="V1835" s="66"/>
      <c r="W1835" s="66"/>
      <c r="X1835" s="66"/>
      <c r="Y1835" s="66"/>
      <c r="Z1835" s="66"/>
      <c r="AA1835" s="66"/>
      <c r="AB1835" s="66"/>
      <c r="AC1835" s="66"/>
      <c r="AD1835" s="66"/>
      <c r="AE1835" s="66"/>
      <c r="AF1835" s="44"/>
      <c r="AG1835" s="254">
        <f>Prog_23[[#This Row],[SAÍDA DO CLIENTE]]-Prog_23[[#This Row],[PROGRAMAÇÃO CLIENTE]]</f>
        <v>0</v>
      </c>
      <c r="AH1835" s="44"/>
      <c r="AI1835" s="66"/>
      <c r="AJ1835" s="66"/>
      <c r="AK1835" s="66"/>
      <c r="AL1835" s="66"/>
      <c r="AM1835" s="66"/>
      <c r="AN1835" s="83"/>
      <c r="AO1835" s="83"/>
      <c r="AP1835" s="83"/>
      <c r="AQ1835" s="66"/>
      <c r="AR1835" s="66"/>
      <c r="AS1835" s="66"/>
      <c r="AT1835" s="81"/>
      <c r="AU1835" s="81"/>
      <c r="AV1835" s="81"/>
      <c r="AW1835" s="81"/>
      <c r="AX1835" s="83">
        <f>SUM(Prog_23[[#This Row],[ADIANTAMENTO]]+Prog_23[[#This Row],[SALDO]]+Prog_23[[#This Row],[MARGEM]]+Prog_23[[#This Row],[ESTADIA 1]])</f>
        <v>0</v>
      </c>
      <c r="AY18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35" s="81"/>
      <c r="BA1835" s="81"/>
      <c r="BB1835" s="81">
        <f>Prog_23[[#This Row],[VLR NF]]*0.1%</f>
        <v>0</v>
      </c>
      <c r="BC1835" s="81">
        <f>Prog_23[[#This Row],[VLR NF]]*0.05%</f>
        <v>0</v>
      </c>
      <c r="BD1835" s="81"/>
      <c r="BE1835" s="81"/>
      <c r="BF1835" s="81"/>
      <c r="BG1835" s="81"/>
      <c r="BH1835" s="81"/>
      <c r="BI1835" s="81"/>
      <c r="BJ1835" s="81"/>
      <c r="BK1835" s="81"/>
      <c r="BL1835" s="81"/>
      <c r="BM1835" s="81"/>
      <c r="BN1835" s="66"/>
      <c r="BO1835" s="66"/>
      <c r="BP1835" s="66"/>
      <c r="BQ1835" s="66" t="str">
        <f>PROPER(TEXT(Prog_23[[#This Row],[PROGRAMAÇÃO CLIENTE]],"mmm"))</f>
        <v>Jan</v>
      </c>
      <c r="BR1835" s="66">
        <f>YEAR(Prog_23[[#This Row],[PROGRAMAÇÃO CLIENTE]])</f>
        <v>1900</v>
      </c>
    </row>
    <row r="1836" spans="1:70" x14ac:dyDescent="0.25">
      <c r="A1836" s="201">
        <f>Prog_23[[#This Row],[CONTEINER]]</f>
        <v>0</v>
      </c>
      <c r="B1836" s="86"/>
      <c r="C18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36" s="44"/>
      <c r="E1836" s="66"/>
      <c r="F1836" s="66"/>
      <c r="G1836" s="66"/>
      <c r="H1836" s="44"/>
      <c r="I1836" s="44"/>
      <c r="J1836" s="66"/>
      <c r="K1836" s="66"/>
      <c r="L1836" s="66"/>
      <c r="M1836" s="66"/>
      <c r="N1836" s="66">
        <f>SUM(Prog_23[[#This Row],[TARA]]+Prog_23[[#This Row],[PESO]])</f>
        <v>0</v>
      </c>
      <c r="O1836" s="44"/>
      <c r="P1836" s="66"/>
      <c r="Q1836" s="66"/>
      <c r="R1836" s="66"/>
      <c r="S1836" s="66"/>
      <c r="T1836" s="138" t="str">
        <f>IFERROR(LOOKUP($S1836,MOTORISTAS!$D$3:$D$916,MOTORISTAS!E$3:$E$916),"")</f>
        <v/>
      </c>
      <c r="U1836" s="138" t="str">
        <f>IFERROR(LOOKUP($S1836,MOTORISTAS!$D$3:$D$916,MOTORISTAS!F$3:$F$916),"")</f>
        <v/>
      </c>
      <c r="V1836" s="66"/>
      <c r="W1836" s="66"/>
      <c r="X1836" s="66"/>
      <c r="Y1836" s="66"/>
      <c r="Z1836" s="66"/>
      <c r="AA1836" s="66"/>
      <c r="AB1836" s="66"/>
      <c r="AC1836" s="66"/>
      <c r="AD1836" s="66"/>
      <c r="AE1836" s="66"/>
      <c r="AF1836" s="44"/>
      <c r="AG1836" s="254">
        <f>Prog_23[[#This Row],[SAÍDA DO CLIENTE]]-Prog_23[[#This Row],[PROGRAMAÇÃO CLIENTE]]</f>
        <v>0</v>
      </c>
      <c r="AH1836" s="44"/>
      <c r="AI1836" s="66"/>
      <c r="AJ1836" s="66"/>
      <c r="AK1836" s="66"/>
      <c r="AL1836" s="66"/>
      <c r="AM1836" s="66"/>
      <c r="AN1836" s="83"/>
      <c r="AO1836" s="83"/>
      <c r="AP1836" s="83"/>
      <c r="AQ1836" s="66"/>
      <c r="AR1836" s="66"/>
      <c r="AS1836" s="66"/>
      <c r="AT1836" s="81"/>
      <c r="AU1836" s="81"/>
      <c r="AV1836" s="81"/>
      <c r="AW1836" s="81"/>
      <c r="AX1836" s="83">
        <f>SUM(Prog_23[[#This Row],[ADIANTAMENTO]]+Prog_23[[#This Row],[SALDO]]+Prog_23[[#This Row],[MARGEM]]+Prog_23[[#This Row],[ESTADIA 1]])</f>
        <v>0</v>
      </c>
      <c r="AY18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36" s="81"/>
      <c r="BA1836" s="81"/>
      <c r="BB1836" s="81">
        <f>Prog_23[[#This Row],[VLR NF]]*0.1%</f>
        <v>0</v>
      </c>
      <c r="BC1836" s="81">
        <f>Prog_23[[#This Row],[VLR NF]]*0.05%</f>
        <v>0</v>
      </c>
      <c r="BD1836" s="81"/>
      <c r="BE1836" s="81"/>
      <c r="BF1836" s="81"/>
      <c r="BG1836" s="81"/>
      <c r="BH1836" s="81"/>
      <c r="BI1836" s="81"/>
      <c r="BJ1836" s="81"/>
      <c r="BK1836" s="81"/>
      <c r="BL1836" s="81"/>
      <c r="BM1836" s="81"/>
      <c r="BN1836" s="66"/>
      <c r="BO1836" s="66"/>
      <c r="BP1836" s="66"/>
      <c r="BQ1836" s="66" t="str">
        <f>PROPER(TEXT(Prog_23[[#This Row],[PROGRAMAÇÃO CLIENTE]],"mmm"))</f>
        <v>Jan</v>
      </c>
      <c r="BR1836" s="66">
        <f>YEAR(Prog_23[[#This Row],[PROGRAMAÇÃO CLIENTE]])</f>
        <v>1900</v>
      </c>
    </row>
    <row r="1837" spans="1:70" x14ac:dyDescent="0.25">
      <c r="A1837" s="200">
        <f>Prog_23[[#This Row],[CONTEINER]]</f>
        <v>0</v>
      </c>
      <c r="B1837" s="86"/>
      <c r="C18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37" s="44"/>
      <c r="E1837" s="66"/>
      <c r="F1837" s="66"/>
      <c r="G1837" s="66"/>
      <c r="H1837" s="44"/>
      <c r="I1837" s="44"/>
      <c r="J1837" s="66"/>
      <c r="K1837" s="66"/>
      <c r="L1837" s="66"/>
      <c r="M1837" s="66"/>
      <c r="N1837" s="66">
        <f>SUM(Prog_23[[#This Row],[TARA]]+Prog_23[[#This Row],[PESO]])</f>
        <v>0</v>
      </c>
      <c r="O1837" s="44"/>
      <c r="P1837" s="66"/>
      <c r="Q1837" s="66"/>
      <c r="R1837" s="66"/>
      <c r="S1837" s="66"/>
      <c r="T1837" s="138" t="str">
        <f>IFERROR(LOOKUP($S1837,MOTORISTAS!$D$3:$D$916,MOTORISTAS!E$3:$E$916),"")</f>
        <v/>
      </c>
      <c r="U1837" s="138" t="str">
        <f>IFERROR(LOOKUP($S1837,MOTORISTAS!$D$3:$D$916,MOTORISTAS!F$3:$F$916),"")</f>
        <v/>
      </c>
      <c r="V1837" s="66"/>
      <c r="W1837" s="66"/>
      <c r="X1837" s="66"/>
      <c r="Y1837" s="66"/>
      <c r="Z1837" s="66"/>
      <c r="AA1837" s="66"/>
      <c r="AB1837" s="66"/>
      <c r="AC1837" s="66"/>
      <c r="AD1837" s="66"/>
      <c r="AE1837" s="66"/>
      <c r="AF1837" s="44"/>
      <c r="AG1837" s="254">
        <f>Prog_23[[#This Row],[SAÍDA DO CLIENTE]]-Prog_23[[#This Row],[PROGRAMAÇÃO CLIENTE]]</f>
        <v>0</v>
      </c>
      <c r="AH1837" s="44"/>
      <c r="AI1837" s="66"/>
      <c r="AJ1837" s="66"/>
      <c r="AK1837" s="66"/>
      <c r="AL1837" s="66"/>
      <c r="AM1837" s="66"/>
      <c r="AN1837" s="83"/>
      <c r="AO1837" s="83"/>
      <c r="AP1837" s="83"/>
      <c r="AQ1837" s="66"/>
      <c r="AR1837" s="66"/>
      <c r="AS1837" s="66"/>
      <c r="AT1837" s="81"/>
      <c r="AU1837" s="81"/>
      <c r="AV1837" s="81"/>
      <c r="AW1837" s="81"/>
      <c r="AX1837" s="83">
        <f>SUM(Prog_23[[#This Row],[ADIANTAMENTO]]+Prog_23[[#This Row],[SALDO]]+Prog_23[[#This Row],[MARGEM]]+Prog_23[[#This Row],[ESTADIA 1]])</f>
        <v>0</v>
      </c>
      <c r="AY18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37" s="81"/>
      <c r="BA1837" s="81"/>
      <c r="BB1837" s="81">
        <f>Prog_23[[#This Row],[VLR NF]]*0.1%</f>
        <v>0</v>
      </c>
      <c r="BC1837" s="81">
        <f>Prog_23[[#This Row],[VLR NF]]*0.05%</f>
        <v>0</v>
      </c>
      <c r="BD1837" s="81"/>
      <c r="BE1837" s="81"/>
      <c r="BF1837" s="81"/>
      <c r="BG1837" s="81"/>
      <c r="BH1837" s="81"/>
      <c r="BI1837" s="81"/>
      <c r="BJ1837" s="81"/>
      <c r="BK1837" s="81"/>
      <c r="BL1837" s="81"/>
      <c r="BM1837" s="81"/>
      <c r="BN1837" s="66"/>
      <c r="BO1837" s="66"/>
      <c r="BP1837" s="66"/>
      <c r="BQ1837" s="66" t="str">
        <f>PROPER(TEXT(Prog_23[[#This Row],[PROGRAMAÇÃO CLIENTE]],"mmm"))</f>
        <v>Jan</v>
      </c>
      <c r="BR1837" s="66">
        <f>YEAR(Prog_23[[#This Row],[PROGRAMAÇÃO CLIENTE]])</f>
        <v>1900</v>
      </c>
    </row>
    <row r="1838" spans="1:70" x14ac:dyDescent="0.25">
      <c r="A1838" s="201">
        <f>Prog_23[[#This Row],[CONTEINER]]</f>
        <v>0</v>
      </c>
      <c r="B1838" s="86"/>
      <c r="C18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38" s="44"/>
      <c r="E1838" s="66"/>
      <c r="F1838" s="66"/>
      <c r="G1838" s="66"/>
      <c r="H1838" s="44"/>
      <c r="I1838" s="44"/>
      <c r="J1838" s="66"/>
      <c r="K1838" s="66"/>
      <c r="L1838" s="66"/>
      <c r="M1838" s="66"/>
      <c r="N1838" s="66">
        <f>SUM(Prog_23[[#This Row],[TARA]]+Prog_23[[#This Row],[PESO]])</f>
        <v>0</v>
      </c>
      <c r="O1838" s="44"/>
      <c r="P1838" s="66"/>
      <c r="Q1838" s="66"/>
      <c r="R1838" s="66"/>
      <c r="S1838" s="66"/>
      <c r="T1838" s="138" t="str">
        <f>IFERROR(LOOKUP($S1838,MOTORISTAS!$D$3:$D$916,MOTORISTAS!E$3:$E$916),"")</f>
        <v/>
      </c>
      <c r="U1838" s="138" t="str">
        <f>IFERROR(LOOKUP($S1838,MOTORISTAS!$D$3:$D$916,MOTORISTAS!F$3:$F$916),"")</f>
        <v/>
      </c>
      <c r="V1838" s="66"/>
      <c r="W1838" s="66"/>
      <c r="X1838" s="66"/>
      <c r="Y1838" s="66"/>
      <c r="Z1838" s="66"/>
      <c r="AA1838" s="66"/>
      <c r="AB1838" s="66"/>
      <c r="AC1838" s="66"/>
      <c r="AD1838" s="66"/>
      <c r="AE1838" s="66"/>
      <c r="AF1838" s="44"/>
      <c r="AG1838" s="254">
        <f>Prog_23[[#This Row],[SAÍDA DO CLIENTE]]-Prog_23[[#This Row],[PROGRAMAÇÃO CLIENTE]]</f>
        <v>0</v>
      </c>
      <c r="AH1838" s="44"/>
      <c r="AI1838" s="66"/>
      <c r="AJ1838" s="66"/>
      <c r="AK1838" s="66"/>
      <c r="AL1838" s="66"/>
      <c r="AM1838" s="66"/>
      <c r="AN1838" s="83"/>
      <c r="AO1838" s="83"/>
      <c r="AP1838" s="83"/>
      <c r="AQ1838" s="66"/>
      <c r="AR1838" s="66"/>
      <c r="AS1838" s="66"/>
      <c r="AT1838" s="81"/>
      <c r="AU1838" s="81"/>
      <c r="AV1838" s="81"/>
      <c r="AW1838" s="81"/>
      <c r="AX1838" s="83">
        <f>SUM(Prog_23[[#This Row],[ADIANTAMENTO]]+Prog_23[[#This Row],[SALDO]]+Prog_23[[#This Row],[MARGEM]]+Prog_23[[#This Row],[ESTADIA 1]])</f>
        <v>0</v>
      </c>
      <c r="AY18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38" s="81"/>
      <c r="BA1838" s="81"/>
      <c r="BB1838" s="81">
        <f>Prog_23[[#This Row],[VLR NF]]*0.1%</f>
        <v>0</v>
      </c>
      <c r="BC1838" s="81">
        <f>Prog_23[[#This Row],[VLR NF]]*0.05%</f>
        <v>0</v>
      </c>
      <c r="BD1838" s="81"/>
      <c r="BE1838" s="81"/>
      <c r="BF1838" s="81"/>
      <c r="BG1838" s="81"/>
      <c r="BH1838" s="81"/>
      <c r="BI1838" s="81"/>
      <c r="BJ1838" s="81"/>
      <c r="BK1838" s="81"/>
      <c r="BL1838" s="81"/>
      <c r="BM1838" s="81"/>
      <c r="BN1838" s="66"/>
      <c r="BO1838" s="66"/>
      <c r="BP1838" s="66"/>
      <c r="BQ1838" s="66" t="str">
        <f>PROPER(TEXT(Prog_23[[#This Row],[PROGRAMAÇÃO CLIENTE]],"mmm"))</f>
        <v>Jan</v>
      </c>
      <c r="BR1838" s="66">
        <f>YEAR(Prog_23[[#This Row],[PROGRAMAÇÃO CLIENTE]])</f>
        <v>1900</v>
      </c>
    </row>
    <row r="1839" spans="1:70" x14ac:dyDescent="0.25">
      <c r="A1839" s="200">
        <f>Prog_23[[#This Row],[CONTEINER]]</f>
        <v>0</v>
      </c>
      <c r="B1839" s="86"/>
      <c r="C18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39" s="44"/>
      <c r="E1839" s="66"/>
      <c r="F1839" s="66"/>
      <c r="G1839" s="66"/>
      <c r="H1839" s="44"/>
      <c r="I1839" s="44"/>
      <c r="J1839" s="66"/>
      <c r="K1839" s="66"/>
      <c r="L1839" s="66"/>
      <c r="M1839" s="66"/>
      <c r="N1839" s="66">
        <f>SUM(Prog_23[[#This Row],[TARA]]+Prog_23[[#This Row],[PESO]])</f>
        <v>0</v>
      </c>
      <c r="O1839" s="44"/>
      <c r="P1839" s="66"/>
      <c r="Q1839" s="66"/>
      <c r="R1839" s="66"/>
      <c r="S1839" s="66"/>
      <c r="T1839" s="138" t="str">
        <f>IFERROR(LOOKUP($S1839,MOTORISTAS!$D$3:$D$916,MOTORISTAS!E$3:$E$916),"")</f>
        <v/>
      </c>
      <c r="U1839" s="138" t="str">
        <f>IFERROR(LOOKUP($S1839,MOTORISTAS!$D$3:$D$916,MOTORISTAS!F$3:$F$916),"")</f>
        <v/>
      </c>
      <c r="V1839" s="66"/>
      <c r="W1839" s="66"/>
      <c r="X1839" s="66"/>
      <c r="Y1839" s="66"/>
      <c r="Z1839" s="66"/>
      <c r="AA1839" s="66"/>
      <c r="AB1839" s="66"/>
      <c r="AC1839" s="66"/>
      <c r="AD1839" s="66"/>
      <c r="AE1839" s="66"/>
      <c r="AF1839" s="44"/>
      <c r="AG1839" s="254">
        <f>Prog_23[[#This Row],[SAÍDA DO CLIENTE]]-Prog_23[[#This Row],[PROGRAMAÇÃO CLIENTE]]</f>
        <v>0</v>
      </c>
      <c r="AH1839" s="44"/>
      <c r="AI1839" s="66"/>
      <c r="AJ1839" s="66"/>
      <c r="AK1839" s="66"/>
      <c r="AL1839" s="66"/>
      <c r="AM1839" s="66"/>
      <c r="AN1839" s="83"/>
      <c r="AO1839" s="83"/>
      <c r="AP1839" s="83"/>
      <c r="AQ1839" s="66"/>
      <c r="AR1839" s="66"/>
      <c r="AS1839" s="66"/>
      <c r="AT1839" s="81"/>
      <c r="AU1839" s="81"/>
      <c r="AV1839" s="81"/>
      <c r="AW1839" s="81"/>
      <c r="AX1839" s="83">
        <f>SUM(Prog_23[[#This Row],[ADIANTAMENTO]]+Prog_23[[#This Row],[SALDO]]+Prog_23[[#This Row],[MARGEM]]+Prog_23[[#This Row],[ESTADIA 1]])</f>
        <v>0</v>
      </c>
      <c r="AY18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39" s="81"/>
      <c r="BA1839" s="81"/>
      <c r="BB1839" s="81">
        <f>Prog_23[[#This Row],[VLR NF]]*0.1%</f>
        <v>0</v>
      </c>
      <c r="BC1839" s="81">
        <f>Prog_23[[#This Row],[VLR NF]]*0.05%</f>
        <v>0</v>
      </c>
      <c r="BD1839" s="81"/>
      <c r="BE1839" s="81"/>
      <c r="BF1839" s="81"/>
      <c r="BG1839" s="81"/>
      <c r="BH1839" s="81"/>
      <c r="BI1839" s="81"/>
      <c r="BJ1839" s="81"/>
      <c r="BK1839" s="81"/>
      <c r="BL1839" s="81"/>
      <c r="BM1839" s="81"/>
      <c r="BN1839" s="66"/>
      <c r="BO1839" s="66"/>
      <c r="BP1839" s="66"/>
      <c r="BQ1839" s="66" t="str">
        <f>PROPER(TEXT(Prog_23[[#This Row],[PROGRAMAÇÃO CLIENTE]],"mmm"))</f>
        <v>Jan</v>
      </c>
      <c r="BR1839" s="66">
        <f>YEAR(Prog_23[[#This Row],[PROGRAMAÇÃO CLIENTE]])</f>
        <v>1900</v>
      </c>
    </row>
    <row r="1840" spans="1:70" x14ac:dyDescent="0.25">
      <c r="A1840" s="201">
        <f>Prog_23[[#This Row],[CONTEINER]]</f>
        <v>0</v>
      </c>
      <c r="B1840" s="86"/>
      <c r="C18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40" s="44"/>
      <c r="E1840" s="66"/>
      <c r="F1840" s="66"/>
      <c r="G1840" s="66"/>
      <c r="H1840" s="44"/>
      <c r="I1840" s="44"/>
      <c r="J1840" s="66"/>
      <c r="K1840" s="66"/>
      <c r="L1840" s="66"/>
      <c r="M1840" s="66"/>
      <c r="N1840" s="66">
        <f>SUM(Prog_23[[#This Row],[TARA]]+Prog_23[[#This Row],[PESO]])</f>
        <v>0</v>
      </c>
      <c r="O1840" s="44"/>
      <c r="P1840" s="66"/>
      <c r="Q1840" s="66"/>
      <c r="R1840" s="66"/>
      <c r="S1840" s="66"/>
      <c r="T1840" s="138" t="str">
        <f>IFERROR(LOOKUP($S1840,MOTORISTAS!$D$3:$D$916,MOTORISTAS!E$3:$E$916),"")</f>
        <v/>
      </c>
      <c r="U1840" s="138" t="str">
        <f>IFERROR(LOOKUP($S1840,MOTORISTAS!$D$3:$D$916,MOTORISTAS!F$3:$F$916),"")</f>
        <v/>
      </c>
      <c r="V1840" s="66"/>
      <c r="W1840" s="66"/>
      <c r="X1840" s="66"/>
      <c r="Y1840" s="66"/>
      <c r="Z1840" s="66"/>
      <c r="AA1840" s="66"/>
      <c r="AB1840" s="66"/>
      <c r="AC1840" s="66"/>
      <c r="AD1840" s="66"/>
      <c r="AE1840" s="66"/>
      <c r="AF1840" s="44"/>
      <c r="AG1840" s="254">
        <f>Prog_23[[#This Row],[SAÍDA DO CLIENTE]]-Prog_23[[#This Row],[PROGRAMAÇÃO CLIENTE]]</f>
        <v>0</v>
      </c>
      <c r="AH1840" s="44"/>
      <c r="AI1840" s="66"/>
      <c r="AJ1840" s="66"/>
      <c r="AK1840" s="66"/>
      <c r="AL1840" s="66"/>
      <c r="AM1840" s="66"/>
      <c r="AN1840" s="83"/>
      <c r="AO1840" s="83"/>
      <c r="AP1840" s="83"/>
      <c r="AQ1840" s="66"/>
      <c r="AR1840" s="66"/>
      <c r="AS1840" s="66"/>
      <c r="AT1840" s="81"/>
      <c r="AU1840" s="81"/>
      <c r="AV1840" s="81"/>
      <c r="AW1840" s="81"/>
      <c r="AX1840" s="83">
        <f>SUM(Prog_23[[#This Row],[ADIANTAMENTO]]+Prog_23[[#This Row],[SALDO]]+Prog_23[[#This Row],[MARGEM]]+Prog_23[[#This Row],[ESTADIA 1]])</f>
        <v>0</v>
      </c>
      <c r="AY18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40" s="81"/>
      <c r="BA1840" s="81"/>
      <c r="BB1840" s="81">
        <f>Prog_23[[#This Row],[VLR NF]]*0.1%</f>
        <v>0</v>
      </c>
      <c r="BC1840" s="81">
        <f>Prog_23[[#This Row],[VLR NF]]*0.05%</f>
        <v>0</v>
      </c>
      <c r="BD1840" s="81"/>
      <c r="BE1840" s="81"/>
      <c r="BF1840" s="81"/>
      <c r="BG1840" s="81"/>
      <c r="BH1840" s="81"/>
      <c r="BI1840" s="81"/>
      <c r="BJ1840" s="81"/>
      <c r="BK1840" s="81"/>
      <c r="BL1840" s="81"/>
      <c r="BM1840" s="81"/>
      <c r="BN1840" s="66"/>
      <c r="BO1840" s="66"/>
      <c r="BP1840" s="66"/>
      <c r="BQ1840" s="66" t="str">
        <f>PROPER(TEXT(Prog_23[[#This Row],[PROGRAMAÇÃO CLIENTE]],"mmm"))</f>
        <v>Jan</v>
      </c>
      <c r="BR1840" s="66">
        <f>YEAR(Prog_23[[#This Row],[PROGRAMAÇÃO CLIENTE]])</f>
        <v>1900</v>
      </c>
    </row>
    <row r="1841" spans="1:70" x14ac:dyDescent="0.25">
      <c r="A1841" s="200">
        <f>Prog_23[[#This Row],[CONTEINER]]</f>
        <v>0</v>
      </c>
      <c r="B1841" s="86"/>
      <c r="C18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41" s="44"/>
      <c r="E1841" s="66"/>
      <c r="F1841" s="66"/>
      <c r="G1841" s="66"/>
      <c r="H1841" s="44"/>
      <c r="I1841" s="44"/>
      <c r="J1841" s="66"/>
      <c r="K1841" s="66"/>
      <c r="L1841" s="66"/>
      <c r="M1841" s="66"/>
      <c r="N1841" s="66">
        <f>SUM(Prog_23[[#This Row],[TARA]]+Prog_23[[#This Row],[PESO]])</f>
        <v>0</v>
      </c>
      <c r="O1841" s="44"/>
      <c r="P1841" s="66"/>
      <c r="Q1841" s="66"/>
      <c r="R1841" s="66"/>
      <c r="S1841" s="66"/>
      <c r="T1841" s="138" t="str">
        <f>IFERROR(LOOKUP($S1841,MOTORISTAS!$D$3:$D$916,MOTORISTAS!E$3:$E$916),"")</f>
        <v/>
      </c>
      <c r="U1841" s="138" t="str">
        <f>IFERROR(LOOKUP($S1841,MOTORISTAS!$D$3:$D$916,MOTORISTAS!F$3:$F$916),"")</f>
        <v/>
      </c>
      <c r="V1841" s="66"/>
      <c r="W1841" s="66"/>
      <c r="X1841" s="66"/>
      <c r="Y1841" s="66"/>
      <c r="Z1841" s="66"/>
      <c r="AA1841" s="66"/>
      <c r="AB1841" s="66"/>
      <c r="AC1841" s="66"/>
      <c r="AD1841" s="66"/>
      <c r="AE1841" s="66"/>
      <c r="AF1841" s="44"/>
      <c r="AG1841" s="254">
        <f>Prog_23[[#This Row],[SAÍDA DO CLIENTE]]-Prog_23[[#This Row],[PROGRAMAÇÃO CLIENTE]]</f>
        <v>0</v>
      </c>
      <c r="AH1841" s="44"/>
      <c r="AI1841" s="66"/>
      <c r="AJ1841" s="66"/>
      <c r="AK1841" s="66"/>
      <c r="AL1841" s="66"/>
      <c r="AM1841" s="66"/>
      <c r="AN1841" s="83"/>
      <c r="AO1841" s="83"/>
      <c r="AP1841" s="83"/>
      <c r="AQ1841" s="66"/>
      <c r="AR1841" s="66"/>
      <c r="AS1841" s="66"/>
      <c r="AT1841" s="81"/>
      <c r="AU1841" s="81"/>
      <c r="AV1841" s="81"/>
      <c r="AW1841" s="81"/>
      <c r="AX1841" s="83">
        <f>SUM(Prog_23[[#This Row],[ADIANTAMENTO]]+Prog_23[[#This Row],[SALDO]]+Prog_23[[#This Row],[MARGEM]]+Prog_23[[#This Row],[ESTADIA 1]])</f>
        <v>0</v>
      </c>
      <c r="AY18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41" s="81"/>
      <c r="BA1841" s="81"/>
      <c r="BB1841" s="81">
        <f>Prog_23[[#This Row],[VLR NF]]*0.1%</f>
        <v>0</v>
      </c>
      <c r="BC1841" s="81">
        <f>Prog_23[[#This Row],[VLR NF]]*0.05%</f>
        <v>0</v>
      </c>
      <c r="BD1841" s="81"/>
      <c r="BE1841" s="81"/>
      <c r="BF1841" s="81"/>
      <c r="BG1841" s="81"/>
      <c r="BH1841" s="81"/>
      <c r="BI1841" s="81"/>
      <c r="BJ1841" s="81"/>
      <c r="BK1841" s="81"/>
      <c r="BL1841" s="81"/>
      <c r="BM1841" s="81"/>
      <c r="BN1841" s="66"/>
      <c r="BO1841" s="66"/>
      <c r="BP1841" s="66"/>
      <c r="BQ1841" s="66" t="str">
        <f>PROPER(TEXT(Prog_23[[#This Row],[PROGRAMAÇÃO CLIENTE]],"mmm"))</f>
        <v>Jan</v>
      </c>
      <c r="BR1841" s="66">
        <f>YEAR(Prog_23[[#This Row],[PROGRAMAÇÃO CLIENTE]])</f>
        <v>1900</v>
      </c>
    </row>
    <row r="1842" spans="1:70" x14ac:dyDescent="0.25">
      <c r="A1842" s="201">
        <f>Prog_23[[#This Row],[CONTEINER]]</f>
        <v>0</v>
      </c>
      <c r="B1842" s="86"/>
      <c r="C18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42" s="44"/>
      <c r="E1842" s="66"/>
      <c r="F1842" s="66"/>
      <c r="G1842" s="66"/>
      <c r="H1842" s="44"/>
      <c r="I1842" s="44"/>
      <c r="J1842" s="66"/>
      <c r="K1842" s="66"/>
      <c r="L1842" s="66"/>
      <c r="M1842" s="66"/>
      <c r="N1842" s="66">
        <f>SUM(Prog_23[[#This Row],[TARA]]+Prog_23[[#This Row],[PESO]])</f>
        <v>0</v>
      </c>
      <c r="O1842" s="44"/>
      <c r="P1842" s="66"/>
      <c r="Q1842" s="66"/>
      <c r="R1842" s="66"/>
      <c r="S1842" s="66"/>
      <c r="T1842" s="138" t="str">
        <f>IFERROR(LOOKUP($S1842,MOTORISTAS!$D$3:$D$916,MOTORISTAS!E$3:$E$916),"")</f>
        <v/>
      </c>
      <c r="U1842" s="138" t="str">
        <f>IFERROR(LOOKUP($S1842,MOTORISTAS!$D$3:$D$916,MOTORISTAS!F$3:$F$916),"")</f>
        <v/>
      </c>
      <c r="V1842" s="66"/>
      <c r="W1842" s="66"/>
      <c r="X1842" s="66"/>
      <c r="Y1842" s="66"/>
      <c r="Z1842" s="66"/>
      <c r="AA1842" s="66"/>
      <c r="AB1842" s="66"/>
      <c r="AC1842" s="66"/>
      <c r="AD1842" s="66"/>
      <c r="AE1842" s="66"/>
      <c r="AF1842" s="44"/>
      <c r="AG1842" s="254">
        <f>Prog_23[[#This Row],[SAÍDA DO CLIENTE]]-Prog_23[[#This Row],[PROGRAMAÇÃO CLIENTE]]</f>
        <v>0</v>
      </c>
      <c r="AH1842" s="44"/>
      <c r="AI1842" s="66"/>
      <c r="AJ1842" s="66"/>
      <c r="AK1842" s="66"/>
      <c r="AL1842" s="66"/>
      <c r="AM1842" s="66"/>
      <c r="AN1842" s="83"/>
      <c r="AO1842" s="83"/>
      <c r="AP1842" s="83"/>
      <c r="AQ1842" s="66"/>
      <c r="AR1842" s="66"/>
      <c r="AS1842" s="66"/>
      <c r="AT1842" s="81"/>
      <c r="AU1842" s="81"/>
      <c r="AV1842" s="81"/>
      <c r="AW1842" s="81"/>
      <c r="AX1842" s="83">
        <f>SUM(Prog_23[[#This Row],[ADIANTAMENTO]]+Prog_23[[#This Row],[SALDO]]+Prog_23[[#This Row],[MARGEM]]+Prog_23[[#This Row],[ESTADIA 1]])</f>
        <v>0</v>
      </c>
      <c r="AY18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42" s="81"/>
      <c r="BA1842" s="81"/>
      <c r="BB1842" s="81">
        <f>Prog_23[[#This Row],[VLR NF]]*0.1%</f>
        <v>0</v>
      </c>
      <c r="BC1842" s="81">
        <f>Prog_23[[#This Row],[VLR NF]]*0.05%</f>
        <v>0</v>
      </c>
      <c r="BD1842" s="81"/>
      <c r="BE1842" s="81"/>
      <c r="BF1842" s="81"/>
      <c r="BG1842" s="81"/>
      <c r="BH1842" s="81"/>
      <c r="BI1842" s="81"/>
      <c r="BJ1842" s="81"/>
      <c r="BK1842" s="81"/>
      <c r="BL1842" s="81"/>
      <c r="BM1842" s="81"/>
      <c r="BN1842" s="66"/>
      <c r="BO1842" s="66"/>
      <c r="BP1842" s="66"/>
      <c r="BQ1842" s="66" t="str">
        <f>PROPER(TEXT(Prog_23[[#This Row],[PROGRAMAÇÃO CLIENTE]],"mmm"))</f>
        <v>Jan</v>
      </c>
      <c r="BR1842" s="66">
        <f>YEAR(Prog_23[[#This Row],[PROGRAMAÇÃO CLIENTE]])</f>
        <v>1900</v>
      </c>
    </row>
    <row r="1843" spans="1:70" x14ac:dyDescent="0.25">
      <c r="A1843" s="200">
        <f>Prog_23[[#This Row],[CONTEINER]]</f>
        <v>0</v>
      </c>
      <c r="B1843" s="86"/>
      <c r="C18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43" s="44"/>
      <c r="E1843" s="66"/>
      <c r="F1843" s="66"/>
      <c r="G1843" s="66"/>
      <c r="H1843" s="44"/>
      <c r="I1843" s="44"/>
      <c r="J1843" s="66"/>
      <c r="K1843" s="66"/>
      <c r="L1843" s="66"/>
      <c r="M1843" s="66"/>
      <c r="N1843" s="66">
        <f>SUM(Prog_23[[#This Row],[TARA]]+Prog_23[[#This Row],[PESO]])</f>
        <v>0</v>
      </c>
      <c r="O1843" s="44"/>
      <c r="P1843" s="66"/>
      <c r="Q1843" s="66"/>
      <c r="R1843" s="66"/>
      <c r="S1843" s="66"/>
      <c r="T1843" s="138" t="str">
        <f>IFERROR(LOOKUP($S1843,MOTORISTAS!$D$3:$D$916,MOTORISTAS!E$3:$E$916),"")</f>
        <v/>
      </c>
      <c r="U1843" s="138" t="str">
        <f>IFERROR(LOOKUP($S1843,MOTORISTAS!$D$3:$D$916,MOTORISTAS!F$3:$F$916),"")</f>
        <v/>
      </c>
      <c r="V1843" s="66"/>
      <c r="W1843" s="66"/>
      <c r="X1843" s="66"/>
      <c r="Y1843" s="66"/>
      <c r="Z1843" s="66"/>
      <c r="AA1843" s="66"/>
      <c r="AB1843" s="66"/>
      <c r="AC1843" s="66"/>
      <c r="AD1843" s="66"/>
      <c r="AE1843" s="66"/>
      <c r="AF1843" s="44"/>
      <c r="AG1843" s="254">
        <f>Prog_23[[#This Row],[SAÍDA DO CLIENTE]]-Prog_23[[#This Row],[PROGRAMAÇÃO CLIENTE]]</f>
        <v>0</v>
      </c>
      <c r="AH1843" s="44"/>
      <c r="AI1843" s="66"/>
      <c r="AJ1843" s="66"/>
      <c r="AK1843" s="66"/>
      <c r="AL1843" s="66"/>
      <c r="AM1843" s="66"/>
      <c r="AN1843" s="83"/>
      <c r="AO1843" s="83"/>
      <c r="AP1843" s="83"/>
      <c r="AQ1843" s="66"/>
      <c r="AR1843" s="66"/>
      <c r="AS1843" s="66"/>
      <c r="AT1843" s="81"/>
      <c r="AU1843" s="81"/>
      <c r="AV1843" s="81"/>
      <c r="AW1843" s="81"/>
      <c r="AX1843" s="83">
        <f>SUM(Prog_23[[#This Row],[ADIANTAMENTO]]+Prog_23[[#This Row],[SALDO]]+Prog_23[[#This Row],[MARGEM]]+Prog_23[[#This Row],[ESTADIA 1]])</f>
        <v>0</v>
      </c>
      <c r="AY18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43" s="81"/>
      <c r="BA1843" s="81"/>
      <c r="BB1843" s="81">
        <f>Prog_23[[#This Row],[VLR NF]]*0.1%</f>
        <v>0</v>
      </c>
      <c r="BC1843" s="81">
        <f>Prog_23[[#This Row],[VLR NF]]*0.05%</f>
        <v>0</v>
      </c>
      <c r="BD1843" s="81"/>
      <c r="BE1843" s="81"/>
      <c r="BF1843" s="81"/>
      <c r="BG1843" s="81"/>
      <c r="BH1843" s="81"/>
      <c r="BI1843" s="81"/>
      <c r="BJ1843" s="81"/>
      <c r="BK1843" s="81"/>
      <c r="BL1843" s="81"/>
      <c r="BM1843" s="81"/>
      <c r="BN1843" s="66"/>
      <c r="BO1843" s="66"/>
      <c r="BP1843" s="66"/>
      <c r="BQ1843" s="66" t="str">
        <f>PROPER(TEXT(Prog_23[[#This Row],[PROGRAMAÇÃO CLIENTE]],"mmm"))</f>
        <v>Jan</v>
      </c>
      <c r="BR1843" s="66">
        <f>YEAR(Prog_23[[#This Row],[PROGRAMAÇÃO CLIENTE]])</f>
        <v>1900</v>
      </c>
    </row>
    <row r="1844" spans="1:70" x14ac:dyDescent="0.25">
      <c r="A1844" s="201">
        <f>Prog_23[[#This Row],[CONTEINER]]</f>
        <v>0</v>
      </c>
      <c r="B1844" s="86"/>
      <c r="C18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44" s="44"/>
      <c r="E1844" s="66"/>
      <c r="F1844" s="66"/>
      <c r="G1844" s="66"/>
      <c r="H1844" s="44"/>
      <c r="I1844" s="44"/>
      <c r="J1844" s="66"/>
      <c r="K1844" s="66"/>
      <c r="L1844" s="66"/>
      <c r="M1844" s="66"/>
      <c r="N1844" s="66">
        <f>SUM(Prog_23[[#This Row],[TARA]]+Prog_23[[#This Row],[PESO]])</f>
        <v>0</v>
      </c>
      <c r="O1844" s="44"/>
      <c r="P1844" s="66"/>
      <c r="Q1844" s="66"/>
      <c r="R1844" s="66"/>
      <c r="S1844" s="66"/>
      <c r="T1844" s="138" t="str">
        <f>IFERROR(LOOKUP($S1844,MOTORISTAS!$D$3:$D$916,MOTORISTAS!E$3:$E$916),"")</f>
        <v/>
      </c>
      <c r="U1844" s="138" t="str">
        <f>IFERROR(LOOKUP($S1844,MOTORISTAS!$D$3:$D$916,MOTORISTAS!F$3:$F$916),"")</f>
        <v/>
      </c>
      <c r="V1844" s="66"/>
      <c r="W1844" s="66"/>
      <c r="X1844" s="66"/>
      <c r="Y1844" s="66"/>
      <c r="Z1844" s="66"/>
      <c r="AA1844" s="66"/>
      <c r="AB1844" s="66"/>
      <c r="AC1844" s="66"/>
      <c r="AD1844" s="66"/>
      <c r="AE1844" s="66"/>
      <c r="AF1844" s="44"/>
      <c r="AG1844" s="254">
        <f>Prog_23[[#This Row],[SAÍDA DO CLIENTE]]-Prog_23[[#This Row],[PROGRAMAÇÃO CLIENTE]]</f>
        <v>0</v>
      </c>
      <c r="AH1844" s="44"/>
      <c r="AI1844" s="66"/>
      <c r="AJ1844" s="66"/>
      <c r="AK1844" s="66"/>
      <c r="AL1844" s="66"/>
      <c r="AM1844" s="66"/>
      <c r="AN1844" s="83"/>
      <c r="AO1844" s="83"/>
      <c r="AP1844" s="83"/>
      <c r="AQ1844" s="66"/>
      <c r="AR1844" s="66"/>
      <c r="AS1844" s="66"/>
      <c r="AT1844" s="81"/>
      <c r="AU1844" s="81"/>
      <c r="AV1844" s="81"/>
      <c r="AW1844" s="81"/>
      <c r="AX1844" s="83">
        <f>SUM(Prog_23[[#This Row],[ADIANTAMENTO]]+Prog_23[[#This Row],[SALDO]]+Prog_23[[#This Row],[MARGEM]]+Prog_23[[#This Row],[ESTADIA 1]])</f>
        <v>0</v>
      </c>
      <c r="AY18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44" s="81"/>
      <c r="BA1844" s="81"/>
      <c r="BB1844" s="81">
        <f>Prog_23[[#This Row],[VLR NF]]*0.1%</f>
        <v>0</v>
      </c>
      <c r="BC1844" s="81">
        <f>Prog_23[[#This Row],[VLR NF]]*0.05%</f>
        <v>0</v>
      </c>
      <c r="BD1844" s="81"/>
      <c r="BE1844" s="81"/>
      <c r="BF1844" s="81"/>
      <c r="BG1844" s="81"/>
      <c r="BH1844" s="81"/>
      <c r="BI1844" s="81"/>
      <c r="BJ1844" s="81"/>
      <c r="BK1844" s="81"/>
      <c r="BL1844" s="81"/>
      <c r="BM1844" s="81"/>
      <c r="BN1844" s="66"/>
      <c r="BO1844" s="66"/>
      <c r="BP1844" s="66"/>
      <c r="BQ1844" s="66" t="str">
        <f>PROPER(TEXT(Prog_23[[#This Row],[PROGRAMAÇÃO CLIENTE]],"mmm"))</f>
        <v>Jan</v>
      </c>
      <c r="BR1844" s="66">
        <f>YEAR(Prog_23[[#This Row],[PROGRAMAÇÃO CLIENTE]])</f>
        <v>1900</v>
      </c>
    </row>
    <row r="1845" spans="1:70" x14ac:dyDescent="0.25">
      <c r="A1845" s="200">
        <f>Prog_23[[#This Row],[CONTEINER]]</f>
        <v>0</v>
      </c>
      <c r="B1845" s="86"/>
      <c r="C18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45" s="44"/>
      <c r="E1845" s="66"/>
      <c r="F1845" s="66"/>
      <c r="G1845" s="66"/>
      <c r="H1845" s="44"/>
      <c r="I1845" s="44"/>
      <c r="J1845" s="66"/>
      <c r="K1845" s="66"/>
      <c r="L1845" s="66"/>
      <c r="M1845" s="66"/>
      <c r="N1845" s="66">
        <f>SUM(Prog_23[[#This Row],[TARA]]+Prog_23[[#This Row],[PESO]])</f>
        <v>0</v>
      </c>
      <c r="O1845" s="44"/>
      <c r="P1845" s="66"/>
      <c r="Q1845" s="66"/>
      <c r="R1845" s="66"/>
      <c r="S1845" s="66"/>
      <c r="T1845" s="138" t="str">
        <f>IFERROR(LOOKUP($S1845,MOTORISTAS!$D$3:$D$916,MOTORISTAS!E$3:$E$916),"")</f>
        <v/>
      </c>
      <c r="U1845" s="138" t="str">
        <f>IFERROR(LOOKUP($S1845,MOTORISTAS!$D$3:$D$916,MOTORISTAS!F$3:$F$916),"")</f>
        <v/>
      </c>
      <c r="V1845" s="66"/>
      <c r="W1845" s="66"/>
      <c r="X1845" s="66"/>
      <c r="Y1845" s="66"/>
      <c r="Z1845" s="66"/>
      <c r="AA1845" s="66"/>
      <c r="AB1845" s="66"/>
      <c r="AC1845" s="66"/>
      <c r="AD1845" s="66"/>
      <c r="AE1845" s="66"/>
      <c r="AF1845" s="44"/>
      <c r="AG1845" s="254">
        <f>Prog_23[[#This Row],[SAÍDA DO CLIENTE]]-Prog_23[[#This Row],[PROGRAMAÇÃO CLIENTE]]</f>
        <v>0</v>
      </c>
      <c r="AH1845" s="44"/>
      <c r="AI1845" s="66"/>
      <c r="AJ1845" s="66"/>
      <c r="AK1845" s="66"/>
      <c r="AL1845" s="66"/>
      <c r="AM1845" s="66"/>
      <c r="AN1845" s="83"/>
      <c r="AO1845" s="83"/>
      <c r="AP1845" s="83"/>
      <c r="AQ1845" s="66"/>
      <c r="AR1845" s="66"/>
      <c r="AS1845" s="66"/>
      <c r="AT1845" s="81"/>
      <c r="AU1845" s="81"/>
      <c r="AV1845" s="81"/>
      <c r="AW1845" s="81"/>
      <c r="AX1845" s="83">
        <f>SUM(Prog_23[[#This Row],[ADIANTAMENTO]]+Prog_23[[#This Row],[SALDO]]+Prog_23[[#This Row],[MARGEM]]+Prog_23[[#This Row],[ESTADIA 1]])</f>
        <v>0</v>
      </c>
      <c r="AY18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45" s="81"/>
      <c r="BA1845" s="81"/>
      <c r="BB1845" s="81">
        <f>Prog_23[[#This Row],[VLR NF]]*0.1%</f>
        <v>0</v>
      </c>
      <c r="BC1845" s="81">
        <f>Prog_23[[#This Row],[VLR NF]]*0.05%</f>
        <v>0</v>
      </c>
      <c r="BD1845" s="81"/>
      <c r="BE1845" s="81"/>
      <c r="BF1845" s="81"/>
      <c r="BG1845" s="81"/>
      <c r="BH1845" s="81"/>
      <c r="BI1845" s="81"/>
      <c r="BJ1845" s="81"/>
      <c r="BK1845" s="81"/>
      <c r="BL1845" s="81"/>
      <c r="BM1845" s="81"/>
      <c r="BN1845" s="66"/>
      <c r="BO1845" s="66"/>
      <c r="BP1845" s="66"/>
      <c r="BQ1845" s="66" t="str">
        <f>PROPER(TEXT(Prog_23[[#This Row],[PROGRAMAÇÃO CLIENTE]],"mmm"))</f>
        <v>Jan</v>
      </c>
      <c r="BR1845" s="66">
        <f>YEAR(Prog_23[[#This Row],[PROGRAMAÇÃO CLIENTE]])</f>
        <v>1900</v>
      </c>
    </row>
    <row r="1846" spans="1:70" x14ac:dyDescent="0.25">
      <c r="A1846" s="201">
        <f>Prog_23[[#This Row],[CONTEINER]]</f>
        <v>0</v>
      </c>
      <c r="B1846" s="86"/>
      <c r="C18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46" s="44"/>
      <c r="E1846" s="66"/>
      <c r="F1846" s="66"/>
      <c r="G1846" s="66"/>
      <c r="H1846" s="44"/>
      <c r="I1846" s="44"/>
      <c r="J1846" s="66"/>
      <c r="K1846" s="66"/>
      <c r="L1846" s="66"/>
      <c r="M1846" s="66"/>
      <c r="N1846" s="66">
        <f>SUM(Prog_23[[#This Row],[TARA]]+Prog_23[[#This Row],[PESO]])</f>
        <v>0</v>
      </c>
      <c r="O1846" s="44"/>
      <c r="P1846" s="66"/>
      <c r="Q1846" s="66"/>
      <c r="R1846" s="66"/>
      <c r="S1846" s="66"/>
      <c r="T1846" s="138" t="str">
        <f>IFERROR(LOOKUP($S1846,MOTORISTAS!$D$3:$D$916,MOTORISTAS!E$3:$E$916),"")</f>
        <v/>
      </c>
      <c r="U1846" s="138" t="str">
        <f>IFERROR(LOOKUP($S1846,MOTORISTAS!$D$3:$D$916,MOTORISTAS!F$3:$F$916),"")</f>
        <v/>
      </c>
      <c r="V1846" s="66"/>
      <c r="W1846" s="66"/>
      <c r="X1846" s="66"/>
      <c r="Y1846" s="66"/>
      <c r="Z1846" s="66"/>
      <c r="AA1846" s="66"/>
      <c r="AB1846" s="66"/>
      <c r="AC1846" s="66"/>
      <c r="AD1846" s="66"/>
      <c r="AE1846" s="66"/>
      <c r="AF1846" s="44"/>
      <c r="AG1846" s="254">
        <f>Prog_23[[#This Row],[SAÍDA DO CLIENTE]]-Prog_23[[#This Row],[PROGRAMAÇÃO CLIENTE]]</f>
        <v>0</v>
      </c>
      <c r="AH1846" s="44"/>
      <c r="AI1846" s="66"/>
      <c r="AJ1846" s="66"/>
      <c r="AK1846" s="66"/>
      <c r="AL1846" s="66"/>
      <c r="AM1846" s="66"/>
      <c r="AN1846" s="83"/>
      <c r="AO1846" s="83"/>
      <c r="AP1846" s="83"/>
      <c r="AQ1846" s="66"/>
      <c r="AR1846" s="66"/>
      <c r="AS1846" s="66"/>
      <c r="AT1846" s="81"/>
      <c r="AU1846" s="81"/>
      <c r="AV1846" s="81"/>
      <c r="AW1846" s="81"/>
      <c r="AX1846" s="83">
        <f>SUM(Prog_23[[#This Row],[ADIANTAMENTO]]+Prog_23[[#This Row],[SALDO]]+Prog_23[[#This Row],[MARGEM]]+Prog_23[[#This Row],[ESTADIA 1]])</f>
        <v>0</v>
      </c>
      <c r="AY18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46" s="81"/>
      <c r="BA1846" s="81"/>
      <c r="BB1846" s="81">
        <f>Prog_23[[#This Row],[VLR NF]]*0.1%</f>
        <v>0</v>
      </c>
      <c r="BC1846" s="81">
        <f>Prog_23[[#This Row],[VLR NF]]*0.05%</f>
        <v>0</v>
      </c>
      <c r="BD1846" s="81"/>
      <c r="BE1846" s="81"/>
      <c r="BF1846" s="81"/>
      <c r="BG1846" s="81"/>
      <c r="BH1846" s="81"/>
      <c r="BI1846" s="81"/>
      <c r="BJ1846" s="81"/>
      <c r="BK1846" s="81"/>
      <c r="BL1846" s="81"/>
      <c r="BM1846" s="81"/>
      <c r="BN1846" s="66"/>
      <c r="BO1846" s="66"/>
      <c r="BP1846" s="66"/>
      <c r="BQ1846" s="66" t="str">
        <f>PROPER(TEXT(Prog_23[[#This Row],[PROGRAMAÇÃO CLIENTE]],"mmm"))</f>
        <v>Jan</v>
      </c>
      <c r="BR1846" s="66">
        <f>YEAR(Prog_23[[#This Row],[PROGRAMAÇÃO CLIENTE]])</f>
        <v>1900</v>
      </c>
    </row>
    <row r="1847" spans="1:70" x14ac:dyDescent="0.25">
      <c r="A1847" s="200">
        <f>Prog_23[[#This Row],[CONTEINER]]</f>
        <v>0</v>
      </c>
      <c r="B1847" s="86"/>
      <c r="C184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47" s="44"/>
      <c r="E1847" s="66"/>
      <c r="F1847" s="66"/>
      <c r="G1847" s="66"/>
      <c r="H1847" s="44"/>
      <c r="I1847" s="44"/>
      <c r="J1847" s="66"/>
      <c r="K1847" s="66"/>
      <c r="L1847" s="66"/>
      <c r="M1847" s="66"/>
      <c r="N1847" s="66">
        <f>SUM(Prog_23[[#This Row],[TARA]]+Prog_23[[#This Row],[PESO]])</f>
        <v>0</v>
      </c>
      <c r="O1847" s="44"/>
      <c r="P1847" s="66"/>
      <c r="Q1847" s="66"/>
      <c r="R1847" s="66"/>
      <c r="S1847" s="66"/>
      <c r="T1847" s="138" t="str">
        <f>IFERROR(LOOKUP($S1847,MOTORISTAS!$D$3:$D$916,MOTORISTAS!E$3:$E$916),"")</f>
        <v/>
      </c>
      <c r="U1847" s="138" t="str">
        <f>IFERROR(LOOKUP($S1847,MOTORISTAS!$D$3:$D$916,MOTORISTAS!F$3:$F$916),"")</f>
        <v/>
      </c>
      <c r="V1847" s="66"/>
      <c r="W1847" s="66"/>
      <c r="X1847" s="66"/>
      <c r="Y1847" s="66"/>
      <c r="Z1847" s="66"/>
      <c r="AA1847" s="66"/>
      <c r="AB1847" s="66"/>
      <c r="AC1847" s="66"/>
      <c r="AD1847" s="66"/>
      <c r="AE1847" s="66"/>
      <c r="AF1847" s="44"/>
      <c r="AG1847" s="254">
        <f>Prog_23[[#This Row],[SAÍDA DO CLIENTE]]-Prog_23[[#This Row],[PROGRAMAÇÃO CLIENTE]]</f>
        <v>0</v>
      </c>
      <c r="AH1847" s="44"/>
      <c r="AI1847" s="66"/>
      <c r="AJ1847" s="66"/>
      <c r="AK1847" s="66"/>
      <c r="AL1847" s="66"/>
      <c r="AM1847" s="66"/>
      <c r="AN1847" s="83"/>
      <c r="AO1847" s="83"/>
      <c r="AP1847" s="83"/>
      <c r="AQ1847" s="66"/>
      <c r="AR1847" s="66"/>
      <c r="AS1847" s="66"/>
      <c r="AT1847" s="81"/>
      <c r="AU1847" s="81"/>
      <c r="AV1847" s="81"/>
      <c r="AW1847" s="81"/>
      <c r="AX1847" s="83">
        <f>SUM(Prog_23[[#This Row],[ADIANTAMENTO]]+Prog_23[[#This Row],[SALDO]]+Prog_23[[#This Row],[MARGEM]]+Prog_23[[#This Row],[ESTADIA 1]])</f>
        <v>0</v>
      </c>
      <c r="AY184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47" s="81"/>
      <c r="BA1847" s="81"/>
      <c r="BB1847" s="81">
        <f>Prog_23[[#This Row],[VLR NF]]*0.1%</f>
        <v>0</v>
      </c>
      <c r="BC1847" s="81">
        <f>Prog_23[[#This Row],[VLR NF]]*0.05%</f>
        <v>0</v>
      </c>
      <c r="BD1847" s="81"/>
      <c r="BE1847" s="81"/>
      <c r="BF1847" s="81"/>
      <c r="BG1847" s="81"/>
      <c r="BH1847" s="81"/>
      <c r="BI1847" s="81"/>
      <c r="BJ1847" s="81"/>
      <c r="BK1847" s="81"/>
      <c r="BL1847" s="81"/>
      <c r="BM1847" s="81"/>
      <c r="BN1847" s="66"/>
      <c r="BO1847" s="66"/>
      <c r="BP1847" s="66"/>
      <c r="BQ1847" s="66" t="str">
        <f>PROPER(TEXT(Prog_23[[#This Row],[PROGRAMAÇÃO CLIENTE]],"mmm"))</f>
        <v>Jan</v>
      </c>
      <c r="BR1847" s="66">
        <f>YEAR(Prog_23[[#This Row],[PROGRAMAÇÃO CLIENTE]])</f>
        <v>1900</v>
      </c>
    </row>
    <row r="1848" spans="1:70" x14ac:dyDescent="0.25">
      <c r="A1848" s="201">
        <f>Prog_23[[#This Row],[CONTEINER]]</f>
        <v>0</v>
      </c>
      <c r="B1848" s="86"/>
      <c r="C184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48" s="44"/>
      <c r="E1848" s="66"/>
      <c r="F1848" s="66"/>
      <c r="G1848" s="66"/>
      <c r="H1848" s="44"/>
      <c r="I1848" s="44"/>
      <c r="J1848" s="66"/>
      <c r="K1848" s="66"/>
      <c r="L1848" s="66"/>
      <c r="M1848" s="66"/>
      <c r="N1848" s="66">
        <f>SUM(Prog_23[[#This Row],[TARA]]+Prog_23[[#This Row],[PESO]])</f>
        <v>0</v>
      </c>
      <c r="O1848" s="44"/>
      <c r="P1848" s="66"/>
      <c r="Q1848" s="66"/>
      <c r="R1848" s="66"/>
      <c r="S1848" s="66"/>
      <c r="T1848" s="138" t="str">
        <f>IFERROR(LOOKUP($S1848,MOTORISTAS!$D$3:$D$916,MOTORISTAS!E$3:$E$916),"")</f>
        <v/>
      </c>
      <c r="U1848" s="138" t="str">
        <f>IFERROR(LOOKUP($S1848,MOTORISTAS!$D$3:$D$916,MOTORISTAS!F$3:$F$916),"")</f>
        <v/>
      </c>
      <c r="V1848" s="66"/>
      <c r="W1848" s="66"/>
      <c r="X1848" s="66"/>
      <c r="Y1848" s="66"/>
      <c r="Z1848" s="66"/>
      <c r="AA1848" s="66"/>
      <c r="AB1848" s="66"/>
      <c r="AC1848" s="66"/>
      <c r="AD1848" s="66"/>
      <c r="AE1848" s="66"/>
      <c r="AF1848" s="44"/>
      <c r="AG1848" s="254">
        <f>Prog_23[[#This Row],[SAÍDA DO CLIENTE]]-Prog_23[[#This Row],[PROGRAMAÇÃO CLIENTE]]</f>
        <v>0</v>
      </c>
      <c r="AH1848" s="44"/>
      <c r="AI1848" s="66"/>
      <c r="AJ1848" s="66"/>
      <c r="AK1848" s="66"/>
      <c r="AL1848" s="66"/>
      <c r="AM1848" s="66"/>
      <c r="AN1848" s="83"/>
      <c r="AO1848" s="83"/>
      <c r="AP1848" s="83"/>
      <c r="AQ1848" s="66"/>
      <c r="AR1848" s="66"/>
      <c r="AS1848" s="66"/>
      <c r="AT1848" s="81"/>
      <c r="AU1848" s="81"/>
      <c r="AV1848" s="81"/>
      <c r="AW1848" s="81"/>
      <c r="AX1848" s="83">
        <f>SUM(Prog_23[[#This Row],[ADIANTAMENTO]]+Prog_23[[#This Row],[SALDO]]+Prog_23[[#This Row],[MARGEM]]+Prog_23[[#This Row],[ESTADIA 1]])</f>
        <v>0</v>
      </c>
      <c r="AY184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48" s="81"/>
      <c r="BA1848" s="81"/>
      <c r="BB1848" s="81">
        <f>Prog_23[[#This Row],[VLR NF]]*0.1%</f>
        <v>0</v>
      </c>
      <c r="BC1848" s="81">
        <f>Prog_23[[#This Row],[VLR NF]]*0.05%</f>
        <v>0</v>
      </c>
      <c r="BD1848" s="81"/>
      <c r="BE1848" s="81"/>
      <c r="BF1848" s="81"/>
      <c r="BG1848" s="81"/>
      <c r="BH1848" s="81"/>
      <c r="BI1848" s="81"/>
      <c r="BJ1848" s="81"/>
      <c r="BK1848" s="81"/>
      <c r="BL1848" s="81"/>
      <c r="BM1848" s="81"/>
      <c r="BN1848" s="66"/>
      <c r="BO1848" s="66"/>
      <c r="BP1848" s="66"/>
      <c r="BQ1848" s="66" t="str">
        <f>PROPER(TEXT(Prog_23[[#This Row],[PROGRAMAÇÃO CLIENTE]],"mmm"))</f>
        <v>Jan</v>
      </c>
      <c r="BR1848" s="66">
        <f>YEAR(Prog_23[[#This Row],[PROGRAMAÇÃO CLIENTE]])</f>
        <v>1900</v>
      </c>
    </row>
    <row r="1849" spans="1:70" x14ac:dyDescent="0.25">
      <c r="A1849" s="200">
        <f>Prog_23[[#This Row],[CONTEINER]]</f>
        <v>0</v>
      </c>
      <c r="B1849" s="86"/>
      <c r="C184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49" s="44"/>
      <c r="E1849" s="66"/>
      <c r="F1849" s="66"/>
      <c r="G1849" s="66"/>
      <c r="H1849" s="44"/>
      <c r="I1849" s="44"/>
      <c r="J1849" s="66"/>
      <c r="K1849" s="66"/>
      <c r="L1849" s="66"/>
      <c r="M1849" s="66"/>
      <c r="N1849" s="66">
        <f>SUM(Prog_23[[#This Row],[TARA]]+Prog_23[[#This Row],[PESO]])</f>
        <v>0</v>
      </c>
      <c r="O1849" s="44"/>
      <c r="P1849" s="66"/>
      <c r="Q1849" s="66"/>
      <c r="R1849" s="66"/>
      <c r="S1849" s="66"/>
      <c r="T1849" s="138" t="str">
        <f>IFERROR(LOOKUP($S1849,MOTORISTAS!$D$3:$D$916,MOTORISTAS!E$3:$E$916),"")</f>
        <v/>
      </c>
      <c r="U1849" s="138" t="str">
        <f>IFERROR(LOOKUP($S1849,MOTORISTAS!$D$3:$D$916,MOTORISTAS!F$3:$F$916),"")</f>
        <v/>
      </c>
      <c r="V1849" s="66"/>
      <c r="W1849" s="66"/>
      <c r="X1849" s="66"/>
      <c r="Y1849" s="66"/>
      <c r="Z1849" s="66"/>
      <c r="AA1849" s="66"/>
      <c r="AB1849" s="66"/>
      <c r="AC1849" s="66"/>
      <c r="AD1849" s="66"/>
      <c r="AE1849" s="66"/>
      <c r="AF1849" s="44"/>
      <c r="AG1849" s="254">
        <f>Prog_23[[#This Row],[SAÍDA DO CLIENTE]]-Prog_23[[#This Row],[PROGRAMAÇÃO CLIENTE]]</f>
        <v>0</v>
      </c>
      <c r="AH1849" s="44"/>
      <c r="AI1849" s="66"/>
      <c r="AJ1849" s="66"/>
      <c r="AK1849" s="66"/>
      <c r="AL1849" s="66"/>
      <c r="AM1849" s="66"/>
      <c r="AN1849" s="83"/>
      <c r="AO1849" s="83"/>
      <c r="AP1849" s="83"/>
      <c r="AQ1849" s="66"/>
      <c r="AR1849" s="66"/>
      <c r="AS1849" s="66"/>
      <c r="AT1849" s="81"/>
      <c r="AU1849" s="81"/>
      <c r="AV1849" s="81"/>
      <c r="AW1849" s="81"/>
      <c r="AX1849" s="83">
        <f>SUM(Prog_23[[#This Row],[ADIANTAMENTO]]+Prog_23[[#This Row],[SALDO]]+Prog_23[[#This Row],[MARGEM]]+Prog_23[[#This Row],[ESTADIA 1]])</f>
        <v>0</v>
      </c>
      <c r="AY184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49" s="81"/>
      <c r="BA1849" s="81"/>
      <c r="BB1849" s="81">
        <f>Prog_23[[#This Row],[VLR NF]]*0.1%</f>
        <v>0</v>
      </c>
      <c r="BC1849" s="81">
        <f>Prog_23[[#This Row],[VLR NF]]*0.05%</f>
        <v>0</v>
      </c>
      <c r="BD1849" s="81"/>
      <c r="BE1849" s="81"/>
      <c r="BF1849" s="81"/>
      <c r="BG1849" s="81"/>
      <c r="BH1849" s="81"/>
      <c r="BI1849" s="81"/>
      <c r="BJ1849" s="81"/>
      <c r="BK1849" s="81"/>
      <c r="BL1849" s="81"/>
      <c r="BM1849" s="81"/>
      <c r="BN1849" s="66"/>
      <c r="BO1849" s="66"/>
      <c r="BP1849" s="66"/>
      <c r="BQ1849" s="66" t="str">
        <f>PROPER(TEXT(Prog_23[[#This Row],[PROGRAMAÇÃO CLIENTE]],"mmm"))</f>
        <v>Jan</v>
      </c>
      <c r="BR1849" s="66">
        <f>YEAR(Prog_23[[#This Row],[PROGRAMAÇÃO CLIENTE]])</f>
        <v>1900</v>
      </c>
    </row>
    <row r="1850" spans="1:70" x14ac:dyDescent="0.25">
      <c r="A1850" s="201">
        <f>Prog_23[[#This Row],[CONTEINER]]</f>
        <v>0</v>
      </c>
      <c r="B1850" s="86"/>
      <c r="C185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50" s="44"/>
      <c r="E1850" s="66"/>
      <c r="F1850" s="66"/>
      <c r="G1850" s="66"/>
      <c r="H1850" s="44"/>
      <c r="I1850" s="44"/>
      <c r="J1850" s="66"/>
      <c r="K1850" s="66"/>
      <c r="L1850" s="66"/>
      <c r="M1850" s="66"/>
      <c r="N1850" s="66">
        <f>SUM(Prog_23[[#This Row],[TARA]]+Prog_23[[#This Row],[PESO]])</f>
        <v>0</v>
      </c>
      <c r="O1850" s="44"/>
      <c r="P1850" s="66"/>
      <c r="Q1850" s="66"/>
      <c r="R1850" s="66"/>
      <c r="S1850" s="66"/>
      <c r="T1850" s="138" t="str">
        <f>IFERROR(LOOKUP($S1850,MOTORISTAS!$D$3:$D$916,MOTORISTAS!E$3:$E$916),"")</f>
        <v/>
      </c>
      <c r="U1850" s="138" t="str">
        <f>IFERROR(LOOKUP($S1850,MOTORISTAS!$D$3:$D$916,MOTORISTAS!F$3:$F$916),"")</f>
        <v/>
      </c>
      <c r="V1850" s="66"/>
      <c r="W1850" s="66"/>
      <c r="X1850" s="66"/>
      <c r="Y1850" s="66"/>
      <c r="Z1850" s="66"/>
      <c r="AA1850" s="66"/>
      <c r="AB1850" s="66"/>
      <c r="AC1850" s="66"/>
      <c r="AD1850" s="66"/>
      <c r="AE1850" s="66"/>
      <c r="AF1850" s="44"/>
      <c r="AG1850" s="254">
        <f>Prog_23[[#This Row],[SAÍDA DO CLIENTE]]-Prog_23[[#This Row],[PROGRAMAÇÃO CLIENTE]]</f>
        <v>0</v>
      </c>
      <c r="AH1850" s="44"/>
      <c r="AI1850" s="66"/>
      <c r="AJ1850" s="66"/>
      <c r="AK1850" s="66"/>
      <c r="AL1850" s="66"/>
      <c r="AM1850" s="66"/>
      <c r="AN1850" s="83"/>
      <c r="AO1850" s="83"/>
      <c r="AP1850" s="83"/>
      <c r="AQ1850" s="66"/>
      <c r="AR1850" s="66"/>
      <c r="AS1850" s="66"/>
      <c r="AT1850" s="81"/>
      <c r="AU1850" s="81"/>
      <c r="AV1850" s="81"/>
      <c r="AW1850" s="81"/>
      <c r="AX1850" s="83">
        <f>SUM(Prog_23[[#This Row],[ADIANTAMENTO]]+Prog_23[[#This Row],[SALDO]]+Prog_23[[#This Row],[MARGEM]]+Prog_23[[#This Row],[ESTADIA 1]])</f>
        <v>0</v>
      </c>
      <c r="AY185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50" s="81"/>
      <c r="BA1850" s="81"/>
      <c r="BB1850" s="81">
        <f>Prog_23[[#This Row],[VLR NF]]*0.1%</f>
        <v>0</v>
      </c>
      <c r="BC1850" s="81">
        <f>Prog_23[[#This Row],[VLR NF]]*0.05%</f>
        <v>0</v>
      </c>
      <c r="BD1850" s="81"/>
      <c r="BE1850" s="81"/>
      <c r="BF1850" s="81"/>
      <c r="BG1850" s="81"/>
      <c r="BH1850" s="81"/>
      <c r="BI1850" s="81"/>
      <c r="BJ1850" s="81"/>
      <c r="BK1850" s="81"/>
      <c r="BL1850" s="81"/>
      <c r="BM1850" s="81"/>
      <c r="BN1850" s="66"/>
      <c r="BO1850" s="66"/>
      <c r="BP1850" s="66"/>
      <c r="BQ1850" s="66" t="str">
        <f>PROPER(TEXT(Prog_23[[#This Row],[PROGRAMAÇÃO CLIENTE]],"mmm"))</f>
        <v>Jan</v>
      </c>
      <c r="BR1850" s="66">
        <f>YEAR(Prog_23[[#This Row],[PROGRAMAÇÃO CLIENTE]])</f>
        <v>1900</v>
      </c>
    </row>
    <row r="1851" spans="1:70" x14ac:dyDescent="0.25">
      <c r="A1851" s="200">
        <f>Prog_23[[#This Row],[CONTEINER]]</f>
        <v>0</v>
      </c>
      <c r="B1851" s="86"/>
      <c r="C185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51" s="44"/>
      <c r="E1851" s="66"/>
      <c r="F1851" s="66"/>
      <c r="G1851" s="66"/>
      <c r="H1851" s="44"/>
      <c r="I1851" s="44"/>
      <c r="J1851" s="66"/>
      <c r="K1851" s="66"/>
      <c r="L1851" s="66"/>
      <c r="M1851" s="66"/>
      <c r="N1851" s="66">
        <f>SUM(Prog_23[[#This Row],[TARA]]+Prog_23[[#This Row],[PESO]])</f>
        <v>0</v>
      </c>
      <c r="O1851" s="44"/>
      <c r="P1851" s="66"/>
      <c r="Q1851" s="66"/>
      <c r="R1851" s="66"/>
      <c r="S1851" s="66"/>
      <c r="T1851" s="138" t="str">
        <f>IFERROR(LOOKUP($S1851,MOTORISTAS!$D$3:$D$916,MOTORISTAS!E$3:$E$916),"")</f>
        <v/>
      </c>
      <c r="U1851" s="138" t="str">
        <f>IFERROR(LOOKUP($S1851,MOTORISTAS!$D$3:$D$916,MOTORISTAS!F$3:$F$916),"")</f>
        <v/>
      </c>
      <c r="V1851" s="66"/>
      <c r="W1851" s="66"/>
      <c r="X1851" s="66"/>
      <c r="Y1851" s="66"/>
      <c r="Z1851" s="66"/>
      <c r="AA1851" s="66"/>
      <c r="AB1851" s="66"/>
      <c r="AC1851" s="66"/>
      <c r="AD1851" s="66"/>
      <c r="AE1851" s="66"/>
      <c r="AF1851" s="44"/>
      <c r="AG1851" s="254">
        <f>Prog_23[[#This Row],[SAÍDA DO CLIENTE]]-Prog_23[[#This Row],[PROGRAMAÇÃO CLIENTE]]</f>
        <v>0</v>
      </c>
      <c r="AH1851" s="44"/>
      <c r="AI1851" s="66"/>
      <c r="AJ1851" s="66"/>
      <c r="AK1851" s="66"/>
      <c r="AL1851" s="66"/>
      <c r="AM1851" s="66"/>
      <c r="AN1851" s="83"/>
      <c r="AO1851" s="83"/>
      <c r="AP1851" s="83"/>
      <c r="AQ1851" s="66"/>
      <c r="AR1851" s="66"/>
      <c r="AS1851" s="66"/>
      <c r="AT1851" s="81"/>
      <c r="AU1851" s="81"/>
      <c r="AV1851" s="81"/>
      <c r="AW1851" s="81"/>
      <c r="AX1851" s="83">
        <f>SUM(Prog_23[[#This Row],[ADIANTAMENTO]]+Prog_23[[#This Row],[SALDO]]+Prog_23[[#This Row],[MARGEM]]+Prog_23[[#This Row],[ESTADIA 1]])</f>
        <v>0</v>
      </c>
      <c r="AY185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51" s="81"/>
      <c r="BA1851" s="81"/>
      <c r="BB1851" s="81">
        <f>Prog_23[[#This Row],[VLR NF]]*0.1%</f>
        <v>0</v>
      </c>
      <c r="BC1851" s="81">
        <f>Prog_23[[#This Row],[VLR NF]]*0.05%</f>
        <v>0</v>
      </c>
      <c r="BD1851" s="81"/>
      <c r="BE1851" s="81"/>
      <c r="BF1851" s="81"/>
      <c r="BG1851" s="81"/>
      <c r="BH1851" s="81"/>
      <c r="BI1851" s="81"/>
      <c r="BJ1851" s="81"/>
      <c r="BK1851" s="81"/>
      <c r="BL1851" s="81"/>
      <c r="BM1851" s="81"/>
      <c r="BN1851" s="66"/>
      <c r="BO1851" s="66"/>
      <c r="BP1851" s="66"/>
      <c r="BQ1851" s="66" t="str">
        <f>PROPER(TEXT(Prog_23[[#This Row],[PROGRAMAÇÃO CLIENTE]],"mmm"))</f>
        <v>Jan</v>
      </c>
      <c r="BR1851" s="66">
        <f>YEAR(Prog_23[[#This Row],[PROGRAMAÇÃO CLIENTE]])</f>
        <v>1900</v>
      </c>
    </row>
    <row r="1852" spans="1:70" x14ac:dyDescent="0.25">
      <c r="A1852" s="201">
        <f>Prog_23[[#This Row],[CONTEINER]]</f>
        <v>0</v>
      </c>
      <c r="B1852" s="86"/>
      <c r="C185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52" s="44"/>
      <c r="E1852" s="66"/>
      <c r="F1852" s="66"/>
      <c r="G1852" s="66"/>
      <c r="H1852" s="44"/>
      <c r="I1852" s="44"/>
      <c r="J1852" s="66"/>
      <c r="K1852" s="66"/>
      <c r="L1852" s="66"/>
      <c r="M1852" s="66"/>
      <c r="N1852" s="66">
        <f>SUM(Prog_23[[#This Row],[TARA]]+Prog_23[[#This Row],[PESO]])</f>
        <v>0</v>
      </c>
      <c r="O1852" s="44"/>
      <c r="P1852" s="66"/>
      <c r="Q1852" s="66"/>
      <c r="R1852" s="66"/>
      <c r="S1852" s="66"/>
      <c r="T1852" s="138" t="str">
        <f>IFERROR(LOOKUP($S1852,MOTORISTAS!$D$3:$D$916,MOTORISTAS!E$3:$E$916),"")</f>
        <v/>
      </c>
      <c r="U1852" s="138" t="str">
        <f>IFERROR(LOOKUP($S1852,MOTORISTAS!$D$3:$D$916,MOTORISTAS!F$3:$F$916),"")</f>
        <v/>
      </c>
      <c r="V1852" s="66"/>
      <c r="W1852" s="66"/>
      <c r="X1852" s="66"/>
      <c r="Y1852" s="66"/>
      <c r="Z1852" s="66"/>
      <c r="AA1852" s="66"/>
      <c r="AB1852" s="66"/>
      <c r="AC1852" s="66"/>
      <c r="AD1852" s="66"/>
      <c r="AE1852" s="66"/>
      <c r="AF1852" s="44"/>
      <c r="AG1852" s="254">
        <f>Prog_23[[#This Row],[SAÍDA DO CLIENTE]]-Prog_23[[#This Row],[PROGRAMAÇÃO CLIENTE]]</f>
        <v>0</v>
      </c>
      <c r="AH1852" s="44"/>
      <c r="AI1852" s="66"/>
      <c r="AJ1852" s="66"/>
      <c r="AK1852" s="66"/>
      <c r="AL1852" s="66"/>
      <c r="AM1852" s="66"/>
      <c r="AN1852" s="83"/>
      <c r="AO1852" s="83"/>
      <c r="AP1852" s="83"/>
      <c r="AQ1852" s="66"/>
      <c r="AR1852" s="66"/>
      <c r="AS1852" s="66"/>
      <c r="AT1852" s="81"/>
      <c r="AU1852" s="81"/>
      <c r="AV1852" s="81"/>
      <c r="AW1852" s="81"/>
      <c r="AX1852" s="83">
        <f>SUM(Prog_23[[#This Row],[ADIANTAMENTO]]+Prog_23[[#This Row],[SALDO]]+Prog_23[[#This Row],[MARGEM]]+Prog_23[[#This Row],[ESTADIA 1]])</f>
        <v>0</v>
      </c>
      <c r="AY185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52" s="81"/>
      <c r="BA1852" s="81"/>
      <c r="BB1852" s="81">
        <f>Prog_23[[#This Row],[VLR NF]]*0.1%</f>
        <v>0</v>
      </c>
      <c r="BC1852" s="81">
        <f>Prog_23[[#This Row],[VLR NF]]*0.05%</f>
        <v>0</v>
      </c>
      <c r="BD1852" s="81"/>
      <c r="BE1852" s="81"/>
      <c r="BF1852" s="81"/>
      <c r="BG1852" s="81"/>
      <c r="BH1852" s="81"/>
      <c r="BI1852" s="81"/>
      <c r="BJ1852" s="81"/>
      <c r="BK1852" s="81"/>
      <c r="BL1852" s="81"/>
      <c r="BM1852" s="81"/>
      <c r="BN1852" s="66"/>
      <c r="BO1852" s="66"/>
      <c r="BP1852" s="66"/>
      <c r="BQ1852" s="66" t="str">
        <f>PROPER(TEXT(Prog_23[[#This Row],[PROGRAMAÇÃO CLIENTE]],"mmm"))</f>
        <v>Jan</v>
      </c>
      <c r="BR1852" s="66">
        <f>YEAR(Prog_23[[#This Row],[PROGRAMAÇÃO CLIENTE]])</f>
        <v>1900</v>
      </c>
    </row>
    <row r="1853" spans="1:70" x14ac:dyDescent="0.25">
      <c r="A1853" s="200">
        <f>Prog_23[[#This Row],[CONTEINER]]</f>
        <v>0</v>
      </c>
      <c r="B1853" s="86"/>
      <c r="C185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53" s="44"/>
      <c r="E1853" s="66"/>
      <c r="F1853" s="66"/>
      <c r="G1853" s="66"/>
      <c r="H1853" s="44"/>
      <c r="I1853" s="44"/>
      <c r="J1853" s="66"/>
      <c r="K1853" s="66"/>
      <c r="L1853" s="66"/>
      <c r="M1853" s="66"/>
      <c r="N1853" s="66">
        <f>SUM(Prog_23[[#This Row],[TARA]]+Prog_23[[#This Row],[PESO]])</f>
        <v>0</v>
      </c>
      <c r="O1853" s="44"/>
      <c r="P1853" s="66"/>
      <c r="Q1853" s="66"/>
      <c r="R1853" s="66"/>
      <c r="S1853" s="66"/>
      <c r="T1853" s="138" t="str">
        <f>IFERROR(LOOKUP($S1853,MOTORISTAS!$D$3:$D$916,MOTORISTAS!E$3:$E$916),"")</f>
        <v/>
      </c>
      <c r="U1853" s="138" t="str">
        <f>IFERROR(LOOKUP($S1853,MOTORISTAS!$D$3:$D$916,MOTORISTAS!F$3:$F$916),"")</f>
        <v/>
      </c>
      <c r="V1853" s="66"/>
      <c r="W1853" s="66"/>
      <c r="X1853" s="66"/>
      <c r="Y1853" s="66"/>
      <c r="Z1853" s="66"/>
      <c r="AA1853" s="66"/>
      <c r="AB1853" s="66"/>
      <c r="AC1853" s="66"/>
      <c r="AD1853" s="66"/>
      <c r="AE1853" s="66"/>
      <c r="AF1853" s="44"/>
      <c r="AG1853" s="254">
        <f>Prog_23[[#This Row],[SAÍDA DO CLIENTE]]-Prog_23[[#This Row],[PROGRAMAÇÃO CLIENTE]]</f>
        <v>0</v>
      </c>
      <c r="AH1853" s="44"/>
      <c r="AI1853" s="66"/>
      <c r="AJ1853" s="66"/>
      <c r="AK1853" s="66"/>
      <c r="AL1853" s="66"/>
      <c r="AM1853" s="66"/>
      <c r="AN1853" s="83"/>
      <c r="AO1853" s="83"/>
      <c r="AP1853" s="83"/>
      <c r="AQ1853" s="66"/>
      <c r="AR1853" s="66"/>
      <c r="AS1853" s="66"/>
      <c r="AT1853" s="81"/>
      <c r="AU1853" s="81"/>
      <c r="AV1853" s="81"/>
      <c r="AW1853" s="81"/>
      <c r="AX1853" s="83">
        <f>SUM(Prog_23[[#This Row],[ADIANTAMENTO]]+Prog_23[[#This Row],[SALDO]]+Prog_23[[#This Row],[MARGEM]]+Prog_23[[#This Row],[ESTADIA 1]])</f>
        <v>0</v>
      </c>
      <c r="AY185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53" s="81"/>
      <c r="BA1853" s="81"/>
      <c r="BB1853" s="81">
        <f>Prog_23[[#This Row],[VLR NF]]*0.1%</f>
        <v>0</v>
      </c>
      <c r="BC1853" s="81">
        <f>Prog_23[[#This Row],[VLR NF]]*0.05%</f>
        <v>0</v>
      </c>
      <c r="BD1853" s="81"/>
      <c r="BE1853" s="81"/>
      <c r="BF1853" s="81"/>
      <c r="BG1853" s="81"/>
      <c r="BH1853" s="81"/>
      <c r="BI1853" s="81"/>
      <c r="BJ1853" s="81"/>
      <c r="BK1853" s="81"/>
      <c r="BL1853" s="81"/>
      <c r="BM1853" s="81"/>
      <c r="BN1853" s="66"/>
      <c r="BO1853" s="66"/>
      <c r="BP1853" s="66"/>
      <c r="BQ1853" s="66" t="str">
        <f>PROPER(TEXT(Prog_23[[#This Row],[PROGRAMAÇÃO CLIENTE]],"mmm"))</f>
        <v>Jan</v>
      </c>
      <c r="BR1853" s="66">
        <f>YEAR(Prog_23[[#This Row],[PROGRAMAÇÃO CLIENTE]])</f>
        <v>1900</v>
      </c>
    </row>
    <row r="1854" spans="1:70" x14ac:dyDescent="0.25">
      <c r="A1854" s="201">
        <f>Prog_23[[#This Row],[CONTEINER]]</f>
        <v>0</v>
      </c>
      <c r="B1854" s="86"/>
      <c r="C185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54" s="44"/>
      <c r="E1854" s="66"/>
      <c r="F1854" s="66"/>
      <c r="G1854" s="66"/>
      <c r="H1854" s="44"/>
      <c r="I1854" s="44"/>
      <c r="J1854" s="66"/>
      <c r="K1854" s="66"/>
      <c r="L1854" s="66"/>
      <c r="M1854" s="66"/>
      <c r="N1854" s="66">
        <f>SUM(Prog_23[[#This Row],[TARA]]+Prog_23[[#This Row],[PESO]])</f>
        <v>0</v>
      </c>
      <c r="O1854" s="44"/>
      <c r="P1854" s="66"/>
      <c r="Q1854" s="66"/>
      <c r="R1854" s="66"/>
      <c r="S1854" s="66"/>
      <c r="T1854" s="138" t="str">
        <f>IFERROR(LOOKUP($S1854,MOTORISTAS!$D$3:$D$916,MOTORISTAS!E$3:$E$916),"")</f>
        <v/>
      </c>
      <c r="U1854" s="138" t="str">
        <f>IFERROR(LOOKUP($S1854,MOTORISTAS!$D$3:$D$916,MOTORISTAS!F$3:$F$916),"")</f>
        <v/>
      </c>
      <c r="V1854" s="66"/>
      <c r="W1854" s="66"/>
      <c r="X1854" s="66"/>
      <c r="Y1854" s="66"/>
      <c r="Z1854" s="66"/>
      <c r="AA1854" s="66"/>
      <c r="AB1854" s="66"/>
      <c r="AC1854" s="66"/>
      <c r="AD1854" s="66"/>
      <c r="AE1854" s="66"/>
      <c r="AF1854" s="44"/>
      <c r="AG1854" s="254">
        <f>Prog_23[[#This Row],[SAÍDA DO CLIENTE]]-Prog_23[[#This Row],[PROGRAMAÇÃO CLIENTE]]</f>
        <v>0</v>
      </c>
      <c r="AH1854" s="44"/>
      <c r="AI1854" s="66"/>
      <c r="AJ1854" s="66"/>
      <c r="AK1854" s="66"/>
      <c r="AL1854" s="66"/>
      <c r="AM1854" s="66"/>
      <c r="AN1854" s="83"/>
      <c r="AO1854" s="83"/>
      <c r="AP1854" s="83"/>
      <c r="AQ1854" s="66"/>
      <c r="AR1854" s="66"/>
      <c r="AS1854" s="66"/>
      <c r="AT1854" s="81"/>
      <c r="AU1854" s="81"/>
      <c r="AV1854" s="81"/>
      <c r="AW1854" s="81"/>
      <c r="AX1854" s="83">
        <f>SUM(Prog_23[[#This Row],[ADIANTAMENTO]]+Prog_23[[#This Row],[SALDO]]+Prog_23[[#This Row],[MARGEM]]+Prog_23[[#This Row],[ESTADIA 1]])</f>
        <v>0</v>
      </c>
      <c r="AY185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54" s="81"/>
      <c r="BA1854" s="81"/>
      <c r="BB1854" s="81">
        <f>Prog_23[[#This Row],[VLR NF]]*0.1%</f>
        <v>0</v>
      </c>
      <c r="BC1854" s="81">
        <f>Prog_23[[#This Row],[VLR NF]]*0.05%</f>
        <v>0</v>
      </c>
      <c r="BD1854" s="81"/>
      <c r="BE1854" s="81"/>
      <c r="BF1854" s="81"/>
      <c r="BG1854" s="81"/>
      <c r="BH1854" s="81"/>
      <c r="BI1854" s="81"/>
      <c r="BJ1854" s="81"/>
      <c r="BK1854" s="81"/>
      <c r="BL1854" s="81"/>
      <c r="BM1854" s="81"/>
      <c r="BN1854" s="66"/>
      <c r="BO1854" s="66"/>
      <c r="BP1854" s="66"/>
      <c r="BQ1854" s="66" t="str">
        <f>PROPER(TEXT(Prog_23[[#This Row],[PROGRAMAÇÃO CLIENTE]],"mmm"))</f>
        <v>Jan</v>
      </c>
      <c r="BR1854" s="66">
        <f>YEAR(Prog_23[[#This Row],[PROGRAMAÇÃO CLIENTE]])</f>
        <v>1900</v>
      </c>
    </row>
    <row r="1855" spans="1:70" x14ac:dyDescent="0.25">
      <c r="A1855" s="200">
        <f>Prog_23[[#This Row],[CONTEINER]]</f>
        <v>0</v>
      </c>
      <c r="B1855" s="86"/>
      <c r="C185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55" s="44"/>
      <c r="E1855" s="66"/>
      <c r="F1855" s="66"/>
      <c r="G1855" s="66"/>
      <c r="H1855" s="44"/>
      <c r="I1855" s="44"/>
      <c r="J1855" s="66"/>
      <c r="K1855" s="66"/>
      <c r="L1855" s="66"/>
      <c r="M1855" s="66"/>
      <c r="N1855" s="66">
        <f>SUM(Prog_23[[#This Row],[TARA]]+Prog_23[[#This Row],[PESO]])</f>
        <v>0</v>
      </c>
      <c r="O1855" s="44"/>
      <c r="P1855" s="66"/>
      <c r="Q1855" s="66"/>
      <c r="R1855" s="66"/>
      <c r="S1855" s="66"/>
      <c r="T1855" s="138" t="str">
        <f>IFERROR(LOOKUP($S1855,MOTORISTAS!$D$3:$D$916,MOTORISTAS!E$3:$E$916),"")</f>
        <v/>
      </c>
      <c r="U1855" s="138" t="str">
        <f>IFERROR(LOOKUP($S1855,MOTORISTAS!$D$3:$D$916,MOTORISTAS!F$3:$F$916),"")</f>
        <v/>
      </c>
      <c r="V1855" s="66"/>
      <c r="W1855" s="66"/>
      <c r="X1855" s="66"/>
      <c r="Y1855" s="66"/>
      <c r="Z1855" s="66"/>
      <c r="AA1855" s="66"/>
      <c r="AB1855" s="66"/>
      <c r="AC1855" s="66"/>
      <c r="AD1855" s="66"/>
      <c r="AE1855" s="66"/>
      <c r="AF1855" s="44"/>
      <c r="AG1855" s="254">
        <f>Prog_23[[#This Row],[SAÍDA DO CLIENTE]]-Prog_23[[#This Row],[PROGRAMAÇÃO CLIENTE]]</f>
        <v>0</v>
      </c>
      <c r="AH1855" s="44"/>
      <c r="AI1855" s="66"/>
      <c r="AJ1855" s="66"/>
      <c r="AK1855" s="66"/>
      <c r="AL1855" s="66"/>
      <c r="AM1855" s="66"/>
      <c r="AN1855" s="83"/>
      <c r="AO1855" s="83"/>
      <c r="AP1855" s="83"/>
      <c r="AQ1855" s="66"/>
      <c r="AR1855" s="66"/>
      <c r="AS1855" s="66"/>
      <c r="AT1855" s="81"/>
      <c r="AU1855" s="81"/>
      <c r="AV1855" s="81"/>
      <c r="AW1855" s="81"/>
      <c r="AX1855" s="83">
        <f>SUM(Prog_23[[#This Row],[ADIANTAMENTO]]+Prog_23[[#This Row],[SALDO]]+Prog_23[[#This Row],[MARGEM]]+Prog_23[[#This Row],[ESTADIA 1]])</f>
        <v>0</v>
      </c>
      <c r="AY185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55" s="81"/>
      <c r="BA1855" s="81"/>
      <c r="BB1855" s="81">
        <f>Prog_23[[#This Row],[VLR NF]]*0.1%</f>
        <v>0</v>
      </c>
      <c r="BC1855" s="81">
        <f>Prog_23[[#This Row],[VLR NF]]*0.05%</f>
        <v>0</v>
      </c>
      <c r="BD1855" s="81"/>
      <c r="BE1855" s="81"/>
      <c r="BF1855" s="81"/>
      <c r="BG1855" s="81"/>
      <c r="BH1855" s="81"/>
      <c r="BI1855" s="81"/>
      <c r="BJ1855" s="81"/>
      <c r="BK1855" s="81"/>
      <c r="BL1855" s="81"/>
      <c r="BM1855" s="81"/>
      <c r="BN1855" s="66"/>
      <c r="BO1855" s="66"/>
      <c r="BP1855" s="66"/>
      <c r="BQ1855" s="66" t="str">
        <f>PROPER(TEXT(Prog_23[[#This Row],[PROGRAMAÇÃO CLIENTE]],"mmm"))</f>
        <v>Jan</v>
      </c>
      <c r="BR1855" s="66">
        <f>YEAR(Prog_23[[#This Row],[PROGRAMAÇÃO CLIENTE]])</f>
        <v>1900</v>
      </c>
    </row>
    <row r="1856" spans="1:70" x14ac:dyDescent="0.25">
      <c r="A1856" s="201">
        <f>Prog_23[[#This Row],[CONTEINER]]</f>
        <v>0</v>
      </c>
      <c r="B1856" s="86"/>
      <c r="C185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56" s="44"/>
      <c r="E1856" s="66"/>
      <c r="F1856" s="66"/>
      <c r="G1856" s="66"/>
      <c r="H1856" s="44"/>
      <c r="I1856" s="44"/>
      <c r="J1856" s="66"/>
      <c r="K1856" s="66"/>
      <c r="L1856" s="66"/>
      <c r="M1856" s="66"/>
      <c r="N1856" s="66">
        <f>SUM(Prog_23[[#This Row],[TARA]]+Prog_23[[#This Row],[PESO]])</f>
        <v>0</v>
      </c>
      <c r="O1856" s="44"/>
      <c r="P1856" s="66"/>
      <c r="Q1856" s="66"/>
      <c r="R1856" s="66"/>
      <c r="S1856" s="66"/>
      <c r="T1856" s="138" t="str">
        <f>IFERROR(LOOKUP($S1856,MOTORISTAS!$D$3:$D$916,MOTORISTAS!E$3:$E$916),"")</f>
        <v/>
      </c>
      <c r="U1856" s="138" t="str">
        <f>IFERROR(LOOKUP($S1856,MOTORISTAS!$D$3:$D$916,MOTORISTAS!F$3:$F$916),"")</f>
        <v/>
      </c>
      <c r="V1856" s="66"/>
      <c r="W1856" s="66"/>
      <c r="X1856" s="66"/>
      <c r="Y1856" s="66"/>
      <c r="Z1856" s="66"/>
      <c r="AA1856" s="66"/>
      <c r="AB1856" s="66"/>
      <c r="AC1856" s="66"/>
      <c r="AD1856" s="66"/>
      <c r="AE1856" s="66"/>
      <c r="AF1856" s="44"/>
      <c r="AG1856" s="254">
        <f>Prog_23[[#This Row],[SAÍDA DO CLIENTE]]-Prog_23[[#This Row],[PROGRAMAÇÃO CLIENTE]]</f>
        <v>0</v>
      </c>
      <c r="AH1856" s="44"/>
      <c r="AI1856" s="66"/>
      <c r="AJ1856" s="66"/>
      <c r="AK1856" s="66"/>
      <c r="AL1856" s="66"/>
      <c r="AM1856" s="66"/>
      <c r="AN1856" s="83"/>
      <c r="AO1856" s="83"/>
      <c r="AP1856" s="83"/>
      <c r="AQ1856" s="66"/>
      <c r="AR1856" s="66"/>
      <c r="AS1856" s="66"/>
      <c r="AT1856" s="81"/>
      <c r="AU1856" s="81"/>
      <c r="AV1856" s="81"/>
      <c r="AW1856" s="81"/>
      <c r="AX1856" s="83">
        <f>SUM(Prog_23[[#This Row],[ADIANTAMENTO]]+Prog_23[[#This Row],[SALDO]]+Prog_23[[#This Row],[MARGEM]]+Prog_23[[#This Row],[ESTADIA 1]])</f>
        <v>0</v>
      </c>
      <c r="AY185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56" s="81"/>
      <c r="BA1856" s="81"/>
      <c r="BB1856" s="81">
        <f>Prog_23[[#This Row],[VLR NF]]*0.1%</f>
        <v>0</v>
      </c>
      <c r="BC1856" s="81">
        <f>Prog_23[[#This Row],[VLR NF]]*0.05%</f>
        <v>0</v>
      </c>
      <c r="BD1856" s="81"/>
      <c r="BE1856" s="81"/>
      <c r="BF1856" s="81"/>
      <c r="BG1856" s="81"/>
      <c r="BH1856" s="81"/>
      <c r="BI1856" s="81"/>
      <c r="BJ1856" s="81"/>
      <c r="BK1856" s="81"/>
      <c r="BL1856" s="81"/>
      <c r="BM1856" s="81"/>
      <c r="BN1856" s="66"/>
      <c r="BO1856" s="66"/>
      <c r="BP1856" s="66"/>
      <c r="BQ1856" s="66" t="str">
        <f>PROPER(TEXT(Prog_23[[#This Row],[PROGRAMAÇÃO CLIENTE]],"mmm"))</f>
        <v>Jan</v>
      </c>
      <c r="BR1856" s="66">
        <f>YEAR(Prog_23[[#This Row],[PROGRAMAÇÃO CLIENTE]])</f>
        <v>1900</v>
      </c>
    </row>
    <row r="1857" spans="1:70" x14ac:dyDescent="0.25">
      <c r="A1857" s="200">
        <f>Prog_23[[#This Row],[CONTEINER]]</f>
        <v>0</v>
      </c>
      <c r="B1857" s="86"/>
      <c r="C185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57" s="44"/>
      <c r="E1857" s="66"/>
      <c r="F1857" s="66"/>
      <c r="G1857" s="66"/>
      <c r="H1857" s="44"/>
      <c r="I1857" s="44"/>
      <c r="J1857" s="66"/>
      <c r="K1857" s="66"/>
      <c r="L1857" s="66"/>
      <c r="M1857" s="66"/>
      <c r="N1857" s="66">
        <f>SUM(Prog_23[[#This Row],[TARA]]+Prog_23[[#This Row],[PESO]])</f>
        <v>0</v>
      </c>
      <c r="O1857" s="44"/>
      <c r="P1857" s="66"/>
      <c r="Q1857" s="66"/>
      <c r="R1857" s="66"/>
      <c r="S1857" s="66"/>
      <c r="T1857" s="138" t="str">
        <f>IFERROR(LOOKUP($S1857,MOTORISTAS!$D$3:$D$916,MOTORISTAS!E$3:$E$916),"")</f>
        <v/>
      </c>
      <c r="U1857" s="138" t="str">
        <f>IFERROR(LOOKUP($S1857,MOTORISTAS!$D$3:$D$916,MOTORISTAS!F$3:$F$916),"")</f>
        <v/>
      </c>
      <c r="V1857" s="66"/>
      <c r="W1857" s="66"/>
      <c r="X1857" s="66"/>
      <c r="Y1857" s="66"/>
      <c r="Z1857" s="66"/>
      <c r="AA1857" s="66"/>
      <c r="AB1857" s="66"/>
      <c r="AC1857" s="66"/>
      <c r="AD1857" s="66"/>
      <c r="AE1857" s="66"/>
      <c r="AF1857" s="44"/>
      <c r="AG1857" s="254">
        <f>Prog_23[[#This Row],[SAÍDA DO CLIENTE]]-Prog_23[[#This Row],[PROGRAMAÇÃO CLIENTE]]</f>
        <v>0</v>
      </c>
      <c r="AH1857" s="44"/>
      <c r="AI1857" s="66"/>
      <c r="AJ1857" s="66"/>
      <c r="AK1857" s="66"/>
      <c r="AL1857" s="66"/>
      <c r="AM1857" s="66"/>
      <c r="AN1857" s="83"/>
      <c r="AO1857" s="83"/>
      <c r="AP1857" s="83"/>
      <c r="AQ1857" s="66"/>
      <c r="AR1857" s="66"/>
      <c r="AS1857" s="66"/>
      <c r="AT1857" s="81"/>
      <c r="AU1857" s="81"/>
      <c r="AV1857" s="81"/>
      <c r="AW1857" s="81"/>
      <c r="AX1857" s="83">
        <f>SUM(Prog_23[[#This Row],[ADIANTAMENTO]]+Prog_23[[#This Row],[SALDO]]+Prog_23[[#This Row],[MARGEM]]+Prog_23[[#This Row],[ESTADIA 1]])</f>
        <v>0</v>
      </c>
      <c r="AY185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57" s="81"/>
      <c r="BA1857" s="81"/>
      <c r="BB1857" s="81">
        <f>Prog_23[[#This Row],[VLR NF]]*0.1%</f>
        <v>0</v>
      </c>
      <c r="BC1857" s="81">
        <f>Prog_23[[#This Row],[VLR NF]]*0.05%</f>
        <v>0</v>
      </c>
      <c r="BD1857" s="81"/>
      <c r="BE1857" s="81"/>
      <c r="BF1857" s="81"/>
      <c r="BG1857" s="81"/>
      <c r="BH1857" s="81"/>
      <c r="BI1857" s="81"/>
      <c r="BJ1857" s="81"/>
      <c r="BK1857" s="81"/>
      <c r="BL1857" s="81"/>
      <c r="BM1857" s="81"/>
      <c r="BN1857" s="66"/>
      <c r="BO1857" s="66"/>
      <c r="BP1857" s="66"/>
      <c r="BQ1857" s="66" t="str">
        <f>PROPER(TEXT(Prog_23[[#This Row],[PROGRAMAÇÃO CLIENTE]],"mmm"))</f>
        <v>Jan</v>
      </c>
      <c r="BR1857" s="66">
        <f>YEAR(Prog_23[[#This Row],[PROGRAMAÇÃO CLIENTE]])</f>
        <v>1900</v>
      </c>
    </row>
    <row r="1858" spans="1:70" x14ac:dyDescent="0.25">
      <c r="A1858" s="201">
        <f>Prog_23[[#This Row],[CONTEINER]]</f>
        <v>0</v>
      </c>
      <c r="B1858" s="86"/>
      <c r="C185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58" s="44"/>
      <c r="E1858" s="66"/>
      <c r="F1858" s="66"/>
      <c r="G1858" s="66"/>
      <c r="H1858" s="44"/>
      <c r="I1858" s="44"/>
      <c r="J1858" s="66"/>
      <c r="K1858" s="66"/>
      <c r="L1858" s="66"/>
      <c r="M1858" s="66"/>
      <c r="N1858" s="66">
        <f>SUM(Prog_23[[#This Row],[TARA]]+Prog_23[[#This Row],[PESO]])</f>
        <v>0</v>
      </c>
      <c r="O1858" s="44"/>
      <c r="P1858" s="66"/>
      <c r="Q1858" s="66"/>
      <c r="R1858" s="66"/>
      <c r="S1858" s="66"/>
      <c r="T1858" s="138" t="str">
        <f>IFERROR(LOOKUP($S1858,MOTORISTAS!$D$3:$D$916,MOTORISTAS!E$3:$E$916),"")</f>
        <v/>
      </c>
      <c r="U1858" s="138" t="str">
        <f>IFERROR(LOOKUP($S1858,MOTORISTAS!$D$3:$D$916,MOTORISTAS!F$3:$F$916),"")</f>
        <v/>
      </c>
      <c r="V1858" s="66"/>
      <c r="W1858" s="66"/>
      <c r="X1858" s="66"/>
      <c r="Y1858" s="66"/>
      <c r="Z1858" s="66"/>
      <c r="AA1858" s="66"/>
      <c r="AB1858" s="66"/>
      <c r="AC1858" s="66"/>
      <c r="AD1858" s="66"/>
      <c r="AE1858" s="66"/>
      <c r="AF1858" s="44"/>
      <c r="AG1858" s="254">
        <f>Prog_23[[#This Row],[SAÍDA DO CLIENTE]]-Prog_23[[#This Row],[PROGRAMAÇÃO CLIENTE]]</f>
        <v>0</v>
      </c>
      <c r="AH1858" s="44"/>
      <c r="AI1858" s="66"/>
      <c r="AJ1858" s="66"/>
      <c r="AK1858" s="66"/>
      <c r="AL1858" s="66"/>
      <c r="AM1858" s="66"/>
      <c r="AN1858" s="83"/>
      <c r="AO1858" s="83"/>
      <c r="AP1858" s="83"/>
      <c r="AQ1858" s="66"/>
      <c r="AR1858" s="66"/>
      <c r="AS1858" s="66"/>
      <c r="AT1858" s="81"/>
      <c r="AU1858" s="81"/>
      <c r="AV1858" s="81"/>
      <c r="AW1858" s="81"/>
      <c r="AX1858" s="83">
        <f>SUM(Prog_23[[#This Row],[ADIANTAMENTO]]+Prog_23[[#This Row],[SALDO]]+Prog_23[[#This Row],[MARGEM]]+Prog_23[[#This Row],[ESTADIA 1]])</f>
        <v>0</v>
      </c>
      <c r="AY185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58" s="81"/>
      <c r="BA1858" s="81"/>
      <c r="BB1858" s="81">
        <f>Prog_23[[#This Row],[VLR NF]]*0.1%</f>
        <v>0</v>
      </c>
      <c r="BC1858" s="81">
        <f>Prog_23[[#This Row],[VLR NF]]*0.05%</f>
        <v>0</v>
      </c>
      <c r="BD1858" s="81"/>
      <c r="BE1858" s="81"/>
      <c r="BF1858" s="81"/>
      <c r="BG1858" s="81"/>
      <c r="BH1858" s="81"/>
      <c r="BI1858" s="81"/>
      <c r="BJ1858" s="81"/>
      <c r="BK1858" s="81"/>
      <c r="BL1858" s="81"/>
      <c r="BM1858" s="81"/>
      <c r="BN1858" s="66"/>
      <c r="BO1858" s="66"/>
      <c r="BP1858" s="66"/>
      <c r="BQ1858" s="66" t="str">
        <f>PROPER(TEXT(Prog_23[[#This Row],[PROGRAMAÇÃO CLIENTE]],"mmm"))</f>
        <v>Jan</v>
      </c>
      <c r="BR1858" s="66">
        <f>YEAR(Prog_23[[#This Row],[PROGRAMAÇÃO CLIENTE]])</f>
        <v>1900</v>
      </c>
    </row>
    <row r="1859" spans="1:70" x14ac:dyDescent="0.25">
      <c r="A1859" s="200">
        <f>Prog_23[[#This Row],[CONTEINER]]</f>
        <v>0</v>
      </c>
      <c r="B1859" s="86"/>
      <c r="C185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59" s="44"/>
      <c r="E1859" s="66"/>
      <c r="F1859" s="66"/>
      <c r="G1859" s="66"/>
      <c r="H1859" s="44"/>
      <c r="I1859" s="44"/>
      <c r="J1859" s="66"/>
      <c r="K1859" s="66"/>
      <c r="L1859" s="66"/>
      <c r="M1859" s="66"/>
      <c r="N1859" s="66">
        <f>SUM(Prog_23[[#This Row],[TARA]]+Prog_23[[#This Row],[PESO]])</f>
        <v>0</v>
      </c>
      <c r="O1859" s="44"/>
      <c r="P1859" s="66"/>
      <c r="Q1859" s="66"/>
      <c r="R1859" s="66"/>
      <c r="S1859" s="66"/>
      <c r="T1859" s="138" t="str">
        <f>IFERROR(LOOKUP($S1859,MOTORISTAS!$D$3:$D$916,MOTORISTAS!E$3:$E$916),"")</f>
        <v/>
      </c>
      <c r="U1859" s="138" t="str">
        <f>IFERROR(LOOKUP($S1859,MOTORISTAS!$D$3:$D$916,MOTORISTAS!F$3:$F$916),"")</f>
        <v/>
      </c>
      <c r="V1859" s="66"/>
      <c r="W1859" s="66"/>
      <c r="X1859" s="66"/>
      <c r="Y1859" s="66"/>
      <c r="Z1859" s="66"/>
      <c r="AA1859" s="66"/>
      <c r="AB1859" s="66"/>
      <c r="AC1859" s="66"/>
      <c r="AD1859" s="66"/>
      <c r="AE1859" s="66"/>
      <c r="AF1859" s="44"/>
      <c r="AG1859" s="254">
        <f>Prog_23[[#This Row],[SAÍDA DO CLIENTE]]-Prog_23[[#This Row],[PROGRAMAÇÃO CLIENTE]]</f>
        <v>0</v>
      </c>
      <c r="AH1859" s="44"/>
      <c r="AI1859" s="66"/>
      <c r="AJ1859" s="66"/>
      <c r="AK1859" s="66"/>
      <c r="AL1859" s="66"/>
      <c r="AM1859" s="66"/>
      <c r="AN1859" s="83"/>
      <c r="AO1859" s="83"/>
      <c r="AP1859" s="83"/>
      <c r="AQ1859" s="66"/>
      <c r="AR1859" s="66"/>
      <c r="AS1859" s="66"/>
      <c r="AT1859" s="81"/>
      <c r="AU1859" s="81"/>
      <c r="AV1859" s="81"/>
      <c r="AW1859" s="81"/>
      <c r="AX1859" s="83">
        <f>SUM(Prog_23[[#This Row],[ADIANTAMENTO]]+Prog_23[[#This Row],[SALDO]]+Prog_23[[#This Row],[MARGEM]]+Prog_23[[#This Row],[ESTADIA 1]])</f>
        <v>0</v>
      </c>
      <c r="AY185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59" s="81"/>
      <c r="BA1859" s="81"/>
      <c r="BB1859" s="81">
        <f>Prog_23[[#This Row],[VLR NF]]*0.1%</f>
        <v>0</v>
      </c>
      <c r="BC1859" s="81">
        <f>Prog_23[[#This Row],[VLR NF]]*0.05%</f>
        <v>0</v>
      </c>
      <c r="BD1859" s="81"/>
      <c r="BE1859" s="81"/>
      <c r="BF1859" s="81"/>
      <c r="BG1859" s="81"/>
      <c r="BH1859" s="81"/>
      <c r="BI1859" s="81"/>
      <c r="BJ1859" s="81"/>
      <c r="BK1859" s="81"/>
      <c r="BL1859" s="81"/>
      <c r="BM1859" s="81"/>
      <c r="BN1859" s="66"/>
      <c r="BO1859" s="66"/>
      <c r="BP1859" s="66"/>
      <c r="BQ1859" s="66" t="str">
        <f>PROPER(TEXT(Prog_23[[#This Row],[PROGRAMAÇÃO CLIENTE]],"mmm"))</f>
        <v>Jan</v>
      </c>
      <c r="BR1859" s="66">
        <f>YEAR(Prog_23[[#This Row],[PROGRAMAÇÃO CLIENTE]])</f>
        <v>1900</v>
      </c>
    </row>
    <row r="1860" spans="1:70" x14ac:dyDescent="0.25">
      <c r="A1860" s="201">
        <f>Prog_23[[#This Row],[CONTEINER]]</f>
        <v>0</v>
      </c>
      <c r="B1860" s="86"/>
      <c r="C186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60" s="44"/>
      <c r="E1860" s="66"/>
      <c r="F1860" s="66"/>
      <c r="G1860" s="66"/>
      <c r="H1860" s="44"/>
      <c r="I1860" s="44"/>
      <c r="J1860" s="66"/>
      <c r="K1860" s="66"/>
      <c r="L1860" s="66"/>
      <c r="M1860" s="66"/>
      <c r="N1860" s="66">
        <f>SUM(Prog_23[[#This Row],[TARA]]+Prog_23[[#This Row],[PESO]])</f>
        <v>0</v>
      </c>
      <c r="O1860" s="44"/>
      <c r="P1860" s="66"/>
      <c r="Q1860" s="66"/>
      <c r="R1860" s="66"/>
      <c r="S1860" s="66"/>
      <c r="T1860" s="138" t="str">
        <f>IFERROR(LOOKUP($S1860,MOTORISTAS!$D$3:$D$916,MOTORISTAS!E$3:$E$916),"")</f>
        <v/>
      </c>
      <c r="U1860" s="138" t="str">
        <f>IFERROR(LOOKUP($S1860,MOTORISTAS!$D$3:$D$916,MOTORISTAS!F$3:$F$916),"")</f>
        <v/>
      </c>
      <c r="V1860" s="66"/>
      <c r="W1860" s="66"/>
      <c r="X1860" s="66"/>
      <c r="Y1860" s="66"/>
      <c r="Z1860" s="66"/>
      <c r="AA1860" s="66"/>
      <c r="AB1860" s="66"/>
      <c r="AC1860" s="66"/>
      <c r="AD1860" s="66"/>
      <c r="AE1860" s="66"/>
      <c r="AF1860" s="44"/>
      <c r="AG1860" s="254">
        <f>Prog_23[[#This Row],[SAÍDA DO CLIENTE]]-Prog_23[[#This Row],[PROGRAMAÇÃO CLIENTE]]</f>
        <v>0</v>
      </c>
      <c r="AH1860" s="44"/>
      <c r="AI1860" s="66"/>
      <c r="AJ1860" s="66"/>
      <c r="AK1860" s="66"/>
      <c r="AL1860" s="66"/>
      <c r="AM1860" s="66"/>
      <c r="AN1860" s="83"/>
      <c r="AO1860" s="83"/>
      <c r="AP1860" s="83"/>
      <c r="AQ1860" s="66"/>
      <c r="AR1860" s="66"/>
      <c r="AS1860" s="66"/>
      <c r="AT1860" s="81"/>
      <c r="AU1860" s="81"/>
      <c r="AV1860" s="81"/>
      <c r="AW1860" s="81"/>
      <c r="AX1860" s="83">
        <f>SUM(Prog_23[[#This Row],[ADIANTAMENTO]]+Prog_23[[#This Row],[SALDO]]+Prog_23[[#This Row],[MARGEM]]+Prog_23[[#This Row],[ESTADIA 1]])</f>
        <v>0</v>
      </c>
      <c r="AY186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60" s="81"/>
      <c r="BA1860" s="81"/>
      <c r="BB1860" s="81">
        <f>Prog_23[[#This Row],[VLR NF]]*0.1%</f>
        <v>0</v>
      </c>
      <c r="BC1860" s="81">
        <f>Prog_23[[#This Row],[VLR NF]]*0.05%</f>
        <v>0</v>
      </c>
      <c r="BD1860" s="81"/>
      <c r="BE1860" s="81"/>
      <c r="BF1860" s="81"/>
      <c r="BG1860" s="81"/>
      <c r="BH1860" s="81"/>
      <c r="BI1860" s="81"/>
      <c r="BJ1860" s="81"/>
      <c r="BK1860" s="81"/>
      <c r="BL1860" s="81"/>
      <c r="BM1860" s="81"/>
      <c r="BN1860" s="66"/>
      <c r="BO1860" s="66"/>
      <c r="BP1860" s="66"/>
      <c r="BQ1860" s="66" t="str">
        <f>PROPER(TEXT(Prog_23[[#This Row],[PROGRAMAÇÃO CLIENTE]],"mmm"))</f>
        <v>Jan</v>
      </c>
      <c r="BR1860" s="66">
        <f>YEAR(Prog_23[[#This Row],[PROGRAMAÇÃO CLIENTE]])</f>
        <v>1900</v>
      </c>
    </row>
    <row r="1861" spans="1:70" x14ac:dyDescent="0.25">
      <c r="A1861" s="200">
        <f>Prog_23[[#This Row],[CONTEINER]]</f>
        <v>0</v>
      </c>
      <c r="B1861" s="86"/>
      <c r="C186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61" s="44"/>
      <c r="E1861" s="66"/>
      <c r="F1861" s="66"/>
      <c r="G1861" s="66"/>
      <c r="H1861" s="44"/>
      <c r="I1861" s="44"/>
      <c r="J1861" s="66"/>
      <c r="K1861" s="66"/>
      <c r="L1861" s="66"/>
      <c r="M1861" s="66"/>
      <c r="N1861" s="66">
        <f>SUM(Prog_23[[#This Row],[TARA]]+Prog_23[[#This Row],[PESO]])</f>
        <v>0</v>
      </c>
      <c r="O1861" s="44"/>
      <c r="P1861" s="66"/>
      <c r="Q1861" s="66"/>
      <c r="R1861" s="66"/>
      <c r="S1861" s="66"/>
      <c r="T1861" s="138" t="str">
        <f>IFERROR(LOOKUP($S1861,MOTORISTAS!$D$3:$D$916,MOTORISTAS!E$3:$E$916),"")</f>
        <v/>
      </c>
      <c r="U1861" s="138" t="str">
        <f>IFERROR(LOOKUP($S1861,MOTORISTAS!$D$3:$D$916,MOTORISTAS!F$3:$F$916),"")</f>
        <v/>
      </c>
      <c r="V1861" s="66"/>
      <c r="W1861" s="66"/>
      <c r="X1861" s="66"/>
      <c r="Y1861" s="66"/>
      <c r="Z1861" s="66"/>
      <c r="AA1861" s="66"/>
      <c r="AB1861" s="66"/>
      <c r="AC1861" s="66"/>
      <c r="AD1861" s="66"/>
      <c r="AE1861" s="66"/>
      <c r="AF1861" s="44"/>
      <c r="AG1861" s="254">
        <f>Prog_23[[#This Row],[SAÍDA DO CLIENTE]]-Prog_23[[#This Row],[PROGRAMAÇÃO CLIENTE]]</f>
        <v>0</v>
      </c>
      <c r="AH1861" s="44"/>
      <c r="AI1861" s="66"/>
      <c r="AJ1861" s="66"/>
      <c r="AK1861" s="66"/>
      <c r="AL1861" s="66"/>
      <c r="AM1861" s="66"/>
      <c r="AN1861" s="83"/>
      <c r="AO1861" s="83"/>
      <c r="AP1861" s="83"/>
      <c r="AQ1861" s="66"/>
      <c r="AR1861" s="66"/>
      <c r="AS1861" s="66"/>
      <c r="AT1861" s="81"/>
      <c r="AU1861" s="81"/>
      <c r="AV1861" s="81"/>
      <c r="AW1861" s="81"/>
      <c r="AX1861" s="83">
        <f>SUM(Prog_23[[#This Row],[ADIANTAMENTO]]+Prog_23[[#This Row],[SALDO]]+Prog_23[[#This Row],[MARGEM]]+Prog_23[[#This Row],[ESTADIA 1]])</f>
        <v>0</v>
      </c>
      <c r="AY186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61" s="81"/>
      <c r="BA1861" s="81"/>
      <c r="BB1861" s="81">
        <f>Prog_23[[#This Row],[VLR NF]]*0.1%</f>
        <v>0</v>
      </c>
      <c r="BC1861" s="81">
        <f>Prog_23[[#This Row],[VLR NF]]*0.05%</f>
        <v>0</v>
      </c>
      <c r="BD1861" s="81"/>
      <c r="BE1861" s="81"/>
      <c r="BF1861" s="81"/>
      <c r="BG1861" s="81"/>
      <c r="BH1861" s="81"/>
      <c r="BI1861" s="81"/>
      <c r="BJ1861" s="81"/>
      <c r="BK1861" s="81"/>
      <c r="BL1861" s="81"/>
      <c r="BM1861" s="81"/>
      <c r="BN1861" s="66"/>
      <c r="BO1861" s="66"/>
      <c r="BP1861" s="66"/>
      <c r="BQ1861" s="66" t="str">
        <f>PROPER(TEXT(Prog_23[[#This Row],[PROGRAMAÇÃO CLIENTE]],"mmm"))</f>
        <v>Jan</v>
      </c>
      <c r="BR1861" s="66">
        <f>YEAR(Prog_23[[#This Row],[PROGRAMAÇÃO CLIENTE]])</f>
        <v>1900</v>
      </c>
    </row>
    <row r="1862" spans="1:70" x14ac:dyDescent="0.25">
      <c r="A1862" s="201">
        <f>Prog_23[[#This Row],[CONTEINER]]</f>
        <v>0</v>
      </c>
      <c r="B1862" s="86"/>
      <c r="C186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62" s="44"/>
      <c r="E1862" s="66"/>
      <c r="F1862" s="66"/>
      <c r="G1862" s="66"/>
      <c r="H1862" s="44"/>
      <c r="I1862" s="44"/>
      <c r="J1862" s="66"/>
      <c r="K1862" s="66"/>
      <c r="L1862" s="66"/>
      <c r="M1862" s="66"/>
      <c r="N1862" s="66">
        <f>SUM(Prog_23[[#This Row],[TARA]]+Prog_23[[#This Row],[PESO]])</f>
        <v>0</v>
      </c>
      <c r="O1862" s="44"/>
      <c r="P1862" s="66"/>
      <c r="Q1862" s="66"/>
      <c r="R1862" s="66"/>
      <c r="S1862" s="66"/>
      <c r="T1862" s="138" t="str">
        <f>IFERROR(LOOKUP($S1862,MOTORISTAS!$D$3:$D$916,MOTORISTAS!E$3:$E$916),"")</f>
        <v/>
      </c>
      <c r="U1862" s="138" t="str">
        <f>IFERROR(LOOKUP($S1862,MOTORISTAS!$D$3:$D$916,MOTORISTAS!F$3:$F$916),"")</f>
        <v/>
      </c>
      <c r="V1862" s="66"/>
      <c r="W1862" s="66"/>
      <c r="X1862" s="66"/>
      <c r="Y1862" s="66"/>
      <c r="Z1862" s="66"/>
      <c r="AA1862" s="66"/>
      <c r="AB1862" s="66"/>
      <c r="AC1862" s="66"/>
      <c r="AD1862" s="66"/>
      <c r="AE1862" s="66"/>
      <c r="AF1862" s="44"/>
      <c r="AG1862" s="254">
        <f>Prog_23[[#This Row],[SAÍDA DO CLIENTE]]-Prog_23[[#This Row],[PROGRAMAÇÃO CLIENTE]]</f>
        <v>0</v>
      </c>
      <c r="AH1862" s="44"/>
      <c r="AI1862" s="66"/>
      <c r="AJ1862" s="66"/>
      <c r="AK1862" s="66"/>
      <c r="AL1862" s="66"/>
      <c r="AM1862" s="66"/>
      <c r="AN1862" s="83"/>
      <c r="AO1862" s="83"/>
      <c r="AP1862" s="83"/>
      <c r="AQ1862" s="66"/>
      <c r="AR1862" s="66"/>
      <c r="AS1862" s="66"/>
      <c r="AT1862" s="81"/>
      <c r="AU1862" s="81"/>
      <c r="AV1862" s="81"/>
      <c r="AW1862" s="81"/>
      <c r="AX1862" s="83">
        <f>SUM(Prog_23[[#This Row],[ADIANTAMENTO]]+Prog_23[[#This Row],[SALDO]]+Prog_23[[#This Row],[MARGEM]]+Prog_23[[#This Row],[ESTADIA 1]])</f>
        <v>0</v>
      </c>
      <c r="AY186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62" s="81"/>
      <c r="BA1862" s="81"/>
      <c r="BB1862" s="81">
        <f>Prog_23[[#This Row],[VLR NF]]*0.1%</f>
        <v>0</v>
      </c>
      <c r="BC1862" s="81">
        <f>Prog_23[[#This Row],[VLR NF]]*0.05%</f>
        <v>0</v>
      </c>
      <c r="BD1862" s="81"/>
      <c r="BE1862" s="81"/>
      <c r="BF1862" s="81"/>
      <c r="BG1862" s="81"/>
      <c r="BH1862" s="81"/>
      <c r="BI1862" s="81"/>
      <c r="BJ1862" s="81"/>
      <c r="BK1862" s="81"/>
      <c r="BL1862" s="81"/>
      <c r="BM1862" s="81"/>
      <c r="BN1862" s="66"/>
      <c r="BO1862" s="66"/>
      <c r="BP1862" s="66"/>
      <c r="BQ1862" s="66" t="str">
        <f>PROPER(TEXT(Prog_23[[#This Row],[PROGRAMAÇÃO CLIENTE]],"mmm"))</f>
        <v>Jan</v>
      </c>
      <c r="BR1862" s="66">
        <f>YEAR(Prog_23[[#This Row],[PROGRAMAÇÃO CLIENTE]])</f>
        <v>1900</v>
      </c>
    </row>
    <row r="1863" spans="1:70" x14ac:dyDescent="0.25">
      <c r="A1863" s="200">
        <f>Prog_23[[#This Row],[CONTEINER]]</f>
        <v>0</v>
      </c>
      <c r="B1863" s="86"/>
      <c r="C186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63" s="44"/>
      <c r="E1863" s="66"/>
      <c r="F1863" s="66"/>
      <c r="G1863" s="66"/>
      <c r="H1863" s="44"/>
      <c r="I1863" s="44"/>
      <c r="J1863" s="66"/>
      <c r="K1863" s="66"/>
      <c r="L1863" s="66"/>
      <c r="M1863" s="66"/>
      <c r="N1863" s="66">
        <f>SUM(Prog_23[[#This Row],[TARA]]+Prog_23[[#This Row],[PESO]])</f>
        <v>0</v>
      </c>
      <c r="O1863" s="44"/>
      <c r="P1863" s="66"/>
      <c r="Q1863" s="66"/>
      <c r="R1863" s="66"/>
      <c r="S1863" s="66"/>
      <c r="T1863" s="138" t="str">
        <f>IFERROR(LOOKUP($S1863,MOTORISTAS!$D$3:$D$916,MOTORISTAS!E$3:$E$916),"")</f>
        <v/>
      </c>
      <c r="U1863" s="138" t="str">
        <f>IFERROR(LOOKUP($S1863,MOTORISTAS!$D$3:$D$916,MOTORISTAS!F$3:$F$916),"")</f>
        <v/>
      </c>
      <c r="V1863" s="66"/>
      <c r="W1863" s="66"/>
      <c r="X1863" s="66"/>
      <c r="Y1863" s="66"/>
      <c r="Z1863" s="66"/>
      <c r="AA1863" s="66"/>
      <c r="AB1863" s="66"/>
      <c r="AC1863" s="66"/>
      <c r="AD1863" s="66"/>
      <c r="AE1863" s="66"/>
      <c r="AF1863" s="44"/>
      <c r="AG1863" s="254">
        <f>Prog_23[[#This Row],[SAÍDA DO CLIENTE]]-Prog_23[[#This Row],[PROGRAMAÇÃO CLIENTE]]</f>
        <v>0</v>
      </c>
      <c r="AH1863" s="44"/>
      <c r="AI1863" s="66"/>
      <c r="AJ1863" s="66"/>
      <c r="AK1863" s="66"/>
      <c r="AL1863" s="66"/>
      <c r="AM1863" s="66"/>
      <c r="AN1863" s="83"/>
      <c r="AO1863" s="83"/>
      <c r="AP1863" s="83"/>
      <c r="AQ1863" s="66"/>
      <c r="AR1863" s="66"/>
      <c r="AS1863" s="66"/>
      <c r="AT1863" s="81"/>
      <c r="AU1863" s="81"/>
      <c r="AV1863" s="81"/>
      <c r="AW1863" s="81"/>
      <c r="AX1863" s="83">
        <f>SUM(Prog_23[[#This Row],[ADIANTAMENTO]]+Prog_23[[#This Row],[SALDO]]+Prog_23[[#This Row],[MARGEM]]+Prog_23[[#This Row],[ESTADIA 1]])</f>
        <v>0</v>
      </c>
      <c r="AY186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63" s="81"/>
      <c r="BA1863" s="81"/>
      <c r="BB1863" s="81">
        <f>Prog_23[[#This Row],[VLR NF]]*0.1%</f>
        <v>0</v>
      </c>
      <c r="BC1863" s="81">
        <f>Prog_23[[#This Row],[VLR NF]]*0.05%</f>
        <v>0</v>
      </c>
      <c r="BD1863" s="81"/>
      <c r="BE1863" s="81"/>
      <c r="BF1863" s="81"/>
      <c r="BG1863" s="81"/>
      <c r="BH1863" s="81"/>
      <c r="BI1863" s="81"/>
      <c r="BJ1863" s="81"/>
      <c r="BK1863" s="81"/>
      <c r="BL1863" s="81"/>
      <c r="BM1863" s="81"/>
      <c r="BN1863" s="66"/>
      <c r="BO1863" s="66"/>
      <c r="BP1863" s="66"/>
      <c r="BQ1863" s="66" t="str">
        <f>PROPER(TEXT(Prog_23[[#This Row],[PROGRAMAÇÃO CLIENTE]],"mmm"))</f>
        <v>Jan</v>
      </c>
      <c r="BR1863" s="66">
        <f>YEAR(Prog_23[[#This Row],[PROGRAMAÇÃO CLIENTE]])</f>
        <v>1900</v>
      </c>
    </row>
    <row r="1864" spans="1:70" x14ac:dyDescent="0.25">
      <c r="A1864" s="201">
        <f>Prog_23[[#This Row],[CONTEINER]]</f>
        <v>0</v>
      </c>
      <c r="B1864" s="86"/>
      <c r="C186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64" s="44"/>
      <c r="E1864" s="66"/>
      <c r="F1864" s="66"/>
      <c r="G1864" s="66"/>
      <c r="H1864" s="44"/>
      <c r="I1864" s="44"/>
      <c r="J1864" s="66"/>
      <c r="K1864" s="66"/>
      <c r="L1864" s="66"/>
      <c r="M1864" s="66"/>
      <c r="N1864" s="66">
        <f>SUM(Prog_23[[#This Row],[TARA]]+Prog_23[[#This Row],[PESO]])</f>
        <v>0</v>
      </c>
      <c r="O1864" s="44"/>
      <c r="P1864" s="66"/>
      <c r="Q1864" s="66"/>
      <c r="R1864" s="66"/>
      <c r="S1864" s="66"/>
      <c r="T1864" s="138" t="str">
        <f>IFERROR(LOOKUP($S1864,MOTORISTAS!$D$3:$D$916,MOTORISTAS!E$3:$E$916),"")</f>
        <v/>
      </c>
      <c r="U1864" s="138" t="str">
        <f>IFERROR(LOOKUP($S1864,MOTORISTAS!$D$3:$D$916,MOTORISTAS!F$3:$F$916),"")</f>
        <v/>
      </c>
      <c r="V1864" s="66"/>
      <c r="W1864" s="66"/>
      <c r="X1864" s="66"/>
      <c r="Y1864" s="66"/>
      <c r="Z1864" s="66"/>
      <c r="AA1864" s="66"/>
      <c r="AB1864" s="66"/>
      <c r="AC1864" s="66"/>
      <c r="AD1864" s="66"/>
      <c r="AE1864" s="66"/>
      <c r="AF1864" s="44"/>
      <c r="AG1864" s="254">
        <f>Prog_23[[#This Row],[SAÍDA DO CLIENTE]]-Prog_23[[#This Row],[PROGRAMAÇÃO CLIENTE]]</f>
        <v>0</v>
      </c>
      <c r="AH1864" s="44"/>
      <c r="AI1864" s="66"/>
      <c r="AJ1864" s="66"/>
      <c r="AK1864" s="66"/>
      <c r="AL1864" s="66"/>
      <c r="AM1864" s="66"/>
      <c r="AN1864" s="83"/>
      <c r="AO1864" s="83"/>
      <c r="AP1864" s="83"/>
      <c r="AQ1864" s="66"/>
      <c r="AR1864" s="66"/>
      <c r="AS1864" s="66"/>
      <c r="AT1864" s="81"/>
      <c r="AU1864" s="81"/>
      <c r="AV1864" s="81"/>
      <c r="AW1864" s="81"/>
      <c r="AX1864" s="83">
        <f>SUM(Prog_23[[#This Row],[ADIANTAMENTO]]+Prog_23[[#This Row],[SALDO]]+Prog_23[[#This Row],[MARGEM]]+Prog_23[[#This Row],[ESTADIA 1]])</f>
        <v>0</v>
      </c>
      <c r="AY186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64" s="81"/>
      <c r="BA1864" s="81"/>
      <c r="BB1864" s="81">
        <f>Prog_23[[#This Row],[VLR NF]]*0.1%</f>
        <v>0</v>
      </c>
      <c r="BC1864" s="81">
        <f>Prog_23[[#This Row],[VLR NF]]*0.05%</f>
        <v>0</v>
      </c>
      <c r="BD1864" s="81"/>
      <c r="BE1864" s="81"/>
      <c r="BF1864" s="81"/>
      <c r="BG1864" s="81"/>
      <c r="BH1864" s="81"/>
      <c r="BI1864" s="81"/>
      <c r="BJ1864" s="81"/>
      <c r="BK1864" s="81"/>
      <c r="BL1864" s="81"/>
      <c r="BM1864" s="81"/>
      <c r="BN1864" s="66"/>
      <c r="BO1864" s="66"/>
      <c r="BP1864" s="66"/>
      <c r="BQ1864" s="66" t="str">
        <f>PROPER(TEXT(Prog_23[[#This Row],[PROGRAMAÇÃO CLIENTE]],"mmm"))</f>
        <v>Jan</v>
      </c>
      <c r="BR1864" s="66">
        <f>YEAR(Prog_23[[#This Row],[PROGRAMAÇÃO CLIENTE]])</f>
        <v>1900</v>
      </c>
    </row>
    <row r="1865" spans="1:70" x14ac:dyDescent="0.25">
      <c r="A1865" s="200">
        <f>Prog_23[[#This Row],[CONTEINER]]</f>
        <v>0</v>
      </c>
      <c r="B1865" s="86"/>
      <c r="C186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65" s="44"/>
      <c r="E1865" s="66"/>
      <c r="F1865" s="66"/>
      <c r="G1865" s="66"/>
      <c r="H1865" s="44"/>
      <c r="I1865" s="44"/>
      <c r="J1865" s="66"/>
      <c r="K1865" s="66"/>
      <c r="L1865" s="66"/>
      <c r="M1865" s="66"/>
      <c r="N1865" s="66">
        <f>SUM(Prog_23[[#This Row],[TARA]]+Prog_23[[#This Row],[PESO]])</f>
        <v>0</v>
      </c>
      <c r="O1865" s="44"/>
      <c r="P1865" s="66"/>
      <c r="Q1865" s="66"/>
      <c r="R1865" s="66"/>
      <c r="S1865" s="66"/>
      <c r="T1865" s="138" t="str">
        <f>IFERROR(LOOKUP($S1865,MOTORISTAS!$D$3:$D$916,MOTORISTAS!E$3:$E$916),"")</f>
        <v/>
      </c>
      <c r="U1865" s="138" t="str">
        <f>IFERROR(LOOKUP($S1865,MOTORISTAS!$D$3:$D$916,MOTORISTAS!F$3:$F$916),"")</f>
        <v/>
      </c>
      <c r="V1865" s="66"/>
      <c r="W1865" s="66"/>
      <c r="X1865" s="66"/>
      <c r="Y1865" s="66"/>
      <c r="Z1865" s="66"/>
      <c r="AA1865" s="66"/>
      <c r="AB1865" s="66"/>
      <c r="AC1865" s="66"/>
      <c r="AD1865" s="66"/>
      <c r="AE1865" s="66"/>
      <c r="AF1865" s="44"/>
      <c r="AG1865" s="254">
        <f>Prog_23[[#This Row],[SAÍDA DO CLIENTE]]-Prog_23[[#This Row],[PROGRAMAÇÃO CLIENTE]]</f>
        <v>0</v>
      </c>
      <c r="AH1865" s="44"/>
      <c r="AI1865" s="66"/>
      <c r="AJ1865" s="66"/>
      <c r="AK1865" s="66"/>
      <c r="AL1865" s="66"/>
      <c r="AM1865" s="66"/>
      <c r="AN1865" s="83"/>
      <c r="AO1865" s="83"/>
      <c r="AP1865" s="83"/>
      <c r="AQ1865" s="66"/>
      <c r="AR1865" s="66"/>
      <c r="AS1865" s="66"/>
      <c r="AT1865" s="81"/>
      <c r="AU1865" s="81"/>
      <c r="AV1865" s="81"/>
      <c r="AW1865" s="81"/>
      <c r="AX1865" s="83">
        <f>SUM(Prog_23[[#This Row],[ADIANTAMENTO]]+Prog_23[[#This Row],[SALDO]]+Prog_23[[#This Row],[MARGEM]]+Prog_23[[#This Row],[ESTADIA 1]])</f>
        <v>0</v>
      </c>
      <c r="AY186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65" s="81"/>
      <c r="BA1865" s="81"/>
      <c r="BB1865" s="81">
        <f>Prog_23[[#This Row],[VLR NF]]*0.1%</f>
        <v>0</v>
      </c>
      <c r="BC1865" s="81">
        <f>Prog_23[[#This Row],[VLR NF]]*0.05%</f>
        <v>0</v>
      </c>
      <c r="BD1865" s="81"/>
      <c r="BE1865" s="81"/>
      <c r="BF1865" s="81"/>
      <c r="BG1865" s="81"/>
      <c r="BH1865" s="81"/>
      <c r="BI1865" s="81"/>
      <c r="BJ1865" s="81"/>
      <c r="BK1865" s="81"/>
      <c r="BL1865" s="81"/>
      <c r="BM1865" s="81"/>
      <c r="BN1865" s="66"/>
      <c r="BO1865" s="66"/>
      <c r="BP1865" s="66"/>
      <c r="BQ1865" s="66" t="str">
        <f>PROPER(TEXT(Prog_23[[#This Row],[PROGRAMAÇÃO CLIENTE]],"mmm"))</f>
        <v>Jan</v>
      </c>
      <c r="BR1865" s="66">
        <f>YEAR(Prog_23[[#This Row],[PROGRAMAÇÃO CLIENTE]])</f>
        <v>1900</v>
      </c>
    </row>
    <row r="1866" spans="1:70" x14ac:dyDescent="0.25">
      <c r="A1866" s="201">
        <f>Prog_23[[#This Row],[CONTEINER]]</f>
        <v>0</v>
      </c>
      <c r="B1866" s="86"/>
      <c r="C186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66" s="44"/>
      <c r="E1866" s="66"/>
      <c r="F1866" s="66"/>
      <c r="G1866" s="66"/>
      <c r="H1866" s="44"/>
      <c r="I1866" s="44"/>
      <c r="J1866" s="66"/>
      <c r="K1866" s="66"/>
      <c r="L1866" s="66"/>
      <c r="M1866" s="66"/>
      <c r="N1866" s="66">
        <f>SUM(Prog_23[[#This Row],[TARA]]+Prog_23[[#This Row],[PESO]])</f>
        <v>0</v>
      </c>
      <c r="O1866" s="44"/>
      <c r="P1866" s="66"/>
      <c r="Q1866" s="66"/>
      <c r="R1866" s="66"/>
      <c r="S1866" s="66"/>
      <c r="T1866" s="138" t="str">
        <f>IFERROR(LOOKUP($S1866,MOTORISTAS!$D$3:$D$916,MOTORISTAS!E$3:$E$916),"")</f>
        <v/>
      </c>
      <c r="U1866" s="138" t="str">
        <f>IFERROR(LOOKUP($S1866,MOTORISTAS!$D$3:$D$916,MOTORISTAS!F$3:$F$916),"")</f>
        <v/>
      </c>
      <c r="V1866" s="66"/>
      <c r="W1866" s="66"/>
      <c r="X1866" s="66"/>
      <c r="Y1866" s="66"/>
      <c r="Z1866" s="66"/>
      <c r="AA1866" s="66"/>
      <c r="AB1866" s="66"/>
      <c r="AC1866" s="66"/>
      <c r="AD1866" s="66"/>
      <c r="AE1866" s="66"/>
      <c r="AF1866" s="44"/>
      <c r="AG1866" s="254">
        <f>Prog_23[[#This Row],[SAÍDA DO CLIENTE]]-Prog_23[[#This Row],[PROGRAMAÇÃO CLIENTE]]</f>
        <v>0</v>
      </c>
      <c r="AH1866" s="44"/>
      <c r="AI1866" s="66"/>
      <c r="AJ1866" s="66"/>
      <c r="AK1866" s="66"/>
      <c r="AL1866" s="66"/>
      <c r="AM1866" s="66"/>
      <c r="AN1866" s="83"/>
      <c r="AO1866" s="83"/>
      <c r="AP1866" s="83"/>
      <c r="AQ1866" s="66"/>
      <c r="AR1866" s="66"/>
      <c r="AS1866" s="66"/>
      <c r="AT1866" s="81"/>
      <c r="AU1866" s="81"/>
      <c r="AV1866" s="81"/>
      <c r="AW1866" s="81"/>
      <c r="AX1866" s="83">
        <f>SUM(Prog_23[[#This Row],[ADIANTAMENTO]]+Prog_23[[#This Row],[SALDO]]+Prog_23[[#This Row],[MARGEM]]+Prog_23[[#This Row],[ESTADIA 1]])</f>
        <v>0</v>
      </c>
      <c r="AY186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66" s="81"/>
      <c r="BA1866" s="81"/>
      <c r="BB1866" s="81">
        <f>Prog_23[[#This Row],[VLR NF]]*0.1%</f>
        <v>0</v>
      </c>
      <c r="BC1866" s="81">
        <f>Prog_23[[#This Row],[VLR NF]]*0.05%</f>
        <v>0</v>
      </c>
      <c r="BD1866" s="81"/>
      <c r="BE1866" s="81"/>
      <c r="BF1866" s="81"/>
      <c r="BG1866" s="81"/>
      <c r="BH1866" s="81"/>
      <c r="BI1866" s="81"/>
      <c r="BJ1866" s="81"/>
      <c r="BK1866" s="81"/>
      <c r="BL1866" s="81"/>
      <c r="BM1866" s="81"/>
      <c r="BN1866" s="66"/>
      <c r="BO1866" s="66"/>
      <c r="BP1866" s="66"/>
      <c r="BQ1866" s="66" t="str">
        <f>PROPER(TEXT(Prog_23[[#This Row],[PROGRAMAÇÃO CLIENTE]],"mmm"))</f>
        <v>Jan</v>
      </c>
      <c r="BR1866" s="66">
        <f>YEAR(Prog_23[[#This Row],[PROGRAMAÇÃO CLIENTE]])</f>
        <v>1900</v>
      </c>
    </row>
    <row r="1867" spans="1:70" x14ac:dyDescent="0.25">
      <c r="A1867" s="200">
        <f>Prog_23[[#This Row],[CONTEINER]]</f>
        <v>0</v>
      </c>
      <c r="B1867" s="86"/>
      <c r="C186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67" s="44"/>
      <c r="E1867" s="66"/>
      <c r="F1867" s="66"/>
      <c r="G1867" s="66"/>
      <c r="H1867" s="44"/>
      <c r="I1867" s="44"/>
      <c r="J1867" s="66"/>
      <c r="K1867" s="66"/>
      <c r="L1867" s="66"/>
      <c r="M1867" s="66"/>
      <c r="N1867" s="66">
        <f>SUM(Prog_23[[#This Row],[TARA]]+Prog_23[[#This Row],[PESO]])</f>
        <v>0</v>
      </c>
      <c r="O1867" s="44"/>
      <c r="P1867" s="66"/>
      <c r="Q1867" s="66"/>
      <c r="R1867" s="66"/>
      <c r="S1867" s="66"/>
      <c r="T1867" s="138" t="str">
        <f>IFERROR(LOOKUP($S1867,MOTORISTAS!$D$3:$D$916,MOTORISTAS!E$3:$E$916),"")</f>
        <v/>
      </c>
      <c r="U1867" s="138" t="str">
        <f>IFERROR(LOOKUP($S1867,MOTORISTAS!$D$3:$D$916,MOTORISTAS!F$3:$F$916),"")</f>
        <v/>
      </c>
      <c r="V1867" s="66"/>
      <c r="W1867" s="66"/>
      <c r="X1867" s="66"/>
      <c r="Y1867" s="66"/>
      <c r="Z1867" s="66"/>
      <c r="AA1867" s="66"/>
      <c r="AB1867" s="66"/>
      <c r="AC1867" s="66"/>
      <c r="AD1867" s="66"/>
      <c r="AE1867" s="66"/>
      <c r="AF1867" s="44"/>
      <c r="AG1867" s="254">
        <f>Prog_23[[#This Row],[SAÍDA DO CLIENTE]]-Prog_23[[#This Row],[PROGRAMAÇÃO CLIENTE]]</f>
        <v>0</v>
      </c>
      <c r="AH1867" s="44"/>
      <c r="AI1867" s="66"/>
      <c r="AJ1867" s="66"/>
      <c r="AK1867" s="66"/>
      <c r="AL1867" s="66"/>
      <c r="AM1867" s="66"/>
      <c r="AN1867" s="83"/>
      <c r="AO1867" s="83"/>
      <c r="AP1867" s="83"/>
      <c r="AQ1867" s="66"/>
      <c r="AR1867" s="66"/>
      <c r="AS1867" s="66"/>
      <c r="AT1867" s="81"/>
      <c r="AU1867" s="81"/>
      <c r="AV1867" s="81"/>
      <c r="AW1867" s="81"/>
      <c r="AX1867" s="83">
        <f>SUM(Prog_23[[#This Row],[ADIANTAMENTO]]+Prog_23[[#This Row],[SALDO]]+Prog_23[[#This Row],[MARGEM]]+Prog_23[[#This Row],[ESTADIA 1]])</f>
        <v>0</v>
      </c>
      <c r="AY186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67" s="81"/>
      <c r="BA1867" s="81"/>
      <c r="BB1867" s="81">
        <f>Prog_23[[#This Row],[VLR NF]]*0.1%</f>
        <v>0</v>
      </c>
      <c r="BC1867" s="81">
        <f>Prog_23[[#This Row],[VLR NF]]*0.05%</f>
        <v>0</v>
      </c>
      <c r="BD1867" s="81"/>
      <c r="BE1867" s="81"/>
      <c r="BF1867" s="81"/>
      <c r="BG1867" s="81"/>
      <c r="BH1867" s="81"/>
      <c r="BI1867" s="81"/>
      <c r="BJ1867" s="81"/>
      <c r="BK1867" s="81"/>
      <c r="BL1867" s="81"/>
      <c r="BM1867" s="81"/>
      <c r="BN1867" s="66"/>
      <c r="BO1867" s="66"/>
      <c r="BP1867" s="66"/>
      <c r="BQ1867" s="66" t="str">
        <f>PROPER(TEXT(Prog_23[[#This Row],[PROGRAMAÇÃO CLIENTE]],"mmm"))</f>
        <v>Jan</v>
      </c>
      <c r="BR1867" s="66">
        <f>YEAR(Prog_23[[#This Row],[PROGRAMAÇÃO CLIENTE]])</f>
        <v>1900</v>
      </c>
    </row>
    <row r="1868" spans="1:70" x14ac:dyDescent="0.25">
      <c r="A1868" s="201">
        <f>Prog_23[[#This Row],[CONTEINER]]</f>
        <v>0</v>
      </c>
      <c r="B1868" s="86"/>
      <c r="C186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68" s="44"/>
      <c r="E1868" s="66"/>
      <c r="F1868" s="66"/>
      <c r="G1868" s="66"/>
      <c r="H1868" s="44"/>
      <c r="I1868" s="44"/>
      <c r="J1868" s="66"/>
      <c r="K1868" s="66"/>
      <c r="L1868" s="66"/>
      <c r="M1868" s="66"/>
      <c r="N1868" s="66">
        <f>SUM(Prog_23[[#This Row],[TARA]]+Prog_23[[#This Row],[PESO]])</f>
        <v>0</v>
      </c>
      <c r="O1868" s="44"/>
      <c r="P1868" s="66"/>
      <c r="Q1868" s="66"/>
      <c r="R1868" s="66"/>
      <c r="S1868" s="66"/>
      <c r="T1868" s="138" t="str">
        <f>IFERROR(LOOKUP($S1868,MOTORISTAS!$D$3:$D$916,MOTORISTAS!E$3:$E$916),"")</f>
        <v/>
      </c>
      <c r="U1868" s="138" t="str">
        <f>IFERROR(LOOKUP($S1868,MOTORISTAS!$D$3:$D$916,MOTORISTAS!F$3:$F$916),"")</f>
        <v/>
      </c>
      <c r="V1868" s="66"/>
      <c r="W1868" s="66"/>
      <c r="X1868" s="66"/>
      <c r="Y1868" s="66"/>
      <c r="Z1868" s="66"/>
      <c r="AA1868" s="66"/>
      <c r="AB1868" s="66"/>
      <c r="AC1868" s="66"/>
      <c r="AD1868" s="66"/>
      <c r="AE1868" s="66"/>
      <c r="AF1868" s="44"/>
      <c r="AG1868" s="254">
        <f>Prog_23[[#This Row],[SAÍDA DO CLIENTE]]-Prog_23[[#This Row],[PROGRAMAÇÃO CLIENTE]]</f>
        <v>0</v>
      </c>
      <c r="AH1868" s="44"/>
      <c r="AI1868" s="66"/>
      <c r="AJ1868" s="66"/>
      <c r="AK1868" s="66"/>
      <c r="AL1868" s="66"/>
      <c r="AM1868" s="66"/>
      <c r="AN1868" s="83"/>
      <c r="AO1868" s="83"/>
      <c r="AP1868" s="83"/>
      <c r="AQ1868" s="66"/>
      <c r="AR1868" s="66"/>
      <c r="AS1868" s="66"/>
      <c r="AT1868" s="81"/>
      <c r="AU1868" s="81"/>
      <c r="AV1868" s="81"/>
      <c r="AW1868" s="81"/>
      <c r="AX1868" s="83">
        <f>SUM(Prog_23[[#This Row],[ADIANTAMENTO]]+Prog_23[[#This Row],[SALDO]]+Prog_23[[#This Row],[MARGEM]]+Prog_23[[#This Row],[ESTADIA 1]])</f>
        <v>0</v>
      </c>
      <c r="AY186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68" s="81"/>
      <c r="BA1868" s="81"/>
      <c r="BB1868" s="81">
        <f>Prog_23[[#This Row],[VLR NF]]*0.1%</f>
        <v>0</v>
      </c>
      <c r="BC1868" s="81">
        <f>Prog_23[[#This Row],[VLR NF]]*0.05%</f>
        <v>0</v>
      </c>
      <c r="BD1868" s="81"/>
      <c r="BE1868" s="81"/>
      <c r="BF1868" s="81"/>
      <c r="BG1868" s="81"/>
      <c r="BH1868" s="81"/>
      <c r="BI1868" s="81"/>
      <c r="BJ1868" s="81"/>
      <c r="BK1868" s="81"/>
      <c r="BL1868" s="81"/>
      <c r="BM1868" s="81"/>
      <c r="BN1868" s="66"/>
      <c r="BO1868" s="66"/>
      <c r="BP1868" s="66"/>
      <c r="BQ1868" s="66" t="str">
        <f>PROPER(TEXT(Prog_23[[#This Row],[PROGRAMAÇÃO CLIENTE]],"mmm"))</f>
        <v>Jan</v>
      </c>
      <c r="BR1868" s="66">
        <f>YEAR(Prog_23[[#This Row],[PROGRAMAÇÃO CLIENTE]])</f>
        <v>1900</v>
      </c>
    </row>
    <row r="1869" spans="1:70" x14ac:dyDescent="0.25">
      <c r="A1869" s="200">
        <f>Prog_23[[#This Row],[CONTEINER]]</f>
        <v>0</v>
      </c>
      <c r="B1869" s="86"/>
      <c r="C186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69" s="44"/>
      <c r="E1869" s="66"/>
      <c r="F1869" s="66"/>
      <c r="G1869" s="66"/>
      <c r="H1869" s="44"/>
      <c r="I1869" s="44"/>
      <c r="J1869" s="66"/>
      <c r="K1869" s="66"/>
      <c r="L1869" s="66"/>
      <c r="M1869" s="66"/>
      <c r="N1869" s="66">
        <f>SUM(Prog_23[[#This Row],[TARA]]+Prog_23[[#This Row],[PESO]])</f>
        <v>0</v>
      </c>
      <c r="O1869" s="44"/>
      <c r="P1869" s="66"/>
      <c r="Q1869" s="66"/>
      <c r="R1869" s="66"/>
      <c r="S1869" s="66"/>
      <c r="T1869" s="138" t="str">
        <f>IFERROR(LOOKUP($S1869,MOTORISTAS!$D$3:$D$916,MOTORISTAS!E$3:$E$916),"")</f>
        <v/>
      </c>
      <c r="U1869" s="138" t="str">
        <f>IFERROR(LOOKUP($S1869,MOTORISTAS!$D$3:$D$916,MOTORISTAS!F$3:$F$916),"")</f>
        <v/>
      </c>
      <c r="V1869" s="66"/>
      <c r="W1869" s="66"/>
      <c r="X1869" s="66"/>
      <c r="Y1869" s="66"/>
      <c r="Z1869" s="66"/>
      <c r="AA1869" s="66"/>
      <c r="AB1869" s="66"/>
      <c r="AC1869" s="66"/>
      <c r="AD1869" s="66"/>
      <c r="AE1869" s="66"/>
      <c r="AF1869" s="44"/>
      <c r="AG1869" s="254">
        <f>Prog_23[[#This Row],[SAÍDA DO CLIENTE]]-Prog_23[[#This Row],[PROGRAMAÇÃO CLIENTE]]</f>
        <v>0</v>
      </c>
      <c r="AH1869" s="44"/>
      <c r="AI1869" s="66"/>
      <c r="AJ1869" s="66"/>
      <c r="AK1869" s="66"/>
      <c r="AL1869" s="66"/>
      <c r="AM1869" s="66"/>
      <c r="AN1869" s="83"/>
      <c r="AO1869" s="83"/>
      <c r="AP1869" s="83"/>
      <c r="AQ1869" s="66"/>
      <c r="AR1869" s="66"/>
      <c r="AS1869" s="66"/>
      <c r="AT1869" s="81"/>
      <c r="AU1869" s="81"/>
      <c r="AV1869" s="81"/>
      <c r="AW1869" s="81"/>
      <c r="AX1869" s="83">
        <f>SUM(Prog_23[[#This Row],[ADIANTAMENTO]]+Prog_23[[#This Row],[SALDO]]+Prog_23[[#This Row],[MARGEM]]+Prog_23[[#This Row],[ESTADIA 1]])</f>
        <v>0</v>
      </c>
      <c r="AY186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69" s="81"/>
      <c r="BA1869" s="81"/>
      <c r="BB1869" s="81">
        <f>Prog_23[[#This Row],[VLR NF]]*0.1%</f>
        <v>0</v>
      </c>
      <c r="BC1869" s="81">
        <f>Prog_23[[#This Row],[VLR NF]]*0.05%</f>
        <v>0</v>
      </c>
      <c r="BD1869" s="81"/>
      <c r="BE1869" s="81"/>
      <c r="BF1869" s="81"/>
      <c r="BG1869" s="81"/>
      <c r="BH1869" s="81"/>
      <c r="BI1869" s="81"/>
      <c r="BJ1869" s="81"/>
      <c r="BK1869" s="81"/>
      <c r="BL1869" s="81"/>
      <c r="BM1869" s="81"/>
      <c r="BN1869" s="66"/>
      <c r="BO1869" s="66"/>
      <c r="BP1869" s="66"/>
      <c r="BQ1869" s="66" t="str">
        <f>PROPER(TEXT(Prog_23[[#This Row],[PROGRAMAÇÃO CLIENTE]],"mmm"))</f>
        <v>Jan</v>
      </c>
      <c r="BR1869" s="66">
        <f>YEAR(Prog_23[[#This Row],[PROGRAMAÇÃO CLIENTE]])</f>
        <v>1900</v>
      </c>
    </row>
    <row r="1870" spans="1:70" x14ac:dyDescent="0.25">
      <c r="A1870" s="201">
        <f>Prog_23[[#This Row],[CONTEINER]]</f>
        <v>0</v>
      </c>
      <c r="B1870" s="86"/>
      <c r="C187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70" s="44"/>
      <c r="E1870" s="66"/>
      <c r="F1870" s="66"/>
      <c r="G1870" s="66"/>
      <c r="H1870" s="44"/>
      <c r="I1870" s="44"/>
      <c r="J1870" s="66"/>
      <c r="K1870" s="66"/>
      <c r="L1870" s="66"/>
      <c r="M1870" s="66"/>
      <c r="N1870" s="66">
        <f>SUM(Prog_23[[#This Row],[TARA]]+Prog_23[[#This Row],[PESO]])</f>
        <v>0</v>
      </c>
      <c r="O1870" s="44"/>
      <c r="P1870" s="66"/>
      <c r="Q1870" s="66"/>
      <c r="R1870" s="66"/>
      <c r="S1870" s="66"/>
      <c r="T1870" s="138" t="str">
        <f>IFERROR(LOOKUP($S1870,MOTORISTAS!$D$3:$D$916,MOTORISTAS!E$3:$E$916),"")</f>
        <v/>
      </c>
      <c r="U1870" s="138" t="str">
        <f>IFERROR(LOOKUP($S1870,MOTORISTAS!$D$3:$D$916,MOTORISTAS!F$3:$F$916),"")</f>
        <v/>
      </c>
      <c r="V1870" s="66"/>
      <c r="W1870" s="66"/>
      <c r="X1870" s="66"/>
      <c r="Y1870" s="66"/>
      <c r="Z1870" s="66"/>
      <c r="AA1870" s="66"/>
      <c r="AB1870" s="66"/>
      <c r="AC1870" s="66"/>
      <c r="AD1870" s="66"/>
      <c r="AE1870" s="66"/>
      <c r="AF1870" s="44"/>
      <c r="AG1870" s="254">
        <f>Prog_23[[#This Row],[SAÍDA DO CLIENTE]]-Prog_23[[#This Row],[PROGRAMAÇÃO CLIENTE]]</f>
        <v>0</v>
      </c>
      <c r="AH1870" s="44"/>
      <c r="AI1870" s="66"/>
      <c r="AJ1870" s="66"/>
      <c r="AK1870" s="66"/>
      <c r="AL1870" s="66"/>
      <c r="AM1870" s="66"/>
      <c r="AN1870" s="83"/>
      <c r="AO1870" s="83"/>
      <c r="AP1870" s="83"/>
      <c r="AQ1870" s="66"/>
      <c r="AR1870" s="66"/>
      <c r="AS1870" s="66"/>
      <c r="AT1870" s="81"/>
      <c r="AU1870" s="81"/>
      <c r="AV1870" s="81"/>
      <c r="AW1870" s="81"/>
      <c r="AX1870" s="83">
        <f>SUM(Prog_23[[#This Row],[ADIANTAMENTO]]+Prog_23[[#This Row],[SALDO]]+Prog_23[[#This Row],[MARGEM]]+Prog_23[[#This Row],[ESTADIA 1]])</f>
        <v>0</v>
      </c>
      <c r="AY187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70" s="81"/>
      <c r="BA1870" s="81"/>
      <c r="BB1870" s="81">
        <f>Prog_23[[#This Row],[VLR NF]]*0.1%</f>
        <v>0</v>
      </c>
      <c r="BC1870" s="81">
        <f>Prog_23[[#This Row],[VLR NF]]*0.05%</f>
        <v>0</v>
      </c>
      <c r="BD1870" s="81"/>
      <c r="BE1870" s="81"/>
      <c r="BF1870" s="81"/>
      <c r="BG1870" s="81"/>
      <c r="BH1870" s="81"/>
      <c r="BI1870" s="81"/>
      <c r="BJ1870" s="81"/>
      <c r="BK1870" s="81"/>
      <c r="BL1870" s="81"/>
      <c r="BM1870" s="81"/>
      <c r="BN1870" s="66"/>
      <c r="BO1870" s="66"/>
      <c r="BP1870" s="66"/>
      <c r="BQ1870" s="66" t="str">
        <f>PROPER(TEXT(Prog_23[[#This Row],[PROGRAMAÇÃO CLIENTE]],"mmm"))</f>
        <v>Jan</v>
      </c>
      <c r="BR1870" s="66">
        <f>YEAR(Prog_23[[#This Row],[PROGRAMAÇÃO CLIENTE]])</f>
        <v>1900</v>
      </c>
    </row>
    <row r="1871" spans="1:70" x14ac:dyDescent="0.25">
      <c r="A1871" s="200">
        <f>Prog_23[[#This Row],[CONTEINER]]</f>
        <v>0</v>
      </c>
      <c r="B1871" s="86"/>
      <c r="C187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71" s="44"/>
      <c r="E1871" s="66"/>
      <c r="F1871" s="66"/>
      <c r="G1871" s="66"/>
      <c r="H1871" s="44"/>
      <c r="I1871" s="44"/>
      <c r="J1871" s="66"/>
      <c r="K1871" s="66"/>
      <c r="L1871" s="66"/>
      <c r="M1871" s="66"/>
      <c r="N1871" s="66">
        <f>SUM(Prog_23[[#This Row],[TARA]]+Prog_23[[#This Row],[PESO]])</f>
        <v>0</v>
      </c>
      <c r="O1871" s="44"/>
      <c r="P1871" s="66"/>
      <c r="Q1871" s="66"/>
      <c r="R1871" s="66"/>
      <c r="S1871" s="66"/>
      <c r="T1871" s="138" t="str">
        <f>IFERROR(LOOKUP($S1871,MOTORISTAS!$D$3:$D$916,MOTORISTAS!E$3:$E$916),"")</f>
        <v/>
      </c>
      <c r="U1871" s="138" t="str">
        <f>IFERROR(LOOKUP($S1871,MOTORISTAS!$D$3:$D$916,MOTORISTAS!F$3:$F$916),"")</f>
        <v/>
      </c>
      <c r="V1871" s="66"/>
      <c r="W1871" s="66"/>
      <c r="X1871" s="66"/>
      <c r="Y1871" s="66"/>
      <c r="Z1871" s="66"/>
      <c r="AA1871" s="66"/>
      <c r="AB1871" s="66"/>
      <c r="AC1871" s="66"/>
      <c r="AD1871" s="66"/>
      <c r="AE1871" s="66"/>
      <c r="AF1871" s="44"/>
      <c r="AG1871" s="254">
        <f>Prog_23[[#This Row],[SAÍDA DO CLIENTE]]-Prog_23[[#This Row],[PROGRAMAÇÃO CLIENTE]]</f>
        <v>0</v>
      </c>
      <c r="AH1871" s="44"/>
      <c r="AI1871" s="66"/>
      <c r="AJ1871" s="66"/>
      <c r="AK1871" s="66"/>
      <c r="AL1871" s="66"/>
      <c r="AM1871" s="66"/>
      <c r="AN1871" s="83"/>
      <c r="AO1871" s="83"/>
      <c r="AP1871" s="83"/>
      <c r="AQ1871" s="66"/>
      <c r="AR1871" s="66"/>
      <c r="AS1871" s="66"/>
      <c r="AT1871" s="81"/>
      <c r="AU1871" s="81"/>
      <c r="AV1871" s="81"/>
      <c r="AW1871" s="81"/>
      <c r="AX1871" s="83">
        <f>SUM(Prog_23[[#This Row],[ADIANTAMENTO]]+Prog_23[[#This Row],[SALDO]]+Prog_23[[#This Row],[MARGEM]]+Prog_23[[#This Row],[ESTADIA 1]])</f>
        <v>0</v>
      </c>
      <c r="AY187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71" s="81"/>
      <c r="BA1871" s="81"/>
      <c r="BB1871" s="81">
        <f>Prog_23[[#This Row],[VLR NF]]*0.1%</f>
        <v>0</v>
      </c>
      <c r="BC1871" s="81">
        <f>Prog_23[[#This Row],[VLR NF]]*0.05%</f>
        <v>0</v>
      </c>
      <c r="BD1871" s="81"/>
      <c r="BE1871" s="81"/>
      <c r="BF1871" s="81"/>
      <c r="BG1871" s="81"/>
      <c r="BH1871" s="81"/>
      <c r="BI1871" s="81"/>
      <c r="BJ1871" s="81"/>
      <c r="BK1871" s="81"/>
      <c r="BL1871" s="81"/>
      <c r="BM1871" s="81"/>
      <c r="BN1871" s="66"/>
      <c r="BO1871" s="66"/>
      <c r="BP1871" s="66"/>
      <c r="BQ1871" s="66" t="str">
        <f>PROPER(TEXT(Prog_23[[#This Row],[PROGRAMAÇÃO CLIENTE]],"mmm"))</f>
        <v>Jan</v>
      </c>
      <c r="BR1871" s="66">
        <f>YEAR(Prog_23[[#This Row],[PROGRAMAÇÃO CLIENTE]])</f>
        <v>1900</v>
      </c>
    </row>
    <row r="1872" spans="1:70" x14ac:dyDescent="0.25">
      <c r="A1872" s="201">
        <f>Prog_23[[#This Row],[CONTEINER]]</f>
        <v>0</v>
      </c>
      <c r="B1872" s="86"/>
      <c r="C187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72" s="44"/>
      <c r="E1872" s="66"/>
      <c r="F1872" s="66"/>
      <c r="G1872" s="66"/>
      <c r="H1872" s="44"/>
      <c r="I1872" s="44"/>
      <c r="J1872" s="66"/>
      <c r="K1872" s="66"/>
      <c r="L1872" s="66"/>
      <c r="M1872" s="66"/>
      <c r="N1872" s="66">
        <f>SUM(Prog_23[[#This Row],[TARA]]+Prog_23[[#This Row],[PESO]])</f>
        <v>0</v>
      </c>
      <c r="O1872" s="44"/>
      <c r="P1872" s="66"/>
      <c r="Q1872" s="66"/>
      <c r="R1872" s="66"/>
      <c r="S1872" s="66"/>
      <c r="T1872" s="138" t="str">
        <f>IFERROR(LOOKUP($S1872,MOTORISTAS!$D$3:$D$916,MOTORISTAS!E$3:$E$916),"")</f>
        <v/>
      </c>
      <c r="U1872" s="138" t="str">
        <f>IFERROR(LOOKUP($S1872,MOTORISTAS!$D$3:$D$916,MOTORISTAS!F$3:$F$916),"")</f>
        <v/>
      </c>
      <c r="V1872" s="66"/>
      <c r="W1872" s="66"/>
      <c r="X1872" s="66"/>
      <c r="Y1872" s="66"/>
      <c r="Z1872" s="66"/>
      <c r="AA1872" s="66"/>
      <c r="AB1872" s="66"/>
      <c r="AC1872" s="66"/>
      <c r="AD1872" s="66"/>
      <c r="AE1872" s="66"/>
      <c r="AF1872" s="44"/>
      <c r="AG1872" s="254">
        <f>Prog_23[[#This Row],[SAÍDA DO CLIENTE]]-Prog_23[[#This Row],[PROGRAMAÇÃO CLIENTE]]</f>
        <v>0</v>
      </c>
      <c r="AH1872" s="44"/>
      <c r="AI1872" s="66"/>
      <c r="AJ1872" s="66"/>
      <c r="AK1872" s="66"/>
      <c r="AL1872" s="66"/>
      <c r="AM1872" s="66"/>
      <c r="AN1872" s="83"/>
      <c r="AO1872" s="83"/>
      <c r="AP1872" s="83"/>
      <c r="AQ1872" s="66"/>
      <c r="AR1872" s="66"/>
      <c r="AS1872" s="66"/>
      <c r="AT1872" s="81"/>
      <c r="AU1872" s="81"/>
      <c r="AV1872" s="81"/>
      <c r="AW1872" s="81"/>
      <c r="AX1872" s="83">
        <f>SUM(Prog_23[[#This Row],[ADIANTAMENTO]]+Prog_23[[#This Row],[SALDO]]+Prog_23[[#This Row],[MARGEM]]+Prog_23[[#This Row],[ESTADIA 1]])</f>
        <v>0</v>
      </c>
      <c r="AY187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72" s="81"/>
      <c r="BA1872" s="81"/>
      <c r="BB1872" s="81">
        <f>Prog_23[[#This Row],[VLR NF]]*0.1%</f>
        <v>0</v>
      </c>
      <c r="BC1872" s="81">
        <f>Prog_23[[#This Row],[VLR NF]]*0.05%</f>
        <v>0</v>
      </c>
      <c r="BD1872" s="81"/>
      <c r="BE1872" s="81"/>
      <c r="BF1872" s="81"/>
      <c r="BG1872" s="81"/>
      <c r="BH1872" s="81"/>
      <c r="BI1872" s="81"/>
      <c r="BJ1872" s="81"/>
      <c r="BK1872" s="81"/>
      <c r="BL1872" s="81"/>
      <c r="BM1872" s="81"/>
      <c r="BN1872" s="66"/>
      <c r="BO1872" s="66"/>
      <c r="BP1872" s="66"/>
      <c r="BQ1872" s="66" t="str">
        <f>PROPER(TEXT(Prog_23[[#This Row],[PROGRAMAÇÃO CLIENTE]],"mmm"))</f>
        <v>Jan</v>
      </c>
      <c r="BR1872" s="66">
        <f>YEAR(Prog_23[[#This Row],[PROGRAMAÇÃO CLIENTE]])</f>
        <v>1900</v>
      </c>
    </row>
    <row r="1873" spans="1:70" x14ac:dyDescent="0.25">
      <c r="A1873" s="200">
        <f>Prog_23[[#This Row],[CONTEINER]]</f>
        <v>0</v>
      </c>
      <c r="B1873" s="86"/>
      <c r="C187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73" s="44"/>
      <c r="E1873" s="66"/>
      <c r="F1873" s="66"/>
      <c r="G1873" s="66"/>
      <c r="H1873" s="44"/>
      <c r="I1873" s="44"/>
      <c r="J1873" s="66"/>
      <c r="K1873" s="66"/>
      <c r="L1873" s="66"/>
      <c r="M1873" s="66"/>
      <c r="N1873" s="66">
        <f>SUM(Prog_23[[#This Row],[TARA]]+Prog_23[[#This Row],[PESO]])</f>
        <v>0</v>
      </c>
      <c r="O1873" s="44"/>
      <c r="P1873" s="66"/>
      <c r="Q1873" s="66"/>
      <c r="R1873" s="66"/>
      <c r="S1873" s="66"/>
      <c r="T1873" s="138" t="str">
        <f>IFERROR(LOOKUP($S1873,MOTORISTAS!$D$3:$D$916,MOTORISTAS!E$3:$E$916),"")</f>
        <v/>
      </c>
      <c r="U1873" s="138" t="str">
        <f>IFERROR(LOOKUP($S1873,MOTORISTAS!$D$3:$D$916,MOTORISTAS!F$3:$F$916),"")</f>
        <v/>
      </c>
      <c r="V1873" s="66"/>
      <c r="W1873" s="66"/>
      <c r="X1873" s="66"/>
      <c r="Y1873" s="66"/>
      <c r="Z1873" s="66"/>
      <c r="AA1873" s="66"/>
      <c r="AB1873" s="66"/>
      <c r="AC1873" s="66"/>
      <c r="AD1873" s="66"/>
      <c r="AE1873" s="66"/>
      <c r="AF1873" s="44"/>
      <c r="AG1873" s="254">
        <f>Prog_23[[#This Row],[SAÍDA DO CLIENTE]]-Prog_23[[#This Row],[PROGRAMAÇÃO CLIENTE]]</f>
        <v>0</v>
      </c>
      <c r="AH1873" s="44"/>
      <c r="AI1873" s="66"/>
      <c r="AJ1873" s="66"/>
      <c r="AK1873" s="66"/>
      <c r="AL1873" s="66"/>
      <c r="AM1873" s="66"/>
      <c r="AN1873" s="83"/>
      <c r="AO1873" s="83"/>
      <c r="AP1873" s="83"/>
      <c r="AQ1873" s="66"/>
      <c r="AR1873" s="66"/>
      <c r="AS1873" s="66"/>
      <c r="AT1873" s="81"/>
      <c r="AU1873" s="81"/>
      <c r="AV1873" s="81"/>
      <c r="AW1873" s="81"/>
      <c r="AX1873" s="83">
        <f>SUM(Prog_23[[#This Row],[ADIANTAMENTO]]+Prog_23[[#This Row],[SALDO]]+Prog_23[[#This Row],[MARGEM]]+Prog_23[[#This Row],[ESTADIA 1]])</f>
        <v>0</v>
      </c>
      <c r="AY187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73" s="81"/>
      <c r="BA1873" s="81"/>
      <c r="BB1873" s="81">
        <f>Prog_23[[#This Row],[VLR NF]]*0.1%</f>
        <v>0</v>
      </c>
      <c r="BC1873" s="81">
        <f>Prog_23[[#This Row],[VLR NF]]*0.05%</f>
        <v>0</v>
      </c>
      <c r="BD1873" s="81"/>
      <c r="BE1873" s="81"/>
      <c r="BF1873" s="81"/>
      <c r="BG1873" s="81"/>
      <c r="BH1873" s="81"/>
      <c r="BI1873" s="81"/>
      <c r="BJ1873" s="81"/>
      <c r="BK1873" s="81"/>
      <c r="BL1873" s="81"/>
      <c r="BM1873" s="81"/>
      <c r="BN1873" s="66"/>
      <c r="BO1873" s="66"/>
      <c r="BP1873" s="66"/>
      <c r="BQ1873" s="66" t="str">
        <f>PROPER(TEXT(Prog_23[[#This Row],[PROGRAMAÇÃO CLIENTE]],"mmm"))</f>
        <v>Jan</v>
      </c>
      <c r="BR1873" s="66">
        <f>YEAR(Prog_23[[#This Row],[PROGRAMAÇÃO CLIENTE]])</f>
        <v>1900</v>
      </c>
    </row>
    <row r="1874" spans="1:70" x14ac:dyDescent="0.25">
      <c r="A1874" s="201">
        <f>Prog_23[[#This Row],[CONTEINER]]</f>
        <v>0</v>
      </c>
      <c r="B1874" s="86"/>
      <c r="C187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74" s="44"/>
      <c r="E1874" s="66"/>
      <c r="F1874" s="66"/>
      <c r="G1874" s="66"/>
      <c r="H1874" s="44"/>
      <c r="I1874" s="44"/>
      <c r="J1874" s="66"/>
      <c r="K1874" s="66"/>
      <c r="L1874" s="66"/>
      <c r="M1874" s="66"/>
      <c r="N1874" s="66">
        <f>SUM(Prog_23[[#This Row],[TARA]]+Prog_23[[#This Row],[PESO]])</f>
        <v>0</v>
      </c>
      <c r="O1874" s="44"/>
      <c r="P1874" s="66"/>
      <c r="Q1874" s="66"/>
      <c r="R1874" s="66"/>
      <c r="S1874" s="66"/>
      <c r="T1874" s="138" t="str">
        <f>IFERROR(LOOKUP($S1874,MOTORISTAS!$D$3:$D$916,MOTORISTAS!E$3:$E$916),"")</f>
        <v/>
      </c>
      <c r="U1874" s="138" t="str">
        <f>IFERROR(LOOKUP($S1874,MOTORISTAS!$D$3:$D$916,MOTORISTAS!F$3:$F$916),"")</f>
        <v/>
      </c>
      <c r="V1874" s="66"/>
      <c r="W1874" s="66"/>
      <c r="X1874" s="66"/>
      <c r="Y1874" s="66"/>
      <c r="Z1874" s="66"/>
      <c r="AA1874" s="66"/>
      <c r="AB1874" s="66"/>
      <c r="AC1874" s="66"/>
      <c r="AD1874" s="66"/>
      <c r="AE1874" s="66"/>
      <c r="AF1874" s="44"/>
      <c r="AG1874" s="254">
        <f>Prog_23[[#This Row],[SAÍDA DO CLIENTE]]-Prog_23[[#This Row],[PROGRAMAÇÃO CLIENTE]]</f>
        <v>0</v>
      </c>
      <c r="AH1874" s="44"/>
      <c r="AI1874" s="66"/>
      <c r="AJ1874" s="66"/>
      <c r="AK1874" s="66"/>
      <c r="AL1874" s="66"/>
      <c r="AM1874" s="66"/>
      <c r="AN1874" s="83"/>
      <c r="AO1874" s="83"/>
      <c r="AP1874" s="83"/>
      <c r="AQ1874" s="66"/>
      <c r="AR1874" s="66"/>
      <c r="AS1874" s="66"/>
      <c r="AT1874" s="81"/>
      <c r="AU1874" s="81"/>
      <c r="AV1874" s="81"/>
      <c r="AW1874" s="81"/>
      <c r="AX1874" s="83">
        <f>SUM(Prog_23[[#This Row],[ADIANTAMENTO]]+Prog_23[[#This Row],[SALDO]]+Prog_23[[#This Row],[MARGEM]]+Prog_23[[#This Row],[ESTADIA 1]])</f>
        <v>0</v>
      </c>
      <c r="AY187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74" s="81"/>
      <c r="BA1874" s="81"/>
      <c r="BB1874" s="81">
        <f>Prog_23[[#This Row],[VLR NF]]*0.1%</f>
        <v>0</v>
      </c>
      <c r="BC1874" s="81">
        <f>Prog_23[[#This Row],[VLR NF]]*0.05%</f>
        <v>0</v>
      </c>
      <c r="BD1874" s="81"/>
      <c r="BE1874" s="81"/>
      <c r="BF1874" s="81"/>
      <c r="BG1874" s="81"/>
      <c r="BH1874" s="81"/>
      <c r="BI1874" s="81"/>
      <c r="BJ1874" s="81"/>
      <c r="BK1874" s="81"/>
      <c r="BL1874" s="81"/>
      <c r="BM1874" s="81"/>
      <c r="BN1874" s="66"/>
      <c r="BO1874" s="66"/>
      <c r="BP1874" s="66"/>
      <c r="BQ1874" s="66" t="str">
        <f>PROPER(TEXT(Prog_23[[#This Row],[PROGRAMAÇÃO CLIENTE]],"mmm"))</f>
        <v>Jan</v>
      </c>
      <c r="BR1874" s="66">
        <f>YEAR(Prog_23[[#This Row],[PROGRAMAÇÃO CLIENTE]])</f>
        <v>1900</v>
      </c>
    </row>
    <row r="1875" spans="1:70" x14ac:dyDescent="0.25">
      <c r="A1875" s="200">
        <f>Prog_23[[#This Row],[CONTEINER]]</f>
        <v>0</v>
      </c>
      <c r="B1875" s="86"/>
      <c r="C187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75" s="44"/>
      <c r="E1875" s="66"/>
      <c r="F1875" s="66"/>
      <c r="G1875" s="66"/>
      <c r="H1875" s="44"/>
      <c r="I1875" s="44"/>
      <c r="J1875" s="66"/>
      <c r="K1875" s="66"/>
      <c r="L1875" s="66"/>
      <c r="M1875" s="66"/>
      <c r="N1875" s="66">
        <f>SUM(Prog_23[[#This Row],[TARA]]+Prog_23[[#This Row],[PESO]])</f>
        <v>0</v>
      </c>
      <c r="O1875" s="44"/>
      <c r="P1875" s="66"/>
      <c r="Q1875" s="66"/>
      <c r="R1875" s="66"/>
      <c r="S1875" s="66"/>
      <c r="T1875" s="138" t="str">
        <f>IFERROR(LOOKUP($S1875,MOTORISTAS!$D$3:$D$916,MOTORISTAS!E$3:$E$916),"")</f>
        <v/>
      </c>
      <c r="U1875" s="138" t="str">
        <f>IFERROR(LOOKUP($S1875,MOTORISTAS!$D$3:$D$916,MOTORISTAS!F$3:$F$916),"")</f>
        <v/>
      </c>
      <c r="V1875" s="66"/>
      <c r="W1875" s="66"/>
      <c r="X1875" s="66"/>
      <c r="Y1875" s="66"/>
      <c r="Z1875" s="66"/>
      <c r="AA1875" s="66"/>
      <c r="AB1875" s="66"/>
      <c r="AC1875" s="66"/>
      <c r="AD1875" s="66"/>
      <c r="AE1875" s="66"/>
      <c r="AF1875" s="44"/>
      <c r="AG1875" s="254">
        <f>Prog_23[[#This Row],[SAÍDA DO CLIENTE]]-Prog_23[[#This Row],[PROGRAMAÇÃO CLIENTE]]</f>
        <v>0</v>
      </c>
      <c r="AH1875" s="44"/>
      <c r="AI1875" s="66"/>
      <c r="AJ1875" s="66"/>
      <c r="AK1875" s="66"/>
      <c r="AL1875" s="66"/>
      <c r="AM1875" s="66"/>
      <c r="AN1875" s="83"/>
      <c r="AO1875" s="83"/>
      <c r="AP1875" s="83"/>
      <c r="AQ1875" s="66"/>
      <c r="AR1875" s="66"/>
      <c r="AS1875" s="66"/>
      <c r="AT1875" s="81"/>
      <c r="AU1875" s="81"/>
      <c r="AV1875" s="81"/>
      <c r="AW1875" s="81"/>
      <c r="AX1875" s="83">
        <f>SUM(Prog_23[[#This Row],[ADIANTAMENTO]]+Prog_23[[#This Row],[SALDO]]+Prog_23[[#This Row],[MARGEM]]+Prog_23[[#This Row],[ESTADIA 1]])</f>
        <v>0</v>
      </c>
      <c r="AY187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75" s="81"/>
      <c r="BA1875" s="81"/>
      <c r="BB1875" s="81">
        <f>Prog_23[[#This Row],[VLR NF]]*0.1%</f>
        <v>0</v>
      </c>
      <c r="BC1875" s="81">
        <f>Prog_23[[#This Row],[VLR NF]]*0.05%</f>
        <v>0</v>
      </c>
      <c r="BD1875" s="81"/>
      <c r="BE1875" s="81"/>
      <c r="BF1875" s="81"/>
      <c r="BG1875" s="81"/>
      <c r="BH1875" s="81"/>
      <c r="BI1875" s="81"/>
      <c r="BJ1875" s="81"/>
      <c r="BK1875" s="81"/>
      <c r="BL1875" s="81"/>
      <c r="BM1875" s="81"/>
      <c r="BN1875" s="66"/>
      <c r="BO1875" s="66"/>
      <c r="BP1875" s="66"/>
      <c r="BQ1875" s="66" t="str">
        <f>PROPER(TEXT(Prog_23[[#This Row],[PROGRAMAÇÃO CLIENTE]],"mmm"))</f>
        <v>Jan</v>
      </c>
      <c r="BR1875" s="66">
        <f>YEAR(Prog_23[[#This Row],[PROGRAMAÇÃO CLIENTE]])</f>
        <v>1900</v>
      </c>
    </row>
    <row r="1876" spans="1:70" x14ac:dyDescent="0.25">
      <c r="A1876" s="201">
        <f>Prog_23[[#This Row],[CONTEINER]]</f>
        <v>0</v>
      </c>
      <c r="B1876" s="86"/>
      <c r="C187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76" s="44"/>
      <c r="E1876" s="66"/>
      <c r="F1876" s="66"/>
      <c r="G1876" s="66"/>
      <c r="H1876" s="44"/>
      <c r="I1876" s="44"/>
      <c r="J1876" s="66"/>
      <c r="K1876" s="66"/>
      <c r="L1876" s="66"/>
      <c r="M1876" s="66"/>
      <c r="N1876" s="66">
        <f>SUM(Prog_23[[#This Row],[TARA]]+Prog_23[[#This Row],[PESO]])</f>
        <v>0</v>
      </c>
      <c r="O1876" s="44"/>
      <c r="P1876" s="66"/>
      <c r="Q1876" s="66"/>
      <c r="R1876" s="66"/>
      <c r="S1876" s="66"/>
      <c r="T1876" s="138" t="str">
        <f>IFERROR(LOOKUP($S1876,MOTORISTAS!$D$3:$D$916,MOTORISTAS!E$3:$E$916),"")</f>
        <v/>
      </c>
      <c r="U1876" s="138" t="str">
        <f>IFERROR(LOOKUP($S1876,MOTORISTAS!$D$3:$D$916,MOTORISTAS!F$3:$F$916),"")</f>
        <v/>
      </c>
      <c r="V1876" s="66"/>
      <c r="W1876" s="66"/>
      <c r="X1876" s="66"/>
      <c r="Y1876" s="66"/>
      <c r="Z1876" s="66"/>
      <c r="AA1876" s="66"/>
      <c r="AB1876" s="66"/>
      <c r="AC1876" s="66"/>
      <c r="AD1876" s="66"/>
      <c r="AE1876" s="66"/>
      <c r="AF1876" s="44"/>
      <c r="AG1876" s="254">
        <f>Prog_23[[#This Row],[SAÍDA DO CLIENTE]]-Prog_23[[#This Row],[PROGRAMAÇÃO CLIENTE]]</f>
        <v>0</v>
      </c>
      <c r="AH1876" s="44"/>
      <c r="AI1876" s="66"/>
      <c r="AJ1876" s="66"/>
      <c r="AK1876" s="66"/>
      <c r="AL1876" s="66"/>
      <c r="AM1876" s="66"/>
      <c r="AN1876" s="83"/>
      <c r="AO1876" s="83"/>
      <c r="AP1876" s="83"/>
      <c r="AQ1876" s="66"/>
      <c r="AR1876" s="66"/>
      <c r="AS1876" s="66"/>
      <c r="AT1876" s="81"/>
      <c r="AU1876" s="81"/>
      <c r="AV1876" s="81"/>
      <c r="AW1876" s="81"/>
      <c r="AX1876" s="83">
        <f>SUM(Prog_23[[#This Row],[ADIANTAMENTO]]+Prog_23[[#This Row],[SALDO]]+Prog_23[[#This Row],[MARGEM]]+Prog_23[[#This Row],[ESTADIA 1]])</f>
        <v>0</v>
      </c>
      <c r="AY187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76" s="81"/>
      <c r="BA1876" s="81"/>
      <c r="BB1876" s="81">
        <f>Prog_23[[#This Row],[VLR NF]]*0.1%</f>
        <v>0</v>
      </c>
      <c r="BC1876" s="81">
        <f>Prog_23[[#This Row],[VLR NF]]*0.05%</f>
        <v>0</v>
      </c>
      <c r="BD1876" s="81"/>
      <c r="BE1876" s="81"/>
      <c r="BF1876" s="81"/>
      <c r="BG1876" s="81"/>
      <c r="BH1876" s="81"/>
      <c r="BI1876" s="81"/>
      <c r="BJ1876" s="81"/>
      <c r="BK1876" s="81"/>
      <c r="BL1876" s="81"/>
      <c r="BM1876" s="81"/>
      <c r="BN1876" s="66"/>
      <c r="BO1876" s="66"/>
      <c r="BP1876" s="66"/>
      <c r="BQ1876" s="66" t="str">
        <f>PROPER(TEXT(Prog_23[[#This Row],[PROGRAMAÇÃO CLIENTE]],"mmm"))</f>
        <v>Jan</v>
      </c>
      <c r="BR1876" s="66">
        <f>YEAR(Prog_23[[#This Row],[PROGRAMAÇÃO CLIENTE]])</f>
        <v>1900</v>
      </c>
    </row>
    <row r="1877" spans="1:70" x14ac:dyDescent="0.25">
      <c r="A1877" s="200">
        <f>Prog_23[[#This Row],[CONTEINER]]</f>
        <v>0</v>
      </c>
      <c r="B1877" s="86"/>
      <c r="C187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77" s="44"/>
      <c r="E1877" s="66"/>
      <c r="F1877" s="66"/>
      <c r="G1877" s="66"/>
      <c r="H1877" s="44"/>
      <c r="I1877" s="44"/>
      <c r="J1877" s="66"/>
      <c r="K1877" s="66"/>
      <c r="L1877" s="66"/>
      <c r="M1877" s="66"/>
      <c r="N1877" s="66">
        <f>SUM(Prog_23[[#This Row],[TARA]]+Prog_23[[#This Row],[PESO]])</f>
        <v>0</v>
      </c>
      <c r="O1877" s="44"/>
      <c r="P1877" s="66"/>
      <c r="Q1877" s="66"/>
      <c r="R1877" s="66"/>
      <c r="S1877" s="66"/>
      <c r="T1877" s="138" t="str">
        <f>IFERROR(LOOKUP($S1877,MOTORISTAS!$D$3:$D$916,MOTORISTAS!E$3:$E$916),"")</f>
        <v/>
      </c>
      <c r="U1877" s="138" t="str">
        <f>IFERROR(LOOKUP($S1877,MOTORISTAS!$D$3:$D$916,MOTORISTAS!F$3:$F$916),"")</f>
        <v/>
      </c>
      <c r="V1877" s="66"/>
      <c r="W1877" s="66"/>
      <c r="X1877" s="66"/>
      <c r="Y1877" s="66"/>
      <c r="Z1877" s="66"/>
      <c r="AA1877" s="66"/>
      <c r="AB1877" s="66"/>
      <c r="AC1877" s="66"/>
      <c r="AD1877" s="66"/>
      <c r="AE1877" s="66"/>
      <c r="AF1877" s="44"/>
      <c r="AG1877" s="254">
        <f>Prog_23[[#This Row],[SAÍDA DO CLIENTE]]-Prog_23[[#This Row],[PROGRAMAÇÃO CLIENTE]]</f>
        <v>0</v>
      </c>
      <c r="AH1877" s="44"/>
      <c r="AI1877" s="66"/>
      <c r="AJ1877" s="66"/>
      <c r="AK1877" s="66"/>
      <c r="AL1877" s="66"/>
      <c r="AM1877" s="66"/>
      <c r="AN1877" s="83"/>
      <c r="AO1877" s="83"/>
      <c r="AP1877" s="83"/>
      <c r="AQ1877" s="66"/>
      <c r="AR1877" s="66"/>
      <c r="AS1877" s="66"/>
      <c r="AT1877" s="81"/>
      <c r="AU1877" s="81"/>
      <c r="AV1877" s="81"/>
      <c r="AW1877" s="81"/>
      <c r="AX1877" s="83">
        <f>SUM(Prog_23[[#This Row],[ADIANTAMENTO]]+Prog_23[[#This Row],[SALDO]]+Prog_23[[#This Row],[MARGEM]]+Prog_23[[#This Row],[ESTADIA 1]])</f>
        <v>0</v>
      </c>
      <c r="AY187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77" s="81"/>
      <c r="BA1877" s="81"/>
      <c r="BB1877" s="81">
        <f>Prog_23[[#This Row],[VLR NF]]*0.1%</f>
        <v>0</v>
      </c>
      <c r="BC1877" s="81">
        <f>Prog_23[[#This Row],[VLR NF]]*0.05%</f>
        <v>0</v>
      </c>
      <c r="BD1877" s="81"/>
      <c r="BE1877" s="81"/>
      <c r="BF1877" s="81"/>
      <c r="BG1877" s="81"/>
      <c r="BH1877" s="81"/>
      <c r="BI1877" s="81"/>
      <c r="BJ1877" s="81"/>
      <c r="BK1877" s="81"/>
      <c r="BL1877" s="81"/>
      <c r="BM1877" s="81"/>
      <c r="BN1877" s="66"/>
      <c r="BO1877" s="66"/>
      <c r="BP1877" s="66"/>
      <c r="BQ1877" s="66" t="str">
        <f>PROPER(TEXT(Prog_23[[#This Row],[PROGRAMAÇÃO CLIENTE]],"mmm"))</f>
        <v>Jan</v>
      </c>
      <c r="BR1877" s="66">
        <f>YEAR(Prog_23[[#This Row],[PROGRAMAÇÃO CLIENTE]])</f>
        <v>1900</v>
      </c>
    </row>
    <row r="1878" spans="1:70" x14ac:dyDescent="0.25">
      <c r="A1878" s="201">
        <f>Prog_23[[#This Row],[CONTEINER]]</f>
        <v>0</v>
      </c>
      <c r="B1878" s="86"/>
      <c r="C187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78" s="44"/>
      <c r="E1878" s="66"/>
      <c r="F1878" s="66"/>
      <c r="G1878" s="66"/>
      <c r="H1878" s="44"/>
      <c r="I1878" s="44"/>
      <c r="J1878" s="66"/>
      <c r="K1878" s="66"/>
      <c r="L1878" s="66"/>
      <c r="M1878" s="66"/>
      <c r="N1878" s="66">
        <f>SUM(Prog_23[[#This Row],[TARA]]+Prog_23[[#This Row],[PESO]])</f>
        <v>0</v>
      </c>
      <c r="O1878" s="44"/>
      <c r="P1878" s="66"/>
      <c r="Q1878" s="66"/>
      <c r="R1878" s="66"/>
      <c r="S1878" s="66"/>
      <c r="T1878" s="138" t="str">
        <f>IFERROR(LOOKUP($S1878,MOTORISTAS!$D$3:$D$916,MOTORISTAS!E$3:$E$916),"")</f>
        <v/>
      </c>
      <c r="U1878" s="138" t="str">
        <f>IFERROR(LOOKUP($S1878,MOTORISTAS!$D$3:$D$916,MOTORISTAS!F$3:$F$916),"")</f>
        <v/>
      </c>
      <c r="V1878" s="66"/>
      <c r="W1878" s="66"/>
      <c r="X1878" s="66"/>
      <c r="Y1878" s="66"/>
      <c r="Z1878" s="66"/>
      <c r="AA1878" s="66"/>
      <c r="AB1878" s="66"/>
      <c r="AC1878" s="66"/>
      <c r="AD1878" s="66"/>
      <c r="AE1878" s="66"/>
      <c r="AF1878" s="44"/>
      <c r="AG1878" s="254">
        <f>Prog_23[[#This Row],[SAÍDA DO CLIENTE]]-Prog_23[[#This Row],[PROGRAMAÇÃO CLIENTE]]</f>
        <v>0</v>
      </c>
      <c r="AH1878" s="44"/>
      <c r="AI1878" s="66"/>
      <c r="AJ1878" s="66"/>
      <c r="AK1878" s="66"/>
      <c r="AL1878" s="66"/>
      <c r="AM1878" s="66"/>
      <c r="AN1878" s="83"/>
      <c r="AO1878" s="83"/>
      <c r="AP1878" s="83"/>
      <c r="AQ1878" s="66"/>
      <c r="AR1878" s="66"/>
      <c r="AS1878" s="66"/>
      <c r="AT1878" s="81"/>
      <c r="AU1878" s="81"/>
      <c r="AV1878" s="81"/>
      <c r="AW1878" s="81"/>
      <c r="AX1878" s="83">
        <f>SUM(Prog_23[[#This Row],[ADIANTAMENTO]]+Prog_23[[#This Row],[SALDO]]+Prog_23[[#This Row],[MARGEM]]+Prog_23[[#This Row],[ESTADIA 1]])</f>
        <v>0</v>
      </c>
      <c r="AY187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78" s="81"/>
      <c r="BA1878" s="81"/>
      <c r="BB1878" s="81">
        <f>Prog_23[[#This Row],[VLR NF]]*0.1%</f>
        <v>0</v>
      </c>
      <c r="BC1878" s="81">
        <f>Prog_23[[#This Row],[VLR NF]]*0.05%</f>
        <v>0</v>
      </c>
      <c r="BD1878" s="81"/>
      <c r="BE1878" s="81"/>
      <c r="BF1878" s="81"/>
      <c r="BG1878" s="81"/>
      <c r="BH1878" s="81"/>
      <c r="BI1878" s="81"/>
      <c r="BJ1878" s="81"/>
      <c r="BK1878" s="81"/>
      <c r="BL1878" s="81"/>
      <c r="BM1878" s="81"/>
      <c r="BN1878" s="66"/>
      <c r="BO1878" s="66"/>
      <c r="BP1878" s="66"/>
      <c r="BQ1878" s="66" t="str">
        <f>PROPER(TEXT(Prog_23[[#This Row],[PROGRAMAÇÃO CLIENTE]],"mmm"))</f>
        <v>Jan</v>
      </c>
      <c r="BR1878" s="66">
        <f>YEAR(Prog_23[[#This Row],[PROGRAMAÇÃO CLIENTE]])</f>
        <v>1900</v>
      </c>
    </row>
    <row r="1879" spans="1:70" x14ac:dyDescent="0.25">
      <c r="A1879" s="200">
        <f>Prog_23[[#This Row],[CONTEINER]]</f>
        <v>0</v>
      </c>
      <c r="B1879" s="86"/>
      <c r="C187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79" s="44"/>
      <c r="E1879" s="66"/>
      <c r="F1879" s="66"/>
      <c r="G1879" s="66"/>
      <c r="H1879" s="44"/>
      <c r="I1879" s="44"/>
      <c r="J1879" s="66"/>
      <c r="K1879" s="66"/>
      <c r="L1879" s="66"/>
      <c r="M1879" s="66"/>
      <c r="N1879" s="66">
        <f>SUM(Prog_23[[#This Row],[TARA]]+Prog_23[[#This Row],[PESO]])</f>
        <v>0</v>
      </c>
      <c r="O1879" s="44"/>
      <c r="P1879" s="66"/>
      <c r="Q1879" s="66"/>
      <c r="R1879" s="66"/>
      <c r="S1879" s="66"/>
      <c r="T1879" s="138" t="str">
        <f>IFERROR(LOOKUP($S1879,MOTORISTAS!$D$3:$D$916,MOTORISTAS!E$3:$E$916),"")</f>
        <v/>
      </c>
      <c r="U1879" s="138" t="str">
        <f>IFERROR(LOOKUP($S1879,MOTORISTAS!$D$3:$D$916,MOTORISTAS!F$3:$F$916),"")</f>
        <v/>
      </c>
      <c r="V1879" s="66"/>
      <c r="W1879" s="66"/>
      <c r="X1879" s="66"/>
      <c r="Y1879" s="66"/>
      <c r="Z1879" s="66"/>
      <c r="AA1879" s="66"/>
      <c r="AB1879" s="66"/>
      <c r="AC1879" s="66"/>
      <c r="AD1879" s="66"/>
      <c r="AE1879" s="66"/>
      <c r="AF1879" s="44"/>
      <c r="AG1879" s="254">
        <f>Prog_23[[#This Row],[SAÍDA DO CLIENTE]]-Prog_23[[#This Row],[PROGRAMAÇÃO CLIENTE]]</f>
        <v>0</v>
      </c>
      <c r="AH1879" s="44"/>
      <c r="AI1879" s="66"/>
      <c r="AJ1879" s="66"/>
      <c r="AK1879" s="66"/>
      <c r="AL1879" s="66"/>
      <c r="AM1879" s="66"/>
      <c r="AN1879" s="83"/>
      <c r="AO1879" s="83"/>
      <c r="AP1879" s="83"/>
      <c r="AQ1879" s="66"/>
      <c r="AR1879" s="66"/>
      <c r="AS1879" s="66"/>
      <c r="AT1879" s="81"/>
      <c r="AU1879" s="81"/>
      <c r="AV1879" s="81"/>
      <c r="AW1879" s="81"/>
      <c r="AX1879" s="83">
        <f>SUM(Prog_23[[#This Row],[ADIANTAMENTO]]+Prog_23[[#This Row],[SALDO]]+Prog_23[[#This Row],[MARGEM]]+Prog_23[[#This Row],[ESTADIA 1]])</f>
        <v>0</v>
      </c>
      <c r="AY187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79" s="81"/>
      <c r="BA1879" s="81"/>
      <c r="BB1879" s="81">
        <f>Prog_23[[#This Row],[VLR NF]]*0.1%</f>
        <v>0</v>
      </c>
      <c r="BC1879" s="81">
        <f>Prog_23[[#This Row],[VLR NF]]*0.05%</f>
        <v>0</v>
      </c>
      <c r="BD1879" s="81"/>
      <c r="BE1879" s="81"/>
      <c r="BF1879" s="81"/>
      <c r="BG1879" s="81"/>
      <c r="BH1879" s="81"/>
      <c r="BI1879" s="81"/>
      <c r="BJ1879" s="81"/>
      <c r="BK1879" s="81"/>
      <c r="BL1879" s="81"/>
      <c r="BM1879" s="81"/>
      <c r="BN1879" s="66"/>
      <c r="BO1879" s="66"/>
      <c r="BP1879" s="66"/>
      <c r="BQ1879" s="66" t="str">
        <f>PROPER(TEXT(Prog_23[[#This Row],[PROGRAMAÇÃO CLIENTE]],"mmm"))</f>
        <v>Jan</v>
      </c>
      <c r="BR1879" s="66">
        <f>YEAR(Prog_23[[#This Row],[PROGRAMAÇÃO CLIENTE]])</f>
        <v>1900</v>
      </c>
    </row>
    <row r="1880" spans="1:70" x14ac:dyDescent="0.25">
      <c r="A1880" s="201">
        <f>Prog_23[[#This Row],[CONTEINER]]</f>
        <v>0</v>
      </c>
      <c r="B1880" s="86"/>
      <c r="C188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80" s="44"/>
      <c r="E1880" s="66"/>
      <c r="F1880" s="66"/>
      <c r="G1880" s="66"/>
      <c r="H1880" s="44"/>
      <c r="I1880" s="44"/>
      <c r="J1880" s="66"/>
      <c r="K1880" s="66"/>
      <c r="L1880" s="66"/>
      <c r="M1880" s="66"/>
      <c r="N1880" s="66">
        <f>SUM(Prog_23[[#This Row],[TARA]]+Prog_23[[#This Row],[PESO]])</f>
        <v>0</v>
      </c>
      <c r="O1880" s="44"/>
      <c r="P1880" s="66"/>
      <c r="Q1880" s="66"/>
      <c r="R1880" s="66"/>
      <c r="S1880" s="66"/>
      <c r="T1880" s="138" t="str">
        <f>IFERROR(LOOKUP($S1880,MOTORISTAS!$D$3:$D$916,MOTORISTAS!E$3:$E$916),"")</f>
        <v/>
      </c>
      <c r="U1880" s="138" t="str">
        <f>IFERROR(LOOKUP($S1880,MOTORISTAS!$D$3:$D$916,MOTORISTAS!F$3:$F$916),"")</f>
        <v/>
      </c>
      <c r="V1880" s="66"/>
      <c r="W1880" s="66"/>
      <c r="X1880" s="66"/>
      <c r="Y1880" s="66"/>
      <c r="Z1880" s="66"/>
      <c r="AA1880" s="66"/>
      <c r="AB1880" s="66"/>
      <c r="AC1880" s="66"/>
      <c r="AD1880" s="66"/>
      <c r="AE1880" s="66"/>
      <c r="AF1880" s="44"/>
      <c r="AG1880" s="254">
        <f>Prog_23[[#This Row],[SAÍDA DO CLIENTE]]-Prog_23[[#This Row],[PROGRAMAÇÃO CLIENTE]]</f>
        <v>0</v>
      </c>
      <c r="AH1880" s="44"/>
      <c r="AI1880" s="66"/>
      <c r="AJ1880" s="66"/>
      <c r="AK1880" s="66"/>
      <c r="AL1880" s="66"/>
      <c r="AM1880" s="66"/>
      <c r="AN1880" s="83"/>
      <c r="AO1880" s="83"/>
      <c r="AP1880" s="83"/>
      <c r="AQ1880" s="66"/>
      <c r="AR1880" s="66"/>
      <c r="AS1880" s="66"/>
      <c r="AT1880" s="81"/>
      <c r="AU1880" s="81"/>
      <c r="AV1880" s="81"/>
      <c r="AW1880" s="81"/>
      <c r="AX1880" s="83">
        <f>SUM(Prog_23[[#This Row],[ADIANTAMENTO]]+Prog_23[[#This Row],[SALDO]]+Prog_23[[#This Row],[MARGEM]]+Prog_23[[#This Row],[ESTADIA 1]])</f>
        <v>0</v>
      </c>
      <c r="AY188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80" s="81"/>
      <c r="BA1880" s="81"/>
      <c r="BB1880" s="81">
        <f>Prog_23[[#This Row],[VLR NF]]*0.1%</f>
        <v>0</v>
      </c>
      <c r="BC1880" s="81">
        <f>Prog_23[[#This Row],[VLR NF]]*0.05%</f>
        <v>0</v>
      </c>
      <c r="BD1880" s="81"/>
      <c r="BE1880" s="81"/>
      <c r="BF1880" s="81"/>
      <c r="BG1880" s="81"/>
      <c r="BH1880" s="81"/>
      <c r="BI1880" s="81"/>
      <c r="BJ1880" s="81"/>
      <c r="BK1880" s="81"/>
      <c r="BL1880" s="81"/>
      <c r="BM1880" s="81"/>
      <c r="BN1880" s="66"/>
      <c r="BO1880" s="66"/>
      <c r="BP1880" s="66"/>
      <c r="BQ1880" s="66" t="str">
        <f>PROPER(TEXT(Prog_23[[#This Row],[PROGRAMAÇÃO CLIENTE]],"mmm"))</f>
        <v>Jan</v>
      </c>
      <c r="BR1880" s="66">
        <f>YEAR(Prog_23[[#This Row],[PROGRAMAÇÃO CLIENTE]])</f>
        <v>1900</v>
      </c>
    </row>
    <row r="1881" spans="1:70" x14ac:dyDescent="0.25">
      <c r="A1881" s="200">
        <f>Prog_23[[#This Row],[CONTEINER]]</f>
        <v>0</v>
      </c>
      <c r="B1881" s="86"/>
      <c r="C188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81" s="44"/>
      <c r="E1881" s="66"/>
      <c r="F1881" s="66"/>
      <c r="G1881" s="66"/>
      <c r="H1881" s="44"/>
      <c r="I1881" s="44"/>
      <c r="J1881" s="66"/>
      <c r="K1881" s="66"/>
      <c r="L1881" s="66"/>
      <c r="M1881" s="66"/>
      <c r="N1881" s="66">
        <f>SUM(Prog_23[[#This Row],[TARA]]+Prog_23[[#This Row],[PESO]])</f>
        <v>0</v>
      </c>
      <c r="O1881" s="44"/>
      <c r="P1881" s="66"/>
      <c r="Q1881" s="66"/>
      <c r="R1881" s="66"/>
      <c r="S1881" s="66"/>
      <c r="T1881" s="138" t="str">
        <f>IFERROR(LOOKUP($S1881,MOTORISTAS!$D$3:$D$916,MOTORISTAS!E$3:$E$916),"")</f>
        <v/>
      </c>
      <c r="U1881" s="138" t="str">
        <f>IFERROR(LOOKUP($S1881,MOTORISTAS!$D$3:$D$916,MOTORISTAS!F$3:$F$916),"")</f>
        <v/>
      </c>
      <c r="V1881" s="66"/>
      <c r="W1881" s="66"/>
      <c r="X1881" s="66"/>
      <c r="Y1881" s="66"/>
      <c r="Z1881" s="66"/>
      <c r="AA1881" s="66"/>
      <c r="AB1881" s="66"/>
      <c r="AC1881" s="66"/>
      <c r="AD1881" s="66"/>
      <c r="AE1881" s="66"/>
      <c r="AF1881" s="44"/>
      <c r="AG1881" s="254">
        <f>Prog_23[[#This Row],[SAÍDA DO CLIENTE]]-Prog_23[[#This Row],[PROGRAMAÇÃO CLIENTE]]</f>
        <v>0</v>
      </c>
      <c r="AH1881" s="44"/>
      <c r="AI1881" s="66"/>
      <c r="AJ1881" s="66"/>
      <c r="AK1881" s="66"/>
      <c r="AL1881" s="66"/>
      <c r="AM1881" s="66"/>
      <c r="AN1881" s="83"/>
      <c r="AO1881" s="83"/>
      <c r="AP1881" s="83"/>
      <c r="AQ1881" s="66"/>
      <c r="AR1881" s="66"/>
      <c r="AS1881" s="66"/>
      <c r="AT1881" s="81"/>
      <c r="AU1881" s="81"/>
      <c r="AV1881" s="81"/>
      <c r="AW1881" s="81"/>
      <c r="AX1881" s="83">
        <f>SUM(Prog_23[[#This Row],[ADIANTAMENTO]]+Prog_23[[#This Row],[SALDO]]+Prog_23[[#This Row],[MARGEM]]+Prog_23[[#This Row],[ESTADIA 1]])</f>
        <v>0</v>
      </c>
      <c r="AY188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81" s="81"/>
      <c r="BA1881" s="81"/>
      <c r="BB1881" s="81">
        <f>Prog_23[[#This Row],[VLR NF]]*0.1%</f>
        <v>0</v>
      </c>
      <c r="BC1881" s="81">
        <f>Prog_23[[#This Row],[VLR NF]]*0.05%</f>
        <v>0</v>
      </c>
      <c r="BD1881" s="81"/>
      <c r="BE1881" s="81"/>
      <c r="BF1881" s="81"/>
      <c r="BG1881" s="81"/>
      <c r="BH1881" s="81"/>
      <c r="BI1881" s="81"/>
      <c r="BJ1881" s="81"/>
      <c r="BK1881" s="81"/>
      <c r="BL1881" s="81"/>
      <c r="BM1881" s="81"/>
      <c r="BN1881" s="66"/>
      <c r="BO1881" s="66"/>
      <c r="BP1881" s="66"/>
      <c r="BQ1881" s="66" t="str">
        <f>PROPER(TEXT(Prog_23[[#This Row],[PROGRAMAÇÃO CLIENTE]],"mmm"))</f>
        <v>Jan</v>
      </c>
      <c r="BR1881" s="66">
        <f>YEAR(Prog_23[[#This Row],[PROGRAMAÇÃO CLIENTE]])</f>
        <v>1900</v>
      </c>
    </row>
    <row r="1882" spans="1:70" x14ac:dyDescent="0.25">
      <c r="A1882" s="201">
        <f>Prog_23[[#This Row],[CONTEINER]]</f>
        <v>0</v>
      </c>
      <c r="B1882" s="86"/>
      <c r="C188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82" s="44"/>
      <c r="E1882" s="66"/>
      <c r="F1882" s="66"/>
      <c r="G1882" s="66"/>
      <c r="H1882" s="44"/>
      <c r="I1882" s="44"/>
      <c r="J1882" s="66"/>
      <c r="K1882" s="66"/>
      <c r="L1882" s="66"/>
      <c r="M1882" s="66"/>
      <c r="N1882" s="66">
        <f>SUM(Prog_23[[#This Row],[TARA]]+Prog_23[[#This Row],[PESO]])</f>
        <v>0</v>
      </c>
      <c r="O1882" s="44"/>
      <c r="P1882" s="66"/>
      <c r="Q1882" s="66"/>
      <c r="R1882" s="66"/>
      <c r="S1882" s="66"/>
      <c r="T1882" s="138" t="str">
        <f>IFERROR(LOOKUP($S1882,MOTORISTAS!$D$3:$D$916,MOTORISTAS!E$3:$E$916),"")</f>
        <v/>
      </c>
      <c r="U1882" s="138" t="str">
        <f>IFERROR(LOOKUP($S1882,MOTORISTAS!$D$3:$D$916,MOTORISTAS!F$3:$F$916),"")</f>
        <v/>
      </c>
      <c r="V1882" s="66"/>
      <c r="W1882" s="66"/>
      <c r="X1882" s="66"/>
      <c r="Y1882" s="66"/>
      <c r="Z1882" s="66"/>
      <c r="AA1882" s="66"/>
      <c r="AB1882" s="66"/>
      <c r="AC1882" s="66"/>
      <c r="AD1882" s="66"/>
      <c r="AE1882" s="66"/>
      <c r="AF1882" s="44"/>
      <c r="AG1882" s="254">
        <f>Prog_23[[#This Row],[SAÍDA DO CLIENTE]]-Prog_23[[#This Row],[PROGRAMAÇÃO CLIENTE]]</f>
        <v>0</v>
      </c>
      <c r="AH1882" s="44"/>
      <c r="AI1882" s="66"/>
      <c r="AJ1882" s="66"/>
      <c r="AK1882" s="66"/>
      <c r="AL1882" s="66"/>
      <c r="AM1882" s="66"/>
      <c r="AN1882" s="83"/>
      <c r="AO1882" s="83"/>
      <c r="AP1882" s="83"/>
      <c r="AQ1882" s="66"/>
      <c r="AR1882" s="66"/>
      <c r="AS1882" s="66"/>
      <c r="AT1882" s="81"/>
      <c r="AU1882" s="81"/>
      <c r="AV1882" s="81"/>
      <c r="AW1882" s="81"/>
      <c r="AX1882" s="83">
        <f>SUM(Prog_23[[#This Row],[ADIANTAMENTO]]+Prog_23[[#This Row],[SALDO]]+Prog_23[[#This Row],[MARGEM]]+Prog_23[[#This Row],[ESTADIA 1]])</f>
        <v>0</v>
      </c>
      <c r="AY188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82" s="81"/>
      <c r="BA1882" s="81"/>
      <c r="BB1882" s="81">
        <f>Prog_23[[#This Row],[VLR NF]]*0.1%</f>
        <v>0</v>
      </c>
      <c r="BC1882" s="81">
        <f>Prog_23[[#This Row],[VLR NF]]*0.05%</f>
        <v>0</v>
      </c>
      <c r="BD1882" s="81"/>
      <c r="BE1882" s="81"/>
      <c r="BF1882" s="81"/>
      <c r="BG1882" s="81"/>
      <c r="BH1882" s="81"/>
      <c r="BI1882" s="81"/>
      <c r="BJ1882" s="81"/>
      <c r="BK1882" s="81"/>
      <c r="BL1882" s="81"/>
      <c r="BM1882" s="81"/>
      <c r="BN1882" s="66"/>
      <c r="BO1882" s="66"/>
      <c r="BP1882" s="66"/>
      <c r="BQ1882" s="66" t="str">
        <f>PROPER(TEXT(Prog_23[[#This Row],[PROGRAMAÇÃO CLIENTE]],"mmm"))</f>
        <v>Jan</v>
      </c>
      <c r="BR1882" s="66">
        <f>YEAR(Prog_23[[#This Row],[PROGRAMAÇÃO CLIENTE]])</f>
        <v>1900</v>
      </c>
    </row>
    <row r="1883" spans="1:70" x14ac:dyDescent="0.25">
      <c r="A1883" s="200">
        <f>Prog_23[[#This Row],[CONTEINER]]</f>
        <v>0</v>
      </c>
      <c r="B1883" s="86"/>
      <c r="C188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83" s="44"/>
      <c r="E1883" s="66"/>
      <c r="F1883" s="66"/>
      <c r="G1883" s="66"/>
      <c r="H1883" s="44"/>
      <c r="I1883" s="44"/>
      <c r="J1883" s="66"/>
      <c r="K1883" s="66"/>
      <c r="L1883" s="66"/>
      <c r="M1883" s="66"/>
      <c r="N1883" s="66">
        <f>SUM(Prog_23[[#This Row],[TARA]]+Prog_23[[#This Row],[PESO]])</f>
        <v>0</v>
      </c>
      <c r="O1883" s="44"/>
      <c r="P1883" s="66"/>
      <c r="Q1883" s="66"/>
      <c r="R1883" s="66"/>
      <c r="S1883" s="66"/>
      <c r="T1883" s="138" t="str">
        <f>IFERROR(LOOKUP($S1883,MOTORISTAS!$D$3:$D$916,MOTORISTAS!E$3:$E$916),"")</f>
        <v/>
      </c>
      <c r="U1883" s="138" t="str">
        <f>IFERROR(LOOKUP($S1883,MOTORISTAS!$D$3:$D$916,MOTORISTAS!F$3:$F$916),"")</f>
        <v/>
      </c>
      <c r="V1883" s="66"/>
      <c r="W1883" s="66"/>
      <c r="X1883" s="66"/>
      <c r="Y1883" s="66"/>
      <c r="Z1883" s="66"/>
      <c r="AA1883" s="66"/>
      <c r="AB1883" s="66"/>
      <c r="AC1883" s="66"/>
      <c r="AD1883" s="66"/>
      <c r="AE1883" s="66"/>
      <c r="AF1883" s="44"/>
      <c r="AG1883" s="254">
        <f>Prog_23[[#This Row],[SAÍDA DO CLIENTE]]-Prog_23[[#This Row],[PROGRAMAÇÃO CLIENTE]]</f>
        <v>0</v>
      </c>
      <c r="AH1883" s="44"/>
      <c r="AI1883" s="66"/>
      <c r="AJ1883" s="66"/>
      <c r="AK1883" s="66"/>
      <c r="AL1883" s="66"/>
      <c r="AM1883" s="66"/>
      <c r="AN1883" s="83"/>
      <c r="AO1883" s="83"/>
      <c r="AP1883" s="83"/>
      <c r="AQ1883" s="66"/>
      <c r="AR1883" s="66"/>
      <c r="AS1883" s="66"/>
      <c r="AT1883" s="81"/>
      <c r="AU1883" s="81"/>
      <c r="AV1883" s="81"/>
      <c r="AW1883" s="81"/>
      <c r="AX1883" s="83">
        <f>SUM(Prog_23[[#This Row],[ADIANTAMENTO]]+Prog_23[[#This Row],[SALDO]]+Prog_23[[#This Row],[MARGEM]]+Prog_23[[#This Row],[ESTADIA 1]])</f>
        <v>0</v>
      </c>
      <c r="AY188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83" s="81"/>
      <c r="BA1883" s="81"/>
      <c r="BB1883" s="81">
        <f>Prog_23[[#This Row],[VLR NF]]*0.1%</f>
        <v>0</v>
      </c>
      <c r="BC1883" s="81">
        <f>Prog_23[[#This Row],[VLR NF]]*0.05%</f>
        <v>0</v>
      </c>
      <c r="BD1883" s="81"/>
      <c r="BE1883" s="81"/>
      <c r="BF1883" s="81"/>
      <c r="BG1883" s="81"/>
      <c r="BH1883" s="81"/>
      <c r="BI1883" s="81"/>
      <c r="BJ1883" s="81"/>
      <c r="BK1883" s="81"/>
      <c r="BL1883" s="81"/>
      <c r="BM1883" s="81"/>
      <c r="BN1883" s="66"/>
      <c r="BO1883" s="66"/>
      <c r="BP1883" s="66"/>
      <c r="BQ1883" s="66" t="str">
        <f>PROPER(TEXT(Prog_23[[#This Row],[PROGRAMAÇÃO CLIENTE]],"mmm"))</f>
        <v>Jan</v>
      </c>
      <c r="BR1883" s="66">
        <f>YEAR(Prog_23[[#This Row],[PROGRAMAÇÃO CLIENTE]])</f>
        <v>1900</v>
      </c>
    </row>
    <row r="1884" spans="1:70" x14ac:dyDescent="0.25">
      <c r="A1884" s="201">
        <f>Prog_23[[#This Row],[CONTEINER]]</f>
        <v>0</v>
      </c>
      <c r="B1884" s="86"/>
      <c r="C188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84" s="44"/>
      <c r="E1884" s="66"/>
      <c r="F1884" s="66"/>
      <c r="G1884" s="66"/>
      <c r="H1884" s="44"/>
      <c r="I1884" s="44"/>
      <c r="J1884" s="66"/>
      <c r="K1884" s="66"/>
      <c r="L1884" s="66"/>
      <c r="M1884" s="66"/>
      <c r="N1884" s="66">
        <f>SUM(Prog_23[[#This Row],[TARA]]+Prog_23[[#This Row],[PESO]])</f>
        <v>0</v>
      </c>
      <c r="O1884" s="44"/>
      <c r="P1884" s="66"/>
      <c r="Q1884" s="66"/>
      <c r="R1884" s="66"/>
      <c r="S1884" s="66"/>
      <c r="T1884" s="138" t="str">
        <f>IFERROR(LOOKUP($S1884,MOTORISTAS!$D$3:$D$916,MOTORISTAS!E$3:$E$916),"")</f>
        <v/>
      </c>
      <c r="U1884" s="138" t="str">
        <f>IFERROR(LOOKUP($S1884,MOTORISTAS!$D$3:$D$916,MOTORISTAS!F$3:$F$916),"")</f>
        <v/>
      </c>
      <c r="V1884" s="66"/>
      <c r="W1884" s="66"/>
      <c r="X1884" s="66"/>
      <c r="Y1884" s="66"/>
      <c r="Z1884" s="66"/>
      <c r="AA1884" s="66"/>
      <c r="AB1884" s="66"/>
      <c r="AC1884" s="66"/>
      <c r="AD1884" s="66"/>
      <c r="AE1884" s="66"/>
      <c r="AF1884" s="44"/>
      <c r="AG1884" s="254">
        <f>Prog_23[[#This Row],[SAÍDA DO CLIENTE]]-Prog_23[[#This Row],[PROGRAMAÇÃO CLIENTE]]</f>
        <v>0</v>
      </c>
      <c r="AH1884" s="44"/>
      <c r="AI1884" s="66"/>
      <c r="AJ1884" s="66"/>
      <c r="AK1884" s="66"/>
      <c r="AL1884" s="66"/>
      <c r="AM1884" s="66"/>
      <c r="AN1884" s="83"/>
      <c r="AO1884" s="83"/>
      <c r="AP1884" s="83"/>
      <c r="AQ1884" s="66"/>
      <c r="AR1884" s="66"/>
      <c r="AS1884" s="66"/>
      <c r="AT1884" s="81"/>
      <c r="AU1884" s="81"/>
      <c r="AV1884" s="81"/>
      <c r="AW1884" s="81"/>
      <c r="AX1884" s="83">
        <f>SUM(Prog_23[[#This Row],[ADIANTAMENTO]]+Prog_23[[#This Row],[SALDO]]+Prog_23[[#This Row],[MARGEM]]+Prog_23[[#This Row],[ESTADIA 1]])</f>
        <v>0</v>
      </c>
      <c r="AY188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84" s="81"/>
      <c r="BA1884" s="81"/>
      <c r="BB1884" s="81">
        <f>Prog_23[[#This Row],[VLR NF]]*0.1%</f>
        <v>0</v>
      </c>
      <c r="BC1884" s="81">
        <f>Prog_23[[#This Row],[VLR NF]]*0.05%</f>
        <v>0</v>
      </c>
      <c r="BD1884" s="81"/>
      <c r="BE1884" s="81"/>
      <c r="BF1884" s="81"/>
      <c r="BG1884" s="81"/>
      <c r="BH1884" s="81"/>
      <c r="BI1884" s="81"/>
      <c r="BJ1884" s="81"/>
      <c r="BK1884" s="81"/>
      <c r="BL1884" s="81"/>
      <c r="BM1884" s="81"/>
      <c r="BN1884" s="66"/>
      <c r="BO1884" s="66"/>
      <c r="BP1884" s="66"/>
      <c r="BQ1884" s="66" t="str">
        <f>PROPER(TEXT(Prog_23[[#This Row],[PROGRAMAÇÃO CLIENTE]],"mmm"))</f>
        <v>Jan</v>
      </c>
      <c r="BR1884" s="66">
        <f>YEAR(Prog_23[[#This Row],[PROGRAMAÇÃO CLIENTE]])</f>
        <v>1900</v>
      </c>
    </row>
    <row r="1885" spans="1:70" x14ac:dyDescent="0.25">
      <c r="A1885" s="200">
        <f>Prog_23[[#This Row],[CONTEINER]]</f>
        <v>0</v>
      </c>
      <c r="B1885" s="86"/>
      <c r="C188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85" s="44"/>
      <c r="E1885" s="66"/>
      <c r="F1885" s="66"/>
      <c r="G1885" s="66"/>
      <c r="H1885" s="44"/>
      <c r="I1885" s="44"/>
      <c r="J1885" s="66"/>
      <c r="K1885" s="66"/>
      <c r="L1885" s="66"/>
      <c r="M1885" s="66"/>
      <c r="N1885" s="66">
        <f>SUM(Prog_23[[#This Row],[TARA]]+Prog_23[[#This Row],[PESO]])</f>
        <v>0</v>
      </c>
      <c r="O1885" s="44"/>
      <c r="P1885" s="66"/>
      <c r="Q1885" s="66"/>
      <c r="R1885" s="66"/>
      <c r="S1885" s="66"/>
      <c r="T1885" s="138" t="str">
        <f>IFERROR(LOOKUP($S1885,MOTORISTAS!$D$3:$D$916,MOTORISTAS!E$3:$E$916),"")</f>
        <v/>
      </c>
      <c r="U1885" s="138" t="str">
        <f>IFERROR(LOOKUP($S1885,MOTORISTAS!$D$3:$D$916,MOTORISTAS!F$3:$F$916),"")</f>
        <v/>
      </c>
      <c r="V1885" s="66"/>
      <c r="W1885" s="66"/>
      <c r="X1885" s="66"/>
      <c r="Y1885" s="66"/>
      <c r="Z1885" s="66"/>
      <c r="AA1885" s="66"/>
      <c r="AB1885" s="66"/>
      <c r="AC1885" s="66"/>
      <c r="AD1885" s="66"/>
      <c r="AE1885" s="66"/>
      <c r="AF1885" s="44"/>
      <c r="AG1885" s="254">
        <f>Prog_23[[#This Row],[SAÍDA DO CLIENTE]]-Prog_23[[#This Row],[PROGRAMAÇÃO CLIENTE]]</f>
        <v>0</v>
      </c>
      <c r="AH1885" s="44"/>
      <c r="AI1885" s="66"/>
      <c r="AJ1885" s="66"/>
      <c r="AK1885" s="66"/>
      <c r="AL1885" s="66"/>
      <c r="AM1885" s="66"/>
      <c r="AN1885" s="83"/>
      <c r="AO1885" s="83"/>
      <c r="AP1885" s="83"/>
      <c r="AQ1885" s="66"/>
      <c r="AR1885" s="66"/>
      <c r="AS1885" s="66"/>
      <c r="AT1885" s="81"/>
      <c r="AU1885" s="81"/>
      <c r="AV1885" s="81"/>
      <c r="AW1885" s="81"/>
      <c r="AX1885" s="83">
        <f>SUM(Prog_23[[#This Row],[ADIANTAMENTO]]+Prog_23[[#This Row],[SALDO]]+Prog_23[[#This Row],[MARGEM]]+Prog_23[[#This Row],[ESTADIA 1]])</f>
        <v>0</v>
      </c>
      <c r="AY188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85" s="81"/>
      <c r="BA1885" s="81"/>
      <c r="BB1885" s="81">
        <f>Prog_23[[#This Row],[VLR NF]]*0.1%</f>
        <v>0</v>
      </c>
      <c r="BC1885" s="81">
        <f>Prog_23[[#This Row],[VLR NF]]*0.05%</f>
        <v>0</v>
      </c>
      <c r="BD1885" s="81"/>
      <c r="BE1885" s="81"/>
      <c r="BF1885" s="81"/>
      <c r="BG1885" s="81"/>
      <c r="BH1885" s="81"/>
      <c r="BI1885" s="81"/>
      <c r="BJ1885" s="81"/>
      <c r="BK1885" s="81"/>
      <c r="BL1885" s="81"/>
      <c r="BM1885" s="81"/>
      <c r="BN1885" s="66"/>
      <c r="BO1885" s="66"/>
      <c r="BP1885" s="66"/>
      <c r="BQ1885" s="66" t="str">
        <f>PROPER(TEXT(Prog_23[[#This Row],[PROGRAMAÇÃO CLIENTE]],"mmm"))</f>
        <v>Jan</v>
      </c>
      <c r="BR1885" s="66">
        <f>YEAR(Prog_23[[#This Row],[PROGRAMAÇÃO CLIENTE]])</f>
        <v>1900</v>
      </c>
    </row>
    <row r="1886" spans="1:70" x14ac:dyDescent="0.25">
      <c r="A1886" s="201">
        <f>Prog_23[[#This Row],[CONTEINER]]</f>
        <v>0</v>
      </c>
      <c r="B1886" s="86"/>
      <c r="C188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86" s="44"/>
      <c r="E1886" s="66"/>
      <c r="F1886" s="66"/>
      <c r="G1886" s="66"/>
      <c r="H1886" s="44"/>
      <c r="I1886" s="44"/>
      <c r="J1886" s="66"/>
      <c r="K1886" s="66"/>
      <c r="L1886" s="66"/>
      <c r="M1886" s="66"/>
      <c r="N1886" s="66">
        <f>SUM(Prog_23[[#This Row],[TARA]]+Prog_23[[#This Row],[PESO]])</f>
        <v>0</v>
      </c>
      <c r="O1886" s="44"/>
      <c r="P1886" s="66"/>
      <c r="Q1886" s="66"/>
      <c r="R1886" s="66"/>
      <c r="S1886" s="66"/>
      <c r="T1886" s="138" t="str">
        <f>IFERROR(LOOKUP($S1886,MOTORISTAS!$D$3:$D$916,MOTORISTAS!E$3:$E$916),"")</f>
        <v/>
      </c>
      <c r="U1886" s="138" t="str">
        <f>IFERROR(LOOKUP($S1886,MOTORISTAS!$D$3:$D$916,MOTORISTAS!F$3:$F$916),"")</f>
        <v/>
      </c>
      <c r="V1886" s="66"/>
      <c r="W1886" s="66"/>
      <c r="X1886" s="66"/>
      <c r="Y1886" s="66"/>
      <c r="Z1886" s="66"/>
      <c r="AA1886" s="66"/>
      <c r="AB1886" s="66"/>
      <c r="AC1886" s="66"/>
      <c r="AD1886" s="66"/>
      <c r="AE1886" s="66"/>
      <c r="AF1886" s="44"/>
      <c r="AG1886" s="254">
        <f>Prog_23[[#This Row],[SAÍDA DO CLIENTE]]-Prog_23[[#This Row],[PROGRAMAÇÃO CLIENTE]]</f>
        <v>0</v>
      </c>
      <c r="AH1886" s="44"/>
      <c r="AI1886" s="66"/>
      <c r="AJ1886" s="66"/>
      <c r="AK1886" s="66"/>
      <c r="AL1886" s="66"/>
      <c r="AM1886" s="66"/>
      <c r="AN1886" s="83"/>
      <c r="AO1886" s="83"/>
      <c r="AP1886" s="83"/>
      <c r="AQ1886" s="66"/>
      <c r="AR1886" s="66"/>
      <c r="AS1886" s="66"/>
      <c r="AT1886" s="81"/>
      <c r="AU1886" s="81"/>
      <c r="AV1886" s="81"/>
      <c r="AW1886" s="81"/>
      <c r="AX1886" s="83">
        <f>SUM(Prog_23[[#This Row],[ADIANTAMENTO]]+Prog_23[[#This Row],[SALDO]]+Prog_23[[#This Row],[MARGEM]]+Prog_23[[#This Row],[ESTADIA 1]])</f>
        <v>0</v>
      </c>
      <c r="AY188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86" s="81"/>
      <c r="BA1886" s="81"/>
      <c r="BB1886" s="81">
        <f>Prog_23[[#This Row],[VLR NF]]*0.1%</f>
        <v>0</v>
      </c>
      <c r="BC1886" s="81">
        <f>Prog_23[[#This Row],[VLR NF]]*0.05%</f>
        <v>0</v>
      </c>
      <c r="BD1886" s="81"/>
      <c r="BE1886" s="81"/>
      <c r="BF1886" s="81"/>
      <c r="BG1886" s="81"/>
      <c r="BH1886" s="81"/>
      <c r="BI1886" s="81"/>
      <c r="BJ1886" s="81"/>
      <c r="BK1886" s="81"/>
      <c r="BL1886" s="81"/>
      <c r="BM1886" s="81"/>
      <c r="BN1886" s="66"/>
      <c r="BO1886" s="66"/>
      <c r="BP1886" s="66"/>
      <c r="BQ1886" s="66" t="str">
        <f>PROPER(TEXT(Prog_23[[#This Row],[PROGRAMAÇÃO CLIENTE]],"mmm"))</f>
        <v>Jan</v>
      </c>
      <c r="BR1886" s="66">
        <f>YEAR(Prog_23[[#This Row],[PROGRAMAÇÃO CLIENTE]])</f>
        <v>1900</v>
      </c>
    </row>
    <row r="1887" spans="1:70" x14ac:dyDescent="0.25">
      <c r="A1887" s="200">
        <f>Prog_23[[#This Row],[CONTEINER]]</f>
        <v>0</v>
      </c>
      <c r="B1887" s="86"/>
      <c r="C188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87" s="44"/>
      <c r="E1887" s="66"/>
      <c r="F1887" s="66"/>
      <c r="G1887" s="66"/>
      <c r="H1887" s="44"/>
      <c r="I1887" s="44"/>
      <c r="J1887" s="66"/>
      <c r="K1887" s="66"/>
      <c r="L1887" s="66"/>
      <c r="M1887" s="66"/>
      <c r="N1887" s="66">
        <f>SUM(Prog_23[[#This Row],[TARA]]+Prog_23[[#This Row],[PESO]])</f>
        <v>0</v>
      </c>
      <c r="O1887" s="44"/>
      <c r="P1887" s="66"/>
      <c r="Q1887" s="66"/>
      <c r="R1887" s="66"/>
      <c r="S1887" s="66"/>
      <c r="T1887" s="138" t="str">
        <f>IFERROR(LOOKUP($S1887,MOTORISTAS!$D$3:$D$916,MOTORISTAS!E$3:$E$916),"")</f>
        <v/>
      </c>
      <c r="U1887" s="138" t="str">
        <f>IFERROR(LOOKUP($S1887,MOTORISTAS!$D$3:$D$916,MOTORISTAS!F$3:$F$916),"")</f>
        <v/>
      </c>
      <c r="V1887" s="66"/>
      <c r="W1887" s="66"/>
      <c r="X1887" s="66"/>
      <c r="Y1887" s="66"/>
      <c r="Z1887" s="66"/>
      <c r="AA1887" s="66"/>
      <c r="AB1887" s="66"/>
      <c r="AC1887" s="66"/>
      <c r="AD1887" s="66"/>
      <c r="AE1887" s="66"/>
      <c r="AF1887" s="44"/>
      <c r="AG1887" s="254">
        <f>Prog_23[[#This Row],[SAÍDA DO CLIENTE]]-Prog_23[[#This Row],[PROGRAMAÇÃO CLIENTE]]</f>
        <v>0</v>
      </c>
      <c r="AH1887" s="44"/>
      <c r="AI1887" s="66"/>
      <c r="AJ1887" s="66"/>
      <c r="AK1887" s="66"/>
      <c r="AL1887" s="66"/>
      <c r="AM1887" s="66"/>
      <c r="AN1887" s="83"/>
      <c r="AO1887" s="83"/>
      <c r="AP1887" s="83"/>
      <c r="AQ1887" s="66"/>
      <c r="AR1887" s="66"/>
      <c r="AS1887" s="66"/>
      <c r="AT1887" s="81"/>
      <c r="AU1887" s="81"/>
      <c r="AV1887" s="81"/>
      <c r="AW1887" s="81"/>
      <c r="AX1887" s="83">
        <f>SUM(Prog_23[[#This Row],[ADIANTAMENTO]]+Prog_23[[#This Row],[SALDO]]+Prog_23[[#This Row],[MARGEM]]+Prog_23[[#This Row],[ESTADIA 1]])</f>
        <v>0</v>
      </c>
      <c r="AY188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87" s="81"/>
      <c r="BA1887" s="81"/>
      <c r="BB1887" s="81">
        <f>Prog_23[[#This Row],[VLR NF]]*0.1%</f>
        <v>0</v>
      </c>
      <c r="BC1887" s="81">
        <f>Prog_23[[#This Row],[VLR NF]]*0.05%</f>
        <v>0</v>
      </c>
      <c r="BD1887" s="81"/>
      <c r="BE1887" s="81"/>
      <c r="BF1887" s="81"/>
      <c r="BG1887" s="81"/>
      <c r="BH1887" s="81"/>
      <c r="BI1887" s="81"/>
      <c r="BJ1887" s="81"/>
      <c r="BK1887" s="81"/>
      <c r="BL1887" s="81"/>
      <c r="BM1887" s="81"/>
      <c r="BN1887" s="66"/>
      <c r="BO1887" s="66"/>
      <c r="BP1887" s="66"/>
      <c r="BQ1887" s="66" t="str">
        <f>PROPER(TEXT(Prog_23[[#This Row],[PROGRAMAÇÃO CLIENTE]],"mmm"))</f>
        <v>Jan</v>
      </c>
      <c r="BR1887" s="66">
        <f>YEAR(Prog_23[[#This Row],[PROGRAMAÇÃO CLIENTE]])</f>
        <v>1900</v>
      </c>
    </row>
    <row r="1888" spans="1:70" x14ac:dyDescent="0.25">
      <c r="A1888" s="201">
        <f>Prog_23[[#This Row],[CONTEINER]]</f>
        <v>0</v>
      </c>
      <c r="B1888" s="86"/>
      <c r="C188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88" s="44"/>
      <c r="E1888" s="66"/>
      <c r="F1888" s="66"/>
      <c r="G1888" s="66"/>
      <c r="H1888" s="44"/>
      <c r="I1888" s="44"/>
      <c r="J1888" s="66"/>
      <c r="K1888" s="66"/>
      <c r="L1888" s="66"/>
      <c r="M1888" s="66"/>
      <c r="N1888" s="66">
        <f>SUM(Prog_23[[#This Row],[TARA]]+Prog_23[[#This Row],[PESO]])</f>
        <v>0</v>
      </c>
      <c r="O1888" s="44"/>
      <c r="P1888" s="66"/>
      <c r="Q1888" s="66"/>
      <c r="R1888" s="66"/>
      <c r="S1888" s="66"/>
      <c r="T1888" s="138" t="str">
        <f>IFERROR(LOOKUP($S1888,MOTORISTAS!$D$3:$D$916,MOTORISTAS!E$3:$E$916),"")</f>
        <v/>
      </c>
      <c r="U1888" s="138" t="str">
        <f>IFERROR(LOOKUP($S1888,MOTORISTAS!$D$3:$D$916,MOTORISTAS!F$3:$F$916),"")</f>
        <v/>
      </c>
      <c r="V1888" s="66"/>
      <c r="W1888" s="66"/>
      <c r="X1888" s="66"/>
      <c r="Y1888" s="66"/>
      <c r="Z1888" s="66"/>
      <c r="AA1888" s="66"/>
      <c r="AB1888" s="66"/>
      <c r="AC1888" s="66"/>
      <c r="AD1888" s="66"/>
      <c r="AE1888" s="66"/>
      <c r="AF1888" s="44"/>
      <c r="AG1888" s="254">
        <f>Prog_23[[#This Row],[SAÍDA DO CLIENTE]]-Prog_23[[#This Row],[PROGRAMAÇÃO CLIENTE]]</f>
        <v>0</v>
      </c>
      <c r="AH1888" s="44"/>
      <c r="AI1888" s="66"/>
      <c r="AJ1888" s="66"/>
      <c r="AK1888" s="66"/>
      <c r="AL1888" s="66"/>
      <c r="AM1888" s="66"/>
      <c r="AN1888" s="83"/>
      <c r="AO1888" s="83"/>
      <c r="AP1888" s="83"/>
      <c r="AQ1888" s="66"/>
      <c r="AR1888" s="66"/>
      <c r="AS1888" s="66"/>
      <c r="AT1888" s="81"/>
      <c r="AU1888" s="81"/>
      <c r="AV1888" s="81"/>
      <c r="AW1888" s="81"/>
      <c r="AX1888" s="83">
        <f>SUM(Prog_23[[#This Row],[ADIANTAMENTO]]+Prog_23[[#This Row],[SALDO]]+Prog_23[[#This Row],[MARGEM]]+Prog_23[[#This Row],[ESTADIA 1]])</f>
        <v>0</v>
      </c>
      <c r="AY188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88" s="81"/>
      <c r="BA1888" s="81"/>
      <c r="BB1888" s="81">
        <f>Prog_23[[#This Row],[VLR NF]]*0.1%</f>
        <v>0</v>
      </c>
      <c r="BC1888" s="81">
        <f>Prog_23[[#This Row],[VLR NF]]*0.05%</f>
        <v>0</v>
      </c>
      <c r="BD1888" s="81"/>
      <c r="BE1888" s="81"/>
      <c r="BF1888" s="81"/>
      <c r="BG1888" s="81"/>
      <c r="BH1888" s="81"/>
      <c r="BI1888" s="81"/>
      <c r="BJ1888" s="81"/>
      <c r="BK1888" s="81"/>
      <c r="BL1888" s="81"/>
      <c r="BM1888" s="81"/>
      <c r="BN1888" s="66"/>
      <c r="BO1888" s="66"/>
      <c r="BP1888" s="66"/>
      <c r="BQ1888" s="66" t="str">
        <f>PROPER(TEXT(Prog_23[[#This Row],[PROGRAMAÇÃO CLIENTE]],"mmm"))</f>
        <v>Jan</v>
      </c>
      <c r="BR1888" s="66">
        <f>YEAR(Prog_23[[#This Row],[PROGRAMAÇÃO CLIENTE]])</f>
        <v>1900</v>
      </c>
    </row>
    <row r="1889" spans="1:70" x14ac:dyDescent="0.25">
      <c r="A1889" s="200">
        <f>Prog_23[[#This Row],[CONTEINER]]</f>
        <v>0</v>
      </c>
      <c r="B1889" s="86"/>
      <c r="C188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89" s="44"/>
      <c r="E1889" s="66"/>
      <c r="F1889" s="66"/>
      <c r="G1889" s="66"/>
      <c r="H1889" s="44"/>
      <c r="I1889" s="44"/>
      <c r="J1889" s="66"/>
      <c r="K1889" s="66"/>
      <c r="L1889" s="66"/>
      <c r="M1889" s="66"/>
      <c r="N1889" s="66">
        <f>SUM(Prog_23[[#This Row],[TARA]]+Prog_23[[#This Row],[PESO]])</f>
        <v>0</v>
      </c>
      <c r="O1889" s="44"/>
      <c r="P1889" s="66"/>
      <c r="Q1889" s="66"/>
      <c r="R1889" s="66"/>
      <c r="S1889" s="66"/>
      <c r="T1889" s="138" t="str">
        <f>IFERROR(LOOKUP($S1889,MOTORISTAS!$D$3:$D$916,MOTORISTAS!E$3:$E$916),"")</f>
        <v/>
      </c>
      <c r="U1889" s="138" t="str">
        <f>IFERROR(LOOKUP($S1889,MOTORISTAS!$D$3:$D$916,MOTORISTAS!F$3:$F$916),"")</f>
        <v/>
      </c>
      <c r="V1889" s="66"/>
      <c r="W1889" s="66"/>
      <c r="X1889" s="66"/>
      <c r="Y1889" s="66"/>
      <c r="Z1889" s="66"/>
      <c r="AA1889" s="66"/>
      <c r="AB1889" s="66"/>
      <c r="AC1889" s="66"/>
      <c r="AD1889" s="66"/>
      <c r="AE1889" s="66"/>
      <c r="AF1889" s="44"/>
      <c r="AG1889" s="254">
        <f>Prog_23[[#This Row],[SAÍDA DO CLIENTE]]-Prog_23[[#This Row],[PROGRAMAÇÃO CLIENTE]]</f>
        <v>0</v>
      </c>
      <c r="AH1889" s="44"/>
      <c r="AI1889" s="66"/>
      <c r="AJ1889" s="66"/>
      <c r="AK1889" s="66"/>
      <c r="AL1889" s="66"/>
      <c r="AM1889" s="66"/>
      <c r="AN1889" s="83"/>
      <c r="AO1889" s="83"/>
      <c r="AP1889" s="83"/>
      <c r="AQ1889" s="66"/>
      <c r="AR1889" s="66"/>
      <c r="AS1889" s="66"/>
      <c r="AT1889" s="81"/>
      <c r="AU1889" s="81"/>
      <c r="AV1889" s="81"/>
      <c r="AW1889" s="81"/>
      <c r="AX1889" s="83">
        <f>SUM(Prog_23[[#This Row],[ADIANTAMENTO]]+Prog_23[[#This Row],[SALDO]]+Prog_23[[#This Row],[MARGEM]]+Prog_23[[#This Row],[ESTADIA 1]])</f>
        <v>0</v>
      </c>
      <c r="AY188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89" s="81"/>
      <c r="BA1889" s="81"/>
      <c r="BB1889" s="81">
        <f>Prog_23[[#This Row],[VLR NF]]*0.1%</f>
        <v>0</v>
      </c>
      <c r="BC1889" s="81">
        <f>Prog_23[[#This Row],[VLR NF]]*0.05%</f>
        <v>0</v>
      </c>
      <c r="BD1889" s="81"/>
      <c r="BE1889" s="81"/>
      <c r="BF1889" s="81"/>
      <c r="BG1889" s="81"/>
      <c r="BH1889" s="81"/>
      <c r="BI1889" s="81"/>
      <c r="BJ1889" s="81"/>
      <c r="BK1889" s="81"/>
      <c r="BL1889" s="81"/>
      <c r="BM1889" s="81"/>
      <c r="BN1889" s="66"/>
      <c r="BO1889" s="66"/>
      <c r="BP1889" s="66"/>
      <c r="BQ1889" s="66" t="str">
        <f>PROPER(TEXT(Prog_23[[#This Row],[PROGRAMAÇÃO CLIENTE]],"mmm"))</f>
        <v>Jan</v>
      </c>
      <c r="BR1889" s="66">
        <f>YEAR(Prog_23[[#This Row],[PROGRAMAÇÃO CLIENTE]])</f>
        <v>1900</v>
      </c>
    </row>
    <row r="1890" spans="1:70" x14ac:dyDescent="0.25">
      <c r="A1890" s="201">
        <f>Prog_23[[#This Row],[CONTEINER]]</f>
        <v>0</v>
      </c>
      <c r="B1890" s="86"/>
      <c r="C189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90" s="44"/>
      <c r="E1890" s="66"/>
      <c r="F1890" s="66"/>
      <c r="G1890" s="66"/>
      <c r="H1890" s="44"/>
      <c r="I1890" s="44"/>
      <c r="J1890" s="66"/>
      <c r="K1890" s="66"/>
      <c r="L1890" s="66"/>
      <c r="M1890" s="66"/>
      <c r="N1890" s="66">
        <f>SUM(Prog_23[[#This Row],[TARA]]+Prog_23[[#This Row],[PESO]])</f>
        <v>0</v>
      </c>
      <c r="O1890" s="44"/>
      <c r="P1890" s="66"/>
      <c r="Q1890" s="66"/>
      <c r="R1890" s="66"/>
      <c r="S1890" s="66"/>
      <c r="T1890" s="138" t="str">
        <f>IFERROR(LOOKUP($S1890,MOTORISTAS!$D$3:$D$916,MOTORISTAS!E$3:$E$916),"")</f>
        <v/>
      </c>
      <c r="U1890" s="138" t="str">
        <f>IFERROR(LOOKUP($S1890,MOTORISTAS!$D$3:$D$916,MOTORISTAS!F$3:$F$916),"")</f>
        <v/>
      </c>
      <c r="V1890" s="66"/>
      <c r="W1890" s="66"/>
      <c r="X1890" s="66"/>
      <c r="Y1890" s="66"/>
      <c r="Z1890" s="66"/>
      <c r="AA1890" s="66"/>
      <c r="AB1890" s="66"/>
      <c r="AC1890" s="66"/>
      <c r="AD1890" s="66"/>
      <c r="AE1890" s="66"/>
      <c r="AF1890" s="44"/>
      <c r="AG1890" s="254">
        <f>Prog_23[[#This Row],[SAÍDA DO CLIENTE]]-Prog_23[[#This Row],[PROGRAMAÇÃO CLIENTE]]</f>
        <v>0</v>
      </c>
      <c r="AH1890" s="44"/>
      <c r="AI1890" s="66"/>
      <c r="AJ1890" s="66"/>
      <c r="AK1890" s="66"/>
      <c r="AL1890" s="66"/>
      <c r="AM1890" s="66"/>
      <c r="AN1890" s="83"/>
      <c r="AO1890" s="83"/>
      <c r="AP1890" s="83"/>
      <c r="AQ1890" s="66"/>
      <c r="AR1890" s="66"/>
      <c r="AS1890" s="66"/>
      <c r="AT1890" s="81"/>
      <c r="AU1890" s="81"/>
      <c r="AV1890" s="81"/>
      <c r="AW1890" s="81"/>
      <c r="AX1890" s="83">
        <f>SUM(Prog_23[[#This Row],[ADIANTAMENTO]]+Prog_23[[#This Row],[SALDO]]+Prog_23[[#This Row],[MARGEM]]+Prog_23[[#This Row],[ESTADIA 1]])</f>
        <v>0</v>
      </c>
      <c r="AY189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90" s="81"/>
      <c r="BA1890" s="81"/>
      <c r="BB1890" s="81">
        <f>Prog_23[[#This Row],[VLR NF]]*0.1%</f>
        <v>0</v>
      </c>
      <c r="BC1890" s="81">
        <f>Prog_23[[#This Row],[VLR NF]]*0.05%</f>
        <v>0</v>
      </c>
      <c r="BD1890" s="81"/>
      <c r="BE1890" s="81"/>
      <c r="BF1890" s="81"/>
      <c r="BG1890" s="81"/>
      <c r="BH1890" s="81"/>
      <c r="BI1890" s="81"/>
      <c r="BJ1890" s="81"/>
      <c r="BK1890" s="81"/>
      <c r="BL1890" s="81"/>
      <c r="BM1890" s="81"/>
      <c r="BN1890" s="66"/>
      <c r="BO1890" s="66"/>
      <c r="BP1890" s="66"/>
      <c r="BQ1890" s="66" t="str">
        <f>PROPER(TEXT(Prog_23[[#This Row],[PROGRAMAÇÃO CLIENTE]],"mmm"))</f>
        <v>Jan</v>
      </c>
      <c r="BR1890" s="66">
        <f>YEAR(Prog_23[[#This Row],[PROGRAMAÇÃO CLIENTE]])</f>
        <v>1900</v>
      </c>
    </row>
    <row r="1891" spans="1:70" x14ac:dyDescent="0.25">
      <c r="A1891" s="200">
        <f>Prog_23[[#This Row],[CONTEINER]]</f>
        <v>0</v>
      </c>
      <c r="B1891" s="86"/>
      <c r="C189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91" s="44"/>
      <c r="E1891" s="66"/>
      <c r="F1891" s="66"/>
      <c r="G1891" s="66"/>
      <c r="H1891" s="44"/>
      <c r="I1891" s="44"/>
      <c r="J1891" s="66"/>
      <c r="K1891" s="66"/>
      <c r="L1891" s="66"/>
      <c r="M1891" s="66"/>
      <c r="N1891" s="66">
        <f>SUM(Prog_23[[#This Row],[TARA]]+Prog_23[[#This Row],[PESO]])</f>
        <v>0</v>
      </c>
      <c r="O1891" s="44"/>
      <c r="P1891" s="66"/>
      <c r="Q1891" s="66"/>
      <c r="R1891" s="66"/>
      <c r="S1891" s="66"/>
      <c r="T1891" s="138" t="str">
        <f>IFERROR(LOOKUP($S1891,MOTORISTAS!$D$3:$D$916,MOTORISTAS!E$3:$E$916),"")</f>
        <v/>
      </c>
      <c r="U1891" s="138" t="str">
        <f>IFERROR(LOOKUP($S1891,MOTORISTAS!$D$3:$D$916,MOTORISTAS!F$3:$F$916),"")</f>
        <v/>
      </c>
      <c r="V1891" s="66"/>
      <c r="W1891" s="66"/>
      <c r="X1891" s="66"/>
      <c r="Y1891" s="66"/>
      <c r="Z1891" s="66"/>
      <c r="AA1891" s="66"/>
      <c r="AB1891" s="66"/>
      <c r="AC1891" s="66"/>
      <c r="AD1891" s="66"/>
      <c r="AE1891" s="66"/>
      <c r="AF1891" s="44"/>
      <c r="AG1891" s="254">
        <f>Prog_23[[#This Row],[SAÍDA DO CLIENTE]]-Prog_23[[#This Row],[PROGRAMAÇÃO CLIENTE]]</f>
        <v>0</v>
      </c>
      <c r="AH1891" s="44"/>
      <c r="AI1891" s="66"/>
      <c r="AJ1891" s="66"/>
      <c r="AK1891" s="66"/>
      <c r="AL1891" s="66"/>
      <c r="AM1891" s="66"/>
      <c r="AN1891" s="83"/>
      <c r="AO1891" s="83"/>
      <c r="AP1891" s="83"/>
      <c r="AQ1891" s="66"/>
      <c r="AR1891" s="66"/>
      <c r="AS1891" s="66"/>
      <c r="AT1891" s="81"/>
      <c r="AU1891" s="81"/>
      <c r="AV1891" s="81"/>
      <c r="AW1891" s="81"/>
      <c r="AX1891" s="83">
        <f>SUM(Prog_23[[#This Row],[ADIANTAMENTO]]+Prog_23[[#This Row],[SALDO]]+Prog_23[[#This Row],[MARGEM]]+Prog_23[[#This Row],[ESTADIA 1]])</f>
        <v>0</v>
      </c>
      <c r="AY189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91" s="81"/>
      <c r="BA1891" s="81"/>
      <c r="BB1891" s="81">
        <f>Prog_23[[#This Row],[VLR NF]]*0.1%</f>
        <v>0</v>
      </c>
      <c r="BC1891" s="81">
        <f>Prog_23[[#This Row],[VLR NF]]*0.05%</f>
        <v>0</v>
      </c>
      <c r="BD1891" s="81"/>
      <c r="BE1891" s="81"/>
      <c r="BF1891" s="81"/>
      <c r="BG1891" s="81"/>
      <c r="BH1891" s="81"/>
      <c r="BI1891" s="81"/>
      <c r="BJ1891" s="81"/>
      <c r="BK1891" s="81"/>
      <c r="BL1891" s="81"/>
      <c r="BM1891" s="81"/>
      <c r="BN1891" s="66"/>
      <c r="BO1891" s="66"/>
      <c r="BP1891" s="66"/>
      <c r="BQ1891" s="66" t="str">
        <f>PROPER(TEXT(Prog_23[[#This Row],[PROGRAMAÇÃO CLIENTE]],"mmm"))</f>
        <v>Jan</v>
      </c>
      <c r="BR1891" s="66">
        <f>YEAR(Prog_23[[#This Row],[PROGRAMAÇÃO CLIENTE]])</f>
        <v>1900</v>
      </c>
    </row>
    <row r="1892" spans="1:70" x14ac:dyDescent="0.25">
      <c r="A1892" s="201">
        <f>Prog_23[[#This Row],[CONTEINER]]</f>
        <v>0</v>
      </c>
      <c r="B1892" s="86"/>
      <c r="C189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92" s="44"/>
      <c r="E1892" s="66"/>
      <c r="F1892" s="66"/>
      <c r="G1892" s="66"/>
      <c r="H1892" s="44"/>
      <c r="I1892" s="44"/>
      <c r="J1892" s="66"/>
      <c r="K1892" s="66"/>
      <c r="L1892" s="66"/>
      <c r="M1892" s="66"/>
      <c r="N1892" s="66">
        <f>SUM(Prog_23[[#This Row],[TARA]]+Prog_23[[#This Row],[PESO]])</f>
        <v>0</v>
      </c>
      <c r="O1892" s="44"/>
      <c r="P1892" s="66"/>
      <c r="Q1892" s="66"/>
      <c r="R1892" s="66"/>
      <c r="S1892" s="66"/>
      <c r="T1892" s="138" t="str">
        <f>IFERROR(LOOKUP($S1892,MOTORISTAS!$D$3:$D$916,MOTORISTAS!E$3:$E$916),"")</f>
        <v/>
      </c>
      <c r="U1892" s="138" t="str">
        <f>IFERROR(LOOKUP($S1892,MOTORISTAS!$D$3:$D$916,MOTORISTAS!F$3:$F$916),"")</f>
        <v/>
      </c>
      <c r="V1892" s="66"/>
      <c r="W1892" s="66"/>
      <c r="X1892" s="66"/>
      <c r="Y1892" s="66"/>
      <c r="Z1892" s="66"/>
      <c r="AA1892" s="66"/>
      <c r="AB1892" s="66"/>
      <c r="AC1892" s="66"/>
      <c r="AD1892" s="66"/>
      <c r="AE1892" s="66"/>
      <c r="AF1892" s="44"/>
      <c r="AG1892" s="254">
        <f>Prog_23[[#This Row],[SAÍDA DO CLIENTE]]-Prog_23[[#This Row],[PROGRAMAÇÃO CLIENTE]]</f>
        <v>0</v>
      </c>
      <c r="AH1892" s="44"/>
      <c r="AI1892" s="66"/>
      <c r="AJ1892" s="66"/>
      <c r="AK1892" s="66"/>
      <c r="AL1892" s="66"/>
      <c r="AM1892" s="66"/>
      <c r="AN1892" s="83"/>
      <c r="AO1892" s="83"/>
      <c r="AP1892" s="83"/>
      <c r="AQ1892" s="66"/>
      <c r="AR1892" s="66"/>
      <c r="AS1892" s="66"/>
      <c r="AT1892" s="81"/>
      <c r="AU1892" s="81"/>
      <c r="AV1892" s="81"/>
      <c r="AW1892" s="81"/>
      <c r="AX1892" s="83">
        <f>SUM(Prog_23[[#This Row],[ADIANTAMENTO]]+Prog_23[[#This Row],[SALDO]]+Prog_23[[#This Row],[MARGEM]]+Prog_23[[#This Row],[ESTADIA 1]])</f>
        <v>0</v>
      </c>
      <c r="AY189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92" s="81"/>
      <c r="BA1892" s="81"/>
      <c r="BB1892" s="81">
        <f>Prog_23[[#This Row],[VLR NF]]*0.1%</f>
        <v>0</v>
      </c>
      <c r="BC1892" s="81">
        <f>Prog_23[[#This Row],[VLR NF]]*0.05%</f>
        <v>0</v>
      </c>
      <c r="BD1892" s="81"/>
      <c r="BE1892" s="81"/>
      <c r="BF1892" s="81"/>
      <c r="BG1892" s="81"/>
      <c r="BH1892" s="81"/>
      <c r="BI1892" s="81"/>
      <c r="BJ1892" s="81"/>
      <c r="BK1892" s="81"/>
      <c r="BL1892" s="81"/>
      <c r="BM1892" s="81"/>
      <c r="BN1892" s="66"/>
      <c r="BO1892" s="66"/>
      <c r="BP1892" s="66"/>
      <c r="BQ1892" s="66" t="str">
        <f>PROPER(TEXT(Prog_23[[#This Row],[PROGRAMAÇÃO CLIENTE]],"mmm"))</f>
        <v>Jan</v>
      </c>
      <c r="BR1892" s="66">
        <f>YEAR(Prog_23[[#This Row],[PROGRAMAÇÃO CLIENTE]])</f>
        <v>1900</v>
      </c>
    </row>
    <row r="1893" spans="1:70" x14ac:dyDescent="0.25">
      <c r="A1893" s="200">
        <f>Prog_23[[#This Row],[CONTEINER]]</f>
        <v>0</v>
      </c>
      <c r="B1893" s="86"/>
      <c r="C189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93" s="44"/>
      <c r="E1893" s="66"/>
      <c r="F1893" s="66"/>
      <c r="G1893" s="66"/>
      <c r="H1893" s="44"/>
      <c r="I1893" s="44"/>
      <c r="J1893" s="66"/>
      <c r="K1893" s="66"/>
      <c r="L1893" s="66"/>
      <c r="M1893" s="66"/>
      <c r="N1893" s="66">
        <f>SUM(Prog_23[[#This Row],[TARA]]+Prog_23[[#This Row],[PESO]])</f>
        <v>0</v>
      </c>
      <c r="O1893" s="44"/>
      <c r="P1893" s="66"/>
      <c r="Q1893" s="66"/>
      <c r="R1893" s="66"/>
      <c r="S1893" s="66"/>
      <c r="T1893" s="138" t="str">
        <f>IFERROR(LOOKUP($S1893,MOTORISTAS!$D$3:$D$916,MOTORISTAS!E$3:$E$916),"")</f>
        <v/>
      </c>
      <c r="U1893" s="138" t="str">
        <f>IFERROR(LOOKUP($S1893,MOTORISTAS!$D$3:$D$916,MOTORISTAS!F$3:$F$916),"")</f>
        <v/>
      </c>
      <c r="V1893" s="66"/>
      <c r="W1893" s="66"/>
      <c r="X1893" s="66"/>
      <c r="Y1893" s="66"/>
      <c r="Z1893" s="66"/>
      <c r="AA1893" s="66"/>
      <c r="AB1893" s="66"/>
      <c r="AC1893" s="66"/>
      <c r="AD1893" s="66"/>
      <c r="AE1893" s="66"/>
      <c r="AF1893" s="44"/>
      <c r="AG1893" s="254">
        <f>Prog_23[[#This Row],[SAÍDA DO CLIENTE]]-Prog_23[[#This Row],[PROGRAMAÇÃO CLIENTE]]</f>
        <v>0</v>
      </c>
      <c r="AH1893" s="44"/>
      <c r="AI1893" s="66"/>
      <c r="AJ1893" s="66"/>
      <c r="AK1893" s="66"/>
      <c r="AL1893" s="66"/>
      <c r="AM1893" s="66"/>
      <c r="AN1893" s="83"/>
      <c r="AO1893" s="83"/>
      <c r="AP1893" s="83"/>
      <c r="AQ1893" s="66"/>
      <c r="AR1893" s="66"/>
      <c r="AS1893" s="66"/>
      <c r="AT1893" s="81"/>
      <c r="AU1893" s="81"/>
      <c r="AV1893" s="81"/>
      <c r="AW1893" s="81"/>
      <c r="AX1893" s="83">
        <f>SUM(Prog_23[[#This Row],[ADIANTAMENTO]]+Prog_23[[#This Row],[SALDO]]+Prog_23[[#This Row],[MARGEM]]+Prog_23[[#This Row],[ESTADIA 1]])</f>
        <v>0</v>
      </c>
      <c r="AY189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93" s="81"/>
      <c r="BA1893" s="81"/>
      <c r="BB1893" s="81">
        <f>Prog_23[[#This Row],[VLR NF]]*0.1%</f>
        <v>0</v>
      </c>
      <c r="BC1893" s="81">
        <f>Prog_23[[#This Row],[VLR NF]]*0.05%</f>
        <v>0</v>
      </c>
      <c r="BD1893" s="81"/>
      <c r="BE1893" s="81"/>
      <c r="BF1893" s="81"/>
      <c r="BG1893" s="81"/>
      <c r="BH1893" s="81"/>
      <c r="BI1893" s="81"/>
      <c r="BJ1893" s="81"/>
      <c r="BK1893" s="81"/>
      <c r="BL1893" s="81"/>
      <c r="BM1893" s="81"/>
      <c r="BN1893" s="66"/>
      <c r="BO1893" s="66"/>
      <c r="BP1893" s="66"/>
      <c r="BQ1893" s="66" t="str">
        <f>PROPER(TEXT(Prog_23[[#This Row],[PROGRAMAÇÃO CLIENTE]],"mmm"))</f>
        <v>Jan</v>
      </c>
      <c r="BR1893" s="66">
        <f>YEAR(Prog_23[[#This Row],[PROGRAMAÇÃO CLIENTE]])</f>
        <v>1900</v>
      </c>
    </row>
    <row r="1894" spans="1:70" x14ac:dyDescent="0.25">
      <c r="A1894" s="201">
        <f>Prog_23[[#This Row],[CONTEINER]]</f>
        <v>0</v>
      </c>
      <c r="B1894" s="86"/>
      <c r="C189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94" s="44"/>
      <c r="E1894" s="66"/>
      <c r="F1894" s="66"/>
      <c r="G1894" s="66"/>
      <c r="H1894" s="44"/>
      <c r="I1894" s="44"/>
      <c r="J1894" s="66"/>
      <c r="K1894" s="66"/>
      <c r="L1894" s="66"/>
      <c r="M1894" s="66"/>
      <c r="N1894" s="66">
        <f>SUM(Prog_23[[#This Row],[TARA]]+Prog_23[[#This Row],[PESO]])</f>
        <v>0</v>
      </c>
      <c r="O1894" s="44"/>
      <c r="P1894" s="66"/>
      <c r="Q1894" s="66"/>
      <c r="R1894" s="66"/>
      <c r="S1894" s="66"/>
      <c r="T1894" s="138" t="str">
        <f>IFERROR(LOOKUP($S1894,MOTORISTAS!$D$3:$D$916,MOTORISTAS!E$3:$E$916),"")</f>
        <v/>
      </c>
      <c r="U1894" s="138" t="str">
        <f>IFERROR(LOOKUP($S1894,MOTORISTAS!$D$3:$D$916,MOTORISTAS!F$3:$F$916),"")</f>
        <v/>
      </c>
      <c r="V1894" s="66"/>
      <c r="W1894" s="66"/>
      <c r="X1894" s="66"/>
      <c r="Y1894" s="66"/>
      <c r="Z1894" s="66"/>
      <c r="AA1894" s="66"/>
      <c r="AB1894" s="66"/>
      <c r="AC1894" s="66"/>
      <c r="AD1894" s="66"/>
      <c r="AE1894" s="66"/>
      <c r="AF1894" s="44"/>
      <c r="AG1894" s="254">
        <f>Prog_23[[#This Row],[SAÍDA DO CLIENTE]]-Prog_23[[#This Row],[PROGRAMAÇÃO CLIENTE]]</f>
        <v>0</v>
      </c>
      <c r="AH1894" s="44"/>
      <c r="AI1894" s="66"/>
      <c r="AJ1894" s="66"/>
      <c r="AK1894" s="66"/>
      <c r="AL1894" s="66"/>
      <c r="AM1894" s="66"/>
      <c r="AN1894" s="83"/>
      <c r="AO1894" s="83"/>
      <c r="AP1894" s="83"/>
      <c r="AQ1894" s="66"/>
      <c r="AR1894" s="66"/>
      <c r="AS1894" s="66"/>
      <c r="AT1894" s="81"/>
      <c r="AU1894" s="81"/>
      <c r="AV1894" s="81"/>
      <c r="AW1894" s="81"/>
      <c r="AX1894" s="83">
        <f>SUM(Prog_23[[#This Row],[ADIANTAMENTO]]+Prog_23[[#This Row],[SALDO]]+Prog_23[[#This Row],[MARGEM]]+Prog_23[[#This Row],[ESTADIA 1]])</f>
        <v>0</v>
      </c>
      <c r="AY189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94" s="81"/>
      <c r="BA1894" s="81"/>
      <c r="BB1894" s="81">
        <f>Prog_23[[#This Row],[VLR NF]]*0.1%</f>
        <v>0</v>
      </c>
      <c r="BC1894" s="81">
        <f>Prog_23[[#This Row],[VLR NF]]*0.05%</f>
        <v>0</v>
      </c>
      <c r="BD1894" s="81"/>
      <c r="BE1894" s="81"/>
      <c r="BF1894" s="81"/>
      <c r="BG1894" s="81"/>
      <c r="BH1894" s="81"/>
      <c r="BI1894" s="81"/>
      <c r="BJ1894" s="81"/>
      <c r="BK1894" s="81"/>
      <c r="BL1894" s="81"/>
      <c r="BM1894" s="81"/>
      <c r="BN1894" s="66"/>
      <c r="BO1894" s="66"/>
      <c r="BP1894" s="66"/>
      <c r="BQ1894" s="66" t="str">
        <f>PROPER(TEXT(Prog_23[[#This Row],[PROGRAMAÇÃO CLIENTE]],"mmm"))</f>
        <v>Jan</v>
      </c>
      <c r="BR1894" s="66">
        <f>YEAR(Prog_23[[#This Row],[PROGRAMAÇÃO CLIENTE]])</f>
        <v>1900</v>
      </c>
    </row>
    <row r="1895" spans="1:70" x14ac:dyDescent="0.25">
      <c r="A1895" s="200">
        <f>Prog_23[[#This Row],[CONTEINER]]</f>
        <v>0</v>
      </c>
      <c r="B1895" s="86"/>
      <c r="C189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95" s="44"/>
      <c r="E1895" s="66"/>
      <c r="F1895" s="66"/>
      <c r="G1895" s="66"/>
      <c r="H1895" s="44"/>
      <c r="I1895" s="44"/>
      <c r="J1895" s="66"/>
      <c r="K1895" s="66"/>
      <c r="L1895" s="66"/>
      <c r="M1895" s="66"/>
      <c r="N1895" s="66">
        <f>SUM(Prog_23[[#This Row],[TARA]]+Prog_23[[#This Row],[PESO]])</f>
        <v>0</v>
      </c>
      <c r="O1895" s="44"/>
      <c r="P1895" s="66"/>
      <c r="Q1895" s="66"/>
      <c r="R1895" s="66"/>
      <c r="S1895" s="66"/>
      <c r="T1895" s="138" t="str">
        <f>IFERROR(LOOKUP($S1895,MOTORISTAS!$D$3:$D$916,MOTORISTAS!E$3:$E$916),"")</f>
        <v/>
      </c>
      <c r="U1895" s="138" t="str">
        <f>IFERROR(LOOKUP($S1895,MOTORISTAS!$D$3:$D$916,MOTORISTAS!F$3:$F$916),"")</f>
        <v/>
      </c>
      <c r="V1895" s="66"/>
      <c r="W1895" s="66"/>
      <c r="X1895" s="66"/>
      <c r="Y1895" s="66"/>
      <c r="Z1895" s="66"/>
      <c r="AA1895" s="66"/>
      <c r="AB1895" s="66"/>
      <c r="AC1895" s="66"/>
      <c r="AD1895" s="66"/>
      <c r="AE1895" s="66"/>
      <c r="AF1895" s="44"/>
      <c r="AG1895" s="254">
        <f>Prog_23[[#This Row],[SAÍDA DO CLIENTE]]-Prog_23[[#This Row],[PROGRAMAÇÃO CLIENTE]]</f>
        <v>0</v>
      </c>
      <c r="AH1895" s="44"/>
      <c r="AI1895" s="66"/>
      <c r="AJ1895" s="66"/>
      <c r="AK1895" s="66"/>
      <c r="AL1895" s="66"/>
      <c r="AM1895" s="66"/>
      <c r="AN1895" s="83"/>
      <c r="AO1895" s="83"/>
      <c r="AP1895" s="83"/>
      <c r="AQ1895" s="66"/>
      <c r="AR1895" s="66"/>
      <c r="AS1895" s="66"/>
      <c r="AT1895" s="81"/>
      <c r="AU1895" s="81"/>
      <c r="AV1895" s="81"/>
      <c r="AW1895" s="81"/>
      <c r="AX1895" s="83">
        <f>SUM(Prog_23[[#This Row],[ADIANTAMENTO]]+Prog_23[[#This Row],[SALDO]]+Prog_23[[#This Row],[MARGEM]]+Prog_23[[#This Row],[ESTADIA 1]])</f>
        <v>0</v>
      </c>
      <c r="AY189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95" s="81"/>
      <c r="BA1895" s="81"/>
      <c r="BB1895" s="81">
        <f>Prog_23[[#This Row],[VLR NF]]*0.1%</f>
        <v>0</v>
      </c>
      <c r="BC1895" s="81">
        <f>Prog_23[[#This Row],[VLR NF]]*0.05%</f>
        <v>0</v>
      </c>
      <c r="BD1895" s="81"/>
      <c r="BE1895" s="81"/>
      <c r="BF1895" s="81"/>
      <c r="BG1895" s="81"/>
      <c r="BH1895" s="81"/>
      <c r="BI1895" s="81"/>
      <c r="BJ1895" s="81"/>
      <c r="BK1895" s="81"/>
      <c r="BL1895" s="81"/>
      <c r="BM1895" s="81"/>
      <c r="BN1895" s="66"/>
      <c r="BO1895" s="66"/>
      <c r="BP1895" s="66"/>
      <c r="BQ1895" s="66" t="str">
        <f>PROPER(TEXT(Prog_23[[#This Row],[PROGRAMAÇÃO CLIENTE]],"mmm"))</f>
        <v>Jan</v>
      </c>
      <c r="BR1895" s="66">
        <f>YEAR(Prog_23[[#This Row],[PROGRAMAÇÃO CLIENTE]])</f>
        <v>1900</v>
      </c>
    </row>
    <row r="1896" spans="1:70" x14ac:dyDescent="0.25">
      <c r="A1896" s="201">
        <f>Prog_23[[#This Row],[CONTEINER]]</f>
        <v>0</v>
      </c>
      <c r="B1896" s="86"/>
      <c r="C189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96" s="44"/>
      <c r="E1896" s="66"/>
      <c r="F1896" s="66"/>
      <c r="G1896" s="66"/>
      <c r="H1896" s="44"/>
      <c r="I1896" s="44"/>
      <c r="J1896" s="66"/>
      <c r="K1896" s="66"/>
      <c r="L1896" s="66"/>
      <c r="M1896" s="66"/>
      <c r="N1896" s="66">
        <f>SUM(Prog_23[[#This Row],[TARA]]+Prog_23[[#This Row],[PESO]])</f>
        <v>0</v>
      </c>
      <c r="O1896" s="44"/>
      <c r="P1896" s="66"/>
      <c r="Q1896" s="66"/>
      <c r="R1896" s="66"/>
      <c r="S1896" s="66"/>
      <c r="T1896" s="138" t="str">
        <f>IFERROR(LOOKUP($S1896,MOTORISTAS!$D$3:$D$916,MOTORISTAS!E$3:$E$916),"")</f>
        <v/>
      </c>
      <c r="U1896" s="138" t="str">
        <f>IFERROR(LOOKUP($S1896,MOTORISTAS!$D$3:$D$916,MOTORISTAS!F$3:$F$916),"")</f>
        <v/>
      </c>
      <c r="V1896" s="66"/>
      <c r="W1896" s="66"/>
      <c r="X1896" s="66"/>
      <c r="Y1896" s="66"/>
      <c r="Z1896" s="66"/>
      <c r="AA1896" s="66"/>
      <c r="AB1896" s="66"/>
      <c r="AC1896" s="66"/>
      <c r="AD1896" s="66"/>
      <c r="AE1896" s="66"/>
      <c r="AF1896" s="44"/>
      <c r="AG1896" s="254">
        <f>Prog_23[[#This Row],[SAÍDA DO CLIENTE]]-Prog_23[[#This Row],[PROGRAMAÇÃO CLIENTE]]</f>
        <v>0</v>
      </c>
      <c r="AH1896" s="44"/>
      <c r="AI1896" s="66"/>
      <c r="AJ1896" s="66"/>
      <c r="AK1896" s="66"/>
      <c r="AL1896" s="66"/>
      <c r="AM1896" s="66"/>
      <c r="AN1896" s="83"/>
      <c r="AO1896" s="83"/>
      <c r="AP1896" s="83"/>
      <c r="AQ1896" s="66"/>
      <c r="AR1896" s="66"/>
      <c r="AS1896" s="66"/>
      <c r="AT1896" s="81"/>
      <c r="AU1896" s="81"/>
      <c r="AV1896" s="81"/>
      <c r="AW1896" s="81"/>
      <c r="AX1896" s="83">
        <f>SUM(Prog_23[[#This Row],[ADIANTAMENTO]]+Prog_23[[#This Row],[SALDO]]+Prog_23[[#This Row],[MARGEM]]+Prog_23[[#This Row],[ESTADIA 1]])</f>
        <v>0</v>
      </c>
      <c r="AY189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96" s="81"/>
      <c r="BA1896" s="81"/>
      <c r="BB1896" s="81">
        <f>Prog_23[[#This Row],[VLR NF]]*0.1%</f>
        <v>0</v>
      </c>
      <c r="BC1896" s="81">
        <f>Prog_23[[#This Row],[VLR NF]]*0.05%</f>
        <v>0</v>
      </c>
      <c r="BD1896" s="81"/>
      <c r="BE1896" s="81"/>
      <c r="BF1896" s="81"/>
      <c r="BG1896" s="81"/>
      <c r="BH1896" s="81"/>
      <c r="BI1896" s="81"/>
      <c r="BJ1896" s="81"/>
      <c r="BK1896" s="81"/>
      <c r="BL1896" s="81"/>
      <c r="BM1896" s="81"/>
      <c r="BN1896" s="66"/>
      <c r="BO1896" s="66"/>
      <c r="BP1896" s="66"/>
      <c r="BQ1896" s="66" t="str">
        <f>PROPER(TEXT(Prog_23[[#This Row],[PROGRAMAÇÃO CLIENTE]],"mmm"))</f>
        <v>Jan</v>
      </c>
      <c r="BR1896" s="66">
        <f>YEAR(Prog_23[[#This Row],[PROGRAMAÇÃO CLIENTE]])</f>
        <v>1900</v>
      </c>
    </row>
    <row r="1897" spans="1:70" x14ac:dyDescent="0.25">
      <c r="A1897" s="200">
        <f>Prog_23[[#This Row],[CONTEINER]]</f>
        <v>0</v>
      </c>
      <c r="B1897" s="86"/>
      <c r="C189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97" s="44"/>
      <c r="E1897" s="66"/>
      <c r="F1897" s="66"/>
      <c r="G1897" s="66"/>
      <c r="H1897" s="44"/>
      <c r="I1897" s="44"/>
      <c r="J1897" s="66"/>
      <c r="K1897" s="66"/>
      <c r="L1897" s="66"/>
      <c r="M1897" s="66"/>
      <c r="N1897" s="66">
        <f>SUM(Prog_23[[#This Row],[TARA]]+Prog_23[[#This Row],[PESO]])</f>
        <v>0</v>
      </c>
      <c r="O1897" s="44"/>
      <c r="P1897" s="66"/>
      <c r="Q1897" s="66"/>
      <c r="R1897" s="66"/>
      <c r="S1897" s="66"/>
      <c r="T1897" s="138" t="str">
        <f>IFERROR(LOOKUP($S1897,MOTORISTAS!$D$3:$D$916,MOTORISTAS!E$3:$E$916),"")</f>
        <v/>
      </c>
      <c r="U1897" s="138" t="str">
        <f>IFERROR(LOOKUP($S1897,MOTORISTAS!$D$3:$D$916,MOTORISTAS!F$3:$F$916),"")</f>
        <v/>
      </c>
      <c r="V1897" s="66"/>
      <c r="W1897" s="66"/>
      <c r="X1897" s="66"/>
      <c r="Y1897" s="66"/>
      <c r="Z1897" s="66"/>
      <c r="AA1897" s="66"/>
      <c r="AB1897" s="66"/>
      <c r="AC1897" s="66"/>
      <c r="AD1897" s="66"/>
      <c r="AE1897" s="66"/>
      <c r="AF1897" s="44"/>
      <c r="AG1897" s="254">
        <f>Prog_23[[#This Row],[SAÍDA DO CLIENTE]]-Prog_23[[#This Row],[PROGRAMAÇÃO CLIENTE]]</f>
        <v>0</v>
      </c>
      <c r="AH1897" s="44"/>
      <c r="AI1897" s="66"/>
      <c r="AJ1897" s="66"/>
      <c r="AK1897" s="66"/>
      <c r="AL1897" s="66"/>
      <c r="AM1897" s="66"/>
      <c r="AN1897" s="83"/>
      <c r="AO1897" s="83"/>
      <c r="AP1897" s="83"/>
      <c r="AQ1897" s="66"/>
      <c r="AR1897" s="66"/>
      <c r="AS1897" s="66"/>
      <c r="AT1897" s="81"/>
      <c r="AU1897" s="81"/>
      <c r="AV1897" s="81"/>
      <c r="AW1897" s="81"/>
      <c r="AX1897" s="83">
        <f>SUM(Prog_23[[#This Row],[ADIANTAMENTO]]+Prog_23[[#This Row],[SALDO]]+Prog_23[[#This Row],[MARGEM]]+Prog_23[[#This Row],[ESTADIA 1]])</f>
        <v>0</v>
      </c>
      <c r="AY189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97" s="81"/>
      <c r="BA1897" s="81"/>
      <c r="BB1897" s="81">
        <f>Prog_23[[#This Row],[VLR NF]]*0.1%</f>
        <v>0</v>
      </c>
      <c r="BC1897" s="81">
        <f>Prog_23[[#This Row],[VLR NF]]*0.05%</f>
        <v>0</v>
      </c>
      <c r="BD1897" s="81"/>
      <c r="BE1897" s="81"/>
      <c r="BF1897" s="81"/>
      <c r="BG1897" s="81"/>
      <c r="BH1897" s="81"/>
      <c r="BI1897" s="81"/>
      <c r="BJ1897" s="81"/>
      <c r="BK1897" s="81"/>
      <c r="BL1897" s="81"/>
      <c r="BM1897" s="81"/>
      <c r="BN1897" s="66"/>
      <c r="BO1897" s="66"/>
      <c r="BP1897" s="66"/>
      <c r="BQ1897" s="66" t="str">
        <f>PROPER(TEXT(Prog_23[[#This Row],[PROGRAMAÇÃO CLIENTE]],"mmm"))</f>
        <v>Jan</v>
      </c>
      <c r="BR1897" s="66">
        <f>YEAR(Prog_23[[#This Row],[PROGRAMAÇÃO CLIENTE]])</f>
        <v>1900</v>
      </c>
    </row>
    <row r="1898" spans="1:70" x14ac:dyDescent="0.25">
      <c r="A1898" s="201">
        <f>Prog_23[[#This Row],[CONTEINER]]</f>
        <v>0</v>
      </c>
      <c r="B1898" s="86"/>
      <c r="C189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98" s="44"/>
      <c r="E1898" s="66"/>
      <c r="F1898" s="66"/>
      <c r="G1898" s="66"/>
      <c r="H1898" s="44"/>
      <c r="I1898" s="44"/>
      <c r="J1898" s="66"/>
      <c r="K1898" s="66"/>
      <c r="L1898" s="66"/>
      <c r="M1898" s="66"/>
      <c r="N1898" s="66">
        <f>SUM(Prog_23[[#This Row],[TARA]]+Prog_23[[#This Row],[PESO]])</f>
        <v>0</v>
      </c>
      <c r="O1898" s="44"/>
      <c r="P1898" s="66"/>
      <c r="Q1898" s="66"/>
      <c r="R1898" s="66"/>
      <c r="S1898" s="66"/>
      <c r="T1898" s="138" t="str">
        <f>IFERROR(LOOKUP($S1898,MOTORISTAS!$D$3:$D$916,MOTORISTAS!E$3:$E$916),"")</f>
        <v/>
      </c>
      <c r="U1898" s="138" t="str">
        <f>IFERROR(LOOKUP($S1898,MOTORISTAS!$D$3:$D$916,MOTORISTAS!F$3:$F$916),"")</f>
        <v/>
      </c>
      <c r="V1898" s="66"/>
      <c r="W1898" s="66"/>
      <c r="X1898" s="66"/>
      <c r="Y1898" s="66"/>
      <c r="Z1898" s="66"/>
      <c r="AA1898" s="66"/>
      <c r="AB1898" s="66"/>
      <c r="AC1898" s="66"/>
      <c r="AD1898" s="66"/>
      <c r="AE1898" s="66"/>
      <c r="AF1898" s="44"/>
      <c r="AG1898" s="254">
        <f>Prog_23[[#This Row],[SAÍDA DO CLIENTE]]-Prog_23[[#This Row],[PROGRAMAÇÃO CLIENTE]]</f>
        <v>0</v>
      </c>
      <c r="AH1898" s="44"/>
      <c r="AI1898" s="66"/>
      <c r="AJ1898" s="66"/>
      <c r="AK1898" s="66"/>
      <c r="AL1898" s="66"/>
      <c r="AM1898" s="66"/>
      <c r="AN1898" s="83"/>
      <c r="AO1898" s="83"/>
      <c r="AP1898" s="83"/>
      <c r="AQ1898" s="66"/>
      <c r="AR1898" s="66"/>
      <c r="AS1898" s="66"/>
      <c r="AT1898" s="81"/>
      <c r="AU1898" s="81"/>
      <c r="AV1898" s="81"/>
      <c r="AW1898" s="81"/>
      <c r="AX1898" s="83">
        <f>SUM(Prog_23[[#This Row],[ADIANTAMENTO]]+Prog_23[[#This Row],[SALDO]]+Prog_23[[#This Row],[MARGEM]]+Prog_23[[#This Row],[ESTADIA 1]])</f>
        <v>0</v>
      </c>
      <c r="AY189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98" s="81"/>
      <c r="BA1898" s="81"/>
      <c r="BB1898" s="81">
        <f>Prog_23[[#This Row],[VLR NF]]*0.1%</f>
        <v>0</v>
      </c>
      <c r="BC1898" s="81">
        <f>Prog_23[[#This Row],[VLR NF]]*0.05%</f>
        <v>0</v>
      </c>
      <c r="BD1898" s="81"/>
      <c r="BE1898" s="81"/>
      <c r="BF1898" s="81"/>
      <c r="BG1898" s="81"/>
      <c r="BH1898" s="81"/>
      <c r="BI1898" s="81"/>
      <c r="BJ1898" s="81"/>
      <c r="BK1898" s="81"/>
      <c r="BL1898" s="81"/>
      <c r="BM1898" s="81"/>
      <c r="BN1898" s="66"/>
      <c r="BO1898" s="66"/>
      <c r="BP1898" s="66"/>
      <c r="BQ1898" s="66" t="str">
        <f>PROPER(TEXT(Prog_23[[#This Row],[PROGRAMAÇÃO CLIENTE]],"mmm"))</f>
        <v>Jan</v>
      </c>
      <c r="BR1898" s="66">
        <f>YEAR(Prog_23[[#This Row],[PROGRAMAÇÃO CLIENTE]])</f>
        <v>1900</v>
      </c>
    </row>
    <row r="1899" spans="1:70" x14ac:dyDescent="0.25">
      <c r="A1899" s="200">
        <f>Prog_23[[#This Row],[CONTEINER]]</f>
        <v>0</v>
      </c>
      <c r="B1899" s="86"/>
      <c r="C189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899" s="44"/>
      <c r="E1899" s="66"/>
      <c r="F1899" s="66"/>
      <c r="G1899" s="66"/>
      <c r="H1899" s="44"/>
      <c r="I1899" s="44"/>
      <c r="J1899" s="66"/>
      <c r="K1899" s="66"/>
      <c r="L1899" s="66"/>
      <c r="M1899" s="66"/>
      <c r="N1899" s="66">
        <f>SUM(Prog_23[[#This Row],[TARA]]+Prog_23[[#This Row],[PESO]])</f>
        <v>0</v>
      </c>
      <c r="O1899" s="44"/>
      <c r="P1899" s="66"/>
      <c r="Q1899" s="66"/>
      <c r="R1899" s="66"/>
      <c r="S1899" s="66"/>
      <c r="T1899" s="138" t="str">
        <f>IFERROR(LOOKUP($S1899,MOTORISTAS!$D$3:$D$916,MOTORISTAS!E$3:$E$916),"")</f>
        <v/>
      </c>
      <c r="U1899" s="138" t="str">
        <f>IFERROR(LOOKUP($S1899,MOTORISTAS!$D$3:$D$916,MOTORISTAS!F$3:$F$916),"")</f>
        <v/>
      </c>
      <c r="V1899" s="66"/>
      <c r="W1899" s="66"/>
      <c r="X1899" s="66"/>
      <c r="Y1899" s="66"/>
      <c r="Z1899" s="66"/>
      <c r="AA1899" s="66"/>
      <c r="AB1899" s="66"/>
      <c r="AC1899" s="66"/>
      <c r="AD1899" s="66"/>
      <c r="AE1899" s="66"/>
      <c r="AF1899" s="44"/>
      <c r="AG1899" s="254">
        <f>Prog_23[[#This Row],[SAÍDA DO CLIENTE]]-Prog_23[[#This Row],[PROGRAMAÇÃO CLIENTE]]</f>
        <v>0</v>
      </c>
      <c r="AH1899" s="44"/>
      <c r="AI1899" s="66"/>
      <c r="AJ1899" s="66"/>
      <c r="AK1899" s="66"/>
      <c r="AL1899" s="66"/>
      <c r="AM1899" s="66"/>
      <c r="AN1899" s="83"/>
      <c r="AO1899" s="83"/>
      <c r="AP1899" s="83"/>
      <c r="AQ1899" s="66"/>
      <c r="AR1899" s="66"/>
      <c r="AS1899" s="66"/>
      <c r="AT1899" s="81"/>
      <c r="AU1899" s="81"/>
      <c r="AV1899" s="81"/>
      <c r="AW1899" s="81"/>
      <c r="AX1899" s="83">
        <f>SUM(Prog_23[[#This Row],[ADIANTAMENTO]]+Prog_23[[#This Row],[SALDO]]+Prog_23[[#This Row],[MARGEM]]+Prog_23[[#This Row],[ESTADIA 1]])</f>
        <v>0</v>
      </c>
      <c r="AY189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899" s="81"/>
      <c r="BA1899" s="81"/>
      <c r="BB1899" s="81">
        <f>Prog_23[[#This Row],[VLR NF]]*0.1%</f>
        <v>0</v>
      </c>
      <c r="BC1899" s="81">
        <f>Prog_23[[#This Row],[VLR NF]]*0.05%</f>
        <v>0</v>
      </c>
      <c r="BD1899" s="81"/>
      <c r="BE1899" s="81"/>
      <c r="BF1899" s="81"/>
      <c r="BG1899" s="81"/>
      <c r="BH1899" s="81"/>
      <c r="BI1899" s="81"/>
      <c r="BJ1899" s="81"/>
      <c r="BK1899" s="81"/>
      <c r="BL1899" s="81"/>
      <c r="BM1899" s="81"/>
      <c r="BN1899" s="66"/>
      <c r="BO1899" s="66"/>
      <c r="BP1899" s="66"/>
      <c r="BQ1899" s="66" t="str">
        <f>PROPER(TEXT(Prog_23[[#This Row],[PROGRAMAÇÃO CLIENTE]],"mmm"))</f>
        <v>Jan</v>
      </c>
      <c r="BR1899" s="66">
        <f>YEAR(Prog_23[[#This Row],[PROGRAMAÇÃO CLIENTE]])</f>
        <v>1900</v>
      </c>
    </row>
    <row r="1900" spans="1:70" x14ac:dyDescent="0.25">
      <c r="A1900" s="201">
        <f>Prog_23[[#This Row],[CONTEINER]]</f>
        <v>0</v>
      </c>
      <c r="B1900" s="86"/>
      <c r="C190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00" s="44"/>
      <c r="E1900" s="66"/>
      <c r="F1900" s="66"/>
      <c r="G1900" s="66"/>
      <c r="H1900" s="44"/>
      <c r="I1900" s="44"/>
      <c r="J1900" s="66"/>
      <c r="K1900" s="66"/>
      <c r="L1900" s="66"/>
      <c r="M1900" s="66"/>
      <c r="N1900" s="66">
        <f>SUM(Prog_23[[#This Row],[TARA]]+Prog_23[[#This Row],[PESO]])</f>
        <v>0</v>
      </c>
      <c r="O1900" s="44"/>
      <c r="P1900" s="66"/>
      <c r="Q1900" s="66"/>
      <c r="R1900" s="66"/>
      <c r="S1900" s="66"/>
      <c r="T1900" s="138" t="str">
        <f>IFERROR(LOOKUP($S1900,MOTORISTAS!$D$3:$D$916,MOTORISTAS!E$3:$E$916),"")</f>
        <v/>
      </c>
      <c r="U1900" s="138" t="str">
        <f>IFERROR(LOOKUP($S1900,MOTORISTAS!$D$3:$D$916,MOTORISTAS!F$3:$F$916),"")</f>
        <v/>
      </c>
      <c r="V1900" s="66"/>
      <c r="W1900" s="66"/>
      <c r="X1900" s="66"/>
      <c r="Y1900" s="66"/>
      <c r="Z1900" s="66"/>
      <c r="AA1900" s="66"/>
      <c r="AB1900" s="66"/>
      <c r="AC1900" s="66"/>
      <c r="AD1900" s="66"/>
      <c r="AE1900" s="66"/>
      <c r="AF1900" s="44"/>
      <c r="AG1900" s="254">
        <f>Prog_23[[#This Row],[SAÍDA DO CLIENTE]]-Prog_23[[#This Row],[PROGRAMAÇÃO CLIENTE]]</f>
        <v>0</v>
      </c>
      <c r="AH1900" s="44"/>
      <c r="AI1900" s="66"/>
      <c r="AJ1900" s="66"/>
      <c r="AK1900" s="66"/>
      <c r="AL1900" s="66"/>
      <c r="AM1900" s="66"/>
      <c r="AN1900" s="83"/>
      <c r="AO1900" s="83"/>
      <c r="AP1900" s="83"/>
      <c r="AQ1900" s="66"/>
      <c r="AR1900" s="66"/>
      <c r="AS1900" s="66"/>
      <c r="AT1900" s="81"/>
      <c r="AU1900" s="81"/>
      <c r="AV1900" s="81"/>
      <c r="AW1900" s="81"/>
      <c r="AX1900" s="83">
        <f>SUM(Prog_23[[#This Row],[ADIANTAMENTO]]+Prog_23[[#This Row],[SALDO]]+Prog_23[[#This Row],[MARGEM]]+Prog_23[[#This Row],[ESTADIA 1]])</f>
        <v>0</v>
      </c>
      <c r="AY190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00" s="81"/>
      <c r="BA1900" s="81"/>
      <c r="BB1900" s="81">
        <f>Prog_23[[#This Row],[VLR NF]]*0.1%</f>
        <v>0</v>
      </c>
      <c r="BC1900" s="81">
        <f>Prog_23[[#This Row],[VLR NF]]*0.05%</f>
        <v>0</v>
      </c>
      <c r="BD1900" s="81"/>
      <c r="BE1900" s="81"/>
      <c r="BF1900" s="81"/>
      <c r="BG1900" s="81"/>
      <c r="BH1900" s="81"/>
      <c r="BI1900" s="81"/>
      <c r="BJ1900" s="81"/>
      <c r="BK1900" s="81"/>
      <c r="BL1900" s="81"/>
      <c r="BM1900" s="81"/>
      <c r="BN1900" s="66"/>
      <c r="BO1900" s="66"/>
      <c r="BP1900" s="66"/>
      <c r="BQ1900" s="66" t="str">
        <f>PROPER(TEXT(Prog_23[[#This Row],[PROGRAMAÇÃO CLIENTE]],"mmm"))</f>
        <v>Jan</v>
      </c>
      <c r="BR1900" s="66">
        <f>YEAR(Prog_23[[#This Row],[PROGRAMAÇÃO CLIENTE]])</f>
        <v>1900</v>
      </c>
    </row>
    <row r="1901" spans="1:70" x14ac:dyDescent="0.25">
      <c r="A1901" s="200">
        <f>Prog_23[[#This Row],[CONTEINER]]</f>
        <v>0</v>
      </c>
      <c r="B1901" s="86"/>
      <c r="C190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01" s="44"/>
      <c r="E1901" s="66"/>
      <c r="F1901" s="66"/>
      <c r="G1901" s="66"/>
      <c r="H1901" s="44"/>
      <c r="I1901" s="44"/>
      <c r="J1901" s="66"/>
      <c r="K1901" s="66"/>
      <c r="L1901" s="66"/>
      <c r="M1901" s="66"/>
      <c r="N1901" s="66">
        <f>SUM(Prog_23[[#This Row],[TARA]]+Prog_23[[#This Row],[PESO]])</f>
        <v>0</v>
      </c>
      <c r="O1901" s="44"/>
      <c r="P1901" s="66"/>
      <c r="Q1901" s="66"/>
      <c r="R1901" s="66"/>
      <c r="S1901" s="66"/>
      <c r="T1901" s="138" t="str">
        <f>IFERROR(LOOKUP($S1901,MOTORISTAS!$D$3:$D$916,MOTORISTAS!E$3:$E$916),"")</f>
        <v/>
      </c>
      <c r="U1901" s="138" t="str">
        <f>IFERROR(LOOKUP($S1901,MOTORISTAS!$D$3:$D$916,MOTORISTAS!F$3:$F$916),"")</f>
        <v/>
      </c>
      <c r="V1901" s="66"/>
      <c r="W1901" s="66"/>
      <c r="X1901" s="66"/>
      <c r="Y1901" s="66"/>
      <c r="Z1901" s="66"/>
      <c r="AA1901" s="66"/>
      <c r="AB1901" s="66"/>
      <c r="AC1901" s="66"/>
      <c r="AD1901" s="66"/>
      <c r="AE1901" s="66"/>
      <c r="AF1901" s="44"/>
      <c r="AG1901" s="254">
        <f>Prog_23[[#This Row],[SAÍDA DO CLIENTE]]-Prog_23[[#This Row],[PROGRAMAÇÃO CLIENTE]]</f>
        <v>0</v>
      </c>
      <c r="AH1901" s="44"/>
      <c r="AI1901" s="66"/>
      <c r="AJ1901" s="66"/>
      <c r="AK1901" s="66"/>
      <c r="AL1901" s="66"/>
      <c r="AM1901" s="66"/>
      <c r="AN1901" s="83"/>
      <c r="AO1901" s="83"/>
      <c r="AP1901" s="83"/>
      <c r="AQ1901" s="66"/>
      <c r="AR1901" s="66"/>
      <c r="AS1901" s="66"/>
      <c r="AT1901" s="81"/>
      <c r="AU1901" s="81"/>
      <c r="AV1901" s="81"/>
      <c r="AW1901" s="81"/>
      <c r="AX1901" s="83">
        <f>SUM(Prog_23[[#This Row],[ADIANTAMENTO]]+Prog_23[[#This Row],[SALDO]]+Prog_23[[#This Row],[MARGEM]]+Prog_23[[#This Row],[ESTADIA 1]])</f>
        <v>0</v>
      </c>
      <c r="AY190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01" s="81"/>
      <c r="BA1901" s="81"/>
      <c r="BB1901" s="81">
        <f>Prog_23[[#This Row],[VLR NF]]*0.1%</f>
        <v>0</v>
      </c>
      <c r="BC1901" s="81">
        <f>Prog_23[[#This Row],[VLR NF]]*0.05%</f>
        <v>0</v>
      </c>
      <c r="BD1901" s="81"/>
      <c r="BE1901" s="81"/>
      <c r="BF1901" s="81"/>
      <c r="BG1901" s="81"/>
      <c r="BH1901" s="81"/>
      <c r="BI1901" s="81"/>
      <c r="BJ1901" s="81"/>
      <c r="BK1901" s="81"/>
      <c r="BL1901" s="81"/>
      <c r="BM1901" s="81"/>
      <c r="BN1901" s="66"/>
      <c r="BO1901" s="66"/>
      <c r="BP1901" s="66"/>
      <c r="BQ1901" s="66" t="str">
        <f>PROPER(TEXT(Prog_23[[#This Row],[PROGRAMAÇÃO CLIENTE]],"mmm"))</f>
        <v>Jan</v>
      </c>
      <c r="BR1901" s="66">
        <f>YEAR(Prog_23[[#This Row],[PROGRAMAÇÃO CLIENTE]])</f>
        <v>1900</v>
      </c>
    </row>
    <row r="1902" spans="1:70" x14ac:dyDescent="0.25">
      <c r="A1902" s="201">
        <f>Prog_23[[#This Row],[CONTEINER]]</f>
        <v>0</v>
      </c>
      <c r="B1902" s="86"/>
      <c r="C190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02" s="44"/>
      <c r="E1902" s="66"/>
      <c r="F1902" s="66"/>
      <c r="G1902" s="66"/>
      <c r="H1902" s="44"/>
      <c r="I1902" s="44"/>
      <c r="J1902" s="66"/>
      <c r="K1902" s="66"/>
      <c r="L1902" s="66"/>
      <c r="M1902" s="66"/>
      <c r="N1902" s="66">
        <f>SUM(Prog_23[[#This Row],[TARA]]+Prog_23[[#This Row],[PESO]])</f>
        <v>0</v>
      </c>
      <c r="O1902" s="44"/>
      <c r="P1902" s="66"/>
      <c r="Q1902" s="66"/>
      <c r="R1902" s="66"/>
      <c r="S1902" s="66"/>
      <c r="T1902" s="138" t="str">
        <f>IFERROR(LOOKUP($S1902,MOTORISTAS!$D$3:$D$916,MOTORISTAS!E$3:$E$916),"")</f>
        <v/>
      </c>
      <c r="U1902" s="138" t="str">
        <f>IFERROR(LOOKUP($S1902,MOTORISTAS!$D$3:$D$916,MOTORISTAS!F$3:$F$916),"")</f>
        <v/>
      </c>
      <c r="V1902" s="66"/>
      <c r="W1902" s="66"/>
      <c r="X1902" s="66"/>
      <c r="Y1902" s="66"/>
      <c r="Z1902" s="66"/>
      <c r="AA1902" s="66"/>
      <c r="AB1902" s="66"/>
      <c r="AC1902" s="66"/>
      <c r="AD1902" s="66"/>
      <c r="AE1902" s="66"/>
      <c r="AF1902" s="44"/>
      <c r="AG1902" s="254">
        <f>Prog_23[[#This Row],[SAÍDA DO CLIENTE]]-Prog_23[[#This Row],[PROGRAMAÇÃO CLIENTE]]</f>
        <v>0</v>
      </c>
      <c r="AH1902" s="44"/>
      <c r="AI1902" s="66"/>
      <c r="AJ1902" s="66"/>
      <c r="AK1902" s="66"/>
      <c r="AL1902" s="66"/>
      <c r="AM1902" s="66"/>
      <c r="AN1902" s="83"/>
      <c r="AO1902" s="83"/>
      <c r="AP1902" s="83"/>
      <c r="AQ1902" s="66"/>
      <c r="AR1902" s="66"/>
      <c r="AS1902" s="66"/>
      <c r="AT1902" s="81"/>
      <c r="AU1902" s="81"/>
      <c r="AV1902" s="81"/>
      <c r="AW1902" s="81"/>
      <c r="AX1902" s="83">
        <f>SUM(Prog_23[[#This Row],[ADIANTAMENTO]]+Prog_23[[#This Row],[SALDO]]+Prog_23[[#This Row],[MARGEM]]+Prog_23[[#This Row],[ESTADIA 1]])</f>
        <v>0</v>
      </c>
      <c r="AY190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02" s="81"/>
      <c r="BA1902" s="81"/>
      <c r="BB1902" s="81">
        <f>Prog_23[[#This Row],[VLR NF]]*0.1%</f>
        <v>0</v>
      </c>
      <c r="BC1902" s="81">
        <f>Prog_23[[#This Row],[VLR NF]]*0.05%</f>
        <v>0</v>
      </c>
      <c r="BD1902" s="81"/>
      <c r="BE1902" s="81"/>
      <c r="BF1902" s="81"/>
      <c r="BG1902" s="81"/>
      <c r="BH1902" s="81"/>
      <c r="BI1902" s="81"/>
      <c r="BJ1902" s="81"/>
      <c r="BK1902" s="81"/>
      <c r="BL1902" s="81"/>
      <c r="BM1902" s="81"/>
      <c r="BN1902" s="66"/>
      <c r="BO1902" s="66"/>
      <c r="BP1902" s="66"/>
      <c r="BQ1902" s="66" t="str">
        <f>PROPER(TEXT(Prog_23[[#This Row],[PROGRAMAÇÃO CLIENTE]],"mmm"))</f>
        <v>Jan</v>
      </c>
      <c r="BR1902" s="66">
        <f>YEAR(Prog_23[[#This Row],[PROGRAMAÇÃO CLIENTE]])</f>
        <v>1900</v>
      </c>
    </row>
    <row r="1903" spans="1:70" x14ac:dyDescent="0.25">
      <c r="A1903" s="200">
        <f>Prog_23[[#This Row],[CONTEINER]]</f>
        <v>0</v>
      </c>
      <c r="B1903" s="86"/>
      <c r="C190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03" s="44"/>
      <c r="E1903" s="66"/>
      <c r="F1903" s="66"/>
      <c r="G1903" s="66"/>
      <c r="H1903" s="44"/>
      <c r="I1903" s="44"/>
      <c r="J1903" s="66"/>
      <c r="K1903" s="66"/>
      <c r="L1903" s="66"/>
      <c r="M1903" s="66"/>
      <c r="N1903" s="66">
        <f>SUM(Prog_23[[#This Row],[TARA]]+Prog_23[[#This Row],[PESO]])</f>
        <v>0</v>
      </c>
      <c r="O1903" s="44"/>
      <c r="P1903" s="66"/>
      <c r="Q1903" s="66"/>
      <c r="R1903" s="66"/>
      <c r="S1903" s="66"/>
      <c r="T1903" s="138" t="str">
        <f>IFERROR(LOOKUP($S1903,MOTORISTAS!$D$3:$D$916,MOTORISTAS!E$3:$E$916),"")</f>
        <v/>
      </c>
      <c r="U1903" s="138" t="str">
        <f>IFERROR(LOOKUP($S1903,MOTORISTAS!$D$3:$D$916,MOTORISTAS!F$3:$F$916),"")</f>
        <v/>
      </c>
      <c r="V1903" s="66"/>
      <c r="W1903" s="66"/>
      <c r="X1903" s="66"/>
      <c r="Y1903" s="66"/>
      <c r="Z1903" s="66"/>
      <c r="AA1903" s="66"/>
      <c r="AB1903" s="66"/>
      <c r="AC1903" s="66"/>
      <c r="AD1903" s="66"/>
      <c r="AE1903" s="66"/>
      <c r="AF1903" s="44"/>
      <c r="AG1903" s="254">
        <f>Prog_23[[#This Row],[SAÍDA DO CLIENTE]]-Prog_23[[#This Row],[PROGRAMAÇÃO CLIENTE]]</f>
        <v>0</v>
      </c>
      <c r="AH1903" s="44"/>
      <c r="AI1903" s="66"/>
      <c r="AJ1903" s="66"/>
      <c r="AK1903" s="66"/>
      <c r="AL1903" s="66"/>
      <c r="AM1903" s="66"/>
      <c r="AN1903" s="83"/>
      <c r="AO1903" s="83"/>
      <c r="AP1903" s="83"/>
      <c r="AQ1903" s="66"/>
      <c r="AR1903" s="66"/>
      <c r="AS1903" s="66"/>
      <c r="AT1903" s="81"/>
      <c r="AU1903" s="81"/>
      <c r="AV1903" s="81"/>
      <c r="AW1903" s="81"/>
      <c r="AX1903" s="83">
        <f>SUM(Prog_23[[#This Row],[ADIANTAMENTO]]+Prog_23[[#This Row],[SALDO]]+Prog_23[[#This Row],[MARGEM]]+Prog_23[[#This Row],[ESTADIA 1]])</f>
        <v>0</v>
      </c>
      <c r="AY190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03" s="81"/>
      <c r="BA1903" s="81"/>
      <c r="BB1903" s="81">
        <f>Prog_23[[#This Row],[VLR NF]]*0.1%</f>
        <v>0</v>
      </c>
      <c r="BC1903" s="81">
        <f>Prog_23[[#This Row],[VLR NF]]*0.05%</f>
        <v>0</v>
      </c>
      <c r="BD1903" s="81"/>
      <c r="BE1903" s="81"/>
      <c r="BF1903" s="81"/>
      <c r="BG1903" s="81"/>
      <c r="BH1903" s="81"/>
      <c r="BI1903" s="81"/>
      <c r="BJ1903" s="81"/>
      <c r="BK1903" s="81"/>
      <c r="BL1903" s="81"/>
      <c r="BM1903" s="81"/>
      <c r="BN1903" s="66"/>
      <c r="BO1903" s="66"/>
      <c r="BP1903" s="66"/>
      <c r="BQ1903" s="66" t="str">
        <f>PROPER(TEXT(Prog_23[[#This Row],[PROGRAMAÇÃO CLIENTE]],"mmm"))</f>
        <v>Jan</v>
      </c>
      <c r="BR1903" s="66">
        <f>YEAR(Prog_23[[#This Row],[PROGRAMAÇÃO CLIENTE]])</f>
        <v>1900</v>
      </c>
    </row>
    <row r="1904" spans="1:70" x14ac:dyDescent="0.25">
      <c r="A1904" s="201">
        <f>Prog_23[[#This Row],[CONTEINER]]</f>
        <v>0</v>
      </c>
      <c r="B1904" s="86"/>
      <c r="C190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04" s="44"/>
      <c r="E1904" s="66"/>
      <c r="F1904" s="66"/>
      <c r="G1904" s="66"/>
      <c r="H1904" s="44"/>
      <c r="I1904" s="44"/>
      <c r="J1904" s="66"/>
      <c r="K1904" s="66"/>
      <c r="L1904" s="66"/>
      <c r="M1904" s="66"/>
      <c r="N1904" s="66">
        <f>SUM(Prog_23[[#This Row],[TARA]]+Prog_23[[#This Row],[PESO]])</f>
        <v>0</v>
      </c>
      <c r="O1904" s="44"/>
      <c r="P1904" s="66"/>
      <c r="Q1904" s="66"/>
      <c r="R1904" s="66"/>
      <c r="S1904" s="66"/>
      <c r="T1904" s="138" t="str">
        <f>IFERROR(LOOKUP($S1904,MOTORISTAS!$D$3:$D$916,MOTORISTAS!E$3:$E$916),"")</f>
        <v/>
      </c>
      <c r="U1904" s="138" t="str">
        <f>IFERROR(LOOKUP($S1904,MOTORISTAS!$D$3:$D$916,MOTORISTAS!F$3:$F$916),"")</f>
        <v/>
      </c>
      <c r="V1904" s="66"/>
      <c r="W1904" s="66"/>
      <c r="X1904" s="66"/>
      <c r="Y1904" s="66"/>
      <c r="Z1904" s="66"/>
      <c r="AA1904" s="66"/>
      <c r="AB1904" s="66"/>
      <c r="AC1904" s="66"/>
      <c r="AD1904" s="66"/>
      <c r="AE1904" s="66"/>
      <c r="AF1904" s="44"/>
      <c r="AG1904" s="254">
        <f>Prog_23[[#This Row],[SAÍDA DO CLIENTE]]-Prog_23[[#This Row],[PROGRAMAÇÃO CLIENTE]]</f>
        <v>0</v>
      </c>
      <c r="AH1904" s="44"/>
      <c r="AI1904" s="66"/>
      <c r="AJ1904" s="66"/>
      <c r="AK1904" s="66"/>
      <c r="AL1904" s="66"/>
      <c r="AM1904" s="66"/>
      <c r="AN1904" s="83"/>
      <c r="AO1904" s="83"/>
      <c r="AP1904" s="83"/>
      <c r="AQ1904" s="66"/>
      <c r="AR1904" s="66"/>
      <c r="AS1904" s="66"/>
      <c r="AT1904" s="81"/>
      <c r="AU1904" s="81"/>
      <c r="AV1904" s="81"/>
      <c r="AW1904" s="81"/>
      <c r="AX1904" s="83">
        <f>SUM(Prog_23[[#This Row],[ADIANTAMENTO]]+Prog_23[[#This Row],[SALDO]]+Prog_23[[#This Row],[MARGEM]]+Prog_23[[#This Row],[ESTADIA 1]])</f>
        <v>0</v>
      </c>
      <c r="AY190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04" s="81"/>
      <c r="BA1904" s="81"/>
      <c r="BB1904" s="81">
        <f>Prog_23[[#This Row],[VLR NF]]*0.1%</f>
        <v>0</v>
      </c>
      <c r="BC1904" s="81">
        <f>Prog_23[[#This Row],[VLR NF]]*0.05%</f>
        <v>0</v>
      </c>
      <c r="BD1904" s="81"/>
      <c r="BE1904" s="81"/>
      <c r="BF1904" s="81"/>
      <c r="BG1904" s="81"/>
      <c r="BH1904" s="81"/>
      <c r="BI1904" s="81"/>
      <c r="BJ1904" s="81"/>
      <c r="BK1904" s="81"/>
      <c r="BL1904" s="81"/>
      <c r="BM1904" s="81"/>
      <c r="BN1904" s="66"/>
      <c r="BO1904" s="66"/>
      <c r="BP1904" s="66"/>
      <c r="BQ1904" s="66" t="str">
        <f>PROPER(TEXT(Prog_23[[#This Row],[PROGRAMAÇÃO CLIENTE]],"mmm"))</f>
        <v>Jan</v>
      </c>
      <c r="BR1904" s="66">
        <f>YEAR(Prog_23[[#This Row],[PROGRAMAÇÃO CLIENTE]])</f>
        <v>1900</v>
      </c>
    </row>
    <row r="1905" spans="1:70" x14ac:dyDescent="0.25">
      <c r="A1905" s="200">
        <f>Prog_23[[#This Row],[CONTEINER]]</f>
        <v>0</v>
      </c>
      <c r="B1905" s="86"/>
      <c r="C190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05" s="44"/>
      <c r="E1905" s="66"/>
      <c r="F1905" s="66"/>
      <c r="G1905" s="66"/>
      <c r="H1905" s="44"/>
      <c r="I1905" s="44"/>
      <c r="J1905" s="66"/>
      <c r="K1905" s="66"/>
      <c r="L1905" s="66"/>
      <c r="M1905" s="66"/>
      <c r="N1905" s="66">
        <f>SUM(Prog_23[[#This Row],[TARA]]+Prog_23[[#This Row],[PESO]])</f>
        <v>0</v>
      </c>
      <c r="O1905" s="44"/>
      <c r="P1905" s="66"/>
      <c r="Q1905" s="66"/>
      <c r="R1905" s="66"/>
      <c r="S1905" s="66"/>
      <c r="T1905" s="138" t="str">
        <f>IFERROR(LOOKUP($S1905,MOTORISTAS!$D$3:$D$916,MOTORISTAS!E$3:$E$916),"")</f>
        <v/>
      </c>
      <c r="U1905" s="138" t="str">
        <f>IFERROR(LOOKUP($S1905,MOTORISTAS!$D$3:$D$916,MOTORISTAS!F$3:$F$916),"")</f>
        <v/>
      </c>
      <c r="V1905" s="66"/>
      <c r="W1905" s="66"/>
      <c r="X1905" s="66"/>
      <c r="Y1905" s="66"/>
      <c r="Z1905" s="66"/>
      <c r="AA1905" s="66"/>
      <c r="AB1905" s="66"/>
      <c r="AC1905" s="66"/>
      <c r="AD1905" s="66"/>
      <c r="AE1905" s="66"/>
      <c r="AF1905" s="44"/>
      <c r="AG1905" s="254">
        <f>Prog_23[[#This Row],[SAÍDA DO CLIENTE]]-Prog_23[[#This Row],[PROGRAMAÇÃO CLIENTE]]</f>
        <v>0</v>
      </c>
      <c r="AH1905" s="44"/>
      <c r="AI1905" s="66"/>
      <c r="AJ1905" s="66"/>
      <c r="AK1905" s="66"/>
      <c r="AL1905" s="66"/>
      <c r="AM1905" s="66"/>
      <c r="AN1905" s="83"/>
      <c r="AO1905" s="83"/>
      <c r="AP1905" s="83"/>
      <c r="AQ1905" s="66"/>
      <c r="AR1905" s="66"/>
      <c r="AS1905" s="66"/>
      <c r="AT1905" s="81"/>
      <c r="AU1905" s="81"/>
      <c r="AV1905" s="81"/>
      <c r="AW1905" s="81"/>
      <c r="AX1905" s="83">
        <f>SUM(Prog_23[[#This Row],[ADIANTAMENTO]]+Prog_23[[#This Row],[SALDO]]+Prog_23[[#This Row],[MARGEM]]+Prog_23[[#This Row],[ESTADIA 1]])</f>
        <v>0</v>
      </c>
      <c r="AY190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05" s="81"/>
      <c r="BA1905" s="81"/>
      <c r="BB1905" s="81">
        <f>Prog_23[[#This Row],[VLR NF]]*0.1%</f>
        <v>0</v>
      </c>
      <c r="BC1905" s="81">
        <f>Prog_23[[#This Row],[VLR NF]]*0.05%</f>
        <v>0</v>
      </c>
      <c r="BD1905" s="81"/>
      <c r="BE1905" s="81"/>
      <c r="BF1905" s="81"/>
      <c r="BG1905" s="81"/>
      <c r="BH1905" s="81"/>
      <c r="BI1905" s="81"/>
      <c r="BJ1905" s="81"/>
      <c r="BK1905" s="81"/>
      <c r="BL1905" s="81"/>
      <c r="BM1905" s="81"/>
      <c r="BN1905" s="66"/>
      <c r="BO1905" s="66"/>
      <c r="BP1905" s="66"/>
      <c r="BQ1905" s="66" t="str">
        <f>PROPER(TEXT(Prog_23[[#This Row],[PROGRAMAÇÃO CLIENTE]],"mmm"))</f>
        <v>Jan</v>
      </c>
      <c r="BR1905" s="66">
        <f>YEAR(Prog_23[[#This Row],[PROGRAMAÇÃO CLIENTE]])</f>
        <v>1900</v>
      </c>
    </row>
    <row r="1906" spans="1:70" x14ac:dyDescent="0.25">
      <c r="A1906" s="201">
        <f>Prog_23[[#This Row],[CONTEINER]]</f>
        <v>0</v>
      </c>
      <c r="B1906" s="86"/>
      <c r="C190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06" s="44"/>
      <c r="E1906" s="66"/>
      <c r="F1906" s="66"/>
      <c r="G1906" s="66"/>
      <c r="H1906" s="44"/>
      <c r="I1906" s="44"/>
      <c r="J1906" s="66"/>
      <c r="K1906" s="66"/>
      <c r="L1906" s="66"/>
      <c r="M1906" s="66"/>
      <c r="N1906" s="66">
        <f>SUM(Prog_23[[#This Row],[TARA]]+Prog_23[[#This Row],[PESO]])</f>
        <v>0</v>
      </c>
      <c r="O1906" s="44"/>
      <c r="P1906" s="66"/>
      <c r="Q1906" s="66"/>
      <c r="R1906" s="66"/>
      <c r="S1906" s="66"/>
      <c r="T1906" s="138" t="str">
        <f>IFERROR(LOOKUP($S1906,MOTORISTAS!$D$3:$D$916,MOTORISTAS!E$3:$E$916),"")</f>
        <v/>
      </c>
      <c r="U1906" s="138" t="str">
        <f>IFERROR(LOOKUP($S1906,MOTORISTAS!$D$3:$D$916,MOTORISTAS!F$3:$F$916),"")</f>
        <v/>
      </c>
      <c r="V1906" s="66"/>
      <c r="W1906" s="66"/>
      <c r="X1906" s="66"/>
      <c r="Y1906" s="66"/>
      <c r="Z1906" s="66"/>
      <c r="AA1906" s="66"/>
      <c r="AB1906" s="66"/>
      <c r="AC1906" s="66"/>
      <c r="AD1906" s="66"/>
      <c r="AE1906" s="66"/>
      <c r="AF1906" s="44"/>
      <c r="AG1906" s="254">
        <f>Prog_23[[#This Row],[SAÍDA DO CLIENTE]]-Prog_23[[#This Row],[PROGRAMAÇÃO CLIENTE]]</f>
        <v>0</v>
      </c>
      <c r="AH1906" s="44"/>
      <c r="AI1906" s="66"/>
      <c r="AJ1906" s="66"/>
      <c r="AK1906" s="66"/>
      <c r="AL1906" s="66"/>
      <c r="AM1906" s="66"/>
      <c r="AN1906" s="83"/>
      <c r="AO1906" s="83"/>
      <c r="AP1906" s="83"/>
      <c r="AQ1906" s="66"/>
      <c r="AR1906" s="66"/>
      <c r="AS1906" s="66"/>
      <c r="AT1906" s="81"/>
      <c r="AU1906" s="81"/>
      <c r="AV1906" s="81"/>
      <c r="AW1906" s="81"/>
      <c r="AX1906" s="83">
        <f>SUM(Prog_23[[#This Row],[ADIANTAMENTO]]+Prog_23[[#This Row],[SALDO]]+Prog_23[[#This Row],[MARGEM]]+Prog_23[[#This Row],[ESTADIA 1]])</f>
        <v>0</v>
      </c>
      <c r="AY190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06" s="81"/>
      <c r="BA1906" s="81"/>
      <c r="BB1906" s="81">
        <f>Prog_23[[#This Row],[VLR NF]]*0.1%</f>
        <v>0</v>
      </c>
      <c r="BC1906" s="81">
        <f>Prog_23[[#This Row],[VLR NF]]*0.05%</f>
        <v>0</v>
      </c>
      <c r="BD1906" s="81"/>
      <c r="BE1906" s="81"/>
      <c r="BF1906" s="81"/>
      <c r="BG1906" s="81"/>
      <c r="BH1906" s="81"/>
      <c r="BI1906" s="81"/>
      <c r="BJ1906" s="81"/>
      <c r="BK1906" s="81"/>
      <c r="BL1906" s="81"/>
      <c r="BM1906" s="81"/>
      <c r="BN1906" s="66"/>
      <c r="BO1906" s="66"/>
      <c r="BP1906" s="66"/>
      <c r="BQ1906" s="66" t="str">
        <f>PROPER(TEXT(Prog_23[[#This Row],[PROGRAMAÇÃO CLIENTE]],"mmm"))</f>
        <v>Jan</v>
      </c>
      <c r="BR1906" s="66">
        <f>YEAR(Prog_23[[#This Row],[PROGRAMAÇÃO CLIENTE]])</f>
        <v>1900</v>
      </c>
    </row>
    <row r="1907" spans="1:70" x14ac:dyDescent="0.25">
      <c r="A1907" s="200">
        <f>Prog_23[[#This Row],[CONTEINER]]</f>
        <v>0</v>
      </c>
      <c r="B1907" s="86"/>
      <c r="C190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07" s="44"/>
      <c r="E1907" s="66"/>
      <c r="F1907" s="66"/>
      <c r="G1907" s="66"/>
      <c r="H1907" s="44"/>
      <c r="I1907" s="44"/>
      <c r="J1907" s="66"/>
      <c r="K1907" s="66"/>
      <c r="L1907" s="66"/>
      <c r="M1907" s="66"/>
      <c r="N1907" s="66">
        <f>SUM(Prog_23[[#This Row],[TARA]]+Prog_23[[#This Row],[PESO]])</f>
        <v>0</v>
      </c>
      <c r="O1907" s="44"/>
      <c r="P1907" s="66"/>
      <c r="Q1907" s="66"/>
      <c r="R1907" s="66"/>
      <c r="S1907" s="66"/>
      <c r="T1907" s="138" t="str">
        <f>IFERROR(LOOKUP($S1907,MOTORISTAS!$D$3:$D$916,MOTORISTAS!E$3:$E$916),"")</f>
        <v/>
      </c>
      <c r="U1907" s="138" t="str">
        <f>IFERROR(LOOKUP($S1907,MOTORISTAS!$D$3:$D$916,MOTORISTAS!F$3:$F$916),"")</f>
        <v/>
      </c>
      <c r="V1907" s="66"/>
      <c r="W1907" s="66"/>
      <c r="X1907" s="66"/>
      <c r="Y1907" s="66"/>
      <c r="Z1907" s="66"/>
      <c r="AA1907" s="66"/>
      <c r="AB1907" s="66"/>
      <c r="AC1907" s="66"/>
      <c r="AD1907" s="66"/>
      <c r="AE1907" s="66"/>
      <c r="AF1907" s="44"/>
      <c r="AG1907" s="254">
        <f>Prog_23[[#This Row],[SAÍDA DO CLIENTE]]-Prog_23[[#This Row],[PROGRAMAÇÃO CLIENTE]]</f>
        <v>0</v>
      </c>
      <c r="AH1907" s="44"/>
      <c r="AI1907" s="66"/>
      <c r="AJ1907" s="66"/>
      <c r="AK1907" s="66"/>
      <c r="AL1907" s="66"/>
      <c r="AM1907" s="66"/>
      <c r="AN1907" s="83"/>
      <c r="AO1907" s="83"/>
      <c r="AP1907" s="83"/>
      <c r="AQ1907" s="66"/>
      <c r="AR1907" s="66"/>
      <c r="AS1907" s="66"/>
      <c r="AT1907" s="81"/>
      <c r="AU1907" s="81"/>
      <c r="AV1907" s="81"/>
      <c r="AW1907" s="81"/>
      <c r="AX1907" s="83">
        <f>SUM(Prog_23[[#This Row],[ADIANTAMENTO]]+Prog_23[[#This Row],[SALDO]]+Prog_23[[#This Row],[MARGEM]]+Prog_23[[#This Row],[ESTADIA 1]])</f>
        <v>0</v>
      </c>
      <c r="AY190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07" s="81"/>
      <c r="BA1907" s="81"/>
      <c r="BB1907" s="81">
        <f>Prog_23[[#This Row],[VLR NF]]*0.1%</f>
        <v>0</v>
      </c>
      <c r="BC1907" s="81">
        <f>Prog_23[[#This Row],[VLR NF]]*0.05%</f>
        <v>0</v>
      </c>
      <c r="BD1907" s="81"/>
      <c r="BE1907" s="81"/>
      <c r="BF1907" s="81"/>
      <c r="BG1907" s="81"/>
      <c r="BH1907" s="81"/>
      <c r="BI1907" s="81"/>
      <c r="BJ1907" s="81"/>
      <c r="BK1907" s="81"/>
      <c r="BL1907" s="81"/>
      <c r="BM1907" s="81"/>
      <c r="BN1907" s="66"/>
      <c r="BO1907" s="66"/>
      <c r="BP1907" s="66"/>
      <c r="BQ1907" s="66" t="str">
        <f>PROPER(TEXT(Prog_23[[#This Row],[PROGRAMAÇÃO CLIENTE]],"mmm"))</f>
        <v>Jan</v>
      </c>
      <c r="BR1907" s="66">
        <f>YEAR(Prog_23[[#This Row],[PROGRAMAÇÃO CLIENTE]])</f>
        <v>1900</v>
      </c>
    </row>
    <row r="1908" spans="1:70" x14ac:dyDescent="0.25">
      <c r="A1908" s="201">
        <f>Prog_23[[#This Row],[CONTEINER]]</f>
        <v>0</v>
      </c>
      <c r="B1908" s="86"/>
      <c r="C190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08" s="44"/>
      <c r="E1908" s="66"/>
      <c r="F1908" s="66"/>
      <c r="G1908" s="66"/>
      <c r="H1908" s="44"/>
      <c r="I1908" s="44"/>
      <c r="J1908" s="66"/>
      <c r="K1908" s="66"/>
      <c r="L1908" s="66"/>
      <c r="M1908" s="66"/>
      <c r="N1908" s="66">
        <f>SUM(Prog_23[[#This Row],[TARA]]+Prog_23[[#This Row],[PESO]])</f>
        <v>0</v>
      </c>
      <c r="O1908" s="44"/>
      <c r="P1908" s="66"/>
      <c r="Q1908" s="66"/>
      <c r="R1908" s="66"/>
      <c r="S1908" s="66"/>
      <c r="T1908" s="138" t="str">
        <f>IFERROR(LOOKUP($S1908,MOTORISTAS!$D$3:$D$916,MOTORISTAS!E$3:$E$916),"")</f>
        <v/>
      </c>
      <c r="U1908" s="138" t="str">
        <f>IFERROR(LOOKUP($S1908,MOTORISTAS!$D$3:$D$916,MOTORISTAS!F$3:$F$916),"")</f>
        <v/>
      </c>
      <c r="V1908" s="66"/>
      <c r="W1908" s="66"/>
      <c r="X1908" s="66"/>
      <c r="Y1908" s="66"/>
      <c r="Z1908" s="66"/>
      <c r="AA1908" s="66"/>
      <c r="AB1908" s="66"/>
      <c r="AC1908" s="66"/>
      <c r="AD1908" s="66"/>
      <c r="AE1908" s="66"/>
      <c r="AF1908" s="44"/>
      <c r="AG1908" s="254">
        <f>Prog_23[[#This Row],[SAÍDA DO CLIENTE]]-Prog_23[[#This Row],[PROGRAMAÇÃO CLIENTE]]</f>
        <v>0</v>
      </c>
      <c r="AH1908" s="44"/>
      <c r="AI1908" s="66"/>
      <c r="AJ1908" s="66"/>
      <c r="AK1908" s="66"/>
      <c r="AL1908" s="66"/>
      <c r="AM1908" s="66"/>
      <c r="AN1908" s="83"/>
      <c r="AO1908" s="83"/>
      <c r="AP1908" s="83"/>
      <c r="AQ1908" s="66"/>
      <c r="AR1908" s="66"/>
      <c r="AS1908" s="66"/>
      <c r="AT1908" s="81"/>
      <c r="AU1908" s="81"/>
      <c r="AV1908" s="81"/>
      <c r="AW1908" s="81"/>
      <c r="AX1908" s="83">
        <f>SUM(Prog_23[[#This Row],[ADIANTAMENTO]]+Prog_23[[#This Row],[SALDO]]+Prog_23[[#This Row],[MARGEM]]+Prog_23[[#This Row],[ESTADIA 1]])</f>
        <v>0</v>
      </c>
      <c r="AY190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08" s="81"/>
      <c r="BA1908" s="81"/>
      <c r="BB1908" s="81">
        <f>Prog_23[[#This Row],[VLR NF]]*0.1%</f>
        <v>0</v>
      </c>
      <c r="BC1908" s="81">
        <f>Prog_23[[#This Row],[VLR NF]]*0.05%</f>
        <v>0</v>
      </c>
      <c r="BD1908" s="81"/>
      <c r="BE1908" s="81"/>
      <c r="BF1908" s="81"/>
      <c r="BG1908" s="81"/>
      <c r="BH1908" s="81"/>
      <c r="BI1908" s="81"/>
      <c r="BJ1908" s="81"/>
      <c r="BK1908" s="81"/>
      <c r="BL1908" s="81"/>
      <c r="BM1908" s="81"/>
      <c r="BN1908" s="66"/>
      <c r="BO1908" s="66"/>
      <c r="BP1908" s="66"/>
      <c r="BQ1908" s="66" t="str">
        <f>PROPER(TEXT(Prog_23[[#This Row],[PROGRAMAÇÃO CLIENTE]],"mmm"))</f>
        <v>Jan</v>
      </c>
      <c r="BR1908" s="66">
        <f>YEAR(Prog_23[[#This Row],[PROGRAMAÇÃO CLIENTE]])</f>
        <v>1900</v>
      </c>
    </row>
    <row r="1909" spans="1:70" x14ac:dyDescent="0.25">
      <c r="A1909" s="200">
        <f>Prog_23[[#This Row],[CONTEINER]]</f>
        <v>0</v>
      </c>
      <c r="B1909" s="86"/>
      <c r="C190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09" s="44"/>
      <c r="E1909" s="66"/>
      <c r="F1909" s="66"/>
      <c r="G1909" s="66"/>
      <c r="H1909" s="44"/>
      <c r="I1909" s="44"/>
      <c r="J1909" s="66"/>
      <c r="K1909" s="66"/>
      <c r="L1909" s="66"/>
      <c r="M1909" s="66"/>
      <c r="N1909" s="66">
        <f>SUM(Prog_23[[#This Row],[TARA]]+Prog_23[[#This Row],[PESO]])</f>
        <v>0</v>
      </c>
      <c r="O1909" s="44"/>
      <c r="P1909" s="66"/>
      <c r="Q1909" s="66"/>
      <c r="R1909" s="66"/>
      <c r="S1909" s="66"/>
      <c r="T1909" s="138" t="str">
        <f>IFERROR(LOOKUP($S1909,MOTORISTAS!$D$3:$D$916,MOTORISTAS!E$3:$E$916),"")</f>
        <v/>
      </c>
      <c r="U1909" s="138" t="str">
        <f>IFERROR(LOOKUP($S1909,MOTORISTAS!$D$3:$D$916,MOTORISTAS!F$3:$F$916),"")</f>
        <v/>
      </c>
      <c r="V1909" s="66"/>
      <c r="W1909" s="66"/>
      <c r="X1909" s="66"/>
      <c r="Y1909" s="66"/>
      <c r="Z1909" s="66"/>
      <c r="AA1909" s="66"/>
      <c r="AB1909" s="66"/>
      <c r="AC1909" s="66"/>
      <c r="AD1909" s="66"/>
      <c r="AE1909" s="66"/>
      <c r="AF1909" s="44"/>
      <c r="AG1909" s="254">
        <f>Prog_23[[#This Row],[SAÍDA DO CLIENTE]]-Prog_23[[#This Row],[PROGRAMAÇÃO CLIENTE]]</f>
        <v>0</v>
      </c>
      <c r="AH1909" s="44"/>
      <c r="AI1909" s="66"/>
      <c r="AJ1909" s="66"/>
      <c r="AK1909" s="66"/>
      <c r="AL1909" s="66"/>
      <c r="AM1909" s="66"/>
      <c r="AN1909" s="83"/>
      <c r="AO1909" s="83"/>
      <c r="AP1909" s="83"/>
      <c r="AQ1909" s="66"/>
      <c r="AR1909" s="66"/>
      <c r="AS1909" s="66"/>
      <c r="AT1909" s="81"/>
      <c r="AU1909" s="81"/>
      <c r="AV1909" s="81"/>
      <c r="AW1909" s="81"/>
      <c r="AX1909" s="83">
        <f>SUM(Prog_23[[#This Row],[ADIANTAMENTO]]+Prog_23[[#This Row],[SALDO]]+Prog_23[[#This Row],[MARGEM]]+Prog_23[[#This Row],[ESTADIA 1]])</f>
        <v>0</v>
      </c>
      <c r="AY190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09" s="81"/>
      <c r="BA1909" s="81"/>
      <c r="BB1909" s="81">
        <f>Prog_23[[#This Row],[VLR NF]]*0.1%</f>
        <v>0</v>
      </c>
      <c r="BC1909" s="81">
        <f>Prog_23[[#This Row],[VLR NF]]*0.05%</f>
        <v>0</v>
      </c>
      <c r="BD1909" s="81"/>
      <c r="BE1909" s="81"/>
      <c r="BF1909" s="81"/>
      <c r="BG1909" s="81"/>
      <c r="BH1909" s="81"/>
      <c r="BI1909" s="81"/>
      <c r="BJ1909" s="81"/>
      <c r="BK1909" s="81"/>
      <c r="BL1909" s="81"/>
      <c r="BM1909" s="81"/>
      <c r="BN1909" s="66"/>
      <c r="BO1909" s="66"/>
      <c r="BP1909" s="66"/>
      <c r="BQ1909" s="66" t="str">
        <f>PROPER(TEXT(Prog_23[[#This Row],[PROGRAMAÇÃO CLIENTE]],"mmm"))</f>
        <v>Jan</v>
      </c>
      <c r="BR1909" s="66">
        <f>YEAR(Prog_23[[#This Row],[PROGRAMAÇÃO CLIENTE]])</f>
        <v>1900</v>
      </c>
    </row>
    <row r="1910" spans="1:70" x14ac:dyDescent="0.25">
      <c r="A1910" s="201">
        <f>Prog_23[[#This Row],[CONTEINER]]</f>
        <v>0</v>
      </c>
      <c r="B1910" s="86"/>
      <c r="C191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10" s="44"/>
      <c r="E1910" s="66"/>
      <c r="F1910" s="66"/>
      <c r="G1910" s="66"/>
      <c r="H1910" s="44"/>
      <c r="I1910" s="44"/>
      <c r="J1910" s="66"/>
      <c r="K1910" s="66"/>
      <c r="L1910" s="66"/>
      <c r="M1910" s="66"/>
      <c r="N1910" s="66">
        <f>SUM(Prog_23[[#This Row],[TARA]]+Prog_23[[#This Row],[PESO]])</f>
        <v>0</v>
      </c>
      <c r="O1910" s="44"/>
      <c r="P1910" s="66"/>
      <c r="Q1910" s="66"/>
      <c r="R1910" s="66"/>
      <c r="S1910" s="66"/>
      <c r="T1910" s="138" t="str">
        <f>IFERROR(LOOKUP($S1910,MOTORISTAS!$D$3:$D$916,MOTORISTAS!E$3:$E$916),"")</f>
        <v/>
      </c>
      <c r="U1910" s="138" t="str">
        <f>IFERROR(LOOKUP($S1910,MOTORISTAS!$D$3:$D$916,MOTORISTAS!F$3:$F$916),"")</f>
        <v/>
      </c>
      <c r="V1910" s="66"/>
      <c r="W1910" s="66"/>
      <c r="X1910" s="66"/>
      <c r="Y1910" s="66"/>
      <c r="Z1910" s="66"/>
      <c r="AA1910" s="66"/>
      <c r="AB1910" s="66"/>
      <c r="AC1910" s="66"/>
      <c r="AD1910" s="66"/>
      <c r="AE1910" s="66"/>
      <c r="AF1910" s="44"/>
      <c r="AG1910" s="254">
        <f>Prog_23[[#This Row],[SAÍDA DO CLIENTE]]-Prog_23[[#This Row],[PROGRAMAÇÃO CLIENTE]]</f>
        <v>0</v>
      </c>
      <c r="AH1910" s="44"/>
      <c r="AI1910" s="66"/>
      <c r="AJ1910" s="66"/>
      <c r="AK1910" s="66"/>
      <c r="AL1910" s="66"/>
      <c r="AM1910" s="66"/>
      <c r="AN1910" s="83"/>
      <c r="AO1910" s="83"/>
      <c r="AP1910" s="83"/>
      <c r="AQ1910" s="66"/>
      <c r="AR1910" s="66"/>
      <c r="AS1910" s="66"/>
      <c r="AT1910" s="81"/>
      <c r="AU1910" s="81"/>
      <c r="AV1910" s="81"/>
      <c r="AW1910" s="81"/>
      <c r="AX1910" s="83">
        <f>SUM(Prog_23[[#This Row],[ADIANTAMENTO]]+Prog_23[[#This Row],[SALDO]]+Prog_23[[#This Row],[MARGEM]]+Prog_23[[#This Row],[ESTADIA 1]])</f>
        <v>0</v>
      </c>
      <c r="AY191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10" s="81"/>
      <c r="BA1910" s="81"/>
      <c r="BB1910" s="81">
        <f>Prog_23[[#This Row],[VLR NF]]*0.1%</f>
        <v>0</v>
      </c>
      <c r="BC1910" s="81">
        <f>Prog_23[[#This Row],[VLR NF]]*0.05%</f>
        <v>0</v>
      </c>
      <c r="BD1910" s="81"/>
      <c r="BE1910" s="81"/>
      <c r="BF1910" s="81"/>
      <c r="BG1910" s="81"/>
      <c r="BH1910" s="81"/>
      <c r="BI1910" s="81"/>
      <c r="BJ1910" s="81"/>
      <c r="BK1910" s="81"/>
      <c r="BL1910" s="81"/>
      <c r="BM1910" s="81"/>
      <c r="BN1910" s="66"/>
      <c r="BO1910" s="66"/>
      <c r="BP1910" s="66"/>
      <c r="BQ1910" s="66" t="str">
        <f>PROPER(TEXT(Prog_23[[#This Row],[PROGRAMAÇÃO CLIENTE]],"mmm"))</f>
        <v>Jan</v>
      </c>
      <c r="BR1910" s="66">
        <f>YEAR(Prog_23[[#This Row],[PROGRAMAÇÃO CLIENTE]])</f>
        <v>1900</v>
      </c>
    </row>
    <row r="1911" spans="1:70" x14ac:dyDescent="0.25">
      <c r="A1911" s="200">
        <f>Prog_23[[#This Row],[CONTEINER]]</f>
        <v>0</v>
      </c>
      <c r="B1911" s="86"/>
      <c r="C191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11" s="44"/>
      <c r="E1911" s="66"/>
      <c r="F1911" s="66"/>
      <c r="G1911" s="66"/>
      <c r="H1911" s="44"/>
      <c r="I1911" s="44"/>
      <c r="J1911" s="66"/>
      <c r="K1911" s="66"/>
      <c r="L1911" s="66"/>
      <c r="M1911" s="66"/>
      <c r="N1911" s="66">
        <f>SUM(Prog_23[[#This Row],[TARA]]+Prog_23[[#This Row],[PESO]])</f>
        <v>0</v>
      </c>
      <c r="O1911" s="44"/>
      <c r="P1911" s="66"/>
      <c r="Q1911" s="66"/>
      <c r="R1911" s="66"/>
      <c r="S1911" s="66"/>
      <c r="T1911" s="138" t="str">
        <f>IFERROR(LOOKUP($S1911,MOTORISTAS!$D$3:$D$916,MOTORISTAS!E$3:$E$916),"")</f>
        <v/>
      </c>
      <c r="U1911" s="138" t="str">
        <f>IFERROR(LOOKUP($S1911,MOTORISTAS!$D$3:$D$916,MOTORISTAS!F$3:$F$916),"")</f>
        <v/>
      </c>
      <c r="V1911" s="66"/>
      <c r="W1911" s="66"/>
      <c r="X1911" s="66"/>
      <c r="Y1911" s="66"/>
      <c r="Z1911" s="66"/>
      <c r="AA1911" s="66"/>
      <c r="AB1911" s="66"/>
      <c r="AC1911" s="66"/>
      <c r="AD1911" s="66"/>
      <c r="AE1911" s="66"/>
      <c r="AF1911" s="44"/>
      <c r="AG1911" s="254">
        <f>Prog_23[[#This Row],[SAÍDA DO CLIENTE]]-Prog_23[[#This Row],[PROGRAMAÇÃO CLIENTE]]</f>
        <v>0</v>
      </c>
      <c r="AH1911" s="44"/>
      <c r="AI1911" s="66"/>
      <c r="AJ1911" s="66"/>
      <c r="AK1911" s="66"/>
      <c r="AL1911" s="66"/>
      <c r="AM1911" s="66"/>
      <c r="AN1911" s="83"/>
      <c r="AO1911" s="83"/>
      <c r="AP1911" s="83"/>
      <c r="AQ1911" s="66"/>
      <c r="AR1911" s="66"/>
      <c r="AS1911" s="66"/>
      <c r="AT1911" s="81"/>
      <c r="AU1911" s="81"/>
      <c r="AV1911" s="81"/>
      <c r="AW1911" s="81"/>
      <c r="AX1911" s="83">
        <f>SUM(Prog_23[[#This Row],[ADIANTAMENTO]]+Prog_23[[#This Row],[SALDO]]+Prog_23[[#This Row],[MARGEM]]+Prog_23[[#This Row],[ESTADIA 1]])</f>
        <v>0</v>
      </c>
      <c r="AY191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11" s="81"/>
      <c r="BA1911" s="81"/>
      <c r="BB1911" s="81">
        <f>Prog_23[[#This Row],[VLR NF]]*0.1%</f>
        <v>0</v>
      </c>
      <c r="BC1911" s="81">
        <f>Prog_23[[#This Row],[VLR NF]]*0.05%</f>
        <v>0</v>
      </c>
      <c r="BD1911" s="81"/>
      <c r="BE1911" s="81"/>
      <c r="BF1911" s="81"/>
      <c r="BG1911" s="81"/>
      <c r="BH1911" s="81"/>
      <c r="BI1911" s="81"/>
      <c r="BJ1911" s="81"/>
      <c r="BK1911" s="81"/>
      <c r="BL1911" s="81"/>
      <c r="BM1911" s="81"/>
      <c r="BN1911" s="66"/>
      <c r="BO1911" s="66"/>
      <c r="BP1911" s="66"/>
      <c r="BQ1911" s="66" t="str">
        <f>PROPER(TEXT(Prog_23[[#This Row],[PROGRAMAÇÃO CLIENTE]],"mmm"))</f>
        <v>Jan</v>
      </c>
      <c r="BR1911" s="66">
        <f>YEAR(Prog_23[[#This Row],[PROGRAMAÇÃO CLIENTE]])</f>
        <v>1900</v>
      </c>
    </row>
    <row r="1912" spans="1:70" x14ac:dyDescent="0.25">
      <c r="A1912" s="201">
        <f>Prog_23[[#This Row],[CONTEINER]]</f>
        <v>0</v>
      </c>
      <c r="B1912" s="86"/>
      <c r="C191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12" s="44"/>
      <c r="E1912" s="66"/>
      <c r="F1912" s="66"/>
      <c r="G1912" s="66"/>
      <c r="H1912" s="44"/>
      <c r="I1912" s="44"/>
      <c r="J1912" s="66"/>
      <c r="K1912" s="66"/>
      <c r="L1912" s="66"/>
      <c r="M1912" s="66"/>
      <c r="N1912" s="66">
        <f>SUM(Prog_23[[#This Row],[TARA]]+Prog_23[[#This Row],[PESO]])</f>
        <v>0</v>
      </c>
      <c r="O1912" s="44"/>
      <c r="P1912" s="66"/>
      <c r="Q1912" s="66"/>
      <c r="R1912" s="66"/>
      <c r="S1912" s="66"/>
      <c r="T1912" s="138" t="str">
        <f>IFERROR(LOOKUP($S1912,MOTORISTAS!$D$3:$D$916,MOTORISTAS!E$3:$E$916),"")</f>
        <v/>
      </c>
      <c r="U1912" s="138" t="str">
        <f>IFERROR(LOOKUP($S1912,MOTORISTAS!$D$3:$D$916,MOTORISTAS!F$3:$F$916),"")</f>
        <v/>
      </c>
      <c r="V1912" s="66"/>
      <c r="W1912" s="66"/>
      <c r="X1912" s="66"/>
      <c r="Y1912" s="66"/>
      <c r="Z1912" s="66"/>
      <c r="AA1912" s="66"/>
      <c r="AB1912" s="66"/>
      <c r="AC1912" s="66"/>
      <c r="AD1912" s="66"/>
      <c r="AE1912" s="66"/>
      <c r="AF1912" s="44"/>
      <c r="AG1912" s="254">
        <f>Prog_23[[#This Row],[SAÍDA DO CLIENTE]]-Prog_23[[#This Row],[PROGRAMAÇÃO CLIENTE]]</f>
        <v>0</v>
      </c>
      <c r="AH1912" s="44"/>
      <c r="AI1912" s="66"/>
      <c r="AJ1912" s="66"/>
      <c r="AK1912" s="66"/>
      <c r="AL1912" s="66"/>
      <c r="AM1912" s="66"/>
      <c r="AN1912" s="83"/>
      <c r="AO1912" s="83"/>
      <c r="AP1912" s="83"/>
      <c r="AQ1912" s="66"/>
      <c r="AR1912" s="66"/>
      <c r="AS1912" s="66"/>
      <c r="AT1912" s="81"/>
      <c r="AU1912" s="81"/>
      <c r="AV1912" s="81"/>
      <c r="AW1912" s="81"/>
      <c r="AX1912" s="83">
        <f>SUM(Prog_23[[#This Row],[ADIANTAMENTO]]+Prog_23[[#This Row],[SALDO]]+Prog_23[[#This Row],[MARGEM]]+Prog_23[[#This Row],[ESTADIA 1]])</f>
        <v>0</v>
      </c>
      <c r="AY191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12" s="81"/>
      <c r="BA1912" s="81"/>
      <c r="BB1912" s="81">
        <f>Prog_23[[#This Row],[VLR NF]]*0.1%</f>
        <v>0</v>
      </c>
      <c r="BC1912" s="81">
        <f>Prog_23[[#This Row],[VLR NF]]*0.05%</f>
        <v>0</v>
      </c>
      <c r="BD1912" s="81"/>
      <c r="BE1912" s="81"/>
      <c r="BF1912" s="81"/>
      <c r="BG1912" s="81"/>
      <c r="BH1912" s="81"/>
      <c r="BI1912" s="81"/>
      <c r="BJ1912" s="81"/>
      <c r="BK1912" s="81"/>
      <c r="BL1912" s="81"/>
      <c r="BM1912" s="81"/>
      <c r="BN1912" s="66"/>
      <c r="BO1912" s="66"/>
      <c r="BP1912" s="66"/>
      <c r="BQ1912" s="66" t="str">
        <f>PROPER(TEXT(Prog_23[[#This Row],[PROGRAMAÇÃO CLIENTE]],"mmm"))</f>
        <v>Jan</v>
      </c>
      <c r="BR1912" s="66">
        <f>YEAR(Prog_23[[#This Row],[PROGRAMAÇÃO CLIENTE]])</f>
        <v>1900</v>
      </c>
    </row>
    <row r="1913" spans="1:70" x14ac:dyDescent="0.25">
      <c r="A1913" s="200">
        <f>Prog_23[[#This Row],[CONTEINER]]</f>
        <v>0</v>
      </c>
      <c r="B1913" s="86"/>
      <c r="C191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13" s="44"/>
      <c r="E1913" s="66"/>
      <c r="F1913" s="66"/>
      <c r="G1913" s="66"/>
      <c r="H1913" s="44"/>
      <c r="I1913" s="44"/>
      <c r="J1913" s="66"/>
      <c r="K1913" s="66"/>
      <c r="L1913" s="66"/>
      <c r="M1913" s="66"/>
      <c r="N1913" s="66">
        <f>SUM(Prog_23[[#This Row],[TARA]]+Prog_23[[#This Row],[PESO]])</f>
        <v>0</v>
      </c>
      <c r="O1913" s="44"/>
      <c r="P1913" s="66"/>
      <c r="Q1913" s="66"/>
      <c r="R1913" s="66"/>
      <c r="S1913" s="66"/>
      <c r="T1913" s="138" t="str">
        <f>IFERROR(LOOKUP($S1913,MOTORISTAS!$D$3:$D$916,MOTORISTAS!E$3:$E$916),"")</f>
        <v/>
      </c>
      <c r="U1913" s="138" t="str">
        <f>IFERROR(LOOKUP($S1913,MOTORISTAS!$D$3:$D$916,MOTORISTAS!F$3:$F$916),"")</f>
        <v/>
      </c>
      <c r="V1913" s="66"/>
      <c r="W1913" s="66"/>
      <c r="X1913" s="66"/>
      <c r="Y1913" s="66"/>
      <c r="Z1913" s="66"/>
      <c r="AA1913" s="66"/>
      <c r="AB1913" s="66"/>
      <c r="AC1913" s="66"/>
      <c r="AD1913" s="66"/>
      <c r="AE1913" s="66"/>
      <c r="AF1913" s="44"/>
      <c r="AG1913" s="254">
        <f>Prog_23[[#This Row],[SAÍDA DO CLIENTE]]-Prog_23[[#This Row],[PROGRAMAÇÃO CLIENTE]]</f>
        <v>0</v>
      </c>
      <c r="AH1913" s="44"/>
      <c r="AI1913" s="66"/>
      <c r="AJ1913" s="66"/>
      <c r="AK1913" s="66"/>
      <c r="AL1913" s="66"/>
      <c r="AM1913" s="66"/>
      <c r="AN1913" s="83"/>
      <c r="AO1913" s="83"/>
      <c r="AP1913" s="83"/>
      <c r="AQ1913" s="66"/>
      <c r="AR1913" s="66"/>
      <c r="AS1913" s="66"/>
      <c r="AT1913" s="81"/>
      <c r="AU1913" s="81"/>
      <c r="AV1913" s="81"/>
      <c r="AW1913" s="81"/>
      <c r="AX1913" s="83">
        <f>SUM(Prog_23[[#This Row],[ADIANTAMENTO]]+Prog_23[[#This Row],[SALDO]]+Prog_23[[#This Row],[MARGEM]]+Prog_23[[#This Row],[ESTADIA 1]])</f>
        <v>0</v>
      </c>
      <c r="AY191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13" s="81"/>
      <c r="BA1913" s="81"/>
      <c r="BB1913" s="81">
        <f>Prog_23[[#This Row],[VLR NF]]*0.1%</f>
        <v>0</v>
      </c>
      <c r="BC1913" s="81">
        <f>Prog_23[[#This Row],[VLR NF]]*0.05%</f>
        <v>0</v>
      </c>
      <c r="BD1913" s="81"/>
      <c r="BE1913" s="81"/>
      <c r="BF1913" s="81"/>
      <c r="BG1913" s="81"/>
      <c r="BH1913" s="81"/>
      <c r="BI1913" s="81"/>
      <c r="BJ1913" s="81"/>
      <c r="BK1913" s="81"/>
      <c r="BL1913" s="81"/>
      <c r="BM1913" s="81"/>
      <c r="BN1913" s="66"/>
      <c r="BO1913" s="66"/>
      <c r="BP1913" s="66"/>
      <c r="BQ1913" s="66" t="str">
        <f>PROPER(TEXT(Prog_23[[#This Row],[PROGRAMAÇÃO CLIENTE]],"mmm"))</f>
        <v>Jan</v>
      </c>
      <c r="BR1913" s="66">
        <f>YEAR(Prog_23[[#This Row],[PROGRAMAÇÃO CLIENTE]])</f>
        <v>1900</v>
      </c>
    </row>
    <row r="1914" spans="1:70" x14ac:dyDescent="0.25">
      <c r="A1914" s="201">
        <f>Prog_23[[#This Row],[CONTEINER]]</f>
        <v>0</v>
      </c>
      <c r="B1914" s="86"/>
      <c r="C191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14" s="44"/>
      <c r="E1914" s="66"/>
      <c r="F1914" s="66"/>
      <c r="G1914" s="66"/>
      <c r="H1914" s="44"/>
      <c r="I1914" s="44"/>
      <c r="J1914" s="66"/>
      <c r="K1914" s="66"/>
      <c r="L1914" s="66"/>
      <c r="M1914" s="66"/>
      <c r="N1914" s="66">
        <f>SUM(Prog_23[[#This Row],[TARA]]+Prog_23[[#This Row],[PESO]])</f>
        <v>0</v>
      </c>
      <c r="O1914" s="44"/>
      <c r="P1914" s="66"/>
      <c r="Q1914" s="66"/>
      <c r="R1914" s="66"/>
      <c r="S1914" s="66"/>
      <c r="T1914" s="138" t="str">
        <f>IFERROR(LOOKUP($S1914,MOTORISTAS!$D$3:$D$916,MOTORISTAS!E$3:$E$916),"")</f>
        <v/>
      </c>
      <c r="U1914" s="138" t="str">
        <f>IFERROR(LOOKUP($S1914,MOTORISTAS!$D$3:$D$916,MOTORISTAS!F$3:$F$916),"")</f>
        <v/>
      </c>
      <c r="V1914" s="66"/>
      <c r="W1914" s="66"/>
      <c r="X1914" s="66"/>
      <c r="Y1914" s="66"/>
      <c r="Z1914" s="66"/>
      <c r="AA1914" s="66"/>
      <c r="AB1914" s="66"/>
      <c r="AC1914" s="66"/>
      <c r="AD1914" s="66"/>
      <c r="AE1914" s="66"/>
      <c r="AF1914" s="44"/>
      <c r="AG1914" s="254">
        <f>Prog_23[[#This Row],[SAÍDA DO CLIENTE]]-Prog_23[[#This Row],[PROGRAMAÇÃO CLIENTE]]</f>
        <v>0</v>
      </c>
      <c r="AH1914" s="44"/>
      <c r="AI1914" s="66"/>
      <c r="AJ1914" s="66"/>
      <c r="AK1914" s="66"/>
      <c r="AL1914" s="66"/>
      <c r="AM1914" s="66"/>
      <c r="AN1914" s="83"/>
      <c r="AO1914" s="83"/>
      <c r="AP1914" s="83"/>
      <c r="AQ1914" s="66"/>
      <c r="AR1914" s="66"/>
      <c r="AS1914" s="66"/>
      <c r="AT1914" s="81"/>
      <c r="AU1914" s="81"/>
      <c r="AV1914" s="81"/>
      <c r="AW1914" s="81"/>
      <c r="AX1914" s="83">
        <f>SUM(Prog_23[[#This Row],[ADIANTAMENTO]]+Prog_23[[#This Row],[SALDO]]+Prog_23[[#This Row],[MARGEM]]+Prog_23[[#This Row],[ESTADIA 1]])</f>
        <v>0</v>
      </c>
      <c r="AY191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14" s="81"/>
      <c r="BA1914" s="81"/>
      <c r="BB1914" s="81">
        <f>Prog_23[[#This Row],[VLR NF]]*0.1%</f>
        <v>0</v>
      </c>
      <c r="BC1914" s="81">
        <f>Prog_23[[#This Row],[VLR NF]]*0.05%</f>
        <v>0</v>
      </c>
      <c r="BD1914" s="81"/>
      <c r="BE1914" s="81"/>
      <c r="BF1914" s="81"/>
      <c r="BG1914" s="81"/>
      <c r="BH1914" s="81"/>
      <c r="BI1914" s="81"/>
      <c r="BJ1914" s="81"/>
      <c r="BK1914" s="81"/>
      <c r="BL1914" s="81"/>
      <c r="BM1914" s="81"/>
      <c r="BN1914" s="66"/>
      <c r="BO1914" s="66"/>
      <c r="BP1914" s="66"/>
      <c r="BQ1914" s="66" t="str">
        <f>PROPER(TEXT(Prog_23[[#This Row],[PROGRAMAÇÃO CLIENTE]],"mmm"))</f>
        <v>Jan</v>
      </c>
      <c r="BR1914" s="66">
        <f>YEAR(Prog_23[[#This Row],[PROGRAMAÇÃO CLIENTE]])</f>
        <v>1900</v>
      </c>
    </row>
    <row r="1915" spans="1:70" x14ac:dyDescent="0.25">
      <c r="A1915" s="200">
        <f>Prog_23[[#This Row],[CONTEINER]]</f>
        <v>0</v>
      </c>
      <c r="B1915" s="86"/>
      <c r="C191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15" s="44"/>
      <c r="E1915" s="66"/>
      <c r="F1915" s="66"/>
      <c r="G1915" s="66"/>
      <c r="H1915" s="44"/>
      <c r="I1915" s="44"/>
      <c r="J1915" s="66"/>
      <c r="K1915" s="66"/>
      <c r="L1915" s="66"/>
      <c r="M1915" s="66"/>
      <c r="N1915" s="66">
        <f>SUM(Prog_23[[#This Row],[TARA]]+Prog_23[[#This Row],[PESO]])</f>
        <v>0</v>
      </c>
      <c r="O1915" s="44"/>
      <c r="P1915" s="66"/>
      <c r="Q1915" s="66"/>
      <c r="R1915" s="66"/>
      <c r="S1915" s="66"/>
      <c r="T1915" s="138" t="str">
        <f>IFERROR(LOOKUP($S1915,MOTORISTAS!$D$3:$D$916,MOTORISTAS!E$3:$E$916),"")</f>
        <v/>
      </c>
      <c r="U1915" s="138" t="str">
        <f>IFERROR(LOOKUP($S1915,MOTORISTAS!$D$3:$D$916,MOTORISTAS!F$3:$F$916),"")</f>
        <v/>
      </c>
      <c r="V1915" s="66"/>
      <c r="W1915" s="66"/>
      <c r="X1915" s="66"/>
      <c r="Y1915" s="66"/>
      <c r="Z1915" s="66"/>
      <c r="AA1915" s="66"/>
      <c r="AB1915" s="66"/>
      <c r="AC1915" s="66"/>
      <c r="AD1915" s="66"/>
      <c r="AE1915" s="66"/>
      <c r="AF1915" s="44"/>
      <c r="AG1915" s="254">
        <f>Prog_23[[#This Row],[SAÍDA DO CLIENTE]]-Prog_23[[#This Row],[PROGRAMAÇÃO CLIENTE]]</f>
        <v>0</v>
      </c>
      <c r="AH1915" s="44"/>
      <c r="AI1915" s="66"/>
      <c r="AJ1915" s="66"/>
      <c r="AK1915" s="66"/>
      <c r="AL1915" s="66"/>
      <c r="AM1915" s="66"/>
      <c r="AN1915" s="83"/>
      <c r="AO1915" s="83"/>
      <c r="AP1915" s="83"/>
      <c r="AQ1915" s="66"/>
      <c r="AR1915" s="66"/>
      <c r="AS1915" s="66"/>
      <c r="AT1915" s="81"/>
      <c r="AU1915" s="81"/>
      <c r="AV1915" s="81"/>
      <c r="AW1915" s="81"/>
      <c r="AX1915" s="83">
        <f>SUM(Prog_23[[#This Row],[ADIANTAMENTO]]+Prog_23[[#This Row],[SALDO]]+Prog_23[[#This Row],[MARGEM]]+Prog_23[[#This Row],[ESTADIA 1]])</f>
        <v>0</v>
      </c>
      <c r="AY191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15" s="81"/>
      <c r="BA1915" s="81"/>
      <c r="BB1915" s="81">
        <f>Prog_23[[#This Row],[VLR NF]]*0.1%</f>
        <v>0</v>
      </c>
      <c r="BC1915" s="81">
        <f>Prog_23[[#This Row],[VLR NF]]*0.05%</f>
        <v>0</v>
      </c>
      <c r="BD1915" s="81"/>
      <c r="BE1915" s="81"/>
      <c r="BF1915" s="81"/>
      <c r="BG1915" s="81"/>
      <c r="BH1915" s="81"/>
      <c r="BI1915" s="81"/>
      <c r="BJ1915" s="81"/>
      <c r="BK1915" s="81"/>
      <c r="BL1915" s="81"/>
      <c r="BM1915" s="81"/>
      <c r="BN1915" s="66"/>
      <c r="BO1915" s="66"/>
      <c r="BP1915" s="66"/>
      <c r="BQ1915" s="66" t="str">
        <f>PROPER(TEXT(Prog_23[[#This Row],[PROGRAMAÇÃO CLIENTE]],"mmm"))</f>
        <v>Jan</v>
      </c>
      <c r="BR1915" s="66">
        <f>YEAR(Prog_23[[#This Row],[PROGRAMAÇÃO CLIENTE]])</f>
        <v>1900</v>
      </c>
    </row>
    <row r="1916" spans="1:70" x14ac:dyDescent="0.25">
      <c r="A1916" s="201">
        <f>Prog_23[[#This Row],[CONTEINER]]</f>
        <v>0</v>
      </c>
      <c r="B1916" s="86"/>
      <c r="C191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16" s="44"/>
      <c r="E1916" s="66"/>
      <c r="F1916" s="66"/>
      <c r="G1916" s="66"/>
      <c r="H1916" s="44"/>
      <c r="I1916" s="44"/>
      <c r="J1916" s="66"/>
      <c r="K1916" s="66"/>
      <c r="L1916" s="66"/>
      <c r="M1916" s="66"/>
      <c r="N1916" s="66">
        <f>SUM(Prog_23[[#This Row],[TARA]]+Prog_23[[#This Row],[PESO]])</f>
        <v>0</v>
      </c>
      <c r="O1916" s="44"/>
      <c r="P1916" s="66"/>
      <c r="Q1916" s="66"/>
      <c r="R1916" s="66"/>
      <c r="S1916" s="66"/>
      <c r="T1916" s="138" t="str">
        <f>IFERROR(LOOKUP($S1916,MOTORISTAS!$D$3:$D$916,MOTORISTAS!E$3:$E$916),"")</f>
        <v/>
      </c>
      <c r="U1916" s="138" t="str">
        <f>IFERROR(LOOKUP($S1916,MOTORISTAS!$D$3:$D$916,MOTORISTAS!F$3:$F$916),"")</f>
        <v/>
      </c>
      <c r="V1916" s="66"/>
      <c r="W1916" s="66"/>
      <c r="X1916" s="66"/>
      <c r="Y1916" s="66"/>
      <c r="Z1916" s="66"/>
      <c r="AA1916" s="66"/>
      <c r="AB1916" s="66"/>
      <c r="AC1916" s="66"/>
      <c r="AD1916" s="66"/>
      <c r="AE1916" s="66"/>
      <c r="AF1916" s="44"/>
      <c r="AG1916" s="254">
        <f>Prog_23[[#This Row],[SAÍDA DO CLIENTE]]-Prog_23[[#This Row],[PROGRAMAÇÃO CLIENTE]]</f>
        <v>0</v>
      </c>
      <c r="AH1916" s="44"/>
      <c r="AI1916" s="66"/>
      <c r="AJ1916" s="66"/>
      <c r="AK1916" s="66"/>
      <c r="AL1916" s="66"/>
      <c r="AM1916" s="66"/>
      <c r="AN1916" s="83"/>
      <c r="AO1916" s="83"/>
      <c r="AP1916" s="83"/>
      <c r="AQ1916" s="66"/>
      <c r="AR1916" s="66"/>
      <c r="AS1916" s="66"/>
      <c r="AT1916" s="81"/>
      <c r="AU1916" s="81"/>
      <c r="AV1916" s="81"/>
      <c r="AW1916" s="81"/>
      <c r="AX1916" s="83">
        <f>SUM(Prog_23[[#This Row],[ADIANTAMENTO]]+Prog_23[[#This Row],[SALDO]]+Prog_23[[#This Row],[MARGEM]]+Prog_23[[#This Row],[ESTADIA 1]])</f>
        <v>0</v>
      </c>
      <c r="AY191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16" s="81"/>
      <c r="BA1916" s="81"/>
      <c r="BB1916" s="81">
        <f>Prog_23[[#This Row],[VLR NF]]*0.1%</f>
        <v>0</v>
      </c>
      <c r="BC1916" s="81">
        <f>Prog_23[[#This Row],[VLR NF]]*0.05%</f>
        <v>0</v>
      </c>
      <c r="BD1916" s="81"/>
      <c r="BE1916" s="81"/>
      <c r="BF1916" s="81"/>
      <c r="BG1916" s="81"/>
      <c r="BH1916" s="81"/>
      <c r="BI1916" s="81"/>
      <c r="BJ1916" s="81"/>
      <c r="BK1916" s="81"/>
      <c r="BL1916" s="81"/>
      <c r="BM1916" s="81"/>
      <c r="BN1916" s="66"/>
      <c r="BO1916" s="66"/>
      <c r="BP1916" s="66"/>
      <c r="BQ1916" s="66" t="str">
        <f>PROPER(TEXT(Prog_23[[#This Row],[PROGRAMAÇÃO CLIENTE]],"mmm"))</f>
        <v>Jan</v>
      </c>
      <c r="BR1916" s="66">
        <f>YEAR(Prog_23[[#This Row],[PROGRAMAÇÃO CLIENTE]])</f>
        <v>1900</v>
      </c>
    </row>
    <row r="1917" spans="1:70" x14ac:dyDescent="0.25">
      <c r="A1917" s="200">
        <f>Prog_23[[#This Row],[CONTEINER]]</f>
        <v>0</v>
      </c>
      <c r="B1917" s="86"/>
      <c r="C191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17" s="44"/>
      <c r="E1917" s="66"/>
      <c r="F1917" s="66"/>
      <c r="G1917" s="66"/>
      <c r="H1917" s="44"/>
      <c r="I1917" s="44"/>
      <c r="J1917" s="66"/>
      <c r="K1917" s="66"/>
      <c r="L1917" s="66"/>
      <c r="M1917" s="66"/>
      <c r="N1917" s="66">
        <f>SUM(Prog_23[[#This Row],[TARA]]+Prog_23[[#This Row],[PESO]])</f>
        <v>0</v>
      </c>
      <c r="O1917" s="44"/>
      <c r="P1917" s="66"/>
      <c r="Q1917" s="66"/>
      <c r="R1917" s="66"/>
      <c r="S1917" s="66"/>
      <c r="T1917" s="138" t="str">
        <f>IFERROR(LOOKUP($S1917,MOTORISTAS!$D$3:$D$916,MOTORISTAS!E$3:$E$916),"")</f>
        <v/>
      </c>
      <c r="U1917" s="138" t="str">
        <f>IFERROR(LOOKUP($S1917,MOTORISTAS!$D$3:$D$916,MOTORISTAS!F$3:$F$916),"")</f>
        <v/>
      </c>
      <c r="V1917" s="66"/>
      <c r="W1917" s="66"/>
      <c r="X1917" s="66"/>
      <c r="Y1917" s="66"/>
      <c r="Z1917" s="66"/>
      <c r="AA1917" s="66"/>
      <c r="AB1917" s="66"/>
      <c r="AC1917" s="66"/>
      <c r="AD1917" s="66"/>
      <c r="AE1917" s="66"/>
      <c r="AF1917" s="44"/>
      <c r="AG1917" s="254">
        <f>Prog_23[[#This Row],[SAÍDA DO CLIENTE]]-Prog_23[[#This Row],[PROGRAMAÇÃO CLIENTE]]</f>
        <v>0</v>
      </c>
      <c r="AH1917" s="44"/>
      <c r="AI1917" s="66"/>
      <c r="AJ1917" s="66"/>
      <c r="AK1917" s="66"/>
      <c r="AL1917" s="66"/>
      <c r="AM1917" s="66"/>
      <c r="AN1917" s="83"/>
      <c r="AO1917" s="83"/>
      <c r="AP1917" s="83"/>
      <c r="AQ1917" s="66"/>
      <c r="AR1917" s="66"/>
      <c r="AS1917" s="66"/>
      <c r="AT1917" s="81"/>
      <c r="AU1917" s="81"/>
      <c r="AV1917" s="81"/>
      <c r="AW1917" s="81"/>
      <c r="AX1917" s="83">
        <f>SUM(Prog_23[[#This Row],[ADIANTAMENTO]]+Prog_23[[#This Row],[SALDO]]+Prog_23[[#This Row],[MARGEM]]+Prog_23[[#This Row],[ESTADIA 1]])</f>
        <v>0</v>
      </c>
      <c r="AY191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17" s="81"/>
      <c r="BA1917" s="81"/>
      <c r="BB1917" s="81">
        <f>Prog_23[[#This Row],[VLR NF]]*0.1%</f>
        <v>0</v>
      </c>
      <c r="BC1917" s="81">
        <f>Prog_23[[#This Row],[VLR NF]]*0.05%</f>
        <v>0</v>
      </c>
      <c r="BD1917" s="81"/>
      <c r="BE1917" s="81"/>
      <c r="BF1917" s="81"/>
      <c r="BG1917" s="81"/>
      <c r="BH1917" s="81"/>
      <c r="BI1917" s="81"/>
      <c r="BJ1917" s="81"/>
      <c r="BK1917" s="81"/>
      <c r="BL1917" s="81"/>
      <c r="BM1917" s="81"/>
      <c r="BN1917" s="66"/>
      <c r="BO1917" s="66"/>
      <c r="BP1917" s="66"/>
      <c r="BQ1917" s="66" t="str">
        <f>PROPER(TEXT(Prog_23[[#This Row],[PROGRAMAÇÃO CLIENTE]],"mmm"))</f>
        <v>Jan</v>
      </c>
      <c r="BR1917" s="66">
        <f>YEAR(Prog_23[[#This Row],[PROGRAMAÇÃO CLIENTE]])</f>
        <v>1900</v>
      </c>
    </row>
    <row r="1918" spans="1:70" x14ac:dyDescent="0.25">
      <c r="A1918" s="201">
        <f>Prog_23[[#This Row],[CONTEINER]]</f>
        <v>0</v>
      </c>
      <c r="B1918" s="86"/>
      <c r="C191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18" s="44"/>
      <c r="E1918" s="66"/>
      <c r="F1918" s="66"/>
      <c r="G1918" s="66"/>
      <c r="H1918" s="44"/>
      <c r="I1918" s="44"/>
      <c r="J1918" s="66"/>
      <c r="K1918" s="66"/>
      <c r="L1918" s="66"/>
      <c r="M1918" s="66"/>
      <c r="N1918" s="66">
        <f>SUM(Prog_23[[#This Row],[TARA]]+Prog_23[[#This Row],[PESO]])</f>
        <v>0</v>
      </c>
      <c r="O1918" s="44"/>
      <c r="P1918" s="66"/>
      <c r="Q1918" s="66"/>
      <c r="R1918" s="66"/>
      <c r="S1918" s="66"/>
      <c r="T1918" s="138" t="str">
        <f>IFERROR(LOOKUP($S1918,MOTORISTAS!$D$3:$D$916,MOTORISTAS!E$3:$E$916),"")</f>
        <v/>
      </c>
      <c r="U1918" s="138" t="str">
        <f>IFERROR(LOOKUP($S1918,MOTORISTAS!$D$3:$D$916,MOTORISTAS!F$3:$F$916),"")</f>
        <v/>
      </c>
      <c r="V1918" s="66"/>
      <c r="W1918" s="66"/>
      <c r="X1918" s="66"/>
      <c r="Y1918" s="66"/>
      <c r="Z1918" s="66"/>
      <c r="AA1918" s="66"/>
      <c r="AB1918" s="66"/>
      <c r="AC1918" s="66"/>
      <c r="AD1918" s="66"/>
      <c r="AE1918" s="66"/>
      <c r="AF1918" s="44"/>
      <c r="AG1918" s="254">
        <f>Prog_23[[#This Row],[SAÍDA DO CLIENTE]]-Prog_23[[#This Row],[PROGRAMAÇÃO CLIENTE]]</f>
        <v>0</v>
      </c>
      <c r="AH1918" s="44"/>
      <c r="AI1918" s="66"/>
      <c r="AJ1918" s="66"/>
      <c r="AK1918" s="66"/>
      <c r="AL1918" s="66"/>
      <c r="AM1918" s="66"/>
      <c r="AN1918" s="83"/>
      <c r="AO1918" s="83"/>
      <c r="AP1918" s="83"/>
      <c r="AQ1918" s="66"/>
      <c r="AR1918" s="66"/>
      <c r="AS1918" s="66"/>
      <c r="AT1918" s="81"/>
      <c r="AU1918" s="81"/>
      <c r="AV1918" s="81"/>
      <c r="AW1918" s="81"/>
      <c r="AX1918" s="83">
        <f>SUM(Prog_23[[#This Row],[ADIANTAMENTO]]+Prog_23[[#This Row],[SALDO]]+Prog_23[[#This Row],[MARGEM]]+Prog_23[[#This Row],[ESTADIA 1]])</f>
        <v>0</v>
      </c>
      <c r="AY191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18" s="81"/>
      <c r="BA1918" s="81"/>
      <c r="BB1918" s="81">
        <f>Prog_23[[#This Row],[VLR NF]]*0.1%</f>
        <v>0</v>
      </c>
      <c r="BC1918" s="81">
        <f>Prog_23[[#This Row],[VLR NF]]*0.05%</f>
        <v>0</v>
      </c>
      <c r="BD1918" s="81"/>
      <c r="BE1918" s="81"/>
      <c r="BF1918" s="81"/>
      <c r="BG1918" s="81"/>
      <c r="BH1918" s="81"/>
      <c r="BI1918" s="81"/>
      <c r="BJ1918" s="81"/>
      <c r="BK1918" s="81"/>
      <c r="BL1918" s="81"/>
      <c r="BM1918" s="81"/>
      <c r="BN1918" s="66"/>
      <c r="BO1918" s="66"/>
      <c r="BP1918" s="66"/>
      <c r="BQ1918" s="66" t="str">
        <f>PROPER(TEXT(Prog_23[[#This Row],[PROGRAMAÇÃO CLIENTE]],"mmm"))</f>
        <v>Jan</v>
      </c>
      <c r="BR1918" s="66">
        <f>YEAR(Prog_23[[#This Row],[PROGRAMAÇÃO CLIENTE]])</f>
        <v>1900</v>
      </c>
    </row>
    <row r="1919" spans="1:70" x14ac:dyDescent="0.25">
      <c r="A1919" s="200">
        <f>Prog_23[[#This Row],[CONTEINER]]</f>
        <v>0</v>
      </c>
      <c r="B1919" s="86"/>
      <c r="C191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19" s="44"/>
      <c r="E1919" s="66"/>
      <c r="F1919" s="66"/>
      <c r="G1919" s="66"/>
      <c r="H1919" s="44"/>
      <c r="I1919" s="44"/>
      <c r="J1919" s="66"/>
      <c r="K1919" s="66"/>
      <c r="L1919" s="66"/>
      <c r="M1919" s="66"/>
      <c r="N1919" s="66">
        <f>SUM(Prog_23[[#This Row],[TARA]]+Prog_23[[#This Row],[PESO]])</f>
        <v>0</v>
      </c>
      <c r="O1919" s="44"/>
      <c r="P1919" s="66"/>
      <c r="Q1919" s="66"/>
      <c r="R1919" s="66"/>
      <c r="S1919" s="66"/>
      <c r="T1919" s="138" t="str">
        <f>IFERROR(LOOKUP($S1919,MOTORISTAS!$D$3:$D$916,MOTORISTAS!E$3:$E$916),"")</f>
        <v/>
      </c>
      <c r="U1919" s="138" t="str">
        <f>IFERROR(LOOKUP($S1919,MOTORISTAS!$D$3:$D$916,MOTORISTAS!F$3:$F$916),"")</f>
        <v/>
      </c>
      <c r="V1919" s="66"/>
      <c r="W1919" s="66"/>
      <c r="X1919" s="66"/>
      <c r="Y1919" s="66"/>
      <c r="Z1919" s="66"/>
      <c r="AA1919" s="66"/>
      <c r="AB1919" s="66"/>
      <c r="AC1919" s="66"/>
      <c r="AD1919" s="66"/>
      <c r="AE1919" s="66"/>
      <c r="AF1919" s="44"/>
      <c r="AG1919" s="254">
        <f>Prog_23[[#This Row],[SAÍDA DO CLIENTE]]-Prog_23[[#This Row],[PROGRAMAÇÃO CLIENTE]]</f>
        <v>0</v>
      </c>
      <c r="AH1919" s="44"/>
      <c r="AI1919" s="66"/>
      <c r="AJ1919" s="66"/>
      <c r="AK1919" s="66"/>
      <c r="AL1919" s="66"/>
      <c r="AM1919" s="66"/>
      <c r="AN1919" s="83"/>
      <c r="AO1919" s="83"/>
      <c r="AP1919" s="83"/>
      <c r="AQ1919" s="66"/>
      <c r="AR1919" s="66"/>
      <c r="AS1919" s="66"/>
      <c r="AT1919" s="81"/>
      <c r="AU1919" s="81"/>
      <c r="AV1919" s="81"/>
      <c r="AW1919" s="81"/>
      <c r="AX1919" s="83">
        <f>SUM(Prog_23[[#This Row],[ADIANTAMENTO]]+Prog_23[[#This Row],[SALDO]]+Prog_23[[#This Row],[MARGEM]]+Prog_23[[#This Row],[ESTADIA 1]])</f>
        <v>0</v>
      </c>
      <c r="AY191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19" s="81"/>
      <c r="BA1919" s="81"/>
      <c r="BB1919" s="81">
        <f>Prog_23[[#This Row],[VLR NF]]*0.1%</f>
        <v>0</v>
      </c>
      <c r="BC1919" s="81">
        <f>Prog_23[[#This Row],[VLR NF]]*0.05%</f>
        <v>0</v>
      </c>
      <c r="BD1919" s="81"/>
      <c r="BE1919" s="81"/>
      <c r="BF1919" s="81"/>
      <c r="BG1919" s="81"/>
      <c r="BH1919" s="81"/>
      <c r="BI1919" s="81"/>
      <c r="BJ1919" s="81"/>
      <c r="BK1919" s="81"/>
      <c r="BL1919" s="81"/>
      <c r="BM1919" s="81"/>
      <c r="BN1919" s="66"/>
      <c r="BO1919" s="66"/>
      <c r="BP1919" s="66"/>
      <c r="BQ1919" s="66" t="str">
        <f>PROPER(TEXT(Prog_23[[#This Row],[PROGRAMAÇÃO CLIENTE]],"mmm"))</f>
        <v>Jan</v>
      </c>
      <c r="BR1919" s="66">
        <f>YEAR(Prog_23[[#This Row],[PROGRAMAÇÃO CLIENTE]])</f>
        <v>1900</v>
      </c>
    </row>
    <row r="1920" spans="1:70" x14ac:dyDescent="0.25">
      <c r="A1920" s="201">
        <f>Prog_23[[#This Row],[CONTEINER]]</f>
        <v>0</v>
      </c>
      <c r="B1920" s="86"/>
      <c r="C192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20" s="44"/>
      <c r="E1920" s="66"/>
      <c r="F1920" s="66"/>
      <c r="G1920" s="66"/>
      <c r="H1920" s="44"/>
      <c r="I1920" s="44"/>
      <c r="J1920" s="66"/>
      <c r="K1920" s="66"/>
      <c r="L1920" s="66"/>
      <c r="M1920" s="66"/>
      <c r="N1920" s="66">
        <f>SUM(Prog_23[[#This Row],[TARA]]+Prog_23[[#This Row],[PESO]])</f>
        <v>0</v>
      </c>
      <c r="O1920" s="44"/>
      <c r="P1920" s="66"/>
      <c r="Q1920" s="66"/>
      <c r="R1920" s="66"/>
      <c r="S1920" s="66"/>
      <c r="T1920" s="138" t="str">
        <f>IFERROR(LOOKUP($S1920,MOTORISTAS!$D$3:$D$916,MOTORISTAS!E$3:$E$916),"")</f>
        <v/>
      </c>
      <c r="U1920" s="138" t="str">
        <f>IFERROR(LOOKUP($S1920,MOTORISTAS!$D$3:$D$916,MOTORISTAS!F$3:$F$916),"")</f>
        <v/>
      </c>
      <c r="V1920" s="66"/>
      <c r="W1920" s="66"/>
      <c r="X1920" s="66"/>
      <c r="Y1920" s="66"/>
      <c r="Z1920" s="66"/>
      <c r="AA1920" s="66"/>
      <c r="AB1920" s="66"/>
      <c r="AC1920" s="66"/>
      <c r="AD1920" s="66"/>
      <c r="AE1920" s="66"/>
      <c r="AF1920" s="44"/>
      <c r="AG1920" s="254">
        <f>Prog_23[[#This Row],[SAÍDA DO CLIENTE]]-Prog_23[[#This Row],[PROGRAMAÇÃO CLIENTE]]</f>
        <v>0</v>
      </c>
      <c r="AH1920" s="44"/>
      <c r="AI1920" s="66"/>
      <c r="AJ1920" s="66"/>
      <c r="AK1920" s="66"/>
      <c r="AL1920" s="66"/>
      <c r="AM1920" s="66"/>
      <c r="AN1920" s="83"/>
      <c r="AO1920" s="83"/>
      <c r="AP1920" s="83"/>
      <c r="AQ1920" s="66"/>
      <c r="AR1920" s="66"/>
      <c r="AS1920" s="66"/>
      <c r="AT1920" s="81"/>
      <c r="AU1920" s="81"/>
      <c r="AV1920" s="81"/>
      <c r="AW1920" s="81"/>
      <c r="AX1920" s="83">
        <f>SUM(Prog_23[[#This Row],[ADIANTAMENTO]]+Prog_23[[#This Row],[SALDO]]+Prog_23[[#This Row],[MARGEM]]+Prog_23[[#This Row],[ESTADIA 1]])</f>
        <v>0</v>
      </c>
      <c r="AY192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20" s="81"/>
      <c r="BA1920" s="81"/>
      <c r="BB1920" s="81">
        <f>Prog_23[[#This Row],[VLR NF]]*0.1%</f>
        <v>0</v>
      </c>
      <c r="BC1920" s="81">
        <f>Prog_23[[#This Row],[VLR NF]]*0.05%</f>
        <v>0</v>
      </c>
      <c r="BD1920" s="81"/>
      <c r="BE1920" s="81"/>
      <c r="BF1920" s="81"/>
      <c r="BG1920" s="81"/>
      <c r="BH1920" s="81"/>
      <c r="BI1920" s="81"/>
      <c r="BJ1920" s="81"/>
      <c r="BK1920" s="81"/>
      <c r="BL1920" s="81"/>
      <c r="BM1920" s="81"/>
      <c r="BN1920" s="66"/>
      <c r="BO1920" s="66"/>
      <c r="BP1920" s="66"/>
      <c r="BQ1920" s="66" t="str">
        <f>PROPER(TEXT(Prog_23[[#This Row],[PROGRAMAÇÃO CLIENTE]],"mmm"))</f>
        <v>Jan</v>
      </c>
      <c r="BR1920" s="66">
        <f>YEAR(Prog_23[[#This Row],[PROGRAMAÇÃO CLIENTE]])</f>
        <v>1900</v>
      </c>
    </row>
    <row r="1921" spans="1:70" x14ac:dyDescent="0.25">
      <c r="A1921" s="200">
        <f>Prog_23[[#This Row],[CONTEINER]]</f>
        <v>0</v>
      </c>
      <c r="B1921" s="86"/>
      <c r="C192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21" s="44"/>
      <c r="E1921" s="66"/>
      <c r="F1921" s="66"/>
      <c r="G1921" s="66"/>
      <c r="H1921" s="44"/>
      <c r="I1921" s="44"/>
      <c r="J1921" s="66"/>
      <c r="K1921" s="66"/>
      <c r="L1921" s="66"/>
      <c r="M1921" s="66"/>
      <c r="N1921" s="66">
        <f>SUM(Prog_23[[#This Row],[TARA]]+Prog_23[[#This Row],[PESO]])</f>
        <v>0</v>
      </c>
      <c r="O1921" s="44"/>
      <c r="P1921" s="66"/>
      <c r="Q1921" s="66"/>
      <c r="R1921" s="66"/>
      <c r="S1921" s="66"/>
      <c r="T1921" s="138" t="str">
        <f>IFERROR(LOOKUP($S1921,MOTORISTAS!$D$3:$D$916,MOTORISTAS!E$3:$E$916),"")</f>
        <v/>
      </c>
      <c r="U1921" s="138" t="str">
        <f>IFERROR(LOOKUP($S1921,MOTORISTAS!$D$3:$D$916,MOTORISTAS!F$3:$F$916),"")</f>
        <v/>
      </c>
      <c r="V1921" s="66"/>
      <c r="W1921" s="66"/>
      <c r="X1921" s="66"/>
      <c r="Y1921" s="66"/>
      <c r="Z1921" s="66"/>
      <c r="AA1921" s="66"/>
      <c r="AB1921" s="66"/>
      <c r="AC1921" s="66"/>
      <c r="AD1921" s="66"/>
      <c r="AE1921" s="66"/>
      <c r="AF1921" s="44"/>
      <c r="AG1921" s="254">
        <f>Prog_23[[#This Row],[SAÍDA DO CLIENTE]]-Prog_23[[#This Row],[PROGRAMAÇÃO CLIENTE]]</f>
        <v>0</v>
      </c>
      <c r="AH1921" s="44"/>
      <c r="AI1921" s="66"/>
      <c r="AJ1921" s="66"/>
      <c r="AK1921" s="66"/>
      <c r="AL1921" s="66"/>
      <c r="AM1921" s="66"/>
      <c r="AN1921" s="83"/>
      <c r="AO1921" s="83"/>
      <c r="AP1921" s="83"/>
      <c r="AQ1921" s="66"/>
      <c r="AR1921" s="66"/>
      <c r="AS1921" s="66"/>
      <c r="AT1921" s="81"/>
      <c r="AU1921" s="81"/>
      <c r="AV1921" s="81"/>
      <c r="AW1921" s="81"/>
      <c r="AX1921" s="83">
        <f>SUM(Prog_23[[#This Row],[ADIANTAMENTO]]+Prog_23[[#This Row],[SALDO]]+Prog_23[[#This Row],[MARGEM]]+Prog_23[[#This Row],[ESTADIA 1]])</f>
        <v>0</v>
      </c>
      <c r="AY192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21" s="81"/>
      <c r="BA1921" s="81"/>
      <c r="BB1921" s="81">
        <f>Prog_23[[#This Row],[VLR NF]]*0.1%</f>
        <v>0</v>
      </c>
      <c r="BC1921" s="81">
        <f>Prog_23[[#This Row],[VLR NF]]*0.05%</f>
        <v>0</v>
      </c>
      <c r="BD1921" s="81"/>
      <c r="BE1921" s="81"/>
      <c r="BF1921" s="81"/>
      <c r="BG1921" s="81"/>
      <c r="BH1921" s="81"/>
      <c r="BI1921" s="81"/>
      <c r="BJ1921" s="81"/>
      <c r="BK1921" s="81"/>
      <c r="BL1921" s="81"/>
      <c r="BM1921" s="81"/>
      <c r="BN1921" s="66"/>
      <c r="BO1921" s="66"/>
      <c r="BP1921" s="66"/>
      <c r="BQ1921" s="66" t="str">
        <f>PROPER(TEXT(Prog_23[[#This Row],[PROGRAMAÇÃO CLIENTE]],"mmm"))</f>
        <v>Jan</v>
      </c>
      <c r="BR1921" s="66">
        <f>YEAR(Prog_23[[#This Row],[PROGRAMAÇÃO CLIENTE]])</f>
        <v>1900</v>
      </c>
    </row>
    <row r="1922" spans="1:70" x14ac:dyDescent="0.25">
      <c r="A1922" s="201">
        <f>Prog_23[[#This Row],[CONTEINER]]</f>
        <v>0</v>
      </c>
      <c r="B1922" s="86"/>
      <c r="C192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22" s="44"/>
      <c r="E1922" s="66"/>
      <c r="F1922" s="66"/>
      <c r="G1922" s="66"/>
      <c r="H1922" s="44"/>
      <c r="I1922" s="44"/>
      <c r="J1922" s="66"/>
      <c r="K1922" s="66"/>
      <c r="L1922" s="66"/>
      <c r="M1922" s="66"/>
      <c r="N1922" s="66">
        <f>SUM(Prog_23[[#This Row],[TARA]]+Prog_23[[#This Row],[PESO]])</f>
        <v>0</v>
      </c>
      <c r="O1922" s="44"/>
      <c r="P1922" s="66"/>
      <c r="Q1922" s="66"/>
      <c r="R1922" s="66"/>
      <c r="S1922" s="66"/>
      <c r="T1922" s="138" t="str">
        <f>IFERROR(LOOKUP($S1922,MOTORISTAS!$D$3:$D$916,MOTORISTAS!E$3:$E$916),"")</f>
        <v/>
      </c>
      <c r="U1922" s="138" t="str">
        <f>IFERROR(LOOKUP($S1922,MOTORISTAS!$D$3:$D$916,MOTORISTAS!F$3:$F$916),"")</f>
        <v/>
      </c>
      <c r="V1922" s="66"/>
      <c r="W1922" s="66"/>
      <c r="X1922" s="66"/>
      <c r="Y1922" s="66"/>
      <c r="Z1922" s="66"/>
      <c r="AA1922" s="66"/>
      <c r="AB1922" s="66"/>
      <c r="AC1922" s="66"/>
      <c r="AD1922" s="66"/>
      <c r="AE1922" s="66"/>
      <c r="AF1922" s="44"/>
      <c r="AG1922" s="254">
        <f>Prog_23[[#This Row],[SAÍDA DO CLIENTE]]-Prog_23[[#This Row],[PROGRAMAÇÃO CLIENTE]]</f>
        <v>0</v>
      </c>
      <c r="AH1922" s="44"/>
      <c r="AI1922" s="66"/>
      <c r="AJ1922" s="66"/>
      <c r="AK1922" s="66"/>
      <c r="AL1922" s="66"/>
      <c r="AM1922" s="66"/>
      <c r="AN1922" s="83"/>
      <c r="AO1922" s="83"/>
      <c r="AP1922" s="83"/>
      <c r="AQ1922" s="66"/>
      <c r="AR1922" s="66"/>
      <c r="AS1922" s="66"/>
      <c r="AT1922" s="81"/>
      <c r="AU1922" s="81"/>
      <c r="AV1922" s="81"/>
      <c r="AW1922" s="81"/>
      <c r="AX1922" s="83">
        <f>SUM(Prog_23[[#This Row],[ADIANTAMENTO]]+Prog_23[[#This Row],[SALDO]]+Prog_23[[#This Row],[MARGEM]]+Prog_23[[#This Row],[ESTADIA 1]])</f>
        <v>0</v>
      </c>
      <c r="AY192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22" s="81"/>
      <c r="BA1922" s="81"/>
      <c r="BB1922" s="81">
        <f>Prog_23[[#This Row],[VLR NF]]*0.1%</f>
        <v>0</v>
      </c>
      <c r="BC1922" s="81">
        <f>Prog_23[[#This Row],[VLR NF]]*0.05%</f>
        <v>0</v>
      </c>
      <c r="BD1922" s="81"/>
      <c r="BE1922" s="81"/>
      <c r="BF1922" s="81"/>
      <c r="BG1922" s="81"/>
      <c r="BH1922" s="81"/>
      <c r="BI1922" s="81"/>
      <c r="BJ1922" s="81"/>
      <c r="BK1922" s="81"/>
      <c r="BL1922" s="81"/>
      <c r="BM1922" s="81"/>
      <c r="BN1922" s="66"/>
      <c r="BO1922" s="66"/>
      <c r="BP1922" s="66"/>
      <c r="BQ1922" s="66" t="str">
        <f>PROPER(TEXT(Prog_23[[#This Row],[PROGRAMAÇÃO CLIENTE]],"mmm"))</f>
        <v>Jan</v>
      </c>
      <c r="BR1922" s="66">
        <f>YEAR(Prog_23[[#This Row],[PROGRAMAÇÃO CLIENTE]])</f>
        <v>1900</v>
      </c>
    </row>
    <row r="1923" spans="1:70" x14ac:dyDescent="0.25">
      <c r="A1923" s="200">
        <f>Prog_23[[#This Row],[CONTEINER]]</f>
        <v>0</v>
      </c>
      <c r="B1923" s="86"/>
      <c r="C192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23" s="44"/>
      <c r="E1923" s="66"/>
      <c r="F1923" s="66"/>
      <c r="G1923" s="66"/>
      <c r="H1923" s="44"/>
      <c r="I1923" s="44"/>
      <c r="J1923" s="66"/>
      <c r="K1923" s="66"/>
      <c r="L1923" s="66"/>
      <c r="M1923" s="66"/>
      <c r="N1923" s="66">
        <f>SUM(Prog_23[[#This Row],[TARA]]+Prog_23[[#This Row],[PESO]])</f>
        <v>0</v>
      </c>
      <c r="O1923" s="44"/>
      <c r="P1923" s="66"/>
      <c r="Q1923" s="66"/>
      <c r="R1923" s="66"/>
      <c r="S1923" s="66"/>
      <c r="T1923" s="138" t="str">
        <f>IFERROR(LOOKUP($S1923,MOTORISTAS!$D$3:$D$916,MOTORISTAS!E$3:$E$916),"")</f>
        <v/>
      </c>
      <c r="U1923" s="138" t="str">
        <f>IFERROR(LOOKUP($S1923,MOTORISTAS!$D$3:$D$916,MOTORISTAS!F$3:$F$916),"")</f>
        <v/>
      </c>
      <c r="V1923" s="66"/>
      <c r="W1923" s="66"/>
      <c r="X1923" s="66"/>
      <c r="Y1923" s="66"/>
      <c r="Z1923" s="66"/>
      <c r="AA1923" s="66"/>
      <c r="AB1923" s="66"/>
      <c r="AC1923" s="66"/>
      <c r="AD1923" s="66"/>
      <c r="AE1923" s="66"/>
      <c r="AF1923" s="44"/>
      <c r="AG1923" s="254">
        <f>Prog_23[[#This Row],[SAÍDA DO CLIENTE]]-Prog_23[[#This Row],[PROGRAMAÇÃO CLIENTE]]</f>
        <v>0</v>
      </c>
      <c r="AH1923" s="44"/>
      <c r="AI1923" s="66"/>
      <c r="AJ1923" s="66"/>
      <c r="AK1923" s="66"/>
      <c r="AL1923" s="66"/>
      <c r="AM1923" s="66"/>
      <c r="AN1923" s="83"/>
      <c r="AO1923" s="83"/>
      <c r="AP1923" s="83"/>
      <c r="AQ1923" s="66"/>
      <c r="AR1923" s="66"/>
      <c r="AS1923" s="66"/>
      <c r="AT1923" s="81"/>
      <c r="AU1923" s="81"/>
      <c r="AV1923" s="81"/>
      <c r="AW1923" s="81"/>
      <c r="AX1923" s="83">
        <f>SUM(Prog_23[[#This Row],[ADIANTAMENTO]]+Prog_23[[#This Row],[SALDO]]+Prog_23[[#This Row],[MARGEM]]+Prog_23[[#This Row],[ESTADIA 1]])</f>
        <v>0</v>
      </c>
      <c r="AY192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23" s="81"/>
      <c r="BA1923" s="81"/>
      <c r="BB1923" s="81">
        <f>Prog_23[[#This Row],[VLR NF]]*0.1%</f>
        <v>0</v>
      </c>
      <c r="BC1923" s="81">
        <f>Prog_23[[#This Row],[VLR NF]]*0.05%</f>
        <v>0</v>
      </c>
      <c r="BD1923" s="81"/>
      <c r="BE1923" s="81"/>
      <c r="BF1923" s="81"/>
      <c r="BG1923" s="81"/>
      <c r="BH1923" s="81"/>
      <c r="BI1923" s="81"/>
      <c r="BJ1923" s="81"/>
      <c r="BK1923" s="81"/>
      <c r="BL1923" s="81"/>
      <c r="BM1923" s="81"/>
      <c r="BN1923" s="66"/>
      <c r="BO1923" s="66"/>
      <c r="BP1923" s="66"/>
      <c r="BQ1923" s="66" t="str">
        <f>PROPER(TEXT(Prog_23[[#This Row],[PROGRAMAÇÃO CLIENTE]],"mmm"))</f>
        <v>Jan</v>
      </c>
      <c r="BR1923" s="66">
        <f>YEAR(Prog_23[[#This Row],[PROGRAMAÇÃO CLIENTE]])</f>
        <v>1900</v>
      </c>
    </row>
    <row r="1924" spans="1:70" x14ac:dyDescent="0.25">
      <c r="A1924" s="201">
        <f>Prog_23[[#This Row],[CONTEINER]]</f>
        <v>0</v>
      </c>
      <c r="B1924" s="86"/>
      <c r="C192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24" s="44"/>
      <c r="E1924" s="66"/>
      <c r="F1924" s="66"/>
      <c r="G1924" s="66"/>
      <c r="H1924" s="44"/>
      <c r="I1924" s="44"/>
      <c r="J1924" s="66"/>
      <c r="K1924" s="66"/>
      <c r="L1924" s="66"/>
      <c r="M1924" s="66"/>
      <c r="N1924" s="66">
        <f>SUM(Prog_23[[#This Row],[TARA]]+Prog_23[[#This Row],[PESO]])</f>
        <v>0</v>
      </c>
      <c r="O1924" s="44"/>
      <c r="P1924" s="66"/>
      <c r="Q1924" s="66"/>
      <c r="R1924" s="66"/>
      <c r="S1924" s="66"/>
      <c r="T1924" s="138" t="str">
        <f>IFERROR(LOOKUP($S1924,MOTORISTAS!$D$3:$D$916,MOTORISTAS!E$3:$E$916),"")</f>
        <v/>
      </c>
      <c r="U1924" s="138" t="str">
        <f>IFERROR(LOOKUP($S1924,MOTORISTAS!$D$3:$D$916,MOTORISTAS!F$3:$F$916),"")</f>
        <v/>
      </c>
      <c r="V1924" s="66"/>
      <c r="W1924" s="66"/>
      <c r="X1924" s="66"/>
      <c r="Y1924" s="66"/>
      <c r="Z1924" s="66"/>
      <c r="AA1924" s="66"/>
      <c r="AB1924" s="66"/>
      <c r="AC1924" s="66"/>
      <c r="AD1924" s="66"/>
      <c r="AE1924" s="66"/>
      <c r="AF1924" s="44"/>
      <c r="AG1924" s="254">
        <f>Prog_23[[#This Row],[SAÍDA DO CLIENTE]]-Prog_23[[#This Row],[PROGRAMAÇÃO CLIENTE]]</f>
        <v>0</v>
      </c>
      <c r="AH1924" s="44"/>
      <c r="AI1924" s="66"/>
      <c r="AJ1924" s="66"/>
      <c r="AK1924" s="66"/>
      <c r="AL1924" s="66"/>
      <c r="AM1924" s="66"/>
      <c r="AN1924" s="83"/>
      <c r="AO1924" s="83"/>
      <c r="AP1924" s="83"/>
      <c r="AQ1924" s="66"/>
      <c r="AR1924" s="66"/>
      <c r="AS1924" s="66"/>
      <c r="AT1924" s="81"/>
      <c r="AU1924" s="81"/>
      <c r="AV1924" s="81"/>
      <c r="AW1924" s="81"/>
      <c r="AX1924" s="83">
        <f>SUM(Prog_23[[#This Row],[ADIANTAMENTO]]+Prog_23[[#This Row],[SALDO]]+Prog_23[[#This Row],[MARGEM]]+Prog_23[[#This Row],[ESTADIA 1]])</f>
        <v>0</v>
      </c>
      <c r="AY192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24" s="81"/>
      <c r="BA1924" s="81"/>
      <c r="BB1924" s="81">
        <f>Prog_23[[#This Row],[VLR NF]]*0.1%</f>
        <v>0</v>
      </c>
      <c r="BC1924" s="81">
        <f>Prog_23[[#This Row],[VLR NF]]*0.05%</f>
        <v>0</v>
      </c>
      <c r="BD1924" s="81"/>
      <c r="BE1924" s="81"/>
      <c r="BF1924" s="81"/>
      <c r="BG1924" s="81"/>
      <c r="BH1924" s="81"/>
      <c r="BI1924" s="81"/>
      <c r="BJ1924" s="81"/>
      <c r="BK1924" s="81"/>
      <c r="BL1924" s="81"/>
      <c r="BM1924" s="81"/>
      <c r="BN1924" s="66"/>
      <c r="BO1924" s="66"/>
      <c r="BP1924" s="66"/>
      <c r="BQ1924" s="66" t="str">
        <f>PROPER(TEXT(Prog_23[[#This Row],[PROGRAMAÇÃO CLIENTE]],"mmm"))</f>
        <v>Jan</v>
      </c>
      <c r="BR1924" s="66">
        <f>YEAR(Prog_23[[#This Row],[PROGRAMAÇÃO CLIENTE]])</f>
        <v>1900</v>
      </c>
    </row>
    <row r="1925" spans="1:70" x14ac:dyDescent="0.25">
      <c r="A1925" s="200">
        <f>Prog_23[[#This Row],[CONTEINER]]</f>
        <v>0</v>
      </c>
      <c r="B1925" s="86"/>
      <c r="C192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25" s="44"/>
      <c r="E1925" s="66"/>
      <c r="F1925" s="66"/>
      <c r="G1925" s="66"/>
      <c r="H1925" s="44"/>
      <c r="I1925" s="44"/>
      <c r="J1925" s="66"/>
      <c r="K1925" s="66"/>
      <c r="L1925" s="66"/>
      <c r="M1925" s="66"/>
      <c r="N1925" s="66">
        <f>SUM(Prog_23[[#This Row],[TARA]]+Prog_23[[#This Row],[PESO]])</f>
        <v>0</v>
      </c>
      <c r="O1925" s="44"/>
      <c r="P1925" s="66"/>
      <c r="Q1925" s="66"/>
      <c r="R1925" s="66"/>
      <c r="S1925" s="66"/>
      <c r="T1925" s="138" t="str">
        <f>IFERROR(LOOKUP($S1925,MOTORISTAS!$D$3:$D$916,MOTORISTAS!E$3:$E$916),"")</f>
        <v/>
      </c>
      <c r="U1925" s="138" t="str">
        <f>IFERROR(LOOKUP($S1925,MOTORISTAS!$D$3:$D$916,MOTORISTAS!F$3:$F$916),"")</f>
        <v/>
      </c>
      <c r="V1925" s="66"/>
      <c r="W1925" s="66"/>
      <c r="X1925" s="66"/>
      <c r="Y1925" s="66"/>
      <c r="Z1925" s="66"/>
      <c r="AA1925" s="66"/>
      <c r="AB1925" s="66"/>
      <c r="AC1925" s="66"/>
      <c r="AD1925" s="66"/>
      <c r="AE1925" s="66"/>
      <c r="AF1925" s="44"/>
      <c r="AG1925" s="254">
        <f>Prog_23[[#This Row],[SAÍDA DO CLIENTE]]-Prog_23[[#This Row],[PROGRAMAÇÃO CLIENTE]]</f>
        <v>0</v>
      </c>
      <c r="AH1925" s="44"/>
      <c r="AI1925" s="66"/>
      <c r="AJ1925" s="66"/>
      <c r="AK1925" s="66"/>
      <c r="AL1925" s="66"/>
      <c r="AM1925" s="66"/>
      <c r="AN1925" s="83"/>
      <c r="AO1925" s="83"/>
      <c r="AP1925" s="83"/>
      <c r="AQ1925" s="66"/>
      <c r="AR1925" s="66"/>
      <c r="AS1925" s="66"/>
      <c r="AT1925" s="81"/>
      <c r="AU1925" s="81"/>
      <c r="AV1925" s="81"/>
      <c r="AW1925" s="81"/>
      <c r="AX1925" s="83">
        <f>SUM(Prog_23[[#This Row],[ADIANTAMENTO]]+Prog_23[[#This Row],[SALDO]]+Prog_23[[#This Row],[MARGEM]]+Prog_23[[#This Row],[ESTADIA 1]])</f>
        <v>0</v>
      </c>
      <c r="AY192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25" s="81"/>
      <c r="BA1925" s="81"/>
      <c r="BB1925" s="81">
        <f>Prog_23[[#This Row],[VLR NF]]*0.1%</f>
        <v>0</v>
      </c>
      <c r="BC1925" s="81">
        <f>Prog_23[[#This Row],[VLR NF]]*0.05%</f>
        <v>0</v>
      </c>
      <c r="BD1925" s="81"/>
      <c r="BE1925" s="81"/>
      <c r="BF1925" s="81"/>
      <c r="BG1925" s="81"/>
      <c r="BH1925" s="81"/>
      <c r="BI1925" s="81"/>
      <c r="BJ1925" s="81"/>
      <c r="BK1925" s="81"/>
      <c r="BL1925" s="81"/>
      <c r="BM1925" s="81"/>
      <c r="BN1925" s="66"/>
      <c r="BO1925" s="66"/>
      <c r="BP1925" s="66"/>
      <c r="BQ1925" s="66" t="str">
        <f>PROPER(TEXT(Prog_23[[#This Row],[PROGRAMAÇÃO CLIENTE]],"mmm"))</f>
        <v>Jan</v>
      </c>
      <c r="BR1925" s="66">
        <f>YEAR(Prog_23[[#This Row],[PROGRAMAÇÃO CLIENTE]])</f>
        <v>1900</v>
      </c>
    </row>
    <row r="1926" spans="1:70" x14ac:dyDescent="0.25">
      <c r="A1926" s="201">
        <f>Prog_23[[#This Row],[CONTEINER]]</f>
        <v>0</v>
      </c>
      <c r="B1926" s="86"/>
      <c r="C192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26" s="44"/>
      <c r="E1926" s="66"/>
      <c r="F1926" s="66"/>
      <c r="G1926" s="66"/>
      <c r="H1926" s="44"/>
      <c r="I1926" s="44"/>
      <c r="J1926" s="66"/>
      <c r="K1926" s="66"/>
      <c r="L1926" s="66"/>
      <c r="M1926" s="66"/>
      <c r="N1926" s="66">
        <f>SUM(Prog_23[[#This Row],[TARA]]+Prog_23[[#This Row],[PESO]])</f>
        <v>0</v>
      </c>
      <c r="O1926" s="44"/>
      <c r="P1926" s="66"/>
      <c r="Q1926" s="66"/>
      <c r="R1926" s="66"/>
      <c r="S1926" s="66"/>
      <c r="T1926" s="138" t="str">
        <f>IFERROR(LOOKUP($S1926,MOTORISTAS!$D$3:$D$916,MOTORISTAS!E$3:$E$916),"")</f>
        <v/>
      </c>
      <c r="U1926" s="138" t="str">
        <f>IFERROR(LOOKUP($S1926,MOTORISTAS!$D$3:$D$916,MOTORISTAS!F$3:$F$916),"")</f>
        <v/>
      </c>
      <c r="V1926" s="66"/>
      <c r="W1926" s="66"/>
      <c r="X1926" s="66"/>
      <c r="Y1926" s="66"/>
      <c r="Z1926" s="66"/>
      <c r="AA1926" s="66"/>
      <c r="AB1926" s="66"/>
      <c r="AC1926" s="66"/>
      <c r="AD1926" s="66"/>
      <c r="AE1926" s="66"/>
      <c r="AF1926" s="44"/>
      <c r="AG1926" s="254">
        <f>Prog_23[[#This Row],[SAÍDA DO CLIENTE]]-Prog_23[[#This Row],[PROGRAMAÇÃO CLIENTE]]</f>
        <v>0</v>
      </c>
      <c r="AH1926" s="44"/>
      <c r="AI1926" s="66"/>
      <c r="AJ1926" s="66"/>
      <c r="AK1926" s="66"/>
      <c r="AL1926" s="66"/>
      <c r="AM1926" s="66"/>
      <c r="AN1926" s="83"/>
      <c r="AO1926" s="83"/>
      <c r="AP1926" s="83"/>
      <c r="AQ1926" s="66"/>
      <c r="AR1926" s="66"/>
      <c r="AS1926" s="66"/>
      <c r="AT1926" s="81"/>
      <c r="AU1926" s="81"/>
      <c r="AV1926" s="81"/>
      <c r="AW1926" s="81"/>
      <c r="AX1926" s="83">
        <f>SUM(Prog_23[[#This Row],[ADIANTAMENTO]]+Prog_23[[#This Row],[SALDO]]+Prog_23[[#This Row],[MARGEM]]+Prog_23[[#This Row],[ESTADIA 1]])</f>
        <v>0</v>
      </c>
      <c r="AY192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26" s="81"/>
      <c r="BA1926" s="81"/>
      <c r="BB1926" s="81">
        <f>Prog_23[[#This Row],[VLR NF]]*0.1%</f>
        <v>0</v>
      </c>
      <c r="BC1926" s="81">
        <f>Prog_23[[#This Row],[VLR NF]]*0.05%</f>
        <v>0</v>
      </c>
      <c r="BD1926" s="81"/>
      <c r="BE1926" s="81"/>
      <c r="BF1926" s="81"/>
      <c r="BG1926" s="81"/>
      <c r="BH1926" s="81"/>
      <c r="BI1926" s="81"/>
      <c r="BJ1926" s="81"/>
      <c r="BK1926" s="81"/>
      <c r="BL1926" s="81"/>
      <c r="BM1926" s="81"/>
      <c r="BN1926" s="66"/>
      <c r="BO1926" s="66"/>
      <c r="BP1926" s="66"/>
      <c r="BQ1926" s="66" t="str">
        <f>PROPER(TEXT(Prog_23[[#This Row],[PROGRAMAÇÃO CLIENTE]],"mmm"))</f>
        <v>Jan</v>
      </c>
      <c r="BR1926" s="66">
        <f>YEAR(Prog_23[[#This Row],[PROGRAMAÇÃO CLIENTE]])</f>
        <v>1900</v>
      </c>
    </row>
    <row r="1927" spans="1:70" x14ac:dyDescent="0.25">
      <c r="A1927" s="200">
        <f>Prog_23[[#This Row],[CONTEINER]]</f>
        <v>0</v>
      </c>
      <c r="B1927" s="86"/>
      <c r="C192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27" s="44"/>
      <c r="E1927" s="66"/>
      <c r="F1927" s="66"/>
      <c r="G1927" s="66"/>
      <c r="H1927" s="44"/>
      <c r="I1927" s="44"/>
      <c r="J1927" s="66"/>
      <c r="K1927" s="66"/>
      <c r="L1927" s="66"/>
      <c r="M1927" s="66"/>
      <c r="N1927" s="66">
        <f>SUM(Prog_23[[#This Row],[TARA]]+Prog_23[[#This Row],[PESO]])</f>
        <v>0</v>
      </c>
      <c r="O1927" s="44"/>
      <c r="P1927" s="66"/>
      <c r="Q1927" s="66"/>
      <c r="R1927" s="66"/>
      <c r="S1927" s="66"/>
      <c r="T1927" s="138" t="str">
        <f>IFERROR(LOOKUP($S1927,MOTORISTAS!$D$3:$D$916,MOTORISTAS!E$3:$E$916),"")</f>
        <v/>
      </c>
      <c r="U1927" s="138" t="str">
        <f>IFERROR(LOOKUP($S1927,MOTORISTAS!$D$3:$D$916,MOTORISTAS!F$3:$F$916),"")</f>
        <v/>
      </c>
      <c r="V1927" s="66"/>
      <c r="W1927" s="66"/>
      <c r="X1927" s="66"/>
      <c r="Y1927" s="66"/>
      <c r="Z1927" s="66"/>
      <c r="AA1927" s="66"/>
      <c r="AB1927" s="66"/>
      <c r="AC1927" s="66"/>
      <c r="AD1927" s="66"/>
      <c r="AE1927" s="66"/>
      <c r="AF1927" s="44"/>
      <c r="AG1927" s="254">
        <f>Prog_23[[#This Row],[SAÍDA DO CLIENTE]]-Prog_23[[#This Row],[PROGRAMAÇÃO CLIENTE]]</f>
        <v>0</v>
      </c>
      <c r="AH1927" s="44"/>
      <c r="AI1927" s="66"/>
      <c r="AJ1927" s="66"/>
      <c r="AK1927" s="66"/>
      <c r="AL1927" s="66"/>
      <c r="AM1927" s="66"/>
      <c r="AN1927" s="83"/>
      <c r="AO1927" s="83"/>
      <c r="AP1927" s="83"/>
      <c r="AQ1927" s="66"/>
      <c r="AR1927" s="66"/>
      <c r="AS1927" s="66"/>
      <c r="AT1927" s="81"/>
      <c r="AU1927" s="81"/>
      <c r="AV1927" s="81"/>
      <c r="AW1927" s="81"/>
      <c r="AX1927" s="83">
        <f>SUM(Prog_23[[#This Row],[ADIANTAMENTO]]+Prog_23[[#This Row],[SALDO]]+Prog_23[[#This Row],[MARGEM]]+Prog_23[[#This Row],[ESTADIA 1]])</f>
        <v>0</v>
      </c>
      <c r="AY192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27" s="81"/>
      <c r="BA1927" s="81"/>
      <c r="BB1927" s="81">
        <f>Prog_23[[#This Row],[VLR NF]]*0.1%</f>
        <v>0</v>
      </c>
      <c r="BC1927" s="81">
        <f>Prog_23[[#This Row],[VLR NF]]*0.05%</f>
        <v>0</v>
      </c>
      <c r="BD1927" s="81"/>
      <c r="BE1927" s="81"/>
      <c r="BF1927" s="81"/>
      <c r="BG1927" s="81"/>
      <c r="BH1927" s="81"/>
      <c r="BI1927" s="81"/>
      <c r="BJ1927" s="81"/>
      <c r="BK1927" s="81"/>
      <c r="BL1927" s="81"/>
      <c r="BM1927" s="81"/>
      <c r="BN1927" s="66"/>
      <c r="BO1927" s="66"/>
      <c r="BP1927" s="66"/>
      <c r="BQ1927" s="66" t="str">
        <f>PROPER(TEXT(Prog_23[[#This Row],[PROGRAMAÇÃO CLIENTE]],"mmm"))</f>
        <v>Jan</v>
      </c>
      <c r="BR1927" s="66">
        <f>YEAR(Prog_23[[#This Row],[PROGRAMAÇÃO CLIENTE]])</f>
        <v>1900</v>
      </c>
    </row>
    <row r="1928" spans="1:70" x14ac:dyDescent="0.25">
      <c r="A1928" s="201">
        <f>Prog_23[[#This Row],[CONTEINER]]</f>
        <v>0</v>
      </c>
      <c r="B1928" s="86"/>
      <c r="C192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28" s="44"/>
      <c r="E1928" s="66"/>
      <c r="F1928" s="66"/>
      <c r="G1928" s="66"/>
      <c r="H1928" s="44"/>
      <c r="I1928" s="44"/>
      <c r="J1928" s="66"/>
      <c r="K1928" s="66"/>
      <c r="L1928" s="66"/>
      <c r="M1928" s="66"/>
      <c r="N1928" s="66">
        <f>SUM(Prog_23[[#This Row],[TARA]]+Prog_23[[#This Row],[PESO]])</f>
        <v>0</v>
      </c>
      <c r="O1928" s="44"/>
      <c r="P1928" s="66"/>
      <c r="Q1928" s="66"/>
      <c r="R1928" s="66"/>
      <c r="S1928" s="66"/>
      <c r="T1928" s="138" t="str">
        <f>IFERROR(LOOKUP($S1928,MOTORISTAS!$D$3:$D$916,MOTORISTAS!E$3:$E$916),"")</f>
        <v/>
      </c>
      <c r="U1928" s="138" t="str">
        <f>IFERROR(LOOKUP($S1928,MOTORISTAS!$D$3:$D$916,MOTORISTAS!F$3:$F$916),"")</f>
        <v/>
      </c>
      <c r="V1928" s="66"/>
      <c r="W1928" s="66"/>
      <c r="X1928" s="66"/>
      <c r="Y1928" s="66"/>
      <c r="Z1928" s="66"/>
      <c r="AA1928" s="66"/>
      <c r="AB1928" s="66"/>
      <c r="AC1928" s="66"/>
      <c r="AD1928" s="66"/>
      <c r="AE1928" s="66"/>
      <c r="AF1928" s="44"/>
      <c r="AG1928" s="254">
        <f>Prog_23[[#This Row],[SAÍDA DO CLIENTE]]-Prog_23[[#This Row],[PROGRAMAÇÃO CLIENTE]]</f>
        <v>0</v>
      </c>
      <c r="AH1928" s="44"/>
      <c r="AI1928" s="66"/>
      <c r="AJ1928" s="66"/>
      <c r="AK1928" s="66"/>
      <c r="AL1928" s="66"/>
      <c r="AM1928" s="66"/>
      <c r="AN1928" s="83"/>
      <c r="AO1928" s="83"/>
      <c r="AP1928" s="83"/>
      <c r="AQ1928" s="66"/>
      <c r="AR1928" s="66"/>
      <c r="AS1928" s="66"/>
      <c r="AT1928" s="81"/>
      <c r="AU1928" s="81"/>
      <c r="AV1928" s="81"/>
      <c r="AW1928" s="81"/>
      <c r="AX1928" s="83">
        <f>SUM(Prog_23[[#This Row],[ADIANTAMENTO]]+Prog_23[[#This Row],[SALDO]]+Prog_23[[#This Row],[MARGEM]]+Prog_23[[#This Row],[ESTADIA 1]])</f>
        <v>0</v>
      </c>
      <c r="AY192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28" s="81"/>
      <c r="BA1928" s="81"/>
      <c r="BB1928" s="81">
        <f>Prog_23[[#This Row],[VLR NF]]*0.1%</f>
        <v>0</v>
      </c>
      <c r="BC1928" s="81">
        <f>Prog_23[[#This Row],[VLR NF]]*0.05%</f>
        <v>0</v>
      </c>
      <c r="BD1928" s="81"/>
      <c r="BE1928" s="81"/>
      <c r="BF1928" s="81"/>
      <c r="BG1928" s="81"/>
      <c r="BH1928" s="81"/>
      <c r="BI1928" s="81"/>
      <c r="BJ1928" s="81"/>
      <c r="BK1928" s="81"/>
      <c r="BL1928" s="81"/>
      <c r="BM1928" s="81"/>
      <c r="BN1928" s="66"/>
      <c r="BO1928" s="66"/>
      <c r="BP1928" s="66"/>
      <c r="BQ1928" s="66" t="str">
        <f>PROPER(TEXT(Prog_23[[#This Row],[PROGRAMAÇÃO CLIENTE]],"mmm"))</f>
        <v>Jan</v>
      </c>
      <c r="BR1928" s="66">
        <f>YEAR(Prog_23[[#This Row],[PROGRAMAÇÃO CLIENTE]])</f>
        <v>1900</v>
      </c>
    </row>
    <row r="1929" spans="1:70" x14ac:dyDescent="0.25">
      <c r="A1929" s="200">
        <f>Prog_23[[#This Row],[CONTEINER]]</f>
        <v>0</v>
      </c>
      <c r="B1929" s="86"/>
      <c r="C192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29" s="44"/>
      <c r="E1929" s="66"/>
      <c r="F1929" s="66"/>
      <c r="G1929" s="66"/>
      <c r="H1929" s="44"/>
      <c r="I1929" s="44"/>
      <c r="J1929" s="66"/>
      <c r="K1929" s="66"/>
      <c r="L1929" s="66"/>
      <c r="M1929" s="66"/>
      <c r="N1929" s="66">
        <f>SUM(Prog_23[[#This Row],[TARA]]+Prog_23[[#This Row],[PESO]])</f>
        <v>0</v>
      </c>
      <c r="O1929" s="44"/>
      <c r="P1929" s="66"/>
      <c r="Q1929" s="66"/>
      <c r="R1929" s="66"/>
      <c r="S1929" s="66"/>
      <c r="T1929" s="138" t="str">
        <f>IFERROR(LOOKUP($S1929,MOTORISTAS!$D$3:$D$916,MOTORISTAS!E$3:$E$916),"")</f>
        <v/>
      </c>
      <c r="U1929" s="138" t="str">
        <f>IFERROR(LOOKUP($S1929,MOTORISTAS!$D$3:$D$916,MOTORISTAS!F$3:$F$916),"")</f>
        <v/>
      </c>
      <c r="V1929" s="66"/>
      <c r="W1929" s="66"/>
      <c r="X1929" s="66"/>
      <c r="Y1929" s="66"/>
      <c r="Z1929" s="66"/>
      <c r="AA1929" s="66"/>
      <c r="AB1929" s="66"/>
      <c r="AC1929" s="66"/>
      <c r="AD1929" s="66"/>
      <c r="AE1929" s="66"/>
      <c r="AF1929" s="44"/>
      <c r="AG1929" s="254">
        <f>Prog_23[[#This Row],[SAÍDA DO CLIENTE]]-Prog_23[[#This Row],[PROGRAMAÇÃO CLIENTE]]</f>
        <v>0</v>
      </c>
      <c r="AH1929" s="44"/>
      <c r="AI1929" s="66"/>
      <c r="AJ1929" s="66"/>
      <c r="AK1929" s="66"/>
      <c r="AL1929" s="66"/>
      <c r="AM1929" s="66"/>
      <c r="AN1929" s="83"/>
      <c r="AO1929" s="83"/>
      <c r="AP1929" s="83"/>
      <c r="AQ1929" s="66"/>
      <c r="AR1929" s="66"/>
      <c r="AS1929" s="66"/>
      <c r="AT1929" s="81"/>
      <c r="AU1929" s="81"/>
      <c r="AV1929" s="81"/>
      <c r="AW1929" s="81"/>
      <c r="AX1929" s="83">
        <f>SUM(Prog_23[[#This Row],[ADIANTAMENTO]]+Prog_23[[#This Row],[SALDO]]+Prog_23[[#This Row],[MARGEM]]+Prog_23[[#This Row],[ESTADIA 1]])</f>
        <v>0</v>
      </c>
      <c r="AY192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29" s="81"/>
      <c r="BA1929" s="81"/>
      <c r="BB1929" s="81">
        <f>Prog_23[[#This Row],[VLR NF]]*0.1%</f>
        <v>0</v>
      </c>
      <c r="BC1929" s="81">
        <f>Prog_23[[#This Row],[VLR NF]]*0.05%</f>
        <v>0</v>
      </c>
      <c r="BD1929" s="81"/>
      <c r="BE1929" s="81"/>
      <c r="BF1929" s="81"/>
      <c r="BG1929" s="81"/>
      <c r="BH1929" s="81"/>
      <c r="BI1929" s="81"/>
      <c r="BJ1929" s="81"/>
      <c r="BK1929" s="81"/>
      <c r="BL1929" s="81"/>
      <c r="BM1929" s="81"/>
      <c r="BN1929" s="66"/>
      <c r="BO1929" s="66"/>
      <c r="BP1929" s="66"/>
      <c r="BQ1929" s="66" t="str">
        <f>PROPER(TEXT(Prog_23[[#This Row],[PROGRAMAÇÃO CLIENTE]],"mmm"))</f>
        <v>Jan</v>
      </c>
      <c r="BR1929" s="66">
        <f>YEAR(Prog_23[[#This Row],[PROGRAMAÇÃO CLIENTE]])</f>
        <v>1900</v>
      </c>
    </row>
    <row r="1930" spans="1:70" x14ac:dyDescent="0.25">
      <c r="A1930" s="201">
        <f>Prog_23[[#This Row],[CONTEINER]]</f>
        <v>0</v>
      </c>
      <c r="B1930" s="86"/>
      <c r="C193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30" s="44"/>
      <c r="E1930" s="66"/>
      <c r="F1930" s="66"/>
      <c r="G1930" s="66"/>
      <c r="H1930" s="44"/>
      <c r="I1930" s="44"/>
      <c r="J1930" s="66"/>
      <c r="K1930" s="66"/>
      <c r="L1930" s="66"/>
      <c r="M1930" s="66"/>
      <c r="N1930" s="66">
        <f>SUM(Prog_23[[#This Row],[TARA]]+Prog_23[[#This Row],[PESO]])</f>
        <v>0</v>
      </c>
      <c r="O1930" s="44"/>
      <c r="P1930" s="66"/>
      <c r="Q1930" s="66"/>
      <c r="R1930" s="66"/>
      <c r="S1930" s="66"/>
      <c r="T1930" s="138" t="str">
        <f>IFERROR(LOOKUP($S1930,MOTORISTAS!$D$3:$D$916,MOTORISTAS!E$3:$E$916),"")</f>
        <v/>
      </c>
      <c r="U1930" s="138" t="str">
        <f>IFERROR(LOOKUP($S1930,MOTORISTAS!$D$3:$D$916,MOTORISTAS!F$3:$F$916),"")</f>
        <v/>
      </c>
      <c r="V1930" s="66"/>
      <c r="W1930" s="66"/>
      <c r="X1930" s="66"/>
      <c r="Y1930" s="66"/>
      <c r="Z1930" s="66"/>
      <c r="AA1930" s="66"/>
      <c r="AB1930" s="66"/>
      <c r="AC1930" s="66"/>
      <c r="AD1930" s="66"/>
      <c r="AE1930" s="66"/>
      <c r="AF1930" s="44"/>
      <c r="AG1930" s="254">
        <f>Prog_23[[#This Row],[SAÍDA DO CLIENTE]]-Prog_23[[#This Row],[PROGRAMAÇÃO CLIENTE]]</f>
        <v>0</v>
      </c>
      <c r="AH1930" s="44"/>
      <c r="AI1930" s="66"/>
      <c r="AJ1930" s="66"/>
      <c r="AK1930" s="66"/>
      <c r="AL1930" s="66"/>
      <c r="AM1930" s="66"/>
      <c r="AN1930" s="83"/>
      <c r="AO1930" s="83"/>
      <c r="AP1930" s="83"/>
      <c r="AQ1930" s="66"/>
      <c r="AR1930" s="66"/>
      <c r="AS1930" s="66"/>
      <c r="AT1930" s="81"/>
      <c r="AU1930" s="81"/>
      <c r="AV1930" s="81"/>
      <c r="AW1930" s="81"/>
      <c r="AX1930" s="83">
        <f>SUM(Prog_23[[#This Row],[ADIANTAMENTO]]+Prog_23[[#This Row],[SALDO]]+Prog_23[[#This Row],[MARGEM]]+Prog_23[[#This Row],[ESTADIA 1]])</f>
        <v>0</v>
      </c>
      <c r="AY193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30" s="81"/>
      <c r="BA1930" s="81"/>
      <c r="BB1930" s="81">
        <f>Prog_23[[#This Row],[VLR NF]]*0.1%</f>
        <v>0</v>
      </c>
      <c r="BC1930" s="81">
        <f>Prog_23[[#This Row],[VLR NF]]*0.05%</f>
        <v>0</v>
      </c>
      <c r="BD1930" s="81"/>
      <c r="BE1930" s="81"/>
      <c r="BF1930" s="81"/>
      <c r="BG1930" s="81"/>
      <c r="BH1930" s="81"/>
      <c r="BI1930" s="81"/>
      <c r="BJ1930" s="81"/>
      <c r="BK1930" s="81"/>
      <c r="BL1930" s="81"/>
      <c r="BM1930" s="81"/>
      <c r="BN1930" s="66"/>
      <c r="BO1930" s="66"/>
      <c r="BP1930" s="66"/>
      <c r="BQ1930" s="66" t="str">
        <f>PROPER(TEXT(Prog_23[[#This Row],[PROGRAMAÇÃO CLIENTE]],"mmm"))</f>
        <v>Jan</v>
      </c>
      <c r="BR1930" s="66">
        <f>YEAR(Prog_23[[#This Row],[PROGRAMAÇÃO CLIENTE]])</f>
        <v>1900</v>
      </c>
    </row>
    <row r="1931" spans="1:70" x14ac:dyDescent="0.25">
      <c r="A1931" s="200">
        <f>Prog_23[[#This Row],[CONTEINER]]</f>
        <v>0</v>
      </c>
      <c r="B1931" s="86"/>
      <c r="C193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31" s="44"/>
      <c r="E1931" s="66"/>
      <c r="F1931" s="66"/>
      <c r="G1931" s="66"/>
      <c r="H1931" s="44"/>
      <c r="I1931" s="44"/>
      <c r="J1931" s="66"/>
      <c r="K1931" s="66"/>
      <c r="L1931" s="66"/>
      <c r="M1931" s="66"/>
      <c r="N1931" s="66">
        <f>SUM(Prog_23[[#This Row],[TARA]]+Prog_23[[#This Row],[PESO]])</f>
        <v>0</v>
      </c>
      <c r="O1931" s="44"/>
      <c r="P1931" s="66"/>
      <c r="Q1931" s="66"/>
      <c r="R1931" s="66"/>
      <c r="S1931" s="66"/>
      <c r="T1931" s="138" t="str">
        <f>IFERROR(LOOKUP($S1931,MOTORISTAS!$D$3:$D$916,MOTORISTAS!E$3:$E$916),"")</f>
        <v/>
      </c>
      <c r="U1931" s="138" t="str">
        <f>IFERROR(LOOKUP($S1931,MOTORISTAS!$D$3:$D$916,MOTORISTAS!F$3:$F$916),"")</f>
        <v/>
      </c>
      <c r="V1931" s="66"/>
      <c r="W1931" s="66"/>
      <c r="X1931" s="66"/>
      <c r="Y1931" s="66"/>
      <c r="Z1931" s="66"/>
      <c r="AA1931" s="66"/>
      <c r="AB1931" s="66"/>
      <c r="AC1931" s="66"/>
      <c r="AD1931" s="66"/>
      <c r="AE1931" s="66"/>
      <c r="AF1931" s="44"/>
      <c r="AG1931" s="254">
        <f>Prog_23[[#This Row],[SAÍDA DO CLIENTE]]-Prog_23[[#This Row],[PROGRAMAÇÃO CLIENTE]]</f>
        <v>0</v>
      </c>
      <c r="AH1931" s="44"/>
      <c r="AI1931" s="66"/>
      <c r="AJ1931" s="66"/>
      <c r="AK1931" s="66"/>
      <c r="AL1931" s="66"/>
      <c r="AM1931" s="66"/>
      <c r="AN1931" s="83"/>
      <c r="AO1931" s="83"/>
      <c r="AP1931" s="83"/>
      <c r="AQ1931" s="66"/>
      <c r="AR1931" s="66"/>
      <c r="AS1931" s="66"/>
      <c r="AT1931" s="81"/>
      <c r="AU1931" s="81"/>
      <c r="AV1931" s="81"/>
      <c r="AW1931" s="81"/>
      <c r="AX1931" s="83">
        <f>SUM(Prog_23[[#This Row],[ADIANTAMENTO]]+Prog_23[[#This Row],[SALDO]]+Prog_23[[#This Row],[MARGEM]]+Prog_23[[#This Row],[ESTADIA 1]])</f>
        <v>0</v>
      </c>
      <c r="AY193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31" s="81"/>
      <c r="BA1931" s="81"/>
      <c r="BB1931" s="81">
        <f>Prog_23[[#This Row],[VLR NF]]*0.1%</f>
        <v>0</v>
      </c>
      <c r="BC1931" s="81">
        <f>Prog_23[[#This Row],[VLR NF]]*0.05%</f>
        <v>0</v>
      </c>
      <c r="BD1931" s="81"/>
      <c r="BE1931" s="81"/>
      <c r="BF1931" s="81"/>
      <c r="BG1931" s="81"/>
      <c r="BH1931" s="81"/>
      <c r="BI1931" s="81"/>
      <c r="BJ1931" s="81"/>
      <c r="BK1931" s="81"/>
      <c r="BL1931" s="81"/>
      <c r="BM1931" s="81"/>
      <c r="BN1931" s="66"/>
      <c r="BO1931" s="66"/>
      <c r="BP1931" s="66"/>
      <c r="BQ1931" s="66" t="str">
        <f>PROPER(TEXT(Prog_23[[#This Row],[PROGRAMAÇÃO CLIENTE]],"mmm"))</f>
        <v>Jan</v>
      </c>
      <c r="BR1931" s="66">
        <f>YEAR(Prog_23[[#This Row],[PROGRAMAÇÃO CLIENTE]])</f>
        <v>1900</v>
      </c>
    </row>
    <row r="1932" spans="1:70" x14ac:dyDescent="0.25">
      <c r="A1932" s="202">
        <f>Prog_23[[#This Row],[CONTEINER]]</f>
        <v>0</v>
      </c>
      <c r="B1932" s="86"/>
      <c r="C193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32" s="44"/>
      <c r="E1932" s="66"/>
      <c r="F1932" s="66"/>
      <c r="G1932" s="66"/>
      <c r="H1932" s="44"/>
      <c r="I1932" s="44"/>
      <c r="J1932" s="66"/>
      <c r="K1932" s="66"/>
      <c r="L1932" s="66"/>
      <c r="M1932" s="66"/>
      <c r="N1932" s="66">
        <f>SUM(Prog_23[[#This Row],[TARA]]+Prog_23[[#This Row],[PESO]])</f>
        <v>0</v>
      </c>
      <c r="O1932" s="44"/>
      <c r="P1932" s="66"/>
      <c r="Q1932" s="66"/>
      <c r="R1932" s="66"/>
      <c r="S1932" s="66"/>
      <c r="T1932" s="138" t="str">
        <f>IFERROR(LOOKUP($S1932,MOTORISTAS!$D$3:$D$916,MOTORISTAS!E$3:$E$916),"")</f>
        <v/>
      </c>
      <c r="U1932" s="138" t="str">
        <f>IFERROR(LOOKUP($S1932,MOTORISTAS!$D$3:$D$916,MOTORISTAS!F$3:$F$916),"")</f>
        <v/>
      </c>
      <c r="V1932" s="66"/>
      <c r="W1932" s="66"/>
      <c r="X1932" s="66"/>
      <c r="Y1932" s="66"/>
      <c r="Z1932" s="66"/>
      <c r="AA1932" s="66"/>
      <c r="AB1932" s="66"/>
      <c r="AC1932" s="66"/>
      <c r="AD1932" s="66"/>
      <c r="AE1932" s="66"/>
      <c r="AF1932" s="44"/>
      <c r="AG1932" s="254">
        <f>Prog_23[[#This Row],[SAÍDA DO CLIENTE]]-Prog_23[[#This Row],[PROGRAMAÇÃO CLIENTE]]</f>
        <v>0</v>
      </c>
      <c r="AH1932" s="44"/>
      <c r="AI1932" s="66"/>
      <c r="AJ1932" s="66"/>
      <c r="AK1932" s="66"/>
      <c r="AL1932" s="66"/>
      <c r="AM1932" s="66"/>
      <c r="AN1932" s="83"/>
      <c r="AO1932" s="83"/>
      <c r="AP1932" s="83"/>
      <c r="AQ1932" s="66"/>
      <c r="AR1932" s="66"/>
      <c r="AS1932" s="66"/>
      <c r="AT1932" s="81"/>
      <c r="AU1932" s="81"/>
      <c r="AV1932" s="81"/>
      <c r="AW1932" s="81"/>
      <c r="AX1932" s="83">
        <f>SUM(Prog_23[[#This Row],[ADIANTAMENTO]]+Prog_23[[#This Row],[SALDO]]+Prog_23[[#This Row],[MARGEM]]+Prog_23[[#This Row],[ESTADIA 1]])</f>
        <v>0</v>
      </c>
      <c r="AY193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32" s="81"/>
      <c r="BA1932" s="81"/>
      <c r="BB1932" s="81">
        <f>Prog_23[[#This Row],[VLR NF]]*0.1%</f>
        <v>0</v>
      </c>
      <c r="BC1932" s="81">
        <f>Prog_23[[#This Row],[VLR NF]]*0.05%</f>
        <v>0</v>
      </c>
      <c r="BD1932" s="81"/>
      <c r="BE1932" s="81"/>
      <c r="BF1932" s="81"/>
      <c r="BG1932" s="81"/>
      <c r="BH1932" s="81"/>
      <c r="BI1932" s="81"/>
      <c r="BJ1932" s="81"/>
      <c r="BK1932" s="81"/>
      <c r="BL1932" s="81"/>
      <c r="BM1932" s="81"/>
      <c r="BN1932" s="66"/>
      <c r="BO1932" s="66"/>
      <c r="BP1932" s="66"/>
      <c r="BQ1932" s="66" t="str">
        <f>PROPER(TEXT(Prog_23[[#This Row],[PROGRAMAÇÃO CLIENTE]],"mmm"))</f>
        <v>Jan</v>
      </c>
      <c r="BR1932" s="66">
        <f>YEAR(Prog_23[[#This Row],[PROGRAMAÇÃO CLIENTE]])</f>
        <v>1900</v>
      </c>
    </row>
    <row r="1933" spans="1:70" x14ac:dyDescent="0.25">
      <c r="A1933" s="200">
        <f>Prog_23[[#This Row],[CONTEINER]]</f>
        <v>0</v>
      </c>
      <c r="B1933" s="86"/>
      <c r="C193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33" s="44"/>
      <c r="E1933" s="66"/>
      <c r="F1933" s="66"/>
      <c r="G1933" s="66"/>
      <c r="H1933" s="44"/>
      <c r="I1933" s="44"/>
      <c r="J1933" s="66"/>
      <c r="K1933" s="66"/>
      <c r="L1933" s="66"/>
      <c r="M1933" s="66"/>
      <c r="N1933" s="66">
        <f>SUM(Prog_23[[#This Row],[TARA]]+Prog_23[[#This Row],[PESO]])</f>
        <v>0</v>
      </c>
      <c r="O1933" s="44"/>
      <c r="P1933" s="66"/>
      <c r="Q1933" s="66"/>
      <c r="R1933" s="66"/>
      <c r="S1933" s="66"/>
      <c r="T1933" s="138" t="str">
        <f>IFERROR(LOOKUP($S1933,MOTORISTAS!$D$3:$D$916,MOTORISTAS!E$3:$E$916),"")</f>
        <v/>
      </c>
      <c r="U1933" s="138" t="str">
        <f>IFERROR(LOOKUP($S1933,MOTORISTAS!$D$3:$D$916,MOTORISTAS!F$3:$F$916),"")</f>
        <v/>
      </c>
      <c r="V1933" s="66"/>
      <c r="W1933" s="66"/>
      <c r="X1933" s="66"/>
      <c r="Y1933" s="66"/>
      <c r="Z1933" s="66"/>
      <c r="AA1933" s="66"/>
      <c r="AB1933" s="66"/>
      <c r="AC1933" s="66"/>
      <c r="AD1933" s="66"/>
      <c r="AE1933" s="66"/>
      <c r="AF1933" s="44"/>
      <c r="AG1933" s="254">
        <f>Prog_23[[#This Row],[SAÍDA DO CLIENTE]]-Prog_23[[#This Row],[PROGRAMAÇÃO CLIENTE]]</f>
        <v>0</v>
      </c>
      <c r="AH1933" s="44"/>
      <c r="AI1933" s="66"/>
      <c r="AJ1933" s="66"/>
      <c r="AK1933" s="66"/>
      <c r="AL1933" s="66"/>
      <c r="AM1933" s="66"/>
      <c r="AN1933" s="83"/>
      <c r="AO1933" s="83"/>
      <c r="AP1933" s="83"/>
      <c r="AQ1933" s="66"/>
      <c r="AR1933" s="66"/>
      <c r="AS1933" s="66"/>
      <c r="AT1933" s="81"/>
      <c r="AU1933" s="81"/>
      <c r="AV1933" s="81"/>
      <c r="AW1933" s="81"/>
      <c r="AX1933" s="83">
        <f>SUM(Prog_23[[#This Row],[ADIANTAMENTO]]+Prog_23[[#This Row],[SALDO]]+Prog_23[[#This Row],[MARGEM]]+Prog_23[[#This Row],[ESTADIA 1]])</f>
        <v>0</v>
      </c>
      <c r="AY193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33" s="81"/>
      <c r="BA1933" s="81"/>
      <c r="BB1933" s="81">
        <f>Prog_23[[#This Row],[VLR NF]]*0.1%</f>
        <v>0</v>
      </c>
      <c r="BC1933" s="81">
        <f>Prog_23[[#This Row],[VLR NF]]*0.05%</f>
        <v>0</v>
      </c>
      <c r="BD1933" s="81"/>
      <c r="BE1933" s="81"/>
      <c r="BF1933" s="81"/>
      <c r="BG1933" s="81"/>
      <c r="BH1933" s="81"/>
      <c r="BI1933" s="81"/>
      <c r="BJ1933" s="81"/>
      <c r="BK1933" s="81"/>
      <c r="BL1933" s="81"/>
      <c r="BM1933" s="81"/>
      <c r="BN1933" s="66"/>
      <c r="BO1933" s="66"/>
      <c r="BP1933" s="66"/>
      <c r="BQ1933" s="66" t="str">
        <f>PROPER(TEXT(Prog_23[[#This Row],[PROGRAMAÇÃO CLIENTE]],"mmm"))</f>
        <v>Jan</v>
      </c>
      <c r="BR1933" s="66">
        <f>YEAR(Prog_23[[#This Row],[PROGRAMAÇÃO CLIENTE]])</f>
        <v>1900</v>
      </c>
    </row>
    <row r="1934" spans="1:70" x14ac:dyDescent="0.25">
      <c r="A1934" s="202">
        <f>Prog_23[[#This Row],[CONTEINER]]</f>
        <v>0</v>
      </c>
      <c r="B1934" s="86"/>
      <c r="C193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34" s="44"/>
      <c r="E1934" s="66"/>
      <c r="F1934" s="66"/>
      <c r="G1934" s="66"/>
      <c r="H1934" s="44"/>
      <c r="I1934" s="44"/>
      <c r="J1934" s="66"/>
      <c r="K1934" s="66"/>
      <c r="L1934" s="66"/>
      <c r="M1934" s="66"/>
      <c r="N1934" s="66">
        <f>SUM(Prog_23[[#This Row],[TARA]]+Prog_23[[#This Row],[PESO]])</f>
        <v>0</v>
      </c>
      <c r="O1934" s="44"/>
      <c r="P1934" s="66"/>
      <c r="Q1934" s="66"/>
      <c r="R1934" s="66"/>
      <c r="S1934" s="66"/>
      <c r="T1934" s="138" t="str">
        <f>IFERROR(LOOKUP($S1934,MOTORISTAS!$D$3:$D$916,MOTORISTAS!E$3:$E$916),"")</f>
        <v/>
      </c>
      <c r="U1934" s="138" t="str">
        <f>IFERROR(LOOKUP($S1934,MOTORISTAS!$D$3:$D$916,MOTORISTAS!F$3:$F$916),"")</f>
        <v/>
      </c>
      <c r="V1934" s="66"/>
      <c r="W1934" s="66"/>
      <c r="X1934" s="66"/>
      <c r="Y1934" s="66"/>
      <c r="Z1934" s="66"/>
      <c r="AA1934" s="66"/>
      <c r="AB1934" s="66"/>
      <c r="AC1934" s="66"/>
      <c r="AD1934" s="66"/>
      <c r="AE1934" s="66"/>
      <c r="AF1934" s="44"/>
      <c r="AG1934" s="254">
        <f>Prog_23[[#This Row],[SAÍDA DO CLIENTE]]-Prog_23[[#This Row],[PROGRAMAÇÃO CLIENTE]]</f>
        <v>0</v>
      </c>
      <c r="AH1934" s="44"/>
      <c r="AI1934" s="66"/>
      <c r="AJ1934" s="66"/>
      <c r="AK1934" s="66"/>
      <c r="AL1934" s="66"/>
      <c r="AM1934" s="66"/>
      <c r="AN1934" s="83"/>
      <c r="AO1934" s="83"/>
      <c r="AP1934" s="83"/>
      <c r="AQ1934" s="66"/>
      <c r="AR1934" s="66"/>
      <c r="AS1934" s="66"/>
      <c r="AT1934" s="81"/>
      <c r="AU1934" s="81"/>
      <c r="AV1934" s="81"/>
      <c r="AW1934" s="81"/>
      <c r="AX1934" s="83">
        <f>SUM(Prog_23[[#This Row],[ADIANTAMENTO]]+Prog_23[[#This Row],[SALDO]]+Prog_23[[#This Row],[MARGEM]]+Prog_23[[#This Row],[ESTADIA 1]])</f>
        <v>0</v>
      </c>
      <c r="AY193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34" s="81"/>
      <c r="BA1934" s="81"/>
      <c r="BB1934" s="81">
        <f>Prog_23[[#This Row],[VLR NF]]*0.1%</f>
        <v>0</v>
      </c>
      <c r="BC1934" s="81">
        <f>Prog_23[[#This Row],[VLR NF]]*0.05%</f>
        <v>0</v>
      </c>
      <c r="BD1934" s="81"/>
      <c r="BE1934" s="81"/>
      <c r="BF1934" s="81"/>
      <c r="BG1934" s="81"/>
      <c r="BH1934" s="81"/>
      <c r="BI1934" s="81"/>
      <c r="BJ1934" s="81"/>
      <c r="BK1934" s="81"/>
      <c r="BL1934" s="81"/>
      <c r="BM1934" s="81"/>
      <c r="BN1934" s="66"/>
      <c r="BO1934" s="66"/>
      <c r="BP1934" s="66"/>
      <c r="BQ1934" s="66" t="str">
        <f>PROPER(TEXT(Prog_23[[#This Row],[PROGRAMAÇÃO CLIENTE]],"mmm"))</f>
        <v>Jan</v>
      </c>
      <c r="BR1934" s="66">
        <f>YEAR(Prog_23[[#This Row],[PROGRAMAÇÃO CLIENTE]])</f>
        <v>1900</v>
      </c>
    </row>
    <row r="1935" spans="1:70" x14ac:dyDescent="0.25">
      <c r="A1935" s="200">
        <f>Prog_23[[#This Row],[CONTEINER]]</f>
        <v>0</v>
      </c>
      <c r="B1935" s="86"/>
      <c r="C193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35" s="44"/>
      <c r="E1935" s="66"/>
      <c r="F1935" s="66"/>
      <c r="G1935" s="66"/>
      <c r="H1935" s="44"/>
      <c r="I1935" s="44"/>
      <c r="J1935" s="66"/>
      <c r="K1935" s="66"/>
      <c r="L1935" s="66"/>
      <c r="M1935" s="66"/>
      <c r="N1935" s="66">
        <f>SUM(Prog_23[[#This Row],[TARA]]+Prog_23[[#This Row],[PESO]])</f>
        <v>0</v>
      </c>
      <c r="O1935" s="44"/>
      <c r="P1935" s="66"/>
      <c r="Q1935" s="66"/>
      <c r="R1935" s="66"/>
      <c r="S1935" s="66"/>
      <c r="T1935" s="138" t="str">
        <f>IFERROR(LOOKUP($S1935,MOTORISTAS!$D$3:$D$916,MOTORISTAS!E$3:$E$916),"")</f>
        <v/>
      </c>
      <c r="U1935" s="138" t="str">
        <f>IFERROR(LOOKUP($S1935,MOTORISTAS!$D$3:$D$916,MOTORISTAS!F$3:$F$916),"")</f>
        <v/>
      </c>
      <c r="V1935" s="66"/>
      <c r="W1935" s="66"/>
      <c r="X1935" s="66"/>
      <c r="Y1935" s="66"/>
      <c r="Z1935" s="66"/>
      <c r="AA1935" s="66"/>
      <c r="AB1935" s="66"/>
      <c r="AC1935" s="66"/>
      <c r="AD1935" s="66"/>
      <c r="AE1935" s="66"/>
      <c r="AF1935" s="44"/>
      <c r="AG1935" s="254">
        <f>Prog_23[[#This Row],[SAÍDA DO CLIENTE]]-Prog_23[[#This Row],[PROGRAMAÇÃO CLIENTE]]</f>
        <v>0</v>
      </c>
      <c r="AH1935" s="44"/>
      <c r="AI1935" s="66"/>
      <c r="AJ1935" s="66"/>
      <c r="AK1935" s="66"/>
      <c r="AL1935" s="66"/>
      <c r="AM1935" s="66"/>
      <c r="AN1935" s="83"/>
      <c r="AO1935" s="83"/>
      <c r="AP1935" s="83"/>
      <c r="AQ1935" s="66"/>
      <c r="AR1935" s="66"/>
      <c r="AS1935" s="66"/>
      <c r="AT1935" s="81"/>
      <c r="AU1935" s="81"/>
      <c r="AV1935" s="81"/>
      <c r="AW1935" s="81"/>
      <c r="AX1935" s="83">
        <f>SUM(Prog_23[[#This Row],[ADIANTAMENTO]]+Prog_23[[#This Row],[SALDO]]+Prog_23[[#This Row],[MARGEM]]+Prog_23[[#This Row],[ESTADIA 1]])</f>
        <v>0</v>
      </c>
      <c r="AY193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35" s="81"/>
      <c r="BA1935" s="81"/>
      <c r="BB1935" s="81">
        <f>Prog_23[[#This Row],[VLR NF]]*0.1%</f>
        <v>0</v>
      </c>
      <c r="BC1935" s="81">
        <f>Prog_23[[#This Row],[VLR NF]]*0.05%</f>
        <v>0</v>
      </c>
      <c r="BD1935" s="81"/>
      <c r="BE1935" s="81"/>
      <c r="BF1935" s="81"/>
      <c r="BG1935" s="81"/>
      <c r="BH1935" s="81"/>
      <c r="BI1935" s="81"/>
      <c r="BJ1935" s="81"/>
      <c r="BK1935" s="81"/>
      <c r="BL1935" s="81"/>
      <c r="BM1935" s="81"/>
      <c r="BN1935" s="66"/>
      <c r="BO1935" s="66"/>
      <c r="BP1935" s="66"/>
      <c r="BQ1935" s="66" t="str">
        <f>PROPER(TEXT(Prog_23[[#This Row],[PROGRAMAÇÃO CLIENTE]],"mmm"))</f>
        <v>Jan</v>
      </c>
      <c r="BR1935" s="66">
        <f>YEAR(Prog_23[[#This Row],[PROGRAMAÇÃO CLIENTE]])</f>
        <v>1900</v>
      </c>
    </row>
    <row r="1936" spans="1:70" x14ac:dyDescent="0.25">
      <c r="A1936" s="202">
        <f>Prog_23[[#This Row],[CONTEINER]]</f>
        <v>0</v>
      </c>
      <c r="B1936" s="86"/>
      <c r="C193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36" s="44"/>
      <c r="E1936" s="66"/>
      <c r="F1936" s="66"/>
      <c r="G1936" s="66"/>
      <c r="H1936" s="44"/>
      <c r="I1936" s="44"/>
      <c r="J1936" s="66"/>
      <c r="K1936" s="66"/>
      <c r="L1936" s="66"/>
      <c r="M1936" s="66"/>
      <c r="N1936" s="66">
        <f>SUM(Prog_23[[#This Row],[TARA]]+Prog_23[[#This Row],[PESO]])</f>
        <v>0</v>
      </c>
      <c r="O1936" s="44"/>
      <c r="P1936" s="66"/>
      <c r="Q1936" s="66"/>
      <c r="R1936" s="66"/>
      <c r="S1936" s="66"/>
      <c r="T1936" s="138" t="str">
        <f>IFERROR(LOOKUP($S1936,MOTORISTAS!$D$3:$D$916,MOTORISTAS!E$3:$E$916),"")</f>
        <v/>
      </c>
      <c r="U1936" s="138" t="str">
        <f>IFERROR(LOOKUP($S1936,MOTORISTAS!$D$3:$D$916,MOTORISTAS!F$3:$F$916),"")</f>
        <v/>
      </c>
      <c r="V1936" s="66"/>
      <c r="W1936" s="66"/>
      <c r="X1936" s="66"/>
      <c r="Y1936" s="66"/>
      <c r="Z1936" s="66"/>
      <c r="AA1936" s="66"/>
      <c r="AB1936" s="66"/>
      <c r="AC1936" s="66"/>
      <c r="AD1936" s="66"/>
      <c r="AE1936" s="66"/>
      <c r="AF1936" s="44"/>
      <c r="AG1936" s="254">
        <f>Prog_23[[#This Row],[SAÍDA DO CLIENTE]]-Prog_23[[#This Row],[PROGRAMAÇÃO CLIENTE]]</f>
        <v>0</v>
      </c>
      <c r="AH1936" s="44"/>
      <c r="AI1936" s="66"/>
      <c r="AJ1936" s="66"/>
      <c r="AK1936" s="66"/>
      <c r="AL1936" s="66"/>
      <c r="AM1936" s="66"/>
      <c r="AN1936" s="83"/>
      <c r="AO1936" s="83"/>
      <c r="AP1936" s="83"/>
      <c r="AQ1936" s="66"/>
      <c r="AR1936" s="66"/>
      <c r="AS1936" s="66"/>
      <c r="AT1936" s="81"/>
      <c r="AU1936" s="81"/>
      <c r="AV1936" s="81"/>
      <c r="AW1936" s="81"/>
      <c r="AX1936" s="83">
        <f>SUM(Prog_23[[#This Row],[ADIANTAMENTO]]+Prog_23[[#This Row],[SALDO]]+Prog_23[[#This Row],[MARGEM]]+Prog_23[[#This Row],[ESTADIA 1]])</f>
        <v>0</v>
      </c>
      <c r="AY193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36" s="81"/>
      <c r="BA1936" s="81"/>
      <c r="BB1936" s="81">
        <f>Prog_23[[#This Row],[VLR NF]]*0.1%</f>
        <v>0</v>
      </c>
      <c r="BC1936" s="81">
        <f>Prog_23[[#This Row],[VLR NF]]*0.05%</f>
        <v>0</v>
      </c>
      <c r="BD1936" s="81"/>
      <c r="BE1936" s="81"/>
      <c r="BF1936" s="81"/>
      <c r="BG1936" s="81"/>
      <c r="BH1936" s="81"/>
      <c r="BI1936" s="81"/>
      <c r="BJ1936" s="81"/>
      <c r="BK1936" s="81"/>
      <c r="BL1936" s="81"/>
      <c r="BM1936" s="81"/>
      <c r="BN1936" s="66"/>
      <c r="BO1936" s="66"/>
      <c r="BP1936" s="66"/>
      <c r="BQ1936" s="66" t="str">
        <f>PROPER(TEXT(Prog_23[[#This Row],[PROGRAMAÇÃO CLIENTE]],"mmm"))</f>
        <v>Jan</v>
      </c>
      <c r="BR1936" s="66">
        <f>YEAR(Prog_23[[#This Row],[PROGRAMAÇÃO CLIENTE]])</f>
        <v>1900</v>
      </c>
    </row>
    <row r="1937" spans="1:70" x14ac:dyDescent="0.25">
      <c r="A1937" s="200">
        <f>Prog_23[[#This Row],[CONTEINER]]</f>
        <v>0</v>
      </c>
      <c r="B1937" s="86"/>
      <c r="C1937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37" s="44"/>
      <c r="E1937" s="66"/>
      <c r="F1937" s="66"/>
      <c r="G1937" s="66"/>
      <c r="H1937" s="44"/>
      <c r="I1937" s="44"/>
      <c r="J1937" s="66"/>
      <c r="K1937" s="66"/>
      <c r="L1937" s="66"/>
      <c r="M1937" s="66"/>
      <c r="N1937" s="66">
        <f>SUM(Prog_23[[#This Row],[TARA]]+Prog_23[[#This Row],[PESO]])</f>
        <v>0</v>
      </c>
      <c r="O1937" s="44"/>
      <c r="P1937" s="66"/>
      <c r="Q1937" s="66"/>
      <c r="R1937" s="66"/>
      <c r="S1937" s="66"/>
      <c r="T1937" s="138" t="str">
        <f>IFERROR(LOOKUP($S1937,MOTORISTAS!$D$3:$D$916,MOTORISTAS!E$3:$E$916),"")</f>
        <v/>
      </c>
      <c r="U1937" s="138" t="str">
        <f>IFERROR(LOOKUP($S1937,MOTORISTAS!$D$3:$D$916,MOTORISTAS!F$3:$F$916),"")</f>
        <v/>
      </c>
      <c r="V1937" s="66"/>
      <c r="W1937" s="66"/>
      <c r="X1937" s="66"/>
      <c r="Y1937" s="66"/>
      <c r="Z1937" s="66"/>
      <c r="AA1937" s="66"/>
      <c r="AB1937" s="66"/>
      <c r="AC1937" s="66"/>
      <c r="AD1937" s="66"/>
      <c r="AE1937" s="66"/>
      <c r="AF1937" s="44"/>
      <c r="AG1937" s="254">
        <f>Prog_23[[#This Row],[SAÍDA DO CLIENTE]]-Prog_23[[#This Row],[PROGRAMAÇÃO CLIENTE]]</f>
        <v>0</v>
      </c>
      <c r="AH1937" s="44"/>
      <c r="AI1937" s="66"/>
      <c r="AJ1937" s="66"/>
      <c r="AK1937" s="66"/>
      <c r="AL1937" s="66"/>
      <c r="AM1937" s="66"/>
      <c r="AN1937" s="83"/>
      <c r="AO1937" s="83"/>
      <c r="AP1937" s="83"/>
      <c r="AQ1937" s="66"/>
      <c r="AR1937" s="66"/>
      <c r="AS1937" s="66"/>
      <c r="AT1937" s="81"/>
      <c r="AU1937" s="81"/>
      <c r="AV1937" s="81"/>
      <c r="AW1937" s="81"/>
      <c r="AX1937" s="83">
        <f>SUM(Prog_23[[#This Row],[ADIANTAMENTO]]+Prog_23[[#This Row],[SALDO]]+Prog_23[[#This Row],[MARGEM]]+Prog_23[[#This Row],[ESTADIA 1]])</f>
        <v>0</v>
      </c>
      <c r="AY1937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37" s="81"/>
      <c r="BA1937" s="81"/>
      <c r="BB1937" s="81">
        <f>Prog_23[[#This Row],[VLR NF]]*0.1%</f>
        <v>0</v>
      </c>
      <c r="BC1937" s="81">
        <f>Prog_23[[#This Row],[VLR NF]]*0.05%</f>
        <v>0</v>
      </c>
      <c r="BD1937" s="81"/>
      <c r="BE1937" s="81"/>
      <c r="BF1937" s="81"/>
      <c r="BG1937" s="81"/>
      <c r="BH1937" s="81"/>
      <c r="BI1937" s="81"/>
      <c r="BJ1937" s="81"/>
      <c r="BK1937" s="81"/>
      <c r="BL1937" s="81"/>
      <c r="BM1937" s="81"/>
      <c r="BN1937" s="66"/>
      <c r="BO1937" s="66"/>
      <c r="BP1937" s="66"/>
      <c r="BQ1937" s="66" t="str">
        <f>PROPER(TEXT(Prog_23[[#This Row],[PROGRAMAÇÃO CLIENTE]],"mmm"))</f>
        <v>Jan</v>
      </c>
      <c r="BR1937" s="66">
        <f>YEAR(Prog_23[[#This Row],[PROGRAMAÇÃO CLIENTE]])</f>
        <v>1900</v>
      </c>
    </row>
    <row r="1938" spans="1:70" x14ac:dyDescent="0.25">
      <c r="A1938" s="202">
        <f>Prog_23[[#This Row],[CONTEINER]]</f>
        <v>0</v>
      </c>
      <c r="B1938" s="86"/>
      <c r="C1938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38" s="44"/>
      <c r="E1938" s="66"/>
      <c r="F1938" s="66"/>
      <c r="G1938" s="66"/>
      <c r="H1938" s="44"/>
      <c r="I1938" s="44"/>
      <c r="J1938" s="66"/>
      <c r="K1938" s="66"/>
      <c r="L1938" s="66"/>
      <c r="M1938" s="66"/>
      <c r="N1938" s="66">
        <f>SUM(Prog_23[[#This Row],[TARA]]+Prog_23[[#This Row],[PESO]])</f>
        <v>0</v>
      </c>
      <c r="O1938" s="44"/>
      <c r="P1938" s="66"/>
      <c r="Q1938" s="66"/>
      <c r="R1938" s="66"/>
      <c r="S1938" s="66"/>
      <c r="T1938" s="138" t="str">
        <f>IFERROR(LOOKUP($S1938,MOTORISTAS!$D$3:$D$916,MOTORISTAS!E$3:$E$916),"")</f>
        <v/>
      </c>
      <c r="U1938" s="138" t="str">
        <f>IFERROR(LOOKUP($S1938,MOTORISTAS!$D$3:$D$916,MOTORISTAS!F$3:$F$916),"")</f>
        <v/>
      </c>
      <c r="V1938" s="66"/>
      <c r="W1938" s="66"/>
      <c r="X1938" s="66"/>
      <c r="Y1938" s="66"/>
      <c r="Z1938" s="66"/>
      <c r="AA1938" s="66"/>
      <c r="AB1938" s="66"/>
      <c r="AC1938" s="66"/>
      <c r="AD1938" s="66"/>
      <c r="AE1938" s="66"/>
      <c r="AF1938" s="44"/>
      <c r="AG1938" s="254">
        <f>Prog_23[[#This Row],[SAÍDA DO CLIENTE]]-Prog_23[[#This Row],[PROGRAMAÇÃO CLIENTE]]</f>
        <v>0</v>
      </c>
      <c r="AH1938" s="44"/>
      <c r="AI1938" s="66"/>
      <c r="AJ1938" s="66"/>
      <c r="AK1938" s="66"/>
      <c r="AL1938" s="66"/>
      <c r="AM1938" s="66"/>
      <c r="AN1938" s="83"/>
      <c r="AO1938" s="83"/>
      <c r="AP1938" s="83"/>
      <c r="AQ1938" s="66"/>
      <c r="AR1938" s="66"/>
      <c r="AS1938" s="66"/>
      <c r="AT1938" s="81"/>
      <c r="AU1938" s="81"/>
      <c r="AV1938" s="81"/>
      <c r="AW1938" s="81"/>
      <c r="AX1938" s="83">
        <f>SUM(Prog_23[[#This Row],[ADIANTAMENTO]]+Prog_23[[#This Row],[SALDO]]+Prog_23[[#This Row],[MARGEM]]+Prog_23[[#This Row],[ESTADIA 1]])</f>
        <v>0</v>
      </c>
      <c r="AY1938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38" s="81"/>
      <c r="BA1938" s="81"/>
      <c r="BB1938" s="81">
        <f>Prog_23[[#This Row],[VLR NF]]*0.1%</f>
        <v>0</v>
      </c>
      <c r="BC1938" s="81">
        <f>Prog_23[[#This Row],[VLR NF]]*0.05%</f>
        <v>0</v>
      </c>
      <c r="BD1938" s="81"/>
      <c r="BE1938" s="81"/>
      <c r="BF1938" s="81"/>
      <c r="BG1938" s="81"/>
      <c r="BH1938" s="81"/>
      <c r="BI1938" s="81"/>
      <c r="BJ1938" s="81"/>
      <c r="BK1938" s="81"/>
      <c r="BL1938" s="81"/>
      <c r="BM1938" s="81"/>
      <c r="BN1938" s="66"/>
      <c r="BO1938" s="66"/>
      <c r="BP1938" s="66"/>
      <c r="BQ1938" s="66" t="str">
        <f>PROPER(TEXT(Prog_23[[#This Row],[PROGRAMAÇÃO CLIENTE]],"mmm"))</f>
        <v>Jan</v>
      </c>
      <c r="BR1938" s="66">
        <f>YEAR(Prog_23[[#This Row],[PROGRAMAÇÃO CLIENTE]])</f>
        <v>1900</v>
      </c>
    </row>
    <row r="1939" spans="1:70" x14ac:dyDescent="0.25">
      <c r="A1939" s="200">
        <f>Prog_23[[#This Row],[CONTEINER]]</f>
        <v>0</v>
      </c>
      <c r="B1939" s="86"/>
      <c r="C1939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39" s="44"/>
      <c r="E1939" s="66"/>
      <c r="F1939" s="66"/>
      <c r="G1939" s="66"/>
      <c r="H1939" s="44"/>
      <c r="I1939" s="44"/>
      <c r="J1939" s="66"/>
      <c r="K1939" s="66"/>
      <c r="L1939" s="66"/>
      <c r="M1939" s="66"/>
      <c r="N1939" s="66">
        <f>SUM(Prog_23[[#This Row],[TARA]]+Prog_23[[#This Row],[PESO]])</f>
        <v>0</v>
      </c>
      <c r="O1939" s="44"/>
      <c r="P1939" s="66"/>
      <c r="Q1939" s="66"/>
      <c r="R1939" s="66"/>
      <c r="S1939" s="66"/>
      <c r="T1939" s="138" t="str">
        <f>IFERROR(LOOKUP($S1939,MOTORISTAS!$D$3:$D$916,MOTORISTAS!E$3:$E$916),"")</f>
        <v/>
      </c>
      <c r="U1939" s="138" t="str">
        <f>IFERROR(LOOKUP($S1939,MOTORISTAS!$D$3:$D$916,MOTORISTAS!F$3:$F$916),"")</f>
        <v/>
      </c>
      <c r="V1939" s="66"/>
      <c r="W1939" s="66"/>
      <c r="X1939" s="66"/>
      <c r="Y1939" s="66"/>
      <c r="Z1939" s="66"/>
      <c r="AA1939" s="66"/>
      <c r="AB1939" s="66"/>
      <c r="AC1939" s="66"/>
      <c r="AD1939" s="66"/>
      <c r="AE1939" s="66"/>
      <c r="AF1939" s="44"/>
      <c r="AG1939" s="254">
        <f>Prog_23[[#This Row],[SAÍDA DO CLIENTE]]-Prog_23[[#This Row],[PROGRAMAÇÃO CLIENTE]]</f>
        <v>0</v>
      </c>
      <c r="AH1939" s="44"/>
      <c r="AI1939" s="66"/>
      <c r="AJ1939" s="66"/>
      <c r="AK1939" s="66"/>
      <c r="AL1939" s="66"/>
      <c r="AM1939" s="66"/>
      <c r="AN1939" s="83"/>
      <c r="AO1939" s="83"/>
      <c r="AP1939" s="83"/>
      <c r="AQ1939" s="66"/>
      <c r="AR1939" s="66"/>
      <c r="AS1939" s="66"/>
      <c r="AT1939" s="81"/>
      <c r="AU1939" s="81"/>
      <c r="AV1939" s="81"/>
      <c r="AW1939" s="81"/>
      <c r="AX1939" s="83">
        <f>SUM(Prog_23[[#This Row],[ADIANTAMENTO]]+Prog_23[[#This Row],[SALDO]]+Prog_23[[#This Row],[MARGEM]]+Prog_23[[#This Row],[ESTADIA 1]])</f>
        <v>0</v>
      </c>
      <c r="AY1939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39" s="81"/>
      <c r="BA1939" s="81"/>
      <c r="BB1939" s="81">
        <f>Prog_23[[#This Row],[VLR NF]]*0.1%</f>
        <v>0</v>
      </c>
      <c r="BC1939" s="81">
        <f>Prog_23[[#This Row],[VLR NF]]*0.05%</f>
        <v>0</v>
      </c>
      <c r="BD1939" s="81"/>
      <c r="BE1939" s="81"/>
      <c r="BF1939" s="81"/>
      <c r="BG1939" s="81"/>
      <c r="BH1939" s="81"/>
      <c r="BI1939" s="81"/>
      <c r="BJ1939" s="81"/>
      <c r="BK1939" s="81"/>
      <c r="BL1939" s="81"/>
      <c r="BM1939" s="81"/>
      <c r="BN1939" s="66"/>
      <c r="BO1939" s="66"/>
      <c r="BP1939" s="66"/>
      <c r="BQ1939" s="66" t="str">
        <f>PROPER(TEXT(Prog_23[[#This Row],[PROGRAMAÇÃO CLIENTE]],"mmm"))</f>
        <v>Jan</v>
      </c>
      <c r="BR1939" s="66">
        <f>YEAR(Prog_23[[#This Row],[PROGRAMAÇÃO CLIENTE]])</f>
        <v>1900</v>
      </c>
    </row>
    <row r="1940" spans="1:70" x14ac:dyDescent="0.25">
      <c r="A1940" s="202">
        <f>Prog_23[[#This Row],[CONTEINER]]</f>
        <v>0</v>
      </c>
      <c r="B1940" s="86"/>
      <c r="C1940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40" s="44"/>
      <c r="E1940" s="66"/>
      <c r="F1940" s="66"/>
      <c r="G1940" s="66"/>
      <c r="H1940" s="44"/>
      <c r="I1940" s="44"/>
      <c r="J1940" s="66"/>
      <c r="K1940" s="66"/>
      <c r="L1940" s="66"/>
      <c r="M1940" s="66"/>
      <c r="N1940" s="66">
        <f>SUM(Prog_23[[#This Row],[TARA]]+Prog_23[[#This Row],[PESO]])</f>
        <v>0</v>
      </c>
      <c r="O1940" s="44"/>
      <c r="P1940" s="66"/>
      <c r="Q1940" s="66"/>
      <c r="R1940" s="66"/>
      <c r="S1940" s="66"/>
      <c r="T1940" s="138" t="str">
        <f>IFERROR(LOOKUP($S1940,MOTORISTAS!$D$3:$D$916,MOTORISTAS!E$3:$E$916),"")</f>
        <v/>
      </c>
      <c r="U1940" s="138" t="str">
        <f>IFERROR(LOOKUP($S1940,MOTORISTAS!$D$3:$D$916,MOTORISTAS!F$3:$F$916),"")</f>
        <v/>
      </c>
      <c r="V1940" s="66"/>
      <c r="W1940" s="66"/>
      <c r="X1940" s="66"/>
      <c r="Y1940" s="66"/>
      <c r="Z1940" s="66"/>
      <c r="AA1940" s="66"/>
      <c r="AB1940" s="66"/>
      <c r="AC1940" s="66"/>
      <c r="AD1940" s="66"/>
      <c r="AE1940" s="66"/>
      <c r="AF1940" s="44"/>
      <c r="AG1940" s="254">
        <f>Prog_23[[#This Row],[SAÍDA DO CLIENTE]]-Prog_23[[#This Row],[PROGRAMAÇÃO CLIENTE]]</f>
        <v>0</v>
      </c>
      <c r="AH1940" s="44"/>
      <c r="AI1940" s="66"/>
      <c r="AJ1940" s="66"/>
      <c r="AK1940" s="66"/>
      <c r="AL1940" s="66"/>
      <c r="AM1940" s="66"/>
      <c r="AN1940" s="83"/>
      <c r="AO1940" s="83"/>
      <c r="AP1940" s="83"/>
      <c r="AQ1940" s="66"/>
      <c r="AR1940" s="66"/>
      <c r="AS1940" s="66"/>
      <c r="AT1940" s="81"/>
      <c r="AU1940" s="81"/>
      <c r="AV1940" s="81"/>
      <c r="AW1940" s="81"/>
      <c r="AX1940" s="83">
        <f>SUM(Prog_23[[#This Row],[ADIANTAMENTO]]+Prog_23[[#This Row],[SALDO]]+Prog_23[[#This Row],[MARGEM]]+Prog_23[[#This Row],[ESTADIA 1]])</f>
        <v>0</v>
      </c>
      <c r="AY1940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40" s="81"/>
      <c r="BA1940" s="81"/>
      <c r="BB1940" s="81">
        <f>Prog_23[[#This Row],[VLR NF]]*0.1%</f>
        <v>0</v>
      </c>
      <c r="BC1940" s="81">
        <f>Prog_23[[#This Row],[VLR NF]]*0.05%</f>
        <v>0</v>
      </c>
      <c r="BD1940" s="81"/>
      <c r="BE1940" s="81"/>
      <c r="BF1940" s="81"/>
      <c r="BG1940" s="81"/>
      <c r="BH1940" s="81"/>
      <c r="BI1940" s="81"/>
      <c r="BJ1940" s="81"/>
      <c r="BK1940" s="81"/>
      <c r="BL1940" s="81"/>
      <c r="BM1940" s="81"/>
      <c r="BN1940" s="66"/>
      <c r="BO1940" s="66"/>
      <c r="BP1940" s="66"/>
      <c r="BQ1940" s="66" t="str">
        <f>PROPER(TEXT(Prog_23[[#This Row],[PROGRAMAÇÃO CLIENTE]],"mmm"))</f>
        <v>Jan</v>
      </c>
      <c r="BR1940" s="66">
        <f>YEAR(Prog_23[[#This Row],[PROGRAMAÇÃO CLIENTE]])</f>
        <v>1900</v>
      </c>
    </row>
    <row r="1941" spans="1:70" x14ac:dyDescent="0.25">
      <c r="A1941" s="200">
        <f>Prog_23[[#This Row],[CONTEINER]]</f>
        <v>0</v>
      </c>
      <c r="B1941" s="86"/>
      <c r="C1941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41" s="44"/>
      <c r="E1941" s="66"/>
      <c r="F1941" s="66"/>
      <c r="G1941" s="66"/>
      <c r="H1941" s="44"/>
      <c r="I1941" s="44"/>
      <c r="J1941" s="66"/>
      <c r="K1941" s="66"/>
      <c r="L1941" s="66"/>
      <c r="M1941" s="66"/>
      <c r="N1941" s="66">
        <f>SUM(Prog_23[[#This Row],[TARA]]+Prog_23[[#This Row],[PESO]])</f>
        <v>0</v>
      </c>
      <c r="O1941" s="44"/>
      <c r="P1941" s="66"/>
      <c r="Q1941" s="66"/>
      <c r="R1941" s="66"/>
      <c r="S1941" s="66"/>
      <c r="T1941" s="138" t="str">
        <f>IFERROR(LOOKUP($S1941,MOTORISTAS!$D$3:$D$916,MOTORISTAS!E$3:$E$916),"")</f>
        <v/>
      </c>
      <c r="U1941" s="138" t="str">
        <f>IFERROR(LOOKUP($S1941,MOTORISTAS!$D$3:$D$916,MOTORISTAS!F$3:$F$916),"")</f>
        <v/>
      </c>
      <c r="V1941" s="66"/>
      <c r="W1941" s="66"/>
      <c r="X1941" s="66"/>
      <c r="Y1941" s="66"/>
      <c r="Z1941" s="66"/>
      <c r="AA1941" s="66"/>
      <c r="AB1941" s="66"/>
      <c r="AC1941" s="66"/>
      <c r="AD1941" s="66"/>
      <c r="AE1941" s="66"/>
      <c r="AF1941" s="44"/>
      <c r="AG1941" s="254">
        <f>Prog_23[[#This Row],[SAÍDA DO CLIENTE]]-Prog_23[[#This Row],[PROGRAMAÇÃO CLIENTE]]</f>
        <v>0</v>
      </c>
      <c r="AH1941" s="44"/>
      <c r="AI1941" s="66"/>
      <c r="AJ1941" s="66"/>
      <c r="AK1941" s="66"/>
      <c r="AL1941" s="66"/>
      <c r="AM1941" s="66"/>
      <c r="AN1941" s="83"/>
      <c r="AO1941" s="83"/>
      <c r="AP1941" s="83"/>
      <c r="AQ1941" s="66"/>
      <c r="AR1941" s="66"/>
      <c r="AS1941" s="66"/>
      <c r="AT1941" s="81"/>
      <c r="AU1941" s="81"/>
      <c r="AV1941" s="81"/>
      <c r="AW1941" s="81"/>
      <c r="AX1941" s="83">
        <f>SUM(Prog_23[[#This Row],[ADIANTAMENTO]]+Prog_23[[#This Row],[SALDO]]+Prog_23[[#This Row],[MARGEM]]+Prog_23[[#This Row],[ESTADIA 1]])</f>
        <v>0</v>
      </c>
      <c r="AY1941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41" s="81"/>
      <c r="BA1941" s="81"/>
      <c r="BB1941" s="81">
        <f>Prog_23[[#This Row],[VLR NF]]*0.1%</f>
        <v>0</v>
      </c>
      <c r="BC1941" s="81">
        <f>Prog_23[[#This Row],[VLR NF]]*0.05%</f>
        <v>0</v>
      </c>
      <c r="BD1941" s="81"/>
      <c r="BE1941" s="81"/>
      <c r="BF1941" s="81"/>
      <c r="BG1941" s="81"/>
      <c r="BH1941" s="81"/>
      <c r="BI1941" s="81"/>
      <c r="BJ1941" s="81"/>
      <c r="BK1941" s="81"/>
      <c r="BL1941" s="81"/>
      <c r="BM1941" s="81"/>
      <c r="BN1941" s="66"/>
      <c r="BO1941" s="66"/>
      <c r="BP1941" s="66"/>
      <c r="BQ1941" s="66" t="str">
        <f>PROPER(TEXT(Prog_23[[#This Row],[PROGRAMAÇÃO CLIENTE]],"mmm"))</f>
        <v>Jan</v>
      </c>
      <c r="BR1941" s="66">
        <f>YEAR(Prog_23[[#This Row],[PROGRAMAÇÃO CLIENTE]])</f>
        <v>1900</v>
      </c>
    </row>
    <row r="1942" spans="1:70" x14ac:dyDescent="0.25">
      <c r="A1942" s="202">
        <f>Prog_23[[#This Row],[CONTEINER]]</f>
        <v>0</v>
      </c>
      <c r="B1942" s="86"/>
      <c r="C1942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42" s="44"/>
      <c r="E1942" s="66"/>
      <c r="F1942" s="66"/>
      <c r="G1942" s="66"/>
      <c r="H1942" s="44"/>
      <c r="I1942" s="44"/>
      <c r="J1942" s="66"/>
      <c r="K1942" s="66"/>
      <c r="L1942" s="66"/>
      <c r="M1942" s="66"/>
      <c r="N1942" s="66">
        <f>SUM(Prog_23[[#This Row],[TARA]]+Prog_23[[#This Row],[PESO]])</f>
        <v>0</v>
      </c>
      <c r="O1942" s="44"/>
      <c r="P1942" s="66"/>
      <c r="Q1942" s="66"/>
      <c r="R1942" s="66"/>
      <c r="S1942" s="66"/>
      <c r="T1942" s="138" t="str">
        <f>IFERROR(LOOKUP($S1942,MOTORISTAS!$D$3:$D$916,MOTORISTAS!E$3:$E$916),"")</f>
        <v/>
      </c>
      <c r="U1942" s="138" t="str">
        <f>IFERROR(LOOKUP($S1942,MOTORISTAS!$D$3:$D$916,MOTORISTAS!F$3:$F$916),"")</f>
        <v/>
      </c>
      <c r="V1942" s="66"/>
      <c r="W1942" s="66"/>
      <c r="X1942" s="66"/>
      <c r="Y1942" s="66"/>
      <c r="Z1942" s="66"/>
      <c r="AA1942" s="66"/>
      <c r="AB1942" s="66"/>
      <c r="AC1942" s="66"/>
      <c r="AD1942" s="66"/>
      <c r="AE1942" s="66"/>
      <c r="AF1942" s="44"/>
      <c r="AG1942" s="254">
        <f>Prog_23[[#This Row],[SAÍDA DO CLIENTE]]-Prog_23[[#This Row],[PROGRAMAÇÃO CLIENTE]]</f>
        <v>0</v>
      </c>
      <c r="AH1942" s="44"/>
      <c r="AI1942" s="66"/>
      <c r="AJ1942" s="66"/>
      <c r="AK1942" s="66"/>
      <c r="AL1942" s="66"/>
      <c r="AM1942" s="66"/>
      <c r="AN1942" s="83"/>
      <c r="AO1942" s="83"/>
      <c r="AP1942" s="83"/>
      <c r="AQ1942" s="66"/>
      <c r="AR1942" s="66"/>
      <c r="AS1942" s="66"/>
      <c r="AT1942" s="81"/>
      <c r="AU1942" s="81"/>
      <c r="AV1942" s="81"/>
      <c r="AW1942" s="81"/>
      <c r="AX1942" s="83">
        <f>SUM(Prog_23[[#This Row],[ADIANTAMENTO]]+Prog_23[[#This Row],[SALDO]]+Prog_23[[#This Row],[MARGEM]]+Prog_23[[#This Row],[ESTADIA 1]])</f>
        <v>0</v>
      </c>
      <c r="AY1942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42" s="81"/>
      <c r="BA1942" s="81"/>
      <c r="BB1942" s="81">
        <f>Prog_23[[#This Row],[VLR NF]]*0.1%</f>
        <v>0</v>
      </c>
      <c r="BC1942" s="81">
        <f>Prog_23[[#This Row],[VLR NF]]*0.05%</f>
        <v>0</v>
      </c>
      <c r="BD1942" s="81"/>
      <c r="BE1942" s="81"/>
      <c r="BF1942" s="81"/>
      <c r="BG1942" s="81"/>
      <c r="BH1942" s="81"/>
      <c r="BI1942" s="81"/>
      <c r="BJ1942" s="81"/>
      <c r="BK1942" s="81"/>
      <c r="BL1942" s="81"/>
      <c r="BM1942" s="81"/>
      <c r="BN1942" s="66"/>
      <c r="BO1942" s="66"/>
      <c r="BP1942" s="66"/>
      <c r="BQ1942" s="66" t="str">
        <f>PROPER(TEXT(Prog_23[[#This Row],[PROGRAMAÇÃO CLIENTE]],"mmm"))</f>
        <v>Jan</v>
      </c>
      <c r="BR1942" s="66">
        <f>YEAR(Prog_23[[#This Row],[PROGRAMAÇÃO CLIENTE]])</f>
        <v>1900</v>
      </c>
    </row>
    <row r="1943" spans="1:70" x14ac:dyDescent="0.25">
      <c r="A1943" s="200">
        <f>Prog_23[[#This Row],[CONTEINER]]</f>
        <v>0</v>
      </c>
      <c r="B1943" s="86"/>
      <c r="C1943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43" s="44"/>
      <c r="E1943" s="66"/>
      <c r="F1943" s="66"/>
      <c r="G1943" s="66"/>
      <c r="H1943" s="44"/>
      <c r="I1943" s="44"/>
      <c r="J1943" s="66"/>
      <c r="K1943" s="66"/>
      <c r="L1943" s="66"/>
      <c r="M1943" s="66"/>
      <c r="N1943" s="66">
        <f>SUM(Prog_23[[#This Row],[TARA]]+Prog_23[[#This Row],[PESO]])</f>
        <v>0</v>
      </c>
      <c r="O1943" s="44"/>
      <c r="P1943" s="66"/>
      <c r="Q1943" s="66"/>
      <c r="R1943" s="66"/>
      <c r="S1943" s="66"/>
      <c r="T1943" s="138" t="str">
        <f>IFERROR(LOOKUP($S1943,MOTORISTAS!$D$3:$D$916,MOTORISTAS!E$3:$E$916),"")</f>
        <v/>
      </c>
      <c r="U1943" s="138" t="str">
        <f>IFERROR(LOOKUP($S1943,MOTORISTAS!$D$3:$D$916,MOTORISTAS!F$3:$F$916),"")</f>
        <v/>
      </c>
      <c r="V1943" s="66"/>
      <c r="W1943" s="66"/>
      <c r="X1943" s="66"/>
      <c r="Y1943" s="66"/>
      <c r="Z1943" s="66"/>
      <c r="AA1943" s="66"/>
      <c r="AB1943" s="66"/>
      <c r="AC1943" s="66"/>
      <c r="AD1943" s="66"/>
      <c r="AE1943" s="66"/>
      <c r="AF1943" s="44"/>
      <c r="AG1943" s="254">
        <f>Prog_23[[#This Row],[SAÍDA DO CLIENTE]]-Prog_23[[#This Row],[PROGRAMAÇÃO CLIENTE]]</f>
        <v>0</v>
      </c>
      <c r="AH1943" s="44"/>
      <c r="AI1943" s="66"/>
      <c r="AJ1943" s="66"/>
      <c r="AK1943" s="66"/>
      <c r="AL1943" s="66"/>
      <c r="AM1943" s="66"/>
      <c r="AN1943" s="83"/>
      <c r="AO1943" s="83"/>
      <c r="AP1943" s="83"/>
      <c r="AQ1943" s="66"/>
      <c r="AR1943" s="66"/>
      <c r="AS1943" s="66"/>
      <c r="AT1943" s="81"/>
      <c r="AU1943" s="81"/>
      <c r="AV1943" s="81"/>
      <c r="AW1943" s="81"/>
      <c r="AX1943" s="83">
        <f>SUM(Prog_23[[#This Row],[ADIANTAMENTO]]+Prog_23[[#This Row],[SALDO]]+Prog_23[[#This Row],[MARGEM]]+Prog_23[[#This Row],[ESTADIA 1]])</f>
        <v>0</v>
      </c>
      <c r="AY1943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43" s="81"/>
      <c r="BA1943" s="81"/>
      <c r="BB1943" s="81">
        <f>Prog_23[[#This Row],[VLR NF]]*0.1%</f>
        <v>0</v>
      </c>
      <c r="BC1943" s="81">
        <f>Prog_23[[#This Row],[VLR NF]]*0.05%</f>
        <v>0</v>
      </c>
      <c r="BD1943" s="81"/>
      <c r="BE1943" s="81"/>
      <c r="BF1943" s="81"/>
      <c r="BG1943" s="81"/>
      <c r="BH1943" s="81"/>
      <c r="BI1943" s="81"/>
      <c r="BJ1943" s="81"/>
      <c r="BK1943" s="81"/>
      <c r="BL1943" s="81"/>
      <c r="BM1943" s="81"/>
      <c r="BN1943" s="66"/>
      <c r="BO1943" s="66"/>
      <c r="BP1943" s="66"/>
      <c r="BQ1943" s="66" t="str">
        <f>PROPER(TEXT(Prog_23[[#This Row],[PROGRAMAÇÃO CLIENTE]],"mmm"))</f>
        <v>Jan</v>
      </c>
      <c r="BR1943" s="66">
        <f>YEAR(Prog_23[[#This Row],[PROGRAMAÇÃO CLIENTE]])</f>
        <v>1900</v>
      </c>
    </row>
    <row r="1944" spans="1:70" x14ac:dyDescent="0.25">
      <c r="A1944" s="202">
        <f>Prog_23[[#This Row],[CONTEINER]]</f>
        <v>0</v>
      </c>
      <c r="B1944" s="86"/>
      <c r="C1944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44" s="44"/>
      <c r="E1944" s="66"/>
      <c r="F1944" s="66"/>
      <c r="G1944" s="66"/>
      <c r="H1944" s="44"/>
      <c r="I1944" s="44"/>
      <c r="J1944" s="66"/>
      <c r="K1944" s="66"/>
      <c r="L1944" s="66"/>
      <c r="M1944" s="66"/>
      <c r="N1944" s="66">
        <f>SUM(Prog_23[[#This Row],[TARA]]+Prog_23[[#This Row],[PESO]])</f>
        <v>0</v>
      </c>
      <c r="O1944" s="44"/>
      <c r="P1944" s="66"/>
      <c r="Q1944" s="66"/>
      <c r="R1944" s="66"/>
      <c r="S1944" s="66"/>
      <c r="T1944" s="138" t="str">
        <f>IFERROR(LOOKUP($S1944,MOTORISTAS!$D$3:$D$916,MOTORISTAS!E$3:$E$916),"")</f>
        <v/>
      </c>
      <c r="U1944" s="138" t="str">
        <f>IFERROR(LOOKUP($S1944,MOTORISTAS!$D$3:$D$916,MOTORISTAS!F$3:$F$916),"")</f>
        <v/>
      </c>
      <c r="V1944" s="66"/>
      <c r="W1944" s="66"/>
      <c r="X1944" s="66"/>
      <c r="Y1944" s="66"/>
      <c r="Z1944" s="66"/>
      <c r="AA1944" s="66"/>
      <c r="AB1944" s="66"/>
      <c r="AC1944" s="66"/>
      <c r="AD1944" s="66"/>
      <c r="AE1944" s="66"/>
      <c r="AF1944" s="44"/>
      <c r="AG1944" s="254">
        <f>Prog_23[[#This Row],[SAÍDA DO CLIENTE]]-Prog_23[[#This Row],[PROGRAMAÇÃO CLIENTE]]</f>
        <v>0</v>
      </c>
      <c r="AH1944" s="44"/>
      <c r="AI1944" s="66"/>
      <c r="AJ1944" s="66"/>
      <c r="AK1944" s="66"/>
      <c r="AL1944" s="66"/>
      <c r="AM1944" s="66"/>
      <c r="AN1944" s="83"/>
      <c r="AO1944" s="83"/>
      <c r="AP1944" s="83"/>
      <c r="AQ1944" s="66"/>
      <c r="AR1944" s="66"/>
      <c r="AS1944" s="66"/>
      <c r="AT1944" s="81"/>
      <c r="AU1944" s="81"/>
      <c r="AV1944" s="81"/>
      <c r="AW1944" s="81"/>
      <c r="AX1944" s="83">
        <f>SUM(Prog_23[[#This Row],[ADIANTAMENTO]]+Prog_23[[#This Row],[SALDO]]+Prog_23[[#This Row],[MARGEM]]+Prog_23[[#This Row],[ESTADIA 1]])</f>
        <v>0</v>
      </c>
      <c r="AY1944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44" s="81"/>
      <c r="BA1944" s="81"/>
      <c r="BB1944" s="81">
        <f>Prog_23[[#This Row],[VLR NF]]*0.1%</f>
        <v>0</v>
      </c>
      <c r="BC1944" s="81">
        <f>Prog_23[[#This Row],[VLR NF]]*0.05%</f>
        <v>0</v>
      </c>
      <c r="BD1944" s="81"/>
      <c r="BE1944" s="81"/>
      <c r="BF1944" s="81"/>
      <c r="BG1944" s="81"/>
      <c r="BH1944" s="81"/>
      <c r="BI1944" s="81"/>
      <c r="BJ1944" s="81"/>
      <c r="BK1944" s="81"/>
      <c r="BL1944" s="81"/>
      <c r="BM1944" s="81"/>
      <c r="BN1944" s="66"/>
      <c r="BO1944" s="66"/>
      <c r="BP1944" s="66"/>
      <c r="BQ1944" s="66" t="str">
        <f>PROPER(TEXT(Prog_23[[#This Row],[PROGRAMAÇÃO CLIENTE]],"mmm"))</f>
        <v>Jan</v>
      </c>
      <c r="BR1944" s="66">
        <f>YEAR(Prog_23[[#This Row],[PROGRAMAÇÃO CLIENTE]])</f>
        <v>1900</v>
      </c>
    </row>
    <row r="1945" spans="1:70" x14ac:dyDescent="0.25">
      <c r="A1945" s="200">
        <f>Prog_23[[#This Row],[CONTEINER]]</f>
        <v>0</v>
      </c>
      <c r="B1945" s="86"/>
      <c r="C1945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45" s="44"/>
      <c r="E1945" s="66"/>
      <c r="F1945" s="66"/>
      <c r="G1945" s="66"/>
      <c r="H1945" s="44"/>
      <c r="I1945" s="44"/>
      <c r="J1945" s="66"/>
      <c r="K1945" s="66"/>
      <c r="L1945" s="66"/>
      <c r="M1945" s="66"/>
      <c r="N1945" s="66">
        <f>SUM(Prog_23[[#This Row],[TARA]]+Prog_23[[#This Row],[PESO]])</f>
        <v>0</v>
      </c>
      <c r="O1945" s="44"/>
      <c r="P1945" s="66"/>
      <c r="Q1945" s="66"/>
      <c r="R1945" s="66"/>
      <c r="S1945" s="66"/>
      <c r="T1945" s="138" t="str">
        <f>IFERROR(LOOKUP($S1945,MOTORISTAS!$D$3:$D$916,MOTORISTAS!E$3:$E$916),"")</f>
        <v/>
      </c>
      <c r="U1945" s="138" t="str">
        <f>IFERROR(LOOKUP($S1945,MOTORISTAS!$D$3:$D$916,MOTORISTAS!F$3:$F$916),"")</f>
        <v/>
      </c>
      <c r="V1945" s="66"/>
      <c r="W1945" s="66"/>
      <c r="X1945" s="66"/>
      <c r="Y1945" s="66"/>
      <c r="Z1945" s="66"/>
      <c r="AA1945" s="66"/>
      <c r="AB1945" s="66"/>
      <c r="AC1945" s="66"/>
      <c r="AD1945" s="66"/>
      <c r="AE1945" s="66"/>
      <c r="AF1945" s="44"/>
      <c r="AG1945" s="254">
        <f>Prog_23[[#This Row],[SAÍDA DO CLIENTE]]-Prog_23[[#This Row],[PROGRAMAÇÃO CLIENTE]]</f>
        <v>0</v>
      </c>
      <c r="AH1945" s="44"/>
      <c r="AI1945" s="66"/>
      <c r="AJ1945" s="66"/>
      <c r="AK1945" s="66"/>
      <c r="AL1945" s="66"/>
      <c r="AM1945" s="66"/>
      <c r="AN1945" s="83"/>
      <c r="AO1945" s="83"/>
      <c r="AP1945" s="83"/>
      <c r="AQ1945" s="66"/>
      <c r="AR1945" s="66"/>
      <c r="AS1945" s="66"/>
      <c r="AT1945" s="81"/>
      <c r="AU1945" s="81"/>
      <c r="AV1945" s="81"/>
      <c r="AW1945" s="81"/>
      <c r="AX1945" s="83">
        <f>SUM(Prog_23[[#This Row],[ADIANTAMENTO]]+Prog_23[[#This Row],[SALDO]]+Prog_23[[#This Row],[MARGEM]]+Prog_23[[#This Row],[ESTADIA 1]])</f>
        <v>0</v>
      </c>
      <c r="AY1945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45" s="81"/>
      <c r="BA1945" s="81"/>
      <c r="BB1945" s="81">
        <f>Prog_23[[#This Row],[VLR NF]]*0.1%</f>
        <v>0</v>
      </c>
      <c r="BC1945" s="81">
        <f>Prog_23[[#This Row],[VLR NF]]*0.05%</f>
        <v>0</v>
      </c>
      <c r="BD1945" s="81"/>
      <c r="BE1945" s="81"/>
      <c r="BF1945" s="81"/>
      <c r="BG1945" s="81"/>
      <c r="BH1945" s="81"/>
      <c r="BI1945" s="81"/>
      <c r="BJ1945" s="81"/>
      <c r="BK1945" s="81"/>
      <c r="BL1945" s="81"/>
      <c r="BM1945" s="81"/>
      <c r="BN1945" s="66"/>
      <c r="BO1945" s="66"/>
      <c r="BP1945" s="66"/>
      <c r="BQ1945" s="66" t="str">
        <f>PROPER(TEXT(Prog_23[[#This Row],[PROGRAMAÇÃO CLIENTE]],"mmm"))</f>
        <v>Jan</v>
      </c>
      <c r="BR1945" s="66">
        <f>YEAR(Prog_23[[#This Row],[PROGRAMAÇÃO CLIENTE]])</f>
        <v>1900</v>
      </c>
    </row>
    <row r="1946" spans="1:70" x14ac:dyDescent="0.25">
      <c r="A1946" s="202">
        <f>Prog_23[[#This Row],[CONTEINER]]</f>
        <v>0</v>
      </c>
      <c r="B1946" s="86"/>
      <c r="C1946" s="86" t="str">
        <f ca="1">IF(AND(Prog_23[[#This Row],[CHEGADA NO CLIENTE]]="",
TODAY()&gt;Prog_23[[#This Row],[PROGRAMAÇÃO CLIENTE]]),
"Em trânsito - Atrasado",
IF(AND(Prog_23[[#This Row],[CHEGADA NO CLIENTE]]="",
TODAY()&lt;=Prog_23[[#This Row],[PROGRAMAÇÃO CLIENTE]]),
"Em trânsito - No prazo",
IF(Prog_23[[#This Row],[CHEGADA NO CLIENTE]]&gt;Prog_23[[#This Row],[PROGRAMAÇÃO CLIENTE]],
"ATRASADO","NO PRAZO")))</f>
        <v>Em trânsito - Atrasado</v>
      </c>
      <c r="D1946" s="44"/>
      <c r="E1946" s="66"/>
      <c r="F1946" s="66"/>
      <c r="G1946" s="66"/>
      <c r="H1946" s="44"/>
      <c r="I1946" s="44"/>
      <c r="J1946" s="66"/>
      <c r="K1946" s="66"/>
      <c r="L1946" s="66"/>
      <c r="M1946" s="66"/>
      <c r="N1946" s="66">
        <f>SUM(Prog_23[[#This Row],[TARA]]+Prog_23[[#This Row],[PESO]])</f>
        <v>0</v>
      </c>
      <c r="O1946" s="44"/>
      <c r="P1946" s="66"/>
      <c r="Q1946" s="66"/>
      <c r="R1946" s="66"/>
      <c r="S1946" s="66"/>
      <c r="T1946" s="138" t="str">
        <f>IFERROR(LOOKUP($S1946,MOTORISTAS!$D$3:$D$916,MOTORISTAS!E$3:$E$916),"")</f>
        <v/>
      </c>
      <c r="U1946" s="138" t="str">
        <f>IFERROR(LOOKUP($S1946,MOTORISTAS!$D$3:$D$916,MOTORISTAS!F$3:$F$916),"")</f>
        <v/>
      </c>
      <c r="V1946" s="66"/>
      <c r="W1946" s="66"/>
      <c r="X1946" s="66"/>
      <c r="Y1946" s="66"/>
      <c r="Z1946" s="66"/>
      <c r="AA1946" s="66"/>
      <c r="AB1946" s="66"/>
      <c r="AC1946" s="66"/>
      <c r="AD1946" s="66"/>
      <c r="AE1946" s="66"/>
      <c r="AF1946" s="44"/>
      <c r="AG1946" s="254">
        <f>Prog_23[[#This Row],[SAÍDA DO CLIENTE]]-Prog_23[[#This Row],[PROGRAMAÇÃO CLIENTE]]</f>
        <v>0</v>
      </c>
      <c r="AH1946" s="44"/>
      <c r="AI1946" s="66"/>
      <c r="AJ1946" s="66"/>
      <c r="AK1946" s="66"/>
      <c r="AL1946" s="66"/>
      <c r="AM1946" s="66"/>
      <c r="AN1946" s="83"/>
      <c r="AO1946" s="83"/>
      <c r="AP1946" s="83"/>
      <c r="AQ1946" s="66"/>
      <c r="AR1946" s="66"/>
      <c r="AS1946" s="66"/>
      <c r="AT1946" s="81"/>
      <c r="AU1946" s="81"/>
      <c r="AV1946" s="81"/>
      <c r="AW1946" s="81"/>
      <c r="AX1946" s="83">
        <f>SUM(Prog_23[[#This Row],[ADIANTAMENTO]]+Prog_23[[#This Row],[SALDO]]+Prog_23[[#This Row],[MARGEM]]+Prog_23[[#This Row],[ESTADIA 1]])</f>
        <v>0</v>
      </c>
      <c r="AY1946" s="83">
        <f>Prog_23[[#This Row],[FRETE PESO]]+Prog_23[[#This Row],[Pedágio]]+Prog_23[[#This Row],[Ad Valorem]]+Prog_23[[#This Row],[Entrega]]+Prog_23[[#This Row],[Gris]]+Prog_23[[#This Row],[Seguro]]+Prog_23[[#This Row],[Outros]]+Prog_23[[#This Row],[Taxa DTA]]+Prog_23[[#This Row],[Taxa LS]]+Prog_23[[#This Row],[Taxa IMO]]+Prog_23[[#This Row],[ICMS]]+Prog_23[[#This Row],[Retirada]]+Prog_23[[#This Row],[Estadia]]</f>
        <v>0</v>
      </c>
      <c r="AZ1946" s="81"/>
      <c r="BA1946" s="81"/>
      <c r="BB1946" s="81">
        <f>Prog_23[[#This Row],[VLR NF]]*0.1%</f>
        <v>0</v>
      </c>
      <c r="BC1946" s="81">
        <f>Prog_23[[#This Row],[VLR NF]]*0.05%</f>
        <v>0</v>
      </c>
      <c r="BD1946" s="81"/>
      <c r="BE1946" s="81"/>
      <c r="BF1946" s="81"/>
      <c r="BG1946" s="81"/>
      <c r="BH1946" s="81"/>
      <c r="BI1946" s="81"/>
      <c r="BJ1946" s="81"/>
      <c r="BK1946" s="81"/>
      <c r="BL1946" s="81"/>
      <c r="BM1946" s="81"/>
      <c r="BN1946" s="66"/>
      <c r="BO1946" s="66"/>
      <c r="BP1946" s="66"/>
      <c r="BQ1946" s="66" t="str">
        <f>PROPER(TEXT(Prog_23[[#This Row],[PROGRAMAÇÃO CLIENTE]],"mmm"))</f>
        <v>Jan</v>
      </c>
      <c r="BR1946" s="66">
        <f>YEAR(Prog_23[[#This Row],[PROGRAMAÇÃO CLIENTE]])</f>
        <v>1900</v>
      </c>
    </row>
    <row r="1973" spans="2:3" x14ac:dyDescent="0.25">
      <c r="B1973" s="286"/>
      <c r="C1973" s="287"/>
    </row>
    <row r="1974" spans="2:3" x14ac:dyDescent="0.25">
      <c r="B1974" s="286"/>
      <c r="C1974" s="284"/>
    </row>
    <row r="1975" spans="2:3" x14ac:dyDescent="0.25">
      <c r="C1975" s="285"/>
    </row>
    <row r="1976" spans="2:3" x14ac:dyDescent="0.25">
      <c r="B1976" s="283"/>
      <c r="C1976" s="284"/>
    </row>
  </sheetData>
  <sheetProtection selectLockedCells="1" selectUnlockedCells="1"/>
  <sortState xmlns:xlrd2="http://schemas.microsoft.com/office/spreadsheetml/2017/richdata2" ref="BT3:BT81">
    <sortCondition ref="BT3:BT81"/>
  </sortState>
  <mergeCells count="1">
    <mergeCell ref="AO1:AP1"/>
  </mergeCells>
  <phoneticPr fontId="30" type="noConversion"/>
  <conditionalFormatting sqref="A1:A2">
    <cfRule type="duplicateValues" dxfId="62" priority="31"/>
  </conditionalFormatting>
  <conditionalFormatting sqref="A3:BR1946">
    <cfRule type="expression" dxfId="61" priority="11">
      <formula>$B3="NO CLIENTE"</formula>
    </cfRule>
    <cfRule type="expression" dxfId="60" priority="12">
      <formula>$B3="SEM PROGRAMAÇÃO"</formula>
    </cfRule>
    <cfRule type="expression" dxfId="59" priority="13">
      <formula>$B3="PROGRAMADO"</formula>
    </cfRule>
    <cfRule type="expression" dxfId="58" priority="14">
      <formula>$B3="PRÉ-STACKING"</formula>
    </cfRule>
    <cfRule type="expression" dxfId="57" priority="15">
      <formula>$B3="FINALIZADO"</formula>
    </cfRule>
    <cfRule type="expression" dxfId="56" priority="16">
      <formula>$B3="ENTREGUE"</formula>
    </cfRule>
    <cfRule type="expression" dxfId="55" priority="17">
      <formula>$B3="EM TRÂNSITO TERMINAL"</formula>
    </cfRule>
    <cfRule type="expression" dxfId="54" priority="18">
      <formula>$B3="EM TRÂNSITO CLIENTE"</formula>
    </cfRule>
    <cfRule type="expression" dxfId="53" priority="19">
      <formula>$B3="CANCELADO"</formula>
    </cfRule>
    <cfRule type="expression" dxfId="52" priority="20">
      <formula>$B3="AGUARDANDO VEÍCULO"</formula>
    </cfRule>
  </conditionalFormatting>
  <conditionalFormatting sqref="I1:I2">
    <cfRule type="duplicateValues" dxfId="51" priority="91"/>
  </conditionalFormatting>
  <dataValidations xWindow="1585" yWindow="586" count="2">
    <dataValidation type="list" allowBlank="1" showInputMessage="1" showErrorMessage="1" sqref="B3:B1946" xr:uid="{C466A820-63A1-4BFD-8A7C-E02A1EA5C846}">
      <formula1>"AGUARDANDO VEÍCULO,CANCELADO,EM TRÂNSITO CLIENTE,EM TRÂNSITO TERMINAL,ENTREGUE,FINALIZADO,NO CLIENTE,PROGRAMADO,SEM PROGRAMAÇÃO,PRÉ-STACKING"</formula1>
    </dataValidation>
    <dataValidation type="list" allowBlank="1" showInputMessage="1" showErrorMessage="1" sqref="AJ3:AJ1946" xr:uid="{8CC7619E-45F2-4097-B01B-644CF7E15433}">
      <formula1>"Trânsito,Operacional,Atraso Motorista,Reprogramado,Pane elétrica ou mecânica,Documental"</formula1>
    </dataValidation>
  </dataValidations>
  <printOptions gridLine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xWindow="1585" yWindow="586" count="1">
        <x14:dataValidation type="list" errorStyle="warning" allowBlank="1" showInputMessage="1" showErrorMessage="1" errorTitle="ERRO" error="Nome do Motorista Errado" promptTitle="Nome do Motorista" prompt="Insira o Nome do Motorista" xr:uid="{2CC7E8DF-3500-400F-B691-44B99B215233}">
          <x14:formula1>
            <xm:f>MOTORISTAS!$D$3:$D$82</xm:f>
          </x14:formula1>
          <xm:sqref>S3:S119 S121 S123:S149 S151:S1946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0E19A-AEE2-433A-B14B-632C29D008D9}">
  <dimension ref="B1:NP65"/>
  <sheetViews>
    <sheetView zoomScale="110" zoomScaleNormal="11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defaultRowHeight="15" x14ac:dyDescent="0.25"/>
  <cols>
    <col min="1" max="1" width="1.140625" customWidth="1"/>
    <col min="2" max="2" width="17" bestFit="1" customWidth="1"/>
    <col min="3" max="3" width="29.85546875" bestFit="1" customWidth="1"/>
    <col min="4" max="4" width="4.85546875" style="183" customWidth="1"/>
    <col min="5" max="5" width="7.7109375" style="236" bestFit="1" customWidth="1"/>
    <col min="6" max="6" width="16.42578125" style="233" customWidth="1"/>
    <col min="7" max="7" width="11.7109375" style="183" customWidth="1"/>
    <col min="8" max="8" width="9.140625" style="183"/>
    <col min="9" max="9" width="16.5703125" style="183" bestFit="1" customWidth="1"/>
    <col min="10" max="10" width="9.140625" style="183"/>
    <col min="11" max="11" width="12.42578125" style="183" bestFit="1" customWidth="1"/>
    <col min="12" max="12" width="9.140625" style="183"/>
    <col min="13" max="13" width="14.7109375" bestFit="1" customWidth="1"/>
    <col min="18" max="19" width="10.7109375" bestFit="1" customWidth="1"/>
    <col min="24" max="25" width="10.7109375" bestFit="1" customWidth="1"/>
    <col min="372" max="372" width="11.85546875" bestFit="1" customWidth="1"/>
    <col min="373" max="373" width="10.7109375" bestFit="1" customWidth="1"/>
    <col min="377" max="377" width="9.7109375" bestFit="1" customWidth="1"/>
    <col min="378" max="379" width="11.85546875" bestFit="1" customWidth="1"/>
  </cols>
  <sheetData>
    <row r="1" spans="2:380" ht="36.75" customHeight="1" x14ac:dyDescent="0.25">
      <c r="F1" s="324" t="s">
        <v>3489</v>
      </c>
      <c r="G1" s="324"/>
      <c r="H1" s="324"/>
      <c r="I1" s="324"/>
      <c r="J1" s="324"/>
      <c r="K1" s="324"/>
      <c r="L1" s="324"/>
      <c r="M1" s="228"/>
    </row>
    <row r="2" spans="2:380" ht="5.25" customHeight="1" x14ac:dyDescent="0.25">
      <c r="F2" s="324"/>
      <c r="G2" s="324"/>
      <c r="H2" s="324"/>
      <c r="I2" s="324"/>
      <c r="J2" s="324"/>
      <c r="K2" s="324"/>
      <c r="L2" s="324"/>
      <c r="M2" s="228"/>
    </row>
    <row r="3" spans="2:380" x14ac:dyDescent="0.25">
      <c r="B3" s="226" t="s">
        <v>4183</v>
      </c>
      <c r="C3" s="226" t="s">
        <v>4240</v>
      </c>
      <c r="E3" s="217" t="s">
        <v>2778</v>
      </c>
      <c r="F3" s="231" t="str">
        <f>IFERROR(VLOOKUP(B4,Sal_23[[CONTAINER]:[Cliente]],4,0),"")</f>
        <v>MAXSOY</v>
      </c>
      <c r="NG3" t="s">
        <v>4188</v>
      </c>
      <c r="NH3" s="204"/>
      <c r="NI3" s="204"/>
      <c r="NM3" t="s">
        <v>4189</v>
      </c>
      <c r="NN3" s="204"/>
      <c r="NO3" s="204"/>
    </row>
    <row r="4" spans="2:380" x14ac:dyDescent="0.25">
      <c r="B4" s="227" t="s">
        <v>5296</v>
      </c>
      <c r="C4" s="227" t="s">
        <v>6090</v>
      </c>
      <c r="E4" s="217" t="s">
        <v>4295</v>
      </c>
      <c r="F4" s="238" t="str">
        <f>IFERROR(VLOOKUP(B4,Sal_23[CONTAINER],1,0),"")</f>
        <v>SEGU4057894</v>
      </c>
      <c r="Q4" s="221"/>
      <c r="R4" s="222"/>
      <c r="NH4" s="205">
        <v>0</v>
      </c>
      <c r="NI4" s="205">
        <v>0.5</v>
      </c>
      <c r="NJ4" s="205">
        <v>1</v>
      </c>
      <c r="NN4" s="205">
        <v>0</v>
      </c>
      <c r="NO4" s="205">
        <v>0.5</v>
      </c>
      <c r="NP4" s="205">
        <v>1</v>
      </c>
    </row>
    <row r="5" spans="2:380" x14ac:dyDescent="0.25">
      <c r="B5" s="227" t="s">
        <v>5299</v>
      </c>
      <c r="C5" s="227"/>
      <c r="E5" s="217" t="s">
        <v>3490</v>
      </c>
      <c r="F5" s="235">
        <f>IFERROR(VLOOKUP(B4,Sal_23[[CONTAINER]:[Nota Fiscal 1]],8,0),"")</f>
        <v>107637</v>
      </c>
      <c r="G5" s="219" t="s">
        <v>4184</v>
      </c>
      <c r="H5" s="220"/>
      <c r="I5" s="211" t="s">
        <v>4185</v>
      </c>
      <c r="J5" s="220"/>
      <c r="K5" s="211" t="s">
        <v>4187</v>
      </c>
      <c r="L5" s="220"/>
      <c r="Q5" s="221"/>
      <c r="R5" s="223" t="str">
        <f>IFERROR(VLOOKUP(O5,Prog_23[CONTEINER],1,0),"")</f>
        <v/>
      </c>
      <c r="NG5" s="108">
        <f>IF(K6&lt;&gt;"",100%,IF(I6&lt;&gt;"",50%,IF(NH3&lt;&gt;"",0%,0)))</f>
        <v>1</v>
      </c>
      <c r="NH5" t="e">
        <f>IF(NG5=NH4,1,NA())</f>
        <v>#N/A</v>
      </c>
      <c r="NI5" t="e">
        <f>IF(NG5=NI4,1,NA())</f>
        <v>#N/A</v>
      </c>
      <c r="NJ5">
        <f>IF(NG5=NJ4,1,NA())</f>
        <v>1</v>
      </c>
      <c r="NM5" s="108">
        <f>IF(K12&lt;&gt;"",100%,IF(I12&lt;&gt;"",50%,IF(NN3&lt;&gt;"",0%,0)))</f>
        <v>1</v>
      </c>
      <c r="NN5" t="e">
        <f>IF(NM5=NN4,1,NA())</f>
        <v>#N/A</v>
      </c>
      <c r="NO5" t="e">
        <f>IF(NM5=NO4,1,NA())</f>
        <v>#N/A</v>
      </c>
      <c r="NP5">
        <f>IF(NM5=NP4,1,NA())</f>
        <v>1</v>
      </c>
    </row>
    <row r="6" spans="2:380" x14ac:dyDescent="0.25">
      <c r="B6" s="227" t="s">
        <v>5300</v>
      </c>
      <c r="C6" s="227"/>
      <c r="I6" s="244">
        <f>IF(VLOOKUP(B4,Sal_23[[CONTAINER]:[CHEGADA NO CLIENTE]],20,0)=0/1/1900,"",VLOOKUP(B4,Sal_23[[CONTAINER]:[CHEGADA NO CLIENTE]],20,0))</f>
        <v>45107.388888888891</v>
      </c>
      <c r="K6" s="246">
        <f>IF(VLOOKUP(B4,Sal_23[[CONTAINER]:[SAÍDA DO CLIENTE]],21,0)=0/1/1900,"",VLOOKUP(B4,Sal_23[[CONTAINER]:[SAÍDA DO CLIENTE]],21,0))</f>
        <v>45107.72152777778</v>
      </c>
      <c r="Q6" s="221"/>
      <c r="R6" s="224" t="str">
        <f>IFERROR(VLOOKUP(O5,'PROG. 23'!#REF!,8,0),"")</f>
        <v/>
      </c>
    </row>
    <row r="7" spans="2:380" x14ac:dyDescent="0.25">
      <c r="B7" s="227" t="s">
        <v>3898</v>
      </c>
      <c r="C7" s="227" t="s">
        <v>6090</v>
      </c>
      <c r="E7" s="235" t="str">
        <f>IFERROR(VLOOKUP(B4,Sal_23[[CONTAINER]:[Cavalo]],10,0),"")</f>
        <v>FGD8G49</v>
      </c>
      <c r="F7" s="235" t="str">
        <f>IFERROR(VLOOKUP(B4,Sal_23[[CONTAINER]:[Motorista]],12,0),"")</f>
        <v>AGEILSON ANTONIO DA SILVA</v>
      </c>
      <c r="H7" s="213"/>
      <c r="I7" s="237" t="str">
        <f>IFERROR(VLOOKUP(B4,Sal_23[[CONTAINER]:[DESTINO]],5,0),"")</f>
        <v>HOTOLOLÂNDIA</v>
      </c>
      <c r="J7" s="213"/>
      <c r="L7" s="213"/>
      <c r="R7" s="90"/>
      <c r="NH7" s="205">
        <v>0</v>
      </c>
      <c r="NI7" s="205">
        <v>0.5</v>
      </c>
      <c r="NJ7" s="205">
        <v>1</v>
      </c>
      <c r="NN7" s="205">
        <v>0</v>
      </c>
      <c r="NO7" s="205">
        <v>0.5</v>
      </c>
      <c r="NP7" s="205">
        <v>1</v>
      </c>
    </row>
    <row r="8" spans="2:380" x14ac:dyDescent="0.25">
      <c r="B8" s="227" t="s">
        <v>5283</v>
      </c>
      <c r="C8" s="227"/>
      <c r="D8" s="225"/>
      <c r="E8" s="230" t="s">
        <v>4242</v>
      </c>
      <c r="F8" s="229" t="str">
        <f>C4</f>
        <v>Saída do cliente 07:30</v>
      </c>
      <c r="G8" s="225"/>
      <c r="H8" s="225"/>
      <c r="I8" s="225"/>
      <c r="J8" s="225"/>
      <c r="K8" s="225"/>
      <c r="L8" s="225"/>
      <c r="Q8" t="s">
        <v>3695</v>
      </c>
      <c r="NG8" s="108">
        <f>NG5</f>
        <v>1</v>
      </c>
      <c r="NH8">
        <f>IF(NH7&lt;=NG8,1,NA())</f>
        <v>1</v>
      </c>
      <c r="NI8">
        <f>IF(NI7&lt;=NG8,1,NA())</f>
        <v>1</v>
      </c>
      <c r="NJ8">
        <f>IF(NJ7&lt;=NG8,1,NA())</f>
        <v>1</v>
      </c>
      <c r="NM8" s="108">
        <f>NM5</f>
        <v>1</v>
      </c>
      <c r="NN8">
        <f>IF(NN7&lt;=NM8,1,NA())</f>
        <v>1</v>
      </c>
      <c r="NO8">
        <f>IF(NO7&lt;=NM8,1,NA())</f>
        <v>1</v>
      </c>
      <c r="NP8">
        <f>IF(NP7&lt;=NM8,1,NA())</f>
        <v>1</v>
      </c>
    </row>
    <row r="9" spans="2:380" x14ac:dyDescent="0.25">
      <c r="B9" s="227" t="s">
        <v>5292</v>
      </c>
      <c r="C9" s="227"/>
      <c r="E9" s="209" t="s">
        <v>2778</v>
      </c>
      <c r="F9" s="232" t="str">
        <f>IFERROR(VLOOKUP(B5,Sal_23[[CONTAINER]:[Cliente]],4,0),"")</f>
        <v>AJINOMOTO</v>
      </c>
    </row>
    <row r="10" spans="2:380" x14ac:dyDescent="0.25">
      <c r="B10" s="227" t="s">
        <v>5290</v>
      </c>
      <c r="C10" s="227"/>
      <c r="E10" s="217" t="s">
        <v>4295</v>
      </c>
      <c r="F10" s="238" t="str">
        <f>IFERROR(VLOOKUP(B5,Sal_23[CONTAINER],1,0),"")</f>
        <v>TEMU8333636</v>
      </c>
      <c r="G10" s="210"/>
      <c r="NH10" s="108">
        <v>1</v>
      </c>
      <c r="NI10" s="108">
        <v>1</v>
      </c>
      <c r="NJ10" s="108">
        <v>1</v>
      </c>
      <c r="NN10" s="108">
        <v>1</v>
      </c>
      <c r="NO10" s="108">
        <v>1</v>
      </c>
      <c r="NP10" s="108">
        <v>1</v>
      </c>
    </row>
    <row r="11" spans="2:380" x14ac:dyDescent="0.25">
      <c r="B11" s="227"/>
      <c r="C11" s="227"/>
      <c r="E11" s="217" t="s">
        <v>3490</v>
      </c>
      <c r="F11" s="235">
        <f>IFERROR(VLOOKUP(B5,Sal_23[[CONTAINER]:[Nota Fiscal 1]],8,0),"")</f>
        <v>107719</v>
      </c>
      <c r="G11" s="219" t="s">
        <v>4184</v>
      </c>
      <c r="H11" s="220"/>
      <c r="I11" s="211" t="s">
        <v>4185</v>
      </c>
      <c r="J11" s="220"/>
      <c r="K11" s="211" t="s">
        <v>4187</v>
      </c>
      <c r="L11" s="220"/>
    </row>
    <row r="12" spans="2:380" x14ac:dyDescent="0.25">
      <c r="B12" s="227"/>
      <c r="C12" s="227"/>
      <c r="I12" s="244">
        <f>IF(VLOOKUP(B5,Sal_23[[CONTAINER]:[CHEGADA NO CLIENTE]],20,0)=0/1/1900,"",VLOOKUP(B5,Sal_23[[CONTAINER]:[CHEGADA NO CLIENTE]],20,0))</f>
        <v>45107.510416666664</v>
      </c>
      <c r="K12" s="246">
        <f>IF(VLOOKUP(B5,Sal_23[[CONTAINER]:[SAÍDA DO CLIENTE]],21,0)=0/1/1900,"",VLOOKUP(B5,Sal_23[[CONTAINER]:[SAÍDA DO CLIENTE]],21,0))</f>
        <v>45107.633333333331</v>
      </c>
      <c r="NG12" t="s">
        <v>4190</v>
      </c>
      <c r="NH12" s="203"/>
      <c r="NI12" s="203"/>
      <c r="NM12" t="s">
        <v>4191</v>
      </c>
      <c r="NN12" s="203"/>
      <c r="NO12" s="203"/>
    </row>
    <row r="13" spans="2:380" x14ac:dyDescent="0.25">
      <c r="B13" s="227"/>
      <c r="C13" s="227"/>
      <c r="E13" s="235" t="str">
        <f>IFERROR(VLOOKUP(B5,Sal_23[[CONTAINER]:[Cavalo]],10,0),"")</f>
        <v>BXD2J87</v>
      </c>
      <c r="F13" s="235" t="str">
        <f>IFERROR(VLOOKUP(B5,Sal_23[[CONTAINER]:[Motorista]],12,0),"")</f>
        <v>WILSON FLAVIO ALVES DA SILVA</v>
      </c>
      <c r="I13" s="214" t="str">
        <f>IFERROR(VLOOKUP(B5,Sal_23[[CONTAINER]:[DESTINO]],5,0),"")</f>
        <v>LIMEIRA</v>
      </c>
      <c r="K13" s="248" t="str">
        <f>IFERROR(VLOOKUP(B5,Prog_23[[CONTEINER]:[ENTREGA VAZIO / CHEIO]],18,0),"")</f>
        <v/>
      </c>
      <c r="NH13" s="205">
        <v>0</v>
      </c>
      <c r="NI13" s="205">
        <v>0.5</v>
      </c>
      <c r="NJ13" s="205">
        <v>1</v>
      </c>
      <c r="NN13" s="205">
        <v>0</v>
      </c>
      <c r="NO13" s="205">
        <v>0.5</v>
      </c>
      <c r="NP13" s="205">
        <v>1</v>
      </c>
    </row>
    <row r="14" spans="2:380" x14ac:dyDescent="0.25">
      <c r="D14" s="225"/>
      <c r="E14" s="230" t="s">
        <v>4242</v>
      </c>
      <c r="F14" s="229">
        <f>C5</f>
        <v>0</v>
      </c>
      <c r="G14" s="225"/>
      <c r="H14" s="225"/>
      <c r="I14" s="225"/>
      <c r="J14" s="225"/>
      <c r="K14" s="225"/>
      <c r="L14" s="225"/>
      <c r="NG14" s="108">
        <f>IF(K18&lt;&gt;"",100%,IF(I18&lt;&gt;"",50%,IF(NH12&lt;&gt;"",0%,0)))</f>
        <v>1</v>
      </c>
      <c r="NH14" t="e">
        <f>IF(NG14=NH13,1,NA())</f>
        <v>#N/A</v>
      </c>
      <c r="NI14" t="e">
        <f>IF(NG14=NI13,1,NA())</f>
        <v>#N/A</v>
      </c>
      <c r="NJ14">
        <f>IF(NG14=NJ13,1,NA())</f>
        <v>1</v>
      </c>
      <c r="NM14" s="108">
        <f>IF(K24&lt;&gt;"",100%,IF(I24&lt;&gt;"",50%,IF(NN12&lt;&gt;"",0%,0)))</f>
        <v>1</v>
      </c>
      <c r="NN14" t="e">
        <f>IF(NM14=NN13,1,NA())</f>
        <v>#N/A</v>
      </c>
      <c r="NO14" t="e">
        <f>IF(NM14=NO13,1,NA())</f>
        <v>#N/A</v>
      </c>
      <c r="NP14">
        <f>IF(NM14=NP13,1,NA())</f>
        <v>1</v>
      </c>
    </row>
    <row r="15" spans="2:380" x14ac:dyDescent="0.25">
      <c r="E15" s="209" t="s">
        <v>2778</v>
      </c>
      <c r="F15" s="232" t="str">
        <f>IFERROR(VLOOKUP(B6,Sal_23[[CONTAINER]:[Cliente]],4,0),"")</f>
        <v>AJINOMOTO</v>
      </c>
    </row>
    <row r="16" spans="2:380" x14ac:dyDescent="0.25">
      <c r="E16" s="217" t="s">
        <v>4233</v>
      </c>
      <c r="F16" s="238" t="str">
        <f>IFERROR(VLOOKUP(B6,Sal_23[CONTAINER],1,0),"")</f>
        <v>AMFU8819945</v>
      </c>
      <c r="NH16" s="205">
        <v>0</v>
      </c>
      <c r="NI16" s="205">
        <v>0.5</v>
      </c>
      <c r="NJ16" s="205">
        <v>1</v>
      </c>
      <c r="NN16" s="205">
        <v>0</v>
      </c>
      <c r="NO16" s="205">
        <v>0.5</v>
      </c>
      <c r="NP16" s="205">
        <v>1</v>
      </c>
    </row>
    <row r="17" spans="4:380" x14ac:dyDescent="0.25">
      <c r="E17" s="217" t="s">
        <v>3490</v>
      </c>
      <c r="F17" s="235">
        <f>IFERROR(VLOOKUP(B6,Sal_23[[CONTAINER]:[Nota Fiscal 1]],8,0),"")</f>
        <v>107717</v>
      </c>
      <c r="G17" s="219" t="s">
        <v>4184</v>
      </c>
      <c r="H17" s="220"/>
      <c r="I17" s="211" t="s">
        <v>4185</v>
      </c>
      <c r="J17" s="220"/>
      <c r="K17" s="211" t="s">
        <v>4187</v>
      </c>
      <c r="L17" s="220"/>
      <c r="NG17" s="108">
        <f>NG14</f>
        <v>1</v>
      </c>
      <c r="NH17">
        <f>IF(NH16&lt;=NG17,1,NA())</f>
        <v>1</v>
      </c>
      <c r="NI17">
        <f>IF(NI16&lt;=NG17,1,NA())</f>
        <v>1</v>
      </c>
      <c r="NJ17">
        <f>IF(NJ16&lt;=NG17,1,NA())</f>
        <v>1</v>
      </c>
      <c r="NM17" s="108">
        <f>NM14</f>
        <v>1</v>
      </c>
      <c r="NN17">
        <f>IF(NN16&lt;=NM17,1,NA())</f>
        <v>1</v>
      </c>
      <c r="NO17">
        <f>IF(NO16&lt;=NM17,1,NA())</f>
        <v>1</v>
      </c>
      <c r="NP17">
        <f>IF(NP16&lt;=NM17,1,NA())</f>
        <v>1</v>
      </c>
    </row>
    <row r="18" spans="4:380" x14ac:dyDescent="0.25">
      <c r="I18" s="244">
        <f>IF(VLOOKUP(B6,Sal_23[[CONTAINER]:[CHEGADA NO CLIENTE]],20,0)=0/1/1900,"",VLOOKUP(B6,Sal_23[[CONTAINER]:[CHEGADA NO CLIENTE]],20,0))</f>
        <v>45107.430555555555</v>
      </c>
      <c r="K18" s="246">
        <f>IF(VLOOKUP(B6,Sal_23[[CONTAINER]:[SAÍDA DO CLIENTE]],21,0)=0/1/1900,"",VLOOKUP(B6,Sal_23[[CONTAINER]:[SAÍDA DO CLIENTE]],21,0))</f>
        <v>45107.501388888886</v>
      </c>
    </row>
    <row r="19" spans="4:380" x14ac:dyDescent="0.25">
      <c r="E19" s="237" t="str">
        <f>IFERROR(VLOOKUP(B6,Sal_23[[CONTAINER]:[Cavalo]],10,0),"")</f>
        <v>FZF3E97</v>
      </c>
      <c r="F19" s="235" t="str">
        <f>IFERROR(VLOOKUP(B6,Sal_23[[CONTAINER]:[Motorista]],12,0),"")</f>
        <v>FABIO DARIO RODRIGUES</v>
      </c>
      <c r="I19" s="214" t="str">
        <f>IFERROR(VLOOKUP(B6,Sal_23[[CONTAINER]:[DESTINO]],5,0),"")</f>
        <v>LIMEIRA</v>
      </c>
      <c r="K19" s="214" t="str">
        <f>IFERROR(VLOOKUP(B5,Prog_23[[CONTEINER]:[ENTREGA VAZIO / CHEIO]],18,0),"")</f>
        <v/>
      </c>
      <c r="NH19" s="108">
        <v>1</v>
      </c>
      <c r="NI19" s="108">
        <v>1</v>
      </c>
      <c r="NJ19" s="108">
        <v>1</v>
      </c>
      <c r="NN19" s="108">
        <v>1</v>
      </c>
      <c r="NO19" s="108">
        <v>1</v>
      </c>
      <c r="NP19" s="108">
        <v>1</v>
      </c>
    </row>
    <row r="20" spans="4:380" x14ac:dyDescent="0.25">
      <c r="D20" s="225"/>
      <c r="E20" s="230" t="s">
        <v>4242</v>
      </c>
      <c r="F20" s="229">
        <f>C6</f>
        <v>0</v>
      </c>
      <c r="G20" s="225"/>
      <c r="H20" s="225"/>
      <c r="I20" s="225"/>
      <c r="J20" s="225"/>
      <c r="K20" s="225"/>
      <c r="L20" s="225"/>
    </row>
    <row r="21" spans="4:380" x14ac:dyDescent="0.25">
      <c r="E21" s="209" t="s">
        <v>2778</v>
      </c>
      <c r="F21" s="232" t="str">
        <f>IFERROR(VLOOKUP(B7,Sal_23[[CONTAINER]:[Cliente]],4,0),"")</f>
        <v>NEW MAX</v>
      </c>
      <c r="NG21" t="s">
        <v>4192</v>
      </c>
      <c r="NH21" s="203"/>
      <c r="NI21" s="203"/>
      <c r="NM21" t="s">
        <v>4193</v>
      </c>
      <c r="NN21" s="206"/>
      <c r="NO21" s="203"/>
    </row>
    <row r="22" spans="4:380" x14ac:dyDescent="0.25">
      <c r="E22" s="217" t="s">
        <v>4295</v>
      </c>
      <c r="F22" s="238" t="str">
        <f>IFERROR(VLOOKUP(B7,Sal_23[CONTAINER],1,0),"")</f>
        <v>CAIU2913654</v>
      </c>
      <c r="NH22" s="205">
        <v>0</v>
      </c>
      <c r="NI22" s="205">
        <v>0.5</v>
      </c>
      <c r="NJ22" s="205">
        <v>1</v>
      </c>
      <c r="NN22" s="205">
        <v>0</v>
      </c>
      <c r="NO22" s="205">
        <v>0.5</v>
      </c>
      <c r="NP22" s="205">
        <v>1</v>
      </c>
    </row>
    <row r="23" spans="4:380" x14ac:dyDescent="0.25">
      <c r="E23" s="217" t="s">
        <v>3490</v>
      </c>
      <c r="F23" s="235">
        <f>IFERROR(VLOOKUP(B7,Sal_23[[CONTAINER]:[Nota Fiscal 1]],8,0),"")</f>
        <v>104769</v>
      </c>
      <c r="G23" s="219" t="s">
        <v>4184</v>
      </c>
      <c r="H23" s="220"/>
      <c r="I23" s="211" t="s">
        <v>4185</v>
      </c>
      <c r="J23" s="220"/>
      <c r="K23" s="211" t="s">
        <v>4187</v>
      </c>
      <c r="L23" s="220"/>
      <c r="NG23" s="108">
        <f>IF(K30&lt;&gt;"",100%,IF(I30&lt;&gt;"",50%,IF(NH21&lt;&gt;"",0%,0)))</f>
        <v>1</v>
      </c>
      <c r="NH23" t="e">
        <f>IF(NG23=NH22,1,NA())</f>
        <v>#N/A</v>
      </c>
      <c r="NI23" t="e">
        <f>IF(NG23=NI22,1,NA())</f>
        <v>#N/A</v>
      </c>
      <c r="NJ23">
        <f>IF(NG23=NJ22,1,NA())</f>
        <v>1</v>
      </c>
      <c r="NM23" s="108">
        <f>IF(K36&lt;&gt;"",100%,IF(I36&lt;&gt;"",50%,IF(NN21&lt;&gt;"",0%,0)))</f>
        <v>1</v>
      </c>
      <c r="NN23" t="e">
        <f>IF(NM23=NN22,1,NA())</f>
        <v>#N/A</v>
      </c>
      <c r="NO23" t="e">
        <f>IF(NM23=NO22,1,NA())</f>
        <v>#N/A</v>
      </c>
      <c r="NP23">
        <f>IF(NM23=NP22,1,NA())</f>
        <v>1</v>
      </c>
    </row>
    <row r="24" spans="4:380" x14ac:dyDescent="0.25">
      <c r="I24" s="244">
        <f>IF(VLOOKUP(B7,Sal_23[[CONTAINER]:[CHEGADA NO CLIENTE]],20,0)=0/1/1900,"",VLOOKUP(B7,Sal_23[[CONTAINER]:[CHEGADA NO CLIENTE]],20,0))</f>
        <v>45013.086805555555</v>
      </c>
      <c r="K24" s="246">
        <f>IF(VLOOKUP(B7,Sal_23[[CONTAINER]:[SAÍDA DO CLIENTE]],21,0)=0/1/1900,"",VLOOKUP(B7,Sal_23[[CONTAINER]:[SAÍDA DO CLIENTE]],21,0))</f>
        <v>45013.416666666664</v>
      </c>
    </row>
    <row r="25" spans="4:380" x14ac:dyDescent="0.25">
      <c r="E25" s="237" t="str">
        <f>IFERROR(VLOOKUP(B7,Sal_23[[CONTAINER]:[Cavalo]],10,0),"")</f>
        <v>EPU5990</v>
      </c>
      <c r="F25" s="235" t="str">
        <f>IFERROR(VLOOKUP(B7,Sal_23[[CONTAINER]:[Motorista]],12,0),"")</f>
        <v>LEANDRO SOARES CAETANO</v>
      </c>
      <c r="I25" s="214" t="str">
        <f>IFERROR(VLOOKUP(B7,Sal_23[[CONTAINER]:[DESTINO]],5,0),"")</f>
        <v>AMERICANA</v>
      </c>
      <c r="K25" s="214" t="str">
        <f>IFERROR(VLOOKUP(B7,Prog_23[[CONTEINER]:[ENTREGA VAZIO / CHEIO]],18,0),"")</f>
        <v/>
      </c>
      <c r="NH25" s="205">
        <v>0</v>
      </c>
      <c r="NI25" s="205">
        <v>0.5</v>
      </c>
      <c r="NJ25" s="205">
        <v>1</v>
      </c>
      <c r="NN25" s="205">
        <v>0</v>
      </c>
      <c r="NO25" s="205">
        <v>0.5</v>
      </c>
      <c r="NP25" s="205">
        <v>1</v>
      </c>
    </row>
    <row r="26" spans="4:380" x14ac:dyDescent="0.25">
      <c r="D26" s="225"/>
      <c r="E26" s="230" t="s">
        <v>4242</v>
      </c>
      <c r="F26" s="229" t="str">
        <f>C7</f>
        <v>Saída do cliente 07:30</v>
      </c>
      <c r="G26" s="225"/>
      <c r="H26" s="225"/>
      <c r="I26" s="225"/>
      <c r="J26" s="225"/>
      <c r="K26" s="225"/>
      <c r="L26" s="225"/>
      <c r="NG26" s="108">
        <f>NG23</f>
        <v>1</v>
      </c>
      <c r="NH26">
        <f>IF(NH25&lt;=NG26,1,NA())</f>
        <v>1</v>
      </c>
      <c r="NI26">
        <f>IF(NI25&lt;=NG26,1,NA())</f>
        <v>1</v>
      </c>
      <c r="NJ26">
        <f>IF(NJ25&lt;=NG26,1,NA())</f>
        <v>1</v>
      </c>
      <c r="NM26" s="108">
        <f>NM23</f>
        <v>1</v>
      </c>
      <c r="NN26">
        <f>IF(NN25&lt;=NM26,1,NA())</f>
        <v>1</v>
      </c>
      <c r="NO26">
        <f>IF(NO25&lt;=NM26,1,NA())</f>
        <v>1</v>
      </c>
      <c r="NP26">
        <f>IF(NP25&lt;=NM26,1,NA())</f>
        <v>1</v>
      </c>
    </row>
    <row r="27" spans="4:380" x14ac:dyDescent="0.25">
      <c r="E27" s="209" t="s">
        <v>2778</v>
      </c>
      <c r="F27" s="232" t="str">
        <f>IFERROR(VLOOKUP(B8,Sal_23[[CONTAINER]:[Cliente]],4,0),"")</f>
        <v>NEW MAX</v>
      </c>
    </row>
    <row r="28" spans="4:380" x14ac:dyDescent="0.25">
      <c r="E28" s="217" t="s">
        <v>4233</v>
      </c>
      <c r="F28" s="238" t="str">
        <f>IFERROR(VLOOKUP(B8,Sal_23[CONTAINER],1,0),"")</f>
        <v>MEDU5808592</v>
      </c>
      <c r="NH28" s="108">
        <v>1</v>
      </c>
      <c r="NI28" s="108">
        <v>1</v>
      </c>
      <c r="NJ28" s="108">
        <v>1</v>
      </c>
      <c r="NN28" s="108">
        <v>1</v>
      </c>
      <c r="NO28" s="108">
        <v>1</v>
      </c>
      <c r="NP28" s="108">
        <v>1</v>
      </c>
    </row>
    <row r="29" spans="4:380" x14ac:dyDescent="0.25">
      <c r="E29" s="217" t="s">
        <v>3490</v>
      </c>
      <c r="F29" s="235">
        <f>IFERROR(VLOOKUP(B8,Sal_23[[CONTAINER]:[Nota Fiscal 1]],8,0),"")</f>
        <v>107711</v>
      </c>
      <c r="G29" s="219" t="s">
        <v>4184</v>
      </c>
      <c r="H29" s="220"/>
      <c r="I29" s="211" t="s">
        <v>4185</v>
      </c>
      <c r="J29" s="220"/>
      <c r="K29" s="211" t="s">
        <v>4187</v>
      </c>
      <c r="L29" s="220"/>
    </row>
    <row r="30" spans="4:380" x14ac:dyDescent="0.25">
      <c r="I30" s="244">
        <f>IF(VLOOKUP(B8,Sal_23[[CONTAINER]:[CHEGADA NO CLIENTE]],20,0)=0/1/1900,"",VLOOKUP(B8,Sal_23[[CONTAINER]:[CHEGADA NO CLIENTE]],20,0))</f>
        <v>45110.1875</v>
      </c>
      <c r="K30" s="246">
        <f>IF(VLOOKUP(B8,Sal_23[[CONTAINER]:[SAÍDA DO CLIENTE]],21,0)=0/1/1900,"",VLOOKUP(B8,Sal_23[[CONTAINER]:[SAÍDA DO CLIENTE]],21,0))</f>
        <v>45110.413194444445</v>
      </c>
      <c r="NG30" t="s">
        <v>4194</v>
      </c>
      <c r="NH30" s="203"/>
      <c r="NI30" s="203"/>
      <c r="NM30" t="s">
        <v>4195</v>
      </c>
      <c r="NN30" s="203"/>
      <c r="NO30" s="203"/>
    </row>
    <row r="31" spans="4:380" x14ac:dyDescent="0.25">
      <c r="E31" s="237" t="str">
        <f>IFERROR(VLOOKUP(B8,Sal_23[[CONTAINER]:[Cavalo]],10,0),"")</f>
        <v>EWJ2162</v>
      </c>
      <c r="F31" s="235" t="str">
        <f>IFERROR(VLOOKUP(B8,Sal_23[[CONTAINER]:[Motorista]],12,0),"")</f>
        <v xml:space="preserve">CARLOS  BUENO BALTAZAR </v>
      </c>
      <c r="I31" s="214" t="str">
        <f>IFERROR(VLOOKUP(B8,Sal_23[[CONTAINER]:[DESTINO]],5,0),"")</f>
        <v>AMERICANA</v>
      </c>
      <c r="K31" s="214"/>
      <c r="NH31" s="205">
        <v>0</v>
      </c>
      <c r="NI31" s="205">
        <v>0.5</v>
      </c>
      <c r="NJ31" s="205">
        <v>1</v>
      </c>
      <c r="NN31" s="205">
        <v>0</v>
      </c>
      <c r="NO31" s="205">
        <v>0.5</v>
      </c>
      <c r="NP31" s="205">
        <v>1</v>
      </c>
    </row>
    <row r="32" spans="4:380" x14ac:dyDescent="0.25">
      <c r="D32" s="225"/>
      <c r="E32" s="230" t="s">
        <v>4242</v>
      </c>
      <c r="F32" s="229">
        <f>C8</f>
        <v>0</v>
      </c>
      <c r="G32" s="225"/>
      <c r="H32" s="225"/>
      <c r="I32" s="225"/>
      <c r="J32" s="225"/>
      <c r="K32" s="225"/>
      <c r="L32" s="225"/>
      <c r="NG32" s="108">
        <f>IF(K42&lt;&gt;"",100%,IF(I42&lt;&gt;"",50%,IF(NH30&lt;&gt;"",0%,0)))</f>
        <v>1</v>
      </c>
      <c r="NH32" t="e">
        <f>IF(NG32=NH31,1,NA())</f>
        <v>#N/A</v>
      </c>
      <c r="NI32" t="e">
        <f>IF(NG32=NI31,1,NA())</f>
        <v>#N/A</v>
      </c>
      <c r="NJ32">
        <f>IF(NG32=NJ31,1,NA())</f>
        <v>1</v>
      </c>
      <c r="NM32" s="108" t="e">
        <f>IF(K48&lt;&gt;"",100%,IF(I48&lt;&gt;"",50%,IF(NN30&lt;&gt;"",0%,0)))</f>
        <v>#N/A</v>
      </c>
      <c r="NN32" t="e">
        <f>IF(NM32=NN31,1,NA())</f>
        <v>#N/A</v>
      </c>
      <c r="NO32" t="e">
        <f>IF(NM32=NO31,1,NA())</f>
        <v>#N/A</v>
      </c>
      <c r="NP32" t="e">
        <f>IF(NM32=NP31,1,NA())</f>
        <v>#N/A</v>
      </c>
    </row>
    <row r="33" spans="4:380" x14ac:dyDescent="0.25">
      <c r="E33" s="209" t="s">
        <v>2778</v>
      </c>
      <c r="F33" s="232" t="str">
        <f>IFERROR(VLOOKUP(B9,Sal_23[[CONTAINER]:[Cliente]],4,0),"")</f>
        <v>DOREMUS</v>
      </c>
    </row>
    <row r="34" spans="4:380" x14ac:dyDescent="0.25">
      <c r="E34" s="217" t="s">
        <v>4233</v>
      </c>
      <c r="F34" s="238" t="str">
        <f>IFERROR(VLOOKUP(B9,Sal_23[CONTAINER],1,0),"")</f>
        <v>TRHU7048659</v>
      </c>
      <c r="NH34" s="205">
        <v>0</v>
      </c>
      <c r="NI34" s="205">
        <v>0.5</v>
      </c>
      <c r="NJ34" s="205">
        <v>1</v>
      </c>
      <c r="NN34" s="205">
        <v>0</v>
      </c>
      <c r="NO34" s="205">
        <v>0.5</v>
      </c>
      <c r="NP34" s="205">
        <v>1</v>
      </c>
    </row>
    <row r="35" spans="4:380" x14ac:dyDescent="0.25">
      <c r="E35" s="217" t="s">
        <v>3490</v>
      </c>
      <c r="F35" s="235">
        <f>IFERROR(VLOOKUP(B9,Sal_23[[CONTAINER]:[Nota Fiscal 1]],8,0),"")</f>
        <v>107636</v>
      </c>
      <c r="G35" s="219" t="s">
        <v>4184</v>
      </c>
      <c r="H35" s="220"/>
      <c r="I35" s="211" t="s">
        <v>4185</v>
      </c>
      <c r="J35" s="220"/>
      <c r="K35" s="211" t="s">
        <v>4187</v>
      </c>
      <c r="L35" s="220"/>
      <c r="NG35" s="108">
        <f>NG32</f>
        <v>1</v>
      </c>
      <c r="NH35">
        <f>IF(NH34&lt;=NG35,1,NA())</f>
        <v>1</v>
      </c>
      <c r="NI35">
        <f>IF(NI34&lt;=NG35,1,NA())</f>
        <v>1</v>
      </c>
      <c r="NJ35">
        <f>IF(NJ34&lt;=NG35,1,NA())</f>
        <v>1</v>
      </c>
      <c r="NM35" s="108" t="e">
        <f>NM32</f>
        <v>#N/A</v>
      </c>
      <c r="NN35" t="e">
        <f>IF(NN34&lt;=NM35,1,NA())</f>
        <v>#N/A</v>
      </c>
      <c r="NO35" t="e">
        <f>IF(NO34&lt;=NM35,1,NA())</f>
        <v>#N/A</v>
      </c>
      <c r="NP35" t="e">
        <f>IF(NP34&lt;=NM35,1,NA())</f>
        <v>#N/A</v>
      </c>
    </row>
    <row r="36" spans="4:380" x14ac:dyDescent="0.25">
      <c r="I36" s="245">
        <f>IF(VLOOKUP(B9,Sal_23[[CONTAINER]:[CHEGADA NO CLIENTE]],20,0)=0/1/1900,"",VLOOKUP(B9,Sal_23[[CONTAINER]:[CHEGADA NO CLIENTE]],20,0))</f>
        <v>45110.125</v>
      </c>
      <c r="K36" s="246">
        <f>IF(VLOOKUP(B9,Sal_23[[CONTAINER]:[SAÍDA DO CLIENTE]],21,0)=0/1/1900,"",VLOOKUP(B9,Sal_23[[CONTAINER]:[SAÍDA DO CLIENTE]],21,0))</f>
        <v>45110.402777777781</v>
      </c>
    </row>
    <row r="37" spans="4:380" x14ac:dyDescent="0.25">
      <c r="E37" s="237" t="str">
        <f>IFERROR(VLOOKUP(B9,Sal_23[[CONTAINER]:[Cavalo]],10,0),"")</f>
        <v>BHP9483</v>
      </c>
      <c r="F37" s="235" t="str">
        <f>IFERROR(VLOOKUP(B9,Sal_23[[CONTAINER]:[Motorista]],12,0),"")</f>
        <v>ANACLETO RODRIGUES DE SANTANA</v>
      </c>
      <c r="I37" s="214" t="str">
        <f>IFERROR(VLOOKUP(B9,Sal_23[[CONTAINER]:[DESTINO]],5,0),"")</f>
        <v>GUARULHOS</v>
      </c>
      <c r="K37" s="214" t="str">
        <f>IFERROR(VLOOKUP(B9,Prog_23[[CONTEINER]:[ENTREGA VAZIO / CHEIO]],18,0),"")</f>
        <v/>
      </c>
      <c r="NH37" s="108">
        <v>1</v>
      </c>
      <c r="NI37" s="108">
        <v>1</v>
      </c>
      <c r="NJ37" s="108">
        <v>1</v>
      </c>
      <c r="NN37" s="108">
        <v>1</v>
      </c>
      <c r="NO37" s="108">
        <v>1</v>
      </c>
      <c r="NP37" s="108">
        <v>1</v>
      </c>
    </row>
    <row r="38" spans="4:380" x14ac:dyDescent="0.25">
      <c r="D38" s="225"/>
      <c r="E38" s="230" t="s">
        <v>4242</v>
      </c>
      <c r="F38" s="229">
        <f>C9</f>
        <v>0</v>
      </c>
      <c r="G38" s="225"/>
      <c r="H38" s="225"/>
      <c r="I38" s="225"/>
      <c r="J38" s="225"/>
      <c r="K38" s="225"/>
      <c r="L38" s="225"/>
    </row>
    <row r="39" spans="4:380" x14ac:dyDescent="0.25">
      <c r="E39" s="209" t="s">
        <v>2778</v>
      </c>
      <c r="F39" s="232" t="str">
        <f>IFERROR(VLOOKUP(B10,Sal_23[[CONTAINER]:[Cliente]],4,0),"")</f>
        <v>BR SPICE</v>
      </c>
      <c r="NG39" t="s">
        <v>4196</v>
      </c>
      <c r="NH39" s="203"/>
      <c r="NI39" s="203"/>
      <c r="NM39" t="s">
        <v>4197</v>
      </c>
      <c r="NN39" s="203"/>
      <c r="NO39" s="203"/>
    </row>
    <row r="40" spans="4:380" x14ac:dyDescent="0.25">
      <c r="E40" s="217" t="s">
        <v>4233</v>
      </c>
      <c r="F40" s="238" t="str">
        <f>IFERROR(VLOOKUP(B10,Sal_23[CONTAINER],1,0),"")</f>
        <v>FFAU1198444</v>
      </c>
      <c r="NH40" s="205">
        <v>0</v>
      </c>
      <c r="NI40" s="205">
        <v>0.5</v>
      </c>
      <c r="NJ40" s="205">
        <v>1</v>
      </c>
      <c r="NN40" s="205">
        <v>0</v>
      </c>
      <c r="NO40" s="205">
        <v>0.5</v>
      </c>
      <c r="NP40" s="205">
        <v>1</v>
      </c>
    </row>
    <row r="41" spans="4:380" x14ac:dyDescent="0.25">
      <c r="E41" s="217" t="s">
        <v>3490</v>
      </c>
      <c r="F41" s="235">
        <f>IFERROR(VLOOKUP(B10,Sal_23[[CONTAINER]:[Nota Fiscal 1]],8,0),"")</f>
        <v>107713</v>
      </c>
      <c r="G41" s="219" t="s">
        <v>4184</v>
      </c>
      <c r="H41" s="220"/>
      <c r="I41" s="211" t="s">
        <v>4185</v>
      </c>
      <c r="J41" s="220"/>
      <c r="K41" s="211" t="s">
        <v>4187</v>
      </c>
      <c r="L41" s="220"/>
      <c r="NG41" s="108" t="e">
        <f>IF(K54&lt;&gt;"",100%,IF(I54&lt;&gt;"",50%,IF(NH38&lt;&gt;"",0%,0)))</f>
        <v>#N/A</v>
      </c>
      <c r="NH41" t="e">
        <f>IF(NG41=NH40,1,NA())</f>
        <v>#N/A</v>
      </c>
      <c r="NI41" t="e">
        <f>IF(NG41=NI40,1,NA())</f>
        <v>#N/A</v>
      </c>
      <c r="NJ41" t="e">
        <f>IF(NG41=NJ40,1,NA())</f>
        <v>#N/A</v>
      </c>
      <c r="NM41" s="108" t="e">
        <f>IF(K60&lt;&gt;"",100%,IF(I60&lt;&gt;"",50%,IF(NN38&lt;&gt;"",0%,0)))</f>
        <v>#N/A</v>
      </c>
      <c r="NN41" t="e">
        <f>IF(NM41=NN40,1,NA())</f>
        <v>#N/A</v>
      </c>
      <c r="NO41" t="e">
        <f>IF(NM41=NO40,1,NA())</f>
        <v>#N/A</v>
      </c>
      <c r="NP41" t="e">
        <f>IF(NM41=NP40,1,NA())</f>
        <v>#N/A</v>
      </c>
    </row>
    <row r="42" spans="4:380" x14ac:dyDescent="0.25">
      <c r="I42" s="244">
        <f>IF(VLOOKUP(B10,Sal_23[[CONTAINER]:[CHEGADA NO CLIENTE]],20,0)=0/1/1900,"",VLOOKUP(B10,Sal_23[[CONTAINER]:[CHEGADA NO CLIENTE]],20,0))</f>
        <v>45110.388888888891</v>
      </c>
      <c r="K42" s="246">
        <f>IF(VLOOKUP(B10,Sal_23[[CONTAINER]:[SAÍDA DO CLIENTE]],21,0)=0/1/1900,"",VLOOKUP(B10,Sal_23[[CONTAINER]:[SAÍDA DO CLIENTE]],21,0))</f>
        <v>45110.448611111111</v>
      </c>
    </row>
    <row r="43" spans="4:380" x14ac:dyDescent="0.25">
      <c r="E43" s="237" t="str">
        <f>IFERROR(VLOOKUP(B10,Sal_23[[CONTAINER]:[Cavalo]],10,0),"")</f>
        <v>BXD2J87</v>
      </c>
      <c r="F43" s="235" t="str">
        <f>IFERROR(VLOOKUP(B10,Sal_23[[CONTAINER]:[Motorista]],12,0),"")</f>
        <v>WILSON FLAVIO ALVES DA SILVA</v>
      </c>
      <c r="I43" s="214" t="str">
        <f>IFERROR(VLOOKUP(B10,Sal_23[[CONTAINER]:[DESTINO]],5,0),"")</f>
        <v>JANDIRA</v>
      </c>
      <c r="K43" s="214" t="str">
        <f>IFERROR(VLOOKUP(B10,Prog_23[[CONTEINER]:[ENTREGA VAZIO / CHEIO]],18,0),"")</f>
        <v/>
      </c>
      <c r="NH43" s="205">
        <v>0</v>
      </c>
      <c r="NI43" s="205">
        <v>0.5</v>
      </c>
      <c r="NJ43" s="205">
        <v>1</v>
      </c>
      <c r="NN43" s="205">
        <v>0</v>
      </c>
      <c r="NO43" s="205">
        <v>0.5</v>
      </c>
      <c r="NP43" s="205">
        <v>1</v>
      </c>
    </row>
    <row r="44" spans="4:380" x14ac:dyDescent="0.25">
      <c r="D44" s="225"/>
      <c r="E44" s="230" t="s">
        <v>4242</v>
      </c>
      <c r="F44" s="229">
        <f>C10</f>
        <v>0</v>
      </c>
      <c r="G44" s="225"/>
      <c r="H44" s="225"/>
      <c r="I44" s="225"/>
      <c r="J44" s="225"/>
      <c r="K44" s="225"/>
      <c r="L44" s="225"/>
      <c r="NG44" s="108" t="e">
        <f>NG41</f>
        <v>#N/A</v>
      </c>
      <c r="NH44" t="e">
        <f>IF(NH43&lt;=NG44,1,NA())</f>
        <v>#N/A</v>
      </c>
      <c r="NI44" t="e">
        <f>IF(NI43&lt;=NG44,1,NA())</f>
        <v>#N/A</v>
      </c>
      <c r="NJ44" t="e">
        <f>IF(NJ43&lt;=NG44,1,NA())</f>
        <v>#N/A</v>
      </c>
      <c r="NM44" s="108" t="e">
        <f>NM41</f>
        <v>#N/A</v>
      </c>
      <c r="NN44" t="e">
        <f>IF(NN43&lt;=NM44,1,NA())</f>
        <v>#N/A</v>
      </c>
      <c r="NO44" t="e">
        <f>IF(NO43&lt;=NM44,1,NA())</f>
        <v>#N/A</v>
      </c>
      <c r="NP44" t="e">
        <f>IF(NP43&lt;=NM44,1,NA())</f>
        <v>#N/A</v>
      </c>
    </row>
    <row r="45" spans="4:380" x14ac:dyDescent="0.25">
      <c r="E45" s="209" t="s">
        <v>2778</v>
      </c>
      <c r="F45" s="232" t="str">
        <f>IFERROR(VLOOKUP(B11,Sal_23[[CONTAINER]:[Cliente]],4,0),"")</f>
        <v/>
      </c>
    </row>
    <row r="46" spans="4:380" x14ac:dyDescent="0.25">
      <c r="E46" s="217" t="s">
        <v>4233</v>
      </c>
      <c r="F46" s="238" t="str">
        <f>IFERROR(VLOOKUP(B11,Sal_23[CONTAINER],1,0),"")</f>
        <v/>
      </c>
      <c r="NH46" s="108">
        <v>1</v>
      </c>
      <c r="NI46" s="108">
        <v>1</v>
      </c>
      <c r="NJ46" s="108">
        <v>1</v>
      </c>
      <c r="NN46" s="108">
        <v>1</v>
      </c>
      <c r="NO46" s="108">
        <v>1</v>
      </c>
      <c r="NP46" s="108">
        <v>1</v>
      </c>
    </row>
    <row r="47" spans="4:380" x14ac:dyDescent="0.25">
      <c r="E47" s="217" t="s">
        <v>3490</v>
      </c>
      <c r="F47" s="235" t="str">
        <f>IFERROR(VLOOKUP(B11,Sal_23[[CONTAINER]:[Nota Fiscal 1]],8,0),"")</f>
        <v/>
      </c>
      <c r="G47" s="219" t="s">
        <v>4184</v>
      </c>
      <c r="H47" s="220"/>
      <c r="I47" s="211" t="s">
        <v>4185</v>
      </c>
      <c r="J47" s="220"/>
      <c r="K47" s="211" t="s">
        <v>4187</v>
      </c>
      <c r="L47" s="220"/>
    </row>
    <row r="48" spans="4:380" x14ac:dyDescent="0.25">
      <c r="I48" s="244" t="e">
        <f>IF(VLOOKUP(B11,Sal_23[[CONTAINER]:[CHEGADA NO CLIENTE]],20,0)=0/1/1900,"",VLOOKUP(B11,Sal_23[[CONTAINER]:[CHEGADA NO CLIENTE]],20,0))</f>
        <v>#N/A</v>
      </c>
      <c r="K48" s="246" t="e">
        <f>IF(VLOOKUP(B11,Sal_23[[CONTAINER]:[SAÍDA DO CLIENTE]],21,0)=0/1/1900,"",VLOOKUP(B11,Sal_23[[CONTAINER]:[SAÍDA DO CLIENTE]],21,0))</f>
        <v>#N/A</v>
      </c>
    </row>
    <row r="49" spans="4:376" x14ac:dyDescent="0.25">
      <c r="E49" s="237" t="str">
        <f>IFERROR(VLOOKUP(B11,Sal_23[[CONTAINER]:[Cavalo]],10,0),"")</f>
        <v/>
      </c>
      <c r="F49" s="235" t="str">
        <f>IFERROR(VLOOKUP(B11,Sal_23[[CONTAINER]:[Motorista]],12,0),"")</f>
        <v/>
      </c>
      <c r="I49" s="214" t="str">
        <f>IFERROR(VLOOKUP(B11,Sal_23[[CONTAINER]:[DESTINO]],5,0),"")</f>
        <v/>
      </c>
      <c r="K49" s="214" t="str">
        <f>IFERROR(VLOOKUP(B11,Prog_23[[CONTEINER]:[ENTREGA VAZIO / CHEIO]],18,0),"")</f>
        <v/>
      </c>
    </row>
    <row r="50" spans="4:376" x14ac:dyDescent="0.25">
      <c r="D50" s="225"/>
      <c r="E50" s="230" t="s">
        <v>4242</v>
      </c>
      <c r="F50" s="229">
        <f>C11</f>
        <v>0</v>
      </c>
      <c r="G50" s="225"/>
      <c r="H50" s="225"/>
      <c r="I50" s="225"/>
      <c r="J50" s="225"/>
      <c r="K50" s="225"/>
      <c r="L50" s="225"/>
      <c r="NL50" s="207"/>
    </row>
    <row r="51" spans="4:376" x14ac:dyDescent="0.25">
      <c r="E51" s="209" t="s">
        <v>2778</v>
      </c>
      <c r="F51" s="232" t="str">
        <f>IFERROR(VLOOKUP(B12,Sal_23[[CONTAINER]:[Cliente]],4,0),"")</f>
        <v/>
      </c>
    </row>
    <row r="52" spans="4:376" x14ac:dyDescent="0.25">
      <c r="E52" s="217" t="s">
        <v>4233</v>
      </c>
      <c r="F52" s="238" t="str">
        <f>IFERROR(VLOOKUP(B12,Sal_23[CONTAINER],1,0),"")</f>
        <v/>
      </c>
    </row>
    <row r="53" spans="4:376" x14ac:dyDescent="0.25">
      <c r="E53" s="217" t="s">
        <v>3490</v>
      </c>
      <c r="F53" s="235" t="str">
        <f>IFERROR(VLOOKUP(B12,Sal_23[[CONTAINER]:[Nota Fiscal 1]],8,0),"")</f>
        <v/>
      </c>
      <c r="G53" s="219" t="s">
        <v>4184</v>
      </c>
      <c r="H53" s="220"/>
      <c r="I53" s="211" t="s">
        <v>4185</v>
      </c>
      <c r="J53" s="220"/>
      <c r="K53" s="211" t="s">
        <v>4187</v>
      </c>
      <c r="L53" s="220"/>
    </row>
    <row r="54" spans="4:376" x14ac:dyDescent="0.25">
      <c r="I54" s="244" t="e">
        <f>IF(VLOOKUP(B12,Sal_23[[CONTAINER]:[CHEGADA NO CLIENTE]],20,0)=0/1/1900,"",VLOOKUP(B12,Sal_23[[CONTAINER]:[CHEGADA NO CLIENTE]],20,0))</f>
        <v>#N/A</v>
      </c>
      <c r="K54" s="246" t="e">
        <f>IF(VLOOKUP(B12,Sal_23[[CONTAINER]:[SAÍDA DO CLIENTE]],21,0)=0/1/1900,"",VLOOKUP(B12,Sal_23[[CONTAINER]:[SAÍDA DO CLIENTE]],21,0))</f>
        <v>#N/A</v>
      </c>
    </row>
    <row r="55" spans="4:376" x14ac:dyDescent="0.25">
      <c r="E55" s="237" t="str">
        <f>IFERROR(VLOOKUP(B12,Sal_23[[CONTAINER]:[Cavalo]],10,0),"")</f>
        <v/>
      </c>
      <c r="F55" s="235" t="str">
        <f>IFERROR(VLOOKUP(B12,Sal_23[[CONTAINER]:[Motorista]],12,0),"")</f>
        <v/>
      </c>
      <c r="I55" s="214" t="str">
        <f>IFERROR(VLOOKUP(B12,Sal_23[[CONTAINER]:[DESTINO]],5,0),"")</f>
        <v/>
      </c>
      <c r="K55" s="214" t="str">
        <f>IFERROR(VLOOKUP(B12,Prog_23[[CONTEINER]:[ENTREGA VAZIO / CHEIO]],18,0),"")</f>
        <v/>
      </c>
    </row>
    <row r="56" spans="4:376" x14ac:dyDescent="0.25">
      <c r="D56" s="225"/>
      <c r="E56" s="230" t="s">
        <v>4242</v>
      </c>
      <c r="F56" s="229">
        <f>C12</f>
        <v>0</v>
      </c>
      <c r="G56" s="225"/>
      <c r="H56" s="225"/>
      <c r="I56" s="225"/>
      <c r="J56" s="225"/>
      <c r="K56" s="225"/>
      <c r="L56" s="225"/>
    </row>
    <row r="57" spans="4:376" x14ac:dyDescent="0.25">
      <c r="E57" s="209" t="s">
        <v>2778</v>
      </c>
      <c r="F57" s="232" t="str">
        <f>IFERROR(VLOOKUP(B13,Sal_23[[CONTAINER]:[Cliente]],4,0),"")</f>
        <v/>
      </c>
    </row>
    <row r="58" spans="4:376" x14ac:dyDescent="0.25">
      <c r="E58" s="217" t="s">
        <v>4233</v>
      </c>
      <c r="F58" s="238" t="str">
        <f>IFERROR(VLOOKUP(B13,Sal_23[CONTAINER],1,0),"")</f>
        <v/>
      </c>
    </row>
    <row r="59" spans="4:376" x14ac:dyDescent="0.25">
      <c r="E59" s="217" t="s">
        <v>3490</v>
      </c>
      <c r="F59" s="235" t="str">
        <f>IFERROR(VLOOKUP(B13,Sal_23[[CONTAINER]:[Nota Fiscal 1]],8,0),"")</f>
        <v/>
      </c>
      <c r="G59" s="219" t="s">
        <v>4184</v>
      </c>
      <c r="H59" s="220"/>
      <c r="I59" s="211" t="s">
        <v>4185</v>
      </c>
      <c r="J59" s="220"/>
      <c r="K59" s="211" t="s">
        <v>4187</v>
      </c>
      <c r="L59" s="220"/>
    </row>
    <row r="60" spans="4:376" x14ac:dyDescent="0.25">
      <c r="I60" s="244" t="e">
        <f>IF(VLOOKUP(B13,Sal_23[[CONTAINER]:[CHEGADA NO CLIENTE]],20,0)=0/1/1900,"",VLOOKUP(B13,Sal_23[[CONTAINER]:[CHEGADA NO CLIENTE]],20,0))</f>
        <v>#N/A</v>
      </c>
      <c r="K60" s="246" t="e">
        <f>IF(VLOOKUP(B13,Sal_23[[CONTAINER]:[SAÍDA DO CLIENTE]],21,0)=0/1/1900,"",VLOOKUP(B13,Sal_23[[CONTAINER]:[SAÍDA DO CLIENTE]],21,0))</f>
        <v>#N/A</v>
      </c>
    </row>
    <row r="61" spans="4:376" x14ac:dyDescent="0.25">
      <c r="E61" s="237" t="str">
        <f>IFERROR(VLOOKUP(B13,Sal_23[[CONTAINER]:[Cavalo]],10,0),"")</f>
        <v/>
      </c>
      <c r="F61" s="235" t="str">
        <f>IFERROR(VLOOKUP(B13,Sal_23[[CONTAINER]:[Motorista]],12,0),"")</f>
        <v/>
      </c>
      <c r="I61" s="214" t="str">
        <f>IFERROR(VLOOKUP(B13,Sal_23[[CONTAINER]:[DESTINO]],5,0),"")</f>
        <v/>
      </c>
      <c r="K61" s="214" t="str">
        <f>IFERROR(VLOOKUP(B13,Prog_23[[CONTEINER]:[ENTREGA VAZIO / CHEIO]],18,0),"")</f>
        <v/>
      </c>
    </row>
    <row r="62" spans="4:376" x14ac:dyDescent="0.25">
      <c r="D62" s="225"/>
      <c r="E62" s="230" t="s">
        <v>4242</v>
      </c>
      <c r="F62" s="229">
        <f>C13</f>
        <v>0</v>
      </c>
      <c r="G62" s="225"/>
      <c r="H62" s="225"/>
      <c r="I62" s="225"/>
      <c r="J62" s="225"/>
      <c r="K62" s="225"/>
      <c r="L62" s="225"/>
    </row>
    <row r="65" spans="6:6" x14ac:dyDescent="0.25">
      <c r="F65" s="232"/>
    </row>
  </sheetData>
  <sheetProtection formatCells="0" formatColumns="0" formatRows="0" deleteColumns="0" deleteRows="0"/>
  <mergeCells count="1">
    <mergeCell ref="F1:L2"/>
  </mergeCells>
  <phoneticPr fontId="30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DD49D-375F-47D0-BC53-FF9EF5792F3F}">
  <dimension ref="B1:NQ62"/>
  <sheetViews>
    <sheetView zoomScale="90" zoomScaleNormal="90" workbookViewId="0">
      <pane xSplit="2" ySplit="1" topLeftCell="C3" activePane="bottomRight" state="frozen"/>
      <selection pane="topRight" activeCell="C1" sqref="C1"/>
      <selection pane="bottomLeft" activeCell="A2" sqref="A2"/>
      <selection pane="bottomRight" activeCell="W10" sqref="W10"/>
    </sheetView>
  </sheetViews>
  <sheetFormatPr defaultRowHeight="15" x14ac:dyDescent="0.25"/>
  <cols>
    <col min="1" max="1" width="1.140625" customWidth="1"/>
    <col min="2" max="2" width="17" style="32" bestFit="1" customWidth="1"/>
    <col min="3" max="3" width="58.140625" bestFit="1" customWidth="1"/>
    <col min="4" max="4" width="4.85546875" style="183" customWidth="1"/>
    <col min="5" max="5" width="9.85546875" style="183" bestFit="1" customWidth="1"/>
    <col min="6" max="6" width="16.42578125" style="210" customWidth="1"/>
    <col min="7" max="7" width="11.7109375" style="183" customWidth="1"/>
    <col min="8" max="8" width="9.140625" style="183"/>
    <col min="9" max="9" width="16.5703125" style="183" bestFit="1" customWidth="1"/>
    <col min="10" max="10" width="9.140625" style="183"/>
    <col min="11" max="11" width="10.42578125" style="183" customWidth="1"/>
    <col min="12" max="12" width="9.140625" style="183"/>
    <col min="13" max="13" width="14.7109375" style="183" bestFit="1" customWidth="1"/>
    <col min="14" max="15" width="9.140625" style="183"/>
    <col min="18" max="19" width="10.7109375" bestFit="1" customWidth="1"/>
    <col min="24" max="25" width="10.7109375" bestFit="1" customWidth="1"/>
    <col min="372" max="373" width="11.5703125" bestFit="1" customWidth="1"/>
    <col min="374" max="375" width="5.85546875" bestFit="1" customWidth="1"/>
    <col min="377" max="377" width="10.28515625" bestFit="1" customWidth="1"/>
    <col min="378" max="379" width="11.5703125" bestFit="1" customWidth="1"/>
    <col min="380" max="381" width="5.85546875" bestFit="1" customWidth="1"/>
  </cols>
  <sheetData>
    <row r="1" spans="2:381" ht="33.75" customHeight="1" x14ac:dyDescent="0.25">
      <c r="F1" s="324" t="s">
        <v>3489</v>
      </c>
      <c r="G1" s="324"/>
      <c r="H1" s="324"/>
      <c r="I1" s="324"/>
      <c r="J1" s="324"/>
      <c r="K1" s="324"/>
      <c r="L1" s="324"/>
      <c r="M1" s="324"/>
    </row>
    <row r="2" spans="2:381" x14ac:dyDescent="0.25">
      <c r="F2" s="241"/>
      <c r="G2" s="242"/>
      <c r="H2" s="242"/>
      <c r="I2" s="242"/>
      <c r="J2" s="242"/>
      <c r="K2" s="242"/>
      <c r="L2" s="242"/>
      <c r="M2" s="242"/>
      <c r="P2" s="304"/>
    </row>
    <row r="3" spans="2:381" x14ac:dyDescent="0.25">
      <c r="B3" s="234" t="s">
        <v>4243</v>
      </c>
      <c r="C3" s="234" t="s">
        <v>4241</v>
      </c>
      <c r="F3" s="208"/>
      <c r="P3" s="304"/>
      <c r="NG3" t="s">
        <v>4188</v>
      </c>
      <c r="NH3" s="204">
        <f>IF(VLOOKUP(B4,Prog_23[[CONTEINER]:[DATA DE RETIRADA]],15,0)=0/1/1900,"",VLOOKUP(B4,Prog_23[[CONTEINER]:[DATA DE RETIRADA]],15,0))</f>
        <v>45173.5</v>
      </c>
      <c r="NI3" s="204">
        <f>IF(VLOOKUP(B4,Prog_23[[CONTEINER]:[SAÍDA DO CLIENTE]],17,0)=0/1/1900,"",VLOOKUP(B4,Prog_23[[CONTEINER]:[SAÍDA DO CLIENTE]],17,0))</f>
        <v>45174.579861111109</v>
      </c>
      <c r="NM3" t="s">
        <v>4189</v>
      </c>
      <c r="NN3" s="204" t="str">
        <f>IF(VLOOKUP(B5,Prog_23[[CONTEINER]:[DATA DE RETIRADA]],15,0)=0/1/1900,"",VLOOKUP(B5,Prog_23[[CONTEINER]:[DATA DE RETIRADA]],15,0))</f>
        <v/>
      </c>
      <c r="NO3" s="204">
        <f>IF(VLOOKUP(B5,Prog_23[[CONTEINER]:[SAÍDA DO CLIENTE]],17,0)=0/1/1900,"",VLOOKUP(B5,Prog_23[[CONTEINER]:[SAÍDA DO CLIENTE]],17,0))</f>
        <v>45174.666666666664</v>
      </c>
    </row>
    <row r="4" spans="2:381" x14ac:dyDescent="0.25">
      <c r="B4" s="122" t="s">
        <v>6229</v>
      </c>
      <c r="C4" s="255" t="s">
        <v>6329</v>
      </c>
      <c r="E4" s="217" t="s">
        <v>4233</v>
      </c>
      <c r="F4" s="215" t="str">
        <f>IFERROR(VLOOKUP(B4,Prog_23[CONTEINER],1,0),"")</f>
        <v>TRHU8944346</v>
      </c>
      <c r="P4" s="304"/>
      <c r="Q4" s="221"/>
      <c r="R4" s="222"/>
      <c r="NH4" s="205">
        <v>0</v>
      </c>
      <c r="NI4" s="205">
        <v>0.5</v>
      </c>
      <c r="NJ4" s="205">
        <v>0.75</v>
      </c>
      <c r="NK4" s="205">
        <v>1</v>
      </c>
      <c r="NN4" s="205">
        <v>0</v>
      </c>
      <c r="NO4" s="205">
        <v>0.5</v>
      </c>
      <c r="NP4" s="205">
        <v>0.75</v>
      </c>
      <c r="NQ4" s="205">
        <v>1</v>
      </c>
    </row>
    <row r="5" spans="2:381" x14ac:dyDescent="0.25">
      <c r="B5" s="243" t="s">
        <v>6300</v>
      </c>
      <c r="C5" s="255" t="s">
        <v>6294</v>
      </c>
      <c r="E5" s="217" t="s">
        <v>5248</v>
      </c>
      <c r="F5" s="212" t="str">
        <f>VLOOKUP(B4,'PROG. 23'!A3:H1048576,8,0)</f>
        <v>23/1705428-8</v>
      </c>
      <c r="G5" s="219" t="s">
        <v>4184</v>
      </c>
      <c r="H5" s="220"/>
      <c r="I5" s="211" t="s">
        <v>4185</v>
      </c>
      <c r="J5" s="220"/>
      <c r="K5" s="211" t="s">
        <v>4186</v>
      </c>
      <c r="L5" s="220"/>
      <c r="M5" s="211" t="s">
        <v>4187</v>
      </c>
      <c r="P5" s="304"/>
      <c r="Q5" s="221"/>
      <c r="R5" s="223" t="str">
        <f>IFERROR(VLOOKUP(O5,Prog_23[CONTEINER],1,0),"")</f>
        <v/>
      </c>
      <c r="NG5" s="108">
        <f>IF(M6&lt;&gt;"",100%,IF(NI3&lt;&gt;"",75%,IF(I6&lt;&gt;"",50%,IF(NH3&lt;&gt;"",0%,0))))</f>
        <v>1</v>
      </c>
      <c r="NH5" t="e">
        <f>IF(NG5=NH4,1,NA())</f>
        <v>#N/A</v>
      </c>
      <c r="NI5" t="e">
        <f>IF(NG5=NI4,1,NA())</f>
        <v>#N/A</v>
      </c>
      <c r="NJ5" t="e">
        <f>IF(NG5=NJ4,1,NA())</f>
        <v>#N/A</v>
      </c>
      <c r="NK5">
        <f>IF(NG5=NK4,1,NA())</f>
        <v>1</v>
      </c>
      <c r="NM5" s="108">
        <f>IF(M12&lt;&gt;"",100%,IF(NO3&lt;&gt;"",75%,IF(I12&lt;&gt;"",50%,IF(NN3&lt;&gt;"",0%,0))))</f>
        <v>1</v>
      </c>
      <c r="NN5" t="e">
        <f>IF(NM5=NN4,1,NA())</f>
        <v>#N/A</v>
      </c>
      <c r="NO5" t="e">
        <f>IF(NM5=NO4,1,NA())</f>
        <v>#N/A</v>
      </c>
      <c r="NP5" t="e">
        <f>IF(NM5=NP4,1,NA())</f>
        <v>#N/A</v>
      </c>
      <c r="NQ5">
        <f>IF(NM5=NQ4,1,NA())</f>
        <v>1</v>
      </c>
    </row>
    <row r="6" spans="2:381" x14ac:dyDescent="0.25">
      <c r="B6" s="243" t="s">
        <v>6265</v>
      </c>
      <c r="C6" s="255" t="s">
        <v>6295</v>
      </c>
      <c r="I6" s="218">
        <f>IF(VLOOKUP(B4,Prog_23[[CONTEINER]:[CHEGADA NO CLIENTE]],16,0)=0/1/1900,"",VLOOKUP(B4,Prog_23[[CONTEINER]:[CHEGADA NO CLIENTE]],16,0))</f>
        <v>45174.333333333336</v>
      </c>
      <c r="M6" s="218" t="str">
        <f>IF(VLOOKUP(B4,Prog_23[[CONTEINER]:[DATA DE ENTREGA]],19,0)=0/1/1900,"",VLOOKUP(B4,Prog_23[[CONTEINER]:[DATA DE ENTREGA]],19,0))</f>
        <v>06/09/023 00:46</v>
      </c>
      <c r="P6" s="304"/>
      <c r="Q6" s="221"/>
      <c r="R6" s="224" t="str">
        <f>IFERROR(VLOOKUP(O5,'PROG. 23'!#REF!,8,0),"")</f>
        <v/>
      </c>
    </row>
    <row r="7" spans="2:381" x14ac:dyDescent="0.25">
      <c r="B7" s="243" t="s">
        <v>6048</v>
      </c>
      <c r="C7" s="255" t="s">
        <v>6130</v>
      </c>
      <c r="E7" s="214" t="str">
        <f>IFERROR(VLOOKUP(B4,Prog_23[[CONTEINER]:[PLACA CAVALO]],9,0),"")</f>
        <v>GFL7E87</v>
      </c>
      <c r="F7" s="212" t="str">
        <f>IFERROR(VLOOKUP(B4,Prog_23[[CONTEINER]:[MOTORISTA]],11,0),"")</f>
        <v>JEFFERSON BATISTA ARISTIDES</v>
      </c>
      <c r="H7" s="213"/>
      <c r="I7" s="214" t="str">
        <f>IFERROR(VLOOKUP(B4,'PROG. 23'!A3:F1946,6,0),"")</f>
        <v>ITAJAÍ-SC</v>
      </c>
      <c r="J7" s="213"/>
      <c r="K7" s="213"/>
      <c r="L7" s="213"/>
      <c r="M7" s="214" t="str">
        <f>IFERROR(VLOOKUP(B4,Prog_23[[CONTEINER]:[ENTREGA VAZIO / CHEIO]],18,0),"")</f>
        <v>LECHMAN</v>
      </c>
      <c r="P7" s="304"/>
      <c r="R7" s="90"/>
      <c r="NH7" s="205">
        <v>0</v>
      </c>
      <c r="NI7" s="205">
        <v>0.5</v>
      </c>
      <c r="NJ7" s="205">
        <v>0.75</v>
      </c>
      <c r="NK7" s="205">
        <v>1</v>
      </c>
      <c r="NN7" s="205">
        <v>0</v>
      </c>
      <c r="NO7" s="205">
        <v>0.5</v>
      </c>
      <c r="NP7" s="205">
        <v>0.75</v>
      </c>
      <c r="NQ7" s="205">
        <v>1</v>
      </c>
    </row>
    <row r="8" spans="2:381" x14ac:dyDescent="0.25">
      <c r="B8" s="243" t="s">
        <v>6137</v>
      </c>
      <c r="C8" s="255" t="s">
        <v>6166</v>
      </c>
      <c r="D8" s="250"/>
      <c r="E8" s="239" t="s">
        <v>4242</v>
      </c>
      <c r="F8" s="326" t="str">
        <f>C4</f>
        <v>Saída 13:55</v>
      </c>
      <c r="G8" s="326"/>
      <c r="H8" s="326"/>
      <c r="I8" s="326"/>
      <c r="J8" s="326"/>
      <c r="K8" s="326"/>
      <c r="L8" s="326"/>
      <c r="M8" s="326"/>
      <c r="N8" s="225"/>
      <c r="O8" s="225"/>
      <c r="P8" s="304"/>
      <c r="Q8" t="s">
        <v>3695</v>
      </c>
      <c r="NG8" s="108">
        <f>NG5</f>
        <v>1</v>
      </c>
      <c r="NH8">
        <f>IF(NH7&lt;=NG8,1,NA())</f>
        <v>1</v>
      </c>
      <c r="NI8">
        <f>IF(NI7&lt;=NG8,1,NA())</f>
        <v>1</v>
      </c>
      <c r="NJ8">
        <f>IF(NJ7&lt;=NG8,1,NA())</f>
        <v>1</v>
      </c>
      <c r="NK8">
        <f>IF(NK7&lt;=NG8,1,NA())</f>
        <v>1</v>
      </c>
      <c r="NM8" s="108">
        <f>NM5</f>
        <v>1</v>
      </c>
      <c r="NN8">
        <f>IF(NN7&lt;=NM8,1,NA())</f>
        <v>1</v>
      </c>
      <c r="NO8">
        <f>IF(NO7&lt;=NM8,1,NA())</f>
        <v>1</v>
      </c>
      <c r="NP8">
        <f>IF(NP7&lt;=NM8,1,NA())</f>
        <v>1</v>
      </c>
      <c r="NQ8">
        <f>IF(NQ7&lt;=NM8,1,NA())</f>
        <v>1</v>
      </c>
    </row>
    <row r="9" spans="2:381" x14ac:dyDescent="0.25">
      <c r="B9" s="243" t="s">
        <v>6095</v>
      </c>
      <c r="C9" s="255" t="s">
        <v>6132</v>
      </c>
      <c r="E9" s="209"/>
      <c r="P9" s="304"/>
    </row>
    <row r="10" spans="2:381" x14ac:dyDescent="0.25">
      <c r="B10" s="243" t="s">
        <v>6101</v>
      </c>
      <c r="C10" s="255" t="s">
        <v>6133</v>
      </c>
      <c r="E10" s="217" t="s">
        <v>4233</v>
      </c>
      <c r="F10" s="215" t="str">
        <f>IFERROR(VLOOKUP(B5,Prog_23[CONTEINER],1,0),"")</f>
        <v>MRSU6569752</v>
      </c>
      <c r="P10" s="304"/>
      <c r="NH10" s="108">
        <v>1</v>
      </c>
      <c r="NI10" s="108">
        <v>1</v>
      </c>
      <c r="NJ10" s="108">
        <v>1</v>
      </c>
      <c r="NK10" s="108">
        <v>1</v>
      </c>
      <c r="NN10" s="108">
        <v>1</v>
      </c>
      <c r="NO10" s="108">
        <v>1</v>
      </c>
      <c r="NP10" s="108">
        <v>1</v>
      </c>
      <c r="NQ10" s="108">
        <v>1</v>
      </c>
    </row>
    <row r="11" spans="2:381" x14ac:dyDescent="0.25">
      <c r="B11" s="243" t="s">
        <v>6128</v>
      </c>
      <c r="C11" s="255" t="s">
        <v>6127</v>
      </c>
      <c r="E11" s="217" t="s">
        <v>4234</v>
      </c>
      <c r="F11" s="212">
        <f>IFERROR(VLOOKUP(B5,'PROG. 23'!A3:H1048576,8,0),"")</f>
        <v>230879036</v>
      </c>
      <c r="G11" s="219" t="s">
        <v>4184</v>
      </c>
      <c r="H11" s="220"/>
      <c r="I11" s="211" t="s">
        <v>4185</v>
      </c>
      <c r="J11" s="220"/>
      <c r="K11" s="211" t="s">
        <v>4186</v>
      </c>
      <c r="L11" s="220"/>
      <c r="M11" s="211" t="s">
        <v>4187</v>
      </c>
      <c r="P11" s="304"/>
    </row>
    <row r="12" spans="2:381" x14ac:dyDescent="0.25">
      <c r="B12" s="243"/>
      <c r="C12" s="255"/>
      <c r="I12" s="218">
        <f>IF(VLOOKUP(B5,Prog_23[[CONTEINER]:[CHEGADA NO CLIENTE]],16,0)=0/1/1900,"",VLOOKUP(B5,Prog_23[[CONTEINER]:[CHEGADA NO CLIENTE]],16,0))</f>
        <v>45174.333333333336</v>
      </c>
      <c r="M12" s="218">
        <f>IF(VLOOKUP(B5,Prog_23[[CONTEINER]:[DATA DE ENTREGA]],19,0)=0/1/1900,"",VLOOKUP(B5,Prog_23[[CONTEINER]:[DATA DE ENTREGA]],19,0))</f>
        <v>45175.482638888891</v>
      </c>
      <c r="P12" s="304"/>
      <c r="NG12" t="s">
        <v>4190</v>
      </c>
      <c r="NH12" s="203">
        <f>IF(VLOOKUP(B6,Prog_23[[CONTEINER]:[DATA DE RETIRADA]],15,0)=0/1/1900,"",VLOOKUP(B6,Prog_23[[CONTEINER]:[DATA DE RETIRADA]],15,0))</f>
        <v>45171.49722222222</v>
      </c>
      <c r="NI12" s="203">
        <f>IF(VLOOKUP(B6,Prog_23[[CONTEINER]:[SAÍDA DO CLIENTE]],17,0)=0/1/1900,"",VLOOKUP(B6,Prog_23[[CONTEINER]:[SAÍDA DO CLIENTE]],17,0))</f>
        <v>45173.635416666664</v>
      </c>
      <c r="NM12" t="s">
        <v>4191</v>
      </c>
      <c r="NN12" s="203">
        <f>IF(VLOOKUP(B7,Prog_23[[CONTEINER]:[DATA DE RETIRADA]],15,0)=0/1/1900,"",VLOOKUP(B7,Prog_23[[CONTEINER]:[DATA DE RETIRADA]],15,0))</f>
        <v>45159.944444444445</v>
      </c>
      <c r="NO12" s="203">
        <f>IF(VLOOKUP(B7,Prog_23[[CONTEINER]:[SAÍDA DO CLIENTE]],17,0)=0/1/1900,"",VLOOKUP(B7,Prog_23[[CONTEINER]:[SAÍDA DO CLIENTE]],17,0))</f>
        <v>45160.864583333336</v>
      </c>
    </row>
    <row r="13" spans="2:381" x14ac:dyDescent="0.25">
      <c r="B13" s="243" t="s">
        <v>5546</v>
      </c>
      <c r="C13" s="255"/>
      <c r="E13" s="214" t="str">
        <f>IFERROR(VLOOKUP(B5,Prog_23[[CONTEINER]:[PLACA CAVALO]],9,0),"")</f>
        <v>DFT0E47</v>
      </c>
      <c r="F13" s="212" t="str">
        <f>IFERROR(VLOOKUP(B5,Prog_23[[CONTEINER]:[MOTORISTA]],11,0),"")</f>
        <v>ALMIR CARDOSO DOS SANTOS</v>
      </c>
      <c r="I13" s="214" t="str">
        <f>IFERROR(VLOOKUP(B5,'PROG. 23'!A3:F1946,6,0),"")</f>
        <v>JUNDIAI-SP</v>
      </c>
      <c r="M13" s="214" t="str">
        <f>IFERROR(VLOOKUP(B5,Prog_23[[CONTEINER]:[ENTREGA VAZIO / CHEIO]],18,0),"")</f>
        <v>SANTOS BRASIL</v>
      </c>
      <c r="P13" s="304"/>
      <c r="NH13" s="205">
        <v>0</v>
      </c>
      <c r="NI13" s="205">
        <v>0.5</v>
      </c>
      <c r="NJ13" s="205">
        <v>0.75</v>
      </c>
      <c r="NK13" s="205">
        <v>1</v>
      </c>
      <c r="NN13" s="205">
        <v>0</v>
      </c>
      <c r="NO13" s="205">
        <v>0.5</v>
      </c>
      <c r="NP13" s="205">
        <v>0.75</v>
      </c>
      <c r="NQ13" s="205">
        <v>1</v>
      </c>
    </row>
    <row r="14" spans="2:381" x14ac:dyDescent="0.25">
      <c r="D14" s="225"/>
      <c r="E14" s="239" t="s">
        <v>4242</v>
      </c>
      <c r="F14" s="326" t="str">
        <f>C5</f>
        <v>Saída 12:30, previsão de entega 23hr</v>
      </c>
      <c r="G14" s="326"/>
      <c r="H14" s="326"/>
      <c r="I14" s="326"/>
      <c r="J14" s="326"/>
      <c r="K14" s="326"/>
      <c r="L14" s="326"/>
      <c r="M14" s="326"/>
      <c r="N14" s="225"/>
      <c r="O14" s="225"/>
      <c r="P14" s="304"/>
      <c r="NG14" s="108">
        <f>IF(M18&lt;&gt;"",100%,IF(NI12&lt;&gt;"",75%,IF(I18&lt;&gt;"",50%,IF(NH12&lt;&gt;"",0%,0))))</f>
        <v>1</v>
      </c>
      <c r="NH14" t="e">
        <f>IF(NG14=NH13,1,NA())</f>
        <v>#N/A</v>
      </c>
      <c r="NI14" t="e">
        <f>IF(NG14=NI13,1,NA())</f>
        <v>#N/A</v>
      </c>
      <c r="NJ14" t="e">
        <f>IF(NG14=NJ13,1,NA())</f>
        <v>#N/A</v>
      </c>
      <c r="NK14">
        <f>IF(NG14=NK13,1,NA())</f>
        <v>1</v>
      </c>
      <c r="NM14" s="108">
        <f>IF(M24&lt;&gt;"",100%,IF(NO12&lt;&gt;"",75%,IF(I24&lt;&gt;"",50%,IF(NN12&lt;&gt;"",0%,0))))</f>
        <v>1</v>
      </c>
      <c r="NN14" t="e">
        <f>IF(NM14=NN13,1,NA())</f>
        <v>#N/A</v>
      </c>
      <c r="NO14" t="e">
        <f>IF(NM14=NO13,1,NA())</f>
        <v>#N/A</v>
      </c>
      <c r="NP14" t="e">
        <f>IF(NM14=NP13,1,NA())</f>
        <v>#N/A</v>
      </c>
      <c r="NQ14">
        <f>IF(NM14=NQ13,1,NA())</f>
        <v>1</v>
      </c>
    </row>
    <row r="15" spans="2:381" ht="11.25" customHeight="1" x14ac:dyDescent="0.25">
      <c r="E15" s="209"/>
      <c r="P15" s="304"/>
    </row>
    <row r="16" spans="2:381" x14ac:dyDescent="0.25">
      <c r="E16" s="217" t="s">
        <v>4233</v>
      </c>
      <c r="F16" s="215" t="str">
        <f>IFERROR(VLOOKUP(B6,Prog_23[CONTEINER],1,0),"")</f>
        <v>MIEU2029096</v>
      </c>
      <c r="P16" s="304"/>
      <c r="NH16" s="205">
        <v>0</v>
      </c>
      <c r="NI16" s="205">
        <v>0.5</v>
      </c>
      <c r="NJ16" s="205">
        <v>0.75</v>
      </c>
      <c r="NK16" s="205">
        <v>1</v>
      </c>
      <c r="NN16" s="205">
        <v>0</v>
      </c>
      <c r="NO16" s="205">
        <v>0.5</v>
      </c>
      <c r="NP16" s="205">
        <v>0.75</v>
      </c>
      <c r="NQ16" s="205">
        <v>1</v>
      </c>
    </row>
    <row r="17" spans="3:381" x14ac:dyDescent="0.25">
      <c r="E17" s="217" t="s">
        <v>4234</v>
      </c>
      <c r="F17" s="212" t="str">
        <f>IFERROR(VLOOKUP(B6,'PROG. 23'!A3:H1048576,8,0),"")</f>
        <v>1KT910967</v>
      </c>
      <c r="G17" s="219" t="s">
        <v>4184</v>
      </c>
      <c r="H17" s="220"/>
      <c r="I17" s="211" t="s">
        <v>4185</v>
      </c>
      <c r="J17" s="220"/>
      <c r="K17" s="211" t="s">
        <v>4186</v>
      </c>
      <c r="L17" s="220"/>
      <c r="M17" s="211" t="s">
        <v>4187</v>
      </c>
      <c r="P17" s="304"/>
      <c r="NG17" s="108">
        <f>NG14</f>
        <v>1</v>
      </c>
      <c r="NH17">
        <f>IF(NH16&lt;=NG17,1,NA())</f>
        <v>1</v>
      </c>
      <c r="NI17">
        <f>IF(NI16&lt;=NG17,1,NA())</f>
        <v>1</v>
      </c>
      <c r="NJ17">
        <f>IF(NJ16&lt;=NG17,1,NA())</f>
        <v>1</v>
      </c>
      <c r="NK17">
        <f>IF(NK16&lt;=NG17,1,NA())</f>
        <v>1</v>
      </c>
      <c r="NM17" s="108">
        <f>NM14</f>
        <v>1</v>
      </c>
      <c r="NN17">
        <f>IF(NN16&lt;=NM17,1,NA())</f>
        <v>1</v>
      </c>
      <c r="NO17">
        <f>IF(NO16&lt;=NM17,1,NA())</f>
        <v>1</v>
      </c>
      <c r="NP17">
        <f>IF(NP16&lt;=NM17,1,NA())</f>
        <v>1</v>
      </c>
      <c r="NQ17">
        <f>IF(NQ16&lt;=NM17,1,NA())</f>
        <v>1</v>
      </c>
    </row>
    <row r="18" spans="3:381" x14ac:dyDescent="0.25">
      <c r="C18" s="300"/>
      <c r="I18" s="218">
        <f>IF(VLOOKUP(B6,Prog_23[[CONTEINER]:[CHEGADA NO CLIENTE]],16,0)=0/1/1900,"",VLOOKUP(B6,Prog_23[[CONTEINER]:[CHEGADA NO CLIENTE]],16,0))</f>
        <v>45173.229166666664</v>
      </c>
      <c r="M18" s="218">
        <f>IF(VLOOKUP(B6,Prog_23[[CONTEINER]:[DATA DE ENTREGA]],19,0)=0/1/1900,"",VLOOKUP(B6,Prog_23[[CONTEINER]:[DATA DE ENTREGA]],19,0))</f>
        <v>45173.979166666664</v>
      </c>
      <c r="P18" s="304"/>
    </row>
    <row r="19" spans="3:381" x14ac:dyDescent="0.25">
      <c r="E19" s="214" t="str">
        <f>IFERROR(VLOOKUP(B6,Prog_23[[CONTEINER]:[PLACA CAVALO]],9,0),"")</f>
        <v>DDL8B54</v>
      </c>
      <c r="F19" s="212" t="str">
        <f>IFERROR(VLOOKUP(B6,Prog_23[[CONTEINER]:[MOTORISTA]],11,0),"")</f>
        <v>WILTON SILVA BARBOSA</v>
      </c>
      <c r="I19" s="252" t="str">
        <f>IFERROR(VLOOKUP(B6,'PROG. 23'!A3:F1946,6,0),"")</f>
        <v>TAQUARITINGA-SP</v>
      </c>
      <c r="M19" s="214" t="str">
        <f>IFERROR(VLOOKUP(B6,Prog_23[[CONTEINER]:[ENTREGA VAZIO / CHEIO]],18,0),"")</f>
        <v>SATEL / BTP</v>
      </c>
      <c r="P19" s="304"/>
      <c r="NH19" s="108">
        <v>1</v>
      </c>
      <c r="NI19" s="108">
        <v>1</v>
      </c>
      <c r="NJ19" s="108">
        <v>1</v>
      </c>
      <c r="NK19" s="108">
        <v>1</v>
      </c>
      <c r="NN19" s="108">
        <v>1</v>
      </c>
      <c r="NO19" s="108">
        <v>1</v>
      </c>
      <c r="NP19" s="108">
        <v>1</v>
      </c>
      <c r="NQ19" s="108">
        <v>1</v>
      </c>
    </row>
    <row r="20" spans="3:381" x14ac:dyDescent="0.25">
      <c r="D20" s="225"/>
      <c r="E20" s="239" t="s">
        <v>4242</v>
      </c>
      <c r="F20" s="326" t="str">
        <f>C6</f>
        <v>Saída 15:15, previsão de entega 23hr</v>
      </c>
      <c r="G20" s="326"/>
      <c r="H20" s="326"/>
      <c r="I20" s="326"/>
      <c r="J20" s="326"/>
      <c r="K20" s="326"/>
      <c r="L20" s="326"/>
      <c r="M20" s="326"/>
      <c r="N20" s="225"/>
      <c r="O20" s="225"/>
      <c r="P20" s="304"/>
    </row>
    <row r="21" spans="3:381" x14ac:dyDescent="0.25">
      <c r="E21" s="209"/>
      <c r="P21" s="304"/>
      <c r="NG21" t="s">
        <v>4192</v>
      </c>
      <c r="NH21" s="203">
        <f>IF(VLOOKUP(B8,Prog_23[[CONTEINER]:[DATA DE RETIRADA]],15,0)=0/1/1900,"",VLOOKUP(B8,Prog_23[[CONTEINER]:[DATA DE RETIRADA]],15,0))</f>
        <v>45161.222916666666</v>
      </c>
      <c r="NI21" s="203">
        <f>IF(VLOOKUP(B8,Prog_23[[CONTEINER]:[SAÍDA DO CLIENTE]],17,0)=0/1/1900,"",VLOOKUP(B8,Prog_23[[CONTEINER]:[SAÍDA DO CLIENTE]],17,0))</f>
        <v>45163.729166666664</v>
      </c>
      <c r="NM21" t="s">
        <v>4193</v>
      </c>
      <c r="NN21" s="206">
        <f>IF(VLOOKUP(B9,Prog_23[[CONTEINER]:[DATA DE RETIRADA]],15,0)=0/1/1900,"",VLOOKUP(B9,Prog_23[[CONTEINER]:[DATA DE RETIRADA]],15,0))</f>
        <v>45159.802777777775</v>
      </c>
      <c r="NO21" s="203">
        <f>IF(VLOOKUP(B9,Prog_23[[CONTEINER]:[SAÍDA DO CLIENTE]],17,0)=0/1/1900,"",VLOOKUP(B9,Prog_23[[CONTEINER]:[SAÍDA DO CLIENTE]],17,0))</f>
        <v>45160.4375</v>
      </c>
    </row>
    <row r="22" spans="3:381" x14ac:dyDescent="0.25">
      <c r="E22" s="217" t="s">
        <v>4233</v>
      </c>
      <c r="F22" s="215" t="str">
        <f>IFERROR(VLOOKUP(B7,Prog_23[CONTEINER],1,0),"")</f>
        <v>MNBU3243245</v>
      </c>
      <c r="P22" s="304"/>
      <c r="NH22" s="205">
        <v>0</v>
      </c>
      <c r="NI22" s="205">
        <v>0.5</v>
      </c>
      <c r="NJ22" s="205">
        <v>0.75</v>
      </c>
      <c r="NK22" s="205">
        <v>1</v>
      </c>
      <c r="NN22" s="205">
        <v>0</v>
      </c>
      <c r="NO22" s="205">
        <v>0.5</v>
      </c>
      <c r="NP22" s="205">
        <v>0.75</v>
      </c>
      <c r="NQ22" s="205">
        <v>1</v>
      </c>
    </row>
    <row r="23" spans="3:381" x14ac:dyDescent="0.25">
      <c r="E23" s="217" t="s">
        <v>4234</v>
      </c>
      <c r="F23" s="212" t="str">
        <f>IFERROR(VLOOKUP(B7,'PROG. 23'!A3:H1048576,8,0),"")</f>
        <v>23/1616999-5</v>
      </c>
      <c r="G23" s="219" t="s">
        <v>4184</v>
      </c>
      <c r="H23" s="220"/>
      <c r="I23" s="211" t="s">
        <v>4185</v>
      </c>
      <c r="J23" s="220"/>
      <c r="K23" s="211" t="s">
        <v>4186</v>
      </c>
      <c r="L23" s="220"/>
      <c r="M23" s="211" t="s">
        <v>4187</v>
      </c>
      <c r="P23" s="304"/>
      <c r="NG23" s="108">
        <f>IF(M30&lt;&gt;"",100%,IF(NI21&lt;&gt;"",75%,IF(I30&lt;&gt;"",50%,IF(NH21&lt;&gt;"",0%,0))))</f>
        <v>1</v>
      </c>
      <c r="NH23" t="e">
        <f>IF(NG23=NH22,1,NA())</f>
        <v>#N/A</v>
      </c>
      <c r="NI23" t="e">
        <f>IF(NG23=NI22,1,NA())</f>
        <v>#N/A</v>
      </c>
      <c r="NJ23" t="e">
        <f>IF(NG23=NJ22,1,NA())</f>
        <v>#N/A</v>
      </c>
      <c r="NK23">
        <f>IF(NG23=NK22,1,NA())</f>
        <v>1</v>
      </c>
      <c r="NM23" s="108">
        <f>IF(M36&lt;&gt;"",100%,IF(NO21&lt;&gt;"",75%,IF(I36&lt;&gt;"",50%,IF(NN21&lt;&gt;"",0%,0))))</f>
        <v>1</v>
      </c>
      <c r="NN23" t="e">
        <f>IF(NM23=NN22,1,NA())</f>
        <v>#N/A</v>
      </c>
      <c r="NO23" t="e">
        <f>IF(NM23=NO22,1,NA())</f>
        <v>#N/A</v>
      </c>
      <c r="NP23" t="e">
        <f>IF(NM23=NP22,1,NA())</f>
        <v>#N/A</v>
      </c>
      <c r="NQ23">
        <f>IF(NM23=NQ22,1,NA())</f>
        <v>1</v>
      </c>
    </row>
    <row r="24" spans="3:381" x14ac:dyDescent="0.25">
      <c r="C24" s="302"/>
      <c r="I24" s="218">
        <f>IF(VLOOKUP(B7,Prog_23[[CONTEINER]:[CHEGADA NO CLIENTE]],16,0)=0/1/1900,"",VLOOKUP(B7,Prog_23[[CONTEINER]:[CHEGADA NO CLIENTE]],16,0))</f>
        <v>45160.152777777781</v>
      </c>
      <c r="M24" s="218">
        <f>IF(VLOOKUP(B7,Prog_23[[CONTEINER]:[DATA DE ENTREGA]],19,0)=0/1/1900,"",VLOOKUP(B7,Prog_23[[CONTEINER]:[DATA DE ENTREGA]],19,0))</f>
        <v>45161.436111111114</v>
      </c>
      <c r="P24" s="304"/>
    </row>
    <row r="25" spans="3:381" x14ac:dyDescent="0.25">
      <c r="C25" s="302"/>
      <c r="E25" s="214" t="str">
        <f>IFERROR(VLOOKUP(B7,Prog_23[[CONTEINER]:[PLACA CAVALO]],9,0),"")</f>
        <v>FSI0I03</v>
      </c>
      <c r="F25" s="212" t="str">
        <f>IFERROR(VLOOKUP(B7,Prog_23[[CONTEINER]:[MOTORISTA]],11,0),"")</f>
        <v>EMERSON PEREIRA DA SILVA</v>
      </c>
      <c r="I25" s="214" t="str">
        <f>IFERROR(VLOOKUP(B7,'PROG. 23'!A3:F1946,6,0),"")</f>
        <v>CAMBUI-MG</v>
      </c>
      <c r="M25" s="214" t="str">
        <f>IFERROR(VLOOKUP(B7,Prog_23[[CONTEINER]:[ENTREGA VAZIO / CHEIO]],18,0),"")</f>
        <v>TRANSTEC SANTOS</v>
      </c>
      <c r="P25" s="304"/>
      <c r="NH25" s="205">
        <v>0</v>
      </c>
      <c r="NI25" s="205">
        <v>0.5</v>
      </c>
      <c r="NJ25" s="205">
        <v>0.75</v>
      </c>
      <c r="NK25" s="205">
        <v>1</v>
      </c>
      <c r="NN25" s="205">
        <v>0</v>
      </c>
      <c r="NO25" s="205">
        <v>0.5</v>
      </c>
      <c r="NP25" s="205">
        <v>0.75</v>
      </c>
      <c r="NQ25" s="205">
        <v>1</v>
      </c>
    </row>
    <row r="26" spans="3:381" x14ac:dyDescent="0.25">
      <c r="C26" s="302"/>
      <c r="D26" s="225"/>
      <c r="E26" s="239" t="s">
        <v>4271</v>
      </c>
      <c r="F26" s="327" t="str">
        <f>C7</f>
        <v>Aguardando para descarga</v>
      </c>
      <c r="G26" s="327"/>
      <c r="H26" s="327"/>
      <c r="I26" s="327"/>
      <c r="J26" s="327"/>
      <c r="K26" s="327"/>
      <c r="L26" s="327"/>
      <c r="M26" s="327"/>
      <c r="N26" s="225"/>
      <c r="O26" s="225"/>
      <c r="P26" s="304"/>
      <c r="NG26" s="108">
        <f>NG23</f>
        <v>1</v>
      </c>
      <c r="NH26">
        <f>IF(NH25&lt;=NG26,1,NA())</f>
        <v>1</v>
      </c>
      <c r="NI26">
        <f>IF(NI25&lt;=NG26,1,NA())</f>
        <v>1</v>
      </c>
      <c r="NJ26">
        <f>IF(NJ25&lt;=NG26,1,NA())</f>
        <v>1</v>
      </c>
      <c r="NK26">
        <f>IF(NK25&lt;=NG26,1,NA())</f>
        <v>1</v>
      </c>
      <c r="NM26" s="108">
        <f>NM23</f>
        <v>1</v>
      </c>
      <c r="NN26">
        <f>IF(NN25&lt;=NM26,1,NA())</f>
        <v>1</v>
      </c>
      <c r="NO26">
        <f>IF(NO25&lt;=NM26,1,NA())</f>
        <v>1</v>
      </c>
      <c r="NP26">
        <f>IF(NP25&lt;=NM26,1,NA())</f>
        <v>1</v>
      </c>
      <c r="NQ26">
        <f>IF(NQ25&lt;=NM26,1,NA())</f>
        <v>1</v>
      </c>
    </row>
    <row r="27" spans="3:381" x14ac:dyDescent="0.25">
      <c r="C27" s="302"/>
    </row>
    <row r="28" spans="3:381" x14ac:dyDescent="0.25">
      <c r="C28" s="302"/>
      <c r="E28" s="217" t="s">
        <v>4233</v>
      </c>
      <c r="F28" s="215" t="str">
        <f>IFERROR(VLOOKUP(B8,Prog_23[CONTEINER],1,0),"")</f>
        <v>GCXU5136991</v>
      </c>
      <c r="NH28" s="108">
        <v>1</v>
      </c>
      <c r="NI28" s="108">
        <v>1</v>
      </c>
      <c r="NJ28" s="108">
        <v>1</v>
      </c>
      <c r="NK28" s="108">
        <v>1</v>
      </c>
      <c r="NN28" s="108">
        <v>1</v>
      </c>
      <c r="NO28" s="108">
        <v>1</v>
      </c>
      <c r="NP28" s="108">
        <v>1</v>
      </c>
      <c r="NQ28" s="108">
        <v>1</v>
      </c>
    </row>
    <row r="29" spans="3:381" x14ac:dyDescent="0.25">
      <c r="C29" s="302"/>
      <c r="E29" s="217" t="s">
        <v>4234</v>
      </c>
      <c r="F29" s="212" t="str">
        <f>IFERROR(VLOOKUP(B8,'PROG. 23'!A3:H1048576,8,0),"")</f>
        <v>SSZ1389737</v>
      </c>
      <c r="G29" s="219" t="s">
        <v>4184</v>
      </c>
      <c r="H29" s="220"/>
      <c r="I29" s="211" t="s">
        <v>4185</v>
      </c>
      <c r="J29" s="220"/>
      <c r="K29" s="211" t="s">
        <v>4186</v>
      </c>
      <c r="L29" s="220"/>
      <c r="M29" s="211" t="s">
        <v>4187</v>
      </c>
    </row>
    <row r="30" spans="3:381" x14ac:dyDescent="0.25">
      <c r="I30" s="218">
        <f>IF(VLOOKUP(B8,Prog_23[[CONTEINER]:[CHEGADA NO CLIENTE]],16,0)=0/1/1900,"",VLOOKUP(B8,Prog_23[[CONTEINER]:[CHEGADA NO CLIENTE]],16,0))</f>
        <v>45163.09375</v>
      </c>
      <c r="M30" s="218">
        <f>IF(VLOOKUP(B8,Prog_23[[CONTEINER]:[DATA DE ENTREGA]],19,0)=0/1/1900,"",VLOOKUP(B8,Prog_23[[CONTEINER]:[DATA DE ENTREGA]],19,0))</f>
        <v>45163.977777777778</v>
      </c>
      <c r="NG30" t="s">
        <v>4194</v>
      </c>
      <c r="NH30" s="203">
        <f>IF(VLOOKUP(B10,Prog_23[[CONTEINER]:[DATA DE RETIRADA]],15,0)=0/1/1900,"",VLOOKUP(B10,Prog_23[[CONTEINER]:[DATA DE RETIRADA]],15,0))</f>
        <v>45159.811111111114</v>
      </c>
      <c r="NI30" s="203">
        <f>IF(VLOOKUP(B10,Prog_23[[CONTEINER]:[SAÍDA DO CLIENTE]],17,0)=0/1/1900,"",VLOOKUP(B10,Prog_23[[CONTEINER]:[SAÍDA DO CLIENTE]],17,0))</f>
        <v>45160.458333333336</v>
      </c>
      <c r="NM30" t="s">
        <v>4195</v>
      </c>
      <c r="NN30" s="203">
        <f>IF(VLOOKUP(B11,Prog_23[[CONTEINER]:[DATA DE RETIRADA]],15,0)=0/1/1900,"",VLOOKUP(B11,Prog_23[[CONTEINER]:[DATA DE RETIRADA]],15,0))</f>
        <v>45160.54583333333</v>
      </c>
      <c r="NO30" s="203">
        <f>IF(VLOOKUP(B11,Prog_23[[CONTEINER]:[SAÍDA DO CLIENTE]],17,0)=0/1/1900,"",VLOOKUP(B11,Prog_23[[CONTEINER]:[SAÍDA DO CLIENTE]],17,0))</f>
        <v>45160.958333333336</v>
      </c>
    </row>
    <row r="31" spans="3:381" x14ac:dyDescent="0.25">
      <c r="E31" s="214" t="str">
        <f>IFERROR(VLOOKUP(B8,Prog_23[[CONTEINER]:[PLACA CAVALO]],9,0),"")</f>
        <v>DDL8B54</v>
      </c>
      <c r="F31" s="212" t="str">
        <f>IFERROR(VLOOKUP(B8,Prog_23[[CONTEINER]:[MOTORISTA]],11,0),"")</f>
        <v>WILTON SILVA BARBOSA</v>
      </c>
      <c r="I31" s="214" t="str">
        <f>IFERROR(VLOOKUP(B8,'PROG. 23'!A3:F1946,6,0),"")</f>
        <v>LEME-SP</v>
      </c>
      <c r="M31" s="214" t="str">
        <f>IFERROR(VLOOKUP(B8,Prog_23[[CONTEINER]:[ENTREGA VAZIO / CHEIO]],18,0),"")</f>
        <v>DPW</v>
      </c>
      <c r="NH31" s="205">
        <v>0</v>
      </c>
      <c r="NI31" s="205">
        <v>0.5</v>
      </c>
      <c r="NJ31" s="205">
        <v>0.75</v>
      </c>
      <c r="NK31" s="205">
        <v>1</v>
      </c>
      <c r="NN31" s="205">
        <v>0</v>
      </c>
      <c r="NO31" s="205">
        <v>0.5</v>
      </c>
      <c r="NP31" s="205">
        <v>0.75</v>
      </c>
      <c r="NQ31" s="205">
        <v>1</v>
      </c>
    </row>
    <row r="32" spans="3:381" x14ac:dyDescent="0.25">
      <c r="D32" s="225"/>
      <c r="E32" s="239" t="s">
        <v>4242</v>
      </c>
      <c r="F32" s="327" t="str">
        <f>C8</f>
        <v>Saída do cliente 17:30hr. Previsão de entrega da unidade hoje as 23hr</v>
      </c>
      <c r="G32" s="327"/>
      <c r="H32" s="327"/>
      <c r="I32" s="327"/>
      <c r="J32" s="327"/>
      <c r="K32" s="327"/>
      <c r="L32" s="327"/>
      <c r="M32" s="327"/>
      <c r="N32" s="225"/>
      <c r="O32" s="225"/>
      <c r="NG32" s="108">
        <f>IF(M42&lt;&gt;"",100%,IF(NI30&lt;&gt;"",75%,IF(I42&lt;&gt;"",50%,IF(NH30&lt;&gt;"",0%,0))))</f>
        <v>1</v>
      </c>
      <c r="NH32" t="e">
        <f>IF(NG32=NH31,1,NA())</f>
        <v>#N/A</v>
      </c>
      <c r="NI32" t="e">
        <f>IF(NG32=NI31,1,NA())</f>
        <v>#N/A</v>
      </c>
      <c r="NJ32" t="e">
        <f>IF(NG32=NJ31,1,NA())</f>
        <v>#N/A</v>
      </c>
      <c r="NK32">
        <f>IF(NG32=NK31,1,NA())</f>
        <v>1</v>
      </c>
      <c r="NM32" s="108">
        <f>IF(M48&lt;&gt;"",100%,IF(NO30&lt;&gt;"",75%,IF(I48&lt;&gt;"",50%,IF(NN30&lt;&gt;"",0%,0))))</f>
        <v>1</v>
      </c>
      <c r="NN32" t="e">
        <f>IF(NM32=NN31,1,NA())</f>
        <v>#N/A</v>
      </c>
      <c r="NO32" t="e">
        <f>IF(NM32=NO31,1,NA())</f>
        <v>#N/A</v>
      </c>
      <c r="NP32" t="e">
        <f>IF(NM32=NP31,1,NA())</f>
        <v>#N/A</v>
      </c>
      <c r="NQ32">
        <f>IF(NM32=NQ31,1,NA())</f>
        <v>1</v>
      </c>
    </row>
    <row r="33" spans="3:381" x14ac:dyDescent="0.25">
      <c r="E33" s="209"/>
    </row>
    <row r="34" spans="3:381" x14ac:dyDescent="0.25">
      <c r="E34" s="217" t="s">
        <v>4233</v>
      </c>
      <c r="F34" s="215" t="str">
        <f>IFERROR(VLOOKUP(B9,Prog_23[CONTEINER],1,0),"")</f>
        <v>HLXU8132860</v>
      </c>
      <c r="NH34" s="205">
        <v>0</v>
      </c>
      <c r="NI34" s="205">
        <v>0.5</v>
      </c>
      <c r="NJ34" s="205">
        <v>0.75</v>
      </c>
      <c r="NK34" s="205">
        <v>1</v>
      </c>
      <c r="NN34" s="205">
        <v>0</v>
      </c>
      <c r="NO34" s="205">
        <v>0.5</v>
      </c>
      <c r="NP34" s="205">
        <v>0.75</v>
      </c>
      <c r="NQ34" s="205">
        <v>1</v>
      </c>
    </row>
    <row r="35" spans="3:381" x14ac:dyDescent="0.25">
      <c r="E35" s="217" t="s">
        <v>4234</v>
      </c>
      <c r="F35" s="212">
        <f>IFERROR(VLOOKUP(B9,'PROG. 23'!A3:H1048576,8,0),"")</f>
        <v>63237922</v>
      </c>
      <c r="G35" s="219" t="s">
        <v>4184</v>
      </c>
      <c r="H35" s="220"/>
      <c r="I35" s="211" t="s">
        <v>4185</v>
      </c>
      <c r="J35" s="220"/>
      <c r="K35" s="211" t="s">
        <v>4186</v>
      </c>
      <c r="L35" s="220"/>
      <c r="M35" s="211" t="s">
        <v>4187</v>
      </c>
      <c r="NG35" s="108">
        <f>NG32</f>
        <v>1</v>
      </c>
      <c r="NH35">
        <f>IF(NH34&lt;=NG35,1,NA())</f>
        <v>1</v>
      </c>
      <c r="NI35">
        <f>IF(NI34&lt;=NG35,1,NA())</f>
        <v>1</v>
      </c>
      <c r="NJ35">
        <f>IF(NJ34&lt;=NG35,1,NA())</f>
        <v>1</v>
      </c>
      <c r="NK35">
        <f>IF(NK34&lt;=NG35,1,NA())</f>
        <v>1</v>
      </c>
      <c r="NM35" s="108">
        <f>NM32</f>
        <v>1</v>
      </c>
      <c r="NN35">
        <f>IF(NN34&lt;=NM35,1,NA())</f>
        <v>1</v>
      </c>
      <c r="NO35">
        <f>IF(NO34&lt;=NM35,1,NA())</f>
        <v>1</v>
      </c>
      <c r="NP35">
        <f>IF(NP34&lt;=NM35,1,NA())</f>
        <v>1</v>
      </c>
      <c r="NQ35">
        <f>IF(NQ34&lt;=NM35,1,NA())</f>
        <v>1</v>
      </c>
    </row>
    <row r="36" spans="3:381" x14ac:dyDescent="0.25">
      <c r="C36" s="303"/>
      <c r="I36" s="216">
        <f>IF(VLOOKUP(B9,Prog_23[[CONTEINER]:[CHEGADA NO CLIENTE]],16,0)=0/1/1900,"",VLOOKUP(B9,Prog_23[[CONTEINER]:[CHEGADA NO CLIENTE]],16,0))</f>
        <v>45160.0625</v>
      </c>
      <c r="M36" s="218">
        <f>IF(VLOOKUP(B9,Prog_23[[CONTEINER]:[DATA DE ENTREGA]],19,0)=0/1/1900,"",VLOOKUP(B9,Prog_23[[CONTEINER]:[DATA DE ENTREGA]],19,0))</f>
        <v>45162.686805555553</v>
      </c>
    </row>
    <row r="37" spans="3:381" x14ac:dyDescent="0.25">
      <c r="E37" s="214" t="str">
        <f>IFERROR(VLOOKUP(B9,Prog_23[[CONTEINER]:[PLACA CAVALO]],9,0),"")</f>
        <v>AHP6I00</v>
      </c>
      <c r="F37" s="212" t="str">
        <f>IFERROR(VLOOKUP(B9,Prog_23[[CONTEINER]:[MOTORISTA]],11,0),"")</f>
        <v>PAULO ROBERTO GERMANO</v>
      </c>
      <c r="I37" s="214" t="str">
        <f>IFERROR(VLOOKUP(B9,'PROG. 23'!A3:F1946,6,0),"")</f>
        <v>SUMARÉ-SP</v>
      </c>
      <c r="M37" s="214" t="str">
        <f>IFERROR(VLOOKUP(B9,Prog_23[[CONTEINER]:[ENTREGA VAZIO / CHEIO]],18,0),"")</f>
        <v>DPW</v>
      </c>
      <c r="NH37" s="108">
        <v>1</v>
      </c>
      <c r="NI37" s="108">
        <v>1</v>
      </c>
      <c r="NJ37" s="108">
        <v>1</v>
      </c>
      <c r="NK37" s="108">
        <v>1</v>
      </c>
      <c r="NN37" s="108">
        <v>1</v>
      </c>
      <c r="NO37" s="108">
        <v>1</v>
      </c>
      <c r="NP37" s="108">
        <v>1</v>
      </c>
      <c r="NQ37" s="108">
        <v>1</v>
      </c>
    </row>
    <row r="38" spans="3:381" x14ac:dyDescent="0.25">
      <c r="D38" s="225"/>
      <c r="E38" s="239" t="s">
        <v>4242</v>
      </c>
      <c r="F38" s="325" t="str">
        <f>C9</f>
        <v>Saída do cliente 10:30</v>
      </c>
      <c r="G38" s="325"/>
      <c r="H38" s="325"/>
      <c r="I38" s="325"/>
      <c r="J38" s="325"/>
      <c r="K38" s="325"/>
      <c r="L38" s="325"/>
      <c r="M38" s="325"/>
      <c r="N38" s="225"/>
      <c r="O38" s="225"/>
    </row>
    <row r="39" spans="3:381" x14ac:dyDescent="0.25">
      <c r="E39" s="209"/>
      <c r="NG39" t="s">
        <v>4196</v>
      </c>
      <c r="NH39" s="203" t="e">
        <f>IF(VLOOKUP(B12,Prog_23[[CONTEINER]:[DATA DE RETIRADA]],15,0)=0/1/1900,"",VLOOKUP(B12,Prog_23[[CONTEINER]:[DATA DE RETIRADA]],15,0))</f>
        <v>#N/A</v>
      </c>
      <c r="NI39" s="203" t="e">
        <f>IF(VLOOKUP(B12,Prog_23[[CONTEINER]:[SAÍDA DO CLIENTE]],17,0)=0/1/1900,"",VLOOKUP(B12,Prog_23[[CONTEINER]:[SAÍDA DO CLIENTE]],17,0))</f>
        <v>#N/A</v>
      </c>
      <c r="NM39" t="s">
        <v>4197</v>
      </c>
      <c r="NN39" s="203" t="e">
        <f>IF(VLOOKUP(B13,Prog_23[[CONTEINER]:[DATA DE RETIRADA]],15,0)=0/1/1900,"",VLOOKUP(B13,Prog_23[[CONTEINER]:[DATA DE RETIRADA]],15,0))</f>
        <v>#N/A</v>
      </c>
      <c r="NO39" s="203" t="e">
        <f>IF(VLOOKUP(B13,Prog_23[[CONTEINER]:[SAÍDA DO CLIENTE]],17,0)=0/1/1900,"",VLOOKUP(B13,Prog_23[[CONTEINER]:[SAÍDA DO CLIENTE]],17,0))</f>
        <v>#N/A</v>
      </c>
    </row>
    <row r="40" spans="3:381" x14ac:dyDescent="0.25">
      <c r="E40" s="217" t="s">
        <v>4233</v>
      </c>
      <c r="F40" s="215" t="str">
        <f>IFERROR(VLOOKUP(B10,Prog_23[CONTEINER],1,0),"")</f>
        <v>FDCU0141760</v>
      </c>
      <c r="NH40" s="205">
        <v>0</v>
      </c>
      <c r="NI40" s="205">
        <v>0.5</v>
      </c>
      <c r="NJ40" s="205">
        <v>0.75</v>
      </c>
      <c r="NK40" s="205">
        <v>1</v>
      </c>
      <c r="NN40" s="205">
        <v>0</v>
      </c>
      <c r="NO40" s="205">
        <v>0.5</v>
      </c>
      <c r="NP40" s="205">
        <v>0.75</v>
      </c>
      <c r="NQ40" s="205">
        <v>1</v>
      </c>
    </row>
    <row r="41" spans="3:381" x14ac:dyDescent="0.25">
      <c r="E41" s="217" t="s">
        <v>4234</v>
      </c>
      <c r="F41" s="212">
        <f>IFERROR(VLOOKUP(B10,'PROG. 23'!A3:H1048576,8,0),"")</f>
        <v>63237922</v>
      </c>
      <c r="G41" s="219" t="s">
        <v>4184</v>
      </c>
      <c r="H41" s="220"/>
      <c r="I41" s="211" t="s">
        <v>4185</v>
      </c>
      <c r="J41" s="220"/>
      <c r="K41" s="211" t="s">
        <v>4186</v>
      </c>
      <c r="L41" s="220"/>
      <c r="M41" s="211" t="s">
        <v>4187</v>
      </c>
      <c r="NG41" s="108" t="e">
        <f>IF(M54&lt;&gt;"",100%,IF(NI39&lt;&gt;"",75%,IF(I54&lt;&gt;"",50%,IF(NH39&lt;&gt;"",0%,0))))</f>
        <v>#N/A</v>
      </c>
      <c r="NH41" t="e">
        <f>IF(NG41=NH40,1,NA())</f>
        <v>#N/A</v>
      </c>
      <c r="NI41" t="e">
        <f>IF(NG41=NI40,1,NA())</f>
        <v>#N/A</v>
      </c>
      <c r="NJ41" t="e">
        <f>IF(NG41=NJ40,1,NA())</f>
        <v>#N/A</v>
      </c>
      <c r="NK41" t="e">
        <f>IF(NG41=NK40,1,NA())</f>
        <v>#N/A</v>
      </c>
      <c r="NM41" s="108" t="e">
        <f>IF(M60&lt;&gt;"",100%,IF(NO39&lt;&gt;"",75%,IF(I60&lt;&gt;"",50%,IF(NN39&lt;&gt;"",0%,0))))</f>
        <v>#N/A</v>
      </c>
      <c r="NN41" t="e">
        <f>IF(NM41=NN40,1,NA())</f>
        <v>#N/A</v>
      </c>
      <c r="NO41" t="e">
        <f>IF(NM41=NO40,1,NA())</f>
        <v>#N/A</v>
      </c>
      <c r="NP41" t="e">
        <f>IF(NM41=NP40,1,NA())</f>
        <v>#N/A</v>
      </c>
      <c r="NQ41" t="e">
        <f>IF(NM41=NQ40,1,NA())</f>
        <v>#N/A</v>
      </c>
    </row>
    <row r="42" spans="3:381" x14ac:dyDescent="0.25">
      <c r="I42" s="218">
        <f>IF(VLOOKUP(B10,Prog_23[[CONTEINER]:[CHEGADA NO CLIENTE]],16,0)=0/1/1900,"",VLOOKUP(B10,Prog_23[[CONTEINER]:[CHEGADA NO CLIENTE]],16,0))</f>
        <v>45160.0625</v>
      </c>
      <c r="M42" s="218">
        <f>IF(VLOOKUP(B10,Prog_23[[CONTEINER]:[DATA DE ENTREGA]],19,0)=0/1/1900,"",VLOOKUP(B10,Prog_23[[CONTEINER]:[DATA DE ENTREGA]],19,0))</f>
        <v>45162.693749999999</v>
      </c>
    </row>
    <row r="43" spans="3:381" x14ac:dyDescent="0.25">
      <c r="E43" s="214" t="str">
        <f>IFERROR(VLOOKUP(B10,Prog_23[[CONTEINER]:[PLACA CAVALO]],9,0),"")</f>
        <v>DAJ5055</v>
      </c>
      <c r="F43" s="212" t="str">
        <f>IFERROR(VLOOKUP(B10,Prog_23[[CONTEINER]:[MOTORISTA]],11,0),"")</f>
        <v>NELSON LOPES AMANCIO</v>
      </c>
      <c r="I43" s="214" t="str">
        <f>IFERROR(VLOOKUP(B10,'PROG. 23'!A3:F1946,6,0),"")</f>
        <v>SUMARÉ-SP</v>
      </c>
      <c r="M43" s="214" t="str">
        <f>IFERROR(VLOOKUP(B10,Prog_23[[CONTEINER]:[ENTREGA VAZIO / CHEIO]],18,0),"")</f>
        <v>DPW</v>
      </c>
      <c r="NH43" s="205">
        <v>0</v>
      </c>
      <c r="NI43" s="205">
        <v>0.5</v>
      </c>
      <c r="NJ43" s="205">
        <v>0.75</v>
      </c>
      <c r="NK43" s="205">
        <v>1</v>
      </c>
      <c r="NN43" s="205">
        <v>0</v>
      </c>
      <c r="NO43" s="205">
        <v>0.5</v>
      </c>
      <c r="NP43" s="205">
        <v>0.75</v>
      </c>
      <c r="NQ43" s="205">
        <v>1</v>
      </c>
    </row>
    <row r="44" spans="3:381" x14ac:dyDescent="0.25">
      <c r="D44" s="225"/>
      <c r="E44" s="239" t="s">
        <v>4242</v>
      </c>
      <c r="F44" s="325" t="str">
        <f>C10</f>
        <v>Saída do cliente 11hr</v>
      </c>
      <c r="G44" s="325"/>
      <c r="H44" s="325"/>
      <c r="I44" s="325"/>
      <c r="J44" s="325"/>
      <c r="K44" s="325"/>
      <c r="L44" s="325"/>
      <c r="M44" s="325"/>
      <c r="N44" s="225"/>
      <c r="O44" s="225"/>
      <c r="NG44" s="108" t="e">
        <f>NG41</f>
        <v>#N/A</v>
      </c>
      <c r="NH44" t="e">
        <f>IF(NH43&lt;=NG44,1,NA())</f>
        <v>#N/A</v>
      </c>
      <c r="NI44" t="e">
        <f>IF(NI43&lt;=NG44,1,NA())</f>
        <v>#N/A</v>
      </c>
      <c r="NJ44" t="e">
        <f>IF(NJ43&lt;=NG44,1,NA())</f>
        <v>#N/A</v>
      </c>
      <c r="NK44" t="e">
        <f>IF(NK43&lt;=NG44,1,NA())</f>
        <v>#N/A</v>
      </c>
      <c r="NM44" s="108" t="e">
        <f>NM41</f>
        <v>#N/A</v>
      </c>
      <c r="NN44" t="e">
        <f>IF(NN43&lt;=NM44,1,NA())</f>
        <v>#N/A</v>
      </c>
      <c r="NO44" t="e">
        <f>IF(NO43&lt;=NM44,1,NA())</f>
        <v>#N/A</v>
      </c>
      <c r="NP44" t="e">
        <f>IF(NP43&lt;=NM44,1,NA())</f>
        <v>#N/A</v>
      </c>
      <c r="NQ44" t="e">
        <f>IF(NQ43&lt;=NM44,1,NA())</f>
        <v>#N/A</v>
      </c>
    </row>
    <row r="46" spans="3:381" x14ac:dyDescent="0.25">
      <c r="E46" s="217" t="s">
        <v>4233</v>
      </c>
      <c r="F46" s="215" t="str">
        <f>IFERROR(VLOOKUP(B11,Prog_23[CONTEINER],1,0),"")</f>
        <v>HLBU2186250</v>
      </c>
      <c r="NH46" s="108">
        <v>1</v>
      </c>
      <c r="NI46" s="108">
        <v>1</v>
      </c>
      <c r="NJ46" s="108">
        <v>1</v>
      </c>
      <c r="NK46" s="108">
        <v>1</v>
      </c>
      <c r="NN46" s="108">
        <v>1</v>
      </c>
      <c r="NO46" s="108">
        <v>1</v>
      </c>
      <c r="NP46" s="108">
        <v>1</v>
      </c>
      <c r="NQ46" s="108">
        <v>1</v>
      </c>
    </row>
    <row r="47" spans="3:381" x14ac:dyDescent="0.25">
      <c r="E47" s="217" t="s">
        <v>4234</v>
      </c>
      <c r="F47" s="212">
        <f>IFERROR(VLOOKUP(B11,'PROG. 23'!A3:H1048576,8,0),"")</f>
        <v>63237922</v>
      </c>
      <c r="G47" s="219" t="s">
        <v>4184</v>
      </c>
      <c r="H47" s="220"/>
      <c r="I47" s="211" t="s">
        <v>4185</v>
      </c>
      <c r="J47" s="220"/>
      <c r="K47" s="211" t="s">
        <v>4186</v>
      </c>
      <c r="L47" s="220"/>
      <c r="M47" s="211" t="s">
        <v>4187</v>
      </c>
    </row>
    <row r="48" spans="3:381" x14ac:dyDescent="0.25">
      <c r="I48" s="218">
        <f>IF(VLOOKUP(B11,Prog_23[[CONTEINER]:[CHEGADA NO CLIENTE]],16,0)=0/1/1900,"",VLOOKUP(B11,Prog_23[[CONTEINER]:[CHEGADA NO CLIENTE]],16,0))</f>
        <v>45160.6875</v>
      </c>
      <c r="M48" s="218">
        <f>IF(VLOOKUP(B11,Prog_23[[CONTEINER]:[DATA DE ENTREGA]],19,0)=0/1/1900,"",VLOOKUP(B11,Prog_23[[CONTEINER]:[DATA DE ENTREGA]],19,0))</f>
        <v>45161.210416666669</v>
      </c>
    </row>
    <row r="49" spans="4:376" x14ac:dyDescent="0.25">
      <c r="E49" s="214" t="str">
        <f>IFERROR(VLOOKUP(B11,Prog_23[[CONTEINER]:[PLACA CAVALO]],9,0),"")</f>
        <v>GXA8E16</v>
      </c>
      <c r="F49" s="212" t="str">
        <f>IFERROR(VLOOKUP(B11,Prog_23[[CONTEINER]:[MOTORISTA]],11,0),"")</f>
        <v>ERIVALDO DE SOUZA MASCARENHAS</v>
      </c>
      <c r="I49" s="214" t="str">
        <f>IFERROR(VLOOKUP(B11,'PROG. 23'!A9:F1946,6,0),"")</f>
        <v>SUMARÉ-SP</v>
      </c>
      <c r="M49" s="214" t="str">
        <f>IFERROR(VLOOKUP(B11,Prog_23[[CONTEINER]:[ENTREGA VAZIO / CHEIO]],18,0),"")</f>
        <v>DPW</v>
      </c>
    </row>
    <row r="50" spans="4:376" x14ac:dyDescent="0.25">
      <c r="D50" s="225"/>
      <c r="E50" s="239" t="s">
        <v>4242</v>
      </c>
      <c r="F50" s="326" t="str">
        <f>C11</f>
        <v>Saída do cliente 13:00</v>
      </c>
      <c r="G50" s="326"/>
      <c r="H50" s="326"/>
      <c r="I50" s="326"/>
      <c r="J50" s="326"/>
      <c r="K50" s="326"/>
      <c r="L50" s="326"/>
      <c r="M50" s="326"/>
      <c r="N50" s="225"/>
      <c r="O50" s="225"/>
      <c r="NL50" s="207"/>
    </row>
    <row r="51" spans="4:376" x14ac:dyDescent="0.25">
      <c r="E51" s="209"/>
    </row>
    <row r="52" spans="4:376" x14ac:dyDescent="0.25">
      <c r="E52" s="217" t="s">
        <v>4233</v>
      </c>
      <c r="F52" s="215" t="str">
        <f>IFERROR(VLOOKUP(B12,Prog_23[CONTEINER],1,0),"")</f>
        <v/>
      </c>
    </row>
    <row r="53" spans="4:376" x14ac:dyDescent="0.25">
      <c r="E53" s="217" t="s">
        <v>4234</v>
      </c>
      <c r="F53" s="212" t="str">
        <f>IFERROR(VLOOKUP(B12,'PROG. 23'!A3:H1048576,8,0),"")</f>
        <v>SSZ1348509</v>
      </c>
      <c r="G53" s="219" t="s">
        <v>4184</v>
      </c>
      <c r="H53" s="220"/>
      <c r="I53" s="211" t="s">
        <v>4185</v>
      </c>
      <c r="J53" s="220"/>
      <c r="K53" s="211" t="s">
        <v>4186</v>
      </c>
      <c r="L53" s="220"/>
      <c r="M53" s="211" t="s">
        <v>4187</v>
      </c>
    </row>
    <row r="54" spans="4:376" x14ac:dyDescent="0.25">
      <c r="E54" s="240"/>
      <c r="I54" s="218" t="e">
        <f>IF(VLOOKUP(B12,Prog_23[[CONTEINER]:[CHEGADA NO CLIENTE]],16,0)=0/1/1900,"",VLOOKUP(B12,Prog_23[[CONTEINER]:[CHEGADA NO CLIENTE]],16,0))</f>
        <v>#N/A</v>
      </c>
      <c r="M54" s="218" t="e">
        <f>IF(VLOOKUP(B12,Prog_23[[CONTEINER]:[DATA DE ENTREGA]],19,0)=0/1/1900,"",VLOOKUP(B12,Prog_23[[CONTEINER]:[DATA DE ENTREGA]],19,0))</f>
        <v>#N/A</v>
      </c>
    </row>
    <row r="55" spans="4:376" x14ac:dyDescent="0.25">
      <c r="E55" s="214" t="str">
        <f>IFERROR(VLOOKUP(B12,Prog_23[[CONTEINER]:[PLACA CAVALO]],9,0),"")</f>
        <v/>
      </c>
      <c r="F55" s="212" t="str">
        <f>IFERROR(VLOOKUP(B12,Prog_23[[CONTEINER]:[MOTORISTA]],11,0),"")</f>
        <v/>
      </c>
      <c r="I55" s="214" t="str">
        <f>IFERROR(VLOOKUP(B12,'PROG. 23'!A3:F1946,6,0),"")</f>
        <v>SALTO DE PIRAPORA-SP</v>
      </c>
      <c r="M55" s="214" t="str">
        <f>IFERROR(VLOOKUP(B12,Prog_23[[CONTEINER]:[ENTREGA VAZIO / CHEIO]],18,0),"")</f>
        <v/>
      </c>
    </row>
    <row r="56" spans="4:376" x14ac:dyDescent="0.25">
      <c r="D56" s="225"/>
      <c r="E56" s="239" t="s">
        <v>4242</v>
      </c>
      <c r="F56" s="325">
        <f>C12</f>
        <v>0</v>
      </c>
      <c r="G56" s="325"/>
      <c r="H56" s="325"/>
      <c r="I56" s="325"/>
      <c r="J56" s="325"/>
      <c r="K56" s="325"/>
      <c r="L56" s="325"/>
      <c r="M56" s="325"/>
      <c r="N56" s="225"/>
      <c r="O56" s="225"/>
    </row>
    <row r="57" spans="4:376" x14ac:dyDescent="0.25">
      <c r="E57" s="209"/>
    </row>
    <row r="58" spans="4:376" x14ac:dyDescent="0.25">
      <c r="E58" s="217" t="s">
        <v>4233</v>
      </c>
      <c r="F58" s="215" t="str">
        <f>IFERROR(VLOOKUP(B13,Prog_23[CONTEINER],1,0),"")</f>
        <v/>
      </c>
    </row>
    <row r="59" spans="4:376" x14ac:dyDescent="0.25">
      <c r="E59" s="217" t="s">
        <v>4234</v>
      </c>
      <c r="F59" s="212" t="str">
        <f>IFERROR(VLOOKUP(B13,'PROG. 23'!A3:H1048576,8,0),"")</f>
        <v/>
      </c>
      <c r="G59" s="219" t="s">
        <v>4184</v>
      </c>
      <c r="H59" s="220"/>
      <c r="I59" s="211" t="s">
        <v>4185</v>
      </c>
      <c r="J59" s="220"/>
      <c r="K59" s="211" t="s">
        <v>4186</v>
      </c>
      <c r="L59" s="220"/>
      <c r="M59" s="211" t="s">
        <v>4187</v>
      </c>
    </row>
    <row r="60" spans="4:376" x14ac:dyDescent="0.25">
      <c r="I60" s="218" t="e">
        <f>IF(VLOOKUP(B13,Prog_23[[CONTEINER]:[CHEGADA NO CLIENTE]],16,0)=0/1/1900,"",VLOOKUP(B13,Prog_23[[CONTEINER]:[CHEGADA NO CLIENTE]],16,0))</f>
        <v>#N/A</v>
      </c>
      <c r="M60" s="218" t="e">
        <f>IF(VLOOKUP(B13,Prog_23[[CONTEINER]:[DATA DE ENTREGA]],19,0)=0/1/1900,"",VLOOKUP(B13,Prog_23[[CONTEINER]:[DATA DE ENTREGA]],19,0))</f>
        <v>#N/A</v>
      </c>
    </row>
    <row r="61" spans="4:376" x14ac:dyDescent="0.25">
      <c r="E61" s="214" t="str">
        <f>IFERROR(VLOOKUP(B13,Prog_23[[CONTEINER]:[PLACA CAVALO]],9,0),"")</f>
        <v/>
      </c>
      <c r="F61" s="212" t="str">
        <f>IFERROR(VLOOKUP(B13,Prog_23[[CONTEINER]:[MOTORISTA]],11,0),"")</f>
        <v/>
      </c>
      <c r="I61" s="214" t="str">
        <f>IFERROR(VLOOKUP(B13,'PROG. 23'!A9:F1946,6,0),"")</f>
        <v/>
      </c>
      <c r="M61" s="214" t="str">
        <f>IFERROR(VLOOKUP(B13,Prog_23[[CONTEINER]:[ENTREGA VAZIO / CHEIO]],18,0),"")</f>
        <v/>
      </c>
    </row>
    <row r="62" spans="4:376" x14ac:dyDescent="0.25">
      <c r="D62" s="225"/>
      <c r="E62" s="239" t="s">
        <v>4242</v>
      </c>
      <c r="F62" s="326">
        <f>C13</f>
        <v>0</v>
      </c>
      <c r="G62" s="326"/>
      <c r="H62" s="326"/>
      <c r="I62" s="326"/>
      <c r="J62" s="326"/>
      <c r="K62" s="326"/>
      <c r="L62" s="326"/>
      <c r="M62" s="326"/>
      <c r="N62" s="225"/>
      <c r="O62" s="225"/>
    </row>
  </sheetData>
  <sheetProtection formatCells="0" formatColumns="0" formatRows="0" deleteColumns="0" deleteRows="0"/>
  <mergeCells count="11">
    <mergeCell ref="F32:M32"/>
    <mergeCell ref="F1:M1"/>
    <mergeCell ref="F8:M8"/>
    <mergeCell ref="F14:M14"/>
    <mergeCell ref="F20:M20"/>
    <mergeCell ref="F26:M26"/>
    <mergeCell ref="F38:M38"/>
    <mergeCell ref="F44:M44"/>
    <mergeCell ref="F50:M50"/>
    <mergeCell ref="F56:M56"/>
    <mergeCell ref="F62:M62"/>
  </mergeCells>
  <phoneticPr fontId="30" type="noConversion"/>
  <conditionalFormatting sqref="B4">
    <cfRule type="expression" dxfId="50" priority="11">
      <formula>$B4="NO CLIENTE"</formula>
    </cfRule>
    <cfRule type="expression" dxfId="49" priority="12">
      <formula>$B4="SEM PROGRAMAÇÃO"</formula>
    </cfRule>
    <cfRule type="expression" dxfId="48" priority="13">
      <formula>$B4="PROGRAMADO"</formula>
    </cfRule>
    <cfRule type="expression" dxfId="47" priority="14">
      <formula>$B4="PRÉ-STACKING"</formula>
    </cfRule>
    <cfRule type="expression" dxfId="46" priority="15">
      <formula>$B4="FINALIZADO"</formula>
    </cfRule>
    <cfRule type="expression" dxfId="45" priority="16">
      <formula>$B4="ENTREGUE"</formula>
    </cfRule>
    <cfRule type="expression" dxfId="44" priority="17">
      <formula>$B4="EM TRÂNSITO TERMINAL"</formula>
    </cfRule>
    <cfRule type="expression" dxfId="43" priority="18">
      <formula>$B4="EM TRÂNSITO CLIENTE"</formula>
    </cfRule>
    <cfRule type="expression" dxfId="42" priority="19">
      <formula>$B4="CANCELADO"</formula>
    </cfRule>
    <cfRule type="expression" dxfId="41" priority="20">
      <formula>$B4="AGUARDANDO VEÍCULO"</formula>
    </cfRule>
  </conditionalFormatting>
  <conditionalFormatting sqref="C24:C29">
    <cfRule type="expression" dxfId="40" priority="1">
      <formula>$B24="NO CLIENTE"</formula>
    </cfRule>
    <cfRule type="expression" dxfId="39" priority="2">
      <formula>$B24="SEM PROGRAMAÇÃO"</formula>
    </cfRule>
    <cfRule type="expression" dxfId="38" priority="3">
      <formula>$B24="PROGRAMADO"</formula>
    </cfRule>
    <cfRule type="expression" dxfId="37" priority="4">
      <formula>$B24="PRÉ-STACKING"</formula>
    </cfRule>
    <cfRule type="expression" dxfId="36" priority="5">
      <formula>$B24="FINALIZADO"</formula>
    </cfRule>
    <cfRule type="expression" dxfId="35" priority="6">
      <formula>$B24="ENTREGUE"</formula>
    </cfRule>
    <cfRule type="expression" dxfId="34" priority="7">
      <formula>$B24="EM TRÂNSITO TERMINAL"</formula>
    </cfRule>
    <cfRule type="expression" dxfId="33" priority="8">
      <formula>$B24="EM TRÂNSITO CLIENTE"</formula>
    </cfRule>
    <cfRule type="expression" dxfId="32" priority="9">
      <formula>$B24="CANCELADO"</formula>
    </cfRule>
    <cfRule type="expression" dxfId="31" priority="10">
      <formula>$B24="AGUARDANDO VEÍCULO"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1739A-F6E6-431B-B4D7-0F254FABA5D2}">
  <dimension ref="B1:XFD62"/>
  <sheetViews>
    <sheetView zoomScale="110" zoomScaleNormal="110" workbookViewId="0">
      <selection activeCell="F5" sqref="F5"/>
    </sheetView>
  </sheetViews>
  <sheetFormatPr defaultRowHeight="15" x14ac:dyDescent="0.25"/>
  <cols>
    <col min="1" max="1" width="1.7109375" customWidth="1"/>
    <col min="2" max="2" width="17" bestFit="1" customWidth="1"/>
    <col min="3" max="3" width="34.7109375" bestFit="1" customWidth="1"/>
    <col min="4" max="4" width="4.5703125" customWidth="1"/>
    <col min="5" max="5" width="10.140625" customWidth="1"/>
    <col min="6" max="6" width="14" customWidth="1"/>
    <col min="7" max="7" width="13.5703125" customWidth="1"/>
    <col min="8" max="8" width="12" customWidth="1"/>
    <col min="9" max="9" width="10.85546875" customWidth="1"/>
    <col min="10" max="10" width="9" customWidth="1"/>
    <col min="11" max="11" width="11.42578125" customWidth="1"/>
    <col min="12" max="12" width="8.5703125" customWidth="1"/>
  </cols>
  <sheetData>
    <row r="1" spans="2:13 16376:16384" ht="35.25" customHeight="1" x14ac:dyDescent="0.25">
      <c r="D1" s="260"/>
      <c r="E1" s="261"/>
      <c r="F1" s="329" t="s">
        <v>6238</v>
      </c>
      <c r="G1" s="329"/>
      <c r="H1" s="329"/>
      <c r="I1" s="329"/>
      <c r="J1" s="329"/>
      <c r="K1" s="329"/>
      <c r="L1" s="329"/>
      <c r="M1" s="329"/>
    </row>
    <row r="2" spans="2:13 16376:16384" ht="1.5" customHeight="1" x14ac:dyDescent="0.25">
      <c r="D2" s="183"/>
      <c r="E2" s="236"/>
      <c r="F2" s="242"/>
      <c r="G2" s="242"/>
      <c r="H2" s="242"/>
      <c r="I2" s="242"/>
      <c r="J2" s="242"/>
      <c r="K2" s="242"/>
      <c r="L2" s="242"/>
    </row>
    <row r="3" spans="2:13 16376:16384" x14ac:dyDescent="0.25">
      <c r="B3" s="226" t="s">
        <v>4183</v>
      </c>
      <c r="C3" s="226" t="s">
        <v>4240</v>
      </c>
      <c r="D3" s="183"/>
      <c r="E3" s="217" t="s">
        <v>2778</v>
      </c>
      <c r="F3" s="262" t="str">
        <f>IFERROR(VLOOKUP(B4,'PROG. 23'!A3:E1946,5,0),"")</f>
        <v>QUATTROR</v>
      </c>
      <c r="G3" s="242"/>
      <c r="H3" s="242"/>
      <c r="I3" s="242"/>
      <c r="J3" s="242"/>
      <c r="K3" s="242"/>
      <c r="L3" s="242"/>
      <c r="M3" s="242"/>
      <c r="XEV3" t="s">
        <v>4188</v>
      </c>
      <c r="XEW3" s="204"/>
      <c r="XEX3" s="204"/>
      <c r="XFA3" t="s">
        <v>4189</v>
      </c>
    </row>
    <row r="4" spans="2:13 16376:16384" x14ac:dyDescent="0.25">
      <c r="B4" s="227" t="s">
        <v>6218</v>
      </c>
      <c r="C4" s="227"/>
      <c r="D4" s="183"/>
      <c r="E4" s="217" t="s">
        <v>4295</v>
      </c>
      <c r="F4" s="238" t="str">
        <f>IFERROR(VLOOKUP(B4,Prog_23[CONTEINER],1,0),"")</f>
        <v>60 VOLUMES</v>
      </c>
      <c r="G4" s="183"/>
      <c r="H4" s="183"/>
      <c r="I4" s="183"/>
      <c r="J4" s="183"/>
      <c r="K4" s="183"/>
      <c r="L4" s="183"/>
      <c r="M4" s="183"/>
      <c r="XEW4" s="205">
        <v>0</v>
      </c>
      <c r="XEX4" s="205">
        <v>0.5</v>
      </c>
      <c r="XEY4" s="205">
        <v>1</v>
      </c>
      <c r="XFB4" s="205">
        <v>0</v>
      </c>
      <c r="XFC4" s="205">
        <v>0.5</v>
      </c>
      <c r="XFD4" s="205">
        <v>1</v>
      </c>
    </row>
    <row r="5" spans="2:13 16376:16384" x14ac:dyDescent="0.25">
      <c r="B5" s="227" t="s">
        <v>6120</v>
      </c>
      <c r="C5" s="227" t="s">
        <v>5329</v>
      </c>
      <c r="D5" s="183"/>
      <c r="E5" s="217" t="s">
        <v>5248</v>
      </c>
      <c r="F5" s="235" t="str">
        <f>IFERROR(VLOOKUP(B4,'PROG. 23'!A3:H1946,8,0),"")</f>
        <v>23/1671228-1</v>
      </c>
      <c r="G5" s="219" t="s">
        <v>4184</v>
      </c>
      <c r="H5" s="220"/>
      <c r="I5" s="211" t="s">
        <v>4185</v>
      </c>
      <c r="K5" s="211" t="s">
        <v>4187</v>
      </c>
      <c r="L5" s="183"/>
      <c r="M5" s="220"/>
      <c r="XEV5" s="108">
        <f>IF(K6&lt;&gt;"",100%,IF(I6&lt;&gt;"",50%,IF(XEW3&lt;&gt;"",0%,0)))</f>
        <v>1</v>
      </c>
      <c r="XEW5" t="e">
        <f>IF(XEV5=XEW4,1,NA())</f>
        <v>#N/A</v>
      </c>
      <c r="XEX5" t="e">
        <f>IF(XEV5=XEX4,1,NA())</f>
        <v>#N/A</v>
      </c>
      <c r="XEY5">
        <f>IF(XEV5=XEY4,1,NA())</f>
        <v>1</v>
      </c>
      <c r="XFA5" s="108">
        <f>IF(K12&lt;&gt;"",100%,IF(I12&lt;&gt;"",50%,IF(XFB3&lt;&gt;"",0%,0)))</f>
        <v>1</v>
      </c>
      <c r="XFB5" t="e">
        <f>IF(XFA5=XFB4,1,NA())</f>
        <v>#N/A</v>
      </c>
      <c r="XFC5" t="e">
        <f>IF(XFA5=XFC4,1,NA())</f>
        <v>#N/A</v>
      </c>
      <c r="XFD5">
        <f>IF(XFA5=XFD4,1,NA())</f>
        <v>1</v>
      </c>
    </row>
    <row r="6" spans="2:13 16376:16384" x14ac:dyDescent="0.25">
      <c r="B6" s="227" t="s">
        <v>6121</v>
      </c>
      <c r="C6" s="227" t="s">
        <v>5329</v>
      </c>
      <c r="D6" s="183"/>
      <c r="E6" s="236"/>
      <c r="F6" s="233"/>
      <c r="G6" s="183"/>
      <c r="H6" s="183"/>
      <c r="I6" s="244">
        <f>IF(VLOOKUP(B4,Prog_23[[CONTEINER]:[CHEGADA NO CLIENTE]],16,0)=0/1/1900,"",VLOOKUP(B4,Prog_23[[CONTEINER]:[CHEGADA NO CLIENTE]],16,0))</f>
        <v>45169.576388888891</v>
      </c>
      <c r="J6" s="183"/>
      <c r="K6" s="244">
        <f>IF(VLOOKUP(B4,Prog_23[[CONTEINER]:[DATA DE ENTREGA]],19,0)=0/1/1900,"",VLOOKUP(B4,Prog_23[[CONTEINER]:[DATA DE ENTREGA]],19,0))</f>
        <v>45169.583333333336</v>
      </c>
      <c r="M6" s="183"/>
    </row>
    <row r="7" spans="2:13 16376:16384" x14ac:dyDescent="0.25">
      <c r="B7" s="227" t="s">
        <v>6098</v>
      </c>
      <c r="C7" s="227" t="s">
        <v>5329</v>
      </c>
      <c r="D7" s="183"/>
      <c r="E7" s="235" t="str">
        <f>B4</f>
        <v>60 VOLUMES</v>
      </c>
      <c r="F7" s="235" t="str">
        <f>IFERROR(VLOOKUP(B4,Prog_23[[CONTEINER]:[MOTORISTA]],11,0),"")</f>
        <v>NILSON FERREIRA DA SILVA</v>
      </c>
      <c r="G7" s="183"/>
      <c r="H7" s="213"/>
      <c r="I7" s="237" t="str">
        <f>IFERROR(VLOOKUP(B4,'PROG. 23'!A3:F1946,6,0),"")</f>
        <v>SUMARÉ-SP</v>
      </c>
      <c r="J7" s="213"/>
      <c r="K7" s="183"/>
      <c r="L7" s="213"/>
      <c r="M7" s="213"/>
      <c r="XEW7" s="205">
        <v>0</v>
      </c>
      <c r="XEX7" s="205">
        <v>0.5</v>
      </c>
      <c r="XEY7" s="205">
        <v>1</v>
      </c>
      <c r="XFB7" s="205">
        <v>0</v>
      </c>
      <c r="XFC7" s="205">
        <v>0.5</v>
      </c>
      <c r="XFD7" s="205">
        <v>1</v>
      </c>
    </row>
    <row r="8" spans="2:13 16376:16384" x14ac:dyDescent="0.25">
      <c r="B8" s="227" t="s">
        <v>5358</v>
      </c>
      <c r="C8" s="227" t="s">
        <v>5329</v>
      </c>
      <c r="D8" s="225"/>
      <c r="E8" s="230" t="s">
        <v>4242</v>
      </c>
      <c r="F8" s="330">
        <f>C4</f>
        <v>0</v>
      </c>
      <c r="G8" s="330"/>
      <c r="H8" s="330"/>
      <c r="I8" s="330"/>
      <c r="J8" s="330"/>
      <c r="K8" s="330"/>
      <c r="L8" s="330"/>
      <c r="M8" s="330"/>
      <c r="XEV8" s="108">
        <f>XEV5</f>
        <v>1</v>
      </c>
      <c r="XEW8">
        <f>IF(XEW7&lt;=XEV8,1,NA())</f>
        <v>1</v>
      </c>
      <c r="XEX8">
        <f>IF(XEX7&lt;=XEV8,1,NA())</f>
        <v>1</v>
      </c>
      <c r="XEY8">
        <f>IF(XEY7&lt;=XEV8,1,NA())</f>
        <v>1</v>
      </c>
      <c r="XFA8" s="108">
        <f>XFA5</f>
        <v>1</v>
      </c>
      <c r="XFB8">
        <f>IF(XFB7&lt;=XFA8,1,NA())</f>
        <v>1</v>
      </c>
      <c r="XFC8">
        <f>IF(XFC7&lt;=XFA8,1,NA())</f>
        <v>1</v>
      </c>
      <c r="XFD8">
        <f>IF(XFD7&lt;=XFA8,1,NA())</f>
        <v>1</v>
      </c>
    </row>
    <row r="9" spans="2:13 16376:16384" x14ac:dyDescent="0.25">
      <c r="B9" s="227" t="s">
        <v>5325</v>
      </c>
      <c r="C9" s="227" t="s">
        <v>5329</v>
      </c>
      <c r="D9" s="183"/>
      <c r="E9" s="217" t="s">
        <v>2778</v>
      </c>
      <c r="F9" s="262" t="str">
        <f>IFERROR(VLOOKUP(B5,'PROG. 23'!A3:E1946,5,0),"")</f>
        <v>RKS</v>
      </c>
      <c r="G9" s="242"/>
      <c r="H9" s="242"/>
      <c r="I9" s="242"/>
      <c r="J9" s="242"/>
      <c r="K9" s="242"/>
      <c r="L9" s="242"/>
      <c r="M9" s="242"/>
    </row>
    <row r="10" spans="2:13 16376:16384" x14ac:dyDescent="0.25">
      <c r="B10" s="227" t="s">
        <v>5330</v>
      </c>
      <c r="C10" s="227" t="s">
        <v>5329</v>
      </c>
      <c r="D10" s="183"/>
      <c r="E10" s="217" t="s">
        <v>4295</v>
      </c>
      <c r="F10" s="238" t="str">
        <f>IFERROR(VLOOKUP(B5,Prog_23[CONTEINER],1,0),"")</f>
        <v>CBHU9423155</v>
      </c>
      <c r="G10" s="183"/>
      <c r="H10" s="183"/>
      <c r="I10" s="183"/>
      <c r="J10" s="183"/>
      <c r="K10" s="183"/>
      <c r="L10" s="183"/>
      <c r="M10" s="183"/>
      <c r="XEW10" s="108">
        <v>1</v>
      </c>
      <c r="XEX10" s="108">
        <v>1</v>
      </c>
      <c r="XEY10" s="108">
        <v>1</v>
      </c>
      <c r="XFB10" s="108">
        <v>1</v>
      </c>
      <c r="XFC10" s="108">
        <v>1</v>
      </c>
      <c r="XFD10" s="108">
        <v>1</v>
      </c>
    </row>
    <row r="11" spans="2:13 16376:16384" x14ac:dyDescent="0.25">
      <c r="B11" s="227" t="s">
        <v>5359</v>
      </c>
      <c r="C11" s="227" t="s">
        <v>5329</v>
      </c>
      <c r="D11" s="183"/>
      <c r="E11" s="217" t="s">
        <v>5248</v>
      </c>
      <c r="F11" s="235">
        <f>IFERROR(VLOOKUP(B5,'PROG. 23'!A3:H1946,8,0),"")</f>
        <v>6362991470</v>
      </c>
      <c r="G11" s="219" t="s">
        <v>4184</v>
      </c>
      <c r="H11" s="220"/>
      <c r="I11" s="211" t="s">
        <v>4185</v>
      </c>
      <c r="J11" s="220"/>
      <c r="K11" s="211" t="s">
        <v>4187</v>
      </c>
      <c r="L11" s="220"/>
      <c r="M11" s="220"/>
    </row>
    <row r="12" spans="2:13 16376:16384" x14ac:dyDescent="0.25">
      <c r="B12" s="227" t="s">
        <v>5358</v>
      </c>
      <c r="C12" s="227" t="s">
        <v>5329</v>
      </c>
      <c r="D12" s="183"/>
      <c r="E12" s="236"/>
      <c r="F12" s="233"/>
      <c r="G12" s="183"/>
      <c r="H12" s="183"/>
      <c r="I12" s="244">
        <f>IF(VLOOKUP(B5,Prog_23[[CONTEINER]:[CHEGADA NO CLIENTE]],16,0)=0/1/1900,"",VLOOKUP(B5,Prog_23[[CONTEINER]:[CHEGADA NO CLIENTE]],16,0))</f>
        <v>45160.304861111108</v>
      </c>
      <c r="J12" s="183"/>
      <c r="K12" s="244">
        <f>IF(VLOOKUP(B5,Prog_23[[CONTEINER]:[DATA DE ENTREGA]],19,0)=0/1/1900,"",VLOOKUP(B5,Prog_23[[CONTEINER]:[DATA DE ENTREGA]],19,0))</f>
        <v>45165.986805555556</v>
      </c>
      <c r="L12" s="183"/>
      <c r="M12" s="183"/>
      <c r="XEV12" t="s">
        <v>4190</v>
      </c>
      <c r="XFA12" t="s">
        <v>4191</v>
      </c>
    </row>
    <row r="13" spans="2:13 16376:16384" x14ac:dyDescent="0.25">
      <c r="B13" s="227" t="s">
        <v>5330</v>
      </c>
      <c r="C13" s="227" t="s">
        <v>5329</v>
      </c>
      <c r="D13" s="183"/>
      <c r="E13" s="235" t="str">
        <f>B5</f>
        <v>CBHU9423155</v>
      </c>
      <c r="F13" s="235" t="str">
        <f>IFERROR(VLOOKUP(B5,Prog_23[[CONTEINER]:[MOTORISTA]],11,0),"")</f>
        <v>FABIO DARIO RODRIGUES</v>
      </c>
      <c r="G13" s="183"/>
      <c r="H13" s="213"/>
      <c r="I13" s="237" t="str">
        <f>IFERROR(VLOOKUP(B5,'PROG. 23'!A3:F1946,6,0),"")</f>
        <v>SÃO JOSÉ DOS CAMPOS-SP</v>
      </c>
      <c r="J13" s="213"/>
      <c r="K13" s="183"/>
      <c r="L13" s="213"/>
      <c r="M13" s="213"/>
      <c r="XEW13" s="205">
        <v>0</v>
      </c>
      <c r="XEX13" s="205">
        <v>0.5</v>
      </c>
      <c r="XEY13" s="205">
        <v>1</v>
      </c>
      <c r="XFB13" s="205">
        <v>0</v>
      </c>
      <c r="XFC13" s="205">
        <v>0.5</v>
      </c>
      <c r="XFD13" s="205">
        <v>1</v>
      </c>
    </row>
    <row r="14" spans="2:13 16376:16384" x14ac:dyDescent="0.25">
      <c r="D14" s="225"/>
      <c r="E14" s="230" t="s">
        <v>4242</v>
      </c>
      <c r="F14" s="331" t="str">
        <f>C5</f>
        <v>tá pronto</v>
      </c>
      <c r="G14" s="331"/>
      <c r="H14" s="331"/>
      <c r="I14" s="331"/>
      <c r="J14" s="331"/>
      <c r="K14" s="331"/>
      <c r="L14" s="331"/>
      <c r="M14" s="331"/>
      <c r="XEV14" s="108">
        <f>IF(K18&lt;&gt;"",100%,IF(I18&lt;&gt;"",50%,IF(XEW12&lt;&gt;"",0%,0)))</f>
        <v>1</v>
      </c>
      <c r="XEW14" t="e">
        <f>IF(XEV14=XEW13,1,NA())</f>
        <v>#N/A</v>
      </c>
      <c r="XEX14" t="e">
        <f>IF(XEV14=XEX13,1,NA())</f>
        <v>#N/A</v>
      </c>
      <c r="XEY14">
        <f>IF(XEV14=XEY13,1,NA())</f>
        <v>1</v>
      </c>
      <c r="XFA14" s="108">
        <f>IF(K24&lt;&gt;"",100%,IF(I24&lt;&gt;"",50%,IF(XFB12&lt;&gt;"",0%,0)))</f>
        <v>1</v>
      </c>
      <c r="XFB14" t="e">
        <f>IF(XFA14=XFB13,1,NA())</f>
        <v>#N/A</v>
      </c>
      <c r="XFC14" t="e">
        <f>IF(XFA14=XFC13,1,NA())</f>
        <v>#N/A</v>
      </c>
      <c r="XFD14">
        <f>IF(XFA14=XFD13,1,NA())</f>
        <v>1</v>
      </c>
    </row>
    <row r="15" spans="2:13 16376:16384" x14ac:dyDescent="0.25">
      <c r="D15" s="183"/>
      <c r="E15" s="217" t="s">
        <v>2778</v>
      </c>
      <c r="F15" s="262" t="str">
        <f>IFERROR(VLOOKUP(B6,'PROG. 23'!A3:E1946,5,0),"")</f>
        <v>RKS</v>
      </c>
      <c r="G15" s="242"/>
      <c r="H15" s="242"/>
      <c r="I15" s="242"/>
      <c r="J15" s="242"/>
      <c r="K15" s="242"/>
      <c r="L15" s="242"/>
      <c r="M15" s="242"/>
    </row>
    <row r="16" spans="2:13 16376:16384" x14ac:dyDescent="0.25">
      <c r="D16" s="183"/>
      <c r="E16" s="217" t="s">
        <v>4295</v>
      </c>
      <c r="F16" s="238" t="str">
        <f>IFERROR(VLOOKUP(B6,Prog_23[CONTEINER],1,0),"")</f>
        <v>BMOU5840844</v>
      </c>
      <c r="G16" s="183"/>
      <c r="H16" s="183"/>
      <c r="I16" s="183"/>
      <c r="J16" s="183"/>
      <c r="K16" s="183"/>
      <c r="L16" s="183"/>
      <c r="M16" s="183"/>
      <c r="XEW16" s="205">
        <v>0</v>
      </c>
      <c r="XEX16" s="205">
        <v>0.5</v>
      </c>
      <c r="XEY16" s="205">
        <v>1</v>
      </c>
      <c r="XFB16" s="205">
        <v>0</v>
      </c>
      <c r="XFC16" s="205">
        <v>0.5</v>
      </c>
      <c r="XFD16" s="205">
        <v>1</v>
      </c>
    </row>
    <row r="17" spans="4:13 16376:16384" x14ac:dyDescent="0.25">
      <c r="D17" s="183"/>
      <c r="E17" s="217" t="s">
        <v>5248</v>
      </c>
      <c r="F17" s="235">
        <f>IFERROR(VLOOKUP(B6,'PROG. 23'!A3:H1946,8,0),"")</f>
        <v>6362991470</v>
      </c>
      <c r="G17" s="219" t="s">
        <v>4184</v>
      </c>
      <c r="H17" s="220"/>
      <c r="I17" s="211" t="s">
        <v>4185</v>
      </c>
      <c r="J17" s="220"/>
      <c r="K17" s="211" t="s">
        <v>4187</v>
      </c>
      <c r="L17" s="220"/>
      <c r="M17" s="220"/>
      <c r="XEV17" s="108">
        <f>XEV14</f>
        <v>1</v>
      </c>
      <c r="XEW17">
        <f>IF(XEW16&lt;=XEV17,1,NA())</f>
        <v>1</v>
      </c>
      <c r="XEX17">
        <f>IF(XEX16&lt;=XEV17,1,NA())</f>
        <v>1</v>
      </c>
      <c r="XEY17">
        <f>IF(XEY16&lt;=XEV17,1,NA())</f>
        <v>1</v>
      </c>
      <c r="XFA17" s="108">
        <f>XFA14</f>
        <v>1</v>
      </c>
      <c r="XFB17">
        <f>IF(XFB16&lt;=XFA17,1,NA())</f>
        <v>1</v>
      </c>
      <c r="XFC17">
        <f>IF(XFC16&lt;=XFA17,1,NA())</f>
        <v>1</v>
      </c>
      <c r="XFD17">
        <f>IF(XFD16&lt;=XFA17,1,NA())</f>
        <v>1</v>
      </c>
    </row>
    <row r="18" spans="4:13 16376:16384" x14ac:dyDescent="0.25">
      <c r="D18" s="183"/>
      <c r="E18" s="236"/>
      <c r="F18" s="233"/>
      <c r="G18" s="183"/>
      <c r="H18" s="183"/>
      <c r="I18" s="244">
        <f>IF(VLOOKUP(B6,Prog_23[[CONTEINER]:[CHEGADA NO CLIENTE]],16,0)=0/1/1900,"",VLOOKUP(B6,Prog_23[[CONTEINER]:[CHEGADA NO CLIENTE]],16,0))</f>
        <v>45160.048611111109</v>
      </c>
      <c r="J18" s="183"/>
      <c r="K18" s="244">
        <f>IF(VLOOKUP(B6,Prog_23[[CONTEINER]:[DATA DE ENTREGA]],19,0)=0/1/1900,"",VLOOKUP(B6,Prog_23[[CONTEINER]:[DATA DE ENTREGA]],19,0))</f>
        <v>45165.899305555555</v>
      </c>
      <c r="L18" s="183"/>
      <c r="M18" s="183"/>
    </row>
    <row r="19" spans="4:13 16376:16384" x14ac:dyDescent="0.25">
      <c r="D19" s="183"/>
      <c r="E19" s="235" t="str">
        <f>B6</f>
        <v>BMOU5840844</v>
      </c>
      <c r="F19" s="235" t="str">
        <f>IFERROR(VLOOKUP(B6,Prog_23[[CONTEINER]:[MOTORISTA]],11,0),"")</f>
        <v>GILVAN LAURENTINO DA SILVA</v>
      </c>
      <c r="G19" s="183"/>
      <c r="H19" s="213"/>
      <c r="I19" s="237" t="str">
        <f>IFERROR(VLOOKUP(B6,'PROG. 23'!A3:F1946,6,0),"")</f>
        <v>SÃO JOSÉ DOS CAMPOS-SP</v>
      </c>
      <c r="J19" s="213"/>
      <c r="K19" s="183"/>
      <c r="L19" s="213"/>
      <c r="M19" s="213"/>
      <c r="XEW19" s="108">
        <v>1</v>
      </c>
      <c r="XEX19" s="108">
        <v>1</v>
      </c>
      <c r="XEY19" s="108">
        <v>1</v>
      </c>
      <c r="XFB19" s="108">
        <v>1</v>
      </c>
      <c r="XFC19" s="108">
        <v>1</v>
      </c>
      <c r="XFD19" s="108">
        <v>1</v>
      </c>
    </row>
    <row r="20" spans="4:13 16376:16384" x14ac:dyDescent="0.25">
      <c r="D20" s="225"/>
      <c r="E20" s="230" t="s">
        <v>4242</v>
      </c>
      <c r="F20" s="328" t="str">
        <f>C6</f>
        <v>tá pronto</v>
      </c>
      <c r="G20" s="328"/>
      <c r="H20" s="328"/>
      <c r="I20" s="328"/>
      <c r="J20" s="328"/>
      <c r="K20" s="328"/>
      <c r="L20" s="328"/>
      <c r="M20" s="328"/>
    </row>
    <row r="21" spans="4:13 16376:16384" x14ac:dyDescent="0.25">
      <c r="D21" s="183"/>
      <c r="E21" s="217" t="s">
        <v>2778</v>
      </c>
      <c r="F21" s="262" t="str">
        <f>IFERROR(VLOOKUP(B7,'PROG. 23'!A3:E1946,5,0),"")</f>
        <v>RKS</v>
      </c>
      <c r="G21" s="242"/>
      <c r="H21" s="242"/>
      <c r="I21" s="242"/>
      <c r="J21" s="242"/>
      <c r="K21" s="242"/>
      <c r="L21" s="242"/>
      <c r="M21" s="242"/>
      <c r="XEV21" t="s">
        <v>4192</v>
      </c>
      <c r="XFA21" t="s">
        <v>4193</v>
      </c>
    </row>
    <row r="22" spans="4:13 16376:16384" x14ac:dyDescent="0.25">
      <c r="D22" s="183"/>
      <c r="E22" s="217" t="s">
        <v>4295</v>
      </c>
      <c r="F22" s="238" t="str">
        <f>IFERROR(VLOOKUP(B7,Prog_23[CONTEINER],1,0),"")</f>
        <v>CCLU7456231</v>
      </c>
      <c r="G22" s="183"/>
      <c r="H22" s="183"/>
      <c r="I22" s="183"/>
      <c r="J22" s="183"/>
      <c r="K22" s="183"/>
      <c r="L22" s="183"/>
      <c r="M22" s="183"/>
      <c r="XEW22" s="205">
        <v>0</v>
      </c>
      <c r="XEX22" s="205">
        <v>0.5</v>
      </c>
      <c r="XEY22" s="205">
        <v>1</v>
      </c>
      <c r="XFB22" s="205">
        <v>0</v>
      </c>
      <c r="XFC22" s="205">
        <v>0.5</v>
      </c>
      <c r="XFD22" s="205">
        <v>1</v>
      </c>
    </row>
    <row r="23" spans="4:13 16376:16384" x14ac:dyDescent="0.25">
      <c r="D23" s="183"/>
      <c r="E23" s="217" t="s">
        <v>5248</v>
      </c>
      <c r="F23" s="235">
        <f>IFERROR(VLOOKUP(B7,'PROG. 23'!A3:H1946,8,0),"")</f>
        <v>6362991470</v>
      </c>
      <c r="G23" s="219" t="s">
        <v>4184</v>
      </c>
      <c r="H23" s="220"/>
      <c r="I23" s="211" t="s">
        <v>4185</v>
      </c>
      <c r="J23" s="220"/>
      <c r="K23" s="211" t="s">
        <v>4187</v>
      </c>
      <c r="L23" s="220"/>
      <c r="M23" s="220"/>
      <c r="XEV23" s="108">
        <f>IF(K30&lt;&gt;"",100%,IF(I30&lt;&gt;"",50%,IF(XEW21&lt;&gt;"",0%,0)))</f>
        <v>1</v>
      </c>
      <c r="XEW23" t="e">
        <f>IF(XEV23=XEW22,1,NA())</f>
        <v>#N/A</v>
      </c>
      <c r="XEX23" t="e">
        <f>IF(XEV23=XEX22,1,NA())</f>
        <v>#N/A</v>
      </c>
      <c r="XEY23">
        <f>IF(XEV23=XEY22,1,NA())</f>
        <v>1</v>
      </c>
      <c r="XFA23" s="108">
        <f>IF(K36&lt;&gt;"",100%,IF(I36&lt;&gt;"",50%,IF(XFB21&lt;&gt;"",0%,0)))</f>
        <v>1</v>
      </c>
      <c r="XFB23" t="e">
        <f>IF(XFA23=XFB22,1,NA())</f>
        <v>#N/A</v>
      </c>
      <c r="XFC23" t="e">
        <f>IF(XFA23=XFC22,1,NA())</f>
        <v>#N/A</v>
      </c>
      <c r="XFD23">
        <f>IF(XFA23=XFD22,1,NA())</f>
        <v>1</v>
      </c>
    </row>
    <row r="24" spans="4:13 16376:16384" x14ac:dyDescent="0.25">
      <c r="D24" s="183"/>
      <c r="E24" s="236"/>
      <c r="F24" s="233"/>
      <c r="G24" s="183"/>
      <c r="H24" s="183"/>
      <c r="I24" s="244">
        <f>IF(VLOOKUP(B7,Prog_23[[CONTEINER]:[CHEGADA NO CLIENTE]],16,0)=0/1/1900,"",VLOOKUP(B7,Prog_23[[CONTEINER]:[CHEGADA NO CLIENTE]],16,0))</f>
        <v>45160.304861111108</v>
      </c>
      <c r="J24" s="183"/>
      <c r="K24" s="244">
        <f>IF(VLOOKUP(B7,Prog_23[[CONTEINER]:[DATA DE ENTREGA]],19,0)=0/1/1900,"",VLOOKUP(B7,Prog_23[[CONTEINER]:[DATA DE ENTREGA]],19,0))</f>
        <v>45165.911111111112</v>
      </c>
      <c r="L24" s="183"/>
      <c r="M24" s="183"/>
    </row>
    <row r="25" spans="4:13 16376:16384" x14ac:dyDescent="0.25">
      <c r="D25" s="183"/>
      <c r="E25" s="235" t="str">
        <f>B7</f>
        <v>CCLU7456231</v>
      </c>
      <c r="F25" s="235" t="str">
        <f>IFERROR(VLOOKUP(B7,Prog_23[[CONTEINER]:[MOTORISTA]],11,0),"")</f>
        <v>GUSTAVO ANTONIO CAVALCANTE</v>
      </c>
      <c r="G25" s="183"/>
      <c r="H25" s="213"/>
      <c r="I25" s="237" t="str">
        <f>IFERROR(VLOOKUP(B7,'PROG. 23'!A3:F1946,6,0),"")</f>
        <v>SÃO JOSÉ DOS CAMPOS-SP</v>
      </c>
      <c r="J25" s="213"/>
      <c r="K25" s="183"/>
      <c r="L25" s="213"/>
      <c r="M25" s="213"/>
      <c r="XEW25" s="205">
        <v>0</v>
      </c>
      <c r="XEX25" s="205">
        <v>0.5</v>
      </c>
      <c r="XEY25" s="205">
        <v>1</v>
      </c>
      <c r="XFB25" s="205">
        <v>0</v>
      </c>
      <c r="XFC25" s="205">
        <v>0.5</v>
      </c>
      <c r="XFD25" s="205">
        <v>1</v>
      </c>
    </row>
    <row r="26" spans="4:13 16376:16384" x14ac:dyDescent="0.25">
      <c r="D26" s="225"/>
      <c r="E26" s="230" t="s">
        <v>4242</v>
      </c>
      <c r="F26" s="328" t="str">
        <f>C7</f>
        <v>tá pronto</v>
      </c>
      <c r="G26" s="328"/>
      <c r="H26" s="328"/>
      <c r="I26" s="328"/>
      <c r="J26" s="328"/>
      <c r="K26" s="328"/>
      <c r="L26" s="328"/>
      <c r="M26" s="328"/>
      <c r="XEV26" s="108">
        <f>XEV23</f>
        <v>1</v>
      </c>
      <c r="XEW26">
        <f>IF(XEW25&lt;=XEV26,1,NA())</f>
        <v>1</v>
      </c>
      <c r="XEX26">
        <f>IF(XEX25&lt;=XEV26,1,NA())</f>
        <v>1</v>
      </c>
      <c r="XEY26">
        <f>IF(XEY25&lt;=XEV26,1,NA())</f>
        <v>1</v>
      </c>
      <c r="XFA26" s="108">
        <f>XFA23</f>
        <v>1</v>
      </c>
      <c r="XFB26">
        <f>IF(XFB25&lt;=XFA26,1,NA())</f>
        <v>1</v>
      </c>
      <c r="XFC26">
        <f>IF(XFC25&lt;=XFA26,1,NA())</f>
        <v>1</v>
      </c>
      <c r="XFD26">
        <f>IF(XFD25&lt;=XFA26,1,NA())</f>
        <v>1</v>
      </c>
    </row>
    <row r="27" spans="4:13 16376:16384" x14ac:dyDescent="0.25">
      <c r="D27" s="183"/>
      <c r="E27" s="217" t="s">
        <v>2778</v>
      </c>
      <c r="F27" s="262" t="str">
        <f>IFERROR(VLOOKUP(B8,'PROG. 23'!A3:E1946,5,0),"")</f>
        <v>ALERIS</v>
      </c>
      <c r="G27" s="242"/>
      <c r="H27" s="242"/>
      <c r="I27" s="242"/>
      <c r="J27" s="242"/>
      <c r="K27" s="242"/>
      <c r="L27" s="242"/>
      <c r="M27" s="242"/>
    </row>
    <row r="28" spans="4:13 16376:16384" x14ac:dyDescent="0.25">
      <c r="D28" s="183"/>
      <c r="E28" s="217" t="s">
        <v>4295</v>
      </c>
      <c r="F28" s="238" t="str">
        <f>IFERROR(VLOOKUP(B8,Prog_23[CONTEINER],1,0),"")</f>
        <v>TCKU7400118</v>
      </c>
      <c r="G28" s="183"/>
      <c r="H28" s="183"/>
      <c r="I28" s="183"/>
      <c r="J28" s="183"/>
      <c r="K28" s="183"/>
      <c r="L28" s="183"/>
      <c r="M28" s="183"/>
      <c r="XEW28" s="108">
        <v>1</v>
      </c>
      <c r="XEX28" s="108">
        <v>1</v>
      </c>
      <c r="XEY28" s="108">
        <v>1</v>
      </c>
      <c r="XFB28" s="108">
        <v>1</v>
      </c>
      <c r="XFC28" s="108">
        <v>1</v>
      </c>
      <c r="XFD28" s="108">
        <v>1</v>
      </c>
    </row>
    <row r="29" spans="4:13 16376:16384" x14ac:dyDescent="0.25">
      <c r="D29" s="183"/>
      <c r="E29" s="217" t="s">
        <v>5248</v>
      </c>
      <c r="F29" s="235">
        <f>IFERROR(VLOOKUP(B8,'PROG. 23'!A3:H1946,8,0),"")</f>
        <v>228321252</v>
      </c>
      <c r="G29" s="219" t="s">
        <v>4184</v>
      </c>
      <c r="H29" s="220"/>
      <c r="I29" s="211" t="s">
        <v>4185</v>
      </c>
      <c r="J29" s="220"/>
      <c r="K29" s="211" t="s">
        <v>4187</v>
      </c>
      <c r="L29" s="220"/>
      <c r="M29" s="220"/>
    </row>
    <row r="30" spans="4:13 16376:16384" x14ac:dyDescent="0.25">
      <c r="D30" s="183"/>
      <c r="E30" s="236"/>
      <c r="F30" s="233"/>
      <c r="G30" s="183"/>
      <c r="H30" s="183"/>
      <c r="I30" s="244">
        <f>IF(VLOOKUP(B8,Prog_23[[CONTEINER]:[CHEGADA NO CLIENTE]],16,0)=0/1/1900,"",VLOOKUP(B8,Prog_23[[CONTEINER]:[CHEGADA NO CLIENTE]],16,0))</f>
        <v>45110.298611111109</v>
      </c>
      <c r="J30" s="183"/>
      <c r="K30" s="244">
        <f>IF(VLOOKUP(B8,Prog_23[[CONTEINER]:[DATA DE ENTREGA]],19,0)=0/1/1900,"",VLOOKUP(B8,Prog_23[[CONTEINER]:[DATA DE ENTREGA]],19,0))</f>
        <v>45122.522916666669</v>
      </c>
      <c r="L30" s="183"/>
      <c r="M30" s="183"/>
      <c r="XEV30" t="s">
        <v>4194</v>
      </c>
      <c r="XFA30" t="s">
        <v>4195</v>
      </c>
    </row>
    <row r="31" spans="4:13 16376:16384" x14ac:dyDescent="0.25">
      <c r="D31" s="183"/>
      <c r="E31" s="235" t="str">
        <f>B8</f>
        <v>TCKU7400118</v>
      </c>
      <c r="F31" s="235" t="str">
        <f>IFERROR(VLOOKUP(B8,Prog_23[[CONTEINER]:[MOTORISTA]],11,0),"")</f>
        <v>FABIO DARIO RODRIGUES</v>
      </c>
      <c r="G31" s="183"/>
      <c r="H31" s="213"/>
      <c r="I31" s="237" t="str">
        <f>IFERROR(VLOOKUP(B18,'PROG. 23'!A15:F1958,6,0),"")</f>
        <v>SALTO DE PIRAPORA-SP</v>
      </c>
      <c r="J31" s="213"/>
      <c r="K31" s="183"/>
      <c r="L31" s="213"/>
      <c r="M31" s="213"/>
      <c r="XEW31" s="205">
        <v>0</v>
      </c>
      <c r="XEX31" s="205">
        <v>0.5</v>
      </c>
      <c r="XEY31" s="205">
        <v>1</v>
      </c>
      <c r="XFB31" s="205">
        <v>0</v>
      </c>
      <c r="XFC31" s="205">
        <v>0.5</v>
      </c>
      <c r="XFD31" s="205">
        <v>1</v>
      </c>
    </row>
    <row r="32" spans="4:13 16376:16384" x14ac:dyDescent="0.25">
      <c r="D32" s="225"/>
      <c r="E32" s="230" t="s">
        <v>4242</v>
      </c>
      <c r="F32" s="328" t="str">
        <f>C8</f>
        <v>tá pronto</v>
      </c>
      <c r="G32" s="328"/>
      <c r="H32" s="328"/>
      <c r="I32" s="328"/>
      <c r="J32" s="328"/>
      <c r="K32" s="328"/>
      <c r="L32" s="328"/>
      <c r="M32" s="328"/>
      <c r="XEV32" s="108">
        <f>IF(K42&lt;&gt;"",100%,IF(I42&lt;&gt;"",50%,IF(XEW30&lt;&gt;"",0%,0)))</f>
        <v>1</v>
      </c>
      <c r="XEW32" t="e">
        <f>IF(XEV32=XEW31,1,NA())</f>
        <v>#N/A</v>
      </c>
      <c r="XEX32" t="e">
        <f>IF(XEV32=XEX31,1,NA())</f>
        <v>#N/A</v>
      </c>
      <c r="XEY32">
        <f>IF(XEV32=XEY31,1,NA())</f>
        <v>1</v>
      </c>
      <c r="XFA32" s="108">
        <f>IF(K48&lt;&gt;"",100%,IF(I48&lt;&gt;"",50%,IF(XFB30&lt;&gt;"",0%,0)))</f>
        <v>1</v>
      </c>
      <c r="XFB32" t="e">
        <f>IF(XFA32=XFB31,1,NA())</f>
        <v>#N/A</v>
      </c>
      <c r="XFC32" t="e">
        <f>IF(XFA32=XFC31,1,NA())</f>
        <v>#N/A</v>
      </c>
      <c r="XFD32">
        <f>IF(XFA32=XFD31,1,NA())</f>
        <v>1</v>
      </c>
    </row>
    <row r="33" spans="4:13 16376:16384" x14ac:dyDescent="0.25">
      <c r="D33" s="183"/>
      <c r="E33" s="217" t="s">
        <v>2778</v>
      </c>
      <c r="F33" s="262" t="str">
        <f>IFERROR(VLOOKUP(B9,'PROG. 23'!A3:E1946,5,0),"")</f>
        <v>COMEX METAL</v>
      </c>
      <c r="G33" s="242"/>
      <c r="H33" s="242"/>
      <c r="I33" s="242"/>
      <c r="J33" s="242"/>
      <c r="K33" s="242"/>
      <c r="L33" s="242"/>
      <c r="M33" s="242"/>
    </row>
    <row r="34" spans="4:13 16376:16384" x14ac:dyDescent="0.25">
      <c r="D34" s="183"/>
      <c r="E34" s="217" t="s">
        <v>4295</v>
      </c>
      <c r="F34" s="238" t="str">
        <f>IFERROR(VLOOKUP(B9,Prog_23[CONTEINER],1,0),"")</f>
        <v>TGBU6811464</v>
      </c>
      <c r="G34" s="183"/>
      <c r="H34" s="183"/>
      <c r="I34" s="183"/>
      <c r="J34" s="183"/>
      <c r="K34" s="183"/>
      <c r="L34" s="183"/>
      <c r="M34" s="183"/>
      <c r="XEW34" s="205">
        <v>0</v>
      </c>
      <c r="XEX34" s="205">
        <v>0.5</v>
      </c>
      <c r="XEY34" s="205">
        <v>1</v>
      </c>
      <c r="XFB34" s="205">
        <v>0</v>
      </c>
      <c r="XFC34" s="205">
        <v>0.5</v>
      </c>
      <c r="XFD34" s="205">
        <v>1</v>
      </c>
    </row>
    <row r="35" spans="4:13 16376:16384" x14ac:dyDescent="0.25">
      <c r="D35" s="183"/>
      <c r="E35" s="217" t="s">
        <v>5248</v>
      </c>
      <c r="F35" s="235">
        <f>IFERROR(VLOOKUP(B9,'PROG. 23'!A3:H1946,8,0),"")</f>
        <v>228728220</v>
      </c>
      <c r="G35" s="219" t="s">
        <v>4184</v>
      </c>
      <c r="H35" s="220"/>
      <c r="I35" s="211" t="s">
        <v>4185</v>
      </c>
      <c r="J35" s="220"/>
      <c r="K35" s="211" t="s">
        <v>4187</v>
      </c>
      <c r="L35" s="220"/>
      <c r="M35" s="220"/>
      <c r="XEV35" s="108">
        <f>XEV32</f>
        <v>1</v>
      </c>
      <c r="XEW35">
        <f>IF(XEW34&lt;=XEV35,1,NA())</f>
        <v>1</v>
      </c>
      <c r="XEX35">
        <f>IF(XEX34&lt;=XEV35,1,NA())</f>
        <v>1</v>
      </c>
      <c r="XEY35">
        <f>IF(XEY34&lt;=XEV35,1,NA())</f>
        <v>1</v>
      </c>
      <c r="XFA35" s="108">
        <f>XFA32</f>
        <v>1</v>
      </c>
      <c r="XFB35">
        <f>IF(XFB34&lt;=XFA35,1,NA())</f>
        <v>1</v>
      </c>
      <c r="XFC35">
        <f>IF(XFC34&lt;=XFA35,1,NA())</f>
        <v>1</v>
      </c>
      <c r="XFD35">
        <f>IF(XFD34&lt;=XFA35,1,NA())</f>
        <v>1</v>
      </c>
    </row>
    <row r="36" spans="4:13 16376:16384" x14ac:dyDescent="0.25">
      <c r="D36" s="183"/>
      <c r="E36" s="236"/>
      <c r="F36" s="233"/>
      <c r="G36" s="183"/>
      <c r="H36" s="183"/>
      <c r="I36" s="244">
        <f>IF(VLOOKUP(B9,Prog_23[[CONTEINER]:[CHEGADA NO CLIENTE]],16,0)=0/1/1900,"",VLOOKUP(B9,Prog_23[[CONTEINER]:[CHEGADA NO CLIENTE]],16,0))</f>
        <v>45106.245138888888</v>
      </c>
      <c r="J36" s="183"/>
      <c r="K36" s="244">
        <f>IF(VLOOKUP(B9,Prog_23[[CONTEINER]:[DATA DE ENTREGA]],19,0)=0/1/1900,"",VLOOKUP(B9,Prog_23[[CONTEINER]:[DATA DE ENTREGA]],19,0))</f>
        <v>45106.929861111108</v>
      </c>
      <c r="L36" s="183"/>
      <c r="M36" s="183"/>
    </row>
    <row r="37" spans="4:13 16376:16384" x14ac:dyDescent="0.25">
      <c r="D37" s="183"/>
      <c r="E37" s="235" t="str">
        <f>B9</f>
        <v>TGBU6811464</v>
      </c>
      <c r="F37" s="235" t="str">
        <f>IFERROR(VLOOKUP(B9,Prog_23[[CONTEINER]:[MOTORISTA]],11,0),"")</f>
        <v>JEFFERSON BATISTA ARISTIDES</v>
      </c>
      <c r="G37" s="183"/>
      <c r="H37" s="213"/>
      <c r="I37" s="237" t="str">
        <f>IFERROR(VLOOKUP(B9,'PROG. 23'!A3:F1946,6,0),"")</f>
        <v>SÃO JOSÉ DOS CAMPOS-SP</v>
      </c>
      <c r="J37" s="213"/>
      <c r="K37" s="183"/>
      <c r="L37" s="213"/>
      <c r="M37" s="213"/>
      <c r="XEW37" s="108">
        <v>1</v>
      </c>
      <c r="XEX37" s="108">
        <v>1</v>
      </c>
      <c r="XEY37" s="108">
        <v>1</v>
      </c>
      <c r="XFB37" s="108">
        <v>1</v>
      </c>
      <c r="XFC37" s="108">
        <v>1</v>
      </c>
      <c r="XFD37" s="108">
        <v>1</v>
      </c>
    </row>
    <row r="38" spans="4:13 16376:16384" x14ac:dyDescent="0.25">
      <c r="D38" s="225"/>
      <c r="E38" s="230" t="s">
        <v>4242</v>
      </c>
      <c r="F38" s="328" t="str">
        <f>C9</f>
        <v>tá pronto</v>
      </c>
      <c r="G38" s="328"/>
      <c r="H38" s="328"/>
      <c r="I38" s="328"/>
      <c r="J38" s="328"/>
      <c r="K38" s="328"/>
      <c r="L38" s="328"/>
      <c r="M38" s="328"/>
    </row>
    <row r="39" spans="4:13 16376:16384" x14ac:dyDescent="0.25">
      <c r="D39" s="183"/>
      <c r="E39" s="217" t="s">
        <v>2778</v>
      </c>
      <c r="F39" s="262" t="str">
        <f>IFERROR(VLOOKUP(B10,'PROG. 23'!A3:E1946,5,0),"")</f>
        <v>NEWPOWER</v>
      </c>
      <c r="G39" s="242"/>
      <c r="H39" s="242"/>
      <c r="I39" s="242"/>
      <c r="J39" s="242"/>
      <c r="K39" s="242"/>
      <c r="L39" s="242"/>
      <c r="M39" s="242"/>
      <c r="XEV39" t="s">
        <v>4196</v>
      </c>
      <c r="XFA39" t="s">
        <v>4197</v>
      </c>
    </row>
    <row r="40" spans="4:13 16376:16384" x14ac:dyDescent="0.25">
      <c r="D40" s="183"/>
      <c r="E40" s="217" t="s">
        <v>4295</v>
      </c>
      <c r="F40" s="238" t="str">
        <f>IFERROR(VLOOKUP(B10,Prog_23[CONTEINER],1,0),"")</f>
        <v>FANU1942077</v>
      </c>
      <c r="G40" s="183"/>
      <c r="H40" s="183"/>
      <c r="I40" s="183"/>
      <c r="J40" s="183"/>
      <c r="K40" s="183"/>
      <c r="L40" s="183"/>
      <c r="M40" s="183"/>
      <c r="XEW40" s="205">
        <v>0</v>
      </c>
      <c r="XEX40" s="205">
        <v>0.5</v>
      </c>
      <c r="XEY40" s="205">
        <v>1</v>
      </c>
      <c r="XFB40" s="205">
        <v>0</v>
      </c>
      <c r="XFC40" s="205">
        <v>0.5</v>
      </c>
      <c r="XFD40" s="205">
        <v>1</v>
      </c>
    </row>
    <row r="41" spans="4:13 16376:16384" x14ac:dyDescent="0.25">
      <c r="D41" s="183"/>
      <c r="E41" s="217" t="s">
        <v>5248</v>
      </c>
      <c r="F41" s="235" t="str">
        <f>IFERROR(VLOOKUP(B10,'PROG. 23'!A3:H1946,8,0),"")</f>
        <v>23/1230660-2</v>
      </c>
      <c r="G41" s="219" t="s">
        <v>4184</v>
      </c>
      <c r="H41" s="220"/>
      <c r="I41" s="211" t="s">
        <v>4185</v>
      </c>
      <c r="J41" s="220"/>
      <c r="K41" s="211" t="s">
        <v>4187</v>
      </c>
      <c r="L41" s="220"/>
      <c r="M41" s="220"/>
      <c r="XEV41" s="108">
        <f>IF(K54&lt;&gt;"",100%,IF(I54&lt;&gt;"",50%,IF(XEW39&lt;&gt;"",0%,0)))</f>
        <v>1</v>
      </c>
      <c r="XEW41" t="e">
        <f>IF(XEV41=XEW40,1,NA())</f>
        <v>#N/A</v>
      </c>
      <c r="XEX41" t="e">
        <f>IF(XEV41=XEX40,1,NA())</f>
        <v>#N/A</v>
      </c>
      <c r="XEY41">
        <f>IF(XEV41=XEY40,1,NA())</f>
        <v>1</v>
      </c>
      <c r="XFA41" s="108">
        <f>IF(K60&lt;&gt;"",100%,IF(I60&lt;&gt;"",50%,IF(XFB39&lt;&gt;"",0%,0)))</f>
        <v>1</v>
      </c>
      <c r="XFB41" t="e">
        <f>IF(XFA41=XFB40,1,NA())</f>
        <v>#N/A</v>
      </c>
      <c r="XFC41" t="e">
        <f>IF(XFA41=XFC40,1,NA())</f>
        <v>#N/A</v>
      </c>
      <c r="XFD41">
        <f>IF(XFA41=XFD40,1,NA())</f>
        <v>1</v>
      </c>
    </row>
    <row r="42" spans="4:13 16376:16384" x14ac:dyDescent="0.25">
      <c r="D42" s="183"/>
      <c r="E42" s="236"/>
      <c r="F42" s="233"/>
      <c r="G42" s="183"/>
      <c r="H42" s="183"/>
      <c r="I42" s="244">
        <f>IF(VLOOKUP(B10,Prog_23[[CONTEINER]:[CHEGADA NO CLIENTE]],16,0)=0/1/1900,"",VLOOKUP(B10,Prog_23[[CONTEINER]:[CHEGADA NO CLIENTE]],16,0))</f>
        <v>45110.166666666664</v>
      </c>
      <c r="J42" s="183"/>
      <c r="K42" s="244">
        <f>IF(VLOOKUP(B10,Prog_23[[CONTEINER]:[DATA DE ENTREGA]],19,0)=0/1/1900,"",VLOOKUP(B10,Prog_23[[CONTEINER]:[DATA DE ENTREGA]],19,0))</f>
        <v>45110.581250000003</v>
      </c>
      <c r="L42" s="183"/>
      <c r="M42" s="183"/>
    </row>
    <row r="43" spans="4:13 16376:16384" x14ac:dyDescent="0.25">
      <c r="D43" s="183"/>
      <c r="E43" s="235" t="str">
        <f>B10</f>
        <v>FANU1942077</v>
      </c>
      <c r="F43" s="235" t="str">
        <f>IFERROR(VLOOKUP(B10,Prog_23[[CONTEINER]:[MOTORISTA]],11,0),"")</f>
        <v>ALMIR CARDOSO DOS SANTOS</v>
      </c>
      <c r="G43" s="183"/>
      <c r="H43" s="213"/>
      <c r="I43" s="237" t="str">
        <f>IFERROR(VLOOKUP(B10,'PROG. 23'!A3:F1946,6,0),"")</f>
        <v>GUARULHOS-SP</v>
      </c>
      <c r="J43" s="213"/>
      <c r="K43" s="183"/>
      <c r="L43" s="213"/>
      <c r="M43" s="213"/>
      <c r="XEW43" s="205">
        <v>0</v>
      </c>
      <c r="XEX43" s="205">
        <v>0.5</v>
      </c>
      <c r="XEY43" s="205">
        <v>1</v>
      </c>
      <c r="XFB43" s="205">
        <v>0</v>
      </c>
      <c r="XFC43" s="205">
        <v>0.5</v>
      </c>
      <c r="XFD43" s="205">
        <v>1</v>
      </c>
    </row>
    <row r="44" spans="4:13 16376:16384" x14ac:dyDescent="0.25">
      <c r="D44" s="225"/>
      <c r="E44" s="230" t="s">
        <v>4242</v>
      </c>
      <c r="F44" s="328" t="str">
        <f>C10</f>
        <v>tá pronto</v>
      </c>
      <c r="G44" s="328"/>
      <c r="H44" s="328"/>
      <c r="I44" s="328"/>
      <c r="J44" s="328"/>
      <c r="K44" s="328"/>
      <c r="L44" s="328"/>
      <c r="M44" s="328"/>
      <c r="XEV44" s="108">
        <f>XEV41</f>
        <v>1</v>
      </c>
      <c r="XEW44">
        <f>IF(XEW43&lt;=XEV44,1,NA())</f>
        <v>1</v>
      </c>
      <c r="XEX44">
        <f>IF(XEX43&lt;=XEV44,1,NA())</f>
        <v>1</v>
      </c>
      <c r="XEY44">
        <f>IF(XEY43&lt;=XEV44,1,NA())</f>
        <v>1</v>
      </c>
      <c r="XFA44" s="108">
        <f>XFA41</f>
        <v>1</v>
      </c>
      <c r="XFB44">
        <f>IF(XFB43&lt;=XFA44,1,NA())</f>
        <v>1</v>
      </c>
      <c r="XFC44">
        <f>IF(XFC43&lt;=XFA44,1,NA())</f>
        <v>1</v>
      </c>
      <c r="XFD44">
        <f>IF(XFD43&lt;=XFA44,1,NA())</f>
        <v>1</v>
      </c>
    </row>
    <row r="45" spans="4:13 16376:16384" x14ac:dyDescent="0.25">
      <c r="D45" s="183"/>
      <c r="E45" s="217" t="s">
        <v>2778</v>
      </c>
      <c r="F45" s="262" t="str">
        <f>IFERROR(VLOOKUP(B11,'PROG. 23'!A3:E1946,5,0),"")</f>
        <v>GOLDSPELL</v>
      </c>
      <c r="G45" s="242"/>
      <c r="H45" s="242"/>
      <c r="I45" s="242"/>
      <c r="J45" s="242"/>
      <c r="K45" s="242"/>
      <c r="L45" s="242"/>
      <c r="M45" s="242"/>
    </row>
    <row r="46" spans="4:13 16376:16384" x14ac:dyDescent="0.25">
      <c r="D46" s="183"/>
      <c r="E46" s="217" t="s">
        <v>4295</v>
      </c>
      <c r="F46" s="238" t="str">
        <f>IFERROR(VLOOKUP(B11,Prog_23[CONTEINER],1,0),"")</f>
        <v>GLDU5455343</v>
      </c>
      <c r="G46" s="183"/>
      <c r="H46" s="183"/>
      <c r="I46" s="183"/>
      <c r="J46" s="183"/>
      <c r="K46" s="183"/>
      <c r="L46" s="183"/>
      <c r="M46" s="183"/>
      <c r="XEW46" s="108">
        <v>1</v>
      </c>
      <c r="XEX46" s="108">
        <v>1</v>
      </c>
      <c r="XEY46" s="108">
        <v>1</v>
      </c>
      <c r="XFB46" s="108">
        <v>1</v>
      </c>
      <c r="XFC46" s="108">
        <v>1</v>
      </c>
      <c r="XFD46" s="108">
        <v>1</v>
      </c>
    </row>
    <row r="47" spans="4:13 16376:16384" x14ac:dyDescent="0.25">
      <c r="D47" s="183"/>
      <c r="E47" s="217" t="s">
        <v>5248</v>
      </c>
      <c r="F47" s="235" t="str">
        <f>IFERROR(VLOOKUP(B11,'PROG. 23'!A3:H1946,8,0),"")</f>
        <v>EBKG06039946</v>
      </c>
      <c r="G47" s="219" t="s">
        <v>4184</v>
      </c>
      <c r="H47" s="220"/>
      <c r="I47" s="211" t="s">
        <v>4185</v>
      </c>
      <c r="J47" s="220"/>
      <c r="K47" s="211" t="s">
        <v>4187</v>
      </c>
      <c r="L47" s="220"/>
      <c r="M47" s="220"/>
    </row>
    <row r="48" spans="4:13 16376:16384" x14ac:dyDescent="0.25">
      <c r="D48" s="183"/>
      <c r="E48" s="236"/>
      <c r="F48" s="233"/>
      <c r="G48" s="183"/>
      <c r="H48" s="183"/>
      <c r="I48" s="244">
        <f>IF(VLOOKUP(B11,Prog_23[[CONTEINER]:[CHEGADA NO CLIENTE]],16,0)=0/1/1900,"",VLOOKUP(B11,Prog_23[[CONTEINER]:[CHEGADA NO CLIENTE]],16,0))</f>
        <v>45110.291666666664</v>
      </c>
      <c r="J48" s="183"/>
      <c r="K48" s="244">
        <f>IF(VLOOKUP(B11,Prog_23[[CONTEINER]:[DATA DE ENTREGA]],19,0)=0/1/1900,"",VLOOKUP(B11,Prog_23[[CONTEINER]:[DATA DE ENTREGA]],19,0))</f>
        <v>45110.520833333336</v>
      </c>
      <c r="L48" s="183"/>
      <c r="M48" s="183"/>
    </row>
    <row r="49" spans="4:13" x14ac:dyDescent="0.25">
      <c r="D49" s="183"/>
      <c r="E49" s="235" t="str">
        <f>B11</f>
        <v>GLDU5455343</v>
      </c>
      <c r="F49" s="235" t="str">
        <f>IFERROR(VLOOKUP(B11,Prog_23[[CONTEINER]:[MOTORISTA]],11,0),"")</f>
        <v>GILVAN LAURENTINO DA SILVA</v>
      </c>
      <c r="G49" s="183"/>
      <c r="H49" s="213"/>
      <c r="I49" s="237" t="str">
        <f>IFERROR(VLOOKUP(B11,'PROG. 23'!A3:F1946,6,0),"")</f>
        <v>SÃO PAULO-SP</v>
      </c>
      <c r="J49" s="213"/>
      <c r="K49" s="183"/>
      <c r="L49" s="213"/>
      <c r="M49" s="213"/>
    </row>
    <row r="50" spans="4:13" x14ac:dyDescent="0.25">
      <c r="D50" s="225"/>
      <c r="E50" s="230" t="s">
        <v>4242</v>
      </c>
      <c r="F50" s="328" t="str">
        <f>C11</f>
        <v>tá pronto</v>
      </c>
      <c r="G50" s="328"/>
      <c r="H50" s="328"/>
      <c r="I50" s="328"/>
      <c r="J50" s="328"/>
      <c r="K50" s="328"/>
      <c r="L50" s="328"/>
      <c r="M50" s="328"/>
    </row>
    <row r="51" spans="4:13" x14ac:dyDescent="0.25">
      <c r="D51" s="183"/>
      <c r="E51" s="217" t="s">
        <v>2778</v>
      </c>
      <c r="F51" s="262" t="str">
        <f>IFERROR(VLOOKUP(B12,'PROG. 23'!A3:E1946,5,0),"")</f>
        <v>ALERIS</v>
      </c>
      <c r="G51" s="242"/>
      <c r="H51" s="242"/>
      <c r="I51" s="242"/>
      <c r="J51" s="242"/>
      <c r="K51" s="242"/>
      <c r="L51" s="242"/>
      <c r="M51" s="242"/>
    </row>
    <row r="52" spans="4:13" x14ac:dyDescent="0.25">
      <c r="D52" s="183"/>
      <c r="E52" s="217" t="s">
        <v>4295</v>
      </c>
      <c r="F52" s="238" t="str">
        <f>IFERROR(VLOOKUP(B12,Prog_23[CONTEINER],1,0),"")</f>
        <v>TCKU7400118</v>
      </c>
      <c r="G52" s="183"/>
      <c r="H52" s="183"/>
      <c r="I52" s="183"/>
      <c r="J52" s="183"/>
      <c r="K52" s="183"/>
      <c r="L52" s="183"/>
      <c r="M52" s="183"/>
    </row>
    <row r="53" spans="4:13" x14ac:dyDescent="0.25">
      <c r="D53" s="183"/>
      <c r="E53" s="217" t="s">
        <v>5248</v>
      </c>
      <c r="F53" s="235">
        <f>IFERROR(VLOOKUP(B12,'PROG. 23'!A3:H1946,8,0),"")</f>
        <v>228321252</v>
      </c>
      <c r="G53" s="219" t="s">
        <v>4184</v>
      </c>
      <c r="H53" s="220"/>
      <c r="I53" s="211" t="s">
        <v>4185</v>
      </c>
      <c r="J53" s="220"/>
      <c r="K53" s="211" t="s">
        <v>4187</v>
      </c>
      <c r="L53" s="220"/>
      <c r="M53" s="220"/>
    </row>
    <row r="54" spans="4:13" x14ac:dyDescent="0.25">
      <c r="D54" s="183"/>
      <c r="E54" s="236"/>
      <c r="F54" s="233"/>
      <c r="G54" s="183"/>
      <c r="H54" s="183"/>
      <c r="I54" s="244">
        <f>IF(VLOOKUP(B12,Prog_23[[CONTEINER]:[CHEGADA NO CLIENTE]],16,0)=0/1/1900,"",VLOOKUP(B12,Prog_23[[CONTEINER]:[CHEGADA NO CLIENTE]],16,0))</f>
        <v>45110.298611111109</v>
      </c>
      <c r="J54" s="183"/>
      <c r="K54" s="244">
        <f>IF(VLOOKUP(B12,Prog_23[[CONTEINER]:[DATA DE ENTREGA]],19,0)=0/1/1900,"",VLOOKUP(B12,Prog_23[[CONTEINER]:[DATA DE ENTREGA]],19,0))</f>
        <v>45122.522916666669</v>
      </c>
      <c r="L54" s="183"/>
      <c r="M54" s="183"/>
    </row>
    <row r="55" spans="4:13" x14ac:dyDescent="0.25">
      <c r="D55" s="183"/>
      <c r="E55" s="235" t="str">
        <f>B12</f>
        <v>TCKU7400118</v>
      </c>
      <c r="F55" s="235" t="str">
        <f>IFERROR(VLOOKUP(B12,Prog_23[[CONTEINER]:[MOTORISTA]],11,0),"")</f>
        <v>FABIO DARIO RODRIGUES</v>
      </c>
      <c r="G55" s="183"/>
      <c r="H55" s="213"/>
      <c r="I55" s="237" t="str">
        <f>IFERROR(VLOOKUP(B12,'PROG. 23'!A3:F1946,6,0),"")</f>
        <v>JUNDIAI-SP</v>
      </c>
      <c r="J55" s="213"/>
      <c r="K55" s="183"/>
      <c r="L55" s="213"/>
      <c r="M55" s="213"/>
    </row>
    <row r="56" spans="4:13" x14ac:dyDescent="0.25">
      <c r="D56" s="225"/>
      <c r="E56" s="230" t="s">
        <v>4242</v>
      </c>
      <c r="F56" s="328" t="str">
        <f>C12</f>
        <v>tá pronto</v>
      </c>
      <c r="G56" s="328"/>
      <c r="H56" s="328"/>
      <c r="I56" s="328"/>
      <c r="J56" s="328"/>
      <c r="K56" s="328"/>
      <c r="L56" s="328"/>
      <c r="M56" s="328"/>
    </row>
    <row r="57" spans="4:13" x14ac:dyDescent="0.25">
      <c r="D57" s="183"/>
      <c r="E57" s="217" t="s">
        <v>2778</v>
      </c>
      <c r="F57" s="262" t="str">
        <f>IFERROR(VLOOKUP(B13,'PROG. 23'!A3:E1946,5,0),"")</f>
        <v>NEWPOWER</v>
      </c>
      <c r="G57" s="242"/>
      <c r="H57" s="242"/>
      <c r="I57" s="242"/>
      <c r="J57" s="242"/>
      <c r="K57" s="242"/>
      <c r="L57" s="242"/>
      <c r="M57" s="242"/>
    </row>
    <row r="58" spans="4:13" x14ac:dyDescent="0.25">
      <c r="D58" s="183"/>
      <c r="E58" s="217" t="s">
        <v>4295</v>
      </c>
      <c r="F58" s="238" t="str">
        <f>IFERROR(VLOOKUP(B13,Prog_23[CONTEINER],1,0),"")</f>
        <v>FANU1942077</v>
      </c>
      <c r="G58" s="183"/>
      <c r="H58" s="183"/>
      <c r="I58" s="183"/>
      <c r="J58" s="183"/>
      <c r="K58" s="183"/>
      <c r="L58" s="183"/>
      <c r="M58" s="183"/>
    </row>
    <row r="59" spans="4:13" x14ac:dyDescent="0.25">
      <c r="D59" s="183"/>
      <c r="E59" s="217" t="s">
        <v>5248</v>
      </c>
      <c r="F59" s="235" t="str">
        <f>IFERROR(VLOOKUP(B13,'PROG. 23'!A3:H1946,8,0),"")</f>
        <v>23/1230660-2</v>
      </c>
      <c r="G59" s="219" t="s">
        <v>4184</v>
      </c>
      <c r="H59" s="220"/>
      <c r="I59" s="211" t="s">
        <v>4185</v>
      </c>
      <c r="J59" s="220"/>
      <c r="K59" s="211" t="s">
        <v>4187</v>
      </c>
      <c r="L59" s="220"/>
      <c r="M59" s="220"/>
    </row>
    <row r="60" spans="4:13" x14ac:dyDescent="0.25">
      <c r="D60" s="183"/>
      <c r="E60" s="236"/>
      <c r="F60" s="233"/>
      <c r="G60" s="183"/>
      <c r="H60" s="183"/>
      <c r="I60" s="244">
        <f>IF(VLOOKUP(B13,Prog_23[[CONTEINER]:[CHEGADA NO CLIENTE]],16,0)=0/1/1900,"",VLOOKUP(B13,Prog_23[[CONTEINER]:[CHEGADA NO CLIENTE]],16,0))</f>
        <v>45110.166666666664</v>
      </c>
      <c r="J60" s="183"/>
      <c r="K60" s="244">
        <f>IF(VLOOKUP(B13,Prog_23[[CONTEINER]:[DATA DE ENTREGA]],19,0)=0/1/1900,"",VLOOKUP(B13,Prog_23[[CONTEINER]:[DATA DE ENTREGA]],19,0))</f>
        <v>45110.581250000003</v>
      </c>
      <c r="L60" s="183"/>
      <c r="M60" s="183"/>
    </row>
    <row r="61" spans="4:13" x14ac:dyDescent="0.25">
      <c r="D61" s="183"/>
      <c r="E61" s="235" t="str">
        <f>B13</f>
        <v>FANU1942077</v>
      </c>
      <c r="F61" s="235" t="str">
        <f>IFERROR(VLOOKUP(B13,Prog_23[[CONTEINER]:[MOTORISTA]],11,0),"")</f>
        <v>ALMIR CARDOSO DOS SANTOS</v>
      </c>
      <c r="G61" s="183"/>
      <c r="H61" s="213"/>
      <c r="I61" s="237" t="str">
        <f>IFERROR(VLOOKUP(B13,'PROG. 23'!A3:F1946,6,0),"")</f>
        <v>GUARULHOS-SP</v>
      </c>
      <c r="J61" s="213"/>
      <c r="K61" s="183"/>
      <c r="L61" s="213"/>
      <c r="M61" s="213"/>
    </row>
    <row r="62" spans="4:13" x14ac:dyDescent="0.25">
      <c r="D62" s="225"/>
      <c r="E62" s="230" t="s">
        <v>4242</v>
      </c>
      <c r="F62" s="328" t="str">
        <f>C13</f>
        <v>tá pronto</v>
      </c>
      <c r="G62" s="328"/>
      <c r="H62" s="328"/>
      <c r="I62" s="328"/>
      <c r="J62" s="328"/>
      <c r="K62" s="328"/>
      <c r="L62" s="328"/>
      <c r="M62" s="328"/>
    </row>
  </sheetData>
  <mergeCells count="11">
    <mergeCell ref="F1:M1"/>
    <mergeCell ref="F8:M8"/>
    <mergeCell ref="F14:M14"/>
    <mergeCell ref="F20:M20"/>
    <mergeCell ref="F26:M26"/>
    <mergeCell ref="F62:M62"/>
    <mergeCell ref="F32:M32"/>
    <mergeCell ref="F38:M38"/>
    <mergeCell ref="F44:M44"/>
    <mergeCell ref="F50:M50"/>
    <mergeCell ref="F56:M56"/>
  </mergeCells>
  <phoneticPr fontId="30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40C7F-ABF6-4A4A-BD8D-48063A5A1990}">
  <sheetPr codeName="Planilha5"/>
  <dimension ref="A1:AD213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J9" sqref="J9"/>
    </sheetView>
  </sheetViews>
  <sheetFormatPr defaultRowHeight="15" x14ac:dyDescent="0.25"/>
  <cols>
    <col min="1" max="1" width="7.42578125" style="32" bestFit="1" customWidth="1"/>
    <col min="2" max="2" width="19.140625" style="32" bestFit="1" customWidth="1"/>
    <col min="3" max="3" width="19.85546875" style="32" bestFit="1" customWidth="1"/>
    <col min="4" max="4" width="39.5703125" style="32" bestFit="1" customWidth="1"/>
    <col min="5" max="6" width="12" style="32" bestFit="1" customWidth="1"/>
    <col min="7" max="8" width="9.140625" style="32"/>
    <col min="9" max="9" width="12.140625" style="32" bestFit="1" customWidth="1"/>
    <col min="10" max="10" width="10.5703125" style="32" bestFit="1" customWidth="1"/>
    <col min="11" max="11" width="7.140625" style="32" bestFit="1" customWidth="1"/>
    <col min="12" max="12" width="30.85546875" style="32" bestFit="1" customWidth="1"/>
    <col min="13" max="13" width="43.5703125" style="32" bestFit="1" customWidth="1"/>
    <col min="14" max="14" width="31.42578125" style="32" bestFit="1" customWidth="1"/>
    <col min="15" max="15" width="12.42578125" style="32" bestFit="1" customWidth="1"/>
    <col min="16" max="16" width="13.5703125" style="32" bestFit="1" customWidth="1"/>
    <col min="17" max="17" width="6" style="32" bestFit="1" customWidth="1"/>
    <col min="18" max="18" width="12.140625" style="32" bestFit="1" customWidth="1"/>
    <col min="19" max="19" width="6" style="32" bestFit="1" customWidth="1"/>
    <col min="20" max="20" width="11.140625" style="32" bestFit="1" customWidth="1"/>
    <col min="21" max="21" width="15.42578125" style="32" bestFit="1" customWidth="1"/>
    <col min="22" max="22" width="8.28515625" style="32" bestFit="1" customWidth="1"/>
    <col min="23" max="23" width="8.42578125" style="32" bestFit="1" customWidth="1"/>
    <col min="24" max="24" width="34" style="32" bestFit="1" customWidth="1"/>
    <col min="25" max="25" width="8.140625" style="32" bestFit="1" customWidth="1"/>
    <col min="26" max="26" width="15.42578125" style="32" bestFit="1" customWidth="1"/>
    <col min="27" max="27" width="6" style="32" bestFit="1" customWidth="1"/>
    <col min="28" max="28" width="9" style="32" bestFit="1" customWidth="1"/>
    <col min="29" max="30" width="12.140625" style="32" bestFit="1" customWidth="1"/>
    <col min="31" max="16384" width="9.140625" style="32"/>
  </cols>
  <sheetData>
    <row r="1" spans="1:12" x14ac:dyDescent="0.25">
      <c r="J1" s="184"/>
    </row>
    <row r="2" spans="1:12" x14ac:dyDescent="0.25">
      <c r="A2" s="32" t="s">
        <v>0</v>
      </c>
      <c r="B2" s="32" t="s">
        <v>1</v>
      </c>
      <c r="C2" s="32" t="s">
        <v>2</v>
      </c>
      <c r="D2" s="32" t="s">
        <v>3</v>
      </c>
      <c r="E2" s="32" t="s">
        <v>4</v>
      </c>
      <c r="F2" s="32" t="s">
        <v>5</v>
      </c>
      <c r="L2" s="35"/>
    </row>
    <row r="3" spans="1:12" x14ac:dyDescent="0.25">
      <c r="B3" s="32" t="s">
        <v>6</v>
      </c>
      <c r="C3" s="32" t="s">
        <v>7</v>
      </c>
      <c r="D3" s="334" t="s">
        <v>6362</v>
      </c>
      <c r="E3" s="335" t="s">
        <v>6363</v>
      </c>
      <c r="F3" s="335" t="s">
        <v>6364</v>
      </c>
      <c r="L3" s="35"/>
    </row>
    <row r="4" spans="1:12" x14ac:dyDescent="0.25">
      <c r="B4" s="32" t="s">
        <v>11</v>
      </c>
      <c r="C4" s="32" t="s">
        <v>12</v>
      </c>
      <c r="D4" s="334" t="s">
        <v>2687</v>
      </c>
      <c r="E4" s="335" t="s">
        <v>6365</v>
      </c>
      <c r="F4" s="335" t="s">
        <v>6366</v>
      </c>
      <c r="L4" s="35"/>
    </row>
    <row r="5" spans="1:12" x14ac:dyDescent="0.25">
      <c r="B5" s="125" t="s">
        <v>102</v>
      </c>
      <c r="C5" s="125" t="s">
        <v>27</v>
      </c>
      <c r="D5" s="334" t="s">
        <v>6367</v>
      </c>
      <c r="E5" s="335" t="s">
        <v>6368</v>
      </c>
      <c r="F5" s="335" t="s">
        <v>6369</v>
      </c>
      <c r="L5" s="35"/>
    </row>
    <row r="6" spans="1:12" x14ac:dyDescent="0.25">
      <c r="B6" s="32" t="s">
        <v>16</v>
      </c>
      <c r="C6" s="32" t="s">
        <v>17</v>
      </c>
      <c r="D6" s="334" t="s">
        <v>6370</v>
      </c>
      <c r="E6" s="335" t="s">
        <v>6371</v>
      </c>
      <c r="F6" s="335" t="s">
        <v>6372</v>
      </c>
      <c r="L6" s="35"/>
    </row>
    <row r="7" spans="1:12" x14ac:dyDescent="0.25">
      <c r="B7" s="126" t="s">
        <v>3970</v>
      </c>
      <c r="C7" s="126" t="s">
        <v>1137</v>
      </c>
      <c r="D7" s="334" t="s">
        <v>6373</v>
      </c>
      <c r="E7" s="335" t="s">
        <v>6374</v>
      </c>
      <c r="F7" s="335" t="s">
        <v>6375</v>
      </c>
      <c r="L7" s="35"/>
    </row>
    <row r="8" spans="1:12" x14ac:dyDescent="0.25">
      <c r="B8" s="32" t="s">
        <v>21</v>
      </c>
      <c r="C8" s="32" t="s">
        <v>22</v>
      </c>
      <c r="D8" s="334" t="s">
        <v>6376</v>
      </c>
      <c r="E8" s="335" t="s">
        <v>6377</v>
      </c>
      <c r="F8" s="335" t="s">
        <v>6378</v>
      </c>
      <c r="L8" s="35"/>
    </row>
    <row r="9" spans="1:12" x14ac:dyDescent="0.25">
      <c r="B9" s="32" t="s">
        <v>26</v>
      </c>
      <c r="C9" s="32" t="s">
        <v>27</v>
      </c>
      <c r="D9" s="334" t="s">
        <v>6379</v>
      </c>
      <c r="E9" s="335" t="s">
        <v>6380</v>
      </c>
      <c r="F9" s="335" t="s">
        <v>6381</v>
      </c>
      <c r="L9" s="35"/>
    </row>
    <row r="10" spans="1:12" x14ac:dyDescent="0.25">
      <c r="B10" s="125" t="s">
        <v>31</v>
      </c>
      <c r="C10" s="125" t="s">
        <v>32</v>
      </c>
      <c r="D10" s="334" t="s">
        <v>1553</v>
      </c>
      <c r="E10" s="335" t="s">
        <v>1554</v>
      </c>
      <c r="F10" s="335" t="s">
        <v>1555</v>
      </c>
      <c r="L10" s="35"/>
    </row>
    <row r="11" spans="1:12" x14ac:dyDescent="0.25">
      <c r="B11" s="32" t="s">
        <v>2859</v>
      </c>
      <c r="C11" s="32" t="s">
        <v>2860</v>
      </c>
      <c r="D11" s="334" t="s">
        <v>6382</v>
      </c>
      <c r="E11" s="335" t="s">
        <v>6383</v>
      </c>
      <c r="F11" s="335" t="s">
        <v>6384</v>
      </c>
      <c r="L11" s="35"/>
    </row>
    <row r="12" spans="1:12" x14ac:dyDescent="0.25">
      <c r="B12" s="66" t="s">
        <v>3583</v>
      </c>
      <c r="C12" s="66" t="s">
        <v>3576</v>
      </c>
      <c r="D12" s="251" t="s">
        <v>6385</v>
      </c>
      <c r="E12" s="336" t="s">
        <v>6386</v>
      </c>
      <c r="F12" s="336" t="s">
        <v>6387</v>
      </c>
      <c r="L12" s="35"/>
    </row>
    <row r="13" spans="1:12" x14ac:dyDescent="0.25">
      <c r="B13" s="32" t="s">
        <v>2912</v>
      </c>
      <c r="C13" s="32" t="s">
        <v>2913</v>
      </c>
      <c r="D13" s="334" t="s">
        <v>6388</v>
      </c>
      <c r="E13" s="335" t="s">
        <v>6389</v>
      </c>
      <c r="F13" s="335" t="s">
        <v>6390</v>
      </c>
      <c r="L13" s="35"/>
    </row>
    <row r="14" spans="1:12" x14ac:dyDescent="0.25">
      <c r="B14" s="126" t="s">
        <v>3712</v>
      </c>
      <c r="C14" s="126" t="s">
        <v>3713</v>
      </c>
      <c r="D14" s="334" t="s">
        <v>1166</v>
      </c>
      <c r="E14" s="335" t="s">
        <v>1167</v>
      </c>
      <c r="F14" s="335" t="s">
        <v>6391</v>
      </c>
      <c r="L14" s="35"/>
    </row>
    <row r="15" spans="1:12" x14ac:dyDescent="0.25">
      <c r="B15" s="32" t="s">
        <v>37</v>
      </c>
      <c r="C15" s="32" t="s">
        <v>38</v>
      </c>
      <c r="D15" s="334" t="s">
        <v>6392</v>
      </c>
      <c r="E15" s="335" t="s">
        <v>6393</v>
      </c>
      <c r="F15" s="335" t="s">
        <v>6394</v>
      </c>
      <c r="L15" s="35"/>
    </row>
    <row r="16" spans="1:12" x14ac:dyDescent="0.25">
      <c r="B16" s="32" t="s">
        <v>2124</v>
      </c>
      <c r="C16" s="32" t="s">
        <v>2125</v>
      </c>
      <c r="D16" s="334" t="s">
        <v>6395</v>
      </c>
      <c r="E16" s="335" t="s">
        <v>6396</v>
      </c>
      <c r="F16" s="335" t="s">
        <v>6397</v>
      </c>
      <c r="L16" s="35"/>
    </row>
    <row r="17" spans="2:12" x14ac:dyDescent="0.25">
      <c r="B17" s="32" t="s">
        <v>42</v>
      </c>
      <c r="C17" s="32" t="s">
        <v>43</v>
      </c>
      <c r="D17" s="334" t="s">
        <v>4852</v>
      </c>
      <c r="E17" s="335" t="s">
        <v>6398</v>
      </c>
      <c r="F17" s="335" t="s">
        <v>4853</v>
      </c>
      <c r="L17" s="35"/>
    </row>
    <row r="18" spans="2:12" x14ac:dyDescent="0.25">
      <c r="B18" s="32" t="s">
        <v>3040</v>
      </c>
      <c r="C18" s="32" t="s">
        <v>3041</v>
      </c>
      <c r="D18" s="334" t="s">
        <v>6399</v>
      </c>
      <c r="E18" s="335" t="s">
        <v>6400</v>
      </c>
      <c r="F18" s="335" t="s">
        <v>6401</v>
      </c>
      <c r="L18" s="35"/>
    </row>
    <row r="19" spans="2:12" x14ac:dyDescent="0.25">
      <c r="B19" s="32" t="s">
        <v>47</v>
      </c>
      <c r="C19" s="32" t="s">
        <v>48</v>
      </c>
      <c r="D19" s="334" t="s">
        <v>6402</v>
      </c>
      <c r="E19" s="335" t="s">
        <v>6403</v>
      </c>
      <c r="F19" s="335" t="s">
        <v>6404</v>
      </c>
      <c r="L19" s="35"/>
    </row>
    <row r="20" spans="2:12" x14ac:dyDescent="0.25">
      <c r="B20" s="32" t="s">
        <v>52</v>
      </c>
      <c r="C20" s="32" t="s">
        <v>53</v>
      </c>
      <c r="D20" s="334" t="s">
        <v>6405</v>
      </c>
      <c r="E20" s="335" t="s">
        <v>6406</v>
      </c>
      <c r="F20" s="335" t="s">
        <v>6407</v>
      </c>
      <c r="L20" s="35"/>
    </row>
    <row r="21" spans="2:12" x14ac:dyDescent="0.25">
      <c r="B21" s="32" t="s">
        <v>52</v>
      </c>
      <c r="C21" s="32" t="s">
        <v>57</v>
      </c>
      <c r="D21" s="334" t="s">
        <v>6408</v>
      </c>
      <c r="E21" s="335" t="s">
        <v>6409</v>
      </c>
      <c r="F21" s="335" t="s">
        <v>6410</v>
      </c>
    </row>
    <row r="22" spans="2:12" x14ac:dyDescent="0.25">
      <c r="B22" s="32" t="s">
        <v>58</v>
      </c>
      <c r="C22" s="32" t="s">
        <v>59</v>
      </c>
      <c r="D22" s="334" t="s">
        <v>6411</v>
      </c>
      <c r="E22" s="335" t="s">
        <v>6412</v>
      </c>
      <c r="F22" s="335" t="s">
        <v>6413</v>
      </c>
    </row>
    <row r="23" spans="2:12" x14ac:dyDescent="0.25">
      <c r="B23" s="32" t="s">
        <v>63</v>
      </c>
      <c r="C23" s="32" t="s">
        <v>64</v>
      </c>
      <c r="D23" s="334" t="s">
        <v>6414</v>
      </c>
      <c r="E23" s="335" t="s">
        <v>6415</v>
      </c>
      <c r="F23" s="335" t="s">
        <v>6416</v>
      </c>
    </row>
    <row r="24" spans="2:12" x14ac:dyDescent="0.25">
      <c r="B24" s="32" t="s">
        <v>2905</v>
      </c>
      <c r="C24" s="32" t="s">
        <v>2906</v>
      </c>
      <c r="D24" s="334" t="s">
        <v>6417</v>
      </c>
      <c r="E24" s="335" t="s">
        <v>6418</v>
      </c>
      <c r="F24" s="335" t="s">
        <v>6419</v>
      </c>
    </row>
    <row r="25" spans="2:12" x14ac:dyDescent="0.25">
      <c r="B25" s="126" t="s">
        <v>4553</v>
      </c>
      <c r="C25" s="126" t="s">
        <v>4554</v>
      </c>
      <c r="D25" s="334" t="s">
        <v>6420</v>
      </c>
      <c r="E25" s="335" t="s">
        <v>6421</v>
      </c>
      <c r="F25" s="335" t="s">
        <v>6422</v>
      </c>
    </row>
    <row r="26" spans="2:12" x14ac:dyDescent="0.25">
      <c r="B26" s="32" t="s">
        <v>72</v>
      </c>
      <c r="C26" s="32" t="s">
        <v>73</v>
      </c>
      <c r="D26" s="334" t="s">
        <v>6423</v>
      </c>
      <c r="E26" s="335" t="s">
        <v>6424</v>
      </c>
      <c r="F26" s="335" t="s">
        <v>6425</v>
      </c>
    </row>
    <row r="27" spans="2:12" x14ac:dyDescent="0.25">
      <c r="B27" s="126" t="s">
        <v>3969</v>
      </c>
      <c r="C27" s="126" t="s">
        <v>1744</v>
      </c>
      <c r="D27" s="334" t="s">
        <v>206</v>
      </c>
      <c r="E27" s="335" t="s">
        <v>207</v>
      </c>
      <c r="F27" s="335" t="s">
        <v>208</v>
      </c>
    </row>
    <row r="28" spans="2:12" x14ac:dyDescent="0.25">
      <c r="B28" s="125" t="s">
        <v>155</v>
      </c>
      <c r="C28" s="125" t="s">
        <v>209</v>
      </c>
      <c r="D28" s="334" t="s">
        <v>6426</v>
      </c>
      <c r="E28" s="335" t="s">
        <v>6427</v>
      </c>
      <c r="F28" s="335" t="s">
        <v>6428</v>
      </c>
    </row>
    <row r="29" spans="2:12" x14ac:dyDescent="0.25">
      <c r="B29" s="32" t="s">
        <v>76</v>
      </c>
      <c r="C29" s="32" t="s">
        <v>77</v>
      </c>
      <c r="D29" s="334" t="s">
        <v>18</v>
      </c>
      <c r="E29" s="335" t="s">
        <v>19</v>
      </c>
      <c r="F29" s="335" t="s">
        <v>20</v>
      </c>
    </row>
    <row r="30" spans="2:12" x14ac:dyDescent="0.25">
      <c r="B30" s="32" t="s">
        <v>82</v>
      </c>
      <c r="C30" s="32" t="s">
        <v>83</v>
      </c>
      <c r="D30" s="334" t="s">
        <v>6429</v>
      </c>
      <c r="E30" s="335" t="s">
        <v>6430</v>
      </c>
      <c r="F30" s="335" t="s">
        <v>6431</v>
      </c>
    </row>
    <row r="31" spans="2:12" x14ac:dyDescent="0.25">
      <c r="B31" s="32" t="s">
        <v>3028</v>
      </c>
      <c r="C31" s="32" t="s">
        <v>2864</v>
      </c>
      <c r="D31" s="334" t="s">
        <v>6432</v>
      </c>
      <c r="E31" s="335" t="s">
        <v>6433</v>
      </c>
      <c r="F31" s="335" t="s">
        <v>6434</v>
      </c>
    </row>
    <row r="32" spans="2:12" x14ac:dyDescent="0.25">
      <c r="B32" s="32" t="s">
        <v>87</v>
      </c>
      <c r="C32" s="32" t="s">
        <v>88</v>
      </c>
      <c r="D32" s="334" t="s">
        <v>6435</v>
      </c>
      <c r="E32" s="335" t="s">
        <v>6436</v>
      </c>
      <c r="F32" s="335" t="s">
        <v>6437</v>
      </c>
    </row>
    <row r="33" spans="2:6" x14ac:dyDescent="0.25">
      <c r="B33" s="125" t="s">
        <v>92</v>
      </c>
      <c r="C33" s="125" t="s">
        <v>93</v>
      </c>
      <c r="D33" s="334" t="s">
        <v>6438</v>
      </c>
      <c r="E33" s="335" t="s">
        <v>6439</v>
      </c>
      <c r="F33" s="335" t="s">
        <v>6440</v>
      </c>
    </row>
    <row r="34" spans="2:6" x14ac:dyDescent="0.25">
      <c r="B34" s="32" t="s">
        <v>97</v>
      </c>
      <c r="C34" s="32" t="s">
        <v>98</v>
      </c>
      <c r="D34" s="334" t="s">
        <v>6441</v>
      </c>
      <c r="E34" s="335" t="s">
        <v>6442</v>
      </c>
      <c r="F34" s="335" t="s">
        <v>6443</v>
      </c>
    </row>
    <row r="35" spans="2:6" x14ac:dyDescent="0.25">
      <c r="B35" s="125" t="s">
        <v>102</v>
      </c>
      <c r="C35" s="125" t="s">
        <v>27</v>
      </c>
      <c r="D35" s="334" t="s">
        <v>1279</v>
      </c>
      <c r="E35" s="335" t="s">
        <v>1280</v>
      </c>
      <c r="F35" s="335" t="s">
        <v>6444</v>
      </c>
    </row>
    <row r="36" spans="2:6" x14ac:dyDescent="0.25">
      <c r="B36" s="125" t="s">
        <v>68</v>
      </c>
      <c r="C36" s="125" t="s">
        <v>36</v>
      </c>
      <c r="D36" s="334" t="s">
        <v>6445</v>
      </c>
      <c r="E36" s="335" t="s">
        <v>6446</v>
      </c>
      <c r="F36" s="335" t="s">
        <v>6447</v>
      </c>
    </row>
    <row r="37" spans="2:6" x14ac:dyDescent="0.25">
      <c r="B37" s="32" t="s">
        <v>2389</v>
      </c>
      <c r="C37" s="32" t="s">
        <v>2390</v>
      </c>
      <c r="D37" s="334" t="s">
        <v>6448</v>
      </c>
      <c r="E37" s="335" t="s">
        <v>6449</v>
      </c>
      <c r="F37" s="335" t="s">
        <v>6450</v>
      </c>
    </row>
    <row r="38" spans="2:6" x14ac:dyDescent="0.25">
      <c r="B38" s="32" t="s">
        <v>140</v>
      </c>
      <c r="C38" s="32" t="s">
        <v>141</v>
      </c>
      <c r="D38" s="334" t="s">
        <v>6451</v>
      </c>
      <c r="E38" s="335" t="s">
        <v>6452</v>
      </c>
      <c r="F38" s="335" t="s">
        <v>6453</v>
      </c>
    </row>
    <row r="39" spans="2:6" x14ac:dyDescent="0.25">
      <c r="B39" s="125" t="s">
        <v>106</v>
      </c>
      <c r="C39" s="125" t="s">
        <v>107</v>
      </c>
      <c r="D39" s="334" t="s">
        <v>6454</v>
      </c>
      <c r="E39" s="335" t="s">
        <v>6455</v>
      </c>
      <c r="F39" s="335" t="s">
        <v>6456</v>
      </c>
    </row>
    <row r="40" spans="2:6" x14ac:dyDescent="0.25">
      <c r="B40" s="32" t="s">
        <v>2940</v>
      </c>
      <c r="C40" s="32" t="s">
        <v>2941</v>
      </c>
      <c r="D40" s="334" t="s">
        <v>6457</v>
      </c>
      <c r="E40" s="335" t="s">
        <v>6458</v>
      </c>
      <c r="F40" s="335" t="s">
        <v>6459</v>
      </c>
    </row>
    <row r="41" spans="2:6" x14ac:dyDescent="0.25">
      <c r="B41" s="126" t="s">
        <v>3028</v>
      </c>
      <c r="C41" s="126" t="s">
        <v>2950</v>
      </c>
      <c r="D41" s="334" t="s">
        <v>6460</v>
      </c>
      <c r="E41" s="335" t="s">
        <v>6461</v>
      </c>
      <c r="F41" s="335" t="s">
        <v>6462</v>
      </c>
    </row>
    <row r="42" spans="2:6" x14ac:dyDescent="0.25">
      <c r="B42" s="32" t="s">
        <v>3196</v>
      </c>
      <c r="C42" s="32" t="s">
        <v>3297</v>
      </c>
      <c r="D42" s="334" t="s">
        <v>6463</v>
      </c>
      <c r="E42" s="335" t="s">
        <v>6464</v>
      </c>
      <c r="F42" s="335" t="s">
        <v>6465</v>
      </c>
    </row>
    <row r="43" spans="2:6" x14ac:dyDescent="0.25">
      <c r="B43" s="32" t="s">
        <v>3214</v>
      </c>
      <c r="C43" s="32" t="s">
        <v>2509</v>
      </c>
      <c r="D43" s="334" t="s">
        <v>6466</v>
      </c>
      <c r="E43" s="335" t="s">
        <v>6467</v>
      </c>
      <c r="F43" s="335" t="s">
        <v>6468</v>
      </c>
    </row>
    <row r="44" spans="2:6" x14ac:dyDescent="0.25">
      <c r="B44" s="32" t="s">
        <v>111</v>
      </c>
      <c r="C44" s="32" t="s">
        <v>112</v>
      </c>
      <c r="D44" s="334" t="s">
        <v>6469</v>
      </c>
      <c r="E44" s="335" t="s">
        <v>6470</v>
      </c>
      <c r="F44" s="335" t="s">
        <v>6471</v>
      </c>
    </row>
    <row r="45" spans="2:6" x14ac:dyDescent="0.25">
      <c r="B45" s="32" t="s">
        <v>3231</v>
      </c>
      <c r="C45" s="32" t="s">
        <v>2864</v>
      </c>
      <c r="D45" s="334" t="s">
        <v>6472</v>
      </c>
      <c r="E45" s="335" t="s">
        <v>6473</v>
      </c>
      <c r="F45" s="335" t="s">
        <v>6474</v>
      </c>
    </row>
    <row r="46" spans="2:6" x14ac:dyDescent="0.25">
      <c r="B46" s="32" t="s">
        <v>3028</v>
      </c>
      <c r="C46" s="32" t="s">
        <v>2864</v>
      </c>
      <c r="D46" s="334" t="s">
        <v>6475</v>
      </c>
      <c r="E46" s="335" t="s">
        <v>6476</v>
      </c>
      <c r="F46" s="335" t="s">
        <v>6477</v>
      </c>
    </row>
    <row r="47" spans="2:6" x14ac:dyDescent="0.25">
      <c r="B47" s="32" t="s">
        <v>114</v>
      </c>
      <c r="C47" s="32" t="s">
        <v>115</v>
      </c>
      <c r="D47" s="334" t="s">
        <v>1138</v>
      </c>
      <c r="E47" s="335" t="s">
        <v>1139</v>
      </c>
      <c r="F47" s="335" t="s">
        <v>3975</v>
      </c>
    </row>
    <row r="48" spans="2:6" x14ac:dyDescent="0.25">
      <c r="B48" s="32" t="s">
        <v>3076</v>
      </c>
      <c r="C48" s="32" t="s">
        <v>3077</v>
      </c>
      <c r="D48" s="334" t="s">
        <v>6478</v>
      </c>
      <c r="E48" s="335" t="s">
        <v>6479</v>
      </c>
      <c r="F48" s="335" t="s">
        <v>6480</v>
      </c>
    </row>
    <row r="49" spans="2:6" x14ac:dyDescent="0.25">
      <c r="B49" s="32" t="s">
        <v>1888</v>
      </c>
      <c r="C49" s="32" t="s">
        <v>1889</v>
      </c>
      <c r="D49" s="334" t="s">
        <v>6481</v>
      </c>
      <c r="E49" s="335" t="s">
        <v>6482</v>
      </c>
      <c r="F49" s="335" t="s">
        <v>6483</v>
      </c>
    </row>
    <row r="50" spans="2:6" x14ac:dyDescent="0.25">
      <c r="B50" s="32" t="s">
        <v>119</v>
      </c>
      <c r="C50" s="32" t="s">
        <v>120</v>
      </c>
      <c r="D50" s="334" t="s">
        <v>23</v>
      </c>
      <c r="E50" s="335" t="s">
        <v>24</v>
      </c>
      <c r="F50" s="335" t="s">
        <v>25</v>
      </c>
    </row>
    <row r="51" spans="2:6" x14ac:dyDescent="0.25">
      <c r="B51" s="32" t="s">
        <v>2156</v>
      </c>
      <c r="C51" s="32" t="s">
        <v>2464</v>
      </c>
      <c r="D51" s="334" t="s">
        <v>6484</v>
      </c>
      <c r="E51" s="335" t="s">
        <v>6485</v>
      </c>
      <c r="F51" s="335" t="s">
        <v>6486</v>
      </c>
    </row>
    <row r="52" spans="2:6" x14ac:dyDescent="0.25">
      <c r="B52" s="32" t="s">
        <v>124</v>
      </c>
      <c r="C52" s="32" t="s">
        <v>125</v>
      </c>
      <c r="D52" s="334" t="s">
        <v>6487</v>
      </c>
      <c r="E52" s="335" t="s">
        <v>6488</v>
      </c>
      <c r="F52" s="335" t="s">
        <v>6489</v>
      </c>
    </row>
    <row r="53" spans="2:6" x14ac:dyDescent="0.25">
      <c r="B53" s="32" t="s">
        <v>129</v>
      </c>
      <c r="C53" s="32" t="s">
        <v>130</v>
      </c>
      <c r="D53" s="334" t="s">
        <v>6490</v>
      </c>
      <c r="E53" s="335" t="s">
        <v>6491</v>
      </c>
      <c r="F53" s="335" t="s">
        <v>6492</v>
      </c>
    </row>
    <row r="54" spans="2:6" x14ac:dyDescent="0.25">
      <c r="B54" s="32" t="s">
        <v>129</v>
      </c>
      <c r="C54" s="32" t="s">
        <v>134</v>
      </c>
      <c r="D54" s="334" t="s">
        <v>6493</v>
      </c>
      <c r="E54" s="335" t="s">
        <v>6494</v>
      </c>
      <c r="F54" s="335" t="s">
        <v>6495</v>
      </c>
    </row>
    <row r="55" spans="2:6" x14ac:dyDescent="0.25">
      <c r="B55" s="125" t="s">
        <v>150</v>
      </c>
      <c r="C55" s="125" t="s">
        <v>151</v>
      </c>
      <c r="D55" s="334" t="s">
        <v>6496</v>
      </c>
      <c r="E55" s="335" t="s">
        <v>6497</v>
      </c>
      <c r="F55" s="335" t="s">
        <v>6498</v>
      </c>
    </row>
    <row r="56" spans="2:6" x14ac:dyDescent="0.25">
      <c r="B56" s="32" t="s">
        <v>135</v>
      </c>
      <c r="C56" s="32" t="s">
        <v>136</v>
      </c>
      <c r="D56" s="334" t="s">
        <v>6499</v>
      </c>
      <c r="E56" s="335" t="s">
        <v>6500</v>
      </c>
      <c r="F56" s="335" t="s">
        <v>6501</v>
      </c>
    </row>
    <row r="57" spans="2:6" x14ac:dyDescent="0.25">
      <c r="B57" s="32" t="s">
        <v>140</v>
      </c>
      <c r="C57" s="32" t="s">
        <v>141</v>
      </c>
      <c r="D57" s="334" t="s">
        <v>6161</v>
      </c>
      <c r="E57" s="335" t="s">
        <v>6502</v>
      </c>
      <c r="F57" s="335" t="s">
        <v>6503</v>
      </c>
    </row>
    <row r="58" spans="2:6" x14ac:dyDescent="0.25">
      <c r="B58" s="32" t="s">
        <v>140</v>
      </c>
      <c r="C58" s="32" t="s">
        <v>141</v>
      </c>
      <c r="D58" s="334" t="s">
        <v>28</v>
      </c>
      <c r="E58" s="335" t="s">
        <v>29</v>
      </c>
      <c r="F58" s="335" t="s">
        <v>30</v>
      </c>
    </row>
    <row r="59" spans="2:6" x14ac:dyDescent="0.25">
      <c r="B59" s="32" t="s">
        <v>2949</v>
      </c>
      <c r="C59" s="32" t="s">
        <v>2950</v>
      </c>
      <c r="D59" s="334" t="s">
        <v>6504</v>
      </c>
      <c r="E59" s="335" t="s">
        <v>6505</v>
      </c>
      <c r="F59" s="335" t="s">
        <v>6506</v>
      </c>
    </row>
    <row r="60" spans="2:6" x14ac:dyDescent="0.25">
      <c r="B60" s="32" t="s">
        <v>145</v>
      </c>
      <c r="C60" s="32" t="s">
        <v>146</v>
      </c>
      <c r="D60" s="334" t="s">
        <v>3574</v>
      </c>
      <c r="E60" s="335" t="s">
        <v>6507</v>
      </c>
      <c r="F60" s="335" t="s">
        <v>6508</v>
      </c>
    </row>
    <row r="61" spans="2:6" x14ac:dyDescent="0.25">
      <c r="B61" s="32" t="s">
        <v>145</v>
      </c>
      <c r="C61" s="32" t="s">
        <v>149</v>
      </c>
      <c r="D61" s="334" t="s">
        <v>6509</v>
      </c>
      <c r="E61" s="335" t="s">
        <v>6510</v>
      </c>
      <c r="F61" s="335" t="s">
        <v>6511</v>
      </c>
    </row>
    <row r="62" spans="2:6" x14ac:dyDescent="0.25">
      <c r="B62" s="126" t="s">
        <v>4593</v>
      </c>
      <c r="C62" s="126" t="s">
        <v>4592</v>
      </c>
      <c r="D62" s="334" t="s">
        <v>6512</v>
      </c>
      <c r="E62" s="335" t="s">
        <v>6513</v>
      </c>
      <c r="F62" s="335" t="s">
        <v>6514</v>
      </c>
    </row>
    <row r="63" spans="2:6" x14ac:dyDescent="0.25">
      <c r="B63" s="32" t="s">
        <v>2929</v>
      </c>
      <c r="C63" s="32" t="s">
        <v>2930</v>
      </c>
      <c r="D63" s="334" t="s">
        <v>6515</v>
      </c>
      <c r="E63" s="335" t="s">
        <v>6516</v>
      </c>
      <c r="F63" s="335" t="s">
        <v>6517</v>
      </c>
    </row>
    <row r="64" spans="2:6" x14ac:dyDescent="0.25">
      <c r="B64" s="32" t="s">
        <v>2498</v>
      </c>
      <c r="C64" s="32" t="s">
        <v>2499</v>
      </c>
      <c r="D64" s="334" t="s">
        <v>6518</v>
      </c>
      <c r="E64" s="335" t="s">
        <v>6519</v>
      </c>
      <c r="F64" s="335" t="s">
        <v>6520</v>
      </c>
    </row>
    <row r="65" spans="2:10" x14ac:dyDescent="0.25">
      <c r="B65" s="126" t="s">
        <v>2622</v>
      </c>
      <c r="C65" s="126" t="s">
        <v>2623</v>
      </c>
      <c r="D65" s="334" t="s">
        <v>5917</v>
      </c>
      <c r="E65" s="335" t="s">
        <v>6521</v>
      </c>
      <c r="F65" s="335" t="s">
        <v>6522</v>
      </c>
    </row>
    <row r="66" spans="2:10" x14ac:dyDescent="0.25">
      <c r="B66" s="32" t="s">
        <v>159</v>
      </c>
      <c r="C66" s="32" t="s">
        <v>160</v>
      </c>
      <c r="D66" s="334" t="s">
        <v>6523</v>
      </c>
      <c r="E66" s="335" t="s">
        <v>6524</v>
      </c>
      <c r="F66" s="335" t="s">
        <v>6525</v>
      </c>
    </row>
    <row r="67" spans="2:10" x14ac:dyDescent="0.25">
      <c r="B67" s="32" t="s">
        <v>164</v>
      </c>
      <c r="C67" s="32" t="s">
        <v>165</v>
      </c>
      <c r="D67" s="334" t="s">
        <v>6526</v>
      </c>
      <c r="E67" s="335" t="s">
        <v>6527</v>
      </c>
      <c r="F67" s="335" t="s">
        <v>6528</v>
      </c>
    </row>
    <row r="68" spans="2:10" x14ac:dyDescent="0.25">
      <c r="B68" s="32" t="s">
        <v>2879</v>
      </c>
      <c r="C68" s="32" t="s">
        <v>2880</v>
      </c>
      <c r="D68" s="334" t="s">
        <v>33</v>
      </c>
      <c r="E68" s="335" t="s">
        <v>34</v>
      </c>
      <c r="F68" s="335" t="s">
        <v>35</v>
      </c>
    </row>
    <row r="69" spans="2:10" x14ac:dyDescent="0.25">
      <c r="B69" s="32" t="s">
        <v>3289</v>
      </c>
      <c r="C69" s="32" t="s">
        <v>2517</v>
      </c>
      <c r="D69" s="334" t="s">
        <v>6529</v>
      </c>
      <c r="E69" s="335" t="s">
        <v>6530</v>
      </c>
      <c r="F69" s="335" t="s">
        <v>6531</v>
      </c>
      <c r="I69" s="35"/>
    </row>
    <row r="70" spans="2:10" x14ac:dyDescent="0.25">
      <c r="D70" s="334" t="s">
        <v>6532</v>
      </c>
      <c r="E70" s="335" t="s">
        <v>6533</v>
      </c>
      <c r="F70" s="335" t="s">
        <v>6534</v>
      </c>
      <c r="I70" s="35"/>
      <c r="J70" s="35"/>
    </row>
    <row r="71" spans="2:10" x14ac:dyDescent="0.25">
      <c r="B71" s="32" t="s">
        <v>169</v>
      </c>
      <c r="C71" s="32" t="s">
        <v>170</v>
      </c>
      <c r="D71" s="334" t="s">
        <v>6535</v>
      </c>
      <c r="E71" s="335" t="s">
        <v>6536</v>
      </c>
      <c r="F71" s="335" t="s">
        <v>6537</v>
      </c>
      <c r="I71" s="35"/>
      <c r="J71" s="35"/>
    </row>
    <row r="72" spans="2:10" x14ac:dyDescent="0.25">
      <c r="B72" s="32" t="s">
        <v>174</v>
      </c>
      <c r="C72" s="32" t="s">
        <v>125</v>
      </c>
      <c r="D72" s="334" t="s">
        <v>6538</v>
      </c>
      <c r="E72" s="335" t="s">
        <v>6539</v>
      </c>
      <c r="F72" s="335" t="s">
        <v>6540</v>
      </c>
      <c r="I72" s="35"/>
      <c r="J72" s="35"/>
    </row>
    <row r="73" spans="2:10" x14ac:dyDescent="0.25">
      <c r="B73" s="32" t="s">
        <v>3096</v>
      </c>
      <c r="C73" s="32" t="s">
        <v>3097</v>
      </c>
      <c r="D73" s="334" t="s">
        <v>6541</v>
      </c>
      <c r="E73" s="335" t="s">
        <v>6542</v>
      </c>
      <c r="F73" s="335" t="s">
        <v>6543</v>
      </c>
      <c r="I73" s="35"/>
    </row>
    <row r="74" spans="2:10" x14ac:dyDescent="0.25">
      <c r="B74" s="32" t="s">
        <v>3191</v>
      </c>
      <c r="C74" s="32" t="s">
        <v>3192</v>
      </c>
      <c r="D74" s="334" t="s">
        <v>4844</v>
      </c>
      <c r="E74" s="335" t="s">
        <v>6544</v>
      </c>
      <c r="F74" s="335" t="s">
        <v>4869</v>
      </c>
      <c r="I74" s="35"/>
    </row>
    <row r="75" spans="2:10" x14ac:dyDescent="0.25">
      <c r="D75" s="334" t="s">
        <v>6545</v>
      </c>
      <c r="E75" s="335" t="s">
        <v>6546</v>
      </c>
      <c r="F75" s="335" t="s">
        <v>6547</v>
      </c>
      <c r="I75" s="35" t="s">
        <v>4892</v>
      </c>
      <c r="J75" s="82">
        <v>1842</v>
      </c>
    </row>
    <row r="76" spans="2:10" x14ac:dyDescent="0.25">
      <c r="B76" s="32" t="s">
        <v>2584</v>
      </c>
      <c r="C76" s="32" t="s">
        <v>2585</v>
      </c>
      <c r="D76" s="334" t="s">
        <v>2861</v>
      </c>
      <c r="E76" s="335" t="s">
        <v>2863</v>
      </c>
      <c r="F76" s="335" t="s">
        <v>2862</v>
      </c>
      <c r="I76" s="35" t="s">
        <v>4890</v>
      </c>
      <c r="J76" s="82">
        <v>1181</v>
      </c>
    </row>
    <row r="77" spans="2:10" x14ac:dyDescent="0.25">
      <c r="B77" s="32" t="s">
        <v>178</v>
      </c>
      <c r="C77" s="32" t="s">
        <v>112</v>
      </c>
      <c r="D77" s="334" t="s">
        <v>6548</v>
      </c>
      <c r="E77" s="335" t="s">
        <v>6549</v>
      </c>
      <c r="F77" s="335" t="s">
        <v>6550</v>
      </c>
    </row>
    <row r="78" spans="2:10" x14ac:dyDescent="0.25">
      <c r="B78" s="32" t="s">
        <v>182</v>
      </c>
      <c r="C78" s="32" t="s">
        <v>183</v>
      </c>
      <c r="D78" s="334" t="s">
        <v>6551</v>
      </c>
      <c r="E78" s="335" t="s">
        <v>6552</v>
      </c>
      <c r="F78" s="335" t="s">
        <v>6553</v>
      </c>
      <c r="I78" s="32" t="s">
        <v>4891</v>
      </c>
      <c r="J78" s="32">
        <v>1339</v>
      </c>
    </row>
    <row r="79" spans="2:10" x14ac:dyDescent="0.25">
      <c r="B79" s="32" t="s">
        <v>182</v>
      </c>
      <c r="C79" s="32" t="s">
        <v>187</v>
      </c>
      <c r="D79" s="334" t="s">
        <v>6554</v>
      </c>
      <c r="E79" s="335" t="s">
        <v>6555</v>
      </c>
      <c r="F79" s="335" t="s">
        <v>6556</v>
      </c>
      <c r="J79" s="32">
        <v>1339</v>
      </c>
    </row>
    <row r="80" spans="2:10" x14ac:dyDescent="0.25">
      <c r="B80" s="32" t="s">
        <v>188</v>
      </c>
      <c r="C80" s="32" t="s">
        <v>125</v>
      </c>
      <c r="D80" s="334" t="s">
        <v>6557</v>
      </c>
      <c r="E80" s="335" t="s">
        <v>6558</v>
      </c>
      <c r="F80" s="335" t="s">
        <v>6559</v>
      </c>
      <c r="J80" s="32">
        <v>1362</v>
      </c>
    </row>
    <row r="81" spans="2:13" x14ac:dyDescent="0.25">
      <c r="B81" s="32" t="s">
        <v>192</v>
      </c>
      <c r="C81" s="32" t="s">
        <v>193</v>
      </c>
      <c r="D81" s="334" t="s">
        <v>795</v>
      </c>
      <c r="E81" s="335" t="s">
        <v>796</v>
      </c>
      <c r="F81" s="335" t="s">
        <v>6560</v>
      </c>
      <c r="J81" s="32">
        <v>1362</v>
      </c>
    </row>
    <row r="82" spans="2:13" x14ac:dyDescent="0.25">
      <c r="B82" s="126" t="s">
        <v>1130</v>
      </c>
      <c r="C82" s="126" t="s">
        <v>1131</v>
      </c>
      <c r="D82" s="334" t="s">
        <v>6561</v>
      </c>
      <c r="E82" s="335" t="s">
        <v>6562</v>
      </c>
      <c r="F82" s="335" t="s">
        <v>6563</v>
      </c>
      <c r="J82" s="82">
        <f>SUM(J78:J81)</f>
        <v>5402</v>
      </c>
    </row>
    <row r="83" spans="2:13" x14ac:dyDescent="0.25">
      <c r="B83" s="32" t="s">
        <v>2389</v>
      </c>
      <c r="C83" s="32" t="s">
        <v>2390</v>
      </c>
      <c r="D83" s="334" t="s">
        <v>6564</v>
      </c>
      <c r="E83" s="335" t="s">
        <v>6565</v>
      </c>
      <c r="F83" s="335" t="s">
        <v>6566</v>
      </c>
    </row>
    <row r="84" spans="2:13" x14ac:dyDescent="0.25">
      <c r="B84" s="32" t="s">
        <v>2877</v>
      </c>
      <c r="C84" s="32" t="s">
        <v>2878</v>
      </c>
      <c r="D84" s="334" t="s">
        <v>6567</v>
      </c>
      <c r="E84" s="335" t="s">
        <v>6568</v>
      </c>
      <c r="F84" s="335" t="s">
        <v>6569</v>
      </c>
      <c r="J84" s="124"/>
    </row>
    <row r="85" spans="2:13" x14ac:dyDescent="0.25">
      <c r="D85" s="334" t="s">
        <v>3577</v>
      </c>
      <c r="E85" s="335" t="s">
        <v>3584</v>
      </c>
      <c r="F85" s="335" t="s">
        <v>3585</v>
      </c>
    </row>
    <row r="86" spans="2:13" x14ac:dyDescent="0.25">
      <c r="B86" s="32" t="s">
        <v>1961</v>
      </c>
      <c r="C86" s="32" t="s">
        <v>1962</v>
      </c>
      <c r="D86" s="334" t="s">
        <v>6570</v>
      </c>
      <c r="E86" s="335" t="s">
        <v>6571</v>
      </c>
      <c r="F86" s="335" t="s">
        <v>6572</v>
      </c>
    </row>
    <row r="87" spans="2:13" x14ac:dyDescent="0.25">
      <c r="B87" s="32" t="s">
        <v>197</v>
      </c>
      <c r="C87" s="32" t="s">
        <v>198</v>
      </c>
      <c r="D87" s="334" t="s">
        <v>6573</v>
      </c>
      <c r="E87" s="335" t="s">
        <v>6574</v>
      </c>
      <c r="F87" s="335" t="s">
        <v>6575</v>
      </c>
    </row>
    <row r="88" spans="2:13" x14ac:dyDescent="0.25">
      <c r="B88" s="32" t="s">
        <v>197</v>
      </c>
      <c r="C88" s="32" t="s">
        <v>202</v>
      </c>
      <c r="D88" s="334" t="s">
        <v>6576</v>
      </c>
      <c r="E88" s="335" t="s">
        <v>2190</v>
      </c>
      <c r="F88" s="335" t="s">
        <v>2191</v>
      </c>
    </row>
    <row r="89" spans="2:13" x14ac:dyDescent="0.25">
      <c r="B89" s="125" t="s">
        <v>72</v>
      </c>
      <c r="C89" s="125" t="s">
        <v>73</v>
      </c>
      <c r="D89" s="334" t="s">
        <v>6577</v>
      </c>
      <c r="E89" s="335" t="s">
        <v>6578</v>
      </c>
      <c r="F89" s="335" t="s">
        <v>6579</v>
      </c>
    </row>
    <row r="90" spans="2:13" x14ac:dyDescent="0.25">
      <c r="B90" s="126" t="s">
        <v>210</v>
      </c>
      <c r="C90" s="126" t="s">
        <v>211</v>
      </c>
      <c r="D90" s="334" t="s">
        <v>6580</v>
      </c>
      <c r="E90" s="335" t="s">
        <v>6581</v>
      </c>
      <c r="F90" s="335" t="s">
        <v>6582</v>
      </c>
    </row>
    <row r="91" spans="2:13" x14ac:dyDescent="0.25">
      <c r="B91" s="126"/>
      <c r="C91" s="126"/>
      <c r="D91" s="334" t="s">
        <v>1367</v>
      </c>
      <c r="E91" s="335" t="s">
        <v>1368</v>
      </c>
      <c r="F91" s="335" t="s">
        <v>1687</v>
      </c>
    </row>
    <row r="92" spans="2:13" x14ac:dyDescent="0.25">
      <c r="B92" s="126"/>
      <c r="C92" s="126"/>
      <c r="D92" s="334" t="s">
        <v>6583</v>
      </c>
      <c r="E92" s="335" t="s">
        <v>6584</v>
      </c>
      <c r="F92" s="335" t="s">
        <v>6585</v>
      </c>
      <c r="L92" s="111"/>
    </row>
    <row r="93" spans="2:13" x14ac:dyDescent="0.25">
      <c r="B93" s="126"/>
      <c r="C93" s="126"/>
      <c r="D93" s="334" t="s">
        <v>6586</v>
      </c>
      <c r="E93" s="335" t="s">
        <v>6587</v>
      </c>
      <c r="F93" s="335" t="s">
        <v>6588</v>
      </c>
      <c r="L93" s="111"/>
    </row>
    <row r="94" spans="2:13" x14ac:dyDescent="0.25">
      <c r="B94" s="126"/>
      <c r="C94" s="126"/>
      <c r="D94" s="334" t="s">
        <v>6589</v>
      </c>
      <c r="E94" s="335" t="s">
        <v>6590</v>
      </c>
      <c r="F94" s="335" t="s">
        <v>6591</v>
      </c>
      <c r="L94" s="321" t="s">
        <v>6274</v>
      </c>
      <c r="M94" s="90" t="s">
        <v>6289</v>
      </c>
    </row>
    <row r="95" spans="2:13" x14ac:dyDescent="0.25">
      <c r="B95" s="126"/>
      <c r="C95" s="126"/>
      <c r="D95" s="334" t="s">
        <v>6592</v>
      </c>
      <c r="E95" s="335" t="s">
        <v>6593</v>
      </c>
      <c r="F95" s="335" t="s">
        <v>6594</v>
      </c>
      <c r="L95" s="321" t="s">
        <v>6275</v>
      </c>
      <c r="M95" s="90" t="s">
        <v>6290</v>
      </c>
    </row>
    <row r="96" spans="2:13" x14ac:dyDescent="0.25">
      <c r="B96" s="126"/>
      <c r="C96" s="126"/>
      <c r="D96" s="334" t="s">
        <v>6595</v>
      </c>
      <c r="E96" s="335" t="s">
        <v>6596</v>
      </c>
      <c r="F96" s="335" t="s">
        <v>6597</v>
      </c>
      <c r="L96" s="321" t="s">
        <v>6276</v>
      </c>
      <c r="M96" s="90" t="s">
        <v>6265</v>
      </c>
    </row>
    <row r="97" spans="2:13" x14ac:dyDescent="0.25">
      <c r="B97" s="126"/>
      <c r="C97" s="126"/>
      <c r="D97" s="334" t="s">
        <v>6598</v>
      </c>
      <c r="E97" s="335" t="s">
        <v>6599</v>
      </c>
      <c r="F97" s="335" t="s">
        <v>6600</v>
      </c>
      <c r="L97" s="321" t="s">
        <v>6277</v>
      </c>
      <c r="M97" s="90" t="s">
        <v>301</v>
      </c>
    </row>
    <row r="98" spans="2:13" x14ac:dyDescent="0.25">
      <c r="B98" s="126"/>
      <c r="C98" s="126"/>
      <c r="D98" s="334" t="s">
        <v>6601</v>
      </c>
      <c r="E98" s="335" t="s">
        <v>6602</v>
      </c>
      <c r="F98" s="335" t="s">
        <v>6603</v>
      </c>
      <c r="L98" s="321" t="s">
        <v>6278</v>
      </c>
      <c r="M98" s="90"/>
    </row>
    <row r="99" spans="2:13" x14ac:dyDescent="0.25">
      <c r="B99" s="126"/>
      <c r="C99" s="126"/>
      <c r="D99" s="334" t="s">
        <v>6604</v>
      </c>
      <c r="E99" s="335" t="s">
        <v>6605</v>
      </c>
      <c r="F99" s="335" t="s">
        <v>6606</v>
      </c>
      <c r="L99" s="321" t="s">
        <v>6279</v>
      </c>
      <c r="M99" s="90" t="s">
        <v>6236</v>
      </c>
    </row>
    <row r="100" spans="2:13" x14ac:dyDescent="0.25">
      <c r="B100" s="126"/>
      <c r="C100" s="126"/>
      <c r="D100" s="334" t="s">
        <v>6607</v>
      </c>
      <c r="E100" s="335" t="s">
        <v>6608</v>
      </c>
      <c r="F100" s="335" t="s">
        <v>6609</v>
      </c>
      <c r="L100" s="321" t="s">
        <v>6280</v>
      </c>
      <c r="M100" s="90" t="s">
        <v>6288</v>
      </c>
    </row>
    <row r="101" spans="2:13" x14ac:dyDescent="0.25">
      <c r="B101" s="126"/>
      <c r="C101" s="126"/>
      <c r="D101" s="334" t="s">
        <v>6610</v>
      </c>
      <c r="E101" s="335" t="s">
        <v>6611</v>
      </c>
      <c r="F101" s="335" t="s">
        <v>6612</v>
      </c>
      <c r="L101" s="321" t="s">
        <v>6281</v>
      </c>
      <c r="M101" s="90" t="s">
        <v>418</v>
      </c>
    </row>
    <row r="102" spans="2:13" x14ac:dyDescent="0.25">
      <c r="B102" s="126"/>
      <c r="C102" s="126"/>
      <c r="D102" s="334" t="s">
        <v>6613</v>
      </c>
      <c r="E102" s="335" t="s">
        <v>6614</v>
      </c>
      <c r="F102" s="335" t="s">
        <v>6615</v>
      </c>
      <c r="L102" s="321" t="s">
        <v>6282</v>
      </c>
      <c r="M102" s="90" t="s">
        <v>5332</v>
      </c>
    </row>
    <row r="103" spans="2:13" x14ac:dyDescent="0.25">
      <c r="B103" s="126"/>
      <c r="C103" s="126"/>
      <c r="D103" s="334" t="s">
        <v>6616</v>
      </c>
      <c r="E103" s="335" t="s">
        <v>6617</v>
      </c>
      <c r="F103" s="335" t="s">
        <v>6618</v>
      </c>
      <c r="L103" s="321" t="s">
        <v>6283</v>
      </c>
      <c r="M103" s="90" t="s">
        <v>6286</v>
      </c>
    </row>
    <row r="104" spans="2:13" x14ac:dyDescent="0.25">
      <c r="B104" s="126"/>
      <c r="C104" s="126"/>
      <c r="D104" s="334" t="s">
        <v>6619</v>
      </c>
      <c r="E104" s="335" t="s">
        <v>6620</v>
      </c>
      <c r="F104" s="335" t="s">
        <v>6621</v>
      </c>
      <c r="L104" s="321" t="s">
        <v>6284</v>
      </c>
      <c r="M104" s="90" t="s">
        <v>6285</v>
      </c>
    </row>
    <row r="105" spans="2:13" x14ac:dyDescent="0.25">
      <c r="B105" s="126"/>
      <c r="C105" s="126"/>
      <c r="D105" s="334" t="s">
        <v>6622</v>
      </c>
      <c r="E105" s="335" t="s">
        <v>6623</v>
      </c>
      <c r="F105" s="335" t="s">
        <v>6624</v>
      </c>
    </row>
    <row r="106" spans="2:13" x14ac:dyDescent="0.25">
      <c r="B106" s="126"/>
      <c r="C106" s="126"/>
      <c r="D106" s="334" t="s">
        <v>6625</v>
      </c>
      <c r="E106" s="335" t="s">
        <v>6626</v>
      </c>
      <c r="F106" s="335" t="s">
        <v>6627</v>
      </c>
    </row>
    <row r="107" spans="2:13" x14ac:dyDescent="0.25">
      <c r="B107" s="126"/>
      <c r="C107" s="126"/>
      <c r="D107" s="334" t="s">
        <v>6628</v>
      </c>
      <c r="E107" s="335" t="s">
        <v>6629</v>
      </c>
      <c r="F107" s="335" t="s">
        <v>6630</v>
      </c>
    </row>
    <row r="108" spans="2:13" x14ac:dyDescent="0.25">
      <c r="B108" s="126"/>
      <c r="C108" s="126"/>
      <c r="D108" s="334" t="s">
        <v>416</v>
      </c>
      <c r="E108" s="335" t="s">
        <v>810</v>
      </c>
      <c r="F108" s="335" t="s">
        <v>417</v>
      </c>
    </row>
    <row r="109" spans="2:13" x14ac:dyDescent="0.25">
      <c r="B109" s="126"/>
      <c r="C109" s="126"/>
      <c r="D109" s="334" t="s">
        <v>6631</v>
      </c>
      <c r="E109" s="335" t="s">
        <v>6632</v>
      </c>
      <c r="F109" s="335" t="s">
        <v>6633</v>
      </c>
    </row>
    <row r="110" spans="2:13" x14ac:dyDescent="0.25">
      <c r="B110" s="126"/>
      <c r="C110" s="126"/>
      <c r="D110" s="334" t="s">
        <v>2914</v>
      </c>
      <c r="E110" s="335" t="s">
        <v>6634</v>
      </c>
      <c r="F110" s="335" t="s">
        <v>2915</v>
      </c>
    </row>
    <row r="111" spans="2:13" x14ac:dyDescent="0.25">
      <c r="B111" s="126"/>
      <c r="C111" s="126"/>
      <c r="D111" s="334" t="s">
        <v>3714</v>
      </c>
      <c r="E111" s="335" t="s">
        <v>3710</v>
      </c>
      <c r="F111" s="335" t="s">
        <v>3711</v>
      </c>
    </row>
    <row r="112" spans="2:13" x14ac:dyDescent="0.25">
      <c r="B112" s="126"/>
      <c r="C112" s="126"/>
      <c r="D112" s="334" t="s">
        <v>6635</v>
      </c>
      <c r="E112" s="335" t="s">
        <v>6636</v>
      </c>
      <c r="F112" s="335" t="s">
        <v>6637</v>
      </c>
    </row>
    <row r="113" spans="2:6" x14ac:dyDescent="0.25">
      <c r="B113" s="126"/>
      <c r="C113" s="126"/>
      <c r="D113" s="334" t="s">
        <v>6638</v>
      </c>
      <c r="E113" s="335" t="s">
        <v>6639</v>
      </c>
      <c r="F113" s="335" t="s">
        <v>6640</v>
      </c>
    </row>
    <row r="114" spans="2:6" x14ac:dyDescent="0.25">
      <c r="B114" s="126"/>
      <c r="C114" s="126"/>
      <c r="D114" s="334" t="s">
        <v>6641</v>
      </c>
      <c r="E114" s="335" t="s">
        <v>6642</v>
      </c>
      <c r="F114" s="335" t="s">
        <v>6643</v>
      </c>
    </row>
    <row r="115" spans="2:6" x14ac:dyDescent="0.25">
      <c r="B115" s="126"/>
      <c r="C115" s="126"/>
      <c r="D115" s="334" t="s">
        <v>39</v>
      </c>
      <c r="E115" s="335" t="s">
        <v>40</v>
      </c>
      <c r="F115" s="335" t="s">
        <v>41</v>
      </c>
    </row>
    <row r="116" spans="2:6" x14ac:dyDescent="0.25">
      <c r="B116" s="126"/>
      <c r="C116" s="126"/>
      <c r="D116" s="334" t="s">
        <v>6644</v>
      </c>
      <c r="E116" s="335" t="s">
        <v>6645</v>
      </c>
      <c r="F116" s="335" t="s">
        <v>6646</v>
      </c>
    </row>
    <row r="117" spans="2:6" x14ac:dyDescent="0.25">
      <c r="B117" s="126"/>
      <c r="C117" s="126"/>
      <c r="D117" s="334" t="s">
        <v>6647</v>
      </c>
      <c r="E117" s="335" t="s">
        <v>6648</v>
      </c>
      <c r="F117" s="335" t="s">
        <v>6649</v>
      </c>
    </row>
    <row r="118" spans="2:6" x14ac:dyDescent="0.25">
      <c r="B118" s="126"/>
      <c r="C118" s="126"/>
      <c r="D118" s="334" t="s">
        <v>6650</v>
      </c>
      <c r="E118" s="335" t="s">
        <v>6651</v>
      </c>
      <c r="F118" s="335" t="s">
        <v>6652</v>
      </c>
    </row>
    <row r="119" spans="2:6" x14ac:dyDescent="0.25">
      <c r="B119" s="126"/>
      <c r="C119" s="126"/>
      <c r="D119" s="334" t="s">
        <v>6653</v>
      </c>
      <c r="E119" s="335" t="s">
        <v>6654</v>
      </c>
      <c r="F119" s="335" t="s">
        <v>6655</v>
      </c>
    </row>
    <row r="120" spans="2:6" x14ac:dyDescent="0.25">
      <c r="B120" s="126"/>
      <c r="C120" s="126"/>
      <c r="D120" s="334" t="s">
        <v>1233</v>
      </c>
      <c r="E120" s="335" t="s">
        <v>6656</v>
      </c>
      <c r="F120" s="335" t="s">
        <v>6657</v>
      </c>
    </row>
    <row r="121" spans="2:6" x14ac:dyDescent="0.25">
      <c r="B121" s="126"/>
      <c r="C121" s="126"/>
      <c r="D121" s="334" t="s">
        <v>6658</v>
      </c>
      <c r="E121" s="335" t="s">
        <v>6659</v>
      </c>
      <c r="F121" s="335" t="s">
        <v>6660</v>
      </c>
    </row>
    <row r="122" spans="2:6" x14ac:dyDescent="0.25">
      <c r="B122" s="126"/>
      <c r="C122" s="126"/>
      <c r="D122" s="334" t="s">
        <v>6661</v>
      </c>
      <c r="E122" s="335" t="s">
        <v>6662</v>
      </c>
      <c r="F122" s="335" t="s">
        <v>6663</v>
      </c>
    </row>
    <row r="123" spans="2:6" x14ac:dyDescent="0.25">
      <c r="B123" s="126"/>
      <c r="C123" s="126"/>
      <c r="D123" s="334" t="s">
        <v>6664</v>
      </c>
      <c r="E123" s="335" t="s">
        <v>6665</v>
      </c>
      <c r="F123" s="335" t="s">
        <v>6666</v>
      </c>
    </row>
    <row r="124" spans="2:6" x14ac:dyDescent="0.25">
      <c r="B124" s="126"/>
      <c r="C124" s="126"/>
      <c r="D124" s="334" t="s">
        <v>4707</v>
      </c>
      <c r="E124" s="335" t="s">
        <v>4757</v>
      </c>
      <c r="F124" s="335" t="s">
        <v>4708</v>
      </c>
    </row>
    <row r="125" spans="2:6" x14ac:dyDescent="0.25">
      <c r="B125" s="126"/>
      <c r="C125" s="126"/>
      <c r="D125" s="334" t="s">
        <v>4878</v>
      </c>
      <c r="E125" s="335" t="s">
        <v>6667</v>
      </c>
      <c r="F125" s="335" t="s">
        <v>4879</v>
      </c>
    </row>
    <row r="126" spans="2:6" x14ac:dyDescent="0.25">
      <c r="B126" s="126"/>
      <c r="C126" s="126"/>
      <c r="D126" s="334" t="s">
        <v>6668</v>
      </c>
      <c r="E126" s="335" t="s">
        <v>6669</v>
      </c>
      <c r="F126" s="335" t="s">
        <v>6670</v>
      </c>
    </row>
    <row r="127" spans="2:6" x14ac:dyDescent="0.25">
      <c r="B127" s="126"/>
      <c r="C127" s="126"/>
      <c r="D127" s="334" t="s">
        <v>6671</v>
      </c>
      <c r="E127" s="335" t="s">
        <v>6672</v>
      </c>
      <c r="F127" s="335" t="s">
        <v>6673</v>
      </c>
    </row>
    <row r="128" spans="2:6" x14ac:dyDescent="0.25">
      <c r="B128" s="126"/>
      <c r="C128" s="126"/>
      <c r="D128" s="334" t="s">
        <v>6674</v>
      </c>
      <c r="E128" s="335" t="s">
        <v>6675</v>
      </c>
      <c r="F128" s="335" t="s">
        <v>6676</v>
      </c>
    </row>
    <row r="129" spans="2:6" x14ac:dyDescent="0.25">
      <c r="B129" s="126"/>
      <c r="C129" s="126"/>
      <c r="D129" s="334" t="s">
        <v>6677</v>
      </c>
      <c r="E129" s="335" t="s">
        <v>6678</v>
      </c>
      <c r="F129" s="335" t="s">
        <v>6679</v>
      </c>
    </row>
    <row r="130" spans="2:6" x14ac:dyDescent="0.25">
      <c r="B130" s="126"/>
      <c r="C130" s="126"/>
      <c r="D130" s="334" t="s">
        <v>6680</v>
      </c>
      <c r="E130" s="335" t="s">
        <v>6681</v>
      </c>
      <c r="F130" s="335" t="s">
        <v>6682</v>
      </c>
    </row>
    <row r="131" spans="2:6" x14ac:dyDescent="0.25">
      <c r="B131" s="126"/>
      <c r="C131" s="126"/>
      <c r="D131" s="334" t="s">
        <v>6683</v>
      </c>
      <c r="E131" s="335" t="s">
        <v>6684</v>
      </c>
      <c r="F131" s="335" t="s">
        <v>6685</v>
      </c>
    </row>
    <row r="132" spans="2:6" x14ac:dyDescent="0.25">
      <c r="B132" s="126"/>
      <c r="C132" s="126"/>
      <c r="D132" s="334" t="s">
        <v>6686</v>
      </c>
      <c r="E132" s="335" t="s">
        <v>6687</v>
      </c>
      <c r="F132" s="335" t="s">
        <v>6688</v>
      </c>
    </row>
    <row r="133" spans="2:6" x14ac:dyDescent="0.25">
      <c r="B133" s="126"/>
      <c r="C133" s="126"/>
      <c r="D133" s="334" t="s">
        <v>6689</v>
      </c>
      <c r="E133" s="335" t="s">
        <v>6690</v>
      </c>
      <c r="F133" s="335" t="s">
        <v>6691</v>
      </c>
    </row>
    <row r="134" spans="2:6" x14ac:dyDescent="0.25">
      <c r="B134" s="126"/>
      <c r="C134" s="126"/>
      <c r="D134" s="334" t="s">
        <v>5610</v>
      </c>
      <c r="E134" s="335" t="s">
        <v>6692</v>
      </c>
      <c r="F134" s="335" t="s">
        <v>6693</v>
      </c>
    </row>
    <row r="135" spans="2:6" x14ac:dyDescent="0.25">
      <c r="B135" s="126"/>
      <c r="C135" s="126"/>
      <c r="D135" s="334" t="s">
        <v>6694</v>
      </c>
      <c r="E135" s="335" t="s">
        <v>6695</v>
      </c>
      <c r="F135" s="335" t="s">
        <v>6696</v>
      </c>
    </row>
    <row r="136" spans="2:6" x14ac:dyDescent="0.25">
      <c r="B136" s="126"/>
      <c r="C136" s="126"/>
      <c r="D136" s="334" t="s">
        <v>6697</v>
      </c>
      <c r="E136" s="335" t="s">
        <v>6698</v>
      </c>
      <c r="F136" s="335" t="s">
        <v>6699</v>
      </c>
    </row>
    <row r="137" spans="2:6" x14ac:dyDescent="0.25">
      <c r="B137" s="126"/>
      <c r="C137" s="126"/>
      <c r="D137" s="334" t="s">
        <v>6700</v>
      </c>
      <c r="E137" s="335" t="s">
        <v>45</v>
      </c>
      <c r="F137" s="335" t="s">
        <v>46</v>
      </c>
    </row>
    <row r="138" spans="2:6" x14ac:dyDescent="0.25">
      <c r="B138" s="126"/>
      <c r="C138" s="126"/>
      <c r="D138" s="334" t="s">
        <v>4487</v>
      </c>
      <c r="E138" s="335" t="s">
        <v>6701</v>
      </c>
      <c r="F138" s="335" t="s">
        <v>6702</v>
      </c>
    </row>
    <row r="139" spans="2:6" x14ac:dyDescent="0.25">
      <c r="B139" s="126"/>
      <c r="C139" s="126"/>
      <c r="D139" s="334" t="s">
        <v>6703</v>
      </c>
      <c r="E139" s="335" t="s">
        <v>6704</v>
      </c>
      <c r="F139" s="335" t="s">
        <v>6705</v>
      </c>
    </row>
    <row r="140" spans="2:6" x14ac:dyDescent="0.25">
      <c r="B140" s="126"/>
      <c r="C140" s="126"/>
      <c r="D140" s="334" t="s">
        <v>1095</v>
      </c>
      <c r="E140" s="335" t="s">
        <v>1096</v>
      </c>
      <c r="F140" s="335" t="s">
        <v>6706</v>
      </c>
    </row>
    <row r="141" spans="2:6" x14ac:dyDescent="0.25">
      <c r="B141" s="126"/>
      <c r="C141" s="126"/>
      <c r="D141" s="334" t="s">
        <v>6707</v>
      </c>
      <c r="E141" s="335" t="s">
        <v>6708</v>
      </c>
      <c r="F141" s="335" t="s">
        <v>6709</v>
      </c>
    </row>
    <row r="142" spans="2:6" x14ac:dyDescent="0.25">
      <c r="B142" s="126"/>
      <c r="C142" s="126"/>
      <c r="D142" s="334" t="s">
        <v>6710</v>
      </c>
      <c r="E142" s="335" t="s">
        <v>6711</v>
      </c>
      <c r="F142" s="335" t="s">
        <v>6712</v>
      </c>
    </row>
    <row r="143" spans="2:6" x14ac:dyDescent="0.25">
      <c r="B143" s="126"/>
      <c r="C143" s="126"/>
      <c r="D143" s="334" t="s">
        <v>6713</v>
      </c>
      <c r="E143" s="335" t="s">
        <v>6714</v>
      </c>
      <c r="F143" s="335" t="s">
        <v>6715</v>
      </c>
    </row>
    <row r="144" spans="2:6" x14ac:dyDescent="0.25">
      <c r="B144" s="126"/>
      <c r="C144" s="126"/>
      <c r="D144" s="334" t="s">
        <v>6716</v>
      </c>
      <c r="E144" s="335" t="s">
        <v>6717</v>
      </c>
      <c r="F144" s="335" t="s">
        <v>6718</v>
      </c>
    </row>
    <row r="145" spans="2:30" x14ac:dyDescent="0.25">
      <c r="B145" s="126"/>
      <c r="C145" s="126"/>
      <c r="D145" s="334" t="s">
        <v>6719</v>
      </c>
      <c r="E145" s="335" t="s">
        <v>6720</v>
      </c>
      <c r="F145" s="335" t="s">
        <v>6721</v>
      </c>
    </row>
    <row r="146" spans="2:30" x14ac:dyDescent="0.25">
      <c r="B146" s="126"/>
      <c r="C146" s="126"/>
      <c r="D146" s="334" t="s">
        <v>6722</v>
      </c>
      <c r="E146" s="335" t="s">
        <v>6723</v>
      </c>
      <c r="F146" s="335"/>
    </row>
    <row r="147" spans="2:30" x14ac:dyDescent="0.25">
      <c r="B147" s="126"/>
      <c r="C147" s="126"/>
      <c r="D147" s="334" t="s">
        <v>6724</v>
      </c>
      <c r="E147" s="335" t="s">
        <v>6725</v>
      </c>
      <c r="F147" s="335" t="s">
        <v>6726</v>
      </c>
    </row>
    <row r="148" spans="2:30" x14ac:dyDescent="0.25">
      <c r="B148" s="126"/>
      <c r="C148" s="126"/>
      <c r="D148" s="334" t="s">
        <v>6727</v>
      </c>
      <c r="E148" s="335" t="s">
        <v>6728</v>
      </c>
      <c r="F148" s="335" t="s">
        <v>6729</v>
      </c>
    </row>
    <row r="149" spans="2:30" x14ac:dyDescent="0.25">
      <c r="B149" s="126"/>
      <c r="C149" s="126"/>
      <c r="D149" s="334" t="s">
        <v>6730</v>
      </c>
      <c r="E149" s="335" t="s">
        <v>6731</v>
      </c>
      <c r="F149" s="335" t="s">
        <v>6732</v>
      </c>
    </row>
    <row r="150" spans="2:30" x14ac:dyDescent="0.25">
      <c r="B150" s="126"/>
      <c r="C150" s="126"/>
      <c r="D150" s="334" t="s">
        <v>6733</v>
      </c>
      <c r="E150" s="335" t="s">
        <v>6734</v>
      </c>
      <c r="F150" s="335" t="s">
        <v>6735</v>
      </c>
    </row>
    <row r="151" spans="2:30" ht="15.75" thickBot="1" x14ac:dyDescent="0.3">
      <c r="B151" s="126"/>
      <c r="C151" s="126"/>
      <c r="D151" s="334" t="s">
        <v>6736</v>
      </c>
      <c r="E151" s="335" t="s">
        <v>6737</v>
      </c>
      <c r="F151" s="335" t="s">
        <v>6738</v>
      </c>
      <c r="K151" s="305"/>
      <c r="L151" s="305"/>
      <c r="M151" s="305"/>
      <c r="N151" s="305"/>
      <c r="O151" s="305"/>
      <c r="P151" s="305"/>
      <c r="Q151" s="305"/>
      <c r="R151" s="305"/>
      <c r="S151" s="305"/>
      <c r="T151" s="305"/>
      <c r="U151" s="305"/>
      <c r="V151" s="306"/>
      <c r="W151" s="306"/>
      <c r="X151" s="307"/>
      <c r="Y151" s="306"/>
      <c r="Z151" s="306"/>
      <c r="AA151" s="308"/>
      <c r="AB151" s="306"/>
      <c r="AC151" s="306"/>
      <c r="AD151" s="306"/>
    </row>
    <row r="152" spans="2:30" ht="15.75" thickTop="1" x14ac:dyDescent="0.25">
      <c r="B152" s="126"/>
      <c r="C152" s="126"/>
      <c r="D152" s="334" t="s">
        <v>6739</v>
      </c>
      <c r="E152" s="335" t="s">
        <v>6740</v>
      </c>
      <c r="F152" s="335" t="s">
        <v>6741</v>
      </c>
      <c r="K152" s="309"/>
      <c r="L152" s="309"/>
      <c r="M152" s="309"/>
      <c r="N152" s="310"/>
      <c r="O152" s="310"/>
      <c r="P152" s="309"/>
      <c r="Q152" s="309"/>
      <c r="R152" s="309"/>
      <c r="S152" s="309"/>
      <c r="T152" s="310"/>
      <c r="U152" s="309"/>
      <c r="V152" s="309"/>
      <c r="W152" s="309"/>
      <c r="X152" s="309"/>
      <c r="Y152" s="309"/>
      <c r="Z152" s="311"/>
      <c r="AA152" s="310"/>
      <c r="AB152" s="309"/>
      <c r="AC152" s="312"/>
      <c r="AD152" s="313"/>
    </row>
    <row r="153" spans="2:30" x14ac:dyDescent="0.25">
      <c r="B153" s="126"/>
      <c r="C153" s="126"/>
      <c r="D153" s="334" t="s">
        <v>6742</v>
      </c>
      <c r="E153" s="335" t="s">
        <v>6743</v>
      </c>
      <c r="F153" s="335" t="s">
        <v>6744</v>
      </c>
      <c r="K153" s="309"/>
      <c r="L153" s="309"/>
      <c r="M153" s="309"/>
      <c r="N153" s="310"/>
      <c r="O153" s="310"/>
      <c r="P153" s="309"/>
      <c r="Q153" s="309"/>
      <c r="R153" s="309"/>
      <c r="S153" s="309"/>
      <c r="T153" s="310"/>
      <c r="U153" s="309"/>
      <c r="V153" s="309"/>
      <c r="W153" s="309"/>
      <c r="X153" s="309"/>
      <c r="Y153" s="309"/>
      <c r="Z153" s="311"/>
      <c r="AA153" s="310"/>
      <c r="AB153" s="309"/>
      <c r="AC153" s="312"/>
      <c r="AD153" s="313"/>
    </row>
    <row r="154" spans="2:30" x14ac:dyDescent="0.25">
      <c r="B154" s="126"/>
      <c r="C154" s="126"/>
      <c r="D154" s="334" t="s">
        <v>6745</v>
      </c>
      <c r="E154" s="335" t="s">
        <v>6746</v>
      </c>
      <c r="F154" s="335" t="s">
        <v>6747</v>
      </c>
      <c r="K154" s="309"/>
      <c r="L154" s="309"/>
      <c r="M154" s="309"/>
      <c r="N154" s="310"/>
      <c r="O154" s="310"/>
      <c r="P154" s="309"/>
      <c r="Q154" s="309"/>
      <c r="R154" s="309"/>
      <c r="S154" s="309"/>
      <c r="T154" s="310"/>
      <c r="U154" s="309"/>
      <c r="V154" s="309"/>
      <c r="W154" s="309"/>
      <c r="X154" s="309"/>
      <c r="Y154" s="309"/>
      <c r="Z154" s="311"/>
      <c r="AA154" s="310"/>
      <c r="AB154" s="309"/>
      <c r="AC154" s="312"/>
      <c r="AD154" s="313"/>
    </row>
    <row r="155" spans="2:30" x14ac:dyDescent="0.25">
      <c r="B155" s="126"/>
      <c r="C155" s="126"/>
      <c r="D155" s="334" t="s">
        <v>6748</v>
      </c>
      <c r="E155" s="335" t="s">
        <v>6749</v>
      </c>
      <c r="F155" s="335" t="s">
        <v>6750</v>
      </c>
      <c r="K155" s="309"/>
      <c r="L155" s="309"/>
      <c r="M155" s="309"/>
      <c r="N155" s="310"/>
      <c r="O155" s="310"/>
      <c r="P155" s="309"/>
      <c r="Q155" s="309"/>
      <c r="R155" s="309"/>
      <c r="S155" s="309"/>
      <c r="T155" s="310"/>
      <c r="U155" s="309"/>
      <c r="V155" s="309"/>
      <c r="W155" s="309"/>
      <c r="X155" s="309"/>
      <c r="Y155" s="309"/>
      <c r="Z155" s="311"/>
      <c r="AA155" s="310"/>
      <c r="AB155" s="309"/>
      <c r="AC155" s="312"/>
      <c r="AD155" s="313"/>
    </row>
    <row r="156" spans="2:30" x14ac:dyDescent="0.25">
      <c r="B156" s="126"/>
      <c r="C156" s="126"/>
      <c r="D156" s="334" t="s">
        <v>6751</v>
      </c>
      <c r="E156" s="335" t="s">
        <v>6752</v>
      </c>
      <c r="F156" s="335" t="s">
        <v>6753</v>
      </c>
      <c r="K156" s="309"/>
      <c r="L156" s="309"/>
      <c r="M156" s="309"/>
      <c r="N156" s="310"/>
      <c r="O156" s="310"/>
      <c r="P156" s="309"/>
      <c r="Q156" s="309"/>
      <c r="R156" s="309"/>
      <c r="S156" s="309"/>
      <c r="T156" s="310"/>
      <c r="U156" s="309"/>
      <c r="V156" s="309"/>
      <c r="W156" s="309"/>
      <c r="X156" s="309"/>
      <c r="Y156" s="309"/>
      <c r="Z156" s="311"/>
      <c r="AA156" s="310"/>
      <c r="AB156" s="309"/>
      <c r="AC156" s="312"/>
      <c r="AD156" s="313"/>
    </row>
    <row r="157" spans="2:30" x14ac:dyDescent="0.25">
      <c r="B157" s="126"/>
      <c r="C157" s="126"/>
      <c r="D157" s="334" t="s">
        <v>3042</v>
      </c>
      <c r="E157" s="335" t="s">
        <v>5941</v>
      </c>
      <c r="F157" s="335" t="s">
        <v>3043</v>
      </c>
      <c r="K157" s="309"/>
      <c r="L157" s="309"/>
      <c r="M157" s="309"/>
      <c r="N157" s="310"/>
      <c r="O157" s="310"/>
      <c r="P157" s="309"/>
      <c r="Q157" s="309"/>
      <c r="R157" s="309"/>
      <c r="S157" s="309"/>
      <c r="T157" s="310"/>
      <c r="U157" s="309"/>
      <c r="V157" s="309"/>
      <c r="W157" s="309"/>
      <c r="X157" s="309"/>
      <c r="Y157" s="309"/>
      <c r="Z157" s="311"/>
      <c r="AA157" s="310"/>
      <c r="AB157" s="309"/>
      <c r="AC157" s="312"/>
      <c r="AD157" s="313"/>
    </row>
    <row r="158" spans="2:30" x14ac:dyDescent="0.25">
      <c r="B158" s="126"/>
      <c r="C158" s="126"/>
      <c r="D158" s="334" t="s">
        <v>6754</v>
      </c>
      <c r="E158" s="335" t="s">
        <v>6755</v>
      </c>
      <c r="F158" s="335" t="s">
        <v>6756</v>
      </c>
      <c r="K158" s="309"/>
      <c r="L158" s="309"/>
      <c r="M158" s="309"/>
      <c r="N158" s="310"/>
      <c r="O158" s="310"/>
      <c r="P158" s="309"/>
      <c r="Q158" s="309"/>
      <c r="R158" s="309"/>
      <c r="S158" s="309"/>
      <c r="T158" s="310"/>
      <c r="U158" s="309"/>
      <c r="V158" s="309"/>
      <c r="W158" s="309"/>
      <c r="X158" s="309"/>
      <c r="Y158" s="309"/>
      <c r="Z158" s="311"/>
      <c r="AA158" s="310"/>
      <c r="AB158" s="309"/>
      <c r="AC158" s="312"/>
      <c r="AD158" s="313"/>
    </row>
    <row r="159" spans="2:30" x14ac:dyDescent="0.25">
      <c r="B159" s="126"/>
      <c r="C159" s="126"/>
      <c r="D159" s="334" t="s">
        <v>6757</v>
      </c>
      <c r="E159" s="335" t="s">
        <v>6758</v>
      </c>
      <c r="F159" s="335" t="s">
        <v>6759</v>
      </c>
      <c r="K159" s="309"/>
      <c r="L159" s="309"/>
      <c r="M159" s="309"/>
      <c r="N159" s="310"/>
      <c r="O159" s="310"/>
      <c r="P159" s="309"/>
      <c r="Q159" s="309"/>
      <c r="R159" s="309"/>
      <c r="S159" s="309"/>
      <c r="T159" s="310"/>
      <c r="U159" s="309"/>
      <c r="V159" s="309"/>
      <c r="W159" s="309"/>
      <c r="X159" s="309"/>
      <c r="Y159" s="309"/>
      <c r="Z159" s="311"/>
      <c r="AA159" s="310"/>
      <c r="AB159" s="309"/>
      <c r="AC159" s="312"/>
      <c r="AD159" s="313"/>
    </row>
    <row r="160" spans="2:30" x14ac:dyDescent="0.25">
      <c r="B160" s="126"/>
      <c r="C160" s="126"/>
      <c r="D160" s="334" t="s">
        <v>6760</v>
      </c>
      <c r="E160" s="335" t="s">
        <v>6761</v>
      </c>
      <c r="F160" s="335" t="s">
        <v>6762</v>
      </c>
      <c r="K160" s="309"/>
      <c r="L160" s="309"/>
      <c r="M160" s="309"/>
      <c r="N160" s="310"/>
      <c r="O160" s="310"/>
      <c r="P160" s="309"/>
      <c r="Q160" s="309"/>
      <c r="R160" s="309"/>
      <c r="S160" s="309"/>
      <c r="T160" s="310"/>
      <c r="U160" s="309"/>
      <c r="V160" s="309"/>
      <c r="W160" s="309"/>
      <c r="X160" s="309"/>
      <c r="Y160" s="309"/>
      <c r="Z160" s="311"/>
      <c r="AA160" s="310"/>
      <c r="AB160" s="309"/>
      <c r="AC160" s="312"/>
      <c r="AD160" s="313"/>
    </row>
    <row r="161" spans="2:30" x14ac:dyDescent="0.25">
      <c r="B161" s="126"/>
      <c r="C161" s="126"/>
      <c r="D161" s="334" t="s">
        <v>6763</v>
      </c>
      <c r="E161" s="335" t="s">
        <v>6764</v>
      </c>
      <c r="F161" s="335" t="s">
        <v>6765</v>
      </c>
      <c r="K161" s="309"/>
      <c r="L161" s="309"/>
      <c r="M161" s="309"/>
      <c r="N161" s="310"/>
      <c r="O161" s="310"/>
      <c r="P161" s="309"/>
      <c r="Q161" s="309"/>
      <c r="R161" s="309"/>
      <c r="S161" s="309"/>
      <c r="T161" s="310"/>
      <c r="U161" s="309"/>
      <c r="V161" s="309"/>
      <c r="W161" s="309"/>
      <c r="X161" s="309"/>
      <c r="Y161" s="309"/>
      <c r="Z161" s="309"/>
      <c r="AA161" s="310"/>
      <c r="AB161" s="309"/>
      <c r="AC161" s="312"/>
      <c r="AD161" s="313"/>
    </row>
    <row r="162" spans="2:30" x14ac:dyDescent="0.25">
      <c r="B162" s="126"/>
      <c r="C162" s="126"/>
      <c r="D162" s="334" t="s">
        <v>6766</v>
      </c>
      <c r="E162" s="335" t="s">
        <v>6767</v>
      </c>
      <c r="F162" s="335" t="s">
        <v>6768</v>
      </c>
      <c r="K162" s="309"/>
      <c r="L162" s="309"/>
      <c r="M162" s="309"/>
      <c r="N162" s="310"/>
      <c r="O162" s="310"/>
      <c r="P162" s="309"/>
      <c r="Q162" s="309"/>
      <c r="R162" s="309"/>
      <c r="S162" s="309"/>
      <c r="T162" s="310"/>
      <c r="U162" s="309"/>
      <c r="V162" s="309"/>
      <c r="W162" s="309"/>
      <c r="X162" s="309"/>
      <c r="Y162" s="309"/>
      <c r="Z162" s="311"/>
      <c r="AA162" s="310"/>
      <c r="AB162" s="309"/>
      <c r="AC162" s="312"/>
      <c r="AD162" s="313"/>
    </row>
    <row r="163" spans="2:30" x14ac:dyDescent="0.25">
      <c r="B163" s="126"/>
      <c r="C163" s="126"/>
      <c r="D163" s="334" t="s">
        <v>6769</v>
      </c>
      <c r="E163" s="335" t="s">
        <v>6770</v>
      </c>
      <c r="F163" s="335" t="s">
        <v>6771</v>
      </c>
      <c r="K163" s="309"/>
      <c r="L163" s="309"/>
      <c r="M163" s="309"/>
      <c r="N163" s="310"/>
      <c r="O163" s="310"/>
      <c r="P163" s="309"/>
      <c r="Q163" s="309"/>
      <c r="R163" s="309"/>
      <c r="S163" s="309"/>
      <c r="T163" s="310"/>
      <c r="U163" s="309"/>
      <c r="V163" s="309"/>
      <c r="W163" s="309"/>
      <c r="X163" s="309"/>
      <c r="Y163" s="309"/>
      <c r="Z163" s="311"/>
      <c r="AA163" s="310"/>
      <c r="AB163" s="309"/>
      <c r="AC163" s="312"/>
      <c r="AD163" s="313"/>
    </row>
    <row r="164" spans="2:30" x14ac:dyDescent="0.25">
      <c r="B164" s="126"/>
      <c r="C164" s="126"/>
      <c r="D164" s="334" t="s">
        <v>1759</v>
      </c>
      <c r="E164" s="335" t="s">
        <v>1760</v>
      </c>
      <c r="F164" s="335" t="s">
        <v>1761</v>
      </c>
      <c r="K164" s="309"/>
      <c r="L164" s="309"/>
      <c r="M164" s="309"/>
      <c r="N164" s="310"/>
      <c r="O164" s="310"/>
      <c r="P164" s="309"/>
      <c r="Q164" s="309"/>
      <c r="R164" s="309"/>
      <c r="S164" s="309"/>
      <c r="T164" s="310"/>
      <c r="U164" s="309"/>
      <c r="V164" s="309"/>
      <c r="W164" s="309"/>
      <c r="X164" s="309"/>
      <c r="Y164" s="309"/>
      <c r="Z164" s="311"/>
      <c r="AA164" s="310"/>
      <c r="AB164" s="309"/>
      <c r="AC164" s="312"/>
      <c r="AD164" s="313"/>
    </row>
    <row r="165" spans="2:30" x14ac:dyDescent="0.25">
      <c r="B165" s="126"/>
      <c r="C165" s="126"/>
      <c r="D165" s="334" t="s">
        <v>6772</v>
      </c>
      <c r="E165" s="335" t="s">
        <v>6773</v>
      </c>
      <c r="F165" s="335" t="s">
        <v>6774</v>
      </c>
      <c r="K165" s="309"/>
      <c r="L165" s="309"/>
      <c r="M165" s="309"/>
      <c r="N165" s="310"/>
      <c r="O165" s="310"/>
      <c r="P165" s="309"/>
      <c r="Q165" s="309"/>
      <c r="R165" s="309"/>
      <c r="S165" s="309"/>
      <c r="T165" s="310"/>
      <c r="U165" s="309"/>
      <c r="V165" s="309"/>
      <c r="W165" s="309"/>
      <c r="X165" s="309"/>
      <c r="Y165" s="309"/>
      <c r="Z165" s="311"/>
      <c r="AA165" s="310"/>
      <c r="AB165" s="309"/>
      <c r="AC165" s="312"/>
      <c r="AD165" s="313"/>
    </row>
    <row r="166" spans="2:30" x14ac:dyDescent="0.25">
      <c r="B166" s="126"/>
      <c r="C166" s="126"/>
      <c r="D166" s="334" t="s">
        <v>6775</v>
      </c>
      <c r="E166" s="335" t="s">
        <v>6776</v>
      </c>
      <c r="F166" s="335" t="s">
        <v>6777</v>
      </c>
      <c r="K166" s="309"/>
      <c r="L166" s="309"/>
      <c r="M166" s="309"/>
      <c r="N166" s="310"/>
      <c r="O166" s="310"/>
      <c r="P166" s="309"/>
      <c r="Q166" s="309"/>
      <c r="R166" s="309"/>
      <c r="S166" s="309"/>
      <c r="T166" s="310"/>
      <c r="U166" s="309"/>
      <c r="V166" s="309"/>
      <c r="W166" s="309"/>
      <c r="X166" s="309"/>
      <c r="Y166" s="309"/>
      <c r="Z166" s="311"/>
      <c r="AA166" s="310"/>
      <c r="AB166" s="309"/>
      <c r="AC166" s="312"/>
      <c r="AD166" s="313"/>
    </row>
    <row r="167" spans="2:30" x14ac:dyDescent="0.25">
      <c r="B167" s="126"/>
      <c r="C167" s="126"/>
      <c r="D167" s="334" t="s">
        <v>6778</v>
      </c>
      <c r="E167" s="335" t="s">
        <v>6779</v>
      </c>
      <c r="F167" s="335" t="s">
        <v>6780</v>
      </c>
      <c r="AB167" s="82"/>
      <c r="AC167" s="314"/>
      <c r="AD167" s="314"/>
    </row>
    <row r="168" spans="2:30" ht="15.75" thickBot="1" x14ac:dyDescent="0.3">
      <c r="B168" s="126"/>
      <c r="C168" s="126"/>
      <c r="D168" s="334" t="s">
        <v>369</v>
      </c>
      <c r="E168" s="335" t="s">
        <v>370</v>
      </c>
      <c r="F168" s="335" t="s">
        <v>371</v>
      </c>
    </row>
    <row r="169" spans="2:30" x14ac:dyDescent="0.25">
      <c r="B169" s="126"/>
      <c r="C169" s="126"/>
      <c r="D169" s="334" t="s">
        <v>6781</v>
      </c>
      <c r="E169" s="335" t="s">
        <v>6782</v>
      </c>
      <c r="F169" s="335" t="s">
        <v>6783</v>
      </c>
      <c r="M169" s="315" t="s">
        <v>218</v>
      </c>
      <c r="N169" s="315" t="s">
        <v>220</v>
      </c>
      <c r="O169" s="315" t="s">
        <v>5248</v>
      </c>
      <c r="P169" s="315" t="s">
        <v>222</v>
      </c>
      <c r="Q169" s="316" t="s">
        <v>240</v>
      </c>
      <c r="R169" s="315" t="s">
        <v>6165</v>
      </c>
    </row>
    <row r="170" spans="2:30" x14ac:dyDescent="0.25">
      <c r="B170" s="126"/>
      <c r="C170" s="126"/>
      <c r="D170" s="334" t="s">
        <v>6784</v>
      </c>
      <c r="E170" s="335" t="s">
        <v>6785</v>
      </c>
      <c r="F170" s="335" t="s">
        <v>6786</v>
      </c>
      <c r="M170" s="317" t="s">
        <v>5875</v>
      </c>
      <c r="N170" s="317" t="s">
        <v>6060</v>
      </c>
      <c r="O170" s="318" t="s">
        <v>6011</v>
      </c>
      <c r="P170" s="318" t="s">
        <v>6012</v>
      </c>
      <c r="Q170" s="318">
        <v>17186</v>
      </c>
      <c r="R170" s="319">
        <v>200</v>
      </c>
    </row>
    <row r="171" spans="2:30" x14ac:dyDescent="0.25">
      <c r="B171" s="126"/>
      <c r="C171" s="126"/>
      <c r="D171" s="334" t="s">
        <v>6787</v>
      </c>
      <c r="E171" s="335" t="s">
        <v>6788</v>
      </c>
      <c r="F171" s="335" t="s">
        <v>6789</v>
      </c>
      <c r="M171" s="317" t="s">
        <v>5875</v>
      </c>
      <c r="N171" s="317" t="s">
        <v>6060</v>
      </c>
      <c r="O171" s="318" t="s">
        <v>6011</v>
      </c>
      <c r="P171" s="318" t="s">
        <v>6014</v>
      </c>
      <c r="Q171" s="318">
        <v>17187</v>
      </c>
      <c r="R171" s="319">
        <v>200</v>
      </c>
    </row>
    <row r="172" spans="2:30" x14ac:dyDescent="0.25">
      <c r="B172" s="126"/>
      <c r="C172" s="126"/>
      <c r="D172" s="334" t="s">
        <v>6790</v>
      </c>
      <c r="E172" s="335" t="s">
        <v>6791</v>
      </c>
      <c r="F172" s="335" t="s">
        <v>6792</v>
      </c>
      <c r="M172" s="317" t="s">
        <v>5875</v>
      </c>
      <c r="N172" s="317" t="s">
        <v>6060</v>
      </c>
      <c r="O172" s="318" t="s">
        <v>6011</v>
      </c>
      <c r="P172" s="318" t="s">
        <v>6013</v>
      </c>
      <c r="Q172" s="318">
        <v>17188</v>
      </c>
      <c r="R172" s="319">
        <v>200</v>
      </c>
    </row>
    <row r="173" spans="2:30" x14ac:dyDescent="0.25">
      <c r="B173" s="126"/>
      <c r="C173" s="126"/>
      <c r="D173" s="334" t="s">
        <v>6793</v>
      </c>
      <c r="E173" s="335" t="s">
        <v>6794</v>
      </c>
      <c r="F173" s="335" t="s">
        <v>6795</v>
      </c>
      <c r="M173" s="317" t="s">
        <v>5875</v>
      </c>
      <c r="N173" s="317" t="s">
        <v>6060</v>
      </c>
      <c r="O173" s="318" t="s">
        <v>6011</v>
      </c>
      <c r="P173" s="318" t="s">
        <v>6015</v>
      </c>
      <c r="Q173" s="318">
        <v>17189</v>
      </c>
      <c r="R173" s="319">
        <v>200</v>
      </c>
    </row>
    <row r="174" spans="2:30" x14ac:dyDescent="0.25">
      <c r="B174" s="126"/>
      <c r="C174" s="126"/>
      <c r="D174" s="334" t="s">
        <v>5355</v>
      </c>
      <c r="E174" s="335" t="s">
        <v>6796</v>
      </c>
      <c r="F174" s="335" t="s">
        <v>5356</v>
      </c>
      <c r="M174" s="317" t="s">
        <v>5875</v>
      </c>
      <c r="N174" s="317" t="s">
        <v>6052</v>
      </c>
      <c r="O174" s="318" t="s">
        <v>6044</v>
      </c>
      <c r="P174" s="318" t="s">
        <v>6045</v>
      </c>
      <c r="Q174" s="318">
        <v>17208</v>
      </c>
      <c r="R174" s="319">
        <v>200</v>
      </c>
    </row>
    <row r="175" spans="2:30" x14ac:dyDescent="0.25">
      <c r="B175" s="126"/>
      <c r="C175" s="126"/>
      <c r="D175" s="334" t="s">
        <v>6797</v>
      </c>
      <c r="E175" s="335" t="s">
        <v>6798</v>
      </c>
      <c r="F175" s="335" t="s">
        <v>6799</v>
      </c>
      <c r="M175" s="317" t="s">
        <v>5875</v>
      </c>
      <c r="N175" s="317" t="s">
        <v>6052</v>
      </c>
      <c r="O175" s="318" t="s">
        <v>6044</v>
      </c>
      <c r="P175" s="318" t="s">
        <v>6046</v>
      </c>
      <c r="Q175" s="318">
        <v>17209</v>
      </c>
      <c r="R175" s="319">
        <v>200</v>
      </c>
    </row>
    <row r="176" spans="2:30" x14ac:dyDescent="0.25">
      <c r="B176" s="126"/>
      <c r="C176" s="126"/>
      <c r="D176" s="334" t="s">
        <v>6800</v>
      </c>
      <c r="E176" s="335" t="s">
        <v>6801</v>
      </c>
      <c r="F176" s="335" t="s">
        <v>6802</v>
      </c>
      <c r="M176" s="317" t="s">
        <v>5875</v>
      </c>
      <c r="N176" s="317" t="s">
        <v>6052</v>
      </c>
      <c r="O176" s="318" t="s">
        <v>6044</v>
      </c>
      <c r="P176" s="318" t="s">
        <v>6047</v>
      </c>
      <c r="Q176" s="318">
        <v>17210</v>
      </c>
      <c r="R176" s="319">
        <v>200</v>
      </c>
    </row>
    <row r="177" spans="2:18" x14ac:dyDescent="0.25">
      <c r="B177" s="126"/>
      <c r="C177" s="126"/>
      <c r="D177" s="334" t="s">
        <v>6803</v>
      </c>
      <c r="E177" s="335" t="s">
        <v>6804</v>
      </c>
      <c r="F177" s="335" t="s">
        <v>6805</v>
      </c>
      <c r="M177" s="317" t="s">
        <v>5875</v>
      </c>
      <c r="N177" s="317" t="s">
        <v>6052</v>
      </c>
      <c r="O177" s="318" t="s">
        <v>6044</v>
      </c>
      <c r="P177" s="318" t="s">
        <v>6048</v>
      </c>
      <c r="Q177" s="318">
        <v>17214</v>
      </c>
      <c r="R177" s="319">
        <v>200</v>
      </c>
    </row>
    <row r="178" spans="2:18" x14ac:dyDescent="0.25">
      <c r="B178" s="126"/>
      <c r="C178" s="126"/>
      <c r="D178" s="334" t="s">
        <v>6806</v>
      </c>
      <c r="E178" s="335" t="s">
        <v>6807</v>
      </c>
      <c r="F178" s="335" t="s">
        <v>6808</v>
      </c>
      <c r="M178" s="317" t="s">
        <v>5875</v>
      </c>
      <c r="N178" s="317" t="s">
        <v>6059</v>
      </c>
      <c r="O178" s="318" t="s">
        <v>6053</v>
      </c>
      <c r="P178" s="318" t="s">
        <v>6055</v>
      </c>
      <c r="Q178" s="318">
        <v>17247</v>
      </c>
      <c r="R178" s="319">
        <v>200</v>
      </c>
    </row>
    <row r="179" spans="2:18" x14ac:dyDescent="0.25">
      <c r="B179" s="126"/>
      <c r="C179" s="126"/>
      <c r="D179" s="334" t="s">
        <v>6809</v>
      </c>
      <c r="E179" s="335" t="s">
        <v>6810</v>
      </c>
      <c r="F179" s="335" t="s">
        <v>6811</v>
      </c>
      <c r="M179" s="317" t="s">
        <v>5875</v>
      </c>
      <c r="N179" s="317" t="s">
        <v>6059</v>
      </c>
      <c r="O179" s="318" t="s">
        <v>6053</v>
      </c>
      <c r="P179" s="318" t="s">
        <v>6056</v>
      </c>
      <c r="Q179" s="318">
        <v>17248</v>
      </c>
      <c r="R179" s="319">
        <v>200</v>
      </c>
    </row>
    <row r="180" spans="2:18" x14ac:dyDescent="0.25">
      <c r="B180" s="126"/>
      <c r="C180" s="126"/>
      <c r="D180" s="334" t="s">
        <v>6812</v>
      </c>
      <c r="E180" s="335" t="s">
        <v>6813</v>
      </c>
      <c r="F180" s="335" t="s">
        <v>6814</v>
      </c>
      <c r="M180" s="317" t="s">
        <v>5875</v>
      </c>
      <c r="N180" s="317" t="s">
        <v>6059</v>
      </c>
      <c r="O180" s="318" t="s">
        <v>6053</v>
      </c>
      <c r="P180" s="318" t="s">
        <v>6057</v>
      </c>
      <c r="Q180" s="318">
        <v>17249</v>
      </c>
      <c r="R180" s="319">
        <v>200</v>
      </c>
    </row>
    <row r="181" spans="2:18" x14ac:dyDescent="0.25">
      <c r="B181" s="126"/>
      <c r="C181" s="126"/>
      <c r="D181" s="334" t="s">
        <v>49</v>
      </c>
      <c r="E181" s="335" t="s">
        <v>50</v>
      </c>
      <c r="F181" s="335" t="s">
        <v>51</v>
      </c>
      <c r="M181" s="317" t="s">
        <v>5875</v>
      </c>
      <c r="N181" s="317" t="s">
        <v>6059</v>
      </c>
      <c r="O181" s="318" t="s">
        <v>6053</v>
      </c>
      <c r="P181" s="318" t="s">
        <v>6058</v>
      </c>
      <c r="Q181" s="318">
        <v>17250</v>
      </c>
      <c r="R181" s="319">
        <v>200</v>
      </c>
    </row>
    <row r="182" spans="2:18" x14ac:dyDescent="0.25">
      <c r="B182" s="126"/>
      <c r="C182" s="126"/>
      <c r="D182" s="334" t="s">
        <v>6815</v>
      </c>
      <c r="E182" s="335" t="s">
        <v>6816</v>
      </c>
      <c r="F182" s="335" t="s">
        <v>6817</v>
      </c>
      <c r="M182" s="317" t="s">
        <v>5875</v>
      </c>
      <c r="N182" s="317" t="s">
        <v>6018</v>
      </c>
      <c r="O182" s="318" t="s">
        <v>6017</v>
      </c>
      <c r="P182" s="318" t="s">
        <v>6019</v>
      </c>
      <c r="Q182" s="318">
        <v>17275</v>
      </c>
      <c r="R182" s="319">
        <v>200</v>
      </c>
    </row>
    <row r="183" spans="2:18" x14ac:dyDescent="0.25">
      <c r="B183" s="126"/>
      <c r="C183" s="126"/>
      <c r="D183" s="334" t="s">
        <v>6818</v>
      </c>
      <c r="E183" s="335" t="s">
        <v>6819</v>
      </c>
      <c r="F183" s="335" t="s">
        <v>6820</v>
      </c>
      <c r="M183" s="317" t="s">
        <v>5875</v>
      </c>
      <c r="N183" s="317" t="s">
        <v>6018</v>
      </c>
      <c r="O183" s="318" t="s">
        <v>6017</v>
      </c>
      <c r="P183" s="318" t="s">
        <v>6020</v>
      </c>
      <c r="Q183" s="318">
        <v>17276</v>
      </c>
      <c r="R183" s="319">
        <v>200</v>
      </c>
    </row>
    <row r="184" spans="2:18" x14ac:dyDescent="0.25">
      <c r="B184" s="126"/>
      <c r="C184" s="126"/>
      <c r="D184" s="334" t="s">
        <v>6821</v>
      </c>
      <c r="E184" s="335" t="s">
        <v>6822</v>
      </c>
      <c r="F184" s="335" t="s">
        <v>6823</v>
      </c>
      <c r="M184" s="317" t="s">
        <v>5875</v>
      </c>
      <c r="N184" s="317" t="s">
        <v>6005</v>
      </c>
      <c r="O184" s="318" t="s">
        <v>6004</v>
      </c>
      <c r="P184" s="318" t="s">
        <v>6006</v>
      </c>
      <c r="Q184" s="318">
        <v>17277</v>
      </c>
      <c r="R184" s="319">
        <v>200</v>
      </c>
    </row>
    <row r="185" spans="2:18" x14ac:dyDescent="0.25">
      <c r="B185" s="126"/>
      <c r="C185" s="126"/>
      <c r="D185" s="334" t="s">
        <v>6824</v>
      </c>
      <c r="E185" s="335" t="s">
        <v>6825</v>
      </c>
      <c r="F185" s="335" t="s">
        <v>6826</v>
      </c>
      <c r="M185" s="317" t="s">
        <v>5875</v>
      </c>
      <c r="N185" s="317" t="s">
        <v>6005</v>
      </c>
      <c r="O185" s="318" t="s">
        <v>6004</v>
      </c>
      <c r="P185" s="318" t="s">
        <v>6007</v>
      </c>
      <c r="Q185" s="318">
        <v>17278</v>
      </c>
      <c r="R185" s="319">
        <v>200</v>
      </c>
    </row>
    <row r="186" spans="2:18" x14ac:dyDescent="0.25">
      <c r="B186" s="126"/>
      <c r="C186" s="126"/>
      <c r="D186" s="334" t="s">
        <v>6827</v>
      </c>
      <c r="E186" s="335" t="s">
        <v>6828</v>
      </c>
      <c r="F186" s="335" t="s">
        <v>6829</v>
      </c>
      <c r="M186" s="317"/>
      <c r="N186" s="317"/>
      <c r="O186" s="318"/>
      <c r="P186" s="318"/>
      <c r="Q186" s="318"/>
      <c r="R186" s="320">
        <f>SUM(R170:R185)</f>
        <v>3200</v>
      </c>
    </row>
    <row r="187" spans="2:18" x14ac:dyDescent="0.25">
      <c r="B187" s="126"/>
      <c r="C187" s="126"/>
      <c r="D187" s="334" t="s">
        <v>6830</v>
      </c>
      <c r="E187" s="335" t="s">
        <v>6831</v>
      </c>
      <c r="F187" s="335" t="s">
        <v>6832</v>
      </c>
    </row>
    <row r="188" spans="2:18" x14ac:dyDescent="0.25">
      <c r="B188" s="126"/>
      <c r="C188" s="126"/>
      <c r="D188" s="334" t="s">
        <v>6833</v>
      </c>
      <c r="E188" s="335" t="s">
        <v>6834</v>
      </c>
      <c r="F188" s="335" t="s">
        <v>6835</v>
      </c>
    </row>
    <row r="189" spans="2:18" x14ac:dyDescent="0.25">
      <c r="B189" s="126"/>
      <c r="C189" s="126"/>
      <c r="D189" s="334" t="s">
        <v>6836</v>
      </c>
      <c r="E189" s="335" t="s">
        <v>6837</v>
      </c>
      <c r="F189" s="335" t="s">
        <v>6838</v>
      </c>
    </row>
    <row r="190" spans="2:18" x14ac:dyDescent="0.25">
      <c r="B190" s="126"/>
      <c r="C190" s="126"/>
      <c r="D190" s="334" t="s">
        <v>4968</v>
      </c>
      <c r="E190" s="335" t="s">
        <v>6839</v>
      </c>
      <c r="F190" s="335" t="s">
        <v>4969</v>
      </c>
    </row>
    <row r="191" spans="2:18" x14ac:dyDescent="0.25">
      <c r="B191" s="126"/>
      <c r="C191" s="126"/>
      <c r="D191" s="334" t="s">
        <v>6840</v>
      </c>
      <c r="E191" s="335" t="s">
        <v>6841</v>
      </c>
      <c r="F191" s="335" t="s">
        <v>6842</v>
      </c>
    </row>
    <row r="192" spans="2:18" x14ac:dyDescent="0.25">
      <c r="B192" s="126"/>
      <c r="C192" s="126"/>
      <c r="D192" s="334" t="s">
        <v>6843</v>
      </c>
      <c r="E192" s="335" t="s">
        <v>6844</v>
      </c>
      <c r="F192" s="335" t="s">
        <v>6845</v>
      </c>
    </row>
    <row r="193" spans="2:6" x14ac:dyDescent="0.25">
      <c r="B193" s="126"/>
      <c r="C193" s="126"/>
      <c r="D193" s="334" t="s">
        <v>595</v>
      </c>
      <c r="E193" s="335" t="s">
        <v>596</v>
      </c>
      <c r="F193" s="335" t="s">
        <v>597</v>
      </c>
    </row>
    <row r="194" spans="2:6" x14ac:dyDescent="0.25">
      <c r="B194" s="126"/>
      <c r="C194" s="126"/>
      <c r="D194" s="334" t="s">
        <v>6846</v>
      </c>
      <c r="E194" s="335" t="s">
        <v>6847</v>
      </c>
      <c r="F194" s="335" t="s">
        <v>6848</v>
      </c>
    </row>
    <row r="195" spans="2:6" x14ac:dyDescent="0.25">
      <c r="B195" s="126"/>
      <c r="C195" s="126"/>
      <c r="D195" s="334" t="s">
        <v>6849</v>
      </c>
      <c r="E195" s="335" t="s">
        <v>6850</v>
      </c>
      <c r="F195" s="335" t="s">
        <v>6851</v>
      </c>
    </row>
    <row r="196" spans="2:6" x14ac:dyDescent="0.25">
      <c r="B196" s="126"/>
      <c r="C196" s="126"/>
      <c r="D196" s="334" t="s">
        <v>4737</v>
      </c>
      <c r="E196" s="335" t="s">
        <v>4739</v>
      </c>
      <c r="F196" s="335" t="s">
        <v>4738</v>
      </c>
    </row>
    <row r="197" spans="2:6" x14ac:dyDescent="0.25">
      <c r="B197" s="126"/>
      <c r="C197" s="126"/>
      <c r="D197" s="334" t="s">
        <v>6852</v>
      </c>
      <c r="E197" s="335" t="s">
        <v>6853</v>
      </c>
      <c r="F197" s="335" t="s">
        <v>6854</v>
      </c>
    </row>
    <row r="198" spans="2:6" x14ac:dyDescent="0.25">
      <c r="B198" s="126"/>
      <c r="C198" s="126"/>
      <c r="D198" s="334" t="s">
        <v>6855</v>
      </c>
      <c r="E198" s="335" t="s">
        <v>6856</v>
      </c>
      <c r="F198" s="335" t="s">
        <v>6857</v>
      </c>
    </row>
    <row r="199" spans="2:6" x14ac:dyDescent="0.25">
      <c r="B199" s="126"/>
      <c r="C199" s="126"/>
      <c r="D199" s="334" t="s">
        <v>6858</v>
      </c>
      <c r="E199" s="335" t="s">
        <v>6859</v>
      </c>
      <c r="F199" s="335" t="s">
        <v>6860</v>
      </c>
    </row>
    <row r="200" spans="2:6" x14ac:dyDescent="0.25">
      <c r="B200" s="126"/>
      <c r="C200" s="126"/>
      <c r="D200" s="334" t="s">
        <v>6861</v>
      </c>
      <c r="E200" s="335" t="s">
        <v>6862</v>
      </c>
      <c r="F200" s="335" t="s">
        <v>6863</v>
      </c>
    </row>
    <row r="201" spans="2:6" x14ac:dyDescent="0.25">
      <c r="B201" s="126"/>
      <c r="C201" s="126"/>
      <c r="D201" s="334" t="s">
        <v>6864</v>
      </c>
      <c r="E201" s="335" t="s">
        <v>6865</v>
      </c>
      <c r="F201" s="335" t="s">
        <v>6866</v>
      </c>
    </row>
    <row r="202" spans="2:6" x14ac:dyDescent="0.25">
      <c r="B202" s="126"/>
      <c r="C202" s="126"/>
      <c r="D202" s="334" t="s">
        <v>6867</v>
      </c>
      <c r="E202" s="335" t="s">
        <v>6868</v>
      </c>
      <c r="F202" s="335" t="s">
        <v>6869</v>
      </c>
    </row>
    <row r="203" spans="2:6" x14ac:dyDescent="0.25">
      <c r="B203" s="126"/>
      <c r="C203" s="126"/>
      <c r="D203" s="334" t="s">
        <v>6870</v>
      </c>
      <c r="E203" s="335" t="s">
        <v>6871</v>
      </c>
      <c r="F203" s="335" t="s">
        <v>6872</v>
      </c>
    </row>
    <row r="204" spans="2:6" x14ac:dyDescent="0.25">
      <c r="B204" s="126"/>
      <c r="C204" s="126"/>
      <c r="D204" s="334" t="s">
        <v>6873</v>
      </c>
      <c r="E204" s="335" t="s">
        <v>6874</v>
      </c>
      <c r="F204" s="335" t="s">
        <v>6875</v>
      </c>
    </row>
    <row r="205" spans="2:6" x14ac:dyDescent="0.25">
      <c r="B205" s="126"/>
      <c r="C205" s="126"/>
      <c r="D205" s="334" t="s">
        <v>6876</v>
      </c>
      <c r="E205" s="335" t="s">
        <v>6877</v>
      </c>
      <c r="F205" s="335" t="s">
        <v>6878</v>
      </c>
    </row>
    <row r="206" spans="2:6" x14ac:dyDescent="0.25">
      <c r="B206" s="126"/>
      <c r="C206" s="126"/>
      <c r="D206" s="334" t="s">
        <v>6879</v>
      </c>
      <c r="E206" s="335" t="s">
        <v>6880</v>
      </c>
      <c r="F206" s="335" t="s">
        <v>6881</v>
      </c>
    </row>
    <row r="207" spans="2:6" x14ac:dyDescent="0.25">
      <c r="B207" s="126"/>
      <c r="C207" s="126"/>
      <c r="D207" s="334" t="s">
        <v>6882</v>
      </c>
      <c r="E207" s="335" t="s">
        <v>6883</v>
      </c>
      <c r="F207" s="335" t="s">
        <v>6884</v>
      </c>
    </row>
    <row r="208" spans="2:6" x14ac:dyDescent="0.25">
      <c r="B208" s="126"/>
      <c r="C208" s="126"/>
      <c r="D208" s="334" t="s">
        <v>6885</v>
      </c>
      <c r="E208" s="335" t="s">
        <v>6886</v>
      </c>
      <c r="F208" s="335" t="s">
        <v>6887</v>
      </c>
    </row>
    <row r="209" spans="2:6" x14ac:dyDescent="0.25">
      <c r="B209" s="126"/>
      <c r="C209" s="126"/>
      <c r="D209" s="334" t="s">
        <v>1781</v>
      </c>
      <c r="E209" s="335" t="s">
        <v>1782</v>
      </c>
      <c r="F209" s="335" t="s">
        <v>1783</v>
      </c>
    </row>
    <row r="210" spans="2:6" x14ac:dyDescent="0.25">
      <c r="B210" s="126"/>
      <c r="C210" s="126"/>
      <c r="D210" s="334" t="s">
        <v>6888</v>
      </c>
      <c r="E210" s="335" t="s">
        <v>6889</v>
      </c>
      <c r="F210" s="335" t="s">
        <v>6890</v>
      </c>
    </row>
    <row r="211" spans="2:6" x14ac:dyDescent="0.25">
      <c r="B211" s="126"/>
      <c r="C211" s="126"/>
      <c r="D211" s="334" t="s">
        <v>1943</v>
      </c>
      <c r="E211" s="335" t="s">
        <v>2072</v>
      </c>
      <c r="F211" s="335" t="s">
        <v>1945</v>
      </c>
    </row>
    <row r="212" spans="2:6" x14ac:dyDescent="0.25">
      <c r="B212" s="126"/>
      <c r="C212" s="126"/>
      <c r="D212" s="334" t="s">
        <v>6891</v>
      </c>
      <c r="E212" s="335" t="s">
        <v>6892</v>
      </c>
      <c r="F212" s="335" t="s">
        <v>6893</v>
      </c>
    </row>
    <row r="213" spans="2:6" x14ac:dyDescent="0.25">
      <c r="B213" s="126"/>
      <c r="C213" s="126"/>
      <c r="D213" s="334" t="s">
        <v>54</v>
      </c>
      <c r="E213" s="335" t="s">
        <v>55</v>
      </c>
      <c r="F213" s="335" t="s">
        <v>56</v>
      </c>
    </row>
    <row r="214" spans="2:6" x14ac:dyDescent="0.25">
      <c r="B214" s="126"/>
      <c r="C214" s="126"/>
      <c r="D214" s="334" t="s">
        <v>6894</v>
      </c>
      <c r="E214" s="335" t="s">
        <v>6895</v>
      </c>
      <c r="F214" s="335" t="s">
        <v>6896</v>
      </c>
    </row>
    <row r="215" spans="2:6" x14ac:dyDescent="0.25">
      <c r="B215" s="126"/>
      <c r="C215" s="126"/>
      <c r="D215" s="334" t="s">
        <v>6897</v>
      </c>
      <c r="E215" s="335" t="s">
        <v>6898</v>
      </c>
      <c r="F215" s="335" t="s">
        <v>6899</v>
      </c>
    </row>
    <row r="216" spans="2:6" x14ac:dyDescent="0.25">
      <c r="B216" s="126"/>
      <c r="C216" s="126"/>
      <c r="D216" s="334" t="s">
        <v>6900</v>
      </c>
      <c r="E216" s="335" t="s">
        <v>6901</v>
      </c>
      <c r="F216" s="335" t="s">
        <v>6902</v>
      </c>
    </row>
    <row r="217" spans="2:6" x14ac:dyDescent="0.25">
      <c r="B217" s="126"/>
      <c r="C217" s="126"/>
      <c r="D217" s="334" t="s">
        <v>6900</v>
      </c>
      <c r="E217" s="335" t="s">
        <v>6903</v>
      </c>
      <c r="F217" s="335" t="s">
        <v>6904</v>
      </c>
    </row>
    <row r="218" spans="2:6" x14ac:dyDescent="0.25">
      <c r="B218" s="126"/>
      <c r="C218" s="126"/>
      <c r="D218" s="334" t="s">
        <v>6905</v>
      </c>
      <c r="E218" s="335" t="s">
        <v>6906</v>
      </c>
      <c r="F218" s="335" t="s">
        <v>6907</v>
      </c>
    </row>
    <row r="219" spans="2:6" x14ac:dyDescent="0.25">
      <c r="B219" s="126"/>
      <c r="C219" s="126"/>
      <c r="D219" s="334" t="s">
        <v>6908</v>
      </c>
      <c r="E219" s="335" t="s">
        <v>6909</v>
      </c>
      <c r="F219" s="335" t="s">
        <v>6910</v>
      </c>
    </row>
    <row r="220" spans="2:6" x14ac:dyDescent="0.25">
      <c r="B220" s="126"/>
      <c r="C220" s="126"/>
      <c r="D220" s="334" t="s">
        <v>6911</v>
      </c>
      <c r="E220" s="335" t="s">
        <v>6912</v>
      </c>
      <c r="F220" s="335" t="s">
        <v>6913</v>
      </c>
    </row>
    <row r="221" spans="2:6" x14ac:dyDescent="0.25">
      <c r="B221" s="126"/>
      <c r="C221" s="126"/>
      <c r="D221" s="334" t="s">
        <v>4438</v>
      </c>
      <c r="E221" s="335" t="s">
        <v>6914</v>
      </c>
      <c r="F221" s="335" t="s">
        <v>6915</v>
      </c>
    </row>
    <row r="222" spans="2:6" x14ac:dyDescent="0.25">
      <c r="B222" s="126"/>
      <c r="C222" s="126"/>
      <c r="D222" s="334" t="s">
        <v>6916</v>
      </c>
      <c r="E222" s="335" t="s">
        <v>6917</v>
      </c>
      <c r="F222" s="335" t="s">
        <v>6918</v>
      </c>
    </row>
    <row r="223" spans="2:6" x14ac:dyDescent="0.25">
      <c r="B223" s="126"/>
      <c r="C223" s="126"/>
      <c r="D223" s="334" t="s">
        <v>6919</v>
      </c>
      <c r="E223" s="335" t="s">
        <v>6920</v>
      </c>
      <c r="F223" s="335" t="s">
        <v>6921</v>
      </c>
    </row>
    <row r="224" spans="2:6" x14ac:dyDescent="0.25">
      <c r="B224" s="126"/>
      <c r="C224" s="126"/>
      <c r="D224" s="334" t="s">
        <v>6922</v>
      </c>
      <c r="E224" s="335" t="s">
        <v>6923</v>
      </c>
      <c r="F224" s="335" t="s">
        <v>6924</v>
      </c>
    </row>
    <row r="225" spans="2:6" x14ac:dyDescent="0.25">
      <c r="B225" s="126"/>
      <c r="C225" s="126"/>
      <c r="D225" s="334" t="s">
        <v>60</v>
      </c>
      <c r="E225" s="335" t="s">
        <v>61</v>
      </c>
      <c r="F225" s="335" t="s">
        <v>62</v>
      </c>
    </row>
    <row r="226" spans="2:6" x14ac:dyDescent="0.25">
      <c r="B226" s="126"/>
      <c r="C226" s="126"/>
      <c r="D226" s="334" t="s">
        <v>6925</v>
      </c>
      <c r="E226" s="335" t="s">
        <v>6926</v>
      </c>
      <c r="F226" s="335" t="s">
        <v>6927</v>
      </c>
    </row>
    <row r="227" spans="2:6" x14ac:dyDescent="0.25">
      <c r="B227" s="126"/>
      <c r="C227" s="126"/>
      <c r="D227" s="334" t="s">
        <v>6928</v>
      </c>
      <c r="E227" s="335" t="s">
        <v>6929</v>
      </c>
      <c r="F227" s="335" t="s">
        <v>6930</v>
      </c>
    </row>
    <row r="228" spans="2:6" x14ac:dyDescent="0.25">
      <c r="B228" s="126"/>
      <c r="C228" s="126"/>
      <c r="D228" s="334" t="s">
        <v>6931</v>
      </c>
      <c r="E228" s="335" t="s">
        <v>6932</v>
      </c>
      <c r="F228" s="335" t="s">
        <v>6933</v>
      </c>
    </row>
    <row r="229" spans="2:6" x14ac:dyDescent="0.25">
      <c r="B229" s="126"/>
      <c r="C229" s="126"/>
      <c r="D229" s="334" t="s">
        <v>6934</v>
      </c>
      <c r="E229" s="335" t="s">
        <v>6935</v>
      </c>
      <c r="F229" s="335" t="s">
        <v>6936</v>
      </c>
    </row>
    <row r="230" spans="2:6" x14ac:dyDescent="0.25">
      <c r="B230" s="126"/>
      <c r="C230" s="126"/>
      <c r="D230" s="334" t="s">
        <v>6937</v>
      </c>
      <c r="E230" s="335" t="s">
        <v>6938</v>
      </c>
      <c r="F230" s="335" t="s">
        <v>6939</v>
      </c>
    </row>
    <row r="231" spans="2:6" x14ac:dyDescent="0.25">
      <c r="B231" s="126"/>
      <c r="C231" s="126"/>
      <c r="D231" s="334" t="s">
        <v>6940</v>
      </c>
      <c r="E231" s="335" t="s">
        <v>6941</v>
      </c>
      <c r="F231" s="335" t="s">
        <v>6942</v>
      </c>
    </row>
    <row r="232" spans="2:6" x14ac:dyDescent="0.25">
      <c r="B232" s="126"/>
      <c r="C232" s="126"/>
      <c r="D232" s="334" t="s">
        <v>6943</v>
      </c>
      <c r="E232" s="335" t="s">
        <v>6944</v>
      </c>
      <c r="F232" s="335" t="s">
        <v>6945</v>
      </c>
    </row>
    <row r="233" spans="2:6" x14ac:dyDescent="0.25">
      <c r="B233" s="126"/>
      <c r="C233" s="126"/>
      <c r="D233" s="334" t="s">
        <v>6946</v>
      </c>
      <c r="E233" s="335" t="s">
        <v>6947</v>
      </c>
      <c r="F233" s="335" t="s">
        <v>6948</v>
      </c>
    </row>
    <row r="234" spans="2:6" x14ac:dyDescent="0.25">
      <c r="B234" s="126"/>
      <c r="C234" s="126"/>
      <c r="D234" s="334" t="s">
        <v>6949</v>
      </c>
      <c r="E234" s="335" t="s">
        <v>6950</v>
      </c>
      <c r="F234" s="335" t="s">
        <v>6951</v>
      </c>
    </row>
    <row r="235" spans="2:6" x14ac:dyDescent="0.25">
      <c r="B235" s="126"/>
      <c r="C235" s="126"/>
      <c r="D235" s="334" t="s">
        <v>6952</v>
      </c>
      <c r="E235" s="335" t="s">
        <v>6953</v>
      </c>
      <c r="F235" s="335" t="s">
        <v>6954</v>
      </c>
    </row>
    <row r="236" spans="2:6" x14ac:dyDescent="0.25">
      <c r="B236" s="126"/>
      <c r="C236" s="126"/>
      <c r="D236" s="334" t="s">
        <v>5071</v>
      </c>
      <c r="E236" s="335" t="s">
        <v>6955</v>
      </c>
      <c r="F236" s="335" t="s">
        <v>6956</v>
      </c>
    </row>
    <row r="237" spans="2:6" x14ac:dyDescent="0.25">
      <c r="B237" s="126"/>
      <c r="C237" s="126"/>
      <c r="D237" s="334" t="s">
        <v>6957</v>
      </c>
      <c r="E237" s="335" t="s">
        <v>6958</v>
      </c>
      <c r="F237" s="335" t="s">
        <v>6959</v>
      </c>
    </row>
    <row r="238" spans="2:6" x14ac:dyDescent="0.25">
      <c r="B238" s="126"/>
      <c r="C238" s="126"/>
      <c r="D238" s="334" t="s">
        <v>4513</v>
      </c>
      <c r="E238" s="335" t="s">
        <v>6960</v>
      </c>
      <c r="F238" s="335" t="s">
        <v>6961</v>
      </c>
    </row>
    <row r="239" spans="2:6" x14ac:dyDescent="0.25">
      <c r="B239" s="126"/>
      <c r="C239" s="126"/>
      <c r="D239" s="334" t="s">
        <v>6962</v>
      </c>
      <c r="E239" s="335" t="s">
        <v>6963</v>
      </c>
      <c r="F239" s="335" t="s">
        <v>6964</v>
      </c>
    </row>
    <row r="240" spans="2:6" x14ac:dyDescent="0.25">
      <c r="B240" s="126"/>
      <c r="C240" s="126"/>
      <c r="D240" s="334" t="s">
        <v>6965</v>
      </c>
      <c r="E240" s="335" t="s">
        <v>6966</v>
      </c>
      <c r="F240" s="335" t="s">
        <v>6967</v>
      </c>
    </row>
    <row r="241" spans="2:6" x14ac:dyDescent="0.25">
      <c r="B241" s="126"/>
      <c r="C241" s="126"/>
      <c r="D241" s="334" t="s">
        <v>6968</v>
      </c>
      <c r="E241" s="335" t="s">
        <v>6969</v>
      </c>
      <c r="F241" s="335" t="s">
        <v>6970</v>
      </c>
    </row>
    <row r="242" spans="2:6" x14ac:dyDescent="0.25">
      <c r="B242" s="126"/>
      <c r="C242" s="126"/>
      <c r="D242" s="334" t="s">
        <v>6971</v>
      </c>
      <c r="E242" s="335" t="s">
        <v>6972</v>
      </c>
      <c r="F242" s="335" t="s">
        <v>6973</v>
      </c>
    </row>
    <row r="243" spans="2:6" x14ac:dyDescent="0.25">
      <c r="B243" s="126"/>
      <c r="C243" s="126"/>
      <c r="D243" s="334" t="s">
        <v>6974</v>
      </c>
      <c r="E243" s="335" t="s">
        <v>6975</v>
      </c>
      <c r="F243" s="335" t="s">
        <v>6976</v>
      </c>
    </row>
    <row r="244" spans="2:6" x14ac:dyDescent="0.25">
      <c r="B244" s="126"/>
      <c r="C244" s="126"/>
      <c r="D244" s="334" t="s">
        <v>6977</v>
      </c>
      <c r="E244" s="335" t="s">
        <v>6978</v>
      </c>
      <c r="F244" s="335" t="s">
        <v>6979</v>
      </c>
    </row>
    <row r="245" spans="2:6" x14ac:dyDescent="0.25">
      <c r="B245" s="126"/>
      <c r="C245" s="126"/>
      <c r="D245" s="334" t="s">
        <v>6980</v>
      </c>
      <c r="E245" s="335" t="s">
        <v>6981</v>
      </c>
      <c r="F245" s="335" t="s">
        <v>6982</v>
      </c>
    </row>
    <row r="246" spans="2:6" x14ac:dyDescent="0.25">
      <c r="B246" s="126"/>
      <c r="C246" s="126"/>
      <c r="D246" s="334" t="s">
        <v>2907</v>
      </c>
      <c r="E246" s="335" t="s">
        <v>6983</v>
      </c>
      <c r="F246" s="335" t="s">
        <v>2910</v>
      </c>
    </row>
    <row r="247" spans="2:6" x14ac:dyDescent="0.25">
      <c r="B247" s="126"/>
      <c r="C247" s="126"/>
      <c r="D247" s="334" t="s">
        <v>6984</v>
      </c>
      <c r="E247" s="335" t="s">
        <v>6985</v>
      </c>
      <c r="F247" s="335" t="s">
        <v>6986</v>
      </c>
    </row>
    <row r="248" spans="2:6" x14ac:dyDescent="0.25">
      <c r="B248" s="126"/>
      <c r="C248" s="126"/>
      <c r="D248" s="334" t="s">
        <v>6987</v>
      </c>
      <c r="E248" s="335" t="s">
        <v>6988</v>
      </c>
      <c r="F248" s="335" t="s">
        <v>6989</v>
      </c>
    </row>
    <row r="249" spans="2:6" x14ac:dyDescent="0.25">
      <c r="B249" s="126"/>
      <c r="C249" s="126"/>
      <c r="D249" s="334" t="s">
        <v>6990</v>
      </c>
      <c r="E249" s="335" t="s">
        <v>6991</v>
      </c>
      <c r="F249" s="335" t="s">
        <v>6992</v>
      </c>
    </row>
    <row r="250" spans="2:6" x14ac:dyDescent="0.25">
      <c r="B250" s="126"/>
      <c r="C250" s="126"/>
      <c r="D250" s="334" t="s">
        <v>430</v>
      </c>
      <c r="E250" s="335" t="s">
        <v>6993</v>
      </c>
      <c r="F250" s="335" t="s">
        <v>431</v>
      </c>
    </row>
    <row r="251" spans="2:6" x14ac:dyDescent="0.25">
      <c r="B251" s="126"/>
      <c r="C251" s="126"/>
      <c r="D251" s="334" t="s">
        <v>6994</v>
      </c>
      <c r="E251" s="335" t="s">
        <v>6995</v>
      </c>
      <c r="F251" s="335" t="s">
        <v>6996</v>
      </c>
    </row>
    <row r="252" spans="2:6" x14ac:dyDescent="0.25">
      <c r="B252" s="126"/>
      <c r="C252" s="126"/>
      <c r="D252" s="334" t="s">
        <v>6997</v>
      </c>
      <c r="E252" s="335" t="s">
        <v>6998</v>
      </c>
      <c r="F252" s="335" t="s">
        <v>6999</v>
      </c>
    </row>
    <row r="253" spans="2:6" x14ac:dyDescent="0.25">
      <c r="B253" s="126"/>
      <c r="C253" s="126"/>
      <c r="D253" s="334" t="s">
        <v>7000</v>
      </c>
      <c r="E253" s="335" t="s">
        <v>7001</v>
      </c>
      <c r="F253" s="335" t="s">
        <v>7002</v>
      </c>
    </row>
    <row r="254" spans="2:6" x14ac:dyDescent="0.25">
      <c r="B254" s="126"/>
      <c r="C254" s="126"/>
      <c r="D254" s="334" t="s">
        <v>7003</v>
      </c>
      <c r="E254" s="335" t="s">
        <v>7004</v>
      </c>
      <c r="F254" s="335" t="s">
        <v>7005</v>
      </c>
    </row>
    <row r="255" spans="2:6" x14ac:dyDescent="0.25">
      <c r="B255" s="126"/>
      <c r="C255" s="126"/>
      <c r="D255" s="334" t="s">
        <v>7006</v>
      </c>
      <c r="E255" s="335" t="s">
        <v>7007</v>
      </c>
      <c r="F255" s="335" t="s">
        <v>7008</v>
      </c>
    </row>
    <row r="256" spans="2:6" x14ac:dyDescent="0.25">
      <c r="B256" s="126"/>
      <c r="C256" s="126"/>
      <c r="D256" s="334" t="s">
        <v>7009</v>
      </c>
      <c r="E256" s="335" t="s">
        <v>7010</v>
      </c>
      <c r="F256" s="335" t="s">
        <v>7011</v>
      </c>
    </row>
    <row r="257" spans="2:6" x14ac:dyDescent="0.25">
      <c r="B257" s="126"/>
      <c r="C257" s="126"/>
      <c r="D257" s="334" t="s">
        <v>7012</v>
      </c>
      <c r="E257" s="335" t="s">
        <v>7013</v>
      </c>
      <c r="F257" s="335" t="s">
        <v>7014</v>
      </c>
    </row>
    <row r="258" spans="2:6" x14ac:dyDescent="0.25">
      <c r="B258" s="126"/>
      <c r="C258" s="126"/>
      <c r="D258" s="334" t="s">
        <v>7015</v>
      </c>
      <c r="E258" s="335" t="s">
        <v>7016</v>
      </c>
      <c r="F258" s="335" t="s">
        <v>7017</v>
      </c>
    </row>
    <row r="259" spans="2:6" x14ac:dyDescent="0.25">
      <c r="B259" s="126"/>
      <c r="C259" s="126"/>
      <c r="D259" s="334" t="s">
        <v>7018</v>
      </c>
      <c r="E259" s="335" t="s">
        <v>7019</v>
      </c>
      <c r="F259" s="335" t="s">
        <v>7020</v>
      </c>
    </row>
    <row r="260" spans="2:6" x14ac:dyDescent="0.25">
      <c r="B260" s="126"/>
      <c r="C260" s="126"/>
      <c r="D260" s="334" t="s">
        <v>7021</v>
      </c>
      <c r="E260" s="335" t="s">
        <v>7022</v>
      </c>
      <c r="F260" s="335"/>
    </row>
    <row r="261" spans="2:6" x14ac:dyDescent="0.25">
      <c r="B261" s="126"/>
      <c r="C261" s="126"/>
      <c r="D261" s="334" t="s">
        <v>7023</v>
      </c>
      <c r="E261" s="335" t="s">
        <v>7024</v>
      </c>
      <c r="F261" s="335" t="s">
        <v>7025</v>
      </c>
    </row>
    <row r="262" spans="2:6" x14ac:dyDescent="0.25">
      <c r="B262" s="126"/>
      <c r="C262" s="126"/>
      <c r="D262" s="334" t="s">
        <v>7026</v>
      </c>
      <c r="E262" s="335" t="s">
        <v>7027</v>
      </c>
      <c r="F262" s="335" t="s">
        <v>7028</v>
      </c>
    </row>
    <row r="263" spans="2:6" x14ac:dyDescent="0.25">
      <c r="B263" s="126"/>
      <c r="C263" s="126"/>
      <c r="D263" s="334" t="s">
        <v>7029</v>
      </c>
      <c r="E263" s="335" t="s">
        <v>7030</v>
      </c>
      <c r="F263" s="335" t="s">
        <v>7031</v>
      </c>
    </row>
    <row r="264" spans="2:6" x14ac:dyDescent="0.25">
      <c r="B264" s="126"/>
      <c r="C264" s="126"/>
      <c r="D264" s="334" t="s">
        <v>7032</v>
      </c>
      <c r="E264" s="335" t="s">
        <v>7033</v>
      </c>
      <c r="F264" s="335" t="s">
        <v>7034</v>
      </c>
    </row>
    <row r="265" spans="2:6" x14ac:dyDescent="0.25">
      <c r="B265" s="126"/>
      <c r="C265" s="126"/>
      <c r="D265" s="334" t="s">
        <v>7035</v>
      </c>
      <c r="E265" s="335" t="s">
        <v>7036</v>
      </c>
      <c r="F265" s="335" t="s">
        <v>7037</v>
      </c>
    </row>
    <row r="266" spans="2:6" x14ac:dyDescent="0.25">
      <c r="B266" s="126"/>
      <c r="C266" s="126"/>
      <c r="D266" s="334" t="s">
        <v>4555</v>
      </c>
      <c r="E266" s="335" t="s">
        <v>4557</v>
      </c>
      <c r="F266" s="335" t="s">
        <v>7038</v>
      </c>
    </row>
    <row r="267" spans="2:6" x14ac:dyDescent="0.25">
      <c r="B267" s="126"/>
      <c r="C267" s="126"/>
      <c r="D267" s="334" t="s">
        <v>7039</v>
      </c>
      <c r="E267" s="335" t="s">
        <v>7040</v>
      </c>
      <c r="F267" s="335" t="s">
        <v>7041</v>
      </c>
    </row>
    <row r="268" spans="2:6" x14ac:dyDescent="0.25">
      <c r="B268" s="126"/>
      <c r="C268" s="126"/>
      <c r="D268" s="334" t="s">
        <v>7042</v>
      </c>
      <c r="E268" s="335" t="s">
        <v>7043</v>
      </c>
      <c r="F268" s="335" t="s">
        <v>7044</v>
      </c>
    </row>
    <row r="269" spans="2:6" x14ac:dyDescent="0.25">
      <c r="B269" s="126"/>
      <c r="C269" s="126"/>
      <c r="D269" s="334" t="s">
        <v>7045</v>
      </c>
      <c r="E269" s="335" t="s">
        <v>7046</v>
      </c>
      <c r="F269" s="335" t="s">
        <v>7047</v>
      </c>
    </row>
    <row r="270" spans="2:6" x14ac:dyDescent="0.25">
      <c r="B270" s="126"/>
      <c r="C270" s="126"/>
      <c r="D270" s="334" t="s">
        <v>7048</v>
      </c>
      <c r="E270" s="335" t="s">
        <v>7049</v>
      </c>
      <c r="F270" s="335" t="s">
        <v>7050</v>
      </c>
    </row>
    <row r="271" spans="2:6" x14ac:dyDescent="0.25">
      <c r="B271" s="126"/>
      <c r="C271" s="126"/>
      <c r="D271" s="334" t="s">
        <v>7051</v>
      </c>
      <c r="E271" s="335" t="s">
        <v>7052</v>
      </c>
      <c r="F271" s="335" t="s">
        <v>7053</v>
      </c>
    </row>
    <row r="272" spans="2:6" x14ac:dyDescent="0.25">
      <c r="B272" s="126"/>
      <c r="C272" s="126"/>
      <c r="D272" s="334" t="s">
        <v>7054</v>
      </c>
      <c r="E272" s="335" t="s">
        <v>7055</v>
      </c>
      <c r="F272" s="335" t="s">
        <v>7056</v>
      </c>
    </row>
    <row r="273" spans="2:6" x14ac:dyDescent="0.25">
      <c r="B273" s="126"/>
      <c r="C273" s="126"/>
      <c r="D273" s="334" t="s">
        <v>1267</v>
      </c>
      <c r="E273" s="335" t="s">
        <v>1268</v>
      </c>
      <c r="F273" s="335" t="s">
        <v>7057</v>
      </c>
    </row>
    <row r="274" spans="2:6" x14ac:dyDescent="0.25">
      <c r="B274" s="126"/>
      <c r="C274" s="126"/>
      <c r="D274" s="334" t="s">
        <v>7058</v>
      </c>
      <c r="E274" s="335" t="s">
        <v>7059</v>
      </c>
      <c r="F274" s="335" t="s">
        <v>7060</v>
      </c>
    </row>
    <row r="275" spans="2:6" x14ac:dyDescent="0.25">
      <c r="B275" s="126"/>
      <c r="C275" s="126"/>
      <c r="D275" s="334" t="s">
        <v>7061</v>
      </c>
      <c r="E275" s="335" t="s">
        <v>7062</v>
      </c>
      <c r="F275" s="335" t="s">
        <v>7063</v>
      </c>
    </row>
    <row r="276" spans="2:6" x14ac:dyDescent="0.25">
      <c r="B276" s="126"/>
      <c r="C276" s="126"/>
      <c r="D276" s="334" t="s">
        <v>7064</v>
      </c>
      <c r="E276" s="335" t="s">
        <v>7065</v>
      </c>
      <c r="F276" s="335" t="s">
        <v>7066</v>
      </c>
    </row>
    <row r="277" spans="2:6" x14ac:dyDescent="0.25">
      <c r="B277" s="126"/>
      <c r="C277" s="126"/>
      <c r="D277" s="334" t="s">
        <v>7067</v>
      </c>
      <c r="E277" s="335" t="s">
        <v>7068</v>
      </c>
      <c r="F277" s="335" t="s">
        <v>7069</v>
      </c>
    </row>
    <row r="278" spans="2:6" x14ac:dyDescent="0.25">
      <c r="B278" s="126"/>
      <c r="C278" s="126"/>
      <c r="D278" s="334" t="s">
        <v>7070</v>
      </c>
      <c r="E278" s="335" t="s">
        <v>7071</v>
      </c>
      <c r="F278" s="335" t="s">
        <v>7072</v>
      </c>
    </row>
    <row r="279" spans="2:6" x14ac:dyDescent="0.25">
      <c r="B279" s="126"/>
      <c r="C279" s="126"/>
      <c r="D279" s="334" t="s">
        <v>7073</v>
      </c>
      <c r="E279" s="335" t="s">
        <v>7074</v>
      </c>
      <c r="F279" s="335" t="s">
        <v>7075</v>
      </c>
    </row>
    <row r="280" spans="2:6" x14ac:dyDescent="0.25">
      <c r="B280" s="126"/>
      <c r="C280" s="126"/>
      <c r="D280" s="334" t="s">
        <v>7076</v>
      </c>
      <c r="E280" s="335" t="s">
        <v>7077</v>
      </c>
      <c r="F280" s="335" t="s">
        <v>7078</v>
      </c>
    </row>
    <row r="281" spans="2:6" x14ac:dyDescent="0.25">
      <c r="B281" s="126"/>
      <c r="C281" s="126"/>
      <c r="D281" s="334" t="s">
        <v>7079</v>
      </c>
      <c r="E281" s="335" t="s">
        <v>7080</v>
      </c>
      <c r="F281" s="335" t="s">
        <v>7081</v>
      </c>
    </row>
    <row r="282" spans="2:6" x14ac:dyDescent="0.25">
      <c r="B282" s="126"/>
      <c r="C282" s="126"/>
      <c r="D282" s="334" t="s">
        <v>7082</v>
      </c>
      <c r="E282" s="335" t="s">
        <v>7083</v>
      </c>
      <c r="F282" s="335" t="s">
        <v>7084</v>
      </c>
    </row>
    <row r="283" spans="2:6" x14ac:dyDescent="0.25">
      <c r="B283" s="126"/>
      <c r="C283" s="126"/>
      <c r="D283" s="334" t="s">
        <v>1745</v>
      </c>
      <c r="E283" s="335" t="s">
        <v>1746</v>
      </c>
      <c r="F283" s="335" t="s">
        <v>1747</v>
      </c>
    </row>
    <row r="284" spans="2:6" x14ac:dyDescent="0.25">
      <c r="B284" s="126"/>
      <c r="C284" s="126"/>
      <c r="D284" s="334" t="s">
        <v>7085</v>
      </c>
      <c r="E284" s="335" t="s">
        <v>7086</v>
      </c>
      <c r="F284" s="335" t="s">
        <v>7087</v>
      </c>
    </row>
    <row r="285" spans="2:6" x14ac:dyDescent="0.25">
      <c r="B285" s="126"/>
      <c r="C285" s="126"/>
      <c r="D285" s="334" t="s">
        <v>1753</v>
      </c>
      <c r="E285" s="335" t="s">
        <v>1133</v>
      </c>
      <c r="F285" s="335" t="s">
        <v>1754</v>
      </c>
    </row>
    <row r="286" spans="2:6" x14ac:dyDescent="0.25">
      <c r="B286" s="126"/>
      <c r="C286" s="126"/>
      <c r="D286" s="334" t="s">
        <v>7088</v>
      </c>
      <c r="E286" s="335" t="s">
        <v>7089</v>
      </c>
      <c r="F286" s="335" t="s">
        <v>7090</v>
      </c>
    </row>
    <row r="287" spans="2:6" x14ac:dyDescent="0.25">
      <c r="B287" s="126"/>
      <c r="C287" s="126"/>
      <c r="D287" s="334" t="s">
        <v>7091</v>
      </c>
      <c r="E287" s="335" t="s">
        <v>2661</v>
      </c>
      <c r="F287" s="335" t="s">
        <v>2662</v>
      </c>
    </row>
    <row r="288" spans="2:6" x14ac:dyDescent="0.25">
      <c r="B288" s="126"/>
      <c r="C288" s="126"/>
      <c r="D288" s="334" t="s">
        <v>7092</v>
      </c>
      <c r="E288" s="335" t="s">
        <v>7093</v>
      </c>
      <c r="F288" s="335" t="s">
        <v>7094</v>
      </c>
    </row>
    <row r="289" spans="2:6" x14ac:dyDescent="0.25">
      <c r="B289" s="126"/>
      <c r="C289" s="126"/>
      <c r="D289" s="334" t="s">
        <v>156</v>
      </c>
      <c r="E289" s="335" t="s">
        <v>157</v>
      </c>
      <c r="F289" s="335" t="s">
        <v>158</v>
      </c>
    </row>
    <row r="290" spans="2:6" x14ac:dyDescent="0.25">
      <c r="B290" s="126"/>
      <c r="C290" s="126"/>
      <c r="D290" s="334" t="s">
        <v>7095</v>
      </c>
      <c r="E290" s="335" t="s">
        <v>7096</v>
      </c>
      <c r="F290" s="335" t="s">
        <v>7097</v>
      </c>
    </row>
    <row r="291" spans="2:6" x14ac:dyDescent="0.25">
      <c r="B291" s="126"/>
      <c r="C291" s="126"/>
      <c r="D291" s="334" t="s">
        <v>7098</v>
      </c>
      <c r="E291" s="335" t="s">
        <v>7099</v>
      </c>
      <c r="F291" s="335" t="s">
        <v>7100</v>
      </c>
    </row>
    <row r="292" spans="2:6" x14ac:dyDescent="0.25">
      <c r="B292" s="126"/>
      <c r="C292" s="126"/>
      <c r="D292" s="334" t="s">
        <v>7101</v>
      </c>
      <c r="E292" s="335" t="s">
        <v>7102</v>
      </c>
      <c r="F292" s="335" t="s">
        <v>7103</v>
      </c>
    </row>
    <row r="293" spans="2:6" x14ac:dyDescent="0.25">
      <c r="B293" s="126"/>
      <c r="C293" s="126"/>
      <c r="D293" s="334" t="s">
        <v>7104</v>
      </c>
      <c r="E293" s="335" t="s">
        <v>7105</v>
      </c>
      <c r="F293" s="335" t="s">
        <v>7106</v>
      </c>
    </row>
    <row r="294" spans="2:6" x14ac:dyDescent="0.25">
      <c r="B294" s="126"/>
      <c r="C294" s="126"/>
      <c r="D294" s="334" t="s">
        <v>1429</v>
      </c>
      <c r="E294" s="335" t="s">
        <v>1430</v>
      </c>
      <c r="F294" s="335" t="s">
        <v>7107</v>
      </c>
    </row>
    <row r="295" spans="2:6" x14ac:dyDescent="0.25">
      <c r="B295" s="126"/>
      <c r="C295" s="126"/>
      <c r="D295" s="334" t="s">
        <v>7108</v>
      </c>
      <c r="E295" s="335" t="s">
        <v>7109</v>
      </c>
      <c r="F295" s="335" t="s">
        <v>7110</v>
      </c>
    </row>
    <row r="296" spans="2:6" x14ac:dyDescent="0.25">
      <c r="B296" s="126"/>
      <c r="C296" s="126"/>
      <c r="D296" s="334" t="s">
        <v>7111</v>
      </c>
      <c r="E296" s="335" t="s">
        <v>7112</v>
      </c>
      <c r="F296" s="335" t="s">
        <v>7113</v>
      </c>
    </row>
    <row r="297" spans="2:6" x14ac:dyDescent="0.25">
      <c r="B297" s="126"/>
      <c r="C297" s="126"/>
      <c r="D297" s="334" t="s">
        <v>84</v>
      </c>
      <c r="E297" s="335" t="s">
        <v>85</v>
      </c>
      <c r="F297" s="335" t="s">
        <v>86</v>
      </c>
    </row>
    <row r="298" spans="2:6" x14ac:dyDescent="0.25">
      <c r="B298" s="126"/>
      <c r="C298" s="126"/>
      <c r="D298" s="334" t="s">
        <v>7114</v>
      </c>
      <c r="E298" s="335" t="s">
        <v>7115</v>
      </c>
      <c r="F298" s="335" t="s">
        <v>7116</v>
      </c>
    </row>
    <row r="299" spans="2:6" x14ac:dyDescent="0.25">
      <c r="B299" s="126"/>
      <c r="C299" s="126"/>
      <c r="D299" s="334" t="s">
        <v>7117</v>
      </c>
      <c r="E299" s="335" t="s">
        <v>7118</v>
      </c>
      <c r="F299" s="335" t="s">
        <v>7119</v>
      </c>
    </row>
    <row r="300" spans="2:6" x14ac:dyDescent="0.25">
      <c r="B300" s="126"/>
      <c r="C300" s="126"/>
      <c r="D300" s="334" t="s">
        <v>7120</v>
      </c>
      <c r="E300" s="335" t="s">
        <v>7121</v>
      </c>
      <c r="F300" s="335" t="s">
        <v>7122</v>
      </c>
    </row>
    <row r="301" spans="2:6" x14ac:dyDescent="0.25">
      <c r="B301" s="126"/>
      <c r="C301" s="126"/>
      <c r="D301" s="334" t="s">
        <v>6142</v>
      </c>
      <c r="E301" s="335" t="s">
        <v>6143</v>
      </c>
      <c r="F301" s="335" t="s">
        <v>6144</v>
      </c>
    </row>
    <row r="302" spans="2:6" x14ac:dyDescent="0.25">
      <c r="B302" s="126"/>
      <c r="C302" s="126"/>
      <c r="D302" s="334" t="s">
        <v>7123</v>
      </c>
      <c r="E302" s="335" t="s">
        <v>7124</v>
      </c>
      <c r="F302" s="335" t="s">
        <v>7125</v>
      </c>
    </row>
    <row r="303" spans="2:6" x14ac:dyDescent="0.25">
      <c r="B303" s="126"/>
      <c r="C303" s="126"/>
      <c r="D303" s="334" t="s">
        <v>7126</v>
      </c>
      <c r="E303" s="335" t="s">
        <v>7127</v>
      </c>
      <c r="F303" s="335" t="s">
        <v>7128</v>
      </c>
    </row>
    <row r="304" spans="2:6" x14ac:dyDescent="0.25">
      <c r="B304" s="126"/>
      <c r="C304" s="126"/>
      <c r="D304" s="334" t="s">
        <v>7129</v>
      </c>
      <c r="E304" s="335" t="s">
        <v>7130</v>
      </c>
      <c r="F304" s="335" t="s">
        <v>7131</v>
      </c>
    </row>
    <row r="305" spans="2:6" x14ac:dyDescent="0.25">
      <c r="B305" s="126"/>
      <c r="C305" s="126"/>
      <c r="D305" s="334" t="s">
        <v>7132</v>
      </c>
      <c r="E305" s="335" t="s">
        <v>7133</v>
      </c>
      <c r="F305" s="335" t="s">
        <v>7134</v>
      </c>
    </row>
    <row r="306" spans="2:6" x14ac:dyDescent="0.25">
      <c r="B306" s="126"/>
      <c r="C306" s="126"/>
      <c r="D306" s="334" t="s">
        <v>3182</v>
      </c>
      <c r="E306" s="335" t="s">
        <v>3183</v>
      </c>
      <c r="F306" s="335" t="s">
        <v>7135</v>
      </c>
    </row>
    <row r="307" spans="2:6" x14ac:dyDescent="0.25">
      <c r="B307" s="126"/>
      <c r="C307" s="126"/>
      <c r="D307" s="334" t="s">
        <v>5679</v>
      </c>
      <c r="E307" s="335" t="s">
        <v>7136</v>
      </c>
      <c r="F307" s="335" t="s">
        <v>7137</v>
      </c>
    </row>
    <row r="308" spans="2:6" x14ac:dyDescent="0.25">
      <c r="B308" s="126"/>
      <c r="C308" s="126"/>
      <c r="D308" s="334" t="s">
        <v>7138</v>
      </c>
      <c r="E308" s="335" t="s">
        <v>7139</v>
      </c>
      <c r="F308" s="335" t="s">
        <v>7140</v>
      </c>
    </row>
    <row r="309" spans="2:6" x14ac:dyDescent="0.25">
      <c r="B309" s="126"/>
      <c r="C309" s="126"/>
      <c r="D309" s="334" t="s">
        <v>7141</v>
      </c>
      <c r="E309" s="335" t="s">
        <v>7142</v>
      </c>
      <c r="F309" s="335" t="s">
        <v>7143</v>
      </c>
    </row>
    <row r="310" spans="2:6" x14ac:dyDescent="0.25">
      <c r="B310" s="126"/>
      <c r="C310" s="126"/>
      <c r="D310" s="334" t="s">
        <v>7144</v>
      </c>
      <c r="E310" s="335" t="s">
        <v>7145</v>
      </c>
      <c r="F310" s="335" t="s">
        <v>7146</v>
      </c>
    </row>
    <row r="311" spans="2:6" x14ac:dyDescent="0.25">
      <c r="B311" s="126"/>
      <c r="C311" s="126"/>
      <c r="D311" s="334" t="s">
        <v>7147</v>
      </c>
      <c r="E311" s="335" t="s">
        <v>7148</v>
      </c>
      <c r="F311" s="335" t="s">
        <v>7149</v>
      </c>
    </row>
    <row r="312" spans="2:6" x14ac:dyDescent="0.25">
      <c r="B312" s="126"/>
      <c r="C312" s="126"/>
      <c r="D312" s="334" t="s">
        <v>7150</v>
      </c>
      <c r="E312" s="335" t="s">
        <v>7151</v>
      </c>
      <c r="F312" s="335" t="s">
        <v>7152</v>
      </c>
    </row>
    <row r="313" spans="2:6" x14ac:dyDescent="0.25">
      <c r="B313" s="126"/>
      <c r="C313" s="126"/>
      <c r="D313" s="334" t="s">
        <v>7153</v>
      </c>
      <c r="E313" s="335" t="s">
        <v>7154</v>
      </c>
      <c r="F313" s="335" t="s">
        <v>7155</v>
      </c>
    </row>
    <row r="314" spans="2:6" x14ac:dyDescent="0.25">
      <c r="B314" s="126"/>
      <c r="C314" s="126"/>
      <c r="D314" s="334" t="s">
        <v>7156</v>
      </c>
      <c r="E314" s="335" t="s">
        <v>7157</v>
      </c>
      <c r="F314" s="335" t="s">
        <v>7158</v>
      </c>
    </row>
    <row r="315" spans="2:6" x14ac:dyDescent="0.25">
      <c r="B315" s="126"/>
      <c r="C315" s="126"/>
      <c r="D315" s="334" t="s">
        <v>7159</v>
      </c>
      <c r="E315" s="335" t="s">
        <v>7160</v>
      </c>
      <c r="F315" s="335" t="s">
        <v>7161</v>
      </c>
    </row>
    <row r="316" spans="2:6" x14ac:dyDescent="0.25">
      <c r="B316" s="126"/>
      <c r="C316" s="126"/>
      <c r="D316" s="334" t="s">
        <v>89</v>
      </c>
      <c r="E316" s="335" t="s">
        <v>90</v>
      </c>
      <c r="F316" s="335" t="s">
        <v>91</v>
      </c>
    </row>
    <row r="317" spans="2:6" x14ac:dyDescent="0.25">
      <c r="B317" s="126"/>
      <c r="C317" s="126"/>
      <c r="D317" s="334" t="s">
        <v>94</v>
      </c>
      <c r="E317" s="335" t="s">
        <v>95</v>
      </c>
      <c r="F317" s="335" t="s">
        <v>96</v>
      </c>
    </row>
    <row r="318" spans="2:6" x14ac:dyDescent="0.25">
      <c r="B318" s="126"/>
      <c r="C318" s="126"/>
      <c r="D318" s="334" t="s">
        <v>7162</v>
      </c>
      <c r="E318" s="335" t="s">
        <v>7163</v>
      </c>
      <c r="F318" s="335" t="s">
        <v>7164</v>
      </c>
    </row>
    <row r="319" spans="2:6" x14ac:dyDescent="0.25">
      <c r="B319" s="126"/>
      <c r="C319" s="126"/>
      <c r="D319" s="334" t="s">
        <v>7165</v>
      </c>
      <c r="E319" s="335" t="s">
        <v>7166</v>
      </c>
      <c r="F319" s="335" t="s">
        <v>7167</v>
      </c>
    </row>
    <row r="320" spans="2:6" x14ac:dyDescent="0.25">
      <c r="B320" s="126"/>
      <c r="C320" s="126"/>
      <c r="D320" s="334" t="s">
        <v>7168</v>
      </c>
      <c r="E320" s="335" t="s">
        <v>7169</v>
      </c>
      <c r="F320" s="335" t="s">
        <v>7170</v>
      </c>
    </row>
    <row r="321" spans="2:6" x14ac:dyDescent="0.25">
      <c r="B321" s="126"/>
      <c r="C321" s="126"/>
      <c r="D321" s="334" t="s">
        <v>7171</v>
      </c>
      <c r="E321" s="335" t="s">
        <v>7172</v>
      </c>
      <c r="F321" s="335" t="s">
        <v>7173</v>
      </c>
    </row>
    <row r="322" spans="2:6" x14ac:dyDescent="0.25">
      <c r="B322" s="126"/>
      <c r="C322" s="126"/>
      <c r="D322" s="334" t="s">
        <v>7174</v>
      </c>
      <c r="E322" s="335" t="s">
        <v>7175</v>
      </c>
      <c r="F322" s="335" t="s">
        <v>7176</v>
      </c>
    </row>
    <row r="323" spans="2:6" x14ac:dyDescent="0.25">
      <c r="B323" s="126"/>
      <c r="C323" s="126"/>
      <c r="D323" s="334" t="s">
        <v>7177</v>
      </c>
      <c r="E323" s="335" t="s">
        <v>7178</v>
      </c>
      <c r="F323" s="335" t="s">
        <v>7179</v>
      </c>
    </row>
    <row r="324" spans="2:6" x14ac:dyDescent="0.25">
      <c r="B324" s="126"/>
      <c r="C324" s="126"/>
      <c r="D324" s="334" t="s">
        <v>7180</v>
      </c>
      <c r="E324" s="335" t="s">
        <v>7181</v>
      </c>
      <c r="F324" s="335" t="s">
        <v>7182</v>
      </c>
    </row>
    <row r="325" spans="2:6" x14ac:dyDescent="0.25">
      <c r="B325" s="126"/>
      <c r="C325" s="126"/>
      <c r="D325" s="334" t="s">
        <v>7183</v>
      </c>
      <c r="E325" s="335" t="s">
        <v>7184</v>
      </c>
      <c r="F325" s="335" t="s">
        <v>7185</v>
      </c>
    </row>
    <row r="326" spans="2:6" x14ac:dyDescent="0.25">
      <c r="B326" s="126"/>
      <c r="C326" s="126"/>
      <c r="D326" s="334" t="s">
        <v>4182</v>
      </c>
      <c r="E326" s="335" t="s">
        <v>7186</v>
      </c>
      <c r="F326" s="335" t="s">
        <v>7187</v>
      </c>
    </row>
    <row r="327" spans="2:6" x14ac:dyDescent="0.25">
      <c r="B327" s="126"/>
      <c r="C327" s="126"/>
      <c r="D327" s="334" t="s">
        <v>7188</v>
      </c>
      <c r="E327" s="335" t="s">
        <v>7189</v>
      </c>
      <c r="F327" s="335" t="s">
        <v>7190</v>
      </c>
    </row>
    <row r="328" spans="2:6" x14ac:dyDescent="0.25">
      <c r="B328" s="126"/>
      <c r="C328" s="126"/>
      <c r="D328" s="334" t="s">
        <v>7191</v>
      </c>
      <c r="E328" s="335" t="s">
        <v>7192</v>
      </c>
      <c r="F328" s="335" t="s">
        <v>7193</v>
      </c>
    </row>
    <row r="329" spans="2:6" x14ac:dyDescent="0.25">
      <c r="B329" s="126"/>
      <c r="C329" s="126"/>
      <c r="D329" s="334" t="s">
        <v>4276</v>
      </c>
      <c r="E329" s="335" t="s">
        <v>7194</v>
      </c>
      <c r="F329" s="335" t="s">
        <v>7195</v>
      </c>
    </row>
    <row r="330" spans="2:6" x14ac:dyDescent="0.25">
      <c r="B330" s="126"/>
      <c r="C330" s="126"/>
      <c r="D330" s="334" t="s">
        <v>7196</v>
      </c>
      <c r="E330" s="335" t="s">
        <v>7197</v>
      </c>
      <c r="F330" s="335" t="s">
        <v>7198</v>
      </c>
    </row>
    <row r="331" spans="2:6" x14ac:dyDescent="0.25">
      <c r="B331" s="126"/>
      <c r="C331" s="126"/>
      <c r="D331" s="334" t="s">
        <v>7199</v>
      </c>
      <c r="E331" s="335" t="s">
        <v>7200</v>
      </c>
      <c r="F331" s="335" t="s">
        <v>7201</v>
      </c>
    </row>
    <row r="332" spans="2:6" x14ac:dyDescent="0.25">
      <c r="B332" s="126"/>
      <c r="C332" s="126"/>
      <c r="D332" s="334" t="s">
        <v>7202</v>
      </c>
      <c r="E332" s="335" t="s">
        <v>7203</v>
      </c>
      <c r="F332" s="335" t="s">
        <v>7204</v>
      </c>
    </row>
    <row r="333" spans="2:6" x14ac:dyDescent="0.25">
      <c r="B333" s="126"/>
      <c r="C333" s="126"/>
      <c r="D333" s="334" t="s">
        <v>7205</v>
      </c>
      <c r="E333" s="335" t="s">
        <v>7206</v>
      </c>
      <c r="F333" s="335" t="s">
        <v>7207</v>
      </c>
    </row>
    <row r="334" spans="2:6" x14ac:dyDescent="0.25">
      <c r="B334" s="126"/>
      <c r="C334" s="126"/>
      <c r="D334" s="334" t="s">
        <v>7208</v>
      </c>
      <c r="E334" s="335" t="s">
        <v>7209</v>
      </c>
      <c r="F334" s="335"/>
    </row>
    <row r="335" spans="2:6" x14ac:dyDescent="0.25">
      <c r="B335" s="126"/>
      <c r="C335" s="126"/>
      <c r="D335" s="334" t="s">
        <v>7210</v>
      </c>
      <c r="E335" s="335" t="s">
        <v>7211</v>
      </c>
      <c r="F335" s="335" t="s">
        <v>7212</v>
      </c>
    </row>
    <row r="336" spans="2:6" x14ac:dyDescent="0.25">
      <c r="B336" s="126"/>
      <c r="C336" s="126"/>
      <c r="D336" s="334" t="s">
        <v>7213</v>
      </c>
      <c r="E336" s="335" t="s">
        <v>7214</v>
      </c>
      <c r="F336" s="335" t="s">
        <v>7215</v>
      </c>
    </row>
    <row r="337" spans="2:6" x14ac:dyDescent="0.25">
      <c r="B337" s="126"/>
      <c r="C337" s="126"/>
      <c r="D337" s="334" t="s">
        <v>7216</v>
      </c>
      <c r="E337" s="335" t="s">
        <v>7217</v>
      </c>
      <c r="F337" s="335" t="s">
        <v>7218</v>
      </c>
    </row>
    <row r="338" spans="2:6" x14ac:dyDescent="0.25">
      <c r="B338" s="126"/>
      <c r="C338" s="126"/>
      <c r="D338" s="334" t="s">
        <v>847</v>
      </c>
      <c r="E338" s="335" t="s">
        <v>848</v>
      </c>
      <c r="F338" s="335" t="s">
        <v>849</v>
      </c>
    </row>
    <row r="339" spans="2:6" x14ac:dyDescent="0.25">
      <c r="B339" s="126"/>
      <c r="C339" s="126"/>
      <c r="D339" s="334" t="s">
        <v>7219</v>
      </c>
      <c r="E339" s="335" t="s">
        <v>7220</v>
      </c>
      <c r="F339" s="335" t="s">
        <v>7221</v>
      </c>
    </row>
    <row r="340" spans="2:6" x14ac:dyDescent="0.25">
      <c r="B340" s="126"/>
      <c r="C340" s="126"/>
      <c r="D340" s="334" t="s">
        <v>7222</v>
      </c>
      <c r="E340" s="335" t="s">
        <v>7223</v>
      </c>
      <c r="F340" s="335" t="s">
        <v>7224</v>
      </c>
    </row>
    <row r="341" spans="2:6" x14ac:dyDescent="0.25">
      <c r="B341" s="126"/>
      <c r="C341" s="126"/>
      <c r="D341" s="334" t="s">
        <v>7225</v>
      </c>
      <c r="E341" s="335" t="s">
        <v>7226</v>
      </c>
      <c r="F341" s="335" t="s">
        <v>7227</v>
      </c>
    </row>
    <row r="342" spans="2:6" x14ac:dyDescent="0.25">
      <c r="B342" s="126"/>
      <c r="C342" s="126"/>
      <c r="D342" s="334" t="s">
        <v>5166</v>
      </c>
      <c r="E342" s="335" t="s">
        <v>7228</v>
      </c>
      <c r="F342" s="335" t="s">
        <v>7229</v>
      </c>
    </row>
    <row r="343" spans="2:6" x14ac:dyDescent="0.25">
      <c r="B343" s="126"/>
      <c r="C343" s="126"/>
      <c r="D343" s="334" t="s">
        <v>7230</v>
      </c>
      <c r="E343" s="335" t="s">
        <v>7231</v>
      </c>
      <c r="F343" s="335" t="s">
        <v>7232</v>
      </c>
    </row>
    <row r="344" spans="2:6" x14ac:dyDescent="0.25">
      <c r="B344" s="126"/>
      <c r="C344" s="126"/>
      <c r="D344" s="334" t="s">
        <v>7233</v>
      </c>
      <c r="E344" s="335" t="s">
        <v>7234</v>
      </c>
      <c r="F344" s="335" t="s">
        <v>7235</v>
      </c>
    </row>
    <row r="345" spans="2:6" x14ac:dyDescent="0.25">
      <c r="B345" s="126"/>
      <c r="C345" s="126"/>
      <c r="D345" s="334" t="s">
        <v>3986</v>
      </c>
      <c r="E345" s="335" t="s">
        <v>7236</v>
      </c>
      <c r="F345" s="335" t="s">
        <v>7237</v>
      </c>
    </row>
    <row r="346" spans="2:6" x14ac:dyDescent="0.25">
      <c r="B346" s="126"/>
      <c r="C346" s="126"/>
      <c r="D346" s="334" t="s">
        <v>1663</v>
      </c>
      <c r="E346" s="335" t="s">
        <v>1664</v>
      </c>
      <c r="F346" s="335" t="s">
        <v>1665</v>
      </c>
    </row>
    <row r="347" spans="2:6" x14ac:dyDescent="0.25">
      <c r="B347" s="126"/>
      <c r="C347" s="126"/>
      <c r="D347" s="334" t="s">
        <v>7238</v>
      </c>
      <c r="E347" s="335" t="s">
        <v>7239</v>
      </c>
      <c r="F347" s="335" t="s">
        <v>7240</v>
      </c>
    </row>
    <row r="348" spans="2:6" x14ac:dyDescent="0.25">
      <c r="B348" s="126"/>
      <c r="C348" s="126"/>
      <c r="D348" s="334" t="s">
        <v>7241</v>
      </c>
      <c r="E348" s="335" t="s">
        <v>7242</v>
      </c>
      <c r="F348" s="335" t="s">
        <v>7243</v>
      </c>
    </row>
    <row r="349" spans="2:6" x14ac:dyDescent="0.25">
      <c r="B349" s="126"/>
      <c r="C349" s="126"/>
      <c r="D349" s="334" t="s">
        <v>7244</v>
      </c>
      <c r="E349" s="335" t="s">
        <v>7245</v>
      </c>
      <c r="F349" s="335" t="s">
        <v>7246</v>
      </c>
    </row>
    <row r="350" spans="2:6" x14ac:dyDescent="0.25">
      <c r="B350" s="126"/>
      <c r="C350" s="126"/>
      <c r="D350" s="334" t="s">
        <v>7247</v>
      </c>
      <c r="E350" s="335" t="s">
        <v>7248</v>
      </c>
      <c r="F350" s="335" t="s">
        <v>7249</v>
      </c>
    </row>
    <row r="351" spans="2:6" x14ac:dyDescent="0.25">
      <c r="B351" s="126"/>
      <c r="C351" s="126"/>
      <c r="D351" s="334" t="s">
        <v>3979</v>
      </c>
      <c r="E351" s="335" t="s">
        <v>7250</v>
      </c>
      <c r="F351" s="335" t="s">
        <v>7251</v>
      </c>
    </row>
    <row r="352" spans="2:6" x14ac:dyDescent="0.25">
      <c r="B352" s="126"/>
      <c r="C352" s="126"/>
      <c r="D352" s="334" t="s">
        <v>7252</v>
      </c>
      <c r="E352" s="335" t="s">
        <v>1399</v>
      </c>
      <c r="F352" s="335" t="s">
        <v>1400</v>
      </c>
    </row>
    <row r="353" spans="2:6" x14ac:dyDescent="0.25">
      <c r="B353" s="126"/>
      <c r="C353" s="126"/>
      <c r="D353" s="334" t="s">
        <v>103</v>
      </c>
      <c r="E353" s="335" t="s">
        <v>104</v>
      </c>
      <c r="F353" s="335" t="s">
        <v>105</v>
      </c>
    </row>
    <row r="354" spans="2:6" x14ac:dyDescent="0.25">
      <c r="B354" s="126"/>
      <c r="C354" s="126"/>
      <c r="D354" s="334" t="s">
        <v>7253</v>
      </c>
      <c r="E354" s="335" t="s">
        <v>7254</v>
      </c>
      <c r="F354" s="335" t="s">
        <v>7255</v>
      </c>
    </row>
    <row r="355" spans="2:6" x14ac:dyDescent="0.25">
      <c r="B355" s="126"/>
      <c r="C355" s="126"/>
      <c r="D355" s="334" t="s">
        <v>7256</v>
      </c>
      <c r="E355" s="335" t="s">
        <v>7257</v>
      </c>
      <c r="F355" s="335" t="s">
        <v>7258</v>
      </c>
    </row>
    <row r="356" spans="2:6" x14ac:dyDescent="0.25">
      <c r="B356" s="126"/>
      <c r="C356" s="126"/>
      <c r="D356" s="334" t="s">
        <v>7259</v>
      </c>
      <c r="E356" s="335" t="s">
        <v>7260</v>
      </c>
      <c r="F356" s="335" t="s">
        <v>7261</v>
      </c>
    </row>
    <row r="357" spans="2:6" x14ac:dyDescent="0.25">
      <c r="B357" s="126"/>
      <c r="C357" s="126"/>
      <c r="D357" s="334" t="s">
        <v>7262</v>
      </c>
      <c r="E357" s="335" t="s">
        <v>7263</v>
      </c>
      <c r="F357" s="335" t="s">
        <v>7264</v>
      </c>
    </row>
    <row r="358" spans="2:6" x14ac:dyDescent="0.25">
      <c r="B358" s="126"/>
      <c r="C358" s="126"/>
      <c r="D358" s="334" t="s">
        <v>7265</v>
      </c>
      <c r="E358" s="335" t="s">
        <v>7266</v>
      </c>
      <c r="F358" s="335" t="s">
        <v>7267</v>
      </c>
    </row>
    <row r="359" spans="2:6" x14ac:dyDescent="0.25">
      <c r="B359" s="126"/>
      <c r="C359" s="126"/>
      <c r="D359" s="334" t="s">
        <v>1740</v>
      </c>
      <c r="E359" s="335" t="s">
        <v>70</v>
      </c>
      <c r="F359" s="335" t="s">
        <v>71</v>
      </c>
    </row>
    <row r="360" spans="2:6" x14ac:dyDescent="0.25">
      <c r="B360" s="126"/>
      <c r="C360" s="126"/>
      <c r="D360" s="334" t="s">
        <v>7268</v>
      </c>
      <c r="E360" s="335" t="s">
        <v>7269</v>
      </c>
      <c r="F360" s="335" t="s">
        <v>7270</v>
      </c>
    </row>
    <row r="361" spans="2:6" x14ac:dyDescent="0.25">
      <c r="B361" s="126"/>
      <c r="C361" s="126"/>
      <c r="D361" s="334" t="s">
        <v>7271</v>
      </c>
      <c r="E361" s="335" t="s">
        <v>7272</v>
      </c>
      <c r="F361" s="335" t="s">
        <v>7273</v>
      </c>
    </row>
    <row r="362" spans="2:6" x14ac:dyDescent="0.25">
      <c r="B362" s="126"/>
      <c r="C362" s="126"/>
      <c r="D362" s="334" t="s">
        <v>7274</v>
      </c>
      <c r="E362" s="335" t="s">
        <v>7275</v>
      </c>
      <c r="F362" s="335" t="s">
        <v>7276</v>
      </c>
    </row>
    <row r="363" spans="2:6" x14ac:dyDescent="0.25">
      <c r="B363" s="126"/>
      <c r="C363" s="126"/>
      <c r="D363" s="334" t="s">
        <v>7277</v>
      </c>
      <c r="E363" s="335" t="s">
        <v>7278</v>
      </c>
      <c r="F363" s="335" t="s">
        <v>7279</v>
      </c>
    </row>
    <row r="364" spans="2:6" x14ac:dyDescent="0.25">
      <c r="B364" s="126"/>
      <c r="C364" s="126"/>
      <c r="D364" s="334" t="s">
        <v>7280</v>
      </c>
      <c r="E364" s="335" t="s">
        <v>7281</v>
      </c>
      <c r="F364" s="335" t="s">
        <v>7282</v>
      </c>
    </row>
    <row r="365" spans="2:6" x14ac:dyDescent="0.25">
      <c r="B365" s="126"/>
      <c r="C365" s="126"/>
      <c r="D365" s="334" t="s">
        <v>7283</v>
      </c>
      <c r="E365" s="335" t="s">
        <v>7284</v>
      </c>
      <c r="F365" s="335" t="s">
        <v>7285</v>
      </c>
    </row>
    <row r="366" spans="2:6" x14ac:dyDescent="0.25">
      <c r="B366" s="126"/>
      <c r="C366" s="126"/>
      <c r="D366" s="334" t="s">
        <v>7286</v>
      </c>
      <c r="E366" s="335" t="s">
        <v>7287</v>
      </c>
      <c r="F366" s="335" t="s">
        <v>7288</v>
      </c>
    </row>
    <row r="367" spans="2:6" x14ac:dyDescent="0.25">
      <c r="B367" s="126"/>
      <c r="C367" s="126"/>
      <c r="D367" s="334" t="s">
        <v>7289</v>
      </c>
      <c r="E367" s="335" t="s">
        <v>7290</v>
      </c>
      <c r="F367" s="335" t="s">
        <v>7291</v>
      </c>
    </row>
    <row r="368" spans="2:6" x14ac:dyDescent="0.25">
      <c r="B368" s="126"/>
      <c r="C368" s="126"/>
      <c r="D368" s="334" t="s">
        <v>7292</v>
      </c>
      <c r="E368" s="335" t="s">
        <v>7293</v>
      </c>
      <c r="F368" s="335" t="s">
        <v>7294</v>
      </c>
    </row>
    <row r="369" spans="2:6" x14ac:dyDescent="0.25">
      <c r="B369" s="126"/>
      <c r="C369" s="126"/>
      <c r="D369" s="334" t="s">
        <v>2613</v>
      </c>
      <c r="E369" s="335" t="s">
        <v>2614</v>
      </c>
      <c r="F369" s="335" t="s">
        <v>2615</v>
      </c>
    </row>
    <row r="370" spans="2:6" x14ac:dyDescent="0.25">
      <c r="B370" s="126"/>
      <c r="C370" s="126"/>
      <c r="D370" s="334" t="s">
        <v>2678</v>
      </c>
      <c r="E370" s="335" t="s">
        <v>2679</v>
      </c>
      <c r="F370" s="335" t="s">
        <v>2680</v>
      </c>
    </row>
    <row r="371" spans="2:6" x14ac:dyDescent="0.25">
      <c r="B371" s="126"/>
      <c r="C371" s="126"/>
      <c r="D371" s="334" t="s">
        <v>7295</v>
      </c>
      <c r="E371" s="335" t="s">
        <v>7296</v>
      </c>
      <c r="F371" s="335" t="s">
        <v>7297</v>
      </c>
    </row>
    <row r="372" spans="2:6" x14ac:dyDescent="0.25">
      <c r="B372" s="126"/>
      <c r="C372" s="126"/>
      <c r="D372" s="334" t="s">
        <v>549</v>
      </c>
      <c r="E372" s="335" t="s">
        <v>550</v>
      </c>
      <c r="F372" s="335" t="s">
        <v>551</v>
      </c>
    </row>
    <row r="373" spans="2:6" x14ac:dyDescent="0.25">
      <c r="B373" s="126"/>
      <c r="C373" s="126"/>
      <c r="D373" s="334" t="s">
        <v>2606</v>
      </c>
      <c r="E373" s="335" t="s">
        <v>2607</v>
      </c>
      <c r="F373" s="335" t="s">
        <v>2608</v>
      </c>
    </row>
    <row r="374" spans="2:6" x14ac:dyDescent="0.25">
      <c r="B374" s="126"/>
      <c r="C374" s="126"/>
      <c r="D374" s="334" t="s">
        <v>7298</v>
      </c>
      <c r="E374" s="335" t="s">
        <v>7299</v>
      </c>
      <c r="F374" s="335" t="s">
        <v>7300</v>
      </c>
    </row>
    <row r="375" spans="2:6" x14ac:dyDescent="0.25">
      <c r="B375" s="126"/>
      <c r="C375" s="126"/>
      <c r="D375" s="334" t="s">
        <v>7301</v>
      </c>
      <c r="E375" s="335" t="s">
        <v>7302</v>
      </c>
      <c r="F375" s="335" t="s">
        <v>7303</v>
      </c>
    </row>
    <row r="376" spans="2:6" x14ac:dyDescent="0.25">
      <c r="B376" s="126"/>
      <c r="C376" s="126"/>
      <c r="D376" s="334" t="s">
        <v>7304</v>
      </c>
      <c r="E376" s="335" t="s">
        <v>7305</v>
      </c>
      <c r="F376" s="335" t="s">
        <v>7306</v>
      </c>
    </row>
    <row r="377" spans="2:6" x14ac:dyDescent="0.25">
      <c r="B377" s="126"/>
      <c r="C377" s="126"/>
      <c r="D377" s="334" t="s">
        <v>7307</v>
      </c>
      <c r="E377" s="335" t="s">
        <v>7308</v>
      </c>
      <c r="F377" s="335" t="s">
        <v>7309</v>
      </c>
    </row>
    <row r="378" spans="2:6" x14ac:dyDescent="0.25">
      <c r="B378" s="126"/>
      <c r="C378" s="126"/>
      <c r="D378" s="334" t="s">
        <v>7310</v>
      </c>
      <c r="E378" s="335" t="s">
        <v>7311</v>
      </c>
      <c r="F378" s="335" t="s">
        <v>7312</v>
      </c>
    </row>
    <row r="379" spans="2:6" x14ac:dyDescent="0.25">
      <c r="B379" s="126"/>
      <c r="C379" s="126"/>
      <c r="D379" s="334" t="s">
        <v>7313</v>
      </c>
      <c r="E379" s="335" t="s">
        <v>7314</v>
      </c>
      <c r="F379" s="335" t="s">
        <v>7315</v>
      </c>
    </row>
    <row r="380" spans="2:6" x14ac:dyDescent="0.25">
      <c r="B380" s="126"/>
      <c r="C380" s="126"/>
      <c r="D380" s="334" t="s">
        <v>7316</v>
      </c>
      <c r="E380" s="335" t="s">
        <v>7317</v>
      </c>
      <c r="F380" s="335" t="s">
        <v>7318</v>
      </c>
    </row>
    <row r="381" spans="2:6" x14ac:dyDescent="0.25">
      <c r="B381" s="126"/>
      <c r="C381" s="126"/>
      <c r="D381" s="334" t="s">
        <v>7319</v>
      </c>
      <c r="E381" s="335" t="s">
        <v>7320</v>
      </c>
      <c r="F381" s="335" t="s">
        <v>7321</v>
      </c>
    </row>
    <row r="382" spans="2:6" x14ac:dyDescent="0.25">
      <c r="B382" s="126"/>
      <c r="C382" s="126"/>
      <c r="D382" s="334" t="s">
        <v>7322</v>
      </c>
      <c r="E382" s="335" t="s">
        <v>7323</v>
      </c>
      <c r="F382" s="335" t="s">
        <v>7324</v>
      </c>
    </row>
    <row r="383" spans="2:6" x14ac:dyDescent="0.25">
      <c r="B383" s="126"/>
      <c r="C383" s="126"/>
      <c r="D383" s="334" t="s">
        <v>7325</v>
      </c>
      <c r="E383" s="335" t="s">
        <v>7326</v>
      </c>
      <c r="F383" s="335" t="s">
        <v>7327</v>
      </c>
    </row>
    <row r="384" spans="2:6" x14ac:dyDescent="0.25">
      <c r="B384" s="126"/>
      <c r="C384" s="126"/>
      <c r="D384" s="334" t="s">
        <v>7328</v>
      </c>
      <c r="E384" s="335" t="s">
        <v>7329</v>
      </c>
      <c r="F384" s="335" t="s">
        <v>7330</v>
      </c>
    </row>
    <row r="385" spans="2:6" x14ac:dyDescent="0.25">
      <c r="B385" s="126"/>
      <c r="C385" s="126"/>
      <c r="D385" s="334" t="s">
        <v>7331</v>
      </c>
      <c r="E385" s="335" t="s">
        <v>7332</v>
      </c>
      <c r="F385" s="335" t="s">
        <v>7333</v>
      </c>
    </row>
    <row r="386" spans="2:6" x14ac:dyDescent="0.25">
      <c r="B386" s="126"/>
      <c r="C386" s="126"/>
      <c r="D386" s="334" t="s">
        <v>2702</v>
      </c>
      <c r="E386" s="335" t="s">
        <v>2703</v>
      </c>
      <c r="F386" s="335" t="s">
        <v>2704</v>
      </c>
    </row>
    <row r="387" spans="2:6" x14ac:dyDescent="0.25">
      <c r="B387" s="126"/>
      <c r="C387" s="126"/>
      <c r="D387" s="334" t="s">
        <v>7334</v>
      </c>
      <c r="E387" s="335" t="s">
        <v>7335</v>
      </c>
      <c r="F387" s="335" t="s">
        <v>7336</v>
      </c>
    </row>
    <row r="388" spans="2:6" x14ac:dyDescent="0.25">
      <c r="B388" s="126"/>
      <c r="C388" s="126"/>
      <c r="D388" s="334" t="s">
        <v>7337</v>
      </c>
      <c r="E388" s="335" t="s">
        <v>7338</v>
      </c>
      <c r="F388" s="335" t="s">
        <v>7339</v>
      </c>
    </row>
    <row r="389" spans="2:6" x14ac:dyDescent="0.25">
      <c r="B389" s="126"/>
      <c r="C389" s="126"/>
      <c r="D389" s="334" t="s">
        <v>7340</v>
      </c>
      <c r="E389" s="335" t="s">
        <v>7341</v>
      </c>
      <c r="F389" s="335" t="s">
        <v>7342</v>
      </c>
    </row>
    <row r="390" spans="2:6" x14ac:dyDescent="0.25">
      <c r="B390" s="126"/>
      <c r="C390" s="126"/>
      <c r="D390" s="334" t="s">
        <v>7343</v>
      </c>
      <c r="E390" s="335" t="s">
        <v>7344</v>
      </c>
      <c r="F390" s="335" t="s">
        <v>7345</v>
      </c>
    </row>
    <row r="391" spans="2:6" x14ac:dyDescent="0.25">
      <c r="B391" s="126"/>
      <c r="C391" s="126"/>
      <c r="D391" s="334" t="s">
        <v>7346</v>
      </c>
      <c r="E391" s="335" t="s">
        <v>7347</v>
      </c>
      <c r="F391" s="335" t="s">
        <v>7348</v>
      </c>
    </row>
    <row r="392" spans="2:6" x14ac:dyDescent="0.25">
      <c r="B392" s="126"/>
      <c r="C392" s="126"/>
      <c r="D392" s="334" t="s">
        <v>2051</v>
      </c>
      <c r="E392" s="335" t="s">
        <v>2052</v>
      </c>
      <c r="F392" s="335" t="s">
        <v>2053</v>
      </c>
    </row>
    <row r="393" spans="2:6" x14ac:dyDescent="0.25">
      <c r="B393" s="126"/>
      <c r="C393" s="126"/>
      <c r="D393" s="334" t="s">
        <v>7349</v>
      </c>
      <c r="E393" s="335" t="s">
        <v>7350</v>
      </c>
      <c r="F393" s="335" t="s">
        <v>7351</v>
      </c>
    </row>
    <row r="394" spans="2:6" x14ac:dyDescent="0.25">
      <c r="B394" s="126"/>
      <c r="C394" s="126"/>
      <c r="D394" s="334" t="s">
        <v>512</v>
      </c>
      <c r="E394" s="335" t="s">
        <v>513</v>
      </c>
      <c r="F394" s="335" t="s">
        <v>514</v>
      </c>
    </row>
    <row r="395" spans="2:6" x14ac:dyDescent="0.25">
      <c r="B395" s="126"/>
      <c r="C395" s="126"/>
      <c r="D395" s="334" t="s">
        <v>7352</v>
      </c>
      <c r="E395" s="335" t="s">
        <v>7353</v>
      </c>
      <c r="F395" s="335" t="s">
        <v>7354</v>
      </c>
    </row>
    <row r="396" spans="2:6" x14ac:dyDescent="0.25">
      <c r="B396" s="126"/>
      <c r="C396" s="126"/>
      <c r="D396" s="334" t="s">
        <v>7355</v>
      </c>
      <c r="E396" s="335" t="s">
        <v>7356</v>
      </c>
      <c r="F396" s="335" t="s">
        <v>7357</v>
      </c>
    </row>
    <row r="397" spans="2:6" x14ac:dyDescent="0.25">
      <c r="B397" s="126"/>
      <c r="C397" s="126"/>
      <c r="D397" s="334" t="s">
        <v>7358</v>
      </c>
      <c r="E397" s="335" t="s">
        <v>7359</v>
      </c>
      <c r="F397" s="335" t="s">
        <v>7360</v>
      </c>
    </row>
    <row r="398" spans="2:6" x14ac:dyDescent="0.25">
      <c r="B398" s="126"/>
      <c r="C398" s="126"/>
      <c r="D398" s="334" t="s">
        <v>7361</v>
      </c>
      <c r="E398" s="335" t="s">
        <v>7362</v>
      </c>
      <c r="F398" s="335" t="s">
        <v>7363</v>
      </c>
    </row>
    <row r="399" spans="2:6" x14ac:dyDescent="0.25">
      <c r="B399" s="126"/>
      <c r="C399" s="126"/>
      <c r="D399" s="334" t="s">
        <v>7364</v>
      </c>
      <c r="E399" s="335" t="s">
        <v>7365</v>
      </c>
      <c r="F399" s="335" t="s">
        <v>7366</v>
      </c>
    </row>
    <row r="400" spans="2:6" x14ac:dyDescent="0.25">
      <c r="B400" s="126"/>
      <c r="C400" s="126"/>
      <c r="D400" s="334" t="s">
        <v>7367</v>
      </c>
      <c r="E400" s="335" t="s">
        <v>7368</v>
      </c>
      <c r="F400" s="335" t="s">
        <v>7369</v>
      </c>
    </row>
    <row r="401" spans="2:6" x14ac:dyDescent="0.25">
      <c r="B401" s="126"/>
      <c r="C401" s="126"/>
      <c r="D401" s="334" t="s">
        <v>7370</v>
      </c>
      <c r="E401" s="335" t="s">
        <v>7371</v>
      </c>
      <c r="F401" s="335" t="s">
        <v>7372</v>
      </c>
    </row>
    <row r="402" spans="2:6" x14ac:dyDescent="0.25">
      <c r="B402" s="126"/>
      <c r="C402" s="126"/>
      <c r="D402" s="334" t="s">
        <v>7373</v>
      </c>
      <c r="E402" s="335" t="s">
        <v>7374</v>
      </c>
      <c r="F402" s="335" t="s">
        <v>7375</v>
      </c>
    </row>
    <row r="403" spans="2:6" x14ac:dyDescent="0.25">
      <c r="B403" s="126"/>
      <c r="C403" s="126"/>
      <c r="D403" s="334" t="s">
        <v>7376</v>
      </c>
      <c r="E403" s="335" t="s">
        <v>7377</v>
      </c>
      <c r="F403" s="335" t="s">
        <v>7378</v>
      </c>
    </row>
    <row r="404" spans="2:6" x14ac:dyDescent="0.25">
      <c r="B404" s="126"/>
      <c r="C404" s="126"/>
      <c r="D404" s="334" t="s">
        <v>7379</v>
      </c>
      <c r="E404" s="335" t="s">
        <v>7380</v>
      </c>
      <c r="F404" s="335" t="s">
        <v>7381</v>
      </c>
    </row>
    <row r="405" spans="2:6" x14ac:dyDescent="0.25">
      <c r="B405" s="126"/>
      <c r="C405" s="126"/>
      <c r="D405" s="334" t="s">
        <v>7382</v>
      </c>
      <c r="E405" s="335" t="s">
        <v>7383</v>
      </c>
      <c r="F405" s="335" t="s">
        <v>7384</v>
      </c>
    </row>
    <row r="406" spans="2:6" x14ac:dyDescent="0.25">
      <c r="B406" s="126"/>
      <c r="C406" s="126"/>
      <c r="D406" s="334" t="s">
        <v>7385</v>
      </c>
      <c r="E406" s="335" t="s">
        <v>7386</v>
      </c>
      <c r="F406" s="335" t="s">
        <v>7387</v>
      </c>
    </row>
    <row r="407" spans="2:6" x14ac:dyDescent="0.25">
      <c r="B407" s="126"/>
      <c r="C407" s="126"/>
      <c r="D407" s="334" t="s">
        <v>7388</v>
      </c>
      <c r="E407" s="335" t="s">
        <v>7389</v>
      </c>
      <c r="F407" s="335" t="s">
        <v>7390</v>
      </c>
    </row>
    <row r="408" spans="2:6" x14ac:dyDescent="0.25">
      <c r="B408" s="126"/>
      <c r="C408" s="126"/>
      <c r="D408" s="334" t="s">
        <v>4127</v>
      </c>
      <c r="E408" s="335" t="s">
        <v>7391</v>
      </c>
      <c r="F408" s="335" t="s">
        <v>7392</v>
      </c>
    </row>
    <row r="409" spans="2:6" x14ac:dyDescent="0.25">
      <c r="B409" s="126"/>
      <c r="C409" s="126"/>
      <c r="D409" s="334" t="s">
        <v>7393</v>
      </c>
      <c r="E409" s="335" t="s">
        <v>7394</v>
      </c>
      <c r="F409" s="335" t="s">
        <v>7395</v>
      </c>
    </row>
    <row r="410" spans="2:6" x14ac:dyDescent="0.25">
      <c r="B410" s="126"/>
      <c r="C410" s="126"/>
      <c r="D410" s="334" t="s">
        <v>7396</v>
      </c>
      <c r="E410" s="335" t="s">
        <v>7397</v>
      </c>
      <c r="F410" s="335" t="s">
        <v>7398</v>
      </c>
    </row>
    <row r="411" spans="2:6" x14ac:dyDescent="0.25">
      <c r="B411" s="126"/>
      <c r="C411" s="126"/>
      <c r="D411" s="334" t="s">
        <v>108</v>
      </c>
      <c r="E411" s="335" t="s">
        <v>109</v>
      </c>
      <c r="F411" s="335" t="s">
        <v>110</v>
      </c>
    </row>
    <row r="412" spans="2:6" x14ac:dyDescent="0.25">
      <c r="B412" s="126"/>
      <c r="C412" s="126"/>
      <c r="D412" s="334" t="s">
        <v>2429</v>
      </c>
      <c r="E412" s="335" t="s">
        <v>2430</v>
      </c>
      <c r="F412" s="335" t="s">
        <v>2431</v>
      </c>
    </row>
    <row r="413" spans="2:6" x14ac:dyDescent="0.25">
      <c r="B413" s="126"/>
      <c r="C413" s="126"/>
      <c r="D413" s="334" t="s">
        <v>7399</v>
      </c>
      <c r="E413" s="335" t="s">
        <v>7400</v>
      </c>
      <c r="F413" s="335" t="s">
        <v>7401</v>
      </c>
    </row>
    <row r="414" spans="2:6" x14ac:dyDescent="0.25">
      <c r="B414" s="126"/>
      <c r="C414" s="126"/>
      <c r="D414" s="334" t="s">
        <v>7402</v>
      </c>
      <c r="E414" s="335" t="s">
        <v>7403</v>
      </c>
      <c r="F414" s="335" t="s">
        <v>7404</v>
      </c>
    </row>
    <row r="415" spans="2:6" x14ac:dyDescent="0.25">
      <c r="B415" s="126"/>
      <c r="C415" s="126"/>
      <c r="D415" s="334" t="s">
        <v>3086</v>
      </c>
      <c r="E415" s="335" t="s">
        <v>7405</v>
      </c>
      <c r="F415" s="335" t="s">
        <v>3087</v>
      </c>
    </row>
    <row r="416" spans="2:6" x14ac:dyDescent="0.25">
      <c r="B416" s="126"/>
      <c r="C416" s="126"/>
      <c r="D416" s="334" t="s">
        <v>7406</v>
      </c>
      <c r="E416" s="335" t="s">
        <v>7407</v>
      </c>
      <c r="F416" s="335" t="s">
        <v>7408</v>
      </c>
    </row>
    <row r="417" spans="2:6" x14ac:dyDescent="0.25">
      <c r="B417" s="126"/>
      <c r="C417" s="126"/>
      <c r="D417" s="334" t="s">
        <v>7409</v>
      </c>
      <c r="E417" s="335" t="s">
        <v>7410</v>
      </c>
      <c r="F417" s="335" t="s">
        <v>7411</v>
      </c>
    </row>
    <row r="418" spans="2:6" x14ac:dyDescent="0.25">
      <c r="B418" s="126"/>
      <c r="C418" s="126"/>
      <c r="D418" s="334" t="s">
        <v>7412</v>
      </c>
      <c r="E418" s="335" t="s">
        <v>7413</v>
      </c>
      <c r="F418" s="335" t="s">
        <v>7414</v>
      </c>
    </row>
    <row r="419" spans="2:6" x14ac:dyDescent="0.25">
      <c r="B419" s="126"/>
      <c r="C419" s="126"/>
      <c r="D419" s="334" t="s">
        <v>3443</v>
      </c>
      <c r="E419" s="335" t="s">
        <v>3316</v>
      </c>
      <c r="F419" s="335" t="s">
        <v>3317</v>
      </c>
    </row>
    <row r="420" spans="2:6" x14ac:dyDescent="0.25">
      <c r="B420" s="126"/>
      <c r="C420" s="126"/>
      <c r="D420" s="334" t="s">
        <v>7415</v>
      </c>
      <c r="E420" s="335" t="s">
        <v>7416</v>
      </c>
      <c r="F420" s="335" t="s">
        <v>7417</v>
      </c>
    </row>
    <row r="421" spans="2:6" x14ac:dyDescent="0.25">
      <c r="B421" s="126"/>
      <c r="C421" s="126"/>
      <c r="D421" s="334" t="s">
        <v>7418</v>
      </c>
      <c r="E421" s="335" t="s">
        <v>7419</v>
      </c>
      <c r="F421" s="335" t="s">
        <v>7420</v>
      </c>
    </row>
    <row r="422" spans="2:6" x14ac:dyDescent="0.25">
      <c r="B422" s="126"/>
      <c r="C422" s="126"/>
      <c r="D422" s="334" t="s">
        <v>7421</v>
      </c>
      <c r="E422" s="335" t="s">
        <v>7422</v>
      </c>
      <c r="F422" s="335" t="s">
        <v>7423</v>
      </c>
    </row>
    <row r="423" spans="2:6" x14ac:dyDescent="0.25">
      <c r="B423" s="126"/>
      <c r="C423" s="126"/>
      <c r="D423" s="334" t="s">
        <v>7424</v>
      </c>
      <c r="E423" s="335" t="s">
        <v>7425</v>
      </c>
      <c r="F423" s="335" t="s">
        <v>7426</v>
      </c>
    </row>
    <row r="424" spans="2:6" x14ac:dyDescent="0.25">
      <c r="B424" s="126"/>
      <c r="C424" s="126"/>
      <c r="D424" s="334" t="s">
        <v>3444</v>
      </c>
      <c r="E424" s="335" t="s">
        <v>3298</v>
      </c>
      <c r="F424" s="335" t="s">
        <v>3304</v>
      </c>
    </row>
    <row r="425" spans="2:6" x14ac:dyDescent="0.25">
      <c r="B425" s="126"/>
      <c r="C425" s="126"/>
      <c r="D425" s="334" t="s">
        <v>7427</v>
      </c>
      <c r="E425" s="335" t="s">
        <v>7428</v>
      </c>
      <c r="F425" s="335" t="s">
        <v>7429</v>
      </c>
    </row>
    <row r="426" spans="2:6" x14ac:dyDescent="0.25">
      <c r="B426" s="126"/>
      <c r="C426" s="126"/>
      <c r="D426" s="334" t="s">
        <v>7430</v>
      </c>
      <c r="E426" s="335" t="s">
        <v>7431</v>
      </c>
      <c r="F426" s="335" t="s">
        <v>7432</v>
      </c>
    </row>
    <row r="427" spans="2:6" x14ac:dyDescent="0.25">
      <c r="B427" s="126"/>
      <c r="C427" s="126"/>
      <c r="D427" s="334" t="s">
        <v>7433</v>
      </c>
      <c r="E427" s="335" t="s">
        <v>7434</v>
      </c>
      <c r="F427" s="335" t="s">
        <v>7435</v>
      </c>
    </row>
    <row r="428" spans="2:6" x14ac:dyDescent="0.25">
      <c r="B428" s="126"/>
      <c r="C428" s="126"/>
      <c r="D428" s="334" t="s">
        <v>7436</v>
      </c>
      <c r="E428" s="335" t="s">
        <v>7437</v>
      </c>
      <c r="F428" s="335" t="s">
        <v>7438</v>
      </c>
    </row>
    <row r="429" spans="2:6" x14ac:dyDescent="0.25">
      <c r="B429" s="126"/>
      <c r="C429" s="126"/>
      <c r="D429" s="334" t="s">
        <v>7439</v>
      </c>
      <c r="E429" s="335" t="s">
        <v>7440</v>
      </c>
      <c r="F429" s="335" t="s">
        <v>7441</v>
      </c>
    </row>
    <row r="430" spans="2:6" x14ac:dyDescent="0.25">
      <c r="B430" s="126"/>
      <c r="C430" s="126"/>
      <c r="D430" s="334" t="s">
        <v>7442</v>
      </c>
      <c r="E430" s="335" t="s">
        <v>7443</v>
      </c>
      <c r="F430" s="335" t="s">
        <v>7444</v>
      </c>
    </row>
    <row r="431" spans="2:6" x14ac:dyDescent="0.25">
      <c r="B431" s="126"/>
      <c r="C431" s="126"/>
      <c r="D431" s="334" t="s">
        <v>7445</v>
      </c>
      <c r="E431" s="335" t="s">
        <v>7446</v>
      </c>
      <c r="F431" s="335" t="s">
        <v>7447</v>
      </c>
    </row>
    <row r="432" spans="2:6" x14ac:dyDescent="0.25">
      <c r="B432" s="126"/>
      <c r="C432" s="126"/>
      <c r="D432" s="334" t="s">
        <v>7448</v>
      </c>
      <c r="E432" s="335" t="s">
        <v>7449</v>
      </c>
      <c r="F432" s="335" t="s">
        <v>7450</v>
      </c>
    </row>
    <row r="433" spans="2:6" x14ac:dyDescent="0.25">
      <c r="B433" s="126"/>
      <c r="C433" s="126"/>
      <c r="D433" s="334" t="s">
        <v>7451</v>
      </c>
      <c r="E433" s="335" t="s">
        <v>7452</v>
      </c>
      <c r="F433" s="335" t="s">
        <v>7453</v>
      </c>
    </row>
    <row r="434" spans="2:6" x14ac:dyDescent="0.25">
      <c r="B434" s="126"/>
      <c r="C434" s="126"/>
      <c r="D434" s="334" t="s">
        <v>7454</v>
      </c>
      <c r="E434" s="335" t="s">
        <v>7455</v>
      </c>
      <c r="F434" s="335" t="s">
        <v>7456</v>
      </c>
    </row>
    <row r="435" spans="2:6" x14ac:dyDescent="0.25">
      <c r="B435" s="126"/>
      <c r="C435" s="126"/>
      <c r="D435" s="334" t="s">
        <v>4956</v>
      </c>
      <c r="E435" s="335" t="s">
        <v>5942</v>
      </c>
      <c r="F435" s="335" t="s">
        <v>4957</v>
      </c>
    </row>
    <row r="436" spans="2:6" x14ac:dyDescent="0.25">
      <c r="B436" s="126"/>
      <c r="C436" s="126"/>
      <c r="D436" s="334" t="s">
        <v>7457</v>
      </c>
      <c r="E436" s="335" t="s">
        <v>7458</v>
      </c>
      <c r="F436" s="335" t="s">
        <v>7459</v>
      </c>
    </row>
    <row r="437" spans="2:6" x14ac:dyDescent="0.25">
      <c r="B437" s="126"/>
      <c r="C437" s="126"/>
      <c r="D437" s="334" t="s">
        <v>7460</v>
      </c>
      <c r="E437" s="335" t="s">
        <v>7461</v>
      </c>
      <c r="F437" s="335" t="s">
        <v>7462</v>
      </c>
    </row>
    <row r="438" spans="2:6" x14ac:dyDescent="0.25">
      <c r="B438" s="126"/>
      <c r="C438" s="126"/>
      <c r="D438" s="334" t="s">
        <v>7463</v>
      </c>
      <c r="E438" s="335" t="s">
        <v>7464</v>
      </c>
      <c r="F438" s="335" t="s">
        <v>7465</v>
      </c>
    </row>
    <row r="439" spans="2:6" x14ac:dyDescent="0.25">
      <c r="B439" s="126"/>
      <c r="C439" s="126"/>
      <c r="D439" s="334" t="s">
        <v>7466</v>
      </c>
      <c r="E439" s="335" t="s">
        <v>7467</v>
      </c>
      <c r="F439" s="335" t="s">
        <v>7468</v>
      </c>
    </row>
    <row r="440" spans="2:6" x14ac:dyDescent="0.25">
      <c r="B440" s="126"/>
      <c r="C440" s="126"/>
      <c r="D440" s="334" t="s">
        <v>2510</v>
      </c>
      <c r="E440" s="335" t="s">
        <v>2511</v>
      </c>
      <c r="F440" s="335" t="s">
        <v>2512</v>
      </c>
    </row>
    <row r="441" spans="2:6" x14ac:dyDescent="0.25">
      <c r="B441" s="126"/>
      <c r="C441" s="126"/>
      <c r="D441" s="334" t="s">
        <v>7469</v>
      </c>
      <c r="E441" s="335" t="s">
        <v>7470</v>
      </c>
      <c r="F441" s="335" t="s">
        <v>7471</v>
      </c>
    </row>
    <row r="442" spans="2:6" x14ac:dyDescent="0.25">
      <c r="B442" s="126"/>
      <c r="C442" s="126"/>
      <c r="D442" s="334" t="s">
        <v>7472</v>
      </c>
      <c r="E442" s="335" t="s">
        <v>7473</v>
      </c>
      <c r="F442" s="335" t="s">
        <v>7474</v>
      </c>
    </row>
    <row r="443" spans="2:6" x14ac:dyDescent="0.25">
      <c r="B443" s="126"/>
      <c r="C443" s="126"/>
      <c r="D443" s="334" t="s">
        <v>7475</v>
      </c>
      <c r="E443" s="335" t="s">
        <v>7476</v>
      </c>
      <c r="F443" s="335" t="s">
        <v>7477</v>
      </c>
    </row>
    <row r="444" spans="2:6" x14ac:dyDescent="0.25">
      <c r="B444" s="126"/>
      <c r="C444" s="126"/>
      <c r="D444" s="334" t="s">
        <v>7478</v>
      </c>
      <c r="E444" s="335" t="s">
        <v>7479</v>
      </c>
      <c r="F444" s="335" t="s">
        <v>7480</v>
      </c>
    </row>
    <row r="445" spans="2:6" x14ac:dyDescent="0.25">
      <c r="B445" s="126"/>
      <c r="C445" s="126"/>
      <c r="D445" s="334" t="s">
        <v>7481</v>
      </c>
      <c r="E445" s="335" t="s">
        <v>7482</v>
      </c>
      <c r="F445" s="335" t="s">
        <v>7483</v>
      </c>
    </row>
    <row r="446" spans="2:6" x14ac:dyDescent="0.25">
      <c r="B446" s="126"/>
      <c r="C446" s="126"/>
      <c r="D446" s="334" t="s">
        <v>7484</v>
      </c>
      <c r="E446" s="335" t="s">
        <v>7485</v>
      </c>
      <c r="F446" s="335" t="s">
        <v>7486</v>
      </c>
    </row>
    <row r="447" spans="2:6" x14ac:dyDescent="0.25">
      <c r="B447" s="126"/>
      <c r="C447" s="126"/>
      <c r="D447" s="334" t="s">
        <v>7487</v>
      </c>
      <c r="E447" s="335" t="s">
        <v>7488</v>
      </c>
      <c r="F447" s="335" t="s">
        <v>7489</v>
      </c>
    </row>
    <row r="448" spans="2:6" x14ac:dyDescent="0.25">
      <c r="B448" s="126"/>
      <c r="C448" s="126"/>
      <c r="D448" s="334" t="s">
        <v>7490</v>
      </c>
      <c r="E448" s="335" t="s">
        <v>7491</v>
      </c>
      <c r="F448" s="335" t="s">
        <v>7492</v>
      </c>
    </row>
    <row r="449" spans="2:6" x14ac:dyDescent="0.25">
      <c r="B449" s="126"/>
      <c r="C449" s="126"/>
      <c r="D449" s="334" t="s">
        <v>7493</v>
      </c>
      <c r="E449" s="335" t="s">
        <v>7494</v>
      </c>
      <c r="F449" s="335" t="s">
        <v>7495</v>
      </c>
    </row>
    <row r="450" spans="2:6" x14ac:dyDescent="0.25">
      <c r="B450" s="126"/>
      <c r="C450" s="126"/>
      <c r="D450" s="334" t="s">
        <v>7496</v>
      </c>
      <c r="E450" s="335" t="s">
        <v>7497</v>
      </c>
      <c r="F450" s="335" t="s">
        <v>7498</v>
      </c>
    </row>
    <row r="451" spans="2:6" x14ac:dyDescent="0.25">
      <c r="B451" s="126"/>
      <c r="C451" s="126"/>
      <c r="D451" s="334" t="s">
        <v>4741</v>
      </c>
      <c r="E451" s="335" t="s">
        <v>4742</v>
      </c>
      <c r="F451" s="335" t="s">
        <v>4743</v>
      </c>
    </row>
    <row r="452" spans="2:6" x14ac:dyDescent="0.25">
      <c r="B452" s="126"/>
      <c r="C452" s="126"/>
      <c r="D452" s="334" t="s">
        <v>7499</v>
      </c>
      <c r="E452" s="335" t="s">
        <v>7500</v>
      </c>
      <c r="F452" s="335" t="s">
        <v>7501</v>
      </c>
    </row>
    <row r="453" spans="2:6" x14ac:dyDescent="0.25">
      <c r="B453" s="126"/>
      <c r="C453" s="126"/>
      <c r="D453" s="334" t="s">
        <v>113</v>
      </c>
      <c r="E453" s="335" t="s">
        <v>1487</v>
      </c>
      <c r="F453" s="335" t="s">
        <v>333</v>
      </c>
    </row>
    <row r="454" spans="2:6" x14ac:dyDescent="0.25">
      <c r="B454" s="126"/>
      <c r="C454" s="126"/>
      <c r="D454" s="334" t="s">
        <v>2932</v>
      </c>
      <c r="E454" s="335" t="s">
        <v>2934</v>
      </c>
      <c r="F454" s="335" t="s">
        <v>2947</v>
      </c>
    </row>
    <row r="455" spans="2:6" x14ac:dyDescent="0.25">
      <c r="B455" s="126"/>
      <c r="C455" s="126"/>
      <c r="D455" s="334" t="s">
        <v>7502</v>
      </c>
      <c r="E455" s="335" t="s">
        <v>7503</v>
      </c>
      <c r="F455" s="335" t="s">
        <v>7504</v>
      </c>
    </row>
    <row r="456" spans="2:6" x14ac:dyDescent="0.25">
      <c r="B456" s="126"/>
      <c r="C456" s="126"/>
      <c r="D456" s="334" t="s">
        <v>7505</v>
      </c>
      <c r="E456" s="335" t="s">
        <v>7506</v>
      </c>
      <c r="F456" s="335" t="s">
        <v>7507</v>
      </c>
    </row>
    <row r="457" spans="2:6" x14ac:dyDescent="0.25">
      <c r="B457" s="126"/>
      <c r="C457" s="126"/>
      <c r="D457" s="334" t="s">
        <v>7508</v>
      </c>
      <c r="E457" s="335" t="s">
        <v>7509</v>
      </c>
      <c r="F457" s="335" t="s">
        <v>7510</v>
      </c>
    </row>
    <row r="458" spans="2:6" x14ac:dyDescent="0.25">
      <c r="B458" s="126"/>
      <c r="C458" s="126"/>
      <c r="D458" s="334" t="s">
        <v>7511</v>
      </c>
      <c r="E458" s="335" t="s">
        <v>7512</v>
      </c>
      <c r="F458" s="335" t="s">
        <v>7513</v>
      </c>
    </row>
    <row r="459" spans="2:6" x14ac:dyDescent="0.25">
      <c r="B459" s="126"/>
      <c r="C459" s="126"/>
      <c r="D459" s="334" t="s">
        <v>7514</v>
      </c>
      <c r="E459" s="335" t="s">
        <v>7515</v>
      </c>
      <c r="F459" s="335" t="s">
        <v>7516</v>
      </c>
    </row>
    <row r="460" spans="2:6" x14ac:dyDescent="0.25">
      <c r="B460" s="126"/>
      <c r="C460" s="126"/>
      <c r="D460" s="334" t="s">
        <v>7517</v>
      </c>
      <c r="E460" s="335" t="s">
        <v>7518</v>
      </c>
      <c r="F460" s="335" t="s">
        <v>7519</v>
      </c>
    </row>
    <row r="461" spans="2:6" x14ac:dyDescent="0.25">
      <c r="B461" s="126"/>
      <c r="C461" s="126"/>
      <c r="D461" s="334" t="s">
        <v>7520</v>
      </c>
      <c r="E461" s="335" t="s">
        <v>7521</v>
      </c>
      <c r="F461" s="335" t="s">
        <v>7522</v>
      </c>
    </row>
    <row r="462" spans="2:6" x14ac:dyDescent="0.25">
      <c r="B462" s="126"/>
      <c r="C462" s="126"/>
      <c r="D462" s="334" t="s">
        <v>7523</v>
      </c>
      <c r="E462" s="335" t="s">
        <v>7524</v>
      </c>
      <c r="F462" s="335" t="s">
        <v>7525</v>
      </c>
    </row>
    <row r="463" spans="2:6" x14ac:dyDescent="0.25">
      <c r="B463" s="126"/>
      <c r="C463" s="126"/>
      <c r="D463" s="334" t="s">
        <v>7526</v>
      </c>
      <c r="E463" s="335" t="s">
        <v>7527</v>
      </c>
      <c r="F463" s="335" t="s">
        <v>7528</v>
      </c>
    </row>
    <row r="464" spans="2:6" x14ac:dyDescent="0.25">
      <c r="B464" s="126"/>
      <c r="C464" s="126"/>
      <c r="D464" s="334" t="s">
        <v>4442</v>
      </c>
      <c r="E464" s="335" t="s">
        <v>7529</v>
      </c>
      <c r="F464" s="335" t="s">
        <v>5930</v>
      </c>
    </row>
    <row r="465" spans="2:6" x14ac:dyDescent="0.25">
      <c r="B465" s="126"/>
      <c r="C465" s="126"/>
      <c r="D465" s="334" t="s">
        <v>7530</v>
      </c>
      <c r="E465" s="335" t="s">
        <v>7531</v>
      </c>
      <c r="F465" s="335" t="s">
        <v>7532</v>
      </c>
    </row>
    <row r="466" spans="2:6" x14ac:dyDescent="0.25">
      <c r="B466" s="126"/>
      <c r="C466" s="126"/>
      <c r="D466" s="334" t="s">
        <v>7533</v>
      </c>
      <c r="E466" s="335" t="s">
        <v>7534</v>
      </c>
      <c r="F466" s="335" t="s">
        <v>7535</v>
      </c>
    </row>
    <row r="467" spans="2:6" x14ac:dyDescent="0.25">
      <c r="B467" s="126"/>
      <c r="C467" s="126"/>
      <c r="D467" s="334" t="s">
        <v>7536</v>
      </c>
      <c r="E467" s="335" t="s">
        <v>3030</v>
      </c>
      <c r="F467" s="335" t="s">
        <v>3031</v>
      </c>
    </row>
    <row r="468" spans="2:6" x14ac:dyDescent="0.25">
      <c r="B468" s="126"/>
      <c r="C468" s="126"/>
      <c r="D468" s="334" t="s">
        <v>7537</v>
      </c>
      <c r="E468" s="335" t="s">
        <v>7538</v>
      </c>
      <c r="F468" s="335" t="s">
        <v>7539</v>
      </c>
    </row>
    <row r="469" spans="2:6" x14ac:dyDescent="0.25">
      <c r="B469" s="126"/>
      <c r="C469" s="126"/>
      <c r="D469" s="334" t="s">
        <v>7540</v>
      </c>
      <c r="E469" s="335" t="s">
        <v>7541</v>
      </c>
      <c r="F469" s="335" t="s">
        <v>7542</v>
      </c>
    </row>
    <row r="470" spans="2:6" x14ac:dyDescent="0.25">
      <c r="B470" s="126"/>
      <c r="C470" s="126"/>
      <c r="D470" s="334" t="s">
        <v>7543</v>
      </c>
      <c r="E470" s="335" t="s">
        <v>7544</v>
      </c>
      <c r="F470" s="335" t="s">
        <v>7545</v>
      </c>
    </row>
    <row r="471" spans="2:6" x14ac:dyDescent="0.25">
      <c r="B471" s="126"/>
      <c r="C471" s="126"/>
      <c r="D471" s="334" t="s">
        <v>7546</v>
      </c>
      <c r="E471" s="335" t="s">
        <v>7547</v>
      </c>
      <c r="F471" s="335" t="s">
        <v>7548</v>
      </c>
    </row>
    <row r="472" spans="2:6" x14ac:dyDescent="0.25">
      <c r="B472" s="126"/>
      <c r="C472" s="126"/>
      <c r="D472" s="334" t="s">
        <v>7549</v>
      </c>
      <c r="E472" s="335" t="s">
        <v>7550</v>
      </c>
      <c r="F472" s="335" t="s">
        <v>7551</v>
      </c>
    </row>
    <row r="473" spans="2:6" x14ac:dyDescent="0.25">
      <c r="B473" s="126"/>
      <c r="C473" s="126"/>
      <c r="D473" s="334" t="s">
        <v>7552</v>
      </c>
      <c r="E473" s="335" t="s">
        <v>7553</v>
      </c>
      <c r="F473" s="335" t="s">
        <v>7554</v>
      </c>
    </row>
    <row r="474" spans="2:6" x14ac:dyDescent="0.25">
      <c r="B474" s="126"/>
      <c r="C474" s="126"/>
      <c r="D474" s="334" t="s">
        <v>2361</v>
      </c>
      <c r="E474" s="335" t="s">
        <v>7555</v>
      </c>
      <c r="F474" s="335" t="s">
        <v>2363</v>
      </c>
    </row>
    <row r="475" spans="2:6" x14ac:dyDescent="0.25">
      <c r="B475" s="126"/>
      <c r="C475" s="126"/>
      <c r="D475" s="334" t="s">
        <v>116</v>
      </c>
      <c r="E475" s="335" t="s">
        <v>117</v>
      </c>
      <c r="F475" s="335" t="s">
        <v>118</v>
      </c>
    </row>
    <row r="476" spans="2:6" x14ac:dyDescent="0.25">
      <c r="B476" s="126"/>
      <c r="C476" s="126"/>
      <c r="D476" s="334" t="s">
        <v>7556</v>
      </c>
      <c r="E476" s="335" t="s">
        <v>7557</v>
      </c>
      <c r="F476" s="335" t="s">
        <v>7558</v>
      </c>
    </row>
    <row r="477" spans="2:6" x14ac:dyDescent="0.25">
      <c r="B477" s="126"/>
      <c r="C477" s="126"/>
      <c r="D477" s="334" t="s">
        <v>7559</v>
      </c>
      <c r="E477" s="335" t="s">
        <v>7560</v>
      </c>
      <c r="F477" s="335" t="s">
        <v>7561</v>
      </c>
    </row>
    <row r="478" spans="2:6" x14ac:dyDescent="0.25">
      <c r="B478" s="126"/>
      <c r="C478" s="126"/>
      <c r="D478" s="334" t="s">
        <v>7562</v>
      </c>
      <c r="E478" s="335" t="s">
        <v>7563</v>
      </c>
      <c r="F478" s="335" t="s">
        <v>7564</v>
      </c>
    </row>
    <row r="479" spans="2:6" x14ac:dyDescent="0.25">
      <c r="B479" s="126"/>
      <c r="C479" s="126"/>
      <c r="D479" s="334" t="s">
        <v>4085</v>
      </c>
      <c r="E479" s="335" t="s">
        <v>7565</v>
      </c>
      <c r="F479" s="335" t="s">
        <v>7566</v>
      </c>
    </row>
    <row r="480" spans="2:6" x14ac:dyDescent="0.25">
      <c r="B480" s="126"/>
      <c r="C480" s="126"/>
      <c r="D480" s="334" t="s">
        <v>3078</v>
      </c>
      <c r="E480" s="335" t="s">
        <v>3079</v>
      </c>
      <c r="F480" s="335" t="s">
        <v>3080</v>
      </c>
    </row>
    <row r="481" spans="2:6" x14ac:dyDescent="0.25">
      <c r="B481" s="126"/>
      <c r="C481" s="126"/>
      <c r="D481" s="334" t="s">
        <v>7567</v>
      </c>
      <c r="E481" s="335" t="s">
        <v>7568</v>
      </c>
      <c r="F481" s="335" t="s">
        <v>7569</v>
      </c>
    </row>
    <row r="482" spans="2:6" x14ac:dyDescent="0.25">
      <c r="B482" s="126"/>
      <c r="C482" s="126"/>
      <c r="D482" s="334" t="s">
        <v>7570</v>
      </c>
      <c r="E482" s="335" t="s">
        <v>7571</v>
      </c>
      <c r="F482" s="335" t="s">
        <v>7572</v>
      </c>
    </row>
    <row r="483" spans="2:6" x14ac:dyDescent="0.25">
      <c r="B483" s="126"/>
      <c r="C483" s="126"/>
      <c r="D483" s="334" t="s">
        <v>7573</v>
      </c>
      <c r="E483" s="335" t="s">
        <v>7574</v>
      </c>
      <c r="F483" s="335" t="s">
        <v>7575</v>
      </c>
    </row>
    <row r="484" spans="2:6" x14ac:dyDescent="0.25">
      <c r="B484" s="126"/>
      <c r="C484" s="126"/>
      <c r="D484" s="334" t="s">
        <v>7576</v>
      </c>
      <c r="E484" s="335" t="s">
        <v>7577</v>
      </c>
      <c r="F484" s="335" t="s">
        <v>7578</v>
      </c>
    </row>
    <row r="485" spans="2:6" x14ac:dyDescent="0.25">
      <c r="B485" s="126"/>
      <c r="C485" s="126"/>
      <c r="D485" s="334" t="s">
        <v>7579</v>
      </c>
      <c r="E485" s="335" t="s">
        <v>2118</v>
      </c>
      <c r="F485" s="335" t="s">
        <v>2119</v>
      </c>
    </row>
    <row r="486" spans="2:6" x14ac:dyDescent="0.25">
      <c r="B486" s="126"/>
      <c r="C486" s="126"/>
      <c r="D486" s="334" t="s">
        <v>1767</v>
      </c>
      <c r="E486" s="335" t="s">
        <v>1768</v>
      </c>
      <c r="F486" s="335" t="s">
        <v>1769</v>
      </c>
    </row>
    <row r="487" spans="2:6" x14ac:dyDescent="0.25">
      <c r="B487" s="126"/>
      <c r="C487" s="126"/>
      <c r="D487" s="334" t="s">
        <v>7580</v>
      </c>
      <c r="E487" s="335" t="s">
        <v>7581</v>
      </c>
      <c r="F487" s="335" t="s">
        <v>7582</v>
      </c>
    </row>
    <row r="488" spans="2:6" x14ac:dyDescent="0.25">
      <c r="B488" s="126"/>
      <c r="C488" s="126"/>
      <c r="D488" s="334" t="s">
        <v>7583</v>
      </c>
      <c r="E488" s="335" t="s">
        <v>7584</v>
      </c>
      <c r="F488" s="335" t="s">
        <v>7585</v>
      </c>
    </row>
    <row r="489" spans="2:6" x14ac:dyDescent="0.25">
      <c r="B489" s="126"/>
      <c r="C489" s="126"/>
      <c r="D489" s="334" t="s">
        <v>7586</v>
      </c>
      <c r="E489" s="335" t="s">
        <v>7587</v>
      </c>
      <c r="F489" s="335" t="s">
        <v>7588</v>
      </c>
    </row>
    <row r="490" spans="2:6" x14ac:dyDescent="0.25">
      <c r="B490" s="126"/>
      <c r="C490" s="126"/>
      <c r="D490" s="334" t="s">
        <v>7589</v>
      </c>
      <c r="E490" s="335" t="s">
        <v>2083</v>
      </c>
      <c r="F490" s="335" t="s">
        <v>2084</v>
      </c>
    </row>
    <row r="491" spans="2:6" x14ac:dyDescent="0.25">
      <c r="B491" s="126"/>
      <c r="C491" s="126"/>
      <c r="D491" s="334" t="s">
        <v>5801</v>
      </c>
      <c r="E491" s="335" t="s">
        <v>7590</v>
      </c>
      <c r="F491" s="335" t="s">
        <v>7591</v>
      </c>
    </row>
    <row r="492" spans="2:6" x14ac:dyDescent="0.25">
      <c r="B492" s="126"/>
      <c r="C492" s="126"/>
      <c r="D492" s="334" t="s">
        <v>7592</v>
      </c>
      <c r="E492" s="335" t="s">
        <v>7593</v>
      </c>
      <c r="F492" s="335" t="s">
        <v>7594</v>
      </c>
    </row>
    <row r="493" spans="2:6" x14ac:dyDescent="0.25">
      <c r="B493" s="126"/>
      <c r="C493" s="126"/>
      <c r="D493" s="334" t="s">
        <v>1890</v>
      </c>
      <c r="E493" s="335" t="s">
        <v>1891</v>
      </c>
      <c r="F493" s="335" t="s">
        <v>2205</v>
      </c>
    </row>
    <row r="494" spans="2:6" x14ac:dyDescent="0.25">
      <c r="B494" s="126"/>
      <c r="C494" s="126"/>
      <c r="D494" s="334" t="s">
        <v>7595</v>
      </c>
      <c r="E494" s="335" t="s">
        <v>7596</v>
      </c>
      <c r="F494" s="335" t="s">
        <v>7597</v>
      </c>
    </row>
    <row r="495" spans="2:6" x14ac:dyDescent="0.25">
      <c r="B495" s="126"/>
      <c r="C495" s="126"/>
      <c r="D495" s="334" t="s">
        <v>7598</v>
      </c>
      <c r="E495" s="335" t="s">
        <v>7599</v>
      </c>
      <c r="F495" s="335" t="s">
        <v>7600</v>
      </c>
    </row>
    <row r="496" spans="2:6" x14ac:dyDescent="0.25">
      <c r="B496" s="126"/>
      <c r="C496" s="126"/>
      <c r="D496" s="334" t="s">
        <v>7601</v>
      </c>
      <c r="E496" s="335" t="s">
        <v>7602</v>
      </c>
      <c r="F496" s="335" t="s">
        <v>7603</v>
      </c>
    </row>
    <row r="497" spans="2:6" x14ac:dyDescent="0.25">
      <c r="B497" s="126"/>
      <c r="C497" s="126"/>
      <c r="D497" s="334" t="s">
        <v>7604</v>
      </c>
      <c r="E497" s="335" t="s">
        <v>7605</v>
      </c>
      <c r="F497" s="335" t="s">
        <v>7606</v>
      </c>
    </row>
    <row r="498" spans="2:6" x14ac:dyDescent="0.25">
      <c r="B498" s="126"/>
      <c r="C498" s="126"/>
      <c r="D498" s="334" t="s">
        <v>7607</v>
      </c>
      <c r="E498" s="335" t="s">
        <v>7608</v>
      </c>
      <c r="F498" s="335" t="s">
        <v>7609</v>
      </c>
    </row>
    <row r="499" spans="2:6" x14ac:dyDescent="0.25">
      <c r="B499" s="126"/>
      <c r="C499" s="126"/>
      <c r="D499" s="334" t="s">
        <v>7610</v>
      </c>
      <c r="E499" s="335" t="s">
        <v>7611</v>
      </c>
      <c r="F499" s="335" t="s">
        <v>7612</v>
      </c>
    </row>
    <row r="500" spans="2:6" x14ac:dyDescent="0.25">
      <c r="B500" s="126"/>
      <c r="C500" s="126"/>
      <c r="D500" s="334" t="s">
        <v>7613</v>
      </c>
      <c r="E500" s="335" t="s">
        <v>7614</v>
      </c>
      <c r="F500" s="335" t="s">
        <v>7615</v>
      </c>
    </row>
    <row r="501" spans="2:6" x14ac:dyDescent="0.25">
      <c r="B501" s="126"/>
      <c r="C501" s="126"/>
      <c r="D501" s="334" t="s">
        <v>7616</v>
      </c>
      <c r="E501" s="335" t="s">
        <v>7617</v>
      </c>
      <c r="F501" s="335" t="s">
        <v>7618</v>
      </c>
    </row>
    <row r="502" spans="2:6" x14ac:dyDescent="0.25">
      <c r="B502" s="126"/>
      <c r="C502" s="126"/>
      <c r="D502" s="334" t="s">
        <v>7619</v>
      </c>
      <c r="E502" s="335" t="s">
        <v>7620</v>
      </c>
      <c r="F502" s="335" t="s">
        <v>7621</v>
      </c>
    </row>
    <row r="503" spans="2:6" x14ac:dyDescent="0.25">
      <c r="B503" s="126"/>
      <c r="C503" s="126"/>
      <c r="D503" s="334" t="s">
        <v>7622</v>
      </c>
      <c r="E503" s="335" t="s">
        <v>7623</v>
      </c>
      <c r="F503" s="335" t="s">
        <v>7624</v>
      </c>
    </row>
    <row r="504" spans="2:6" x14ac:dyDescent="0.25">
      <c r="B504" s="126"/>
      <c r="C504" s="126"/>
      <c r="D504" s="334" t="s">
        <v>7625</v>
      </c>
      <c r="E504" s="335" t="s">
        <v>7626</v>
      </c>
      <c r="F504" s="335" t="s">
        <v>7627</v>
      </c>
    </row>
    <row r="505" spans="2:6" x14ac:dyDescent="0.25">
      <c r="B505" s="126"/>
      <c r="C505" s="126"/>
      <c r="D505" s="334" t="s">
        <v>7628</v>
      </c>
      <c r="E505" s="335" t="s">
        <v>7629</v>
      </c>
      <c r="F505" s="335" t="s">
        <v>7630</v>
      </c>
    </row>
    <row r="506" spans="2:6" x14ac:dyDescent="0.25">
      <c r="B506" s="126"/>
      <c r="C506" s="126"/>
      <c r="D506" s="334" t="s">
        <v>291</v>
      </c>
      <c r="E506" s="335" t="s">
        <v>534</v>
      </c>
      <c r="F506" s="335" t="s">
        <v>535</v>
      </c>
    </row>
    <row r="507" spans="2:6" x14ac:dyDescent="0.25">
      <c r="B507" s="126"/>
      <c r="C507" s="126"/>
      <c r="D507" s="334" t="s">
        <v>7631</v>
      </c>
      <c r="E507" s="335" t="s">
        <v>7632</v>
      </c>
      <c r="F507" s="335" t="s">
        <v>7633</v>
      </c>
    </row>
    <row r="508" spans="2:6" x14ac:dyDescent="0.25">
      <c r="B508" s="126"/>
      <c r="C508" s="126"/>
      <c r="D508" s="334" t="s">
        <v>3553</v>
      </c>
      <c r="E508" s="335" t="s">
        <v>7634</v>
      </c>
      <c r="F508" s="335" t="s">
        <v>7635</v>
      </c>
    </row>
    <row r="509" spans="2:6" x14ac:dyDescent="0.25">
      <c r="B509" s="126"/>
      <c r="C509" s="126"/>
      <c r="D509" s="334" t="s">
        <v>7636</v>
      </c>
      <c r="E509" s="335" t="s">
        <v>7637</v>
      </c>
      <c r="F509" s="335" t="s">
        <v>7638</v>
      </c>
    </row>
    <row r="510" spans="2:6" x14ac:dyDescent="0.25">
      <c r="B510" s="126"/>
      <c r="C510" s="126"/>
      <c r="D510" s="334" t="s">
        <v>7639</v>
      </c>
      <c r="E510" s="335" t="s">
        <v>7640</v>
      </c>
      <c r="F510" s="335" t="s">
        <v>7641</v>
      </c>
    </row>
    <row r="511" spans="2:6" x14ac:dyDescent="0.25">
      <c r="B511" s="126"/>
      <c r="C511" s="126"/>
      <c r="D511" s="334" t="s">
        <v>7642</v>
      </c>
      <c r="E511" s="335" t="s">
        <v>7643</v>
      </c>
      <c r="F511" s="335" t="s">
        <v>7644</v>
      </c>
    </row>
    <row r="512" spans="2:6" x14ac:dyDescent="0.25">
      <c r="B512" s="126"/>
      <c r="C512" s="126"/>
      <c r="D512" s="334" t="s">
        <v>7645</v>
      </c>
      <c r="E512" s="335" t="s">
        <v>7646</v>
      </c>
      <c r="F512" s="335" t="s">
        <v>7647</v>
      </c>
    </row>
    <row r="513" spans="2:6" x14ac:dyDescent="0.25">
      <c r="B513" s="126"/>
      <c r="C513" s="126"/>
      <c r="D513" s="334" t="s">
        <v>7648</v>
      </c>
      <c r="E513" s="335" t="s">
        <v>7649</v>
      </c>
      <c r="F513" s="335" t="s">
        <v>7650</v>
      </c>
    </row>
    <row r="514" spans="2:6" x14ac:dyDescent="0.25">
      <c r="B514" s="126"/>
      <c r="C514" s="126"/>
      <c r="D514" s="334" t="s">
        <v>7651</v>
      </c>
      <c r="E514" s="335" t="s">
        <v>7652</v>
      </c>
      <c r="F514" s="335" t="s">
        <v>7653</v>
      </c>
    </row>
    <row r="515" spans="2:6" x14ac:dyDescent="0.25">
      <c r="B515" s="126"/>
      <c r="C515" s="126"/>
      <c r="D515" s="334" t="s">
        <v>7654</v>
      </c>
      <c r="E515" s="335" t="s">
        <v>7655</v>
      </c>
      <c r="F515" s="335" t="s">
        <v>7656</v>
      </c>
    </row>
    <row r="516" spans="2:6" x14ac:dyDescent="0.25">
      <c r="B516" s="126"/>
      <c r="C516" s="126"/>
      <c r="D516" s="334" t="s">
        <v>7657</v>
      </c>
      <c r="E516" s="335" t="s">
        <v>7658</v>
      </c>
      <c r="F516" s="335" t="s">
        <v>7659</v>
      </c>
    </row>
    <row r="517" spans="2:6" x14ac:dyDescent="0.25">
      <c r="B517" s="126"/>
      <c r="C517" s="126"/>
      <c r="D517" s="334" t="s">
        <v>121</v>
      </c>
      <c r="E517" s="335" t="s">
        <v>122</v>
      </c>
      <c r="F517" s="335" t="s">
        <v>123</v>
      </c>
    </row>
    <row r="518" spans="2:6" x14ac:dyDescent="0.25">
      <c r="B518" s="126"/>
      <c r="C518" s="126"/>
      <c r="D518" s="334" t="s">
        <v>4125</v>
      </c>
      <c r="E518" s="335" t="s">
        <v>7660</v>
      </c>
      <c r="F518" s="335" t="s">
        <v>7661</v>
      </c>
    </row>
    <row r="519" spans="2:6" x14ac:dyDescent="0.25">
      <c r="B519" s="126"/>
      <c r="C519" s="126"/>
      <c r="D519" s="334" t="s">
        <v>7662</v>
      </c>
      <c r="E519" s="335" t="s">
        <v>7663</v>
      </c>
      <c r="F519" s="335" t="s">
        <v>7664</v>
      </c>
    </row>
    <row r="520" spans="2:6" x14ac:dyDescent="0.25">
      <c r="B520" s="126"/>
      <c r="C520" s="126"/>
      <c r="D520" s="334" t="s">
        <v>7665</v>
      </c>
      <c r="E520" s="335" t="s">
        <v>7666</v>
      </c>
      <c r="F520" s="335" t="s">
        <v>7667</v>
      </c>
    </row>
    <row r="521" spans="2:6" x14ac:dyDescent="0.25">
      <c r="B521" s="126"/>
      <c r="C521" s="126"/>
      <c r="D521" s="334" t="s">
        <v>7668</v>
      </c>
      <c r="E521" s="335" t="s">
        <v>7669</v>
      </c>
      <c r="F521" s="335" t="s">
        <v>7670</v>
      </c>
    </row>
    <row r="522" spans="2:6" x14ac:dyDescent="0.25">
      <c r="B522" s="126"/>
      <c r="C522" s="126"/>
      <c r="D522" s="334" t="s">
        <v>7671</v>
      </c>
      <c r="E522" s="335" t="s">
        <v>7672</v>
      </c>
      <c r="F522" s="335" t="s">
        <v>7673</v>
      </c>
    </row>
    <row r="523" spans="2:6" x14ac:dyDescent="0.25">
      <c r="B523" s="126"/>
      <c r="C523" s="126"/>
      <c r="D523" s="334" t="s">
        <v>7674</v>
      </c>
      <c r="E523" s="335" t="s">
        <v>7675</v>
      </c>
      <c r="F523" s="335" t="s">
        <v>7676</v>
      </c>
    </row>
    <row r="524" spans="2:6" x14ac:dyDescent="0.25">
      <c r="B524" s="126"/>
      <c r="C524" s="126"/>
      <c r="D524" s="334" t="s">
        <v>2158</v>
      </c>
      <c r="E524" s="335" t="s">
        <v>2159</v>
      </c>
      <c r="F524" s="335" t="s">
        <v>2160</v>
      </c>
    </row>
    <row r="525" spans="2:6" x14ac:dyDescent="0.25">
      <c r="B525" s="126"/>
      <c r="C525" s="126"/>
      <c r="D525" s="334" t="s">
        <v>2095</v>
      </c>
      <c r="E525" s="335" t="s">
        <v>2096</v>
      </c>
      <c r="F525" s="335" t="s">
        <v>2097</v>
      </c>
    </row>
    <row r="526" spans="2:6" x14ac:dyDescent="0.25">
      <c r="B526" s="126"/>
      <c r="C526" s="126"/>
      <c r="D526" s="334" t="s">
        <v>7677</v>
      </c>
      <c r="E526" s="335" t="s">
        <v>7678</v>
      </c>
      <c r="F526" s="335" t="s">
        <v>7679</v>
      </c>
    </row>
    <row r="527" spans="2:6" x14ac:dyDescent="0.25">
      <c r="B527" s="126"/>
      <c r="C527" s="126"/>
      <c r="D527" s="334" t="s">
        <v>7680</v>
      </c>
      <c r="E527" s="335" t="s">
        <v>7681</v>
      </c>
      <c r="F527" s="335" t="s">
        <v>7682</v>
      </c>
    </row>
    <row r="528" spans="2:6" x14ac:dyDescent="0.25">
      <c r="B528" s="126"/>
      <c r="C528" s="126"/>
      <c r="D528" s="334" t="s">
        <v>7683</v>
      </c>
      <c r="E528" s="335" t="s">
        <v>7684</v>
      </c>
      <c r="F528" s="335" t="s">
        <v>7685</v>
      </c>
    </row>
    <row r="529" spans="2:6" x14ac:dyDescent="0.25">
      <c r="B529" s="126"/>
      <c r="C529" s="126"/>
      <c r="D529" s="334" t="s">
        <v>7686</v>
      </c>
      <c r="E529" s="335" t="s">
        <v>7687</v>
      </c>
      <c r="F529" s="335" t="s">
        <v>7688</v>
      </c>
    </row>
    <row r="530" spans="2:6" x14ac:dyDescent="0.25">
      <c r="B530" s="126"/>
      <c r="C530" s="126"/>
      <c r="D530" s="334" t="s">
        <v>7689</v>
      </c>
      <c r="E530" s="335" t="s">
        <v>7690</v>
      </c>
      <c r="F530" s="335" t="s">
        <v>7691</v>
      </c>
    </row>
    <row r="531" spans="2:6" x14ac:dyDescent="0.25">
      <c r="B531" s="126"/>
      <c r="C531" s="126"/>
      <c r="D531" s="334" t="s">
        <v>7692</v>
      </c>
      <c r="E531" s="335" t="s">
        <v>7693</v>
      </c>
      <c r="F531" s="335" t="s">
        <v>7694</v>
      </c>
    </row>
    <row r="532" spans="2:6" x14ac:dyDescent="0.25">
      <c r="B532" s="126"/>
      <c r="C532" s="126"/>
      <c r="D532" s="334" t="s">
        <v>7695</v>
      </c>
      <c r="E532" s="335" t="s">
        <v>7696</v>
      </c>
      <c r="F532" s="335" t="s">
        <v>7697</v>
      </c>
    </row>
    <row r="533" spans="2:6" x14ac:dyDescent="0.25">
      <c r="B533" s="126"/>
      <c r="C533" s="126"/>
      <c r="D533" s="334" t="s">
        <v>7698</v>
      </c>
      <c r="E533" s="335" t="s">
        <v>7699</v>
      </c>
      <c r="F533" s="335" t="s">
        <v>7700</v>
      </c>
    </row>
    <row r="534" spans="2:6" x14ac:dyDescent="0.25">
      <c r="B534" s="126"/>
      <c r="C534" s="126"/>
      <c r="D534" s="334" t="s">
        <v>6159</v>
      </c>
      <c r="E534" s="335" t="s">
        <v>7701</v>
      </c>
      <c r="F534" s="335" t="s">
        <v>7702</v>
      </c>
    </row>
    <row r="535" spans="2:6" x14ac:dyDescent="0.25">
      <c r="B535" s="126"/>
      <c r="C535" s="126"/>
      <c r="D535" s="334" t="s">
        <v>7703</v>
      </c>
      <c r="E535" s="335" t="s">
        <v>7704</v>
      </c>
      <c r="F535" s="335" t="s">
        <v>7705</v>
      </c>
    </row>
    <row r="536" spans="2:6" x14ac:dyDescent="0.25">
      <c r="B536" s="126"/>
      <c r="C536" s="126"/>
      <c r="D536" s="334" t="s">
        <v>7706</v>
      </c>
      <c r="E536" s="335" t="s">
        <v>7707</v>
      </c>
      <c r="F536" s="335" t="s">
        <v>7708</v>
      </c>
    </row>
    <row r="537" spans="2:6" x14ac:dyDescent="0.25">
      <c r="B537" s="126"/>
      <c r="C537" s="126"/>
      <c r="D537" s="334" t="s">
        <v>7709</v>
      </c>
      <c r="E537" s="335" t="s">
        <v>7710</v>
      </c>
      <c r="F537" s="335" t="s">
        <v>7711</v>
      </c>
    </row>
    <row r="538" spans="2:6" x14ac:dyDescent="0.25">
      <c r="B538" s="126"/>
      <c r="C538" s="126"/>
      <c r="D538" s="334" t="s">
        <v>7712</v>
      </c>
      <c r="E538" s="335" t="s">
        <v>7713</v>
      </c>
      <c r="F538" s="335" t="s">
        <v>7714</v>
      </c>
    </row>
    <row r="539" spans="2:6" x14ac:dyDescent="0.25">
      <c r="B539" s="126"/>
      <c r="C539" s="126"/>
      <c r="D539" s="334" t="s">
        <v>7715</v>
      </c>
      <c r="E539" s="335" t="s">
        <v>7716</v>
      </c>
      <c r="F539" s="335" t="s">
        <v>7717</v>
      </c>
    </row>
    <row r="540" spans="2:6" x14ac:dyDescent="0.25">
      <c r="B540" s="126"/>
      <c r="C540" s="126"/>
      <c r="D540" s="334" t="s">
        <v>1845</v>
      </c>
      <c r="E540" s="335" t="s">
        <v>1846</v>
      </c>
      <c r="F540" s="335" t="s">
        <v>1847</v>
      </c>
    </row>
    <row r="541" spans="2:6" x14ac:dyDescent="0.25">
      <c r="B541" s="126"/>
      <c r="C541" s="126"/>
      <c r="D541" s="334" t="s">
        <v>7718</v>
      </c>
      <c r="E541" s="335" t="s">
        <v>2419</v>
      </c>
      <c r="F541" s="335" t="s">
        <v>2420</v>
      </c>
    </row>
    <row r="542" spans="2:6" x14ac:dyDescent="0.25">
      <c r="B542" s="126"/>
      <c r="C542" s="126"/>
      <c r="D542" s="334" t="s">
        <v>4179</v>
      </c>
      <c r="E542" s="335" t="s">
        <v>7719</v>
      </c>
      <c r="F542" s="335" t="s">
        <v>7720</v>
      </c>
    </row>
    <row r="543" spans="2:6" x14ac:dyDescent="0.25">
      <c r="B543" s="126"/>
      <c r="C543" s="126"/>
      <c r="D543" s="334" t="s">
        <v>3385</v>
      </c>
      <c r="E543" s="335" t="s">
        <v>7721</v>
      </c>
      <c r="F543" s="335" t="s">
        <v>7722</v>
      </c>
    </row>
    <row r="544" spans="2:6" x14ac:dyDescent="0.25">
      <c r="B544" s="126"/>
      <c r="C544" s="126"/>
      <c r="D544" s="334" t="s">
        <v>7723</v>
      </c>
      <c r="E544" s="335" t="s">
        <v>7724</v>
      </c>
      <c r="F544" s="335" t="s">
        <v>7725</v>
      </c>
    </row>
    <row r="545" spans="2:6" x14ac:dyDescent="0.25">
      <c r="B545" s="126"/>
      <c r="C545" s="126"/>
      <c r="D545" s="334" t="s">
        <v>7726</v>
      </c>
      <c r="E545" s="335" t="s">
        <v>7727</v>
      </c>
      <c r="F545" s="335" t="s">
        <v>7728</v>
      </c>
    </row>
    <row r="546" spans="2:6" x14ac:dyDescent="0.25">
      <c r="B546" s="126"/>
      <c r="C546" s="126"/>
      <c r="D546" s="334" t="s">
        <v>4114</v>
      </c>
      <c r="E546" s="335" t="s">
        <v>7729</v>
      </c>
      <c r="F546" s="335" t="s">
        <v>7730</v>
      </c>
    </row>
    <row r="547" spans="2:6" x14ac:dyDescent="0.25">
      <c r="B547" s="126"/>
      <c r="C547" s="126"/>
      <c r="D547" s="334" t="s">
        <v>7731</v>
      </c>
      <c r="E547" s="335" t="s">
        <v>7732</v>
      </c>
      <c r="F547" s="335" t="s">
        <v>7733</v>
      </c>
    </row>
    <row r="548" spans="2:6" x14ac:dyDescent="0.25">
      <c r="B548" s="126"/>
      <c r="C548" s="126"/>
      <c r="D548" s="334" t="s">
        <v>7734</v>
      </c>
      <c r="E548" s="335" t="s">
        <v>7735</v>
      </c>
      <c r="F548" s="335" t="s">
        <v>7736</v>
      </c>
    </row>
    <row r="549" spans="2:6" x14ac:dyDescent="0.25">
      <c r="B549" s="126"/>
      <c r="C549" s="126"/>
      <c r="D549" s="334" t="s">
        <v>7737</v>
      </c>
      <c r="E549" s="335" t="s">
        <v>7738</v>
      </c>
      <c r="F549" s="335" t="s">
        <v>7739</v>
      </c>
    </row>
    <row r="550" spans="2:6" x14ac:dyDescent="0.25">
      <c r="B550" s="126"/>
      <c r="C550" s="126"/>
      <c r="D550" s="334" t="s">
        <v>7740</v>
      </c>
      <c r="E550" s="335" t="s">
        <v>7741</v>
      </c>
      <c r="F550" s="335" t="s">
        <v>7742</v>
      </c>
    </row>
    <row r="551" spans="2:6" x14ac:dyDescent="0.25">
      <c r="B551" s="126"/>
      <c r="C551" s="126"/>
      <c r="D551" s="334" t="s">
        <v>7743</v>
      </c>
      <c r="E551" s="335" t="s">
        <v>7744</v>
      </c>
      <c r="F551" s="335" t="s">
        <v>7745</v>
      </c>
    </row>
    <row r="552" spans="2:6" x14ac:dyDescent="0.25">
      <c r="B552" s="126"/>
      <c r="C552" s="126"/>
      <c r="D552" s="334" t="s">
        <v>7746</v>
      </c>
      <c r="E552" s="335" t="s">
        <v>7747</v>
      </c>
      <c r="F552" s="335" t="s">
        <v>7748</v>
      </c>
    </row>
    <row r="553" spans="2:6" x14ac:dyDescent="0.25">
      <c r="B553" s="126"/>
      <c r="C553" s="126"/>
      <c r="D553" s="334" t="s">
        <v>7749</v>
      </c>
      <c r="E553" s="335" t="s">
        <v>7750</v>
      </c>
      <c r="F553" s="335" t="s">
        <v>7751</v>
      </c>
    </row>
    <row r="554" spans="2:6" x14ac:dyDescent="0.25">
      <c r="B554" s="126"/>
      <c r="C554" s="126"/>
      <c r="D554" s="334" t="s">
        <v>7752</v>
      </c>
      <c r="E554" s="335" t="s">
        <v>7753</v>
      </c>
      <c r="F554" s="335" t="s">
        <v>7754</v>
      </c>
    </row>
    <row r="555" spans="2:6" x14ac:dyDescent="0.25">
      <c r="B555" s="126"/>
      <c r="C555" s="126"/>
      <c r="D555" s="334" t="s">
        <v>7755</v>
      </c>
      <c r="E555" s="335" t="s">
        <v>7756</v>
      </c>
      <c r="F555" s="335" t="s">
        <v>7756</v>
      </c>
    </row>
    <row r="556" spans="2:6" x14ac:dyDescent="0.25">
      <c r="B556" s="126"/>
      <c r="C556" s="126"/>
      <c r="D556" s="334" t="s">
        <v>7757</v>
      </c>
      <c r="E556" s="335" t="s">
        <v>7758</v>
      </c>
      <c r="F556" s="335" t="s">
        <v>7759</v>
      </c>
    </row>
    <row r="557" spans="2:6" x14ac:dyDescent="0.25">
      <c r="B557" s="126"/>
      <c r="C557" s="126"/>
      <c r="D557" s="334" t="s">
        <v>7760</v>
      </c>
      <c r="E557" s="335" t="s">
        <v>7761</v>
      </c>
      <c r="F557" s="335" t="s">
        <v>7762</v>
      </c>
    </row>
    <row r="558" spans="2:6" x14ac:dyDescent="0.25">
      <c r="B558" s="126"/>
      <c r="C558" s="126"/>
      <c r="D558" s="334" t="s">
        <v>7763</v>
      </c>
      <c r="E558" s="335" t="s">
        <v>7764</v>
      </c>
      <c r="F558" s="335" t="s">
        <v>7765</v>
      </c>
    </row>
    <row r="559" spans="2:6" x14ac:dyDescent="0.25">
      <c r="B559" s="126"/>
      <c r="C559" s="126"/>
      <c r="D559" s="334" t="s">
        <v>7766</v>
      </c>
      <c r="E559" s="335" t="s">
        <v>7767</v>
      </c>
      <c r="F559" s="335" t="s">
        <v>7768</v>
      </c>
    </row>
    <row r="560" spans="2:6" x14ac:dyDescent="0.25">
      <c r="B560" s="126"/>
      <c r="C560" s="126"/>
      <c r="D560" s="334" t="s">
        <v>7769</v>
      </c>
      <c r="E560" s="335" t="s">
        <v>7770</v>
      </c>
      <c r="F560" s="335" t="s">
        <v>7771</v>
      </c>
    </row>
    <row r="561" spans="2:6" x14ac:dyDescent="0.25">
      <c r="B561" s="126"/>
      <c r="C561" s="126"/>
      <c r="D561" s="334" t="s">
        <v>7772</v>
      </c>
      <c r="E561" s="335" t="s">
        <v>7773</v>
      </c>
      <c r="F561" s="335" t="s">
        <v>7774</v>
      </c>
    </row>
    <row r="562" spans="2:6" x14ac:dyDescent="0.25">
      <c r="B562" s="126"/>
      <c r="C562" s="126"/>
      <c r="D562" s="334" t="s">
        <v>126</v>
      </c>
      <c r="E562" s="335" t="s">
        <v>127</v>
      </c>
      <c r="F562" s="335" t="s">
        <v>128</v>
      </c>
    </row>
    <row r="563" spans="2:6" x14ac:dyDescent="0.25">
      <c r="B563" s="126"/>
      <c r="C563" s="126"/>
      <c r="D563" s="334" t="s">
        <v>7775</v>
      </c>
      <c r="E563" s="335" t="s">
        <v>7776</v>
      </c>
      <c r="F563" s="335" t="s">
        <v>7777</v>
      </c>
    </row>
    <row r="564" spans="2:6" x14ac:dyDescent="0.25">
      <c r="B564" s="126"/>
      <c r="C564" s="126"/>
      <c r="D564" s="334" t="s">
        <v>7778</v>
      </c>
      <c r="E564" s="335" t="s">
        <v>7779</v>
      </c>
      <c r="F564" s="335" t="s">
        <v>7780</v>
      </c>
    </row>
    <row r="565" spans="2:6" x14ac:dyDescent="0.25">
      <c r="B565" s="126"/>
      <c r="C565" s="126"/>
      <c r="D565" s="334" t="s">
        <v>7781</v>
      </c>
      <c r="E565" s="335" t="s">
        <v>7782</v>
      </c>
      <c r="F565" s="335" t="s">
        <v>7783</v>
      </c>
    </row>
    <row r="566" spans="2:6" x14ac:dyDescent="0.25">
      <c r="B566" s="126"/>
      <c r="C566" s="126"/>
      <c r="D566" s="334" t="s">
        <v>7784</v>
      </c>
      <c r="E566" s="335" t="s">
        <v>7785</v>
      </c>
      <c r="F566" s="335" t="s">
        <v>7786</v>
      </c>
    </row>
    <row r="567" spans="2:6" x14ac:dyDescent="0.25">
      <c r="B567" s="126"/>
      <c r="C567" s="126"/>
      <c r="D567" s="334" t="s">
        <v>7787</v>
      </c>
      <c r="E567" s="335" t="s">
        <v>7788</v>
      </c>
      <c r="F567" s="335" t="s">
        <v>7789</v>
      </c>
    </row>
    <row r="568" spans="2:6" x14ac:dyDescent="0.25">
      <c r="B568" s="126"/>
      <c r="C568" s="126"/>
      <c r="D568" s="334" t="s">
        <v>7790</v>
      </c>
      <c r="E568" s="335" t="s">
        <v>7791</v>
      </c>
      <c r="F568" s="335" t="s">
        <v>7792</v>
      </c>
    </row>
    <row r="569" spans="2:6" x14ac:dyDescent="0.25">
      <c r="B569" s="126"/>
      <c r="C569" s="126"/>
      <c r="D569" s="334" t="s">
        <v>7793</v>
      </c>
      <c r="E569" s="335" t="s">
        <v>7794</v>
      </c>
      <c r="F569" s="335" t="s">
        <v>7795</v>
      </c>
    </row>
    <row r="570" spans="2:6" x14ac:dyDescent="0.25">
      <c r="B570" s="126"/>
      <c r="C570" s="126"/>
      <c r="D570" s="334" t="s">
        <v>7796</v>
      </c>
      <c r="E570" s="335" t="s">
        <v>7797</v>
      </c>
      <c r="F570" s="335" t="s">
        <v>7798</v>
      </c>
    </row>
    <row r="571" spans="2:6" x14ac:dyDescent="0.25">
      <c r="B571" s="126"/>
      <c r="C571" s="126"/>
      <c r="D571" s="334" t="s">
        <v>7799</v>
      </c>
      <c r="E571" s="335" t="s">
        <v>7800</v>
      </c>
      <c r="F571" s="335" t="s">
        <v>7801</v>
      </c>
    </row>
    <row r="572" spans="2:6" x14ac:dyDescent="0.25">
      <c r="B572" s="126"/>
      <c r="C572" s="126"/>
      <c r="D572" s="334" t="s">
        <v>7802</v>
      </c>
      <c r="E572" s="335" t="s">
        <v>7803</v>
      </c>
      <c r="F572" s="335" t="s">
        <v>7804</v>
      </c>
    </row>
    <row r="573" spans="2:6" x14ac:dyDescent="0.25">
      <c r="B573" s="126"/>
      <c r="C573" s="126"/>
      <c r="D573" s="334" t="s">
        <v>7805</v>
      </c>
      <c r="E573" s="335" t="s">
        <v>7806</v>
      </c>
      <c r="F573" s="335" t="s">
        <v>7807</v>
      </c>
    </row>
    <row r="574" spans="2:6" x14ac:dyDescent="0.25">
      <c r="B574" s="126"/>
      <c r="C574" s="126"/>
      <c r="D574" s="334" t="s">
        <v>7808</v>
      </c>
      <c r="E574" s="335" t="s">
        <v>7809</v>
      </c>
      <c r="F574" s="335" t="s">
        <v>7810</v>
      </c>
    </row>
    <row r="575" spans="2:6" x14ac:dyDescent="0.25">
      <c r="B575" s="126"/>
      <c r="C575" s="126"/>
      <c r="D575" s="334" t="s">
        <v>7811</v>
      </c>
      <c r="E575" s="335" t="s">
        <v>7812</v>
      </c>
      <c r="F575" s="335" t="s">
        <v>7813</v>
      </c>
    </row>
    <row r="576" spans="2:6" x14ac:dyDescent="0.25">
      <c r="B576" s="126"/>
      <c r="C576" s="126"/>
      <c r="D576" s="334" t="s">
        <v>5038</v>
      </c>
      <c r="E576" s="335" t="s">
        <v>7814</v>
      </c>
      <c r="F576" s="335" t="s">
        <v>7815</v>
      </c>
    </row>
    <row r="577" spans="2:6" x14ac:dyDescent="0.25">
      <c r="B577" s="126"/>
      <c r="C577" s="126"/>
      <c r="D577" s="334" t="s">
        <v>2642</v>
      </c>
      <c r="E577" s="335" t="s">
        <v>2643</v>
      </c>
      <c r="F577" s="335" t="s">
        <v>2644</v>
      </c>
    </row>
    <row r="578" spans="2:6" x14ac:dyDescent="0.25">
      <c r="B578" s="126"/>
      <c r="C578" s="126"/>
      <c r="D578" s="334" t="s">
        <v>7816</v>
      </c>
      <c r="E578" s="335" t="s">
        <v>7817</v>
      </c>
      <c r="F578" s="335" t="s">
        <v>7818</v>
      </c>
    </row>
    <row r="579" spans="2:6" x14ac:dyDescent="0.25">
      <c r="B579" s="126"/>
      <c r="C579" s="126"/>
      <c r="D579" s="334" t="s">
        <v>7819</v>
      </c>
      <c r="E579" s="335" t="s">
        <v>7820</v>
      </c>
      <c r="F579" s="335" t="s">
        <v>7821</v>
      </c>
    </row>
    <row r="580" spans="2:6" x14ac:dyDescent="0.25">
      <c r="B580" s="126"/>
      <c r="C580" s="126"/>
      <c r="D580" s="334" t="s">
        <v>377</v>
      </c>
      <c r="E580" s="335" t="s">
        <v>378</v>
      </c>
      <c r="F580" s="335" t="s">
        <v>379</v>
      </c>
    </row>
    <row r="581" spans="2:6" x14ac:dyDescent="0.25">
      <c r="B581" s="126"/>
      <c r="C581" s="126"/>
      <c r="D581" s="334" t="s">
        <v>7822</v>
      </c>
      <c r="E581" s="335" t="s">
        <v>132</v>
      </c>
      <c r="F581" s="335" t="s">
        <v>133</v>
      </c>
    </row>
    <row r="582" spans="2:6" x14ac:dyDescent="0.25">
      <c r="B582" s="126"/>
      <c r="C582" s="126"/>
      <c r="D582" s="334" t="s">
        <v>7823</v>
      </c>
      <c r="E582" s="335" t="s">
        <v>7824</v>
      </c>
      <c r="F582" s="335" t="s">
        <v>7825</v>
      </c>
    </row>
    <row r="583" spans="2:6" x14ac:dyDescent="0.25">
      <c r="B583" s="126"/>
      <c r="C583" s="126"/>
      <c r="D583" s="334" t="s">
        <v>7826</v>
      </c>
      <c r="E583" s="335" t="s">
        <v>7827</v>
      </c>
      <c r="F583" s="335" t="s">
        <v>7828</v>
      </c>
    </row>
    <row r="584" spans="2:6" x14ac:dyDescent="0.25">
      <c r="B584" s="126"/>
      <c r="C584" s="126"/>
      <c r="D584" s="334" t="s">
        <v>7829</v>
      </c>
      <c r="E584" s="335" t="s">
        <v>7830</v>
      </c>
      <c r="F584" s="335" t="s">
        <v>7831</v>
      </c>
    </row>
    <row r="585" spans="2:6" x14ac:dyDescent="0.25">
      <c r="B585" s="126"/>
      <c r="C585" s="126"/>
      <c r="D585" s="334" t="s">
        <v>7832</v>
      </c>
      <c r="E585" s="335" t="s">
        <v>7833</v>
      </c>
      <c r="F585" s="335" t="s">
        <v>7834</v>
      </c>
    </row>
    <row r="586" spans="2:6" x14ac:dyDescent="0.25">
      <c r="B586" s="126"/>
      <c r="C586" s="126"/>
      <c r="D586" s="334" t="s">
        <v>7835</v>
      </c>
      <c r="E586" s="335" t="s">
        <v>7836</v>
      </c>
      <c r="F586" s="335" t="s">
        <v>7837</v>
      </c>
    </row>
    <row r="587" spans="2:6" x14ac:dyDescent="0.25">
      <c r="B587" s="126"/>
      <c r="C587" s="126"/>
      <c r="D587" s="334" t="s">
        <v>7838</v>
      </c>
      <c r="E587" s="335" t="s">
        <v>7839</v>
      </c>
      <c r="F587" s="335" t="s">
        <v>7840</v>
      </c>
    </row>
    <row r="588" spans="2:6" x14ac:dyDescent="0.25">
      <c r="B588" s="126"/>
      <c r="C588" s="126"/>
      <c r="D588" s="334" t="s">
        <v>7841</v>
      </c>
      <c r="E588" s="335" t="s">
        <v>7842</v>
      </c>
      <c r="F588" s="335" t="s">
        <v>7843</v>
      </c>
    </row>
    <row r="589" spans="2:6" x14ac:dyDescent="0.25">
      <c r="B589" s="126"/>
      <c r="C589" s="126"/>
      <c r="D589" s="334" t="s">
        <v>7844</v>
      </c>
      <c r="E589" s="335" t="s">
        <v>7845</v>
      </c>
      <c r="F589" s="335" t="s">
        <v>7846</v>
      </c>
    </row>
    <row r="590" spans="2:6" x14ac:dyDescent="0.25">
      <c r="B590" s="126"/>
      <c r="C590" s="126"/>
      <c r="D590" s="334" t="s">
        <v>7847</v>
      </c>
      <c r="E590" s="335" t="s">
        <v>7848</v>
      </c>
      <c r="F590" s="335" t="s">
        <v>7849</v>
      </c>
    </row>
    <row r="591" spans="2:6" x14ac:dyDescent="0.25">
      <c r="B591" s="126"/>
      <c r="C591" s="126"/>
      <c r="D591" s="334" t="s">
        <v>7850</v>
      </c>
      <c r="E591" s="335" t="s">
        <v>7851</v>
      </c>
      <c r="F591" s="335" t="s">
        <v>7852</v>
      </c>
    </row>
    <row r="592" spans="2:6" x14ac:dyDescent="0.25">
      <c r="B592" s="126"/>
      <c r="C592" s="126"/>
      <c r="D592" s="334" t="s">
        <v>7853</v>
      </c>
      <c r="E592" s="335" t="s">
        <v>7854</v>
      </c>
      <c r="F592" s="335" t="s">
        <v>7855</v>
      </c>
    </row>
    <row r="593" spans="2:6" x14ac:dyDescent="0.25">
      <c r="B593" s="126"/>
      <c r="C593" s="126"/>
      <c r="D593" s="334" t="s">
        <v>7856</v>
      </c>
      <c r="E593" s="335" t="s">
        <v>7857</v>
      </c>
      <c r="F593" s="335" t="s">
        <v>7858</v>
      </c>
    </row>
    <row r="594" spans="2:6" x14ac:dyDescent="0.25">
      <c r="B594" s="126"/>
      <c r="C594" s="126"/>
      <c r="D594" s="334" t="s">
        <v>7859</v>
      </c>
      <c r="E594" s="335" t="s">
        <v>7860</v>
      </c>
      <c r="F594" s="335" t="s">
        <v>7861</v>
      </c>
    </row>
    <row r="595" spans="2:6" x14ac:dyDescent="0.25">
      <c r="B595" s="126"/>
      <c r="C595" s="126"/>
      <c r="D595" s="334" t="s">
        <v>7862</v>
      </c>
      <c r="E595" s="335" t="s">
        <v>7863</v>
      </c>
      <c r="F595" s="335" t="s">
        <v>7864</v>
      </c>
    </row>
    <row r="596" spans="2:6" x14ac:dyDescent="0.25">
      <c r="B596" s="126"/>
      <c r="C596" s="126"/>
      <c r="D596" s="334" t="s">
        <v>7865</v>
      </c>
      <c r="E596" s="335" t="s">
        <v>7866</v>
      </c>
      <c r="F596" s="335" t="s">
        <v>7867</v>
      </c>
    </row>
    <row r="597" spans="2:6" x14ac:dyDescent="0.25">
      <c r="B597" s="126"/>
      <c r="C597" s="126"/>
      <c r="D597" s="334" t="s">
        <v>3989</v>
      </c>
      <c r="E597" s="335" t="s">
        <v>7868</v>
      </c>
      <c r="F597" s="335" t="s">
        <v>6346</v>
      </c>
    </row>
    <row r="598" spans="2:6" x14ac:dyDescent="0.25">
      <c r="B598" s="126"/>
      <c r="C598" s="126"/>
      <c r="D598" s="334" t="s">
        <v>7869</v>
      </c>
      <c r="E598" s="335" t="s">
        <v>7870</v>
      </c>
      <c r="F598" s="335" t="s">
        <v>7871</v>
      </c>
    </row>
    <row r="599" spans="2:6" x14ac:dyDescent="0.25">
      <c r="B599" s="126"/>
      <c r="C599" s="126"/>
      <c r="D599" s="334" t="s">
        <v>7872</v>
      </c>
      <c r="E599" s="335" t="s">
        <v>7873</v>
      </c>
      <c r="F599" s="335" t="s">
        <v>7874</v>
      </c>
    </row>
    <row r="600" spans="2:6" x14ac:dyDescent="0.25">
      <c r="B600" s="126"/>
      <c r="C600" s="126"/>
      <c r="D600" s="334" t="s">
        <v>7875</v>
      </c>
      <c r="E600" s="335" t="s">
        <v>7876</v>
      </c>
      <c r="F600" s="335" t="s">
        <v>7877</v>
      </c>
    </row>
    <row r="601" spans="2:6" x14ac:dyDescent="0.25">
      <c r="B601" s="126"/>
      <c r="C601" s="126"/>
      <c r="D601" s="334" t="s">
        <v>7878</v>
      </c>
      <c r="E601" s="335" t="s">
        <v>7879</v>
      </c>
      <c r="F601" s="335" t="s">
        <v>7880</v>
      </c>
    </row>
    <row r="602" spans="2:6" x14ac:dyDescent="0.25">
      <c r="B602" s="126"/>
      <c r="C602" s="126"/>
      <c r="D602" s="334" t="s">
        <v>7881</v>
      </c>
      <c r="E602" s="335" t="s">
        <v>7882</v>
      </c>
      <c r="F602" s="335" t="s">
        <v>7883</v>
      </c>
    </row>
    <row r="603" spans="2:6" x14ac:dyDescent="0.25">
      <c r="B603" s="126"/>
      <c r="C603" s="126"/>
      <c r="D603" s="334" t="s">
        <v>1543</v>
      </c>
      <c r="E603" s="335" t="s">
        <v>1544</v>
      </c>
      <c r="F603" s="335" t="s">
        <v>1545</v>
      </c>
    </row>
    <row r="604" spans="2:6" x14ac:dyDescent="0.25">
      <c r="B604" s="126"/>
      <c r="C604" s="126"/>
      <c r="D604" s="334" t="s">
        <v>152</v>
      </c>
      <c r="E604" s="335" t="s">
        <v>153</v>
      </c>
      <c r="F604" s="335" t="s">
        <v>154</v>
      </c>
    </row>
    <row r="605" spans="2:6" x14ac:dyDescent="0.25">
      <c r="B605" s="126"/>
      <c r="C605" s="126"/>
      <c r="D605" s="334" t="s">
        <v>7884</v>
      </c>
      <c r="E605" s="335" t="s">
        <v>7885</v>
      </c>
      <c r="F605" s="335" t="s">
        <v>7886</v>
      </c>
    </row>
    <row r="606" spans="2:6" x14ac:dyDescent="0.25">
      <c r="B606" s="126"/>
      <c r="C606" s="126"/>
      <c r="D606" s="334" t="s">
        <v>4573</v>
      </c>
      <c r="E606" s="335" t="s">
        <v>7887</v>
      </c>
      <c r="F606" s="335" t="s">
        <v>7888</v>
      </c>
    </row>
    <row r="607" spans="2:6" x14ac:dyDescent="0.25">
      <c r="B607" s="126"/>
      <c r="C607" s="126"/>
      <c r="D607" s="334" t="s">
        <v>7889</v>
      </c>
      <c r="E607" s="335" t="s">
        <v>7890</v>
      </c>
      <c r="F607" s="335" t="s">
        <v>7891</v>
      </c>
    </row>
    <row r="608" spans="2:6" x14ac:dyDescent="0.25">
      <c r="B608" s="126"/>
      <c r="C608" s="126"/>
      <c r="D608" s="334" t="s">
        <v>7892</v>
      </c>
      <c r="E608" s="335" t="s">
        <v>7893</v>
      </c>
      <c r="F608" s="335" t="s">
        <v>7894</v>
      </c>
    </row>
    <row r="609" spans="2:6" x14ac:dyDescent="0.25">
      <c r="B609" s="126"/>
      <c r="C609" s="126"/>
      <c r="D609" s="334" t="s">
        <v>137</v>
      </c>
      <c r="E609" s="335" t="s">
        <v>7895</v>
      </c>
      <c r="F609" s="335" t="s">
        <v>139</v>
      </c>
    </row>
    <row r="610" spans="2:6" x14ac:dyDescent="0.25">
      <c r="B610" s="126"/>
      <c r="C610" s="126"/>
      <c r="D610" s="334" t="s">
        <v>7896</v>
      </c>
      <c r="E610" s="335" t="s">
        <v>7897</v>
      </c>
      <c r="F610" s="335" t="s">
        <v>7898</v>
      </c>
    </row>
    <row r="611" spans="2:6" x14ac:dyDescent="0.25">
      <c r="B611" s="126"/>
      <c r="C611" s="126"/>
      <c r="D611" s="334" t="s">
        <v>5519</v>
      </c>
      <c r="E611" s="335" t="s">
        <v>7899</v>
      </c>
      <c r="F611" s="335" t="s">
        <v>7900</v>
      </c>
    </row>
    <row r="612" spans="2:6" x14ac:dyDescent="0.25">
      <c r="B612" s="126"/>
      <c r="C612" s="126"/>
      <c r="D612" s="334" t="s">
        <v>7901</v>
      </c>
      <c r="E612" s="335" t="s">
        <v>7902</v>
      </c>
      <c r="F612" s="335" t="s">
        <v>7903</v>
      </c>
    </row>
    <row r="613" spans="2:6" x14ac:dyDescent="0.25">
      <c r="B613" s="126"/>
      <c r="C613" s="126"/>
      <c r="D613" s="334" t="s">
        <v>7904</v>
      </c>
      <c r="E613" s="335" t="s">
        <v>7905</v>
      </c>
      <c r="F613" s="335" t="s">
        <v>7906</v>
      </c>
    </row>
    <row r="614" spans="2:6" x14ac:dyDescent="0.25">
      <c r="B614" s="126"/>
      <c r="C614" s="126"/>
      <c r="D614" s="334" t="s">
        <v>7907</v>
      </c>
      <c r="E614" s="335" t="s">
        <v>7908</v>
      </c>
      <c r="F614" s="335" t="s">
        <v>7909</v>
      </c>
    </row>
    <row r="615" spans="2:6" x14ac:dyDescent="0.25">
      <c r="B615" s="126"/>
      <c r="C615" s="126"/>
      <c r="D615" s="334" t="s">
        <v>7910</v>
      </c>
      <c r="E615" s="335" t="s">
        <v>7911</v>
      </c>
      <c r="F615" s="335" t="s">
        <v>7912</v>
      </c>
    </row>
    <row r="616" spans="2:6" x14ac:dyDescent="0.25">
      <c r="B616" s="126"/>
      <c r="C616" s="126"/>
      <c r="D616" s="334" t="s">
        <v>7913</v>
      </c>
      <c r="E616" s="335" t="s">
        <v>7914</v>
      </c>
      <c r="F616" s="335" t="s">
        <v>7915</v>
      </c>
    </row>
    <row r="617" spans="2:6" x14ac:dyDescent="0.25">
      <c r="B617" s="126"/>
      <c r="C617" s="126"/>
      <c r="D617" s="334" t="s">
        <v>2948</v>
      </c>
      <c r="E617" s="335" t="s">
        <v>6030</v>
      </c>
      <c r="F617" s="335" t="s">
        <v>2951</v>
      </c>
    </row>
    <row r="618" spans="2:6" x14ac:dyDescent="0.25">
      <c r="B618" s="126"/>
      <c r="C618" s="126"/>
      <c r="D618" s="334" t="s">
        <v>7916</v>
      </c>
      <c r="E618" s="335" t="s">
        <v>7917</v>
      </c>
      <c r="F618" s="335" t="s">
        <v>7918</v>
      </c>
    </row>
    <row r="619" spans="2:6" x14ac:dyDescent="0.25">
      <c r="B619" s="126"/>
      <c r="C619" s="126"/>
      <c r="D619" s="334" t="s">
        <v>7919</v>
      </c>
      <c r="E619" s="335" t="s">
        <v>7920</v>
      </c>
      <c r="F619" s="335" t="s">
        <v>7921</v>
      </c>
    </row>
    <row r="620" spans="2:6" x14ac:dyDescent="0.25">
      <c r="B620" s="126"/>
      <c r="C620" s="126"/>
      <c r="D620" s="334" t="s">
        <v>7922</v>
      </c>
      <c r="E620" s="335" t="s">
        <v>7923</v>
      </c>
      <c r="F620" s="335" t="s">
        <v>7924</v>
      </c>
    </row>
    <row r="621" spans="2:6" x14ac:dyDescent="0.25">
      <c r="B621" s="126"/>
      <c r="C621" s="126"/>
      <c r="D621" s="334" t="s">
        <v>7925</v>
      </c>
      <c r="E621" s="335" t="s">
        <v>7926</v>
      </c>
      <c r="F621" s="335" t="s">
        <v>7927</v>
      </c>
    </row>
    <row r="622" spans="2:6" x14ac:dyDescent="0.25">
      <c r="B622" s="126"/>
      <c r="C622" s="126"/>
      <c r="D622" s="334" t="s">
        <v>7928</v>
      </c>
      <c r="E622" s="335" t="s">
        <v>7929</v>
      </c>
      <c r="F622" s="335" t="s">
        <v>7930</v>
      </c>
    </row>
    <row r="623" spans="2:6" x14ac:dyDescent="0.25">
      <c r="B623" s="126"/>
      <c r="C623" s="126"/>
      <c r="D623" s="334" t="s">
        <v>7931</v>
      </c>
      <c r="E623" s="335" t="s">
        <v>7932</v>
      </c>
      <c r="F623" s="335" t="s">
        <v>7933</v>
      </c>
    </row>
    <row r="624" spans="2:6" x14ac:dyDescent="0.25">
      <c r="B624" s="126"/>
      <c r="C624" s="126"/>
      <c r="D624" s="334" t="s">
        <v>7934</v>
      </c>
      <c r="E624" s="335" t="s">
        <v>7935</v>
      </c>
      <c r="F624" s="335" t="s">
        <v>7936</v>
      </c>
    </row>
    <row r="625" spans="2:6" x14ac:dyDescent="0.25">
      <c r="B625" s="126"/>
      <c r="C625" s="126"/>
      <c r="D625" s="334" t="s">
        <v>7937</v>
      </c>
      <c r="E625" s="335" t="s">
        <v>7938</v>
      </c>
      <c r="F625" s="335" t="s">
        <v>7939</v>
      </c>
    </row>
    <row r="626" spans="2:6" x14ac:dyDescent="0.25">
      <c r="B626" s="126"/>
      <c r="C626" s="126"/>
      <c r="D626" s="334" t="s">
        <v>7940</v>
      </c>
      <c r="E626" s="335" t="s">
        <v>7941</v>
      </c>
      <c r="F626" s="335" t="s">
        <v>7942</v>
      </c>
    </row>
    <row r="627" spans="2:6" x14ac:dyDescent="0.25">
      <c r="B627" s="126"/>
      <c r="C627" s="126"/>
      <c r="D627" s="334" t="s">
        <v>147</v>
      </c>
      <c r="E627" s="335" t="s">
        <v>148</v>
      </c>
      <c r="F627" s="335" t="s">
        <v>909</v>
      </c>
    </row>
    <row r="628" spans="2:6" x14ac:dyDescent="0.25">
      <c r="B628" s="126"/>
      <c r="C628" s="126"/>
      <c r="D628" s="334" t="s">
        <v>4591</v>
      </c>
      <c r="E628" s="335" t="s">
        <v>4594</v>
      </c>
      <c r="F628" s="335" t="s">
        <v>4595</v>
      </c>
    </row>
    <row r="629" spans="2:6" x14ac:dyDescent="0.25">
      <c r="B629" s="126"/>
      <c r="C629" s="126"/>
      <c r="D629" s="334" t="s">
        <v>7943</v>
      </c>
      <c r="E629" s="335" t="s">
        <v>7944</v>
      </c>
      <c r="F629" s="335" t="s">
        <v>7945</v>
      </c>
    </row>
    <row r="630" spans="2:6" x14ac:dyDescent="0.25">
      <c r="B630" s="126"/>
      <c r="C630" s="126"/>
      <c r="D630" s="334" t="s">
        <v>7946</v>
      </c>
      <c r="E630" s="335" t="s">
        <v>7947</v>
      </c>
      <c r="F630" s="335" t="s">
        <v>7948</v>
      </c>
    </row>
    <row r="631" spans="2:6" x14ac:dyDescent="0.25">
      <c r="B631" s="126"/>
      <c r="C631" s="126"/>
      <c r="D631" s="334" t="s">
        <v>7949</v>
      </c>
      <c r="E631" s="335" t="s">
        <v>7950</v>
      </c>
      <c r="F631" s="335" t="s">
        <v>7951</v>
      </c>
    </row>
    <row r="632" spans="2:6" x14ac:dyDescent="0.25">
      <c r="B632" s="126"/>
      <c r="C632" s="126"/>
      <c r="D632" s="334" t="s">
        <v>7952</v>
      </c>
      <c r="E632" s="335" t="s">
        <v>7953</v>
      </c>
      <c r="F632" s="335" t="s">
        <v>7954</v>
      </c>
    </row>
    <row r="633" spans="2:6" x14ac:dyDescent="0.25">
      <c r="B633" s="126"/>
      <c r="C633" s="126"/>
      <c r="D633" s="334" t="s">
        <v>1384</v>
      </c>
      <c r="E633" s="335" t="s">
        <v>1385</v>
      </c>
      <c r="F633" s="335" t="s">
        <v>1883</v>
      </c>
    </row>
    <row r="634" spans="2:6" x14ac:dyDescent="0.25">
      <c r="B634" s="126"/>
      <c r="C634" s="126"/>
      <c r="D634" s="334" t="s">
        <v>7955</v>
      </c>
      <c r="E634" s="335" t="s">
        <v>7956</v>
      </c>
      <c r="F634" s="335" t="s">
        <v>7957</v>
      </c>
    </row>
    <row r="635" spans="2:6" x14ac:dyDescent="0.25">
      <c r="B635" s="126"/>
      <c r="C635" s="126"/>
      <c r="D635" s="334" t="s">
        <v>7958</v>
      </c>
      <c r="E635" s="335" t="s">
        <v>7959</v>
      </c>
      <c r="F635" s="335" t="s">
        <v>7960</v>
      </c>
    </row>
    <row r="636" spans="2:6" x14ac:dyDescent="0.25">
      <c r="B636" s="126"/>
      <c r="C636" s="126"/>
      <c r="D636" s="334" t="s">
        <v>7961</v>
      </c>
      <c r="E636" s="335" t="s">
        <v>7962</v>
      </c>
      <c r="F636" s="335" t="s">
        <v>7963</v>
      </c>
    </row>
    <row r="637" spans="2:6" x14ac:dyDescent="0.25">
      <c r="B637" s="126"/>
      <c r="C637" s="126"/>
      <c r="D637" s="334" t="s">
        <v>7964</v>
      </c>
      <c r="E637" s="335" t="s">
        <v>7965</v>
      </c>
      <c r="F637" s="335" t="s">
        <v>7966</v>
      </c>
    </row>
    <row r="638" spans="2:6" x14ac:dyDescent="0.25">
      <c r="B638" s="126"/>
      <c r="C638" s="126"/>
      <c r="D638" s="334" t="s">
        <v>7967</v>
      </c>
      <c r="E638" s="335" t="s">
        <v>7968</v>
      </c>
      <c r="F638" s="335" t="s">
        <v>7969</v>
      </c>
    </row>
    <row r="639" spans="2:6" x14ac:dyDescent="0.25">
      <c r="B639" s="126"/>
      <c r="C639" s="126"/>
      <c r="D639" s="334" t="s">
        <v>7970</v>
      </c>
      <c r="E639" s="335" t="s">
        <v>7971</v>
      </c>
      <c r="F639" s="335" t="s">
        <v>7972</v>
      </c>
    </row>
    <row r="640" spans="2:6" x14ac:dyDescent="0.25">
      <c r="B640" s="126"/>
      <c r="C640" s="126"/>
      <c r="D640" s="334" t="s">
        <v>7973</v>
      </c>
      <c r="E640" s="335" t="s">
        <v>7974</v>
      </c>
      <c r="F640" s="335" t="s">
        <v>7975</v>
      </c>
    </row>
    <row r="641" spans="2:6" x14ac:dyDescent="0.25">
      <c r="B641" s="126"/>
      <c r="C641" s="126"/>
      <c r="D641" s="334" t="s">
        <v>7976</v>
      </c>
      <c r="E641" s="335" t="s">
        <v>1606</v>
      </c>
      <c r="F641" s="335" t="s">
        <v>1607</v>
      </c>
    </row>
    <row r="642" spans="2:6" x14ac:dyDescent="0.25">
      <c r="B642" s="126"/>
      <c r="C642" s="126"/>
      <c r="D642" s="334" t="s">
        <v>7977</v>
      </c>
      <c r="E642" s="335" t="s">
        <v>7978</v>
      </c>
      <c r="F642" s="335" t="s">
        <v>7979</v>
      </c>
    </row>
    <row r="643" spans="2:6" x14ac:dyDescent="0.25">
      <c r="B643" s="126"/>
      <c r="C643" s="126"/>
      <c r="D643" s="334" t="s">
        <v>7980</v>
      </c>
      <c r="E643" s="335" t="s">
        <v>7981</v>
      </c>
      <c r="F643" s="335"/>
    </row>
    <row r="644" spans="2:6" x14ac:dyDescent="0.25">
      <c r="B644" s="126"/>
      <c r="C644" s="126"/>
      <c r="D644" s="334" t="s">
        <v>2500</v>
      </c>
      <c r="E644" s="335" t="s">
        <v>2501</v>
      </c>
      <c r="F644" s="335" t="s">
        <v>2502</v>
      </c>
    </row>
    <row r="645" spans="2:6" x14ac:dyDescent="0.25">
      <c r="B645" s="126"/>
      <c r="C645" s="126"/>
      <c r="D645" s="334" t="s">
        <v>7982</v>
      </c>
      <c r="E645" s="335" t="s">
        <v>7983</v>
      </c>
      <c r="F645" s="335" t="s">
        <v>7984</v>
      </c>
    </row>
    <row r="646" spans="2:6" x14ac:dyDescent="0.25">
      <c r="B646" s="126"/>
      <c r="C646" s="126"/>
      <c r="D646" s="334" t="s">
        <v>7985</v>
      </c>
      <c r="E646" s="335" t="s">
        <v>7986</v>
      </c>
      <c r="F646" s="335" t="s">
        <v>7987</v>
      </c>
    </row>
    <row r="647" spans="2:6" x14ac:dyDescent="0.25">
      <c r="B647" s="126"/>
      <c r="C647" s="126"/>
      <c r="D647" s="334" t="s">
        <v>7988</v>
      </c>
      <c r="E647" s="335" t="s">
        <v>7989</v>
      </c>
      <c r="F647" s="335" t="s">
        <v>7990</v>
      </c>
    </row>
    <row r="648" spans="2:6" x14ac:dyDescent="0.25">
      <c r="B648" s="126"/>
      <c r="C648" s="126"/>
      <c r="D648" s="334" t="s">
        <v>7991</v>
      </c>
      <c r="E648" s="335" t="s">
        <v>7992</v>
      </c>
      <c r="F648" s="335" t="s">
        <v>7993</v>
      </c>
    </row>
    <row r="649" spans="2:6" x14ac:dyDescent="0.25">
      <c r="B649" s="126"/>
      <c r="C649" s="126"/>
      <c r="D649" s="334" t="s">
        <v>7994</v>
      </c>
      <c r="E649" s="335" t="s">
        <v>7995</v>
      </c>
      <c r="F649" s="335" t="s">
        <v>7996</v>
      </c>
    </row>
    <row r="650" spans="2:6" x14ac:dyDescent="0.25">
      <c r="B650" s="126"/>
      <c r="C650" s="126"/>
      <c r="D650" s="334" t="s">
        <v>7997</v>
      </c>
      <c r="E650" s="335" t="s">
        <v>7998</v>
      </c>
      <c r="F650" s="335" t="s">
        <v>7999</v>
      </c>
    </row>
    <row r="651" spans="2:6" x14ac:dyDescent="0.25">
      <c r="B651" s="126"/>
      <c r="C651" s="126"/>
      <c r="D651" s="334" t="s">
        <v>8000</v>
      </c>
      <c r="E651" s="335" t="s">
        <v>8001</v>
      </c>
      <c r="F651" s="335" t="s">
        <v>8002</v>
      </c>
    </row>
    <row r="652" spans="2:6" x14ac:dyDescent="0.25">
      <c r="B652" s="126"/>
      <c r="C652" s="126"/>
      <c r="D652" s="334" t="s">
        <v>8003</v>
      </c>
      <c r="E652" s="335" t="s">
        <v>8004</v>
      </c>
      <c r="F652" s="335" t="s">
        <v>8005</v>
      </c>
    </row>
    <row r="653" spans="2:6" x14ac:dyDescent="0.25">
      <c r="B653" s="126"/>
      <c r="C653" s="126"/>
      <c r="D653" s="334" t="s">
        <v>8006</v>
      </c>
      <c r="E653" s="335" t="s">
        <v>8007</v>
      </c>
      <c r="F653" s="335" t="s">
        <v>8008</v>
      </c>
    </row>
    <row r="654" spans="2:6" x14ac:dyDescent="0.25">
      <c r="B654" s="126"/>
      <c r="C654" s="126"/>
      <c r="D654" s="334" t="s">
        <v>8009</v>
      </c>
      <c r="E654" s="335" t="s">
        <v>8010</v>
      </c>
      <c r="F654" s="335" t="s">
        <v>8011</v>
      </c>
    </row>
    <row r="655" spans="2:6" x14ac:dyDescent="0.25">
      <c r="B655" s="126"/>
      <c r="C655" s="126"/>
      <c r="D655" s="334" t="s">
        <v>8012</v>
      </c>
      <c r="E655" s="335" t="s">
        <v>8013</v>
      </c>
      <c r="F655" s="335" t="s">
        <v>8014</v>
      </c>
    </row>
    <row r="656" spans="2:6" x14ac:dyDescent="0.25">
      <c r="B656" s="126"/>
      <c r="C656" s="126"/>
      <c r="D656" s="334" t="s">
        <v>8015</v>
      </c>
      <c r="E656" s="335" t="s">
        <v>8016</v>
      </c>
      <c r="F656" s="335" t="s">
        <v>8017</v>
      </c>
    </row>
    <row r="657" spans="2:6" x14ac:dyDescent="0.25">
      <c r="B657" s="126"/>
      <c r="C657" s="126"/>
      <c r="D657" s="334" t="s">
        <v>2624</v>
      </c>
      <c r="E657" s="335" t="s">
        <v>2625</v>
      </c>
      <c r="F657" s="335" t="s">
        <v>2626</v>
      </c>
    </row>
    <row r="658" spans="2:6" x14ac:dyDescent="0.25">
      <c r="B658" s="126"/>
      <c r="C658" s="126"/>
      <c r="D658" s="334" t="s">
        <v>2709</v>
      </c>
      <c r="E658" s="335" t="s">
        <v>2710</v>
      </c>
      <c r="F658" s="335" t="s">
        <v>2711</v>
      </c>
    </row>
    <row r="659" spans="2:6" x14ac:dyDescent="0.25">
      <c r="B659" s="126"/>
      <c r="C659" s="126"/>
      <c r="D659" s="334" t="s">
        <v>8018</v>
      </c>
      <c r="E659" s="335" t="s">
        <v>8019</v>
      </c>
      <c r="F659" s="335" t="s">
        <v>8020</v>
      </c>
    </row>
    <row r="660" spans="2:6" x14ac:dyDescent="0.25">
      <c r="B660" s="126"/>
      <c r="C660" s="126"/>
      <c r="D660" s="334" t="s">
        <v>8021</v>
      </c>
      <c r="E660" s="335" t="s">
        <v>8022</v>
      </c>
      <c r="F660" s="335" t="s">
        <v>8023</v>
      </c>
    </row>
    <row r="661" spans="2:6" x14ac:dyDescent="0.25">
      <c r="B661" s="126"/>
      <c r="C661" s="126"/>
      <c r="D661" s="334" t="s">
        <v>8024</v>
      </c>
      <c r="E661" s="335" t="s">
        <v>8025</v>
      </c>
      <c r="F661" s="335" t="s">
        <v>8026</v>
      </c>
    </row>
    <row r="662" spans="2:6" x14ac:dyDescent="0.25">
      <c r="B662" s="126"/>
      <c r="C662" s="126"/>
      <c r="D662" s="334" t="s">
        <v>6220</v>
      </c>
      <c r="E662" s="335" t="s">
        <v>6221</v>
      </c>
      <c r="F662" s="335" t="s">
        <v>6222</v>
      </c>
    </row>
    <row r="663" spans="2:6" x14ac:dyDescent="0.25">
      <c r="B663" s="126"/>
      <c r="C663" s="126"/>
      <c r="D663" s="334" t="s">
        <v>8027</v>
      </c>
      <c r="E663" s="335" t="s">
        <v>8028</v>
      </c>
      <c r="F663" s="335" t="s">
        <v>8029</v>
      </c>
    </row>
    <row r="664" spans="2:6" x14ac:dyDescent="0.25">
      <c r="B664" s="126"/>
      <c r="C664" s="126"/>
      <c r="D664" s="334" t="s">
        <v>4343</v>
      </c>
      <c r="E664" s="335" t="s">
        <v>8030</v>
      </c>
      <c r="F664" s="335" t="s">
        <v>8031</v>
      </c>
    </row>
    <row r="665" spans="2:6" x14ac:dyDescent="0.25">
      <c r="B665" s="126"/>
      <c r="C665" s="126"/>
      <c r="D665" s="334" t="s">
        <v>8032</v>
      </c>
      <c r="E665" s="335" t="s">
        <v>8033</v>
      </c>
      <c r="F665" s="335" t="s">
        <v>8034</v>
      </c>
    </row>
    <row r="666" spans="2:6" x14ac:dyDescent="0.25">
      <c r="B666" s="126"/>
      <c r="C666" s="126"/>
      <c r="D666" s="334" t="s">
        <v>8035</v>
      </c>
      <c r="E666" s="335" t="s">
        <v>8036</v>
      </c>
      <c r="F666" s="335" t="s">
        <v>8037</v>
      </c>
    </row>
    <row r="667" spans="2:6" x14ac:dyDescent="0.25">
      <c r="B667" s="126"/>
      <c r="C667" s="126"/>
      <c r="D667" s="334" t="s">
        <v>8038</v>
      </c>
      <c r="E667" s="335" t="s">
        <v>8039</v>
      </c>
      <c r="F667" s="335" t="s">
        <v>8040</v>
      </c>
    </row>
    <row r="668" spans="2:6" x14ac:dyDescent="0.25">
      <c r="B668" s="126"/>
      <c r="C668" s="126"/>
      <c r="D668" s="334" t="s">
        <v>5489</v>
      </c>
      <c r="E668" s="335" t="s">
        <v>8041</v>
      </c>
      <c r="F668" s="335" t="s">
        <v>8042</v>
      </c>
    </row>
    <row r="669" spans="2:6" x14ac:dyDescent="0.25">
      <c r="B669" s="126"/>
      <c r="C669" s="126"/>
      <c r="D669" s="334" t="s">
        <v>8043</v>
      </c>
      <c r="E669" s="335" t="s">
        <v>8044</v>
      </c>
      <c r="F669" s="335" t="s">
        <v>8045</v>
      </c>
    </row>
    <row r="670" spans="2:6" x14ac:dyDescent="0.25">
      <c r="B670" s="126"/>
      <c r="C670" s="126"/>
      <c r="D670" s="334" t="s">
        <v>8046</v>
      </c>
      <c r="E670" s="335" t="s">
        <v>8047</v>
      </c>
      <c r="F670" s="335" t="s">
        <v>8048</v>
      </c>
    </row>
    <row r="671" spans="2:6" x14ac:dyDescent="0.25">
      <c r="B671" s="126"/>
      <c r="C671" s="126"/>
      <c r="D671" s="334" t="s">
        <v>8049</v>
      </c>
      <c r="E671" s="335" t="s">
        <v>8050</v>
      </c>
      <c r="F671" s="335" t="s">
        <v>8051</v>
      </c>
    </row>
    <row r="672" spans="2:6" x14ac:dyDescent="0.25">
      <c r="B672" s="126"/>
      <c r="C672" s="126"/>
      <c r="D672" s="334" t="s">
        <v>8052</v>
      </c>
      <c r="E672" s="335" t="s">
        <v>8053</v>
      </c>
      <c r="F672" s="335" t="s">
        <v>8054</v>
      </c>
    </row>
    <row r="673" spans="2:6" x14ac:dyDescent="0.25">
      <c r="B673" s="126"/>
      <c r="C673" s="126"/>
      <c r="D673" s="334" t="s">
        <v>8055</v>
      </c>
      <c r="E673" s="335" t="s">
        <v>8056</v>
      </c>
      <c r="F673" s="335" t="s">
        <v>8057</v>
      </c>
    </row>
    <row r="674" spans="2:6" x14ac:dyDescent="0.25">
      <c r="B674" s="126"/>
      <c r="C674" s="126"/>
      <c r="D674" s="334" t="s">
        <v>8058</v>
      </c>
      <c r="E674" s="335" t="s">
        <v>8059</v>
      </c>
      <c r="F674" s="335" t="s">
        <v>8060</v>
      </c>
    </row>
    <row r="675" spans="2:6" x14ac:dyDescent="0.25">
      <c r="B675" s="126"/>
      <c r="C675" s="126"/>
      <c r="D675" s="334" t="s">
        <v>8061</v>
      </c>
      <c r="E675" s="335" t="s">
        <v>8062</v>
      </c>
      <c r="F675" s="335" t="s">
        <v>8063</v>
      </c>
    </row>
    <row r="676" spans="2:6" x14ac:dyDescent="0.25">
      <c r="B676" s="126"/>
      <c r="C676" s="126"/>
      <c r="D676" s="334" t="s">
        <v>8064</v>
      </c>
      <c r="E676" s="335" t="s">
        <v>8065</v>
      </c>
      <c r="F676" s="335" t="s">
        <v>8066</v>
      </c>
    </row>
    <row r="677" spans="2:6" x14ac:dyDescent="0.25">
      <c r="B677" s="126"/>
      <c r="C677" s="126"/>
      <c r="D677" s="334" t="s">
        <v>8067</v>
      </c>
      <c r="E677" s="335" t="s">
        <v>8068</v>
      </c>
      <c r="F677" s="335" t="s">
        <v>8069</v>
      </c>
    </row>
    <row r="678" spans="2:6" x14ac:dyDescent="0.25">
      <c r="B678" s="126"/>
      <c r="C678" s="126"/>
      <c r="D678" s="334" t="s">
        <v>8070</v>
      </c>
      <c r="E678" s="335" t="s">
        <v>8071</v>
      </c>
      <c r="F678" s="335" t="s">
        <v>8072</v>
      </c>
    </row>
    <row r="679" spans="2:6" x14ac:dyDescent="0.25">
      <c r="B679" s="126"/>
      <c r="C679" s="126"/>
      <c r="D679" s="334" t="s">
        <v>8073</v>
      </c>
      <c r="E679" s="335" t="s">
        <v>8074</v>
      </c>
      <c r="F679" s="335" t="s">
        <v>8075</v>
      </c>
    </row>
    <row r="680" spans="2:6" x14ac:dyDescent="0.25">
      <c r="B680" s="126"/>
      <c r="C680" s="126"/>
      <c r="D680" s="334" t="s">
        <v>8076</v>
      </c>
      <c r="E680" s="335" t="s">
        <v>8077</v>
      </c>
      <c r="F680" s="335" t="s">
        <v>8078</v>
      </c>
    </row>
    <row r="681" spans="2:6" x14ac:dyDescent="0.25">
      <c r="B681" s="126"/>
      <c r="C681" s="126"/>
      <c r="D681" s="334" t="s">
        <v>8079</v>
      </c>
      <c r="E681" s="335" t="s">
        <v>8080</v>
      </c>
      <c r="F681" s="335" t="s">
        <v>8081</v>
      </c>
    </row>
    <row r="682" spans="2:6" x14ac:dyDescent="0.25">
      <c r="B682" s="126"/>
      <c r="C682" s="126"/>
      <c r="D682" s="334" t="s">
        <v>8082</v>
      </c>
      <c r="E682" s="335" t="s">
        <v>8083</v>
      </c>
      <c r="F682" s="335" t="s">
        <v>8084</v>
      </c>
    </row>
    <row r="683" spans="2:6" x14ac:dyDescent="0.25">
      <c r="B683" s="126"/>
      <c r="C683" s="126"/>
      <c r="D683" s="334" t="s">
        <v>8085</v>
      </c>
      <c r="E683" s="335" t="s">
        <v>8086</v>
      </c>
      <c r="F683" s="335" t="s">
        <v>8087</v>
      </c>
    </row>
    <row r="684" spans="2:6" x14ac:dyDescent="0.25">
      <c r="B684" s="126"/>
      <c r="C684" s="126"/>
      <c r="D684" s="334" t="s">
        <v>8088</v>
      </c>
      <c r="E684" s="335" t="s">
        <v>8089</v>
      </c>
      <c r="F684" s="335" t="s">
        <v>8090</v>
      </c>
    </row>
    <row r="685" spans="2:6" x14ac:dyDescent="0.25">
      <c r="B685" s="126"/>
      <c r="C685" s="126"/>
      <c r="D685" s="334" t="s">
        <v>2002</v>
      </c>
      <c r="E685" s="335" t="s">
        <v>2003</v>
      </c>
      <c r="F685" s="335" t="s">
        <v>2004</v>
      </c>
    </row>
    <row r="686" spans="2:6" x14ac:dyDescent="0.25">
      <c r="B686" s="126"/>
      <c r="C686" s="126"/>
      <c r="D686" s="334" t="s">
        <v>8091</v>
      </c>
      <c r="E686" s="335" t="s">
        <v>8092</v>
      </c>
      <c r="F686" s="335" t="s">
        <v>8093</v>
      </c>
    </row>
    <row r="687" spans="2:6" x14ac:dyDescent="0.25">
      <c r="B687" s="126"/>
      <c r="C687" s="126"/>
      <c r="D687" s="334" t="s">
        <v>8094</v>
      </c>
      <c r="E687" s="335" t="s">
        <v>8095</v>
      </c>
      <c r="F687" s="335" t="s">
        <v>8096</v>
      </c>
    </row>
    <row r="688" spans="2:6" x14ac:dyDescent="0.25">
      <c r="B688" s="126"/>
      <c r="C688" s="126"/>
      <c r="D688" s="334" t="s">
        <v>2883</v>
      </c>
      <c r="E688" s="335" t="s">
        <v>8097</v>
      </c>
      <c r="F688" s="335" t="s">
        <v>8098</v>
      </c>
    </row>
    <row r="689" spans="2:6" x14ac:dyDescent="0.25">
      <c r="B689" s="126"/>
      <c r="C689" s="126"/>
      <c r="D689" s="334" t="s">
        <v>5485</v>
      </c>
      <c r="E689" s="335" t="s">
        <v>8099</v>
      </c>
      <c r="F689" s="335" t="s">
        <v>8100</v>
      </c>
    </row>
    <row r="690" spans="2:6" x14ac:dyDescent="0.25">
      <c r="B690" s="126"/>
      <c r="C690" s="126"/>
      <c r="D690" s="334" t="s">
        <v>8101</v>
      </c>
      <c r="E690" s="335" t="s">
        <v>8102</v>
      </c>
      <c r="F690" s="335" t="s">
        <v>8103</v>
      </c>
    </row>
    <row r="691" spans="2:6" x14ac:dyDescent="0.25">
      <c r="B691" s="126"/>
      <c r="C691" s="126"/>
      <c r="D691" s="334" t="s">
        <v>8104</v>
      </c>
      <c r="E691" s="335" t="s">
        <v>8105</v>
      </c>
      <c r="F691" s="335" t="s">
        <v>8106</v>
      </c>
    </row>
    <row r="692" spans="2:6" x14ac:dyDescent="0.25">
      <c r="B692" s="126"/>
      <c r="C692" s="126"/>
      <c r="D692" s="334" t="s">
        <v>1731</v>
      </c>
      <c r="E692" s="335" t="s">
        <v>1732</v>
      </c>
      <c r="F692" s="335" t="s">
        <v>1733</v>
      </c>
    </row>
    <row r="693" spans="2:6" x14ac:dyDescent="0.25">
      <c r="B693" s="126"/>
      <c r="C693" s="126"/>
      <c r="D693" s="334" t="s">
        <v>8107</v>
      </c>
      <c r="E693" s="335" t="s">
        <v>8108</v>
      </c>
      <c r="F693" s="335" t="s">
        <v>8109</v>
      </c>
    </row>
    <row r="694" spans="2:6" x14ac:dyDescent="0.25">
      <c r="B694" s="126"/>
      <c r="C694" s="126"/>
      <c r="D694" s="334" t="s">
        <v>8110</v>
      </c>
      <c r="E694" s="335" t="s">
        <v>8111</v>
      </c>
      <c r="F694" s="335"/>
    </row>
    <row r="695" spans="2:6" x14ac:dyDescent="0.25">
      <c r="B695" s="126"/>
      <c r="C695" s="126"/>
      <c r="D695" s="334" t="s">
        <v>2716</v>
      </c>
      <c r="E695" s="335" t="s">
        <v>2717</v>
      </c>
      <c r="F695" s="335" t="s">
        <v>2718</v>
      </c>
    </row>
    <row r="696" spans="2:6" x14ac:dyDescent="0.25">
      <c r="B696" s="126"/>
      <c r="C696" s="126"/>
      <c r="D696" s="334" t="s">
        <v>8112</v>
      </c>
      <c r="E696" s="335" t="s">
        <v>8113</v>
      </c>
      <c r="F696" s="335" t="s">
        <v>8114</v>
      </c>
    </row>
    <row r="697" spans="2:6" x14ac:dyDescent="0.25">
      <c r="B697" s="126"/>
      <c r="C697" s="126"/>
      <c r="D697" s="334" t="s">
        <v>8115</v>
      </c>
      <c r="E697" s="335" t="s">
        <v>8116</v>
      </c>
      <c r="F697" s="335" t="s">
        <v>8117</v>
      </c>
    </row>
    <row r="698" spans="2:6" x14ac:dyDescent="0.25">
      <c r="B698" s="126"/>
      <c r="C698" s="126"/>
      <c r="D698" s="334" t="s">
        <v>8118</v>
      </c>
      <c r="E698" s="335" t="s">
        <v>8119</v>
      </c>
      <c r="F698" s="335" t="s">
        <v>8120</v>
      </c>
    </row>
    <row r="699" spans="2:6" x14ac:dyDescent="0.25">
      <c r="B699" s="126"/>
      <c r="C699" s="126"/>
      <c r="D699" s="334" t="s">
        <v>8121</v>
      </c>
      <c r="E699" s="335" t="s">
        <v>8122</v>
      </c>
      <c r="F699" s="335" t="s">
        <v>8123</v>
      </c>
    </row>
    <row r="700" spans="2:6" x14ac:dyDescent="0.25">
      <c r="B700" s="126"/>
      <c r="C700" s="126"/>
      <c r="D700" s="334" t="s">
        <v>8124</v>
      </c>
      <c r="E700" s="335" t="s">
        <v>8125</v>
      </c>
      <c r="F700" s="335" t="s">
        <v>8126</v>
      </c>
    </row>
    <row r="701" spans="2:6" x14ac:dyDescent="0.25">
      <c r="B701" s="126"/>
      <c r="C701" s="126"/>
      <c r="D701" s="334" t="s">
        <v>8127</v>
      </c>
      <c r="E701" s="335" t="s">
        <v>8128</v>
      </c>
      <c r="F701" s="335" t="s">
        <v>8129</v>
      </c>
    </row>
    <row r="702" spans="2:6" x14ac:dyDescent="0.25">
      <c r="B702" s="126"/>
      <c r="C702" s="126"/>
      <c r="D702" s="334" t="s">
        <v>8130</v>
      </c>
      <c r="E702" s="335" t="s">
        <v>8131</v>
      </c>
      <c r="F702" s="335" t="s">
        <v>8132</v>
      </c>
    </row>
    <row r="703" spans="2:6" x14ac:dyDescent="0.25">
      <c r="B703" s="126"/>
      <c r="C703" s="126"/>
      <c r="D703" s="334" t="s">
        <v>8133</v>
      </c>
      <c r="E703" s="335" t="s">
        <v>8134</v>
      </c>
      <c r="F703" s="335" t="s">
        <v>8135</v>
      </c>
    </row>
    <row r="704" spans="2:6" x14ac:dyDescent="0.25">
      <c r="B704" s="126"/>
      <c r="C704" s="126"/>
      <c r="D704" s="334" t="s">
        <v>8136</v>
      </c>
      <c r="E704" s="335" t="s">
        <v>8137</v>
      </c>
      <c r="F704" s="335" t="s">
        <v>8138</v>
      </c>
    </row>
    <row r="705" spans="2:6" x14ac:dyDescent="0.25">
      <c r="B705" s="126"/>
      <c r="C705" s="126"/>
      <c r="D705" s="334" t="s">
        <v>8139</v>
      </c>
      <c r="E705" s="335" t="s">
        <v>8140</v>
      </c>
      <c r="F705" s="335" t="s">
        <v>8141</v>
      </c>
    </row>
    <row r="706" spans="2:6" x14ac:dyDescent="0.25">
      <c r="B706" s="126"/>
      <c r="C706" s="126"/>
      <c r="D706" s="334" t="s">
        <v>8142</v>
      </c>
      <c r="E706" s="335" t="s">
        <v>8143</v>
      </c>
      <c r="F706" s="335" t="s">
        <v>8144</v>
      </c>
    </row>
    <row r="707" spans="2:6" x14ac:dyDescent="0.25">
      <c r="B707" s="126"/>
      <c r="C707" s="126"/>
      <c r="D707" s="334" t="s">
        <v>8145</v>
      </c>
      <c r="E707" s="335" t="s">
        <v>8146</v>
      </c>
      <c r="F707" s="335" t="s">
        <v>8147</v>
      </c>
    </row>
    <row r="708" spans="2:6" x14ac:dyDescent="0.25">
      <c r="B708" s="126"/>
      <c r="C708" s="126"/>
      <c r="D708" s="334" t="s">
        <v>8148</v>
      </c>
      <c r="E708" s="335" t="s">
        <v>8149</v>
      </c>
      <c r="F708" s="335" t="s">
        <v>8150</v>
      </c>
    </row>
    <row r="709" spans="2:6" x14ac:dyDescent="0.25">
      <c r="B709" s="126"/>
      <c r="C709" s="126"/>
      <c r="D709" s="334" t="s">
        <v>8151</v>
      </c>
      <c r="E709" s="335" t="s">
        <v>8152</v>
      </c>
      <c r="F709" s="335" t="s">
        <v>8153</v>
      </c>
    </row>
    <row r="710" spans="2:6" x14ac:dyDescent="0.25">
      <c r="B710" s="126"/>
      <c r="C710" s="126"/>
      <c r="D710" s="334" t="s">
        <v>8154</v>
      </c>
      <c r="E710" s="335" t="s">
        <v>8155</v>
      </c>
      <c r="F710" s="335" t="s">
        <v>8156</v>
      </c>
    </row>
    <row r="711" spans="2:6" x14ac:dyDescent="0.25">
      <c r="B711" s="126"/>
      <c r="C711" s="126"/>
      <c r="D711" s="334" t="s">
        <v>2651</v>
      </c>
      <c r="E711" s="335" t="s">
        <v>2652</v>
      </c>
      <c r="F711" s="335" t="s">
        <v>2653</v>
      </c>
    </row>
    <row r="712" spans="2:6" x14ac:dyDescent="0.25">
      <c r="B712" s="126"/>
      <c r="C712" s="126"/>
      <c r="D712" s="334" t="s">
        <v>4660</v>
      </c>
      <c r="E712" s="335" t="s">
        <v>8157</v>
      </c>
      <c r="F712" s="335" t="s">
        <v>8158</v>
      </c>
    </row>
    <row r="713" spans="2:6" x14ac:dyDescent="0.25">
      <c r="B713" s="126"/>
      <c r="C713" s="126"/>
      <c r="D713" s="334" t="s">
        <v>8159</v>
      </c>
      <c r="E713" s="335" t="s">
        <v>8160</v>
      </c>
      <c r="F713" s="335" t="s">
        <v>8161</v>
      </c>
    </row>
    <row r="714" spans="2:6" x14ac:dyDescent="0.25">
      <c r="B714" s="126"/>
      <c r="C714" s="126"/>
      <c r="D714" s="334" t="s">
        <v>8162</v>
      </c>
      <c r="E714" s="335" t="s">
        <v>8163</v>
      </c>
      <c r="F714" s="335" t="s">
        <v>8164</v>
      </c>
    </row>
    <row r="715" spans="2:6" x14ac:dyDescent="0.25">
      <c r="B715" s="126"/>
      <c r="C715" s="126"/>
      <c r="D715" s="334" t="s">
        <v>8165</v>
      </c>
      <c r="E715" s="335" t="s">
        <v>8166</v>
      </c>
      <c r="F715" s="335" t="s">
        <v>8167</v>
      </c>
    </row>
    <row r="716" spans="2:6" x14ac:dyDescent="0.25">
      <c r="B716" s="126"/>
      <c r="C716" s="126"/>
      <c r="D716" s="334" t="s">
        <v>8168</v>
      </c>
      <c r="E716" s="335" t="s">
        <v>8169</v>
      </c>
      <c r="F716" s="335" t="s">
        <v>8170</v>
      </c>
    </row>
    <row r="717" spans="2:6" x14ac:dyDescent="0.25">
      <c r="B717" s="126"/>
      <c r="C717" s="126"/>
      <c r="D717" s="334" t="s">
        <v>8171</v>
      </c>
      <c r="E717" s="335" t="s">
        <v>8172</v>
      </c>
      <c r="F717" s="335" t="s">
        <v>8173</v>
      </c>
    </row>
    <row r="718" spans="2:6" x14ac:dyDescent="0.25">
      <c r="B718" s="126"/>
      <c r="C718" s="126"/>
      <c r="D718" s="334" t="s">
        <v>8174</v>
      </c>
      <c r="E718" s="335" t="s">
        <v>8175</v>
      </c>
      <c r="F718" s="335" t="s">
        <v>8176</v>
      </c>
    </row>
    <row r="719" spans="2:6" x14ac:dyDescent="0.25">
      <c r="B719" s="126"/>
      <c r="C719" s="126"/>
      <c r="D719" s="334" t="s">
        <v>8177</v>
      </c>
      <c r="E719" s="335" t="s">
        <v>8178</v>
      </c>
      <c r="F719" s="335" t="s">
        <v>8179</v>
      </c>
    </row>
    <row r="720" spans="2:6" x14ac:dyDescent="0.25">
      <c r="B720" s="126"/>
      <c r="C720" s="126"/>
      <c r="D720" s="334" t="s">
        <v>4868</v>
      </c>
      <c r="E720" s="335" t="s">
        <v>8180</v>
      </c>
      <c r="F720" s="335" t="s">
        <v>8181</v>
      </c>
    </row>
    <row r="721" spans="2:6" x14ac:dyDescent="0.25">
      <c r="B721" s="126"/>
      <c r="C721" s="126"/>
      <c r="D721" s="334" t="s">
        <v>8182</v>
      </c>
      <c r="E721" s="335" t="s">
        <v>8183</v>
      </c>
      <c r="F721" s="335" t="s">
        <v>8184</v>
      </c>
    </row>
    <row r="722" spans="2:6" x14ac:dyDescent="0.25">
      <c r="B722" s="126"/>
      <c r="C722" s="126"/>
      <c r="D722" s="334" t="s">
        <v>3098</v>
      </c>
      <c r="E722" s="335" t="s">
        <v>3352</v>
      </c>
      <c r="F722" s="335" t="s">
        <v>3099</v>
      </c>
    </row>
    <row r="723" spans="2:6" x14ac:dyDescent="0.25">
      <c r="B723" s="126"/>
      <c r="C723" s="126"/>
      <c r="D723" s="334" t="s">
        <v>8185</v>
      </c>
      <c r="E723" s="335" t="s">
        <v>8186</v>
      </c>
      <c r="F723" s="335" t="s">
        <v>8187</v>
      </c>
    </row>
    <row r="724" spans="2:6" x14ac:dyDescent="0.25">
      <c r="B724" s="126"/>
      <c r="C724" s="126"/>
      <c r="D724" s="334" t="s">
        <v>8188</v>
      </c>
      <c r="E724" s="335" t="s">
        <v>8189</v>
      </c>
      <c r="F724" s="335" t="s">
        <v>8190</v>
      </c>
    </row>
    <row r="725" spans="2:6" x14ac:dyDescent="0.25">
      <c r="B725" s="126"/>
      <c r="C725" s="126"/>
      <c r="D725" s="334" t="s">
        <v>8191</v>
      </c>
      <c r="E725" s="335" t="s">
        <v>3353</v>
      </c>
      <c r="F725" s="335" t="s">
        <v>3354</v>
      </c>
    </row>
    <row r="726" spans="2:6" x14ac:dyDescent="0.25">
      <c r="B726" s="126"/>
      <c r="C726" s="126"/>
      <c r="D726" s="334" t="s">
        <v>8192</v>
      </c>
      <c r="E726" s="335" t="s">
        <v>8193</v>
      </c>
      <c r="F726" s="335" t="s">
        <v>8194</v>
      </c>
    </row>
    <row r="727" spans="2:6" x14ac:dyDescent="0.25">
      <c r="B727" s="126"/>
      <c r="C727" s="126"/>
      <c r="D727" s="334" t="s">
        <v>8195</v>
      </c>
      <c r="E727" s="335" t="s">
        <v>8196</v>
      </c>
      <c r="F727" s="335" t="s">
        <v>8197</v>
      </c>
    </row>
    <row r="728" spans="2:6" x14ac:dyDescent="0.25">
      <c r="B728" s="126"/>
      <c r="C728" s="126"/>
      <c r="D728" s="334" t="s">
        <v>8198</v>
      </c>
      <c r="E728" s="335" t="s">
        <v>8199</v>
      </c>
      <c r="F728" s="335" t="s">
        <v>8200</v>
      </c>
    </row>
    <row r="729" spans="2:6" x14ac:dyDescent="0.25">
      <c r="B729" s="126"/>
      <c r="C729" s="126"/>
      <c r="D729" s="334" t="s">
        <v>8201</v>
      </c>
      <c r="E729" s="335" t="s">
        <v>8202</v>
      </c>
      <c r="F729" s="335" t="s">
        <v>8203</v>
      </c>
    </row>
    <row r="730" spans="2:6" x14ac:dyDescent="0.25">
      <c r="B730" s="126"/>
      <c r="C730" s="126"/>
      <c r="D730" s="334" t="s">
        <v>3348</v>
      </c>
      <c r="E730" s="335" t="s">
        <v>8204</v>
      </c>
      <c r="F730" s="335" t="s">
        <v>3349</v>
      </c>
    </row>
    <row r="731" spans="2:6" x14ac:dyDescent="0.25">
      <c r="B731" s="126"/>
      <c r="C731" s="126"/>
      <c r="D731" s="334" t="s">
        <v>8205</v>
      </c>
      <c r="E731" s="335" t="s">
        <v>8206</v>
      </c>
      <c r="F731" s="335" t="s">
        <v>8207</v>
      </c>
    </row>
    <row r="732" spans="2:6" x14ac:dyDescent="0.25">
      <c r="B732" s="126"/>
      <c r="C732" s="126"/>
      <c r="D732" s="334" t="s">
        <v>8208</v>
      </c>
      <c r="E732" s="335" t="s">
        <v>8209</v>
      </c>
      <c r="F732" s="335" t="s">
        <v>8210</v>
      </c>
    </row>
    <row r="733" spans="2:6" x14ac:dyDescent="0.25">
      <c r="B733" s="126"/>
      <c r="C733" s="126"/>
      <c r="D733" s="334" t="s">
        <v>8211</v>
      </c>
      <c r="E733" s="335" t="s">
        <v>8212</v>
      </c>
      <c r="F733" s="335" t="s">
        <v>8213</v>
      </c>
    </row>
    <row r="734" spans="2:6" x14ac:dyDescent="0.25">
      <c r="B734" s="126"/>
      <c r="C734" s="126"/>
      <c r="D734" s="334" t="s">
        <v>8214</v>
      </c>
      <c r="E734" s="335" t="s">
        <v>8215</v>
      </c>
      <c r="F734" s="335" t="s">
        <v>8216</v>
      </c>
    </row>
    <row r="735" spans="2:6" x14ac:dyDescent="0.25">
      <c r="B735" s="126"/>
      <c r="C735" s="126"/>
      <c r="D735" s="334" t="s">
        <v>8217</v>
      </c>
      <c r="E735" s="335" t="s">
        <v>8218</v>
      </c>
      <c r="F735" s="335" t="s">
        <v>8219</v>
      </c>
    </row>
    <row r="736" spans="2:6" x14ac:dyDescent="0.25">
      <c r="B736" s="126"/>
      <c r="C736" s="126"/>
      <c r="D736" s="334" t="s">
        <v>8220</v>
      </c>
      <c r="E736" s="335" t="s">
        <v>8221</v>
      </c>
      <c r="F736" s="335" t="s">
        <v>8222</v>
      </c>
    </row>
    <row r="737" spans="2:6" x14ac:dyDescent="0.25">
      <c r="B737" s="126"/>
      <c r="C737" s="126"/>
      <c r="D737" s="334" t="s">
        <v>8223</v>
      </c>
      <c r="E737" s="335" t="s">
        <v>8224</v>
      </c>
      <c r="F737" s="335" t="s">
        <v>8225</v>
      </c>
    </row>
    <row r="738" spans="2:6" x14ac:dyDescent="0.25">
      <c r="B738" s="126"/>
      <c r="C738" s="126"/>
      <c r="D738" s="334" t="s">
        <v>2586</v>
      </c>
      <c r="E738" s="335" t="s">
        <v>2587</v>
      </c>
      <c r="F738" s="335" t="s">
        <v>2588</v>
      </c>
    </row>
    <row r="739" spans="2:6" x14ac:dyDescent="0.25">
      <c r="B739" s="126"/>
      <c r="C739" s="126"/>
      <c r="D739" s="334" t="s">
        <v>8226</v>
      </c>
      <c r="E739" s="335" t="s">
        <v>8227</v>
      </c>
      <c r="F739" s="335" t="s">
        <v>8228</v>
      </c>
    </row>
    <row r="740" spans="2:6" x14ac:dyDescent="0.25">
      <c r="B740" s="126"/>
      <c r="C740" s="126"/>
      <c r="D740" s="334" t="s">
        <v>8229</v>
      </c>
      <c r="E740" s="335" t="s">
        <v>8230</v>
      </c>
      <c r="F740" s="335" t="s">
        <v>8231</v>
      </c>
    </row>
    <row r="741" spans="2:6" x14ac:dyDescent="0.25">
      <c r="B741" s="126"/>
      <c r="C741" s="126"/>
      <c r="D741" s="334" t="s">
        <v>8232</v>
      </c>
      <c r="E741" s="335" t="s">
        <v>8233</v>
      </c>
      <c r="F741" s="335" t="s">
        <v>8234</v>
      </c>
    </row>
    <row r="742" spans="2:6" x14ac:dyDescent="0.25">
      <c r="B742" s="126"/>
      <c r="C742" s="126"/>
      <c r="D742" s="334" t="s">
        <v>8235</v>
      </c>
      <c r="E742" s="335" t="s">
        <v>8236</v>
      </c>
      <c r="F742" s="335" t="s">
        <v>8237</v>
      </c>
    </row>
    <row r="743" spans="2:6" x14ac:dyDescent="0.25">
      <c r="B743" s="126"/>
      <c r="C743" s="126"/>
      <c r="D743" s="334" t="s">
        <v>180</v>
      </c>
      <c r="E743" s="335" t="s">
        <v>1657</v>
      </c>
      <c r="F743" s="335" t="s">
        <v>181</v>
      </c>
    </row>
    <row r="744" spans="2:6" x14ac:dyDescent="0.25">
      <c r="B744" s="126"/>
      <c r="C744" s="126"/>
      <c r="D744" s="334" t="s">
        <v>8238</v>
      </c>
      <c r="E744" s="335" t="s">
        <v>8239</v>
      </c>
      <c r="F744" s="335" t="s">
        <v>8240</v>
      </c>
    </row>
    <row r="745" spans="2:6" x14ac:dyDescent="0.25">
      <c r="B745" s="126"/>
      <c r="C745" s="126"/>
      <c r="D745" s="334" t="s">
        <v>8241</v>
      </c>
      <c r="E745" s="335" t="s">
        <v>8242</v>
      </c>
      <c r="F745" s="335" t="s">
        <v>8243</v>
      </c>
    </row>
    <row r="746" spans="2:6" x14ac:dyDescent="0.25">
      <c r="B746" s="126"/>
      <c r="C746" s="126"/>
      <c r="D746" s="334" t="s">
        <v>8244</v>
      </c>
      <c r="E746" s="335" t="s">
        <v>8245</v>
      </c>
      <c r="F746" s="335" t="s">
        <v>8246</v>
      </c>
    </row>
    <row r="747" spans="2:6" x14ac:dyDescent="0.25">
      <c r="B747" s="126"/>
      <c r="C747" s="126"/>
      <c r="D747" s="334" t="s">
        <v>8247</v>
      </c>
      <c r="E747" s="335" t="s">
        <v>8248</v>
      </c>
      <c r="F747" s="335" t="s">
        <v>8249</v>
      </c>
    </row>
    <row r="748" spans="2:6" x14ac:dyDescent="0.25">
      <c r="B748" s="126"/>
      <c r="C748" s="126"/>
      <c r="D748" s="334" t="s">
        <v>8250</v>
      </c>
      <c r="E748" s="335" t="s">
        <v>8251</v>
      </c>
      <c r="F748" s="335" t="s">
        <v>8252</v>
      </c>
    </row>
    <row r="749" spans="2:6" x14ac:dyDescent="0.25">
      <c r="B749" s="126"/>
      <c r="C749" s="126"/>
      <c r="D749" s="334" t="s">
        <v>8253</v>
      </c>
      <c r="E749" s="335" t="s">
        <v>8254</v>
      </c>
      <c r="F749" s="335" t="s">
        <v>8255</v>
      </c>
    </row>
    <row r="750" spans="2:6" x14ac:dyDescent="0.25">
      <c r="B750" s="126"/>
      <c r="C750" s="126"/>
      <c r="D750" s="334" t="s">
        <v>8256</v>
      </c>
      <c r="E750" s="335" t="s">
        <v>8257</v>
      </c>
      <c r="F750" s="335" t="s">
        <v>8258</v>
      </c>
    </row>
    <row r="751" spans="2:6" x14ac:dyDescent="0.25">
      <c r="B751" s="126"/>
      <c r="C751" s="126"/>
      <c r="D751" s="334" t="s">
        <v>8259</v>
      </c>
      <c r="E751" s="335" t="s">
        <v>8260</v>
      </c>
      <c r="F751" s="335" t="s">
        <v>8261</v>
      </c>
    </row>
    <row r="752" spans="2:6" x14ac:dyDescent="0.25">
      <c r="B752" s="126"/>
      <c r="C752" s="126"/>
      <c r="D752" s="334" t="s">
        <v>8262</v>
      </c>
      <c r="E752" s="335" t="s">
        <v>8263</v>
      </c>
      <c r="F752" s="335" t="s">
        <v>8264</v>
      </c>
    </row>
    <row r="753" spans="2:6" x14ac:dyDescent="0.25">
      <c r="B753" s="126"/>
      <c r="C753" s="126"/>
      <c r="D753" s="334" t="s">
        <v>8265</v>
      </c>
      <c r="E753" s="335" t="s">
        <v>8266</v>
      </c>
      <c r="F753" s="335" t="s">
        <v>8267</v>
      </c>
    </row>
    <row r="754" spans="2:6" x14ac:dyDescent="0.25">
      <c r="B754" s="126"/>
      <c r="C754" s="126"/>
      <c r="D754" s="334" t="s">
        <v>5716</v>
      </c>
      <c r="E754" s="335" t="s">
        <v>5963</v>
      </c>
      <c r="F754" s="335" t="s">
        <v>5964</v>
      </c>
    </row>
    <row r="755" spans="2:6" x14ac:dyDescent="0.25">
      <c r="B755" s="126"/>
      <c r="C755" s="126"/>
      <c r="D755" s="334" t="s">
        <v>8268</v>
      </c>
      <c r="E755" s="335" t="s">
        <v>8269</v>
      </c>
      <c r="F755" s="335" t="s">
        <v>8270</v>
      </c>
    </row>
    <row r="756" spans="2:6" x14ac:dyDescent="0.25">
      <c r="B756" s="126"/>
      <c r="C756" s="126"/>
      <c r="D756" s="334" t="s">
        <v>8271</v>
      </c>
      <c r="E756" s="335" t="s">
        <v>8272</v>
      </c>
      <c r="F756" s="335" t="s">
        <v>8273</v>
      </c>
    </row>
    <row r="757" spans="2:6" x14ac:dyDescent="0.25">
      <c r="B757" s="126"/>
      <c r="C757" s="126"/>
      <c r="D757" s="334" t="s">
        <v>467</v>
      </c>
      <c r="E757" s="335" t="s">
        <v>8274</v>
      </c>
      <c r="F757" s="335" t="s">
        <v>468</v>
      </c>
    </row>
    <row r="758" spans="2:6" x14ac:dyDescent="0.25">
      <c r="B758" s="126"/>
      <c r="C758" s="126"/>
      <c r="D758" s="334" t="s">
        <v>8275</v>
      </c>
      <c r="E758" s="335" t="s">
        <v>8276</v>
      </c>
      <c r="F758" s="335" t="s">
        <v>8277</v>
      </c>
    </row>
    <row r="759" spans="2:6" x14ac:dyDescent="0.25">
      <c r="B759" s="126"/>
      <c r="C759" s="126"/>
      <c r="D759" s="334" t="s">
        <v>8278</v>
      </c>
      <c r="E759" s="335" t="s">
        <v>8279</v>
      </c>
      <c r="F759" s="335" t="s">
        <v>8280</v>
      </c>
    </row>
    <row r="760" spans="2:6" x14ac:dyDescent="0.25">
      <c r="B760" s="126"/>
      <c r="C760" s="126"/>
      <c r="D760" s="334" t="s">
        <v>8281</v>
      </c>
      <c r="E760" s="335" t="s">
        <v>8282</v>
      </c>
      <c r="F760" s="335" t="s">
        <v>8283</v>
      </c>
    </row>
    <row r="761" spans="2:6" x14ac:dyDescent="0.25">
      <c r="B761" s="126"/>
      <c r="C761" s="126"/>
      <c r="D761" s="334" t="s">
        <v>8284</v>
      </c>
      <c r="E761" s="335" t="s">
        <v>8285</v>
      </c>
      <c r="F761" s="335" t="s">
        <v>8286</v>
      </c>
    </row>
    <row r="762" spans="2:6" x14ac:dyDescent="0.25">
      <c r="B762" s="126"/>
      <c r="C762" s="126"/>
      <c r="D762" s="334" t="s">
        <v>8287</v>
      </c>
      <c r="E762" s="335" t="s">
        <v>8288</v>
      </c>
      <c r="F762" s="335" t="s">
        <v>8289</v>
      </c>
    </row>
    <row r="763" spans="2:6" x14ac:dyDescent="0.25">
      <c r="B763" s="126"/>
      <c r="C763" s="126"/>
      <c r="D763" s="334" t="s">
        <v>1774</v>
      </c>
      <c r="E763" s="335" t="s">
        <v>1775</v>
      </c>
      <c r="F763" s="335" t="s">
        <v>1776</v>
      </c>
    </row>
    <row r="764" spans="2:6" x14ac:dyDescent="0.25">
      <c r="B764" s="126"/>
      <c r="C764" s="126"/>
      <c r="D764" s="334" t="s">
        <v>8290</v>
      </c>
      <c r="E764" s="335" t="s">
        <v>8291</v>
      </c>
      <c r="F764" s="335" t="s">
        <v>8292</v>
      </c>
    </row>
    <row r="765" spans="2:6" x14ac:dyDescent="0.25">
      <c r="B765" s="126"/>
      <c r="C765" s="126"/>
      <c r="D765" s="334" t="s">
        <v>8293</v>
      </c>
      <c r="E765" s="335" t="s">
        <v>8294</v>
      </c>
      <c r="F765" s="335" t="s">
        <v>8295</v>
      </c>
    </row>
    <row r="766" spans="2:6" x14ac:dyDescent="0.25">
      <c r="B766" s="126"/>
      <c r="C766" s="126"/>
      <c r="D766" s="334" t="s">
        <v>8296</v>
      </c>
      <c r="E766" s="335" t="s">
        <v>8297</v>
      </c>
      <c r="F766" s="335" t="s">
        <v>8298</v>
      </c>
    </row>
    <row r="767" spans="2:6" x14ac:dyDescent="0.25">
      <c r="B767" s="126"/>
      <c r="C767" s="126"/>
      <c r="D767" s="334" t="s">
        <v>1261</v>
      </c>
      <c r="E767" s="335" t="s">
        <v>1262</v>
      </c>
      <c r="F767" s="335" t="s">
        <v>8299</v>
      </c>
    </row>
    <row r="768" spans="2:6" x14ac:dyDescent="0.25">
      <c r="B768" s="126"/>
      <c r="C768" s="126"/>
      <c r="D768" s="334" t="s">
        <v>8300</v>
      </c>
      <c r="E768" s="335" t="s">
        <v>8301</v>
      </c>
      <c r="F768" s="335" t="s">
        <v>8302</v>
      </c>
    </row>
    <row r="769" spans="2:6" x14ac:dyDescent="0.25">
      <c r="B769" s="126"/>
      <c r="C769" s="126"/>
      <c r="D769" s="334" t="s">
        <v>8303</v>
      </c>
      <c r="E769" s="335" t="s">
        <v>8304</v>
      </c>
      <c r="F769" s="335" t="s">
        <v>8305</v>
      </c>
    </row>
    <row r="770" spans="2:6" x14ac:dyDescent="0.25">
      <c r="B770" s="126"/>
      <c r="C770" s="126"/>
      <c r="D770" s="334" t="s">
        <v>8306</v>
      </c>
      <c r="E770" s="335" t="s">
        <v>8307</v>
      </c>
      <c r="F770" s="335" t="s">
        <v>8308</v>
      </c>
    </row>
    <row r="771" spans="2:6" x14ac:dyDescent="0.25">
      <c r="B771" s="126"/>
      <c r="C771" s="126"/>
      <c r="D771" s="334" t="s">
        <v>8309</v>
      </c>
      <c r="E771" s="335" t="s">
        <v>8310</v>
      </c>
      <c r="F771" s="335" t="s">
        <v>8311</v>
      </c>
    </row>
    <row r="772" spans="2:6" x14ac:dyDescent="0.25">
      <c r="B772" s="126"/>
      <c r="C772" s="126"/>
      <c r="D772" s="334" t="s">
        <v>8312</v>
      </c>
      <c r="E772" s="335" t="s">
        <v>8313</v>
      </c>
      <c r="F772" s="335" t="s">
        <v>8314</v>
      </c>
    </row>
    <row r="773" spans="2:6" x14ac:dyDescent="0.25">
      <c r="B773" s="126"/>
      <c r="C773" s="126"/>
      <c r="D773" s="334" t="s">
        <v>8315</v>
      </c>
      <c r="E773" s="335" t="s">
        <v>8316</v>
      </c>
      <c r="F773" s="335" t="s">
        <v>8317</v>
      </c>
    </row>
    <row r="774" spans="2:6" x14ac:dyDescent="0.25">
      <c r="B774" s="126"/>
      <c r="C774" s="126"/>
      <c r="D774" s="334" t="s">
        <v>8318</v>
      </c>
      <c r="E774" s="335" t="s">
        <v>8319</v>
      </c>
      <c r="F774" s="335" t="s">
        <v>8320</v>
      </c>
    </row>
    <row r="775" spans="2:6" x14ac:dyDescent="0.25">
      <c r="B775" s="126"/>
      <c r="C775" s="126"/>
      <c r="D775" s="334" t="s">
        <v>8321</v>
      </c>
      <c r="E775" s="335" t="s">
        <v>8322</v>
      </c>
      <c r="F775" s="335" t="s">
        <v>8323</v>
      </c>
    </row>
    <row r="776" spans="2:6" x14ac:dyDescent="0.25">
      <c r="B776" s="126"/>
      <c r="C776" s="126"/>
      <c r="D776" s="334" t="s">
        <v>8324</v>
      </c>
      <c r="E776" s="335" t="s">
        <v>8325</v>
      </c>
      <c r="F776" s="335" t="s">
        <v>8326</v>
      </c>
    </row>
    <row r="777" spans="2:6" x14ac:dyDescent="0.25">
      <c r="B777" s="126"/>
      <c r="C777" s="126"/>
      <c r="D777" s="334" t="s">
        <v>8327</v>
      </c>
      <c r="E777" s="335" t="s">
        <v>8328</v>
      </c>
      <c r="F777" s="335" t="s">
        <v>8329</v>
      </c>
    </row>
    <row r="778" spans="2:6" x14ac:dyDescent="0.25">
      <c r="B778" s="126"/>
      <c r="C778" s="126"/>
      <c r="D778" s="334" t="s">
        <v>8330</v>
      </c>
      <c r="E778" s="335" t="s">
        <v>8331</v>
      </c>
      <c r="F778" s="335" t="s">
        <v>8332</v>
      </c>
    </row>
    <row r="779" spans="2:6" x14ac:dyDescent="0.25">
      <c r="B779" s="126"/>
      <c r="C779" s="126"/>
      <c r="D779" s="334" t="s">
        <v>8333</v>
      </c>
      <c r="E779" s="335" t="s">
        <v>8334</v>
      </c>
      <c r="F779" s="335" t="s">
        <v>8335</v>
      </c>
    </row>
    <row r="780" spans="2:6" x14ac:dyDescent="0.25">
      <c r="B780" s="126"/>
      <c r="C780" s="126"/>
      <c r="D780" s="334" t="s">
        <v>8336</v>
      </c>
      <c r="E780" s="335" t="s">
        <v>8337</v>
      </c>
      <c r="F780" s="335" t="s">
        <v>8338</v>
      </c>
    </row>
    <row r="781" spans="2:6" x14ac:dyDescent="0.25">
      <c r="B781" s="126"/>
      <c r="C781" s="126"/>
      <c r="D781" s="334" t="s">
        <v>8339</v>
      </c>
      <c r="E781" s="335" t="s">
        <v>8340</v>
      </c>
      <c r="F781" s="335" t="s">
        <v>8341</v>
      </c>
    </row>
    <row r="782" spans="2:6" x14ac:dyDescent="0.25">
      <c r="B782" s="126"/>
      <c r="C782" s="126"/>
      <c r="D782" s="334" t="s">
        <v>8342</v>
      </c>
      <c r="E782" s="335" t="s">
        <v>8343</v>
      </c>
      <c r="F782" s="335" t="s">
        <v>8344</v>
      </c>
    </row>
    <row r="783" spans="2:6" x14ac:dyDescent="0.25">
      <c r="B783" s="126"/>
      <c r="C783" s="126"/>
      <c r="D783" s="334" t="s">
        <v>184</v>
      </c>
      <c r="E783" s="335" t="s">
        <v>185</v>
      </c>
      <c r="F783" s="335" t="s">
        <v>186</v>
      </c>
    </row>
    <row r="784" spans="2:6" x14ac:dyDescent="0.25">
      <c r="B784" s="126"/>
      <c r="C784" s="126"/>
      <c r="D784" s="334" t="s">
        <v>8345</v>
      </c>
      <c r="E784" s="335" t="s">
        <v>8346</v>
      </c>
      <c r="F784" s="335" t="s">
        <v>8347</v>
      </c>
    </row>
    <row r="785" spans="2:6" x14ac:dyDescent="0.25">
      <c r="B785" s="126"/>
      <c r="C785" s="126"/>
      <c r="D785" s="334" t="s">
        <v>8348</v>
      </c>
      <c r="E785" s="335" t="s">
        <v>8349</v>
      </c>
      <c r="F785" s="335" t="s">
        <v>8350</v>
      </c>
    </row>
    <row r="786" spans="2:6" x14ac:dyDescent="0.25">
      <c r="B786" s="126"/>
      <c r="C786" s="126"/>
      <c r="D786" s="334" t="s">
        <v>5312</v>
      </c>
      <c r="E786" s="335" t="s">
        <v>8351</v>
      </c>
      <c r="F786" s="335" t="s">
        <v>8352</v>
      </c>
    </row>
    <row r="787" spans="2:6" x14ac:dyDescent="0.25">
      <c r="B787" s="126"/>
      <c r="C787" s="126"/>
      <c r="D787" s="334" t="s">
        <v>4126</v>
      </c>
      <c r="E787" s="335" t="s">
        <v>8353</v>
      </c>
      <c r="F787" s="335" t="s">
        <v>8354</v>
      </c>
    </row>
    <row r="788" spans="2:6" x14ac:dyDescent="0.25">
      <c r="B788" s="126"/>
      <c r="C788" s="126"/>
      <c r="D788" s="334" t="s">
        <v>8355</v>
      </c>
      <c r="E788" s="335" t="s">
        <v>8356</v>
      </c>
      <c r="F788" s="335" t="s">
        <v>8357</v>
      </c>
    </row>
    <row r="789" spans="2:6" x14ac:dyDescent="0.25">
      <c r="B789" s="126"/>
      <c r="C789" s="126"/>
      <c r="D789" s="334" t="s">
        <v>8358</v>
      </c>
      <c r="E789" s="335" t="s">
        <v>8359</v>
      </c>
      <c r="F789" s="335" t="s">
        <v>8360</v>
      </c>
    </row>
    <row r="790" spans="2:6" x14ac:dyDescent="0.25">
      <c r="B790" s="126"/>
      <c r="C790" s="126"/>
      <c r="D790" s="334" t="s">
        <v>8361</v>
      </c>
      <c r="E790" s="335" t="s">
        <v>8362</v>
      </c>
      <c r="F790" s="335" t="s">
        <v>8363</v>
      </c>
    </row>
    <row r="791" spans="2:6" x14ac:dyDescent="0.25">
      <c r="B791" s="126"/>
      <c r="C791" s="126"/>
      <c r="D791" s="334" t="s">
        <v>8364</v>
      </c>
      <c r="E791" s="335" t="s">
        <v>8365</v>
      </c>
      <c r="F791" s="335" t="s">
        <v>8366</v>
      </c>
    </row>
    <row r="792" spans="2:6" x14ac:dyDescent="0.25">
      <c r="B792" s="126"/>
      <c r="C792" s="126"/>
      <c r="D792" s="334" t="s">
        <v>8367</v>
      </c>
      <c r="E792" s="335" t="s">
        <v>8368</v>
      </c>
      <c r="F792" s="335" t="s">
        <v>8369</v>
      </c>
    </row>
    <row r="793" spans="2:6" x14ac:dyDescent="0.25">
      <c r="B793" s="126"/>
      <c r="C793" s="126"/>
      <c r="D793" s="334" t="s">
        <v>8370</v>
      </c>
      <c r="E793" s="335" t="s">
        <v>8371</v>
      </c>
      <c r="F793" s="335" t="s">
        <v>8372</v>
      </c>
    </row>
    <row r="794" spans="2:6" x14ac:dyDescent="0.25">
      <c r="B794" s="126"/>
      <c r="C794" s="126"/>
      <c r="D794" s="334" t="s">
        <v>8373</v>
      </c>
      <c r="E794" s="335" t="s">
        <v>8374</v>
      </c>
      <c r="F794" s="335" t="s">
        <v>8375</v>
      </c>
    </row>
    <row r="795" spans="2:6" x14ac:dyDescent="0.25">
      <c r="B795" s="126"/>
      <c r="C795" s="126"/>
      <c r="D795" s="334" t="s">
        <v>8376</v>
      </c>
      <c r="E795" s="335" t="s">
        <v>8377</v>
      </c>
      <c r="F795" s="335" t="s">
        <v>8378</v>
      </c>
    </row>
    <row r="796" spans="2:6" x14ac:dyDescent="0.25">
      <c r="B796" s="126"/>
      <c r="C796" s="126"/>
      <c r="D796" s="334" t="s">
        <v>8379</v>
      </c>
      <c r="E796" s="335" t="s">
        <v>8380</v>
      </c>
      <c r="F796" s="335" t="s">
        <v>8381</v>
      </c>
    </row>
    <row r="797" spans="2:6" x14ac:dyDescent="0.25">
      <c r="B797" s="126"/>
      <c r="C797" s="126"/>
      <c r="D797" s="334" t="s">
        <v>8382</v>
      </c>
      <c r="E797" s="335" t="s">
        <v>8383</v>
      </c>
      <c r="F797" s="335" t="s">
        <v>8384</v>
      </c>
    </row>
    <row r="798" spans="2:6" x14ac:dyDescent="0.25">
      <c r="B798" s="126"/>
      <c r="C798" s="126"/>
      <c r="D798" s="334" t="s">
        <v>8385</v>
      </c>
      <c r="E798" s="335" t="s">
        <v>8386</v>
      </c>
      <c r="F798" s="335" t="s">
        <v>8387</v>
      </c>
    </row>
    <row r="799" spans="2:6" x14ac:dyDescent="0.25">
      <c r="B799" s="126"/>
      <c r="C799" s="126"/>
      <c r="D799" s="334" t="s">
        <v>8388</v>
      </c>
      <c r="E799" s="335" t="s">
        <v>8389</v>
      </c>
      <c r="F799" s="335" t="s">
        <v>8390</v>
      </c>
    </row>
    <row r="800" spans="2:6" x14ac:dyDescent="0.25">
      <c r="B800" s="126"/>
      <c r="C800" s="126"/>
      <c r="D800" s="334" t="s">
        <v>8391</v>
      </c>
      <c r="E800" s="335" t="s">
        <v>8392</v>
      </c>
      <c r="F800" s="335" t="s">
        <v>8393</v>
      </c>
    </row>
    <row r="801" spans="2:6" x14ac:dyDescent="0.25">
      <c r="B801" s="126"/>
      <c r="C801" s="126"/>
      <c r="D801" s="334" t="s">
        <v>8394</v>
      </c>
      <c r="E801" s="335" t="s">
        <v>8395</v>
      </c>
      <c r="F801" s="335" t="s">
        <v>8396</v>
      </c>
    </row>
    <row r="802" spans="2:6" x14ac:dyDescent="0.25">
      <c r="B802" s="126"/>
      <c r="C802" s="126"/>
      <c r="D802" s="334" t="s">
        <v>8397</v>
      </c>
      <c r="E802" s="335" t="s">
        <v>8398</v>
      </c>
      <c r="F802" s="335" t="s">
        <v>8399</v>
      </c>
    </row>
    <row r="803" spans="2:6" x14ac:dyDescent="0.25">
      <c r="B803" s="126"/>
      <c r="C803" s="126"/>
      <c r="D803" s="334" t="s">
        <v>8400</v>
      </c>
      <c r="E803" s="335" t="s">
        <v>8401</v>
      </c>
      <c r="F803" s="335" t="s">
        <v>8402</v>
      </c>
    </row>
    <row r="804" spans="2:6" x14ac:dyDescent="0.25">
      <c r="B804" s="126"/>
      <c r="C804" s="126"/>
      <c r="D804" s="334" t="s">
        <v>8403</v>
      </c>
      <c r="E804" s="335" t="s">
        <v>8404</v>
      </c>
      <c r="F804" s="335" t="s">
        <v>8405</v>
      </c>
    </row>
    <row r="805" spans="2:6" x14ac:dyDescent="0.25">
      <c r="B805" s="126"/>
      <c r="C805" s="126"/>
      <c r="D805" s="334" t="s">
        <v>8406</v>
      </c>
      <c r="E805" s="335" t="s">
        <v>8407</v>
      </c>
      <c r="F805" s="335" t="s">
        <v>8408</v>
      </c>
    </row>
    <row r="806" spans="2:6" x14ac:dyDescent="0.25">
      <c r="B806" s="126"/>
      <c r="C806" s="126"/>
      <c r="D806" s="334" t="s">
        <v>8409</v>
      </c>
      <c r="E806" s="335" t="s">
        <v>8410</v>
      </c>
      <c r="F806" s="335" t="s">
        <v>8411</v>
      </c>
    </row>
    <row r="807" spans="2:6" x14ac:dyDescent="0.25">
      <c r="B807" s="126"/>
      <c r="C807" s="126"/>
      <c r="D807" s="334" t="s">
        <v>8412</v>
      </c>
      <c r="E807" s="335" t="s">
        <v>8413</v>
      </c>
      <c r="F807" s="335" t="s">
        <v>8414</v>
      </c>
    </row>
    <row r="808" spans="2:6" x14ac:dyDescent="0.25">
      <c r="B808" s="126"/>
      <c r="C808" s="126"/>
      <c r="D808" s="334" t="s">
        <v>8415</v>
      </c>
      <c r="E808" s="335" t="s">
        <v>8416</v>
      </c>
      <c r="F808" s="335" t="s">
        <v>8417</v>
      </c>
    </row>
    <row r="809" spans="2:6" x14ac:dyDescent="0.25">
      <c r="B809" s="126"/>
      <c r="C809" s="126"/>
      <c r="D809" s="334" t="s">
        <v>8418</v>
      </c>
      <c r="E809" s="335" t="s">
        <v>8419</v>
      </c>
      <c r="F809" s="335" t="s">
        <v>8420</v>
      </c>
    </row>
    <row r="810" spans="2:6" x14ac:dyDescent="0.25">
      <c r="B810" s="126"/>
      <c r="C810" s="126"/>
      <c r="D810" s="334" t="s">
        <v>1294</v>
      </c>
      <c r="E810" s="335" t="s">
        <v>1295</v>
      </c>
      <c r="F810" s="335" t="s">
        <v>8421</v>
      </c>
    </row>
    <row r="811" spans="2:6" x14ac:dyDescent="0.25">
      <c r="B811" s="126"/>
      <c r="C811" s="126"/>
      <c r="D811" s="334" t="s">
        <v>8422</v>
      </c>
      <c r="E811" s="335" t="s">
        <v>8423</v>
      </c>
      <c r="F811" s="335" t="s">
        <v>8424</v>
      </c>
    </row>
    <row r="812" spans="2:6" x14ac:dyDescent="0.25">
      <c r="B812" s="126"/>
      <c r="C812" s="126"/>
      <c r="D812" s="334" t="s">
        <v>8425</v>
      </c>
      <c r="E812" s="335" t="s">
        <v>8426</v>
      </c>
      <c r="F812" s="335" t="s">
        <v>8427</v>
      </c>
    </row>
    <row r="813" spans="2:6" x14ac:dyDescent="0.25">
      <c r="B813" s="126"/>
      <c r="C813" s="126"/>
      <c r="D813" s="334" t="s">
        <v>8428</v>
      </c>
      <c r="E813" s="335" t="s">
        <v>8429</v>
      </c>
      <c r="F813" s="335" t="s">
        <v>8430</v>
      </c>
    </row>
    <row r="814" spans="2:6" x14ac:dyDescent="0.25">
      <c r="B814" s="126"/>
      <c r="C814" s="126"/>
      <c r="D814" s="334" t="s">
        <v>8431</v>
      </c>
      <c r="E814" s="335" t="s">
        <v>8432</v>
      </c>
      <c r="F814" s="335" t="s">
        <v>8433</v>
      </c>
    </row>
    <row r="815" spans="2:6" x14ac:dyDescent="0.25">
      <c r="B815" s="126"/>
      <c r="C815" s="126"/>
      <c r="D815" s="334" t="s">
        <v>3983</v>
      </c>
      <c r="E815" s="335" t="s">
        <v>8434</v>
      </c>
      <c r="F815" s="335" t="s">
        <v>8435</v>
      </c>
    </row>
    <row r="816" spans="2:6" x14ac:dyDescent="0.25">
      <c r="B816" s="126"/>
      <c r="C816" s="126"/>
      <c r="D816" s="334" t="s">
        <v>8436</v>
      </c>
      <c r="E816" s="335" t="s">
        <v>8437</v>
      </c>
      <c r="F816" s="335" t="s">
        <v>8438</v>
      </c>
    </row>
    <row r="817" spans="2:6" x14ac:dyDescent="0.25">
      <c r="B817" s="126"/>
      <c r="C817" s="126"/>
      <c r="D817" s="334" t="s">
        <v>8439</v>
      </c>
      <c r="E817" s="335" t="s">
        <v>8440</v>
      </c>
      <c r="F817" s="335" t="s">
        <v>8441</v>
      </c>
    </row>
    <row r="818" spans="2:6" x14ac:dyDescent="0.25">
      <c r="B818" s="126"/>
      <c r="C818" s="126"/>
      <c r="D818" s="334" t="s">
        <v>8442</v>
      </c>
      <c r="E818" s="335" t="s">
        <v>8443</v>
      </c>
      <c r="F818" s="335" t="s">
        <v>8444</v>
      </c>
    </row>
    <row r="819" spans="2:6" x14ac:dyDescent="0.25">
      <c r="B819" s="126"/>
      <c r="C819" s="126"/>
      <c r="D819" s="334" t="s">
        <v>8445</v>
      </c>
      <c r="E819" s="335" t="s">
        <v>8446</v>
      </c>
      <c r="F819" s="335" t="s">
        <v>8447</v>
      </c>
    </row>
    <row r="820" spans="2:6" x14ac:dyDescent="0.25">
      <c r="B820" s="126"/>
      <c r="C820" s="126"/>
      <c r="D820" s="334" t="s">
        <v>8448</v>
      </c>
      <c r="E820" s="335" t="s">
        <v>8449</v>
      </c>
      <c r="F820" s="335" t="s">
        <v>8450</v>
      </c>
    </row>
    <row r="821" spans="2:6" x14ac:dyDescent="0.25">
      <c r="B821" s="126"/>
      <c r="C821" s="126"/>
      <c r="D821" s="334" t="s">
        <v>8451</v>
      </c>
      <c r="E821" s="335" t="s">
        <v>8452</v>
      </c>
      <c r="F821" s="335" t="s">
        <v>8453</v>
      </c>
    </row>
    <row r="822" spans="2:6" x14ac:dyDescent="0.25">
      <c r="B822" s="126"/>
      <c r="C822" s="126"/>
      <c r="D822" s="334" t="s">
        <v>8454</v>
      </c>
      <c r="E822" s="335" t="s">
        <v>8455</v>
      </c>
      <c r="F822" s="335" t="s">
        <v>8456</v>
      </c>
    </row>
    <row r="823" spans="2:6" x14ac:dyDescent="0.25">
      <c r="B823" s="126"/>
      <c r="C823" s="126"/>
      <c r="D823" s="334" t="s">
        <v>8457</v>
      </c>
      <c r="E823" s="335" t="s">
        <v>8458</v>
      </c>
      <c r="F823" s="335" t="s">
        <v>8459</v>
      </c>
    </row>
    <row r="824" spans="2:6" x14ac:dyDescent="0.25">
      <c r="B824" s="126"/>
      <c r="C824" s="126"/>
      <c r="D824" s="334" t="s">
        <v>8460</v>
      </c>
      <c r="E824" s="335" t="s">
        <v>8461</v>
      </c>
      <c r="F824" s="335" t="s">
        <v>8462</v>
      </c>
    </row>
    <row r="825" spans="2:6" x14ac:dyDescent="0.25">
      <c r="B825" s="126"/>
      <c r="C825" s="126"/>
      <c r="D825" s="334" t="s">
        <v>8463</v>
      </c>
      <c r="E825" s="335" t="s">
        <v>8464</v>
      </c>
      <c r="F825" s="335" t="s">
        <v>8465</v>
      </c>
    </row>
    <row r="826" spans="2:6" x14ac:dyDescent="0.25">
      <c r="B826" s="126"/>
      <c r="C826" s="126"/>
      <c r="D826" s="334" t="s">
        <v>8466</v>
      </c>
      <c r="E826" s="335" t="s">
        <v>8467</v>
      </c>
      <c r="F826" s="335" t="s">
        <v>8468</v>
      </c>
    </row>
    <row r="827" spans="2:6" x14ac:dyDescent="0.25">
      <c r="B827" s="126"/>
      <c r="C827" s="126"/>
      <c r="D827" s="334" t="s">
        <v>8469</v>
      </c>
      <c r="E827" s="335" t="s">
        <v>8470</v>
      </c>
      <c r="F827" s="335"/>
    </row>
    <row r="828" spans="2:6" x14ac:dyDescent="0.25">
      <c r="B828" s="126"/>
      <c r="C828" s="126"/>
      <c r="D828" s="334" t="s">
        <v>8471</v>
      </c>
      <c r="E828" s="335" t="s">
        <v>8472</v>
      </c>
      <c r="F828" s="335" t="s">
        <v>8473</v>
      </c>
    </row>
    <row r="829" spans="2:6" x14ac:dyDescent="0.25">
      <c r="B829" s="126"/>
      <c r="C829" s="126"/>
      <c r="D829" s="334" t="s">
        <v>8474</v>
      </c>
      <c r="E829" s="335" t="s">
        <v>8475</v>
      </c>
      <c r="F829" s="335" t="s">
        <v>8476</v>
      </c>
    </row>
    <row r="830" spans="2:6" x14ac:dyDescent="0.25">
      <c r="B830" s="126"/>
      <c r="C830" s="126"/>
      <c r="D830" s="334" t="s">
        <v>8477</v>
      </c>
      <c r="E830" s="335" t="s">
        <v>8478</v>
      </c>
      <c r="F830" s="335" t="s">
        <v>8479</v>
      </c>
    </row>
    <row r="831" spans="2:6" x14ac:dyDescent="0.25">
      <c r="B831" s="126"/>
      <c r="C831" s="126"/>
      <c r="D831" s="334" t="s">
        <v>8480</v>
      </c>
      <c r="E831" s="335" t="s">
        <v>8481</v>
      </c>
      <c r="F831" s="335" t="s">
        <v>8482</v>
      </c>
    </row>
    <row r="832" spans="2:6" x14ac:dyDescent="0.25">
      <c r="B832" s="126"/>
      <c r="C832" s="126"/>
      <c r="D832" s="334" t="s">
        <v>4213</v>
      </c>
      <c r="E832" s="335" t="s">
        <v>8483</v>
      </c>
      <c r="F832" s="335" t="s">
        <v>8484</v>
      </c>
    </row>
    <row r="833" spans="2:6" x14ac:dyDescent="0.25">
      <c r="B833" s="126"/>
      <c r="C833" s="126"/>
      <c r="D833" s="334" t="s">
        <v>8485</v>
      </c>
      <c r="E833" s="335" t="s">
        <v>8486</v>
      </c>
      <c r="F833" s="335" t="s">
        <v>8487</v>
      </c>
    </row>
    <row r="834" spans="2:6" x14ac:dyDescent="0.25">
      <c r="B834" s="126"/>
      <c r="C834" s="126"/>
      <c r="D834" s="334" t="s">
        <v>8488</v>
      </c>
      <c r="E834" s="335" t="s">
        <v>8489</v>
      </c>
      <c r="F834" s="335" t="s">
        <v>8490</v>
      </c>
    </row>
    <row r="835" spans="2:6" x14ac:dyDescent="0.25">
      <c r="B835" s="126"/>
      <c r="C835" s="126"/>
      <c r="D835" s="334" t="s">
        <v>8491</v>
      </c>
      <c r="E835" s="335" t="s">
        <v>8492</v>
      </c>
      <c r="F835" s="335" t="s">
        <v>8493</v>
      </c>
    </row>
    <row r="836" spans="2:6" x14ac:dyDescent="0.25">
      <c r="B836" s="126"/>
      <c r="C836" s="126"/>
      <c r="D836" s="334" t="s">
        <v>8494</v>
      </c>
      <c r="E836" s="335" t="s">
        <v>8495</v>
      </c>
      <c r="F836" s="335" t="s">
        <v>8496</v>
      </c>
    </row>
    <row r="837" spans="2:6" x14ac:dyDescent="0.25">
      <c r="B837" s="126"/>
      <c r="C837" s="126"/>
      <c r="D837" s="334" t="s">
        <v>194</v>
      </c>
      <c r="E837" s="335" t="s">
        <v>195</v>
      </c>
      <c r="F837" s="335" t="s">
        <v>196</v>
      </c>
    </row>
    <row r="838" spans="2:6" x14ac:dyDescent="0.25">
      <c r="B838" s="126"/>
      <c r="C838" s="126"/>
      <c r="D838" s="334" t="s">
        <v>8497</v>
      </c>
      <c r="E838" s="335" t="s">
        <v>8498</v>
      </c>
      <c r="F838" s="335" t="s">
        <v>8499</v>
      </c>
    </row>
    <row r="839" spans="2:6" x14ac:dyDescent="0.25">
      <c r="B839" s="126"/>
      <c r="C839" s="126"/>
      <c r="D839" s="334" t="s">
        <v>8500</v>
      </c>
      <c r="E839" s="335" t="s">
        <v>8501</v>
      </c>
      <c r="F839" s="335" t="s">
        <v>8502</v>
      </c>
    </row>
    <row r="840" spans="2:6" x14ac:dyDescent="0.25">
      <c r="B840" s="126"/>
      <c r="C840" s="126"/>
      <c r="D840" s="334" t="s">
        <v>3971</v>
      </c>
      <c r="E840" s="335" t="s">
        <v>3972</v>
      </c>
      <c r="F840" s="335" t="s">
        <v>3973</v>
      </c>
    </row>
    <row r="841" spans="2:6" x14ac:dyDescent="0.25">
      <c r="B841" s="126"/>
      <c r="C841" s="126"/>
      <c r="D841" s="334" t="s">
        <v>8503</v>
      </c>
      <c r="E841" s="335" t="s">
        <v>8504</v>
      </c>
      <c r="F841" s="335" t="s">
        <v>8505</v>
      </c>
    </row>
    <row r="842" spans="2:6" x14ac:dyDescent="0.25">
      <c r="B842" s="126"/>
      <c r="C842" s="126"/>
      <c r="D842" s="334" t="s">
        <v>8506</v>
      </c>
      <c r="E842" s="335" t="s">
        <v>8507</v>
      </c>
      <c r="F842" s="335" t="s">
        <v>8508</v>
      </c>
    </row>
    <row r="843" spans="2:6" x14ac:dyDescent="0.25">
      <c r="B843" s="126"/>
      <c r="C843" s="126"/>
      <c r="D843" s="334" t="s">
        <v>8509</v>
      </c>
      <c r="E843" s="335" t="s">
        <v>8510</v>
      </c>
      <c r="F843" s="335" t="s">
        <v>8511</v>
      </c>
    </row>
    <row r="844" spans="2:6" x14ac:dyDescent="0.25">
      <c r="B844" s="126"/>
      <c r="C844" s="126"/>
      <c r="D844" s="334" t="s">
        <v>8512</v>
      </c>
      <c r="E844" s="335" t="s">
        <v>8513</v>
      </c>
      <c r="F844" s="335" t="s">
        <v>8514</v>
      </c>
    </row>
    <row r="845" spans="2:6" x14ac:dyDescent="0.25">
      <c r="B845" s="126"/>
      <c r="C845" s="126"/>
      <c r="D845" s="334" t="s">
        <v>8515</v>
      </c>
      <c r="E845" s="335" t="s">
        <v>8516</v>
      </c>
      <c r="F845" s="335" t="s">
        <v>8517</v>
      </c>
    </row>
    <row r="846" spans="2:6" x14ac:dyDescent="0.25">
      <c r="B846" s="126"/>
      <c r="C846" s="126"/>
      <c r="D846" s="334" t="s">
        <v>8518</v>
      </c>
      <c r="E846" s="335" t="s">
        <v>8519</v>
      </c>
      <c r="F846" s="335" t="s">
        <v>8520</v>
      </c>
    </row>
    <row r="847" spans="2:6" x14ac:dyDescent="0.25">
      <c r="B847" s="126"/>
      <c r="C847" s="126"/>
      <c r="D847" s="334" t="s">
        <v>8521</v>
      </c>
      <c r="E847" s="335" t="s">
        <v>8522</v>
      </c>
      <c r="F847" s="335" t="s">
        <v>8523</v>
      </c>
    </row>
    <row r="848" spans="2:6" x14ac:dyDescent="0.25">
      <c r="B848" s="126"/>
      <c r="C848" s="126"/>
      <c r="D848" s="334" t="s">
        <v>8524</v>
      </c>
      <c r="E848" s="335" t="s">
        <v>8525</v>
      </c>
      <c r="F848" s="335" t="s">
        <v>8526</v>
      </c>
    </row>
    <row r="849" spans="2:6" x14ac:dyDescent="0.25">
      <c r="B849" s="126"/>
      <c r="C849" s="126"/>
      <c r="D849" s="334" t="s">
        <v>8527</v>
      </c>
      <c r="E849" s="335" t="s">
        <v>8528</v>
      </c>
      <c r="F849" s="335" t="s">
        <v>8529</v>
      </c>
    </row>
    <row r="850" spans="2:6" x14ac:dyDescent="0.25">
      <c r="B850" s="126"/>
      <c r="C850" s="126"/>
      <c r="D850" s="334" t="s">
        <v>892</v>
      </c>
      <c r="E850" s="335" t="s">
        <v>893</v>
      </c>
      <c r="F850" s="335" t="s">
        <v>894</v>
      </c>
    </row>
    <row r="851" spans="2:6" x14ac:dyDescent="0.25">
      <c r="B851" s="126"/>
      <c r="C851" s="126"/>
      <c r="D851" s="334" t="s">
        <v>8530</v>
      </c>
      <c r="E851" s="335" t="s">
        <v>8531</v>
      </c>
      <c r="F851" s="335" t="s">
        <v>8532</v>
      </c>
    </row>
    <row r="852" spans="2:6" x14ac:dyDescent="0.25">
      <c r="B852" s="126"/>
      <c r="C852" s="126"/>
      <c r="D852" s="334" t="s">
        <v>8533</v>
      </c>
      <c r="E852" s="335" t="s">
        <v>8534</v>
      </c>
      <c r="F852" s="335" t="s">
        <v>8535</v>
      </c>
    </row>
    <row r="853" spans="2:6" x14ac:dyDescent="0.25">
      <c r="B853" s="126"/>
      <c r="C853" s="126"/>
      <c r="D853" s="334" t="s">
        <v>8536</v>
      </c>
      <c r="E853" s="335" t="s">
        <v>8537</v>
      </c>
      <c r="F853" s="335" t="s">
        <v>8538</v>
      </c>
    </row>
    <row r="854" spans="2:6" x14ac:dyDescent="0.25">
      <c r="B854" s="126"/>
      <c r="C854" s="126"/>
      <c r="D854" s="334" t="s">
        <v>8539</v>
      </c>
      <c r="E854" s="335" t="s">
        <v>8540</v>
      </c>
      <c r="F854" s="335" t="s">
        <v>8541</v>
      </c>
    </row>
    <row r="855" spans="2:6" x14ac:dyDescent="0.25">
      <c r="B855" s="126"/>
      <c r="C855" s="126"/>
      <c r="D855" s="334" t="s">
        <v>8542</v>
      </c>
      <c r="E855" s="335" t="s">
        <v>8543</v>
      </c>
      <c r="F855" s="335" t="s">
        <v>8544</v>
      </c>
    </row>
    <row r="856" spans="2:6" x14ac:dyDescent="0.25">
      <c r="B856" s="126"/>
      <c r="C856" s="126"/>
      <c r="D856" s="334" t="s">
        <v>8545</v>
      </c>
      <c r="E856" s="335" t="s">
        <v>8546</v>
      </c>
      <c r="F856" s="335" t="s">
        <v>8547</v>
      </c>
    </row>
    <row r="857" spans="2:6" x14ac:dyDescent="0.25">
      <c r="B857" s="126"/>
      <c r="C857" s="126"/>
      <c r="D857" s="334" t="s">
        <v>8548</v>
      </c>
      <c r="E857" s="335" t="s">
        <v>8549</v>
      </c>
      <c r="F857" s="335" t="s">
        <v>8550</v>
      </c>
    </row>
    <row r="858" spans="2:6" x14ac:dyDescent="0.25">
      <c r="B858" s="126"/>
      <c r="C858" s="126"/>
      <c r="D858" s="334" t="s">
        <v>8551</v>
      </c>
      <c r="E858" s="335" t="s">
        <v>8552</v>
      </c>
      <c r="F858" s="335" t="s">
        <v>8553</v>
      </c>
    </row>
    <row r="859" spans="2:6" x14ac:dyDescent="0.25">
      <c r="B859" s="126"/>
      <c r="C859" s="126"/>
      <c r="D859" s="334" t="s">
        <v>8554</v>
      </c>
      <c r="E859" s="335" t="s">
        <v>8555</v>
      </c>
      <c r="F859" s="335" t="s">
        <v>8556</v>
      </c>
    </row>
    <row r="860" spans="2:6" x14ac:dyDescent="0.25">
      <c r="B860" s="126"/>
      <c r="C860" s="126"/>
      <c r="D860" s="334" t="s">
        <v>8557</v>
      </c>
      <c r="E860" s="335" t="s">
        <v>8558</v>
      </c>
      <c r="F860" s="335" t="s">
        <v>8559</v>
      </c>
    </row>
    <row r="861" spans="2:6" x14ac:dyDescent="0.25">
      <c r="B861" s="126"/>
      <c r="C861" s="126"/>
      <c r="D861" s="334" t="s">
        <v>8560</v>
      </c>
      <c r="E861" s="335" t="s">
        <v>8561</v>
      </c>
      <c r="F861" s="335" t="s">
        <v>8562</v>
      </c>
    </row>
    <row r="862" spans="2:6" x14ac:dyDescent="0.25">
      <c r="B862" s="126"/>
      <c r="C862" s="126"/>
      <c r="D862" s="334" t="s">
        <v>8563</v>
      </c>
      <c r="E862" s="335" t="s">
        <v>8564</v>
      </c>
      <c r="F862" s="335" t="s">
        <v>8565</v>
      </c>
    </row>
    <row r="863" spans="2:6" x14ac:dyDescent="0.25">
      <c r="B863" s="126"/>
      <c r="C863" s="126"/>
      <c r="D863" s="334" t="s">
        <v>8566</v>
      </c>
      <c r="E863" s="335" t="s">
        <v>1072</v>
      </c>
      <c r="F863" s="335" t="s">
        <v>2453</v>
      </c>
    </row>
    <row r="864" spans="2:6" x14ac:dyDescent="0.25">
      <c r="B864" s="126"/>
      <c r="C864" s="126"/>
      <c r="D864" s="334" t="s">
        <v>8567</v>
      </c>
      <c r="E864" s="335" t="s">
        <v>8568</v>
      </c>
      <c r="F864" s="335" t="s">
        <v>8569</v>
      </c>
    </row>
    <row r="865" spans="2:6" x14ac:dyDescent="0.25">
      <c r="B865" s="126"/>
      <c r="C865" s="126"/>
      <c r="D865" s="334" t="s">
        <v>8570</v>
      </c>
      <c r="E865" s="335" t="s">
        <v>8571</v>
      </c>
      <c r="F865" s="335" t="s">
        <v>8572</v>
      </c>
    </row>
    <row r="866" spans="2:6" x14ac:dyDescent="0.25">
      <c r="B866" s="126"/>
      <c r="C866" s="126"/>
      <c r="D866" s="334" t="s">
        <v>2917</v>
      </c>
      <c r="E866" s="335" t="s">
        <v>8573</v>
      </c>
      <c r="F866" s="335" t="s">
        <v>2916</v>
      </c>
    </row>
    <row r="867" spans="2:6" x14ac:dyDescent="0.25">
      <c r="B867" s="126"/>
      <c r="C867" s="126"/>
      <c r="D867" s="334" t="s">
        <v>4901</v>
      </c>
      <c r="E867" s="335" t="s">
        <v>8574</v>
      </c>
      <c r="F867" s="335" t="s">
        <v>4902</v>
      </c>
    </row>
    <row r="868" spans="2:6" x14ac:dyDescent="0.25">
      <c r="B868" s="126"/>
      <c r="C868" s="126"/>
      <c r="D868" s="334" t="s">
        <v>8575</v>
      </c>
      <c r="E868" s="335" t="s">
        <v>8576</v>
      </c>
      <c r="F868" s="335" t="s">
        <v>8577</v>
      </c>
    </row>
    <row r="869" spans="2:6" x14ac:dyDescent="0.25">
      <c r="B869" s="126"/>
      <c r="C869" s="126"/>
      <c r="D869" s="334" t="s">
        <v>8578</v>
      </c>
      <c r="E869" s="335" t="s">
        <v>8579</v>
      </c>
      <c r="F869" s="335" t="s">
        <v>8580</v>
      </c>
    </row>
    <row r="870" spans="2:6" x14ac:dyDescent="0.25">
      <c r="B870" s="126"/>
      <c r="C870" s="126"/>
      <c r="D870" s="334" t="s">
        <v>8581</v>
      </c>
      <c r="E870" s="335" t="s">
        <v>8582</v>
      </c>
      <c r="F870" s="335" t="s">
        <v>8583</v>
      </c>
    </row>
    <row r="871" spans="2:6" x14ac:dyDescent="0.25">
      <c r="B871" s="126"/>
      <c r="C871" s="126"/>
      <c r="D871" s="334" t="s">
        <v>8584</v>
      </c>
      <c r="E871" s="335" t="s">
        <v>8585</v>
      </c>
      <c r="F871" s="335" t="s">
        <v>8586</v>
      </c>
    </row>
    <row r="872" spans="2:6" x14ac:dyDescent="0.25">
      <c r="B872" s="126"/>
      <c r="C872" s="126"/>
      <c r="D872" s="334" t="s">
        <v>8587</v>
      </c>
      <c r="E872" s="335" t="s">
        <v>8588</v>
      </c>
      <c r="F872" s="335" t="s">
        <v>8589</v>
      </c>
    </row>
    <row r="873" spans="2:6" x14ac:dyDescent="0.25">
      <c r="B873" s="126"/>
      <c r="C873" s="126"/>
      <c r="D873" s="334" t="s">
        <v>8590</v>
      </c>
      <c r="E873" s="335" t="s">
        <v>8591</v>
      </c>
      <c r="F873" s="335" t="s">
        <v>8592</v>
      </c>
    </row>
    <row r="874" spans="2:6" x14ac:dyDescent="0.25">
      <c r="B874" s="126"/>
      <c r="C874" s="126"/>
      <c r="D874" s="334" t="s">
        <v>8593</v>
      </c>
      <c r="E874" s="335" t="s">
        <v>8594</v>
      </c>
      <c r="F874" s="335" t="s">
        <v>8595</v>
      </c>
    </row>
    <row r="875" spans="2:6" x14ac:dyDescent="0.25">
      <c r="B875" s="126"/>
      <c r="C875" s="126"/>
      <c r="D875" s="334" t="s">
        <v>3350</v>
      </c>
      <c r="E875" s="335" t="s">
        <v>8596</v>
      </c>
      <c r="F875" s="335" t="s">
        <v>3351</v>
      </c>
    </row>
    <row r="876" spans="2:6" x14ac:dyDescent="0.25">
      <c r="B876" s="126"/>
      <c r="C876" s="126"/>
      <c r="D876" s="334" t="s">
        <v>8597</v>
      </c>
      <c r="E876" s="335" t="s">
        <v>8598</v>
      </c>
      <c r="F876" s="335" t="s">
        <v>8599</v>
      </c>
    </row>
    <row r="877" spans="2:6" x14ac:dyDescent="0.25">
      <c r="B877" s="126"/>
      <c r="C877" s="126"/>
      <c r="D877" s="334" t="s">
        <v>8600</v>
      </c>
      <c r="E877" s="335" t="s">
        <v>8601</v>
      </c>
      <c r="F877" s="335" t="s">
        <v>8602</v>
      </c>
    </row>
    <row r="878" spans="2:6" x14ac:dyDescent="0.25">
      <c r="B878" s="126"/>
      <c r="C878" s="126"/>
      <c r="D878" s="334" t="s">
        <v>1919</v>
      </c>
      <c r="E878" s="335" t="s">
        <v>1920</v>
      </c>
      <c r="F878" s="335" t="s">
        <v>1921</v>
      </c>
    </row>
    <row r="879" spans="2:6" x14ac:dyDescent="0.25">
      <c r="B879" s="126"/>
      <c r="C879" s="126"/>
      <c r="D879" s="334" t="s">
        <v>8603</v>
      </c>
      <c r="E879" s="335" t="s">
        <v>8604</v>
      </c>
      <c r="F879" s="335" t="s">
        <v>8605</v>
      </c>
    </row>
    <row r="880" spans="2:6" x14ac:dyDescent="0.25">
      <c r="B880" s="126"/>
      <c r="C880" s="126"/>
      <c r="D880" s="334" t="s">
        <v>8606</v>
      </c>
      <c r="E880" s="335" t="s">
        <v>8607</v>
      </c>
      <c r="F880" s="335" t="s">
        <v>8608</v>
      </c>
    </row>
    <row r="881" spans="2:6" x14ac:dyDescent="0.25">
      <c r="B881" s="126"/>
      <c r="C881" s="126"/>
      <c r="D881" s="334" t="s">
        <v>8609</v>
      </c>
      <c r="E881" s="335" t="s">
        <v>8610</v>
      </c>
      <c r="F881" s="335" t="s">
        <v>8611</v>
      </c>
    </row>
    <row r="882" spans="2:6" x14ac:dyDescent="0.25">
      <c r="B882" s="126"/>
      <c r="C882" s="126"/>
      <c r="D882" s="334" t="s">
        <v>8612</v>
      </c>
      <c r="E882" s="335" t="s">
        <v>8613</v>
      </c>
      <c r="F882" s="335" t="s">
        <v>8614</v>
      </c>
    </row>
    <row r="883" spans="2:6" x14ac:dyDescent="0.25">
      <c r="B883" s="126"/>
      <c r="C883" s="126"/>
      <c r="D883" s="334" t="s">
        <v>8615</v>
      </c>
      <c r="E883" s="335" t="s">
        <v>8616</v>
      </c>
      <c r="F883" s="335" t="s">
        <v>8617</v>
      </c>
    </row>
    <row r="884" spans="2:6" x14ac:dyDescent="0.25">
      <c r="B884" s="126"/>
      <c r="C884" s="126"/>
      <c r="D884" s="334" t="s">
        <v>8618</v>
      </c>
      <c r="E884" s="335" t="s">
        <v>8619</v>
      </c>
      <c r="F884" s="335" t="s">
        <v>8620</v>
      </c>
    </row>
    <row r="885" spans="2:6" x14ac:dyDescent="0.25">
      <c r="B885" s="126"/>
      <c r="C885" s="126"/>
      <c r="D885" s="334" t="s">
        <v>8621</v>
      </c>
      <c r="E885" s="335" t="s">
        <v>8622</v>
      </c>
      <c r="F885" s="335" t="s">
        <v>8623</v>
      </c>
    </row>
    <row r="886" spans="2:6" x14ac:dyDescent="0.25">
      <c r="B886" s="126"/>
      <c r="C886" s="126"/>
      <c r="D886" s="334" t="s">
        <v>8624</v>
      </c>
      <c r="E886" s="335" t="s">
        <v>8625</v>
      </c>
      <c r="F886" s="335" t="s">
        <v>8626</v>
      </c>
    </row>
    <row r="887" spans="2:6" x14ac:dyDescent="0.25">
      <c r="B887" s="126"/>
      <c r="C887" s="126"/>
      <c r="D887" s="334" t="s">
        <v>8627</v>
      </c>
      <c r="E887" s="335" t="s">
        <v>8628</v>
      </c>
      <c r="F887" s="335" t="s">
        <v>8629</v>
      </c>
    </row>
    <row r="888" spans="2:6" x14ac:dyDescent="0.25">
      <c r="B888" s="126"/>
      <c r="C888" s="126"/>
      <c r="D888" s="334" t="s">
        <v>8630</v>
      </c>
      <c r="E888" s="335" t="s">
        <v>8631</v>
      </c>
      <c r="F888" s="335" t="s">
        <v>8632</v>
      </c>
    </row>
    <row r="889" spans="2:6" x14ac:dyDescent="0.25">
      <c r="B889" s="126"/>
      <c r="C889" s="126"/>
      <c r="D889" s="334" t="s">
        <v>8633</v>
      </c>
      <c r="E889" s="335" t="s">
        <v>8634</v>
      </c>
      <c r="F889" s="335" t="s">
        <v>8635</v>
      </c>
    </row>
    <row r="890" spans="2:6" x14ac:dyDescent="0.25">
      <c r="B890" s="126"/>
      <c r="C890" s="126"/>
      <c r="D890" s="334" t="s">
        <v>8636</v>
      </c>
      <c r="E890" s="335" t="s">
        <v>8637</v>
      </c>
      <c r="F890" s="335" t="s">
        <v>8638</v>
      </c>
    </row>
    <row r="891" spans="2:6" x14ac:dyDescent="0.25">
      <c r="B891" s="126"/>
      <c r="C891" s="126"/>
      <c r="D891" s="334" t="s">
        <v>1931</v>
      </c>
      <c r="E891" s="335" t="s">
        <v>1932</v>
      </c>
      <c r="F891" s="335" t="s">
        <v>1933</v>
      </c>
    </row>
    <row r="892" spans="2:6" x14ac:dyDescent="0.25">
      <c r="B892" s="126"/>
      <c r="C892" s="126"/>
      <c r="D892" s="334" t="s">
        <v>8639</v>
      </c>
      <c r="E892" s="335" t="s">
        <v>8640</v>
      </c>
      <c r="F892" s="335" t="s">
        <v>8641</v>
      </c>
    </row>
    <row r="893" spans="2:6" x14ac:dyDescent="0.25">
      <c r="B893" s="126"/>
      <c r="C893" s="126"/>
      <c r="D893" s="334" t="s">
        <v>8642</v>
      </c>
      <c r="E893" s="335" t="s">
        <v>8643</v>
      </c>
      <c r="F893" s="335" t="s">
        <v>8644</v>
      </c>
    </row>
    <row r="894" spans="2:6" x14ac:dyDescent="0.25">
      <c r="B894" s="126"/>
      <c r="C894" s="126"/>
      <c r="D894" s="334" t="s">
        <v>8645</v>
      </c>
      <c r="E894" s="335" t="s">
        <v>8646</v>
      </c>
      <c r="F894" s="335" t="s">
        <v>8647</v>
      </c>
    </row>
    <row r="895" spans="2:6" x14ac:dyDescent="0.25">
      <c r="B895" s="126"/>
      <c r="C895" s="126"/>
      <c r="D895" s="334" t="s">
        <v>8648</v>
      </c>
      <c r="E895" s="335" t="s">
        <v>8649</v>
      </c>
      <c r="F895" s="335" t="s">
        <v>8650</v>
      </c>
    </row>
    <row r="896" spans="2:6" x14ac:dyDescent="0.25">
      <c r="B896" s="126"/>
      <c r="C896" s="126"/>
      <c r="D896" s="334" t="s">
        <v>8651</v>
      </c>
      <c r="E896" s="335" t="s">
        <v>8652</v>
      </c>
      <c r="F896" s="335" t="s">
        <v>8653</v>
      </c>
    </row>
    <row r="897" spans="2:6" x14ac:dyDescent="0.25">
      <c r="B897" s="126"/>
      <c r="C897" s="126"/>
      <c r="D897" s="334" t="s">
        <v>1482</v>
      </c>
      <c r="E897" s="335" t="s">
        <v>1483</v>
      </c>
      <c r="F897" s="335" t="s">
        <v>1484</v>
      </c>
    </row>
    <row r="898" spans="2:6" x14ac:dyDescent="0.25">
      <c r="B898" s="126"/>
      <c r="C898" s="126"/>
      <c r="D898" s="334" t="s">
        <v>8654</v>
      </c>
      <c r="E898" s="335" t="s">
        <v>8655</v>
      </c>
      <c r="F898" s="335" t="s">
        <v>8656</v>
      </c>
    </row>
    <row r="899" spans="2:6" x14ac:dyDescent="0.25">
      <c r="B899" s="126"/>
      <c r="C899" s="126"/>
      <c r="D899" s="334" t="s">
        <v>8657</v>
      </c>
      <c r="E899" s="335" t="s">
        <v>8658</v>
      </c>
      <c r="F899" s="335" t="s">
        <v>8659</v>
      </c>
    </row>
    <row r="900" spans="2:6" x14ac:dyDescent="0.25">
      <c r="B900" s="126"/>
      <c r="C900" s="126"/>
      <c r="D900" s="334" t="s">
        <v>8660</v>
      </c>
      <c r="E900" s="335" t="s">
        <v>8661</v>
      </c>
      <c r="F900" s="335" t="s">
        <v>8662</v>
      </c>
    </row>
    <row r="901" spans="2:6" x14ac:dyDescent="0.25">
      <c r="B901" s="126"/>
      <c r="C901" s="126"/>
      <c r="D901" s="334" t="s">
        <v>8663</v>
      </c>
      <c r="E901" s="335" t="s">
        <v>8664</v>
      </c>
      <c r="F901" s="335" t="s">
        <v>8665</v>
      </c>
    </row>
    <row r="902" spans="2:6" x14ac:dyDescent="0.25">
      <c r="B902" s="126"/>
      <c r="C902" s="126"/>
      <c r="D902" s="334" t="s">
        <v>2262</v>
      </c>
      <c r="E902" s="335" t="s">
        <v>2263</v>
      </c>
      <c r="F902" s="335" t="s">
        <v>2264</v>
      </c>
    </row>
    <row r="903" spans="2:6" x14ac:dyDescent="0.25">
      <c r="B903" s="126"/>
      <c r="C903" s="126"/>
      <c r="D903" s="334" t="s">
        <v>199</v>
      </c>
      <c r="E903" s="335" t="s">
        <v>200</v>
      </c>
      <c r="F903" s="335" t="s">
        <v>201</v>
      </c>
    </row>
    <row r="904" spans="2:6" x14ac:dyDescent="0.25">
      <c r="B904" s="126"/>
      <c r="C904" s="126"/>
      <c r="D904" s="334" t="s">
        <v>8666</v>
      </c>
      <c r="E904" s="335" t="s">
        <v>8667</v>
      </c>
      <c r="F904" s="335" t="s">
        <v>8668</v>
      </c>
    </row>
    <row r="905" spans="2:6" x14ac:dyDescent="0.25">
      <c r="B905" s="126"/>
      <c r="C905" s="126"/>
      <c r="D905" s="334" t="s">
        <v>8669</v>
      </c>
      <c r="E905" s="335" t="s">
        <v>8670</v>
      </c>
      <c r="F905" s="335" t="s">
        <v>8671</v>
      </c>
    </row>
    <row r="906" spans="2:6" x14ac:dyDescent="0.25">
      <c r="B906" s="126"/>
      <c r="C906" s="126"/>
      <c r="D906" s="334" t="s">
        <v>203</v>
      </c>
      <c r="E906" s="335" t="s">
        <v>204</v>
      </c>
      <c r="F906" s="335" t="s">
        <v>205</v>
      </c>
    </row>
    <row r="907" spans="2:6" x14ac:dyDescent="0.25">
      <c r="B907" s="126"/>
      <c r="C907" s="126"/>
      <c r="D907" s="334" t="s">
        <v>8672</v>
      </c>
      <c r="E907" s="335" t="s">
        <v>8673</v>
      </c>
      <c r="F907" s="335" t="s">
        <v>8674</v>
      </c>
    </row>
    <row r="908" spans="2:6" x14ac:dyDescent="0.25">
      <c r="B908" s="126"/>
      <c r="C908" s="126"/>
      <c r="D908" s="334" t="s">
        <v>8675</v>
      </c>
      <c r="E908" s="335" t="s">
        <v>8676</v>
      </c>
      <c r="F908" s="335" t="s">
        <v>8677</v>
      </c>
    </row>
    <row r="909" spans="2:6" x14ac:dyDescent="0.25">
      <c r="B909" s="126"/>
      <c r="C909" s="126"/>
      <c r="D909" s="334" t="s">
        <v>8678</v>
      </c>
      <c r="E909" s="335" t="s">
        <v>8679</v>
      </c>
      <c r="F909" s="335" t="s">
        <v>8680</v>
      </c>
    </row>
    <row r="910" spans="2:6" x14ac:dyDescent="0.25">
      <c r="B910" s="126"/>
      <c r="C910" s="126"/>
      <c r="D910" s="334" t="s">
        <v>212</v>
      </c>
      <c r="E910" s="335" t="s">
        <v>213</v>
      </c>
      <c r="F910" s="335" t="s">
        <v>214</v>
      </c>
    </row>
    <row r="911" spans="2:6" x14ac:dyDescent="0.25">
      <c r="B911" s="126"/>
      <c r="C911" s="126"/>
      <c r="D911" s="334" t="s">
        <v>8681</v>
      </c>
      <c r="E911" s="335" t="s">
        <v>8682</v>
      </c>
      <c r="F911" s="335" t="s">
        <v>8683</v>
      </c>
    </row>
    <row r="912" spans="2:6" x14ac:dyDescent="0.25">
      <c r="B912" s="126"/>
      <c r="C912" s="126"/>
      <c r="D912" s="334" t="s">
        <v>8684</v>
      </c>
      <c r="E912" s="335" t="s">
        <v>8685</v>
      </c>
      <c r="F912" s="335" t="s">
        <v>8686</v>
      </c>
    </row>
    <row r="913" spans="2:6" x14ac:dyDescent="0.25">
      <c r="B913" s="126"/>
      <c r="C913" s="126"/>
      <c r="D913" s="334" t="s">
        <v>8687</v>
      </c>
      <c r="E913" s="335" t="s">
        <v>8688</v>
      </c>
      <c r="F913" s="335"/>
    </row>
    <row r="914" spans="2:6" x14ac:dyDescent="0.25">
      <c r="B914" s="126"/>
      <c r="C914" s="126"/>
      <c r="D914" s="334" t="s">
        <v>8689</v>
      </c>
      <c r="E914" s="335" t="s">
        <v>8690</v>
      </c>
      <c r="F914" s="335" t="s">
        <v>8691</v>
      </c>
    </row>
    <row r="915" spans="2:6" x14ac:dyDescent="0.25">
      <c r="B915" s="126"/>
      <c r="C915" s="126"/>
      <c r="D915" s="334" t="s">
        <v>8692</v>
      </c>
      <c r="E915" s="335" t="s">
        <v>8693</v>
      </c>
      <c r="F915" s="335" t="s">
        <v>8694</v>
      </c>
    </row>
    <row r="916" spans="2:6" x14ac:dyDescent="0.25">
      <c r="B916" s="126"/>
      <c r="C916" s="126"/>
      <c r="D916" s="334" t="s">
        <v>8695</v>
      </c>
      <c r="E916" s="335" t="s">
        <v>8696</v>
      </c>
      <c r="F916" s="335" t="s">
        <v>8697</v>
      </c>
    </row>
    <row r="917" spans="2:6" x14ac:dyDescent="0.25">
      <c r="E917" s="124"/>
      <c r="F917" s="124"/>
    </row>
    <row r="918" spans="2:6" x14ac:dyDescent="0.25">
      <c r="E918" s="124"/>
      <c r="F918" s="124"/>
    </row>
    <row r="919" spans="2:6" x14ac:dyDescent="0.25">
      <c r="E919" s="124"/>
      <c r="F919" s="124"/>
    </row>
    <row r="920" spans="2:6" x14ac:dyDescent="0.25">
      <c r="E920" s="124"/>
      <c r="F920" s="124"/>
    </row>
    <row r="921" spans="2:6" x14ac:dyDescent="0.25">
      <c r="E921" s="124"/>
      <c r="F921" s="124"/>
    </row>
    <row r="922" spans="2:6" x14ac:dyDescent="0.25">
      <c r="E922" s="124"/>
      <c r="F922" s="124"/>
    </row>
    <row r="923" spans="2:6" x14ac:dyDescent="0.25">
      <c r="E923" s="124"/>
      <c r="F923" s="124"/>
    </row>
    <row r="924" spans="2:6" x14ac:dyDescent="0.25">
      <c r="E924" s="124"/>
      <c r="F924" s="124"/>
    </row>
    <row r="925" spans="2:6" x14ac:dyDescent="0.25">
      <c r="E925" s="124"/>
      <c r="F925" s="124"/>
    </row>
    <row r="926" spans="2:6" x14ac:dyDescent="0.25">
      <c r="E926" s="124"/>
      <c r="F926" s="124"/>
    </row>
    <row r="927" spans="2:6" x14ac:dyDescent="0.25">
      <c r="E927" s="124"/>
      <c r="F927" s="124"/>
    </row>
    <row r="928" spans="2:6" x14ac:dyDescent="0.25">
      <c r="E928" s="124"/>
      <c r="F928" s="124"/>
    </row>
    <row r="929" spans="5:6" x14ac:dyDescent="0.25">
      <c r="E929" s="124"/>
      <c r="F929" s="124"/>
    </row>
    <row r="930" spans="5:6" x14ac:dyDescent="0.25">
      <c r="E930" s="124"/>
      <c r="F930" s="124"/>
    </row>
    <row r="931" spans="5:6" x14ac:dyDescent="0.25">
      <c r="E931" s="124"/>
      <c r="F931" s="124"/>
    </row>
    <row r="932" spans="5:6" x14ac:dyDescent="0.25">
      <c r="E932" s="124"/>
      <c r="F932" s="124"/>
    </row>
    <row r="933" spans="5:6" x14ac:dyDescent="0.25">
      <c r="E933" s="124"/>
      <c r="F933" s="124"/>
    </row>
    <row r="934" spans="5:6" x14ac:dyDescent="0.25">
      <c r="E934" s="124"/>
      <c r="F934" s="124"/>
    </row>
    <row r="935" spans="5:6" x14ac:dyDescent="0.25">
      <c r="E935" s="124"/>
      <c r="F935" s="124"/>
    </row>
    <row r="936" spans="5:6" x14ac:dyDescent="0.25">
      <c r="E936" s="124"/>
      <c r="F936" s="124"/>
    </row>
    <row r="937" spans="5:6" x14ac:dyDescent="0.25">
      <c r="E937" s="124"/>
      <c r="F937" s="124"/>
    </row>
    <row r="938" spans="5:6" x14ac:dyDescent="0.25">
      <c r="E938" s="124"/>
      <c r="F938" s="124"/>
    </row>
    <row r="939" spans="5:6" x14ac:dyDescent="0.25">
      <c r="E939" s="124"/>
      <c r="F939" s="124"/>
    </row>
    <row r="940" spans="5:6" x14ac:dyDescent="0.25">
      <c r="E940" s="124"/>
      <c r="F940" s="124"/>
    </row>
    <row r="941" spans="5:6" x14ac:dyDescent="0.25">
      <c r="E941" s="124"/>
      <c r="F941" s="124"/>
    </row>
    <row r="942" spans="5:6" x14ac:dyDescent="0.25">
      <c r="E942" s="124"/>
      <c r="F942" s="124"/>
    </row>
    <row r="943" spans="5:6" x14ac:dyDescent="0.25">
      <c r="E943" s="124"/>
      <c r="F943" s="124"/>
    </row>
    <row r="944" spans="5:6" x14ac:dyDescent="0.25">
      <c r="E944" s="124"/>
      <c r="F944" s="124"/>
    </row>
    <row r="945" spans="5:6" x14ac:dyDescent="0.25">
      <c r="E945" s="124"/>
      <c r="F945" s="124"/>
    </row>
    <row r="946" spans="5:6" x14ac:dyDescent="0.25">
      <c r="E946" s="124"/>
      <c r="F946" s="124"/>
    </row>
    <row r="947" spans="5:6" x14ac:dyDescent="0.25">
      <c r="E947" s="124"/>
      <c r="F947" s="124"/>
    </row>
    <row r="948" spans="5:6" x14ac:dyDescent="0.25">
      <c r="E948" s="124"/>
      <c r="F948" s="124"/>
    </row>
    <row r="949" spans="5:6" x14ac:dyDescent="0.25">
      <c r="E949" s="124"/>
      <c r="F949" s="124"/>
    </row>
    <row r="950" spans="5:6" x14ac:dyDescent="0.25">
      <c r="E950" s="124"/>
      <c r="F950" s="124"/>
    </row>
    <row r="951" spans="5:6" x14ac:dyDescent="0.25">
      <c r="E951" s="124"/>
      <c r="F951" s="124"/>
    </row>
    <row r="952" spans="5:6" x14ac:dyDescent="0.25">
      <c r="E952" s="124"/>
      <c r="F952" s="124"/>
    </row>
    <row r="953" spans="5:6" x14ac:dyDescent="0.25">
      <c r="E953" s="124"/>
      <c r="F953" s="124"/>
    </row>
    <row r="954" spans="5:6" x14ac:dyDescent="0.25">
      <c r="E954" s="124"/>
      <c r="F954" s="124"/>
    </row>
    <row r="955" spans="5:6" x14ac:dyDescent="0.25">
      <c r="E955" s="124"/>
      <c r="F955" s="124"/>
    </row>
    <row r="956" spans="5:6" x14ac:dyDescent="0.25">
      <c r="E956" s="124"/>
      <c r="F956" s="124"/>
    </row>
    <row r="957" spans="5:6" x14ac:dyDescent="0.25">
      <c r="E957" s="124"/>
      <c r="F957" s="124"/>
    </row>
    <row r="958" spans="5:6" x14ac:dyDescent="0.25">
      <c r="E958" s="124"/>
      <c r="F958" s="124"/>
    </row>
    <row r="959" spans="5:6" x14ac:dyDescent="0.25">
      <c r="E959" s="124"/>
      <c r="F959" s="124"/>
    </row>
    <row r="960" spans="5:6" x14ac:dyDescent="0.25">
      <c r="E960" s="124"/>
      <c r="F960" s="124"/>
    </row>
    <row r="961" spans="5:6" x14ac:dyDescent="0.25">
      <c r="E961" s="124"/>
      <c r="F961" s="124"/>
    </row>
    <row r="962" spans="5:6" x14ac:dyDescent="0.25">
      <c r="E962" s="124"/>
      <c r="F962" s="124"/>
    </row>
    <row r="963" spans="5:6" x14ac:dyDescent="0.25">
      <c r="E963" s="124"/>
      <c r="F963" s="124"/>
    </row>
    <row r="964" spans="5:6" x14ac:dyDescent="0.25">
      <c r="E964" s="124"/>
      <c r="F964" s="124"/>
    </row>
    <row r="965" spans="5:6" x14ac:dyDescent="0.25">
      <c r="E965" s="124"/>
      <c r="F965" s="124"/>
    </row>
    <row r="966" spans="5:6" x14ac:dyDescent="0.25">
      <c r="E966" s="124"/>
      <c r="F966" s="124"/>
    </row>
    <row r="967" spans="5:6" x14ac:dyDescent="0.25">
      <c r="E967" s="124"/>
      <c r="F967" s="124"/>
    </row>
    <row r="968" spans="5:6" x14ac:dyDescent="0.25">
      <c r="E968" s="124"/>
      <c r="F968" s="124"/>
    </row>
    <row r="969" spans="5:6" x14ac:dyDescent="0.25">
      <c r="E969" s="124"/>
      <c r="F969" s="124"/>
    </row>
    <row r="970" spans="5:6" x14ac:dyDescent="0.25">
      <c r="E970" s="124"/>
      <c r="F970" s="124"/>
    </row>
    <row r="971" spans="5:6" x14ac:dyDescent="0.25">
      <c r="E971" s="124"/>
      <c r="F971" s="124"/>
    </row>
    <row r="972" spans="5:6" x14ac:dyDescent="0.25">
      <c r="E972" s="124"/>
      <c r="F972" s="124"/>
    </row>
    <row r="973" spans="5:6" x14ac:dyDescent="0.25">
      <c r="E973" s="124"/>
      <c r="F973" s="124"/>
    </row>
    <row r="974" spans="5:6" x14ac:dyDescent="0.25">
      <c r="E974" s="124"/>
      <c r="F974" s="124"/>
    </row>
    <row r="975" spans="5:6" x14ac:dyDescent="0.25">
      <c r="E975" s="124"/>
      <c r="F975" s="124"/>
    </row>
    <row r="976" spans="5:6" x14ac:dyDescent="0.25">
      <c r="E976" s="124"/>
      <c r="F976" s="124"/>
    </row>
    <row r="977" spans="5:6" x14ac:dyDescent="0.25">
      <c r="E977" s="124"/>
      <c r="F977" s="124"/>
    </row>
    <row r="978" spans="5:6" x14ac:dyDescent="0.25">
      <c r="E978" s="124"/>
      <c r="F978" s="124"/>
    </row>
    <row r="979" spans="5:6" x14ac:dyDescent="0.25">
      <c r="E979" s="124"/>
      <c r="F979" s="124"/>
    </row>
    <row r="980" spans="5:6" x14ac:dyDescent="0.25">
      <c r="E980" s="124"/>
      <c r="F980" s="124"/>
    </row>
    <row r="981" spans="5:6" x14ac:dyDescent="0.25">
      <c r="E981" s="124"/>
      <c r="F981" s="124"/>
    </row>
    <row r="982" spans="5:6" x14ac:dyDescent="0.25">
      <c r="E982" s="124"/>
      <c r="F982" s="124"/>
    </row>
    <row r="983" spans="5:6" x14ac:dyDescent="0.25">
      <c r="E983" s="124"/>
      <c r="F983" s="124"/>
    </row>
    <row r="984" spans="5:6" x14ac:dyDescent="0.25">
      <c r="E984" s="124"/>
      <c r="F984" s="124"/>
    </row>
    <row r="985" spans="5:6" x14ac:dyDescent="0.25">
      <c r="E985" s="124"/>
      <c r="F985" s="124"/>
    </row>
    <row r="986" spans="5:6" x14ac:dyDescent="0.25">
      <c r="E986" s="124"/>
      <c r="F986" s="124"/>
    </row>
    <row r="987" spans="5:6" x14ac:dyDescent="0.25">
      <c r="E987" s="124"/>
      <c r="F987" s="124"/>
    </row>
    <row r="988" spans="5:6" x14ac:dyDescent="0.25">
      <c r="E988" s="124"/>
      <c r="F988" s="124"/>
    </row>
    <row r="989" spans="5:6" x14ac:dyDescent="0.25">
      <c r="E989" s="124"/>
      <c r="F989" s="124"/>
    </row>
    <row r="990" spans="5:6" x14ac:dyDescent="0.25">
      <c r="E990" s="124"/>
      <c r="F990" s="124"/>
    </row>
    <row r="991" spans="5:6" x14ac:dyDescent="0.25">
      <c r="E991" s="124"/>
      <c r="F991" s="124"/>
    </row>
    <row r="992" spans="5:6" x14ac:dyDescent="0.25">
      <c r="E992" s="124"/>
      <c r="F992" s="124"/>
    </row>
    <row r="993" spans="5:6" x14ac:dyDescent="0.25">
      <c r="E993" s="124"/>
      <c r="F993" s="124"/>
    </row>
    <row r="994" spans="5:6" x14ac:dyDescent="0.25">
      <c r="E994" s="124"/>
      <c r="F994" s="124"/>
    </row>
    <row r="995" spans="5:6" x14ac:dyDescent="0.25">
      <c r="E995" s="124"/>
      <c r="F995" s="124"/>
    </row>
    <row r="996" spans="5:6" x14ac:dyDescent="0.25">
      <c r="E996" s="124"/>
      <c r="F996" s="124"/>
    </row>
    <row r="997" spans="5:6" x14ac:dyDescent="0.25">
      <c r="E997" s="124"/>
      <c r="F997" s="124"/>
    </row>
    <row r="998" spans="5:6" x14ac:dyDescent="0.25">
      <c r="E998" s="124"/>
      <c r="F998" s="124"/>
    </row>
    <row r="999" spans="5:6" x14ac:dyDescent="0.25">
      <c r="E999" s="124"/>
      <c r="F999" s="124"/>
    </row>
    <row r="1000" spans="5:6" x14ac:dyDescent="0.25">
      <c r="E1000" s="124"/>
      <c r="F1000" s="124"/>
    </row>
    <row r="1001" spans="5:6" x14ac:dyDescent="0.25">
      <c r="E1001" s="124"/>
      <c r="F1001" s="124"/>
    </row>
    <row r="1002" spans="5:6" x14ac:dyDescent="0.25">
      <c r="E1002" s="124"/>
      <c r="F1002" s="124"/>
    </row>
    <row r="1003" spans="5:6" x14ac:dyDescent="0.25">
      <c r="E1003" s="124"/>
      <c r="F1003" s="124"/>
    </row>
    <row r="1004" spans="5:6" x14ac:dyDescent="0.25">
      <c r="E1004" s="124"/>
      <c r="F1004" s="124"/>
    </row>
    <row r="1005" spans="5:6" x14ac:dyDescent="0.25">
      <c r="E1005" s="124"/>
      <c r="F1005" s="124"/>
    </row>
    <row r="1006" spans="5:6" x14ac:dyDescent="0.25">
      <c r="E1006" s="124"/>
      <c r="F1006" s="124"/>
    </row>
    <row r="1007" spans="5:6" x14ac:dyDescent="0.25">
      <c r="E1007" s="124"/>
      <c r="F1007" s="124"/>
    </row>
    <row r="1008" spans="5:6" x14ac:dyDescent="0.25">
      <c r="E1008" s="124"/>
      <c r="F1008" s="124"/>
    </row>
    <row r="1009" spans="5:6" x14ac:dyDescent="0.25">
      <c r="E1009" s="124"/>
      <c r="F1009" s="124"/>
    </row>
    <row r="1010" spans="5:6" x14ac:dyDescent="0.25">
      <c r="E1010" s="124"/>
      <c r="F1010" s="124"/>
    </row>
    <row r="1011" spans="5:6" x14ac:dyDescent="0.25">
      <c r="E1011" s="124"/>
      <c r="F1011" s="124"/>
    </row>
    <row r="1012" spans="5:6" x14ac:dyDescent="0.25">
      <c r="E1012" s="124"/>
      <c r="F1012" s="124"/>
    </row>
    <row r="1013" spans="5:6" x14ac:dyDescent="0.25">
      <c r="E1013" s="124"/>
      <c r="F1013" s="124"/>
    </row>
    <row r="1014" spans="5:6" x14ac:dyDescent="0.25">
      <c r="E1014" s="124"/>
      <c r="F1014" s="124"/>
    </row>
    <row r="1015" spans="5:6" x14ac:dyDescent="0.25">
      <c r="E1015" s="124"/>
      <c r="F1015" s="124"/>
    </row>
    <row r="1016" spans="5:6" x14ac:dyDescent="0.25">
      <c r="E1016" s="124"/>
      <c r="F1016" s="124"/>
    </row>
    <row r="1017" spans="5:6" x14ac:dyDescent="0.25">
      <c r="E1017" s="124"/>
      <c r="F1017" s="124"/>
    </row>
    <row r="1018" spans="5:6" x14ac:dyDescent="0.25">
      <c r="E1018" s="124"/>
      <c r="F1018" s="124"/>
    </row>
    <row r="1019" spans="5:6" x14ac:dyDescent="0.25">
      <c r="E1019" s="124"/>
      <c r="F1019" s="124"/>
    </row>
    <row r="1020" spans="5:6" x14ac:dyDescent="0.25">
      <c r="E1020" s="124"/>
      <c r="F1020" s="124"/>
    </row>
    <row r="1021" spans="5:6" x14ac:dyDescent="0.25">
      <c r="E1021" s="124"/>
      <c r="F1021" s="124"/>
    </row>
    <row r="1022" spans="5:6" x14ac:dyDescent="0.25">
      <c r="E1022" s="124"/>
      <c r="F1022" s="124"/>
    </row>
    <row r="1023" spans="5:6" x14ac:dyDescent="0.25">
      <c r="E1023" s="124"/>
      <c r="F1023" s="124"/>
    </row>
    <row r="1024" spans="5:6" x14ac:dyDescent="0.25">
      <c r="E1024" s="124"/>
      <c r="F1024" s="124"/>
    </row>
    <row r="1025" spans="5:6" x14ac:dyDescent="0.25">
      <c r="E1025" s="124"/>
      <c r="F1025" s="124"/>
    </row>
    <row r="1026" spans="5:6" x14ac:dyDescent="0.25">
      <c r="E1026" s="124"/>
      <c r="F1026" s="124"/>
    </row>
    <row r="1027" spans="5:6" x14ac:dyDescent="0.25">
      <c r="E1027" s="124"/>
      <c r="F1027" s="124"/>
    </row>
    <row r="1028" spans="5:6" x14ac:dyDescent="0.25">
      <c r="E1028" s="124"/>
      <c r="F1028" s="124"/>
    </row>
    <row r="1029" spans="5:6" x14ac:dyDescent="0.25">
      <c r="E1029" s="124"/>
      <c r="F1029" s="124"/>
    </row>
    <row r="1030" spans="5:6" x14ac:dyDescent="0.25">
      <c r="E1030" s="124"/>
      <c r="F1030" s="124"/>
    </row>
    <row r="1031" spans="5:6" x14ac:dyDescent="0.25">
      <c r="E1031" s="124"/>
      <c r="F1031" s="124"/>
    </row>
    <row r="1032" spans="5:6" x14ac:dyDescent="0.25">
      <c r="E1032" s="124"/>
      <c r="F1032" s="124"/>
    </row>
    <row r="1033" spans="5:6" x14ac:dyDescent="0.25">
      <c r="E1033" s="124"/>
      <c r="F1033" s="124"/>
    </row>
    <row r="1034" spans="5:6" x14ac:dyDescent="0.25">
      <c r="E1034" s="124"/>
      <c r="F1034" s="124"/>
    </row>
    <row r="1035" spans="5:6" x14ac:dyDescent="0.25">
      <c r="E1035" s="124"/>
      <c r="F1035" s="124"/>
    </row>
    <row r="1036" spans="5:6" x14ac:dyDescent="0.25">
      <c r="E1036" s="124"/>
      <c r="F1036" s="124"/>
    </row>
    <row r="1037" spans="5:6" x14ac:dyDescent="0.25">
      <c r="E1037" s="124"/>
      <c r="F1037" s="124"/>
    </row>
    <row r="1038" spans="5:6" x14ac:dyDescent="0.25">
      <c r="E1038" s="124"/>
      <c r="F1038" s="124"/>
    </row>
    <row r="1039" spans="5:6" x14ac:dyDescent="0.25">
      <c r="E1039" s="124"/>
      <c r="F1039" s="124"/>
    </row>
    <row r="1040" spans="5:6" x14ac:dyDescent="0.25">
      <c r="E1040" s="124"/>
      <c r="F1040" s="124"/>
    </row>
    <row r="1041" spans="5:6" x14ac:dyDescent="0.25">
      <c r="E1041" s="124"/>
      <c r="F1041" s="124"/>
    </row>
    <row r="1042" spans="5:6" x14ac:dyDescent="0.25">
      <c r="E1042" s="124"/>
      <c r="F1042" s="124"/>
    </row>
    <row r="1043" spans="5:6" x14ac:dyDescent="0.25">
      <c r="E1043" s="124"/>
      <c r="F1043" s="124"/>
    </row>
    <row r="1044" spans="5:6" x14ac:dyDescent="0.25">
      <c r="E1044" s="124"/>
      <c r="F1044" s="124"/>
    </row>
    <row r="1045" spans="5:6" x14ac:dyDescent="0.25">
      <c r="E1045" s="124"/>
      <c r="F1045" s="124"/>
    </row>
    <row r="1046" spans="5:6" x14ac:dyDescent="0.25">
      <c r="E1046" s="124"/>
      <c r="F1046" s="124"/>
    </row>
    <row r="1047" spans="5:6" x14ac:dyDescent="0.25">
      <c r="E1047" s="124"/>
      <c r="F1047" s="124"/>
    </row>
    <row r="1048" spans="5:6" x14ac:dyDescent="0.25">
      <c r="E1048" s="124"/>
      <c r="F1048" s="124"/>
    </row>
    <row r="1049" spans="5:6" x14ac:dyDescent="0.25">
      <c r="E1049" s="124"/>
      <c r="F1049" s="124"/>
    </row>
    <row r="1050" spans="5:6" x14ac:dyDescent="0.25">
      <c r="E1050" s="124"/>
      <c r="F1050" s="124"/>
    </row>
    <row r="1051" spans="5:6" x14ac:dyDescent="0.25">
      <c r="E1051" s="124"/>
      <c r="F1051" s="124"/>
    </row>
    <row r="1052" spans="5:6" x14ac:dyDescent="0.25">
      <c r="E1052" s="124"/>
      <c r="F1052" s="124"/>
    </row>
    <row r="1053" spans="5:6" x14ac:dyDescent="0.25">
      <c r="E1053" s="124"/>
      <c r="F1053" s="124"/>
    </row>
    <row r="1054" spans="5:6" x14ac:dyDescent="0.25">
      <c r="E1054" s="124"/>
      <c r="F1054" s="124"/>
    </row>
    <row r="1055" spans="5:6" x14ac:dyDescent="0.25">
      <c r="E1055" s="124"/>
      <c r="F1055" s="124"/>
    </row>
    <row r="1056" spans="5:6" x14ac:dyDescent="0.25">
      <c r="E1056" s="124"/>
      <c r="F1056" s="124"/>
    </row>
    <row r="1057" spans="5:6" x14ac:dyDescent="0.25">
      <c r="E1057" s="124"/>
      <c r="F1057" s="124"/>
    </row>
    <row r="1058" spans="5:6" x14ac:dyDescent="0.25">
      <c r="E1058" s="124"/>
      <c r="F1058" s="124"/>
    </row>
    <row r="1059" spans="5:6" x14ac:dyDescent="0.25">
      <c r="E1059" s="124"/>
      <c r="F1059" s="124"/>
    </row>
    <row r="1060" spans="5:6" x14ac:dyDescent="0.25">
      <c r="E1060" s="124"/>
      <c r="F1060" s="124"/>
    </row>
    <row r="1061" spans="5:6" x14ac:dyDescent="0.25">
      <c r="E1061" s="124"/>
      <c r="F1061" s="124"/>
    </row>
    <row r="1062" spans="5:6" x14ac:dyDescent="0.25">
      <c r="E1062" s="124"/>
      <c r="F1062" s="124"/>
    </row>
    <row r="1063" spans="5:6" x14ac:dyDescent="0.25">
      <c r="E1063" s="124"/>
      <c r="F1063" s="124"/>
    </row>
    <row r="1064" spans="5:6" x14ac:dyDescent="0.25">
      <c r="E1064" s="124"/>
      <c r="F1064" s="124"/>
    </row>
    <row r="1065" spans="5:6" x14ac:dyDescent="0.25">
      <c r="E1065" s="124"/>
      <c r="F1065" s="124"/>
    </row>
    <row r="1066" spans="5:6" x14ac:dyDescent="0.25">
      <c r="E1066" s="124"/>
      <c r="F1066" s="124"/>
    </row>
    <row r="1067" spans="5:6" x14ac:dyDescent="0.25">
      <c r="E1067" s="124"/>
      <c r="F1067" s="124"/>
    </row>
    <row r="1068" spans="5:6" x14ac:dyDescent="0.25">
      <c r="E1068" s="124"/>
      <c r="F1068" s="124"/>
    </row>
    <row r="1069" spans="5:6" x14ac:dyDescent="0.25">
      <c r="E1069" s="124"/>
      <c r="F1069" s="124"/>
    </row>
    <row r="1070" spans="5:6" x14ac:dyDescent="0.25">
      <c r="E1070" s="124"/>
      <c r="F1070" s="124"/>
    </row>
    <row r="1071" spans="5:6" x14ac:dyDescent="0.25">
      <c r="E1071" s="124"/>
      <c r="F1071" s="124"/>
    </row>
    <row r="1072" spans="5:6" x14ac:dyDescent="0.25">
      <c r="E1072" s="124"/>
      <c r="F1072" s="124"/>
    </row>
    <row r="1073" spans="5:6" x14ac:dyDescent="0.25">
      <c r="E1073" s="124"/>
      <c r="F1073" s="124"/>
    </row>
    <row r="1074" spans="5:6" x14ac:dyDescent="0.25">
      <c r="E1074" s="124"/>
      <c r="F1074" s="124"/>
    </row>
    <row r="1075" spans="5:6" x14ac:dyDescent="0.25">
      <c r="E1075" s="124"/>
      <c r="F1075" s="124"/>
    </row>
    <row r="1076" spans="5:6" x14ac:dyDescent="0.25">
      <c r="E1076" s="124"/>
      <c r="F1076" s="124"/>
    </row>
    <row r="1077" spans="5:6" x14ac:dyDescent="0.25">
      <c r="E1077" s="124"/>
      <c r="F1077" s="124"/>
    </row>
    <row r="1078" spans="5:6" x14ac:dyDescent="0.25">
      <c r="E1078" s="124"/>
      <c r="F1078" s="124"/>
    </row>
    <row r="1079" spans="5:6" x14ac:dyDescent="0.25">
      <c r="E1079" s="124"/>
      <c r="F1079" s="124"/>
    </row>
    <row r="1080" spans="5:6" x14ac:dyDescent="0.25">
      <c r="E1080" s="124"/>
      <c r="F1080" s="124"/>
    </row>
    <row r="1081" spans="5:6" x14ac:dyDescent="0.25">
      <c r="E1081" s="124"/>
      <c r="F1081" s="124"/>
    </row>
    <row r="1082" spans="5:6" x14ac:dyDescent="0.25">
      <c r="E1082" s="124"/>
      <c r="F1082" s="124"/>
    </row>
    <row r="1083" spans="5:6" x14ac:dyDescent="0.25">
      <c r="E1083" s="124"/>
      <c r="F1083" s="124"/>
    </row>
    <row r="1084" spans="5:6" x14ac:dyDescent="0.25">
      <c r="E1084" s="124"/>
      <c r="F1084" s="124"/>
    </row>
    <row r="1085" spans="5:6" x14ac:dyDescent="0.25">
      <c r="E1085" s="124"/>
      <c r="F1085" s="124"/>
    </row>
    <row r="1086" spans="5:6" x14ac:dyDescent="0.25">
      <c r="E1086" s="124"/>
      <c r="F1086" s="124"/>
    </row>
    <row r="1087" spans="5:6" x14ac:dyDescent="0.25">
      <c r="E1087" s="124"/>
      <c r="F1087" s="124"/>
    </row>
    <row r="1088" spans="5:6" x14ac:dyDescent="0.25">
      <c r="E1088" s="124"/>
      <c r="F1088" s="124"/>
    </row>
    <row r="1089" spans="5:6" x14ac:dyDescent="0.25">
      <c r="E1089" s="124"/>
      <c r="F1089" s="124"/>
    </row>
    <row r="1090" spans="5:6" x14ac:dyDescent="0.25">
      <c r="E1090" s="124"/>
      <c r="F1090" s="124"/>
    </row>
    <row r="1091" spans="5:6" x14ac:dyDescent="0.25">
      <c r="E1091" s="124"/>
      <c r="F1091" s="124"/>
    </row>
    <row r="1092" spans="5:6" x14ac:dyDescent="0.25">
      <c r="E1092" s="124"/>
      <c r="F1092" s="124"/>
    </row>
    <row r="1093" spans="5:6" x14ac:dyDescent="0.25">
      <c r="E1093" s="124"/>
      <c r="F1093" s="124"/>
    </row>
    <row r="1094" spans="5:6" x14ac:dyDescent="0.25">
      <c r="E1094" s="124"/>
      <c r="F1094" s="124"/>
    </row>
    <row r="1095" spans="5:6" x14ac:dyDescent="0.25">
      <c r="E1095" s="124"/>
      <c r="F1095" s="124"/>
    </row>
    <row r="1096" spans="5:6" x14ac:dyDescent="0.25">
      <c r="E1096" s="124"/>
      <c r="F1096" s="124"/>
    </row>
    <row r="1097" spans="5:6" x14ac:dyDescent="0.25">
      <c r="E1097" s="124"/>
      <c r="F1097" s="124"/>
    </row>
    <row r="1098" spans="5:6" x14ac:dyDescent="0.25">
      <c r="E1098" s="124"/>
      <c r="F1098" s="124"/>
    </row>
    <row r="1099" spans="5:6" x14ac:dyDescent="0.25">
      <c r="E1099" s="124"/>
      <c r="F1099" s="124"/>
    </row>
    <row r="1100" spans="5:6" x14ac:dyDescent="0.25">
      <c r="E1100" s="124"/>
      <c r="F1100" s="124"/>
    </row>
    <row r="1101" spans="5:6" x14ac:dyDescent="0.25">
      <c r="E1101" s="124"/>
      <c r="F1101" s="124"/>
    </row>
    <row r="1102" spans="5:6" x14ac:dyDescent="0.25">
      <c r="E1102" s="124"/>
      <c r="F1102" s="124"/>
    </row>
    <row r="1103" spans="5:6" x14ac:dyDescent="0.25">
      <c r="E1103" s="124"/>
      <c r="F1103" s="124"/>
    </row>
    <row r="1104" spans="5:6" x14ac:dyDescent="0.25">
      <c r="E1104" s="124"/>
      <c r="F1104" s="124"/>
    </row>
    <row r="1105" spans="5:6" x14ac:dyDescent="0.25">
      <c r="E1105" s="124"/>
      <c r="F1105" s="124"/>
    </row>
    <row r="1106" spans="5:6" x14ac:dyDescent="0.25">
      <c r="E1106" s="124"/>
      <c r="F1106" s="124"/>
    </row>
    <row r="1107" spans="5:6" x14ac:dyDescent="0.25">
      <c r="E1107" s="124"/>
      <c r="F1107" s="124"/>
    </row>
    <row r="1108" spans="5:6" x14ac:dyDescent="0.25">
      <c r="E1108" s="124"/>
      <c r="F1108" s="124"/>
    </row>
    <row r="1109" spans="5:6" x14ac:dyDescent="0.25">
      <c r="E1109" s="124"/>
      <c r="F1109" s="124"/>
    </row>
    <row r="1110" spans="5:6" x14ac:dyDescent="0.25">
      <c r="E1110" s="124"/>
      <c r="F1110" s="124"/>
    </row>
    <row r="1111" spans="5:6" x14ac:dyDescent="0.25">
      <c r="E1111" s="124"/>
      <c r="F1111" s="124"/>
    </row>
    <row r="1112" spans="5:6" x14ac:dyDescent="0.25">
      <c r="E1112" s="124"/>
      <c r="F1112" s="124"/>
    </row>
    <row r="1113" spans="5:6" x14ac:dyDescent="0.25">
      <c r="E1113" s="124"/>
      <c r="F1113" s="124"/>
    </row>
    <row r="1114" spans="5:6" x14ac:dyDescent="0.25">
      <c r="E1114" s="124"/>
      <c r="F1114" s="124"/>
    </row>
    <row r="1115" spans="5:6" x14ac:dyDescent="0.25">
      <c r="E1115" s="124"/>
      <c r="F1115" s="124"/>
    </row>
    <row r="1116" spans="5:6" x14ac:dyDescent="0.25">
      <c r="E1116" s="124"/>
      <c r="F1116" s="124"/>
    </row>
    <row r="1117" spans="5:6" x14ac:dyDescent="0.25">
      <c r="E1117" s="124"/>
      <c r="F1117" s="124"/>
    </row>
    <row r="1118" spans="5:6" x14ac:dyDescent="0.25">
      <c r="E1118" s="124"/>
      <c r="F1118" s="124"/>
    </row>
    <row r="1119" spans="5:6" x14ac:dyDescent="0.25">
      <c r="E1119" s="124"/>
      <c r="F1119" s="124"/>
    </row>
    <row r="1120" spans="5:6" x14ac:dyDescent="0.25">
      <c r="E1120" s="124"/>
      <c r="F1120" s="124"/>
    </row>
    <row r="1121" spans="5:6" x14ac:dyDescent="0.25">
      <c r="E1121" s="124"/>
      <c r="F1121" s="124"/>
    </row>
    <row r="1122" spans="5:6" x14ac:dyDescent="0.25">
      <c r="E1122" s="124"/>
      <c r="F1122" s="124"/>
    </row>
    <row r="1123" spans="5:6" x14ac:dyDescent="0.25">
      <c r="E1123" s="124"/>
      <c r="F1123" s="124"/>
    </row>
    <row r="1124" spans="5:6" x14ac:dyDescent="0.25">
      <c r="E1124" s="124"/>
      <c r="F1124" s="124"/>
    </row>
    <row r="1125" spans="5:6" x14ac:dyDescent="0.25">
      <c r="E1125" s="124"/>
      <c r="F1125" s="124"/>
    </row>
    <row r="1126" spans="5:6" x14ac:dyDescent="0.25">
      <c r="E1126" s="124"/>
      <c r="F1126" s="124"/>
    </row>
    <row r="1127" spans="5:6" x14ac:dyDescent="0.25">
      <c r="E1127" s="124"/>
      <c r="F1127" s="124"/>
    </row>
    <row r="1128" spans="5:6" x14ac:dyDescent="0.25">
      <c r="E1128" s="124"/>
      <c r="F1128" s="124"/>
    </row>
    <row r="1129" spans="5:6" x14ac:dyDescent="0.25">
      <c r="E1129" s="124"/>
      <c r="F1129" s="124"/>
    </row>
    <row r="1130" spans="5:6" x14ac:dyDescent="0.25">
      <c r="E1130" s="124"/>
      <c r="F1130" s="124"/>
    </row>
    <row r="1131" spans="5:6" x14ac:dyDescent="0.25">
      <c r="E1131" s="124"/>
      <c r="F1131" s="124"/>
    </row>
    <row r="1132" spans="5:6" x14ac:dyDescent="0.25">
      <c r="E1132" s="124"/>
      <c r="F1132" s="124"/>
    </row>
    <row r="1133" spans="5:6" x14ac:dyDescent="0.25">
      <c r="E1133" s="124"/>
      <c r="F1133" s="124"/>
    </row>
    <row r="1134" spans="5:6" x14ac:dyDescent="0.25">
      <c r="E1134" s="124"/>
      <c r="F1134" s="124"/>
    </row>
    <row r="1135" spans="5:6" x14ac:dyDescent="0.25">
      <c r="E1135" s="124"/>
      <c r="F1135" s="124"/>
    </row>
    <row r="1136" spans="5:6" x14ac:dyDescent="0.25">
      <c r="E1136" s="124"/>
      <c r="F1136" s="124"/>
    </row>
    <row r="1137" spans="5:6" x14ac:dyDescent="0.25">
      <c r="E1137" s="124"/>
      <c r="F1137" s="124"/>
    </row>
    <row r="1138" spans="5:6" x14ac:dyDescent="0.25">
      <c r="E1138" s="124"/>
      <c r="F1138" s="124"/>
    </row>
    <row r="1139" spans="5:6" x14ac:dyDescent="0.25">
      <c r="E1139" s="124"/>
      <c r="F1139" s="124"/>
    </row>
    <row r="1140" spans="5:6" x14ac:dyDescent="0.25">
      <c r="E1140" s="124"/>
      <c r="F1140" s="124"/>
    </row>
    <row r="1141" spans="5:6" x14ac:dyDescent="0.25">
      <c r="E1141" s="124"/>
      <c r="F1141" s="124"/>
    </row>
    <row r="1142" spans="5:6" x14ac:dyDescent="0.25">
      <c r="E1142" s="124"/>
      <c r="F1142" s="124"/>
    </row>
    <row r="1143" spans="5:6" x14ac:dyDescent="0.25">
      <c r="E1143" s="124"/>
      <c r="F1143" s="124"/>
    </row>
    <row r="1144" spans="5:6" x14ac:dyDescent="0.25">
      <c r="E1144" s="124"/>
      <c r="F1144" s="124"/>
    </row>
    <row r="1145" spans="5:6" x14ac:dyDescent="0.25">
      <c r="E1145" s="124"/>
      <c r="F1145" s="124"/>
    </row>
    <row r="1146" spans="5:6" x14ac:dyDescent="0.25">
      <c r="E1146" s="124"/>
      <c r="F1146" s="124"/>
    </row>
    <row r="1147" spans="5:6" x14ac:dyDescent="0.25">
      <c r="E1147" s="124"/>
      <c r="F1147" s="124"/>
    </row>
    <row r="1148" spans="5:6" x14ac:dyDescent="0.25">
      <c r="E1148" s="124"/>
      <c r="F1148" s="124"/>
    </row>
    <row r="1149" spans="5:6" x14ac:dyDescent="0.25">
      <c r="E1149" s="124"/>
      <c r="F1149" s="124"/>
    </row>
    <row r="1150" spans="5:6" x14ac:dyDescent="0.25">
      <c r="E1150" s="124"/>
      <c r="F1150" s="124"/>
    </row>
    <row r="1151" spans="5:6" x14ac:dyDescent="0.25">
      <c r="E1151" s="124"/>
      <c r="F1151" s="124"/>
    </row>
    <row r="1152" spans="5:6" x14ac:dyDescent="0.25">
      <c r="E1152" s="124"/>
      <c r="F1152" s="124"/>
    </row>
    <row r="1153" spans="5:6" x14ac:dyDescent="0.25">
      <c r="E1153" s="124"/>
      <c r="F1153" s="124"/>
    </row>
    <row r="1154" spans="5:6" x14ac:dyDescent="0.25">
      <c r="E1154" s="124"/>
      <c r="F1154" s="124"/>
    </row>
    <row r="1155" spans="5:6" x14ac:dyDescent="0.25">
      <c r="E1155" s="124"/>
      <c r="F1155" s="124"/>
    </row>
    <row r="1156" spans="5:6" x14ac:dyDescent="0.25">
      <c r="E1156" s="124"/>
      <c r="F1156" s="124"/>
    </row>
    <row r="1157" spans="5:6" x14ac:dyDescent="0.25">
      <c r="E1157" s="124"/>
      <c r="F1157" s="124"/>
    </row>
    <row r="1158" spans="5:6" x14ac:dyDescent="0.25">
      <c r="E1158" s="124"/>
      <c r="F1158" s="124"/>
    </row>
    <row r="1159" spans="5:6" x14ac:dyDescent="0.25">
      <c r="E1159" s="124"/>
      <c r="F1159" s="124"/>
    </row>
    <row r="1160" spans="5:6" x14ac:dyDescent="0.25">
      <c r="E1160" s="124"/>
      <c r="F1160" s="124"/>
    </row>
    <row r="1161" spans="5:6" x14ac:dyDescent="0.25">
      <c r="E1161" s="124"/>
      <c r="F1161" s="124"/>
    </row>
    <row r="1162" spans="5:6" x14ac:dyDescent="0.25">
      <c r="E1162" s="124"/>
      <c r="F1162" s="124"/>
    </row>
    <row r="1163" spans="5:6" x14ac:dyDescent="0.25">
      <c r="E1163" s="124"/>
      <c r="F1163" s="124"/>
    </row>
    <row r="1164" spans="5:6" x14ac:dyDescent="0.25">
      <c r="E1164" s="124"/>
      <c r="F1164" s="124"/>
    </row>
    <row r="1165" spans="5:6" x14ac:dyDescent="0.25">
      <c r="E1165" s="124"/>
      <c r="F1165" s="124"/>
    </row>
    <row r="1166" spans="5:6" x14ac:dyDescent="0.25">
      <c r="E1166" s="124"/>
      <c r="F1166" s="124"/>
    </row>
    <row r="1167" spans="5:6" x14ac:dyDescent="0.25">
      <c r="E1167" s="124"/>
      <c r="F1167" s="124"/>
    </row>
    <row r="1168" spans="5:6" x14ac:dyDescent="0.25">
      <c r="E1168" s="124"/>
      <c r="F1168" s="124"/>
    </row>
    <row r="1169" spans="5:6" x14ac:dyDescent="0.25">
      <c r="E1169" s="124"/>
      <c r="F1169" s="124"/>
    </row>
    <row r="1170" spans="5:6" x14ac:dyDescent="0.25">
      <c r="E1170" s="124"/>
      <c r="F1170" s="124"/>
    </row>
    <row r="1171" spans="5:6" x14ac:dyDescent="0.25">
      <c r="E1171" s="124"/>
      <c r="F1171" s="124"/>
    </row>
    <row r="1172" spans="5:6" x14ac:dyDescent="0.25">
      <c r="E1172" s="124"/>
      <c r="F1172" s="124"/>
    </row>
    <row r="1173" spans="5:6" x14ac:dyDescent="0.25">
      <c r="E1173" s="124"/>
      <c r="F1173" s="124"/>
    </row>
    <row r="1174" spans="5:6" x14ac:dyDescent="0.25">
      <c r="E1174" s="124"/>
      <c r="F1174" s="124"/>
    </row>
    <row r="1175" spans="5:6" x14ac:dyDescent="0.25">
      <c r="E1175" s="124"/>
      <c r="F1175" s="124"/>
    </row>
    <row r="1176" spans="5:6" x14ac:dyDescent="0.25">
      <c r="E1176" s="124"/>
      <c r="F1176" s="124"/>
    </row>
    <row r="1177" spans="5:6" x14ac:dyDescent="0.25">
      <c r="E1177" s="124"/>
      <c r="F1177" s="124"/>
    </row>
    <row r="1178" spans="5:6" x14ac:dyDescent="0.25">
      <c r="E1178" s="124"/>
      <c r="F1178" s="124"/>
    </row>
    <row r="1179" spans="5:6" x14ac:dyDescent="0.25">
      <c r="E1179" s="124"/>
      <c r="F1179" s="124"/>
    </row>
    <row r="1180" spans="5:6" x14ac:dyDescent="0.25">
      <c r="E1180" s="124"/>
      <c r="F1180" s="124"/>
    </row>
    <row r="1181" spans="5:6" x14ac:dyDescent="0.25">
      <c r="E1181" s="124"/>
      <c r="F1181" s="124"/>
    </row>
    <row r="1182" spans="5:6" x14ac:dyDescent="0.25">
      <c r="E1182" s="124"/>
      <c r="F1182" s="124"/>
    </row>
    <row r="1183" spans="5:6" x14ac:dyDescent="0.25">
      <c r="E1183" s="124"/>
      <c r="F1183" s="124"/>
    </row>
    <row r="1184" spans="5:6" x14ac:dyDescent="0.25">
      <c r="E1184" s="124"/>
      <c r="F1184" s="124"/>
    </row>
    <row r="1185" spans="5:6" x14ac:dyDescent="0.25">
      <c r="E1185" s="124"/>
      <c r="F1185" s="124"/>
    </row>
    <row r="1186" spans="5:6" x14ac:dyDescent="0.25">
      <c r="E1186" s="124"/>
      <c r="F1186" s="124"/>
    </row>
    <row r="1187" spans="5:6" x14ac:dyDescent="0.25">
      <c r="E1187" s="124"/>
      <c r="F1187" s="124"/>
    </row>
    <row r="1188" spans="5:6" x14ac:dyDescent="0.25">
      <c r="E1188" s="124"/>
      <c r="F1188" s="124"/>
    </row>
    <row r="1189" spans="5:6" x14ac:dyDescent="0.25">
      <c r="E1189" s="124"/>
      <c r="F1189" s="124"/>
    </row>
    <row r="1190" spans="5:6" x14ac:dyDescent="0.25">
      <c r="E1190" s="124"/>
      <c r="F1190" s="124"/>
    </row>
    <row r="1191" spans="5:6" x14ac:dyDescent="0.25">
      <c r="E1191" s="124"/>
      <c r="F1191" s="124"/>
    </row>
    <row r="1192" spans="5:6" x14ac:dyDescent="0.25">
      <c r="E1192" s="124"/>
      <c r="F1192" s="124"/>
    </row>
    <row r="1193" spans="5:6" x14ac:dyDescent="0.25">
      <c r="E1193" s="124"/>
      <c r="F1193" s="124"/>
    </row>
    <row r="1194" spans="5:6" x14ac:dyDescent="0.25">
      <c r="E1194" s="124"/>
      <c r="F1194" s="124"/>
    </row>
    <row r="1195" spans="5:6" x14ac:dyDescent="0.25">
      <c r="E1195" s="124"/>
      <c r="F1195" s="124"/>
    </row>
    <row r="1196" spans="5:6" x14ac:dyDescent="0.25">
      <c r="E1196" s="124"/>
      <c r="F1196" s="124"/>
    </row>
    <row r="1197" spans="5:6" x14ac:dyDescent="0.25">
      <c r="E1197" s="124"/>
      <c r="F1197" s="124"/>
    </row>
    <row r="1198" spans="5:6" x14ac:dyDescent="0.25">
      <c r="E1198" s="124"/>
      <c r="F1198" s="124"/>
    </row>
    <row r="1199" spans="5:6" x14ac:dyDescent="0.25">
      <c r="E1199" s="124"/>
      <c r="F1199" s="124"/>
    </row>
    <row r="1200" spans="5:6" x14ac:dyDescent="0.25">
      <c r="E1200" s="124"/>
      <c r="F1200" s="124"/>
    </row>
    <row r="1201" spans="5:6" x14ac:dyDescent="0.25">
      <c r="E1201" s="124"/>
      <c r="F1201" s="124"/>
    </row>
    <row r="1202" spans="5:6" x14ac:dyDescent="0.25">
      <c r="E1202" s="124"/>
      <c r="F1202" s="124"/>
    </row>
    <row r="1203" spans="5:6" x14ac:dyDescent="0.25">
      <c r="E1203" s="124"/>
      <c r="F1203" s="124"/>
    </row>
    <row r="1204" spans="5:6" x14ac:dyDescent="0.25">
      <c r="E1204" s="124"/>
      <c r="F1204" s="124"/>
    </row>
    <row r="1205" spans="5:6" x14ac:dyDescent="0.25">
      <c r="E1205" s="124"/>
      <c r="F1205" s="124"/>
    </row>
    <row r="1206" spans="5:6" x14ac:dyDescent="0.25">
      <c r="E1206" s="124"/>
      <c r="F1206" s="124"/>
    </row>
    <row r="1207" spans="5:6" x14ac:dyDescent="0.25">
      <c r="E1207" s="124"/>
      <c r="F1207" s="124"/>
    </row>
    <row r="1208" spans="5:6" x14ac:dyDescent="0.25">
      <c r="E1208" s="124"/>
      <c r="F1208" s="124"/>
    </row>
    <row r="1209" spans="5:6" x14ac:dyDescent="0.25">
      <c r="E1209" s="124"/>
      <c r="F1209" s="124"/>
    </row>
    <row r="1210" spans="5:6" x14ac:dyDescent="0.25">
      <c r="E1210" s="124"/>
      <c r="F1210" s="124"/>
    </row>
    <row r="1211" spans="5:6" x14ac:dyDescent="0.25">
      <c r="E1211" s="124"/>
      <c r="F1211" s="124"/>
    </row>
    <row r="1212" spans="5:6" x14ac:dyDescent="0.25">
      <c r="E1212" s="124"/>
      <c r="F1212" s="124"/>
    </row>
    <row r="1213" spans="5:6" x14ac:dyDescent="0.25">
      <c r="E1213" s="124"/>
      <c r="F1213" s="124"/>
    </row>
    <row r="1214" spans="5:6" x14ac:dyDescent="0.25">
      <c r="E1214" s="124"/>
      <c r="F1214" s="124"/>
    </row>
    <row r="1215" spans="5:6" x14ac:dyDescent="0.25">
      <c r="E1215" s="124"/>
      <c r="F1215" s="124"/>
    </row>
    <row r="1216" spans="5:6" x14ac:dyDescent="0.25">
      <c r="E1216" s="124"/>
      <c r="F1216" s="124"/>
    </row>
    <row r="1217" spans="5:6" x14ac:dyDescent="0.25">
      <c r="E1217" s="124"/>
      <c r="F1217" s="124"/>
    </row>
    <row r="1218" spans="5:6" x14ac:dyDescent="0.25">
      <c r="E1218" s="124"/>
      <c r="F1218" s="124"/>
    </row>
    <row r="1219" spans="5:6" x14ac:dyDescent="0.25">
      <c r="E1219" s="124"/>
      <c r="F1219" s="124"/>
    </row>
    <row r="1220" spans="5:6" x14ac:dyDescent="0.25">
      <c r="E1220" s="124"/>
      <c r="F1220" s="124"/>
    </row>
    <row r="1221" spans="5:6" x14ac:dyDescent="0.25">
      <c r="E1221" s="124"/>
      <c r="F1221" s="124"/>
    </row>
    <row r="1222" spans="5:6" x14ac:dyDescent="0.25">
      <c r="E1222" s="124"/>
      <c r="F1222" s="124"/>
    </row>
    <row r="1223" spans="5:6" x14ac:dyDescent="0.25">
      <c r="E1223" s="124"/>
      <c r="F1223" s="124"/>
    </row>
    <row r="1224" spans="5:6" x14ac:dyDescent="0.25">
      <c r="E1224" s="124"/>
      <c r="F1224" s="124"/>
    </row>
    <row r="1225" spans="5:6" x14ac:dyDescent="0.25">
      <c r="E1225" s="124"/>
      <c r="F1225" s="124"/>
    </row>
    <row r="1226" spans="5:6" x14ac:dyDescent="0.25">
      <c r="E1226" s="124"/>
      <c r="F1226" s="124"/>
    </row>
    <row r="1227" spans="5:6" x14ac:dyDescent="0.25">
      <c r="E1227" s="124"/>
      <c r="F1227" s="124"/>
    </row>
    <row r="1228" spans="5:6" x14ac:dyDescent="0.25">
      <c r="E1228" s="124"/>
      <c r="F1228" s="124"/>
    </row>
    <row r="1229" spans="5:6" x14ac:dyDescent="0.25">
      <c r="E1229" s="124"/>
      <c r="F1229" s="124"/>
    </row>
    <row r="1230" spans="5:6" x14ac:dyDescent="0.25">
      <c r="E1230" s="124"/>
      <c r="F1230" s="124"/>
    </row>
    <row r="1231" spans="5:6" x14ac:dyDescent="0.25">
      <c r="E1231" s="124"/>
      <c r="F1231" s="124"/>
    </row>
    <row r="1232" spans="5:6" x14ac:dyDescent="0.25">
      <c r="E1232" s="124"/>
      <c r="F1232" s="124"/>
    </row>
    <row r="1233" spans="5:6" x14ac:dyDescent="0.25">
      <c r="E1233" s="124"/>
      <c r="F1233" s="124"/>
    </row>
    <row r="1234" spans="5:6" x14ac:dyDescent="0.25">
      <c r="E1234" s="124"/>
      <c r="F1234" s="124"/>
    </row>
    <row r="1235" spans="5:6" x14ac:dyDescent="0.25">
      <c r="E1235" s="124"/>
      <c r="F1235" s="124"/>
    </row>
    <row r="1236" spans="5:6" x14ac:dyDescent="0.25">
      <c r="E1236" s="124"/>
      <c r="F1236" s="124"/>
    </row>
    <row r="1237" spans="5:6" x14ac:dyDescent="0.25">
      <c r="E1237" s="124"/>
      <c r="F1237" s="124"/>
    </row>
    <row r="1238" spans="5:6" x14ac:dyDescent="0.25">
      <c r="E1238" s="124"/>
      <c r="F1238" s="124"/>
    </row>
    <row r="1239" spans="5:6" x14ac:dyDescent="0.25">
      <c r="E1239" s="124"/>
      <c r="F1239" s="124"/>
    </row>
    <row r="1240" spans="5:6" x14ac:dyDescent="0.25">
      <c r="E1240" s="124"/>
      <c r="F1240" s="124"/>
    </row>
    <row r="1241" spans="5:6" x14ac:dyDescent="0.25">
      <c r="E1241" s="124"/>
      <c r="F1241" s="124"/>
    </row>
    <row r="1242" spans="5:6" x14ac:dyDescent="0.25">
      <c r="E1242" s="124"/>
      <c r="F1242" s="124"/>
    </row>
    <row r="1243" spans="5:6" x14ac:dyDescent="0.25">
      <c r="E1243" s="124"/>
      <c r="F1243" s="124"/>
    </row>
    <row r="1244" spans="5:6" x14ac:dyDescent="0.25">
      <c r="E1244" s="124"/>
      <c r="F1244" s="124"/>
    </row>
    <row r="1245" spans="5:6" x14ac:dyDescent="0.25">
      <c r="E1245" s="124"/>
      <c r="F1245" s="124"/>
    </row>
    <row r="1246" spans="5:6" x14ac:dyDescent="0.25">
      <c r="E1246" s="124"/>
      <c r="F1246" s="124"/>
    </row>
    <row r="1247" spans="5:6" x14ac:dyDescent="0.25">
      <c r="E1247" s="124"/>
      <c r="F1247" s="124"/>
    </row>
    <row r="1248" spans="5:6" x14ac:dyDescent="0.25">
      <c r="E1248" s="124"/>
      <c r="F1248" s="124"/>
    </row>
    <row r="1249" spans="5:6" x14ac:dyDescent="0.25">
      <c r="E1249" s="124"/>
      <c r="F1249" s="124"/>
    </row>
    <row r="1250" spans="5:6" x14ac:dyDescent="0.25">
      <c r="E1250" s="124"/>
      <c r="F1250" s="124"/>
    </row>
    <row r="1251" spans="5:6" x14ac:dyDescent="0.25">
      <c r="E1251" s="124"/>
      <c r="F1251" s="124"/>
    </row>
    <row r="1252" spans="5:6" x14ac:dyDescent="0.25">
      <c r="E1252" s="124"/>
      <c r="F1252" s="124"/>
    </row>
    <row r="1253" spans="5:6" x14ac:dyDescent="0.25">
      <c r="E1253" s="124"/>
      <c r="F1253" s="124"/>
    </row>
    <row r="1254" spans="5:6" x14ac:dyDescent="0.25">
      <c r="E1254" s="124"/>
      <c r="F1254" s="124"/>
    </row>
    <row r="1255" spans="5:6" x14ac:dyDescent="0.25">
      <c r="E1255" s="124"/>
      <c r="F1255" s="124"/>
    </row>
    <row r="1256" spans="5:6" x14ac:dyDescent="0.25">
      <c r="E1256" s="124"/>
      <c r="F1256" s="124"/>
    </row>
    <row r="1257" spans="5:6" x14ac:dyDescent="0.25">
      <c r="E1257" s="124"/>
      <c r="F1257" s="124"/>
    </row>
    <row r="1258" spans="5:6" x14ac:dyDescent="0.25">
      <c r="E1258" s="124"/>
      <c r="F1258" s="124"/>
    </row>
    <row r="1259" spans="5:6" x14ac:dyDescent="0.25">
      <c r="E1259" s="124"/>
      <c r="F1259" s="124"/>
    </row>
    <row r="1260" spans="5:6" x14ac:dyDescent="0.25">
      <c r="E1260" s="124"/>
      <c r="F1260" s="124"/>
    </row>
    <row r="1261" spans="5:6" x14ac:dyDescent="0.25">
      <c r="E1261" s="124"/>
      <c r="F1261" s="124"/>
    </row>
    <row r="1262" spans="5:6" x14ac:dyDescent="0.25">
      <c r="E1262" s="124"/>
      <c r="F1262" s="124"/>
    </row>
    <row r="1263" spans="5:6" x14ac:dyDescent="0.25">
      <c r="E1263" s="124"/>
      <c r="F1263" s="124"/>
    </row>
    <row r="1264" spans="5:6" x14ac:dyDescent="0.25">
      <c r="E1264" s="124"/>
      <c r="F1264" s="124"/>
    </row>
    <row r="1265" spans="5:6" x14ac:dyDescent="0.25">
      <c r="E1265" s="124"/>
      <c r="F1265" s="124"/>
    </row>
    <row r="1266" spans="5:6" x14ac:dyDescent="0.25">
      <c r="E1266" s="124"/>
      <c r="F1266" s="124"/>
    </row>
    <row r="1267" spans="5:6" x14ac:dyDescent="0.25">
      <c r="E1267" s="124"/>
      <c r="F1267" s="124"/>
    </row>
    <row r="1268" spans="5:6" x14ac:dyDescent="0.25">
      <c r="E1268" s="124"/>
      <c r="F1268" s="124"/>
    </row>
    <row r="1269" spans="5:6" x14ac:dyDescent="0.25">
      <c r="E1269" s="124"/>
      <c r="F1269" s="124"/>
    </row>
    <row r="1270" spans="5:6" x14ac:dyDescent="0.25">
      <c r="E1270" s="124"/>
      <c r="F1270" s="124"/>
    </row>
    <row r="1271" spans="5:6" x14ac:dyDescent="0.25">
      <c r="E1271" s="124"/>
      <c r="F1271" s="124"/>
    </row>
    <row r="1272" spans="5:6" x14ac:dyDescent="0.25">
      <c r="E1272" s="124"/>
      <c r="F1272" s="124"/>
    </row>
    <row r="1273" spans="5:6" x14ac:dyDescent="0.25">
      <c r="E1273" s="124"/>
      <c r="F1273" s="124"/>
    </row>
    <row r="1274" spans="5:6" x14ac:dyDescent="0.25">
      <c r="E1274" s="124"/>
      <c r="F1274" s="124"/>
    </row>
    <row r="1275" spans="5:6" x14ac:dyDescent="0.25">
      <c r="E1275" s="124"/>
      <c r="F1275" s="124"/>
    </row>
    <row r="1276" spans="5:6" x14ac:dyDescent="0.25">
      <c r="E1276" s="124"/>
      <c r="F1276" s="124"/>
    </row>
    <row r="1277" spans="5:6" x14ac:dyDescent="0.25">
      <c r="E1277" s="124"/>
      <c r="F1277" s="124"/>
    </row>
    <row r="1278" spans="5:6" x14ac:dyDescent="0.25">
      <c r="E1278" s="124"/>
      <c r="F1278" s="124"/>
    </row>
    <row r="1279" spans="5:6" x14ac:dyDescent="0.25">
      <c r="E1279" s="124"/>
      <c r="F1279" s="124"/>
    </row>
    <row r="1280" spans="5:6" x14ac:dyDescent="0.25">
      <c r="E1280" s="124"/>
      <c r="F1280" s="124"/>
    </row>
    <row r="1281" spans="5:6" x14ac:dyDescent="0.25">
      <c r="E1281" s="124"/>
      <c r="F1281" s="124"/>
    </row>
    <row r="1282" spans="5:6" x14ac:dyDescent="0.25">
      <c r="E1282" s="124"/>
      <c r="F1282" s="124"/>
    </row>
    <row r="1283" spans="5:6" x14ac:dyDescent="0.25">
      <c r="E1283" s="124"/>
      <c r="F1283" s="124"/>
    </row>
    <row r="1284" spans="5:6" x14ac:dyDescent="0.25">
      <c r="E1284" s="124"/>
      <c r="F1284" s="124"/>
    </row>
    <row r="1285" spans="5:6" x14ac:dyDescent="0.25">
      <c r="E1285" s="124"/>
      <c r="F1285" s="124"/>
    </row>
    <row r="1286" spans="5:6" x14ac:dyDescent="0.25">
      <c r="E1286" s="124"/>
      <c r="F1286" s="124"/>
    </row>
    <row r="1287" spans="5:6" x14ac:dyDescent="0.25">
      <c r="E1287" s="124"/>
      <c r="F1287" s="124"/>
    </row>
    <row r="1288" spans="5:6" x14ac:dyDescent="0.25">
      <c r="E1288" s="124"/>
      <c r="F1288" s="124"/>
    </row>
    <row r="1289" spans="5:6" x14ac:dyDescent="0.25">
      <c r="E1289" s="124"/>
      <c r="F1289" s="124"/>
    </row>
    <row r="1290" spans="5:6" x14ac:dyDescent="0.25">
      <c r="E1290" s="124"/>
      <c r="F1290" s="124"/>
    </row>
    <row r="1291" spans="5:6" x14ac:dyDescent="0.25">
      <c r="E1291" s="124"/>
      <c r="F1291" s="124"/>
    </row>
    <row r="1292" spans="5:6" x14ac:dyDescent="0.25">
      <c r="E1292" s="124"/>
      <c r="F1292" s="124"/>
    </row>
    <row r="1293" spans="5:6" x14ac:dyDescent="0.25">
      <c r="E1293" s="124"/>
      <c r="F1293" s="124"/>
    </row>
    <row r="1294" spans="5:6" x14ac:dyDescent="0.25">
      <c r="E1294" s="124"/>
      <c r="F1294" s="124"/>
    </row>
    <row r="1295" spans="5:6" x14ac:dyDescent="0.25">
      <c r="E1295" s="124"/>
      <c r="F1295" s="124"/>
    </row>
    <row r="1296" spans="5:6" x14ac:dyDescent="0.25">
      <c r="E1296" s="124"/>
      <c r="F1296" s="124"/>
    </row>
    <row r="1297" spans="5:6" x14ac:dyDescent="0.25">
      <c r="E1297" s="124"/>
      <c r="F1297" s="124"/>
    </row>
    <row r="1298" spans="5:6" x14ac:dyDescent="0.25">
      <c r="E1298" s="124"/>
      <c r="F1298" s="124"/>
    </row>
    <row r="1299" spans="5:6" x14ac:dyDescent="0.25">
      <c r="E1299" s="124"/>
      <c r="F1299" s="124"/>
    </row>
    <row r="1300" spans="5:6" x14ac:dyDescent="0.25">
      <c r="E1300" s="124"/>
      <c r="F1300" s="124"/>
    </row>
    <row r="1301" spans="5:6" x14ac:dyDescent="0.25">
      <c r="E1301" s="124"/>
      <c r="F1301" s="124"/>
    </row>
    <row r="1302" spans="5:6" x14ac:dyDescent="0.25">
      <c r="E1302" s="124"/>
      <c r="F1302" s="124"/>
    </row>
    <row r="1303" spans="5:6" x14ac:dyDescent="0.25">
      <c r="E1303" s="124"/>
      <c r="F1303" s="124"/>
    </row>
    <row r="1304" spans="5:6" x14ac:dyDescent="0.25">
      <c r="E1304" s="124"/>
      <c r="F1304" s="124"/>
    </row>
    <row r="1305" spans="5:6" x14ac:dyDescent="0.25">
      <c r="E1305" s="124"/>
      <c r="F1305" s="124"/>
    </row>
    <row r="1306" spans="5:6" x14ac:dyDescent="0.25">
      <c r="E1306" s="124"/>
      <c r="F1306" s="124"/>
    </row>
    <row r="1307" spans="5:6" x14ac:dyDescent="0.25">
      <c r="E1307" s="124"/>
      <c r="F1307" s="124"/>
    </row>
    <row r="1308" spans="5:6" x14ac:dyDescent="0.25">
      <c r="E1308" s="124"/>
      <c r="F1308" s="124"/>
    </row>
    <row r="1309" spans="5:6" x14ac:dyDescent="0.25">
      <c r="E1309" s="124"/>
      <c r="F1309" s="124"/>
    </row>
    <row r="1310" spans="5:6" x14ac:dyDescent="0.25">
      <c r="E1310" s="124"/>
      <c r="F1310" s="124"/>
    </row>
    <row r="1311" spans="5:6" x14ac:dyDescent="0.25">
      <c r="E1311" s="124"/>
      <c r="F1311" s="124"/>
    </row>
    <row r="1312" spans="5:6" x14ac:dyDescent="0.25">
      <c r="E1312" s="124"/>
      <c r="F1312" s="124"/>
    </row>
    <row r="1313" spans="5:6" x14ac:dyDescent="0.25">
      <c r="E1313" s="124"/>
      <c r="F1313" s="124"/>
    </row>
    <row r="1314" spans="5:6" x14ac:dyDescent="0.25">
      <c r="E1314" s="124"/>
      <c r="F1314" s="124"/>
    </row>
    <row r="1315" spans="5:6" x14ac:dyDescent="0.25">
      <c r="E1315" s="124"/>
      <c r="F1315" s="124"/>
    </row>
    <row r="1316" spans="5:6" x14ac:dyDescent="0.25">
      <c r="E1316" s="124"/>
      <c r="F1316" s="124"/>
    </row>
    <row r="1317" spans="5:6" x14ac:dyDescent="0.25">
      <c r="E1317" s="124"/>
      <c r="F1317" s="124"/>
    </row>
    <row r="1318" spans="5:6" x14ac:dyDescent="0.25">
      <c r="E1318" s="124"/>
      <c r="F1318" s="124"/>
    </row>
    <row r="1319" spans="5:6" x14ac:dyDescent="0.25">
      <c r="E1319" s="124"/>
      <c r="F1319" s="124"/>
    </row>
    <row r="1320" spans="5:6" x14ac:dyDescent="0.25">
      <c r="E1320" s="124"/>
      <c r="F1320" s="124"/>
    </row>
    <row r="1321" spans="5:6" x14ac:dyDescent="0.25">
      <c r="E1321" s="124"/>
      <c r="F1321" s="124"/>
    </row>
    <row r="1322" spans="5:6" x14ac:dyDescent="0.25">
      <c r="E1322" s="124"/>
      <c r="F1322" s="124"/>
    </row>
    <row r="1323" spans="5:6" x14ac:dyDescent="0.25">
      <c r="E1323" s="124"/>
      <c r="F1323" s="124"/>
    </row>
    <row r="1324" spans="5:6" x14ac:dyDescent="0.25">
      <c r="E1324" s="124"/>
      <c r="F1324" s="124"/>
    </row>
    <row r="1325" spans="5:6" x14ac:dyDescent="0.25">
      <c r="E1325" s="124"/>
      <c r="F1325" s="124"/>
    </row>
    <row r="1326" spans="5:6" x14ac:dyDescent="0.25">
      <c r="E1326" s="124"/>
      <c r="F1326" s="124"/>
    </row>
    <row r="1327" spans="5:6" x14ac:dyDescent="0.25">
      <c r="E1327" s="124"/>
      <c r="F1327" s="124"/>
    </row>
    <row r="1328" spans="5:6" x14ac:dyDescent="0.25">
      <c r="E1328" s="124"/>
      <c r="F1328" s="124"/>
    </row>
    <row r="1329" spans="5:6" x14ac:dyDescent="0.25">
      <c r="E1329" s="124"/>
      <c r="F1329" s="124"/>
    </row>
    <row r="1330" spans="5:6" x14ac:dyDescent="0.25">
      <c r="E1330" s="124"/>
      <c r="F1330" s="124"/>
    </row>
    <row r="1331" spans="5:6" x14ac:dyDescent="0.25">
      <c r="E1331" s="124"/>
      <c r="F1331" s="124"/>
    </row>
    <row r="1332" spans="5:6" x14ac:dyDescent="0.25">
      <c r="E1332" s="124"/>
      <c r="F1332" s="124"/>
    </row>
    <row r="1333" spans="5:6" x14ac:dyDescent="0.25">
      <c r="E1333" s="124"/>
      <c r="F1333" s="124"/>
    </row>
    <row r="1334" spans="5:6" x14ac:dyDescent="0.25">
      <c r="E1334" s="124"/>
      <c r="F1334" s="124"/>
    </row>
    <row r="1335" spans="5:6" x14ac:dyDescent="0.25">
      <c r="E1335" s="124"/>
      <c r="F1335" s="124"/>
    </row>
    <row r="1336" spans="5:6" x14ac:dyDescent="0.25">
      <c r="E1336" s="124"/>
      <c r="F1336" s="124"/>
    </row>
    <row r="1337" spans="5:6" x14ac:dyDescent="0.25">
      <c r="E1337" s="124"/>
      <c r="F1337" s="124"/>
    </row>
    <row r="1338" spans="5:6" x14ac:dyDescent="0.25">
      <c r="E1338" s="124"/>
      <c r="F1338" s="124"/>
    </row>
    <row r="1339" spans="5:6" x14ac:dyDescent="0.25">
      <c r="E1339" s="124"/>
      <c r="F1339" s="124"/>
    </row>
    <row r="1340" spans="5:6" x14ac:dyDescent="0.25">
      <c r="E1340" s="124"/>
      <c r="F1340" s="124"/>
    </row>
    <row r="1341" spans="5:6" x14ac:dyDescent="0.25">
      <c r="E1341" s="124"/>
      <c r="F1341" s="124"/>
    </row>
    <row r="1342" spans="5:6" x14ac:dyDescent="0.25">
      <c r="E1342" s="124"/>
      <c r="F1342" s="124"/>
    </row>
    <row r="1343" spans="5:6" x14ac:dyDescent="0.25">
      <c r="E1343" s="124"/>
      <c r="F1343" s="124"/>
    </row>
    <row r="1344" spans="5:6" x14ac:dyDescent="0.25">
      <c r="E1344" s="124"/>
      <c r="F1344" s="124"/>
    </row>
    <row r="1345" spans="5:6" x14ac:dyDescent="0.25">
      <c r="E1345" s="124"/>
      <c r="F1345" s="124"/>
    </row>
    <row r="1346" spans="5:6" x14ac:dyDescent="0.25">
      <c r="E1346" s="124"/>
      <c r="F1346" s="124"/>
    </row>
    <row r="1347" spans="5:6" x14ac:dyDescent="0.25">
      <c r="E1347" s="124"/>
      <c r="F1347" s="124"/>
    </row>
    <row r="1348" spans="5:6" x14ac:dyDescent="0.25">
      <c r="E1348" s="124"/>
      <c r="F1348" s="124"/>
    </row>
    <row r="1349" spans="5:6" x14ac:dyDescent="0.25">
      <c r="E1349" s="124"/>
      <c r="F1349" s="124"/>
    </row>
    <row r="1350" spans="5:6" x14ac:dyDescent="0.25">
      <c r="E1350" s="124"/>
      <c r="F1350" s="124"/>
    </row>
    <row r="1351" spans="5:6" x14ac:dyDescent="0.25">
      <c r="E1351" s="124"/>
      <c r="F1351" s="124"/>
    </row>
    <row r="1352" spans="5:6" x14ac:dyDescent="0.25">
      <c r="E1352" s="124"/>
      <c r="F1352" s="124"/>
    </row>
    <row r="1353" spans="5:6" x14ac:dyDescent="0.25">
      <c r="E1353" s="124"/>
      <c r="F1353" s="124"/>
    </row>
    <row r="1354" spans="5:6" x14ac:dyDescent="0.25">
      <c r="E1354" s="124"/>
      <c r="F1354" s="124"/>
    </row>
    <row r="1355" spans="5:6" x14ac:dyDescent="0.25">
      <c r="E1355" s="124"/>
      <c r="F1355" s="124"/>
    </row>
    <row r="1356" spans="5:6" x14ac:dyDescent="0.25">
      <c r="E1356" s="124"/>
      <c r="F1356" s="124"/>
    </row>
    <row r="1357" spans="5:6" x14ac:dyDescent="0.25">
      <c r="E1357" s="124"/>
      <c r="F1357" s="124"/>
    </row>
    <row r="1358" spans="5:6" x14ac:dyDescent="0.25">
      <c r="E1358" s="124"/>
      <c r="F1358" s="124"/>
    </row>
    <row r="1359" spans="5:6" x14ac:dyDescent="0.25">
      <c r="E1359" s="124"/>
      <c r="F1359" s="124"/>
    </row>
    <row r="1360" spans="5:6" x14ac:dyDescent="0.25">
      <c r="E1360" s="124"/>
      <c r="F1360" s="124"/>
    </row>
    <row r="1361" spans="5:6" x14ac:dyDescent="0.25">
      <c r="E1361" s="124"/>
      <c r="F1361" s="124"/>
    </row>
    <row r="1362" spans="5:6" x14ac:dyDescent="0.25">
      <c r="E1362" s="124"/>
      <c r="F1362" s="124"/>
    </row>
    <row r="1363" spans="5:6" x14ac:dyDescent="0.25">
      <c r="E1363" s="124"/>
      <c r="F1363" s="124"/>
    </row>
    <row r="1364" spans="5:6" x14ac:dyDescent="0.25">
      <c r="E1364" s="124"/>
      <c r="F1364" s="124"/>
    </row>
    <row r="1365" spans="5:6" x14ac:dyDescent="0.25">
      <c r="E1365" s="124"/>
      <c r="F1365" s="124"/>
    </row>
    <row r="1366" spans="5:6" x14ac:dyDescent="0.25">
      <c r="E1366" s="124"/>
      <c r="F1366" s="124"/>
    </row>
    <row r="1367" spans="5:6" x14ac:dyDescent="0.25">
      <c r="E1367" s="124"/>
      <c r="F1367" s="124"/>
    </row>
    <row r="1368" spans="5:6" x14ac:dyDescent="0.25">
      <c r="E1368" s="124"/>
      <c r="F1368" s="124"/>
    </row>
    <row r="1369" spans="5:6" x14ac:dyDescent="0.25">
      <c r="E1369" s="124"/>
      <c r="F1369" s="124"/>
    </row>
    <row r="1370" spans="5:6" x14ac:dyDescent="0.25">
      <c r="E1370" s="124"/>
      <c r="F1370" s="124"/>
    </row>
    <row r="1371" spans="5:6" x14ac:dyDescent="0.25">
      <c r="E1371" s="124"/>
      <c r="F1371" s="124"/>
    </row>
    <row r="1372" spans="5:6" x14ac:dyDescent="0.25">
      <c r="E1372" s="124"/>
      <c r="F1372" s="124"/>
    </row>
    <row r="1373" spans="5:6" x14ac:dyDescent="0.25">
      <c r="E1373" s="124"/>
      <c r="F1373" s="124"/>
    </row>
    <row r="1374" spans="5:6" x14ac:dyDescent="0.25">
      <c r="E1374" s="124"/>
      <c r="F1374" s="124"/>
    </row>
    <row r="1375" spans="5:6" x14ac:dyDescent="0.25">
      <c r="E1375" s="124"/>
      <c r="F1375" s="124"/>
    </row>
    <row r="1376" spans="5:6" x14ac:dyDescent="0.25">
      <c r="E1376" s="124"/>
      <c r="F1376" s="124"/>
    </row>
    <row r="1377" spans="5:6" x14ac:dyDescent="0.25">
      <c r="E1377" s="124"/>
      <c r="F1377" s="124"/>
    </row>
    <row r="1378" spans="5:6" x14ac:dyDescent="0.25">
      <c r="E1378" s="124"/>
      <c r="F1378" s="124"/>
    </row>
    <row r="1379" spans="5:6" x14ac:dyDescent="0.25">
      <c r="E1379" s="124"/>
      <c r="F1379" s="124"/>
    </row>
    <row r="1380" spans="5:6" x14ac:dyDescent="0.25">
      <c r="E1380" s="124"/>
      <c r="F1380" s="124"/>
    </row>
    <row r="1381" spans="5:6" x14ac:dyDescent="0.25">
      <c r="E1381" s="124"/>
      <c r="F1381" s="124"/>
    </row>
    <row r="1382" spans="5:6" x14ac:dyDescent="0.25">
      <c r="E1382" s="124"/>
      <c r="F1382" s="124"/>
    </row>
    <row r="1383" spans="5:6" x14ac:dyDescent="0.25">
      <c r="E1383" s="124"/>
      <c r="F1383" s="124"/>
    </row>
    <row r="1384" spans="5:6" x14ac:dyDescent="0.25">
      <c r="E1384" s="124"/>
      <c r="F1384" s="124"/>
    </row>
    <row r="1385" spans="5:6" x14ac:dyDescent="0.25">
      <c r="E1385" s="124"/>
      <c r="F1385" s="124"/>
    </row>
    <row r="1386" spans="5:6" x14ac:dyDescent="0.25">
      <c r="E1386" s="124"/>
      <c r="F1386" s="124"/>
    </row>
    <row r="1387" spans="5:6" x14ac:dyDescent="0.25">
      <c r="E1387" s="124"/>
      <c r="F1387" s="124"/>
    </row>
    <row r="1388" spans="5:6" x14ac:dyDescent="0.25">
      <c r="E1388" s="124"/>
      <c r="F1388" s="124"/>
    </row>
    <row r="1389" spans="5:6" x14ac:dyDescent="0.25">
      <c r="E1389" s="124"/>
      <c r="F1389" s="124"/>
    </row>
    <row r="1390" spans="5:6" x14ac:dyDescent="0.25">
      <c r="E1390" s="124"/>
      <c r="F1390" s="124"/>
    </row>
    <row r="1391" spans="5:6" x14ac:dyDescent="0.25">
      <c r="E1391" s="124"/>
      <c r="F1391" s="124"/>
    </row>
    <row r="1392" spans="5:6" x14ac:dyDescent="0.25">
      <c r="E1392" s="124"/>
      <c r="F1392" s="124"/>
    </row>
    <row r="1393" spans="5:6" x14ac:dyDescent="0.25">
      <c r="E1393" s="124"/>
      <c r="F1393" s="124"/>
    </row>
    <row r="1394" spans="5:6" x14ac:dyDescent="0.25">
      <c r="E1394" s="124"/>
      <c r="F1394" s="124"/>
    </row>
    <row r="1395" spans="5:6" x14ac:dyDescent="0.25">
      <c r="E1395" s="124"/>
      <c r="F1395" s="124"/>
    </row>
    <row r="1396" spans="5:6" x14ac:dyDescent="0.25">
      <c r="E1396" s="124"/>
      <c r="F1396" s="124"/>
    </row>
    <row r="1397" spans="5:6" x14ac:dyDescent="0.25">
      <c r="E1397" s="124"/>
      <c r="F1397" s="124"/>
    </row>
    <row r="1398" spans="5:6" x14ac:dyDescent="0.25">
      <c r="E1398" s="124"/>
      <c r="F1398" s="124"/>
    </row>
    <row r="1399" spans="5:6" x14ac:dyDescent="0.25">
      <c r="E1399" s="124"/>
      <c r="F1399" s="124"/>
    </row>
    <row r="1400" spans="5:6" x14ac:dyDescent="0.25">
      <c r="E1400" s="124"/>
      <c r="F1400" s="124"/>
    </row>
    <row r="1401" spans="5:6" x14ac:dyDescent="0.25">
      <c r="E1401" s="124"/>
      <c r="F1401" s="124"/>
    </row>
    <row r="1402" spans="5:6" x14ac:dyDescent="0.25">
      <c r="E1402" s="124"/>
      <c r="F1402" s="124"/>
    </row>
    <row r="1403" spans="5:6" x14ac:dyDescent="0.25">
      <c r="E1403" s="124"/>
      <c r="F1403" s="124"/>
    </row>
    <row r="1404" spans="5:6" x14ac:dyDescent="0.25">
      <c r="E1404" s="124"/>
      <c r="F1404" s="124"/>
    </row>
    <row r="1405" spans="5:6" x14ac:dyDescent="0.25">
      <c r="E1405" s="124"/>
      <c r="F1405" s="124"/>
    </row>
    <row r="1406" spans="5:6" x14ac:dyDescent="0.25">
      <c r="E1406" s="124"/>
      <c r="F1406" s="124"/>
    </row>
    <row r="1407" spans="5:6" x14ac:dyDescent="0.25">
      <c r="E1407" s="124"/>
      <c r="F1407" s="124"/>
    </row>
    <row r="1408" spans="5:6" x14ac:dyDescent="0.25">
      <c r="E1408" s="124"/>
      <c r="F1408" s="124"/>
    </row>
    <row r="1409" spans="5:6" x14ac:dyDescent="0.25">
      <c r="E1409" s="124"/>
      <c r="F1409" s="124"/>
    </row>
    <row r="1410" spans="5:6" x14ac:dyDescent="0.25">
      <c r="E1410" s="124"/>
      <c r="F1410" s="124"/>
    </row>
    <row r="1411" spans="5:6" x14ac:dyDescent="0.25">
      <c r="E1411" s="124"/>
      <c r="F1411" s="124"/>
    </row>
    <row r="1412" spans="5:6" x14ac:dyDescent="0.25">
      <c r="E1412" s="124"/>
      <c r="F1412" s="124"/>
    </row>
    <row r="1413" spans="5:6" x14ac:dyDescent="0.25">
      <c r="E1413" s="124"/>
      <c r="F1413" s="124"/>
    </row>
    <row r="1414" spans="5:6" x14ac:dyDescent="0.25">
      <c r="E1414" s="124"/>
      <c r="F1414" s="124"/>
    </row>
    <row r="1415" spans="5:6" x14ac:dyDescent="0.25">
      <c r="E1415" s="124"/>
      <c r="F1415" s="124"/>
    </row>
    <row r="1416" spans="5:6" x14ac:dyDescent="0.25">
      <c r="E1416" s="124"/>
      <c r="F1416" s="124"/>
    </row>
    <row r="1417" spans="5:6" x14ac:dyDescent="0.25">
      <c r="E1417" s="124"/>
      <c r="F1417" s="124"/>
    </row>
    <row r="1418" spans="5:6" x14ac:dyDescent="0.25">
      <c r="E1418" s="124"/>
      <c r="F1418" s="124"/>
    </row>
    <row r="1419" spans="5:6" x14ac:dyDescent="0.25">
      <c r="E1419" s="124"/>
      <c r="F1419" s="124"/>
    </row>
    <row r="1420" spans="5:6" x14ac:dyDescent="0.25">
      <c r="E1420" s="124"/>
      <c r="F1420" s="124"/>
    </row>
    <row r="1421" spans="5:6" x14ac:dyDescent="0.25">
      <c r="E1421" s="124"/>
      <c r="F1421" s="124"/>
    </row>
    <row r="1422" spans="5:6" x14ac:dyDescent="0.25">
      <c r="E1422" s="124"/>
      <c r="F1422" s="124"/>
    </row>
    <row r="1423" spans="5:6" x14ac:dyDescent="0.25">
      <c r="E1423" s="124"/>
      <c r="F1423" s="124"/>
    </row>
    <row r="1424" spans="5:6" x14ac:dyDescent="0.25">
      <c r="E1424" s="124"/>
      <c r="F1424" s="124"/>
    </row>
    <row r="1425" spans="5:6" x14ac:dyDescent="0.25">
      <c r="E1425" s="124"/>
      <c r="F1425" s="124"/>
    </row>
    <row r="1426" spans="5:6" x14ac:dyDescent="0.25">
      <c r="E1426" s="124"/>
      <c r="F1426" s="124"/>
    </row>
    <row r="1427" spans="5:6" x14ac:dyDescent="0.25">
      <c r="E1427" s="124"/>
      <c r="F1427" s="124"/>
    </row>
    <row r="1428" spans="5:6" x14ac:dyDescent="0.25">
      <c r="E1428" s="124"/>
      <c r="F1428" s="124"/>
    </row>
    <row r="1429" spans="5:6" x14ac:dyDescent="0.25">
      <c r="E1429" s="124"/>
      <c r="F1429" s="124"/>
    </row>
    <row r="1430" spans="5:6" x14ac:dyDescent="0.25">
      <c r="E1430" s="124"/>
      <c r="F1430" s="124"/>
    </row>
    <row r="1431" spans="5:6" x14ac:dyDescent="0.25">
      <c r="E1431" s="124"/>
      <c r="F1431" s="124"/>
    </row>
    <row r="1432" spans="5:6" x14ac:dyDescent="0.25">
      <c r="E1432" s="124"/>
      <c r="F1432" s="124"/>
    </row>
    <row r="1433" spans="5:6" x14ac:dyDescent="0.25">
      <c r="E1433" s="124"/>
      <c r="F1433" s="124"/>
    </row>
    <row r="1434" spans="5:6" x14ac:dyDescent="0.25">
      <c r="E1434" s="124"/>
      <c r="F1434" s="124"/>
    </row>
    <row r="1435" spans="5:6" x14ac:dyDescent="0.25">
      <c r="E1435" s="124"/>
      <c r="F1435" s="124"/>
    </row>
    <row r="1436" spans="5:6" x14ac:dyDescent="0.25">
      <c r="E1436" s="124"/>
      <c r="F1436" s="124"/>
    </row>
    <row r="1437" spans="5:6" x14ac:dyDescent="0.25">
      <c r="E1437" s="124"/>
      <c r="F1437" s="124"/>
    </row>
    <row r="1438" spans="5:6" x14ac:dyDescent="0.25">
      <c r="E1438" s="124"/>
      <c r="F1438" s="124"/>
    </row>
    <row r="1439" spans="5:6" x14ac:dyDescent="0.25">
      <c r="E1439" s="124"/>
      <c r="F1439" s="124"/>
    </row>
    <row r="1440" spans="5:6" x14ac:dyDescent="0.25">
      <c r="E1440" s="124"/>
      <c r="F1440" s="124"/>
    </row>
    <row r="1441" spans="5:6" x14ac:dyDescent="0.25">
      <c r="E1441" s="124"/>
      <c r="F1441" s="124"/>
    </row>
    <row r="1442" spans="5:6" x14ac:dyDescent="0.25">
      <c r="E1442" s="124"/>
      <c r="F1442" s="124"/>
    </row>
    <row r="1443" spans="5:6" x14ac:dyDescent="0.25">
      <c r="E1443" s="124"/>
      <c r="F1443" s="124"/>
    </row>
    <row r="1444" spans="5:6" x14ac:dyDescent="0.25">
      <c r="E1444" s="124"/>
      <c r="F1444" s="124"/>
    </row>
    <row r="1445" spans="5:6" x14ac:dyDescent="0.25">
      <c r="E1445" s="124"/>
      <c r="F1445" s="124"/>
    </row>
    <row r="1446" spans="5:6" x14ac:dyDescent="0.25">
      <c r="E1446" s="124"/>
      <c r="F1446" s="124"/>
    </row>
    <row r="1447" spans="5:6" x14ac:dyDescent="0.25">
      <c r="E1447" s="124"/>
      <c r="F1447" s="124"/>
    </row>
    <row r="1448" spans="5:6" x14ac:dyDescent="0.25">
      <c r="E1448" s="124"/>
      <c r="F1448" s="124"/>
    </row>
    <row r="1449" spans="5:6" x14ac:dyDescent="0.25">
      <c r="E1449" s="124"/>
      <c r="F1449" s="124"/>
    </row>
    <row r="1450" spans="5:6" x14ac:dyDescent="0.25">
      <c r="E1450" s="124"/>
      <c r="F1450" s="124"/>
    </row>
    <row r="1451" spans="5:6" x14ac:dyDescent="0.25">
      <c r="E1451" s="124"/>
      <c r="F1451" s="124"/>
    </row>
    <row r="1452" spans="5:6" x14ac:dyDescent="0.25">
      <c r="E1452" s="124"/>
      <c r="F1452" s="124"/>
    </row>
    <row r="1453" spans="5:6" x14ac:dyDescent="0.25">
      <c r="E1453" s="124"/>
      <c r="F1453" s="124"/>
    </row>
    <row r="1454" spans="5:6" x14ac:dyDescent="0.25">
      <c r="E1454" s="124"/>
      <c r="F1454" s="124"/>
    </row>
    <row r="1455" spans="5:6" x14ac:dyDescent="0.25">
      <c r="E1455" s="124"/>
      <c r="F1455" s="124"/>
    </row>
    <row r="1456" spans="5:6" x14ac:dyDescent="0.25">
      <c r="E1456" s="124"/>
      <c r="F1456" s="124"/>
    </row>
    <row r="1457" spans="5:6" x14ac:dyDescent="0.25">
      <c r="E1457" s="124"/>
      <c r="F1457" s="124"/>
    </row>
    <row r="1458" spans="5:6" x14ac:dyDescent="0.25">
      <c r="E1458" s="124"/>
      <c r="F1458" s="124"/>
    </row>
    <row r="1459" spans="5:6" x14ac:dyDescent="0.25">
      <c r="E1459" s="124"/>
      <c r="F1459" s="124"/>
    </row>
    <row r="1460" spans="5:6" x14ac:dyDescent="0.25">
      <c r="E1460" s="124"/>
      <c r="F1460" s="124"/>
    </row>
    <row r="1461" spans="5:6" x14ac:dyDescent="0.25">
      <c r="E1461" s="124"/>
      <c r="F1461" s="124"/>
    </row>
    <row r="1462" spans="5:6" x14ac:dyDescent="0.25">
      <c r="E1462" s="124"/>
      <c r="F1462" s="124"/>
    </row>
    <row r="1463" spans="5:6" x14ac:dyDescent="0.25">
      <c r="E1463" s="124"/>
      <c r="F1463" s="124"/>
    </row>
    <row r="1464" spans="5:6" x14ac:dyDescent="0.25">
      <c r="E1464" s="124"/>
      <c r="F1464" s="124"/>
    </row>
    <row r="1465" spans="5:6" x14ac:dyDescent="0.25">
      <c r="E1465" s="124"/>
      <c r="F1465" s="124"/>
    </row>
    <row r="1466" spans="5:6" x14ac:dyDescent="0.25">
      <c r="E1466" s="124"/>
      <c r="F1466" s="124"/>
    </row>
    <row r="1467" spans="5:6" x14ac:dyDescent="0.25">
      <c r="E1467" s="124"/>
      <c r="F1467" s="124"/>
    </row>
    <row r="1468" spans="5:6" x14ac:dyDescent="0.25">
      <c r="E1468" s="124"/>
      <c r="F1468" s="124"/>
    </row>
    <row r="1469" spans="5:6" x14ac:dyDescent="0.25">
      <c r="E1469" s="124"/>
      <c r="F1469" s="124"/>
    </row>
    <row r="1470" spans="5:6" x14ac:dyDescent="0.25">
      <c r="E1470" s="124"/>
      <c r="F1470" s="124"/>
    </row>
    <row r="1471" spans="5:6" x14ac:dyDescent="0.25">
      <c r="E1471" s="124"/>
      <c r="F1471" s="124"/>
    </row>
    <row r="1472" spans="5:6" x14ac:dyDescent="0.25">
      <c r="E1472" s="124"/>
      <c r="F1472" s="124"/>
    </row>
    <row r="1473" spans="5:6" x14ac:dyDescent="0.25">
      <c r="E1473" s="124"/>
      <c r="F1473" s="124"/>
    </row>
    <row r="1474" spans="5:6" x14ac:dyDescent="0.25">
      <c r="E1474" s="124"/>
      <c r="F1474" s="124"/>
    </row>
    <row r="1475" spans="5:6" x14ac:dyDescent="0.25">
      <c r="E1475" s="124"/>
      <c r="F1475" s="124"/>
    </row>
    <row r="1476" spans="5:6" x14ac:dyDescent="0.25">
      <c r="E1476" s="124"/>
      <c r="F1476" s="124"/>
    </row>
    <row r="1477" spans="5:6" x14ac:dyDescent="0.25">
      <c r="E1477" s="124"/>
      <c r="F1477" s="124"/>
    </row>
    <row r="1478" spans="5:6" x14ac:dyDescent="0.25">
      <c r="E1478" s="124"/>
      <c r="F1478" s="124"/>
    </row>
    <row r="1479" spans="5:6" x14ac:dyDescent="0.25">
      <c r="E1479" s="124"/>
      <c r="F1479" s="124"/>
    </row>
    <row r="1480" spans="5:6" x14ac:dyDescent="0.25">
      <c r="E1480" s="124"/>
      <c r="F1480" s="124"/>
    </row>
    <row r="1481" spans="5:6" x14ac:dyDescent="0.25">
      <c r="E1481" s="124"/>
      <c r="F1481" s="124"/>
    </row>
    <row r="1482" spans="5:6" x14ac:dyDescent="0.25">
      <c r="E1482" s="124"/>
      <c r="F1482" s="124"/>
    </row>
    <row r="1483" spans="5:6" x14ac:dyDescent="0.25">
      <c r="E1483" s="124"/>
      <c r="F1483" s="124"/>
    </row>
    <row r="1484" spans="5:6" x14ac:dyDescent="0.25">
      <c r="E1484" s="124"/>
      <c r="F1484" s="124"/>
    </row>
    <row r="1485" spans="5:6" x14ac:dyDescent="0.25">
      <c r="E1485" s="124"/>
      <c r="F1485" s="124"/>
    </row>
    <row r="1486" spans="5:6" x14ac:dyDescent="0.25">
      <c r="E1486" s="124"/>
      <c r="F1486" s="124"/>
    </row>
    <row r="1487" spans="5:6" x14ac:dyDescent="0.25">
      <c r="E1487" s="124"/>
      <c r="F1487" s="124"/>
    </row>
    <row r="1488" spans="5:6" x14ac:dyDescent="0.25">
      <c r="E1488" s="124"/>
      <c r="F1488" s="124"/>
    </row>
    <row r="1489" spans="5:6" x14ac:dyDescent="0.25">
      <c r="E1489" s="124"/>
      <c r="F1489" s="124"/>
    </row>
    <row r="1490" spans="5:6" x14ac:dyDescent="0.25">
      <c r="E1490" s="124"/>
      <c r="F1490" s="124"/>
    </row>
    <row r="1491" spans="5:6" x14ac:dyDescent="0.25">
      <c r="E1491" s="124"/>
      <c r="F1491" s="124"/>
    </row>
    <row r="1492" spans="5:6" x14ac:dyDescent="0.25">
      <c r="E1492" s="124"/>
      <c r="F1492" s="124"/>
    </row>
    <row r="1493" spans="5:6" x14ac:dyDescent="0.25">
      <c r="E1493" s="124"/>
      <c r="F1493" s="124"/>
    </row>
    <row r="1494" spans="5:6" x14ac:dyDescent="0.25">
      <c r="E1494" s="124"/>
      <c r="F1494" s="124"/>
    </row>
    <row r="1495" spans="5:6" x14ac:dyDescent="0.25">
      <c r="E1495" s="124"/>
      <c r="F1495" s="124"/>
    </row>
    <row r="1496" spans="5:6" x14ac:dyDescent="0.25">
      <c r="E1496" s="124"/>
      <c r="F1496" s="124"/>
    </row>
    <row r="1497" spans="5:6" x14ac:dyDescent="0.25">
      <c r="E1497" s="124"/>
      <c r="F1497" s="124"/>
    </row>
    <row r="1498" spans="5:6" x14ac:dyDescent="0.25">
      <c r="E1498" s="124"/>
      <c r="F1498" s="124"/>
    </row>
    <row r="1499" spans="5:6" x14ac:dyDescent="0.25">
      <c r="E1499" s="124"/>
      <c r="F1499" s="124"/>
    </row>
    <row r="1500" spans="5:6" x14ac:dyDescent="0.25">
      <c r="E1500" s="124"/>
      <c r="F1500" s="124"/>
    </row>
    <row r="1501" spans="5:6" x14ac:dyDescent="0.25">
      <c r="E1501" s="124"/>
      <c r="F1501" s="124"/>
    </row>
    <row r="1502" spans="5:6" x14ac:dyDescent="0.25">
      <c r="E1502" s="124"/>
      <c r="F1502" s="124"/>
    </row>
    <row r="1503" spans="5:6" x14ac:dyDescent="0.25">
      <c r="E1503" s="124"/>
      <c r="F1503" s="124"/>
    </row>
    <row r="1504" spans="5:6" x14ac:dyDescent="0.25">
      <c r="E1504" s="124"/>
      <c r="F1504" s="124"/>
    </row>
    <row r="1505" spans="5:6" x14ac:dyDescent="0.25">
      <c r="E1505" s="124"/>
      <c r="F1505" s="124"/>
    </row>
    <row r="1506" spans="5:6" x14ac:dyDescent="0.25">
      <c r="E1506" s="124"/>
      <c r="F1506" s="124"/>
    </row>
    <row r="1507" spans="5:6" x14ac:dyDescent="0.25">
      <c r="E1507" s="124"/>
      <c r="F1507" s="124"/>
    </row>
    <row r="1508" spans="5:6" x14ac:dyDescent="0.25">
      <c r="E1508" s="124"/>
      <c r="F1508" s="124"/>
    </row>
    <row r="1509" spans="5:6" x14ac:dyDescent="0.25">
      <c r="E1509" s="124"/>
      <c r="F1509" s="124"/>
    </row>
    <row r="1510" spans="5:6" x14ac:dyDescent="0.25">
      <c r="E1510" s="124"/>
      <c r="F1510" s="124"/>
    </row>
    <row r="1511" spans="5:6" x14ac:dyDescent="0.25">
      <c r="E1511" s="124"/>
      <c r="F1511" s="124"/>
    </row>
    <row r="1512" spans="5:6" x14ac:dyDescent="0.25">
      <c r="E1512" s="124"/>
      <c r="F1512" s="124"/>
    </row>
    <row r="1513" spans="5:6" x14ac:dyDescent="0.25">
      <c r="E1513" s="124"/>
      <c r="F1513" s="124"/>
    </row>
    <row r="1514" spans="5:6" x14ac:dyDescent="0.25">
      <c r="E1514" s="124"/>
      <c r="F1514" s="124"/>
    </row>
    <row r="1515" spans="5:6" x14ac:dyDescent="0.25">
      <c r="E1515" s="124"/>
      <c r="F1515" s="124"/>
    </row>
    <row r="1516" spans="5:6" x14ac:dyDescent="0.25">
      <c r="E1516" s="124"/>
      <c r="F1516" s="124"/>
    </row>
    <row r="1517" spans="5:6" x14ac:dyDescent="0.25">
      <c r="E1517" s="124"/>
      <c r="F1517" s="124"/>
    </row>
    <row r="1518" spans="5:6" x14ac:dyDescent="0.25">
      <c r="E1518" s="124"/>
      <c r="F1518" s="124"/>
    </row>
    <row r="1519" spans="5:6" x14ac:dyDescent="0.25">
      <c r="E1519" s="124"/>
      <c r="F1519" s="124"/>
    </row>
    <row r="1520" spans="5:6" x14ac:dyDescent="0.25">
      <c r="E1520" s="124"/>
      <c r="F1520" s="124"/>
    </row>
    <row r="1521" spans="5:6" x14ac:dyDescent="0.25">
      <c r="E1521" s="124"/>
      <c r="F1521" s="124"/>
    </row>
    <row r="1522" spans="5:6" x14ac:dyDescent="0.25">
      <c r="E1522" s="124"/>
      <c r="F1522" s="124"/>
    </row>
    <row r="1523" spans="5:6" x14ac:dyDescent="0.25">
      <c r="E1523" s="124"/>
      <c r="F1523" s="124"/>
    </row>
    <row r="1524" spans="5:6" x14ac:dyDescent="0.25">
      <c r="E1524" s="124"/>
      <c r="F1524" s="124"/>
    </row>
    <row r="1525" spans="5:6" x14ac:dyDescent="0.25">
      <c r="E1525" s="124"/>
      <c r="F1525" s="124"/>
    </row>
    <row r="1526" spans="5:6" x14ac:dyDescent="0.25">
      <c r="E1526" s="124"/>
      <c r="F1526" s="124"/>
    </row>
    <row r="1527" spans="5:6" x14ac:dyDescent="0.25">
      <c r="E1527" s="124"/>
      <c r="F1527" s="124"/>
    </row>
    <row r="1528" spans="5:6" x14ac:dyDescent="0.25">
      <c r="E1528" s="124"/>
      <c r="F1528" s="124"/>
    </row>
    <row r="1529" spans="5:6" x14ac:dyDescent="0.25">
      <c r="E1529" s="124"/>
      <c r="F1529" s="124"/>
    </row>
    <row r="1530" spans="5:6" x14ac:dyDescent="0.25">
      <c r="E1530" s="124"/>
      <c r="F1530" s="124"/>
    </row>
    <row r="1531" spans="5:6" x14ac:dyDescent="0.25">
      <c r="E1531" s="124"/>
      <c r="F1531" s="124"/>
    </row>
    <row r="1532" spans="5:6" x14ac:dyDescent="0.25">
      <c r="E1532" s="124"/>
      <c r="F1532" s="124"/>
    </row>
    <row r="1533" spans="5:6" x14ac:dyDescent="0.25">
      <c r="E1533" s="124"/>
      <c r="F1533" s="124"/>
    </row>
    <row r="1534" spans="5:6" x14ac:dyDescent="0.25">
      <c r="E1534" s="124"/>
      <c r="F1534" s="124"/>
    </row>
    <row r="1535" spans="5:6" x14ac:dyDescent="0.25">
      <c r="E1535" s="124"/>
      <c r="F1535" s="124"/>
    </row>
    <row r="1536" spans="5:6" x14ac:dyDescent="0.25">
      <c r="E1536" s="124"/>
      <c r="F1536" s="124"/>
    </row>
    <row r="1537" spans="5:6" x14ac:dyDescent="0.25">
      <c r="E1537" s="124"/>
      <c r="F1537" s="124"/>
    </row>
    <row r="1538" spans="5:6" x14ac:dyDescent="0.25">
      <c r="E1538" s="124"/>
      <c r="F1538" s="124"/>
    </row>
    <row r="1539" spans="5:6" x14ac:dyDescent="0.25">
      <c r="E1539" s="124"/>
      <c r="F1539" s="124"/>
    </row>
    <row r="1540" spans="5:6" x14ac:dyDescent="0.25">
      <c r="E1540" s="124"/>
      <c r="F1540" s="124"/>
    </row>
    <row r="1541" spans="5:6" x14ac:dyDescent="0.25">
      <c r="E1541" s="124"/>
      <c r="F1541" s="124"/>
    </row>
    <row r="1542" spans="5:6" x14ac:dyDescent="0.25">
      <c r="E1542" s="124"/>
      <c r="F1542" s="124"/>
    </row>
    <row r="1543" spans="5:6" x14ac:dyDescent="0.25">
      <c r="E1543" s="124"/>
      <c r="F1543" s="124"/>
    </row>
    <row r="1544" spans="5:6" x14ac:dyDescent="0.25">
      <c r="E1544" s="124"/>
      <c r="F1544" s="124"/>
    </row>
    <row r="1545" spans="5:6" x14ac:dyDescent="0.25">
      <c r="E1545" s="124"/>
      <c r="F1545" s="124"/>
    </row>
    <row r="1546" spans="5:6" x14ac:dyDescent="0.25">
      <c r="E1546" s="124"/>
      <c r="F1546" s="124"/>
    </row>
    <row r="1547" spans="5:6" x14ac:dyDescent="0.25">
      <c r="E1547" s="124"/>
      <c r="F1547" s="124"/>
    </row>
    <row r="1548" spans="5:6" x14ac:dyDescent="0.25">
      <c r="E1548" s="124"/>
      <c r="F1548" s="124"/>
    </row>
    <row r="1549" spans="5:6" x14ac:dyDescent="0.25">
      <c r="E1549" s="124"/>
      <c r="F1549" s="124"/>
    </row>
    <row r="1550" spans="5:6" x14ac:dyDescent="0.25">
      <c r="E1550" s="124"/>
      <c r="F1550" s="124"/>
    </row>
    <row r="1551" spans="5:6" x14ac:dyDescent="0.25">
      <c r="E1551" s="124"/>
      <c r="F1551" s="124"/>
    </row>
    <row r="1552" spans="5:6" x14ac:dyDescent="0.25">
      <c r="E1552" s="124"/>
      <c r="F1552" s="124"/>
    </row>
    <row r="1553" spans="5:6" x14ac:dyDescent="0.25">
      <c r="E1553" s="124"/>
      <c r="F1553" s="124"/>
    </row>
    <row r="1554" spans="5:6" x14ac:dyDescent="0.25">
      <c r="E1554" s="124"/>
      <c r="F1554" s="124"/>
    </row>
    <row r="1555" spans="5:6" x14ac:dyDescent="0.25">
      <c r="E1555" s="124"/>
      <c r="F1555" s="124"/>
    </row>
    <row r="1556" spans="5:6" x14ac:dyDescent="0.25">
      <c r="E1556" s="124"/>
      <c r="F1556" s="124"/>
    </row>
    <row r="1557" spans="5:6" x14ac:dyDescent="0.25">
      <c r="E1557" s="124"/>
      <c r="F1557" s="124"/>
    </row>
    <row r="1558" spans="5:6" x14ac:dyDescent="0.25">
      <c r="E1558" s="124"/>
      <c r="F1558" s="124"/>
    </row>
    <row r="1559" spans="5:6" x14ac:dyDescent="0.25">
      <c r="E1559" s="124"/>
      <c r="F1559" s="124"/>
    </row>
    <row r="1560" spans="5:6" x14ac:dyDescent="0.25">
      <c r="E1560" s="124"/>
      <c r="F1560" s="124"/>
    </row>
    <row r="1561" spans="5:6" x14ac:dyDescent="0.25">
      <c r="E1561" s="124"/>
      <c r="F1561" s="124"/>
    </row>
    <row r="1562" spans="5:6" x14ac:dyDescent="0.25">
      <c r="E1562" s="124"/>
      <c r="F1562" s="124"/>
    </row>
    <row r="1563" spans="5:6" x14ac:dyDescent="0.25">
      <c r="E1563" s="124"/>
      <c r="F1563" s="124"/>
    </row>
    <row r="1564" spans="5:6" x14ac:dyDescent="0.25">
      <c r="E1564" s="124"/>
      <c r="F1564" s="124"/>
    </row>
    <row r="1565" spans="5:6" x14ac:dyDescent="0.25">
      <c r="E1565" s="124"/>
      <c r="F1565" s="124"/>
    </row>
    <row r="1566" spans="5:6" x14ac:dyDescent="0.25">
      <c r="E1566" s="124"/>
      <c r="F1566" s="124"/>
    </row>
    <row r="1567" spans="5:6" x14ac:dyDescent="0.25">
      <c r="E1567" s="124"/>
      <c r="F1567" s="124"/>
    </row>
    <row r="1568" spans="5:6" x14ac:dyDescent="0.25">
      <c r="E1568" s="124"/>
      <c r="F1568" s="124"/>
    </row>
    <row r="1569" spans="5:6" x14ac:dyDescent="0.25">
      <c r="E1569" s="124"/>
      <c r="F1569" s="124"/>
    </row>
    <row r="1570" spans="5:6" x14ac:dyDescent="0.25">
      <c r="E1570" s="124"/>
      <c r="F1570" s="124"/>
    </row>
    <row r="1571" spans="5:6" x14ac:dyDescent="0.25">
      <c r="E1571" s="124"/>
      <c r="F1571" s="124"/>
    </row>
    <row r="1572" spans="5:6" x14ac:dyDescent="0.25">
      <c r="E1572" s="124"/>
      <c r="F1572" s="124"/>
    </row>
    <row r="1573" spans="5:6" x14ac:dyDescent="0.25">
      <c r="E1573" s="124"/>
      <c r="F1573" s="124"/>
    </row>
    <row r="1574" spans="5:6" x14ac:dyDescent="0.25">
      <c r="E1574" s="124"/>
      <c r="F1574" s="124"/>
    </row>
    <row r="1575" spans="5:6" x14ac:dyDescent="0.25">
      <c r="E1575" s="124"/>
      <c r="F1575" s="124"/>
    </row>
    <row r="1576" spans="5:6" x14ac:dyDescent="0.25">
      <c r="E1576" s="124"/>
      <c r="F1576" s="124"/>
    </row>
    <row r="1577" spans="5:6" x14ac:dyDescent="0.25">
      <c r="E1577" s="124"/>
      <c r="F1577" s="124"/>
    </row>
    <row r="1578" spans="5:6" x14ac:dyDescent="0.25">
      <c r="E1578" s="124"/>
      <c r="F1578" s="124"/>
    </row>
    <row r="1579" spans="5:6" x14ac:dyDescent="0.25">
      <c r="E1579" s="124"/>
      <c r="F1579" s="124"/>
    </row>
    <row r="1580" spans="5:6" x14ac:dyDescent="0.25">
      <c r="E1580" s="124"/>
      <c r="F1580" s="124"/>
    </row>
    <row r="1581" spans="5:6" x14ac:dyDescent="0.25">
      <c r="E1581" s="124"/>
      <c r="F1581" s="124"/>
    </row>
    <row r="1582" spans="5:6" x14ac:dyDescent="0.25">
      <c r="E1582" s="124"/>
      <c r="F1582" s="124"/>
    </row>
    <row r="1583" spans="5:6" x14ac:dyDescent="0.25">
      <c r="E1583" s="124"/>
      <c r="F1583" s="124"/>
    </row>
    <row r="1584" spans="5:6" x14ac:dyDescent="0.25">
      <c r="E1584" s="124"/>
      <c r="F1584" s="124"/>
    </row>
    <row r="1585" spans="5:6" x14ac:dyDescent="0.25">
      <c r="E1585" s="124"/>
      <c r="F1585" s="124"/>
    </row>
    <row r="1586" spans="5:6" x14ac:dyDescent="0.25">
      <c r="E1586" s="124"/>
      <c r="F1586" s="124"/>
    </row>
    <row r="1587" spans="5:6" x14ac:dyDescent="0.25">
      <c r="E1587" s="124"/>
      <c r="F1587" s="124"/>
    </row>
    <row r="1588" spans="5:6" x14ac:dyDescent="0.25">
      <c r="E1588" s="124"/>
      <c r="F1588" s="124"/>
    </row>
    <row r="1589" spans="5:6" x14ac:dyDescent="0.25">
      <c r="E1589" s="124"/>
      <c r="F1589" s="124"/>
    </row>
    <row r="1590" spans="5:6" x14ac:dyDescent="0.25">
      <c r="E1590" s="124"/>
      <c r="F1590" s="124"/>
    </row>
    <row r="1591" spans="5:6" x14ac:dyDescent="0.25">
      <c r="E1591" s="124"/>
      <c r="F1591" s="124"/>
    </row>
    <row r="1592" spans="5:6" x14ac:dyDescent="0.25">
      <c r="E1592" s="124"/>
      <c r="F1592" s="124"/>
    </row>
    <row r="1593" spans="5:6" x14ac:dyDescent="0.25">
      <c r="E1593" s="124"/>
      <c r="F1593" s="124"/>
    </row>
    <row r="1594" spans="5:6" x14ac:dyDescent="0.25">
      <c r="E1594" s="124"/>
      <c r="F1594" s="124"/>
    </row>
    <row r="1595" spans="5:6" x14ac:dyDescent="0.25">
      <c r="E1595" s="124"/>
      <c r="F1595" s="124"/>
    </row>
    <row r="1596" spans="5:6" x14ac:dyDescent="0.25">
      <c r="E1596" s="124"/>
      <c r="F1596" s="124"/>
    </row>
    <row r="1597" spans="5:6" x14ac:dyDescent="0.25">
      <c r="E1597" s="124"/>
      <c r="F1597" s="124"/>
    </row>
    <row r="1598" spans="5:6" x14ac:dyDescent="0.25">
      <c r="E1598" s="124"/>
      <c r="F1598" s="124"/>
    </row>
    <row r="1599" spans="5:6" x14ac:dyDescent="0.25">
      <c r="E1599" s="124"/>
      <c r="F1599" s="124"/>
    </row>
    <row r="1600" spans="5:6" x14ac:dyDescent="0.25">
      <c r="E1600" s="124"/>
      <c r="F1600" s="124"/>
    </row>
    <row r="1601" spans="5:6" x14ac:dyDescent="0.25">
      <c r="E1601" s="124"/>
      <c r="F1601" s="124"/>
    </row>
    <row r="1602" spans="5:6" x14ac:dyDescent="0.25">
      <c r="E1602" s="124"/>
      <c r="F1602" s="124"/>
    </row>
    <row r="1603" spans="5:6" x14ac:dyDescent="0.25">
      <c r="E1603" s="124"/>
      <c r="F1603" s="124"/>
    </row>
    <row r="1604" spans="5:6" x14ac:dyDescent="0.25">
      <c r="E1604" s="124"/>
      <c r="F1604" s="124"/>
    </row>
    <row r="1605" spans="5:6" x14ac:dyDescent="0.25">
      <c r="E1605" s="124"/>
      <c r="F1605" s="124"/>
    </row>
    <row r="1606" spans="5:6" x14ac:dyDescent="0.25">
      <c r="E1606" s="124"/>
      <c r="F1606" s="124"/>
    </row>
    <row r="1607" spans="5:6" x14ac:dyDescent="0.25">
      <c r="E1607" s="124"/>
      <c r="F1607" s="124"/>
    </row>
    <row r="1608" spans="5:6" x14ac:dyDescent="0.25">
      <c r="E1608" s="124"/>
      <c r="F1608" s="124"/>
    </row>
    <row r="1609" spans="5:6" x14ac:dyDescent="0.25">
      <c r="E1609" s="124"/>
      <c r="F1609" s="124"/>
    </row>
    <row r="1610" spans="5:6" x14ac:dyDescent="0.25">
      <c r="E1610" s="124"/>
      <c r="F1610" s="124"/>
    </row>
    <row r="1611" spans="5:6" x14ac:dyDescent="0.25">
      <c r="E1611" s="124"/>
      <c r="F1611" s="124"/>
    </row>
    <row r="1612" spans="5:6" x14ac:dyDescent="0.25">
      <c r="E1612" s="124"/>
      <c r="F1612" s="124"/>
    </row>
    <row r="1613" spans="5:6" x14ac:dyDescent="0.25">
      <c r="E1613" s="124"/>
      <c r="F1613" s="124"/>
    </row>
    <row r="1614" spans="5:6" x14ac:dyDescent="0.25">
      <c r="E1614" s="124"/>
      <c r="F1614" s="124"/>
    </row>
    <row r="1615" spans="5:6" x14ac:dyDescent="0.25">
      <c r="E1615" s="124"/>
      <c r="F1615" s="124"/>
    </row>
    <row r="1616" spans="5:6" x14ac:dyDescent="0.25">
      <c r="E1616" s="124"/>
      <c r="F1616" s="124"/>
    </row>
    <row r="1617" spans="5:6" x14ac:dyDescent="0.25">
      <c r="E1617" s="124"/>
      <c r="F1617" s="124"/>
    </row>
    <row r="1618" spans="5:6" x14ac:dyDescent="0.25">
      <c r="E1618" s="124"/>
      <c r="F1618" s="124"/>
    </row>
    <row r="1619" spans="5:6" x14ac:dyDescent="0.25">
      <c r="E1619" s="124"/>
      <c r="F1619" s="124"/>
    </row>
    <row r="1620" spans="5:6" x14ac:dyDescent="0.25">
      <c r="E1620" s="124"/>
      <c r="F1620" s="124"/>
    </row>
    <row r="1621" spans="5:6" x14ac:dyDescent="0.25">
      <c r="E1621" s="124"/>
      <c r="F1621" s="124"/>
    </row>
    <row r="1622" spans="5:6" x14ac:dyDescent="0.25">
      <c r="E1622" s="124"/>
      <c r="F1622" s="124"/>
    </row>
    <row r="1623" spans="5:6" x14ac:dyDescent="0.25">
      <c r="E1623" s="124"/>
      <c r="F1623" s="124"/>
    </row>
    <row r="1624" spans="5:6" x14ac:dyDescent="0.25">
      <c r="E1624" s="124"/>
      <c r="F1624" s="124"/>
    </row>
    <row r="1625" spans="5:6" x14ac:dyDescent="0.25">
      <c r="E1625" s="124"/>
      <c r="F1625" s="124"/>
    </row>
    <row r="1626" spans="5:6" x14ac:dyDescent="0.25">
      <c r="E1626" s="124"/>
      <c r="F1626" s="124"/>
    </row>
    <row r="1627" spans="5:6" x14ac:dyDescent="0.25">
      <c r="E1627" s="124"/>
      <c r="F1627" s="124"/>
    </row>
    <row r="1628" spans="5:6" x14ac:dyDescent="0.25">
      <c r="E1628" s="124"/>
      <c r="F1628" s="124"/>
    </row>
    <row r="1629" spans="5:6" x14ac:dyDescent="0.25">
      <c r="E1629" s="124"/>
      <c r="F1629" s="124"/>
    </row>
    <row r="1630" spans="5:6" x14ac:dyDescent="0.25">
      <c r="E1630" s="124"/>
      <c r="F1630" s="124"/>
    </row>
    <row r="1631" spans="5:6" x14ac:dyDescent="0.25">
      <c r="E1631" s="124"/>
      <c r="F1631" s="124"/>
    </row>
    <row r="1632" spans="5:6" x14ac:dyDescent="0.25">
      <c r="E1632" s="124"/>
      <c r="F1632" s="124"/>
    </row>
    <row r="1633" spans="5:6" x14ac:dyDescent="0.25">
      <c r="E1633" s="124"/>
      <c r="F1633" s="124"/>
    </row>
    <row r="1634" spans="5:6" x14ac:dyDescent="0.25">
      <c r="E1634" s="124"/>
      <c r="F1634" s="124"/>
    </row>
    <row r="1635" spans="5:6" x14ac:dyDescent="0.25">
      <c r="E1635" s="124"/>
      <c r="F1635" s="124"/>
    </row>
    <row r="1636" spans="5:6" x14ac:dyDescent="0.25">
      <c r="E1636" s="124"/>
      <c r="F1636" s="124"/>
    </row>
    <row r="1637" spans="5:6" x14ac:dyDescent="0.25">
      <c r="E1637" s="124"/>
      <c r="F1637" s="124"/>
    </row>
    <row r="1638" spans="5:6" x14ac:dyDescent="0.25">
      <c r="E1638" s="124"/>
      <c r="F1638" s="124"/>
    </row>
    <row r="1639" spans="5:6" x14ac:dyDescent="0.25">
      <c r="E1639" s="124"/>
      <c r="F1639" s="124"/>
    </row>
    <row r="1640" spans="5:6" x14ac:dyDescent="0.25">
      <c r="E1640" s="124"/>
      <c r="F1640" s="124"/>
    </row>
    <row r="1641" spans="5:6" x14ac:dyDescent="0.25">
      <c r="E1641" s="124"/>
      <c r="F1641" s="124"/>
    </row>
    <row r="1642" spans="5:6" x14ac:dyDescent="0.25">
      <c r="E1642" s="124"/>
      <c r="F1642" s="124"/>
    </row>
    <row r="1643" spans="5:6" x14ac:dyDescent="0.25">
      <c r="E1643" s="124"/>
      <c r="F1643" s="124"/>
    </row>
    <row r="1644" spans="5:6" x14ac:dyDescent="0.25">
      <c r="E1644" s="124"/>
      <c r="F1644" s="124"/>
    </row>
    <row r="1645" spans="5:6" x14ac:dyDescent="0.25">
      <c r="E1645" s="124"/>
      <c r="F1645" s="124"/>
    </row>
    <row r="1646" spans="5:6" x14ac:dyDescent="0.25">
      <c r="E1646" s="124"/>
      <c r="F1646" s="124"/>
    </row>
    <row r="1647" spans="5:6" x14ac:dyDescent="0.25">
      <c r="E1647" s="124"/>
      <c r="F1647" s="124"/>
    </row>
    <row r="1648" spans="5:6" x14ac:dyDescent="0.25">
      <c r="E1648" s="124"/>
      <c r="F1648" s="124"/>
    </row>
    <row r="1649" spans="5:6" x14ac:dyDescent="0.25">
      <c r="E1649" s="124"/>
      <c r="F1649" s="124"/>
    </row>
    <row r="1650" spans="5:6" x14ac:dyDescent="0.25">
      <c r="E1650" s="124"/>
      <c r="F1650" s="124"/>
    </row>
    <row r="1651" spans="5:6" x14ac:dyDescent="0.25">
      <c r="E1651" s="124"/>
      <c r="F1651" s="124"/>
    </row>
    <row r="1652" spans="5:6" x14ac:dyDescent="0.25">
      <c r="E1652" s="124"/>
      <c r="F1652" s="124"/>
    </row>
    <row r="1653" spans="5:6" x14ac:dyDescent="0.25">
      <c r="E1653" s="124"/>
      <c r="F1653" s="124"/>
    </row>
    <row r="1654" spans="5:6" x14ac:dyDescent="0.25">
      <c r="E1654" s="124"/>
      <c r="F1654" s="124"/>
    </row>
    <row r="1655" spans="5:6" x14ac:dyDescent="0.25">
      <c r="E1655" s="124"/>
      <c r="F1655" s="124"/>
    </row>
    <row r="1656" spans="5:6" x14ac:dyDescent="0.25">
      <c r="E1656" s="124"/>
      <c r="F1656" s="124"/>
    </row>
    <row r="1657" spans="5:6" x14ac:dyDescent="0.25">
      <c r="E1657" s="124"/>
      <c r="F1657" s="124"/>
    </row>
    <row r="1658" spans="5:6" x14ac:dyDescent="0.25">
      <c r="E1658" s="124"/>
      <c r="F1658" s="124"/>
    </row>
    <row r="1659" spans="5:6" x14ac:dyDescent="0.25">
      <c r="E1659" s="124"/>
      <c r="F1659" s="124"/>
    </row>
    <row r="1660" spans="5:6" x14ac:dyDescent="0.25">
      <c r="E1660" s="124"/>
      <c r="F1660" s="124"/>
    </row>
    <row r="1661" spans="5:6" x14ac:dyDescent="0.25">
      <c r="E1661" s="124"/>
      <c r="F1661" s="124"/>
    </row>
    <row r="1662" spans="5:6" x14ac:dyDescent="0.25">
      <c r="E1662" s="124"/>
      <c r="F1662" s="124"/>
    </row>
    <row r="1663" spans="5:6" x14ac:dyDescent="0.25">
      <c r="E1663" s="124"/>
      <c r="F1663" s="124"/>
    </row>
    <row r="1664" spans="5:6" x14ac:dyDescent="0.25">
      <c r="E1664" s="124"/>
      <c r="F1664" s="124"/>
    </row>
    <row r="1665" spans="5:6" x14ac:dyDescent="0.25">
      <c r="E1665" s="124"/>
      <c r="F1665" s="124"/>
    </row>
    <row r="1666" spans="5:6" x14ac:dyDescent="0.25">
      <c r="E1666" s="124"/>
      <c r="F1666" s="124"/>
    </row>
    <row r="1667" spans="5:6" x14ac:dyDescent="0.25">
      <c r="E1667" s="124"/>
      <c r="F1667" s="124"/>
    </row>
    <row r="1668" spans="5:6" x14ac:dyDescent="0.25">
      <c r="E1668" s="124"/>
      <c r="F1668" s="124"/>
    </row>
    <row r="1669" spans="5:6" x14ac:dyDescent="0.25">
      <c r="E1669" s="124"/>
      <c r="F1669" s="124"/>
    </row>
    <row r="1670" spans="5:6" x14ac:dyDescent="0.25">
      <c r="E1670" s="124"/>
      <c r="F1670" s="124"/>
    </row>
    <row r="1671" spans="5:6" x14ac:dyDescent="0.25">
      <c r="E1671" s="124"/>
      <c r="F1671" s="124"/>
    </row>
    <row r="1672" spans="5:6" x14ac:dyDescent="0.25">
      <c r="E1672" s="124"/>
      <c r="F1672" s="124"/>
    </row>
    <row r="1673" spans="5:6" x14ac:dyDescent="0.25">
      <c r="E1673" s="124"/>
      <c r="F1673" s="124"/>
    </row>
    <row r="1674" spans="5:6" x14ac:dyDescent="0.25">
      <c r="E1674" s="124"/>
      <c r="F1674" s="124"/>
    </row>
    <row r="1675" spans="5:6" x14ac:dyDescent="0.25">
      <c r="E1675" s="124"/>
      <c r="F1675" s="124"/>
    </row>
    <row r="1676" spans="5:6" x14ac:dyDescent="0.25">
      <c r="E1676" s="124"/>
      <c r="F1676" s="124"/>
    </row>
    <row r="1677" spans="5:6" x14ac:dyDescent="0.25">
      <c r="E1677" s="124"/>
      <c r="F1677" s="124"/>
    </row>
    <row r="1678" spans="5:6" x14ac:dyDescent="0.25">
      <c r="E1678" s="124"/>
      <c r="F1678" s="124"/>
    </row>
    <row r="1679" spans="5:6" x14ac:dyDescent="0.25">
      <c r="E1679" s="124"/>
      <c r="F1679" s="124"/>
    </row>
    <row r="1680" spans="5:6" x14ac:dyDescent="0.25">
      <c r="E1680" s="124"/>
      <c r="F1680" s="124"/>
    </row>
    <row r="1681" spans="5:6" x14ac:dyDescent="0.25">
      <c r="E1681" s="124"/>
      <c r="F1681" s="124"/>
    </row>
    <row r="1682" spans="5:6" x14ac:dyDescent="0.25">
      <c r="E1682" s="124"/>
      <c r="F1682" s="124"/>
    </row>
    <row r="1683" spans="5:6" x14ac:dyDescent="0.25">
      <c r="E1683" s="124"/>
      <c r="F1683" s="124"/>
    </row>
    <row r="1684" spans="5:6" x14ac:dyDescent="0.25">
      <c r="E1684" s="124"/>
      <c r="F1684" s="124"/>
    </row>
    <row r="1685" spans="5:6" x14ac:dyDescent="0.25">
      <c r="E1685" s="124"/>
      <c r="F1685" s="124"/>
    </row>
    <row r="1686" spans="5:6" x14ac:dyDescent="0.25">
      <c r="E1686" s="124"/>
      <c r="F1686" s="124"/>
    </row>
    <row r="1687" spans="5:6" x14ac:dyDescent="0.25">
      <c r="E1687" s="124"/>
      <c r="F1687" s="124"/>
    </row>
    <row r="1688" spans="5:6" x14ac:dyDescent="0.25">
      <c r="E1688" s="124"/>
      <c r="F1688" s="124"/>
    </row>
    <row r="1689" spans="5:6" x14ac:dyDescent="0.25">
      <c r="E1689" s="124"/>
      <c r="F1689" s="124"/>
    </row>
    <row r="1690" spans="5:6" x14ac:dyDescent="0.25">
      <c r="E1690" s="124"/>
      <c r="F1690" s="124"/>
    </row>
    <row r="1691" spans="5:6" x14ac:dyDescent="0.25">
      <c r="E1691" s="124"/>
      <c r="F1691" s="124"/>
    </row>
    <row r="1692" spans="5:6" x14ac:dyDescent="0.25">
      <c r="E1692" s="124"/>
      <c r="F1692" s="124"/>
    </row>
    <row r="1693" spans="5:6" x14ac:dyDescent="0.25">
      <c r="E1693" s="124"/>
      <c r="F1693" s="124"/>
    </row>
    <row r="1694" spans="5:6" x14ac:dyDescent="0.25">
      <c r="E1694" s="124"/>
      <c r="F1694" s="124"/>
    </row>
    <row r="1695" spans="5:6" x14ac:dyDescent="0.25">
      <c r="E1695" s="124"/>
      <c r="F1695" s="124"/>
    </row>
    <row r="1696" spans="5:6" x14ac:dyDescent="0.25">
      <c r="E1696" s="124"/>
      <c r="F1696" s="124"/>
    </row>
    <row r="1697" spans="5:6" x14ac:dyDescent="0.25">
      <c r="E1697" s="124"/>
      <c r="F1697" s="124"/>
    </row>
    <row r="1698" spans="5:6" x14ac:dyDescent="0.25">
      <c r="E1698" s="124"/>
      <c r="F1698" s="124"/>
    </row>
    <row r="1699" spans="5:6" x14ac:dyDescent="0.25">
      <c r="E1699" s="124"/>
      <c r="F1699" s="124"/>
    </row>
    <row r="1700" spans="5:6" x14ac:dyDescent="0.25">
      <c r="E1700" s="124"/>
      <c r="F1700" s="124"/>
    </row>
    <row r="1701" spans="5:6" x14ac:dyDescent="0.25">
      <c r="E1701" s="124"/>
      <c r="F1701" s="124"/>
    </row>
    <row r="1702" spans="5:6" x14ac:dyDescent="0.25">
      <c r="E1702" s="124"/>
      <c r="F1702" s="124"/>
    </row>
    <row r="1703" spans="5:6" x14ac:dyDescent="0.25">
      <c r="E1703" s="124"/>
      <c r="F1703" s="124"/>
    </row>
    <row r="1704" spans="5:6" x14ac:dyDescent="0.25">
      <c r="E1704" s="124"/>
      <c r="F1704" s="124"/>
    </row>
    <row r="1705" spans="5:6" x14ac:dyDescent="0.25">
      <c r="E1705" s="124"/>
      <c r="F1705" s="124"/>
    </row>
    <row r="1706" spans="5:6" x14ac:dyDescent="0.25">
      <c r="E1706" s="124"/>
      <c r="F1706" s="124"/>
    </row>
    <row r="1707" spans="5:6" x14ac:dyDescent="0.25">
      <c r="E1707" s="124"/>
      <c r="F1707" s="124"/>
    </row>
    <row r="1708" spans="5:6" x14ac:dyDescent="0.25">
      <c r="E1708" s="124"/>
      <c r="F1708" s="124"/>
    </row>
    <row r="1709" spans="5:6" x14ac:dyDescent="0.25">
      <c r="E1709" s="124"/>
      <c r="F1709" s="124"/>
    </row>
    <row r="1710" spans="5:6" x14ac:dyDescent="0.25">
      <c r="E1710" s="124"/>
      <c r="F1710" s="124"/>
    </row>
    <row r="1711" spans="5:6" x14ac:dyDescent="0.25">
      <c r="E1711" s="124"/>
      <c r="F1711" s="124"/>
    </row>
    <row r="1712" spans="5:6" x14ac:dyDescent="0.25">
      <c r="E1712" s="124"/>
      <c r="F1712" s="124"/>
    </row>
    <row r="1713" spans="5:6" x14ac:dyDescent="0.25">
      <c r="E1713" s="124"/>
      <c r="F1713" s="124"/>
    </row>
    <row r="1714" spans="5:6" x14ac:dyDescent="0.25">
      <c r="E1714" s="124"/>
      <c r="F1714" s="124"/>
    </row>
    <row r="1715" spans="5:6" x14ac:dyDescent="0.25">
      <c r="E1715" s="124"/>
      <c r="F1715" s="124"/>
    </row>
    <row r="1716" spans="5:6" x14ac:dyDescent="0.25">
      <c r="E1716" s="124"/>
      <c r="F1716" s="124"/>
    </row>
    <row r="1717" spans="5:6" x14ac:dyDescent="0.25">
      <c r="E1717" s="124"/>
      <c r="F1717" s="124"/>
    </row>
    <row r="1718" spans="5:6" x14ac:dyDescent="0.25">
      <c r="E1718" s="124"/>
      <c r="F1718" s="124"/>
    </row>
    <row r="1719" spans="5:6" x14ac:dyDescent="0.25">
      <c r="E1719" s="124"/>
      <c r="F1719" s="124"/>
    </row>
    <row r="1720" spans="5:6" x14ac:dyDescent="0.25">
      <c r="E1720" s="124"/>
      <c r="F1720" s="124"/>
    </row>
    <row r="1721" spans="5:6" x14ac:dyDescent="0.25">
      <c r="E1721" s="124"/>
      <c r="F1721" s="124"/>
    </row>
    <row r="1722" spans="5:6" x14ac:dyDescent="0.25">
      <c r="E1722" s="124"/>
      <c r="F1722" s="124"/>
    </row>
    <row r="1723" spans="5:6" x14ac:dyDescent="0.25">
      <c r="E1723" s="124"/>
      <c r="F1723" s="124"/>
    </row>
    <row r="1724" spans="5:6" x14ac:dyDescent="0.25">
      <c r="E1724" s="124"/>
      <c r="F1724" s="124"/>
    </row>
    <row r="1725" spans="5:6" x14ac:dyDescent="0.25">
      <c r="E1725" s="124"/>
      <c r="F1725" s="124"/>
    </row>
    <row r="1726" spans="5:6" x14ac:dyDescent="0.25">
      <c r="E1726" s="124"/>
      <c r="F1726" s="124"/>
    </row>
    <row r="1727" spans="5:6" x14ac:dyDescent="0.25">
      <c r="E1727" s="124"/>
      <c r="F1727" s="124"/>
    </row>
    <row r="1728" spans="5:6" x14ac:dyDescent="0.25">
      <c r="E1728" s="124"/>
      <c r="F1728" s="124"/>
    </row>
    <row r="1729" spans="5:6" x14ac:dyDescent="0.25">
      <c r="E1729" s="124"/>
      <c r="F1729" s="124"/>
    </row>
    <row r="1730" spans="5:6" x14ac:dyDescent="0.25">
      <c r="E1730" s="124"/>
      <c r="F1730" s="124"/>
    </row>
    <row r="1731" spans="5:6" x14ac:dyDescent="0.25">
      <c r="E1731" s="124"/>
      <c r="F1731" s="124"/>
    </row>
    <row r="1732" spans="5:6" x14ac:dyDescent="0.25">
      <c r="E1732" s="124"/>
      <c r="F1732" s="124"/>
    </row>
    <row r="1733" spans="5:6" x14ac:dyDescent="0.25">
      <c r="E1733" s="124"/>
      <c r="F1733" s="124"/>
    </row>
    <row r="1734" spans="5:6" x14ac:dyDescent="0.25">
      <c r="E1734" s="124"/>
      <c r="F1734" s="124"/>
    </row>
    <row r="1735" spans="5:6" x14ac:dyDescent="0.25">
      <c r="E1735" s="124"/>
      <c r="F1735" s="124"/>
    </row>
    <row r="1736" spans="5:6" x14ac:dyDescent="0.25">
      <c r="E1736" s="124"/>
      <c r="F1736" s="124"/>
    </row>
    <row r="1737" spans="5:6" x14ac:dyDescent="0.25">
      <c r="E1737" s="124"/>
      <c r="F1737" s="124"/>
    </row>
    <row r="1738" spans="5:6" x14ac:dyDescent="0.25">
      <c r="E1738" s="124"/>
      <c r="F1738" s="124"/>
    </row>
    <row r="1739" spans="5:6" x14ac:dyDescent="0.25">
      <c r="E1739" s="124"/>
      <c r="F1739" s="124"/>
    </row>
    <row r="1740" spans="5:6" x14ac:dyDescent="0.25">
      <c r="E1740" s="124"/>
      <c r="F1740" s="124"/>
    </row>
    <row r="1741" spans="5:6" x14ac:dyDescent="0.25">
      <c r="E1741" s="124"/>
      <c r="F1741" s="124"/>
    </row>
    <row r="1742" spans="5:6" x14ac:dyDescent="0.25">
      <c r="E1742" s="124"/>
      <c r="F1742" s="124"/>
    </row>
    <row r="1743" spans="5:6" x14ac:dyDescent="0.25">
      <c r="E1743" s="124"/>
      <c r="F1743" s="124"/>
    </row>
    <row r="1744" spans="5:6" x14ac:dyDescent="0.25">
      <c r="E1744" s="124"/>
      <c r="F1744" s="124"/>
    </row>
    <row r="1745" spans="5:6" x14ac:dyDescent="0.25">
      <c r="E1745" s="124"/>
      <c r="F1745" s="124"/>
    </row>
    <row r="1746" spans="5:6" x14ac:dyDescent="0.25">
      <c r="E1746" s="124"/>
      <c r="F1746" s="124"/>
    </row>
    <row r="1747" spans="5:6" x14ac:dyDescent="0.25">
      <c r="E1747" s="124"/>
      <c r="F1747" s="124"/>
    </row>
    <row r="1748" spans="5:6" x14ac:dyDescent="0.25">
      <c r="E1748" s="124"/>
      <c r="F1748" s="124"/>
    </row>
    <row r="1749" spans="5:6" x14ac:dyDescent="0.25">
      <c r="E1749" s="124"/>
      <c r="F1749" s="124"/>
    </row>
    <row r="1750" spans="5:6" x14ac:dyDescent="0.25">
      <c r="E1750" s="124"/>
      <c r="F1750" s="124"/>
    </row>
    <row r="1751" spans="5:6" x14ac:dyDescent="0.25">
      <c r="E1751" s="124"/>
      <c r="F1751" s="124"/>
    </row>
    <row r="1752" spans="5:6" x14ac:dyDescent="0.25">
      <c r="E1752" s="124"/>
      <c r="F1752" s="124"/>
    </row>
    <row r="1753" spans="5:6" x14ac:dyDescent="0.25">
      <c r="E1753" s="124"/>
      <c r="F1753" s="124"/>
    </row>
    <row r="1754" spans="5:6" x14ac:dyDescent="0.25">
      <c r="E1754" s="124"/>
      <c r="F1754" s="124"/>
    </row>
    <row r="1755" spans="5:6" x14ac:dyDescent="0.25">
      <c r="E1755" s="124"/>
      <c r="F1755" s="124"/>
    </row>
    <row r="1756" spans="5:6" x14ac:dyDescent="0.25">
      <c r="E1756" s="124"/>
      <c r="F1756" s="124"/>
    </row>
    <row r="1757" spans="5:6" x14ac:dyDescent="0.25">
      <c r="E1757" s="124"/>
      <c r="F1757" s="124"/>
    </row>
    <row r="1758" spans="5:6" x14ac:dyDescent="0.25">
      <c r="E1758" s="124"/>
      <c r="F1758" s="124"/>
    </row>
    <row r="1759" spans="5:6" x14ac:dyDescent="0.25">
      <c r="E1759" s="124"/>
      <c r="F1759" s="124"/>
    </row>
    <row r="1760" spans="5:6" x14ac:dyDescent="0.25">
      <c r="E1760" s="124"/>
      <c r="F1760" s="124"/>
    </row>
    <row r="1761" spans="5:6" x14ac:dyDescent="0.25">
      <c r="E1761" s="124"/>
      <c r="F1761" s="124"/>
    </row>
    <row r="1762" spans="5:6" x14ac:dyDescent="0.25">
      <c r="E1762" s="124"/>
      <c r="F1762" s="124"/>
    </row>
    <row r="1763" spans="5:6" x14ac:dyDescent="0.25">
      <c r="E1763" s="124"/>
      <c r="F1763" s="124"/>
    </row>
    <row r="1764" spans="5:6" x14ac:dyDescent="0.25">
      <c r="E1764" s="124"/>
      <c r="F1764" s="124"/>
    </row>
    <row r="1765" spans="5:6" x14ac:dyDescent="0.25">
      <c r="E1765" s="124"/>
      <c r="F1765" s="124"/>
    </row>
    <row r="1766" spans="5:6" x14ac:dyDescent="0.25">
      <c r="E1766" s="124"/>
      <c r="F1766" s="124"/>
    </row>
    <row r="1767" spans="5:6" x14ac:dyDescent="0.25">
      <c r="E1767" s="124"/>
      <c r="F1767" s="124"/>
    </row>
    <row r="1768" spans="5:6" x14ac:dyDescent="0.25">
      <c r="E1768" s="124"/>
      <c r="F1768" s="124"/>
    </row>
    <row r="1769" spans="5:6" x14ac:dyDescent="0.25">
      <c r="E1769" s="124"/>
      <c r="F1769" s="124"/>
    </row>
    <row r="1770" spans="5:6" x14ac:dyDescent="0.25">
      <c r="E1770" s="124"/>
      <c r="F1770" s="124"/>
    </row>
    <row r="1771" spans="5:6" x14ac:dyDescent="0.25">
      <c r="E1771" s="124"/>
      <c r="F1771" s="124"/>
    </row>
    <row r="1772" spans="5:6" x14ac:dyDescent="0.25">
      <c r="E1772" s="124"/>
      <c r="F1772" s="124"/>
    </row>
    <row r="1773" spans="5:6" x14ac:dyDescent="0.25">
      <c r="E1773" s="124"/>
      <c r="F1773" s="124"/>
    </row>
    <row r="1774" spans="5:6" x14ac:dyDescent="0.25">
      <c r="E1774" s="124"/>
      <c r="F1774" s="124"/>
    </row>
    <row r="1775" spans="5:6" x14ac:dyDescent="0.25">
      <c r="E1775" s="124"/>
      <c r="F1775" s="124"/>
    </row>
    <row r="1776" spans="5:6" x14ac:dyDescent="0.25">
      <c r="E1776" s="124"/>
      <c r="F1776" s="124"/>
    </row>
    <row r="1777" spans="5:6" x14ac:dyDescent="0.25">
      <c r="E1777" s="124"/>
      <c r="F1777" s="124"/>
    </row>
    <row r="1778" spans="5:6" x14ac:dyDescent="0.25">
      <c r="E1778" s="124"/>
      <c r="F1778" s="124"/>
    </row>
    <row r="1779" spans="5:6" x14ac:dyDescent="0.25">
      <c r="E1779" s="124"/>
      <c r="F1779" s="124"/>
    </row>
    <row r="1780" spans="5:6" x14ac:dyDescent="0.25">
      <c r="E1780" s="124"/>
      <c r="F1780" s="124"/>
    </row>
    <row r="1781" spans="5:6" x14ac:dyDescent="0.25">
      <c r="E1781" s="124"/>
      <c r="F1781" s="124"/>
    </row>
    <row r="1782" spans="5:6" x14ac:dyDescent="0.25">
      <c r="E1782" s="124"/>
      <c r="F1782" s="124"/>
    </row>
    <row r="1783" spans="5:6" x14ac:dyDescent="0.25">
      <c r="E1783" s="124"/>
      <c r="F1783" s="124"/>
    </row>
    <row r="1784" spans="5:6" x14ac:dyDescent="0.25">
      <c r="E1784" s="124"/>
      <c r="F1784" s="124"/>
    </row>
    <row r="1785" spans="5:6" x14ac:dyDescent="0.25">
      <c r="E1785" s="124"/>
      <c r="F1785" s="124"/>
    </row>
    <row r="1786" spans="5:6" x14ac:dyDescent="0.25">
      <c r="E1786" s="124"/>
      <c r="F1786" s="124"/>
    </row>
    <row r="1787" spans="5:6" x14ac:dyDescent="0.25">
      <c r="E1787" s="124"/>
      <c r="F1787" s="124"/>
    </row>
    <row r="1788" spans="5:6" x14ac:dyDescent="0.25">
      <c r="E1788" s="124"/>
      <c r="F1788" s="124"/>
    </row>
    <row r="1789" spans="5:6" x14ac:dyDescent="0.25">
      <c r="E1789" s="124"/>
      <c r="F1789" s="124"/>
    </row>
    <row r="1790" spans="5:6" x14ac:dyDescent="0.25">
      <c r="E1790" s="124"/>
      <c r="F1790" s="124"/>
    </row>
    <row r="1791" spans="5:6" x14ac:dyDescent="0.25">
      <c r="E1791" s="124"/>
      <c r="F1791" s="124"/>
    </row>
    <row r="1792" spans="5:6" x14ac:dyDescent="0.25">
      <c r="E1792" s="124"/>
      <c r="F1792" s="124"/>
    </row>
    <row r="1793" spans="5:6" x14ac:dyDescent="0.25">
      <c r="E1793" s="124"/>
      <c r="F1793" s="124"/>
    </row>
    <row r="1794" spans="5:6" x14ac:dyDescent="0.25">
      <c r="E1794" s="124"/>
      <c r="F1794" s="124"/>
    </row>
    <row r="1795" spans="5:6" x14ac:dyDescent="0.25">
      <c r="E1795" s="124"/>
      <c r="F1795" s="124"/>
    </row>
    <row r="1796" spans="5:6" x14ac:dyDescent="0.25">
      <c r="E1796" s="124"/>
      <c r="F1796" s="124"/>
    </row>
    <row r="1797" spans="5:6" x14ac:dyDescent="0.25">
      <c r="E1797" s="124"/>
      <c r="F1797" s="124"/>
    </row>
    <row r="1798" spans="5:6" x14ac:dyDescent="0.25">
      <c r="E1798" s="124"/>
      <c r="F1798" s="124"/>
    </row>
    <row r="1799" spans="5:6" x14ac:dyDescent="0.25">
      <c r="E1799" s="124"/>
      <c r="F1799" s="124"/>
    </row>
    <row r="1800" spans="5:6" x14ac:dyDescent="0.25">
      <c r="E1800" s="124"/>
      <c r="F1800" s="124"/>
    </row>
    <row r="1801" spans="5:6" x14ac:dyDescent="0.25">
      <c r="E1801" s="124"/>
      <c r="F1801" s="124"/>
    </row>
    <row r="1802" spans="5:6" x14ac:dyDescent="0.25">
      <c r="E1802" s="124"/>
      <c r="F1802" s="124"/>
    </row>
    <row r="1803" spans="5:6" x14ac:dyDescent="0.25">
      <c r="E1803" s="124"/>
      <c r="F1803" s="124"/>
    </row>
    <row r="1804" spans="5:6" x14ac:dyDescent="0.25">
      <c r="E1804" s="124"/>
      <c r="F1804" s="124"/>
    </row>
    <row r="1805" spans="5:6" x14ac:dyDescent="0.25">
      <c r="E1805" s="124"/>
      <c r="F1805" s="124"/>
    </row>
    <row r="1806" spans="5:6" x14ac:dyDescent="0.25">
      <c r="E1806" s="124"/>
      <c r="F1806" s="124"/>
    </row>
    <row r="1807" spans="5:6" x14ac:dyDescent="0.25">
      <c r="E1807" s="124"/>
      <c r="F1807" s="124"/>
    </row>
    <row r="1808" spans="5:6" x14ac:dyDescent="0.25">
      <c r="E1808" s="124"/>
      <c r="F1808" s="124"/>
    </row>
    <row r="1809" spans="5:6" x14ac:dyDescent="0.25">
      <c r="E1809" s="124"/>
      <c r="F1809" s="124"/>
    </row>
    <row r="1810" spans="5:6" x14ac:dyDescent="0.25">
      <c r="E1810" s="124"/>
      <c r="F1810" s="124"/>
    </row>
    <row r="1811" spans="5:6" x14ac:dyDescent="0.25">
      <c r="E1811" s="124"/>
      <c r="F1811" s="124"/>
    </row>
    <row r="1812" spans="5:6" x14ac:dyDescent="0.25">
      <c r="E1812" s="124"/>
      <c r="F1812" s="124"/>
    </row>
    <row r="1813" spans="5:6" x14ac:dyDescent="0.25">
      <c r="E1813" s="124"/>
      <c r="F1813" s="124"/>
    </row>
    <row r="1814" spans="5:6" x14ac:dyDescent="0.25">
      <c r="E1814" s="124"/>
      <c r="F1814" s="124"/>
    </row>
    <row r="1815" spans="5:6" x14ac:dyDescent="0.25">
      <c r="E1815" s="124"/>
      <c r="F1815" s="124"/>
    </row>
    <row r="1816" spans="5:6" x14ac:dyDescent="0.25">
      <c r="E1816" s="124"/>
      <c r="F1816" s="124"/>
    </row>
    <row r="1817" spans="5:6" x14ac:dyDescent="0.25">
      <c r="E1817" s="124"/>
      <c r="F1817" s="124"/>
    </row>
    <row r="1818" spans="5:6" x14ac:dyDescent="0.25">
      <c r="E1818" s="124"/>
      <c r="F1818" s="124"/>
    </row>
    <row r="1819" spans="5:6" x14ac:dyDescent="0.25">
      <c r="E1819" s="124"/>
      <c r="F1819" s="124"/>
    </row>
    <row r="1820" spans="5:6" x14ac:dyDescent="0.25">
      <c r="E1820" s="124"/>
      <c r="F1820" s="124"/>
    </row>
    <row r="1821" spans="5:6" x14ac:dyDescent="0.25">
      <c r="E1821" s="124"/>
      <c r="F1821" s="124"/>
    </row>
    <row r="1822" spans="5:6" x14ac:dyDescent="0.25">
      <c r="E1822" s="124"/>
      <c r="F1822" s="124"/>
    </row>
    <row r="1823" spans="5:6" x14ac:dyDescent="0.25">
      <c r="E1823" s="124"/>
      <c r="F1823" s="124"/>
    </row>
    <row r="1824" spans="5:6" x14ac:dyDescent="0.25">
      <c r="E1824" s="124"/>
      <c r="F1824" s="124"/>
    </row>
    <row r="1825" spans="5:6" x14ac:dyDescent="0.25">
      <c r="E1825" s="124"/>
      <c r="F1825" s="124"/>
    </row>
    <row r="1826" spans="5:6" x14ac:dyDescent="0.25">
      <c r="E1826" s="124"/>
      <c r="F1826" s="124"/>
    </row>
    <row r="1827" spans="5:6" x14ac:dyDescent="0.25">
      <c r="E1827" s="124"/>
      <c r="F1827" s="124"/>
    </row>
    <row r="1828" spans="5:6" x14ac:dyDescent="0.25">
      <c r="E1828" s="124"/>
      <c r="F1828" s="124"/>
    </row>
    <row r="1829" spans="5:6" x14ac:dyDescent="0.25">
      <c r="E1829" s="124"/>
      <c r="F1829" s="124"/>
    </row>
    <row r="1830" spans="5:6" x14ac:dyDescent="0.25">
      <c r="E1830" s="124"/>
      <c r="F1830" s="124"/>
    </row>
    <row r="1831" spans="5:6" x14ac:dyDescent="0.25">
      <c r="E1831" s="124"/>
      <c r="F1831" s="124"/>
    </row>
    <row r="1832" spans="5:6" x14ac:dyDescent="0.25">
      <c r="E1832" s="124"/>
      <c r="F1832" s="124"/>
    </row>
    <row r="1833" spans="5:6" x14ac:dyDescent="0.25">
      <c r="E1833" s="124"/>
      <c r="F1833" s="124"/>
    </row>
    <row r="1834" spans="5:6" x14ac:dyDescent="0.25">
      <c r="E1834" s="124"/>
      <c r="F1834" s="124"/>
    </row>
    <row r="1835" spans="5:6" x14ac:dyDescent="0.25">
      <c r="E1835" s="124"/>
      <c r="F1835" s="124"/>
    </row>
    <row r="1836" spans="5:6" x14ac:dyDescent="0.25">
      <c r="E1836" s="124"/>
      <c r="F1836" s="124"/>
    </row>
    <row r="1837" spans="5:6" x14ac:dyDescent="0.25">
      <c r="E1837" s="124"/>
      <c r="F1837" s="124"/>
    </row>
    <row r="1838" spans="5:6" x14ac:dyDescent="0.25">
      <c r="E1838" s="124"/>
      <c r="F1838" s="124"/>
    </row>
    <row r="1839" spans="5:6" x14ac:dyDescent="0.25">
      <c r="E1839" s="124"/>
      <c r="F1839" s="124"/>
    </row>
    <row r="1840" spans="5:6" x14ac:dyDescent="0.25">
      <c r="E1840" s="124"/>
      <c r="F1840" s="124"/>
    </row>
    <row r="1841" spans="5:6" x14ac:dyDescent="0.25">
      <c r="E1841" s="124"/>
      <c r="F1841" s="124"/>
    </row>
    <row r="1842" spans="5:6" x14ac:dyDescent="0.25">
      <c r="E1842" s="124"/>
      <c r="F1842" s="124"/>
    </row>
    <row r="1843" spans="5:6" x14ac:dyDescent="0.25">
      <c r="E1843" s="124"/>
      <c r="F1843" s="124"/>
    </row>
    <row r="1844" spans="5:6" x14ac:dyDescent="0.25">
      <c r="E1844" s="124"/>
      <c r="F1844" s="124"/>
    </row>
    <row r="1845" spans="5:6" x14ac:dyDescent="0.25">
      <c r="E1845" s="124"/>
      <c r="F1845" s="124"/>
    </row>
    <row r="1846" spans="5:6" x14ac:dyDescent="0.25">
      <c r="E1846" s="124"/>
      <c r="F1846" s="124"/>
    </row>
    <row r="1847" spans="5:6" x14ac:dyDescent="0.25">
      <c r="E1847" s="124"/>
      <c r="F1847" s="124"/>
    </row>
    <row r="1848" spans="5:6" x14ac:dyDescent="0.25">
      <c r="E1848" s="124"/>
      <c r="F1848" s="124"/>
    </row>
    <row r="1849" spans="5:6" x14ac:dyDescent="0.25">
      <c r="E1849" s="124"/>
      <c r="F1849" s="124"/>
    </row>
    <row r="1850" spans="5:6" x14ac:dyDescent="0.25">
      <c r="E1850" s="124"/>
      <c r="F1850" s="124"/>
    </row>
    <row r="1851" spans="5:6" x14ac:dyDescent="0.25">
      <c r="E1851" s="124"/>
      <c r="F1851" s="124"/>
    </row>
    <row r="1852" spans="5:6" x14ac:dyDescent="0.25">
      <c r="E1852" s="124"/>
      <c r="F1852" s="124"/>
    </row>
    <row r="1853" spans="5:6" x14ac:dyDescent="0.25">
      <c r="E1853" s="124"/>
      <c r="F1853" s="124"/>
    </row>
    <row r="1854" spans="5:6" x14ac:dyDescent="0.25">
      <c r="E1854" s="124"/>
      <c r="F1854" s="124"/>
    </row>
    <row r="1855" spans="5:6" x14ac:dyDescent="0.25">
      <c r="E1855" s="124"/>
      <c r="F1855" s="124"/>
    </row>
    <row r="1856" spans="5:6" x14ac:dyDescent="0.25">
      <c r="E1856" s="124"/>
      <c r="F1856" s="124"/>
    </row>
    <row r="1857" spans="5:6" x14ac:dyDescent="0.25">
      <c r="E1857" s="124"/>
      <c r="F1857" s="124"/>
    </row>
    <row r="1858" spans="5:6" x14ac:dyDescent="0.25">
      <c r="E1858" s="124"/>
      <c r="F1858" s="124"/>
    </row>
    <row r="1859" spans="5:6" x14ac:dyDescent="0.25">
      <c r="E1859" s="124"/>
      <c r="F1859" s="124"/>
    </row>
    <row r="1860" spans="5:6" x14ac:dyDescent="0.25">
      <c r="E1860" s="124"/>
      <c r="F1860" s="124"/>
    </row>
    <row r="1861" spans="5:6" x14ac:dyDescent="0.25">
      <c r="E1861" s="124"/>
      <c r="F1861" s="124"/>
    </row>
    <row r="1862" spans="5:6" x14ac:dyDescent="0.25">
      <c r="E1862" s="124"/>
      <c r="F1862" s="124"/>
    </row>
    <row r="1863" spans="5:6" x14ac:dyDescent="0.25">
      <c r="E1863" s="124"/>
      <c r="F1863" s="124"/>
    </row>
    <row r="1864" spans="5:6" x14ac:dyDescent="0.25">
      <c r="E1864" s="124"/>
      <c r="F1864" s="124"/>
    </row>
    <row r="1865" spans="5:6" x14ac:dyDescent="0.25">
      <c r="E1865" s="124"/>
      <c r="F1865" s="124"/>
    </row>
    <row r="1866" spans="5:6" x14ac:dyDescent="0.25">
      <c r="E1866" s="124"/>
      <c r="F1866" s="124"/>
    </row>
    <row r="1867" spans="5:6" x14ac:dyDescent="0.25">
      <c r="E1867" s="124"/>
      <c r="F1867" s="124"/>
    </row>
    <row r="1868" spans="5:6" x14ac:dyDescent="0.25">
      <c r="E1868" s="124"/>
      <c r="F1868" s="124"/>
    </row>
    <row r="1869" spans="5:6" x14ac:dyDescent="0.25">
      <c r="E1869" s="124"/>
      <c r="F1869" s="124"/>
    </row>
    <row r="1870" spans="5:6" x14ac:dyDescent="0.25">
      <c r="E1870" s="124"/>
      <c r="F1870" s="124"/>
    </row>
    <row r="1871" spans="5:6" x14ac:dyDescent="0.25">
      <c r="E1871" s="124"/>
      <c r="F1871" s="124"/>
    </row>
    <row r="1872" spans="5:6" x14ac:dyDescent="0.25">
      <c r="E1872" s="124"/>
      <c r="F1872" s="124"/>
    </row>
    <row r="1873" spans="5:6" x14ac:dyDescent="0.25">
      <c r="E1873" s="124"/>
      <c r="F1873" s="124"/>
    </row>
    <row r="1874" spans="5:6" x14ac:dyDescent="0.25">
      <c r="E1874" s="124"/>
      <c r="F1874" s="124"/>
    </row>
    <row r="1875" spans="5:6" x14ac:dyDescent="0.25">
      <c r="E1875" s="124"/>
      <c r="F1875" s="124"/>
    </row>
    <row r="1876" spans="5:6" x14ac:dyDescent="0.25">
      <c r="E1876" s="124"/>
      <c r="F1876" s="124"/>
    </row>
    <row r="1877" spans="5:6" x14ac:dyDescent="0.25">
      <c r="E1877" s="124"/>
      <c r="F1877" s="124"/>
    </row>
    <row r="1878" spans="5:6" x14ac:dyDescent="0.25">
      <c r="E1878" s="124"/>
      <c r="F1878" s="124"/>
    </row>
    <row r="1879" spans="5:6" x14ac:dyDescent="0.25">
      <c r="E1879" s="124"/>
      <c r="F1879" s="124"/>
    </row>
    <row r="1880" spans="5:6" x14ac:dyDescent="0.25">
      <c r="E1880" s="124"/>
      <c r="F1880" s="124"/>
    </row>
    <row r="1881" spans="5:6" x14ac:dyDescent="0.25">
      <c r="E1881" s="124"/>
      <c r="F1881" s="124"/>
    </row>
    <row r="1882" spans="5:6" x14ac:dyDescent="0.25">
      <c r="E1882" s="124"/>
      <c r="F1882" s="124"/>
    </row>
    <row r="1883" spans="5:6" x14ac:dyDescent="0.25">
      <c r="E1883" s="124"/>
      <c r="F1883" s="124"/>
    </row>
    <row r="1884" spans="5:6" x14ac:dyDescent="0.25">
      <c r="E1884" s="124"/>
      <c r="F1884" s="124"/>
    </row>
    <row r="1885" spans="5:6" x14ac:dyDescent="0.25">
      <c r="E1885" s="124"/>
      <c r="F1885" s="124"/>
    </row>
    <row r="1886" spans="5:6" x14ac:dyDescent="0.25">
      <c r="E1886" s="124"/>
      <c r="F1886" s="124"/>
    </row>
    <row r="1887" spans="5:6" x14ac:dyDescent="0.25">
      <c r="E1887" s="124"/>
      <c r="F1887" s="124"/>
    </row>
    <row r="1888" spans="5:6" x14ac:dyDescent="0.25">
      <c r="E1888" s="124"/>
      <c r="F1888" s="124"/>
    </row>
    <row r="1889" spans="5:6" x14ac:dyDescent="0.25">
      <c r="E1889" s="124"/>
      <c r="F1889" s="124"/>
    </row>
    <row r="1890" spans="5:6" x14ac:dyDescent="0.25">
      <c r="E1890" s="124"/>
      <c r="F1890" s="124"/>
    </row>
    <row r="1891" spans="5:6" x14ac:dyDescent="0.25">
      <c r="E1891" s="124"/>
      <c r="F1891" s="124"/>
    </row>
    <row r="1892" spans="5:6" x14ac:dyDescent="0.25">
      <c r="E1892" s="124"/>
      <c r="F1892" s="124"/>
    </row>
    <row r="1893" spans="5:6" x14ac:dyDescent="0.25">
      <c r="E1893" s="124"/>
      <c r="F1893" s="124"/>
    </row>
    <row r="1894" spans="5:6" x14ac:dyDescent="0.25">
      <c r="E1894" s="124"/>
      <c r="F1894" s="124"/>
    </row>
    <row r="1895" spans="5:6" x14ac:dyDescent="0.25">
      <c r="E1895" s="124"/>
      <c r="F1895" s="124"/>
    </row>
    <row r="1896" spans="5:6" x14ac:dyDescent="0.25">
      <c r="E1896" s="124"/>
      <c r="F1896" s="124"/>
    </row>
    <row r="1897" spans="5:6" x14ac:dyDescent="0.25">
      <c r="E1897" s="124"/>
      <c r="F1897" s="124"/>
    </row>
    <row r="1898" spans="5:6" x14ac:dyDescent="0.25">
      <c r="E1898" s="124"/>
      <c r="F1898" s="124"/>
    </row>
    <row r="1899" spans="5:6" x14ac:dyDescent="0.25">
      <c r="E1899" s="124"/>
      <c r="F1899" s="124"/>
    </row>
    <row r="1900" spans="5:6" x14ac:dyDescent="0.25">
      <c r="E1900" s="124"/>
      <c r="F1900" s="124"/>
    </row>
    <row r="1901" spans="5:6" x14ac:dyDescent="0.25">
      <c r="E1901" s="124"/>
      <c r="F1901" s="124"/>
    </row>
    <row r="1902" spans="5:6" x14ac:dyDescent="0.25">
      <c r="E1902" s="124"/>
      <c r="F1902" s="124"/>
    </row>
    <row r="1903" spans="5:6" x14ac:dyDescent="0.25">
      <c r="E1903" s="124"/>
      <c r="F1903" s="124"/>
    </row>
    <row r="1904" spans="5:6" x14ac:dyDescent="0.25">
      <c r="E1904" s="124"/>
      <c r="F1904" s="124"/>
    </row>
    <row r="1905" spans="5:6" x14ac:dyDescent="0.25">
      <c r="E1905" s="124"/>
      <c r="F1905" s="124"/>
    </row>
    <row r="1906" spans="5:6" x14ac:dyDescent="0.25">
      <c r="E1906" s="124"/>
      <c r="F1906" s="124"/>
    </row>
    <row r="1907" spans="5:6" x14ac:dyDescent="0.25">
      <c r="E1907" s="124"/>
      <c r="F1907" s="124"/>
    </row>
    <row r="1908" spans="5:6" x14ac:dyDescent="0.25">
      <c r="E1908" s="124"/>
      <c r="F1908" s="124"/>
    </row>
    <row r="1909" spans="5:6" x14ac:dyDescent="0.25">
      <c r="E1909" s="124"/>
      <c r="F1909" s="124"/>
    </row>
    <row r="1910" spans="5:6" x14ac:dyDescent="0.25">
      <c r="E1910" s="124"/>
      <c r="F1910" s="124"/>
    </row>
    <row r="1911" spans="5:6" x14ac:dyDescent="0.25">
      <c r="E1911" s="124"/>
      <c r="F1911" s="124"/>
    </row>
    <row r="1912" spans="5:6" x14ac:dyDescent="0.25">
      <c r="E1912" s="124"/>
      <c r="F1912" s="124"/>
    </row>
    <row r="1913" spans="5:6" x14ac:dyDescent="0.25">
      <c r="E1913" s="124"/>
      <c r="F1913" s="124"/>
    </row>
    <row r="1914" spans="5:6" x14ac:dyDescent="0.25">
      <c r="E1914" s="124"/>
      <c r="F1914" s="124"/>
    </row>
    <row r="1915" spans="5:6" x14ac:dyDescent="0.25">
      <c r="E1915" s="124"/>
      <c r="F1915" s="124"/>
    </row>
    <row r="1916" spans="5:6" x14ac:dyDescent="0.25">
      <c r="E1916" s="124"/>
      <c r="F1916" s="124"/>
    </row>
    <row r="1917" spans="5:6" x14ac:dyDescent="0.25">
      <c r="E1917" s="124"/>
      <c r="F1917" s="124"/>
    </row>
    <row r="1918" spans="5:6" x14ac:dyDescent="0.25">
      <c r="E1918" s="124"/>
      <c r="F1918" s="124"/>
    </row>
    <row r="1919" spans="5:6" x14ac:dyDescent="0.25">
      <c r="E1919" s="124"/>
      <c r="F1919" s="124"/>
    </row>
    <row r="1920" spans="5:6" x14ac:dyDescent="0.25">
      <c r="E1920" s="124"/>
      <c r="F1920" s="124"/>
    </row>
    <row r="1921" spans="5:6" x14ac:dyDescent="0.25">
      <c r="E1921" s="124"/>
      <c r="F1921" s="124"/>
    </row>
    <row r="1922" spans="5:6" x14ac:dyDescent="0.25">
      <c r="E1922" s="124"/>
      <c r="F1922" s="124"/>
    </row>
    <row r="1923" spans="5:6" x14ac:dyDescent="0.25">
      <c r="E1923" s="124"/>
      <c r="F1923" s="124"/>
    </row>
    <row r="1924" spans="5:6" x14ac:dyDescent="0.25">
      <c r="E1924" s="124"/>
      <c r="F1924" s="124"/>
    </row>
    <row r="1925" spans="5:6" x14ac:dyDescent="0.25">
      <c r="E1925" s="124"/>
      <c r="F1925" s="124"/>
    </row>
    <row r="1926" spans="5:6" x14ac:dyDescent="0.25">
      <c r="E1926" s="124"/>
      <c r="F1926" s="124"/>
    </row>
    <row r="1927" spans="5:6" x14ac:dyDescent="0.25">
      <c r="E1927" s="124"/>
      <c r="F1927" s="124"/>
    </row>
    <row r="1928" spans="5:6" x14ac:dyDescent="0.25">
      <c r="E1928" s="124"/>
      <c r="F1928" s="124"/>
    </row>
    <row r="1929" spans="5:6" x14ac:dyDescent="0.25">
      <c r="E1929" s="124"/>
      <c r="F1929" s="124"/>
    </row>
    <row r="1930" spans="5:6" x14ac:dyDescent="0.25">
      <c r="E1930" s="124"/>
      <c r="F1930" s="124"/>
    </row>
    <row r="1931" spans="5:6" x14ac:dyDescent="0.25">
      <c r="E1931" s="124"/>
      <c r="F1931" s="124"/>
    </row>
    <row r="1932" spans="5:6" x14ac:dyDescent="0.25">
      <c r="E1932" s="124"/>
      <c r="F1932" s="124"/>
    </row>
    <row r="1933" spans="5:6" x14ac:dyDescent="0.25">
      <c r="E1933" s="124"/>
      <c r="F1933" s="124"/>
    </row>
    <row r="1934" spans="5:6" x14ac:dyDescent="0.25">
      <c r="E1934" s="124"/>
      <c r="F1934" s="124"/>
    </row>
    <row r="1935" spans="5:6" x14ac:dyDescent="0.25">
      <c r="E1935" s="124"/>
      <c r="F1935" s="124"/>
    </row>
    <row r="1936" spans="5:6" x14ac:dyDescent="0.25">
      <c r="E1936" s="124"/>
      <c r="F1936" s="124"/>
    </row>
    <row r="1937" spans="5:6" x14ac:dyDescent="0.25">
      <c r="E1937" s="124"/>
      <c r="F1937" s="124"/>
    </row>
    <row r="1938" spans="5:6" x14ac:dyDescent="0.25">
      <c r="E1938" s="124"/>
      <c r="F1938" s="124"/>
    </row>
    <row r="1939" spans="5:6" x14ac:dyDescent="0.25">
      <c r="E1939" s="124"/>
      <c r="F1939" s="124"/>
    </row>
    <row r="1940" spans="5:6" x14ac:dyDescent="0.25">
      <c r="E1940" s="124"/>
      <c r="F1940" s="124"/>
    </row>
    <row r="1941" spans="5:6" x14ac:dyDescent="0.25">
      <c r="E1941" s="124"/>
      <c r="F1941" s="124"/>
    </row>
    <row r="1942" spans="5:6" x14ac:dyDescent="0.25">
      <c r="E1942" s="124"/>
      <c r="F1942" s="124"/>
    </row>
    <row r="1943" spans="5:6" x14ac:dyDescent="0.25">
      <c r="E1943" s="124"/>
      <c r="F1943" s="124"/>
    </row>
    <row r="1944" spans="5:6" x14ac:dyDescent="0.25">
      <c r="E1944" s="124"/>
      <c r="F1944" s="124"/>
    </row>
    <row r="1945" spans="5:6" x14ac:dyDescent="0.25">
      <c r="E1945" s="124"/>
      <c r="F1945" s="124"/>
    </row>
    <row r="1946" spans="5:6" x14ac:dyDescent="0.25">
      <c r="E1946" s="124"/>
      <c r="F1946" s="124"/>
    </row>
    <row r="1947" spans="5:6" x14ac:dyDescent="0.25">
      <c r="E1947" s="124"/>
      <c r="F1947" s="124"/>
    </row>
    <row r="1948" spans="5:6" x14ac:dyDescent="0.25">
      <c r="E1948" s="124"/>
      <c r="F1948" s="124"/>
    </row>
    <row r="1949" spans="5:6" x14ac:dyDescent="0.25">
      <c r="E1949" s="124"/>
      <c r="F1949" s="124"/>
    </row>
    <row r="1950" spans="5:6" x14ac:dyDescent="0.25">
      <c r="E1950" s="124"/>
      <c r="F1950" s="124"/>
    </row>
    <row r="1951" spans="5:6" x14ac:dyDescent="0.25">
      <c r="E1951" s="124"/>
      <c r="F1951" s="124"/>
    </row>
    <row r="1952" spans="5:6" x14ac:dyDescent="0.25">
      <c r="E1952" s="124"/>
      <c r="F1952" s="124"/>
    </row>
    <row r="1953" spans="5:6" x14ac:dyDescent="0.25">
      <c r="E1953" s="124"/>
      <c r="F1953" s="124"/>
    </row>
    <row r="1954" spans="5:6" x14ac:dyDescent="0.25">
      <c r="E1954" s="124"/>
      <c r="F1954" s="124"/>
    </row>
    <row r="1955" spans="5:6" x14ac:dyDescent="0.25">
      <c r="E1955" s="124"/>
      <c r="F1955" s="124"/>
    </row>
    <row r="1956" spans="5:6" x14ac:dyDescent="0.25">
      <c r="E1956" s="124"/>
      <c r="F1956" s="124"/>
    </row>
    <row r="1957" spans="5:6" x14ac:dyDescent="0.25">
      <c r="E1957" s="124"/>
      <c r="F1957" s="124"/>
    </row>
    <row r="1958" spans="5:6" x14ac:dyDescent="0.25">
      <c r="E1958" s="124"/>
      <c r="F1958" s="124"/>
    </row>
    <row r="1959" spans="5:6" x14ac:dyDescent="0.25">
      <c r="E1959" s="124"/>
      <c r="F1959" s="124"/>
    </row>
    <row r="1960" spans="5:6" x14ac:dyDescent="0.25">
      <c r="E1960" s="124"/>
      <c r="F1960" s="124"/>
    </row>
    <row r="1961" spans="5:6" x14ac:dyDescent="0.25">
      <c r="E1961" s="124"/>
      <c r="F1961" s="124"/>
    </row>
    <row r="1962" spans="5:6" x14ac:dyDescent="0.25">
      <c r="E1962" s="124"/>
      <c r="F1962" s="124"/>
    </row>
    <row r="1963" spans="5:6" x14ac:dyDescent="0.25">
      <c r="E1963" s="124"/>
      <c r="F1963" s="124"/>
    </row>
    <row r="1964" spans="5:6" x14ac:dyDescent="0.25">
      <c r="E1964" s="124"/>
      <c r="F1964" s="124"/>
    </row>
    <row r="1965" spans="5:6" x14ac:dyDescent="0.25">
      <c r="E1965" s="124"/>
      <c r="F1965" s="124"/>
    </row>
    <row r="1966" spans="5:6" x14ac:dyDescent="0.25">
      <c r="E1966" s="124"/>
      <c r="F1966" s="124"/>
    </row>
    <row r="1967" spans="5:6" x14ac:dyDescent="0.25">
      <c r="E1967" s="124"/>
      <c r="F1967" s="124"/>
    </row>
    <row r="1968" spans="5:6" x14ac:dyDescent="0.25">
      <c r="E1968" s="124"/>
      <c r="F1968" s="124"/>
    </row>
    <row r="1969" spans="5:6" x14ac:dyDescent="0.25">
      <c r="E1969" s="124"/>
      <c r="F1969" s="124"/>
    </row>
    <row r="1970" spans="5:6" x14ac:dyDescent="0.25">
      <c r="E1970" s="124"/>
      <c r="F1970" s="124"/>
    </row>
    <row r="1971" spans="5:6" x14ac:dyDescent="0.25">
      <c r="E1971" s="124"/>
      <c r="F1971" s="124"/>
    </row>
    <row r="1972" spans="5:6" x14ac:dyDescent="0.25">
      <c r="E1972" s="124"/>
      <c r="F1972" s="124"/>
    </row>
    <row r="1973" spans="5:6" x14ac:dyDescent="0.25">
      <c r="E1973" s="124"/>
      <c r="F1973" s="124"/>
    </row>
    <row r="1974" spans="5:6" x14ac:dyDescent="0.25">
      <c r="E1974" s="124"/>
      <c r="F1974" s="124"/>
    </row>
    <row r="1975" spans="5:6" x14ac:dyDescent="0.25">
      <c r="E1975" s="124"/>
      <c r="F1975" s="124"/>
    </row>
    <row r="1976" spans="5:6" x14ac:dyDescent="0.25">
      <c r="E1976" s="124"/>
      <c r="F1976" s="124"/>
    </row>
    <row r="1977" spans="5:6" x14ac:dyDescent="0.25">
      <c r="E1977" s="124"/>
      <c r="F1977" s="124"/>
    </row>
    <row r="1978" spans="5:6" x14ac:dyDescent="0.25">
      <c r="E1978" s="124"/>
      <c r="F1978" s="124"/>
    </row>
    <row r="1979" spans="5:6" x14ac:dyDescent="0.25">
      <c r="E1979" s="124"/>
      <c r="F1979" s="124"/>
    </row>
    <row r="1980" spans="5:6" x14ac:dyDescent="0.25">
      <c r="E1980" s="124"/>
      <c r="F1980" s="124"/>
    </row>
    <row r="1981" spans="5:6" x14ac:dyDescent="0.25">
      <c r="E1981" s="124"/>
      <c r="F1981" s="124"/>
    </row>
    <row r="1982" spans="5:6" x14ac:dyDescent="0.25">
      <c r="E1982" s="124"/>
      <c r="F1982" s="124"/>
    </row>
    <row r="1983" spans="5:6" x14ac:dyDescent="0.25">
      <c r="E1983" s="124"/>
      <c r="F1983" s="124"/>
    </row>
    <row r="1984" spans="5:6" x14ac:dyDescent="0.25">
      <c r="E1984" s="124"/>
      <c r="F1984" s="124"/>
    </row>
    <row r="1985" spans="5:6" x14ac:dyDescent="0.25">
      <c r="E1985" s="124"/>
      <c r="F1985" s="124"/>
    </row>
    <row r="1986" spans="5:6" x14ac:dyDescent="0.25">
      <c r="E1986" s="124"/>
      <c r="F1986" s="124"/>
    </row>
    <row r="1987" spans="5:6" x14ac:dyDescent="0.25">
      <c r="E1987" s="124"/>
      <c r="F1987" s="124"/>
    </row>
    <row r="1988" spans="5:6" x14ac:dyDescent="0.25">
      <c r="E1988" s="124"/>
      <c r="F1988" s="124"/>
    </row>
    <row r="1989" spans="5:6" x14ac:dyDescent="0.25">
      <c r="E1989" s="124"/>
      <c r="F1989" s="124"/>
    </row>
    <row r="1990" spans="5:6" x14ac:dyDescent="0.25">
      <c r="E1990" s="124"/>
      <c r="F1990" s="124"/>
    </row>
    <row r="1991" spans="5:6" x14ac:dyDescent="0.25">
      <c r="E1991" s="124"/>
      <c r="F1991" s="124"/>
    </row>
    <row r="1992" spans="5:6" x14ac:dyDescent="0.25">
      <c r="E1992" s="124"/>
      <c r="F1992" s="124"/>
    </row>
    <row r="1993" spans="5:6" x14ac:dyDescent="0.25">
      <c r="E1993" s="124"/>
      <c r="F1993" s="124"/>
    </row>
    <row r="1994" spans="5:6" x14ac:dyDescent="0.25">
      <c r="E1994" s="124"/>
      <c r="F1994" s="124"/>
    </row>
    <row r="1995" spans="5:6" x14ac:dyDescent="0.25">
      <c r="E1995" s="124"/>
      <c r="F1995" s="124"/>
    </row>
    <row r="1996" spans="5:6" x14ac:dyDescent="0.25">
      <c r="E1996" s="124"/>
      <c r="F1996" s="124"/>
    </row>
    <row r="1997" spans="5:6" x14ac:dyDescent="0.25">
      <c r="E1997" s="124"/>
      <c r="F1997" s="124"/>
    </row>
    <row r="1998" spans="5:6" x14ac:dyDescent="0.25">
      <c r="E1998" s="124"/>
      <c r="F1998" s="124"/>
    </row>
    <row r="1999" spans="5:6" x14ac:dyDescent="0.25">
      <c r="E1999" s="124"/>
      <c r="F1999" s="124"/>
    </row>
    <row r="2000" spans="5:6" x14ac:dyDescent="0.25">
      <c r="E2000" s="124"/>
      <c r="F2000" s="124"/>
    </row>
    <row r="2001" spans="5:6" x14ac:dyDescent="0.25">
      <c r="E2001" s="124"/>
      <c r="F2001" s="124"/>
    </row>
    <row r="2002" spans="5:6" x14ac:dyDescent="0.25">
      <c r="E2002" s="124"/>
      <c r="F2002" s="124"/>
    </row>
    <row r="2003" spans="5:6" x14ac:dyDescent="0.25">
      <c r="E2003" s="124"/>
      <c r="F2003" s="124"/>
    </row>
    <row r="2004" spans="5:6" x14ac:dyDescent="0.25">
      <c r="E2004" s="124"/>
      <c r="F2004" s="124"/>
    </row>
    <row r="2005" spans="5:6" x14ac:dyDescent="0.25">
      <c r="E2005" s="124"/>
      <c r="F2005" s="124"/>
    </row>
    <row r="2006" spans="5:6" x14ac:dyDescent="0.25">
      <c r="E2006" s="124"/>
      <c r="F2006" s="124"/>
    </row>
    <row r="2007" spans="5:6" x14ac:dyDescent="0.25">
      <c r="E2007" s="124"/>
      <c r="F2007" s="124"/>
    </row>
    <row r="2008" spans="5:6" x14ac:dyDescent="0.25">
      <c r="E2008" s="124"/>
      <c r="F2008" s="124"/>
    </row>
    <row r="2009" spans="5:6" x14ac:dyDescent="0.25">
      <c r="E2009" s="124"/>
      <c r="F2009" s="124"/>
    </row>
    <row r="2010" spans="5:6" x14ac:dyDescent="0.25">
      <c r="E2010" s="124"/>
      <c r="F2010" s="124"/>
    </row>
    <row r="2011" spans="5:6" x14ac:dyDescent="0.25">
      <c r="E2011" s="124"/>
      <c r="F2011" s="124"/>
    </row>
    <row r="2012" spans="5:6" x14ac:dyDescent="0.25">
      <c r="E2012" s="124"/>
      <c r="F2012" s="124"/>
    </row>
    <row r="2013" spans="5:6" x14ac:dyDescent="0.25">
      <c r="E2013" s="124"/>
      <c r="F2013" s="124"/>
    </row>
    <row r="2014" spans="5:6" x14ac:dyDescent="0.25">
      <c r="E2014" s="124"/>
      <c r="F2014" s="124"/>
    </row>
    <row r="2015" spans="5:6" x14ac:dyDescent="0.25">
      <c r="E2015" s="124"/>
      <c r="F2015" s="124"/>
    </row>
    <row r="2016" spans="5:6" x14ac:dyDescent="0.25">
      <c r="E2016" s="124"/>
      <c r="F2016" s="124"/>
    </row>
    <row r="2017" spans="5:6" x14ac:dyDescent="0.25">
      <c r="E2017" s="124"/>
      <c r="F2017" s="124"/>
    </row>
    <row r="2018" spans="5:6" x14ac:dyDescent="0.25">
      <c r="E2018" s="124"/>
      <c r="F2018" s="124"/>
    </row>
    <row r="2019" spans="5:6" x14ac:dyDescent="0.25">
      <c r="E2019" s="124"/>
      <c r="F2019" s="124"/>
    </row>
    <row r="2020" spans="5:6" x14ac:dyDescent="0.25">
      <c r="E2020" s="124"/>
      <c r="F2020" s="124"/>
    </row>
    <row r="2021" spans="5:6" x14ac:dyDescent="0.25">
      <c r="E2021" s="124"/>
      <c r="F2021" s="124"/>
    </row>
    <row r="2022" spans="5:6" x14ac:dyDescent="0.25">
      <c r="E2022" s="124"/>
      <c r="F2022" s="124"/>
    </row>
    <row r="2023" spans="5:6" x14ac:dyDescent="0.25">
      <c r="E2023" s="124"/>
      <c r="F2023" s="124"/>
    </row>
    <row r="2024" spans="5:6" x14ac:dyDescent="0.25">
      <c r="E2024" s="124"/>
      <c r="F2024" s="124"/>
    </row>
    <row r="2025" spans="5:6" x14ac:dyDescent="0.25">
      <c r="E2025" s="124"/>
      <c r="F2025" s="124"/>
    </row>
    <row r="2026" spans="5:6" x14ac:dyDescent="0.25">
      <c r="E2026" s="124"/>
      <c r="F2026" s="124"/>
    </row>
    <row r="2027" spans="5:6" x14ac:dyDescent="0.25">
      <c r="E2027" s="124"/>
      <c r="F2027" s="124"/>
    </row>
    <row r="2028" spans="5:6" x14ac:dyDescent="0.25">
      <c r="E2028" s="124"/>
      <c r="F2028" s="124"/>
    </row>
    <row r="2029" spans="5:6" x14ac:dyDescent="0.25">
      <c r="E2029" s="124"/>
      <c r="F2029" s="124"/>
    </row>
    <row r="2030" spans="5:6" x14ac:dyDescent="0.25">
      <c r="E2030" s="124"/>
      <c r="F2030" s="124"/>
    </row>
    <row r="2031" spans="5:6" x14ac:dyDescent="0.25">
      <c r="E2031" s="124"/>
      <c r="F2031" s="124"/>
    </row>
    <row r="2032" spans="5:6" x14ac:dyDescent="0.25">
      <c r="E2032" s="124"/>
      <c r="F2032" s="124"/>
    </row>
    <row r="2033" spans="5:6" x14ac:dyDescent="0.25">
      <c r="E2033" s="124"/>
      <c r="F2033" s="124"/>
    </row>
    <row r="2034" spans="5:6" x14ac:dyDescent="0.25">
      <c r="E2034" s="124"/>
      <c r="F2034" s="124"/>
    </row>
    <row r="2035" spans="5:6" x14ac:dyDescent="0.25">
      <c r="E2035" s="124"/>
      <c r="F2035" s="124"/>
    </row>
    <row r="2036" spans="5:6" x14ac:dyDescent="0.25">
      <c r="E2036" s="124"/>
      <c r="F2036" s="124"/>
    </row>
    <row r="2037" spans="5:6" x14ac:dyDescent="0.25">
      <c r="E2037" s="124"/>
      <c r="F2037" s="124"/>
    </row>
    <row r="2038" spans="5:6" x14ac:dyDescent="0.25">
      <c r="E2038" s="124"/>
      <c r="F2038" s="124"/>
    </row>
    <row r="2039" spans="5:6" x14ac:dyDescent="0.25">
      <c r="E2039" s="124"/>
      <c r="F2039" s="124"/>
    </row>
    <row r="2040" spans="5:6" x14ac:dyDescent="0.25">
      <c r="E2040" s="124"/>
      <c r="F2040" s="124"/>
    </row>
    <row r="2041" spans="5:6" x14ac:dyDescent="0.25">
      <c r="E2041" s="124"/>
      <c r="F2041" s="124"/>
    </row>
    <row r="2042" spans="5:6" x14ac:dyDescent="0.25">
      <c r="E2042" s="124"/>
      <c r="F2042" s="124"/>
    </row>
    <row r="2043" spans="5:6" x14ac:dyDescent="0.25">
      <c r="E2043" s="124"/>
      <c r="F2043" s="124"/>
    </row>
    <row r="2044" spans="5:6" x14ac:dyDescent="0.25">
      <c r="E2044" s="124"/>
      <c r="F2044" s="124"/>
    </row>
    <row r="2045" spans="5:6" x14ac:dyDescent="0.25">
      <c r="E2045" s="124"/>
      <c r="F2045" s="124"/>
    </row>
    <row r="2046" spans="5:6" x14ac:dyDescent="0.25">
      <c r="E2046" s="124"/>
      <c r="F2046" s="124"/>
    </row>
    <row r="2047" spans="5:6" x14ac:dyDescent="0.25">
      <c r="E2047" s="124"/>
      <c r="F2047" s="124"/>
    </row>
    <row r="2048" spans="5:6" x14ac:dyDescent="0.25">
      <c r="E2048" s="124"/>
      <c r="F2048" s="124"/>
    </row>
    <row r="2049" spans="5:6" x14ac:dyDescent="0.25">
      <c r="E2049" s="124"/>
      <c r="F2049" s="124"/>
    </row>
    <row r="2050" spans="5:6" x14ac:dyDescent="0.25">
      <c r="E2050" s="124"/>
      <c r="F2050" s="124"/>
    </row>
    <row r="2051" spans="5:6" x14ac:dyDescent="0.25">
      <c r="E2051" s="124"/>
      <c r="F2051" s="124"/>
    </row>
    <row r="2052" spans="5:6" x14ac:dyDescent="0.25">
      <c r="E2052" s="124"/>
      <c r="F2052" s="124"/>
    </row>
    <row r="2053" spans="5:6" x14ac:dyDescent="0.25">
      <c r="E2053" s="124"/>
      <c r="F2053" s="124"/>
    </row>
    <row r="2054" spans="5:6" x14ac:dyDescent="0.25">
      <c r="E2054" s="124"/>
      <c r="F2054" s="124"/>
    </row>
    <row r="2055" spans="5:6" x14ac:dyDescent="0.25">
      <c r="E2055" s="124"/>
      <c r="F2055" s="124"/>
    </row>
    <row r="2056" spans="5:6" x14ac:dyDescent="0.25">
      <c r="E2056" s="124"/>
      <c r="F2056" s="124"/>
    </row>
    <row r="2057" spans="5:6" x14ac:dyDescent="0.25">
      <c r="E2057" s="124"/>
      <c r="F2057" s="124"/>
    </row>
    <row r="2058" spans="5:6" x14ac:dyDescent="0.25">
      <c r="E2058" s="124"/>
      <c r="F2058" s="124"/>
    </row>
    <row r="2059" spans="5:6" x14ac:dyDescent="0.25">
      <c r="E2059" s="124"/>
      <c r="F2059" s="124"/>
    </row>
    <row r="2060" spans="5:6" x14ac:dyDescent="0.25">
      <c r="E2060" s="124"/>
      <c r="F2060" s="124"/>
    </row>
    <row r="2061" spans="5:6" x14ac:dyDescent="0.25">
      <c r="E2061" s="124"/>
      <c r="F2061" s="124"/>
    </row>
    <row r="2062" spans="5:6" x14ac:dyDescent="0.25">
      <c r="E2062" s="124"/>
      <c r="F2062" s="124"/>
    </row>
    <row r="2063" spans="5:6" x14ac:dyDescent="0.25">
      <c r="E2063" s="124"/>
      <c r="F2063" s="124"/>
    </row>
    <row r="2064" spans="5:6" x14ac:dyDescent="0.25">
      <c r="E2064" s="124"/>
      <c r="F2064" s="124"/>
    </row>
    <row r="2065" spans="5:6" x14ac:dyDescent="0.25">
      <c r="E2065" s="124"/>
      <c r="F2065" s="124"/>
    </row>
    <row r="2066" spans="5:6" x14ac:dyDescent="0.25">
      <c r="E2066" s="124"/>
      <c r="F2066" s="124"/>
    </row>
    <row r="2067" spans="5:6" x14ac:dyDescent="0.25">
      <c r="E2067" s="124"/>
      <c r="F2067" s="124"/>
    </row>
    <row r="2068" spans="5:6" x14ac:dyDescent="0.25">
      <c r="E2068" s="124"/>
      <c r="F2068" s="124"/>
    </row>
    <row r="2069" spans="5:6" x14ac:dyDescent="0.25">
      <c r="E2069" s="124"/>
      <c r="F2069" s="124"/>
    </row>
    <row r="2070" spans="5:6" x14ac:dyDescent="0.25">
      <c r="E2070" s="124"/>
      <c r="F2070" s="124"/>
    </row>
    <row r="2071" spans="5:6" x14ac:dyDescent="0.25">
      <c r="E2071" s="124"/>
      <c r="F2071" s="124"/>
    </row>
    <row r="2072" spans="5:6" x14ac:dyDescent="0.25">
      <c r="E2072" s="124"/>
      <c r="F2072" s="124"/>
    </row>
    <row r="2073" spans="5:6" x14ac:dyDescent="0.25">
      <c r="E2073" s="124"/>
      <c r="F2073" s="124"/>
    </row>
    <row r="2074" spans="5:6" x14ac:dyDescent="0.25">
      <c r="E2074" s="124"/>
      <c r="F2074" s="124"/>
    </row>
    <row r="2075" spans="5:6" x14ac:dyDescent="0.25">
      <c r="E2075" s="124"/>
      <c r="F2075" s="124"/>
    </row>
    <row r="2076" spans="5:6" x14ac:dyDescent="0.25">
      <c r="E2076" s="124"/>
      <c r="F2076" s="124"/>
    </row>
    <row r="2077" spans="5:6" x14ac:dyDescent="0.25">
      <c r="E2077" s="124"/>
      <c r="F2077" s="124"/>
    </row>
    <row r="2078" spans="5:6" x14ac:dyDescent="0.25">
      <c r="E2078" s="124"/>
      <c r="F2078" s="124"/>
    </row>
    <row r="2079" spans="5:6" x14ac:dyDescent="0.25">
      <c r="E2079" s="124"/>
      <c r="F2079" s="124"/>
    </row>
    <row r="2080" spans="5:6" x14ac:dyDescent="0.25">
      <c r="E2080" s="124"/>
      <c r="F2080" s="124"/>
    </row>
    <row r="2081" spans="5:6" x14ac:dyDescent="0.25">
      <c r="E2081" s="124"/>
      <c r="F2081" s="124"/>
    </row>
    <row r="2082" spans="5:6" x14ac:dyDescent="0.25">
      <c r="E2082" s="124"/>
      <c r="F2082" s="124"/>
    </row>
    <row r="2083" spans="5:6" x14ac:dyDescent="0.25">
      <c r="E2083" s="124"/>
      <c r="F2083" s="124"/>
    </row>
    <row r="2084" spans="5:6" x14ac:dyDescent="0.25">
      <c r="E2084" s="124"/>
      <c r="F2084" s="124"/>
    </row>
    <row r="2085" spans="5:6" x14ac:dyDescent="0.25">
      <c r="E2085" s="124"/>
      <c r="F2085" s="124"/>
    </row>
    <row r="2086" spans="5:6" x14ac:dyDescent="0.25">
      <c r="E2086" s="124"/>
      <c r="F2086" s="124"/>
    </row>
    <row r="2087" spans="5:6" x14ac:dyDescent="0.25">
      <c r="E2087" s="124"/>
      <c r="F2087" s="124"/>
    </row>
    <row r="2088" spans="5:6" x14ac:dyDescent="0.25">
      <c r="E2088" s="124"/>
      <c r="F2088" s="124"/>
    </row>
    <row r="2089" spans="5:6" x14ac:dyDescent="0.25">
      <c r="E2089" s="124"/>
      <c r="F2089" s="124"/>
    </row>
    <row r="2090" spans="5:6" x14ac:dyDescent="0.25">
      <c r="E2090" s="124"/>
      <c r="F2090" s="124"/>
    </row>
    <row r="2091" spans="5:6" x14ac:dyDescent="0.25">
      <c r="E2091" s="124"/>
      <c r="F2091" s="124"/>
    </row>
    <row r="2092" spans="5:6" x14ac:dyDescent="0.25">
      <c r="E2092" s="124"/>
      <c r="F2092" s="124"/>
    </row>
    <row r="2093" spans="5:6" x14ac:dyDescent="0.25">
      <c r="E2093" s="124"/>
      <c r="F2093" s="124"/>
    </row>
    <row r="2094" spans="5:6" x14ac:dyDescent="0.25">
      <c r="E2094" s="124"/>
      <c r="F2094" s="124"/>
    </row>
    <row r="2095" spans="5:6" x14ac:dyDescent="0.25">
      <c r="E2095" s="124"/>
      <c r="F2095" s="124"/>
    </row>
    <row r="2096" spans="5:6" x14ac:dyDescent="0.25">
      <c r="E2096" s="124"/>
      <c r="F2096" s="124"/>
    </row>
    <row r="2097" spans="5:6" x14ac:dyDescent="0.25">
      <c r="E2097" s="124"/>
      <c r="F2097" s="124"/>
    </row>
    <row r="2098" spans="5:6" x14ac:dyDescent="0.25">
      <c r="E2098" s="124"/>
      <c r="F2098" s="124"/>
    </row>
    <row r="2099" spans="5:6" x14ac:dyDescent="0.25">
      <c r="E2099" s="124"/>
      <c r="F2099" s="124"/>
    </row>
    <row r="2100" spans="5:6" x14ac:dyDescent="0.25">
      <c r="E2100" s="124"/>
      <c r="F2100" s="124"/>
    </row>
    <row r="2101" spans="5:6" x14ac:dyDescent="0.25">
      <c r="E2101" s="124"/>
      <c r="F2101" s="124"/>
    </row>
    <row r="2102" spans="5:6" x14ac:dyDescent="0.25">
      <c r="E2102" s="124"/>
      <c r="F2102" s="124"/>
    </row>
    <row r="2103" spans="5:6" x14ac:dyDescent="0.25">
      <c r="E2103" s="124"/>
      <c r="F2103" s="124"/>
    </row>
    <row r="2104" spans="5:6" x14ac:dyDescent="0.25">
      <c r="E2104" s="124"/>
      <c r="F2104" s="124"/>
    </row>
    <row r="2105" spans="5:6" x14ac:dyDescent="0.25">
      <c r="E2105" s="124"/>
      <c r="F2105" s="124"/>
    </row>
    <row r="2106" spans="5:6" x14ac:dyDescent="0.25">
      <c r="E2106" s="124"/>
      <c r="F2106" s="124"/>
    </row>
    <row r="2107" spans="5:6" x14ac:dyDescent="0.25">
      <c r="E2107" s="124"/>
      <c r="F2107" s="124"/>
    </row>
    <row r="2108" spans="5:6" x14ac:dyDescent="0.25">
      <c r="E2108" s="124"/>
      <c r="F2108" s="124"/>
    </row>
    <row r="2109" spans="5:6" x14ac:dyDescent="0.25">
      <c r="E2109" s="124"/>
      <c r="F2109" s="124"/>
    </row>
    <row r="2110" spans="5:6" x14ac:dyDescent="0.25">
      <c r="E2110" s="124"/>
      <c r="F2110" s="124"/>
    </row>
    <row r="2111" spans="5:6" x14ac:dyDescent="0.25">
      <c r="E2111" s="124"/>
      <c r="F2111" s="124"/>
    </row>
    <row r="2112" spans="5:6" x14ac:dyDescent="0.25">
      <c r="E2112" s="124"/>
      <c r="F2112" s="124"/>
    </row>
    <row r="2113" spans="5:6" x14ac:dyDescent="0.25">
      <c r="E2113" s="124"/>
      <c r="F2113" s="124"/>
    </row>
    <row r="2114" spans="5:6" x14ac:dyDescent="0.25">
      <c r="E2114" s="124"/>
      <c r="F2114" s="124"/>
    </row>
    <row r="2115" spans="5:6" x14ac:dyDescent="0.25">
      <c r="E2115" s="124"/>
      <c r="F2115" s="124"/>
    </row>
    <row r="2116" spans="5:6" x14ac:dyDescent="0.25">
      <c r="E2116" s="124"/>
      <c r="F2116" s="124"/>
    </row>
    <row r="2117" spans="5:6" x14ac:dyDescent="0.25">
      <c r="E2117" s="124"/>
      <c r="F2117" s="124"/>
    </row>
    <row r="2118" spans="5:6" x14ac:dyDescent="0.25">
      <c r="E2118" s="124"/>
      <c r="F2118" s="124"/>
    </row>
    <row r="2119" spans="5:6" x14ac:dyDescent="0.25">
      <c r="E2119" s="124"/>
      <c r="F2119" s="124"/>
    </row>
    <row r="2120" spans="5:6" x14ac:dyDescent="0.25">
      <c r="E2120" s="124"/>
      <c r="F2120" s="124"/>
    </row>
    <row r="2121" spans="5:6" x14ac:dyDescent="0.25">
      <c r="E2121" s="124"/>
      <c r="F2121" s="124"/>
    </row>
    <row r="2122" spans="5:6" x14ac:dyDescent="0.25">
      <c r="E2122" s="124"/>
      <c r="F2122" s="124"/>
    </row>
    <row r="2123" spans="5:6" x14ac:dyDescent="0.25">
      <c r="E2123" s="124"/>
      <c r="F2123" s="124"/>
    </row>
    <row r="2124" spans="5:6" x14ac:dyDescent="0.25">
      <c r="E2124" s="124"/>
      <c r="F2124" s="124"/>
    </row>
    <row r="2125" spans="5:6" x14ac:dyDescent="0.25">
      <c r="E2125" s="124"/>
      <c r="F2125" s="124"/>
    </row>
    <row r="2126" spans="5:6" x14ac:dyDescent="0.25">
      <c r="E2126" s="124"/>
      <c r="F2126" s="124"/>
    </row>
    <row r="2127" spans="5:6" x14ac:dyDescent="0.25">
      <c r="E2127" s="124"/>
      <c r="F2127" s="124"/>
    </row>
    <row r="2128" spans="5:6" x14ac:dyDescent="0.25">
      <c r="E2128" s="124"/>
      <c r="F2128" s="124"/>
    </row>
    <row r="2129" spans="5:6" x14ac:dyDescent="0.25">
      <c r="E2129" s="124"/>
      <c r="F2129" s="124"/>
    </row>
    <row r="2130" spans="5:6" x14ac:dyDescent="0.25">
      <c r="E2130" s="124"/>
      <c r="F2130" s="124"/>
    </row>
    <row r="2131" spans="5:6" x14ac:dyDescent="0.25">
      <c r="E2131" s="124"/>
      <c r="F2131" s="124"/>
    </row>
    <row r="2132" spans="5:6" x14ac:dyDescent="0.25">
      <c r="E2132" s="124"/>
      <c r="F2132" s="124"/>
    </row>
    <row r="2133" spans="5:6" x14ac:dyDescent="0.25">
      <c r="E2133" s="124"/>
      <c r="F2133" s="124"/>
    </row>
    <row r="2134" spans="5:6" x14ac:dyDescent="0.25">
      <c r="E2134" s="124"/>
      <c r="F2134" s="124"/>
    </row>
    <row r="2135" spans="5:6" x14ac:dyDescent="0.25">
      <c r="E2135" s="124"/>
      <c r="F2135" s="124"/>
    </row>
    <row r="2136" spans="5:6" x14ac:dyDescent="0.25">
      <c r="E2136" s="124"/>
      <c r="F2136" s="124"/>
    </row>
    <row r="2137" spans="5:6" x14ac:dyDescent="0.25">
      <c r="E2137" s="124"/>
      <c r="F2137" s="124"/>
    </row>
    <row r="2138" spans="5:6" x14ac:dyDescent="0.25">
      <c r="E2138" s="124"/>
      <c r="F2138" s="124"/>
    </row>
    <row r="2139" spans="5:6" x14ac:dyDescent="0.25">
      <c r="E2139" s="124"/>
      <c r="F2139" s="124"/>
    </row>
  </sheetData>
  <phoneticPr fontId="30" type="noConversion"/>
  <conditionalFormatting sqref="B82:F916">
    <cfRule type="expression" dxfId="30" priority="12">
      <formula>$A82="SEM PROGRAMAÇÃO"</formula>
    </cfRule>
    <cfRule type="expression" dxfId="29" priority="13">
      <formula>$A82="PROGRAMADO"</formula>
    </cfRule>
    <cfRule type="expression" dxfId="28" priority="14">
      <formula>$A82="NO CLIENTE"</formula>
    </cfRule>
    <cfRule type="expression" dxfId="27" priority="15">
      <formula>$A82="ENTREGUE"</formula>
    </cfRule>
    <cfRule type="expression" dxfId="26" priority="16">
      <formula>$A82="FINALIZADO"</formula>
    </cfRule>
    <cfRule type="expression" dxfId="25" priority="17">
      <formula>$A82="DOCUMENTO"</formula>
    </cfRule>
    <cfRule type="expression" dxfId="24" priority="18">
      <formula>$A82="CANCELADO"</formula>
    </cfRule>
    <cfRule type="expression" dxfId="23" priority="19">
      <formula>$A82="ATRASADO"</formula>
    </cfRule>
    <cfRule type="expression" dxfId="22" priority="20">
      <formula>$A82="AGUARDANDO VEÍCULO"</formula>
    </cfRule>
  </conditionalFormatting>
  <conditionalFormatting sqref="K152:AD166">
    <cfRule type="expression" dxfId="21" priority="1">
      <formula>$B966="NO CLIENTE"</formula>
    </cfRule>
    <cfRule type="expression" dxfId="20" priority="2">
      <formula>$B966="SEM PROGRAMAÇÃO"</formula>
    </cfRule>
    <cfRule type="expression" dxfId="19" priority="3">
      <formula>$B966="PROGRAMADO"</formula>
    </cfRule>
    <cfRule type="expression" dxfId="18" priority="4">
      <formula>$B966="PRÉ-STACKING"</formula>
    </cfRule>
    <cfRule type="expression" dxfId="17" priority="5">
      <formula>$B966="FINALIZADO"</formula>
    </cfRule>
    <cfRule type="expression" dxfId="16" priority="6">
      <formula>$B966="ENTREGUE"</formula>
    </cfRule>
    <cfRule type="expression" dxfId="15" priority="7">
      <formula>$B966="EM TRÂNSITO TERMINAL"</formula>
    </cfRule>
    <cfRule type="expression" dxfId="14" priority="8">
      <formula>$B966="EM TRÂNSITO CLIENTE"</formula>
    </cfRule>
    <cfRule type="expression" dxfId="13" priority="9">
      <formula>$B966="CANCELADO"</formula>
    </cfRule>
    <cfRule type="expression" dxfId="12" priority="10">
      <formula>$B966="AGUARDANDO VEÍCULO"</formula>
    </cfRule>
  </conditionalFormatting>
  <conditionalFormatting sqref="O151">
    <cfRule type="duplicateValues" dxfId="11" priority="11"/>
  </conditionalFormatting>
  <dataValidations count="1">
    <dataValidation type="list" errorStyle="warning" allowBlank="1" showInputMessage="1" showErrorMessage="1" errorTitle="ERRO" error="Nome do Motorista Errado" promptTitle="Nome do Motorista" prompt="Insira o Nome do Motorista" sqref="X152:X166" xr:uid="{79171043-90FC-4E46-86E6-1CAC0A1A6531}">
      <formula1>$D$3:$D$82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2D25D-4569-42F5-A498-62BA60788E43}">
  <sheetPr codeName="Planilha7"/>
  <dimension ref="A1"/>
  <sheetViews>
    <sheetView showGridLines="0" showRowColHeaders="0" zoomScale="160" zoomScaleNormal="160" workbookViewId="0">
      <selection activeCell="P16" sqref="P16"/>
    </sheetView>
  </sheetViews>
  <sheetFormatPr defaultRowHeight="15" x14ac:dyDescent="0.25"/>
  <cols>
    <col min="1" max="1" width="0.5703125" customWidth="1"/>
    <col min="12" max="12" width="16.140625" customWidth="1"/>
    <col min="13" max="13" width="3" customWidth="1"/>
    <col min="14" max="14" width="11.7109375" customWidth="1"/>
    <col min="16" max="16" width="10.28515625" bestFit="1" customWidth="1"/>
    <col min="17" max="17" width="10.7109375" bestFit="1" customWidth="1"/>
    <col min="18" max="18" width="13.140625" bestFit="1" customWidth="1"/>
  </cols>
  <sheetData/>
  <pageMargins left="0.51181102362204722" right="0.51181102362204722" top="0.78740157480314965" bottom="0.78740157480314965" header="0.31496062992125984" footer="0.31496062992125984"/>
  <pageSetup paperSize="9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D6775-7653-4B63-914A-125535AB1BC7}">
  <sheetPr codeName="Planilha8"/>
  <dimension ref="A1:AC76"/>
  <sheetViews>
    <sheetView topLeftCell="H1" workbookViewId="0">
      <selection activeCell="K55" sqref="K55"/>
    </sheetView>
  </sheetViews>
  <sheetFormatPr defaultRowHeight="15" x14ac:dyDescent="0.25"/>
  <cols>
    <col min="1" max="1" width="20.7109375" bestFit="1" customWidth="1"/>
    <col min="2" max="2" width="10.7109375" customWidth="1"/>
    <col min="3" max="3" width="31.42578125" customWidth="1"/>
    <col min="4" max="4" width="21.7109375" bestFit="1" customWidth="1"/>
    <col min="5" max="5" width="22.140625" bestFit="1" customWidth="1"/>
    <col min="6" max="6" width="11" bestFit="1" customWidth="1"/>
    <col min="7" max="7" width="13.85546875" bestFit="1" customWidth="1"/>
    <col min="8" max="8" width="5.42578125" bestFit="1" customWidth="1"/>
    <col min="9" max="9" width="6" bestFit="1" customWidth="1"/>
    <col min="10" max="10" width="7" bestFit="1" customWidth="1"/>
    <col min="11" max="11" width="25.7109375" bestFit="1" customWidth="1"/>
    <col min="12" max="12" width="30" bestFit="1" customWidth="1"/>
    <col min="13" max="13" width="9.140625" bestFit="1" customWidth="1"/>
    <col min="14" max="14" width="9" bestFit="1" customWidth="1"/>
    <col min="15" max="15" width="29.7109375" bestFit="1" customWidth="1"/>
    <col min="18" max="18" width="69" customWidth="1"/>
    <col min="19" max="19" width="12.140625" bestFit="1" customWidth="1"/>
    <col min="20" max="20" width="9.42578125" bestFit="1" customWidth="1"/>
    <col min="21" max="21" width="11.28515625" bestFit="1" customWidth="1"/>
    <col min="22" max="22" width="4.28515625" bestFit="1" customWidth="1"/>
    <col min="23" max="23" width="6.5703125" bestFit="1" customWidth="1"/>
    <col min="24" max="24" width="8.5703125" bestFit="1" customWidth="1"/>
    <col min="25" max="25" width="9.7109375" bestFit="1" customWidth="1"/>
    <col min="26" max="26" width="5" bestFit="1" customWidth="1"/>
    <col min="27" max="28" width="7" bestFit="1" customWidth="1"/>
    <col min="29" max="29" width="28" bestFit="1" customWidth="1"/>
  </cols>
  <sheetData>
    <row r="1" spans="1:29" ht="17.25" x14ac:dyDescent="0.3">
      <c r="C1" s="333" t="s">
        <v>3489</v>
      </c>
      <c r="D1" s="333"/>
      <c r="E1" s="333"/>
      <c r="F1" s="333"/>
      <c r="G1" s="333"/>
      <c r="H1" s="333"/>
      <c r="I1" s="333"/>
      <c r="J1" s="333"/>
      <c r="K1" s="333"/>
      <c r="L1" s="333"/>
      <c r="M1" s="333"/>
      <c r="N1" s="333"/>
      <c r="T1" s="111"/>
    </row>
    <row r="2" spans="1:29" s="119" customFormat="1" ht="22.5" x14ac:dyDescent="0.25">
      <c r="A2" s="182" t="s">
        <v>3506</v>
      </c>
      <c r="C2" s="178" t="s">
        <v>3492</v>
      </c>
      <c r="D2" s="179" t="s">
        <v>218</v>
      </c>
      <c r="E2" s="180" t="s">
        <v>219</v>
      </c>
      <c r="F2" s="180" t="s">
        <v>3503</v>
      </c>
      <c r="G2" s="180" t="s">
        <v>222</v>
      </c>
      <c r="H2" s="181" t="s">
        <v>223</v>
      </c>
      <c r="I2" s="181" t="s">
        <v>226</v>
      </c>
      <c r="J2" s="181" t="s">
        <v>3490</v>
      </c>
      <c r="K2" s="181" t="s">
        <v>229</v>
      </c>
      <c r="L2" s="181" t="s">
        <v>3</v>
      </c>
      <c r="M2" s="181" t="s">
        <v>3504</v>
      </c>
      <c r="N2" s="181" t="s">
        <v>3505</v>
      </c>
      <c r="T2" s="332" t="s">
        <v>3489</v>
      </c>
      <c r="U2" s="332"/>
      <c r="V2" s="332"/>
      <c r="W2" s="332"/>
      <c r="X2" s="332"/>
      <c r="Y2" s="332"/>
      <c r="Z2" s="332"/>
      <c r="AA2" s="332"/>
      <c r="AB2" s="332"/>
      <c r="AC2" s="332"/>
    </row>
    <row r="3" spans="1:29" ht="17.25" customHeight="1" x14ac:dyDescent="0.25">
      <c r="A3" s="32">
        <v>69208477</v>
      </c>
      <c r="B3" s="32" t="s">
        <v>2909</v>
      </c>
      <c r="C3" s="110" t="s">
        <v>3493</v>
      </c>
      <c r="D3" s="118" t="str">
        <f>A27</f>
        <v>CLASSIC</v>
      </c>
      <c r="E3" s="118" t="str">
        <f>B27</f>
        <v>ALVAREZ MACHADO-SP</v>
      </c>
      <c r="F3" s="118" t="str">
        <f>D27</f>
        <v>23/0618756-7</v>
      </c>
      <c r="G3" s="110" t="str">
        <f>E27</f>
        <v>KKFU8016681</v>
      </c>
      <c r="H3" s="110" t="str">
        <f>F27</f>
        <v>40HC</v>
      </c>
      <c r="I3" s="110">
        <f>I27</f>
        <v>7093</v>
      </c>
      <c r="J3" s="110">
        <f>K27</f>
        <v>38773</v>
      </c>
      <c r="K3" s="110" t="str">
        <f>L27</f>
        <v>PALENA  2308S</v>
      </c>
      <c r="L3" s="110" t="str">
        <f>O27</f>
        <v>WILTON SILVA BARBOSA</v>
      </c>
      <c r="M3" s="110" t="str">
        <f>M27</f>
        <v>DDL8B54</v>
      </c>
      <c r="N3" s="110" t="str">
        <f>N27</f>
        <v>FEI4012</v>
      </c>
      <c r="T3" s="112" t="s">
        <v>3492</v>
      </c>
      <c r="U3" s="113" t="s">
        <v>2775</v>
      </c>
      <c r="V3" s="113" t="s">
        <v>2776</v>
      </c>
      <c r="W3" s="113" t="s">
        <v>2778</v>
      </c>
      <c r="X3" s="113" t="s">
        <v>2779</v>
      </c>
      <c r="Y3" s="113" t="s">
        <v>2780</v>
      </c>
      <c r="Z3" s="113" t="s">
        <v>3501</v>
      </c>
      <c r="AA3" s="113" t="s">
        <v>3491</v>
      </c>
      <c r="AB3" s="113" t="s">
        <v>2784</v>
      </c>
      <c r="AC3" s="113" t="s">
        <v>2785</v>
      </c>
    </row>
    <row r="4" spans="1:29" x14ac:dyDescent="0.25">
      <c r="A4" s="32" t="s">
        <v>2865</v>
      </c>
      <c r="B4" s="32" t="s">
        <v>3493</v>
      </c>
      <c r="C4" s="110" t="s">
        <v>4063</v>
      </c>
      <c r="D4" s="118" t="str">
        <f>A28</f>
        <v>UNIPAR</v>
      </c>
      <c r="E4" s="118" t="str">
        <f t="shared" ref="E4:E17" si="0">B28</f>
        <v>SANTO ANDRÉ-SP</v>
      </c>
      <c r="F4" s="118" t="str">
        <f t="shared" ref="F4:F17" si="1">D28</f>
        <v>P10407515</v>
      </c>
      <c r="G4" s="110" t="str">
        <f t="shared" ref="G4:G17" si="2">E28</f>
        <v>CRSU9187310</v>
      </c>
      <c r="H4" s="110" t="str">
        <f t="shared" ref="H4:H17" si="3">F28</f>
        <v>40HC</v>
      </c>
      <c r="I4" s="110">
        <f t="shared" ref="I4:I17" si="4">I28</f>
        <v>0</v>
      </c>
      <c r="J4" s="110">
        <f t="shared" ref="J4:K17" si="5">K28</f>
        <v>0</v>
      </c>
      <c r="K4" s="110" t="str">
        <f t="shared" si="5"/>
        <v>LOGIN POLARIS  0BCDJN1RCN</v>
      </c>
      <c r="L4" s="110" t="str">
        <f t="shared" ref="L4:L17" si="6">O28</f>
        <v>GILVAN LAURENTINO DA SILVA</v>
      </c>
      <c r="M4" s="110" t="str">
        <f t="shared" ref="M4:M17" si="7">M28</f>
        <v>FGD8G49</v>
      </c>
      <c r="N4" s="110" t="str">
        <f t="shared" ref="N4:N17" si="8">N28</f>
        <v>FUJ0D24</v>
      </c>
      <c r="T4" s="114" t="s">
        <v>3295</v>
      </c>
      <c r="U4" s="115" t="s">
        <v>3358</v>
      </c>
      <c r="V4" s="116">
        <v>40</v>
      </c>
      <c r="W4" s="116" t="s">
        <v>2887</v>
      </c>
      <c r="X4" s="116" t="s">
        <v>2831</v>
      </c>
      <c r="Y4" s="116" t="s">
        <v>3362</v>
      </c>
      <c r="Z4" s="116">
        <v>7659</v>
      </c>
      <c r="AA4" s="117" t="s">
        <v>68</v>
      </c>
      <c r="AB4" s="116" t="s">
        <v>36</v>
      </c>
      <c r="AC4" s="116" t="s">
        <v>69</v>
      </c>
    </row>
    <row r="5" spans="1:29" x14ac:dyDescent="0.25">
      <c r="A5" s="32" t="s">
        <v>2865</v>
      </c>
      <c r="B5" s="32" t="s">
        <v>3496</v>
      </c>
      <c r="C5" s="110" t="s">
        <v>3494</v>
      </c>
      <c r="D5" s="118" t="str">
        <f t="shared" ref="D5:D17" si="9">A29</f>
        <v>GTS</v>
      </c>
      <c r="E5" s="118" t="str">
        <f t="shared" si="0"/>
        <v>LAGES-SC</v>
      </c>
      <c r="F5" s="118" t="str">
        <f t="shared" si="1"/>
        <v>MDLRUS01044</v>
      </c>
      <c r="G5" s="110" t="str">
        <f t="shared" si="2"/>
        <v>TOMU4097785</v>
      </c>
      <c r="H5" s="110" t="str">
        <f t="shared" si="3"/>
        <v>40HC</v>
      </c>
      <c r="I5" s="110">
        <f t="shared" si="4"/>
        <v>0</v>
      </c>
      <c r="J5" s="110">
        <f t="shared" si="5"/>
        <v>0</v>
      </c>
      <c r="K5" s="110" t="str">
        <f t="shared" si="5"/>
        <v>HUANGHAI STRUGGLER  HGS1</v>
      </c>
      <c r="L5" s="110" t="str">
        <f t="shared" si="6"/>
        <v>WILSON FLAVIO ALVES DA SILVA</v>
      </c>
      <c r="M5" s="110" t="str">
        <f t="shared" si="7"/>
        <v>FRG7C59</v>
      </c>
      <c r="N5" s="110" t="str">
        <f t="shared" si="8"/>
        <v>EWJ4J85</v>
      </c>
      <c r="T5" s="114" t="s">
        <v>3295</v>
      </c>
      <c r="U5" s="115" t="s">
        <v>3359</v>
      </c>
      <c r="V5" s="116">
        <v>40</v>
      </c>
      <c r="W5" s="116" t="s">
        <v>2887</v>
      </c>
      <c r="X5" s="116" t="s">
        <v>2831</v>
      </c>
      <c r="Y5" s="116" t="s">
        <v>3363</v>
      </c>
      <c r="Z5" s="116">
        <v>7663</v>
      </c>
      <c r="AA5" s="117" t="s">
        <v>150</v>
      </c>
      <c r="AB5" s="116" t="s">
        <v>209</v>
      </c>
      <c r="AC5" s="116" t="s">
        <v>152</v>
      </c>
    </row>
    <row r="6" spans="1:29" x14ac:dyDescent="0.25">
      <c r="A6" s="32" t="s">
        <v>2865</v>
      </c>
      <c r="B6" s="32" t="s">
        <v>3497</v>
      </c>
      <c r="C6" s="110" t="s">
        <v>3495</v>
      </c>
      <c r="D6" s="118" t="str">
        <f t="shared" si="9"/>
        <v>GTS</v>
      </c>
      <c r="E6" s="118" t="str">
        <f t="shared" si="0"/>
        <v>LAGES-SC</v>
      </c>
      <c r="F6" s="118" t="str">
        <f t="shared" si="1"/>
        <v>MDLRUS01044</v>
      </c>
      <c r="G6" s="110" t="str">
        <f t="shared" si="2"/>
        <v>TOMU3158762</v>
      </c>
      <c r="H6" s="110" t="str">
        <f t="shared" si="3"/>
        <v>40HC</v>
      </c>
      <c r="I6" s="110">
        <f t="shared" si="4"/>
        <v>0</v>
      </c>
      <c r="J6" s="110">
        <f t="shared" si="5"/>
        <v>0</v>
      </c>
      <c r="K6" s="110" t="str">
        <f t="shared" si="5"/>
        <v>HUANGHAI STRUGGLER  HGS1</v>
      </c>
      <c r="L6" s="110" t="str">
        <f t="shared" si="6"/>
        <v>WILTON SILVA BARBOSA</v>
      </c>
      <c r="M6" s="110" t="str">
        <f t="shared" si="7"/>
        <v>DDL8B54</v>
      </c>
      <c r="N6" s="110" t="str">
        <f t="shared" si="8"/>
        <v>FEI4012</v>
      </c>
    </row>
    <row r="7" spans="1:29" x14ac:dyDescent="0.25">
      <c r="A7" s="32" t="s">
        <v>2865</v>
      </c>
      <c r="B7" s="32" t="s">
        <v>3498</v>
      </c>
      <c r="C7" s="110" t="s">
        <v>3495</v>
      </c>
      <c r="D7" s="118" t="str">
        <f t="shared" si="9"/>
        <v>DEXCO</v>
      </c>
      <c r="E7" s="118" t="str">
        <f t="shared" si="0"/>
        <v>ITAPETININGA-SP</v>
      </c>
      <c r="F7" s="118">
        <f t="shared" si="1"/>
        <v>224158076</v>
      </c>
      <c r="G7" s="110" t="str">
        <f t="shared" si="2"/>
        <v>MRKU3439768 </v>
      </c>
      <c r="H7" s="110" t="str">
        <f t="shared" si="3"/>
        <v>40HC</v>
      </c>
      <c r="I7" s="110">
        <f t="shared" si="4"/>
        <v>25685</v>
      </c>
      <c r="J7" s="110">
        <f t="shared" si="5"/>
        <v>658189</v>
      </c>
      <c r="K7" s="110" t="str">
        <f t="shared" si="5"/>
        <v>CAP SAN LORENZO  302N</v>
      </c>
      <c r="L7" s="110" t="str">
        <f t="shared" si="6"/>
        <v>FABIO DARIO RODRIGUES</v>
      </c>
      <c r="M7" s="110" t="str">
        <f t="shared" si="7"/>
        <v>FZF3E97</v>
      </c>
      <c r="N7" s="110" t="str">
        <f t="shared" si="8"/>
        <v>FXU8J10</v>
      </c>
    </row>
    <row r="8" spans="1:29" x14ac:dyDescent="0.25">
      <c r="A8" s="32">
        <v>224692771</v>
      </c>
      <c r="B8" s="32" t="s">
        <v>3295</v>
      </c>
      <c r="C8" s="110" t="s">
        <v>3495</v>
      </c>
      <c r="D8" s="118" t="str">
        <f t="shared" si="9"/>
        <v>DEXCO</v>
      </c>
      <c r="E8" s="118" t="str">
        <f t="shared" si="0"/>
        <v>ITAPETININGA-SP</v>
      </c>
      <c r="F8" s="118">
        <f t="shared" si="1"/>
        <v>224158076</v>
      </c>
      <c r="G8" s="110" t="str">
        <f t="shared" si="2"/>
        <v>MRKU3202800 </v>
      </c>
      <c r="H8" s="110" t="str">
        <f t="shared" si="3"/>
        <v>40HC</v>
      </c>
      <c r="I8" s="110">
        <f t="shared" si="4"/>
        <v>25685</v>
      </c>
      <c r="J8" s="110">
        <f t="shared" si="5"/>
        <v>658191</v>
      </c>
      <c r="K8" s="110" t="str">
        <f t="shared" si="5"/>
        <v>CAP SAN LORENZO  302N</v>
      </c>
      <c r="L8" s="110" t="str">
        <f t="shared" si="6"/>
        <v>JEFFERSON BATISTA ARISTIDES</v>
      </c>
      <c r="M8" s="110" t="str">
        <f t="shared" si="7"/>
        <v>GFL7E87</v>
      </c>
      <c r="N8" s="110" t="str">
        <f t="shared" si="8"/>
        <v>GIK5H08</v>
      </c>
    </row>
    <row r="9" spans="1:29" x14ac:dyDescent="0.25">
      <c r="A9" s="32">
        <v>224692771</v>
      </c>
      <c r="B9" s="32" t="s">
        <v>2771</v>
      </c>
      <c r="C9" s="110" t="s">
        <v>3495</v>
      </c>
      <c r="D9" s="118" t="str">
        <f t="shared" si="9"/>
        <v>DEXCO</v>
      </c>
      <c r="E9" s="118" t="str">
        <f t="shared" si="0"/>
        <v>ITAPETININGA-SP</v>
      </c>
      <c r="F9" s="118">
        <f t="shared" si="1"/>
        <v>224158076</v>
      </c>
      <c r="G9" s="110" t="str">
        <f t="shared" si="2"/>
        <v>HASU4789589 </v>
      </c>
      <c r="H9" s="110" t="str">
        <f t="shared" si="3"/>
        <v>40HC</v>
      </c>
      <c r="I9" s="110">
        <f t="shared" si="4"/>
        <v>25685</v>
      </c>
      <c r="J9" s="110">
        <f t="shared" si="5"/>
        <v>658181</v>
      </c>
      <c r="K9" s="110" t="str">
        <f t="shared" si="5"/>
        <v>CAP SAN LORENZO  302N</v>
      </c>
      <c r="L9" s="110" t="str">
        <f t="shared" si="6"/>
        <v>MARCO ANTONIO  LOBATO CASTILHO</v>
      </c>
      <c r="M9" s="110" t="str">
        <f t="shared" si="7"/>
        <v>FQE9I91</v>
      </c>
      <c r="N9" s="110" t="str">
        <f t="shared" si="8"/>
        <v>DPB9J85</v>
      </c>
    </row>
    <row r="10" spans="1:29" x14ac:dyDescent="0.25">
      <c r="A10" s="32">
        <v>224692771</v>
      </c>
      <c r="B10" s="32" t="s">
        <v>3499</v>
      </c>
      <c r="C10" s="110" t="s">
        <v>3495</v>
      </c>
      <c r="D10" s="118" t="str">
        <f t="shared" si="9"/>
        <v>DEXCO</v>
      </c>
      <c r="E10" s="118" t="str">
        <f t="shared" si="0"/>
        <v>ITAPETININGA-SP</v>
      </c>
      <c r="F10" s="118">
        <f t="shared" si="1"/>
        <v>224158076</v>
      </c>
      <c r="G10" s="110" t="str">
        <f t="shared" si="2"/>
        <v>TLLU5987418 </v>
      </c>
      <c r="H10" s="110" t="str">
        <f t="shared" si="3"/>
        <v>40HC</v>
      </c>
      <c r="I10" s="110">
        <f t="shared" si="4"/>
        <v>25685</v>
      </c>
      <c r="J10" s="110">
        <f t="shared" si="5"/>
        <v>658201</v>
      </c>
      <c r="K10" s="110" t="str">
        <f t="shared" si="5"/>
        <v>CAP SAN LORENZO  302N</v>
      </c>
      <c r="L10" s="110" t="str">
        <f t="shared" si="6"/>
        <v>ALMIR CARDOSO DOS SANTOS</v>
      </c>
      <c r="M10" s="110" t="str">
        <f t="shared" si="7"/>
        <v>DFT0E47</v>
      </c>
      <c r="N10" s="110" t="str">
        <f t="shared" si="8"/>
        <v>BVT0E67</v>
      </c>
    </row>
    <row r="11" spans="1:29" x14ac:dyDescent="0.25">
      <c r="A11" s="32">
        <v>224692771</v>
      </c>
      <c r="B11" s="32" t="s">
        <v>3500</v>
      </c>
      <c r="C11" s="110" t="s">
        <v>3495</v>
      </c>
      <c r="D11" s="118" t="str">
        <f t="shared" si="9"/>
        <v>DEXCO</v>
      </c>
      <c r="E11" s="118" t="str">
        <f t="shared" si="0"/>
        <v>ITAPETININGA-SP</v>
      </c>
      <c r="F11" s="118">
        <f t="shared" si="1"/>
        <v>224158076</v>
      </c>
      <c r="G11" s="110" t="str">
        <f t="shared" si="2"/>
        <v>TCKU6980726</v>
      </c>
      <c r="H11" s="110" t="str">
        <f t="shared" si="3"/>
        <v>40HC</v>
      </c>
      <c r="I11" s="110">
        <f t="shared" si="4"/>
        <v>25685</v>
      </c>
      <c r="J11" s="110">
        <f t="shared" si="5"/>
        <v>658231</v>
      </c>
      <c r="K11" s="110" t="str">
        <f t="shared" si="5"/>
        <v>CAP SAN LORENZO  302N</v>
      </c>
      <c r="L11" s="110" t="str">
        <f t="shared" si="6"/>
        <v>WILSON FLAVIO ALVES DA SILVA</v>
      </c>
      <c r="M11" s="110" t="str">
        <f t="shared" si="7"/>
        <v>FRG7C59</v>
      </c>
      <c r="N11" s="110" t="str">
        <f t="shared" si="8"/>
        <v>EWJ4J85</v>
      </c>
    </row>
    <row r="12" spans="1:29" x14ac:dyDescent="0.25">
      <c r="A12" s="32">
        <v>224692771</v>
      </c>
      <c r="B12" s="32"/>
      <c r="C12" s="110" t="s">
        <v>3495</v>
      </c>
      <c r="D12" s="118" t="str">
        <f t="shared" si="9"/>
        <v>ADIMAX</v>
      </c>
      <c r="E12" s="118" t="str">
        <f t="shared" si="0"/>
        <v>SALTO DE PIRAPORA-SP</v>
      </c>
      <c r="F12" s="118">
        <f t="shared" si="1"/>
        <v>60537112</v>
      </c>
      <c r="G12" s="110" t="str">
        <f t="shared" si="2"/>
        <v>FANU1864565</v>
      </c>
      <c r="H12" s="110" t="str">
        <f t="shared" si="3"/>
        <v>40HC</v>
      </c>
      <c r="I12" s="110">
        <f t="shared" si="4"/>
        <v>25223</v>
      </c>
      <c r="J12" s="110">
        <f t="shared" si="5"/>
        <v>1547133</v>
      </c>
      <c r="K12" s="110" t="str">
        <f t="shared" si="5"/>
        <v>NYK DIANA  2250N</v>
      </c>
      <c r="L12" s="110" t="str">
        <f t="shared" si="6"/>
        <v>WILTON SILVA BARBOSA</v>
      </c>
      <c r="M12" s="110" t="str">
        <f t="shared" si="7"/>
        <v>DDL8B54</v>
      </c>
      <c r="N12" s="110" t="str">
        <f t="shared" si="8"/>
        <v>FUR</v>
      </c>
    </row>
    <row r="13" spans="1:29" x14ac:dyDescent="0.25">
      <c r="A13" s="32" t="s">
        <v>2891</v>
      </c>
      <c r="B13" s="32"/>
      <c r="C13" s="110" t="s">
        <v>3495</v>
      </c>
      <c r="D13" s="118" t="str">
        <f t="shared" si="9"/>
        <v>YORK</v>
      </c>
      <c r="E13" s="118" t="str">
        <f t="shared" si="0"/>
        <v>SALTO-SP</v>
      </c>
      <c r="F13" s="118">
        <f t="shared" si="1"/>
        <v>68545946</v>
      </c>
      <c r="G13" s="110" t="str">
        <f t="shared" si="2"/>
        <v>WSCU8790931</v>
      </c>
      <c r="H13" s="110" t="str">
        <f t="shared" si="3"/>
        <v>40HC</v>
      </c>
      <c r="I13" s="110">
        <f t="shared" si="4"/>
        <v>3786</v>
      </c>
      <c r="J13" s="110">
        <f t="shared" si="5"/>
        <v>192796</v>
      </c>
      <c r="K13" s="110" t="str">
        <f t="shared" si="5"/>
        <v>MAIPO  2303N</v>
      </c>
      <c r="L13" s="110" t="str">
        <f t="shared" si="6"/>
        <v>JEFFERSON BATISTA ARISTIDES</v>
      </c>
      <c r="M13" s="110" t="str">
        <f t="shared" si="7"/>
        <v>GFL7E87</v>
      </c>
      <c r="N13" s="110" t="str">
        <f t="shared" si="8"/>
        <v>GIK5H08</v>
      </c>
    </row>
    <row r="14" spans="1:29" x14ac:dyDescent="0.25">
      <c r="A14" s="32" t="s">
        <v>2891</v>
      </c>
      <c r="B14" s="32"/>
      <c r="C14" s="110" t="s">
        <v>3495</v>
      </c>
      <c r="D14" s="118" t="str">
        <f t="shared" si="9"/>
        <v>ADIMAX</v>
      </c>
      <c r="E14" s="118" t="str">
        <f t="shared" si="0"/>
        <v>SALTO DE PIRAPORA-SP</v>
      </c>
      <c r="F14" s="118">
        <f t="shared" si="1"/>
        <v>225147054</v>
      </c>
      <c r="G14" s="110" t="str">
        <f t="shared" si="2"/>
        <v>TCNU2744033</v>
      </c>
      <c r="H14" s="110" t="str">
        <f t="shared" si="3"/>
        <v>40HC</v>
      </c>
      <c r="I14" s="110">
        <f t="shared" si="4"/>
        <v>24671</v>
      </c>
      <c r="J14" s="110">
        <f t="shared" si="5"/>
        <v>1575245</v>
      </c>
      <c r="K14" s="110" t="str">
        <f t="shared" si="5"/>
        <v>MONTE ACONCAGUA  309N</v>
      </c>
      <c r="L14" s="110" t="str">
        <f t="shared" si="6"/>
        <v>ALMIR CARDOSO DOS SANTOS</v>
      </c>
      <c r="M14" s="110" t="str">
        <f t="shared" si="7"/>
        <v>DFT0E47</v>
      </c>
      <c r="N14" s="110" t="str">
        <f t="shared" si="8"/>
        <v>BVT0E67</v>
      </c>
    </row>
    <row r="15" spans="1:29" x14ac:dyDescent="0.25">
      <c r="A15" s="32"/>
      <c r="B15" s="32"/>
      <c r="C15" s="110" t="s">
        <v>3495</v>
      </c>
      <c r="D15" s="118" t="str">
        <f t="shared" si="9"/>
        <v>SELMI</v>
      </c>
      <c r="E15" s="118" t="str">
        <f t="shared" si="0"/>
        <v>SUMARÉ-SP</v>
      </c>
      <c r="F15" s="118" t="str">
        <f t="shared" si="1"/>
        <v>SSZ1347691</v>
      </c>
      <c r="G15" s="110" t="str">
        <f t="shared" si="2"/>
        <v>CMAU5547150</v>
      </c>
      <c r="H15" s="110" t="str">
        <f t="shared" si="3"/>
        <v>40HC</v>
      </c>
      <c r="I15" s="110">
        <f t="shared" si="4"/>
        <v>21117</v>
      </c>
      <c r="J15" s="110">
        <f t="shared" si="5"/>
        <v>833885</v>
      </c>
      <c r="K15" s="110" t="str">
        <f t="shared" si="5"/>
        <v>CMA CGM SAN FRANCISCO  0GBE5N1MA</v>
      </c>
      <c r="L15" s="110" t="str">
        <f t="shared" si="6"/>
        <v>WILTON SILVA BARBOSA</v>
      </c>
      <c r="M15" s="110" t="str">
        <f t="shared" si="7"/>
        <v>DDL8B54</v>
      </c>
      <c r="N15" s="110" t="str">
        <f t="shared" si="8"/>
        <v>FEI4012</v>
      </c>
    </row>
    <row r="16" spans="1:29" x14ac:dyDescent="0.25">
      <c r="A16" s="32"/>
      <c r="B16" s="32"/>
      <c r="C16" s="110" t="s">
        <v>3495</v>
      </c>
      <c r="D16" s="118" t="str">
        <f t="shared" si="9"/>
        <v>SELMI</v>
      </c>
      <c r="E16" s="118" t="str">
        <f t="shared" si="0"/>
        <v>SUMARÉ-SP</v>
      </c>
      <c r="F16" s="118" t="str">
        <f t="shared" si="1"/>
        <v>SSZ1347691</v>
      </c>
      <c r="G16" s="110" t="str">
        <f t="shared" si="2"/>
        <v>CARU9948010</v>
      </c>
      <c r="H16" s="110" t="str">
        <f t="shared" si="3"/>
        <v>40HC</v>
      </c>
      <c r="I16" s="110">
        <f t="shared" si="4"/>
        <v>23464</v>
      </c>
      <c r="J16" s="110">
        <f t="shared" si="5"/>
        <v>833827</v>
      </c>
      <c r="K16" s="110" t="str">
        <f t="shared" si="5"/>
        <v>CMA CGM SAN FRANCISCO  0GBE5N1MA</v>
      </c>
      <c r="L16" s="110" t="str">
        <f t="shared" si="6"/>
        <v>EMERSON PEREIRA DA SILVA</v>
      </c>
      <c r="M16" s="110" t="str">
        <f t="shared" si="7"/>
        <v>FSI0I03</v>
      </c>
      <c r="N16" s="110" t="str">
        <f t="shared" si="8"/>
        <v>DPB9G64</v>
      </c>
    </row>
    <row r="17" spans="1:15" x14ac:dyDescent="0.25">
      <c r="A17" s="32"/>
      <c r="B17" s="32"/>
      <c r="C17" s="110" t="s">
        <v>3495</v>
      </c>
      <c r="D17" s="118" t="str">
        <f t="shared" si="9"/>
        <v>SZR</v>
      </c>
      <c r="E17" s="118" t="str">
        <f t="shared" si="0"/>
        <v>QUINTANA-SP</v>
      </c>
      <c r="F17" s="118" t="str">
        <f t="shared" si="1"/>
        <v>1KT816978</v>
      </c>
      <c r="G17" s="110" t="str">
        <f t="shared" si="2"/>
        <v>MSKU3085481</v>
      </c>
      <c r="H17" s="110" t="str">
        <f t="shared" si="3"/>
        <v>20DC</v>
      </c>
      <c r="I17" s="110">
        <f t="shared" si="4"/>
        <v>0</v>
      </c>
      <c r="J17" s="110">
        <f t="shared" si="5"/>
        <v>0</v>
      </c>
      <c r="K17" s="110" t="str">
        <f t="shared" si="5"/>
        <v>CAP SAN MALEAS 308N</v>
      </c>
      <c r="L17" s="110" t="str">
        <f t="shared" si="6"/>
        <v>WILTON SILVA BARBOSA</v>
      </c>
      <c r="M17" s="110" t="str">
        <f t="shared" si="7"/>
        <v>DDL8B54</v>
      </c>
      <c r="N17" s="110" t="str">
        <f t="shared" si="8"/>
        <v>BXA0I63</v>
      </c>
    </row>
    <row r="26" spans="1:15" ht="26.25" thickBot="1" x14ac:dyDescent="0.3">
      <c r="A26" s="196" t="s">
        <v>218</v>
      </c>
      <c r="B26" s="196" t="s">
        <v>219</v>
      </c>
      <c r="C26" s="196" t="s">
        <v>220</v>
      </c>
      <c r="D26" s="196" t="s">
        <v>221</v>
      </c>
      <c r="E26" s="196" t="s">
        <v>222</v>
      </c>
      <c r="F26" s="196" t="s">
        <v>223</v>
      </c>
      <c r="G26" s="196" t="s">
        <v>224</v>
      </c>
      <c r="H26" s="196" t="s">
        <v>225</v>
      </c>
      <c r="I26" s="196" t="s">
        <v>226</v>
      </c>
      <c r="J26" s="196" t="s">
        <v>227</v>
      </c>
      <c r="K26" s="196" t="s">
        <v>228</v>
      </c>
      <c r="L26" s="196" t="s">
        <v>229</v>
      </c>
      <c r="M26" s="197" t="s">
        <v>1</v>
      </c>
      <c r="N26" s="197" t="s">
        <v>2</v>
      </c>
      <c r="O26" s="195" t="s">
        <v>3</v>
      </c>
    </row>
    <row r="27" spans="1:15" ht="15.75" thickTop="1" x14ac:dyDescent="0.25">
      <c r="A27" s="121" t="s">
        <v>4087</v>
      </c>
      <c r="B27" s="121" t="s">
        <v>4096</v>
      </c>
      <c r="C27" s="121" t="s">
        <v>4095</v>
      </c>
      <c r="D27" s="120" t="s">
        <v>4088</v>
      </c>
      <c r="E27" s="120" t="s">
        <v>4089</v>
      </c>
      <c r="F27" s="121" t="s">
        <v>301</v>
      </c>
      <c r="G27" s="121">
        <v>3830</v>
      </c>
      <c r="H27" s="121" t="s">
        <v>4097</v>
      </c>
      <c r="I27" s="121">
        <v>7093</v>
      </c>
      <c r="J27" s="121">
        <v>10923</v>
      </c>
      <c r="K27" s="120">
        <v>38773</v>
      </c>
      <c r="L27" s="121" t="s">
        <v>4090</v>
      </c>
      <c r="M27" s="121" t="s">
        <v>210</v>
      </c>
      <c r="N27" s="121" t="s">
        <v>211</v>
      </c>
      <c r="O27" s="121" t="s">
        <v>212</v>
      </c>
    </row>
    <row r="28" spans="1:15" x14ac:dyDescent="0.25">
      <c r="A28" s="123" t="s">
        <v>1110</v>
      </c>
      <c r="B28" s="123" t="s">
        <v>1111</v>
      </c>
      <c r="C28" s="123" t="s">
        <v>4047</v>
      </c>
      <c r="D28" s="122" t="s">
        <v>4046</v>
      </c>
      <c r="E28" s="122" t="s">
        <v>4058</v>
      </c>
      <c r="F28" s="123" t="s">
        <v>301</v>
      </c>
      <c r="G28" s="123">
        <v>3900</v>
      </c>
      <c r="H28" s="123" t="s">
        <v>4057</v>
      </c>
      <c r="I28" s="123"/>
      <c r="J28" s="123">
        <v>3900</v>
      </c>
      <c r="K28" s="122"/>
      <c r="L28" s="123" t="s">
        <v>4033</v>
      </c>
      <c r="M28" s="123" t="s">
        <v>68</v>
      </c>
      <c r="N28" s="123" t="s">
        <v>36</v>
      </c>
      <c r="O28" s="123" t="s">
        <v>69</v>
      </c>
    </row>
    <row r="29" spans="1:15" x14ac:dyDescent="0.25">
      <c r="A29" s="121" t="s">
        <v>3876</v>
      </c>
      <c r="B29" s="121" t="s">
        <v>3875</v>
      </c>
      <c r="C29" s="121"/>
      <c r="D29" s="120" t="s">
        <v>3874</v>
      </c>
      <c r="E29" s="120" t="s">
        <v>3914</v>
      </c>
      <c r="F29" s="121" t="s">
        <v>301</v>
      </c>
      <c r="G29" s="121">
        <v>3700</v>
      </c>
      <c r="H29" s="121" t="s">
        <v>3915</v>
      </c>
      <c r="I29" s="121"/>
      <c r="J29" s="121">
        <v>3700</v>
      </c>
      <c r="K29" s="120"/>
      <c r="L29" s="121" t="s">
        <v>3878</v>
      </c>
      <c r="M29" s="121" t="s">
        <v>72</v>
      </c>
      <c r="N29" s="121" t="s">
        <v>73</v>
      </c>
      <c r="O29" s="121" t="s">
        <v>203</v>
      </c>
    </row>
    <row r="30" spans="1:15" x14ac:dyDescent="0.25">
      <c r="A30" s="123" t="s">
        <v>3876</v>
      </c>
      <c r="B30" s="123" t="s">
        <v>3875</v>
      </c>
      <c r="C30" s="123"/>
      <c r="D30" s="122" t="s">
        <v>3874</v>
      </c>
      <c r="E30" s="122" t="s">
        <v>3912</v>
      </c>
      <c r="F30" s="123" t="s">
        <v>301</v>
      </c>
      <c r="G30" s="123">
        <v>3750</v>
      </c>
      <c r="H30" s="123" t="s">
        <v>3913</v>
      </c>
      <c r="I30" s="123"/>
      <c r="J30" s="123">
        <v>3750</v>
      </c>
      <c r="K30" s="122"/>
      <c r="L30" s="123" t="s">
        <v>3878</v>
      </c>
      <c r="M30" s="123" t="s">
        <v>210</v>
      </c>
      <c r="N30" s="123" t="s">
        <v>211</v>
      </c>
      <c r="O30" s="123" t="s">
        <v>212</v>
      </c>
    </row>
    <row r="31" spans="1:15" x14ac:dyDescent="0.25">
      <c r="A31" s="121" t="s">
        <v>353</v>
      </c>
      <c r="B31" s="121" t="s">
        <v>354</v>
      </c>
      <c r="C31" s="121">
        <v>8166397</v>
      </c>
      <c r="D31" s="120">
        <v>224158076</v>
      </c>
      <c r="E31" s="120" t="s">
        <v>3389</v>
      </c>
      <c r="F31" s="121" t="s">
        <v>301</v>
      </c>
      <c r="G31" s="121">
        <v>3880</v>
      </c>
      <c r="H31" s="121" t="s">
        <v>3390</v>
      </c>
      <c r="I31" s="121">
        <v>25685</v>
      </c>
      <c r="J31" s="121">
        <v>29565</v>
      </c>
      <c r="K31" s="120">
        <v>658189</v>
      </c>
      <c r="L31" s="121" t="s">
        <v>3399</v>
      </c>
      <c r="M31" s="121" t="s">
        <v>92</v>
      </c>
      <c r="N31" s="121" t="s">
        <v>93</v>
      </c>
      <c r="O31" s="121" t="s">
        <v>94</v>
      </c>
    </row>
    <row r="32" spans="1:15" x14ac:dyDescent="0.25">
      <c r="A32" s="123" t="s">
        <v>353</v>
      </c>
      <c r="B32" s="123" t="s">
        <v>354</v>
      </c>
      <c r="C32" s="123">
        <v>8166397</v>
      </c>
      <c r="D32" s="122">
        <v>224158076</v>
      </c>
      <c r="E32" s="122" t="s">
        <v>3391</v>
      </c>
      <c r="F32" s="123" t="s">
        <v>301</v>
      </c>
      <c r="G32" s="123">
        <v>3790</v>
      </c>
      <c r="H32" s="123" t="s">
        <v>3392</v>
      </c>
      <c r="I32" s="123">
        <v>25685</v>
      </c>
      <c r="J32" s="123">
        <v>29475</v>
      </c>
      <c r="K32" s="122">
        <v>658191</v>
      </c>
      <c r="L32" s="123" t="s">
        <v>3399</v>
      </c>
      <c r="M32" s="123" t="s">
        <v>106</v>
      </c>
      <c r="N32" s="123" t="s">
        <v>107</v>
      </c>
      <c r="O32" s="123" t="s">
        <v>108</v>
      </c>
    </row>
    <row r="33" spans="1:15" x14ac:dyDescent="0.25">
      <c r="A33" s="121" t="s">
        <v>353</v>
      </c>
      <c r="B33" s="121" t="s">
        <v>354</v>
      </c>
      <c r="C33" s="121">
        <v>8166397</v>
      </c>
      <c r="D33" s="120">
        <v>224158076</v>
      </c>
      <c r="E33" s="120" t="s">
        <v>3393</v>
      </c>
      <c r="F33" s="121" t="s">
        <v>301</v>
      </c>
      <c r="G33" s="121">
        <v>3860</v>
      </c>
      <c r="H33" s="121" t="s">
        <v>3394</v>
      </c>
      <c r="I33" s="121">
        <v>25685</v>
      </c>
      <c r="J33" s="121">
        <v>29545</v>
      </c>
      <c r="K33" s="120">
        <v>658181</v>
      </c>
      <c r="L33" s="121" t="s">
        <v>3399</v>
      </c>
      <c r="M33" s="121" t="s">
        <v>150</v>
      </c>
      <c r="N33" s="121" t="s">
        <v>151</v>
      </c>
      <c r="O33" s="121" t="s">
        <v>3400</v>
      </c>
    </row>
    <row r="34" spans="1:15" x14ac:dyDescent="0.25">
      <c r="A34" s="123" t="s">
        <v>353</v>
      </c>
      <c r="B34" s="123" t="s">
        <v>354</v>
      </c>
      <c r="C34" s="123">
        <v>8166397</v>
      </c>
      <c r="D34" s="122">
        <v>224158076</v>
      </c>
      <c r="E34" s="122" t="s">
        <v>3395</v>
      </c>
      <c r="F34" s="123" t="s">
        <v>301</v>
      </c>
      <c r="G34" s="123">
        <v>3700</v>
      </c>
      <c r="H34" s="123" t="s">
        <v>3396</v>
      </c>
      <c r="I34" s="123">
        <v>25685</v>
      </c>
      <c r="J34" s="123">
        <v>29385</v>
      </c>
      <c r="K34" s="122">
        <v>658201</v>
      </c>
      <c r="L34" s="123" t="s">
        <v>3399</v>
      </c>
      <c r="M34" s="123" t="s">
        <v>31</v>
      </c>
      <c r="N34" s="123" t="s">
        <v>32</v>
      </c>
      <c r="O34" s="123" t="s">
        <v>33</v>
      </c>
    </row>
    <row r="35" spans="1:15" x14ac:dyDescent="0.25">
      <c r="A35" s="121" t="s">
        <v>353</v>
      </c>
      <c r="B35" s="121" t="s">
        <v>354</v>
      </c>
      <c r="C35" s="121">
        <v>8166397</v>
      </c>
      <c r="D35" s="120">
        <v>224158076</v>
      </c>
      <c r="E35" s="120" t="s">
        <v>3397</v>
      </c>
      <c r="F35" s="121" t="s">
        <v>301</v>
      </c>
      <c r="G35" s="121">
        <v>3700</v>
      </c>
      <c r="H35" s="121" t="s">
        <v>3398</v>
      </c>
      <c r="I35" s="121">
        <v>25685</v>
      </c>
      <c r="J35" s="121">
        <v>29385</v>
      </c>
      <c r="K35" s="120">
        <v>658231</v>
      </c>
      <c r="L35" s="121" t="s">
        <v>3399</v>
      </c>
      <c r="M35" s="121" t="s">
        <v>72</v>
      </c>
      <c r="N35" s="121" t="s">
        <v>73</v>
      </c>
      <c r="O35" s="121" t="s">
        <v>203</v>
      </c>
    </row>
    <row r="36" spans="1:15" x14ac:dyDescent="0.25">
      <c r="A36" s="123" t="s">
        <v>2059</v>
      </c>
      <c r="B36" s="123" t="s">
        <v>2060</v>
      </c>
      <c r="C36" s="123" t="s">
        <v>3306</v>
      </c>
      <c r="D36" s="122">
        <v>60537112</v>
      </c>
      <c r="E36" s="122" t="s">
        <v>3307</v>
      </c>
      <c r="F36" s="123" t="s">
        <v>301</v>
      </c>
      <c r="G36" s="123">
        <v>3680</v>
      </c>
      <c r="H36" s="123" t="s">
        <v>3308</v>
      </c>
      <c r="I36" s="123">
        <v>25223</v>
      </c>
      <c r="J36" s="123">
        <v>28903</v>
      </c>
      <c r="K36" s="122">
        <v>1547133</v>
      </c>
      <c r="L36" s="123" t="s">
        <v>3309</v>
      </c>
      <c r="M36" s="123" t="s">
        <v>210</v>
      </c>
      <c r="N36" s="123" t="s">
        <v>3310</v>
      </c>
      <c r="O36" s="123" t="s">
        <v>212</v>
      </c>
    </row>
    <row r="37" spans="1:15" x14ac:dyDescent="0.25">
      <c r="A37" s="121" t="s">
        <v>3559</v>
      </c>
      <c r="B37" s="121" t="s">
        <v>3560</v>
      </c>
      <c r="C37" s="121" t="s">
        <v>3568</v>
      </c>
      <c r="D37" s="120">
        <v>68545946</v>
      </c>
      <c r="E37" s="120" t="s">
        <v>3570</v>
      </c>
      <c r="F37" s="121" t="s">
        <v>301</v>
      </c>
      <c r="G37" s="121">
        <v>3930</v>
      </c>
      <c r="H37" s="121" t="s">
        <v>3578</v>
      </c>
      <c r="I37" s="121">
        <v>3786</v>
      </c>
      <c r="J37" s="121">
        <f>SUM(Prog_23[[#This Row],[TARA]]+Prog_23[[#This Row],[PESO]])</f>
        <v>28888</v>
      </c>
      <c r="K37" s="120">
        <v>192796</v>
      </c>
      <c r="L37" s="121" t="s">
        <v>3569</v>
      </c>
      <c r="M37" s="121" t="s">
        <v>106</v>
      </c>
      <c r="N37" s="121" t="s">
        <v>107</v>
      </c>
      <c r="O37" s="121" t="s">
        <v>108</v>
      </c>
    </row>
    <row r="38" spans="1:15" x14ac:dyDescent="0.25">
      <c r="A38" s="123" t="s">
        <v>2059</v>
      </c>
      <c r="B38" s="123" t="s">
        <v>2060</v>
      </c>
      <c r="C38" s="123" t="s">
        <v>3581</v>
      </c>
      <c r="D38" s="122">
        <v>225147054</v>
      </c>
      <c r="E38" s="122" t="s">
        <v>3616</v>
      </c>
      <c r="F38" s="123" t="s">
        <v>301</v>
      </c>
      <c r="G38" s="123">
        <v>3700</v>
      </c>
      <c r="H38" s="123" t="s">
        <v>3617</v>
      </c>
      <c r="I38" s="123">
        <v>24671</v>
      </c>
      <c r="J38" s="123">
        <f>SUM(Prog_23[[#This Row],[TARA]]+Prog_23[[#This Row],[PESO]])</f>
        <v>29675</v>
      </c>
      <c r="K38" s="122">
        <v>1575245</v>
      </c>
      <c r="L38" s="123" t="s">
        <v>3580</v>
      </c>
      <c r="M38" s="123" t="s">
        <v>31</v>
      </c>
      <c r="N38" s="123" t="s">
        <v>32</v>
      </c>
      <c r="O38" s="123" t="s">
        <v>33</v>
      </c>
    </row>
    <row r="39" spans="1:15" x14ac:dyDescent="0.25">
      <c r="A39" s="121" t="s">
        <v>297</v>
      </c>
      <c r="B39" s="121" t="s">
        <v>298</v>
      </c>
      <c r="C39" s="121" t="s">
        <v>3601</v>
      </c>
      <c r="D39" s="120" t="s">
        <v>3599</v>
      </c>
      <c r="E39" s="120" t="s">
        <v>3630</v>
      </c>
      <c r="F39" s="121" t="s">
        <v>301</v>
      </c>
      <c r="G39" s="121">
        <v>3860</v>
      </c>
      <c r="H39" s="121" t="s">
        <v>3631</v>
      </c>
      <c r="I39" s="121">
        <v>21117</v>
      </c>
      <c r="J39" s="121">
        <f>SUM(Prog_23[[#This Row],[TARA]]+Prog_23[[#This Row],[PESO]])</f>
        <v>29525</v>
      </c>
      <c r="K39" s="120">
        <v>833885</v>
      </c>
      <c r="L39" s="121" t="s">
        <v>3598</v>
      </c>
      <c r="M39" s="121" t="s">
        <v>210</v>
      </c>
      <c r="N39" s="121" t="s">
        <v>211</v>
      </c>
      <c r="O39" s="121" t="s">
        <v>212</v>
      </c>
    </row>
    <row r="40" spans="1:15" x14ac:dyDescent="0.25">
      <c r="A40" s="123" t="s">
        <v>297</v>
      </c>
      <c r="B40" s="123" t="s">
        <v>298</v>
      </c>
      <c r="C40" s="123" t="s">
        <v>3600</v>
      </c>
      <c r="D40" s="122" t="s">
        <v>3599</v>
      </c>
      <c r="E40" s="122" t="s">
        <v>3628</v>
      </c>
      <c r="F40" s="123" t="s">
        <v>301</v>
      </c>
      <c r="G40" s="123">
        <v>3840</v>
      </c>
      <c r="H40" s="123" t="s">
        <v>3629</v>
      </c>
      <c r="I40" s="123">
        <v>23464</v>
      </c>
      <c r="J40" s="123">
        <f>SUM(Prog_23[[#This Row],[TARA]]+Prog_23[[#This Row],[PESO]])</f>
        <v>29565</v>
      </c>
      <c r="K40" s="122">
        <v>833827</v>
      </c>
      <c r="L40" s="123" t="s">
        <v>3598</v>
      </c>
      <c r="M40" s="123" t="s">
        <v>155</v>
      </c>
      <c r="N40" s="123" t="s">
        <v>209</v>
      </c>
      <c r="O40" s="123" t="s">
        <v>156</v>
      </c>
    </row>
    <row r="41" spans="1:15" x14ac:dyDescent="0.25">
      <c r="A41" s="121" t="s">
        <v>3457</v>
      </c>
      <c r="B41" s="121" t="s">
        <v>3458</v>
      </c>
      <c r="C41" s="121" t="s">
        <v>3615</v>
      </c>
      <c r="D41" s="120" t="s">
        <v>3595</v>
      </c>
      <c r="E41" s="120" t="s">
        <v>3641</v>
      </c>
      <c r="F41" s="121" t="s">
        <v>288</v>
      </c>
      <c r="G41" s="121">
        <v>2300</v>
      </c>
      <c r="H41" s="121" t="s">
        <v>3642</v>
      </c>
      <c r="I41" s="121"/>
      <c r="J41" s="121">
        <f>SUM(Prog_23[[#This Row],[TARA]]+Prog_23[[#This Row],[PESO]])</f>
        <v>29475</v>
      </c>
      <c r="K41" s="120"/>
      <c r="L41" s="121" t="s">
        <v>3596</v>
      </c>
      <c r="M41" s="121" t="s">
        <v>210</v>
      </c>
      <c r="N41" s="121" t="s">
        <v>3246</v>
      </c>
      <c r="O41" s="121" t="s">
        <v>212</v>
      </c>
    </row>
    <row r="54" spans="11:12" x14ac:dyDescent="0.25">
      <c r="K54" s="131">
        <v>0.05</v>
      </c>
    </row>
    <row r="55" spans="11:12" x14ac:dyDescent="0.25">
      <c r="K55">
        <v>1100</v>
      </c>
      <c r="L55" s="131"/>
    </row>
    <row r="56" spans="11:12" x14ac:dyDescent="0.25">
      <c r="K56">
        <v>1500</v>
      </c>
      <c r="L56">
        <f>K55/K54</f>
        <v>22000</v>
      </c>
    </row>
    <row r="69" spans="18:19" ht="15.75" x14ac:dyDescent="0.25">
      <c r="R69" s="274" t="s">
        <v>5680</v>
      </c>
      <c r="S69" s="274" t="s">
        <v>5681</v>
      </c>
    </row>
    <row r="70" spans="18:19" ht="15.75" x14ac:dyDescent="0.25">
      <c r="R70" s="275" t="s">
        <v>5682</v>
      </c>
      <c r="S70" s="276">
        <v>1E-3</v>
      </c>
    </row>
    <row r="71" spans="18:19" x14ac:dyDescent="0.25">
      <c r="R71" s="277" t="s">
        <v>5683</v>
      </c>
      <c r="S71" s="278">
        <v>65</v>
      </c>
    </row>
    <row r="72" spans="18:19" ht="15.75" x14ac:dyDescent="0.25">
      <c r="R72" s="275" t="s">
        <v>5684</v>
      </c>
      <c r="S72" s="279">
        <v>65</v>
      </c>
    </row>
    <row r="73" spans="18:19" ht="15.75" x14ac:dyDescent="0.25">
      <c r="R73" s="280" t="s">
        <v>5685</v>
      </c>
      <c r="S73" s="281">
        <v>1698.2</v>
      </c>
    </row>
    <row r="74" spans="18:19" ht="15.75" x14ac:dyDescent="0.25">
      <c r="R74" s="275" t="s">
        <v>5686</v>
      </c>
      <c r="S74" s="279">
        <v>400</v>
      </c>
    </row>
    <row r="75" spans="18:19" ht="15.75" x14ac:dyDescent="0.25">
      <c r="R75" s="275" t="s">
        <v>5687</v>
      </c>
      <c r="S75" s="281">
        <v>350</v>
      </c>
    </row>
    <row r="76" spans="18:19" ht="15.75" x14ac:dyDescent="0.25">
      <c r="R76" s="275" t="s">
        <v>5688</v>
      </c>
      <c r="S76" s="279">
        <v>350</v>
      </c>
    </row>
  </sheetData>
  <mergeCells count="2">
    <mergeCell ref="T2:AC2"/>
    <mergeCell ref="C1:N1"/>
  </mergeCells>
  <conditionalFormatting sqref="A27:O41">
    <cfRule type="expression" dxfId="10" priority="1">
      <formula>$A27="NO CLIENTE"</formula>
    </cfRule>
    <cfRule type="expression" dxfId="9" priority="2">
      <formula>$A27="SEM PROGRAMAÇÃO"</formula>
    </cfRule>
    <cfRule type="expression" dxfId="8" priority="3">
      <formula>$A27="PROGRAMADO"</formula>
    </cfRule>
    <cfRule type="expression" dxfId="7" priority="4">
      <formula>$A27="PRÉ-STACKING"</formula>
    </cfRule>
    <cfRule type="expression" dxfId="6" priority="5">
      <formula>$A27="FINALIZADO"</formula>
    </cfRule>
    <cfRule type="expression" dxfId="5" priority="6">
      <formula>$A27="ENTREGUE"</formula>
    </cfRule>
    <cfRule type="expression" dxfId="4" priority="7">
      <formula>$A27="EM TRÂNSITO TERMINAL"</formula>
    </cfRule>
    <cfRule type="expression" dxfId="3" priority="8">
      <formula>$A27="EM TRÂNSITO CLIENTE"</formula>
    </cfRule>
    <cfRule type="expression" dxfId="2" priority="9">
      <formula>$A27="CANCELADO"</formula>
    </cfRule>
    <cfRule type="expression" dxfId="1" priority="10">
      <formula>$A27="AGUARDANDO VEÍCULO"</formula>
    </cfRule>
  </conditionalFormatting>
  <conditionalFormatting sqref="E26">
    <cfRule type="duplicateValues" dxfId="0" priority="21"/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errorStyle="warning" allowBlank="1" showInputMessage="1" showErrorMessage="1" errorTitle="ERRO" error="Nome do Motorista Errado" promptTitle="Nome do Motorista" prompt="Insira o Nome do Motorista" xr:uid="{420C6DCA-FFBA-4281-AE54-9D688E5B7BA1}">
          <x14:formula1>
            <xm:f>MOTORISTAS!$D$3:$D$82</xm:f>
          </x14:formula1>
          <xm:sqref>O36:O41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9102-304A-4E51-BA29-6BC7BCE4C8D7}">
  <sheetPr codeName="Planilha6"/>
  <dimension ref="A2:AJ54"/>
  <sheetViews>
    <sheetView workbookViewId="0">
      <selection activeCell="B2" sqref="B2"/>
    </sheetView>
  </sheetViews>
  <sheetFormatPr defaultRowHeight="15" x14ac:dyDescent="0.25"/>
  <cols>
    <col min="1" max="1" width="24.42578125" bestFit="1" customWidth="1"/>
    <col min="2" max="2" width="24" bestFit="1" customWidth="1"/>
    <col min="3" max="8" width="3" customWidth="1"/>
    <col min="9" max="10" width="24" bestFit="1" customWidth="1"/>
    <col min="11" max="14" width="2.28515625" customWidth="1"/>
    <col min="15" max="15" width="29" customWidth="1"/>
    <col min="16" max="16" width="4" bestFit="1" customWidth="1"/>
    <col min="17" max="18" width="5.5703125" bestFit="1" customWidth="1"/>
    <col min="20" max="20" width="3" bestFit="1" customWidth="1"/>
    <col min="22" max="22" width="147.42578125" bestFit="1" customWidth="1"/>
    <col min="23" max="23" width="19" customWidth="1"/>
    <col min="24" max="24" width="24" style="32" bestFit="1" customWidth="1"/>
    <col min="25" max="25" width="21.85546875" style="32" bestFit="1" customWidth="1"/>
    <col min="26" max="26" width="20.7109375" bestFit="1" customWidth="1"/>
    <col min="27" max="27" width="20.85546875" bestFit="1" customWidth="1"/>
    <col min="28" max="28" width="20.42578125" bestFit="1" customWidth="1"/>
    <col min="29" max="29" width="10.7109375" bestFit="1" customWidth="1"/>
    <col min="32" max="32" width="8.85546875" customWidth="1"/>
    <col min="33" max="33" width="20.7109375" bestFit="1" customWidth="1"/>
    <col min="34" max="34" width="24" bestFit="1" customWidth="1"/>
    <col min="35" max="35" width="10.28515625" customWidth="1"/>
    <col min="36" max="36" width="8.7109375" bestFit="1" customWidth="1"/>
    <col min="37" max="37" width="6.5703125" bestFit="1" customWidth="1"/>
    <col min="38" max="38" width="10.7109375" bestFit="1" customWidth="1"/>
  </cols>
  <sheetData>
    <row r="2" spans="1:34" x14ac:dyDescent="0.25">
      <c r="A2" s="94" t="s">
        <v>3479</v>
      </c>
      <c r="B2" s="99"/>
      <c r="I2" s="94" t="s">
        <v>3480</v>
      </c>
      <c r="J2" s="99"/>
      <c r="O2" s="103" t="s">
        <v>3483</v>
      </c>
      <c r="P2" s="102"/>
      <c r="Q2" s="102"/>
      <c r="R2" s="102"/>
      <c r="S2" s="102"/>
      <c r="T2" s="102"/>
      <c r="U2" s="102"/>
    </row>
    <row r="3" spans="1:34" x14ac:dyDescent="0.25">
      <c r="A3" s="89" t="s">
        <v>3284</v>
      </c>
      <c r="B3" t="s">
        <v>3287</v>
      </c>
      <c r="I3" s="96" t="s">
        <v>3481</v>
      </c>
      <c r="J3" s="97"/>
      <c r="V3" t="s">
        <v>3478</v>
      </c>
      <c r="X3"/>
      <c r="Y3"/>
    </row>
    <row r="4" spans="1:34" x14ac:dyDescent="0.25">
      <c r="A4" s="90" t="s">
        <v>3296</v>
      </c>
      <c r="B4">
        <v>2</v>
      </c>
      <c r="I4" s="94" t="s">
        <v>3482</v>
      </c>
      <c r="J4" s="99"/>
      <c r="O4" s="105" t="s">
        <v>3291</v>
      </c>
      <c r="P4" s="32">
        <f>IFERROR(VLOOKUP(O4,$I$5:$J$10,2,0),"0")</f>
        <v>1</v>
      </c>
      <c r="Q4" s="109">
        <f>SUM(P4:P5)</f>
        <v>42</v>
      </c>
      <c r="R4" s="107"/>
      <c r="V4" s="93" t="s">
        <v>3479</v>
      </c>
      <c r="W4" s="93"/>
      <c r="X4" s="129"/>
      <c r="Y4" s="129"/>
      <c r="Z4" s="94"/>
      <c r="AA4" s="94"/>
      <c r="AB4" s="94"/>
    </row>
    <row r="5" spans="1:34" x14ac:dyDescent="0.25">
      <c r="A5" s="90" t="s">
        <v>2798</v>
      </c>
      <c r="B5">
        <v>4</v>
      </c>
      <c r="I5" s="89" t="s">
        <v>3284</v>
      </c>
      <c r="J5" t="s">
        <v>3287</v>
      </c>
      <c r="O5" s="105" t="s">
        <v>3292</v>
      </c>
      <c r="P5" s="32">
        <f>IFERROR(VLOOKUP(O5,$I$5:$J$10,2,0),"0")</f>
        <v>41</v>
      </c>
      <c r="Q5" s="107">
        <f>Q4/P8</f>
        <v>5.0970873786407765E-2</v>
      </c>
      <c r="R5" s="107">
        <f>1-Q5</f>
        <v>0.94902912621359226</v>
      </c>
      <c r="V5" s="93" t="s">
        <v>3480</v>
      </c>
      <c r="W5" s="93"/>
      <c r="X5" s="130" t="s">
        <v>3287</v>
      </c>
      <c r="Y5" s="130" t="s">
        <v>3590</v>
      </c>
      <c r="Z5" s="32"/>
      <c r="AA5" s="32"/>
      <c r="AB5" s="32"/>
      <c r="AG5" s="130" t="s">
        <v>3284</v>
      </c>
      <c r="AH5" s="32" t="s">
        <v>3287</v>
      </c>
    </row>
    <row r="6" spans="1:34" x14ac:dyDescent="0.25">
      <c r="A6" s="90" t="s">
        <v>3295</v>
      </c>
      <c r="B6">
        <v>7</v>
      </c>
      <c r="I6" s="90" t="s">
        <v>3291</v>
      </c>
      <c r="J6">
        <v>1</v>
      </c>
      <c r="O6" s="105" t="s">
        <v>3293</v>
      </c>
      <c r="P6" s="32">
        <f>IFERROR(VLOOKUP(O6,$I$5:$J$10,2,0),"0")</f>
        <v>166</v>
      </c>
      <c r="Q6" s="107">
        <f>P6/P8</f>
        <v>0.20145631067961164</v>
      </c>
      <c r="R6" s="107">
        <f>1-Q6</f>
        <v>0.79854368932038833</v>
      </c>
      <c r="V6" s="93" t="s">
        <v>3481</v>
      </c>
      <c r="W6" s="93"/>
      <c r="X6" s="130" t="s">
        <v>3284</v>
      </c>
      <c r="Y6" s="32" t="s">
        <v>3291</v>
      </c>
      <c r="Z6" s="32" t="s">
        <v>3292</v>
      </c>
      <c r="AA6" s="32" t="s">
        <v>3293</v>
      </c>
      <c r="AB6" s="32" t="s">
        <v>3294</v>
      </c>
      <c r="AG6" s="32" t="s">
        <v>3291</v>
      </c>
      <c r="AH6" s="32">
        <v>1</v>
      </c>
    </row>
    <row r="7" spans="1:34" x14ac:dyDescent="0.25">
      <c r="A7" s="90" t="s">
        <v>2771</v>
      </c>
      <c r="B7">
        <v>783</v>
      </c>
      <c r="I7" s="90" t="s">
        <v>3292</v>
      </c>
      <c r="J7">
        <v>41</v>
      </c>
      <c r="O7" s="105" t="s">
        <v>3294</v>
      </c>
      <c r="P7" s="32">
        <f>IFERROR(VLOOKUP(O7,$I$5:$J$10,2,0),"0")</f>
        <v>616</v>
      </c>
      <c r="Q7" s="107">
        <f>P7/P8</f>
        <v>0.74757281553398058</v>
      </c>
      <c r="R7" s="107">
        <f>1-Q7</f>
        <v>0.25242718446601942</v>
      </c>
      <c r="V7" s="93" t="s">
        <v>3482</v>
      </c>
      <c r="W7" s="93"/>
      <c r="X7" s="32" t="s">
        <v>2826</v>
      </c>
      <c r="Y7" s="136">
        <v>1.2135922330097086E-3</v>
      </c>
      <c r="Z7" s="136">
        <v>3.8834951456310676E-2</v>
      </c>
      <c r="AA7" s="136">
        <v>0.16626213592233011</v>
      </c>
      <c r="AB7" s="136">
        <v>0.41262135922330095</v>
      </c>
      <c r="AG7" s="32" t="s">
        <v>3292</v>
      </c>
      <c r="AH7" s="32">
        <v>41</v>
      </c>
    </row>
    <row r="8" spans="1:34" x14ac:dyDescent="0.25">
      <c r="A8" s="90" t="s">
        <v>2909</v>
      </c>
      <c r="B8">
        <v>10</v>
      </c>
      <c r="I8" s="90" t="s">
        <v>3293</v>
      </c>
      <c r="J8">
        <v>166</v>
      </c>
      <c r="O8" s="92" t="s">
        <v>253</v>
      </c>
      <c r="P8" s="32">
        <f>SUM(P4:P7)</f>
        <v>824</v>
      </c>
      <c r="Q8" s="184">
        <f>SUM(Q5:Q7)</f>
        <v>1</v>
      </c>
      <c r="R8" s="32"/>
      <c r="V8" s="93" t="s">
        <v>3483</v>
      </c>
      <c r="W8" s="93"/>
      <c r="X8" s="32" t="s">
        <v>2808</v>
      </c>
      <c r="Y8" s="136">
        <v>0</v>
      </c>
      <c r="Z8" s="136">
        <v>0</v>
      </c>
      <c r="AA8" s="136">
        <v>1.0922330097087379E-2</v>
      </c>
      <c r="AB8" s="136">
        <v>2.6699029126213591E-2</v>
      </c>
      <c r="AG8" s="32" t="s">
        <v>3293</v>
      </c>
      <c r="AH8" s="32">
        <v>166</v>
      </c>
    </row>
    <row r="9" spans="1:34" x14ac:dyDescent="0.25">
      <c r="A9" s="90" t="s">
        <v>5940</v>
      </c>
      <c r="B9">
        <v>7</v>
      </c>
      <c r="I9" s="90" t="s">
        <v>3294</v>
      </c>
      <c r="J9">
        <v>616</v>
      </c>
      <c r="V9" s="93" t="s">
        <v>3484</v>
      </c>
      <c r="W9" s="93"/>
      <c r="X9" s="32" t="s">
        <v>2837</v>
      </c>
      <c r="Y9" s="136">
        <v>0</v>
      </c>
      <c r="Z9" s="136">
        <v>1.2135922330097086E-3</v>
      </c>
      <c r="AA9" s="136">
        <v>7.2815533980582527E-3</v>
      </c>
      <c r="AB9" s="136">
        <v>4.9757281553398057E-2</v>
      </c>
      <c r="AG9" s="32" t="s">
        <v>3294</v>
      </c>
      <c r="AH9" s="32">
        <v>616</v>
      </c>
    </row>
    <row r="10" spans="1:34" x14ac:dyDescent="0.25">
      <c r="A10" s="90" t="s">
        <v>5938</v>
      </c>
      <c r="B10">
        <v>1</v>
      </c>
      <c r="I10" s="90" t="s">
        <v>3286</v>
      </c>
      <c r="J10">
        <v>824</v>
      </c>
      <c r="V10" s="93" t="s">
        <v>3485</v>
      </c>
      <c r="W10" s="93"/>
      <c r="X10" s="32" t="s">
        <v>2820</v>
      </c>
      <c r="Y10" s="136">
        <v>0</v>
      </c>
      <c r="Z10" s="136">
        <v>7.2815533980582527E-3</v>
      </c>
      <c r="AA10" s="136">
        <v>1.6990291262135922E-2</v>
      </c>
      <c r="AB10" s="136">
        <v>0.25849514563106796</v>
      </c>
      <c r="AG10" s="32" t="s">
        <v>3286</v>
      </c>
      <c r="AH10" s="32">
        <v>824</v>
      </c>
    </row>
    <row r="11" spans="1:34" x14ac:dyDescent="0.25">
      <c r="A11" s="90" t="s">
        <v>3288</v>
      </c>
      <c r="B11">
        <v>10</v>
      </c>
      <c r="X11" s="32" t="s">
        <v>5925</v>
      </c>
      <c r="Y11" s="136">
        <v>0</v>
      </c>
      <c r="Z11" s="136">
        <v>2.4271844660194173E-3</v>
      </c>
      <c r="AA11" s="136">
        <v>0</v>
      </c>
      <c r="AB11" s="136">
        <v>0</v>
      </c>
    </row>
    <row r="12" spans="1:34" x14ac:dyDescent="0.25">
      <c r="A12" s="90" t="s">
        <v>3286</v>
      </c>
      <c r="B12">
        <v>824</v>
      </c>
      <c r="X12"/>
      <c r="Y12"/>
    </row>
    <row r="13" spans="1:34" x14ac:dyDescent="0.25">
      <c r="O13" s="101" t="s">
        <v>3479</v>
      </c>
      <c r="P13" s="102"/>
      <c r="V13" t="s">
        <v>3486</v>
      </c>
      <c r="X13"/>
      <c r="Y13"/>
    </row>
    <row r="14" spans="1:34" x14ac:dyDescent="0.25">
      <c r="O14" s="105" t="s">
        <v>3288</v>
      </c>
      <c r="P14" s="32" t="str">
        <f t="shared" ref="P14:P19" si="0">IFERROR(VLOOKUP(O14,$A$3:$B$10,2,0),"0")</f>
        <v>0</v>
      </c>
      <c r="Q14" s="107">
        <f>P14/P20</f>
        <v>0</v>
      </c>
      <c r="R14" s="108">
        <f t="shared" ref="R14:R19" si="1">1-Q14</f>
        <v>1</v>
      </c>
      <c r="X14"/>
      <c r="Y14"/>
    </row>
    <row r="15" spans="1:34" x14ac:dyDescent="0.25">
      <c r="O15" s="105" t="s">
        <v>2909</v>
      </c>
      <c r="P15" s="32">
        <f t="shared" si="0"/>
        <v>10</v>
      </c>
      <c r="Q15" s="107">
        <f>P15/P20</f>
        <v>1.2406947890818859E-2</v>
      </c>
      <c r="R15" s="108">
        <f t="shared" si="1"/>
        <v>0.98759305210918114</v>
      </c>
      <c r="V15" t="s">
        <v>3470</v>
      </c>
      <c r="X15"/>
      <c r="Y15"/>
    </row>
    <row r="16" spans="1:34" x14ac:dyDescent="0.25">
      <c r="O16" s="105" t="s">
        <v>2771</v>
      </c>
      <c r="P16" s="32">
        <f t="shared" si="0"/>
        <v>783</v>
      </c>
      <c r="Q16" s="107">
        <f>P16/P20</f>
        <v>0.97146401985111663</v>
      </c>
      <c r="R16" s="108">
        <f t="shared" si="1"/>
        <v>2.8535980148883366E-2</v>
      </c>
      <c r="V16" t="s">
        <v>3471</v>
      </c>
      <c r="X16"/>
      <c r="Y16"/>
      <c r="Z16" s="132"/>
      <c r="AA16" s="132"/>
    </row>
    <row r="17" spans="1:36" x14ac:dyDescent="0.25">
      <c r="O17" s="105" t="s">
        <v>2798</v>
      </c>
      <c r="P17" s="32">
        <f t="shared" si="0"/>
        <v>4</v>
      </c>
      <c r="Q17" s="107">
        <f>P17/P20</f>
        <v>4.9627791563275434E-3</v>
      </c>
      <c r="R17" s="108">
        <f t="shared" si="1"/>
        <v>0.99503722084367241</v>
      </c>
      <c r="V17" t="s">
        <v>3487</v>
      </c>
      <c r="X17"/>
      <c r="Y17"/>
      <c r="Z17" s="132"/>
      <c r="AA17" s="132"/>
    </row>
    <row r="18" spans="1:36" x14ac:dyDescent="0.25">
      <c r="O18" s="105" t="s">
        <v>3295</v>
      </c>
      <c r="P18" s="32">
        <f t="shared" si="0"/>
        <v>7</v>
      </c>
      <c r="Q18" s="107">
        <f>P18/P20</f>
        <v>8.6848635235732014E-3</v>
      </c>
      <c r="R18" s="108">
        <f t="shared" si="1"/>
        <v>0.99131513647642677</v>
      </c>
      <c r="V18" t="s">
        <v>3472</v>
      </c>
      <c r="X18"/>
      <c r="Y18"/>
      <c r="Z18" s="132"/>
      <c r="AA18" s="132"/>
    </row>
    <row r="19" spans="1:36" x14ac:dyDescent="0.25">
      <c r="O19" s="106" t="s">
        <v>3296</v>
      </c>
      <c r="P19" s="32">
        <f t="shared" si="0"/>
        <v>2</v>
      </c>
      <c r="Q19" s="107">
        <f>P19/P20</f>
        <v>2.4813895781637717E-3</v>
      </c>
      <c r="R19" s="108">
        <f t="shared" si="1"/>
        <v>0.9975186104218362</v>
      </c>
      <c r="V19" t="s">
        <v>3473</v>
      </c>
      <c r="X19"/>
      <c r="Y19"/>
      <c r="Z19" s="132"/>
      <c r="AA19" s="132"/>
    </row>
    <row r="20" spans="1:36" x14ac:dyDescent="0.25">
      <c r="O20" s="104" t="s">
        <v>253</v>
      </c>
      <c r="P20" s="82">
        <f>SUM(P14:P19)</f>
        <v>806</v>
      </c>
      <c r="Q20" s="32"/>
      <c r="X20" s="82"/>
      <c r="Y20" s="82"/>
    </row>
    <row r="21" spans="1:36" x14ac:dyDescent="0.25">
      <c r="V21" t="s">
        <v>3474</v>
      </c>
    </row>
    <row r="24" spans="1:36" x14ac:dyDescent="0.25">
      <c r="T24">
        <v>10</v>
      </c>
      <c r="V24" t="s">
        <v>3475</v>
      </c>
    </row>
    <row r="25" spans="1:36" x14ac:dyDescent="0.25">
      <c r="A25" s="98" t="s">
        <v>3484</v>
      </c>
      <c r="B25" s="100"/>
      <c r="I25" s="95" t="s">
        <v>3485</v>
      </c>
      <c r="J25" s="95"/>
      <c r="V25" t="s">
        <v>3476</v>
      </c>
    </row>
    <row r="26" spans="1:36" x14ac:dyDescent="0.25">
      <c r="A26" s="89" t="s">
        <v>3284</v>
      </c>
      <c r="B26" t="s">
        <v>3287</v>
      </c>
      <c r="I26" s="89" t="s">
        <v>3284</v>
      </c>
      <c r="J26" t="s">
        <v>3287</v>
      </c>
      <c r="V26" t="s">
        <v>3477</v>
      </c>
    </row>
    <row r="27" spans="1:36" x14ac:dyDescent="0.25">
      <c r="A27" s="90" t="s">
        <v>3285</v>
      </c>
      <c r="B27">
        <v>749</v>
      </c>
      <c r="I27" s="90" t="s">
        <v>2771</v>
      </c>
      <c r="J27">
        <v>783</v>
      </c>
    </row>
    <row r="28" spans="1:36" x14ac:dyDescent="0.25">
      <c r="A28" s="90" t="s">
        <v>3346</v>
      </c>
      <c r="B28">
        <v>29</v>
      </c>
      <c r="I28" s="90" t="s">
        <v>3288</v>
      </c>
      <c r="J28">
        <v>10</v>
      </c>
    </row>
    <row r="29" spans="1:36" x14ac:dyDescent="0.25">
      <c r="A29" s="90" t="s">
        <v>2785</v>
      </c>
      <c r="B29">
        <v>18</v>
      </c>
      <c r="I29" s="90" t="s">
        <v>2909</v>
      </c>
      <c r="J29">
        <v>10</v>
      </c>
    </row>
    <row r="30" spans="1:36" x14ac:dyDescent="0.25">
      <c r="A30" s="90" t="s">
        <v>3347</v>
      </c>
      <c r="B30">
        <v>10</v>
      </c>
      <c r="I30" s="90" t="s">
        <v>5940</v>
      </c>
      <c r="J30">
        <v>7</v>
      </c>
    </row>
    <row r="31" spans="1:36" x14ac:dyDescent="0.25">
      <c r="A31" s="90" t="s">
        <v>3643</v>
      </c>
      <c r="B31">
        <v>9</v>
      </c>
      <c r="I31" s="90" t="s">
        <v>3295</v>
      </c>
      <c r="J31">
        <v>7</v>
      </c>
      <c r="Y31" s="134" t="s">
        <v>3291</v>
      </c>
      <c r="Z31" s="135" t="s">
        <v>3292</v>
      </c>
      <c r="AA31" s="135" t="s">
        <v>3293</v>
      </c>
      <c r="AB31" s="135" t="s">
        <v>3294</v>
      </c>
    </row>
    <row r="32" spans="1:36" x14ac:dyDescent="0.25">
      <c r="A32" s="90" t="s">
        <v>3602</v>
      </c>
      <c r="B32">
        <v>8</v>
      </c>
      <c r="I32" s="90" t="s">
        <v>2798</v>
      </c>
      <c r="J32">
        <v>4</v>
      </c>
      <c r="X32" s="134" t="s">
        <v>2826</v>
      </c>
      <c r="Y32" s="107" cm="1">
        <f t="array" ref="Y32">IFERROR(_xlfn.XLOOKUP(X32,X7:X10,_xlfn.XLOOKUP(Y31,Y6:AB6,Y7:AB10,"0"),"0"),"0")</f>
        <v>1.2135922330097086E-3</v>
      </c>
      <c r="Z32" s="107" cm="1">
        <f t="array" ref="Z32">IFERROR(_xlfn.XLOOKUP(X32,X7:X10,_xlfn.XLOOKUP(Z31,Y6:AB6,Y7:AB10,"0"),"0"),"0")</f>
        <v>3.8834951456310676E-2</v>
      </c>
      <c r="AA32" s="107" cm="1">
        <f t="array" ref="AA32">IFERROR(_xlfn.XLOOKUP(X32,X7:X10,_xlfn.XLOOKUP(AA31,Y6:AB6,Y7:AB10,"0"),"0"),"0")</f>
        <v>0.16626213592233011</v>
      </c>
      <c r="AB32" s="107" cm="1">
        <f t="array" ref="AB32">IFERROR(_xlfn.XLOOKUP(X32,X7:X10,_xlfn.XLOOKUP(AB31,Y6:AB6,Y7:AB10,"0"),"0"),"0")</f>
        <v>0.41262135922330095</v>
      </c>
      <c r="AG32" s="134" t="s">
        <v>3291</v>
      </c>
      <c r="AH32" s="32">
        <f>IFERROR(VLOOKUP(AG32,$AG$5:$AH$10,2,0),"")</f>
        <v>1</v>
      </c>
      <c r="AI32" s="131">
        <f>IFERROR(AH32/AH36,"")</f>
        <v>1.2135922330097086E-3</v>
      </c>
      <c r="AJ32" s="131">
        <f>IFERROR(1-AI32,"")</f>
        <v>0.99878640776699024</v>
      </c>
    </row>
    <row r="33" spans="1:36" x14ac:dyDescent="0.25">
      <c r="A33" s="90" t="s">
        <v>4980</v>
      </c>
      <c r="B33">
        <v>1</v>
      </c>
      <c r="I33" s="90" t="s">
        <v>3296</v>
      </c>
      <c r="J33">
        <v>2</v>
      </c>
      <c r="X33" s="134" t="s">
        <v>2808</v>
      </c>
      <c r="Y33" s="107" cm="1">
        <f t="array" ref="Y33">IFERROR(_xlfn.XLOOKUP(X33,X7:X10,_xlfn.XLOOKUP(Y31,Y6:AB6,Y7:AB10,"0"),"0"),"0")</f>
        <v>0</v>
      </c>
      <c r="Z33" s="107" cm="1">
        <f t="array" ref="Z33">IFERROR(_xlfn.XLOOKUP(X33,X7:X10,_xlfn.XLOOKUP(Z31,Y6:AB6,Y7:AB10,"0"),"0"),"0")</f>
        <v>0</v>
      </c>
      <c r="AA33" s="107" cm="1">
        <f t="array" ref="AA33">IFERROR(_xlfn.XLOOKUP(X33,X7:X10,_xlfn.XLOOKUP(AA31,Y6:AB6,Y7:AB10,"0"),"0"),"0")</f>
        <v>1.0922330097087379E-2</v>
      </c>
      <c r="AB33" s="107" cm="1">
        <f t="array" ref="AB33">IFERROR(_xlfn.XLOOKUP(X33,X7:X10,_xlfn.XLOOKUP(AB31,Y6:AB6,Y7:AB10,"0"),"0"),"0")</f>
        <v>2.6699029126213591E-2</v>
      </c>
      <c r="AG33" s="134" t="s">
        <v>3292</v>
      </c>
      <c r="AH33" s="32">
        <f>IFERROR(VLOOKUP(AG33,AG5:AH10,2,0),"")</f>
        <v>41</v>
      </c>
      <c r="AI33" s="131">
        <f>IFERROR(AH33/AH36,"")</f>
        <v>4.9757281553398057E-2</v>
      </c>
      <c r="AJ33" s="131">
        <f>IFERROR(1-AI33,"")</f>
        <v>0.95024271844660191</v>
      </c>
    </row>
    <row r="34" spans="1:36" x14ac:dyDescent="0.25">
      <c r="A34" s="90" t="s">
        <v>3286</v>
      </c>
      <c r="B34">
        <v>824</v>
      </c>
      <c r="I34" s="90" t="s">
        <v>5938</v>
      </c>
      <c r="J34">
        <v>1</v>
      </c>
      <c r="X34" s="134" t="s">
        <v>2837</v>
      </c>
      <c r="Y34" s="107" cm="1">
        <f t="array" ref="Y34">IFERROR(_xlfn.XLOOKUP(X34,X7:X10,_xlfn.XLOOKUP(Y31,Y6:AB6,Y7:AB10,"0"),"0"),"0")</f>
        <v>0</v>
      </c>
      <c r="Z34" s="107" cm="1">
        <f t="array" ref="Z34">IFERROR(_xlfn.XLOOKUP(X34,X7:X10,_xlfn.XLOOKUP(Z31,Y6:AB6,Y7:AB10,"0"),"0"),"0")</f>
        <v>1.2135922330097086E-3</v>
      </c>
      <c r="AA34" s="107" cm="1">
        <f t="array" ref="AA34">IFERROR(_xlfn.XLOOKUP(X34,X7:X10,_xlfn.XLOOKUP(AA31,Y6:AB6,Y7:AB10,"0"),"0"),"0")</f>
        <v>7.2815533980582527E-3</v>
      </c>
      <c r="AB34" s="107" cm="1">
        <f t="array" ref="AB34">IFERROR(_xlfn.XLOOKUP(X34,X7:X10,_xlfn.XLOOKUP(AB31,Y6:AB6,Y7:AB10,"0"),"0"),"0")</f>
        <v>4.9757281553398057E-2</v>
      </c>
      <c r="AG34" s="134" t="s">
        <v>3293</v>
      </c>
      <c r="AH34" s="32">
        <f>IFERROR(VLOOKUP(AG34,$AG$5:$AH$10,2,0),"")</f>
        <v>166</v>
      </c>
      <c r="AI34" s="131">
        <f>IFERROR(AH34/AH36,"")</f>
        <v>0.20145631067961164</v>
      </c>
      <c r="AJ34" s="131">
        <f>IFERROR(1-AI34,"")</f>
        <v>0.79854368932038833</v>
      </c>
    </row>
    <row r="35" spans="1:36" x14ac:dyDescent="0.25">
      <c r="I35" s="90" t="s">
        <v>3286</v>
      </c>
      <c r="J35">
        <v>824</v>
      </c>
      <c r="X35" s="134" t="s">
        <v>2820</v>
      </c>
      <c r="Y35" s="107" cm="1">
        <f t="array" ref="Y35">IFERROR(_xlfn.XLOOKUP(X35,X7:X10,_xlfn.XLOOKUP(Y31,Y6:AB6,Y7:AB10,"0"),"0"),"0")</f>
        <v>0</v>
      </c>
      <c r="Z35" s="107" cm="1">
        <f t="array" ref="Z35">IFERROR(_xlfn.XLOOKUP(X35,X7:X10,_xlfn.XLOOKUP(Z31,Y6:AB6,Y7:AB10,"0"),"0"),"0")</f>
        <v>7.2815533980582527E-3</v>
      </c>
      <c r="AA35" s="107" cm="1">
        <f t="array" ref="AA35">IFERROR(_xlfn.XLOOKUP(X35,X7:X10,_xlfn.XLOOKUP(AA31,Y6:AB6,Y7:AB10,"0"),"0"),"0")</f>
        <v>1.6990291262135922E-2</v>
      </c>
      <c r="AB35" s="107" cm="1">
        <f t="array" ref="AB35">IFERROR(_xlfn.XLOOKUP(X35,X7:X10,_xlfn.XLOOKUP(AB31,Y6:AB6,Y7:AB10,"0"),"0"),"0")</f>
        <v>0.25849514563106796</v>
      </c>
      <c r="AG35" s="134" t="s">
        <v>3294</v>
      </c>
      <c r="AH35" s="32">
        <f>IFERROR(VLOOKUP(AG35,$AG$5:$AH$10,2,0),"")</f>
        <v>616</v>
      </c>
      <c r="AI35" s="131">
        <f>IFERROR(AH35/AH36,"")</f>
        <v>0.74757281553398058</v>
      </c>
      <c r="AJ35" s="131">
        <f>IFERROR(1-AI35,"")</f>
        <v>0.25242718446601942</v>
      </c>
    </row>
    <row r="36" spans="1:36" x14ac:dyDescent="0.25">
      <c r="X36" s="134" t="s">
        <v>253</v>
      </c>
      <c r="Y36" s="137">
        <f>SUM(Y32:Y35)</f>
        <v>1.2135922330097086E-3</v>
      </c>
      <c r="Z36" s="137">
        <f>SUM(Z32:Z35)</f>
        <v>4.7330097087378634E-2</v>
      </c>
      <c r="AA36" s="137">
        <f>SUM(AA32:AA35)</f>
        <v>0.20145631067961164</v>
      </c>
      <c r="AB36" s="137">
        <f>SUM(AB32:AB35)</f>
        <v>0.74757281553398047</v>
      </c>
      <c r="AG36" s="133" t="s">
        <v>253</v>
      </c>
      <c r="AH36" s="32">
        <f>SUM(AH32:AH35)</f>
        <v>824</v>
      </c>
    </row>
    <row r="45" spans="1:36" x14ac:dyDescent="0.25">
      <c r="I45" t="s">
        <v>3488</v>
      </c>
    </row>
    <row r="46" spans="1:36" x14ac:dyDescent="0.25">
      <c r="I46" t="s">
        <v>3287</v>
      </c>
    </row>
    <row r="47" spans="1:36" x14ac:dyDescent="0.25">
      <c r="I47">
        <v>824</v>
      </c>
    </row>
    <row r="48" spans="1:36" x14ac:dyDescent="0.25">
      <c r="AG48" s="32" t="s">
        <v>3291</v>
      </c>
      <c r="AH48">
        <f>VLOOKUP(AG48,$AG$5:$AL$11,2,0)</f>
        <v>1</v>
      </c>
    </row>
    <row r="49" spans="24:34" x14ac:dyDescent="0.25">
      <c r="AG49" s="32" t="s">
        <v>3292</v>
      </c>
      <c r="AH49">
        <f>VLOOKUP(AG49,$AG$5:$AL$11,2,0)</f>
        <v>41</v>
      </c>
    </row>
    <row r="50" spans="24:34" x14ac:dyDescent="0.25">
      <c r="X50" s="32" t="s">
        <v>3291</v>
      </c>
      <c r="AG50" s="32" t="s">
        <v>3293</v>
      </c>
      <c r="AH50">
        <f>VLOOKUP(AG50,$AG$5:$AL$11,2,0)</f>
        <v>166</v>
      </c>
    </row>
    <row r="51" spans="24:34" x14ac:dyDescent="0.25">
      <c r="X51" s="32" t="s">
        <v>3292</v>
      </c>
      <c r="AG51" s="32" t="s">
        <v>3294</v>
      </c>
      <c r="AH51">
        <f>VLOOKUP(AG51,$AG$5:$AL$11,2,0)</f>
        <v>616</v>
      </c>
    </row>
    <row r="52" spans="24:34" x14ac:dyDescent="0.25">
      <c r="X52" s="32" t="s">
        <v>3293</v>
      </c>
      <c r="AG52" s="32" t="s">
        <v>253</v>
      </c>
      <c r="AH52">
        <f>SUM(AH48:AH51)</f>
        <v>824</v>
      </c>
    </row>
    <row r="53" spans="24:34" x14ac:dyDescent="0.25">
      <c r="X53" s="32" t="s">
        <v>3294</v>
      </c>
    </row>
    <row r="54" spans="24:34" x14ac:dyDescent="0.25">
      <c r="X54" s="32" t="s">
        <v>253</v>
      </c>
    </row>
  </sheetData>
  <pageMargins left="0.511811024" right="0.511811024" top="0.78740157499999996" bottom="0.78740157499999996" header="0.31496062000000002" footer="0.31496062000000002"/>
  <pageSetup paperSize="9" orientation="portrait" r:id="rId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C8E4F-3C14-4414-BE31-E539048BEE7B}">
  <dimension ref="A1"/>
  <sheetViews>
    <sheetView workbookViewId="0">
      <selection activeCell="S11" sqref="S1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C6926A-42E9-4156-B94F-2C35773D5E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4</vt:i4>
      </vt:variant>
    </vt:vector>
  </HeadingPairs>
  <TitlesOfParts>
    <vt:vector size="17" baseType="lpstr">
      <vt:lpstr>SAL-22</vt:lpstr>
      <vt:lpstr>PROG. 22</vt:lpstr>
      <vt:lpstr>P FERIAS</vt:lpstr>
      <vt:lpstr>SAL 23</vt:lpstr>
      <vt:lpstr>PROG. 23</vt:lpstr>
      <vt:lpstr>STATUS SAL</vt:lpstr>
      <vt:lpstr>STATUS FCL</vt:lpstr>
      <vt:lpstr>STATUS LCL</vt:lpstr>
      <vt:lpstr>MOTORISTAS</vt:lpstr>
      <vt:lpstr>OCORRENCIA</vt:lpstr>
      <vt:lpstr>STATUS</vt:lpstr>
      <vt:lpstr>APOIO</vt:lpstr>
      <vt:lpstr>OCORRENCIA 2</vt:lpstr>
      <vt:lpstr>'P FERIAS'!BASE</vt:lpstr>
      <vt:lpstr>'STATUS FCL'!BASE</vt:lpstr>
      <vt:lpstr>'STATUS SAL'!BASE</vt:lpstr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Alexandre-note</dc:creator>
  <cp:lastModifiedBy>Alexandre DNZ</cp:lastModifiedBy>
  <cp:lastPrinted>2023-02-11T11:07:36Z</cp:lastPrinted>
  <dcterms:created xsi:type="dcterms:W3CDTF">2023-01-09T11:54:00Z</dcterms:created>
  <dcterms:modified xsi:type="dcterms:W3CDTF">2023-09-10T19:34:10Z</dcterms:modified>
</cp:coreProperties>
</file>